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schanma\Anaconda3\Lib\site-packages\hgc\constants\"/>
    </mc:Choice>
  </mc:AlternateContent>
  <bookViews>
    <workbookView xWindow="2130" yWindow="-90" windowWidth="22050" windowHeight="13155"/>
  </bookViews>
  <sheets>
    <sheet name="Alias" sheetId="1" r:id="rId1"/>
    <sheet name="SIKB_2020_02_06" sheetId="2" r:id="rId2"/>
    <sheet name="NVWA dec2020" sheetId="3" r:id="rId3"/>
    <sheet name="REWAB dec2020" sheetId="4" r:id="rId4"/>
    <sheet name="Pubchem" sheetId="5" r:id="rId5"/>
    <sheet name="NL2EN" sheetId="6" r:id="rId6"/>
  </sheets>
  <definedNames>
    <definedName name="_xlnm._FilterDatabase" localSheetId="0" hidden="1">Alias!$A$5:$T$7915</definedName>
    <definedName name="_xlnm._FilterDatabase" localSheetId="4" hidden="1">Pubchem!$A$3:$L$4208</definedName>
    <definedName name="_xlnm._FilterDatabase" localSheetId="1" hidden="1">SIKB_2020_02_06!$A$1:$K$4346</definedName>
  </definedNames>
  <calcPr calcId="152511"/>
</workbook>
</file>

<file path=xl/calcChain.xml><?xml version="1.0" encoding="utf-8"?>
<calcChain xmlns="http://schemas.openxmlformats.org/spreadsheetml/2006/main">
  <c r="I5095" i="1" l="1"/>
  <c r="I5094" i="1"/>
  <c r="I5093" i="1"/>
  <c r="I5092" i="1"/>
  <c r="I5091" i="1"/>
  <c r="I5090" i="1"/>
  <c r="I5089" i="1"/>
  <c r="I5088" i="1"/>
  <c r="I5087" i="1"/>
  <c r="I5086" i="1"/>
  <c r="I5085" i="1"/>
  <c r="I5084" i="1"/>
  <c r="I5083" i="1"/>
  <c r="I5082" i="1"/>
  <c r="I5081" i="1"/>
  <c r="I5080" i="1"/>
  <c r="I5079" i="1"/>
  <c r="I5078" i="1"/>
  <c r="I5077" i="1"/>
  <c r="I5076" i="1"/>
  <c r="I5075" i="1"/>
  <c r="I5074" i="1"/>
  <c r="I5073" i="1"/>
  <c r="I5072" i="1"/>
  <c r="I5071" i="1"/>
  <c r="I5070" i="1"/>
  <c r="I5069" i="1"/>
  <c r="I5068" i="1"/>
  <c r="I5067" i="1"/>
  <c r="I5066" i="1"/>
  <c r="I5065" i="1"/>
  <c r="I5064" i="1"/>
  <c r="I5063" i="1"/>
  <c r="I5062" i="1"/>
  <c r="I5061" i="1"/>
  <c r="I5060" i="1"/>
  <c r="I5059" i="1"/>
  <c r="I5058" i="1"/>
  <c r="I5057" i="1"/>
  <c r="I5056" i="1"/>
  <c r="I5055" i="1"/>
  <c r="I5054" i="1"/>
  <c r="I5053" i="1"/>
  <c r="I5052" i="1"/>
  <c r="I5051" i="1"/>
  <c r="I5050" i="1"/>
  <c r="I5049" i="1"/>
  <c r="I5048" i="1"/>
  <c r="I5047" i="1"/>
  <c r="I5046" i="1"/>
  <c r="I5045" i="1"/>
  <c r="I5044" i="1"/>
  <c r="I5043" i="1"/>
  <c r="I5042" i="1"/>
  <c r="I5041" i="1"/>
  <c r="I5040" i="1"/>
  <c r="I5039" i="1"/>
  <c r="I5038" i="1"/>
  <c r="I5037" i="1"/>
  <c r="I5036" i="1"/>
  <c r="I5035" i="1"/>
  <c r="I5034" i="1"/>
  <c r="I5032" i="1"/>
  <c r="I5031" i="1"/>
  <c r="I5030" i="1"/>
  <c r="I5029" i="1"/>
  <c r="I5028" i="1"/>
  <c r="I5027" i="1"/>
  <c r="I5026" i="1"/>
  <c r="I5025" i="1"/>
  <c r="I5024" i="1"/>
  <c r="I5023" i="1"/>
  <c r="I5022" i="1"/>
  <c r="I5021" i="1"/>
  <c r="I5020" i="1"/>
  <c r="I5019" i="1"/>
  <c r="I5018" i="1"/>
  <c r="I5017" i="1"/>
  <c r="I5016" i="1"/>
  <c r="I5015" i="1"/>
  <c r="I5014" i="1"/>
  <c r="I5013" i="1"/>
  <c r="I5012" i="1"/>
  <c r="I5011" i="1"/>
  <c r="I5010" i="1"/>
  <c r="I5009" i="1"/>
  <c r="I5008" i="1"/>
  <c r="I5007" i="1"/>
  <c r="I5006" i="1"/>
  <c r="I5005" i="1"/>
  <c r="I5004" i="1"/>
  <c r="I5003" i="1"/>
  <c r="I5002" i="1"/>
  <c r="I5001" i="1"/>
  <c r="I5000" i="1"/>
  <c r="I4999" i="1"/>
  <c r="I4998" i="1"/>
  <c r="I4997" i="1"/>
  <c r="I4996" i="1"/>
  <c r="I4995" i="1"/>
  <c r="I4994" i="1"/>
  <c r="I4993" i="1"/>
  <c r="I4992" i="1"/>
  <c r="I4991" i="1"/>
  <c r="I4990" i="1"/>
  <c r="I4989" i="1"/>
  <c r="I4988" i="1"/>
  <c r="I4987" i="1"/>
  <c r="I4986" i="1"/>
  <c r="I4985" i="1"/>
  <c r="I4984" i="1"/>
  <c r="I4983" i="1"/>
  <c r="I4982" i="1"/>
  <c r="I4981" i="1"/>
  <c r="I4980" i="1"/>
  <c r="I4979" i="1"/>
  <c r="I4978" i="1"/>
  <c r="I4977" i="1"/>
  <c r="I4976" i="1"/>
  <c r="I4975" i="1"/>
  <c r="I4974" i="1"/>
  <c r="I4973" i="1"/>
  <c r="I4972" i="1"/>
  <c r="I4971" i="1"/>
  <c r="I4970" i="1"/>
  <c r="I4969" i="1"/>
  <c r="I4968" i="1"/>
  <c r="I4967" i="1"/>
  <c r="I4966" i="1"/>
  <c r="I4965" i="1"/>
  <c r="I4964" i="1"/>
  <c r="I4963" i="1"/>
  <c r="I4962" i="1"/>
  <c r="I4961" i="1"/>
  <c r="I4960" i="1"/>
  <c r="I4959" i="1"/>
  <c r="I4958" i="1"/>
  <c r="I4957" i="1"/>
  <c r="I4956" i="1"/>
  <c r="I4955" i="1"/>
  <c r="I4954" i="1"/>
  <c r="I4953" i="1"/>
  <c r="I4952" i="1"/>
  <c r="I4951" i="1"/>
  <c r="I4950" i="1"/>
  <c r="I4949" i="1"/>
  <c r="I4948" i="1"/>
  <c r="I4947" i="1"/>
  <c r="I4946" i="1"/>
  <c r="I4945" i="1"/>
  <c r="I4944" i="1"/>
  <c r="I4943" i="1"/>
  <c r="I4942" i="1"/>
  <c r="I4941" i="1"/>
  <c r="I4940" i="1"/>
  <c r="I4939" i="1"/>
  <c r="I4938" i="1"/>
  <c r="I4937" i="1"/>
  <c r="I4936" i="1"/>
  <c r="I4935" i="1"/>
  <c r="I4934" i="1"/>
  <c r="I4933" i="1"/>
  <c r="I4932" i="1"/>
  <c r="I4931" i="1"/>
  <c r="I4930" i="1"/>
  <c r="I4929" i="1"/>
  <c r="I4928" i="1"/>
  <c r="I4927" i="1"/>
  <c r="I4926" i="1"/>
  <c r="I4925" i="1"/>
  <c r="I4924" i="1"/>
  <c r="I4923" i="1"/>
  <c r="I4922" i="1"/>
  <c r="I4921" i="1"/>
  <c r="I4920" i="1"/>
  <c r="I4919" i="1"/>
  <c r="I4918" i="1"/>
  <c r="I4917" i="1"/>
  <c r="I4916" i="1"/>
  <c r="I4915" i="1"/>
  <c r="I4914" i="1"/>
  <c r="I4913" i="1"/>
  <c r="I4912" i="1"/>
  <c r="I4911" i="1"/>
  <c r="I4910" i="1"/>
  <c r="I4909" i="1"/>
  <c r="I4908" i="1"/>
  <c r="I4907" i="1"/>
  <c r="I4906" i="1"/>
  <c r="I4905" i="1"/>
  <c r="I4904" i="1"/>
  <c r="I4903" i="1"/>
  <c r="I4902" i="1"/>
  <c r="I4901" i="1"/>
  <c r="I4900" i="1"/>
  <c r="I4899" i="1"/>
  <c r="I4898" i="1"/>
  <c r="I4897" i="1"/>
  <c r="I4896" i="1"/>
  <c r="I4895" i="1"/>
  <c r="I4894" i="1"/>
  <c r="I4893" i="1"/>
  <c r="I4892" i="1"/>
  <c r="I4891" i="1"/>
  <c r="I4890" i="1"/>
  <c r="I4889" i="1"/>
  <c r="I4888" i="1"/>
  <c r="I4887" i="1"/>
  <c r="I4886" i="1"/>
  <c r="I4885" i="1"/>
  <c r="I4884" i="1"/>
  <c r="I4883" i="1"/>
  <c r="I4882" i="1"/>
  <c r="I4881" i="1"/>
  <c r="I4880" i="1"/>
  <c r="I4879" i="1"/>
  <c r="I4878" i="1"/>
  <c r="I4877" i="1"/>
  <c r="I4876" i="1"/>
  <c r="I4875" i="1"/>
  <c r="I4874" i="1"/>
  <c r="I4873" i="1"/>
  <c r="I4872" i="1"/>
  <c r="I4871" i="1"/>
  <c r="I4870" i="1"/>
  <c r="I4869" i="1"/>
  <c r="I4868" i="1"/>
  <c r="I4867" i="1"/>
  <c r="I4866" i="1"/>
  <c r="I4865" i="1"/>
  <c r="I4864" i="1"/>
  <c r="I4863" i="1"/>
  <c r="I4862" i="1"/>
  <c r="I4861" i="1"/>
  <c r="I4860" i="1"/>
  <c r="I4859" i="1"/>
  <c r="I4858" i="1"/>
  <c r="I4857" i="1"/>
  <c r="I4856" i="1"/>
  <c r="I4855" i="1"/>
  <c r="I4854" i="1"/>
  <c r="I4853" i="1"/>
  <c r="I4852" i="1"/>
  <c r="I4851" i="1"/>
  <c r="I4850" i="1"/>
  <c r="I4849" i="1"/>
  <c r="I4848" i="1"/>
  <c r="I4847" i="1"/>
  <c r="I4846" i="1"/>
  <c r="I4845" i="1"/>
  <c r="I4844" i="1"/>
  <c r="I4843" i="1"/>
  <c r="I4842" i="1"/>
  <c r="I4841" i="1"/>
  <c r="I4840" i="1"/>
  <c r="I4839" i="1"/>
  <c r="I4838" i="1"/>
  <c r="I4837" i="1"/>
  <c r="I4836" i="1"/>
  <c r="I4835" i="1"/>
  <c r="I4834" i="1"/>
  <c r="I4833" i="1"/>
  <c r="I4832" i="1"/>
  <c r="I4831" i="1"/>
  <c r="I4830" i="1"/>
  <c r="I4829" i="1"/>
  <c r="I4828" i="1"/>
  <c r="I4827" i="1"/>
  <c r="I4826" i="1"/>
  <c r="I4825" i="1"/>
  <c r="I4824" i="1"/>
  <c r="I4823" i="1"/>
  <c r="I4822" i="1"/>
  <c r="I4821" i="1"/>
  <c r="I4820" i="1"/>
  <c r="I4819" i="1"/>
  <c r="I4818" i="1"/>
  <c r="I4817" i="1"/>
  <c r="I4816" i="1"/>
  <c r="I4815" i="1"/>
  <c r="I4814" i="1"/>
  <c r="I4813" i="1"/>
  <c r="I4812" i="1"/>
  <c r="I4811" i="1"/>
  <c r="I4810" i="1"/>
  <c r="I4809" i="1"/>
  <c r="I4808" i="1"/>
  <c r="I4807" i="1"/>
  <c r="I4806" i="1"/>
  <c r="I4805" i="1"/>
  <c r="I4804" i="1"/>
  <c r="I4803" i="1"/>
  <c r="I4802" i="1"/>
  <c r="I4801" i="1"/>
  <c r="I4800" i="1"/>
  <c r="I4799" i="1"/>
  <c r="I4798" i="1"/>
  <c r="I4797" i="1"/>
  <c r="I4796" i="1"/>
  <c r="I4795" i="1"/>
  <c r="I4794" i="1"/>
  <c r="I4793" i="1"/>
  <c r="I4792" i="1"/>
  <c r="I4791" i="1"/>
  <c r="I4790" i="1"/>
  <c r="I4789" i="1"/>
  <c r="I4788" i="1"/>
  <c r="I4787" i="1"/>
  <c r="I4786" i="1"/>
  <c r="I4785" i="1"/>
  <c r="I4784" i="1"/>
  <c r="I4783" i="1"/>
  <c r="I4782" i="1"/>
  <c r="I4781" i="1"/>
  <c r="I4780" i="1"/>
  <c r="I4779" i="1"/>
  <c r="I4778" i="1"/>
  <c r="I4777" i="1"/>
  <c r="I4776" i="1"/>
  <c r="I4775" i="1"/>
  <c r="I4774" i="1"/>
  <c r="I4773" i="1"/>
  <c r="I4772" i="1"/>
  <c r="I4771" i="1"/>
  <c r="I4770" i="1"/>
  <c r="I4769" i="1"/>
  <c r="I4768" i="1"/>
  <c r="I4767" i="1"/>
  <c r="I4766" i="1"/>
  <c r="I4765" i="1"/>
  <c r="I4764" i="1"/>
  <c r="I4763" i="1"/>
  <c r="I4762" i="1"/>
  <c r="I4761" i="1"/>
  <c r="I4760" i="1"/>
  <c r="I4759" i="1"/>
  <c r="I4758" i="1"/>
  <c r="I4757" i="1"/>
  <c r="I4756" i="1"/>
  <c r="I4755" i="1"/>
  <c r="I4754" i="1"/>
  <c r="I4753" i="1"/>
  <c r="I4752" i="1"/>
  <c r="I4751" i="1"/>
  <c r="I4750" i="1"/>
  <c r="I4749" i="1"/>
  <c r="I4748" i="1"/>
  <c r="I4747" i="1"/>
  <c r="I4746" i="1"/>
  <c r="I4745" i="1"/>
  <c r="I4744" i="1"/>
  <c r="I4743" i="1"/>
  <c r="I4742" i="1"/>
  <c r="I4741" i="1"/>
  <c r="I4740" i="1"/>
  <c r="I4739" i="1"/>
  <c r="I4738" i="1"/>
  <c r="I4737" i="1"/>
  <c r="I4736" i="1"/>
  <c r="I4735" i="1"/>
  <c r="I4734" i="1"/>
  <c r="I4733" i="1"/>
  <c r="I4732" i="1"/>
  <c r="I4731" i="1"/>
  <c r="I4730" i="1"/>
  <c r="I4729" i="1"/>
  <c r="I4728" i="1"/>
  <c r="I4727" i="1"/>
  <c r="I4726" i="1"/>
  <c r="I4725" i="1"/>
  <c r="I4724" i="1"/>
  <c r="I4723" i="1"/>
  <c r="I4722" i="1"/>
  <c r="I4721" i="1"/>
  <c r="I4720" i="1"/>
  <c r="I4719" i="1"/>
  <c r="I4718" i="1"/>
  <c r="I4717" i="1"/>
  <c r="I4716" i="1"/>
  <c r="I4715" i="1"/>
  <c r="I4714" i="1"/>
  <c r="I4713" i="1"/>
  <c r="I4712" i="1"/>
  <c r="I4711" i="1"/>
  <c r="I4710" i="1"/>
  <c r="I4709" i="1"/>
  <c r="I4708" i="1"/>
  <c r="I4707" i="1"/>
  <c r="I4706" i="1"/>
  <c r="I4705" i="1"/>
  <c r="I4704" i="1"/>
  <c r="I4703" i="1"/>
  <c r="I4702" i="1"/>
  <c r="I4701" i="1"/>
  <c r="I4700" i="1"/>
  <c r="I4699" i="1"/>
  <c r="I4698" i="1"/>
  <c r="I4697" i="1"/>
  <c r="I4696" i="1"/>
  <c r="I4695" i="1"/>
  <c r="I4694" i="1"/>
  <c r="I4693" i="1"/>
  <c r="I4692" i="1"/>
  <c r="I4691" i="1"/>
  <c r="I4690" i="1"/>
  <c r="I4689" i="1"/>
  <c r="I4688" i="1"/>
  <c r="I4687" i="1"/>
  <c r="I4686" i="1"/>
  <c r="I4685" i="1"/>
  <c r="I4684" i="1"/>
  <c r="I4683" i="1"/>
  <c r="I4682" i="1"/>
  <c r="I4681" i="1"/>
  <c r="I4680" i="1"/>
  <c r="I4679" i="1"/>
  <c r="I4678" i="1"/>
  <c r="I4677" i="1"/>
  <c r="I4676" i="1"/>
  <c r="I4675" i="1"/>
  <c r="I4674" i="1"/>
  <c r="I4673" i="1"/>
  <c r="I4672" i="1"/>
  <c r="I4671" i="1"/>
  <c r="I4670" i="1"/>
  <c r="I4669" i="1"/>
  <c r="I4668" i="1"/>
  <c r="I4667" i="1"/>
  <c r="I4666" i="1"/>
  <c r="I4665" i="1"/>
  <c r="I4664" i="1"/>
  <c r="I4663" i="1"/>
  <c r="I4662" i="1"/>
  <c r="I4661" i="1"/>
  <c r="I4660" i="1"/>
  <c r="I4659" i="1"/>
  <c r="I4658" i="1"/>
  <c r="I4657" i="1"/>
  <c r="I4656" i="1"/>
  <c r="I4655" i="1"/>
  <c r="I4654" i="1"/>
  <c r="I4653" i="1"/>
  <c r="I4652" i="1"/>
  <c r="I4651" i="1"/>
  <c r="I4650" i="1"/>
  <c r="I4649" i="1"/>
  <c r="I4648" i="1"/>
  <c r="I4647" i="1"/>
  <c r="I4646" i="1"/>
  <c r="I4645" i="1"/>
  <c r="I4644" i="1"/>
  <c r="I4643" i="1"/>
  <c r="I4642" i="1"/>
  <c r="I4641" i="1"/>
  <c r="I4640" i="1"/>
  <c r="I4639" i="1"/>
  <c r="I4638" i="1"/>
  <c r="I4637" i="1"/>
  <c r="I4636" i="1"/>
  <c r="I4635" i="1"/>
  <c r="I4634" i="1"/>
  <c r="I4633" i="1"/>
  <c r="I4632" i="1"/>
  <c r="I4631" i="1"/>
  <c r="I4630" i="1"/>
  <c r="I4629" i="1"/>
  <c r="I4628" i="1"/>
  <c r="I4627" i="1"/>
  <c r="I4626" i="1"/>
  <c r="I4625" i="1"/>
  <c r="I4624" i="1"/>
  <c r="I4623" i="1"/>
  <c r="I4622" i="1"/>
  <c r="I4621" i="1"/>
  <c r="I4620" i="1"/>
  <c r="I4619" i="1"/>
  <c r="I4618" i="1"/>
  <c r="I4617" i="1"/>
  <c r="I4616" i="1"/>
  <c r="I4615" i="1"/>
  <c r="I4614" i="1"/>
  <c r="I4613" i="1"/>
  <c r="I4612" i="1"/>
  <c r="I4611" i="1"/>
  <c r="I4610" i="1"/>
  <c r="I4609" i="1"/>
  <c r="I4608" i="1"/>
  <c r="I4607" i="1"/>
  <c r="I4606" i="1"/>
  <c r="I4605" i="1"/>
  <c r="I4604" i="1"/>
  <c r="I4603" i="1"/>
  <c r="I4602" i="1"/>
  <c r="I4601" i="1"/>
  <c r="I4600" i="1"/>
  <c r="I4599" i="1"/>
  <c r="I4598" i="1"/>
  <c r="I4597" i="1"/>
  <c r="I4596" i="1"/>
  <c r="I4595" i="1"/>
  <c r="I4594" i="1"/>
  <c r="I4593" i="1"/>
  <c r="I4592" i="1"/>
  <c r="I4591" i="1"/>
  <c r="I4590" i="1"/>
  <c r="I4589" i="1"/>
  <c r="I4588" i="1"/>
  <c r="I4587" i="1"/>
  <c r="I4586" i="1"/>
  <c r="I4585" i="1"/>
  <c r="I4584" i="1"/>
  <c r="I4583" i="1"/>
  <c r="I4582" i="1"/>
  <c r="I4581" i="1"/>
  <c r="I4580" i="1"/>
  <c r="I4579" i="1"/>
  <c r="I4578" i="1"/>
  <c r="I4577" i="1"/>
  <c r="I4576" i="1"/>
  <c r="I4575" i="1"/>
  <c r="I4574" i="1"/>
  <c r="I4573" i="1"/>
  <c r="I4572" i="1"/>
  <c r="I4571" i="1"/>
  <c r="I4570" i="1"/>
  <c r="I4569" i="1"/>
  <c r="I4568" i="1"/>
  <c r="I4567" i="1"/>
  <c r="I4566" i="1"/>
  <c r="I4565" i="1"/>
  <c r="I4564" i="1"/>
  <c r="I4563" i="1"/>
  <c r="I4562" i="1"/>
  <c r="I4561" i="1"/>
  <c r="I4560" i="1"/>
  <c r="I4559" i="1"/>
  <c r="I4558" i="1"/>
  <c r="I4557" i="1"/>
  <c r="I4556" i="1"/>
  <c r="I4555" i="1"/>
  <c r="I4554" i="1"/>
  <c r="I4553" i="1"/>
  <c r="I4552" i="1"/>
  <c r="I4551" i="1"/>
  <c r="I4550" i="1"/>
  <c r="I4549" i="1"/>
  <c r="I4548" i="1"/>
  <c r="I4547" i="1"/>
  <c r="I4546" i="1"/>
  <c r="I4545" i="1"/>
  <c r="I4544" i="1"/>
  <c r="I4543" i="1"/>
  <c r="I4542" i="1"/>
  <c r="I4541" i="1"/>
  <c r="I4540" i="1"/>
  <c r="I4539" i="1"/>
  <c r="I4538" i="1"/>
  <c r="I4537" i="1"/>
  <c r="I4536" i="1"/>
  <c r="I4535" i="1"/>
  <c r="I4534" i="1"/>
  <c r="I4533" i="1"/>
  <c r="I4532" i="1"/>
  <c r="I4531" i="1"/>
  <c r="I4530" i="1"/>
  <c r="I4529" i="1"/>
  <c r="I4528" i="1"/>
  <c r="I4527" i="1"/>
  <c r="I4526" i="1"/>
  <c r="I4525" i="1"/>
  <c r="I4524" i="1"/>
  <c r="I4523" i="1"/>
  <c r="I4522" i="1"/>
  <c r="I4521" i="1"/>
  <c r="I4520" i="1"/>
  <c r="I4519" i="1"/>
  <c r="I4518" i="1"/>
  <c r="I4517" i="1"/>
  <c r="I4516" i="1"/>
  <c r="I4515" i="1"/>
  <c r="I4514" i="1"/>
  <c r="I4513" i="1"/>
  <c r="I4512" i="1"/>
  <c r="I4511" i="1"/>
  <c r="I4510" i="1"/>
  <c r="I4509" i="1"/>
  <c r="I4508" i="1"/>
  <c r="I4507" i="1"/>
  <c r="I4506" i="1"/>
  <c r="I4505" i="1"/>
  <c r="I4504" i="1"/>
  <c r="I4503" i="1"/>
  <c r="I4502" i="1"/>
  <c r="I4501" i="1"/>
  <c r="I4500" i="1"/>
  <c r="G2915" i="4" l="1"/>
  <c r="F2915" i="4"/>
  <c r="E2915" i="4"/>
  <c r="D2915" i="4"/>
  <c r="B2915" i="4"/>
  <c r="G2914" i="4"/>
  <c r="F2914" i="4"/>
  <c r="E2914" i="4"/>
  <c r="D2914" i="4"/>
  <c r="B2914" i="4"/>
  <c r="G2913" i="4"/>
  <c r="F2913" i="4"/>
  <c r="E2913" i="4"/>
  <c r="D2913" i="4"/>
  <c r="B2913" i="4"/>
  <c r="G2912" i="4"/>
  <c r="F2912" i="4"/>
  <c r="E2912" i="4"/>
  <c r="D2912" i="4"/>
  <c r="B2912" i="4"/>
  <c r="G2911" i="4"/>
  <c r="F2911" i="4"/>
  <c r="E2911" i="4"/>
  <c r="D2911" i="4"/>
  <c r="B2911" i="4"/>
  <c r="G2910" i="4"/>
  <c r="F2910" i="4"/>
  <c r="E2910" i="4"/>
  <c r="D2910" i="4"/>
  <c r="B2910" i="4"/>
  <c r="G2909" i="4"/>
  <c r="F2909" i="4"/>
  <c r="E2909" i="4"/>
  <c r="D2909" i="4"/>
  <c r="B2909" i="4"/>
  <c r="G2908" i="4"/>
  <c r="F2908" i="4"/>
  <c r="E2908" i="4"/>
  <c r="D2908" i="4"/>
  <c r="B2908" i="4"/>
  <c r="G2907" i="4"/>
  <c r="F2907" i="4"/>
  <c r="E2907" i="4"/>
  <c r="D2907" i="4"/>
  <c r="B2907" i="4"/>
  <c r="G2906" i="4"/>
  <c r="F2906" i="4"/>
  <c r="E2906" i="4"/>
  <c r="D2906" i="4"/>
  <c r="B2906" i="4"/>
  <c r="G2905" i="4"/>
  <c r="F2905" i="4"/>
  <c r="E2905" i="4"/>
  <c r="D2905" i="4"/>
  <c r="B2905" i="4"/>
  <c r="G2904" i="4"/>
  <c r="F2904" i="4"/>
  <c r="E2904" i="4"/>
  <c r="D2904" i="4"/>
  <c r="B2904" i="4"/>
  <c r="G2903" i="4"/>
  <c r="F2903" i="4"/>
  <c r="E2903" i="4"/>
  <c r="D2903" i="4"/>
  <c r="B2903" i="4"/>
  <c r="G2902" i="4"/>
  <c r="F2902" i="4"/>
  <c r="E2902" i="4"/>
  <c r="D2902" i="4"/>
  <c r="B2902" i="4"/>
  <c r="G2901" i="4"/>
  <c r="F2901" i="4"/>
  <c r="E2901" i="4"/>
  <c r="D2901" i="4"/>
  <c r="B2901" i="4"/>
  <c r="G2900" i="4"/>
  <c r="F2900" i="4"/>
  <c r="E2900" i="4"/>
  <c r="D2900" i="4"/>
  <c r="B2900" i="4"/>
  <c r="G2899" i="4"/>
  <c r="F2899" i="4"/>
  <c r="E2899" i="4"/>
  <c r="D2899" i="4"/>
  <c r="B2899" i="4"/>
  <c r="G2898" i="4"/>
  <c r="F2898" i="4"/>
  <c r="E2898" i="4"/>
  <c r="D2898" i="4"/>
  <c r="B2898" i="4"/>
  <c r="G2897" i="4"/>
  <c r="F2897" i="4"/>
  <c r="E2897" i="4"/>
  <c r="D2897" i="4"/>
  <c r="B2897" i="4"/>
  <c r="G2896" i="4"/>
  <c r="F2896" i="4"/>
  <c r="E2896" i="4"/>
  <c r="D2896" i="4"/>
  <c r="B2896" i="4"/>
  <c r="G2895" i="4"/>
  <c r="F2895" i="4"/>
  <c r="E2895" i="4"/>
  <c r="D2895" i="4"/>
  <c r="B2895" i="4"/>
  <c r="G2894" i="4"/>
  <c r="F2894" i="4"/>
  <c r="E2894" i="4"/>
  <c r="D2894" i="4"/>
  <c r="B2894" i="4"/>
  <c r="G2893" i="4"/>
  <c r="F2893" i="4"/>
  <c r="E2893" i="4"/>
  <c r="D2893" i="4"/>
  <c r="B2893" i="4"/>
  <c r="G2892" i="4"/>
  <c r="F2892" i="4"/>
  <c r="E2892" i="4"/>
  <c r="D2892" i="4"/>
  <c r="B2892" i="4"/>
  <c r="G2891" i="4"/>
  <c r="F2891" i="4"/>
  <c r="E2891" i="4"/>
  <c r="D2891" i="4"/>
  <c r="B2891" i="4"/>
  <c r="G2890" i="4"/>
  <c r="F2890" i="4"/>
  <c r="E2890" i="4"/>
  <c r="D2890" i="4"/>
  <c r="B2890" i="4"/>
  <c r="G2889" i="4"/>
  <c r="F2889" i="4"/>
  <c r="E2889" i="4"/>
  <c r="D2889" i="4"/>
  <c r="B2889" i="4"/>
  <c r="G2888" i="4"/>
  <c r="F2888" i="4"/>
  <c r="E2888" i="4"/>
  <c r="D2888" i="4"/>
  <c r="B2888" i="4"/>
  <c r="G2887" i="4"/>
  <c r="F2887" i="4"/>
  <c r="E2887" i="4"/>
  <c r="D2887" i="4"/>
  <c r="B2887" i="4"/>
  <c r="G2886" i="4"/>
  <c r="F2886" i="4"/>
  <c r="E2886" i="4"/>
  <c r="D2886" i="4"/>
  <c r="B2886" i="4"/>
  <c r="G2885" i="4"/>
  <c r="F2885" i="4"/>
  <c r="E2885" i="4"/>
  <c r="D2885" i="4"/>
  <c r="B2885" i="4"/>
  <c r="G2884" i="4"/>
  <c r="F2884" i="4"/>
  <c r="E2884" i="4"/>
  <c r="D2884" i="4"/>
  <c r="B2884" i="4"/>
  <c r="G2883" i="4"/>
  <c r="F2883" i="4"/>
  <c r="E2883" i="4"/>
  <c r="D2883" i="4"/>
  <c r="B2883" i="4"/>
  <c r="G2882" i="4"/>
  <c r="F2882" i="4"/>
  <c r="E2882" i="4"/>
  <c r="D2882" i="4"/>
  <c r="B2882" i="4"/>
  <c r="G2881" i="4"/>
  <c r="F2881" i="4"/>
  <c r="E2881" i="4"/>
  <c r="D2881" i="4"/>
  <c r="B2881" i="4"/>
  <c r="G2880" i="4"/>
  <c r="F2880" i="4"/>
  <c r="E2880" i="4"/>
  <c r="D2880" i="4"/>
  <c r="B2880" i="4"/>
  <c r="G2879" i="4"/>
  <c r="F2879" i="4"/>
  <c r="E2879" i="4"/>
  <c r="D2879" i="4"/>
  <c r="B2879" i="4"/>
  <c r="G2878" i="4"/>
  <c r="F2878" i="4"/>
  <c r="E2878" i="4"/>
  <c r="D2878" i="4"/>
  <c r="B2878" i="4"/>
  <c r="G2877" i="4"/>
  <c r="F2877" i="4"/>
  <c r="E2877" i="4"/>
  <c r="D2877" i="4"/>
  <c r="B2877" i="4"/>
  <c r="G2876" i="4"/>
  <c r="F2876" i="4"/>
  <c r="E2876" i="4"/>
  <c r="D2876" i="4"/>
  <c r="B2876" i="4"/>
  <c r="G2875" i="4"/>
  <c r="F2875" i="4"/>
  <c r="E2875" i="4"/>
  <c r="D2875" i="4"/>
  <c r="B2875" i="4"/>
  <c r="G2874" i="4"/>
  <c r="F2874" i="4"/>
  <c r="E2874" i="4"/>
  <c r="D2874" i="4"/>
  <c r="B2874" i="4"/>
  <c r="G2873" i="4"/>
  <c r="F2873" i="4"/>
  <c r="E2873" i="4"/>
  <c r="D2873" i="4"/>
  <c r="B2873" i="4"/>
  <c r="G2872" i="4"/>
  <c r="F2872" i="4"/>
  <c r="E2872" i="4"/>
  <c r="D2872" i="4"/>
  <c r="B2872" i="4"/>
  <c r="G2871" i="4"/>
  <c r="F2871" i="4"/>
  <c r="E2871" i="4"/>
  <c r="D2871" i="4"/>
  <c r="B2871" i="4"/>
  <c r="G2870" i="4"/>
  <c r="F2870" i="4"/>
  <c r="E2870" i="4"/>
  <c r="D2870" i="4"/>
  <c r="B2870" i="4"/>
  <c r="G2869" i="4"/>
  <c r="F2869" i="4"/>
  <c r="E2869" i="4"/>
  <c r="D2869" i="4"/>
  <c r="B2869" i="4"/>
  <c r="G2868" i="4"/>
  <c r="F2868" i="4"/>
  <c r="E2868" i="4"/>
  <c r="D2868" i="4"/>
  <c r="B2868" i="4"/>
  <c r="G2867" i="4"/>
  <c r="F2867" i="4"/>
  <c r="E2867" i="4"/>
  <c r="D2867" i="4"/>
  <c r="B2867" i="4"/>
  <c r="G2866" i="4"/>
  <c r="F2866" i="4"/>
  <c r="E2866" i="4"/>
  <c r="D2866" i="4"/>
  <c r="B2866" i="4"/>
  <c r="G2865" i="4"/>
  <c r="F2865" i="4"/>
  <c r="E2865" i="4"/>
  <c r="D2865" i="4"/>
  <c r="B2865" i="4"/>
  <c r="G2864" i="4"/>
  <c r="F2864" i="4"/>
  <c r="E2864" i="4"/>
  <c r="D2864" i="4"/>
  <c r="B2864" i="4"/>
  <c r="G2863" i="4"/>
  <c r="F2863" i="4"/>
  <c r="E2863" i="4"/>
  <c r="D2863" i="4"/>
  <c r="B2863" i="4"/>
  <c r="G2862" i="4"/>
  <c r="F2862" i="4"/>
  <c r="E2862" i="4"/>
  <c r="D2862" i="4"/>
  <c r="B2862" i="4"/>
  <c r="G2861" i="4"/>
  <c r="F2861" i="4"/>
  <c r="E2861" i="4"/>
  <c r="D2861" i="4"/>
  <c r="B2861" i="4"/>
  <c r="G2860" i="4"/>
  <c r="F2860" i="4"/>
  <c r="E2860" i="4"/>
  <c r="D2860" i="4"/>
  <c r="B2860" i="4"/>
  <c r="G2859" i="4"/>
  <c r="F2859" i="4"/>
  <c r="E2859" i="4"/>
  <c r="D2859" i="4"/>
  <c r="B2859" i="4"/>
  <c r="G2858" i="4"/>
  <c r="F2858" i="4"/>
  <c r="E2858" i="4"/>
  <c r="D2858" i="4"/>
  <c r="B2858" i="4"/>
  <c r="G2857" i="4"/>
  <c r="F2857" i="4"/>
  <c r="E2857" i="4"/>
  <c r="D2857" i="4"/>
  <c r="B2857" i="4"/>
  <c r="G2856" i="4"/>
  <c r="F2856" i="4"/>
  <c r="E2856" i="4"/>
  <c r="D2856" i="4"/>
  <c r="B2856" i="4"/>
  <c r="G2855" i="4"/>
  <c r="F2855" i="4"/>
  <c r="E2855" i="4"/>
  <c r="D2855" i="4"/>
  <c r="B2855" i="4"/>
  <c r="G2854" i="4"/>
  <c r="F2854" i="4"/>
  <c r="E2854" i="4"/>
  <c r="D2854" i="4"/>
  <c r="B2854" i="4"/>
  <c r="G2853" i="4"/>
  <c r="F2853" i="4"/>
  <c r="E2853" i="4"/>
  <c r="D2853" i="4"/>
  <c r="B2853" i="4"/>
  <c r="G2852" i="4"/>
  <c r="F2852" i="4"/>
  <c r="E2852" i="4"/>
  <c r="D2852" i="4"/>
  <c r="B2852" i="4"/>
  <c r="G2851" i="4"/>
  <c r="F2851" i="4"/>
  <c r="E2851" i="4"/>
  <c r="D2851" i="4"/>
  <c r="B2851" i="4"/>
  <c r="G2850" i="4"/>
  <c r="F2850" i="4"/>
  <c r="E2850" i="4"/>
  <c r="D2850" i="4"/>
  <c r="B2850" i="4"/>
  <c r="G2849" i="4"/>
  <c r="F2849" i="4"/>
  <c r="E2849" i="4"/>
  <c r="D2849" i="4"/>
  <c r="B2849" i="4"/>
  <c r="G2848" i="4"/>
  <c r="F2848" i="4"/>
  <c r="E2848" i="4"/>
  <c r="D2848" i="4"/>
  <c r="B2848" i="4"/>
  <c r="G2847" i="4"/>
  <c r="F2847" i="4"/>
  <c r="E2847" i="4"/>
  <c r="D2847" i="4"/>
  <c r="B2847" i="4"/>
  <c r="G2846" i="4"/>
  <c r="F2846" i="4"/>
  <c r="E2846" i="4"/>
  <c r="D2846" i="4"/>
  <c r="B2846" i="4"/>
  <c r="G2845" i="4"/>
  <c r="F2845" i="4"/>
  <c r="E2845" i="4"/>
  <c r="D2845" i="4"/>
  <c r="B2845" i="4"/>
  <c r="G2844" i="4"/>
  <c r="F2844" i="4"/>
  <c r="E2844" i="4"/>
  <c r="D2844" i="4"/>
  <c r="B2844" i="4"/>
  <c r="G2843" i="4"/>
  <c r="F2843" i="4"/>
  <c r="E2843" i="4"/>
  <c r="D2843" i="4"/>
  <c r="B2843" i="4"/>
  <c r="G2842" i="4"/>
  <c r="F2842" i="4"/>
  <c r="E2842" i="4"/>
  <c r="D2842" i="4"/>
  <c r="B2842" i="4"/>
  <c r="G2841" i="4"/>
  <c r="F2841" i="4"/>
  <c r="E2841" i="4"/>
  <c r="D2841" i="4"/>
  <c r="B2841" i="4"/>
  <c r="G2840" i="4"/>
  <c r="F2840" i="4"/>
  <c r="E2840" i="4"/>
  <c r="D2840" i="4"/>
  <c r="B2840" i="4"/>
  <c r="G2839" i="4"/>
  <c r="F2839" i="4"/>
  <c r="E2839" i="4"/>
  <c r="D2839" i="4"/>
  <c r="B2839" i="4"/>
  <c r="G2838" i="4"/>
  <c r="F2838" i="4"/>
  <c r="E2838" i="4"/>
  <c r="D2838" i="4"/>
  <c r="B2838" i="4"/>
  <c r="G2837" i="4"/>
  <c r="F2837" i="4"/>
  <c r="E2837" i="4"/>
  <c r="D2837" i="4"/>
  <c r="B2837" i="4"/>
  <c r="G2836" i="4"/>
  <c r="F2836" i="4"/>
  <c r="E2836" i="4"/>
  <c r="D2836" i="4"/>
  <c r="B2836" i="4"/>
  <c r="G2835" i="4"/>
  <c r="F2835" i="4"/>
  <c r="E2835" i="4"/>
  <c r="D2835" i="4"/>
  <c r="B2835" i="4"/>
  <c r="G2834" i="4"/>
  <c r="F2834" i="4"/>
  <c r="E2834" i="4"/>
  <c r="D2834" i="4"/>
  <c r="B2834" i="4"/>
  <c r="G2833" i="4"/>
  <c r="F2833" i="4"/>
  <c r="E2833" i="4"/>
  <c r="D2833" i="4"/>
  <c r="B2833" i="4"/>
  <c r="G2832" i="4"/>
  <c r="F2832" i="4"/>
  <c r="E2832" i="4"/>
  <c r="D2832" i="4"/>
  <c r="B2832" i="4"/>
  <c r="G2831" i="4"/>
  <c r="F2831" i="4"/>
  <c r="E2831" i="4"/>
  <c r="D2831" i="4"/>
  <c r="B2831" i="4"/>
  <c r="G2830" i="4"/>
  <c r="F2830" i="4"/>
  <c r="E2830" i="4"/>
  <c r="D2830" i="4"/>
  <c r="B2830" i="4"/>
  <c r="G2829" i="4"/>
  <c r="F2829" i="4"/>
  <c r="E2829" i="4"/>
  <c r="D2829" i="4"/>
  <c r="B2829" i="4"/>
  <c r="G2828" i="4"/>
  <c r="F2828" i="4"/>
  <c r="E2828" i="4"/>
  <c r="D2828" i="4"/>
  <c r="B2828" i="4"/>
  <c r="G2827" i="4"/>
  <c r="F2827" i="4"/>
  <c r="E2827" i="4"/>
  <c r="D2827" i="4"/>
  <c r="B2827" i="4"/>
  <c r="G2826" i="4"/>
  <c r="F2826" i="4"/>
  <c r="E2826" i="4"/>
  <c r="D2826" i="4"/>
  <c r="B2826" i="4"/>
  <c r="G2825" i="4"/>
  <c r="F2825" i="4"/>
  <c r="E2825" i="4"/>
  <c r="D2825" i="4"/>
  <c r="B2825" i="4"/>
  <c r="G2824" i="4"/>
  <c r="F2824" i="4"/>
  <c r="E2824" i="4"/>
  <c r="D2824" i="4"/>
  <c r="B2824" i="4"/>
  <c r="G2823" i="4"/>
  <c r="F2823" i="4"/>
  <c r="E2823" i="4"/>
  <c r="D2823" i="4"/>
  <c r="B2823" i="4"/>
  <c r="G2822" i="4"/>
  <c r="F2822" i="4"/>
  <c r="E2822" i="4"/>
  <c r="D2822" i="4"/>
  <c r="B2822" i="4"/>
  <c r="G2821" i="4"/>
  <c r="F2821" i="4"/>
  <c r="E2821" i="4"/>
  <c r="D2821" i="4"/>
  <c r="B2821" i="4"/>
  <c r="G2820" i="4"/>
  <c r="F2820" i="4"/>
  <c r="E2820" i="4"/>
  <c r="D2820" i="4"/>
  <c r="B2820" i="4"/>
  <c r="G2819" i="4"/>
  <c r="F2819" i="4"/>
  <c r="E2819" i="4"/>
  <c r="D2819" i="4"/>
  <c r="B2819" i="4"/>
  <c r="G2818" i="4"/>
  <c r="F2818" i="4"/>
  <c r="E2818" i="4"/>
  <c r="D2818" i="4"/>
  <c r="B2818" i="4"/>
  <c r="G2817" i="4"/>
  <c r="F2817" i="4"/>
  <c r="E2817" i="4"/>
  <c r="D2817" i="4"/>
  <c r="B2817" i="4"/>
  <c r="G2816" i="4"/>
  <c r="F2816" i="4"/>
  <c r="E2816" i="4"/>
  <c r="D2816" i="4"/>
  <c r="B2816" i="4"/>
  <c r="G2815" i="4"/>
  <c r="F2815" i="4"/>
  <c r="E2815" i="4"/>
  <c r="D2815" i="4"/>
  <c r="B2815" i="4"/>
  <c r="G2814" i="4"/>
  <c r="F2814" i="4"/>
  <c r="E2814" i="4"/>
  <c r="D2814" i="4"/>
  <c r="B2814" i="4"/>
  <c r="G2813" i="4"/>
  <c r="F2813" i="4"/>
  <c r="E2813" i="4"/>
  <c r="D2813" i="4"/>
  <c r="B2813" i="4"/>
  <c r="G2812" i="4"/>
  <c r="F2812" i="4"/>
  <c r="E2812" i="4"/>
  <c r="D2812" i="4"/>
  <c r="B2812" i="4"/>
  <c r="G2811" i="4"/>
  <c r="F2811" i="4"/>
  <c r="E2811" i="4"/>
  <c r="D2811" i="4"/>
  <c r="B2811" i="4"/>
  <c r="G2810" i="4"/>
  <c r="F2810" i="4"/>
  <c r="E2810" i="4"/>
  <c r="D2810" i="4"/>
  <c r="B2810" i="4"/>
  <c r="G2809" i="4"/>
  <c r="F2809" i="4"/>
  <c r="E2809" i="4"/>
  <c r="D2809" i="4"/>
  <c r="B2809" i="4"/>
  <c r="G2808" i="4"/>
  <c r="F2808" i="4"/>
  <c r="E2808" i="4"/>
  <c r="D2808" i="4"/>
  <c r="B2808" i="4"/>
  <c r="G2807" i="4"/>
  <c r="F2807" i="4"/>
  <c r="E2807" i="4"/>
  <c r="D2807" i="4"/>
  <c r="B2807" i="4"/>
  <c r="G2806" i="4"/>
  <c r="F2806" i="4"/>
  <c r="E2806" i="4"/>
  <c r="D2806" i="4"/>
  <c r="B2806" i="4"/>
  <c r="G2805" i="4"/>
  <c r="F2805" i="4"/>
  <c r="E2805" i="4"/>
  <c r="D2805" i="4"/>
  <c r="B2805" i="4"/>
  <c r="G2804" i="4"/>
  <c r="F2804" i="4"/>
  <c r="E2804" i="4"/>
  <c r="D2804" i="4"/>
  <c r="B2804" i="4"/>
  <c r="G2803" i="4"/>
  <c r="F2803" i="4"/>
  <c r="E2803" i="4"/>
  <c r="D2803" i="4"/>
  <c r="B2803" i="4"/>
  <c r="G2802" i="4"/>
  <c r="F2802" i="4"/>
  <c r="E2802" i="4"/>
  <c r="D2802" i="4"/>
  <c r="B2802" i="4"/>
  <c r="G2801" i="4"/>
  <c r="F2801" i="4"/>
  <c r="E2801" i="4"/>
  <c r="D2801" i="4"/>
  <c r="B2801" i="4"/>
  <c r="G2800" i="4"/>
  <c r="F2800" i="4"/>
  <c r="E2800" i="4"/>
  <c r="D2800" i="4"/>
  <c r="B2800" i="4"/>
  <c r="G2799" i="4"/>
  <c r="F2799" i="4"/>
  <c r="E2799" i="4"/>
  <c r="D2799" i="4"/>
  <c r="B2799" i="4"/>
  <c r="G2798" i="4"/>
  <c r="F2798" i="4"/>
  <c r="E2798" i="4"/>
  <c r="D2798" i="4"/>
  <c r="B2798" i="4"/>
  <c r="G2797" i="4"/>
  <c r="F2797" i="4"/>
  <c r="E2797" i="4"/>
  <c r="D2797" i="4"/>
  <c r="B2797" i="4"/>
  <c r="G2796" i="4"/>
  <c r="F2796" i="4"/>
  <c r="E2796" i="4"/>
  <c r="D2796" i="4"/>
  <c r="B2796" i="4"/>
  <c r="G2795" i="4"/>
  <c r="F2795" i="4"/>
  <c r="E2795" i="4"/>
  <c r="D2795" i="4"/>
  <c r="B2795" i="4"/>
  <c r="G2794" i="4"/>
  <c r="F2794" i="4"/>
  <c r="E2794" i="4"/>
  <c r="D2794" i="4"/>
  <c r="B2794" i="4"/>
  <c r="G2793" i="4"/>
  <c r="F2793" i="4"/>
  <c r="E2793" i="4"/>
  <c r="D2793" i="4"/>
  <c r="B2793" i="4"/>
  <c r="G2792" i="4"/>
  <c r="F2792" i="4"/>
  <c r="E2792" i="4"/>
  <c r="D2792" i="4"/>
  <c r="B2792" i="4"/>
  <c r="G2791" i="4"/>
  <c r="F2791" i="4"/>
  <c r="E2791" i="4"/>
  <c r="D2791" i="4"/>
  <c r="B2791" i="4"/>
  <c r="G2790" i="4"/>
  <c r="F2790" i="4"/>
  <c r="E2790" i="4"/>
  <c r="D2790" i="4"/>
  <c r="B2790" i="4"/>
  <c r="G2789" i="4"/>
  <c r="F2789" i="4"/>
  <c r="E2789" i="4"/>
  <c r="D2789" i="4"/>
  <c r="B2789" i="4"/>
  <c r="G2788" i="4"/>
  <c r="F2788" i="4"/>
  <c r="E2788" i="4"/>
  <c r="D2788" i="4"/>
  <c r="B2788" i="4"/>
  <c r="G2787" i="4"/>
  <c r="F2787" i="4"/>
  <c r="E2787" i="4"/>
  <c r="D2787" i="4"/>
  <c r="B2787" i="4"/>
  <c r="G2786" i="4"/>
  <c r="F2786" i="4"/>
  <c r="E2786" i="4"/>
  <c r="D2786" i="4"/>
  <c r="B2786" i="4"/>
  <c r="G2785" i="4"/>
  <c r="F2785" i="4"/>
  <c r="E2785" i="4"/>
  <c r="D2785" i="4"/>
  <c r="B2785" i="4"/>
  <c r="G2784" i="4"/>
  <c r="F2784" i="4"/>
  <c r="E2784" i="4"/>
  <c r="D2784" i="4"/>
  <c r="B2784" i="4"/>
  <c r="G2783" i="4"/>
  <c r="F2783" i="4"/>
  <c r="E2783" i="4"/>
  <c r="D2783" i="4"/>
  <c r="B2783" i="4"/>
  <c r="G2782" i="4"/>
  <c r="F2782" i="4"/>
  <c r="E2782" i="4"/>
  <c r="D2782" i="4"/>
  <c r="B2782" i="4"/>
  <c r="G2781" i="4"/>
  <c r="F2781" i="4"/>
  <c r="E2781" i="4"/>
  <c r="D2781" i="4"/>
  <c r="B2781" i="4"/>
  <c r="G2780" i="4"/>
  <c r="F2780" i="4"/>
  <c r="E2780" i="4"/>
  <c r="D2780" i="4"/>
  <c r="B2780" i="4"/>
  <c r="G2779" i="4"/>
  <c r="F2779" i="4"/>
  <c r="E2779" i="4"/>
  <c r="D2779" i="4"/>
  <c r="B2779" i="4"/>
  <c r="G2778" i="4"/>
  <c r="F2778" i="4"/>
  <c r="E2778" i="4"/>
  <c r="D2778" i="4"/>
  <c r="B2778" i="4"/>
  <c r="G2777" i="4"/>
  <c r="F2777" i="4"/>
  <c r="E2777" i="4"/>
  <c r="D2777" i="4"/>
  <c r="B2777" i="4"/>
  <c r="G2776" i="4"/>
  <c r="F2776" i="4"/>
  <c r="E2776" i="4"/>
  <c r="D2776" i="4"/>
  <c r="B2776" i="4"/>
  <c r="G2775" i="4"/>
  <c r="F2775" i="4"/>
  <c r="E2775" i="4"/>
  <c r="D2775" i="4"/>
  <c r="B2775" i="4"/>
  <c r="G2774" i="4"/>
  <c r="F2774" i="4"/>
  <c r="E2774" i="4"/>
  <c r="D2774" i="4"/>
  <c r="B2774" i="4"/>
  <c r="G2773" i="4"/>
  <c r="F2773" i="4"/>
  <c r="E2773" i="4"/>
  <c r="D2773" i="4"/>
  <c r="B2773" i="4"/>
  <c r="G2772" i="4"/>
  <c r="F2772" i="4"/>
  <c r="E2772" i="4"/>
  <c r="D2772" i="4"/>
  <c r="B2772" i="4"/>
  <c r="G2771" i="4"/>
  <c r="F2771" i="4"/>
  <c r="E2771" i="4"/>
  <c r="D2771" i="4"/>
  <c r="B2771" i="4"/>
  <c r="G2770" i="4"/>
  <c r="F2770" i="4"/>
  <c r="E2770" i="4"/>
  <c r="D2770" i="4"/>
  <c r="B2770" i="4"/>
  <c r="G2769" i="4"/>
  <c r="F2769" i="4"/>
  <c r="E2769" i="4"/>
  <c r="D2769" i="4"/>
  <c r="B2769" i="4"/>
  <c r="G2768" i="4"/>
  <c r="F2768" i="4"/>
  <c r="E2768" i="4"/>
  <c r="D2768" i="4"/>
  <c r="B2768" i="4"/>
  <c r="G2767" i="4"/>
  <c r="F2767" i="4"/>
  <c r="E2767" i="4"/>
  <c r="D2767" i="4"/>
  <c r="B2767" i="4"/>
  <c r="G2766" i="4"/>
  <c r="F2766" i="4"/>
  <c r="E2766" i="4"/>
  <c r="D2766" i="4"/>
  <c r="B2766" i="4"/>
  <c r="G2765" i="4"/>
  <c r="F2765" i="4"/>
  <c r="E2765" i="4"/>
  <c r="D2765" i="4"/>
  <c r="B2765" i="4"/>
  <c r="G2764" i="4"/>
  <c r="F2764" i="4"/>
  <c r="E2764" i="4"/>
  <c r="D2764" i="4"/>
  <c r="B2764" i="4"/>
  <c r="G2763" i="4"/>
  <c r="F2763" i="4"/>
  <c r="E2763" i="4"/>
  <c r="D2763" i="4"/>
  <c r="B2763" i="4"/>
  <c r="G2762" i="4"/>
  <c r="F2762" i="4"/>
  <c r="E2762" i="4"/>
  <c r="D2762" i="4"/>
  <c r="B2762" i="4"/>
  <c r="G2761" i="4"/>
  <c r="F2761" i="4"/>
  <c r="E2761" i="4"/>
  <c r="D2761" i="4"/>
  <c r="B2761" i="4"/>
  <c r="G2760" i="4"/>
  <c r="F2760" i="4"/>
  <c r="E2760" i="4"/>
  <c r="D2760" i="4"/>
  <c r="B2760" i="4"/>
  <c r="G2759" i="4"/>
  <c r="F2759" i="4"/>
  <c r="E2759" i="4"/>
  <c r="D2759" i="4"/>
  <c r="B2759" i="4"/>
  <c r="G2758" i="4"/>
  <c r="F2758" i="4"/>
  <c r="E2758" i="4"/>
  <c r="D2758" i="4"/>
  <c r="B2758" i="4"/>
  <c r="G2757" i="4"/>
  <c r="F2757" i="4"/>
  <c r="E2757" i="4"/>
  <c r="D2757" i="4"/>
  <c r="B2757" i="4"/>
  <c r="G2756" i="4"/>
  <c r="F2756" i="4"/>
  <c r="E2756" i="4"/>
  <c r="D2756" i="4"/>
  <c r="B2756" i="4"/>
  <c r="G2755" i="4"/>
  <c r="F2755" i="4"/>
  <c r="E2755" i="4"/>
  <c r="D2755" i="4"/>
  <c r="B2755" i="4"/>
  <c r="G2754" i="4"/>
  <c r="F2754" i="4"/>
  <c r="E2754" i="4"/>
  <c r="D2754" i="4"/>
  <c r="B2754" i="4"/>
  <c r="G2753" i="4"/>
  <c r="F2753" i="4"/>
  <c r="E2753" i="4"/>
  <c r="D2753" i="4"/>
  <c r="B2753" i="4"/>
  <c r="G2752" i="4"/>
  <c r="F2752" i="4"/>
  <c r="E2752" i="4"/>
  <c r="D2752" i="4"/>
  <c r="B2752" i="4"/>
  <c r="G2751" i="4"/>
  <c r="F2751" i="4"/>
  <c r="E2751" i="4"/>
  <c r="D2751" i="4"/>
  <c r="B2751" i="4"/>
  <c r="G2750" i="4"/>
  <c r="F2750" i="4"/>
  <c r="E2750" i="4"/>
  <c r="D2750" i="4"/>
  <c r="B2750" i="4"/>
  <c r="G2749" i="4"/>
  <c r="F2749" i="4"/>
  <c r="E2749" i="4"/>
  <c r="D2749" i="4"/>
  <c r="B2749" i="4"/>
  <c r="G2748" i="4"/>
  <c r="F2748" i="4"/>
  <c r="E2748" i="4"/>
  <c r="D2748" i="4"/>
  <c r="B2748" i="4"/>
  <c r="G2747" i="4"/>
  <c r="F2747" i="4"/>
  <c r="E2747" i="4"/>
  <c r="D2747" i="4"/>
  <c r="B2747" i="4"/>
  <c r="G2746" i="4"/>
  <c r="F2746" i="4"/>
  <c r="E2746" i="4"/>
  <c r="D2746" i="4"/>
  <c r="B2746" i="4"/>
  <c r="G2745" i="4"/>
  <c r="F2745" i="4"/>
  <c r="E2745" i="4"/>
  <c r="D2745" i="4"/>
  <c r="B2745" i="4"/>
  <c r="G2744" i="4"/>
  <c r="F2744" i="4"/>
  <c r="E2744" i="4"/>
  <c r="D2744" i="4"/>
  <c r="B2744" i="4"/>
  <c r="G2743" i="4"/>
  <c r="F2743" i="4"/>
  <c r="E2743" i="4"/>
  <c r="D2743" i="4"/>
  <c r="B2743" i="4"/>
  <c r="G2742" i="4"/>
  <c r="F2742" i="4"/>
  <c r="E2742" i="4"/>
  <c r="D2742" i="4"/>
  <c r="B2742" i="4"/>
  <c r="G2741" i="4"/>
  <c r="F2741" i="4"/>
  <c r="E2741" i="4"/>
  <c r="D2741" i="4"/>
  <c r="B2741" i="4"/>
  <c r="G2740" i="4"/>
  <c r="F2740" i="4"/>
  <c r="E2740" i="4"/>
  <c r="D2740" i="4"/>
  <c r="B2740" i="4"/>
  <c r="G2739" i="4"/>
  <c r="F2739" i="4"/>
  <c r="E2739" i="4"/>
  <c r="D2739" i="4"/>
  <c r="B2739" i="4"/>
  <c r="G2738" i="4"/>
  <c r="F2738" i="4"/>
  <c r="E2738" i="4"/>
  <c r="D2738" i="4"/>
  <c r="B2738" i="4"/>
  <c r="G2737" i="4"/>
  <c r="F2737" i="4"/>
  <c r="E2737" i="4"/>
  <c r="D2737" i="4"/>
  <c r="B2737" i="4"/>
  <c r="G2736" i="4"/>
  <c r="F2736" i="4"/>
  <c r="E2736" i="4"/>
  <c r="D2736" i="4"/>
  <c r="B2736" i="4"/>
  <c r="G2735" i="4"/>
  <c r="F2735" i="4"/>
  <c r="E2735" i="4"/>
  <c r="D2735" i="4"/>
  <c r="B2735" i="4"/>
  <c r="G2734" i="4"/>
  <c r="F2734" i="4"/>
  <c r="E2734" i="4"/>
  <c r="D2734" i="4"/>
  <c r="B2734" i="4"/>
  <c r="G2733" i="4"/>
  <c r="F2733" i="4"/>
  <c r="E2733" i="4"/>
  <c r="D2733" i="4"/>
  <c r="B2733" i="4"/>
  <c r="G2732" i="4"/>
  <c r="F2732" i="4"/>
  <c r="E2732" i="4"/>
  <c r="D2732" i="4"/>
  <c r="B2732" i="4"/>
  <c r="G2731" i="4"/>
  <c r="F2731" i="4"/>
  <c r="E2731" i="4"/>
  <c r="D2731" i="4"/>
  <c r="B2731" i="4"/>
  <c r="G2730" i="4"/>
  <c r="F2730" i="4"/>
  <c r="E2730" i="4"/>
  <c r="D2730" i="4"/>
  <c r="B2730" i="4"/>
  <c r="G2729" i="4"/>
  <c r="F2729" i="4"/>
  <c r="E2729" i="4"/>
  <c r="D2729" i="4"/>
  <c r="B2729" i="4"/>
  <c r="G2728" i="4"/>
  <c r="F2728" i="4"/>
  <c r="E2728" i="4"/>
  <c r="D2728" i="4"/>
  <c r="B2728" i="4"/>
  <c r="G2727" i="4"/>
  <c r="F2727" i="4"/>
  <c r="E2727" i="4"/>
  <c r="D2727" i="4"/>
  <c r="B2727" i="4"/>
  <c r="G2726" i="4"/>
  <c r="F2726" i="4"/>
  <c r="E2726" i="4"/>
  <c r="D2726" i="4"/>
  <c r="B2726" i="4"/>
  <c r="G2725" i="4"/>
  <c r="F2725" i="4"/>
  <c r="E2725" i="4"/>
  <c r="D2725" i="4"/>
  <c r="B2725" i="4"/>
  <c r="G2724" i="4"/>
  <c r="F2724" i="4"/>
  <c r="E2724" i="4"/>
  <c r="D2724" i="4"/>
  <c r="B2724" i="4"/>
  <c r="G2723" i="4"/>
  <c r="F2723" i="4"/>
  <c r="E2723" i="4"/>
  <c r="D2723" i="4"/>
  <c r="B2723" i="4"/>
  <c r="G2722" i="4"/>
  <c r="F2722" i="4"/>
  <c r="E2722" i="4"/>
  <c r="D2722" i="4"/>
  <c r="B2722" i="4"/>
  <c r="G2721" i="4"/>
  <c r="F2721" i="4"/>
  <c r="E2721" i="4"/>
  <c r="D2721" i="4"/>
  <c r="B2721" i="4"/>
  <c r="G2720" i="4"/>
  <c r="F2720" i="4"/>
  <c r="E2720" i="4"/>
  <c r="D2720" i="4"/>
  <c r="B2720" i="4"/>
  <c r="G2719" i="4"/>
  <c r="F2719" i="4"/>
  <c r="E2719" i="4"/>
  <c r="D2719" i="4"/>
  <c r="B2719" i="4"/>
  <c r="G2718" i="4"/>
  <c r="F2718" i="4"/>
  <c r="E2718" i="4"/>
  <c r="D2718" i="4"/>
  <c r="B2718" i="4"/>
  <c r="G2717" i="4"/>
  <c r="F2717" i="4"/>
  <c r="E2717" i="4"/>
  <c r="D2717" i="4"/>
  <c r="B2717" i="4"/>
  <c r="G2716" i="4"/>
  <c r="F2716" i="4"/>
  <c r="E2716" i="4"/>
  <c r="D2716" i="4"/>
  <c r="B2716" i="4"/>
  <c r="G2715" i="4"/>
  <c r="F2715" i="4"/>
  <c r="E2715" i="4"/>
  <c r="D2715" i="4"/>
  <c r="B2715" i="4"/>
  <c r="G2714" i="4"/>
  <c r="F2714" i="4"/>
  <c r="E2714" i="4"/>
  <c r="D2714" i="4"/>
  <c r="B2714" i="4"/>
  <c r="G2713" i="4"/>
  <c r="F2713" i="4"/>
  <c r="E2713" i="4"/>
  <c r="D2713" i="4"/>
  <c r="B2713" i="4"/>
  <c r="G2712" i="4"/>
  <c r="F2712" i="4"/>
  <c r="E2712" i="4"/>
  <c r="D2712" i="4"/>
  <c r="B2712" i="4"/>
  <c r="G2711" i="4"/>
  <c r="F2711" i="4"/>
  <c r="E2711" i="4"/>
  <c r="D2711" i="4"/>
  <c r="B2711" i="4"/>
  <c r="G2710" i="4"/>
  <c r="F2710" i="4"/>
  <c r="E2710" i="4"/>
  <c r="D2710" i="4"/>
  <c r="B2710" i="4"/>
  <c r="G2709" i="4"/>
  <c r="F2709" i="4"/>
  <c r="E2709" i="4"/>
  <c r="D2709" i="4"/>
  <c r="B2709" i="4"/>
  <c r="G2708" i="4"/>
  <c r="F2708" i="4"/>
  <c r="E2708" i="4"/>
  <c r="D2708" i="4"/>
  <c r="B2708" i="4"/>
  <c r="G2707" i="4"/>
  <c r="F2707" i="4"/>
  <c r="E2707" i="4"/>
  <c r="D2707" i="4"/>
  <c r="B2707" i="4"/>
  <c r="G2706" i="4"/>
  <c r="F2706" i="4"/>
  <c r="E2706" i="4"/>
  <c r="D2706" i="4"/>
  <c r="B2706" i="4"/>
  <c r="G2705" i="4"/>
  <c r="F2705" i="4"/>
  <c r="E2705" i="4"/>
  <c r="D2705" i="4"/>
  <c r="B2705" i="4"/>
  <c r="G2704" i="4"/>
  <c r="F2704" i="4"/>
  <c r="E2704" i="4"/>
  <c r="D2704" i="4"/>
  <c r="B2704" i="4"/>
  <c r="G2703" i="4"/>
  <c r="F2703" i="4"/>
  <c r="E2703" i="4"/>
  <c r="D2703" i="4"/>
  <c r="B2703" i="4"/>
  <c r="G2702" i="4"/>
  <c r="F2702" i="4"/>
  <c r="E2702" i="4"/>
  <c r="D2702" i="4"/>
  <c r="B2702" i="4"/>
  <c r="G2701" i="4"/>
  <c r="F2701" i="4"/>
  <c r="E2701" i="4"/>
  <c r="D2701" i="4"/>
  <c r="B2701" i="4"/>
  <c r="G2700" i="4"/>
  <c r="F2700" i="4"/>
  <c r="E2700" i="4"/>
  <c r="D2700" i="4"/>
  <c r="B2700" i="4"/>
  <c r="G2699" i="4"/>
  <c r="F2699" i="4"/>
  <c r="E2699" i="4"/>
  <c r="D2699" i="4"/>
  <c r="B2699" i="4"/>
  <c r="G2698" i="4"/>
  <c r="F2698" i="4"/>
  <c r="E2698" i="4"/>
  <c r="D2698" i="4"/>
  <c r="B2698" i="4"/>
  <c r="G2697" i="4"/>
  <c r="F2697" i="4"/>
  <c r="E2697" i="4"/>
  <c r="D2697" i="4"/>
  <c r="B2697" i="4"/>
  <c r="G2696" i="4"/>
  <c r="F2696" i="4"/>
  <c r="E2696" i="4"/>
  <c r="D2696" i="4"/>
  <c r="B2696" i="4"/>
  <c r="G2695" i="4"/>
  <c r="F2695" i="4"/>
  <c r="E2695" i="4"/>
  <c r="D2695" i="4"/>
  <c r="B2695" i="4"/>
  <c r="G2694" i="4"/>
  <c r="F2694" i="4"/>
  <c r="E2694" i="4"/>
  <c r="D2694" i="4"/>
  <c r="B2694" i="4"/>
  <c r="G2693" i="4"/>
  <c r="F2693" i="4"/>
  <c r="E2693" i="4"/>
  <c r="D2693" i="4"/>
  <c r="B2693" i="4"/>
  <c r="G2692" i="4"/>
  <c r="F2692" i="4"/>
  <c r="E2692" i="4"/>
  <c r="D2692" i="4"/>
  <c r="B2692" i="4"/>
  <c r="G2691" i="4"/>
  <c r="F2691" i="4"/>
  <c r="E2691" i="4"/>
  <c r="D2691" i="4"/>
  <c r="B2691" i="4"/>
  <c r="G2690" i="4"/>
  <c r="F2690" i="4"/>
  <c r="E2690" i="4"/>
  <c r="D2690" i="4"/>
  <c r="B2690" i="4"/>
  <c r="G2689" i="4"/>
  <c r="F2689" i="4"/>
  <c r="E2689" i="4"/>
  <c r="D2689" i="4"/>
  <c r="B2689" i="4"/>
  <c r="G2688" i="4"/>
  <c r="F2688" i="4"/>
  <c r="E2688" i="4"/>
  <c r="D2688" i="4"/>
  <c r="B2688" i="4"/>
  <c r="G2687" i="4"/>
  <c r="F2687" i="4"/>
  <c r="E2687" i="4"/>
  <c r="D2687" i="4"/>
  <c r="B2687" i="4"/>
  <c r="G2686" i="4"/>
  <c r="F2686" i="4"/>
  <c r="E2686" i="4"/>
  <c r="D2686" i="4"/>
  <c r="B2686" i="4"/>
  <c r="G2685" i="4"/>
  <c r="F2685" i="4"/>
  <c r="E2685" i="4"/>
  <c r="D2685" i="4"/>
  <c r="B2685" i="4"/>
  <c r="G2684" i="4"/>
  <c r="F2684" i="4"/>
  <c r="E2684" i="4"/>
  <c r="D2684" i="4"/>
  <c r="B2684" i="4"/>
  <c r="G2683" i="4"/>
  <c r="F2683" i="4"/>
  <c r="E2683" i="4"/>
  <c r="D2683" i="4"/>
  <c r="B2683" i="4"/>
  <c r="G2682" i="4"/>
  <c r="F2682" i="4"/>
  <c r="E2682" i="4"/>
  <c r="D2682" i="4"/>
  <c r="B2682" i="4"/>
  <c r="G2681" i="4"/>
  <c r="F2681" i="4"/>
  <c r="E2681" i="4"/>
  <c r="D2681" i="4"/>
  <c r="B2681" i="4"/>
  <c r="G2680" i="4"/>
  <c r="F2680" i="4"/>
  <c r="E2680" i="4"/>
  <c r="D2680" i="4"/>
  <c r="B2680" i="4"/>
  <c r="G2679" i="4"/>
  <c r="F2679" i="4"/>
  <c r="E2679" i="4"/>
  <c r="D2679" i="4"/>
  <c r="B2679" i="4"/>
  <c r="G2678" i="4"/>
  <c r="F2678" i="4"/>
  <c r="E2678" i="4"/>
  <c r="D2678" i="4"/>
  <c r="B2678" i="4"/>
  <c r="G2677" i="4"/>
  <c r="F2677" i="4"/>
  <c r="E2677" i="4"/>
  <c r="D2677" i="4"/>
  <c r="B2677" i="4"/>
  <c r="G2676" i="4"/>
  <c r="F2676" i="4"/>
  <c r="E2676" i="4"/>
  <c r="D2676" i="4"/>
  <c r="B2676" i="4"/>
  <c r="G2675" i="4"/>
  <c r="F2675" i="4"/>
  <c r="E2675" i="4"/>
  <c r="D2675" i="4"/>
  <c r="B2675" i="4"/>
  <c r="G2674" i="4"/>
  <c r="F2674" i="4"/>
  <c r="E2674" i="4"/>
  <c r="D2674" i="4"/>
  <c r="B2674" i="4"/>
  <c r="G2673" i="4"/>
  <c r="F2673" i="4"/>
  <c r="E2673" i="4"/>
  <c r="D2673" i="4"/>
  <c r="B2673" i="4"/>
  <c r="G2672" i="4"/>
  <c r="F2672" i="4"/>
  <c r="E2672" i="4"/>
  <c r="D2672" i="4"/>
  <c r="B2672" i="4"/>
  <c r="G2671" i="4"/>
  <c r="F2671" i="4"/>
  <c r="E2671" i="4"/>
  <c r="D2671" i="4"/>
  <c r="B2671" i="4"/>
  <c r="G2670" i="4"/>
  <c r="F2670" i="4"/>
  <c r="E2670" i="4"/>
  <c r="D2670" i="4"/>
  <c r="B2670" i="4"/>
  <c r="G2669" i="4"/>
  <c r="F2669" i="4"/>
  <c r="E2669" i="4"/>
  <c r="D2669" i="4"/>
  <c r="B2669" i="4"/>
  <c r="G2668" i="4"/>
  <c r="F2668" i="4"/>
  <c r="E2668" i="4"/>
  <c r="D2668" i="4"/>
  <c r="B2668" i="4"/>
  <c r="G2667" i="4"/>
  <c r="F2667" i="4"/>
  <c r="E2667" i="4"/>
  <c r="D2667" i="4"/>
  <c r="B2667" i="4"/>
  <c r="G2666" i="4"/>
  <c r="F2666" i="4"/>
  <c r="E2666" i="4"/>
  <c r="D2666" i="4"/>
  <c r="B2666" i="4"/>
  <c r="G2665" i="4"/>
  <c r="F2665" i="4"/>
  <c r="E2665" i="4"/>
  <c r="D2665" i="4"/>
  <c r="B2665" i="4"/>
  <c r="G2664" i="4"/>
  <c r="F2664" i="4"/>
  <c r="E2664" i="4"/>
  <c r="D2664" i="4"/>
  <c r="B2664" i="4"/>
  <c r="G2663" i="4"/>
  <c r="F2663" i="4"/>
  <c r="E2663" i="4"/>
  <c r="D2663" i="4"/>
  <c r="B2663" i="4"/>
  <c r="G2662" i="4"/>
  <c r="F2662" i="4"/>
  <c r="E2662" i="4"/>
  <c r="D2662" i="4"/>
  <c r="B2662" i="4"/>
  <c r="G2661" i="4"/>
  <c r="F2661" i="4"/>
  <c r="E2661" i="4"/>
  <c r="D2661" i="4"/>
  <c r="B2661" i="4"/>
  <c r="G2660" i="4"/>
  <c r="F2660" i="4"/>
  <c r="E2660" i="4"/>
  <c r="D2660" i="4"/>
  <c r="B2660" i="4"/>
  <c r="G2659" i="4"/>
  <c r="F2659" i="4"/>
  <c r="E2659" i="4"/>
  <c r="D2659" i="4"/>
  <c r="B2659" i="4"/>
  <c r="G2658" i="4"/>
  <c r="F2658" i="4"/>
  <c r="E2658" i="4"/>
  <c r="D2658" i="4"/>
  <c r="B2658" i="4"/>
  <c r="G2657" i="4"/>
  <c r="F2657" i="4"/>
  <c r="E2657" i="4"/>
  <c r="D2657" i="4"/>
  <c r="B2657" i="4"/>
  <c r="G2656" i="4"/>
  <c r="F2656" i="4"/>
  <c r="E2656" i="4"/>
  <c r="D2656" i="4"/>
  <c r="B2656" i="4"/>
  <c r="G2655" i="4"/>
  <c r="F2655" i="4"/>
  <c r="E2655" i="4"/>
  <c r="D2655" i="4"/>
  <c r="B2655" i="4"/>
  <c r="G2654" i="4"/>
  <c r="F2654" i="4"/>
  <c r="E2654" i="4"/>
  <c r="D2654" i="4"/>
  <c r="B2654" i="4"/>
  <c r="G2653" i="4"/>
  <c r="F2653" i="4"/>
  <c r="E2653" i="4"/>
  <c r="D2653" i="4"/>
  <c r="B2653" i="4"/>
  <c r="G2652" i="4"/>
  <c r="F2652" i="4"/>
  <c r="E2652" i="4"/>
  <c r="D2652" i="4"/>
  <c r="B2652" i="4"/>
  <c r="G2651" i="4"/>
  <c r="F2651" i="4"/>
  <c r="E2651" i="4"/>
  <c r="D2651" i="4"/>
  <c r="B2651" i="4"/>
  <c r="G2650" i="4"/>
  <c r="F2650" i="4"/>
  <c r="E2650" i="4"/>
  <c r="D2650" i="4"/>
  <c r="B2650" i="4"/>
  <c r="G2649" i="4"/>
  <c r="F2649" i="4"/>
  <c r="E2649" i="4"/>
  <c r="D2649" i="4"/>
  <c r="B2649" i="4"/>
  <c r="G2648" i="4"/>
  <c r="F2648" i="4"/>
  <c r="E2648" i="4"/>
  <c r="D2648" i="4"/>
  <c r="B2648" i="4"/>
  <c r="G2647" i="4"/>
  <c r="F2647" i="4"/>
  <c r="E2647" i="4"/>
  <c r="D2647" i="4"/>
  <c r="B2647" i="4"/>
  <c r="G2646" i="4"/>
  <c r="F2646" i="4"/>
  <c r="E2646" i="4"/>
  <c r="D2646" i="4"/>
  <c r="B2646" i="4"/>
  <c r="G2645" i="4"/>
  <c r="F2645" i="4"/>
  <c r="E2645" i="4"/>
  <c r="D2645" i="4"/>
  <c r="B2645" i="4"/>
  <c r="G2644" i="4"/>
  <c r="F2644" i="4"/>
  <c r="E2644" i="4"/>
  <c r="D2644" i="4"/>
  <c r="B2644" i="4"/>
  <c r="G2643" i="4"/>
  <c r="F2643" i="4"/>
  <c r="E2643" i="4"/>
  <c r="D2643" i="4"/>
  <c r="B2643" i="4"/>
  <c r="G2642" i="4"/>
  <c r="F2642" i="4"/>
  <c r="E2642" i="4"/>
  <c r="D2642" i="4"/>
  <c r="B2642" i="4"/>
  <c r="G2641" i="4"/>
  <c r="F2641" i="4"/>
  <c r="E2641" i="4"/>
  <c r="D2641" i="4"/>
  <c r="B2641" i="4"/>
  <c r="G2640" i="4"/>
  <c r="F2640" i="4"/>
  <c r="E2640" i="4"/>
  <c r="D2640" i="4"/>
  <c r="B2640" i="4"/>
  <c r="G2639" i="4"/>
  <c r="F2639" i="4"/>
  <c r="E2639" i="4"/>
  <c r="D2639" i="4"/>
  <c r="B2639" i="4"/>
  <c r="G2638" i="4"/>
  <c r="F2638" i="4"/>
  <c r="E2638" i="4"/>
  <c r="D2638" i="4"/>
  <c r="B2638" i="4"/>
  <c r="G2637" i="4"/>
  <c r="F2637" i="4"/>
  <c r="E2637" i="4"/>
  <c r="D2637" i="4"/>
  <c r="B2637" i="4"/>
  <c r="G2636" i="4"/>
  <c r="F2636" i="4"/>
  <c r="E2636" i="4"/>
  <c r="D2636" i="4"/>
  <c r="B2636" i="4"/>
  <c r="G2635" i="4"/>
  <c r="F2635" i="4"/>
  <c r="E2635" i="4"/>
  <c r="D2635" i="4"/>
  <c r="B2635" i="4"/>
  <c r="G2634" i="4"/>
  <c r="F2634" i="4"/>
  <c r="E2634" i="4"/>
  <c r="D2634" i="4"/>
  <c r="B2634" i="4"/>
  <c r="G2633" i="4"/>
  <c r="F2633" i="4"/>
  <c r="E2633" i="4"/>
  <c r="D2633" i="4"/>
  <c r="B2633" i="4"/>
  <c r="G2632" i="4"/>
  <c r="F2632" i="4"/>
  <c r="E2632" i="4"/>
  <c r="D2632" i="4"/>
  <c r="B2632" i="4"/>
  <c r="G2631" i="4"/>
  <c r="F2631" i="4"/>
  <c r="E2631" i="4"/>
  <c r="D2631" i="4"/>
  <c r="B2631" i="4"/>
  <c r="G2630" i="4"/>
  <c r="F2630" i="4"/>
  <c r="E2630" i="4"/>
  <c r="D2630" i="4"/>
  <c r="B2630" i="4"/>
  <c r="G2629" i="4"/>
  <c r="F2629" i="4"/>
  <c r="E2629" i="4"/>
  <c r="D2629" i="4"/>
  <c r="B2629" i="4"/>
  <c r="G2628" i="4"/>
  <c r="F2628" i="4"/>
  <c r="E2628" i="4"/>
  <c r="D2628" i="4"/>
  <c r="B2628" i="4"/>
  <c r="G2627" i="4"/>
  <c r="F2627" i="4"/>
  <c r="E2627" i="4"/>
  <c r="D2627" i="4"/>
  <c r="B2627" i="4"/>
  <c r="G2626" i="4"/>
  <c r="F2626" i="4"/>
  <c r="E2626" i="4"/>
  <c r="D2626" i="4"/>
  <c r="B2626" i="4"/>
  <c r="G2625" i="4"/>
  <c r="F2625" i="4"/>
  <c r="E2625" i="4"/>
  <c r="D2625" i="4"/>
  <c r="B2625" i="4"/>
  <c r="G2624" i="4"/>
  <c r="F2624" i="4"/>
  <c r="E2624" i="4"/>
  <c r="D2624" i="4"/>
  <c r="B2624" i="4"/>
  <c r="G2623" i="4"/>
  <c r="F2623" i="4"/>
  <c r="E2623" i="4"/>
  <c r="D2623" i="4"/>
  <c r="B2623" i="4"/>
  <c r="G2622" i="4"/>
  <c r="F2622" i="4"/>
  <c r="E2622" i="4"/>
  <c r="D2622" i="4"/>
  <c r="B2622" i="4"/>
  <c r="G2621" i="4"/>
  <c r="F2621" i="4"/>
  <c r="E2621" i="4"/>
  <c r="D2621" i="4"/>
  <c r="B2621" i="4"/>
  <c r="G2620" i="4"/>
  <c r="F2620" i="4"/>
  <c r="E2620" i="4"/>
  <c r="D2620" i="4"/>
  <c r="B2620" i="4"/>
  <c r="G2619" i="4"/>
  <c r="F2619" i="4"/>
  <c r="E2619" i="4"/>
  <c r="D2619" i="4"/>
  <c r="B2619" i="4"/>
  <c r="G2618" i="4"/>
  <c r="F2618" i="4"/>
  <c r="E2618" i="4"/>
  <c r="D2618" i="4"/>
  <c r="B2618" i="4"/>
  <c r="G2617" i="4"/>
  <c r="F2617" i="4"/>
  <c r="E2617" i="4"/>
  <c r="D2617" i="4"/>
  <c r="B2617" i="4"/>
  <c r="G2616" i="4"/>
  <c r="F2616" i="4"/>
  <c r="E2616" i="4"/>
  <c r="D2616" i="4"/>
  <c r="B2616" i="4"/>
  <c r="G2615" i="4"/>
  <c r="F2615" i="4"/>
  <c r="E2615" i="4"/>
  <c r="D2615" i="4"/>
  <c r="B2615" i="4"/>
  <c r="G2614" i="4"/>
  <c r="F2614" i="4"/>
  <c r="E2614" i="4"/>
  <c r="D2614" i="4"/>
  <c r="B2614" i="4"/>
  <c r="G2613" i="4"/>
  <c r="F2613" i="4"/>
  <c r="E2613" i="4"/>
  <c r="D2613" i="4"/>
  <c r="B2613" i="4"/>
  <c r="G2612" i="4"/>
  <c r="F2612" i="4"/>
  <c r="E2612" i="4"/>
  <c r="D2612" i="4"/>
  <c r="B2612" i="4"/>
  <c r="G2611" i="4"/>
  <c r="F2611" i="4"/>
  <c r="E2611" i="4"/>
  <c r="D2611" i="4"/>
  <c r="B2611" i="4"/>
  <c r="G2610" i="4"/>
  <c r="F2610" i="4"/>
  <c r="E2610" i="4"/>
  <c r="D2610" i="4"/>
  <c r="B2610" i="4"/>
  <c r="G2609" i="4"/>
  <c r="F2609" i="4"/>
  <c r="E2609" i="4"/>
  <c r="D2609" i="4"/>
  <c r="B2609" i="4"/>
  <c r="G2608" i="4"/>
  <c r="F2608" i="4"/>
  <c r="E2608" i="4"/>
  <c r="D2608" i="4"/>
  <c r="B2608" i="4"/>
  <c r="G2607" i="4"/>
  <c r="F2607" i="4"/>
  <c r="E2607" i="4"/>
  <c r="D2607" i="4"/>
  <c r="B2607" i="4"/>
  <c r="G2606" i="4"/>
  <c r="F2606" i="4"/>
  <c r="E2606" i="4"/>
  <c r="D2606" i="4"/>
  <c r="B2606" i="4"/>
  <c r="G2605" i="4"/>
  <c r="F2605" i="4"/>
  <c r="E2605" i="4"/>
  <c r="D2605" i="4"/>
  <c r="B2605" i="4"/>
  <c r="G2604" i="4"/>
  <c r="F2604" i="4"/>
  <c r="E2604" i="4"/>
  <c r="D2604" i="4"/>
  <c r="B2604" i="4"/>
  <c r="G2603" i="4"/>
  <c r="F2603" i="4"/>
  <c r="E2603" i="4"/>
  <c r="D2603" i="4"/>
  <c r="B2603" i="4"/>
  <c r="G2602" i="4"/>
  <c r="F2602" i="4"/>
  <c r="E2602" i="4"/>
  <c r="D2602" i="4"/>
  <c r="B2602" i="4"/>
  <c r="G2601" i="4"/>
  <c r="F2601" i="4"/>
  <c r="E2601" i="4"/>
  <c r="D2601" i="4"/>
  <c r="B2601" i="4"/>
  <c r="G2600" i="4"/>
  <c r="F2600" i="4"/>
  <c r="E2600" i="4"/>
  <c r="D2600" i="4"/>
  <c r="B2600" i="4"/>
  <c r="G2599" i="4"/>
  <c r="F2599" i="4"/>
  <c r="E2599" i="4"/>
  <c r="D2599" i="4"/>
  <c r="B2599" i="4"/>
  <c r="G2598" i="4"/>
  <c r="F2598" i="4"/>
  <c r="E2598" i="4"/>
  <c r="D2598" i="4"/>
  <c r="B2598" i="4"/>
  <c r="G2597" i="4"/>
  <c r="F2597" i="4"/>
  <c r="E2597" i="4"/>
  <c r="D2597" i="4"/>
  <c r="B2597" i="4"/>
  <c r="G2596" i="4"/>
  <c r="F2596" i="4"/>
  <c r="E2596" i="4"/>
  <c r="D2596" i="4"/>
  <c r="B2596" i="4"/>
  <c r="G2595" i="4"/>
  <c r="F2595" i="4"/>
  <c r="E2595" i="4"/>
  <c r="D2595" i="4"/>
  <c r="B2595" i="4"/>
  <c r="G2594" i="4"/>
  <c r="F2594" i="4"/>
  <c r="E2594" i="4"/>
  <c r="D2594" i="4"/>
  <c r="B2594" i="4"/>
  <c r="G2593" i="4"/>
  <c r="F2593" i="4"/>
  <c r="E2593" i="4"/>
  <c r="D2593" i="4"/>
  <c r="B2593" i="4"/>
  <c r="G2592" i="4"/>
  <c r="F2592" i="4"/>
  <c r="E2592" i="4"/>
  <c r="D2592" i="4"/>
  <c r="B2592" i="4"/>
  <c r="G2591" i="4"/>
  <c r="F2591" i="4"/>
  <c r="E2591" i="4"/>
  <c r="D2591" i="4"/>
  <c r="B2591" i="4"/>
  <c r="G2590" i="4"/>
  <c r="F2590" i="4"/>
  <c r="E2590" i="4"/>
  <c r="D2590" i="4"/>
  <c r="B2590" i="4"/>
  <c r="G2589" i="4"/>
  <c r="F2589" i="4"/>
  <c r="E2589" i="4"/>
  <c r="D2589" i="4"/>
  <c r="B2589" i="4"/>
  <c r="G2588" i="4"/>
  <c r="F2588" i="4"/>
  <c r="E2588" i="4"/>
  <c r="D2588" i="4"/>
  <c r="B2588" i="4"/>
  <c r="G2587" i="4"/>
  <c r="F2587" i="4"/>
  <c r="E2587" i="4"/>
  <c r="D2587" i="4"/>
  <c r="B2587" i="4"/>
  <c r="G2586" i="4"/>
  <c r="F2586" i="4"/>
  <c r="E2586" i="4"/>
  <c r="D2586" i="4"/>
  <c r="B2586" i="4"/>
  <c r="G2585" i="4"/>
  <c r="F2585" i="4"/>
  <c r="E2585" i="4"/>
  <c r="D2585" i="4"/>
  <c r="B2585" i="4"/>
  <c r="G2584" i="4"/>
  <c r="F2584" i="4"/>
  <c r="E2584" i="4"/>
  <c r="D2584" i="4"/>
  <c r="B2584" i="4"/>
  <c r="G2583" i="4"/>
  <c r="F2583" i="4"/>
  <c r="E2583" i="4"/>
  <c r="D2583" i="4"/>
  <c r="B2583" i="4"/>
  <c r="G2582" i="4"/>
  <c r="F2582" i="4"/>
  <c r="E2582" i="4"/>
  <c r="D2582" i="4"/>
  <c r="B2582" i="4"/>
  <c r="G2581" i="4"/>
  <c r="F2581" i="4"/>
  <c r="E2581" i="4"/>
  <c r="D2581" i="4"/>
  <c r="B2581" i="4"/>
  <c r="G2580" i="4"/>
  <c r="F2580" i="4"/>
  <c r="E2580" i="4"/>
  <c r="D2580" i="4"/>
  <c r="B2580" i="4"/>
  <c r="G2579" i="4"/>
  <c r="F2579" i="4"/>
  <c r="E2579" i="4"/>
  <c r="D2579" i="4"/>
  <c r="B2579" i="4"/>
  <c r="G2578" i="4"/>
  <c r="F2578" i="4"/>
  <c r="E2578" i="4"/>
  <c r="D2578" i="4"/>
  <c r="B2578" i="4"/>
  <c r="G2577" i="4"/>
  <c r="F2577" i="4"/>
  <c r="E2577" i="4"/>
  <c r="D2577" i="4"/>
  <c r="B2577" i="4"/>
  <c r="G2576" i="4"/>
  <c r="F2576" i="4"/>
  <c r="E2576" i="4"/>
  <c r="D2576" i="4"/>
  <c r="B2576" i="4"/>
  <c r="G2575" i="4"/>
  <c r="F2575" i="4"/>
  <c r="E2575" i="4"/>
  <c r="D2575" i="4"/>
  <c r="B2575" i="4"/>
  <c r="G2574" i="4"/>
  <c r="F2574" i="4"/>
  <c r="E2574" i="4"/>
  <c r="D2574" i="4"/>
  <c r="B2574" i="4"/>
  <c r="G2573" i="4"/>
  <c r="F2573" i="4"/>
  <c r="E2573" i="4"/>
  <c r="D2573" i="4"/>
  <c r="B2573" i="4"/>
  <c r="G2572" i="4"/>
  <c r="F2572" i="4"/>
  <c r="E2572" i="4"/>
  <c r="D2572" i="4"/>
  <c r="B2572" i="4"/>
  <c r="G2571" i="4"/>
  <c r="F2571" i="4"/>
  <c r="E2571" i="4"/>
  <c r="D2571" i="4"/>
  <c r="B2571" i="4"/>
  <c r="G2570" i="4"/>
  <c r="F2570" i="4"/>
  <c r="E2570" i="4"/>
  <c r="D2570" i="4"/>
  <c r="B2570" i="4"/>
  <c r="G2569" i="4"/>
  <c r="F2569" i="4"/>
  <c r="E2569" i="4"/>
  <c r="D2569" i="4"/>
  <c r="B2569" i="4"/>
  <c r="G2568" i="4"/>
  <c r="F2568" i="4"/>
  <c r="E2568" i="4"/>
  <c r="D2568" i="4"/>
  <c r="B2568" i="4"/>
  <c r="G2567" i="4"/>
  <c r="F2567" i="4"/>
  <c r="E2567" i="4"/>
  <c r="D2567" i="4"/>
  <c r="B2567" i="4"/>
  <c r="G2566" i="4"/>
  <c r="F2566" i="4"/>
  <c r="E2566" i="4"/>
  <c r="D2566" i="4"/>
  <c r="B2566" i="4"/>
  <c r="G2565" i="4"/>
  <c r="F2565" i="4"/>
  <c r="E2565" i="4"/>
  <c r="D2565" i="4"/>
  <c r="B2565" i="4"/>
  <c r="G2564" i="4"/>
  <c r="F2564" i="4"/>
  <c r="E2564" i="4"/>
  <c r="D2564" i="4"/>
  <c r="B2564" i="4"/>
  <c r="G2563" i="4"/>
  <c r="F2563" i="4"/>
  <c r="E2563" i="4"/>
  <c r="D2563" i="4"/>
  <c r="B2563" i="4"/>
  <c r="G2562" i="4"/>
  <c r="F2562" i="4"/>
  <c r="E2562" i="4"/>
  <c r="D2562" i="4"/>
  <c r="B2562" i="4"/>
  <c r="G2561" i="4"/>
  <c r="F2561" i="4"/>
  <c r="E2561" i="4"/>
  <c r="D2561" i="4"/>
  <c r="B2561" i="4"/>
  <c r="G2560" i="4"/>
  <c r="F2560" i="4"/>
  <c r="E2560" i="4"/>
  <c r="D2560" i="4"/>
  <c r="B2560" i="4"/>
  <c r="G2559" i="4"/>
  <c r="F2559" i="4"/>
  <c r="E2559" i="4"/>
  <c r="D2559" i="4"/>
  <c r="B2559" i="4"/>
  <c r="G2558" i="4"/>
  <c r="F2558" i="4"/>
  <c r="E2558" i="4"/>
  <c r="D2558" i="4"/>
  <c r="B2558" i="4"/>
  <c r="G2557" i="4"/>
  <c r="F2557" i="4"/>
  <c r="E2557" i="4"/>
  <c r="D2557" i="4"/>
  <c r="B2557" i="4"/>
  <c r="G2556" i="4"/>
  <c r="F2556" i="4"/>
  <c r="E2556" i="4"/>
  <c r="D2556" i="4"/>
  <c r="B2556" i="4"/>
  <c r="G2555" i="4"/>
  <c r="F2555" i="4"/>
  <c r="E2555" i="4"/>
  <c r="D2555" i="4"/>
  <c r="B2555" i="4"/>
  <c r="G2554" i="4"/>
  <c r="F2554" i="4"/>
  <c r="E2554" i="4"/>
  <c r="D2554" i="4"/>
  <c r="B2554" i="4"/>
  <c r="G2553" i="4"/>
  <c r="F2553" i="4"/>
  <c r="E2553" i="4"/>
  <c r="D2553" i="4"/>
  <c r="B2553" i="4"/>
  <c r="G2552" i="4"/>
  <c r="F2552" i="4"/>
  <c r="E2552" i="4"/>
  <c r="D2552" i="4"/>
  <c r="B2552" i="4"/>
  <c r="G2551" i="4"/>
  <c r="F2551" i="4"/>
  <c r="E2551" i="4"/>
  <c r="D2551" i="4"/>
  <c r="B2551" i="4"/>
  <c r="G2550" i="4"/>
  <c r="F2550" i="4"/>
  <c r="E2550" i="4"/>
  <c r="D2550" i="4"/>
  <c r="B2550" i="4"/>
  <c r="G2549" i="4"/>
  <c r="F2549" i="4"/>
  <c r="E2549" i="4"/>
  <c r="D2549" i="4"/>
  <c r="B2549" i="4"/>
  <c r="G2548" i="4"/>
  <c r="F2548" i="4"/>
  <c r="E2548" i="4"/>
  <c r="D2548" i="4"/>
  <c r="B2548" i="4"/>
  <c r="G2547" i="4"/>
  <c r="F2547" i="4"/>
  <c r="E2547" i="4"/>
  <c r="D2547" i="4"/>
  <c r="B2547" i="4"/>
  <c r="G2546" i="4"/>
  <c r="F2546" i="4"/>
  <c r="E2546" i="4"/>
  <c r="D2546" i="4"/>
  <c r="B2546" i="4"/>
  <c r="G2545" i="4"/>
  <c r="F2545" i="4"/>
  <c r="E2545" i="4"/>
  <c r="D2545" i="4"/>
  <c r="B2545" i="4"/>
  <c r="G2544" i="4"/>
  <c r="F2544" i="4"/>
  <c r="E2544" i="4"/>
  <c r="D2544" i="4"/>
  <c r="B2544" i="4"/>
  <c r="G2543" i="4"/>
  <c r="F2543" i="4"/>
  <c r="E2543" i="4"/>
  <c r="D2543" i="4"/>
  <c r="B2543" i="4"/>
  <c r="G2542" i="4"/>
  <c r="F2542" i="4"/>
  <c r="E2542" i="4"/>
  <c r="D2542" i="4"/>
  <c r="B2542" i="4"/>
  <c r="G2541" i="4"/>
  <c r="F2541" i="4"/>
  <c r="E2541" i="4"/>
  <c r="D2541" i="4"/>
  <c r="B2541" i="4"/>
  <c r="G2540" i="4"/>
  <c r="F2540" i="4"/>
  <c r="E2540" i="4"/>
  <c r="D2540" i="4"/>
  <c r="B2540" i="4"/>
  <c r="G2539" i="4"/>
  <c r="F2539" i="4"/>
  <c r="E2539" i="4"/>
  <c r="D2539" i="4"/>
  <c r="B2539" i="4"/>
  <c r="G2538" i="4"/>
  <c r="F2538" i="4"/>
  <c r="E2538" i="4"/>
  <c r="D2538" i="4"/>
  <c r="B2538" i="4"/>
  <c r="G2537" i="4"/>
  <c r="F2537" i="4"/>
  <c r="E2537" i="4"/>
  <c r="D2537" i="4"/>
  <c r="B2537" i="4"/>
  <c r="G2536" i="4"/>
  <c r="F2536" i="4"/>
  <c r="E2536" i="4"/>
  <c r="D2536" i="4"/>
  <c r="B2536" i="4"/>
  <c r="G2535" i="4"/>
  <c r="F2535" i="4"/>
  <c r="E2535" i="4"/>
  <c r="D2535" i="4"/>
  <c r="B2535" i="4"/>
  <c r="G2534" i="4"/>
  <c r="F2534" i="4"/>
  <c r="E2534" i="4"/>
  <c r="D2534" i="4"/>
  <c r="B2534" i="4"/>
  <c r="G2533" i="4"/>
  <c r="F2533" i="4"/>
  <c r="E2533" i="4"/>
  <c r="D2533" i="4"/>
  <c r="B2533" i="4"/>
  <c r="G2532" i="4"/>
  <c r="F2532" i="4"/>
  <c r="E2532" i="4"/>
  <c r="D2532" i="4"/>
  <c r="B2532" i="4"/>
  <c r="G2531" i="4"/>
  <c r="F2531" i="4"/>
  <c r="E2531" i="4"/>
  <c r="D2531" i="4"/>
  <c r="B2531" i="4"/>
  <c r="G2530" i="4"/>
  <c r="F2530" i="4"/>
  <c r="E2530" i="4"/>
  <c r="D2530" i="4"/>
  <c r="B2530" i="4"/>
  <c r="G2529" i="4"/>
  <c r="F2529" i="4"/>
  <c r="E2529" i="4"/>
  <c r="D2529" i="4"/>
  <c r="B2529" i="4"/>
  <c r="G2528" i="4"/>
  <c r="F2528" i="4"/>
  <c r="E2528" i="4"/>
  <c r="D2528" i="4"/>
  <c r="B2528" i="4"/>
  <c r="G2527" i="4"/>
  <c r="F2527" i="4"/>
  <c r="E2527" i="4"/>
  <c r="D2527" i="4"/>
  <c r="B2527" i="4"/>
  <c r="G2526" i="4"/>
  <c r="F2526" i="4"/>
  <c r="E2526" i="4"/>
  <c r="D2526" i="4"/>
  <c r="B2526" i="4"/>
  <c r="G2525" i="4"/>
  <c r="F2525" i="4"/>
  <c r="E2525" i="4"/>
  <c r="D2525" i="4"/>
  <c r="B2525" i="4"/>
  <c r="G2524" i="4"/>
  <c r="F2524" i="4"/>
  <c r="E2524" i="4"/>
  <c r="D2524" i="4"/>
  <c r="B2524" i="4"/>
  <c r="G2523" i="4"/>
  <c r="F2523" i="4"/>
  <c r="E2523" i="4"/>
  <c r="D2523" i="4"/>
  <c r="B2523" i="4"/>
  <c r="G2522" i="4"/>
  <c r="F2522" i="4"/>
  <c r="E2522" i="4"/>
  <c r="D2522" i="4"/>
  <c r="B2522" i="4"/>
  <c r="G2521" i="4"/>
  <c r="F2521" i="4"/>
  <c r="E2521" i="4"/>
  <c r="D2521" i="4"/>
  <c r="B2521" i="4"/>
  <c r="G2520" i="4"/>
  <c r="F2520" i="4"/>
  <c r="E2520" i="4"/>
  <c r="D2520" i="4"/>
  <c r="B2520" i="4"/>
  <c r="G2519" i="4"/>
  <c r="F2519" i="4"/>
  <c r="E2519" i="4"/>
  <c r="D2519" i="4"/>
  <c r="B2519" i="4"/>
  <c r="G2518" i="4"/>
  <c r="F2518" i="4"/>
  <c r="E2518" i="4"/>
  <c r="D2518" i="4"/>
  <c r="B2518" i="4"/>
  <c r="G2517" i="4"/>
  <c r="F2517" i="4"/>
  <c r="E2517" i="4"/>
  <c r="D2517" i="4"/>
  <c r="B2517" i="4"/>
  <c r="G2516" i="4"/>
  <c r="F2516" i="4"/>
  <c r="E2516" i="4"/>
  <c r="D2516" i="4"/>
  <c r="B2516" i="4"/>
  <c r="G2515" i="4"/>
  <c r="F2515" i="4"/>
  <c r="E2515" i="4"/>
  <c r="D2515" i="4"/>
  <c r="B2515" i="4"/>
  <c r="G2514" i="4"/>
  <c r="F2514" i="4"/>
  <c r="E2514" i="4"/>
  <c r="D2514" i="4"/>
  <c r="B2514" i="4"/>
  <c r="G2513" i="4"/>
  <c r="F2513" i="4"/>
  <c r="E2513" i="4"/>
  <c r="D2513" i="4"/>
  <c r="B2513" i="4"/>
  <c r="G2512" i="4"/>
  <c r="F2512" i="4"/>
  <c r="E2512" i="4"/>
  <c r="D2512" i="4"/>
  <c r="B2512" i="4"/>
  <c r="G2511" i="4"/>
  <c r="F2511" i="4"/>
  <c r="E2511" i="4"/>
  <c r="D2511" i="4"/>
  <c r="B2511" i="4"/>
  <c r="G2510" i="4"/>
  <c r="F2510" i="4"/>
  <c r="E2510" i="4"/>
  <c r="D2510" i="4"/>
  <c r="B2510" i="4"/>
  <c r="G2509" i="4"/>
  <c r="F2509" i="4"/>
  <c r="E2509" i="4"/>
  <c r="D2509" i="4"/>
  <c r="B2509" i="4"/>
  <c r="G2508" i="4"/>
  <c r="F2508" i="4"/>
  <c r="E2508" i="4"/>
  <c r="D2508" i="4"/>
  <c r="B2508" i="4"/>
  <c r="G2507" i="4"/>
  <c r="F2507" i="4"/>
  <c r="E2507" i="4"/>
  <c r="D2507" i="4"/>
  <c r="B2507" i="4"/>
  <c r="G2506" i="4"/>
  <c r="F2506" i="4"/>
  <c r="E2506" i="4"/>
  <c r="D2506" i="4"/>
  <c r="B2506" i="4"/>
  <c r="G2505" i="4"/>
  <c r="F2505" i="4"/>
  <c r="E2505" i="4"/>
  <c r="D2505" i="4"/>
  <c r="B2505" i="4"/>
  <c r="G2504" i="4"/>
  <c r="F2504" i="4"/>
  <c r="E2504" i="4"/>
  <c r="D2504" i="4"/>
  <c r="B2504" i="4"/>
  <c r="G2503" i="4"/>
  <c r="F2503" i="4"/>
  <c r="E2503" i="4"/>
  <c r="D2503" i="4"/>
  <c r="B2503" i="4"/>
  <c r="G2502" i="4"/>
  <c r="F2502" i="4"/>
  <c r="E2502" i="4"/>
  <c r="D2502" i="4"/>
  <c r="B2502" i="4"/>
  <c r="G2501" i="4"/>
  <c r="F2501" i="4"/>
  <c r="E2501" i="4"/>
  <c r="D2501" i="4"/>
  <c r="B2501" i="4"/>
  <c r="G2500" i="4"/>
  <c r="F2500" i="4"/>
  <c r="E2500" i="4"/>
  <c r="D2500" i="4"/>
  <c r="B2500" i="4"/>
  <c r="G2499" i="4"/>
  <c r="F2499" i="4"/>
  <c r="E2499" i="4"/>
  <c r="D2499" i="4"/>
  <c r="B2499" i="4"/>
  <c r="G2498" i="4"/>
  <c r="F2498" i="4"/>
  <c r="E2498" i="4"/>
  <c r="D2498" i="4"/>
  <c r="B2498" i="4"/>
  <c r="G2497" i="4"/>
  <c r="F2497" i="4"/>
  <c r="E2497" i="4"/>
  <c r="D2497" i="4"/>
  <c r="B2497" i="4"/>
  <c r="G2496" i="4"/>
  <c r="F2496" i="4"/>
  <c r="E2496" i="4"/>
  <c r="D2496" i="4"/>
  <c r="B2496" i="4"/>
  <c r="G2495" i="4"/>
  <c r="F2495" i="4"/>
  <c r="E2495" i="4"/>
  <c r="D2495" i="4"/>
  <c r="B2495" i="4"/>
  <c r="G2494" i="4"/>
  <c r="F2494" i="4"/>
  <c r="E2494" i="4"/>
  <c r="D2494" i="4"/>
  <c r="B2494" i="4"/>
  <c r="G2493" i="4"/>
  <c r="F2493" i="4"/>
  <c r="E2493" i="4"/>
  <c r="D2493" i="4"/>
  <c r="B2493" i="4"/>
  <c r="G2492" i="4"/>
  <c r="F2492" i="4"/>
  <c r="E2492" i="4"/>
  <c r="D2492" i="4"/>
  <c r="B2492" i="4"/>
  <c r="G2491" i="4"/>
  <c r="F2491" i="4"/>
  <c r="E2491" i="4"/>
  <c r="D2491" i="4"/>
  <c r="B2491" i="4"/>
  <c r="G2490" i="4"/>
  <c r="F2490" i="4"/>
  <c r="E2490" i="4"/>
  <c r="D2490" i="4"/>
  <c r="B2490" i="4"/>
  <c r="G2489" i="4"/>
  <c r="F2489" i="4"/>
  <c r="E2489" i="4"/>
  <c r="D2489" i="4"/>
  <c r="B2489" i="4"/>
  <c r="G2488" i="4"/>
  <c r="F2488" i="4"/>
  <c r="E2488" i="4"/>
  <c r="D2488" i="4"/>
  <c r="B2488" i="4"/>
  <c r="G2487" i="4"/>
  <c r="F2487" i="4"/>
  <c r="E2487" i="4"/>
  <c r="D2487" i="4"/>
  <c r="B2487" i="4"/>
  <c r="G2486" i="4"/>
  <c r="F2486" i="4"/>
  <c r="E2486" i="4"/>
  <c r="D2486" i="4"/>
  <c r="B2486" i="4"/>
  <c r="G2485" i="4"/>
  <c r="F2485" i="4"/>
  <c r="E2485" i="4"/>
  <c r="D2485" i="4"/>
  <c r="B2485" i="4"/>
  <c r="G2484" i="4"/>
  <c r="F2484" i="4"/>
  <c r="E2484" i="4"/>
  <c r="D2484" i="4"/>
  <c r="B2484" i="4"/>
  <c r="G2483" i="4"/>
  <c r="F2483" i="4"/>
  <c r="E2483" i="4"/>
  <c r="D2483" i="4"/>
  <c r="B2483" i="4"/>
  <c r="G2482" i="4"/>
  <c r="F2482" i="4"/>
  <c r="E2482" i="4"/>
  <c r="D2482" i="4"/>
  <c r="B2482" i="4"/>
  <c r="G2481" i="4"/>
  <c r="F2481" i="4"/>
  <c r="E2481" i="4"/>
  <c r="D2481" i="4"/>
  <c r="B2481" i="4"/>
  <c r="G2480" i="4"/>
  <c r="F2480" i="4"/>
  <c r="E2480" i="4"/>
  <c r="D2480" i="4"/>
  <c r="B2480" i="4"/>
  <c r="G2479" i="4"/>
  <c r="F2479" i="4"/>
  <c r="E2479" i="4"/>
  <c r="D2479" i="4"/>
  <c r="B2479" i="4"/>
  <c r="G2478" i="4"/>
  <c r="F2478" i="4"/>
  <c r="E2478" i="4"/>
  <c r="D2478" i="4"/>
  <c r="B2478" i="4"/>
  <c r="G2477" i="4"/>
  <c r="F2477" i="4"/>
  <c r="E2477" i="4"/>
  <c r="D2477" i="4"/>
  <c r="B2477" i="4"/>
  <c r="G2476" i="4"/>
  <c r="F2476" i="4"/>
  <c r="E2476" i="4"/>
  <c r="D2476" i="4"/>
  <c r="B2476" i="4"/>
  <c r="G2475" i="4"/>
  <c r="F2475" i="4"/>
  <c r="E2475" i="4"/>
  <c r="D2475" i="4"/>
  <c r="B2475" i="4"/>
  <c r="G2474" i="4"/>
  <c r="F2474" i="4"/>
  <c r="E2474" i="4"/>
  <c r="D2474" i="4"/>
  <c r="B2474" i="4"/>
  <c r="G2473" i="4"/>
  <c r="F2473" i="4"/>
  <c r="E2473" i="4"/>
  <c r="D2473" i="4"/>
  <c r="B2473" i="4"/>
  <c r="G2472" i="4"/>
  <c r="F2472" i="4"/>
  <c r="E2472" i="4"/>
  <c r="D2472" i="4"/>
  <c r="B2472" i="4"/>
  <c r="G2471" i="4"/>
  <c r="F2471" i="4"/>
  <c r="E2471" i="4"/>
  <c r="D2471" i="4"/>
  <c r="B2471" i="4"/>
  <c r="G2470" i="4"/>
  <c r="F2470" i="4"/>
  <c r="E2470" i="4"/>
  <c r="D2470" i="4"/>
  <c r="B2470" i="4"/>
  <c r="G2469" i="4"/>
  <c r="F2469" i="4"/>
  <c r="E2469" i="4"/>
  <c r="D2469" i="4"/>
  <c r="B2469" i="4"/>
  <c r="G2468" i="4"/>
  <c r="F2468" i="4"/>
  <c r="E2468" i="4"/>
  <c r="D2468" i="4"/>
  <c r="B2468" i="4"/>
  <c r="G2467" i="4"/>
  <c r="F2467" i="4"/>
  <c r="E2467" i="4"/>
  <c r="D2467" i="4"/>
  <c r="B2467" i="4"/>
  <c r="G2466" i="4"/>
  <c r="F2466" i="4"/>
  <c r="E2466" i="4"/>
  <c r="D2466" i="4"/>
  <c r="B2466" i="4"/>
  <c r="G2465" i="4"/>
  <c r="F2465" i="4"/>
  <c r="E2465" i="4"/>
  <c r="D2465" i="4"/>
  <c r="B2465" i="4"/>
  <c r="G2464" i="4"/>
  <c r="F2464" i="4"/>
  <c r="E2464" i="4"/>
  <c r="D2464" i="4"/>
  <c r="B2464" i="4"/>
  <c r="G2463" i="4"/>
  <c r="F2463" i="4"/>
  <c r="E2463" i="4"/>
  <c r="D2463" i="4"/>
  <c r="B2463" i="4"/>
  <c r="G2462" i="4"/>
  <c r="F2462" i="4"/>
  <c r="E2462" i="4"/>
  <c r="D2462" i="4"/>
  <c r="B2462" i="4"/>
  <c r="G2461" i="4"/>
  <c r="F2461" i="4"/>
  <c r="E2461" i="4"/>
  <c r="D2461" i="4"/>
  <c r="B2461" i="4"/>
  <c r="G2460" i="4"/>
  <c r="F2460" i="4"/>
  <c r="E2460" i="4"/>
  <c r="D2460" i="4"/>
  <c r="B2460" i="4"/>
  <c r="G2459" i="4"/>
  <c r="F2459" i="4"/>
  <c r="E2459" i="4"/>
  <c r="D2459" i="4"/>
  <c r="B2459" i="4"/>
  <c r="G2458" i="4"/>
  <c r="F2458" i="4"/>
  <c r="E2458" i="4"/>
  <c r="D2458" i="4"/>
  <c r="B2458" i="4"/>
  <c r="G2457" i="4"/>
  <c r="F2457" i="4"/>
  <c r="E2457" i="4"/>
  <c r="D2457" i="4"/>
  <c r="B2457" i="4"/>
  <c r="G2456" i="4"/>
  <c r="F2456" i="4"/>
  <c r="E2456" i="4"/>
  <c r="D2456" i="4"/>
  <c r="B2456" i="4"/>
  <c r="G2455" i="4"/>
  <c r="F2455" i="4"/>
  <c r="E2455" i="4"/>
  <c r="D2455" i="4"/>
  <c r="B2455" i="4"/>
  <c r="G2454" i="4"/>
  <c r="F2454" i="4"/>
  <c r="E2454" i="4"/>
  <c r="D2454" i="4"/>
  <c r="B2454" i="4"/>
  <c r="G2453" i="4"/>
  <c r="F2453" i="4"/>
  <c r="E2453" i="4"/>
  <c r="D2453" i="4"/>
  <c r="B2453" i="4"/>
  <c r="G2452" i="4"/>
  <c r="F2452" i="4"/>
  <c r="E2452" i="4"/>
  <c r="D2452" i="4"/>
  <c r="B2452" i="4"/>
  <c r="G2451" i="4"/>
  <c r="F2451" i="4"/>
  <c r="E2451" i="4"/>
  <c r="D2451" i="4"/>
  <c r="B2451" i="4"/>
  <c r="G2450" i="4"/>
  <c r="F2450" i="4"/>
  <c r="E2450" i="4"/>
  <c r="D2450" i="4"/>
  <c r="B2450" i="4"/>
  <c r="G2449" i="4"/>
  <c r="F2449" i="4"/>
  <c r="E2449" i="4"/>
  <c r="D2449" i="4"/>
  <c r="B2449" i="4"/>
  <c r="G2448" i="4"/>
  <c r="F2448" i="4"/>
  <c r="E2448" i="4"/>
  <c r="D2448" i="4"/>
  <c r="B2448" i="4"/>
  <c r="G2447" i="4"/>
  <c r="F2447" i="4"/>
  <c r="E2447" i="4"/>
  <c r="D2447" i="4"/>
  <c r="B2447" i="4"/>
  <c r="G2446" i="4"/>
  <c r="F2446" i="4"/>
  <c r="E2446" i="4"/>
  <c r="D2446" i="4"/>
  <c r="B2446" i="4"/>
  <c r="G2445" i="4"/>
  <c r="F2445" i="4"/>
  <c r="E2445" i="4"/>
  <c r="D2445" i="4"/>
  <c r="B2445" i="4"/>
  <c r="G2444" i="4"/>
  <c r="F2444" i="4"/>
  <c r="E2444" i="4"/>
  <c r="D2444" i="4"/>
  <c r="B2444" i="4"/>
  <c r="G2443" i="4"/>
  <c r="F2443" i="4"/>
  <c r="E2443" i="4"/>
  <c r="D2443" i="4"/>
  <c r="B2443" i="4"/>
  <c r="G2442" i="4"/>
  <c r="F2442" i="4"/>
  <c r="E2442" i="4"/>
  <c r="D2442" i="4"/>
  <c r="B2442" i="4"/>
  <c r="G2441" i="4"/>
  <c r="F2441" i="4"/>
  <c r="E2441" i="4"/>
  <c r="D2441" i="4"/>
  <c r="B2441" i="4"/>
  <c r="G2440" i="4"/>
  <c r="F2440" i="4"/>
  <c r="E2440" i="4"/>
  <c r="D2440" i="4"/>
  <c r="B2440" i="4"/>
  <c r="G2439" i="4"/>
  <c r="F2439" i="4"/>
  <c r="E2439" i="4"/>
  <c r="D2439" i="4"/>
  <c r="B2439" i="4"/>
  <c r="G2438" i="4"/>
  <c r="F2438" i="4"/>
  <c r="E2438" i="4"/>
  <c r="D2438" i="4"/>
  <c r="B2438" i="4"/>
  <c r="G2437" i="4"/>
  <c r="F2437" i="4"/>
  <c r="E2437" i="4"/>
  <c r="D2437" i="4"/>
  <c r="B2437" i="4"/>
  <c r="G2436" i="4"/>
  <c r="F2436" i="4"/>
  <c r="E2436" i="4"/>
  <c r="D2436" i="4"/>
  <c r="B2436" i="4"/>
  <c r="G2435" i="4"/>
  <c r="F2435" i="4"/>
  <c r="E2435" i="4"/>
  <c r="D2435" i="4"/>
  <c r="B2435" i="4"/>
  <c r="G2434" i="4"/>
  <c r="F2434" i="4"/>
  <c r="E2434" i="4"/>
  <c r="D2434" i="4"/>
  <c r="B2434" i="4"/>
  <c r="G2433" i="4"/>
  <c r="F2433" i="4"/>
  <c r="E2433" i="4"/>
  <c r="D2433" i="4"/>
  <c r="B2433" i="4"/>
  <c r="G2432" i="4"/>
  <c r="F2432" i="4"/>
  <c r="E2432" i="4"/>
  <c r="D2432" i="4"/>
  <c r="B2432" i="4"/>
  <c r="G2431" i="4"/>
  <c r="F2431" i="4"/>
  <c r="E2431" i="4"/>
  <c r="D2431" i="4"/>
  <c r="B2431" i="4"/>
  <c r="G2430" i="4"/>
  <c r="F2430" i="4"/>
  <c r="E2430" i="4"/>
  <c r="D2430" i="4"/>
  <c r="B2430" i="4"/>
  <c r="G2429" i="4"/>
  <c r="F2429" i="4"/>
  <c r="E2429" i="4"/>
  <c r="D2429" i="4"/>
  <c r="B2429" i="4"/>
  <c r="G2428" i="4"/>
  <c r="F2428" i="4"/>
  <c r="E2428" i="4"/>
  <c r="D2428" i="4"/>
  <c r="B2428" i="4"/>
  <c r="G2427" i="4"/>
  <c r="F2427" i="4"/>
  <c r="E2427" i="4"/>
  <c r="D2427" i="4"/>
  <c r="B2427" i="4"/>
  <c r="G2426" i="4"/>
  <c r="F2426" i="4"/>
  <c r="E2426" i="4"/>
  <c r="D2426" i="4"/>
  <c r="B2426" i="4"/>
  <c r="G2425" i="4"/>
  <c r="F2425" i="4"/>
  <c r="E2425" i="4"/>
  <c r="D2425" i="4"/>
  <c r="B2425" i="4"/>
  <c r="G2424" i="4"/>
  <c r="F2424" i="4"/>
  <c r="E2424" i="4"/>
  <c r="D2424" i="4"/>
  <c r="B2424" i="4"/>
  <c r="G2423" i="4"/>
  <c r="F2423" i="4"/>
  <c r="E2423" i="4"/>
  <c r="D2423" i="4"/>
  <c r="B2423" i="4"/>
  <c r="G2422" i="4"/>
  <c r="F2422" i="4"/>
  <c r="E2422" i="4"/>
  <c r="D2422" i="4"/>
  <c r="B2422" i="4"/>
  <c r="G2421" i="4"/>
  <c r="F2421" i="4"/>
  <c r="E2421" i="4"/>
  <c r="D2421" i="4"/>
  <c r="B2421" i="4"/>
  <c r="G2420" i="4"/>
  <c r="F2420" i="4"/>
  <c r="E2420" i="4"/>
  <c r="D2420" i="4"/>
  <c r="B2420" i="4"/>
  <c r="G2419" i="4"/>
  <c r="F2419" i="4"/>
  <c r="E2419" i="4"/>
  <c r="D2419" i="4"/>
  <c r="B2419" i="4"/>
  <c r="G2418" i="4"/>
  <c r="F2418" i="4"/>
  <c r="E2418" i="4"/>
  <c r="D2418" i="4"/>
  <c r="B2418" i="4"/>
  <c r="G2417" i="4"/>
  <c r="F2417" i="4"/>
  <c r="E2417" i="4"/>
  <c r="D2417" i="4"/>
  <c r="B2417" i="4"/>
  <c r="G2416" i="4"/>
  <c r="F2416" i="4"/>
  <c r="E2416" i="4"/>
  <c r="D2416" i="4"/>
  <c r="B2416" i="4"/>
  <c r="G2415" i="4"/>
  <c r="F2415" i="4"/>
  <c r="E2415" i="4"/>
  <c r="D2415" i="4"/>
  <c r="B2415" i="4"/>
  <c r="G2414" i="4"/>
  <c r="F2414" i="4"/>
  <c r="E2414" i="4"/>
  <c r="D2414" i="4"/>
  <c r="B2414" i="4"/>
  <c r="G2413" i="4"/>
  <c r="F2413" i="4"/>
  <c r="E2413" i="4"/>
  <c r="D2413" i="4"/>
  <c r="B2413" i="4"/>
  <c r="G2412" i="4"/>
  <c r="F2412" i="4"/>
  <c r="E2412" i="4"/>
  <c r="D2412" i="4"/>
  <c r="B2412" i="4"/>
  <c r="G2411" i="4"/>
  <c r="F2411" i="4"/>
  <c r="E2411" i="4"/>
  <c r="D2411" i="4"/>
  <c r="B2411" i="4"/>
  <c r="G2410" i="4"/>
  <c r="F2410" i="4"/>
  <c r="E2410" i="4"/>
  <c r="D2410" i="4"/>
  <c r="B2410" i="4"/>
  <c r="G2409" i="4"/>
  <c r="F2409" i="4"/>
  <c r="E2409" i="4"/>
  <c r="D2409" i="4"/>
  <c r="B2409" i="4"/>
  <c r="G2408" i="4"/>
  <c r="F2408" i="4"/>
  <c r="E2408" i="4"/>
  <c r="D2408" i="4"/>
  <c r="B2408" i="4"/>
  <c r="G2407" i="4"/>
  <c r="F2407" i="4"/>
  <c r="E2407" i="4"/>
  <c r="D2407" i="4"/>
  <c r="B2407" i="4"/>
  <c r="G2406" i="4"/>
  <c r="F2406" i="4"/>
  <c r="E2406" i="4"/>
  <c r="D2406" i="4"/>
  <c r="B2406" i="4"/>
  <c r="G2405" i="4"/>
  <c r="F2405" i="4"/>
  <c r="E2405" i="4"/>
  <c r="D2405" i="4"/>
  <c r="B2405" i="4"/>
  <c r="G2404" i="4"/>
  <c r="F2404" i="4"/>
  <c r="E2404" i="4"/>
  <c r="D2404" i="4"/>
  <c r="B2404" i="4"/>
  <c r="G2403" i="4"/>
  <c r="F2403" i="4"/>
  <c r="E2403" i="4"/>
  <c r="D2403" i="4"/>
  <c r="B2403" i="4"/>
  <c r="G2402" i="4"/>
  <c r="F2402" i="4"/>
  <c r="E2402" i="4"/>
  <c r="D2402" i="4"/>
  <c r="B2402" i="4"/>
  <c r="G2401" i="4"/>
  <c r="F2401" i="4"/>
  <c r="E2401" i="4"/>
  <c r="D2401" i="4"/>
  <c r="B2401" i="4"/>
  <c r="G2400" i="4"/>
  <c r="F2400" i="4"/>
  <c r="E2400" i="4"/>
  <c r="D2400" i="4"/>
  <c r="B2400" i="4"/>
  <c r="G2399" i="4"/>
  <c r="F2399" i="4"/>
  <c r="E2399" i="4"/>
  <c r="D2399" i="4"/>
  <c r="B2399" i="4"/>
  <c r="G2398" i="4"/>
  <c r="F2398" i="4"/>
  <c r="E2398" i="4"/>
  <c r="D2398" i="4"/>
  <c r="B2398" i="4"/>
  <c r="G2397" i="4"/>
  <c r="F2397" i="4"/>
  <c r="E2397" i="4"/>
  <c r="D2397" i="4"/>
  <c r="B2397" i="4"/>
  <c r="G2396" i="4"/>
  <c r="F2396" i="4"/>
  <c r="E2396" i="4"/>
  <c r="D2396" i="4"/>
  <c r="B2396" i="4"/>
  <c r="G2395" i="4"/>
  <c r="F2395" i="4"/>
  <c r="E2395" i="4"/>
  <c r="D2395" i="4"/>
  <c r="B2395" i="4"/>
  <c r="G2394" i="4"/>
  <c r="F2394" i="4"/>
  <c r="E2394" i="4"/>
  <c r="D2394" i="4"/>
  <c r="B2394" i="4"/>
  <c r="G2393" i="4"/>
  <c r="F2393" i="4"/>
  <c r="E2393" i="4"/>
  <c r="D2393" i="4"/>
  <c r="B2393" i="4"/>
  <c r="G2392" i="4"/>
  <c r="F2392" i="4"/>
  <c r="E2392" i="4"/>
  <c r="D2392" i="4"/>
  <c r="B2392" i="4"/>
  <c r="G2391" i="4"/>
  <c r="F2391" i="4"/>
  <c r="E2391" i="4"/>
  <c r="D2391" i="4"/>
  <c r="B2391" i="4"/>
  <c r="G2390" i="4"/>
  <c r="F2390" i="4"/>
  <c r="E2390" i="4"/>
  <c r="D2390" i="4"/>
  <c r="B2390" i="4"/>
  <c r="G2389" i="4"/>
  <c r="F2389" i="4"/>
  <c r="E2389" i="4"/>
  <c r="D2389" i="4"/>
  <c r="B2389" i="4"/>
  <c r="G2388" i="4"/>
  <c r="F2388" i="4"/>
  <c r="E2388" i="4"/>
  <c r="D2388" i="4"/>
  <c r="B2388" i="4"/>
  <c r="G2387" i="4"/>
  <c r="F2387" i="4"/>
  <c r="E2387" i="4"/>
  <c r="D2387" i="4"/>
  <c r="B2387" i="4"/>
  <c r="G2386" i="4"/>
  <c r="F2386" i="4"/>
  <c r="E2386" i="4"/>
  <c r="D2386" i="4"/>
  <c r="B2386" i="4"/>
  <c r="G2385" i="4"/>
  <c r="F2385" i="4"/>
  <c r="E2385" i="4"/>
  <c r="D2385" i="4"/>
  <c r="B2385" i="4"/>
  <c r="G2384" i="4"/>
  <c r="F2384" i="4"/>
  <c r="E2384" i="4"/>
  <c r="D2384" i="4"/>
  <c r="B2384" i="4"/>
  <c r="G2383" i="4"/>
  <c r="F2383" i="4"/>
  <c r="E2383" i="4"/>
  <c r="D2383" i="4"/>
  <c r="B2383" i="4"/>
  <c r="G2382" i="4"/>
  <c r="F2382" i="4"/>
  <c r="E2382" i="4"/>
  <c r="D2382" i="4"/>
  <c r="B2382" i="4"/>
  <c r="G2381" i="4"/>
  <c r="F2381" i="4"/>
  <c r="E2381" i="4"/>
  <c r="D2381" i="4"/>
  <c r="B2381" i="4"/>
  <c r="G2380" i="4"/>
  <c r="F2380" i="4"/>
  <c r="E2380" i="4"/>
  <c r="D2380" i="4"/>
  <c r="B2380" i="4"/>
  <c r="G2379" i="4"/>
  <c r="F2379" i="4"/>
  <c r="E2379" i="4"/>
  <c r="D2379" i="4"/>
  <c r="B2379" i="4"/>
  <c r="G2378" i="4"/>
  <c r="F2378" i="4"/>
  <c r="E2378" i="4"/>
  <c r="D2378" i="4"/>
  <c r="B2378" i="4"/>
  <c r="G2377" i="4"/>
  <c r="F2377" i="4"/>
  <c r="E2377" i="4"/>
  <c r="D2377" i="4"/>
  <c r="B2377" i="4"/>
  <c r="G2376" i="4"/>
  <c r="F2376" i="4"/>
  <c r="E2376" i="4"/>
  <c r="D2376" i="4"/>
  <c r="B2376" i="4"/>
  <c r="G2375" i="4"/>
  <c r="F2375" i="4"/>
  <c r="E2375" i="4"/>
  <c r="D2375" i="4"/>
  <c r="B2375" i="4"/>
  <c r="G2374" i="4"/>
  <c r="F2374" i="4"/>
  <c r="E2374" i="4"/>
  <c r="D2374" i="4"/>
  <c r="B2374" i="4"/>
  <c r="G2373" i="4"/>
  <c r="F2373" i="4"/>
  <c r="E2373" i="4"/>
  <c r="D2373" i="4"/>
  <c r="B2373" i="4"/>
  <c r="G2372" i="4"/>
  <c r="F2372" i="4"/>
  <c r="E2372" i="4"/>
  <c r="D2372" i="4"/>
  <c r="B2372" i="4"/>
  <c r="G2371" i="4"/>
  <c r="F2371" i="4"/>
  <c r="E2371" i="4"/>
  <c r="D2371" i="4"/>
  <c r="B2371" i="4"/>
  <c r="G2370" i="4"/>
  <c r="F2370" i="4"/>
  <c r="E2370" i="4"/>
  <c r="D2370" i="4"/>
  <c r="B2370" i="4"/>
  <c r="G2369" i="4"/>
  <c r="F2369" i="4"/>
  <c r="E2369" i="4"/>
  <c r="D2369" i="4"/>
  <c r="B2369" i="4"/>
  <c r="G2368" i="4"/>
  <c r="F2368" i="4"/>
  <c r="E2368" i="4"/>
  <c r="D2368" i="4"/>
  <c r="B2368" i="4"/>
  <c r="G2367" i="4"/>
  <c r="F2367" i="4"/>
  <c r="E2367" i="4"/>
  <c r="D2367" i="4"/>
  <c r="B2367" i="4"/>
  <c r="G2366" i="4"/>
  <c r="F2366" i="4"/>
  <c r="E2366" i="4"/>
  <c r="D2366" i="4"/>
  <c r="B2366" i="4"/>
  <c r="G2365" i="4"/>
  <c r="F2365" i="4"/>
  <c r="E2365" i="4"/>
  <c r="D2365" i="4"/>
  <c r="B2365" i="4"/>
  <c r="G2364" i="4"/>
  <c r="F2364" i="4"/>
  <c r="E2364" i="4"/>
  <c r="D2364" i="4"/>
  <c r="B2364" i="4"/>
  <c r="G2363" i="4"/>
  <c r="F2363" i="4"/>
  <c r="E2363" i="4"/>
  <c r="D2363" i="4"/>
  <c r="B2363" i="4"/>
  <c r="G2362" i="4"/>
  <c r="F2362" i="4"/>
  <c r="E2362" i="4"/>
  <c r="D2362" i="4"/>
  <c r="B2362" i="4"/>
  <c r="G2361" i="4"/>
  <c r="F2361" i="4"/>
  <c r="E2361" i="4"/>
  <c r="D2361" i="4"/>
  <c r="B2361" i="4"/>
  <c r="G2360" i="4"/>
  <c r="F2360" i="4"/>
  <c r="E2360" i="4"/>
  <c r="D2360" i="4"/>
  <c r="B2360" i="4"/>
  <c r="G2359" i="4"/>
  <c r="F2359" i="4"/>
  <c r="E2359" i="4"/>
  <c r="D2359" i="4"/>
  <c r="B2359" i="4"/>
  <c r="G2358" i="4"/>
  <c r="F2358" i="4"/>
  <c r="E2358" i="4"/>
  <c r="D2358" i="4"/>
  <c r="B2358" i="4"/>
  <c r="G2357" i="4"/>
  <c r="F2357" i="4"/>
  <c r="E2357" i="4"/>
  <c r="D2357" i="4"/>
  <c r="B2357" i="4"/>
  <c r="G2356" i="4"/>
  <c r="F2356" i="4"/>
  <c r="E2356" i="4"/>
  <c r="D2356" i="4"/>
  <c r="B2356" i="4"/>
  <c r="G2355" i="4"/>
  <c r="F2355" i="4"/>
  <c r="E2355" i="4"/>
  <c r="D2355" i="4"/>
  <c r="B2355" i="4"/>
  <c r="G2354" i="4"/>
  <c r="F2354" i="4"/>
  <c r="E2354" i="4"/>
  <c r="D2354" i="4"/>
  <c r="B2354" i="4"/>
  <c r="G2353" i="4"/>
  <c r="F2353" i="4"/>
  <c r="E2353" i="4"/>
  <c r="D2353" i="4"/>
  <c r="B2353" i="4"/>
  <c r="G2352" i="4"/>
  <c r="F2352" i="4"/>
  <c r="E2352" i="4"/>
  <c r="D2352" i="4"/>
  <c r="B2352" i="4"/>
  <c r="G2351" i="4"/>
  <c r="F2351" i="4"/>
  <c r="E2351" i="4"/>
  <c r="D2351" i="4"/>
  <c r="B2351" i="4"/>
  <c r="G2350" i="4"/>
  <c r="F2350" i="4"/>
  <c r="E2350" i="4"/>
  <c r="D2350" i="4"/>
  <c r="B2350" i="4"/>
  <c r="G2349" i="4"/>
  <c r="F2349" i="4"/>
  <c r="E2349" i="4"/>
  <c r="D2349" i="4"/>
  <c r="B2349" i="4"/>
  <c r="G2348" i="4"/>
  <c r="F2348" i="4"/>
  <c r="E2348" i="4"/>
  <c r="D2348" i="4"/>
  <c r="B2348" i="4"/>
  <c r="G2347" i="4"/>
  <c r="F2347" i="4"/>
  <c r="E2347" i="4"/>
  <c r="D2347" i="4"/>
  <c r="B2347" i="4"/>
  <c r="G2346" i="4"/>
  <c r="F2346" i="4"/>
  <c r="E2346" i="4"/>
  <c r="D2346" i="4"/>
  <c r="B2346" i="4"/>
  <c r="G2345" i="4"/>
  <c r="F2345" i="4"/>
  <c r="E2345" i="4"/>
  <c r="D2345" i="4"/>
  <c r="B2345" i="4"/>
  <c r="G2344" i="4"/>
  <c r="F2344" i="4"/>
  <c r="E2344" i="4"/>
  <c r="D2344" i="4"/>
  <c r="B2344" i="4"/>
  <c r="G2343" i="4"/>
  <c r="F2343" i="4"/>
  <c r="E2343" i="4"/>
  <c r="D2343" i="4"/>
  <c r="B2343" i="4"/>
  <c r="G2342" i="4"/>
  <c r="F2342" i="4"/>
  <c r="E2342" i="4"/>
  <c r="D2342" i="4"/>
  <c r="B2342" i="4"/>
  <c r="G2341" i="4"/>
  <c r="F2341" i="4"/>
  <c r="E2341" i="4"/>
  <c r="D2341" i="4"/>
  <c r="B2341" i="4"/>
  <c r="G2340" i="4"/>
  <c r="F2340" i="4"/>
  <c r="E2340" i="4"/>
  <c r="D2340" i="4"/>
  <c r="B2340" i="4"/>
  <c r="G2339" i="4"/>
  <c r="F2339" i="4"/>
  <c r="E2339" i="4"/>
  <c r="D2339" i="4"/>
  <c r="B2339" i="4"/>
  <c r="G2338" i="4"/>
  <c r="F2338" i="4"/>
  <c r="E2338" i="4"/>
  <c r="D2338" i="4"/>
  <c r="B2338" i="4"/>
  <c r="G2337" i="4"/>
  <c r="F2337" i="4"/>
  <c r="E2337" i="4"/>
  <c r="D2337" i="4"/>
  <c r="B2337" i="4"/>
  <c r="G2336" i="4"/>
  <c r="F2336" i="4"/>
  <c r="E2336" i="4"/>
  <c r="D2336" i="4"/>
  <c r="B2336" i="4"/>
  <c r="G2335" i="4"/>
  <c r="F2335" i="4"/>
  <c r="E2335" i="4"/>
  <c r="D2335" i="4"/>
  <c r="B2335" i="4"/>
  <c r="G2334" i="4"/>
  <c r="F2334" i="4"/>
  <c r="E2334" i="4"/>
  <c r="D2334" i="4"/>
  <c r="B2334" i="4"/>
  <c r="G2333" i="4"/>
  <c r="F2333" i="4"/>
  <c r="E2333" i="4"/>
  <c r="D2333" i="4"/>
  <c r="B2333" i="4"/>
  <c r="G2332" i="4"/>
  <c r="F2332" i="4"/>
  <c r="E2332" i="4"/>
  <c r="D2332" i="4"/>
  <c r="B2332" i="4"/>
  <c r="G2331" i="4"/>
  <c r="F2331" i="4"/>
  <c r="E2331" i="4"/>
  <c r="D2331" i="4"/>
  <c r="B2331" i="4"/>
  <c r="G2330" i="4"/>
  <c r="F2330" i="4"/>
  <c r="E2330" i="4"/>
  <c r="D2330" i="4"/>
  <c r="B2330" i="4"/>
  <c r="G2329" i="4"/>
  <c r="F2329" i="4"/>
  <c r="E2329" i="4"/>
  <c r="D2329" i="4"/>
  <c r="B2329" i="4"/>
  <c r="G2328" i="4"/>
  <c r="F2328" i="4"/>
  <c r="E2328" i="4"/>
  <c r="D2328" i="4"/>
  <c r="B2328" i="4"/>
  <c r="G2327" i="4"/>
  <c r="F2327" i="4"/>
  <c r="E2327" i="4"/>
  <c r="D2327" i="4"/>
  <c r="B2327" i="4"/>
  <c r="G2326" i="4"/>
  <c r="F2326" i="4"/>
  <c r="E2326" i="4"/>
  <c r="D2326" i="4"/>
  <c r="B2326" i="4"/>
  <c r="G2325" i="4"/>
  <c r="F2325" i="4"/>
  <c r="E2325" i="4"/>
  <c r="D2325" i="4"/>
  <c r="B2325" i="4"/>
  <c r="G2324" i="4"/>
  <c r="F2324" i="4"/>
  <c r="E2324" i="4"/>
  <c r="D2324" i="4"/>
  <c r="B2324" i="4"/>
  <c r="G2323" i="4"/>
  <c r="F2323" i="4"/>
  <c r="E2323" i="4"/>
  <c r="D2323" i="4"/>
  <c r="B2323" i="4"/>
  <c r="G2322" i="4"/>
  <c r="F2322" i="4"/>
  <c r="E2322" i="4"/>
  <c r="D2322" i="4"/>
  <c r="B2322" i="4"/>
  <c r="G2321" i="4"/>
  <c r="F2321" i="4"/>
  <c r="E2321" i="4"/>
  <c r="D2321" i="4"/>
  <c r="B2321" i="4"/>
  <c r="G2320" i="4"/>
  <c r="F2320" i="4"/>
  <c r="E2320" i="4"/>
  <c r="D2320" i="4"/>
  <c r="B2320" i="4"/>
  <c r="G2319" i="4"/>
  <c r="F2319" i="4"/>
  <c r="E2319" i="4"/>
  <c r="D2319" i="4"/>
  <c r="B2319" i="4"/>
  <c r="G2318" i="4"/>
  <c r="F2318" i="4"/>
  <c r="E2318" i="4"/>
  <c r="D2318" i="4"/>
  <c r="B2318" i="4"/>
  <c r="G2317" i="4"/>
  <c r="F2317" i="4"/>
  <c r="E2317" i="4"/>
  <c r="D2317" i="4"/>
  <c r="B2317" i="4"/>
  <c r="G2316" i="4"/>
  <c r="F2316" i="4"/>
  <c r="E2316" i="4"/>
  <c r="D2316" i="4"/>
  <c r="B2316" i="4"/>
  <c r="G2315" i="4"/>
  <c r="F2315" i="4"/>
  <c r="E2315" i="4"/>
  <c r="D2315" i="4"/>
  <c r="B2315" i="4"/>
  <c r="G2314" i="4"/>
  <c r="F2314" i="4"/>
  <c r="E2314" i="4"/>
  <c r="D2314" i="4"/>
  <c r="B2314" i="4"/>
  <c r="G2313" i="4"/>
  <c r="F2313" i="4"/>
  <c r="E2313" i="4"/>
  <c r="D2313" i="4"/>
  <c r="B2313" i="4"/>
  <c r="G2312" i="4"/>
  <c r="F2312" i="4"/>
  <c r="E2312" i="4"/>
  <c r="D2312" i="4"/>
  <c r="B2312" i="4"/>
  <c r="G2311" i="4"/>
  <c r="F2311" i="4"/>
  <c r="E2311" i="4"/>
  <c r="D2311" i="4"/>
  <c r="B2311" i="4"/>
  <c r="G2310" i="4"/>
  <c r="F2310" i="4"/>
  <c r="E2310" i="4"/>
  <c r="D2310" i="4"/>
  <c r="B2310" i="4"/>
  <c r="G2309" i="4"/>
  <c r="F2309" i="4"/>
  <c r="E2309" i="4"/>
  <c r="D2309" i="4"/>
  <c r="B2309" i="4"/>
  <c r="G2308" i="4"/>
  <c r="F2308" i="4"/>
  <c r="E2308" i="4"/>
  <c r="D2308" i="4"/>
  <c r="B2308" i="4"/>
  <c r="G2307" i="4"/>
  <c r="F2307" i="4"/>
  <c r="E2307" i="4"/>
  <c r="D2307" i="4"/>
  <c r="B2307" i="4"/>
  <c r="G2306" i="4"/>
  <c r="F2306" i="4"/>
  <c r="E2306" i="4"/>
  <c r="D2306" i="4"/>
  <c r="B2306" i="4"/>
  <c r="G2305" i="4"/>
  <c r="F2305" i="4"/>
  <c r="E2305" i="4"/>
  <c r="D2305" i="4"/>
  <c r="B2305" i="4"/>
  <c r="G2304" i="4"/>
  <c r="F2304" i="4"/>
  <c r="E2304" i="4"/>
  <c r="D2304" i="4"/>
  <c r="B2304" i="4"/>
  <c r="G2303" i="4"/>
  <c r="F2303" i="4"/>
  <c r="E2303" i="4"/>
  <c r="D2303" i="4"/>
  <c r="B2303" i="4"/>
  <c r="G2302" i="4"/>
  <c r="F2302" i="4"/>
  <c r="E2302" i="4"/>
  <c r="D2302" i="4"/>
  <c r="B2302" i="4"/>
  <c r="G2301" i="4"/>
  <c r="F2301" i="4"/>
  <c r="E2301" i="4"/>
  <c r="D2301" i="4"/>
  <c r="B2301" i="4"/>
  <c r="G2300" i="4"/>
  <c r="F2300" i="4"/>
  <c r="E2300" i="4"/>
  <c r="D2300" i="4"/>
  <c r="B2300" i="4"/>
  <c r="G2299" i="4"/>
  <c r="F2299" i="4"/>
  <c r="E2299" i="4"/>
  <c r="D2299" i="4"/>
  <c r="B2299" i="4"/>
  <c r="G2298" i="4"/>
  <c r="F2298" i="4"/>
  <c r="E2298" i="4"/>
  <c r="D2298" i="4"/>
  <c r="B2298" i="4"/>
  <c r="G2297" i="4"/>
  <c r="F2297" i="4"/>
  <c r="E2297" i="4"/>
  <c r="D2297" i="4"/>
  <c r="B2297" i="4"/>
  <c r="G2296" i="4"/>
  <c r="F2296" i="4"/>
  <c r="E2296" i="4"/>
  <c r="D2296" i="4"/>
  <c r="B2296" i="4"/>
  <c r="G2295" i="4"/>
  <c r="F2295" i="4"/>
  <c r="E2295" i="4"/>
  <c r="D2295" i="4"/>
  <c r="B2295" i="4"/>
  <c r="G2294" i="4"/>
  <c r="F2294" i="4"/>
  <c r="E2294" i="4"/>
  <c r="D2294" i="4"/>
  <c r="B2294" i="4"/>
  <c r="G2293" i="4"/>
  <c r="F2293" i="4"/>
  <c r="E2293" i="4"/>
  <c r="D2293" i="4"/>
  <c r="B2293" i="4"/>
  <c r="G2292" i="4"/>
  <c r="F2292" i="4"/>
  <c r="E2292" i="4"/>
  <c r="D2292" i="4"/>
  <c r="B2292" i="4"/>
  <c r="G2291" i="4"/>
  <c r="F2291" i="4"/>
  <c r="E2291" i="4"/>
  <c r="D2291" i="4"/>
  <c r="B2291" i="4"/>
  <c r="G2290" i="4"/>
  <c r="F2290" i="4"/>
  <c r="E2290" i="4"/>
  <c r="D2290" i="4"/>
  <c r="B2290" i="4"/>
  <c r="G2289" i="4"/>
  <c r="F2289" i="4"/>
  <c r="E2289" i="4"/>
  <c r="D2289" i="4"/>
  <c r="B2289" i="4"/>
  <c r="G2288" i="4"/>
  <c r="F2288" i="4"/>
  <c r="E2288" i="4"/>
  <c r="D2288" i="4"/>
  <c r="B2288" i="4"/>
  <c r="G2287" i="4"/>
  <c r="F2287" i="4"/>
  <c r="E2287" i="4"/>
  <c r="D2287" i="4"/>
  <c r="B2287" i="4"/>
  <c r="G2286" i="4"/>
  <c r="F2286" i="4"/>
  <c r="E2286" i="4"/>
  <c r="D2286" i="4"/>
  <c r="B2286" i="4"/>
  <c r="G2285" i="4"/>
  <c r="F2285" i="4"/>
  <c r="E2285" i="4"/>
  <c r="D2285" i="4"/>
  <c r="B2285" i="4"/>
  <c r="G2284" i="4"/>
  <c r="F2284" i="4"/>
  <c r="E2284" i="4"/>
  <c r="D2284" i="4"/>
  <c r="B2284" i="4"/>
  <c r="G2283" i="4"/>
  <c r="F2283" i="4"/>
  <c r="E2283" i="4"/>
  <c r="D2283" i="4"/>
  <c r="B2283" i="4"/>
  <c r="G2282" i="4"/>
  <c r="F2282" i="4"/>
  <c r="E2282" i="4"/>
  <c r="D2282" i="4"/>
  <c r="B2282" i="4"/>
  <c r="G2281" i="4"/>
  <c r="F2281" i="4"/>
  <c r="E2281" i="4"/>
  <c r="D2281" i="4"/>
  <c r="B2281" i="4"/>
  <c r="G2280" i="4"/>
  <c r="F2280" i="4"/>
  <c r="E2280" i="4"/>
  <c r="D2280" i="4"/>
  <c r="B2280" i="4"/>
  <c r="G2279" i="4"/>
  <c r="F2279" i="4"/>
  <c r="E2279" i="4"/>
  <c r="D2279" i="4"/>
  <c r="B2279" i="4"/>
  <c r="G2278" i="4"/>
  <c r="F2278" i="4"/>
  <c r="E2278" i="4"/>
  <c r="D2278" i="4"/>
  <c r="B2278" i="4"/>
  <c r="G2277" i="4"/>
  <c r="F2277" i="4"/>
  <c r="E2277" i="4"/>
  <c r="D2277" i="4"/>
  <c r="B2277" i="4"/>
  <c r="G2276" i="4"/>
  <c r="F2276" i="4"/>
  <c r="E2276" i="4"/>
  <c r="D2276" i="4"/>
  <c r="B2276" i="4"/>
  <c r="G2275" i="4"/>
  <c r="F2275" i="4"/>
  <c r="E2275" i="4"/>
  <c r="D2275" i="4"/>
  <c r="B2275" i="4"/>
  <c r="G2274" i="4"/>
  <c r="F2274" i="4"/>
  <c r="E2274" i="4"/>
  <c r="D2274" i="4"/>
  <c r="B2274" i="4"/>
  <c r="G2273" i="4"/>
  <c r="F2273" i="4"/>
  <c r="E2273" i="4"/>
  <c r="D2273" i="4"/>
  <c r="B2273" i="4"/>
  <c r="G2272" i="4"/>
  <c r="F2272" i="4"/>
  <c r="E2272" i="4"/>
  <c r="D2272" i="4"/>
  <c r="B2272" i="4"/>
  <c r="G2271" i="4"/>
  <c r="F2271" i="4"/>
  <c r="E2271" i="4"/>
  <c r="D2271" i="4"/>
  <c r="B2271" i="4"/>
  <c r="G2270" i="4"/>
  <c r="F2270" i="4"/>
  <c r="E2270" i="4"/>
  <c r="D2270" i="4"/>
  <c r="B2270" i="4"/>
  <c r="G2269" i="4"/>
  <c r="F2269" i="4"/>
  <c r="E2269" i="4"/>
  <c r="D2269" i="4"/>
  <c r="B2269" i="4"/>
  <c r="G2268" i="4"/>
  <c r="F2268" i="4"/>
  <c r="E2268" i="4"/>
  <c r="D2268" i="4"/>
  <c r="B2268" i="4"/>
  <c r="G2267" i="4"/>
  <c r="F2267" i="4"/>
  <c r="E2267" i="4"/>
  <c r="D2267" i="4"/>
  <c r="B2267" i="4"/>
  <c r="G2266" i="4"/>
  <c r="F2266" i="4"/>
  <c r="E2266" i="4"/>
  <c r="D2266" i="4"/>
  <c r="B2266" i="4"/>
  <c r="G2265" i="4"/>
  <c r="F2265" i="4"/>
  <c r="E2265" i="4"/>
  <c r="D2265" i="4"/>
  <c r="B2265" i="4"/>
  <c r="G2264" i="4"/>
  <c r="F2264" i="4"/>
  <c r="E2264" i="4"/>
  <c r="D2264" i="4"/>
  <c r="B2264" i="4"/>
  <c r="G2263" i="4"/>
  <c r="F2263" i="4"/>
  <c r="E2263" i="4"/>
  <c r="D2263" i="4"/>
  <c r="B2263" i="4"/>
  <c r="G2262" i="4"/>
  <c r="F2262" i="4"/>
  <c r="E2262" i="4"/>
  <c r="D2262" i="4"/>
  <c r="B2262" i="4"/>
  <c r="G2261" i="4"/>
  <c r="F2261" i="4"/>
  <c r="E2261" i="4"/>
  <c r="D2261" i="4"/>
  <c r="B2261" i="4"/>
  <c r="G2260" i="4"/>
  <c r="F2260" i="4"/>
  <c r="E2260" i="4"/>
  <c r="D2260" i="4"/>
  <c r="B2260" i="4"/>
  <c r="G2259" i="4"/>
  <c r="F2259" i="4"/>
  <c r="E2259" i="4"/>
  <c r="D2259" i="4"/>
  <c r="B2259" i="4"/>
  <c r="G2258" i="4"/>
  <c r="F2258" i="4"/>
  <c r="E2258" i="4"/>
  <c r="D2258" i="4"/>
  <c r="B2258" i="4"/>
  <c r="G2257" i="4"/>
  <c r="F2257" i="4"/>
  <c r="E2257" i="4"/>
  <c r="D2257" i="4"/>
  <c r="B2257" i="4"/>
  <c r="G2256" i="4"/>
  <c r="F2256" i="4"/>
  <c r="E2256" i="4"/>
  <c r="D2256" i="4"/>
  <c r="B2256" i="4"/>
  <c r="G2255" i="4"/>
  <c r="F2255" i="4"/>
  <c r="E2255" i="4"/>
  <c r="D2255" i="4"/>
  <c r="B2255" i="4"/>
  <c r="G2254" i="4"/>
  <c r="F2254" i="4"/>
  <c r="E2254" i="4"/>
  <c r="D2254" i="4"/>
  <c r="B2254" i="4"/>
  <c r="G2253" i="4"/>
  <c r="F2253" i="4"/>
  <c r="E2253" i="4"/>
  <c r="D2253" i="4"/>
  <c r="B2253" i="4"/>
  <c r="G2252" i="4"/>
  <c r="F2252" i="4"/>
  <c r="E2252" i="4"/>
  <c r="D2252" i="4"/>
  <c r="B2252" i="4"/>
  <c r="G2251" i="4"/>
  <c r="F2251" i="4"/>
  <c r="E2251" i="4"/>
  <c r="D2251" i="4"/>
  <c r="B2251" i="4"/>
  <c r="G2250" i="4"/>
  <c r="F2250" i="4"/>
  <c r="E2250" i="4"/>
  <c r="D2250" i="4"/>
  <c r="B2250" i="4"/>
  <c r="G2249" i="4"/>
  <c r="F2249" i="4"/>
  <c r="E2249" i="4"/>
  <c r="D2249" i="4"/>
  <c r="B2249" i="4"/>
  <c r="G2248" i="4"/>
  <c r="F2248" i="4"/>
  <c r="E2248" i="4"/>
  <c r="D2248" i="4"/>
  <c r="B2248" i="4"/>
  <c r="G2247" i="4"/>
  <c r="F2247" i="4"/>
  <c r="E2247" i="4"/>
  <c r="D2247" i="4"/>
  <c r="B2247" i="4"/>
  <c r="G2246" i="4"/>
  <c r="F2246" i="4"/>
  <c r="E2246" i="4"/>
  <c r="D2246" i="4"/>
  <c r="B2246" i="4"/>
  <c r="G2245" i="4"/>
  <c r="F2245" i="4"/>
  <c r="E2245" i="4"/>
  <c r="D2245" i="4"/>
  <c r="B2245" i="4"/>
  <c r="G2244" i="4"/>
  <c r="F2244" i="4"/>
  <c r="E2244" i="4"/>
  <c r="D2244" i="4"/>
  <c r="B2244" i="4"/>
  <c r="G2243" i="4"/>
  <c r="F2243" i="4"/>
  <c r="E2243" i="4"/>
  <c r="D2243" i="4"/>
  <c r="B2243" i="4"/>
  <c r="G2242" i="4"/>
  <c r="F2242" i="4"/>
  <c r="E2242" i="4"/>
  <c r="D2242" i="4"/>
  <c r="B2242" i="4"/>
  <c r="G2241" i="4"/>
  <c r="F2241" i="4"/>
  <c r="E2241" i="4"/>
  <c r="D2241" i="4"/>
  <c r="B2241" i="4"/>
  <c r="G2240" i="4"/>
  <c r="F2240" i="4"/>
  <c r="E2240" i="4"/>
  <c r="D2240" i="4"/>
  <c r="B2240" i="4"/>
  <c r="G2239" i="4"/>
  <c r="F2239" i="4"/>
  <c r="E2239" i="4"/>
  <c r="D2239" i="4"/>
  <c r="B2239" i="4"/>
  <c r="G2238" i="4"/>
  <c r="F2238" i="4"/>
  <c r="E2238" i="4"/>
  <c r="D2238" i="4"/>
  <c r="B2238" i="4"/>
  <c r="G2237" i="4"/>
  <c r="F2237" i="4"/>
  <c r="E2237" i="4"/>
  <c r="D2237" i="4"/>
  <c r="B2237" i="4"/>
  <c r="G2236" i="4"/>
  <c r="F2236" i="4"/>
  <c r="E2236" i="4"/>
  <c r="D2236" i="4"/>
  <c r="B2236" i="4"/>
  <c r="G2235" i="4"/>
  <c r="F2235" i="4"/>
  <c r="E2235" i="4"/>
  <c r="D2235" i="4"/>
  <c r="B2235" i="4"/>
  <c r="G2234" i="4"/>
  <c r="F2234" i="4"/>
  <c r="E2234" i="4"/>
  <c r="D2234" i="4"/>
  <c r="B2234" i="4"/>
  <c r="G2233" i="4"/>
  <c r="F2233" i="4"/>
  <c r="E2233" i="4"/>
  <c r="D2233" i="4"/>
  <c r="B2233" i="4"/>
  <c r="G2232" i="4"/>
  <c r="F2232" i="4"/>
  <c r="E2232" i="4"/>
  <c r="D2232" i="4"/>
  <c r="B2232" i="4"/>
  <c r="G2231" i="4"/>
  <c r="F2231" i="4"/>
  <c r="E2231" i="4"/>
  <c r="D2231" i="4"/>
  <c r="B2231" i="4"/>
  <c r="G2230" i="4"/>
  <c r="F2230" i="4"/>
  <c r="E2230" i="4"/>
  <c r="D2230" i="4"/>
  <c r="B2230" i="4"/>
  <c r="G2229" i="4"/>
  <c r="F2229" i="4"/>
  <c r="E2229" i="4"/>
  <c r="D2229" i="4"/>
  <c r="B2229" i="4"/>
  <c r="G2228" i="4"/>
  <c r="F2228" i="4"/>
  <c r="E2228" i="4"/>
  <c r="D2228" i="4"/>
  <c r="B2228" i="4"/>
  <c r="G2227" i="4"/>
  <c r="F2227" i="4"/>
  <c r="E2227" i="4"/>
  <c r="D2227" i="4"/>
  <c r="B2227" i="4"/>
  <c r="G2226" i="4"/>
  <c r="F2226" i="4"/>
  <c r="E2226" i="4"/>
  <c r="D2226" i="4"/>
  <c r="B2226" i="4"/>
  <c r="G2225" i="4"/>
  <c r="F2225" i="4"/>
  <c r="E2225" i="4"/>
  <c r="D2225" i="4"/>
  <c r="B2225" i="4"/>
  <c r="G2224" i="4"/>
  <c r="F2224" i="4"/>
  <c r="E2224" i="4"/>
  <c r="D2224" i="4"/>
  <c r="B2224" i="4"/>
  <c r="G2223" i="4"/>
  <c r="F2223" i="4"/>
  <c r="E2223" i="4"/>
  <c r="D2223" i="4"/>
  <c r="B2223" i="4"/>
  <c r="G2222" i="4"/>
  <c r="F2222" i="4"/>
  <c r="E2222" i="4"/>
  <c r="D2222" i="4"/>
  <c r="B2222" i="4"/>
  <c r="G2221" i="4"/>
  <c r="F2221" i="4"/>
  <c r="E2221" i="4"/>
  <c r="D2221" i="4"/>
  <c r="B2221" i="4"/>
  <c r="G2220" i="4"/>
  <c r="F2220" i="4"/>
  <c r="E2220" i="4"/>
  <c r="D2220" i="4"/>
  <c r="B2220" i="4"/>
  <c r="G2219" i="4"/>
  <c r="F2219" i="4"/>
  <c r="E2219" i="4"/>
  <c r="D2219" i="4"/>
  <c r="B2219" i="4"/>
  <c r="G2218" i="4"/>
  <c r="F2218" i="4"/>
  <c r="E2218" i="4"/>
  <c r="D2218" i="4"/>
  <c r="B2218" i="4"/>
  <c r="G2217" i="4"/>
  <c r="F2217" i="4"/>
  <c r="E2217" i="4"/>
  <c r="D2217" i="4"/>
  <c r="B2217" i="4"/>
  <c r="G2216" i="4"/>
  <c r="F2216" i="4"/>
  <c r="E2216" i="4"/>
  <c r="D2216" i="4"/>
  <c r="B2216" i="4"/>
  <c r="G2215" i="4"/>
  <c r="F2215" i="4"/>
  <c r="E2215" i="4"/>
  <c r="D2215" i="4"/>
  <c r="B2215" i="4"/>
  <c r="G2214" i="4"/>
  <c r="F2214" i="4"/>
  <c r="E2214" i="4"/>
  <c r="D2214" i="4"/>
  <c r="B2214" i="4"/>
  <c r="G2213" i="4"/>
  <c r="F2213" i="4"/>
  <c r="E2213" i="4"/>
  <c r="D2213" i="4"/>
  <c r="B2213" i="4"/>
  <c r="G2212" i="4"/>
  <c r="F2212" i="4"/>
  <c r="E2212" i="4"/>
  <c r="D2212" i="4"/>
  <c r="B2212" i="4"/>
  <c r="G2211" i="4"/>
  <c r="F2211" i="4"/>
  <c r="E2211" i="4"/>
  <c r="D2211" i="4"/>
  <c r="B2211" i="4"/>
  <c r="G2210" i="4"/>
  <c r="F2210" i="4"/>
  <c r="E2210" i="4"/>
  <c r="D2210" i="4"/>
  <c r="B2210" i="4"/>
  <c r="G2209" i="4"/>
  <c r="F2209" i="4"/>
  <c r="E2209" i="4"/>
  <c r="D2209" i="4"/>
  <c r="B2209" i="4"/>
  <c r="G2208" i="4"/>
  <c r="F2208" i="4"/>
  <c r="E2208" i="4"/>
  <c r="D2208" i="4"/>
  <c r="B2208" i="4"/>
  <c r="G2207" i="4"/>
  <c r="F2207" i="4"/>
  <c r="E2207" i="4"/>
  <c r="D2207" i="4"/>
  <c r="B2207" i="4"/>
  <c r="G2206" i="4"/>
  <c r="F2206" i="4"/>
  <c r="E2206" i="4"/>
  <c r="D2206" i="4"/>
  <c r="B2206" i="4"/>
  <c r="G2205" i="4"/>
  <c r="F2205" i="4"/>
  <c r="E2205" i="4"/>
  <c r="D2205" i="4"/>
  <c r="B2205" i="4"/>
  <c r="G2204" i="4"/>
  <c r="F2204" i="4"/>
  <c r="E2204" i="4"/>
  <c r="D2204" i="4"/>
  <c r="B2204" i="4"/>
  <c r="G2203" i="4"/>
  <c r="F2203" i="4"/>
  <c r="E2203" i="4"/>
  <c r="D2203" i="4"/>
  <c r="B2203" i="4"/>
  <c r="G2202" i="4"/>
  <c r="F2202" i="4"/>
  <c r="E2202" i="4"/>
  <c r="D2202" i="4"/>
  <c r="B2202" i="4"/>
  <c r="G2201" i="4"/>
  <c r="F2201" i="4"/>
  <c r="E2201" i="4"/>
  <c r="D2201" i="4"/>
  <c r="B2201" i="4"/>
  <c r="G2200" i="4"/>
  <c r="F2200" i="4"/>
  <c r="E2200" i="4"/>
  <c r="D2200" i="4"/>
  <c r="B2200" i="4"/>
  <c r="G2199" i="4"/>
  <c r="F2199" i="4"/>
  <c r="E2199" i="4"/>
  <c r="D2199" i="4"/>
  <c r="B2199" i="4"/>
  <c r="G2198" i="4"/>
  <c r="F2198" i="4"/>
  <c r="E2198" i="4"/>
  <c r="D2198" i="4"/>
  <c r="B2198" i="4"/>
  <c r="G2197" i="4"/>
  <c r="F2197" i="4"/>
  <c r="E2197" i="4"/>
  <c r="D2197" i="4"/>
  <c r="B2197" i="4"/>
  <c r="G2196" i="4"/>
  <c r="F2196" i="4"/>
  <c r="E2196" i="4"/>
  <c r="D2196" i="4"/>
  <c r="B2196" i="4"/>
  <c r="G2195" i="4"/>
  <c r="F2195" i="4"/>
  <c r="E2195" i="4"/>
  <c r="D2195" i="4"/>
  <c r="B2195" i="4"/>
  <c r="G2194" i="4"/>
  <c r="F2194" i="4"/>
  <c r="E2194" i="4"/>
  <c r="D2194" i="4"/>
  <c r="B2194" i="4"/>
  <c r="G2193" i="4"/>
  <c r="F2193" i="4"/>
  <c r="E2193" i="4"/>
  <c r="D2193" i="4"/>
  <c r="B2193" i="4"/>
  <c r="G2192" i="4"/>
  <c r="F2192" i="4"/>
  <c r="E2192" i="4"/>
  <c r="D2192" i="4"/>
  <c r="B2192" i="4"/>
  <c r="G2191" i="4"/>
  <c r="F2191" i="4"/>
  <c r="E2191" i="4"/>
  <c r="D2191" i="4"/>
  <c r="B2191" i="4"/>
  <c r="G2190" i="4"/>
  <c r="F2190" i="4"/>
  <c r="E2190" i="4"/>
  <c r="D2190" i="4"/>
  <c r="B2190" i="4"/>
  <c r="G2189" i="4"/>
  <c r="F2189" i="4"/>
  <c r="E2189" i="4"/>
  <c r="D2189" i="4"/>
  <c r="B2189" i="4"/>
  <c r="G2188" i="4"/>
  <c r="F2188" i="4"/>
  <c r="E2188" i="4"/>
  <c r="D2188" i="4"/>
  <c r="B2188" i="4"/>
  <c r="G2187" i="4"/>
  <c r="F2187" i="4"/>
  <c r="E2187" i="4"/>
  <c r="D2187" i="4"/>
  <c r="B2187" i="4"/>
  <c r="G2186" i="4"/>
  <c r="F2186" i="4"/>
  <c r="E2186" i="4"/>
  <c r="D2186" i="4"/>
  <c r="B2186" i="4"/>
  <c r="G2185" i="4"/>
  <c r="F2185" i="4"/>
  <c r="E2185" i="4"/>
  <c r="D2185" i="4"/>
  <c r="B2185" i="4"/>
  <c r="G2184" i="4"/>
  <c r="F2184" i="4"/>
  <c r="E2184" i="4"/>
  <c r="D2184" i="4"/>
  <c r="B2184" i="4"/>
  <c r="G2183" i="4"/>
  <c r="F2183" i="4"/>
  <c r="E2183" i="4"/>
  <c r="D2183" i="4"/>
  <c r="B2183" i="4"/>
  <c r="G2182" i="4"/>
  <c r="F2182" i="4"/>
  <c r="E2182" i="4"/>
  <c r="D2182" i="4"/>
  <c r="B2182" i="4"/>
  <c r="G2181" i="4"/>
  <c r="F2181" i="4"/>
  <c r="E2181" i="4"/>
  <c r="D2181" i="4"/>
  <c r="B2181" i="4"/>
  <c r="G2180" i="4"/>
  <c r="F2180" i="4"/>
  <c r="E2180" i="4"/>
  <c r="D2180" i="4"/>
  <c r="B2180" i="4"/>
  <c r="G2179" i="4"/>
  <c r="F2179" i="4"/>
  <c r="E2179" i="4"/>
  <c r="D2179" i="4"/>
  <c r="B2179" i="4"/>
  <c r="G2178" i="4"/>
  <c r="F2178" i="4"/>
  <c r="E2178" i="4"/>
  <c r="D2178" i="4"/>
  <c r="B2178" i="4"/>
  <c r="G2177" i="4"/>
  <c r="F2177" i="4"/>
  <c r="E2177" i="4"/>
  <c r="D2177" i="4"/>
  <c r="B2177" i="4"/>
  <c r="G2176" i="4"/>
  <c r="F2176" i="4"/>
  <c r="E2176" i="4"/>
  <c r="D2176" i="4"/>
  <c r="B2176" i="4"/>
  <c r="G2175" i="4"/>
  <c r="F2175" i="4"/>
  <c r="E2175" i="4"/>
  <c r="D2175" i="4"/>
  <c r="B2175" i="4"/>
  <c r="G2174" i="4"/>
  <c r="F2174" i="4"/>
  <c r="E2174" i="4"/>
  <c r="D2174" i="4"/>
  <c r="B2174" i="4"/>
  <c r="G2173" i="4"/>
  <c r="F2173" i="4"/>
  <c r="E2173" i="4"/>
  <c r="D2173" i="4"/>
  <c r="B2173" i="4"/>
  <c r="G2172" i="4"/>
  <c r="F2172" i="4"/>
  <c r="E2172" i="4"/>
  <c r="D2172" i="4"/>
  <c r="B2172" i="4"/>
  <c r="G2171" i="4"/>
  <c r="F2171" i="4"/>
  <c r="E2171" i="4"/>
  <c r="D2171" i="4"/>
  <c r="B2171" i="4"/>
  <c r="G2170" i="4"/>
  <c r="F2170" i="4"/>
  <c r="E2170" i="4"/>
  <c r="D2170" i="4"/>
  <c r="B2170" i="4"/>
  <c r="G2169" i="4"/>
  <c r="F2169" i="4"/>
  <c r="E2169" i="4"/>
  <c r="D2169" i="4"/>
  <c r="B2169" i="4"/>
  <c r="G2168" i="4"/>
  <c r="F2168" i="4"/>
  <c r="E2168" i="4"/>
  <c r="D2168" i="4"/>
  <c r="B2168" i="4"/>
  <c r="G2167" i="4"/>
  <c r="F2167" i="4"/>
  <c r="E2167" i="4"/>
  <c r="D2167" i="4"/>
  <c r="B2167" i="4"/>
  <c r="G2166" i="4"/>
  <c r="F2166" i="4"/>
  <c r="E2166" i="4"/>
  <c r="D2166" i="4"/>
  <c r="B2166" i="4"/>
  <c r="G2165" i="4"/>
  <c r="F2165" i="4"/>
  <c r="E2165" i="4"/>
  <c r="D2165" i="4"/>
  <c r="B2165" i="4"/>
  <c r="G2164" i="4"/>
  <c r="F2164" i="4"/>
  <c r="E2164" i="4"/>
  <c r="D2164" i="4"/>
  <c r="B2164" i="4"/>
  <c r="G2163" i="4"/>
  <c r="F2163" i="4"/>
  <c r="E2163" i="4"/>
  <c r="D2163" i="4"/>
  <c r="B2163" i="4"/>
  <c r="G2162" i="4"/>
  <c r="F2162" i="4"/>
  <c r="E2162" i="4"/>
  <c r="D2162" i="4"/>
  <c r="B2162" i="4"/>
  <c r="G2161" i="4"/>
  <c r="F2161" i="4"/>
  <c r="E2161" i="4"/>
  <c r="D2161" i="4"/>
  <c r="B2161" i="4"/>
  <c r="G2160" i="4"/>
  <c r="F2160" i="4"/>
  <c r="E2160" i="4"/>
  <c r="D2160" i="4"/>
  <c r="B2160" i="4"/>
  <c r="G2159" i="4"/>
  <c r="F2159" i="4"/>
  <c r="E2159" i="4"/>
  <c r="D2159" i="4"/>
  <c r="B2159" i="4"/>
  <c r="G2158" i="4"/>
  <c r="F2158" i="4"/>
  <c r="E2158" i="4"/>
  <c r="D2158" i="4"/>
  <c r="B2158" i="4"/>
  <c r="G2157" i="4"/>
  <c r="F2157" i="4"/>
  <c r="E2157" i="4"/>
  <c r="D2157" i="4"/>
  <c r="B2157" i="4"/>
  <c r="G2156" i="4"/>
  <c r="F2156" i="4"/>
  <c r="E2156" i="4"/>
  <c r="D2156" i="4"/>
  <c r="B2156" i="4"/>
  <c r="G2155" i="4"/>
  <c r="F2155" i="4"/>
  <c r="E2155" i="4"/>
  <c r="D2155" i="4"/>
  <c r="B2155" i="4"/>
  <c r="G2154" i="4"/>
  <c r="F2154" i="4"/>
  <c r="E2154" i="4"/>
  <c r="D2154" i="4"/>
  <c r="B2154" i="4"/>
  <c r="G2153" i="4"/>
  <c r="F2153" i="4"/>
  <c r="E2153" i="4"/>
  <c r="D2153" i="4"/>
  <c r="B2153" i="4"/>
  <c r="G2152" i="4"/>
  <c r="F2152" i="4"/>
  <c r="E2152" i="4"/>
  <c r="D2152" i="4"/>
  <c r="B2152" i="4"/>
  <c r="G2151" i="4"/>
  <c r="F2151" i="4"/>
  <c r="E2151" i="4"/>
  <c r="D2151" i="4"/>
  <c r="B2151" i="4"/>
  <c r="G2150" i="4"/>
  <c r="F2150" i="4"/>
  <c r="E2150" i="4"/>
  <c r="D2150" i="4"/>
  <c r="B2150" i="4"/>
  <c r="G2149" i="4"/>
  <c r="F2149" i="4"/>
  <c r="E2149" i="4"/>
  <c r="D2149" i="4"/>
  <c r="B2149" i="4"/>
  <c r="G2148" i="4"/>
  <c r="F2148" i="4"/>
  <c r="E2148" i="4"/>
  <c r="D2148" i="4"/>
  <c r="B2148" i="4"/>
  <c r="G2147" i="4"/>
  <c r="F2147" i="4"/>
  <c r="E2147" i="4"/>
  <c r="D2147" i="4"/>
  <c r="B2147" i="4"/>
  <c r="G2146" i="4"/>
  <c r="F2146" i="4"/>
  <c r="E2146" i="4"/>
  <c r="D2146" i="4"/>
  <c r="B2146" i="4"/>
  <c r="G2145" i="4"/>
  <c r="F2145" i="4"/>
  <c r="E2145" i="4"/>
  <c r="D2145" i="4"/>
  <c r="B2145" i="4"/>
  <c r="G2144" i="4"/>
  <c r="F2144" i="4"/>
  <c r="E2144" i="4"/>
  <c r="D2144" i="4"/>
  <c r="B2144" i="4"/>
  <c r="G2143" i="4"/>
  <c r="F2143" i="4"/>
  <c r="E2143" i="4"/>
  <c r="D2143" i="4"/>
  <c r="B2143" i="4"/>
  <c r="G2142" i="4"/>
  <c r="F2142" i="4"/>
  <c r="E2142" i="4"/>
  <c r="D2142" i="4"/>
  <c r="B2142" i="4"/>
  <c r="G2141" i="4"/>
  <c r="F2141" i="4"/>
  <c r="E2141" i="4"/>
  <c r="D2141" i="4"/>
  <c r="B2141" i="4"/>
  <c r="G2140" i="4"/>
  <c r="F2140" i="4"/>
  <c r="E2140" i="4"/>
  <c r="D2140" i="4"/>
  <c r="B2140" i="4"/>
  <c r="G2139" i="4"/>
  <c r="F2139" i="4"/>
  <c r="E2139" i="4"/>
  <c r="D2139" i="4"/>
  <c r="B2139" i="4"/>
  <c r="G2138" i="4"/>
  <c r="F2138" i="4"/>
  <c r="E2138" i="4"/>
  <c r="D2138" i="4"/>
  <c r="B2138" i="4"/>
  <c r="G2137" i="4"/>
  <c r="F2137" i="4"/>
  <c r="E2137" i="4"/>
  <c r="D2137" i="4"/>
  <c r="B2137" i="4"/>
  <c r="G2136" i="4"/>
  <c r="F2136" i="4"/>
  <c r="E2136" i="4"/>
  <c r="D2136" i="4"/>
  <c r="B2136" i="4"/>
  <c r="G2135" i="4"/>
  <c r="F2135" i="4"/>
  <c r="E2135" i="4"/>
  <c r="D2135" i="4"/>
  <c r="B2135" i="4"/>
  <c r="G2134" i="4"/>
  <c r="F2134" i="4"/>
  <c r="E2134" i="4"/>
  <c r="D2134" i="4"/>
  <c r="B2134" i="4"/>
  <c r="G2133" i="4"/>
  <c r="F2133" i="4"/>
  <c r="E2133" i="4"/>
  <c r="D2133" i="4"/>
  <c r="B2133" i="4"/>
  <c r="G2132" i="4"/>
  <c r="F2132" i="4"/>
  <c r="E2132" i="4"/>
  <c r="D2132" i="4"/>
  <c r="B2132" i="4"/>
  <c r="G2131" i="4"/>
  <c r="F2131" i="4"/>
  <c r="E2131" i="4"/>
  <c r="D2131" i="4"/>
  <c r="B2131" i="4"/>
  <c r="G2130" i="4"/>
  <c r="F2130" i="4"/>
  <c r="E2130" i="4"/>
  <c r="D2130" i="4"/>
  <c r="B2130" i="4"/>
  <c r="G2129" i="4"/>
  <c r="F2129" i="4"/>
  <c r="E2129" i="4"/>
  <c r="D2129" i="4"/>
  <c r="B2129" i="4"/>
  <c r="G2128" i="4"/>
  <c r="F2128" i="4"/>
  <c r="E2128" i="4"/>
  <c r="D2128" i="4"/>
  <c r="B2128" i="4"/>
  <c r="G2127" i="4"/>
  <c r="F2127" i="4"/>
  <c r="E2127" i="4"/>
  <c r="D2127" i="4"/>
  <c r="B2127" i="4"/>
  <c r="G2126" i="4"/>
  <c r="F2126" i="4"/>
  <c r="E2126" i="4"/>
  <c r="D2126" i="4"/>
  <c r="B2126" i="4"/>
  <c r="G2125" i="4"/>
  <c r="F2125" i="4"/>
  <c r="E2125" i="4"/>
  <c r="D2125" i="4"/>
  <c r="B2125" i="4"/>
  <c r="G2124" i="4"/>
  <c r="F2124" i="4"/>
  <c r="E2124" i="4"/>
  <c r="D2124" i="4"/>
  <c r="B2124" i="4"/>
  <c r="G2123" i="4"/>
  <c r="F2123" i="4"/>
  <c r="E2123" i="4"/>
  <c r="D2123" i="4"/>
  <c r="B2123" i="4"/>
  <c r="G2122" i="4"/>
  <c r="F2122" i="4"/>
  <c r="E2122" i="4"/>
  <c r="D2122" i="4"/>
  <c r="B2122" i="4"/>
  <c r="G2121" i="4"/>
  <c r="F2121" i="4"/>
  <c r="E2121" i="4"/>
  <c r="D2121" i="4"/>
  <c r="B2121" i="4"/>
  <c r="G2120" i="4"/>
  <c r="F2120" i="4"/>
  <c r="E2120" i="4"/>
  <c r="D2120" i="4"/>
  <c r="B2120" i="4"/>
  <c r="G2119" i="4"/>
  <c r="F2119" i="4"/>
  <c r="E2119" i="4"/>
  <c r="D2119" i="4"/>
  <c r="B2119" i="4"/>
  <c r="G2118" i="4"/>
  <c r="F2118" i="4"/>
  <c r="E2118" i="4"/>
  <c r="D2118" i="4"/>
  <c r="B2118" i="4"/>
  <c r="G2117" i="4"/>
  <c r="F2117" i="4"/>
  <c r="E2117" i="4"/>
  <c r="D2117" i="4"/>
  <c r="B2117" i="4"/>
  <c r="G2116" i="4"/>
  <c r="F2116" i="4"/>
  <c r="E2116" i="4"/>
  <c r="D2116" i="4"/>
  <c r="B2116" i="4"/>
  <c r="G2115" i="4"/>
  <c r="F2115" i="4"/>
  <c r="E2115" i="4"/>
  <c r="D2115" i="4"/>
  <c r="B2115" i="4"/>
  <c r="G2114" i="4"/>
  <c r="F2114" i="4"/>
  <c r="E2114" i="4"/>
  <c r="D2114" i="4"/>
  <c r="B2114" i="4"/>
  <c r="G2113" i="4"/>
  <c r="F2113" i="4"/>
  <c r="E2113" i="4"/>
  <c r="D2113" i="4"/>
  <c r="B2113" i="4"/>
  <c r="G2112" i="4"/>
  <c r="F2112" i="4"/>
  <c r="E2112" i="4"/>
  <c r="D2112" i="4"/>
  <c r="B2112" i="4"/>
  <c r="G2111" i="4"/>
  <c r="F2111" i="4"/>
  <c r="E2111" i="4"/>
  <c r="D2111" i="4"/>
  <c r="B2111" i="4"/>
  <c r="G2110" i="4"/>
  <c r="F2110" i="4"/>
  <c r="E2110" i="4"/>
  <c r="D2110" i="4"/>
  <c r="B2110" i="4"/>
  <c r="G2109" i="4"/>
  <c r="F2109" i="4"/>
  <c r="E2109" i="4"/>
  <c r="D2109" i="4"/>
  <c r="B2109" i="4"/>
  <c r="G2108" i="4"/>
  <c r="F2108" i="4"/>
  <c r="E2108" i="4"/>
  <c r="D2108" i="4"/>
  <c r="B2108" i="4"/>
  <c r="G2107" i="4"/>
  <c r="F2107" i="4"/>
  <c r="E2107" i="4"/>
  <c r="D2107" i="4"/>
  <c r="B2107" i="4"/>
  <c r="G2106" i="4"/>
  <c r="F2106" i="4"/>
  <c r="E2106" i="4"/>
  <c r="D2106" i="4"/>
  <c r="B2106" i="4"/>
  <c r="G2105" i="4"/>
  <c r="F2105" i="4"/>
  <c r="E2105" i="4"/>
  <c r="D2105" i="4"/>
  <c r="B2105" i="4"/>
  <c r="G2104" i="4"/>
  <c r="F2104" i="4"/>
  <c r="E2104" i="4"/>
  <c r="D2104" i="4"/>
  <c r="B2104" i="4"/>
  <c r="G2103" i="4"/>
  <c r="F2103" i="4"/>
  <c r="E2103" i="4"/>
  <c r="D2103" i="4"/>
  <c r="B2103" i="4"/>
  <c r="G2102" i="4"/>
  <c r="F2102" i="4"/>
  <c r="E2102" i="4"/>
  <c r="D2102" i="4"/>
  <c r="B2102" i="4"/>
  <c r="G2101" i="4"/>
  <c r="F2101" i="4"/>
  <c r="E2101" i="4"/>
  <c r="D2101" i="4"/>
  <c r="B2101" i="4"/>
  <c r="G2100" i="4"/>
  <c r="F2100" i="4"/>
  <c r="E2100" i="4"/>
  <c r="D2100" i="4"/>
  <c r="B2100" i="4"/>
  <c r="G2099" i="4"/>
  <c r="F2099" i="4"/>
  <c r="E2099" i="4"/>
  <c r="D2099" i="4"/>
  <c r="B2099" i="4"/>
  <c r="G2098" i="4"/>
  <c r="F2098" i="4"/>
  <c r="E2098" i="4"/>
  <c r="D2098" i="4"/>
  <c r="B2098" i="4"/>
  <c r="G2097" i="4"/>
  <c r="F2097" i="4"/>
  <c r="E2097" i="4"/>
  <c r="D2097" i="4"/>
  <c r="B2097" i="4"/>
  <c r="G2096" i="4"/>
  <c r="F2096" i="4"/>
  <c r="E2096" i="4"/>
  <c r="D2096" i="4"/>
  <c r="B2096" i="4"/>
  <c r="G2095" i="4"/>
  <c r="F2095" i="4"/>
  <c r="E2095" i="4"/>
  <c r="D2095" i="4"/>
  <c r="B2095" i="4"/>
  <c r="G2094" i="4"/>
  <c r="F2094" i="4"/>
  <c r="E2094" i="4"/>
  <c r="D2094" i="4"/>
  <c r="B2094" i="4"/>
  <c r="G2093" i="4"/>
  <c r="F2093" i="4"/>
  <c r="E2093" i="4"/>
  <c r="D2093" i="4"/>
  <c r="B2093" i="4"/>
  <c r="G2092" i="4"/>
  <c r="F2092" i="4"/>
  <c r="E2092" i="4"/>
  <c r="D2092" i="4"/>
  <c r="B2092" i="4"/>
  <c r="G2091" i="4"/>
  <c r="F2091" i="4"/>
  <c r="E2091" i="4"/>
  <c r="D2091" i="4"/>
  <c r="B2091" i="4"/>
  <c r="G2090" i="4"/>
  <c r="F2090" i="4"/>
  <c r="E2090" i="4"/>
  <c r="D2090" i="4"/>
  <c r="B2090" i="4"/>
  <c r="G2089" i="4"/>
  <c r="F2089" i="4"/>
  <c r="E2089" i="4"/>
  <c r="D2089" i="4"/>
  <c r="B2089" i="4"/>
  <c r="G2088" i="4"/>
  <c r="F2088" i="4"/>
  <c r="E2088" i="4"/>
  <c r="D2088" i="4"/>
  <c r="B2088" i="4"/>
  <c r="G2087" i="4"/>
  <c r="F2087" i="4"/>
  <c r="E2087" i="4"/>
  <c r="D2087" i="4"/>
  <c r="B2087" i="4"/>
  <c r="G2086" i="4"/>
  <c r="F2086" i="4"/>
  <c r="E2086" i="4"/>
  <c r="D2086" i="4"/>
  <c r="B2086" i="4"/>
  <c r="G2085" i="4"/>
  <c r="F2085" i="4"/>
  <c r="E2085" i="4"/>
  <c r="D2085" i="4"/>
  <c r="B2085" i="4"/>
  <c r="G2084" i="4"/>
  <c r="F2084" i="4"/>
  <c r="E2084" i="4"/>
  <c r="D2084" i="4"/>
  <c r="B2084" i="4"/>
  <c r="G2083" i="4"/>
  <c r="F2083" i="4"/>
  <c r="E2083" i="4"/>
  <c r="D2083" i="4"/>
  <c r="B2083" i="4"/>
  <c r="G2082" i="4"/>
  <c r="F2082" i="4"/>
  <c r="E2082" i="4"/>
  <c r="D2082" i="4"/>
  <c r="B2082" i="4"/>
  <c r="G2081" i="4"/>
  <c r="F2081" i="4"/>
  <c r="E2081" i="4"/>
  <c r="D2081" i="4"/>
  <c r="B2081" i="4"/>
  <c r="G2080" i="4"/>
  <c r="F2080" i="4"/>
  <c r="E2080" i="4"/>
  <c r="D2080" i="4"/>
  <c r="B2080" i="4"/>
  <c r="G2079" i="4"/>
  <c r="F2079" i="4"/>
  <c r="E2079" i="4"/>
  <c r="D2079" i="4"/>
  <c r="B2079" i="4"/>
  <c r="G2078" i="4"/>
  <c r="F2078" i="4"/>
  <c r="E2078" i="4"/>
  <c r="D2078" i="4"/>
  <c r="B2078" i="4"/>
  <c r="G2077" i="4"/>
  <c r="F2077" i="4"/>
  <c r="E2077" i="4"/>
  <c r="D2077" i="4"/>
  <c r="B2077" i="4"/>
  <c r="G2076" i="4"/>
  <c r="F2076" i="4"/>
  <c r="E2076" i="4"/>
  <c r="D2076" i="4"/>
  <c r="B2076" i="4"/>
  <c r="G2075" i="4"/>
  <c r="F2075" i="4"/>
  <c r="E2075" i="4"/>
  <c r="D2075" i="4"/>
  <c r="B2075" i="4"/>
  <c r="G2074" i="4"/>
  <c r="F2074" i="4"/>
  <c r="E2074" i="4"/>
  <c r="D2074" i="4"/>
  <c r="B2074" i="4"/>
  <c r="G2073" i="4"/>
  <c r="F2073" i="4"/>
  <c r="E2073" i="4"/>
  <c r="D2073" i="4"/>
  <c r="B2073" i="4"/>
  <c r="G2072" i="4"/>
  <c r="F2072" i="4"/>
  <c r="E2072" i="4"/>
  <c r="D2072" i="4"/>
  <c r="B2072" i="4"/>
  <c r="G2071" i="4"/>
  <c r="F2071" i="4"/>
  <c r="E2071" i="4"/>
  <c r="D2071" i="4"/>
  <c r="B2071" i="4"/>
  <c r="G2070" i="4"/>
  <c r="F2070" i="4"/>
  <c r="E2070" i="4"/>
  <c r="D2070" i="4"/>
  <c r="B2070" i="4"/>
  <c r="G2069" i="4"/>
  <c r="F2069" i="4"/>
  <c r="E2069" i="4"/>
  <c r="D2069" i="4"/>
  <c r="B2069" i="4"/>
  <c r="G2068" i="4"/>
  <c r="F2068" i="4"/>
  <c r="E2068" i="4"/>
  <c r="D2068" i="4"/>
  <c r="B2068" i="4"/>
  <c r="G2067" i="4"/>
  <c r="F2067" i="4"/>
  <c r="E2067" i="4"/>
  <c r="D2067" i="4"/>
  <c r="B2067" i="4"/>
  <c r="G2066" i="4"/>
  <c r="F2066" i="4"/>
  <c r="E2066" i="4"/>
  <c r="D2066" i="4"/>
  <c r="B2066" i="4"/>
  <c r="G2065" i="4"/>
  <c r="F2065" i="4"/>
  <c r="E2065" i="4"/>
  <c r="D2065" i="4"/>
  <c r="B2065" i="4"/>
  <c r="G2064" i="4"/>
  <c r="F2064" i="4"/>
  <c r="E2064" i="4"/>
  <c r="D2064" i="4"/>
  <c r="B2064" i="4"/>
  <c r="G2063" i="4"/>
  <c r="F2063" i="4"/>
  <c r="E2063" i="4"/>
  <c r="D2063" i="4"/>
  <c r="B2063" i="4"/>
  <c r="G2062" i="4"/>
  <c r="F2062" i="4"/>
  <c r="E2062" i="4"/>
  <c r="D2062" i="4"/>
  <c r="B2062" i="4"/>
  <c r="G2061" i="4"/>
  <c r="F2061" i="4"/>
  <c r="E2061" i="4"/>
  <c r="D2061" i="4"/>
  <c r="B2061" i="4"/>
  <c r="G2060" i="4"/>
  <c r="F2060" i="4"/>
  <c r="E2060" i="4"/>
  <c r="D2060" i="4"/>
  <c r="B2060" i="4"/>
  <c r="G2059" i="4"/>
  <c r="F2059" i="4"/>
  <c r="E2059" i="4"/>
  <c r="D2059" i="4"/>
  <c r="B2059" i="4"/>
  <c r="G2058" i="4"/>
  <c r="F2058" i="4"/>
  <c r="E2058" i="4"/>
  <c r="D2058" i="4"/>
  <c r="B2058" i="4"/>
  <c r="G2057" i="4"/>
  <c r="F2057" i="4"/>
  <c r="E2057" i="4"/>
  <c r="D2057" i="4"/>
  <c r="B2057" i="4"/>
  <c r="G2056" i="4"/>
  <c r="F2056" i="4"/>
  <c r="E2056" i="4"/>
  <c r="D2056" i="4"/>
  <c r="B2056" i="4"/>
  <c r="G2055" i="4"/>
  <c r="F2055" i="4"/>
  <c r="E2055" i="4"/>
  <c r="D2055" i="4"/>
  <c r="B2055" i="4"/>
  <c r="G2054" i="4"/>
  <c r="F2054" i="4"/>
  <c r="E2054" i="4"/>
  <c r="D2054" i="4"/>
  <c r="B2054" i="4"/>
  <c r="G2053" i="4"/>
  <c r="F2053" i="4"/>
  <c r="E2053" i="4"/>
  <c r="D2053" i="4"/>
  <c r="B2053" i="4"/>
  <c r="G2052" i="4"/>
  <c r="F2052" i="4"/>
  <c r="E2052" i="4"/>
  <c r="D2052" i="4"/>
  <c r="B2052" i="4"/>
  <c r="G2051" i="4"/>
  <c r="F2051" i="4"/>
  <c r="E2051" i="4"/>
  <c r="D2051" i="4"/>
  <c r="B2051" i="4"/>
  <c r="G2050" i="4"/>
  <c r="F2050" i="4"/>
  <c r="E2050" i="4"/>
  <c r="D2050" i="4"/>
  <c r="B2050" i="4"/>
  <c r="G2049" i="4"/>
  <c r="F2049" i="4"/>
  <c r="E2049" i="4"/>
  <c r="D2049" i="4"/>
  <c r="B2049" i="4"/>
  <c r="G2048" i="4"/>
  <c r="F2048" i="4"/>
  <c r="E2048" i="4"/>
  <c r="D2048" i="4"/>
  <c r="B2048" i="4"/>
  <c r="G2047" i="4"/>
  <c r="F2047" i="4"/>
  <c r="E2047" i="4"/>
  <c r="D2047" i="4"/>
  <c r="B2047" i="4"/>
  <c r="G2046" i="4"/>
  <c r="F2046" i="4"/>
  <c r="E2046" i="4"/>
  <c r="D2046" i="4"/>
  <c r="B2046" i="4"/>
  <c r="G2045" i="4"/>
  <c r="F2045" i="4"/>
  <c r="E2045" i="4"/>
  <c r="D2045" i="4"/>
  <c r="B2045" i="4"/>
  <c r="G2044" i="4"/>
  <c r="F2044" i="4"/>
  <c r="E2044" i="4"/>
  <c r="D2044" i="4"/>
  <c r="B2044" i="4"/>
  <c r="G2043" i="4"/>
  <c r="F2043" i="4"/>
  <c r="E2043" i="4"/>
  <c r="D2043" i="4"/>
  <c r="B2043" i="4"/>
  <c r="G2042" i="4"/>
  <c r="F2042" i="4"/>
  <c r="E2042" i="4"/>
  <c r="D2042" i="4"/>
  <c r="B2042" i="4"/>
  <c r="G2041" i="4"/>
  <c r="F2041" i="4"/>
  <c r="E2041" i="4"/>
  <c r="D2041" i="4"/>
  <c r="B2041" i="4"/>
  <c r="G2040" i="4"/>
  <c r="F2040" i="4"/>
  <c r="E2040" i="4"/>
  <c r="D2040" i="4"/>
  <c r="B2040" i="4"/>
  <c r="G2039" i="4"/>
  <c r="F2039" i="4"/>
  <c r="E2039" i="4"/>
  <c r="D2039" i="4"/>
  <c r="B2039" i="4"/>
  <c r="G2038" i="4"/>
  <c r="F2038" i="4"/>
  <c r="E2038" i="4"/>
  <c r="D2038" i="4"/>
  <c r="B2038" i="4"/>
  <c r="G2037" i="4"/>
  <c r="F2037" i="4"/>
  <c r="E2037" i="4"/>
  <c r="D2037" i="4"/>
  <c r="B2037" i="4"/>
  <c r="G2036" i="4"/>
  <c r="F2036" i="4"/>
  <c r="E2036" i="4"/>
  <c r="D2036" i="4"/>
  <c r="B2036" i="4"/>
  <c r="G2035" i="4"/>
  <c r="F2035" i="4"/>
  <c r="E2035" i="4"/>
  <c r="D2035" i="4"/>
  <c r="B2035" i="4"/>
  <c r="G2034" i="4"/>
  <c r="F2034" i="4"/>
  <c r="E2034" i="4"/>
  <c r="D2034" i="4"/>
  <c r="B2034" i="4"/>
  <c r="G2033" i="4"/>
  <c r="F2033" i="4"/>
  <c r="E2033" i="4"/>
  <c r="D2033" i="4"/>
  <c r="B2033" i="4"/>
  <c r="G2032" i="4"/>
  <c r="F2032" i="4"/>
  <c r="E2032" i="4"/>
  <c r="D2032" i="4"/>
  <c r="B2032" i="4"/>
  <c r="G2031" i="4"/>
  <c r="F2031" i="4"/>
  <c r="E2031" i="4"/>
  <c r="D2031" i="4"/>
  <c r="B2031" i="4"/>
  <c r="G2030" i="4"/>
  <c r="F2030" i="4"/>
  <c r="E2030" i="4"/>
  <c r="D2030" i="4"/>
  <c r="B2030" i="4"/>
  <c r="G2029" i="4"/>
  <c r="F2029" i="4"/>
  <c r="E2029" i="4"/>
  <c r="D2029" i="4"/>
  <c r="B2029" i="4"/>
  <c r="G2028" i="4"/>
  <c r="F2028" i="4"/>
  <c r="E2028" i="4"/>
  <c r="D2028" i="4"/>
  <c r="B2028" i="4"/>
  <c r="G2027" i="4"/>
  <c r="F2027" i="4"/>
  <c r="E2027" i="4"/>
  <c r="D2027" i="4"/>
  <c r="B2027" i="4"/>
  <c r="G2026" i="4"/>
  <c r="F2026" i="4"/>
  <c r="E2026" i="4"/>
  <c r="D2026" i="4"/>
  <c r="B2026" i="4"/>
  <c r="G2025" i="4"/>
  <c r="F2025" i="4"/>
  <c r="E2025" i="4"/>
  <c r="D2025" i="4"/>
  <c r="B2025" i="4"/>
  <c r="G2024" i="4"/>
  <c r="F2024" i="4"/>
  <c r="E2024" i="4"/>
  <c r="D2024" i="4"/>
  <c r="B2024" i="4"/>
  <c r="G2023" i="4"/>
  <c r="F2023" i="4"/>
  <c r="E2023" i="4"/>
  <c r="D2023" i="4"/>
  <c r="B2023" i="4"/>
  <c r="G2022" i="4"/>
  <c r="F2022" i="4"/>
  <c r="E2022" i="4"/>
  <c r="D2022" i="4"/>
  <c r="B2022" i="4"/>
  <c r="G2021" i="4"/>
  <c r="F2021" i="4"/>
  <c r="E2021" i="4"/>
  <c r="D2021" i="4"/>
  <c r="B2021" i="4"/>
  <c r="G2020" i="4"/>
  <c r="F2020" i="4"/>
  <c r="E2020" i="4"/>
  <c r="D2020" i="4"/>
  <c r="B2020" i="4"/>
  <c r="G2019" i="4"/>
  <c r="F2019" i="4"/>
  <c r="E2019" i="4"/>
  <c r="D2019" i="4"/>
  <c r="B2019" i="4"/>
  <c r="G2018" i="4"/>
  <c r="F2018" i="4"/>
  <c r="E2018" i="4"/>
  <c r="D2018" i="4"/>
  <c r="B2018" i="4"/>
  <c r="G2017" i="4"/>
  <c r="F2017" i="4"/>
  <c r="E2017" i="4"/>
  <c r="D2017" i="4"/>
  <c r="B2017" i="4"/>
  <c r="G2016" i="4"/>
  <c r="F2016" i="4"/>
  <c r="E2016" i="4"/>
  <c r="D2016" i="4"/>
  <c r="B2016" i="4"/>
  <c r="G2015" i="4"/>
  <c r="F2015" i="4"/>
  <c r="E2015" i="4"/>
  <c r="D2015" i="4"/>
  <c r="B2015" i="4"/>
  <c r="G2014" i="4"/>
  <c r="F2014" i="4"/>
  <c r="E2014" i="4"/>
  <c r="D2014" i="4"/>
  <c r="B2014" i="4"/>
  <c r="G2013" i="4"/>
  <c r="F2013" i="4"/>
  <c r="E2013" i="4"/>
  <c r="D2013" i="4"/>
  <c r="B2013" i="4"/>
  <c r="G2012" i="4"/>
  <c r="F2012" i="4"/>
  <c r="E2012" i="4"/>
  <c r="D2012" i="4"/>
  <c r="B2012" i="4"/>
  <c r="G2011" i="4"/>
  <c r="F2011" i="4"/>
  <c r="E2011" i="4"/>
  <c r="D2011" i="4"/>
  <c r="B2011" i="4"/>
  <c r="G2010" i="4"/>
  <c r="F2010" i="4"/>
  <c r="E2010" i="4"/>
  <c r="D2010" i="4"/>
  <c r="B2010" i="4"/>
  <c r="G2009" i="4"/>
  <c r="F2009" i="4"/>
  <c r="E2009" i="4"/>
  <c r="D2009" i="4"/>
  <c r="B2009" i="4"/>
  <c r="G2008" i="4"/>
  <c r="F2008" i="4"/>
  <c r="E2008" i="4"/>
  <c r="D2008" i="4"/>
  <c r="B2008" i="4"/>
  <c r="G2007" i="4"/>
  <c r="F2007" i="4"/>
  <c r="E2007" i="4"/>
  <c r="D2007" i="4"/>
  <c r="B2007" i="4"/>
  <c r="G2006" i="4"/>
  <c r="F2006" i="4"/>
  <c r="E2006" i="4"/>
  <c r="D2006" i="4"/>
  <c r="B2006" i="4"/>
  <c r="G2005" i="4"/>
  <c r="F2005" i="4"/>
  <c r="E2005" i="4"/>
  <c r="D2005" i="4"/>
  <c r="B2005" i="4"/>
  <c r="G2004" i="4"/>
  <c r="F2004" i="4"/>
  <c r="E2004" i="4"/>
  <c r="D2004" i="4"/>
  <c r="B2004" i="4"/>
  <c r="G2003" i="4"/>
  <c r="F2003" i="4"/>
  <c r="E2003" i="4"/>
  <c r="D2003" i="4"/>
  <c r="B2003" i="4"/>
  <c r="G2002" i="4"/>
  <c r="F2002" i="4"/>
  <c r="E2002" i="4"/>
  <c r="D2002" i="4"/>
  <c r="B2002" i="4"/>
  <c r="G2001" i="4"/>
  <c r="F2001" i="4"/>
  <c r="E2001" i="4"/>
  <c r="D2001" i="4"/>
  <c r="B2001" i="4"/>
  <c r="G2000" i="4"/>
  <c r="F2000" i="4"/>
  <c r="E2000" i="4"/>
  <c r="D2000" i="4"/>
  <c r="B2000" i="4"/>
  <c r="G1999" i="4"/>
  <c r="F1999" i="4"/>
  <c r="E1999" i="4"/>
  <c r="D1999" i="4"/>
  <c r="B1999" i="4"/>
  <c r="G1998" i="4"/>
  <c r="F1998" i="4"/>
  <c r="E1998" i="4"/>
  <c r="D1998" i="4"/>
  <c r="B1998" i="4"/>
  <c r="G1997" i="4"/>
  <c r="F1997" i="4"/>
  <c r="E1997" i="4"/>
  <c r="D1997" i="4"/>
  <c r="B1997" i="4"/>
  <c r="G1996" i="4"/>
  <c r="F1996" i="4"/>
  <c r="E1996" i="4"/>
  <c r="D1996" i="4"/>
  <c r="B1996" i="4"/>
  <c r="G1995" i="4"/>
  <c r="F1995" i="4"/>
  <c r="E1995" i="4"/>
  <c r="D1995" i="4"/>
  <c r="B1995" i="4"/>
  <c r="G1994" i="4"/>
  <c r="F1994" i="4"/>
  <c r="E1994" i="4"/>
  <c r="D1994" i="4"/>
  <c r="B1994" i="4"/>
  <c r="G1993" i="4"/>
  <c r="F1993" i="4"/>
  <c r="E1993" i="4"/>
  <c r="D1993" i="4"/>
  <c r="B1993" i="4"/>
  <c r="G1992" i="4"/>
  <c r="F1992" i="4"/>
  <c r="E1992" i="4"/>
  <c r="D1992" i="4"/>
  <c r="B1992" i="4"/>
  <c r="G1991" i="4"/>
  <c r="F1991" i="4"/>
  <c r="E1991" i="4"/>
  <c r="D1991" i="4"/>
  <c r="B1991" i="4"/>
  <c r="G1990" i="4"/>
  <c r="F1990" i="4"/>
  <c r="E1990" i="4"/>
  <c r="D1990" i="4"/>
  <c r="B1990" i="4"/>
  <c r="G1989" i="4"/>
  <c r="F1989" i="4"/>
  <c r="E1989" i="4"/>
  <c r="D1989" i="4"/>
  <c r="B1989" i="4"/>
  <c r="G1988" i="4"/>
  <c r="F1988" i="4"/>
  <c r="E1988" i="4"/>
  <c r="D1988" i="4"/>
  <c r="B1988" i="4"/>
  <c r="G1987" i="4"/>
  <c r="F1987" i="4"/>
  <c r="E1987" i="4"/>
  <c r="D1987" i="4"/>
  <c r="B1987" i="4"/>
  <c r="G1986" i="4"/>
  <c r="F1986" i="4"/>
  <c r="E1986" i="4"/>
  <c r="D1986" i="4"/>
  <c r="B1986" i="4"/>
  <c r="G1985" i="4"/>
  <c r="F1985" i="4"/>
  <c r="E1985" i="4"/>
  <c r="D1985" i="4"/>
  <c r="B1985" i="4"/>
  <c r="G1984" i="4"/>
  <c r="F1984" i="4"/>
  <c r="E1984" i="4"/>
  <c r="D1984" i="4"/>
  <c r="B1984" i="4"/>
  <c r="G1983" i="4"/>
  <c r="F1983" i="4"/>
  <c r="E1983" i="4"/>
  <c r="D1983" i="4"/>
  <c r="B1983" i="4"/>
  <c r="G1982" i="4"/>
  <c r="F1982" i="4"/>
  <c r="E1982" i="4"/>
  <c r="D1982" i="4"/>
  <c r="B1982" i="4"/>
  <c r="G1981" i="4"/>
  <c r="F1981" i="4"/>
  <c r="E1981" i="4"/>
  <c r="D1981" i="4"/>
  <c r="B1981" i="4"/>
  <c r="G1980" i="4"/>
  <c r="F1980" i="4"/>
  <c r="E1980" i="4"/>
  <c r="D1980" i="4"/>
  <c r="B1980" i="4"/>
  <c r="G1979" i="4"/>
  <c r="F1979" i="4"/>
  <c r="E1979" i="4"/>
  <c r="D1979" i="4"/>
  <c r="B1979" i="4"/>
  <c r="G1978" i="4"/>
  <c r="F1978" i="4"/>
  <c r="E1978" i="4"/>
  <c r="D1978" i="4"/>
  <c r="B1978" i="4"/>
  <c r="G1977" i="4"/>
  <c r="F1977" i="4"/>
  <c r="E1977" i="4"/>
  <c r="D1977" i="4"/>
  <c r="B1977" i="4"/>
  <c r="G1976" i="4"/>
  <c r="F1976" i="4"/>
  <c r="E1976" i="4"/>
  <c r="D1976" i="4"/>
  <c r="B1976" i="4"/>
  <c r="G1975" i="4"/>
  <c r="F1975" i="4"/>
  <c r="E1975" i="4"/>
  <c r="D1975" i="4"/>
  <c r="B1975" i="4"/>
  <c r="G1974" i="4"/>
  <c r="F1974" i="4"/>
  <c r="E1974" i="4"/>
  <c r="D1974" i="4"/>
  <c r="B1974" i="4"/>
  <c r="G1973" i="4"/>
  <c r="F1973" i="4"/>
  <c r="E1973" i="4"/>
  <c r="D1973" i="4"/>
  <c r="B1973" i="4"/>
  <c r="G1972" i="4"/>
  <c r="F1972" i="4"/>
  <c r="E1972" i="4"/>
  <c r="D1972" i="4"/>
  <c r="B1972" i="4"/>
  <c r="G1971" i="4"/>
  <c r="F1971" i="4"/>
  <c r="E1971" i="4"/>
  <c r="D1971" i="4"/>
  <c r="B1971" i="4"/>
  <c r="G1970" i="4"/>
  <c r="F1970" i="4"/>
  <c r="E1970" i="4"/>
  <c r="D1970" i="4"/>
  <c r="B1970" i="4"/>
  <c r="G1969" i="4"/>
  <c r="F1969" i="4"/>
  <c r="E1969" i="4"/>
  <c r="D1969" i="4"/>
  <c r="B1969" i="4"/>
  <c r="G1968" i="4"/>
  <c r="F1968" i="4"/>
  <c r="E1968" i="4"/>
  <c r="D1968" i="4"/>
  <c r="B1968" i="4"/>
  <c r="G1967" i="4"/>
  <c r="F1967" i="4"/>
  <c r="E1967" i="4"/>
  <c r="D1967" i="4"/>
  <c r="B1967" i="4"/>
  <c r="G1966" i="4"/>
  <c r="F1966" i="4"/>
  <c r="E1966" i="4"/>
  <c r="D1966" i="4"/>
  <c r="B1966" i="4"/>
  <c r="G1965" i="4"/>
  <c r="F1965" i="4"/>
  <c r="E1965" i="4"/>
  <c r="D1965" i="4"/>
  <c r="B1965" i="4"/>
  <c r="G1964" i="4"/>
  <c r="F1964" i="4"/>
  <c r="E1964" i="4"/>
  <c r="D1964" i="4"/>
  <c r="B1964" i="4"/>
  <c r="G1963" i="4"/>
  <c r="F1963" i="4"/>
  <c r="E1963" i="4"/>
  <c r="D1963" i="4"/>
  <c r="B1963" i="4"/>
  <c r="G1962" i="4"/>
  <c r="F1962" i="4"/>
  <c r="E1962" i="4"/>
  <c r="D1962" i="4"/>
  <c r="B1962" i="4"/>
  <c r="G1961" i="4"/>
  <c r="F1961" i="4"/>
  <c r="E1961" i="4"/>
  <c r="D1961" i="4"/>
  <c r="B1961" i="4"/>
  <c r="G1960" i="4"/>
  <c r="F1960" i="4"/>
  <c r="E1960" i="4"/>
  <c r="D1960" i="4"/>
  <c r="B1960" i="4"/>
  <c r="G1959" i="4"/>
  <c r="F1959" i="4"/>
  <c r="E1959" i="4"/>
  <c r="D1959" i="4"/>
  <c r="B1959" i="4"/>
  <c r="G1958" i="4"/>
  <c r="F1958" i="4"/>
  <c r="E1958" i="4"/>
  <c r="D1958" i="4"/>
  <c r="B1958" i="4"/>
  <c r="G1957" i="4"/>
  <c r="F1957" i="4"/>
  <c r="E1957" i="4"/>
  <c r="D1957" i="4"/>
  <c r="B1957" i="4"/>
  <c r="G1956" i="4"/>
  <c r="F1956" i="4"/>
  <c r="E1956" i="4"/>
  <c r="D1956" i="4"/>
  <c r="B1956" i="4"/>
  <c r="G1955" i="4"/>
  <c r="F1955" i="4"/>
  <c r="E1955" i="4"/>
  <c r="D1955" i="4"/>
  <c r="B1955" i="4"/>
  <c r="G1954" i="4"/>
  <c r="F1954" i="4"/>
  <c r="E1954" i="4"/>
  <c r="D1954" i="4"/>
  <c r="B1954" i="4"/>
  <c r="G1953" i="4"/>
  <c r="F1953" i="4"/>
  <c r="E1953" i="4"/>
  <c r="D1953" i="4"/>
  <c r="B1953" i="4"/>
  <c r="G1952" i="4"/>
  <c r="F1952" i="4"/>
  <c r="E1952" i="4"/>
  <c r="D1952" i="4"/>
  <c r="B1952" i="4"/>
  <c r="G1951" i="4"/>
  <c r="F1951" i="4"/>
  <c r="E1951" i="4"/>
  <c r="D1951" i="4"/>
  <c r="B1951" i="4"/>
  <c r="G1950" i="4"/>
  <c r="F1950" i="4"/>
  <c r="E1950" i="4"/>
  <c r="D1950" i="4"/>
  <c r="B1950" i="4"/>
  <c r="G1949" i="4"/>
  <c r="F1949" i="4"/>
  <c r="E1949" i="4"/>
  <c r="D1949" i="4"/>
  <c r="B1949" i="4"/>
  <c r="G1948" i="4"/>
  <c r="F1948" i="4"/>
  <c r="E1948" i="4"/>
  <c r="D1948" i="4"/>
  <c r="B1948" i="4"/>
  <c r="G1947" i="4"/>
  <c r="F1947" i="4"/>
  <c r="E1947" i="4"/>
  <c r="D1947" i="4"/>
  <c r="B1947" i="4"/>
  <c r="G1946" i="4"/>
  <c r="F1946" i="4"/>
  <c r="E1946" i="4"/>
  <c r="D1946" i="4"/>
  <c r="B1946" i="4"/>
  <c r="G1945" i="4"/>
  <c r="F1945" i="4"/>
  <c r="E1945" i="4"/>
  <c r="D1945" i="4"/>
  <c r="B1945" i="4"/>
  <c r="G1944" i="4"/>
  <c r="F1944" i="4"/>
  <c r="E1944" i="4"/>
  <c r="D1944" i="4"/>
  <c r="B1944" i="4"/>
  <c r="G1943" i="4"/>
  <c r="F1943" i="4"/>
  <c r="E1943" i="4"/>
  <c r="D1943" i="4"/>
  <c r="B1943" i="4"/>
  <c r="G1942" i="4"/>
  <c r="F1942" i="4"/>
  <c r="E1942" i="4"/>
  <c r="D1942" i="4"/>
  <c r="B1942" i="4"/>
  <c r="G1941" i="4"/>
  <c r="F1941" i="4"/>
  <c r="E1941" i="4"/>
  <c r="D1941" i="4"/>
  <c r="B1941" i="4"/>
  <c r="G1940" i="4"/>
  <c r="F1940" i="4"/>
  <c r="E1940" i="4"/>
  <c r="D1940" i="4"/>
  <c r="B1940" i="4"/>
  <c r="G1939" i="4"/>
  <c r="F1939" i="4"/>
  <c r="E1939" i="4"/>
  <c r="D1939" i="4"/>
  <c r="B1939" i="4"/>
  <c r="G1938" i="4"/>
  <c r="F1938" i="4"/>
  <c r="E1938" i="4"/>
  <c r="D1938" i="4"/>
  <c r="B1938" i="4"/>
  <c r="G1937" i="4"/>
  <c r="F1937" i="4"/>
  <c r="E1937" i="4"/>
  <c r="D1937" i="4"/>
  <c r="B1937" i="4"/>
  <c r="G1936" i="4"/>
  <c r="F1936" i="4"/>
  <c r="E1936" i="4"/>
  <c r="D1936" i="4"/>
  <c r="B1936" i="4"/>
  <c r="G1935" i="4"/>
  <c r="F1935" i="4"/>
  <c r="E1935" i="4"/>
  <c r="D1935" i="4"/>
  <c r="B1935" i="4"/>
  <c r="G1934" i="4"/>
  <c r="F1934" i="4"/>
  <c r="E1934" i="4"/>
  <c r="D1934" i="4"/>
  <c r="B1934" i="4"/>
  <c r="G1933" i="4"/>
  <c r="F1933" i="4"/>
  <c r="E1933" i="4"/>
  <c r="D1933" i="4"/>
  <c r="B1933" i="4"/>
  <c r="G1932" i="4"/>
  <c r="F1932" i="4"/>
  <c r="E1932" i="4"/>
  <c r="D1932" i="4"/>
  <c r="B1932" i="4"/>
  <c r="G1931" i="4"/>
  <c r="F1931" i="4"/>
  <c r="E1931" i="4"/>
  <c r="D1931" i="4"/>
  <c r="B1931" i="4"/>
  <c r="G1930" i="4"/>
  <c r="F1930" i="4"/>
  <c r="E1930" i="4"/>
  <c r="D1930" i="4"/>
  <c r="B1930" i="4"/>
  <c r="G1929" i="4"/>
  <c r="F1929" i="4"/>
  <c r="E1929" i="4"/>
  <c r="D1929" i="4"/>
  <c r="B1929" i="4"/>
  <c r="G1928" i="4"/>
  <c r="F1928" i="4"/>
  <c r="E1928" i="4"/>
  <c r="D1928" i="4"/>
  <c r="B1928" i="4"/>
  <c r="G1927" i="4"/>
  <c r="F1927" i="4"/>
  <c r="E1927" i="4"/>
  <c r="D1927" i="4"/>
  <c r="B1927" i="4"/>
  <c r="G1926" i="4"/>
  <c r="F1926" i="4"/>
  <c r="E1926" i="4"/>
  <c r="D1926" i="4"/>
  <c r="B1926" i="4"/>
  <c r="G1925" i="4"/>
  <c r="F1925" i="4"/>
  <c r="E1925" i="4"/>
  <c r="D1925" i="4"/>
  <c r="B1925" i="4"/>
  <c r="G1924" i="4"/>
  <c r="F1924" i="4"/>
  <c r="E1924" i="4"/>
  <c r="D1924" i="4"/>
  <c r="B1924" i="4"/>
  <c r="G1923" i="4"/>
  <c r="F1923" i="4"/>
  <c r="E1923" i="4"/>
  <c r="D1923" i="4"/>
  <c r="B1923" i="4"/>
  <c r="G1922" i="4"/>
  <c r="F1922" i="4"/>
  <c r="E1922" i="4"/>
  <c r="D1922" i="4"/>
  <c r="B1922" i="4"/>
  <c r="G1921" i="4"/>
  <c r="F1921" i="4"/>
  <c r="E1921" i="4"/>
  <c r="D1921" i="4"/>
  <c r="B1921" i="4"/>
  <c r="G1920" i="4"/>
  <c r="F1920" i="4"/>
  <c r="E1920" i="4"/>
  <c r="D1920" i="4"/>
  <c r="B1920" i="4"/>
  <c r="G1919" i="4"/>
  <c r="F1919" i="4"/>
  <c r="E1919" i="4"/>
  <c r="D1919" i="4"/>
  <c r="B1919" i="4"/>
  <c r="G1918" i="4"/>
  <c r="F1918" i="4"/>
  <c r="E1918" i="4"/>
  <c r="D1918" i="4"/>
  <c r="B1918" i="4"/>
  <c r="G1917" i="4"/>
  <c r="F1917" i="4"/>
  <c r="E1917" i="4"/>
  <c r="D1917" i="4"/>
  <c r="B1917" i="4"/>
  <c r="G1916" i="4"/>
  <c r="F1916" i="4"/>
  <c r="E1916" i="4"/>
  <c r="D1916" i="4"/>
  <c r="B1916" i="4"/>
  <c r="G1915" i="4"/>
  <c r="F1915" i="4"/>
  <c r="E1915" i="4"/>
  <c r="D1915" i="4"/>
  <c r="B1915" i="4"/>
  <c r="G1914" i="4"/>
  <c r="F1914" i="4"/>
  <c r="E1914" i="4"/>
  <c r="D1914" i="4"/>
  <c r="B1914" i="4"/>
  <c r="G1913" i="4"/>
  <c r="F1913" i="4"/>
  <c r="E1913" i="4"/>
  <c r="D1913" i="4"/>
  <c r="B1913" i="4"/>
  <c r="G1912" i="4"/>
  <c r="F1912" i="4"/>
  <c r="E1912" i="4"/>
  <c r="D1912" i="4"/>
  <c r="B1912" i="4"/>
  <c r="G1911" i="4"/>
  <c r="F1911" i="4"/>
  <c r="E1911" i="4"/>
  <c r="D1911" i="4"/>
  <c r="B1911" i="4"/>
  <c r="G1910" i="4"/>
  <c r="F1910" i="4"/>
  <c r="E1910" i="4"/>
  <c r="D1910" i="4"/>
  <c r="B1910" i="4"/>
  <c r="G1909" i="4"/>
  <c r="F1909" i="4"/>
  <c r="E1909" i="4"/>
  <c r="D1909" i="4"/>
  <c r="B1909" i="4"/>
  <c r="G1908" i="4"/>
  <c r="F1908" i="4"/>
  <c r="E1908" i="4"/>
  <c r="D1908" i="4"/>
  <c r="B1908" i="4"/>
  <c r="G1907" i="4"/>
  <c r="F1907" i="4"/>
  <c r="E1907" i="4"/>
  <c r="D1907" i="4"/>
  <c r="B1907" i="4"/>
  <c r="G1906" i="4"/>
  <c r="F1906" i="4"/>
  <c r="E1906" i="4"/>
  <c r="D1906" i="4"/>
  <c r="B1906" i="4"/>
  <c r="G1905" i="4"/>
  <c r="F1905" i="4"/>
  <c r="E1905" i="4"/>
  <c r="D1905" i="4"/>
  <c r="B1905" i="4"/>
  <c r="G1904" i="4"/>
  <c r="F1904" i="4"/>
  <c r="E1904" i="4"/>
  <c r="D1904" i="4"/>
  <c r="B1904" i="4"/>
  <c r="G1903" i="4"/>
  <c r="F1903" i="4"/>
  <c r="E1903" i="4"/>
  <c r="D1903" i="4"/>
  <c r="B1903" i="4"/>
  <c r="G1902" i="4"/>
  <c r="F1902" i="4"/>
  <c r="E1902" i="4"/>
  <c r="D1902" i="4"/>
  <c r="B1902" i="4"/>
  <c r="G1901" i="4"/>
  <c r="F1901" i="4"/>
  <c r="E1901" i="4"/>
  <c r="D1901" i="4"/>
  <c r="B1901" i="4"/>
  <c r="G1900" i="4"/>
  <c r="F1900" i="4"/>
  <c r="E1900" i="4"/>
  <c r="D1900" i="4"/>
  <c r="B1900" i="4"/>
  <c r="G1899" i="4"/>
  <c r="F1899" i="4"/>
  <c r="E1899" i="4"/>
  <c r="D1899" i="4"/>
  <c r="B1899" i="4"/>
  <c r="G1898" i="4"/>
  <c r="F1898" i="4"/>
  <c r="E1898" i="4"/>
  <c r="D1898" i="4"/>
  <c r="B1898" i="4"/>
  <c r="G1897" i="4"/>
  <c r="F1897" i="4"/>
  <c r="E1897" i="4"/>
  <c r="D1897" i="4"/>
  <c r="B1897" i="4"/>
  <c r="G1896" i="4"/>
  <c r="F1896" i="4"/>
  <c r="E1896" i="4"/>
  <c r="D1896" i="4"/>
  <c r="B1896" i="4"/>
  <c r="G1895" i="4"/>
  <c r="F1895" i="4"/>
  <c r="E1895" i="4"/>
  <c r="D1895" i="4"/>
  <c r="B1895" i="4"/>
  <c r="G1894" i="4"/>
  <c r="F1894" i="4"/>
  <c r="E1894" i="4"/>
  <c r="D1894" i="4"/>
  <c r="B1894" i="4"/>
  <c r="G1893" i="4"/>
  <c r="F1893" i="4"/>
  <c r="E1893" i="4"/>
  <c r="D1893" i="4"/>
  <c r="B1893" i="4"/>
  <c r="G1892" i="4"/>
  <c r="F1892" i="4"/>
  <c r="E1892" i="4"/>
  <c r="D1892" i="4"/>
  <c r="B1892" i="4"/>
  <c r="G1891" i="4"/>
  <c r="F1891" i="4"/>
  <c r="E1891" i="4"/>
  <c r="D1891" i="4"/>
  <c r="B1891" i="4"/>
  <c r="G1890" i="4"/>
  <c r="F1890" i="4"/>
  <c r="E1890" i="4"/>
  <c r="D1890" i="4"/>
  <c r="B1890" i="4"/>
  <c r="G1889" i="4"/>
  <c r="F1889" i="4"/>
  <c r="E1889" i="4"/>
  <c r="D1889" i="4"/>
  <c r="B1889" i="4"/>
  <c r="G1888" i="4"/>
  <c r="F1888" i="4"/>
  <c r="E1888" i="4"/>
  <c r="D1888" i="4"/>
  <c r="B1888" i="4"/>
  <c r="G1887" i="4"/>
  <c r="F1887" i="4"/>
  <c r="E1887" i="4"/>
  <c r="D1887" i="4"/>
  <c r="B1887" i="4"/>
  <c r="G1886" i="4"/>
  <c r="F1886" i="4"/>
  <c r="E1886" i="4"/>
  <c r="D1886" i="4"/>
  <c r="B1886" i="4"/>
  <c r="G1885" i="4"/>
  <c r="F1885" i="4"/>
  <c r="E1885" i="4"/>
  <c r="D1885" i="4"/>
  <c r="B1885" i="4"/>
  <c r="G1884" i="4"/>
  <c r="F1884" i="4"/>
  <c r="E1884" i="4"/>
  <c r="D1884" i="4"/>
  <c r="B1884" i="4"/>
  <c r="G1883" i="4"/>
  <c r="F1883" i="4"/>
  <c r="E1883" i="4"/>
  <c r="D1883" i="4"/>
  <c r="B1883" i="4"/>
  <c r="G1882" i="4"/>
  <c r="F1882" i="4"/>
  <c r="E1882" i="4"/>
  <c r="D1882" i="4"/>
  <c r="B1882" i="4"/>
  <c r="G1881" i="4"/>
  <c r="F1881" i="4"/>
  <c r="E1881" i="4"/>
  <c r="D1881" i="4"/>
  <c r="B1881" i="4"/>
  <c r="G1880" i="4"/>
  <c r="F1880" i="4"/>
  <c r="E1880" i="4"/>
  <c r="D1880" i="4"/>
  <c r="B1880" i="4"/>
  <c r="G1879" i="4"/>
  <c r="F1879" i="4"/>
  <c r="E1879" i="4"/>
  <c r="D1879" i="4"/>
  <c r="B1879" i="4"/>
  <c r="G1878" i="4"/>
  <c r="F1878" i="4"/>
  <c r="E1878" i="4"/>
  <c r="D1878" i="4"/>
  <c r="B1878" i="4"/>
  <c r="G1877" i="4"/>
  <c r="F1877" i="4"/>
  <c r="E1877" i="4"/>
  <c r="D1877" i="4"/>
  <c r="B1877" i="4"/>
  <c r="G1876" i="4"/>
  <c r="F1876" i="4"/>
  <c r="E1876" i="4"/>
  <c r="D1876" i="4"/>
  <c r="B1876" i="4"/>
  <c r="G1875" i="4"/>
  <c r="F1875" i="4"/>
  <c r="E1875" i="4"/>
  <c r="D1875" i="4"/>
  <c r="B1875" i="4"/>
  <c r="G1874" i="4"/>
  <c r="F1874" i="4"/>
  <c r="E1874" i="4"/>
  <c r="D1874" i="4"/>
  <c r="B1874" i="4"/>
  <c r="G1873" i="4"/>
  <c r="F1873" i="4"/>
  <c r="E1873" i="4"/>
  <c r="D1873" i="4"/>
  <c r="B1873" i="4"/>
  <c r="G1872" i="4"/>
  <c r="F1872" i="4"/>
  <c r="E1872" i="4"/>
  <c r="D1872" i="4"/>
  <c r="B1872" i="4"/>
  <c r="G1871" i="4"/>
  <c r="F1871" i="4"/>
  <c r="E1871" i="4"/>
  <c r="D1871" i="4"/>
  <c r="B1871" i="4"/>
  <c r="G1870" i="4"/>
  <c r="F1870" i="4"/>
  <c r="E1870" i="4"/>
  <c r="D1870" i="4"/>
  <c r="B1870" i="4"/>
  <c r="G1869" i="4"/>
  <c r="F1869" i="4"/>
  <c r="E1869" i="4"/>
  <c r="D1869" i="4"/>
  <c r="B1869" i="4"/>
  <c r="G1868" i="4"/>
  <c r="F1868" i="4"/>
  <c r="E1868" i="4"/>
  <c r="D1868" i="4"/>
  <c r="B1868" i="4"/>
  <c r="G1867" i="4"/>
  <c r="F1867" i="4"/>
  <c r="E1867" i="4"/>
  <c r="D1867" i="4"/>
  <c r="B1867" i="4"/>
  <c r="G1866" i="4"/>
  <c r="F1866" i="4"/>
  <c r="E1866" i="4"/>
  <c r="D1866" i="4"/>
  <c r="B1866" i="4"/>
  <c r="G1865" i="4"/>
  <c r="F1865" i="4"/>
  <c r="E1865" i="4"/>
  <c r="D1865" i="4"/>
  <c r="B1865" i="4"/>
  <c r="G1864" i="4"/>
  <c r="F1864" i="4"/>
  <c r="E1864" i="4"/>
  <c r="D1864" i="4"/>
  <c r="B1864" i="4"/>
  <c r="G1863" i="4"/>
  <c r="F1863" i="4"/>
  <c r="E1863" i="4"/>
  <c r="D1863" i="4"/>
  <c r="B1863" i="4"/>
  <c r="G1862" i="4"/>
  <c r="F1862" i="4"/>
  <c r="E1862" i="4"/>
  <c r="D1862" i="4"/>
  <c r="B1862" i="4"/>
  <c r="G1861" i="4"/>
  <c r="F1861" i="4"/>
  <c r="E1861" i="4"/>
  <c r="D1861" i="4"/>
  <c r="B1861" i="4"/>
  <c r="G1860" i="4"/>
  <c r="F1860" i="4"/>
  <c r="E1860" i="4"/>
  <c r="D1860" i="4"/>
  <c r="B1860" i="4"/>
  <c r="G1859" i="4"/>
  <c r="F1859" i="4"/>
  <c r="E1859" i="4"/>
  <c r="D1859" i="4"/>
  <c r="B1859" i="4"/>
  <c r="G1858" i="4"/>
  <c r="F1858" i="4"/>
  <c r="E1858" i="4"/>
  <c r="D1858" i="4"/>
  <c r="B1858" i="4"/>
  <c r="G1857" i="4"/>
  <c r="F1857" i="4"/>
  <c r="E1857" i="4"/>
  <c r="D1857" i="4"/>
  <c r="B1857" i="4"/>
  <c r="G1856" i="4"/>
  <c r="F1856" i="4"/>
  <c r="E1856" i="4"/>
  <c r="D1856" i="4"/>
  <c r="B1856" i="4"/>
  <c r="G1855" i="4"/>
  <c r="F1855" i="4"/>
  <c r="E1855" i="4"/>
  <c r="D1855" i="4"/>
  <c r="B1855" i="4"/>
  <c r="G1854" i="4"/>
  <c r="F1854" i="4"/>
  <c r="E1854" i="4"/>
  <c r="D1854" i="4"/>
  <c r="B1854" i="4"/>
  <c r="G1853" i="4"/>
  <c r="F1853" i="4"/>
  <c r="E1853" i="4"/>
  <c r="D1853" i="4"/>
  <c r="B1853" i="4"/>
  <c r="G1852" i="4"/>
  <c r="F1852" i="4"/>
  <c r="E1852" i="4"/>
  <c r="D1852" i="4"/>
  <c r="B1852" i="4"/>
  <c r="G1851" i="4"/>
  <c r="F1851" i="4"/>
  <c r="E1851" i="4"/>
  <c r="D1851" i="4"/>
  <c r="B1851" i="4"/>
  <c r="G1850" i="4"/>
  <c r="F1850" i="4"/>
  <c r="E1850" i="4"/>
  <c r="D1850" i="4"/>
  <c r="B1850" i="4"/>
  <c r="G1849" i="4"/>
  <c r="F1849" i="4"/>
  <c r="E1849" i="4"/>
  <c r="D1849" i="4"/>
  <c r="B1849" i="4"/>
  <c r="G1848" i="4"/>
  <c r="F1848" i="4"/>
  <c r="E1848" i="4"/>
  <c r="D1848" i="4"/>
  <c r="B1848" i="4"/>
  <c r="G1847" i="4"/>
  <c r="F1847" i="4"/>
  <c r="E1847" i="4"/>
  <c r="D1847" i="4"/>
  <c r="B1847" i="4"/>
  <c r="G1846" i="4"/>
  <c r="F1846" i="4"/>
  <c r="E1846" i="4"/>
  <c r="D1846" i="4"/>
  <c r="B1846" i="4"/>
  <c r="G1845" i="4"/>
  <c r="F1845" i="4"/>
  <c r="E1845" i="4"/>
  <c r="D1845" i="4"/>
  <c r="B1845" i="4"/>
  <c r="G1844" i="4"/>
  <c r="F1844" i="4"/>
  <c r="E1844" i="4"/>
  <c r="D1844" i="4"/>
  <c r="B1844" i="4"/>
  <c r="G1843" i="4"/>
  <c r="F1843" i="4"/>
  <c r="E1843" i="4"/>
  <c r="D1843" i="4"/>
  <c r="B1843" i="4"/>
  <c r="G1842" i="4"/>
  <c r="F1842" i="4"/>
  <c r="E1842" i="4"/>
  <c r="D1842" i="4"/>
  <c r="B1842" i="4"/>
  <c r="G1841" i="4"/>
  <c r="F1841" i="4"/>
  <c r="E1841" i="4"/>
  <c r="D1841" i="4"/>
  <c r="B1841" i="4"/>
  <c r="G1840" i="4"/>
  <c r="F1840" i="4"/>
  <c r="E1840" i="4"/>
  <c r="D1840" i="4"/>
  <c r="B1840" i="4"/>
  <c r="G1839" i="4"/>
  <c r="F1839" i="4"/>
  <c r="E1839" i="4"/>
  <c r="D1839" i="4"/>
  <c r="B1839" i="4"/>
  <c r="G1838" i="4"/>
  <c r="F1838" i="4"/>
  <c r="E1838" i="4"/>
  <c r="D1838" i="4"/>
  <c r="B1838" i="4"/>
  <c r="G1837" i="4"/>
  <c r="F1837" i="4"/>
  <c r="E1837" i="4"/>
  <c r="D1837" i="4"/>
  <c r="B1837" i="4"/>
  <c r="G1836" i="4"/>
  <c r="F1836" i="4"/>
  <c r="E1836" i="4"/>
  <c r="D1836" i="4"/>
  <c r="B1836" i="4"/>
  <c r="G1835" i="4"/>
  <c r="F1835" i="4"/>
  <c r="E1835" i="4"/>
  <c r="D1835" i="4"/>
  <c r="B1835" i="4"/>
  <c r="G1834" i="4"/>
  <c r="F1834" i="4"/>
  <c r="E1834" i="4"/>
  <c r="D1834" i="4"/>
  <c r="B1834" i="4"/>
  <c r="G1833" i="4"/>
  <c r="F1833" i="4"/>
  <c r="E1833" i="4"/>
  <c r="D1833" i="4"/>
  <c r="B1833" i="4"/>
  <c r="G1832" i="4"/>
  <c r="F1832" i="4"/>
  <c r="E1832" i="4"/>
  <c r="D1832" i="4"/>
  <c r="B1832" i="4"/>
  <c r="G1831" i="4"/>
  <c r="F1831" i="4"/>
  <c r="E1831" i="4"/>
  <c r="D1831" i="4"/>
  <c r="B1831" i="4"/>
  <c r="G1830" i="4"/>
  <c r="F1830" i="4"/>
  <c r="E1830" i="4"/>
  <c r="D1830" i="4"/>
  <c r="B1830" i="4"/>
  <c r="G1829" i="4"/>
  <c r="F1829" i="4"/>
  <c r="E1829" i="4"/>
  <c r="D1829" i="4"/>
  <c r="B1829" i="4"/>
  <c r="G1828" i="4"/>
  <c r="F1828" i="4"/>
  <c r="E1828" i="4"/>
  <c r="D1828" i="4"/>
  <c r="B1828" i="4"/>
  <c r="G1827" i="4"/>
  <c r="F1827" i="4"/>
  <c r="E1827" i="4"/>
  <c r="D1827" i="4"/>
  <c r="B1827" i="4"/>
  <c r="G1826" i="4"/>
  <c r="F1826" i="4"/>
  <c r="E1826" i="4"/>
  <c r="D1826" i="4"/>
  <c r="B1826" i="4"/>
  <c r="G1825" i="4"/>
  <c r="F1825" i="4"/>
  <c r="E1825" i="4"/>
  <c r="D1825" i="4"/>
  <c r="B1825" i="4"/>
  <c r="G1824" i="4"/>
  <c r="F1824" i="4"/>
  <c r="E1824" i="4"/>
  <c r="D1824" i="4"/>
  <c r="B1824" i="4"/>
  <c r="G1823" i="4"/>
  <c r="F1823" i="4"/>
  <c r="E1823" i="4"/>
  <c r="D1823" i="4"/>
  <c r="B1823" i="4"/>
  <c r="G1822" i="4"/>
  <c r="F1822" i="4"/>
  <c r="E1822" i="4"/>
  <c r="D1822" i="4"/>
  <c r="B1822" i="4"/>
  <c r="G1821" i="4"/>
  <c r="F1821" i="4"/>
  <c r="E1821" i="4"/>
  <c r="D1821" i="4"/>
  <c r="B1821" i="4"/>
  <c r="G1820" i="4"/>
  <c r="F1820" i="4"/>
  <c r="E1820" i="4"/>
  <c r="D1820" i="4"/>
  <c r="B1820" i="4"/>
  <c r="G1819" i="4"/>
  <c r="F1819" i="4"/>
  <c r="E1819" i="4"/>
  <c r="D1819" i="4"/>
  <c r="B1819" i="4"/>
  <c r="G1818" i="4"/>
  <c r="F1818" i="4"/>
  <c r="E1818" i="4"/>
  <c r="D1818" i="4"/>
  <c r="B1818" i="4"/>
  <c r="G1817" i="4"/>
  <c r="F1817" i="4"/>
  <c r="E1817" i="4"/>
  <c r="D1817" i="4"/>
  <c r="B1817" i="4"/>
  <c r="G1816" i="4"/>
  <c r="F1816" i="4"/>
  <c r="E1816" i="4"/>
  <c r="D1816" i="4"/>
  <c r="B1816" i="4"/>
  <c r="G1815" i="4"/>
  <c r="F1815" i="4"/>
  <c r="E1815" i="4"/>
  <c r="D1815" i="4"/>
  <c r="B1815" i="4"/>
  <c r="G1814" i="4"/>
  <c r="F1814" i="4"/>
  <c r="E1814" i="4"/>
  <c r="D1814" i="4"/>
  <c r="B1814" i="4"/>
  <c r="G1813" i="4"/>
  <c r="F1813" i="4"/>
  <c r="E1813" i="4"/>
  <c r="D1813" i="4"/>
  <c r="B1813" i="4"/>
  <c r="G1812" i="4"/>
  <c r="F1812" i="4"/>
  <c r="E1812" i="4"/>
  <c r="D1812" i="4"/>
  <c r="B1812" i="4"/>
  <c r="G1811" i="4"/>
  <c r="F1811" i="4"/>
  <c r="E1811" i="4"/>
  <c r="D1811" i="4"/>
  <c r="B1811" i="4"/>
  <c r="G1810" i="4"/>
  <c r="F1810" i="4"/>
  <c r="E1810" i="4"/>
  <c r="D1810" i="4"/>
  <c r="B1810" i="4"/>
  <c r="G1809" i="4"/>
  <c r="F1809" i="4"/>
  <c r="E1809" i="4"/>
  <c r="D1809" i="4"/>
  <c r="B1809" i="4"/>
  <c r="G1808" i="4"/>
  <c r="F1808" i="4"/>
  <c r="E1808" i="4"/>
  <c r="D1808" i="4"/>
  <c r="B1808" i="4"/>
  <c r="G1807" i="4"/>
  <c r="F1807" i="4"/>
  <c r="E1807" i="4"/>
  <c r="D1807" i="4"/>
  <c r="B1807" i="4"/>
  <c r="G1806" i="4"/>
  <c r="F1806" i="4"/>
  <c r="E1806" i="4"/>
  <c r="D1806" i="4"/>
  <c r="B1806" i="4"/>
  <c r="G1805" i="4"/>
  <c r="F1805" i="4"/>
  <c r="E1805" i="4"/>
  <c r="D1805" i="4"/>
  <c r="B1805" i="4"/>
  <c r="G1804" i="4"/>
  <c r="F1804" i="4"/>
  <c r="E1804" i="4"/>
  <c r="D1804" i="4"/>
  <c r="B1804" i="4"/>
  <c r="G1803" i="4"/>
  <c r="F1803" i="4"/>
  <c r="E1803" i="4"/>
  <c r="D1803" i="4"/>
  <c r="B1803" i="4"/>
  <c r="G1802" i="4"/>
  <c r="F1802" i="4"/>
  <c r="E1802" i="4"/>
  <c r="D1802" i="4"/>
  <c r="B1802" i="4"/>
  <c r="G1801" i="4"/>
  <c r="F1801" i="4"/>
  <c r="E1801" i="4"/>
  <c r="D1801" i="4"/>
  <c r="B1801" i="4"/>
  <c r="G1800" i="4"/>
  <c r="F1800" i="4"/>
  <c r="E1800" i="4"/>
  <c r="D1800" i="4"/>
  <c r="B1800" i="4"/>
  <c r="G1799" i="4"/>
  <c r="F1799" i="4"/>
  <c r="E1799" i="4"/>
  <c r="D1799" i="4"/>
  <c r="B1799" i="4"/>
  <c r="G1798" i="4"/>
  <c r="F1798" i="4"/>
  <c r="E1798" i="4"/>
  <c r="D1798" i="4"/>
  <c r="B1798" i="4"/>
  <c r="G1797" i="4"/>
  <c r="F1797" i="4"/>
  <c r="E1797" i="4"/>
  <c r="D1797" i="4"/>
  <c r="B1797" i="4"/>
  <c r="G1796" i="4"/>
  <c r="F1796" i="4"/>
  <c r="E1796" i="4"/>
  <c r="D1796" i="4"/>
  <c r="B1796" i="4"/>
  <c r="G1795" i="4"/>
  <c r="F1795" i="4"/>
  <c r="E1795" i="4"/>
  <c r="D1795" i="4"/>
  <c r="B1795" i="4"/>
  <c r="G1794" i="4"/>
  <c r="F1794" i="4"/>
  <c r="E1794" i="4"/>
  <c r="D1794" i="4"/>
  <c r="B1794" i="4"/>
  <c r="G1793" i="4"/>
  <c r="F1793" i="4"/>
  <c r="E1793" i="4"/>
  <c r="D1793" i="4"/>
  <c r="B1793" i="4"/>
  <c r="G1792" i="4"/>
  <c r="F1792" i="4"/>
  <c r="E1792" i="4"/>
  <c r="D1792" i="4"/>
  <c r="B1792" i="4"/>
  <c r="G1791" i="4"/>
  <c r="F1791" i="4"/>
  <c r="E1791" i="4"/>
  <c r="D1791" i="4"/>
  <c r="B1791" i="4"/>
  <c r="G1790" i="4"/>
  <c r="F1790" i="4"/>
  <c r="E1790" i="4"/>
  <c r="D1790" i="4"/>
  <c r="B1790" i="4"/>
  <c r="G1789" i="4"/>
  <c r="F1789" i="4"/>
  <c r="E1789" i="4"/>
  <c r="D1789" i="4"/>
  <c r="B1789" i="4"/>
  <c r="G1788" i="4"/>
  <c r="F1788" i="4"/>
  <c r="E1788" i="4"/>
  <c r="D1788" i="4"/>
  <c r="B1788" i="4"/>
  <c r="G1787" i="4"/>
  <c r="F1787" i="4"/>
  <c r="E1787" i="4"/>
  <c r="D1787" i="4"/>
  <c r="B1787" i="4"/>
  <c r="G1786" i="4"/>
  <c r="F1786" i="4"/>
  <c r="E1786" i="4"/>
  <c r="D1786" i="4"/>
  <c r="B1786" i="4"/>
  <c r="G1785" i="4"/>
  <c r="F1785" i="4"/>
  <c r="E1785" i="4"/>
  <c r="D1785" i="4"/>
  <c r="B1785" i="4"/>
  <c r="G1784" i="4"/>
  <c r="F1784" i="4"/>
  <c r="E1784" i="4"/>
  <c r="D1784" i="4"/>
  <c r="B1784" i="4"/>
  <c r="G1783" i="4"/>
  <c r="F1783" i="4"/>
  <c r="E1783" i="4"/>
  <c r="D1783" i="4"/>
  <c r="B1783" i="4"/>
  <c r="G1782" i="4"/>
  <c r="F1782" i="4"/>
  <c r="E1782" i="4"/>
  <c r="D1782" i="4"/>
  <c r="B1782" i="4"/>
  <c r="G1781" i="4"/>
  <c r="F1781" i="4"/>
  <c r="E1781" i="4"/>
  <c r="D1781" i="4"/>
  <c r="B1781" i="4"/>
  <c r="G1780" i="4"/>
  <c r="F1780" i="4"/>
  <c r="E1780" i="4"/>
  <c r="D1780" i="4"/>
  <c r="B1780" i="4"/>
  <c r="G1779" i="4"/>
  <c r="F1779" i="4"/>
  <c r="E1779" i="4"/>
  <c r="D1779" i="4"/>
  <c r="B1779" i="4"/>
  <c r="G1778" i="4"/>
  <c r="F1778" i="4"/>
  <c r="E1778" i="4"/>
  <c r="D1778" i="4"/>
  <c r="B1778" i="4"/>
  <c r="G1777" i="4"/>
  <c r="F1777" i="4"/>
  <c r="E1777" i="4"/>
  <c r="D1777" i="4"/>
  <c r="B1777" i="4"/>
  <c r="G1776" i="4"/>
  <c r="F1776" i="4"/>
  <c r="E1776" i="4"/>
  <c r="D1776" i="4"/>
  <c r="B1776" i="4"/>
  <c r="G1775" i="4"/>
  <c r="F1775" i="4"/>
  <c r="E1775" i="4"/>
  <c r="D1775" i="4"/>
  <c r="B1775" i="4"/>
  <c r="G1774" i="4"/>
  <c r="F1774" i="4"/>
  <c r="E1774" i="4"/>
  <c r="D1774" i="4"/>
  <c r="B1774" i="4"/>
  <c r="G1773" i="4"/>
  <c r="F1773" i="4"/>
  <c r="E1773" i="4"/>
  <c r="D1773" i="4"/>
  <c r="B1773" i="4"/>
  <c r="G1772" i="4"/>
  <c r="F1772" i="4"/>
  <c r="E1772" i="4"/>
  <c r="D1772" i="4"/>
  <c r="B1772" i="4"/>
  <c r="G1771" i="4"/>
  <c r="F1771" i="4"/>
  <c r="E1771" i="4"/>
  <c r="D1771" i="4"/>
  <c r="B1771" i="4"/>
  <c r="G1770" i="4"/>
  <c r="F1770" i="4"/>
  <c r="E1770" i="4"/>
  <c r="D1770" i="4"/>
  <c r="B1770" i="4"/>
  <c r="G1769" i="4"/>
  <c r="F1769" i="4"/>
  <c r="E1769" i="4"/>
  <c r="D1769" i="4"/>
  <c r="B1769" i="4"/>
  <c r="G1768" i="4"/>
  <c r="F1768" i="4"/>
  <c r="E1768" i="4"/>
  <c r="D1768" i="4"/>
  <c r="B1768" i="4"/>
  <c r="G1767" i="4"/>
  <c r="F1767" i="4"/>
  <c r="E1767" i="4"/>
  <c r="D1767" i="4"/>
  <c r="B1767" i="4"/>
  <c r="G1766" i="4"/>
  <c r="F1766" i="4"/>
  <c r="E1766" i="4"/>
  <c r="D1766" i="4"/>
  <c r="B1766" i="4"/>
  <c r="G1765" i="4"/>
  <c r="F1765" i="4"/>
  <c r="E1765" i="4"/>
  <c r="D1765" i="4"/>
  <c r="B1765" i="4"/>
  <c r="G1764" i="4"/>
  <c r="F1764" i="4"/>
  <c r="E1764" i="4"/>
  <c r="D1764" i="4"/>
  <c r="B1764" i="4"/>
  <c r="G1763" i="4"/>
  <c r="F1763" i="4"/>
  <c r="E1763" i="4"/>
  <c r="D1763" i="4"/>
  <c r="B1763" i="4"/>
  <c r="G1762" i="4"/>
  <c r="F1762" i="4"/>
  <c r="E1762" i="4"/>
  <c r="D1762" i="4"/>
  <c r="B1762" i="4"/>
  <c r="G1761" i="4"/>
  <c r="F1761" i="4"/>
  <c r="E1761" i="4"/>
  <c r="D1761" i="4"/>
  <c r="B1761" i="4"/>
  <c r="G1760" i="4"/>
  <c r="F1760" i="4"/>
  <c r="E1760" i="4"/>
  <c r="D1760" i="4"/>
  <c r="B1760" i="4"/>
  <c r="G1759" i="4"/>
  <c r="F1759" i="4"/>
  <c r="E1759" i="4"/>
  <c r="D1759" i="4"/>
  <c r="B1759" i="4"/>
  <c r="G1758" i="4"/>
  <c r="F1758" i="4"/>
  <c r="E1758" i="4"/>
  <c r="D1758" i="4"/>
  <c r="B1758" i="4"/>
  <c r="G1757" i="4"/>
  <c r="F1757" i="4"/>
  <c r="E1757" i="4"/>
  <c r="D1757" i="4"/>
  <c r="B1757" i="4"/>
  <c r="G1756" i="4"/>
  <c r="F1756" i="4"/>
  <c r="E1756" i="4"/>
  <c r="D1756" i="4"/>
  <c r="B1756" i="4"/>
  <c r="G1755" i="4"/>
  <c r="F1755" i="4"/>
  <c r="E1755" i="4"/>
  <c r="D1755" i="4"/>
  <c r="B1755" i="4"/>
  <c r="G1754" i="4"/>
  <c r="F1754" i="4"/>
  <c r="E1754" i="4"/>
  <c r="D1754" i="4"/>
  <c r="B1754" i="4"/>
  <c r="G1753" i="4"/>
  <c r="F1753" i="4"/>
  <c r="E1753" i="4"/>
  <c r="D1753" i="4"/>
  <c r="B1753" i="4"/>
  <c r="G1752" i="4"/>
  <c r="F1752" i="4"/>
  <c r="E1752" i="4"/>
  <c r="D1752" i="4"/>
  <c r="B1752" i="4"/>
  <c r="G1751" i="4"/>
  <c r="F1751" i="4"/>
  <c r="E1751" i="4"/>
  <c r="D1751" i="4"/>
  <c r="B1751" i="4"/>
  <c r="G1750" i="4"/>
  <c r="F1750" i="4"/>
  <c r="E1750" i="4"/>
  <c r="D1750" i="4"/>
  <c r="B1750" i="4"/>
  <c r="G1749" i="4"/>
  <c r="F1749" i="4"/>
  <c r="E1749" i="4"/>
  <c r="D1749" i="4"/>
  <c r="B1749" i="4"/>
  <c r="G1748" i="4"/>
  <c r="F1748" i="4"/>
  <c r="E1748" i="4"/>
  <c r="D1748" i="4"/>
  <c r="B1748" i="4"/>
  <c r="G1747" i="4"/>
  <c r="F1747" i="4"/>
  <c r="E1747" i="4"/>
  <c r="D1747" i="4"/>
  <c r="B1747" i="4"/>
  <c r="G1746" i="4"/>
  <c r="F1746" i="4"/>
  <c r="E1746" i="4"/>
  <c r="D1746" i="4"/>
  <c r="B1746" i="4"/>
  <c r="G1745" i="4"/>
  <c r="F1745" i="4"/>
  <c r="E1745" i="4"/>
  <c r="D1745" i="4"/>
  <c r="B1745" i="4"/>
  <c r="G1744" i="4"/>
  <c r="F1744" i="4"/>
  <c r="E1744" i="4"/>
  <c r="D1744" i="4"/>
  <c r="B1744" i="4"/>
  <c r="G1743" i="4"/>
  <c r="F1743" i="4"/>
  <c r="E1743" i="4"/>
  <c r="D1743" i="4"/>
  <c r="B1743" i="4"/>
  <c r="G1742" i="4"/>
  <c r="F1742" i="4"/>
  <c r="E1742" i="4"/>
  <c r="D1742" i="4"/>
  <c r="B1742" i="4"/>
  <c r="G1741" i="4"/>
  <c r="F1741" i="4"/>
  <c r="E1741" i="4"/>
  <c r="D1741" i="4"/>
  <c r="B1741" i="4"/>
  <c r="G1740" i="4"/>
  <c r="F1740" i="4"/>
  <c r="E1740" i="4"/>
  <c r="D1740" i="4"/>
  <c r="B1740" i="4"/>
  <c r="G1739" i="4"/>
  <c r="F1739" i="4"/>
  <c r="E1739" i="4"/>
  <c r="D1739" i="4"/>
  <c r="B1739" i="4"/>
  <c r="G1738" i="4"/>
  <c r="F1738" i="4"/>
  <c r="E1738" i="4"/>
  <c r="D1738" i="4"/>
  <c r="B1738" i="4"/>
  <c r="G1737" i="4"/>
  <c r="F1737" i="4"/>
  <c r="E1737" i="4"/>
  <c r="D1737" i="4"/>
  <c r="B1737" i="4"/>
  <c r="G1736" i="4"/>
  <c r="F1736" i="4"/>
  <c r="E1736" i="4"/>
  <c r="D1736" i="4"/>
  <c r="B1736" i="4"/>
  <c r="G1735" i="4"/>
  <c r="F1735" i="4"/>
  <c r="E1735" i="4"/>
  <c r="D1735" i="4"/>
  <c r="B1735" i="4"/>
  <c r="G1734" i="4"/>
  <c r="F1734" i="4"/>
  <c r="E1734" i="4"/>
  <c r="D1734" i="4"/>
  <c r="B1734" i="4"/>
  <c r="G1733" i="4"/>
  <c r="F1733" i="4"/>
  <c r="E1733" i="4"/>
  <c r="D1733" i="4"/>
  <c r="B1733" i="4"/>
  <c r="G1732" i="4"/>
  <c r="F1732" i="4"/>
  <c r="E1732" i="4"/>
  <c r="D1732" i="4"/>
  <c r="B1732" i="4"/>
  <c r="G1731" i="4"/>
  <c r="F1731" i="4"/>
  <c r="E1731" i="4"/>
  <c r="D1731" i="4"/>
  <c r="B1731" i="4"/>
  <c r="G1730" i="4"/>
  <c r="F1730" i="4"/>
  <c r="E1730" i="4"/>
  <c r="D1730" i="4"/>
  <c r="B1730" i="4"/>
  <c r="G1729" i="4"/>
  <c r="F1729" i="4"/>
  <c r="E1729" i="4"/>
  <c r="D1729" i="4"/>
  <c r="B1729" i="4"/>
  <c r="G1728" i="4"/>
  <c r="F1728" i="4"/>
  <c r="E1728" i="4"/>
  <c r="D1728" i="4"/>
  <c r="B1728" i="4"/>
  <c r="G1727" i="4"/>
  <c r="F1727" i="4"/>
  <c r="E1727" i="4"/>
  <c r="D1727" i="4"/>
  <c r="B1727" i="4"/>
  <c r="G1726" i="4"/>
  <c r="F1726" i="4"/>
  <c r="E1726" i="4"/>
  <c r="D1726" i="4"/>
  <c r="B1726" i="4"/>
  <c r="G1725" i="4"/>
  <c r="F1725" i="4"/>
  <c r="E1725" i="4"/>
  <c r="D1725" i="4"/>
  <c r="B1725" i="4"/>
  <c r="G1724" i="4"/>
  <c r="F1724" i="4"/>
  <c r="E1724" i="4"/>
  <c r="D1724" i="4"/>
  <c r="B1724" i="4"/>
  <c r="G1723" i="4"/>
  <c r="F1723" i="4"/>
  <c r="E1723" i="4"/>
  <c r="D1723" i="4"/>
  <c r="B1723" i="4"/>
  <c r="G1722" i="4"/>
  <c r="F1722" i="4"/>
  <c r="E1722" i="4"/>
  <c r="D1722" i="4"/>
  <c r="B1722" i="4"/>
  <c r="G1721" i="4"/>
  <c r="F1721" i="4"/>
  <c r="E1721" i="4"/>
  <c r="D1721" i="4"/>
  <c r="B1721" i="4"/>
  <c r="G1720" i="4"/>
  <c r="F1720" i="4"/>
  <c r="E1720" i="4"/>
  <c r="D1720" i="4"/>
  <c r="B1720" i="4"/>
  <c r="G1719" i="4"/>
  <c r="F1719" i="4"/>
  <c r="E1719" i="4"/>
  <c r="D1719" i="4"/>
  <c r="B1719" i="4"/>
  <c r="G1718" i="4"/>
  <c r="F1718" i="4"/>
  <c r="E1718" i="4"/>
  <c r="D1718" i="4"/>
  <c r="B1718" i="4"/>
  <c r="G1717" i="4"/>
  <c r="F1717" i="4"/>
  <c r="E1717" i="4"/>
  <c r="D1717" i="4"/>
  <c r="B1717" i="4"/>
  <c r="G1716" i="4"/>
  <c r="F1716" i="4"/>
  <c r="E1716" i="4"/>
  <c r="D1716" i="4"/>
  <c r="B1716" i="4"/>
  <c r="G1715" i="4"/>
  <c r="F1715" i="4"/>
  <c r="E1715" i="4"/>
  <c r="D1715" i="4"/>
  <c r="B1715" i="4"/>
  <c r="G1714" i="4"/>
  <c r="F1714" i="4"/>
  <c r="E1714" i="4"/>
  <c r="D1714" i="4"/>
  <c r="B1714" i="4"/>
  <c r="G1713" i="4"/>
  <c r="F1713" i="4"/>
  <c r="E1713" i="4"/>
  <c r="D1713" i="4"/>
  <c r="B1713" i="4"/>
  <c r="G1712" i="4"/>
  <c r="F1712" i="4"/>
  <c r="E1712" i="4"/>
  <c r="D1712" i="4"/>
  <c r="B1712" i="4"/>
  <c r="G1711" i="4"/>
  <c r="F1711" i="4"/>
  <c r="E1711" i="4"/>
  <c r="D1711" i="4"/>
  <c r="B1711" i="4"/>
  <c r="G1710" i="4"/>
  <c r="F1710" i="4"/>
  <c r="E1710" i="4"/>
  <c r="D1710" i="4"/>
  <c r="B1710" i="4"/>
  <c r="G1709" i="4"/>
  <c r="F1709" i="4"/>
  <c r="E1709" i="4"/>
  <c r="D1709" i="4"/>
  <c r="B1709" i="4"/>
  <c r="G1708" i="4"/>
  <c r="F1708" i="4"/>
  <c r="E1708" i="4"/>
  <c r="D1708" i="4"/>
  <c r="B1708" i="4"/>
  <c r="G1707" i="4"/>
  <c r="F1707" i="4"/>
  <c r="E1707" i="4"/>
  <c r="D1707" i="4"/>
  <c r="B1707" i="4"/>
  <c r="G1706" i="4"/>
  <c r="F1706" i="4"/>
  <c r="E1706" i="4"/>
  <c r="D1706" i="4"/>
  <c r="B1706" i="4"/>
  <c r="G1705" i="4"/>
  <c r="F1705" i="4"/>
  <c r="E1705" i="4"/>
  <c r="D1705" i="4"/>
  <c r="B1705" i="4"/>
  <c r="G1704" i="4"/>
  <c r="F1704" i="4"/>
  <c r="E1704" i="4"/>
  <c r="D1704" i="4"/>
  <c r="B1704" i="4"/>
  <c r="G1703" i="4"/>
  <c r="F1703" i="4"/>
  <c r="E1703" i="4"/>
  <c r="D1703" i="4"/>
  <c r="B1703" i="4"/>
  <c r="G1702" i="4"/>
  <c r="F1702" i="4"/>
  <c r="E1702" i="4"/>
  <c r="D1702" i="4"/>
  <c r="B1702" i="4"/>
  <c r="G1701" i="4"/>
  <c r="F1701" i="4"/>
  <c r="E1701" i="4"/>
  <c r="D1701" i="4"/>
  <c r="B1701" i="4"/>
  <c r="G1700" i="4"/>
  <c r="F1700" i="4"/>
  <c r="E1700" i="4"/>
  <c r="D1700" i="4"/>
  <c r="B1700" i="4"/>
  <c r="G1699" i="4"/>
  <c r="F1699" i="4"/>
  <c r="E1699" i="4"/>
  <c r="D1699" i="4"/>
  <c r="B1699" i="4"/>
  <c r="G1698" i="4"/>
  <c r="F1698" i="4"/>
  <c r="E1698" i="4"/>
  <c r="D1698" i="4"/>
  <c r="B1698" i="4"/>
  <c r="G1697" i="4"/>
  <c r="F1697" i="4"/>
  <c r="E1697" i="4"/>
  <c r="D1697" i="4"/>
  <c r="B1697" i="4"/>
  <c r="G1696" i="4"/>
  <c r="F1696" i="4"/>
  <c r="E1696" i="4"/>
  <c r="D1696" i="4"/>
  <c r="B1696" i="4"/>
  <c r="G1695" i="4"/>
  <c r="F1695" i="4"/>
  <c r="E1695" i="4"/>
  <c r="D1695" i="4"/>
  <c r="B1695" i="4"/>
  <c r="G1694" i="4"/>
  <c r="F1694" i="4"/>
  <c r="E1694" i="4"/>
  <c r="D1694" i="4"/>
  <c r="B1694" i="4"/>
  <c r="G1693" i="4"/>
  <c r="F1693" i="4"/>
  <c r="E1693" i="4"/>
  <c r="D1693" i="4"/>
  <c r="B1693" i="4"/>
  <c r="G1692" i="4"/>
  <c r="F1692" i="4"/>
  <c r="E1692" i="4"/>
  <c r="D1692" i="4"/>
  <c r="B1692" i="4"/>
  <c r="G1691" i="4"/>
  <c r="F1691" i="4"/>
  <c r="E1691" i="4"/>
  <c r="D1691" i="4"/>
  <c r="B1691" i="4"/>
  <c r="G1690" i="4"/>
  <c r="F1690" i="4"/>
  <c r="E1690" i="4"/>
  <c r="D1690" i="4"/>
  <c r="B1690" i="4"/>
  <c r="G1689" i="4"/>
  <c r="F1689" i="4"/>
  <c r="E1689" i="4"/>
  <c r="D1689" i="4"/>
  <c r="B1689" i="4"/>
  <c r="G1688" i="4"/>
  <c r="F1688" i="4"/>
  <c r="E1688" i="4"/>
  <c r="D1688" i="4"/>
  <c r="B1688" i="4"/>
  <c r="G1687" i="4"/>
  <c r="F1687" i="4"/>
  <c r="E1687" i="4"/>
  <c r="D1687" i="4"/>
  <c r="B1687" i="4"/>
  <c r="G1686" i="4"/>
  <c r="F1686" i="4"/>
  <c r="E1686" i="4"/>
  <c r="D1686" i="4"/>
  <c r="B1686" i="4"/>
  <c r="G1685" i="4"/>
  <c r="F1685" i="4"/>
  <c r="E1685" i="4"/>
  <c r="D1685" i="4"/>
  <c r="B1685" i="4"/>
  <c r="G1684" i="4"/>
  <c r="F1684" i="4"/>
  <c r="E1684" i="4"/>
  <c r="D1684" i="4"/>
  <c r="B1684" i="4"/>
  <c r="G1683" i="4"/>
  <c r="F1683" i="4"/>
  <c r="E1683" i="4"/>
  <c r="D1683" i="4"/>
  <c r="B1683" i="4"/>
  <c r="G1682" i="4"/>
  <c r="F1682" i="4"/>
  <c r="E1682" i="4"/>
  <c r="D1682" i="4"/>
  <c r="B1682" i="4"/>
  <c r="G1681" i="4"/>
  <c r="F1681" i="4"/>
  <c r="E1681" i="4"/>
  <c r="D1681" i="4"/>
  <c r="B1681" i="4"/>
  <c r="G1680" i="4"/>
  <c r="F1680" i="4"/>
  <c r="E1680" i="4"/>
  <c r="D1680" i="4"/>
  <c r="B1680" i="4"/>
  <c r="G1679" i="4"/>
  <c r="F1679" i="4"/>
  <c r="E1679" i="4"/>
  <c r="D1679" i="4"/>
  <c r="B1679" i="4"/>
  <c r="G1678" i="4"/>
  <c r="F1678" i="4"/>
  <c r="E1678" i="4"/>
  <c r="D1678" i="4"/>
  <c r="B1678" i="4"/>
  <c r="G1677" i="4"/>
  <c r="F1677" i="4"/>
  <c r="E1677" i="4"/>
  <c r="D1677" i="4"/>
  <c r="B1677" i="4"/>
  <c r="G1676" i="4"/>
  <c r="F1676" i="4"/>
  <c r="E1676" i="4"/>
  <c r="D1676" i="4"/>
  <c r="B1676" i="4"/>
  <c r="G1675" i="4"/>
  <c r="F1675" i="4"/>
  <c r="E1675" i="4"/>
  <c r="D1675" i="4"/>
  <c r="B1675" i="4"/>
  <c r="G1674" i="4"/>
  <c r="F1674" i="4"/>
  <c r="E1674" i="4"/>
  <c r="D1674" i="4"/>
  <c r="B1674" i="4"/>
  <c r="G1673" i="4"/>
  <c r="F1673" i="4"/>
  <c r="E1673" i="4"/>
  <c r="D1673" i="4"/>
  <c r="B1673" i="4"/>
  <c r="G1672" i="4"/>
  <c r="F1672" i="4"/>
  <c r="E1672" i="4"/>
  <c r="D1672" i="4"/>
  <c r="B1672" i="4"/>
  <c r="G1671" i="4"/>
  <c r="F1671" i="4"/>
  <c r="E1671" i="4"/>
  <c r="D1671" i="4"/>
  <c r="B1671" i="4"/>
  <c r="G1670" i="4"/>
  <c r="F1670" i="4"/>
  <c r="E1670" i="4"/>
  <c r="D1670" i="4"/>
  <c r="B1670" i="4"/>
  <c r="G1669" i="4"/>
  <c r="F1669" i="4"/>
  <c r="E1669" i="4"/>
  <c r="D1669" i="4"/>
  <c r="B1669" i="4"/>
  <c r="G1668" i="4"/>
  <c r="F1668" i="4"/>
  <c r="E1668" i="4"/>
  <c r="D1668" i="4"/>
  <c r="B1668" i="4"/>
  <c r="G1667" i="4"/>
  <c r="F1667" i="4"/>
  <c r="E1667" i="4"/>
  <c r="D1667" i="4"/>
  <c r="B1667" i="4"/>
  <c r="G1666" i="4"/>
  <c r="F1666" i="4"/>
  <c r="E1666" i="4"/>
  <c r="D1666" i="4"/>
  <c r="B1666" i="4"/>
  <c r="G1665" i="4"/>
  <c r="F1665" i="4"/>
  <c r="E1665" i="4"/>
  <c r="D1665" i="4"/>
  <c r="B1665" i="4"/>
  <c r="G1664" i="4"/>
  <c r="F1664" i="4"/>
  <c r="E1664" i="4"/>
  <c r="D1664" i="4"/>
  <c r="B1664" i="4"/>
  <c r="G1663" i="4"/>
  <c r="F1663" i="4"/>
  <c r="E1663" i="4"/>
  <c r="D1663" i="4"/>
  <c r="B1663" i="4"/>
  <c r="G1662" i="4"/>
  <c r="F1662" i="4"/>
  <c r="E1662" i="4"/>
  <c r="D1662" i="4"/>
  <c r="B1662" i="4"/>
  <c r="G1661" i="4"/>
  <c r="F1661" i="4"/>
  <c r="E1661" i="4"/>
  <c r="D1661" i="4"/>
  <c r="B1661" i="4"/>
  <c r="G1660" i="4"/>
  <c r="F1660" i="4"/>
  <c r="E1660" i="4"/>
  <c r="D1660" i="4"/>
  <c r="B1660" i="4"/>
  <c r="G1659" i="4"/>
  <c r="F1659" i="4"/>
  <c r="E1659" i="4"/>
  <c r="D1659" i="4"/>
  <c r="B1659" i="4"/>
  <c r="G1658" i="4"/>
  <c r="F1658" i="4"/>
  <c r="E1658" i="4"/>
  <c r="D1658" i="4"/>
  <c r="B1658" i="4"/>
  <c r="G1657" i="4"/>
  <c r="F1657" i="4"/>
  <c r="E1657" i="4"/>
  <c r="D1657" i="4"/>
  <c r="B1657" i="4"/>
  <c r="G1656" i="4"/>
  <c r="F1656" i="4"/>
  <c r="E1656" i="4"/>
  <c r="D1656" i="4"/>
  <c r="B1656" i="4"/>
  <c r="G1655" i="4"/>
  <c r="F1655" i="4"/>
  <c r="E1655" i="4"/>
  <c r="D1655" i="4"/>
  <c r="B1655" i="4"/>
  <c r="G1654" i="4"/>
  <c r="F1654" i="4"/>
  <c r="E1654" i="4"/>
  <c r="D1654" i="4"/>
  <c r="B1654" i="4"/>
  <c r="G1653" i="4"/>
  <c r="F1653" i="4"/>
  <c r="E1653" i="4"/>
  <c r="D1653" i="4"/>
  <c r="B1653" i="4"/>
  <c r="G1652" i="4"/>
  <c r="F1652" i="4"/>
  <c r="E1652" i="4"/>
  <c r="D1652" i="4"/>
  <c r="B1652" i="4"/>
  <c r="G1651" i="4"/>
  <c r="F1651" i="4"/>
  <c r="E1651" i="4"/>
  <c r="D1651" i="4"/>
  <c r="B1651" i="4"/>
  <c r="G1650" i="4"/>
  <c r="F1650" i="4"/>
  <c r="E1650" i="4"/>
  <c r="D1650" i="4"/>
  <c r="B1650" i="4"/>
  <c r="G1649" i="4"/>
  <c r="F1649" i="4"/>
  <c r="E1649" i="4"/>
  <c r="D1649" i="4"/>
  <c r="B1649" i="4"/>
  <c r="G1648" i="4"/>
  <c r="F1648" i="4"/>
  <c r="E1648" i="4"/>
  <c r="D1648" i="4"/>
  <c r="B1648" i="4"/>
  <c r="G1647" i="4"/>
  <c r="F1647" i="4"/>
  <c r="E1647" i="4"/>
  <c r="D1647" i="4"/>
  <c r="B1647" i="4"/>
  <c r="G1646" i="4"/>
  <c r="F1646" i="4"/>
  <c r="E1646" i="4"/>
  <c r="D1646" i="4"/>
  <c r="B1646" i="4"/>
  <c r="G1645" i="4"/>
  <c r="F1645" i="4"/>
  <c r="E1645" i="4"/>
  <c r="D1645" i="4"/>
  <c r="B1645" i="4"/>
  <c r="G1644" i="4"/>
  <c r="F1644" i="4"/>
  <c r="E1644" i="4"/>
  <c r="D1644" i="4"/>
  <c r="B1644" i="4"/>
  <c r="G1643" i="4"/>
  <c r="F1643" i="4"/>
  <c r="E1643" i="4"/>
  <c r="D1643" i="4"/>
  <c r="B1643" i="4"/>
  <c r="G1642" i="4"/>
  <c r="F1642" i="4"/>
  <c r="E1642" i="4"/>
  <c r="D1642" i="4"/>
  <c r="B1642" i="4"/>
  <c r="G1641" i="4"/>
  <c r="F1641" i="4"/>
  <c r="E1641" i="4"/>
  <c r="D1641" i="4"/>
  <c r="B1641" i="4"/>
  <c r="G1640" i="4"/>
  <c r="F1640" i="4"/>
  <c r="E1640" i="4"/>
  <c r="D1640" i="4"/>
  <c r="B1640" i="4"/>
  <c r="G1639" i="4"/>
  <c r="F1639" i="4"/>
  <c r="E1639" i="4"/>
  <c r="D1639" i="4"/>
  <c r="B1639" i="4"/>
  <c r="G1638" i="4"/>
  <c r="F1638" i="4"/>
  <c r="E1638" i="4"/>
  <c r="D1638" i="4"/>
  <c r="B1638" i="4"/>
  <c r="G1637" i="4"/>
  <c r="F1637" i="4"/>
  <c r="E1637" i="4"/>
  <c r="D1637" i="4"/>
  <c r="B1637" i="4"/>
  <c r="G1636" i="4"/>
  <c r="F1636" i="4"/>
  <c r="E1636" i="4"/>
  <c r="D1636" i="4"/>
  <c r="B1636" i="4"/>
  <c r="G1635" i="4"/>
  <c r="F1635" i="4"/>
  <c r="E1635" i="4"/>
  <c r="D1635" i="4"/>
  <c r="B1635" i="4"/>
  <c r="G1634" i="4"/>
  <c r="F1634" i="4"/>
  <c r="E1634" i="4"/>
  <c r="D1634" i="4"/>
  <c r="B1634" i="4"/>
  <c r="G1633" i="4"/>
  <c r="F1633" i="4"/>
  <c r="E1633" i="4"/>
  <c r="D1633" i="4"/>
  <c r="B1633" i="4"/>
  <c r="G1632" i="4"/>
  <c r="F1632" i="4"/>
  <c r="E1632" i="4"/>
  <c r="D1632" i="4"/>
  <c r="B1632" i="4"/>
  <c r="G1631" i="4"/>
  <c r="F1631" i="4"/>
  <c r="E1631" i="4"/>
  <c r="D1631" i="4"/>
  <c r="B1631" i="4"/>
  <c r="G1630" i="4"/>
  <c r="F1630" i="4"/>
  <c r="E1630" i="4"/>
  <c r="D1630" i="4"/>
  <c r="B1630" i="4"/>
  <c r="G1629" i="4"/>
  <c r="F1629" i="4"/>
  <c r="E1629" i="4"/>
  <c r="D1629" i="4"/>
  <c r="B1629" i="4"/>
  <c r="G1628" i="4"/>
  <c r="F1628" i="4"/>
  <c r="E1628" i="4"/>
  <c r="D1628" i="4"/>
  <c r="B1628" i="4"/>
  <c r="G1627" i="4"/>
  <c r="F1627" i="4"/>
  <c r="E1627" i="4"/>
  <c r="D1627" i="4"/>
  <c r="B1627" i="4"/>
  <c r="G1626" i="4"/>
  <c r="F1626" i="4"/>
  <c r="E1626" i="4"/>
  <c r="D1626" i="4"/>
  <c r="B1626" i="4"/>
  <c r="G1625" i="4"/>
  <c r="F1625" i="4"/>
  <c r="E1625" i="4"/>
  <c r="D1625" i="4"/>
  <c r="B1625" i="4"/>
  <c r="G1624" i="4"/>
  <c r="F1624" i="4"/>
  <c r="E1624" i="4"/>
  <c r="D1624" i="4"/>
  <c r="B1624" i="4"/>
  <c r="G1623" i="4"/>
  <c r="F1623" i="4"/>
  <c r="E1623" i="4"/>
  <c r="D1623" i="4"/>
  <c r="B1623" i="4"/>
  <c r="G1622" i="4"/>
  <c r="F1622" i="4"/>
  <c r="E1622" i="4"/>
  <c r="D1622" i="4"/>
  <c r="B1622" i="4"/>
  <c r="G1621" i="4"/>
  <c r="F1621" i="4"/>
  <c r="E1621" i="4"/>
  <c r="D1621" i="4"/>
  <c r="B1621" i="4"/>
  <c r="G1620" i="4"/>
  <c r="F1620" i="4"/>
  <c r="E1620" i="4"/>
  <c r="D1620" i="4"/>
  <c r="B1620" i="4"/>
  <c r="G1619" i="4"/>
  <c r="F1619" i="4"/>
  <c r="E1619" i="4"/>
  <c r="D1619" i="4"/>
  <c r="B1619" i="4"/>
  <c r="G1618" i="4"/>
  <c r="F1618" i="4"/>
  <c r="E1618" i="4"/>
  <c r="D1618" i="4"/>
  <c r="B1618" i="4"/>
  <c r="G1617" i="4"/>
  <c r="F1617" i="4"/>
  <c r="E1617" i="4"/>
  <c r="D1617" i="4"/>
  <c r="B1617" i="4"/>
  <c r="G1616" i="4"/>
  <c r="F1616" i="4"/>
  <c r="E1616" i="4"/>
  <c r="D1616" i="4"/>
  <c r="B1616" i="4"/>
  <c r="G1615" i="4"/>
  <c r="F1615" i="4"/>
  <c r="E1615" i="4"/>
  <c r="D1615" i="4"/>
  <c r="B1615" i="4"/>
  <c r="G1614" i="4"/>
  <c r="F1614" i="4"/>
  <c r="E1614" i="4"/>
  <c r="D1614" i="4"/>
  <c r="B1614" i="4"/>
  <c r="G1613" i="4"/>
  <c r="F1613" i="4"/>
  <c r="E1613" i="4"/>
  <c r="D1613" i="4"/>
  <c r="B1613" i="4"/>
  <c r="G1612" i="4"/>
  <c r="F1612" i="4"/>
  <c r="E1612" i="4"/>
  <c r="D1612" i="4"/>
  <c r="B1612" i="4"/>
  <c r="G1611" i="4"/>
  <c r="F1611" i="4"/>
  <c r="E1611" i="4"/>
  <c r="D1611" i="4"/>
  <c r="B1611" i="4"/>
  <c r="G1610" i="4"/>
  <c r="F1610" i="4"/>
  <c r="E1610" i="4"/>
  <c r="D1610" i="4"/>
  <c r="B1610" i="4"/>
  <c r="G1609" i="4"/>
  <c r="F1609" i="4"/>
  <c r="E1609" i="4"/>
  <c r="D1609" i="4"/>
  <c r="B1609" i="4"/>
  <c r="G1608" i="4"/>
  <c r="F1608" i="4"/>
  <c r="E1608" i="4"/>
  <c r="D1608" i="4"/>
  <c r="B1608" i="4"/>
  <c r="G1607" i="4"/>
  <c r="F1607" i="4"/>
  <c r="E1607" i="4"/>
  <c r="D1607" i="4"/>
  <c r="B1607" i="4"/>
  <c r="G1606" i="4"/>
  <c r="F1606" i="4"/>
  <c r="E1606" i="4"/>
  <c r="D1606" i="4"/>
  <c r="B1606" i="4"/>
  <c r="G1605" i="4"/>
  <c r="F1605" i="4"/>
  <c r="E1605" i="4"/>
  <c r="D1605" i="4"/>
  <c r="B1605" i="4"/>
  <c r="G1604" i="4"/>
  <c r="F1604" i="4"/>
  <c r="E1604" i="4"/>
  <c r="D1604" i="4"/>
  <c r="B1604" i="4"/>
  <c r="G1603" i="4"/>
  <c r="F1603" i="4"/>
  <c r="E1603" i="4"/>
  <c r="D1603" i="4"/>
  <c r="B1603" i="4"/>
  <c r="G1602" i="4"/>
  <c r="F1602" i="4"/>
  <c r="E1602" i="4"/>
  <c r="D1602" i="4"/>
  <c r="B1602" i="4"/>
  <c r="G1601" i="4"/>
  <c r="F1601" i="4"/>
  <c r="E1601" i="4"/>
  <c r="D1601" i="4"/>
  <c r="B1601" i="4"/>
  <c r="G1600" i="4"/>
  <c r="F1600" i="4"/>
  <c r="E1600" i="4"/>
  <c r="D1600" i="4"/>
  <c r="B1600" i="4"/>
  <c r="G1599" i="4"/>
  <c r="F1599" i="4"/>
  <c r="E1599" i="4"/>
  <c r="D1599" i="4"/>
  <c r="B1599" i="4"/>
  <c r="G1598" i="4"/>
  <c r="F1598" i="4"/>
  <c r="E1598" i="4"/>
  <c r="D1598" i="4"/>
  <c r="B1598" i="4"/>
  <c r="G1597" i="4"/>
  <c r="F1597" i="4"/>
  <c r="E1597" i="4"/>
  <c r="D1597" i="4"/>
  <c r="B1597" i="4"/>
  <c r="G1596" i="4"/>
  <c r="F1596" i="4"/>
  <c r="E1596" i="4"/>
  <c r="D1596" i="4"/>
  <c r="B1596" i="4"/>
  <c r="G1595" i="4"/>
  <c r="F1595" i="4"/>
  <c r="E1595" i="4"/>
  <c r="D1595" i="4"/>
  <c r="B1595" i="4"/>
  <c r="G1594" i="4"/>
  <c r="F1594" i="4"/>
  <c r="E1594" i="4"/>
  <c r="D1594" i="4"/>
  <c r="B1594" i="4"/>
  <c r="G1593" i="4"/>
  <c r="F1593" i="4"/>
  <c r="E1593" i="4"/>
  <c r="D1593" i="4"/>
  <c r="B1593" i="4"/>
  <c r="G1592" i="4"/>
  <c r="F1592" i="4"/>
  <c r="E1592" i="4"/>
  <c r="D1592" i="4"/>
  <c r="B1592" i="4"/>
  <c r="G1591" i="4"/>
  <c r="F1591" i="4"/>
  <c r="E1591" i="4"/>
  <c r="D1591" i="4"/>
  <c r="B1591" i="4"/>
  <c r="G1590" i="4"/>
  <c r="F1590" i="4"/>
  <c r="E1590" i="4"/>
  <c r="D1590" i="4"/>
  <c r="B1590" i="4"/>
  <c r="G1589" i="4"/>
  <c r="F1589" i="4"/>
  <c r="E1589" i="4"/>
  <c r="D1589" i="4"/>
  <c r="B1589" i="4"/>
  <c r="G1588" i="4"/>
  <c r="F1588" i="4"/>
  <c r="E1588" i="4"/>
  <c r="D1588" i="4"/>
  <c r="B1588" i="4"/>
  <c r="G1587" i="4"/>
  <c r="F1587" i="4"/>
  <c r="E1587" i="4"/>
  <c r="D1587" i="4"/>
  <c r="B1587" i="4"/>
  <c r="G1586" i="4"/>
  <c r="F1586" i="4"/>
  <c r="E1586" i="4"/>
  <c r="D1586" i="4"/>
  <c r="B1586" i="4"/>
  <c r="G1585" i="4"/>
  <c r="F1585" i="4"/>
  <c r="E1585" i="4"/>
  <c r="D1585" i="4"/>
  <c r="B1585" i="4"/>
  <c r="G1584" i="4"/>
  <c r="F1584" i="4"/>
  <c r="E1584" i="4"/>
  <c r="D1584" i="4"/>
  <c r="B1584" i="4"/>
  <c r="G1583" i="4"/>
  <c r="F1583" i="4"/>
  <c r="E1583" i="4"/>
  <c r="D1583" i="4"/>
  <c r="B1583" i="4"/>
  <c r="G1582" i="4"/>
  <c r="F1582" i="4"/>
  <c r="E1582" i="4"/>
  <c r="D1582" i="4"/>
  <c r="B1582" i="4"/>
  <c r="G1581" i="4"/>
  <c r="F1581" i="4"/>
  <c r="E1581" i="4"/>
  <c r="D1581" i="4"/>
  <c r="B1581" i="4"/>
  <c r="G1580" i="4"/>
  <c r="F1580" i="4"/>
  <c r="E1580" i="4"/>
  <c r="D1580" i="4"/>
  <c r="B1580" i="4"/>
  <c r="G1579" i="4"/>
  <c r="F1579" i="4"/>
  <c r="E1579" i="4"/>
  <c r="D1579" i="4"/>
  <c r="B1579" i="4"/>
  <c r="G1578" i="4"/>
  <c r="F1578" i="4"/>
  <c r="E1578" i="4"/>
  <c r="D1578" i="4"/>
  <c r="B1578" i="4"/>
  <c r="G1577" i="4"/>
  <c r="F1577" i="4"/>
  <c r="E1577" i="4"/>
  <c r="D1577" i="4"/>
  <c r="B1577" i="4"/>
  <c r="G1576" i="4"/>
  <c r="F1576" i="4"/>
  <c r="E1576" i="4"/>
  <c r="D1576" i="4"/>
  <c r="B1576" i="4"/>
  <c r="G1575" i="4"/>
  <c r="F1575" i="4"/>
  <c r="E1575" i="4"/>
  <c r="D1575" i="4"/>
  <c r="B1575" i="4"/>
  <c r="G1574" i="4"/>
  <c r="F1574" i="4"/>
  <c r="E1574" i="4"/>
  <c r="D1574" i="4"/>
  <c r="B1574" i="4"/>
  <c r="G1573" i="4"/>
  <c r="F1573" i="4"/>
  <c r="E1573" i="4"/>
  <c r="D1573" i="4"/>
  <c r="B1573" i="4"/>
  <c r="G1572" i="4"/>
  <c r="F1572" i="4"/>
  <c r="E1572" i="4"/>
  <c r="D1572" i="4"/>
  <c r="B1572" i="4"/>
  <c r="G1571" i="4"/>
  <c r="F1571" i="4"/>
  <c r="E1571" i="4"/>
  <c r="D1571" i="4"/>
  <c r="B1571" i="4"/>
  <c r="G1570" i="4"/>
  <c r="F1570" i="4"/>
  <c r="E1570" i="4"/>
  <c r="D1570" i="4"/>
  <c r="B1570" i="4"/>
  <c r="G1569" i="4"/>
  <c r="F1569" i="4"/>
  <c r="E1569" i="4"/>
  <c r="D1569" i="4"/>
  <c r="B1569" i="4"/>
  <c r="G1568" i="4"/>
  <c r="F1568" i="4"/>
  <c r="E1568" i="4"/>
  <c r="D1568" i="4"/>
  <c r="B1568" i="4"/>
  <c r="G1567" i="4"/>
  <c r="F1567" i="4"/>
  <c r="E1567" i="4"/>
  <c r="D1567" i="4"/>
  <c r="B1567" i="4"/>
  <c r="G1566" i="4"/>
  <c r="F1566" i="4"/>
  <c r="E1566" i="4"/>
  <c r="D1566" i="4"/>
  <c r="B1566" i="4"/>
  <c r="G1565" i="4"/>
  <c r="F1565" i="4"/>
  <c r="E1565" i="4"/>
  <c r="D1565" i="4"/>
  <c r="B1565" i="4"/>
  <c r="G1564" i="4"/>
  <c r="F1564" i="4"/>
  <c r="E1564" i="4"/>
  <c r="D1564" i="4"/>
  <c r="B1564" i="4"/>
  <c r="G1563" i="4"/>
  <c r="F1563" i="4"/>
  <c r="E1563" i="4"/>
  <c r="D1563" i="4"/>
  <c r="B1563" i="4"/>
  <c r="G1562" i="4"/>
  <c r="F1562" i="4"/>
  <c r="E1562" i="4"/>
  <c r="D1562" i="4"/>
  <c r="B1562" i="4"/>
  <c r="G1561" i="4"/>
  <c r="F1561" i="4"/>
  <c r="E1561" i="4"/>
  <c r="D1561" i="4"/>
  <c r="B1561" i="4"/>
  <c r="G1560" i="4"/>
  <c r="F1560" i="4"/>
  <c r="E1560" i="4"/>
  <c r="D1560" i="4"/>
  <c r="B1560" i="4"/>
  <c r="G1559" i="4"/>
  <c r="F1559" i="4"/>
  <c r="E1559" i="4"/>
  <c r="D1559" i="4"/>
  <c r="B1559" i="4"/>
  <c r="G1558" i="4"/>
  <c r="F1558" i="4"/>
  <c r="E1558" i="4"/>
  <c r="D1558" i="4"/>
  <c r="B1558" i="4"/>
  <c r="G1557" i="4"/>
  <c r="F1557" i="4"/>
  <c r="E1557" i="4"/>
  <c r="D1557" i="4"/>
  <c r="B1557" i="4"/>
  <c r="G1556" i="4"/>
  <c r="F1556" i="4"/>
  <c r="E1556" i="4"/>
  <c r="D1556" i="4"/>
  <c r="B1556" i="4"/>
  <c r="G1555" i="4"/>
  <c r="F1555" i="4"/>
  <c r="E1555" i="4"/>
  <c r="D1555" i="4"/>
  <c r="B1555" i="4"/>
  <c r="G1554" i="4"/>
  <c r="F1554" i="4"/>
  <c r="E1554" i="4"/>
  <c r="D1554" i="4"/>
  <c r="B1554" i="4"/>
  <c r="G1553" i="4"/>
  <c r="F1553" i="4"/>
  <c r="E1553" i="4"/>
  <c r="D1553" i="4"/>
  <c r="B1553" i="4"/>
  <c r="G1552" i="4"/>
  <c r="F1552" i="4"/>
  <c r="E1552" i="4"/>
  <c r="D1552" i="4"/>
  <c r="B1552" i="4"/>
  <c r="G1551" i="4"/>
  <c r="F1551" i="4"/>
  <c r="E1551" i="4"/>
  <c r="D1551" i="4"/>
  <c r="B1551" i="4"/>
  <c r="G1550" i="4"/>
  <c r="F1550" i="4"/>
  <c r="E1550" i="4"/>
  <c r="D1550" i="4"/>
  <c r="B1550" i="4"/>
  <c r="G1549" i="4"/>
  <c r="F1549" i="4"/>
  <c r="E1549" i="4"/>
  <c r="D1549" i="4"/>
  <c r="B1549" i="4"/>
  <c r="G1548" i="4"/>
  <c r="F1548" i="4"/>
  <c r="E1548" i="4"/>
  <c r="D1548" i="4"/>
  <c r="B1548" i="4"/>
  <c r="G1547" i="4"/>
  <c r="F1547" i="4"/>
  <c r="E1547" i="4"/>
  <c r="D1547" i="4"/>
  <c r="B1547" i="4"/>
  <c r="G1546" i="4"/>
  <c r="F1546" i="4"/>
  <c r="E1546" i="4"/>
  <c r="D1546" i="4"/>
  <c r="B1546" i="4"/>
  <c r="G1545" i="4"/>
  <c r="F1545" i="4"/>
  <c r="E1545" i="4"/>
  <c r="D1545" i="4"/>
  <c r="B1545" i="4"/>
  <c r="G1544" i="4"/>
  <c r="F1544" i="4"/>
  <c r="E1544" i="4"/>
  <c r="D1544" i="4"/>
  <c r="B1544" i="4"/>
  <c r="G1543" i="4"/>
  <c r="F1543" i="4"/>
  <c r="E1543" i="4"/>
  <c r="D1543" i="4"/>
  <c r="B1543" i="4"/>
  <c r="G1542" i="4"/>
  <c r="F1542" i="4"/>
  <c r="E1542" i="4"/>
  <c r="D1542" i="4"/>
  <c r="B1542" i="4"/>
  <c r="G1541" i="4"/>
  <c r="F1541" i="4"/>
  <c r="E1541" i="4"/>
  <c r="D1541" i="4"/>
  <c r="B1541" i="4"/>
  <c r="G1540" i="4"/>
  <c r="F1540" i="4"/>
  <c r="E1540" i="4"/>
  <c r="D1540" i="4"/>
  <c r="B1540" i="4"/>
  <c r="G1539" i="4"/>
  <c r="F1539" i="4"/>
  <c r="E1539" i="4"/>
  <c r="D1539" i="4"/>
  <c r="B1539" i="4"/>
  <c r="G1538" i="4"/>
  <c r="F1538" i="4"/>
  <c r="E1538" i="4"/>
  <c r="D1538" i="4"/>
  <c r="B1538" i="4"/>
  <c r="G1537" i="4"/>
  <c r="F1537" i="4"/>
  <c r="E1537" i="4"/>
  <c r="D1537" i="4"/>
  <c r="B1537" i="4"/>
  <c r="G1536" i="4"/>
  <c r="F1536" i="4"/>
  <c r="E1536" i="4"/>
  <c r="D1536" i="4"/>
  <c r="B1536" i="4"/>
  <c r="G1535" i="4"/>
  <c r="F1535" i="4"/>
  <c r="E1535" i="4"/>
  <c r="D1535" i="4"/>
  <c r="B1535" i="4"/>
  <c r="G1534" i="4"/>
  <c r="F1534" i="4"/>
  <c r="E1534" i="4"/>
  <c r="D1534" i="4"/>
  <c r="B1534" i="4"/>
  <c r="G1533" i="4"/>
  <c r="F1533" i="4"/>
  <c r="E1533" i="4"/>
  <c r="D1533" i="4"/>
  <c r="B1533" i="4"/>
  <c r="G1532" i="4"/>
  <c r="F1532" i="4"/>
  <c r="E1532" i="4"/>
  <c r="D1532" i="4"/>
  <c r="B1532" i="4"/>
  <c r="G1531" i="4"/>
  <c r="F1531" i="4"/>
  <c r="E1531" i="4"/>
  <c r="D1531" i="4"/>
  <c r="B1531" i="4"/>
  <c r="G1530" i="4"/>
  <c r="F1530" i="4"/>
  <c r="E1530" i="4"/>
  <c r="D1530" i="4"/>
  <c r="B1530" i="4"/>
  <c r="G1529" i="4"/>
  <c r="F1529" i="4"/>
  <c r="E1529" i="4"/>
  <c r="D1529" i="4"/>
  <c r="B1529" i="4"/>
  <c r="G1528" i="4"/>
  <c r="F1528" i="4"/>
  <c r="E1528" i="4"/>
  <c r="D1528" i="4"/>
  <c r="B1528" i="4"/>
  <c r="G1527" i="4"/>
  <c r="F1527" i="4"/>
  <c r="E1527" i="4"/>
  <c r="D1527" i="4"/>
  <c r="B1527" i="4"/>
  <c r="G1526" i="4"/>
  <c r="F1526" i="4"/>
  <c r="E1526" i="4"/>
  <c r="D1526" i="4"/>
  <c r="B1526" i="4"/>
  <c r="G1525" i="4"/>
  <c r="F1525" i="4"/>
  <c r="E1525" i="4"/>
  <c r="D1525" i="4"/>
  <c r="B1525" i="4"/>
  <c r="G1524" i="4"/>
  <c r="F1524" i="4"/>
  <c r="E1524" i="4"/>
  <c r="D1524" i="4"/>
  <c r="B1524" i="4"/>
  <c r="G1523" i="4"/>
  <c r="F1523" i="4"/>
  <c r="E1523" i="4"/>
  <c r="D1523" i="4"/>
  <c r="B1523" i="4"/>
  <c r="G1522" i="4"/>
  <c r="F1522" i="4"/>
  <c r="E1522" i="4"/>
  <c r="D1522" i="4"/>
  <c r="B1522" i="4"/>
  <c r="G1521" i="4"/>
  <c r="F1521" i="4"/>
  <c r="E1521" i="4"/>
  <c r="D1521" i="4"/>
  <c r="B1521" i="4"/>
  <c r="G1520" i="4"/>
  <c r="F1520" i="4"/>
  <c r="E1520" i="4"/>
  <c r="D1520" i="4"/>
  <c r="B1520" i="4"/>
  <c r="G1519" i="4"/>
  <c r="F1519" i="4"/>
  <c r="E1519" i="4"/>
  <c r="D1519" i="4"/>
  <c r="B1519" i="4"/>
  <c r="G1518" i="4"/>
  <c r="F1518" i="4"/>
  <c r="E1518" i="4"/>
  <c r="D1518" i="4"/>
  <c r="B1518" i="4"/>
  <c r="G1517" i="4"/>
  <c r="F1517" i="4"/>
  <c r="E1517" i="4"/>
  <c r="D1517" i="4"/>
  <c r="B1517" i="4"/>
  <c r="G1516" i="4"/>
  <c r="F1516" i="4"/>
  <c r="E1516" i="4"/>
  <c r="D1516" i="4"/>
  <c r="B1516" i="4"/>
  <c r="G1515" i="4"/>
  <c r="F1515" i="4"/>
  <c r="E1515" i="4"/>
  <c r="D1515" i="4"/>
  <c r="B1515" i="4"/>
  <c r="G1514" i="4"/>
  <c r="F1514" i="4"/>
  <c r="E1514" i="4"/>
  <c r="D1514" i="4"/>
  <c r="B1514" i="4"/>
  <c r="G1513" i="4"/>
  <c r="F1513" i="4"/>
  <c r="E1513" i="4"/>
  <c r="D1513" i="4"/>
  <c r="B1513" i="4"/>
  <c r="G1512" i="4"/>
  <c r="F1512" i="4"/>
  <c r="E1512" i="4"/>
  <c r="D1512" i="4"/>
  <c r="B1512" i="4"/>
  <c r="G1511" i="4"/>
  <c r="F1511" i="4"/>
  <c r="E1511" i="4"/>
  <c r="D1511" i="4"/>
  <c r="B1511" i="4"/>
  <c r="G1510" i="4"/>
  <c r="F1510" i="4"/>
  <c r="E1510" i="4"/>
  <c r="D1510" i="4"/>
  <c r="B1510" i="4"/>
  <c r="G1509" i="4"/>
  <c r="F1509" i="4"/>
  <c r="E1509" i="4"/>
  <c r="D1509" i="4"/>
  <c r="B1509" i="4"/>
  <c r="G1508" i="4"/>
  <c r="F1508" i="4"/>
  <c r="E1508" i="4"/>
  <c r="D1508" i="4"/>
  <c r="B1508" i="4"/>
  <c r="G1507" i="4"/>
  <c r="F1507" i="4"/>
  <c r="E1507" i="4"/>
  <c r="D1507" i="4"/>
  <c r="B1507" i="4"/>
  <c r="G1506" i="4"/>
  <c r="F1506" i="4"/>
  <c r="E1506" i="4"/>
  <c r="D1506" i="4"/>
  <c r="B1506" i="4"/>
  <c r="G1505" i="4"/>
  <c r="F1505" i="4"/>
  <c r="E1505" i="4"/>
  <c r="D1505" i="4"/>
  <c r="B1505" i="4"/>
  <c r="G1504" i="4"/>
  <c r="F1504" i="4"/>
  <c r="E1504" i="4"/>
  <c r="D1504" i="4"/>
  <c r="B1504" i="4"/>
  <c r="G1503" i="4"/>
  <c r="F1503" i="4"/>
  <c r="E1503" i="4"/>
  <c r="D1503" i="4"/>
  <c r="B1503" i="4"/>
  <c r="G1502" i="4"/>
  <c r="F1502" i="4"/>
  <c r="E1502" i="4"/>
  <c r="D1502" i="4"/>
  <c r="B1502" i="4"/>
  <c r="G1501" i="4"/>
  <c r="F1501" i="4"/>
  <c r="E1501" i="4"/>
  <c r="D1501" i="4"/>
  <c r="B1501" i="4"/>
  <c r="G1500" i="4"/>
  <c r="F1500" i="4"/>
  <c r="E1500" i="4"/>
  <c r="D1500" i="4"/>
  <c r="B1500" i="4"/>
  <c r="G1499" i="4"/>
  <c r="F1499" i="4"/>
  <c r="E1499" i="4"/>
  <c r="D1499" i="4"/>
  <c r="B1499" i="4"/>
  <c r="G1498" i="4"/>
  <c r="F1498" i="4"/>
  <c r="E1498" i="4"/>
  <c r="D1498" i="4"/>
  <c r="B1498" i="4"/>
  <c r="G1497" i="4"/>
  <c r="F1497" i="4"/>
  <c r="E1497" i="4"/>
  <c r="D1497" i="4"/>
  <c r="B1497" i="4"/>
  <c r="G1496" i="4"/>
  <c r="F1496" i="4"/>
  <c r="E1496" i="4"/>
  <c r="D1496" i="4"/>
  <c r="B1496" i="4"/>
  <c r="G1495" i="4"/>
  <c r="F1495" i="4"/>
  <c r="E1495" i="4"/>
  <c r="D1495" i="4"/>
  <c r="B1495" i="4"/>
  <c r="G1494" i="4"/>
  <c r="F1494" i="4"/>
  <c r="E1494" i="4"/>
  <c r="D1494" i="4"/>
  <c r="B1494" i="4"/>
  <c r="G1493" i="4"/>
  <c r="F1493" i="4"/>
  <c r="E1493" i="4"/>
  <c r="D1493" i="4"/>
  <c r="B1493" i="4"/>
  <c r="G1492" i="4"/>
  <c r="F1492" i="4"/>
  <c r="E1492" i="4"/>
  <c r="D1492" i="4"/>
  <c r="B1492" i="4"/>
  <c r="G1491" i="4"/>
  <c r="F1491" i="4"/>
  <c r="E1491" i="4"/>
  <c r="D1491" i="4"/>
  <c r="B1491" i="4"/>
  <c r="G1490" i="4"/>
  <c r="F1490" i="4"/>
  <c r="E1490" i="4"/>
  <c r="D1490" i="4"/>
  <c r="B1490" i="4"/>
  <c r="G1489" i="4"/>
  <c r="F1489" i="4"/>
  <c r="E1489" i="4"/>
  <c r="D1489" i="4"/>
  <c r="B1489" i="4"/>
  <c r="G1488" i="4"/>
  <c r="F1488" i="4"/>
  <c r="E1488" i="4"/>
  <c r="D1488" i="4"/>
  <c r="B1488" i="4"/>
  <c r="G1487" i="4"/>
  <c r="F1487" i="4"/>
  <c r="E1487" i="4"/>
  <c r="D1487" i="4"/>
  <c r="B1487" i="4"/>
  <c r="G1486" i="4"/>
  <c r="F1486" i="4"/>
  <c r="E1486" i="4"/>
  <c r="D1486" i="4"/>
  <c r="B1486" i="4"/>
  <c r="G1485" i="4"/>
  <c r="F1485" i="4"/>
  <c r="E1485" i="4"/>
  <c r="D1485" i="4"/>
  <c r="B1485" i="4"/>
  <c r="G1484" i="4"/>
  <c r="F1484" i="4"/>
  <c r="E1484" i="4"/>
  <c r="D1484" i="4"/>
  <c r="B1484" i="4"/>
  <c r="G1483" i="4"/>
  <c r="F1483" i="4"/>
  <c r="E1483" i="4"/>
  <c r="D1483" i="4"/>
  <c r="B1483" i="4"/>
  <c r="G1482" i="4"/>
  <c r="F1482" i="4"/>
  <c r="E1482" i="4"/>
  <c r="D1482" i="4"/>
  <c r="B1482" i="4"/>
  <c r="G1481" i="4"/>
  <c r="F1481" i="4"/>
  <c r="E1481" i="4"/>
  <c r="D1481" i="4"/>
  <c r="B1481" i="4"/>
  <c r="G1480" i="4"/>
  <c r="F1480" i="4"/>
  <c r="E1480" i="4"/>
  <c r="D1480" i="4"/>
  <c r="B1480" i="4"/>
  <c r="G1479" i="4"/>
  <c r="F1479" i="4"/>
  <c r="E1479" i="4"/>
  <c r="D1479" i="4"/>
  <c r="B1479" i="4"/>
  <c r="G1478" i="4"/>
  <c r="F1478" i="4"/>
  <c r="E1478" i="4"/>
  <c r="D1478" i="4"/>
  <c r="B1478" i="4"/>
  <c r="G1477" i="4"/>
  <c r="F1477" i="4"/>
  <c r="E1477" i="4"/>
  <c r="D1477" i="4"/>
  <c r="B1477" i="4"/>
  <c r="G1476" i="4"/>
  <c r="F1476" i="4"/>
  <c r="E1476" i="4"/>
  <c r="D1476" i="4"/>
  <c r="B1476" i="4"/>
  <c r="G1475" i="4"/>
  <c r="F1475" i="4"/>
  <c r="E1475" i="4"/>
  <c r="D1475" i="4"/>
  <c r="B1475" i="4"/>
  <c r="G1474" i="4"/>
  <c r="F1474" i="4"/>
  <c r="E1474" i="4"/>
  <c r="D1474" i="4"/>
  <c r="B1474" i="4"/>
  <c r="G1473" i="4"/>
  <c r="F1473" i="4"/>
  <c r="E1473" i="4"/>
  <c r="D1473" i="4"/>
  <c r="B1473" i="4"/>
  <c r="G1472" i="4"/>
  <c r="F1472" i="4"/>
  <c r="E1472" i="4"/>
  <c r="D1472" i="4"/>
  <c r="B1472" i="4"/>
  <c r="G1471" i="4"/>
  <c r="F1471" i="4"/>
  <c r="E1471" i="4"/>
  <c r="D1471" i="4"/>
  <c r="B1471" i="4"/>
  <c r="G1470" i="4"/>
  <c r="F1470" i="4"/>
  <c r="E1470" i="4"/>
  <c r="D1470" i="4"/>
  <c r="B1470" i="4"/>
  <c r="G1469" i="4"/>
  <c r="F1469" i="4"/>
  <c r="E1469" i="4"/>
  <c r="D1469" i="4"/>
  <c r="B1469" i="4"/>
  <c r="G1468" i="4"/>
  <c r="F1468" i="4"/>
  <c r="E1468" i="4"/>
  <c r="D1468" i="4"/>
  <c r="B1468" i="4"/>
  <c r="G1467" i="4"/>
  <c r="F1467" i="4"/>
  <c r="E1467" i="4"/>
  <c r="D1467" i="4"/>
  <c r="B1467" i="4"/>
  <c r="G1466" i="4"/>
  <c r="F1466" i="4"/>
  <c r="E1466" i="4"/>
  <c r="D1466" i="4"/>
  <c r="B1466" i="4"/>
  <c r="G1465" i="4"/>
  <c r="F1465" i="4"/>
  <c r="E1465" i="4"/>
  <c r="D1465" i="4"/>
  <c r="B1465" i="4"/>
  <c r="G1464" i="4"/>
  <c r="F1464" i="4"/>
  <c r="E1464" i="4"/>
  <c r="D1464" i="4"/>
  <c r="B1464" i="4"/>
  <c r="G1463" i="4"/>
  <c r="F1463" i="4"/>
  <c r="E1463" i="4"/>
  <c r="D1463" i="4"/>
  <c r="B1463" i="4"/>
  <c r="G1462" i="4"/>
  <c r="F1462" i="4"/>
  <c r="E1462" i="4"/>
  <c r="D1462" i="4"/>
  <c r="B1462" i="4"/>
  <c r="G1461" i="4"/>
  <c r="F1461" i="4"/>
  <c r="E1461" i="4"/>
  <c r="D1461" i="4"/>
  <c r="B1461" i="4"/>
  <c r="G1460" i="4"/>
  <c r="F1460" i="4"/>
  <c r="E1460" i="4"/>
  <c r="D1460" i="4"/>
  <c r="B1460" i="4"/>
  <c r="G1459" i="4"/>
  <c r="F1459" i="4"/>
  <c r="E1459" i="4"/>
  <c r="D1459" i="4"/>
  <c r="B1459" i="4"/>
  <c r="G1458" i="4"/>
  <c r="F1458" i="4"/>
  <c r="E1458" i="4"/>
  <c r="D1458" i="4"/>
  <c r="B1458" i="4"/>
  <c r="G1457" i="4"/>
  <c r="F1457" i="4"/>
  <c r="E1457" i="4"/>
  <c r="D1457" i="4"/>
  <c r="B1457" i="4"/>
  <c r="G1456" i="4"/>
  <c r="F1456" i="4"/>
  <c r="E1456" i="4"/>
  <c r="D1456" i="4"/>
  <c r="B1456" i="4"/>
  <c r="G1455" i="4"/>
  <c r="F1455" i="4"/>
  <c r="E1455" i="4"/>
  <c r="D1455" i="4"/>
  <c r="B1455" i="4"/>
  <c r="G1454" i="4"/>
  <c r="F1454" i="4"/>
  <c r="E1454" i="4"/>
  <c r="D1454" i="4"/>
  <c r="B1454" i="4"/>
  <c r="G1453" i="4"/>
  <c r="F1453" i="4"/>
  <c r="E1453" i="4"/>
  <c r="D1453" i="4"/>
  <c r="B1453" i="4"/>
  <c r="G1452" i="4"/>
  <c r="F1452" i="4"/>
  <c r="E1452" i="4"/>
  <c r="D1452" i="4"/>
  <c r="B1452" i="4"/>
  <c r="G1451" i="4"/>
  <c r="F1451" i="4"/>
  <c r="E1451" i="4"/>
  <c r="D1451" i="4"/>
  <c r="B1451" i="4"/>
  <c r="G1450" i="4"/>
  <c r="F1450" i="4"/>
  <c r="E1450" i="4"/>
  <c r="D1450" i="4"/>
  <c r="B1450" i="4"/>
  <c r="G1449" i="4"/>
  <c r="F1449" i="4"/>
  <c r="E1449" i="4"/>
  <c r="D1449" i="4"/>
  <c r="B1449" i="4"/>
  <c r="G1448" i="4"/>
  <c r="F1448" i="4"/>
  <c r="E1448" i="4"/>
  <c r="D1448" i="4"/>
  <c r="B1448" i="4"/>
  <c r="G1447" i="4"/>
  <c r="F1447" i="4"/>
  <c r="E1447" i="4"/>
  <c r="D1447" i="4"/>
  <c r="B1447" i="4"/>
  <c r="G1446" i="4"/>
  <c r="F1446" i="4"/>
  <c r="E1446" i="4"/>
  <c r="D1446" i="4"/>
  <c r="B1446" i="4"/>
  <c r="G1445" i="4"/>
  <c r="F1445" i="4"/>
  <c r="E1445" i="4"/>
  <c r="D1445" i="4"/>
  <c r="B1445" i="4"/>
  <c r="G1444" i="4"/>
  <c r="F1444" i="4"/>
  <c r="E1444" i="4"/>
  <c r="D1444" i="4"/>
  <c r="B1444" i="4"/>
  <c r="G1443" i="4"/>
  <c r="F1443" i="4"/>
  <c r="E1443" i="4"/>
  <c r="D1443" i="4"/>
  <c r="B1443" i="4"/>
  <c r="G1442" i="4"/>
  <c r="F1442" i="4"/>
  <c r="E1442" i="4"/>
  <c r="D1442" i="4"/>
  <c r="B1442" i="4"/>
  <c r="G1441" i="4"/>
  <c r="F1441" i="4"/>
  <c r="E1441" i="4"/>
  <c r="D1441" i="4"/>
  <c r="B1441" i="4"/>
  <c r="G1440" i="4"/>
  <c r="F1440" i="4"/>
  <c r="E1440" i="4"/>
  <c r="D1440" i="4"/>
  <c r="B1440" i="4"/>
  <c r="G1439" i="4"/>
  <c r="F1439" i="4"/>
  <c r="E1439" i="4"/>
  <c r="D1439" i="4"/>
  <c r="B1439" i="4"/>
  <c r="G1438" i="4"/>
  <c r="F1438" i="4"/>
  <c r="E1438" i="4"/>
  <c r="D1438" i="4"/>
  <c r="B1438" i="4"/>
  <c r="G1437" i="4"/>
  <c r="F1437" i="4"/>
  <c r="E1437" i="4"/>
  <c r="D1437" i="4"/>
  <c r="B1437" i="4"/>
  <c r="G1436" i="4"/>
  <c r="F1436" i="4"/>
  <c r="E1436" i="4"/>
  <c r="D1436" i="4"/>
  <c r="B1436" i="4"/>
  <c r="G1435" i="4"/>
  <c r="F1435" i="4"/>
  <c r="E1435" i="4"/>
  <c r="D1435" i="4"/>
  <c r="B1435" i="4"/>
  <c r="G1434" i="4"/>
  <c r="F1434" i="4"/>
  <c r="E1434" i="4"/>
  <c r="D1434" i="4"/>
  <c r="B1434" i="4"/>
  <c r="G1433" i="4"/>
  <c r="F1433" i="4"/>
  <c r="E1433" i="4"/>
  <c r="D1433" i="4"/>
  <c r="B1433" i="4"/>
  <c r="G1432" i="4"/>
  <c r="F1432" i="4"/>
  <c r="E1432" i="4"/>
  <c r="D1432" i="4"/>
  <c r="B1432" i="4"/>
  <c r="G1431" i="4"/>
  <c r="F1431" i="4"/>
  <c r="E1431" i="4"/>
  <c r="D1431" i="4"/>
  <c r="B1431" i="4"/>
  <c r="G1430" i="4"/>
  <c r="F1430" i="4"/>
  <c r="E1430" i="4"/>
  <c r="D1430" i="4"/>
  <c r="B1430" i="4"/>
  <c r="G1429" i="4"/>
  <c r="F1429" i="4"/>
  <c r="E1429" i="4"/>
  <c r="D1429" i="4"/>
  <c r="B1429" i="4"/>
  <c r="G1428" i="4"/>
  <c r="F1428" i="4"/>
  <c r="E1428" i="4"/>
  <c r="D1428" i="4"/>
  <c r="B1428" i="4"/>
  <c r="G1427" i="4"/>
  <c r="F1427" i="4"/>
  <c r="E1427" i="4"/>
  <c r="D1427" i="4"/>
  <c r="B1427" i="4"/>
  <c r="G1426" i="4"/>
  <c r="F1426" i="4"/>
  <c r="E1426" i="4"/>
  <c r="D1426" i="4"/>
  <c r="B1426" i="4"/>
  <c r="G1425" i="4"/>
  <c r="F1425" i="4"/>
  <c r="E1425" i="4"/>
  <c r="D1425" i="4"/>
  <c r="B1425" i="4"/>
  <c r="G1424" i="4"/>
  <c r="F1424" i="4"/>
  <c r="E1424" i="4"/>
  <c r="D1424" i="4"/>
  <c r="B1424" i="4"/>
  <c r="G1423" i="4"/>
  <c r="F1423" i="4"/>
  <c r="E1423" i="4"/>
  <c r="D1423" i="4"/>
  <c r="B1423" i="4"/>
  <c r="G1422" i="4"/>
  <c r="F1422" i="4"/>
  <c r="E1422" i="4"/>
  <c r="D1422" i="4"/>
  <c r="B1422" i="4"/>
  <c r="G1421" i="4"/>
  <c r="F1421" i="4"/>
  <c r="E1421" i="4"/>
  <c r="D1421" i="4"/>
  <c r="B1421" i="4"/>
  <c r="G1420" i="4"/>
  <c r="F1420" i="4"/>
  <c r="E1420" i="4"/>
  <c r="D1420" i="4"/>
  <c r="B1420" i="4"/>
  <c r="G1419" i="4"/>
  <c r="F1419" i="4"/>
  <c r="E1419" i="4"/>
  <c r="D1419" i="4"/>
  <c r="B1419" i="4"/>
  <c r="G1418" i="4"/>
  <c r="F1418" i="4"/>
  <c r="E1418" i="4"/>
  <c r="D1418" i="4"/>
  <c r="B1418" i="4"/>
  <c r="G1417" i="4"/>
  <c r="F1417" i="4"/>
  <c r="E1417" i="4"/>
  <c r="D1417" i="4"/>
  <c r="B1417" i="4"/>
  <c r="G1416" i="4"/>
  <c r="F1416" i="4"/>
  <c r="E1416" i="4"/>
  <c r="D1416" i="4"/>
  <c r="B1416" i="4"/>
  <c r="G1415" i="4"/>
  <c r="F1415" i="4"/>
  <c r="E1415" i="4"/>
  <c r="D1415" i="4"/>
  <c r="B1415" i="4"/>
  <c r="G1414" i="4"/>
  <c r="F1414" i="4"/>
  <c r="E1414" i="4"/>
  <c r="D1414" i="4"/>
  <c r="B1414" i="4"/>
  <c r="G1413" i="4"/>
  <c r="F1413" i="4"/>
  <c r="E1413" i="4"/>
  <c r="D1413" i="4"/>
  <c r="B1413" i="4"/>
  <c r="G1412" i="4"/>
  <c r="F1412" i="4"/>
  <c r="E1412" i="4"/>
  <c r="D1412" i="4"/>
  <c r="B1412" i="4"/>
  <c r="G1411" i="4"/>
  <c r="F1411" i="4"/>
  <c r="E1411" i="4"/>
  <c r="D1411" i="4"/>
  <c r="B1411" i="4"/>
  <c r="G1410" i="4"/>
  <c r="F1410" i="4"/>
  <c r="E1410" i="4"/>
  <c r="D1410" i="4"/>
  <c r="B1410" i="4"/>
  <c r="G1409" i="4"/>
  <c r="F1409" i="4"/>
  <c r="E1409" i="4"/>
  <c r="D1409" i="4"/>
  <c r="B1409" i="4"/>
  <c r="G1408" i="4"/>
  <c r="F1408" i="4"/>
  <c r="E1408" i="4"/>
  <c r="D1408" i="4"/>
  <c r="B1408" i="4"/>
  <c r="G1407" i="4"/>
  <c r="F1407" i="4"/>
  <c r="E1407" i="4"/>
  <c r="D1407" i="4"/>
  <c r="B1407" i="4"/>
  <c r="G1406" i="4"/>
  <c r="F1406" i="4"/>
  <c r="E1406" i="4"/>
  <c r="D1406" i="4"/>
  <c r="B1406" i="4"/>
  <c r="G1405" i="4"/>
  <c r="F1405" i="4"/>
  <c r="E1405" i="4"/>
  <c r="D1405" i="4"/>
  <c r="B1405" i="4"/>
  <c r="G1404" i="4"/>
  <c r="F1404" i="4"/>
  <c r="E1404" i="4"/>
  <c r="D1404" i="4"/>
  <c r="B1404" i="4"/>
  <c r="G1403" i="4"/>
  <c r="F1403" i="4"/>
  <c r="E1403" i="4"/>
  <c r="D1403" i="4"/>
  <c r="B1403" i="4"/>
  <c r="G1402" i="4"/>
  <c r="F1402" i="4"/>
  <c r="E1402" i="4"/>
  <c r="D1402" i="4"/>
  <c r="B1402" i="4"/>
  <c r="G1401" i="4"/>
  <c r="F1401" i="4"/>
  <c r="E1401" i="4"/>
  <c r="D1401" i="4"/>
  <c r="B1401" i="4"/>
  <c r="G1400" i="4"/>
  <c r="F1400" i="4"/>
  <c r="E1400" i="4"/>
  <c r="D1400" i="4"/>
  <c r="B1400" i="4"/>
  <c r="G1399" i="4"/>
  <c r="F1399" i="4"/>
  <c r="E1399" i="4"/>
  <c r="D1399" i="4"/>
  <c r="B1399" i="4"/>
  <c r="G1398" i="4"/>
  <c r="F1398" i="4"/>
  <c r="E1398" i="4"/>
  <c r="D1398" i="4"/>
  <c r="B1398" i="4"/>
  <c r="G1397" i="4"/>
  <c r="F1397" i="4"/>
  <c r="E1397" i="4"/>
  <c r="D1397" i="4"/>
  <c r="B1397" i="4"/>
  <c r="G1396" i="4"/>
  <c r="F1396" i="4"/>
  <c r="E1396" i="4"/>
  <c r="D1396" i="4"/>
  <c r="B1396" i="4"/>
  <c r="G1395" i="4"/>
  <c r="F1395" i="4"/>
  <c r="E1395" i="4"/>
  <c r="D1395" i="4"/>
  <c r="B1395" i="4"/>
  <c r="G1394" i="4"/>
  <c r="F1394" i="4"/>
  <c r="E1394" i="4"/>
  <c r="D1394" i="4"/>
  <c r="B1394" i="4"/>
  <c r="G1393" i="4"/>
  <c r="F1393" i="4"/>
  <c r="E1393" i="4"/>
  <c r="D1393" i="4"/>
  <c r="B1393" i="4"/>
  <c r="G1392" i="4"/>
  <c r="F1392" i="4"/>
  <c r="E1392" i="4"/>
  <c r="D1392" i="4"/>
  <c r="B1392" i="4"/>
  <c r="G1391" i="4"/>
  <c r="F1391" i="4"/>
  <c r="E1391" i="4"/>
  <c r="D1391" i="4"/>
  <c r="B1391" i="4"/>
  <c r="G1390" i="4"/>
  <c r="F1390" i="4"/>
  <c r="E1390" i="4"/>
  <c r="D1390" i="4"/>
  <c r="B1390" i="4"/>
  <c r="G1389" i="4"/>
  <c r="F1389" i="4"/>
  <c r="E1389" i="4"/>
  <c r="D1389" i="4"/>
  <c r="B1389" i="4"/>
  <c r="G1388" i="4"/>
  <c r="F1388" i="4"/>
  <c r="E1388" i="4"/>
  <c r="D1388" i="4"/>
  <c r="B1388" i="4"/>
  <c r="G1387" i="4"/>
  <c r="F1387" i="4"/>
  <c r="E1387" i="4"/>
  <c r="D1387" i="4"/>
  <c r="B1387" i="4"/>
  <c r="G1386" i="4"/>
  <c r="F1386" i="4"/>
  <c r="E1386" i="4"/>
  <c r="D1386" i="4"/>
  <c r="B1386" i="4"/>
  <c r="G1385" i="4"/>
  <c r="F1385" i="4"/>
  <c r="E1385" i="4"/>
  <c r="D1385" i="4"/>
  <c r="B1385" i="4"/>
  <c r="G1384" i="4"/>
  <c r="F1384" i="4"/>
  <c r="E1384" i="4"/>
  <c r="D1384" i="4"/>
  <c r="B1384" i="4"/>
  <c r="G1383" i="4"/>
  <c r="F1383" i="4"/>
  <c r="E1383" i="4"/>
  <c r="D1383" i="4"/>
  <c r="B1383" i="4"/>
  <c r="G1382" i="4"/>
  <c r="F1382" i="4"/>
  <c r="E1382" i="4"/>
  <c r="D1382" i="4"/>
  <c r="B1382" i="4"/>
  <c r="G1381" i="4"/>
  <c r="F1381" i="4"/>
  <c r="E1381" i="4"/>
  <c r="D1381" i="4"/>
  <c r="B1381" i="4"/>
  <c r="G1380" i="4"/>
  <c r="F1380" i="4"/>
  <c r="E1380" i="4"/>
  <c r="D1380" i="4"/>
  <c r="B1380" i="4"/>
  <c r="G1379" i="4"/>
  <c r="F1379" i="4"/>
  <c r="E1379" i="4"/>
  <c r="D1379" i="4"/>
  <c r="B1379" i="4"/>
  <c r="G1378" i="4"/>
  <c r="F1378" i="4"/>
  <c r="E1378" i="4"/>
  <c r="D1378" i="4"/>
  <c r="B1378" i="4"/>
  <c r="G1377" i="4"/>
  <c r="F1377" i="4"/>
  <c r="E1377" i="4"/>
  <c r="D1377" i="4"/>
  <c r="B1377" i="4"/>
  <c r="G1376" i="4"/>
  <c r="F1376" i="4"/>
  <c r="E1376" i="4"/>
  <c r="D1376" i="4"/>
  <c r="B1376" i="4"/>
  <c r="G1375" i="4"/>
  <c r="F1375" i="4"/>
  <c r="E1375" i="4"/>
  <c r="D1375" i="4"/>
  <c r="B1375" i="4"/>
  <c r="G1374" i="4"/>
  <c r="F1374" i="4"/>
  <c r="E1374" i="4"/>
  <c r="D1374" i="4"/>
  <c r="B1374" i="4"/>
  <c r="G1373" i="4"/>
  <c r="F1373" i="4"/>
  <c r="E1373" i="4"/>
  <c r="D1373" i="4"/>
  <c r="B1373" i="4"/>
  <c r="G1372" i="4"/>
  <c r="F1372" i="4"/>
  <c r="E1372" i="4"/>
  <c r="D1372" i="4"/>
  <c r="B1372" i="4"/>
  <c r="G1371" i="4"/>
  <c r="F1371" i="4"/>
  <c r="E1371" i="4"/>
  <c r="D1371" i="4"/>
  <c r="B1371" i="4"/>
  <c r="G1370" i="4"/>
  <c r="F1370" i="4"/>
  <c r="E1370" i="4"/>
  <c r="D1370" i="4"/>
  <c r="B1370" i="4"/>
  <c r="G1369" i="4"/>
  <c r="F1369" i="4"/>
  <c r="E1369" i="4"/>
  <c r="D1369" i="4"/>
  <c r="B1369" i="4"/>
  <c r="G1368" i="4"/>
  <c r="F1368" i="4"/>
  <c r="E1368" i="4"/>
  <c r="D1368" i="4"/>
  <c r="B1368" i="4"/>
  <c r="G1367" i="4"/>
  <c r="F1367" i="4"/>
  <c r="E1367" i="4"/>
  <c r="D1367" i="4"/>
  <c r="B1367" i="4"/>
  <c r="G1366" i="4"/>
  <c r="F1366" i="4"/>
  <c r="E1366" i="4"/>
  <c r="D1366" i="4"/>
  <c r="B1366" i="4"/>
  <c r="G1365" i="4"/>
  <c r="F1365" i="4"/>
  <c r="E1365" i="4"/>
  <c r="D1365" i="4"/>
  <c r="B1365" i="4"/>
  <c r="G1364" i="4"/>
  <c r="F1364" i="4"/>
  <c r="E1364" i="4"/>
  <c r="D1364" i="4"/>
  <c r="B1364" i="4"/>
  <c r="G1363" i="4"/>
  <c r="F1363" i="4"/>
  <c r="E1363" i="4"/>
  <c r="D1363" i="4"/>
  <c r="B1363" i="4"/>
  <c r="G1362" i="4"/>
  <c r="F1362" i="4"/>
  <c r="E1362" i="4"/>
  <c r="D1362" i="4"/>
  <c r="B1362" i="4"/>
  <c r="G1361" i="4"/>
  <c r="F1361" i="4"/>
  <c r="E1361" i="4"/>
  <c r="D1361" i="4"/>
  <c r="B1361" i="4"/>
  <c r="G1360" i="4"/>
  <c r="F1360" i="4"/>
  <c r="E1360" i="4"/>
  <c r="D1360" i="4"/>
  <c r="B1360" i="4"/>
  <c r="G1359" i="4"/>
  <c r="F1359" i="4"/>
  <c r="E1359" i="4"/>
  <c r="D1359" i="4"/>
  <c r="B1359" i="4"/>
  <c r="G1358" i="4"/>
  <c r="F1358" i="4"/>
  <c r="E1358" i="4"/>
  <c r="D1358" i="4"/>
  <c r="B1358" i="4"/>
  <c r="G1357" i="4"/>
  <c r="F1357" i="4"/>
  <c r="E1357" i="4"/>
  <c r="D1357" i="4"/>
  <c r="B1357" i="4"/>
  <c r="G1356" i="4"/>
  <c r="F1356" i="4"/>
  <c r="E1356" i="4"/>
  <c r="D1356" i="4"/>
  <c r="B1356" i="4"/>
  <c r="G1355" i="4"/>
  <c r="F1355" i="4"/>
  <c r="E1355" i="4"/>
  <c r="D1355" i="4"/>
  <c r="B1355" i="4"/>
  <c r="G1354" i="4"/>
  <c r="F1354" i="4"/>
  <c r="E1354" i="4"/>
  <c r="D1354" i="4"/>
  <c r="B1354" i="4"/>
  <c r="G1353" i="4"/>
  <c r="F1353" i="4"/>
  <c r="E1353" i="4"/>
  <c r="D1353" i="4"/>
  <c r="B1353" i="4"/>
  <c r="G1352" i="4"/>
  <c r="F1352" i="4"/>
  <c r="E1352" i="4"/>
  <c r="D1352" i="4"/>
  <c r="B1352" i="4"/>
  <c r="G1351" i="4"/>
  <c r="F1351" i="4"/>
  <c r="E1351" i="4"/>
  <c r="D1351" i="4"/>
  <c r="B1351" i="4"/>
  <c r="G1350" i="4"/>
  <c r="F1350" i="4"/>
  <c r="E1350" i="4"/>
  <c r="D1350" i="4"/>
  <c r="B1350" i="4"/>
  <c r="G1349" i="4"/>
  <c r="F1349" i="4"/>
  <c r="E1349" i="4"/>
  <c r="D1349" i="4"/>
  <c r="B1349" i="4"/>
  <c r="G1348" i="4"/>
  <c r="F1348" i="4"/>
  <c r="E1348" i="4"/>
  <c r="D1348" i="4"/>
  <c r="B1348" i="4"/>
  <c r="G1347" i="4"/>
  <c r="F1347" i="4"/>
  <c r="E1347" i="4"/>
  <c r="D1347" i="4"/>
  <c r="B1347" i="4"/>
  <c r="G1346" i="4"/>
  <c r="F1346" i="4"/>
  <c r="E1346" i="4"/>
  <c r="D1346" i="4"/>
  <c r="B1346" i="4"/>
  <c r="G1345" i="4"/>
  <c r="F1345" i="4"/>
  <c r="E1345" i="4"/>
  <c r="D1345" i="4"/>
  <c r="B1345" i="4"/>
  <c r="G1344" i="4"/>
  <c r="F1344" i="4"/>
  <c r="E1344" i="4"/>
  <c r="D1344" i="4"/>
  <c r="B1344" i="4"/>
  <c r="G1343" i="4"/>
  <c r="F1343" i="4"/>
  <c r="E1343" i="4"/>
  <c r="D1343" i="4"/>
  <c r="B1343" i="4"/>
  <c r="G1342" i="4"/>
  <c r="F1342" i="4"/>
  <c r="E1342" i="4"/>
  <c r="D1342" i="4"/>
  <c r="B1342" i="4"/>
  <c r="G1341" i="4"/>
  <c r="F1341" i="4"/>
  <c r="E1341" i="4"/>
  <c r="D1341" i="4"/>
  <c r="B1341" i="4"/>
  <c r="G1340" i="4"/>
  <c r="F1340" i="4"/>
  <c r="E1340" i="4"/>
  <c r="D1340" i="4"/>
  <c r="B1340" i="4"/>
  <c r="G1339" i="4"/>
  <c r="F1339" i="4"/>
  <c r="E1339" i="4"/>
  <c r="D1339" i="4"/>
  <c r="B1339" i="4"/>
  <c r="G1338" i="4"/>
  <c r="F1338" i="4"/>
  <c r="E1338" i="4"/>
  <c r="D1338" i="4"/>
  <c r="B1338" i="4"/>
  <c r="G1337" i="4"/>
  <c r="F1337" i="4"/>
  <c r="E1337" i="4"/>
  <c r="D1337" i="4"/>
  <c r="B1337" i="4"/>
  <c r="G1336" i="4"/>
  <c r="F1336" i="4"/>
  <c r="E1336" i="4"/>
  <c r="D1336" i="4"/>
  <c r="B1336" i="4"/>
  <c r="G1335" i="4"/>
  <c r="F1335" i="4"/>
  <c r="E1335" i="4"/>
  <c r="D1335" i="4"/>
  <c r="B1335" i="4"/>
  <c r="G1334" i="4"/>
  <c r="F1334" i="4"/>
  <c r="E1334" i="4"/>
  <c r="D1334" i="4"/>
  <c r="B1334" i="4"/>
  <c r="G1333" i="4"/>
  <c r="F1333" i="4"/>
  <c r="E1333" i="4"/>
  <c r="D1333" i="4"/>
  <c r="B1333" i="4"/>
  <c r="G1332" i="4"/>
  <c r="F1332" i="4"/>
  <c r="E1332" i="4"/>
  <c r="D1332" i="4"/>
  <c r="B1332" i="4"/>
  <c r="G1331" i="4"/>
  <c r="F1331" i="4"/>
  <c r="E1331" i="4"/>
  <c r="D1331" i="4"/>
  <c r="B1331" i="4"/>
  <c r="G1330" i="4"/>
  <c r="F1330" i="4"/>
  <c r="E1330" i="4"/>
  <c r="D1330" i="4"/>
  <c r="B1330" i="4"/>
  <c r="G1329" i="4"/>
  <c r="F1329" i="4"/>
  <c r="E1329" i="4"/>
  <c r="D1329" i="4"/>
  <c r="B1329" i="4"/>
  <c r="G1328" i="4"/>
  <c r="F1328" i="4"/>
  <c r="E1328" i="4"/>
  <c r="D1328" i="4"/>
  <c r="B1328" i="4"/>
  <c r="G1327" i="4"/>
  <c r="F1327" i="4"/>
  <c r="E1327" i="4"/>
  <c r="D1327" i="4"/>
  <c r="B1327" i="4"/>
  <c r="G1326" i="4"/>
  <c r="F1326" i="4"/>
  <c r="E1326" i="4"/>
  <c r="D1326" i="4"/>
  <c r="B1326" i="4"/>
  <c r="G1325" i="4"/>
  <c r="F1325" i="4"/>
  <c r="E1325" i="4"/>
  <c r="D1325" i="4"/>
  <c r="B1325" i="4"/>
  <c r="G1324" i="4"/>
  <c r="F1324" i="4"/>
  <c r="E1324" i="4"/>
  <c r="D1324" i="4"/>
  <c r="B1324" i="4"/>
  <c r="G1323" i="4"/>
  <c r="F1323" i="4"/>
  <c r="E1323" i="4"/>
  <c r="D1323" i="4"/>
  <c r="B1323" i="4"/>
  <c r="G1322" i="4"/>
  <c r="F1322" i="4"/>
  <c r="E1322" i="4"/>
  <c r="D1322" i="4"/>
  <c r="B1322" i="4"/>
  <c r="G1321" i="4"/>
  <c r="F1321" i="4"/>
  <c r="E1321" i="4"/>
  <c r="D1321" i="4"/>
  <c r="B1321" i="4"/>
  <c r="G1320" i="4"/>
  <c r="F1320" i="4"/>
  <c r="E1320" i="4"/>
  <c r="D1320" i="4"/>
  <c r="B1320" i="4"/>
  <c r="G1319" i="4"/>
  <c r="F1319" i="4"/>
  <c r="E1319" i="4"/>
  <c r="D1319" i="4"/>
  <c r="B1319" i="4"/>
  <c r="G1318" i="4"/>
  <c r="F1318" i="4"/>
  <c r="E1318" i="4"/>
  <c r="D1318" i="4"/>
  <c r="B1318" i="4"/>
  <c r="G1317" i="4"/>
  <c r="F1317" i="4"/>
  <c r="E1317" i="4"/>
  <c r="D1317" i="4"/>
  <c r="B1317" i="4"/>
  <c r="G1316" i="4"/>
  <c r="F1316" i="4"/>
  <c r="E1316" i="4"/>
  <c r="D1316" i="4"/>
  <c r="B1316" i="4"/>
  <c r="G1315" i="4"/>
  <c r="F1315" i="4"/>
  <c r="E1315" i="4"/>
  <c r="D1315" i="4"/>
  <c r="B1315" i="4"/>
  <c r="G1314" i="4"/>
  <c r="F1314" i="4"/>
  <c r="E1314" i="4"/>
  <c r="D1314" i="4"/>
  <c r="B1314" i="4"/>
  <c r="G1313" i="4"/>
  <c r="F1313" i="4"/>
  <c r="E1313" i="4"/>
  <c r="D1313" i="4"/>
  <c r="B1313" i="4"/>
  <c r="G1312" i="4"/>
  <c r="F1312" i="4"/>
  <c r="E1312" i="4"/>
  <c r="D1312" i="4"/>
  <c r="B1312" i="4"/>
  <c r="G1311" i="4"/>
  <c r="F1311" i="4"/>
  <c r="E1311" i="4"/>
  <c r="D1311" i="4"/>
  <c r="B1311" i="4"/>
  <c r="G1310" i="4"/>
  <c r="F1310" i="4"/>
  <c r="E1310" i="4"/>
  <c r="D1310" i="4"/>
  <c r="B1310" i="4"/>
  <c r="G1309" i="4"/>
  <c r="F1309" i="4"/>
  <c r="E1309" i="4"/>
  <c r="D1309" i="4"/>
  <c r="B1309" i="4"/>
  <c r="G1308" i="4"/>
  <c r="F1308" i="4"/>
  <c r="E1308" i="4"/>
  <c r="D1308" i="4"/>
  <c r="B1308" i="4"/>
  <c r="G1307" i="4"/>
  <c r="F1307" i="4"/>
  <c r="E1307" i="4"/>
  <c r="D1307" i="4"/>
  <c r="B1307" i="4"/>
  <c r="G1306" i="4"/>
  <c r="F1306" i="4"/>
  <c r="E1306" i="4"/>
  <c r="D1306" i="4"/>
  <c r="B1306" i="4"/>
  <c r="G1305" i="4"/>
  <c r="F1305" i="4"/>
  <c r="E1305" i="4"/>
  <c r="D1305" i="4"/>
  <c r="B1305" i="4"/>
  <c r="G1304" i="4"/>
  <c r="F1304" i="4"/>
  <c r="E1304" i="4"/>
  <c r="D1304" i="4"/>
  <c r="B1304" i="4"/>
  <c r="G1303" i="4"/>
  <c r="F1303" i="4"/>
  <c r="E1303" i="4"/>
  <c r="D1303" i="4"/>
  <c r="B1303" i="4"/>
  <c r="G1302" i="4"/>
  <c r="F1302" i="4"/>
  <c r="E1302" i="4"/>
  <c r="D1302" i="4"/>
  <c r="B1302" i="4"/>
  <c r="G1301" i="4"/>
  <c r="F1301" i="4"/>
  <c r="E1301" i="4"/>
  <c r="D1301" i="4"/>
  <c r="B1301" i="4"/>
  <c r="G1300" i="4"/>
  <c r="F1300" i="4"/>
  <c r="E1300" i="4"/>
  <c r="D1300" i="4"/>
  <c r="B1300" i="4"/>
  <c r="G1299" i="4"/>
  <c r="F1299" i="4"/>
  <c r="E1299" i="4"/>
  <c r="D1299" i="4"/>
  <c r="B1299" i="4"/>
  <c r="G1298" i="4"/>
  <c r="F1298" i="4"/>
  <c r="E1298" i="4"/>
  <c r="D1298" i="4"/>
  <c r="B1298" i="4"/>
  <c r="G1297" i="4"/>
  <c r="F1297" i="4"/>
  <c r="E1297" i="4"/>
  <c r="D1297" i="4"/>
  <c r="B1297" i="4"/>
  <c r="G1296" i="4"/>
  <c r="F1296" i="4"/>
  <c r="E1296" i="4"/>
  <c r="D1296" i="4"/>
  <c r="B1296" i="4"/>
  <c r="G1295" i="4"/>
  <c r="F1295" i="4"/>
  <c r="E1295" i="4"/>
  <c r="D1295" i="4"/>
  <c r="B1295" i="4"/>
  <c r="G1294" i="4"/>
  <c r="F1294" i="4"/>
  <c r="E1294" i="4"/>
  <c r="D1294" i="4"/>
  <c r="B1294" i="4"/>
  <c r="G1293" i="4"/>
  <c r="F1293" i="4"/>
  <c r="E1293" i="4"/>
  <c r="D1293" i="4"/>
  <c r="B1293" i="4"/>
  <c r="G1292" i="4"/>
  <c r="F1292" i="4"/>
  <c r="E1292" i="4"/>
  <c r="D1292" i="4"/>
  <c r="B1292" i="4"/>
  <c r="G1291" i="4"/>
  <c r="F1291" i="4"/>
  <c r="E1291" i="4"/>
  <c r="D1291" i="4"/>
  <c r="B1291" i="4"/>
  <c r="G1290" i="4"/>
  <c r="F1290" i="4"/>
  <c r="E1290" i="4"/>
  <c r="D1290" i="4"/>
  <c r="B1290" i="4"/>
  <c r="G1289" i="4"/>
  <c r="F1289" i="4"/>
  <c r="E1289" i="4"/>
  <c r="D1289" i="4"/>
  <c r="B1289" i="4"/>
  <c r="G1288" i="4"/>
  <c r="F1288" i="4"/>
  <c r="E1288" i="4"/>
  <c r="D1288" i="4"/>
  <c r="B1288" i="4"/>
  <c r="G1287" i="4"/>
  <c r="F1287" i="4"/>
  <c r="E1287" i="4"/>
  <c r="D1287" i="4"/>
  <c r="B1287" i="4"/>
  <c r="G1286" i="4"/>
  <c r="F1286" i="4"/>
  <c r="E1286" i="4"/>
  <c r="D1286" i="4"/>
  <c r="B1286" i="4"/>
  <c r="G1285" i="4"/>
  <c r="F1285" i="4"/>
  <c r="E1285" i="4"/>
  <c r="D1285" i="4"/>
  <c r="B1285" i="4"/>
  <c r="G1284" i="4"/>
  <c r="F1284" i="4"/>
  <c r="E1284" i="4"/>
  <c r="D1284" i="4"/>
  <c r="B1284" i="4"/>
  <c r="G1283" i="4"/>
  <c r="F1283" i="4"/>
  <c r="E1283" i="4"/>
  <c r="D1283" i="4"/>
  <c r="B1283" i="4"/>
  <c r="G1282" i="4"/>
  <c r="F1282" i="4"/>
  <c r="E1282" i="4"/>
  <c r="D1282" i="4"/>
  <c r="B1282" i="4"/>
  <c r="G1281" i="4"/>
  <c r="F1281" i="4"/>
  <c r="E1281" i="4"/>
  <c r="D1281" i="4"/>
  <c r="B1281" i="4"/>
  <c r="G1280" i="4"/>
  <c r="F1280" i="4"/>
  <c r="E1280" i="4"/>
  <c r="D1280" i="4"/>
  <c r="B1280" i="4"/>
  <c r="G1279" i="4"/>
  <c r="F1279" i="4"/>
  <c r="E1279" i="4"/>
  <c r="D1279" i="4"/>
  <c r="B1279" i="4"/>
  <c r="G1278" i="4"/>
  <c r="F1278" i="4"/>
  <c r="E1278" i="4"/>
  <c r="D1278" i="4"/>
  <c r="B1278" i="4"/>
  <c r="G1277" i="4"/>
  <c r="F1277" i="4"/>
  <c r="E1277" i="4"/>
  <c r="D1277" i="4"/>
  <c r="B1277" i="4"/>
  <c r="G1276" i="4"/>
  <c r="F1276" i="4"/>
  <c r="E1276" i="4"/>
  <c r="D1276" i="4"/>
  <c r="B1276" i="4"/>
  <c r="G1275" i="4"/>
  <c r="F1275" i="4"/>
  <c r="E1275" i="4"/>
  <c r="D1275" i="4"/>
  <c r="B1275" i="4"/>
  <c r="G1274" i="4"/>
  <c r="F1274" i="4"/>
  <c r="E1274" i="4"/>
  <c r="D1274" i="4"/>
  <c r="B1274" i="4"/>
  <c r="G1273" i="4"/>
  <c r="F1273" i="4"/>
  <c r="E1273" i="4"/>
  <c r="D1273" i="4"/>
  <c r="B1273" i="4"/>
  <c r="G1272" i="4"/>
  <c r="F1272" i="4"/>
  <c r="E1272" i="4"/>
  <c r="D1272" i="4"/>
  <c r="B1272" i="4"/>
  <c r="G1271" i="4"/>
  <c r="F1271" i="4"/>
  <c r="E1271" i="4"/>
  <c r="D1271" i="4"/>
  <c r="B1271" i="4"/>
  <c r="G1270" i="4"/>
  <c r="F1270" i="4"/>
  <c r="E1270" i="4"/>
  <c r="D1270" i="4"/>
  <c r="B1270" i="4"/>
  <c r="G1269" i="4"/>
  <c r="F1269" i="4"/>
  <c r="E1269" i="4"/>
  <c r="D1269" i="4"/>
  <c r="B1269" i="4"/>
  <c r="G1268" i="4"/>
  <c r="F1268" i="4"/>
  <c r="E1268" i="4"/>
  <c r="D1268" i="4"/>
  <c r="B1268" i="4"/>
  <c r="G1267" i="4"/>
  <c r="F1267" i="4"/>
  <c r="E1267" i="4"/>
  <c r="D1267" i="4"/>
  <c r="B1267" i="4"/>
  <c r="G1266" i="4"/>
  <c r="F1266" i="4"/>
  <c r="E1266" i="4"/>
  <c r="D1266" i="4"/>
  <c r="B1266" i="4"/>
  <c r="G1265" i="4"/>
  <c r="F1265" i="4"/>
  <c r="E1265" i="4"/>
  <c r="D1265" i="4"/>
  <c r="B1265" i="4"/>
  <c r="G1264" i="4"/>
  <c r="F1264" i="4"/>
  <c r="E1264" i="4"/>
  <c r="D1264" i="4"/>
  <c r="B1264" i="4"/>
  <c r="G1263" i="4"/>
  <c r="F1263" i="4"/>
  <c r="E1263" i="4"/>
  <c r="D1263" i="4"/>
  <c r="B1263" i="4"/>
  <c r="G1262" i="4"/>
  <c r="F1262" i="4"/>
  <c r="E1262" i="4"/>
  <c r="D1262" i="4"/>
  <c r="B1262" i="4"/>
  <c r="G1261" i="4"/>
  <c r="F1261" i="4"/>
  <c r="E1261" i="4"/>
  <c r="D1261" i="4"/>
  <c r="B1261" i="4"/>
  <c r="G1260" i="4"/>
  <c r="F1260" i="4"/>
  <c r="E1260" i="4"/>
  <c r="D1260" i="4"/>
  <c r="B1260" i="4"/>
  <c r="G1259" i="4"/>
  <c r="F1259" i="4"/>
  <c r="E1259" i="4"/>
  <c r="D1259" i="4"/>
  <c r="B1259" i="4"/>
  <c r="G1258" i="4"/>
  <c r="F1258" i="4"/>
  <c r="E1258" i="4"/>
  <c r="D1258" i="4"/>
  <c r="B1258" i="4"/>
  <c r="G1257" i="4"/>
  <c r="F1257" i="4"/>
  <c r="E1257" i="4"/>
  <c r="D1257" i="4"/>
  <c r="B1257" i="4"/>
  <c r="G1256" i="4"/>
  <c r="F1256" i="4"/>
  <c r="E1256" i="4"/>
  <c r="D1256" i="4"/>
  <c r="B1256" i="4"/>
  <c r="G1255" i="4"/>
  <c r="F1255" i="4"/>
  <c r="E1255" i="4"/>
  <c r="D1255" i="4"/>
  <c r="B1255" i="4"/>
  <c r="G1254" i="4"/>
  <c r="F1254" i="4"/>
  <c r="E1254" i="4"/>
  <c r="D1254" i="4"/>
  <c r="B1254" i="4"/>
  <c r="G1253" i="4"/>
  <c r="F1253" i="4"/>
  <c r="E1253" i="4"/>
  <c r="D1253" i="4"/>
  <c r="B1253" i="4"/>
  <c r="G1252" i="4"/>
  <c r="F1252" i="4"/>
  <c r="E1252" i="4"/>
  <c r="D1252" i="4"/>
  <c r="B1252" i="4"/>
  <c r="G1251" i="4"/>
  <c r="F1251" i="4"/>
  <c r="E1251" i="4"/>
  <c r="D1251" i="4"/>
  <c r="B1251" i="4"/>
  <c r="G1250" i="4"/>
  <c r="F1250" i="4"/>
  <c r="E1250" i="4"/>
  <c r="D1250" i="4"/>
  <c r="B1250" i="4"/>
  <c r="G1249" i="4"/>
  <c r="F1249" i="4"/>
  <c r="E1249" i="4"/>
  <c r="D1249" i="4"/>
  <c r="B1249" i="4"/>
  <c r="G1248" i="4"/>
  <c r="F1248" i="4"/>
  <c r="E1248" i="4"/>
  <c r="D1248" i="4"/>
  <c r="B1248" i="4"/>
  <c r="G1247" i="4"/>
  <c r="F1247" i="4"/>
  <c r="E1247" i="4"/>
  <c r="D1247" i="4"/>
  <c r="B1247" i="4"/>
  <c r="G1246" i="4"/>
  <c r="F1246" i="4"/>
  <c r="E1246" i="4"/>
  <c r="D1246" i="4"/>
  <c r="B1246" i="4"/>
  <c r="G1245" i="4"/>
  <c r="F1245" i="4"/>
  <c r="E1245" i="4"/>
  <c r="D1245" i="4"/>
  <c r="B1245" i="4"/>
  <c r="G1244" i="4"/>
  <c r="F1244" i="4"/>
  <c r="E1244" i="4"/>
  <c r="D1244" i="4"/>
  <c r="B1244" i="4"/>
  <c r="G1243" i="4"/>
  <c r="F1243" i="4"/>
  <c r="E1243" i="4"/>
  <c r="D1243" i="4"/>
  <c r="B1243" i="4"/>
  <c r="G1242" i="4"/>
  <c r="F1242" i="4"/>
  <c r="E1242" i="4"/>
  <c r="D1242" i="4"/>
  <c r="B1242" i="4"/>
  <c r="G1241" i="4"/>
  <c r="F1241" i="4"/>
  <c r="E1241" i="4"/>
  <c r="D1241" i="4"/>
  <c r="B1241" i="4"/>
  <c r="G1240" i="4"/>
  <c r="F1240" i="4"/>
  <c r="E1240" i="4"/>
  <c r="D1240" i="4"/>
  <c r="B1240" i="4"/>
  <c r="G1239" i="4"/>
  <c r="F1239" i="4"/>
  <c r="E1239" i="4"/>
  <c r="D1239" i="4"/>
  <c r="B1239" i="4"/>
  <c r="G1238" i="4"/>
  <c r="F1238" i="4"/>
  <c r="E1238" i="4"/>
  <c r="D1238" i="4"/>
  <c r="B1238" i="4"/>
  <c r="G1237" i="4"/>
  <c r="F1237" i="4"/>
  <c r="E1237" i="4"/>
  <c r="D1237" i="4"/>
  <c r="B1237" i="4"/>
  <c r="G1236" i="4"/>
  <c r="F1236" i="4"/>
  <c r="E1236" i="4"/>
  <c r="D1236" i="4"/>
  <c r="B1236" i="4"/>
  <c r="G1235" i="4"/>
  <c r="F1235" i="4"/>
  <c r="E1235" i="4"/>
  <c r="D1235" i="4"/>
  <c r="B1235" i="4"/>
  <c r="G1234" i="4"/>
  <c r="F1234" i="4"/>
  <c r="E1234" i="4"/>
  <c r="D1234" i="4"/>
  <c r="B1234" i="4"/>
  <c r="G1233" i="4"/>
  <c r="F1233" i="4"/>
  <c r="E1233" i="4"/>
  <c r="D1233" i="4"/>
  <c r="B1233" i="4"/>
  <c r="G1232" i="4"/>
  <c r="F1232" i="4"/>
  <c r="E1232" i="4"/>
  <c r="D1232" i="4"/>
  <c r="B1232" i="4"/>
  <c r="G1231" i="4"/>
  <c r="F1231" i="4"/>
  <c r="E1231" i="4"/>
  <c r="D1231" i="4"/>
  <c r="B1231" i="4"/>
  <c r="G1230" i="4"/>
  <c r="F1230" i="4"/>
  <c r="E1230" i="4"/>
  <c r="D1230" i="4"/>
  <c r="B1230" i="4"/>
  <c r="G1229" i="4"/>
  <c r="F1229" i="4"/>
  <c r="E1229" i="4"/>
  <c r="D1229" i="4"/>
  <c r="B1229" i="4"/>
  <c r="G1228" i="4"/>
  <c r="F1228" i="4"/>
  <c r="E1228" i="4"/>
  <c r="D1228" i="4"/>
  <c r="B1228" i="4"/>
  <c r="G1227" i="4"/>
  <c r="F1227" i="4"/>
  <c r="E1227" i="4"/>
  <c r="D1227" i="4"/>
  <c r="B1227" i="4"/>
  <c r="G1226" i="4"/>
  <c r="F1226" i="4"/>
  <c r="E1226" i="4"/>
  <c r="D1226" i="4"/>
  <c r="B1226" i="4"/>
  <c r="G1225" i="4"/>
  <c r="F1225" i="4"/>
  <c r="E1225" i="4"/>
  <c r="D1225" i="4"/>
  <c r="B1225" i="4"/>
  <c r="G1224" i="4"/>
  <c r="F1224" i="4"/>
  <c r="E1224" i="4"/>
  <c r="D1224" i="4"/>
  <c r="B1224" i="4"/>
  <c r="G1223" i="4"/>
  <c r="F1223" i="4"/>
  <c r="E1223" i="4"/>
  <c r="D1223" i="4"/>
  <c r="B1223" i="4"/>
  <c r="G1222" i="4"/>
  <c r="F1222" i="4"/>
  <c r="E1222" i="4"/>
  <c r="D1222" i="4"/>
  <c r="B1222" i="4"/>
  <c r="G1221" i="4"/>
  <c r="F1221" i="4"/>
  <c r="E1221" i="4"/>
  <c r="D1221" i="4"/>
  <c r="B1221" i="4"/>
  <c r="G1220" i="4"/>
  <c r="F1220" i="4"/>
  <c r="E1220" i="4"/>
  <c r="D1220" i="4"/>
  <c r="B1220" i="4"/>
  <c r="G1219" i="4"/>
  <c r="F1219" i="4"/>
  <c r="E1219" i="4"/>
  <c r="D1219" i="4"/>
  <c r="B1219" i="4"/>
  <c r="G1218" i="4"/>
  <c r="F1218" i="4"/>
  <c r="E1218" i="4"/>
  <c r="D1218" i="4"/>
  <c r="B1218" i="4"/>
  <c r="G1217" i="4"/>
  <c r="F1217" i="4"/>
  <c r="E1217" i="4"/>
  <c r="D1217" i="4"/>
  <c r="B1217" i="4"/>
  <c r="G1216" i="4"/>
  <c r="F1216" i="4"/>
  <c r="E1216" i="4"/>
  <c r="D1216" i="4"/>
  <c r="B1216" i="4"/>
  <c r="G1215" i="4"/>
  <c r="F1215" i="4"/>
  <c r="E1215" i="4"/>
  <c r="D1215" i="4"/>
  <c r="B1215" i="4"/>
  <c r="G1214" i="4"/>
  <c r="F1214" i="4"/>
  <c r="E1214" i="4"/>
  <c r="D1214" i="4"/>
  <c r="B1214" i="4"/>
  <c r="G1213" i="4"/>
  <c r="F1213" i="4"/>
  <c r="E1213" i="4"/>
  <c r="D1213" i="4"/>
  <c r="B1213" i="4"/>
  <c r="G1212" i="4"/>
  <c r="F1212" i="4"/>
  <c r="E1212" i="4"/>
  <c r="D1212" i="4"/>
  <c r="B1212" i="4"/>
  <c r="G1211" i="4"/>
  <c r="F1211" i="4"/>
  <c r="E1211" i="4"/>
  <c r="D1211" i="4"/>
  <c r="B1211" i="4"/>
  <c r="G1210" i="4"/>
  <c r="F1210" i="4"/>
  <c r="E1210" i="4"/>
  <c r="D1210" i="4"/>
  <c r="B1210" i="4"/>
  <c r="G1209" i="4"/>
  <c r="F1209" i="4"/>
  <c r="E1209" i="4"/>
  <c r="D1209" i="4"/>
  <c r="B1209" i="4"/>
  <c r="G1208" i="4"/>
  <c r="F1208" i="4"/>
  <c r="E1208" i="4"/>
  <c r="D1208" i="4"/>
  <c r="B1208" i="4"/>
  <c r="G1207" i="4"/>
  <c r="F1207" i="4"/>
  <c r="E1207" i="4"/>
  <c r="D1207" i="4"/>
  <c r="B1207" i="4"/>
  <c r="G1206" i="4"/>
  <c r="F1206" i="4"/>
  <c r="E1206" i="4"/>
  <c r="D1206" i="4"/>
  <c r="B1206" i="4"/>
  <c r="G1205" i="4"/>
  <c r="F1205" i="4"/>
  <c r="E1205" i="4"/>
  <c r="D1205" i="4"/>
  <c r="B1205" i="4"/>
  <c r="G1204" i="4"/>
  <c r="F1204" i="4"/>
  <c r="E1204" i="4"/>
  <c r="D1204" i="4"/>
  <c r="B1204" i="4"/>
  <c r="G1203" i="4"/>
  <c r="F1203" i="4"/>
  <c r="E1203" i="4"/>
  <c r="D1203" i="4"/>
  <c r="B1203" i="4"/>
  <c r="G1202" i="4"/>
  <c r="F1202" i="4"/>
  <c r="E1202" i="4"/>
  <c r="D1202" i="4"/>
  <c r="B1202" i="4"/>
  <c r="G1201" i="4"/>
  <c r="F1201" i="4"/>
  <c r="E1201" i="4"/>
  <c r="D1201" i="4"/>
  <c r="B1201" i="4"/>
  <c r="G1200" i="4"/>
  <c r="F1200" i="4"/>
  <c r="E1200" i="4"/>
  <c r="D1200" i="4"/>
  <c r="B1200" i="4"/>
  <c r="G1199" i="4"/>
  <c r="F1199" i="4"/>
  <c r="E1199" i="4"/>
  <c r="D1199" i="4"/>
  <c r="B1199" i="4"/>
  <c r="G1198" i="4"/>
  <c r="F1198" i="4"/>
  <c r="E1198" i="4"/>
  <c r="D1198" i="4"/>
  <c r="B1198" i="4"/>
  <c r="G1197" i="4"/>
  <c r="F1197" i="4"/>
  <c r="E1197" i="4"/>
  <c r="D1197" i="4"/>
  <c r="B1197" i="4"/>
  <c r="G1196" i="4"/>
  <c r="F1196" i="4"/>
  <c r="E1196" i="4"/>
  <c r="D1196" i="4"/>
  <c r="B1196" i="4"/>
  <c r="G1195" i="4"/>
  <c r="F1195" i="4"/>
  <c r="E1195" i="4"/>
  <c r="D1195" i="4"/>
  <c r="B1195" i="4"/>
  <c r="G1194" i="4"/>
  <c r="F1194" i="4"/>
  <c r="E1194" i="4"/>
  <c r="D1194" i="4"/>
  <c r="B1194" i="4"/>
  <c r="G1193" i="4"/>
  <c r="F1193" i="4"/>
  <c r="E1193" i="4"/>
  <c r="D1193" i="4"/>
  <c r="B1193" i="4"/>
  <c r="G1192" i="4"/>
  <c r="F1192" i="4"/>
  <c r="E1192" i="4"/>
  <c r="D1192" i="4"/>
  <c r="B1192" i="4"/>
  <c r="G1191" i="4"/>
  <c r="F1191" i="4"/>
  <c r="E1191" i="4"/>
  <c r="D1191" i="4"/>
  <c r="B1191" i="4"/>
  <c r="G1190" i="4"/>
  <c r="F1190" i="4"/>
  <c r="E1190" i="4"/>
  <c r="D1190" i="4"/>
  <c r="B1190" i="4"/>
  <c r="G1189" i="4"/>
  <c r="F1189" i="4"/>
  <c r="E1189" i="4"/>
  <c r="D1189" i="4"/>
  <c r="B1189" i="4"/>
  <c r="G1188" i="4"/>
  <c r="F1188" i="4"/>
  <c r="E1188" i="4"/>
  <c r="D1188" i="4"/>
  <c r="B1188" i="4"/>
  <c r="G1187" i="4"/>
  <c r="F1187" i="4"/>
  <c r="E1187" i="4"/>
  <c r="D1187" i="4"/>
  <c r="B1187" i="4"/>
  <c r="G1186" i="4"/>
  <c r="F1186" i="4"/>
  <c r="E1186" i="4"/>
  <c r="D1186" i="4"/>
  <c r="B1186" i="4"/>
  <c r="G1185" i="4"/>
  <c r="F1185" i="4"/>
  <c r="E1185" i="4"/>
  <c r="D1185" i="4"/>
  <c r="B1185" i="4"/>
  <c r="G1184" i="4"/>
  <c r="F1184" i="4"/>
  <c r="E1184" i="4"/>
  <c r="D1184" i="4"/>
  <c r="B1184" i="4"/>
  <c r="G1183" i="4"/>
  <c r="F1183" i="4"/>
  <c r="E1183" i="4"/>
  <c r="D1183" i="4"/>
  <c r="B1183" i="4"/>
  <c r="G1182" i="4"/>
  <c r="F1182" i="4"/>
  <c r="E1182" i="4"/>
  <c r="D1182" i="4"/>
  <c r="B1182" i="4"/>
  <c r="G1181" i="4"/>
  <c r="F1181" i="4"/>
  <c r="E1181" i="4"/>
  <c r="D1181" i="4"/>
  <c r="B1181" i="4"/>
  <c r="G1180" i="4"/>
  <c r="F1180" i="4"/>
  <c r="E1180" i="4"/>
  <c r="D1180" i="4"/>
  <c r="B1180" i="4"/>
  <c r="G1179" i="4"/>
  <c r="F1179" i="4"/>
  <c r="E1179" i="4"/>
  <c r="D1179" i="4"/>
  <c r="B1179" i="4"/>
  <c r="G1178" i="4"/>
  <c r="F1178" i="4"/>
  <c r="E1178" i="4"/>
  <c r="D1178" i="4"/>
  <c r="B1178" i="4"/>
  <c r="G1177" i="4"/>
  <c r="F1177" i="4"/>
  <c r="E1177" i="4"/>
  <c r="D1177" i="4"/>
  <c r="B1177" i="4"/>
  <c r="G1176" i="4"/>
  <c r="F1176" i="4"/>
  <c r="E1176" i="4"/>
  <c r="D1176" i="4"/>
  <c r="B1176" i="4"/>
  <c r="G1175" i="4"/>
  <c r="F1175" i="4"/>
  <c r="E1175" i="4"/>
  <c r="D1175" i="4"/>
  <c r="B1175" i="4"/>
  <c r="G1174" i="4"/>
  <c r="F1174" i="4"/>
  <c r="E1174" i="4"/>
  <c r="D1174" i="4"/>
  <c r="B1174" i="4"/>
  <c r="G1173" i="4"/>
  <c r="F1173" i="4"/>
  <c r="E1173" i="4"/>
  <c r="D1173" i="4"/>
  <c r="B1173" i="4"/>
  <c r="G1172" i="4"/>
  <c r="F1172" i="4"/>
  <c r="E1172" i="4"/>
  <c r="D1172" i="4"/>
  <c r="B1172" i="4"/>
  <c r="G1171" i="4"/>
  <c r="F1171" i="4"/>
  <c r="E1171" i="4"/>
  <c r="D1171" i="4"/>
  <c r="B1171" i="4"/>
  <c r="G1170" i="4"/>
  <c r="F1170" i="4"/>
  <c r="E1170" i="4"/>
  <c r="D1170" i="4"/>
  <c r="B1170" i="4"/>
  <c r="G1169" i="4"/>
  <c r="F1169" i="4"/>
  <c r="E1169" i="4"/>
  <c r="D1169" i="4"/>
  <c r="B1169" i="4"/>
  <c r="G1168" i="4"/>
  <c r="F1168" i="4"/>
  <c r="E1168" i="4"/>
  <c r="D1168" i="4"/>
  <c r="B1168" i="4"/>
  <c r="G1167" i="4"/>
  <c r="F1167" i="4"/>
  <c r="E1167" i="4"/>
  <c r="D1167" i="4"/>
  <c r="B1167" i="4"/>
  <c r="G1166" i="4"/>
  <c r="F1166" i="4"/>
  <c r="E1166" i="4"/>
  <c r="D1166" i="4"/>
  <c r="B1166" i="4"/>
  <c r="G1165" i="4"/>
  <c r="F1165" i="4"/>
  <c r="E1165" i="4"/>
  <c r="D1165" i="4"/>
  <c r="B1165" i="4"/>
  <c r="G1164" i="4"/>
  <c r="F1164" i="4"/>
  <c r="E1164" i="4"/>
  <c r="D1164" i="4"/>
  <c r="B1164" i="4"/>
  <c r="G1163" i="4"/>
  <c r="F1163" i="4"/>
  <c r="E1163" i="4"/>
  <c r="D1163" i="4"/>
  <c r="B1163" i="4"/>
  <c r="G1162" i="4"/>
  <c r="F1162" i="4"/>
  <c r="E1162" i="4"/>
  <c r="D1162" i="4"/>
  <c r="B1162" i="4"/>
  <c r="G1161" i="4"/>
  <c r="F1161" i="4"/>
  <c r="E1161" i="4"/>
  <c r="D1161" i="4"/>
  <c r="B1161" i="4"/>
  <c r="G1160" i="4"/>
  <c r="F1160" i="4"/>
  <c r="E1160" i="4"/>
  <c r="D1160" i="4"/>
  <c r="B1160" i="4"/>
  <c r="G1159" i="4"/>
  <c r="F1159" i="4"/>
  <c r="E1159" i="4"/>
  <c r="D1159" i="4"/>
  <c r="B1159" i="4"/>
  <c r="G1158" i="4"/>
  <c r="F1158" i="4"/>
  <c r="E1158" i="4"/>
  <c r="D1158" i="4"/>
  <c r="B1158" i="4"/>
  <c r="G1157" i="4"/>
  <c r="F1157" i="4"/>
  <c r="E1157" i="4"/>
  <c r="D1157" i="4"/>
  <c r="B1157" i="4"/>
  <c r="G1156" i="4"/>
  <c r="F1156" i="4"/>
  <c r="E1156" i="4"/>
  <c r="D1156" i="4"/>
  <c r="B1156" i="4"/>
  <c r="G1155" i="4"/>
  <c r="F1155" i="4"/>
  <c r="E1155" i="4"/>
  <c r="D1155" i="4"/>
  <c r="B1155" i="4"/>
  <c r="G1154" i="4"/>
  <c r="F1154" i="4"/>
  <c r="E1154" i="4"/>
  <c r="D1154" i="4"/>
  <c r="B1154" i="4"/>
  <c r="G1153" i="4"/>
  <c r="F1153" i="4"/>
  <c r="E1153" i="4"/>
  <c r="D1153" i="4"/>
  <c r="B1153" i="4"/>
  <c r="G1152" i="4"/>
  <c r="F1152" i="4"/>
  <c r="E1152" i="4"/>
  <c r="D1152" i="4"/>
  <c r="B1152" i="4"/>
  <c r="G1151" i="4"/>
  <c r="F1151" i="4"/>
  <c r="E1151" i="4"/>
  <c r="D1151" i="4"/>
  <c r="B1151" i="4"/>
  <c r="G1150" i="4"/>
  <c r="F1150" i="4"/>
  <c r="E1150" i="4"/>
  <c r="D1150" i="4"/>
  <c r="B1150" i="4"/>
  <c r="G1149" i="4"/>
  <c r="F1149" i="4"/>
  <c r="E1149" i="4"/>
  <c r="D1149" i="4"/>
  <c r="B1149" i="4"/>
  <c r="G1148" i="4"/>
  <c r="F1148" i="4"/>
  <c r="E1148" i="4"/>
  <c r="D1148" i="4"/>
  <c r="B1148" i="4"/>
  <c r="G1147" i="4"/>
  <c r="F1147" i="4"/>
  <c r="E1147" i="4"/>
  <c r="D1147" i="4"/>
  <c r="B1147" i="4"/>
  <c r="G1146" i="4"/>
  <c r="F1146" i="4"/>
  <c r="E1146" i="4"/>
  <c r="D1146" i="4"/>
  <c r="B1146" i="4"/>
  <c r="G1145" i="4"/>
  <c r="F1145" i="4"/>
  <c r="E1145" i="4"/>
  <c r="D1145" i="4"/>
  <c r="B1145" i="4"/>
  <c r="G1144" i="4"/>
  <c r="F1144" i="4"/>
  <c r="E1144" i="4"/>
  <c r="D1144" i="4"/>
  <c r="B1144" i="4"/>
  <c r="G1143" i="4"/>
  <c r="F1143" i="4"/>
  <c r="E1143" i="4"/>
  <c r="D1143" i="4"/>
  <c r="B1143" i="4"/>
  <c r="G1142" i="4"/>
  <c r="F1142" i="4"/>
  <c r="E1142" i="4"/>
  <c r="D1142" i="4"/>
  <c r="B1142" i="4"/>
  <c r="G1141" i="4"/>
  <c r="F1141" i="4"/>
  <c r="E1141" i="4"/>
  <c r="D1141" i="4"/>
  <c r="B1141" i="4"/>
  <c r="G1140" i="4"/>
  <c r="F1140" i="4"/>
  <c r="E1140" i="4"/>
  <c r="D1140" i="4"/>
  <c r="B1140" i="4"/>
  <c r="G1139" i="4"/>
  <c r="F1139" i="4"/>
  <c r="E1139" i="4"/>
  <c r="D1139" i="4"/>
  <c r="B1139" i="4"/>
  <c r="G1138" i="4"/>
  <c r="F1138" i="4"/>
  <c r="E1138" i="4"/>
  <c r="D1138" i="4"/>
  <c r="B1138" i="4"/>
  <c r="G1137" i="4"/>
  <c r="F1137" i="4"/>
  <c r="E1137" i="4"/>
  <c r="D1137" i="4"/>
  <c r="B1137" i="4"/>
  <c r="G1136" i="4"/>
  <c r="F1136" i="4"/>
  <c r="E1136" i="4"/>
  <c r="D1136" i="4"/>
  <c r="B1136" i="4"/>
  <c r="G1135" i="4"/>
  <c r="F1135" i="4"/>
  <c r="E1135" i="4"/>
  <c r="D1135" i="4"/>
  <c r="B1135" i="4"/>
  <c r="G1134" i="4"/>
  <c r="F1134" i="4"/>
  <c r="E1134" i="4"/>
  <c r="D1134" i="4"/>
  <c r="B1134" i="4"/>
  <c r="G1133" i="4"/>
  <c r="F1133" i="4"/>
  <c r="E1133" i="4"/>
  <c r="D1133" i="4"/>
  <c r="B1133" i="4"/>
  <c r="G1132" i="4"/>
  <c r="F1132" i="4"/>
  <c r="E1132" i="4"/>
  <c r="D1132" i="4"/>
  <c r="B1132" i="4"/>
  <c r="G1131" i="4"/>
  <c r="F1131" i="4"/>
  <c r="E1131" i="4"/>
  <c r="D1131" i="4"/>
  <c r="B1131" i="4"/>
  <c r="G1130" i="4"/>
  <c r="F1130" i="4"/>
  <c r="E1130" i="4"/>
  <c r="D1130" i="4"/>
  <c r="B1130" i="4"/>
  <c r="G1129" i="4"/>
  <c r="F1129" i="4"/>
  <c r="E1129" i="4"/>
  <c r="D1129" i="4"/>
  <c r="B1129" i="4"/>
  <c r="G1128" i="4"/>
  <c r="F1128" i="4"/>
  <c r="E1128" i="4"/>
  <c r="D1128" i="4"/>
  <c r="B1128" i="4"/>
  <c r="G1127" i="4"/>
  <c r="F1127" i="4"/>
  <c r="E1127" i="4"/>
  <c r="D1127" i="4"/>
  <c r="B1127" i="4"/>
  <c r="G1126" i="4"/>
  <c r="F1126" i="4"/>
  <c r="E1126" i="4"/>
  <c r="D1126" i="4"/>
  <c r="B1126" i="4"/>
  <c r="G1125" i="4"/>
  <c r="F1125" i="4"/>
  <c r="E1125" i="4"/>
  <c r="D1125" i="4"/>
  <c r="B1125" i="4"/>
  <c r="G1124" i="4"/>
  <c r="F1124" i="4"/>
  <c r="E1124" i="4"/>
  <c r="D1124" i="4"/>
  <c r="B1124" i="4"/>
  <c r="G1123" i="4"/>
  <c r="F1123" i="4"/>
  <c r="E1123" i="4"/>
  <c r="D1123" i="4"/>
  <c r="B1123" i="4"/>
  <c r="G1122" i="4"/>
  <c r="F1122" i="4"/>
  <c r="E1122" i="4"/>
  <c r="D1122" i="4"/>
  <c r="B1122" i="4"/>
  <c r="G1121" i="4"/>
  <c r="F1121" i="4"/>
  <c r="E1121" i="4"/>
  <c r="D1121" i="4"/>
  <c r="B1121" i="4"/>
  <c r="G1120" i="4"/>
  <c r="F1120" i="4"/>
  <c r="E1120" i="4"/>
  <c r="D1120" i="4"/>
  <c r="B1120" i="4"/>
  <c r="G1119" i="4"/>
  <c r="F1119" i="4"/>
  <c r="E1119" i="4"/>
  <c r="D1119" i="4"/>
  <c r="B1119" i="4"/>
  <c r="G1118" i="4"/>
  <c r="F1118" i="4"/>
  <c r="E1118" i="4"/>
  <c r="D1118" i="4"/>
  <c r="B1118" i="4"/>
  <c r="G1117" i="4"/>
  <c r="F1117" i="4"/>
  <c r="E1117" i="4"/>
  <c r="D1117" i="4"/>
  <c r="B1117" i="4"/>
  <c r="G1116" i="4"/>
  <c r="F1116" i="4"/>
  <c r="E1116" i="4"/>
  <c r="D1116" i="4"/>
  <c r="B1116" i="4"/>
  <c r="G1115" i="4"/>
  <c r="F1115" i="4"/>
  <c r="E1115" i="4"/>
  <c r="D1115" i="4"/>
  <c r="B1115" i="4"/>
  <c r="G1114" i="4"/>
  <c r="F1114" i="4"/>
  <c r="E1114" i="4"/>
  <c r="D1114" i="4"/>
  <c r="B1114" i="4"/>
  <c r="G1113" i="4"/>
  <c r="F1113" i="4"/>
  <c r="E1113" i="4"/>
  <c r="D1113" i="4"/>
  <c r="B1113" i="4"/>
  <c r="G1112" i="4"/>
  <c r="F1112" i="4"/>
  <c r="E1112" i="4"/>
  <c r="D1112" i="4"/>
  <c r="B1112" i="4"/>
  <c r="G1111" i="4"/>
  <c r="F1111" i="4"/>
  <c r="E1111" i="4"/>
  <c r="D1111" i="4"/>
  <c r="B1111" i="4"/>
  <c r="G1110" i="4"/>
  <c r="F1110" i="4"/>
  <c r="E1110" i="4"/>
  <c r="D1110" i="4"/>
  <c r="B1110" i="4"/>
  <c r="G1109" i="4"/>
  <c r="F1109" i="4"/>
  <c r="E1109" i="4"/>
  <c r="D1109" i="4"/>
  <c r="B1109" i="4"/>
  <c r="G1108" i="4"/>
  <c r="F1108" i="4"/>
  <c r="E1108" i="4"/>
  <c r="D1108" i="4"/>
  <c r="B1108" i="4"/>
  <c r="G1107" i="4"/>
  <c r="F1107" i="4"/>
  <c r="E1107" i="4"/>
  <c r="D1107" i="4"/>
  <c r="B1107" i="4"/>
  <c r="G1106" i="4"/>
  <c r="F1106" i="4"/>
  <c r="E1106" i="4"/>
  <c r="D1106" i="4"/>
  <c r="B1106" i="4"/>
  <c r="G1105" i="4"/>
  <c r="F1105" i="4"/>
  <c r="E1105" i="4"/>
  <c r="D1105" i="4"/>
  <c r="B1105" i="4"/>
  <c r="G1104" i="4"/>
  <c r="F1104" i="4"/>
  <c r="E1104" i="4"/>
  <c r="D1104" i="4"/>
  <c r="B1104" i="4"/>
  <c r="G1103" i="4"/>
  <c r="F1103" i="4"/>
  <c r="E1103" i="4"/>
  <c r="D1103" i="4"/>
  <c r="B1103" i="4"/>
  <c r="G1102" i="4"/>
  <c r="F1102" i="4"/>
  <c r="E1102" i="4"/>
  <c r="D1102" i="4"/>
  <c r="B1102" i="4"/>
  <c r="G1101" i="4"/>
  <c r="F1101" i="4"/>
  <c r="E1101" i="4"/>
  <c r="D1101" i="4"/>
  <c r="B1101" i="4"/>
  <c r="G1100" i="4"/>
  <c r="F1100" i="4"/>
  <c r="E1100" i="4"/>
  <c r="D1100" i="4"/>
  <c r="B1100" i="4"/>
  <c r="G1099" i="4"/>
  <c r="F1099" i="4"/>
  <c r="E1099" i="4"/>
  <c r="D1099" i="4"/>
  <c r="B1099" i="4"/>
  <c r="G1098" i="4"/>
  <c r="F1098" i="4"/>
  <c r="E1098" i="4"/>
  <c r="D1098" i="4"/>
  <c r="B1098" i="4"/>
  <c r="G1097" i="4"/>
  <c r="F1097" i="4"/>
  <c r="E1097" i="4"/>
  <c r="D1097" i="4"/>
  <c r="B1097" i="4"/>
  <c r="G1096" i="4"/>
  <c r="F1096" i="4"/>
  <c r="E1096" i="4"/>
  <c r="D1096" i="4"/>
  <c r="B1096" i="4"/>
  <c r="G1095" i="4"/>
  <c r="F1095" i="4"/>
  <c r="E1095" i="4"/>
  <c r="D1095" i="4"/>
  <c r="B1095" i="4"/>
  <c r="G1094" i="4"/>
  <c r="F1094" i="4"/>
  <c r="E1094" i="4"/>
  <c r="D1094" i="4"/>
  <c r="B1094" i="4"/>
  <c r="G1093" i="4"/>
  <c r="F1093" i="4"/>
  <c r="E1093" i="4"/>
  <c r="D1093" i="4"/>
  <c r="B1093" i="4"/>
  <c r="G1092" i="4"/>
  <c r="F1092" i="4"/>
  <c r="E1092" i="4"/>
  <c r="D1092" i="4"/>
  <c r="B1092" i="4"/>
  <c r="G1091" i="4"/>
  <c r="F1091" i="4"/>
  <c r="E1091" i="4"/>
  <c r="D1091" i="4"/>
  <c r="B1091" i="4"/>
  <c r="G1090" i="4"/>
  <c r="F1090" i="4"/>
  <c r="E1090" i="4"/>
  <c r="D1090" i="4"/>
  <c r="B1090" i="4"/>
  <c r="G1089" i="4"/>
  <c r="F1089" i="4"/>
  <c r="E1089" i="4"/>
  <c r="D1089" i="4"/>
  <c r="B1089" i="4"/>
  <c r="G1088" i="4"/>
  <c r="F1088" i="4"/>
  <c r="E1088" i="4"/>
  <c r="D1088" i="4"/>
  <c r="B1088" i="4"/>
  <c r="G1087" i="4"/>
  <c r="F1087" i="4"/>
  <c r="E1087" i="4"/>
  <c r="D1087" i="4"/>
  <c r="B1087" i="4"/>
  <c r="G1086" i="4"/>
  <c r="F1086" i="4"/>
  <c r="E1086" i="4"/>
  <c r="D1086" i="4"/>
  <c r="B1086" i="4"/>
  <c r="G1085" i="4"/>
  <c r="F1085" i="4"/>
  <c r="E1085" i="4"/>
  <c r="D1085" i="4"/>
  <c r="B1085" i="4"/>
  <c r="G1084" i="4"/>
  <c r="F1084" i="4"/>
  <c r="E1084" i="4"/>
  <c r="D1084" i="4"/>
  <c r="B1084" i="4"/>
  <c r="G1083" i="4"/>
  <c r="F1083" i="4"/>
  <c r="E1083" i="4"/>
  <c r="D1083" i="4"/>
  <c r="B1083" i="4"/>
  <c r="G1082" i="4"/>
  <c r="F1082" i="4"/>
  <c r="E1082" i="4"/>
  <c r="D1082" i="4"/>
  <c r="B1082" i="4"/>
  <c r="G1081" i="4"/>
  <c r="F1081" i="4"/>
  <c r="E1081" i="4"/>
  <c r="D1081" i="4"/>
  <c r="B1081" i="4"/>
  <c r="G1080" i="4"/>
  <c r="F1080" i="4"/>
  <c r="E1080" i="4"/>
  <c r="D1080" i="4"/>
  <c r="B1080" i="4"/>
  <c r="G1079" i="4"/>
  <c r="F1079" i="4"/>
  <c r="E1079" i="4"/>
  <c r="D1079" i="4"/>
  <c r="B1079" i="4"/>
  <c r="G1078" i="4"/>
  <c r="F1078" i="4"/>
  <c r="E1078" i="4"/>
  <c r="D1078" i="4"/>
  <c r="B1078" i="4"/>
  <c r="G1077" i="4"/>
  <c r="F1077" i="4"/>
  <c r="E1077" i="4"/>
  <c r="D1077" i="4"/>
  <c r="B1077" i="4"/>
  <c r="G1076" i="4"/>
  <c r="F1076" i="4"/>
  <c r="E1076" i="4"/>
  <c r="D1076" i="4"/>
  <c r="B1076" i="4"/>
  <c r="G1075" i="4"/>
  <c r="F1075" i="4"/>
  <c r="E1075" i="4"/>
  <c r="D1075" i="4"/>
  <c r="B1075" i="4"/>
  <c r="G1074" i="4"/>
  <c r="F1074" i="4"/>
  <c r="E1074" i="4"/>
  <c r="D1074" i="4"/>
  <c r="B1074" i="4"/>
  <c r="G1073" i="4"/>
  <c r="F1073" i="4"/>
  <c r="E1073" i="4"/>
  <c r="D1073" i="4"/>
  <c r="B1073" i="4"/>
  <c r="G1072" i="4"/>
  <c r="F1072" i="4"/>
  <c r="E1072" i="4"/>
  <c r="D1072" i="4"/>
  <c r="B1072" i="4"/>
  <c r="G1071" i="4"/>
  <c r="F1071" i="4"/>
  <c r="E1071" i="4"/>
  <c r="D1071" i="4"/>
  <c r="B1071" i="4"/>
  <c r="G1070" i="4"/>
  <c r="F1070" i="4"/>
  <c r="E1070" i="4"/>
  <c r="D1070" i="4"/>
  <c r="B1070" i="4"/>
  <c r="G1069" i="4"/>
  <c r="F1069" i="4"/>
  <c r="E1069" i="4"/>
  <c r="D1069" i="4"/>
  <c r="B1069" i="4"/>
  <c r="G1068" i="4"/>
  <c r="F1068" i="4"/>
  <c r="E1068" i="4"/>
  <c r="D1068" i="4"/>
  <c r="B1068" i="4"/>
  <c r="G1067" i="4"/>
  <c r="F1067" i="4"/>
  <c r="E1067" i="4"/>
  <c r="D1067" i="4"/>
  <c r="B1067" i="4"/>
  <c r="G1066" i="4"/>
  <c r="F1066" i="4"/>
  <c r="E1066" i="4"/>
  <c r="D1066" i="4"/>
  <c r="B1066" i="4"/>
  <c r="G1065" i="4"/>
  <c r="F1065" i="4"/>
  <c r="E1065" i="4"/>
  <c r="D1065" i="4"/>
  <c r="B1065" i="4"/>
  <c r="G1064" i="4"/>
  <c r="F1064" i="4"/>
  <c r="E1064" i="4"/>
  <c r="D1064" i="4"/>
  <c r="B1064" i="4"/>
  <c r="G1063" i="4"/>
  <c r="F1063" i="4"/>
  <c r="E1063" i="4"/>
  <c r="D1063" i="4"/>
  <c r="B1063" i="4"/>
  <c r="G1062" i="4"/>
  <c r="F1062" i="4"/>
  <c r="E1062" i="4"/>
  <c r="D1062" i="4"/>
  <c r="B1062" i="4"/>
  <c r="G1061" i="4"/>
  <c r="F1061" i="4"/>
  <c r="E1061" i="4"/>
  <c r="D1061" i="4"/>
  <c r="B1061" i="4"/>
  <c r="G1060" i="4"/>
  <c r="F1060" i="4"/>
  <c r="E1060" i="4"/>
  <c r="D1060" i="4"/>
  <c r="B1060" i="4"/>
  <c r="G1059" i="4"/>
  <c r="F1059" i="4"/>
  <c r="E1059" i="4"/>
  <c r="D1059" i="4"/>
  <c r="B1059" i="4"/>
  <c r="G1058" i="4"/>
  <c r="F1058" i="4"/>
  <c r="E1058" i="4"/>
  <c r="D1058" i="4"/>
  <c r="B1058" i="4"/>
  <c r="G1057" i="4"/>
  <c r="F1057" i="4"/>
  <c r="E1057" i="4"/>
  <c r="D1057" i="4"/>
  <c r="B1057" i="4"/>
  <c r="G1056" i="4"/>
  <c r="F1056" i="4"/>
  <c r="E1056" i="4"/>
  <c r="D1056" i="4"/>
  <c r="B1056" i="4"/>
  <c r="G1055" i="4"/>
  <c r="F1055" i="4"/>
  <c r="E1055" i="4"/>
  <c r="D1055" i="4"/>
  <c r="B1055" i="4"/>
  <c r="G1054" i="4"/>
  <c r="F1054" i="4"/>
  <c r="E1054" i="4"/>
  <c r="D1054" i="4"/>
  <c r="B1054" i="4"/>
  <c r="G1053" i="4"/>
  <c r="F1053" i="4"/>
  <c r="E1053" i="4"/>
  <c r="D1053" i="4"/>
  <c r="B1053" i="4"/>
  <c r="G1052" i="4"/>
  <c r="F1052" i="4"/>
  <c r="E1052" i="4"/>
  <c r="D1052" i="4"/>
  <c r="B1052" i="4"/>
  <c r="G1051" i="4"/>
  <c r="F1051" i="4"/>
  <c r="E1051" i="4"/>
  <c r="D1051" i="4"/>
  <c r="B1051" i="4"/>
  <c r="G1050" i="4"/>
  <c r="F1050" i="4"/>
  <c r="E1050" i="4"/>
  <c r="D1050" i="4"/>
  <c r="B1050" i="4"/>
  <c r="G1049" i="4"/>
  <c r="F1049" i="4"/>
  <c r="E1049" i="4"/>
  <c r="D1049" i="4"/>
  <c r="B1049" i="4"/>
  <c r="G1048" i="4"/>
  <c r="F1048" i="4"/>
  <c r="E1048" i="4"/>
  <c r="D1048" i="4"/>
  <c r="B1048" i="4"/>
  <c r="G1047" i="4"/>
  <c r="F1047" i="4"/>
  <c r="E1047" i="4"/>
  <c r="D1047" i="4"/>
  <c r="B1047" i="4"/>
  <c r="G1046" i="4"/>
  <c r="F1046" i="4"/>
  <c r="E1046" i="4"/>
  <c r="D1046" i="4"/>
  <c r="B1046" i="4"/>
  <c r="G1045" i="4"/>
  <c r="F1045" i="4"/>
  <c r="E1045" i="4"/>
  <c r="D1045" i="4"/>
  <c r="B1045" i="4"/>
  <c r="G1044" i="4"/>
  <c r="F1044" i="4"/>
  <c r="E1044" i="4"/>
  <c r="D1044" i="4"/>
  <c r="B1044" i="4"/>
  <c r="G1043" i="4"/>
  <c r="F1043" i="4"/>
  <c r="E1043" i="4"/>
  <c r="D1043" i="4"/>
  <c r="B1043" i="4"/>
  <c r="G1042" i="4"/>
  <c r="F1042" i="4"/>
  <c r="E1042" i="4"/>
  <c r="D1042" i="4"/>
  <c r="B1042" i="4"/>
  <c r="G1041" i="4"/>
  <c r="F1041" i="4"/>
  <c r="E1041" i="4"/>
  <c r="D1041" i="4"/>
  <c r="B1041" i="4"/>
  <c r="G1040" i="4"/>
  <c r="F1040" i="4"/>
  <c r="E1040" i="4"/>
  <c r="D1040" i="4"/>
  <c r="B1040" i="4"/>
  <c r="G1039" i="4"/>
  <c r="F1039" i="4"/>
  <c r="E1039" i="4"/>
  <c r="D1039" i="4"/>
  <c r="B1039" i="4"/>
  <c r="G1038" i="4"/>
  <c r="F1038" i="4"/>
  <c r="E1038" i="4"/>
  <c r="D1038" i="4"/>
  <c r="B1038" i="4"/>
  <c r="G1037" i="4"/>
  <c r="F1037" i="4"/>
  <c r="E1037" i="4"/>
  <c r="D1037" i="4"/>
  <c r="B1037" i="4"/>
  <c r="G1036" i="4"/>
  <c r="F1036" i="4"/>
  <c r="E1036" i="4"/>
  <c r="D1036" i="4"/>
  <c r="B1036" i="4"/>
  <c r="G1035" i="4"/>
  <c r="F1035" i="4"/>
  <c r="E1035" i="4"/>
  <c r="D1035" i="4"/>
  <c r="B1035" i="4"/>
  <c r="G1034" i="4"/>
  <c r="F1034" i="4"/>
  <c r="E1034" i="4"/>
  <c r="D1034" i="4"/>
  <c r="B1034" i="4"/>
  <c r="G1033" i="4"/>
  <c r="F1033" i="4"/>
  <c r="E1033" i="4"/>
  <c r="D1033" i="4"/>
  <c r="B1033" i="4"/>
  <c r="G1032" i="4"/>
  <c r="F1032" i="4"/>
  <c r="E1032" i="4"/>
  <c r="D1032" i="4"/>
  <c r="B1032" i="4"/>
  <c r="G1031" i="4"/>
  <c r="F1031" i="4"/>
  <c r="E1031" i="4"/>
  <c r="D1031" i="4"/>
  <c r="B1031" i="4"/>
  <c r="G1030" i="4"/>
  <c r="F1030" i="4"/>
  <c r="E1030" i="4"/>
  <c r="D1030" i="4"/>
  <c r="B1030" i="4"/>
  <c r="G1029" i="4"/>
  <c r="F1029" i="4"/>
  <c r="E1029" i="4"/>
  <c r="D1029" i="4"/>
  <c r="B1029" i="4"/>
  <c r="G1028" i="4"/>
  <c r="F1028" i="4"/>
  <c r="E1028" i="4"/>
  <c r="D1028" i="4"/>
  <c r="B1028" i="4"/>
  <c r="G1027" i="4"/>
  <c r="F1027" i="4"/>
  <c r="E1027" i="4"/>
  <c r="D1027" i="4"/>
  <c r="B1027" i="4"/>
  <c r="G1026" i="4"/>
  <c r="F1026" i="4"/>
  <c r="E1026" i="4"/>
  <c r="D1026" i="4"/>
  <c r="B1026" i="4"/>
  <c r="G1025" i="4"/>
  <c r="F1025" i="4"/>
  <c r="E1025" i="4"/>
  <c r="D1025" i="4"/>
  <c r="B1025" i="4"/>
  <c r="G1024" i="4"/>
  <c r="F1024" i="4"/>
  <c r="E1024" i="4"/>
  <c r="D1024" i="4"/>
  <c r="B1024" i="4"/>
  <c r="G1023" i="4"/>
  <c r="F1023" i="4"/>
  <c r="E1023" i="4"/>
  <c r="D1023" i="4"/>
  <c r="B1023" i="4"/>
  <c r="G1022" i="4"/>
  <c r="F1022" i="4"/>
  <c r="E1022" i="4"/>
  <c r="D1022" i="4"/>
  <c r="B1022" i="4"/>
  <c r="G1021" i="4"/>
  <c r="F1021" i="4"/>
  <c r="E1021" i="4"/>
  <c r="D1021" i="4"/>
  <c r="B1021" i="4"/>
  <c r="G1020" i="4"/>
  <c r="F1020" i="4"/>
  <c r="E1020" i="4"/>
  <c r="D1020" i="4"/>
  <c r="B1020" i="4"/>
  <c r="G1019" i="4"/>
  <c r="F1019" i="4"/>
  <c r="E1019" i="4"/>
  <c r="D1019" i="4"/>
  <c r="B1019" i="4"/>
  <c r="G1018" i="4"/>
  <c r="F1018" i="4"/>
  <c r="E1018" i="4"/>
  <c r="D1018" i="4"/>
  <c r="B1018" i="4"/>
  <c r="G1017" i="4"/>
  <c r="F1017" i="4"/>
  <c r="E1017" i="4"/>
  <c r="D1017" i="4"/>
  <c r="B1017" i="4"/>
  <c r="G1016" i="4"/>
  <c r="F1016" i="4"/>
  <c r="E1016" i="4"/>
  <c r="D1016" i="4"/>
  <c r="B1016" i="4"/>
  <c r="G1015" i="4"/>
  <c r="F1015" i="4"/>
  <c r="E1015" i="4"/>
  <c r="D1015" i="4"/>
  <c r="B1015" i="4"/>
  <c r="G1014" i="4"/>
  <c r="F1014" i="4"/>
  <c r="E1014" i="4"/>
  <c r="D1014" i="4"/>
  <c r="B1014" i="4"/>
  <c r="G1013" i="4"/>
  <c r="F1013" i="4"/>
  <c r="E1013" i="4"/>
  <c r="D1013" i="4"/>
  <c r="B1013" i="4"/>
  <c r="G1012" i="4"/>
  <c r="F1012" i="4"/>
  <c r="E1012" i="4"/>
  <c r="D1012" i="4"/>
  <c r="B1012" i="4"/>
  <c r="G1011" i="4"/>
  <c r="F1011" i="4"/>
  <c r="E1011" i="4"/>
  <c r="D1011" i="4"/>
  <c r="B1011" i="4"/>
  <c r="G1010" i="4"/>
  <c r="F1010" i="4"/>
  <c r="E1010" i="4"/>
  <c r="D1010" i="4"/>
  <c r="B1010" i="4"/>
  <c r="G1009" i="4"/>
  <c r="F1009" i="4"/>
  <c r="E1009" i="4"/>
  <c r="D1009" i="4"/>
  <c r="B1009" i="4"/>
  <c r="G1008" i="4"/>
  <c r="F1008" i="4"/>
  <c r="E1008" i="4"/>
  <c r="D1008" i="4"/>
  <c r="B1008" i="4"/>
  <c r="G1007" i="4"/>
  <c r="F1007" i="4"/>
  <c r="E1007" i="4"/>
  <c r="D1007" i="4"/>
  <c r="B1007" i="4"/>
  <c r="G1006" i="4"/>
  <c r="F1006" i="4"/>
  <c r="E1006" i="4"/>
  <c r="D1006" i="4"/>
  <c r="B1006" i="4"/>
  <c r="G1005" i="4"/>
  <c r="F1005" i="4"/>
  <c r="E1005" i="4"/>
  <c r="D1005" i="4"/>
  <c r="B1005" i="4"/>
  <c r="G1004" i="4"/>
  <c r="F1004" i="4"/>
  <c r="E1004" i="4"/>
  <c r="D1004" i="4"/>
  <c r="B1004" i="4"/>
  <c r="G1003" i="4"/>
  <c r="F1003" i="4"/>
  <c r="E1003" i="4"/>
  <c r="D1003" i="4"/>
  <c r="B1003" i="4"/>
  <c r="G1002" i="4"/>
  <c r="F1002" i="4"/>
  <c r="E1002" i="4"/>
  <c r="D1002" i="4"/>
  <c r="B1002" i="4"/>
  <c r="G1001" i="4"/>
  <c r="F1001" i="4"/>
  <c r="E1001" i="4"/>
  <c r="D1001" i="4"/>
  <c r="B1001" i="4"/>
  <c r="G1000" i="4"/>
  <c r="F1000" i="4"/>
  <c r="E1000" i="4"/>
  <c r="D1000" i="4"/>
  <c r="B1000" i="4"/>
  <c r="G999" i="4"/>
  <c r="F999" i="4"/>
  <c r="E999" i="4"/>
  <c r="D999" i="4"/>
  <c r="B999" i="4"/>
  <c r="G998" i="4"/>
  <c r="F998" i="4"/>
  <c r="E998" i="4"/>
  <c r="D998" i="4"/>
  <c r="B998" i="4"/>
  <c r="G997" i="4"/>
  <c r="F997" i="4"/>
  <c r="E997" i="4"/>
  <c r="D997" i="4"/>
  <c r="B997" i="4"/>
  <c r="G996" i="4"/>
  <c r="F996" i="4"/>
  <c r="E996" i="4"/>
  <c r="D996" i="4"/>
  <c r="B996" i="4"/>
  <c r="G995" i="4"/>
  <c r="F995" i="4"/>
  <c r="E995" i="4"/>
  <c r="D995" i="4"/>
  <c r="B995" i="4"/>
  <c r="G994" i="4"/>
  <c r="F994" i="4"/>
  <c r="E994" i="4"/>
  <c r="D994" i="4"/>
  <c r="B994" i="4"/>
  <c r="G993" i="4"/>
  <c r="F993" i="4"/>
  <c r="E993" i="4"/>
  <c r="D993" i="4"/>
  <c r="B993" i="4"/>
  <c r="G992" i="4"/>
  <c r="F992" i="4"/>
  <c r="E992" i="4"/>
  <c r="D992" i="4"/>
  <c r="B992" i="4"/>
  <c r="G991" i="4"/>
  <c r="F991" i="4"/>
  <c r="E991" i="4"/>
  <c r="D991" i="4"/>
  <c r="B991" i="4"/>
  <c r="G990" i="4"/>
  <c r="F990" i="4"/>
  <c r="E990" i="4"/>
  <c r="D990" i="4"/>
  <c r="B990" i="4"/>
  <c r="G989" i="4"/>
  <c r="F989" i="4"/>
  <c r="E989" i="4"/>
  <c r="D989" i="4"/>
  <c r="B989" i="4"/>
  <c r="G988" i="4"/>
  <c r="F988" i="4"/>
  <c r="E988" i="4"/>
  <c r="D988" i="4"/>
  <c r="B988" i="4"/>
  <c r="G987" i="4"/>
  <c r="F987" i="4"/>
  <c r="E987" i="4"/>
  <c r="D987" i="4"/>
  <c r="B987" i="4"/>
  <c r="G986" i="4"/>
  <c r="F986" i="4"/>
  <c r="E986" i="4"/>
  <c r="D986" i="4"/>
  <c r="B986" i="4"/>
  <c r="G985" i="4"/>
  <c r="F985" i="4"/>
  <c r="E985" i="4"/>
  <c r="D985" i="4"/>
  <c r="B985" i="4"/>
  <c r="G984" i="4"/>
  <c r="F984" i="4"/>
  <c r="E984" i="4"/>
  <c r="D984" i="4"/>
  <c r="B984" i="4"/>
  <c r="G983" i="4"/>
  <c r="F983" i="4"/>
  <c r="E983" i="4"/>
  <c r="D983" i="4"/>
  <c r="B983" i="4"/>
  <c r="G982" i="4"/>
  <c r="F982" i="4"/>
  <c r="E982" i="4"/>
  <c r="D982" i="4"/>
  <c r="B982" i="4"/>
  <c r="G981" i="4"/>
  <c r="F981" i="4"/>
  <c r="E981" i="4"/>
  <c r="D981" i="4"/>
  <c r="B981" i="4"/>
  <c r="G980" i="4"/>
  <c r="F980" i="4"/>
  <c r="E980" i="4"/>
  <c r="D980" i="4"/>
  <c r="B980" i="4"/>
  <c r="G979" i="4"/>
  <c r="F979" i="4"/>
  <c r="E979" i="4"/>
  <c r="D979" i="4"/>
  <c r="B979" i="4"/>
  <c r="G978" i="4"/>
  <c r="F978" i="4"/>
  <c r="E978" i="4"/>
  <c r="D978" i="4"/>
  <c r="B978" i="4"/>
  <c r="G977" i="4"/>
  <c r="F977" i="4"/>
  <c r="E977" i="4"/>
  <c r="D977" i="4"/>
  <c r="B977" i="4"/>
  <c r="G976" i="4"/>
  <c r="F976" i="4"/>
  <c r="E976" i="4"/>
  <c r="D976" i="4"/>
  <c r="B976" i="4"/>
  <c r="G975" i="4"/>
  <c r="F975" i="4"/>
  <c r="E975" i="4"/>
  <c r="D975" i="4"/>
  <c r="B975" i="4"/>
  <c r="G974" i="4"/>
  <c r="F974" i="4"/>
  <c r="E974" i="4"/>
  <c r="D974" i="4"/>
  <c r="B974" i="4"/>
  <c r="G973" i="4"/>
  <c r="F973" i="4"/>
  <c r="E973" i="4"/>
  <c r="D973" i="4"/>
  <c r="B973" i="4"/>
  <c r="G972" i="4"/>
  <c r="F972" i="4"/>
  <c r="E972" i="4"/>
  <c r="D972" i="4"/>
  <c r="B972" i="4"/>
  <c r="G971" i="4"/>
  <c r="F971" i="4"/>
  <c r="E971" i="4"/>
  <c r="D971" i="4"/>
  <c r="B971" i="4"/>
  <c r="G970" i="4"/>
  <c r="F970" i="4"/>
  <c r="E970" i="4"/>
  <c r="D970" i="4"/>
  <c r="B970" i="4"/>
  <c r="G969" i="4"/>
  <c r="F969" i="4"/>
  <c r="E969" i="4"/>
  <c r="D969" i="4"/>
  <c r="B969" i="4"/>
  <c r="G968" i="4"/>
  <c r="F968" i="4"/>
  <c r="E968" i="4"/>
  <c r="D968" i="4"/>
  <c r="B968" i="4"/>
  <c r="G967" i="4"/>
  <c r="F967" i="4"/>
  <c r="E967" i="4"/>
  <c r="D967" i="4"/>
  <c r="B967" i="4"/>
  <c r="G966" i="4"/>
  <c r="F966" i="4"/>
  <c r="E966" i="4"/>
  <c r="D966" i="4"/>
  <c r="B966" i="4"/>
  <c r="G965" i="4"/>
  <c r="F965" i="4"/>
  <c r="E965" i="4"/>
  <c r="D965" i="4"/>
  <c r="B965" i="4"/>
  <c r="G964" i="4"/>
  <c r="F964" i="4"/>
  <c r="E964" i="4"/>
  <c r="D964" i="4"/>
  <c r="B964" i="4"/>
  <c r="G963" i="4"/>
  <c r="F963" i="4"/>
  <c r="E963" i="4"/>
  <c r="D963" i="4"/>
  <c r="B963" i="4"/>
  <c r="G962" i="4"/>
  <c r="F962" i="4"/>
  <c r="E962" i="4"/>
  <c r="D962" i="4"/>
  <c r="B962" i="4"/>
  <c r="G961" i="4"/>
  <c r="F961" i="4"/>
  <c r="E961" i="4"/>
  <c r="D961" i="4"/>
  <c r="B961" i="4"/>
  <c r="G960" i="4"/>
  <c r="F960" i="4"/>
  <c r="E960" i="4"/>
  <c r="D960" i="4"/>
  <c r="B960" i="4"/>
  <c r="G959" i="4"/>
  <c r="F959" i="4"/>
  <c r="E959" i="4"/>
  <c r="D959" i="4"/>
  <c r="B959" i="4"/>
  <c r="G958" i="4"/>
  <c r="F958" i="4"/>
  <c r="E958" i="4"/>
  <c r="D958" i="4"/>
  <c r="B958" i="4"/>
  <c r="G957" i="4"/>
  <c r="F957" i="4"/>
  <c r="E957" i="4"/>
  <c r="D957" i="4"/>
  <c r="B957" i="4"/>
  <c r="G956" i="4"/>
  <c r="F956" i="4"/>
  <c r="E956" i="4"/>
  <c r="D956" i="4"/>
  <c r="B956" i="4"/>
  <c r="G955" i="4"/>
  <c r="F955" i="4"/>
  <c r="E955" i="4"/>
  <c r="D955" i="4"/>
  <c r="B955" i="4"/>
  <c r="G954" i="4"/>
  <c r="F954" i="4"/>
  <c r="E954" i="4"/>
  <c r="D954" i="4"/>
  <c r="B954" i="4"/>
  <c r="G953" i="4"/>
  <c r="F953" i="4"/>
  <c r="E953" i="4"/>
  <c r="D953" i="4"/>
  <c r="B953" i="4"/>
  <c r="G952" i="4"/>
  <c r="F952" i="4"/>
  <c r="E952" i="4"/>
  <c r="D952" i="4"/>
  <c r="B952" i="4"/>
  <c r="G951" i="4"/>
  <c r="F951" i="4"/>
  <c r="E951" i="4"/>
  <c r="D951" i="4"/>
  <c r="B951" i="4"/>
  <c r="G950" i="4"/>
  <c r="F950" i="4"/>
  <c r="E950" i="4"/>
  <c r="D950" i="4"/>
  <c r="B950" i="4"/>
  <c r="G949" i="4"/>
  <c r="F949" i="4"/>
  <c r="E949" i="4"/>
  <c r="D949" i="4"/>
  <c r="B949" i="4"/>
  <c r="G948" i="4"/>
  <c r="F948" i="4"/>
  <c r="E948" i="4"/>
  <c r="D948" i="4"/>
  <c r="B948" i="4"/>
  <c r="G947" i="4"/>
  <c r="F947" i="4"/>
  <c r="E947" i="4"/>
  <c r="D947" i="4"/>
  <c r="B947" i="4"/>
  <c r="G946" i="4"/>
  <c r="F946" i="4"/>
  <c r="E946" i="4"/>
  <c r="D946" i="4"/>
  <c r="B946" i="4"/>
  <c r="G945" i="4"/>
  <c r="F945" i="4"/>
  <c r="E945" i="4"/>
  <c r="D945" i="4"/>
  <c r="B945" i="4"/>
  <c r="G944" i="4"/>
  <c r="F944" i="4"/>
  <c r="E944" i="4"/>
  <c r="D944" i="4"/>
  <c r="B944" i="4"/>
  <c r="G943" i="4"/>
  <c r="F943" i="4"/>
  <c r="E943" i="4"/>
  <c r="D943" i="4"/>
  <c r="B943" i="4"/>
  <c r="G942" i="4"/>
  <c r="F942" i="4"/>
  <c r="E942" i="4"/>
  <c r="D942" i="4"/>
  <c r="B942" i="4"/>
  <c r="G941" i="4"/>
  <c r="F941" i="4"/>
  <c r="E941" i="4"/>
  <c r="D941" i="4"/>
  <c r="B941" i="4"/>
  <c r="G940" i="4"/>
  <c r="F940" i="4"/>
  <c r="E940" i="4"/>
  <c r="D940" i="4"/>
  <c r="B940" i="4"/>
  <c r="G939" i="4"/>
  <c r="F939" i="4"/>
  <c r="E939" i="4"/>
  <c r="D939" i="4"/>
  <c r="B939" i="4"/>
  <c r="G938" i="4"/>
  <c r="F938" i="4"/>
  <c r="E938" i="4"/>
  <c r="D938" i="4"/>
  <c r="B938" i="4"/>
  <c r="G937" i="4"/>
  <c r="F937" i="4"/>
  <c r="E937" i="4"/>
  <c r="D937" i="4"/>
  <c r="B937" i="4"/>
  <c r="G936" i="4"/>
  <c r="F936" i="4"/>
  <c r="E936" i="4"/>
  <c r="D936" i="4"/>
  <c r="B936" i="4"/>
  <c r="G935" i="4"/>
  <c r="F935" i="4"/>
  <c r="E935" i="4"/>
  <c r="D935" i="4"/>
  <c r="B935" i="4"/>
  <c r="G934" i="4"/>
  <c r="F934" i="4"/>
  <c r="E934" i="4"/>
  <c r="D934" i="4"/>
  <c r="B934" i="4"/>
  <c r="G933" i="4"/>
  <c r="F933" i="4"/>
  <c r="E933" i="4"/>
  <c r="D933" i="4"/>
  <c r="B933" i="4"/>
  <c r="G932" i="4"/>
  <c r="F932" i="4"/>
  <c r="E932" i="4"/>
  <c r="D932" i="4"/>
  <c r="B932" i="4"/>
  <c r="G931" i="4"/>
  <c r="F931" i="4"/>
  <c r="E931" i="4"/>
  <c r="D931" i="4"/>
  <c r="B931" i="4"/>
  <c r="G930" i="4"/>
  <c r="F930" i="4"/>
  <c r="E930" i="4"/>
  <c r="D930" i="4"/>
  <c r="B930" i="4"/>
  <c r="G929" i="4"/>
  <c r="F929" i="4"/>
  <c r="E929" i="4"/>
  <c r="D929" i="4"/>
  <c r="B929" i="4"/>
  <c r="G928" i="4"/>
  <c r="F928" i="4"/>
  <c r="E928" i="4"/>
  <c r="D928" i="4"/>
  <c r="B928" i="4"/>
  <c r="G927" i="4"/>
  <c r="F927" i="4"/>
  <c r="E927" i="4"/>
  <c r="D927" i="4"/>
  <c r="B927" i="4"/>
  <c r="G926" i="4"/>
  <c r="F926" i="4"/>
  <c r="E926" i="4"/>
  <c r="D926" i="4"/>
  <c r="B926" i="4"/>
  <c r="G925" i="4"/>
  <c r="F925" i="4"/>
  <c r="E925" i="4"/>
  <c r="D925" i="4"/>
  <c r="B925" i="4"/>
  <c r="G924" i="4"/>
  <c r="F924" i="4"/>
  <c r="E924" i="4"/>
  <c r="D924" i="4"/>
  <c r="B924" i="4"/>
  <c r="G923" i="4"/>
  <c r="F923" i="4"/>
  <c r="E923" i="4"/>
  <c r="D923" i="4"/>
  <c r="B923" i="4"/>
  <c r="G922" i="4"/>
  <c r="F922" i="4"/>
  <c r="E922" i="4"/>
  <c r="D922" i="4"/>
  <c r="B922" i="4"/>
  <c r="G921" i="4"/>
  <c r="F921" i="4"/>
  <c r="E921" i="4"/>
  <c r="D921" i="4"/>
  <c r="B921" i="4"/>
  <c r="G920" i="4"/>
  <c r="F920" i="4"/>
  <c r="E920" i="4"/>
  <c r="D920" i="4"/>
  <c r="B920" i="4"/>
  <c r="G919" i="4"/>
  <c r="F919" i="4"/>
  <c r="E919" i="4"/>
  <c r="D919" i="4"/>
  <c r="B919" i="4"/>
  <c r="G918" i="4"/>
  <c r="F918" i="4"/>
  <c r="E918" i="4"/>
  <c r="D918" i="4"/>
  <c r="B918" i="4"/>
  <c r="G917" i="4"/>
  <c r="F917" i="4"/>
  <c r="E917" i="4"/>
  <c r="D917" i="4"/>
  <c r="B917" i="4"/>
  <c r="G916" i="4"/>
  <c r="F916" i="4"/>
  <c r="E916" i="4"/>
  <c r="D916" i="4"/>
  <c r="B916" i="4"/>
  <c r="G915" i="4"/>
  <c r="F915" i="4"/>
  <c r="E915" i="4"/>
  <c r="D915" i="4"/>
  <c r="B915" i="4"/>
  <c r="G914" i="4"/>
  <c r="F914" i="4"/>
  <c r="E914" i="4"/>
  <c r="D914" i="4"/>
  <c r="B914" i="4"/>
  <c r="G913" i="4"/>
  <c r="F913" i="4"/>
  <c r="E913" i="4"/>
  <c r="D913" i="4"/>
  <c r="B913" i="4"/>
  <c r="G912" i="4"/>
  <c r="F912" i="4"/>
  <c r="E912" i="4"/>
  <c r="D912" i="4"/>
  <c r="B912" i="4"/>
  <c r="G911" i="4"/>
  <c r="F911" i="4"/>
  <c r="E911" i="4"/>
  <c r="D911" i="4"/>
  <c r="B911" i="4"/>
  <c r="G910" i="4"/>
  <c r="F910" i="4"/>
  <c r="E910" i="4"/>
  <c r="D910" i="4"/>
  <c r="B910" i="4"/>
  <c r="G909" i="4"/>
  <c r="F909" i="4"/>
  <c r="E909" i="4"/>
  <c r="D909" i="4"/>
  <c r="B909" i="4"/>
  <c r="G908" i="4"/>
  <c r="F908" i="4"/>
  <c r="E908" i="4"/>
  <c r="D908" i="4"/>
  <c r="B908" i="4"/>
  <c r="G907" i="4"/>
  <c r="F907" i="4"/>
  <c r="E907" i="4"/>
  <c r="D907" i="4"/>
  <c r="B907" i="4"/>
  <c r="G906" i="4"/>
  <c r="F906" i="4"/>
  <c r="E906" i="4"/>
  <c r="D906" i="4"/>
  <c r="B906" i="4"/>
  <c r="G905" i="4"/>
  <c r="F905" i="4"/>
  <c r="E905" i="4"/>
  <c r="D905" i="4"/>
  <c r="B905" i="4"/>
  <c r="G904" i="4"/>
  <c r="F904" i="4"/>
  <c r="E904" i="4"/>
  <c r="D904" i="4"/>
  <c r="B904" i="4"/>
  <c r="G903" i="4"/>
  <c r="F903" i="4"/>
  <c r="E903" i="4"/>
  <c r="D903" i="4"/>
  <c r="B903" i="4"/>
  <c r="G902" i="4"/>
  <c r="F902" i="4"/>
  <c r="E902" i="4"/>
  <c r="D902" i="4"/>
  <c r="B902" i="4"/>
  <c r="G901" i="4"/>
  <c r="F901" i="4"/>
  <c r="E901" i="4"/>
  <c r="D901" i="4"/>
  <c r="B901" i="4"/>
  <c r="G900" i="4"/>
  <c r="F900" i="4"/>
  <c r="E900" i="4"/>
  <c r="D900" i="4"/>
  <c r="B900" i="4"/>
  <c r="G899" i="4"/>
  <c r="F899" i="4"/>
  <c r="E899" i="4"/>
  <c r="D899" i="4"/>
  <c r="B899" i="4"/>
  <c r="G898" i="4"/>
  <c r="F898" i="4"/>
  <c r="E898" i="4"/>
  <c r="D898" i="4"/>
  <c r="B898" i="4"/>
  <c r="G897" i="4"/>
  <c r="F897" i="4"/>
  <c r="E897" i="4"/>
  <c r="D897" i="4"/>
  <c r="B897" i="4"/>
  <c r="G896" i="4"/>
  <c r="F896" i="4"/>
  <c r="E896" i="4"/>
  <c r="D896" i="4"/>
  <c r="B896" i="4"/>
  <c r="G895" i="4"/>
  <c r="F895" i="4"/>
  <c r="E895" i="4"/>
  <c r="D895" i="4"/>
  <c r="B895" i="4"/>
  <c r="G894" i="4"/>
  <c r="F894" i="4"/>
  <c r="E894" i="4"/>
  <c r="D894" i="4"/>
  <c r="B894" i="4"/>
  <c r="G893" i="4"/>
  <c r="F893" i="4"/>
  <c r="E893" i="4"/>
  <c r="D893" i="4"/>
  <c r="B893" i="4"/>
  <c r="G892" i="4"/>
  <c r="F892" i="4"/>
  <c r="E892" i="4"/>
  <c r="D892" i="4"/>
  <c r="B892" i="4"/>
  <c r="G891" i="4"/>
  <c r="F891" i="4"/>
  <c r="E891" i="4"/>
  <c r="D891" i="4"/>
  <c r="B891" i="4"/>
  <c r="G890" i="4"/>
  <c r="F890" i="4"/>
  <c r="E890" i="4"/>
  <c r="D890" i="4"/>
  <c r="B890" i="4"/>
  <c r="G889" i="4"/>
  <c r="F889" i="4"/>
  <c r="E889" i="4"/>
  <c r="D889" i="4"/>
  <c r="B889" i="4"/>
  <c r="G888" i="4"/>
  <c r="F888" i="4"/>
  <c r="E888" i="4"/>
  <c r="D888" i="4"/>
  <c r="B888" i="4"/>
  <c r="G887" i="4"/>
  <c r="F887" i="4"/>
  <c r="E887" i="4"/>
  <c r="D887" i="4"/>
  <c r="B887" i="4"/>
  <c r="G886" i="4"/>
  <c r="F886" i="4"/>
  <c r="E886" i="4"/>
  <c r="D886" i="4"/>
  <c r="B886" i="4"/>
  <c r="G885" i="4"/>
  <c r="F885" i="4"/>
  <c r="E885" i="4"/>
  <c r="D885" i="4"/>
  <c r="B885" i="4"/>
  <c r="G884" i="4"/>
  <c r="F884" i="4"/>
  <c r="E884" i="4"/>
  <c r="D884" i="4"/>
  <c r="B884" i="4"/>
  <c r="G883" i="4"/>
  <c r="F883" i="4"/>
  <c r="E883" i="4"/>
  <c r="D883" i="4"/>
  <c r="B883" i="4"/>
  <c r="G882" i="4"/>
  <c r="F882" i="4"/>
  <c r="E882" i="4"/>
  <c r="D882" i="4"/>
  <c r="B882" i="4"/>
  <c r="G881" i="4"/>
  <c r="F881" i="4"/>
  <c r="E881" i="4"/>
  <c r="D881" i="4"/>
  <c r="B881" i="4"/>
  <c r="G880" i="4"/>
  <c r="F880" i="4"/>
  <c r="E880" i="4"/>
  <c r="D880" i="4"/>
  <c r="B880" i="4"/>
  <c r="G879" i="4"/>
  <c r="F879" i="4"/>
  <c r="E879" i="4"/>
  <c r="D879" i="4"/>
  <c r="B879" i="4"/>
  <c r="G878" i="4"/>
  <c r="F878" i="4"/>
  <c r="E878" i="4"/>
  <c r="D878" i="4"/>
  <c r="B878" i="4"/>
  <c r="G877" i="4"/>
  <c r="F877" i="4"/>
  <c r="E877" i="4"/>
  <c r="D877" i="4"/>
  <c r="B877" i="4"/>
  <c r="G876" i="4"/>
  <c r="F876" i="4"/>
  <c r="E876" i="4"/>
  <c r="D876" i="4"/>
  <c r="B876" i="4"/>
  <c r="G875" i="4"/>
  <c r="F875" i="4"/>
  <c r="E875" i="4"/>
  <c r="D875" i="4"/>
  <c r="B875" i="4"/>
  <c r="G874" i="4"/>
  <c r="F874" i="4"/>
  <c r="E874" i="4"/>
  <c r="D874" i="4"/>
  <c r="B874" i="4"/>
  <c r="G873" i="4"/>
  <c r="F873" i="4"/>
  <c r="E873" i="4"/>
  <c r="D873" i="4"/>
  <c r="B873" i="4"/>
  <c r="G872" i="4"/>
  <c r="F872" i="4"/>
  <c r="E872" i="4"/>
  <c r="D872" i="4"/>
  <c r="B872" i="4"/>
  <c r="G871" i="4"/>
  <c r="F871" i="4"/>
  <c r="E871" i="4"/>
  <c r="D871" i="4"/>
  <c r="B871" i="4"/>
  <c r="G870" i="4"/>
  <c r="F870" i="4"/>
  <c r="E870" i="4"/>
  <c r="D870" i="4"/>
  <c r="B870" i="4"/>
  <c r="G869" i="4"/>
  <c r="F869" i="4"/>
  <c r="E869" i="4"/>
  <c r="D869" i="4"/>
  <c r="B869" i="4"/>
  <c r="G868" i="4"/>
  <c r="F868" i="4"/>
  <c r="E868" i="4"/>
  <c r="D868" i="4"/>
  <c r="B868" i="4"/>
  <c r="G867" i="4"/>
  <c r="F867" i="4"/>
  <c r="E867" i="4"/>
  <c r="D867" i="4"/>
  <c r="B867" i="4"/>
  <c r="G866" i="4"/>
  <c r="F866" i="4"/>
  <c r="E866" i="4"/>
  <c r="D866" i="4"/>
  <c r="B866" i="4"/>
  <c r="G865" i="4"/>
  <c r="F865" i="4"/>
  <c r="E865" i="4"/>
  <c r="D865" i="4"/>
  <c r="B865" i="4"/>
  <c r="G864" i="4"/>
  <c r="F864" i="4"/>
  <c r="E864" i="4"/>
  <c r="D864" i="4"/>
  <c r="B864" i="4"/>
  <c r="G863" i="4"/>
  <c r="F863" i="4"/>
  <c r="E863" i="4"/>
  <c r="D863" i="4"/>
  <c r="B863" i="4"/>
  <c r="G862" i="4"/>
  <c r="F862" i="4"/>
  <c r="E862" i="4"/>
  <c r="D862" i="4"/>
  <c r="B862" i="4"/>
  <c r="G861" i="4"/>
  <c r="F861" i="4"/>
  <c r="E861" i="4"/>
  <c r="D861" i="4"/>
  <c r="B861" i="4"/>
  <c r="G860" i="4"/>
  <c r="F860" i="4"/>
  <c r="E860" i="4"/>
  <c r="D860" i="4"/>
  <c r="B860" i="4"/>
  <c r="G859" i="4"/>
  <c r="F859" i="4"/>
  <c r="E859" i="4"/>
  <c r="D859" i="4"/>
  <c r="B859" i="4"/>
  <c r="G858" i="4"/>
  <c r="F858" i="4"/>
  <c r="E858" i="4"/>
  <c r="D858" i="4"/>
  <c r="B858" i="4"/>
  <c r="G857" i="4"/>
  <c r="F857" i="4"/>
  <c r="E857" i="4"/>
  <c r="D857" i="4"/>
  <c r="B857" i="4"/>
  <c r="G856" i="4"/>
  <c r="F856" i="4"/>
  <c r="E856" i="4"/>
  <c r="D856" i="4"/>
  <c r="B856" i="4"/>
  <c r="G855" i="4"/>
  <c r="F855" i="4"/>
  <c r="E855" i="4"/>
  <c r="D855" i="4"/>
  <c r="B855" i="4"/>
  <c r="G854" i="4"/>
  <c r="F854" i="4"/>
  <c r="E854" i="4"/>
  <c r="D854" i="4"/>
  <c r="B854" i="4"/>
  <c r="G853" i="4"/>
  <c r="F853" i="4"/>
  <c r="E853" i="4"/>
  <c r="D853" i="4"/>
  <c r="B853" i="4"/>
  <c r="G852" i="4"/>
  <c r="F852" i="4"/>
  <c r="E852" i="4"/>
  <c r="D852" i="4"/>
  <c r="B852" i="4"/>
  <c r="G851" i="4"/>
  <c r="F851" i="4"/>
  <c r="E851" i="4"/>
  <c r="D851" i="4"/>
  <c r="B851" i="4"/>
  <c r="G850" i="4"/>
  <c r="F850" i="4"/>
  <c r="E850" i="4"/>
  <c r="D850" i="4"/>
  <c r="B850" i="4"/>
  <c r="G849" i="4"/>
  <c r="F849" i="4"/>
  <c r="E849" i="4"/>
  <c r="D849" i="4"/>
  <c r="B849" i="4"/>
  <c r="G848" i="4"/>
  <c r="F848" i="4"/>
  <c r="E848" i="4"/>
  <c r="D848" i="4"/>
  <c r="B848" i="4"/>
  <c r="G847" i="4"/>
  <c r="F847" i="4"/>
  <c r="E847" i="4"/>
  <c r="D847" i="4"/>
  <c r="B847" i="4"/>
  <c r="G846" i="4"/>
  <c r="F846" i="4"/>
  <c r="E846" i="4"/>
  <c r="D846" i="4"/>
  <c r="B846" i="4"/>
  <c r="G845" i="4"/>
  <c r="F845" i="4"/>
  <c r="E845" i="4"/>
  <c r="D845" i="4"/>
  <c r="B845" i="4"/>
  <c r="G844" i="4"/>
  <c r="F844" i="4"/>
  <c r="E844" i="4"/>
  <c r="D844" i="4"/>
  <c r="B844" i="4"/>
  <c r="G843" i="4"/>
  <c r="F843" i="4"/>
  <c r="E843" i="4"/>
  <c r="D843" i="4"/>
  <c r="B843" i="4"/>
  <c r="G842" i="4"/>
  <c r="F842" i="4"/>
  <c r="E842" i="4"/>
  <c r="D842" i="4"/>
  <c r="B842" i="4"/>
  <c r="G841" i="4"/>
  <c r="F841" i="4"/>
  <c r="E841" i="4"/>
  <c r="D841" i="4"/>
  <c r="B841" i="4"/>
  <c r="G840" i="4"/>
  <c r="F840" i="4"/>
  <c r="E840" i="4"/>
  <c r="D840" i="4"/>
  <c r="B840" i="4"/>
  <c r="G839" i="4"/>
  <c r="F839" i="4"/>
  <c r="E839" i="4"/>
  <c r="D839" i="4"/>
  <c r="B839" i="4"/>
  <c r="G838" i="4"/>
  <c r="F838" i="4"/>
  <c r="E838" i="4"/>
  <c r="D838" i="4"/>
  <c r="B838" i="4"/>
  <c r="G837" i="4"/>
  <c r="F837" i="4"/>
  <c r="E837" i="4"/>
  <c r="D837" i="4"/>
  <c r="B837" i="4"/>
  <c r="G836" i="4"/>
  <c r="F836" i="4"/>
  <c r="E836" i="4"/>
  <c r="D836" i="4"/>
  <c r="B836" i="4"/>
  <c r="G835" i="4"/>
  <c r="F835" i="4"/>
  <c r="E835" i="4"/>
  <c r="D835" i="4"/>
  <c r="B835" i="4"/>
  <c r="G834" i="4"/>
  <c r="F834" i="4"/>
  <c r="E834" i="4"/>
  <c r="D834" i="4"/>
  <c r="B834" i="4"/>
  <c r="G833" i="4"/>
  <c r="F833" i="4"/>
  <c r="E833" i="4"/>
  <c r="D833" i="4"/>
  <c r="B833" i="4"/>
  <c r="G832" i="4"/>
  <c r="F832" i="4"/>
  <c r="E832" i="4"/>
  <c r="D832" i="4"/>
  <c r="B832" i="4"/>
  <c r="G831" i="4"/>
  <c r="F831" i="4"/>
  <c r="E831" i="4"/>
  <c r="D831" i="4"/>
  <c r="B831" i="4"/>
  <c r="G830" i="4"/>
  <c r="F830" i="4"/>
  <c r="E830" i="4"/>
  <c r="D830" i="4"/>
  <c r="B830" i="4"/>
  <c r="G829" i="4"/>
  <c r="F829" i="4"/>
  <c r="E829" i="4"/>
  <c r="D829" i="4"/>
  <c r="B829" i="4"/>
  <c r="G828" i="4"/>
  <c r="F828" i="4"/>
  <c r="E828" i="4"/>
  <c r="D828" i="4"/>
  <c r="B828" i="4"/>
  <c r="G827" i="4"/>
  <c r="F827" i="4"/>
  <c r="E827" i="4"/>
  <c r="D827" i="4"/>
  <c r="B827" i="4"/>
  <c r="G826" i="4"/>
  <c r="F826" i="4"/>
  <c r="E826" i="4"/>
  <c r="D826" i="4"/>
  <c r="B826" i="4"/>
  <c r="G825" i="4"/>
  <c r="F825" i="4"/>
  <c r="E825" i="4"/>
  <c r="D825" i="4"/>
  <c r="B825" i="4"/>
  <c r="G824" i="4"/>
  <c r="F824" i="4"/>
  <c r="E824" i="4"/>
  <c r="D824" i="4"/>
  <c r="B824" i="4"/>
  <c r="G823" i="4"/>
  <c r="F823" i="4"/>
  <c r="E823" i="4"/>
  <c r="D823" i="4"/>
  <c r="B823" i="4"/>
  <c r="G822" i="4"/>
  <c r="F822" i="4"/>
  <c r="E822" i="4"/>
  <c r="D822" i="4"/>
  <c r="B822" i="4"/>
  <c r="G821" i="4"/>
  <c r="F821" i="4"/>
  <c r="E821" i="4"/>
  <c r="D821" i="4"/>
  <c r="B821" i="4"/>
  <c r="G820" i="4"/>
  <c r="F820" i="4"/>
  <c r="E820" i="4"/>
  <c r="D820" i="4"/>
  <c r="B820" i="4"/>
  <c r="G819" i="4"/>
  <c r="F819" i="4"/>
  <c r="E819" i="4"/>
  <c r="D819" i="4"/>
  <c r="B819" i="4"/>
  <c r="G818" i="4"/>
  <c r="F818" i="4"/>
  <c r="E818" i="4"/>
  <c r="D818" i="4"/>
  <c r="B818" i="4"/>
  <c r="G817" i="4"/>
  <c r="F817" i="4"/>
  <c r="E817" i="4"/>
  <c r="D817" i="4"/>
  <c r="B817" i="4"/>
  <c r="G816" i="4"/>
  <c r="F816" i="4"/>
  <c r="E816" i="4"/>
  <c r="D816" i="4"/>
  <c r="B816" i="4"/>
  <c r="G815" i="4"/>
  <c r="F815" i="4"/>
  <c r="E815" i="4"/>
  <c r="D815" i="4"/>
  <c r="B815" i="4"/>
  <c r="G814" i="4"/>
  <c r="F814" i="4"/>
  <c r="E814" i="4"/>
  <c r="D814" i="4"/>
  <c r="B814" i="4"/>
  <c r="G813" i="4"/>
  <c r="F813" i="4"/>
  <c r="E813" i="4"/>
  <c r="D813" i="4"/>
  <c r="B813" i="4"/>
  <c r="G812" i="4"/>
  <c r="F812" i="4"/>
  <c r="E812" i="4"/>
  <c r="D812" i="4"/>
  <c r="B812" i="4"/>
  <c r="G811" i="4"/>
  <c r="F811" i="4"/>
  <c r="E811" i="4"/>
  <c r="D811" i="4"/>
  <c r="B811" i="4"/>
  <c r="G810" i="4"/>
  <c r="F810" i="4"/>
  <c r="E810" i="4"/>
  <c r="D810" i="4"/>
  <c r="B810" i="4"/>
  <c r="G809" i="4"/>
  <c r="F809" i="4"/>
  <c r="E809" i="4"/>
  <c r="D809" i="4"/>
  <c r="B809" i="4"/>
  <c r="G808" i="4"/>
  <c r="F808" i="4"/>
  <c r="E808" i="4"/>
  <c r="D808" i="4"/>
  <c r="B808" i="4"/>
  <c r="G807" i="4"/>
  <c r="F807" i="4"/>
  <c r="E807" i="4"/>
  <c r="D807" i="4"/>
  <c r="B807" i="4"/>
  <c r="G806" i="4"/>
  <c r="F806" i="4"/>
  <c r="E806" i="4"/>
  <c r="D806" i="4"/>
  <c r="B806" i="4"/>
  <c r="G805" i="4"/>
  <c r="F805" i="4"/>
  <c r="E805" i="4"/>
  <c r="D805" i="4"/>
  <c r="B805" i="4"/>
  <c r="G804" i="4"/>
  <c r="F804" i="4"/>
  <c r="E804" i="4"/>
  <c r="D804" i="4"/>
  <c r="B804" i="4"/>
  <c r="G803" i="4"/>
  <c r="F803" i="4"/>
  <c r="E803" i="4"/>
  <c r="D803" i="4"/>
  <c r="B803" i="4"/>
  <c r="G802" i="4"/>
  <c r="F802" i="4"/>
  <c r="E802" i="4"/>
  <c r="D802" i="4"/>
  <c r="B802" i="4"/>
  <c r="G801" i="4"/>
  <c r="F801" i="4"/>
  <c r="E801" i="4"/>
  <c r="D801" i="4"/>
  <c r="B801" i="4"/>
  <c r="G800" i="4"/>
  <c r="F800" i="4"/>
  <c r="E800" i="4"/>
  <c r="D800" i="4"/>
  <c r="B800" i="4"/>
  <c r="G799" i="4"/>
  <c r="F799" i="4"/>
  <c r="E799" i="4"/>
  <c r="D799" i="4"/>
  <c r="B799" i="4"/>
  <c r="G798" i="4"/>
  <c r="F798" i="4"/>
  <c r="E798" i="4"/>
  <c r="D798" i="4"/>
  <c r="B798" i="4"/>
  <c r="G797" i="4"/>
  <c r="F797" i="4"/>
  <c r="E797" i="4"/>
  <c r="D797" i="4"/>
  <c r="B797" i="4"/>
  <c r="G796" i="4"/>
  <c r="F796" i="4"/>
  <c r="E796" i="4"/>
  <c r="D796" i="4"/>
  <c r="B796" i="4"/>
  <c r="G795" i="4"/>
  <c r="F795" i="4"/>
  <c r="E795" i="4"/>
  <c r="D795" i="4"/>
  <c r="B795" i="4"/>
  <c r="G794" i="4"/>
  <c r="F794" i="4"/>
  <c r="E794" i="4"/>
  <c r="D794" i="4"/>
  <c r="B794" i="4"/>
  <c r="G793" i="4"/>
  <c r="F793" i="4"/>
  <c r="E793" i="4"/>
  <c r="D793" i="4"/>
  <c r="B793" i="4"/>
  <c r="G792" i="4"/>
  <c r="F792" i="4"/>
  <c r="E792" i="4"/>
  <c r="D792" i="4"/>
  <c r="B792" i="4"/>
  <c r="G791" i="4"/>
  <c r="F791" i="4"/>
  <c r="E791" i="4"/>
  <c r="D791" i="4"/>
  <c r="B791" i="4"/>
  <c r="G790" i="4"/>
  <c r="F790" i="4"/>
  <c r="E790" i="4"/>
  <c r="D790" i="4"/>
  <c r="B790" i="4"/>
  <c r="G789" i="4"/>
  <c r="F789" i="4"/>
  <c r="E789" i="4"/>
  <c r="D789" i="4"/>
  <c r="B789" i="4"/>
  <c r="G788" i="4"/>
  <c r="F788" i="4"/>
  <c r="E788" i="4"/>
  <c r="D788" i="4"/>
  <c r="B788" i="4"/>
  <c r="G787" i="4"/>
  <c r="F787" i="4"/>
  <c r="E787" i="4"/>
  <c r="D787" i="4"/>
  <c r="B787" i="4"/>
  <c r="G786" i="4"/>
  <c r="F786" i="4"/>
  <c r="E786" i="4"/>
  <c r="D786" i="4"/>
  <c r="B786" i="4"/>
  <c r="G785" i="4"/>
  <c r="F785" i="4"/>
  <c r="E785" i="4"/>
  <c r="D785" i="4"/>
  <c r="B785" i="4"/>
  <c r="G784" i="4"/>
  <c r="F784" i="4"/>
  <c r="E784" i="4"/>
  <c r="D784" i="4"/>
  <c r="B784" i="4"/>
  <c r="G783" i="4"/>
  <c r="F783" i="4"/>
  <c r="E783" i="4"/>
  <c r="D783" i="4"/>
  <c r="B783" i="4"/>
  <c r="G782" i="4"/>
  <c r="F782" i="4"/>
  <c r="E782" i="4"/>
  <c r="D782" i="4"/>
  <c r="B782" i="4"/>
  <c r="G781" i="4"/>
  <c r="F781" i="4"/>
  <c r="E781" i="4"/>
  <c r="D781" i="4"/>
  <c r="B781" i="4"/>
  <c r="G780" i="4"/>
  <c r="F780" i="4"/>
  <c r="E780" i="4"/>
  <c r="D780" i="4"/>
  <c r="B780" i="4"/>
  <c r="G779" i="4"/>
  <c r="F779" i="4"/>
  <c r="E779" i="4"/>
  <c r="D779" i="4"/>
  <c r="B779" i="4"/>
  <c r="G778" i="4"/>
  <c r="F778" i="4"/>
  <c r="E778" i="4"/>
  <c r="D778" i="4"/>
  <c r="B778" i="4"/>
  <c r="G777" i="4"/>
  <c r="F777" i="4"/>
  <c r="E777" i="4"/>
  <c r="D777" i="4"/>
  <c r="B777" i="4"/>
  <c r="G776" i="4"/>
  <c r="F776" i="4"/>
  <c r="E776" i="4"/>
  <c r="D776" i="4"/>
  <c r="B776" i="4"/>
  <c r="G775" i="4"/>
  <c r="F775" i="4"/>
  <c r="E775" i="4"/>
  <c r="D775" i="4"/>
  <c r="B775" i="4"/>
  <c r="G774" i="4"/>
  <c r="F774" i="4"/>
  <c r="E774" i="4"/>
  <c r="D774" i="4"/>
  <c r="B774" i="4"/>
  <c r="G773" i="4"/>
  <c r="F773" i="4"/>
  <c r="E773" i="4"/>
  <c r="D773" i="4"/>
  <c r="B773" i="4"/>
  <c r="G772" i="4"/>
  <c r="F772" i="4"/>
  <c r="E772" i="4"/>
  <c r="D772" i="4"/>
  <c r="B772" i="4"/>
  <c r="G771" i="4"/>
  <c r="F771" i="4"/>
  <c r="E771" i="4"/>
  <c r="D771" i="4"/>
  <c r="B771" i="4"/>
  <c r="G770" i="4"/>
  <c r="F770" i="4"/>
  <c r="E770" i="4"/>
  <c r="D770" i="4"/>
  <c r="B770" i="4"/>
  <c r="G769" i="4"/>
  <c r="F769" i="4"/>
  <c r="E769" i="4"/>
  <c r="D769" i="4"/>
  <c r="B769" i="4"/>
  <c r="G768" i="4"/>
  <c r="F768" i="4"/>
  <c r="E768" i="4"/>
  <c r="D768" i="4"/>
  <c r="B768" i="4"/>
  <c r="G767" i="4"/>
  <c r="F767" i="4"/>
  <c r="E767" i="4"/>
  <c r="D767" i="4"/>
  <c r="B767" i="4"/>
  <c r="G766" i="4"/>
  <c r="F766" i="4"/>
  <c r="E766" i="4"/>
  <c r="D766" i="4"/>
  <c r="B766" i="4"/>
  <c r="G765" i="4"/>
  <c r="F765" i="4"/>
  <c r="E765" i="4"/>
  <c r="D765" i="4"/>
  <c r="B765" i="4"/>
  <c r="G764" i="4"/>
  <c r="F764" i="4"/>
  <c r="E764" i="4"/>
  <c r="D764" i="4"/>
  <c r="B764" i="4"/>
  <c r="G763" i="4"/>
  <c r="F763" i="4"/>
  <c r="E763" i="4"/>
  <c r="D763" i="4"/>
  <c r="B763" i="4"/>
  <c r="G762" i="4"/>
  <c r="F762" i="4"/>
  <c r="E762" i="4"/>
  <c r="D762" i="4"/>
  <c r="B762" i="4"/>
  <c r="G761" i="4"/>
  <c r="F761" i="4"/>
  <c r="E761" i="4"/>
  <c r="D761" i="4"/>
  <c r="B761" i="4"/>
  <c r="G760" i="4"/>
  <c r="F760" i="4"/>
  <c r="E760" i="4"/>
  <c r="D760" i="4"/>
  <c r="B760" i="4"/>
  <c r="G759" i="4"/>
  <c r="F759" i="4"/>
  <c r="E759" i="4"/>
  <c r="D759" i="4"/>
  <c r="B759" i="4"/>
  <c r="G758" i="4"/>
  <c r="F758" i="4"/>
  <c r="E758" i="4"/>
  <c r="D758" i="4"/>
  <c r="B758" i="4"/>
  <c r="G757" i="4"/>
  <c r="F757" i="4"/>
  <c r="E757" i="4"/>
  <c r="D757" i="4"/>
  <c r="B757" i="4"/>
  <c r="G756" i="4"/>
  <c r="F756" i="4"/>
  <c r="E756" i="4"/>
  <c r="D756" i="4"/>
  <c r="B756" i="4"/>
  <c r="G755" i="4"/>
  <c r="F755" i="4"/>
  <c r="E755" i="4"/>
  <c r="D755" i="4"/>
  <c r="B755" i="4"/>
  <c r="G754" i="4"/>
  <c r="F754" i="4"/>
  <c r="E754" i="4"/>
  <c r="D754" i="4"/>
  <c r="B754" i="4"/>
  <c r="G753" i="4"/>
  <c r="F753" i="4"/>
  <c r="E753" i="4"/>
  <c r="D753" i="4"/>
  <c r="B753" i="4"/>
  <c r="G752" i="4"/>
  <c r="F752" i="4"/>
  <c r="E752" i="4"/>
  <c r="D752" i="4"/>
  <c r="B752" i="4"/>
  <c r="G751" i="4"/>
  <c r="F751" i="4"/>
  <c r="E751" i="4"/>
  <c r="D751" i="4"/>
  <c r="B751" i="4"/>
  <c r="G750" i="4"/>
  <c r="F750" i="4"/>
  <c r="E750" i="4"/>
  <c r="D750" i="4"/>
  <c r="B750" i="4"/>
  <c r="G749" i="4"/>
  <c r="F749" i="4"/>
  <c r="E749" i="4"/>
  <c r="D749" i="4"/>
  <c r="B749" i="4"/>
  <c r="G748" i="4"/>
  <c r="F748" i="4"/>
  <c r="E748" i="4"/>
  <c r="D748" i="4"/>
  <c r="B748" i="4"/>
  <c r="G747" i="4"/>
  <c r="F747" i="4"/>
  <c r="E747" i="4"/>
  <c r="D747" i="4"/>
  <c r="B747" i="4"/>
  <c r="G746" i="4"/>
  <c r="F746" i="4"/>
  <c r="E746" i="4"/>
  <c r="D746" i="4"/>
  <c r="B746" i="4"/>
  <c r="G745" i="4"/>
  <c r="F745" i="4"/>
  <c r="E745" i="4"/>
  <c r="D745" i="4"/>
  <c r="B745" i="4"/>
  <c r="G744" i="4"/>
  <c r="F744" i="4"/>
  <c r="E744" i="4"/>
  <c r="D744" i="4"/>
  <c r="B744" i="4"/>
  <c r="G743" i="4"/>
  <c r="F743" i="4"/>
  <c r="E743" i="4"/>
  <c r="D743" i="4"/>
  <c r="B743" i="4"/>
  <c r="G742" i="4"/>
  <c r="F742" i="4"/>
  <c r="E742" i="4"/>
  <c r="D742" i="4"/>
  <c r="B742" i="4"/>
  <c r="G741" i="4"/>
  <c r="F741" i="4"/>
  <c r="E741" i="4"/>
  <c r="D741" i="4"/>
  <c r="B741" i="4"/>
  <c r="G740" i="4"/>
  <c r="F740" i="4"/>
  <c r="E740" i="4"/>
  <c r="D740" i="4"/>
  <c r="B740" i="4"/>
  <c r="G739" i="4"/>
  <c r="F739" i="4"/>
  <c r="E739" i="4"/>
  <c r="D739" i="4"/>
  <c r="B739" i="4"/>
  <c r="G738" i="4"/>
  <c r="F738" i="4"/>
  <c r="E738" i="4"/>
  <c r="D738" i="4"/>
  <c r="B738" i="4"/>
  <c r="G737" i="4"/>
  <c r="F737" i="4"/>
  <c r="E737" i="4"/>
  <c r="D737" i="4"/>
  <c r="B737" i="4"/>
  <c r="G736" i="4"/>
  <c r="F736" i="4"/>
  <c r="E736" i="4"/>
  <c r="D736" i="4"/>
  <c r="B736" i="4"/>
  <c r="G735" i="4"/>
  <c r="F735" i="4"/>
  <c r="E735" i="4"/>
  <c r="D735" i="4"/>
  <c r="B735" i="4"/>
  <c r="G734" i="4"/>
  <c r="F734" i="4"/>
  <c r="E734" i="4"/>
  <c r="D734" i="4"/>
  <c r="B734" i="4"/>
  <c r="G733" i="4"/>
  <c r="F733" i="4"/>
  <c r="E733" i="4"/>
  <c r="D733" i="4"/>
  <c r="B733" i="4"/>
  <c r="G732" i="4"/>
  <c r="F732" i="4"/>
  <c r="E732" i="4"/>
  <c r="D732" i="4"/>
  <c r="B732" i="4"/>
  <c r="G731" i="4"/>
  <c r="F731" i="4"/>
  <c r="E731" i="4"/>
  <c r="D731" i="4"/>
  <c r="B731" i="4"/>
  <c r="G730" i="4"/>
  <c r="F730" i="4"/>
  <c r="E730" i="4"/>
  <c r="D730" i="4"/>
  <c r="B730" i="4"/>
  <c r="G729" i="4"/>
  <c r="F729" i="4"/>
  <c r="E729" i="4"/>
  <c r="D729" i="4"/>
  <c r="B729" i="4"/>
  <c r="G728" i="4"/>
  <c r="F728" i="4"/>
  <c r="E728" i="4"/>
  <c r="D728" i="4"/>
  <c r="B728" i="4"/>
  <c r="G727" i="4"/>
  <c r="F727" i="4"/>
  <c r="E727" i="4"/>
  <c r="D727" i="4"/>
  <c r="B727" i="4"/>
  <c r="G726" i="4"/>
  <c r="F726" i="4"/>
  <c r="E726" i="4"/>
  <c r="D726" i="4"/>
  <c r="B726" i="4"/>
  <c r="G725" i="4"/>
  <c r="F725" i="4"/>
  <c r="E725" i="4"/>
  <c r="D725" i="4"/>
  <c r="B725" i="4"/>
  <c r="G724" i="4"/>
  <c r="F724" i="4"/>
  <c r="E724" i="4"/>
  <c r="D724" i="4"/>
  <c r="B724" i="4"/>
  <c r="G723" i="4"/>
  <c r="F723" i="4"/>
  <c r="E723" i="4"/>
  <c r="D723" i="4"/>
  <c r="B723" i="4"/>
  <c r="G722" i="4"/>
  <c r="F722" i="4"/>
  <c r="E722" i="4"/>
  <c r="D722" i="4"/>
  <c r="B722" i="4"/>
  <c r="G721" i="4"/>
  <c r="F721" i="4"/>
  <c r="E721" i="4"/>
  <c r="D721" i="4"/>
  <c r="B721" i="4"/>
  <c r="G720" i="4"/>
  <c r="F720" i="4"/>
  <c r="E720" i="4"/>
  <c r="D720" i="4"/>
  <c r="B720" i="4"/>
  <c r="G719" i="4"/>
  <c r="F719" i="4"/>
  <c r="E719" i="4"/>
  <c r="D719" i="4"/>
  <c r="B719" i="4"/>
  <c r="G718" i="4"/>
  <c r="F718" i="4"/>
  <c r="E718" i="4"/>
  <c r="D718" i="4"/>
  <c r="B718" i="4"/>
  <c r="G717" i="4"/>
  <c r="F717" i="4"/>
  <c r="E717" i="4"/>
  <c r="D717" i="4"/>
  <c r="B717" i="4"/>
  <c r="G716" i="4"/>
  <c r="F716" i="4"/>
  <c r="E716" i="4"/>
  <c r="D716" i="4"/>
  <c r="B716" i="4"/>
  <c r="G715" i="4"/>
  <c r="F715" i="4"/>
  <c r="E715" i="4"/>
  <c r="D715" i="4"/>
  <c r="B715" i="4"/>
  <c r="G714" i="4"/>
  <c r="F714" i="4"/>
  <c r="E714" i="4"/>
  <c r="D714" i="4"/>
  <c r="B714" i="4"/>
  <c r="G713" i="4"/>
  <c r="F713" i="4"/>
  <c r="E713" i="4"/>
  <c r="D713" i="4"/>
  <c r="B713" i="4"/>
  <c r="G712" i="4"/>
  <c r="F712" i="4"/>
  <c r="E712" i="4"/>
  <c r="D712" i="4"/>
  <c r="B712" i="4"/>
  <c r="G711" i="4"/>
  <c r="F711" i="4"/>
  <c r="E711" i="4"/>
  <c r="D711" i="4"/>
  <c r="B711" i="4"/>
  <c r="G710" i="4"/>
  <c r="F710" i="4"/>
  <c r="E710" i="4"/>
  <c r="D710" i="4"/>
  <c r="B710" i="4"/>
  <c r="G709" i="4"/>
  <c r="F709" i="4"/>
  <c r="E709" i="4"/>
  <c r="D709" i="4"/>
  <c r="B709" i="4"/>
  <c r="G708" i="4"/>
  <c r="F708" i="4"/>
  <c r="E708" i="4"/>
  <c r="D708" i="4"/>
  <c r="B708" i="4"/>
  <c r="G707" i="4"/>
  <c r="F707" i="4"/>
  <c r="E707" i="4"/>
  <c r="D707" i="4"/>
  <c r="B707" i="4"/>
  <c r="G706" i="4"/>
  <c r="F706" i="4"/>
  <c r="E706" i="4"/>
  <c r="D706" i="4"/>
  <c r="B706" i="4"/>
  <c r="G705" i="4"/>
  <c r="F705" i="4"/>
  <c r="E705" i="4"/>
  <c r="D705" i="4"/>
  <c r="B705" i="4"/>
  <c r="G704" i="4"/>
  <c r="F704" i="4"/>
  <c r="E704" i="4"/>
  <c r="D704" i="4"/>
  <c r="B704" i="4"/>
  <c r="G703" i="4"/>
  <c r="F703" i="4"/>
  <c r="E703" i="4"/>
  <c r="D703" i="4"/>
  <c r="B703" i="4"/>
  <c r="G702" i="4"/>
  <c r="F702" i="4"/>
  <c r="E702" i="4"/>
  <c r="D702" i="4"/>
  <c r="B702" i="4"/>
  <c r="G701" i="4"/>
  <c r="F701" i="4"/>
  <c r="E701" i="4"/>
  <c r="D701" i="4"/>
  <c r="B701" i="4"/>
  <c r="G700" i="4"/>
  <c r="F700" i="4"/>
  <c r="E700" i="4"/>
  <c r="D700" i="4"/>
  <c r="B700" i="4"/>
  <c r="G699" i="4"/>
  <c r="F699" i="4"/>
  <c r="E699" i="4"/>
  <c r="D699" i="4"/>
  <c r="B699" i="4"/>
  <c r="G698" i="4"/>
  <c r="F698" i="4"/>
  <c r="E698" i="4"/>
  <c r="D698" i="4"/>
  <c r="B698" i="4"/>
  <c r="G697" i="4"/>
  <c r="F697" i="4"/>
  <c r="E697" i="4"/>
  <c r="D697" i="4"/>
  <c r="B697" i="4"/>
  <c r="G696" i="4"/>
  <c r="F696" i="4"/>
  <c r="E696" i="4"/>
  <c r="D696" i="4"/>
  <c r="B696" i="4"/>
  <c r="G695" i="4"/>
  <c r="F695" i="4"/>
  <c r="E695" i="4"/>
  <c r="D695" i="4"/>
  <c r="B695" i="4"/>
  <c r="G694" i="4"/>
  <c r="F694" i="4"/>
  <c r="E694" i="4"/>
  <c r="D694" i="4"/>
  <c r="B694" i="4"/>
  <c r="G693" i="4"/>
  <c r="F693" i="4"/>
  <c r="E693" i="4"/>
  <c r="D693" i="4"/>
  <c r="B693" i="4"/>
  <c r="G692" i="4"/>
  <c r="F692" i="4"/>
  <c r="E692" i="4"/>
  <c r="D692" i="4"/>
  <c r="B692" i="4"/>
  <c r="G691" i="4"/>
  <c r="F691" i="4"/>
  <c r="E691" i="4"/>
  <c r="D691" i="4"/>
  <c r="B691" i="4"/>
  <c r="G690" i="4"/>
  <c r="F690" i="4"/>
  <c r="E690" i="4"/>
  <c r="D690" i="4"/>
  <c r="B690" i="4"/>
  <c r="G689" i="4"/>
  <c r="F689" i="4"/>
  <c r="E689" i="4"/>
  <c r="D689" i="4"/>
  <c r="B689" i="4"/>
  <c r="G688" i="4"/>
  <c r="F688" i="4"/>
  <c r="E688" i="4"/>
  <c r="D688" i="4"/>
  <c r="B688" i="4"/>
  <c r="G687" i="4"/>
  <c r="F687" i="4"/>
  <c r="E687" i="4"/>
  <c r="D687" i="4"/>
  <c r="B687" i="4"/>
  <c r="G686" i="4"/>
  <c r="F686" i="4"/>
  <c r="E686" i="4"/>
  <c r="D686" i="4"/>
  <c r="B686" i="4"/>
  <c r="G685" i="4"/>
  <c r="F685" i="4"/>
  <c r="E685" i="4"/>
  <c r="D685" i="4"/>
  <c r="B685" i="4"/>
  <c r="G684" i="4"/>
  <c r="F684" i="4"/>
  <c r="E684" i="4"/>
  <c r="D684" i="4"/>
  <c r="B684" i="4"/>
  <c r="G683" i="4"/>
  <c r="F683" i="4"/>
  <c r="E683" i="4"/>
  <c r="D683" i="4"/>
  <c r="B683" i="4"/>
  <c r="G682" i="4"/>
  <c r="F682" i="4"/>
  <c r="E682" i="4"/>
  <c r="D682" i="4"/>
  <c r="B682" i="4"/>
  <c r="G681" i="4"/>
  <c r="F681" i="4"/>
  <c r="E681" i="4"/>
  <c r="D681" i="4"/>
  <c r="B681" i="4"/>
  <c r="G680" i="4"/>
  <c r="F680" i="4"/>
  <c r="E680" i="4"/>
  <c r="D680" i="4"/>
  <c r="B680" i="4"/>
  <c r="G679" i="4"/>
  <c r="F679" i="4"/>
  <c r="E679" i="4"/>
  <c r="D679" i="4"/>
  <c r="B679" i="4"/>
  <c r="G678" i="4"/>
  <c r="F678" i="4"/>
  <c r="E678" i="4"/>
  <c r="D678" i="4"/>
  <c r="B678" i="4"/>
  <c r="G677" i="4"/>
  <c r="F677" i="4"/>
  <c r="E677" i="4"/>
  <c r="D677" i="4"/>
  <c r="B677" i="4"/>
  <c r="G676" i="4"/>
  <c r="F676" i="4"/>
  <c r="E676" i="4"/>
  <c r="D676" i="4"/>
  <c r="B676" i="4"/>
  <c r="G675" i="4"/>
  <c r="F675" i="4"/>
  <c r="E675" i="4"/>
  <c r="D675" i="4"/>
  <c r="B675" i="4"/>
  <c r="G674" i="4"/>
  <c r="F674" i="4"/>
  <c r="E674" i="4"/>
  <c r="D674" i="4"/>
  <c r="B674" i="4"/>
  <c r="G673" i="4"/>
  <c r="F673" i="4"/>
  <c r="E673" i="4"/>
  <c r="D673" i="4"/>
  <c r="B673" i="4"/>
  <c r="G672" i="4"/>
  <c r="F672" i="4"/>
  <c r="E672" i="4"/>
  <c r="D672" i="4"/>
  <c r="B672" i="4"/>
  <c r="G671" i="4"/>
  <c r="F671" i="4"/>
  <c r="E671" i="4"/>
  <c r="D671" i="4"/>
  <c r="B671" i="4"/>
  <c r="G670" i="4"/>
  <c r="F670" i="4"/>
  <c r="E670" i="4"/>
  <c r="D670" i="4"/>
  <c r="B670" i="4"/>
  <c r="G669" i="4"/>
  <c r="F669" i="4"/>
  <c r="E669" i="4"/>
  <c r="D669" i="4"/>
  <c r="B669" i="4"/>
  <c r="G668" i="4"/>
  <c r="F668" i="4"/>
  <c r="E668" i="4"/>
  <c r="D668" i="4"/>
  <c r="B668" i="4"/>
  <c r="G667" i="4"/>
  <c r="F667" i="4"/>
  <c r="E667" i="4"/>
  <c r="D667" i="4"/>
  <c r="B667" i="4"/>
  <c r="G666" i="4"/>
  <c r="F666" i="4"/>
  <c r="E666" i="4"/>
  <c r="D666" i="4"/>
  <c r="B666" i="4"/>
  <c r="G665" i="4"/>
  <c r="F665" i="4"/>
  <c r="E665" i="4"/>
  <c r="D665" i="4"/>
  <c r="B665" i="4"/>
  <c r="G664" i="4"/>
  <c r="F664" i="4"/>
  <c r="E664" i="4"/>
  <c r="D664" i="4"/>
  <c r="B664" i="4"/>
  <c r="G663" i="4"/>
  <c r="F663" i="4"/>
  <c r="E663" i="4"/>
  <c r="D663" i="4"/>
  <c r="B663" i="4"/>
  <c r="G662" i="4"/>
  <c r="F662" i="4"/>
  <c r="E662" i="4"/>
  <c r="D662" i="4"/>
  <c r="B662" i="4"/>
  <c r="G661" i="4"/>
  <c r="F661" i="4"/>
  <c r="E661" i="4"/>
  <c r="D661" i="4"/>
  <c r="B661" i="4"/>
  <c r="G660" i="4"/>
  <c r="F660" i="4"/>
  <c r="E660" i="4"/>
  <c r="D660" i="4"/>
  <c r="B660" i="4"/>
  <c r="G659" i="4"/>
  <c r="F659" i="4"/>
  <c r="E659" i="4"/>
  <c r="D659" i="4"/>
  <c r="B659" i="4"/>
  <c r="G658" i="4"/>
  <c r="F658" i="4"/>
  <c r="E658" i="4"/>
  <c r="D658" i="4"/>
  <c r="B658" i="4"/>
  <c r="G657" i="4"/>
  <c r="F657" i="4"/>
  <c r="E657" i="4"/>
  <c r="D657" i="4"/>
  <c r="B657" i="4"/>
  <c r="G656" i="4"/>
  <c r="F656" i="4"/>
  <c r="E656" i="4"/>
  <c r="D656" i="4"/>
  <c r="B656" i="4"/>
  <c r="G655" i="4"/>
  <c r="F655" i="4"/>
  <c r="E655" i="4"/>
  <c r="D655" i="4"/>
  <c r="B655" i="4"/>
  <c r="G654" i="4"/>
  <c r="F654" i="4"/>
  <c r="E654" i="4"/>
  <c r="D654" i="4"/>
  <c r="B654" i="4"/>
  <c r="G653" i="4"/>
  <c r="F653" i="4"/>
  <c r="E653" i="4"/>
  <c r="D653" i="4"/>
  <c r="B653" i="4"/>
  <c r="G652" i="4"/>
  <c r="F652" i="4"/>
  <c r="E652" i="4"/>
  <c r="D652" i="4"/>
  <c r="B652" i="4"/>
  <c r="G651" i="4"/>
  <c r="F651" i="4"/>
  <c r="E651" i="4"/>
  <c r="D651" i="4"/>
  <c r="B651" i="4"/>
  <c r="G650" i="4"/>
  <c r="F650" i="4"/>
  <c r="E650" i="4"/>
  <c r="D650" i="4"/>
  <c r="B650" i="4"/>
  <c r="G649" i="4"/>
  <c r="F649" i="4"/>
  <c r="E649" i="4"/>
  <c r="D649" i="4"/>
  <c r="B649" i="4"/>
  <c r="G648" i="4"/>
  <c r="F648" i="4"/>
  <c r="E648" i="4"/>
  <c r="D648" i="4"/>
  <c r="B648" i="4"/>
  <c r="G647" i="4"/>
  <c r="F647" i="4"/>
  <c r="E647" i="4"/>
  <c r="D647" i="4"/>
  <c r="B647" i="4"/>
  <c r="G646" i="4"/>
  <c r="F646" i="4"/>
  <c r="E646" i="4"/>
  <c r="D646" i="4"/>
  <c r="B646" i="4"/>
  <c r="G645" i="4"/>
  <c r="F645" i="4"/>
  <c r="E645" i="4"/>
  <c r="D645" i="4"/>
  <c r="B645" i="4"/>
  <c r="G644" i="4"/>
  <c r="F644" i="4"/>
  <c r="E644" i="4"/>
  <c r="D644" i="4"/>
  <c r="B644" i="4"/>
  <c r="G643" i="4"/>
  <c r="F643" i="4"/>
  <c r="E643" i="4"/>
  <c r="D643" i="4"/>
  <c r="B643" i="4"/>
  <c r="G642" i="4"/>
  <c r="F642" i="4"/>
  <c r="E642" i="4"/>
  <c r="D642" i="4"/>
  <c r="B642" i="4"/>
  <c r="G641" i="4"/>
  <c r="F641" i="4"/>
  <c r="E641" i="4"/>
  <c r="D641" i="4"/>
  <c r="B641" i="4"/>
  <c r="G640" i="4"/>
  <c r="F640" i="4"/>
  <c r="E640" i="4"/>
  <c r="D640" i="4"/>
  <c r="B640" i="4"/>
  <c r="G639" i="4"/>
  <c r="F639" i="4"/>
  <c r="E639" i="4"/>
  <c r="D639" i="4"/>
  <c r="B639" i="4"/>
  <c r="G638" i="4"/>
  <c r="F638" i="4"/>
  <c r="E638" i="4"/>
  <c r="D638" i="4"/>
  <c r="B638" i="4"/>
  <c r="G637" i="4"/>
  <c r="F637" i="4"/>
  <c r="E637" i="4"/>
  <c r="D637" i="4"/>
  <c r="B637" i="4"/>
  <c r="G636" i="4"/>
  <c r="F636" i="4"/>
  <c r="E636" i="4"/>
  <c r="D636" i="4"/>
  <c r="B636" i="4"/>
  <c r="G635" i="4"/>
  <c r="F635" i="4"/>
  <c r="E635" i="4"/>
  <c r="D635" i="4"/>
  <c r="B635" i="4"/>
  <c r="G634" i="4"/>
  <c r="F634" i="4"/>
  <c r="E634" i="4"/>
  <c r="D634" i="4"/>
  <c r="B634" i="4"/>
  <c r="G633" i="4"/>
  <c r="F633" i="4"/>
  <c r="E633" i="4"/>
  <c r="D633" i="4"/>
  <c r="B633" i="4"/>
  <c r="G632" i="4"/>
  <c r="F632" i="4"/>
  <c r="E632" i="4"/>
  <c r="D632" i="4"/>
  <c r="B632" i="4"/>
  <c r="G631" i="4"/>
  <c r="F631" i="4"/>
  <c r="E631" i="4"/>
  <c r="D631" i="4"/>
  <c r="B631" i="4"/>
  <c r="G630" i="4"/>
  <c r="F630" i="4"/>
  <c r="E630" i="4"/>
  <c r="D630" i="4"/>
  <c r="B630" i="4"/>
  <c r="G629" i="4"/>
  <c r="F629" i="4"/>
  <c r="E629" i="4"/>
  <c r="D629" i="4"/>
  <c r="B629" i="4"/>
  <c r="G628" i="4"/>
  <c r="F628" i="4"/>
  <c r="E628" i="4"/>
  <c r="D628" i="4"/>
  <c r="B628" i="4"/>
  <c r="G627" i="4"/>
  <c r="F627" i="4"/>
  <c r="E627" i="4"/>
  <c r="D627" i="4"/>
  <c r="B627" i="4"/>
  <c r="G626" i="4"/>
  <c r="F626" i="4"/>
  <c r="E626" i="4"/>
  <c r="D626" i="4"/>
  <c r="B626" i="4"/>
  <c r="G625" i="4"/>
  <c r="F625" i="4"/>
  <c r="E625" i="4"/>
  <c r="D625" i="4"/>
  <c r="B625" i="4"/>
  <c r="G624" i="4"/>
  <c r="F624" i="4"/>
  <c r="E624" i="4"/>
  <c r="D624" i="4"/>
  <c r="B624" i="4"/>
  <c r="G623" i="4"/>
  <c r="F623" i="4"/>
  <c r="E623" i="4"/>
  <c r="D623" i="4"/>
  <c r="B623" i="4"/>
  <c r="G622" i="4"/>
  <c r="F622" i="4"/>
  <c r="E622" i="4"/>
  <c r="D622" i="4"/>
  <c r="B622" i="4"/>
  <c r="G621" i="4"/>
  <c r="F621" i="4"/>
  <c r="E621" i="4"/>
  <c r="D621" i="4"/>
  <c r="B621" i="4"/>
  <c r="G620" i="4"/>
  <c r="F620" i="4"/>
  <c r="E620" i="4"/>
  <c r="D620" i="4"/>
  <c r="B620" i="4"/>
  <c r="G619" i="4"/>
  <c r="F619" i="4"/>
  <c r="E619" i="4"/>
  <c r="D619" i="4"/>
  <c r="B619" i="4"/>
  <c r="G618" i="4"/>
  <c r="F618" i="4"/>
  <c r="E618" i="4"/>
  <c r="D618" i="4"/>
  <c r="B618" i="4"/>
  <c r="G617" i="4"/>
  <c r="F617" i="4"/>
  <c r="E617" i="4"/>
  <c r="D617" i="4"/>
  <c r="B617" i="4"/>
  <c r="G616" i="4"/>
  <c r="F616" i="4"/>
  <c r="E616" i="4"/>
  <c r="D616" i="4"/>
  <c r="B616" i="4"/>
  <c r="G615" i="4"/>
  <c r="F615" i="4"/>
  <c r="E615" i="4"/>
  <c r="D615" i="4"/>
  <c r="B615" i="4"/>
  <c r="G614" i="4"/>
  <c r="F614" i="4"/>
  <c r="E614" i="4"/>
  <c r="D614" i="4"/>
  <c r="B614" i="4"/>
  <c r="G613" i="4"/>
  <c r="F613" i="4"/>
  <c r="E613" i="4"/>
  <c r="D613" i="4"/>
  <c r="B613" i="4"/>
  <c r="G612" i="4"/>
  <c r="F612" i="4"/>
  <c r="E612" i="4"/>
  <c r="D612" i="4"/>
  <c r="B612" i="4"/>
  <c r="G611" i="4"/>
  <c r="F611" i="4"/>
  <c r="E611" i="4"/>
  <c r="D611" i="4"/>
  <c r="B611" i="4"/>
  <c r="G610" i="4"/>
  <c r="F610" i="4"/>
  <c r="E610" i="4"/>
  <c r="D610" i="4"/>
  <c r="B610" i="4"/>
  <c r="G609" i="4"/>
  <c r="F609" i="4"/>
  <c r="E609" i="4"/>
  <c r="D609" i="4"/>
  <c r="B609" i="4"/>
  <c r="G608" i="4"/>
  <c r="F608" i="4"/>
  <c r="E608" i="4"/>
  <c r="D608" i="4"/>
  <c r="B608" i="4"/>
  <c r="G607" i="4"/>
  <c r="F607" i="4"/>
  <c r="E607" i="4"/>
  <c r="D607" i="4"/>
  <c r="B607" i="4"/>
  <c r="G606" i="4"/>
  <c r="F606" i="4"/>
  <c r="E606" i="4"/>
  <c r="D606" i="4"/>
  <c r="B606" i="4"/>
  <c r="G605" i="4"/>
  <c r="F605" i="4"/>
  <c r="E605" i="4"/>
  <c r="D605" i="4"/>
  <c r="B605" i="4"/>
  <c r="G604" i="4"/>
  <c r="F604" i="4"/>
  <c r="E604" i="4"/>
  <c r="D604" i="4"/>
  <c r="B604" i="4"/>
  <c r="G603" i="4"/>
  <c r="F603" i="4"/>
  <c r="E603" i="4"/>
  <c r="D603" i="4"/>
  <c r="B603" i="4"/>
  <c r="G602" i="4"/>
  <c r="F602" i="4"/>
  <c r="E602" i="4"/>
  <c r="D602" i="4"/>
  <c r="B602" i="4"/>
  <c r="G601" i="4"/>
  <c r="F601" i="4"/>
  <c r="E601" i="4"/>
  <c r="D601" i="4"/>
  <c r="B601" i="4"/>
  <c r="G600" i="4"/>
  <c r="F600" i="4"/>
  <c r="E600" i="4"/>
  <c r="D600" i="4"/>
  <c r="B600" i="4"/>
  <c r="G599" i="4"/>
  <c r="F599" i="4"/>
  <c r="E599" i="4"/>
  <c r="D599" i="4"/>
  <c r="B599" i="4"/>
  <c r="G598" i="4"/>
  <c r="F598" i="4"/>
  <c r="E598" i="4"/>
  <c r="D598" i="4"/>
  <c r="B598" i="4"/>
  <c r="G597" i="4"/>
  <c r="F597" i="4"/>
  <c r="E597" i="4"/>
  <c r="D597" i="4"/>
  <c r="B597" i="4"/>
  <c r="G596" i="4"/>
  <c r="F596" i="4"/>
  <c r="E596" i="4"/>
  <c r="D596" i="4"/>
  <c r="B596" i="4"/>
  <c r="G595" i="4"/>
  <c r="F595" i="4"/>
  <c r="E595" i="4"/>
  <c r="D595" i="4"/>
  <c r="B595" i="4"/>
  <c r="G594" i="4"/>
  <c r="F594" i="4"/>
  <c r="E594" i="4"/>
  <c r="D594" i="4"/>
  <c r="B594" i="4"/>
  <c r="G593" i="4"/>
  <c r="F593" i="4"/>
  <c r="E593" i="4"/>
  <c r="D593" i="4"/>
  <c r="B593" i="4"/>
  <c r="G592" i="4"/>
  <c r="F592" i="4"/>
  <c r="E592" i="4"/>
  <c r="D592" i="4"/>
  <c r="B592" i="4"/>
  <c r="G591" i="4"/>
  <c r="F591" i="4"/>
  <c r="E591" i="4"/>
  <c r="D591" i="4"/>
  <c r="B591" i="4"/>
  <c r="G590" i="4"/>
  <c r="F590" i="4"/>
  <c r="E590" i="4"/>
  <c r="D590" i="4"/>
  <c r="B590" i="4"/>
  <c r="G589" i="4"/>
  <c r="F589" i="4"/>
  <c r="E589" i="4"/>
  <c r="D589" i="4"/>
  <c r="B589" i="4"/>
  <c r="G588" i="4"/>
  <c r="F588" i="4"/>
  <c r="E588" i="4"/>
  <c r="D588" i="4"/>
  <c r="B588" i="4"/>
  <c r="G587" i="4"/>
  <c r="F587" i="4"/>
  <c r="E587" i="4"/>
  <c r="D587" i="4"/>
  <c r="B587" i="4"/>
  <c r="G586" i="4"/>
  <c r="F586" i="4"/>
  <c r="E586" i="4"/>
  <c r="D586" i="4"/>
  <c r="B586" i="4"/>
  <c r="G585" i="4"/>
  <c r="F585" i="4"/>
  <c r="E585" i="4"/>
  <c r="D585" i="4"/>
  <c r="B585" i="4"/>
  <c r="G584" i="4"/>
  <c r="F584" i="4"/>
  <c r="E584" i="4"/>
  <c r="D584" i="4"/>
  <c r="B584" i="4"/>
  <c r="G583" i="4"/>
  <c r="F583" i="4"/>
  <c r="E583" i="4"/>
  <c r="D583" i="4"/>
  <c r="B583" i="4"/>
  <c r="G582" i="4"/>
  <c r="F582" i="4"/>
  <c r="E582" i="4"/>
  <c r="D582" i="4"/>
  <c r="B582" i="4"/>
  <c r="G581" i="4"/>
  <c r="F581" i="4"/>
  <c r="E581" i="4"/>
  <c r="D581" i="4"/>
  <c r="B581" i="4"/>
  <c r="G580" i="4"/>
  <c r="F580" i="4"/>
  <c r="E580" i="4"/>
  <c r="D580" i="4"/>
  <c r="B580" i="4"/>
  <c r="G579" i="4"/>
  <c r="F579" i="4"/>
  <c r="E579" i="4"/>
  <c r="D579" i="4"/>
  <c r="B579" i="4"/>
  <c r="G578" i="4"/>
  <c r="F578" i="4"/>
  <c r="E578" i="4"/>
  <c r="D578" i="4"/>
  <c r="B578" i="4"/>
  <c r="G577" i="4"/>
  <c r="F577" i="4"/>
  <c r="E577" i="4"/>
  <c r="D577" i="4"/>
  <c r="B577" i="4"/>
  <c r="G576" i="4"/>
  <c r="F576" i="4"/>
  <c r="E576" i="4"/>
  <c r="D576" i="4"/>
  <c r="B576" i="4"/>
  <c r="G575" i="4"/>
  <c r="F575" i="4"/>
  <c r="E575" i="4"/>
  <c r="D575" i="4"/>
  <c r="B575" i="4"/>
  <c r="G574" i="4"/>
  <c r="F574" i="4"/>
  <c r="E574" i="4"/>
  <c r="D574" i="4"/>
  <c r="B574" i="4"/>
  <c r="G573" i="4"/>
  <c r="F573" i="4"/>
  <c r="E573" i="4"/>
  <c r="D573" i="4"/>
  <c r="B573" i="4"/>
  <c r="G572" i="4"/>
  <c r="F572" i="4"/>
  <c r="E572" i="4"/>
  <c r="D572" i="4"/>
  <c r="B572" i="4"/>
  <c r="G571" i="4"/>
  <c r="F571" i="4"/>
  <c r="E571" i="4"/>
  <c r="D571" i="4"/>
  <c r="B571" i="4"/>
  <c r="G570" i="4"/>
  <c r="F570" i="4"/>
  <c r="E570" i="4"/>
  <c r="D570" i="4"/>
  <c r="B570" i="4"/>
  <c r="G569" i="4"/>
  <c r="F569" i="4"/>
  <c r="E569" i="4"/>
  <c r="D569" i="4"/>
  <c r="B569" i="4"/>
  <c r="G568" i="4"/>
  <c r="F568" i="4"/>
  <c r="E568" i="4"/>
  <c r="D568" i="4"/>
  <c r="B568" i="4"/>
  <c r="G567" i="4"/>
  <c r="F567" i="4"/>
  <c r="E567" i="4"/>
  <c r="D567" i="4"/>
  <c r="B567" i="4"/>
  <c r="G566" i="4"/>
  <c r="F566" i="4"/>
  <c r="E566" i="4"/>
  <c r="D566" i="4"/>
  <c r="B566" i="4"/>
  <c r="G565" i="4"/>
  <c r="F565" i="4"/>
  <c r="E565" i="4"/>
  <c r="D565" i="4"/>
  <c r="B565" i="4"/>
  <c r="G564" i="4"/>
  <c r="F564" i="4"/>
  <c r="E564" i="4"/>
  <c r="D564" i="4"/>
  <c r="B564" i="4"/>
  <c r="G563" i="4"/>
  <c r="F563" i="4"/>
  <c r="E563" i="4"/>
  <c r="D563" i="4"/>
  <c r="B563" i="4"/>
  <c r="G562" i="4"/>
  <c r="F562" i="4"/>
  <c r="E562" i="4"/>
  <c r="D562" i="4"/>
  <c r="B562" i="4"/>
  <c r="G561" i="4"/>
  <c r="F561" i="4"/>
  <c r="E561" i="4"/>
  <c r="D561" i="4"/>
  <c r="B561" i="4"/>
  <c r="G560" i="4"/>
  <c r="F560" i="4"/>
  <c r="E560" i="4"/>
  <c r="D560" i="4"/>
  <c r="B560" i="4"/>
  <c r="G559" i="4"/>
  <c r="F559" i="4"/>
  <c r="E559" i="4"/>
  <c r="D559" i="4"/>
  <c r="B559" i="4"/>
  <c r="G558" i="4"/>
  <c r="F558" i="4"/>
  <c r="E558" i="4"/>
  <c r="D558" i="4"/>
  <c r="B558" i="4"/>
  <c r="G557" i="4"/>
  <c r="F557" i="4"/>
  <c r="E557" i="4"/>
  <c r="D557" i="4"/>
  <c r="B557" i="4"/>
  <c r="G556" i="4"/>
  <c r="F556" i="4"/>
  <c r="E556" i="4"/>
  <c r="D556" i="4"/>
  <c r="B556" i="4"/>
  <c r="G555" i="4"/>
  <c r="F555" i="4"/>
  <c r="E555" i="4"/>
  <c r="D555" i="4"/>
  <c r="B555" i="4"/>
  <c r="G554" i="4"/>
  <c r="F554" i="4"/>
  <c r="E554" i="4"/>
  <c r="D554" i="4"/>
  <c r="B554" i="4"/>
  <c r="G553" i="4"/>
  <c r="F553" i="4"/>
  <c r="E553" i="4"/>
  <c r="D553" i="4"/>
  <c r="B553" i="4"/>
  <c r="G552" i="4"/>
  <c r="F552" i="4"/>
  <c r="E552" i="4"/>
  <c r="D552" i="4"/>
  <c r="B552" i="4"/>
  <c r="G551" i="4"/>
  <c r="F551" i="4"/>
  <c r="E551" i="4"/>
  <c r="D551" i="4"/>
  <c r="B551" i="4"/>
  <c r="G550" i="4"/>
  <c r="F550" i="4"/>
  <c r="E550" i="4"/>
  <c r="D550" i="4"/>
  <c r="B550" i="4"/>
  <c r="G549" i="4"/>
  <c r="F549" i="4"/>
  <c r="E549" i="4"/>
  <c r="D549" i="4"/>
  <c r="B549" i="4"/>
  <c r="G548" i="4"/>
  <c r="F548" i="4"/>
  <c r="E548" i="4"/>
  <c r="D548" i="4"/>
  <c r="B548" i="4"/>
  <c r="G547" i="4"/>
  <c r="F547" i="4"/>
  <c r="E547" i="4"/>
  <c r="D547" i="4"/>
  <c r="B547" i="4"/>
  <c r="G546" i="4"/>
  <c r="F546" i="4"/>
  <c r="E546" i="4"/>
  <c r="D546" i="4"/>
  <c r="B546" i="4"/>
  <c r="G545" i="4"/>
  <c r="F545" i="4"/>
  <c r="E545" i="4"/>
  <c r="D545" i="4"/>
  <c r="B545" i="4"/>
  <c r="G544" i="4"/>
  <c r="F544" i="4"/>
  <c r="E544" i="4"/>
  <c r="D544" i="4"/>
  <c r="B544" i="4"/>
  <c r="G543" i="4"/>
  <c r="F543" i="4"/>
  <c r="E543" i="4"/>
  <c r="D543" i="4"/>
  <c r="B543" i="4"/>
  <c r="G542" i="4"/>
  <c r="F542" i="4"/>
  <c r="E542" i="4"/>
  <c r="D542" i="4"/>
  <c r="B542" i="4"/>
  <c r="G541" i="4"/>
  <c r="F541" i="4"/>
  <c r="E541" i="4"/>
  <c r="D541" i="4"/>
  <c r="B541" i="4"/>
  <c r="G540" i="4"/>
  <c r="F540" i="4"/>
  <c r="E540" i="4"/>
  <c r="D540" i="4"/>
  <c r="B540" i="4"/>
  <c r="G539" i="4"/>
  <c r="F539" i="4"/>
  <c r="E539" i="4"/>
  <c r="D539" i="4"/>
  <c r="B539" i="4"/>
  <c r="G538" i="4"/>
  <c r="F538" i="4"/>
  <c r="E538" i="4"/>
  <c r="D538" i="4"/>
  <c r="B538" i="4"/>
  <c r="G537" i="4"/>
  <c r="F537" i="4"/>
  <c r="E537" i="4"/>
  <c r="D537" i="4"/>
  <c r="B537" i="4"/>
  <c r="G536" i="4"/>
  <c r="F536" i="4"/>
  <c r="E536" i="4"/>
  <c r="D536" i="4"/>
  <c r="B536" i="4"/>
  <c r="G535" i="4"/>
  <c r="F535" i="4"/>
  <c r="E535" i="4"/>
  <c r="D535" i="4"/>
  <c r="B535" i="4"/>
  <c r="G534" i="4"/>
  <c r="F534" i="4"/>
  <c r="E534" i="4"/>
  <c r="D534" i="4"/>
  <c r="B534" i="4"/>
  <c r="G533" i="4"/>
  <c r="F533" i="4"/>
  <c r="E533" i="4"/>
  <c r="D533" i="4"/>
  <c r="B533" i="4"/>
  <c r="G532" i="4"/>
  <c r="F532" i="4"/>
  <c r="E532" i="4"/>
  <c r="D532" i="4"/>
  <c r="B532" i="4"/>
  <c r="G531" i="4"/>
  <c r="F531" i="4"/>
  <c r="E531" i="4"/>
  <c r="D531" i="4"/>
  <c r="B531" i="4"/>
  <c r="G530" i="4"/>
  <c r="F530" i="4"/>
  <c r="E530" i="4"/>
  <c r="D530" i="4"/>
  <c r="B530" i="4"/>
  <c r="G529" i="4"/>
  <c r="F529" i="4"/>
  <c r="E529" i="4"/>
  <c r="D529" i="4"/>
  <c r="B529" i="4"/>
  <c r="G528" i="4"/>
  <c r="F528" i="4"/>
  <c r="E528" i="4"/>
  <c r="D528" i="4"/>
  <c r="B528" i="4"/>
  <c r="G527" i="4"/>
  <c r="F527" i="4"/>
  <c r="E527" i="4"/>
  <c r="D527" i="4"/>
  <c r="B527" i="4"/>
  <c r="G526" i="4"/>
  <c r="F526" i="4"/>
  <c r="E526" i="4"/>
  <c r="D526" i="4"/>
  <c r="B526" i="4"/>
  <c r="G525" i="4"/>
  <c r="F525" i="4"/>
  <c r="E525" i="4"/>
  <c r="D525" i="4"/>
  <c r="B525" i="4"/>
  <c r="G524" i="4"/>
  <c r="F524" i="4"/>
  <c r="E524" i="4"/>
  <c r="D524" i="4"/>
  <c r="B524" i="4"/>
  <c r="G523" i="4"/>
  <c r="F523" i="4"/>
  <c r="E523" i="4"/>
  <c r="D523" i="4"/>
  <c r="B523" i="4"/>
  <c r="G522" i="4"/>
  <c r="F522" i="4"/>
  <c r="E522" i="4"/>
  <c r="D522" i="4"/>
  <c r="B522" i="4"/>
  <c r="G521" i="4"/>
  <c r="F521" i="4"/>
  <c r="E521" i="4"/>
  <c r="D521" i="4"/>
  <c r="B521" i="4"/>
  <c r="G520" i="4"/>
  <c r="F520" i="4"/>
  <c r="E520" i="4"/>
  <c r="D520" i="4"/>
  <c r="B520" i="4"/>
  <c r="G519" i="4"/>
  <c r="F519" i="4"/>
  <c r="E519" i="4"/>
  <c r="D519" i="4"/>
  <c r="B519" i="4"/>
  <c r="G518" i="4"/>
  <c r="F518" i="4"/>
  <c r="E518" i="4"/>
  <c r="D518" i="4"/>
  <c r="B518" i="4"/>
  <c r="G517" i="4"/>
  <c r="F517" i="4"/>
  <c r="E517" i="4"/>
  <c r="D517" i="4"/>
  <c r="B517" i="4"/>
  <c r="G516" i="4"/>
  <c r="F516" i="4"/>
  <c r="E516" i="4"/>
  <c r="D516" i="4"/>
  <c r="B516" i="4"/>
  <c r="G515" i="4"/>
  <c r="F515" i="4"/>
  <c r="E515" i="4"/>
  <c r="D515" i="4"/>
  <c r="B515" i="4"/>
  <c r="G514" i="4"/>
  <c r="F514" i="4"/>
  <c r="E514" i="4"/>
  <c r="D514" i="4"/>
  <c r="B514" i="4"/>
  <c r="G513" i="4"/>
  <c r="F513" i="4"/>
  <c r="E513" i="4"/>
  <c r="D513" i="4"/>
  <c r="B513" i="4"/>
  <c r="G512" i="4"/>
  <c r="F512" i="4"/>
  <c r="E512" i="4"/>
  <c r="D512" i="4"/>
  <c r="B512" i="4"/>
  <c r="G511" i="4"/>
  <c r="F511" i="4"/>
  <c r="E511" i="4"/>
  <c r="D511" i="4"/>
  <c r="B511" i="4"/>
  <c r="G510" i="4"/>
  <c r="F510" i="4"/>
  <c r="E510" i="4"/>
  <c r="D510" i="4"/>
  <c r="B510" i="4"/>
  <c r="G509" i="4"/>
  <c r="F509" i="4"/>
  <c r="E509" i="4"/>
  <c r="D509" i="4"/>
  <c r="B509" i="4"/>
  <c r="G508" i="4"/>
  <c r="F508" i="4"/>
  <c r="E508" i="4"/>
  <c r="D508" i="4"/>
  <c r="B508" i="4"/>
  <c r="G507" i="4"/>
  <c r="F507" i="4"/>
  <c r="E507" i="4"/>
  <c r="D507" i="4"/>
  <c r="B507" i="4"/>
  <c r="G506" i="4"/>
  <c r="F506" i="4"/>
  <c r="E506" i="4"/>
  <c r="D506" i="4"/>
  <c r="B506" i="4"/>
  <c r="G505" i="4"/>
  <c r="F505" i="4"/>
  <c r="E505" i="4"/>
  <c r="D505" i="4"/>
  <c r="B505" i="4"/>
  <c r="G504" i="4"/>
  <c r="F504" i="4"/>
  <c r="E504" i="4"/>
  <c r="D504" i="4"/>
  <c r="B504" i="4"/>
  <c r="G503" i="4"/>
  <c r="F503" i="4"/>
  <c r="E503" i="4"/>
  <c r="D503" i="4"/>
  <c r="B503" i="4"/>
  <c r="G502" i="4"/>
  <c r="F502" i="4"/>
  <c r="E502" i="4"/>
  <c r="D502" i="4"/>
  <c r="B502" i="4"/>
  <c r="G501" i="4"/>
  <c r="F501" i="4"/>
  <c r="E501" i="4"/>
  <c r="D501" i="4"/>
  <c r="B501" i="4"/>
  <c r="G500" i="4"/>
  <c r="F500" i="4"/>
  <c r="E500" i="4"/>
  <c r="D500" i="4"/>
  <c r="B500" i="4"/>
  <c r="G499" i="4"/>
  <c r="F499" i="4"/>
  <c r="E499" i="4"/>
  <c r="D499" i="4"/>
  <c r="B499" i="4"/>
  <c r="G498" i="4"/>
  <c r="F498" i="4"/>
  <c r="E498" i="4"/>
  <c r="D498" i="4"/>
  <c r="B498" i="4"/>
  <c r="G497" i="4"/>
  <c r="F497" i="4"/>
  <c r="E497" i="4"/>
  <c r="D497" i="4"/>
  <c r="B497" i="4"/>
  <c r="G496" i="4"/>
  <c r="F496" i="4"/>
  <c r="E496" i="4"/>
  <c r="D496" i="4"/>
  <c r="B496" i="4"/>
  <c r="G495" i="4"/>
  <c r="F495" i="4"/>
  <c r="E495" i="4"/>
  <c r="D495" i="4"/>
  <c r="B495" i="4"/>
  <c r="G494" i="4"/>
  <c r="F494" i="4"/>
  <c r="E494" i="4"/>
  <c r="D494" i="4"/>
  <c r="B494" i="4"/>
  <c r="G493" i="4"/>
  <c r="F493" i="4"/>
  <c r="E493" i="4"/>
  <c r="D493" i="4"/>
  <c r="B493" i="4"/>
  <c r="G492" i="4"/>
  <c r="F492" i="4"/>
  <c r="E492" i="4"/>
  <c r="D492" i="4"/>
  <c r="B492" i="4"/>
  <c r="G491" i="4"/>
  <c r="F491" i="4"/>
  <c r="E491" i="4"/>
  <c r="D491" i="4"/>
  <c r="B491" i="4"/>
  <c r="G490" i="4"/>
  <c r="F490" i="4"/>
  <c r="E490" i="4"/>
  <c r="D490" i="4"/>
  <c r="B490" i="4"/>
  <c r="G489" i="4"/>
  <c r="F489" i="4"/>
  <c r="E489" i="4"/>
  <c r="D489" i="4"/>
  <c r="B489" i="4"/>
  <c r="G488" i="4"/>
  <c r="F488" i="4"/>
  <c r="E488" i="4"/>
  <c r="D488" i="4"/>
  <c r="B488" i="4"/>
  <c r="G487" i="4"/>
  <c r="F487" i="4"/>
  <c r="E487" i="4"/>
  <c r="D487" i="4"/>
  <c r="B487" i="4"/>
  <c r="G486" i="4"/>
  <c r="F486" i="4"/>
  <c r="E486" i="4"/>
  <c r="D486" i="4"/>
  <c r="B486" i="4"/>
  <c r="G485" i="4"/>
  <c r="F485" i="4"/>
  <c r="E485" i="4"/>
  <c r="D485" i="4"/>
  <c r="B485" i="4"/>
  <c r="G484" i="4"/>
  <c r="F484" i="4"/>
  <c r="E484" i="4"/>
  <c r="D484" i="4"/>
  <c r="B484" i="4"/>
  <c r="G483" i="4"/>
  <c r="F483" i="4"/>
  <c r="E483" i="4"/>
  <c r="D483" i="4"/>
  <c r="B483" i="4"/>
  <c r="G482" i="4"/>
  <c r="F482" i="4"/>
  <c r="E482" i="4"/>
  <c r="D482" i="4"/>
  <c r="B482" i="4"/>
  <c r="G481" i="4"/>
  <c r="F481" i="4"/>
  <c r="E481" i="4"/>
  <c r="D481" i="4"/>
  <c r="B481" i="4"/>
  <c r="G480" i="4"/>
  <c r="F480" i="4"/>
  <c r="E480" i="4"/>
  <c r="D480" i="4"/>
  <c r="B480" i="4"/>
  <c r="G479" i="4"/>
  <c r="F479" i="4"/>
  <c r="E479" i="4"/>
  <c r="D479" i="4"/>
  <c r="B479" i="4"/>
  <c r="G478" i="4"/>
  <c r="F478" i="4"/>
  <c r="E478" i="4"/>
  <c r="D478" i="4"/>
  <c r="B478" i="4"/>
  <c r="G477" i="4"/>
  <c r="F477" i="4"/>
  <c r="E477" i="4"/>
  <c r="D477" i="4"/>
  <c r="B477" i="4"/>
  <c r="G476" i="4"/>
  <c r="F476" i="4"/>
  <c r="E476" i="4"/>
  <c r="D476" i="4"/>
  <c r="B476" i="4"/>
  <c r="G475" i="4"/>
  <c r="F475" i="4"/>
  <c r="E475" i="4"/>
  <c r="D475" i="4"/>
  <c r="B475" i="4"/>
  <c r="G474" i="4"/>
  <c r="F474" i="4"/>
  <c r="E474" i="4"/>
  <c r="D474" i="4"/>
  <c r="B474" i="4"/>
  <c r="G473" i="4"/>
  <c r="F473" i="4"/>
  <c r="E473" i="4"/>
  <c r="D473" i="4"/>
  <c r="B473" i="4"/>
  <c r="G472" i="4"/>
  <c r="F472" i="4"/>
  <c r="E472" i="4"/>
  <c r="D472" i="4"/>
  <c r="B472" i="4"/>
  <c r="G471" i="4"/>
  <c r="F471" i="4"/>
  <c r="E471" i="4"/>
  <c r="D471" i="4"/>
  <c r="B471" i="4"/>
  <c r="G470" i="4"/>
  <c r="F470" i="4"/>
  <c r="E470" i="4"/>
  <c r="D470" i="4"/>
  <c r="B470" i="4"/>
  <c r="G469" i="4"/>
  <c r="F469" i="4"/>
  <c r="E469" i="4"/>
  <c r="D469" i="4"/>
  <c r="B469" i="4"/>
  <c r="G468" i="4"/>
  <c r="F468" i="4"/>
  <c r="E468" i="4"/>
  <c r="D468" i="4"/>
  <c r="B468" i="4"/>
  <c r="G467" i="4"/>
  <c r="F467" i="4"/>
  <c r="E467" i="4"/>
  <c r="D467" i="4"/>
  <c r="B467" i="4"/>
  <c r="G466" i="4"/>
  <c r="F466" i="4"/>
  <c r="E466" i="4"/>
  <c r="D466" i="4"/>
  <c r="B466" i="4"/>
  <c r="G465" i="4"/>
  <c r="F465" i="4"/>
  <c r="E465" i="4"/>
  <c r="D465" i="4"/>
  <c r="B465" i="4"/>
  <c r="G464" i="4"/>
  <c r="F464" i="4"/>
  <c r="E464" i="4"/>
  <c r="D464" i="4"/>
  <c r="B464" i="4"/>
  <c r="G463" i="4"/>
  <c r="F463" i="4"/>
  <c r="E463" i="4"/>
  <c r="D463" i="4"/>
  <c r="B463" i="4"/>
  <c r="G462" i="4"/>
  <c r="F462" i="4"/>
  <c r="E462" i="4"/>
  <c r="D462" i="4"/>
  <c r="B462" i="4"/>
  <c r="G461" i="4"/>
  <c r="F461" i="4"/>
  <c r="E461" i="4"/>
  <c r="D461" i="4"/>
  <c r="B461" i="4"/>
  <c r="G460" i="4"/>
  <c r="F460" i="4"/>
  <c r="E460" i="4"/>
  <c r="D460" i="4"/>
  <c r="B460" i="4"/>
  <c r="G459" i="4"/>
  <c r="F459" i="4"/>
  <c r="E459" i="4"/>
  <c r="D459" i="4"/>
  <c r="B459" i="4"/>
  <c r="G458" i="4"/>
  <c r="F458" i="4"/>
  <c r="E458" i="4"/>
  <c r="D458" i="4"/>
  <c r="B458" i="4"/>
  <c r="G457" i="4"/>
  <c r="F457" i="4"/>
  <c r="E457" i="4"/>
  <c r="D457" i="4"/>
  <c r="B457" i="4"/>
  <c r="G456" i="4"/>
  <c r="F456" i="4"/>
  <c r="E456" i="4"/>
  <c r="D456" i="4"/>
  <c r="B456" i="4"/>
  <c r="G455" i="4"/>
  <c r="F455" i="4"/>
  <c r="E455" i="4"/>
  <c r="D455" i="4"/>
  <c r="B455" i="4"/>
  <c r="G454" i="4"/>
  <c r="F454" i="4"/>
  <c r="E454" i="4"/>
  <c r="D454" i="4"/>
  <c r="B454" i="4"/>
  <c r="G453" i="4"/>
  <c r="F453" i="4"/>
  <c r="E453" i="4"/>
  <c r="D453" i="4"/>
  <c r="B453" i="4"/>
  <c r="G452" i="4"/>
  <c r="F452" i="4"/>
  <c r="E452" i="4"/>
  <c r="D452" i="4"/>
  <c r="B452" i="4"/>
  <c r="G451" i="4"/>
  <c r="F451" i="4"/>
  <c r="E451" i="4"/>
  <c r="D451" i="4"/>
  <c r="B451" i="4"/>
  <c r="G450" i="4"/>
  <c r="F450" i="4"/>
  <c r="E450" i="4"/>
  <c r="D450" i="4"/>
  <c r="B450" i="4"/>
  <c r="G449" i="4"/>
  <c r="F449" i="4"/>
  <c r="E449" i="4"/>
  <c r="D449" i="4"/>
  <c r="B449" i="4"/>
  <c r="G448" i="4"/>
  <c r="F448" i="4"/>
  <c r="E448" i="4"/>
  <c r="D448" i="4"/>
  <c r="B448" i="4"/>
  <c r="G447" i="4"/>
  <c r="F447" i="4"/>
  <c r="E447" i="4"/>
  <c r="D447" i="4"/>
  <c r="B447" i="4"/>
  <c r="G446" i="4"/>
  <c r="F446" i="4"/>
  <c r="E446" i="4"/>
  <c r="D446" i="4"/>
  <c r="B446" i="4"/>
  <c r="G445" i="4"/>
  <c r="F445" i="4"/>
  <c r="E445" i="4"/>
  <c r="D445" i="4"/>
  <c r="B445" i="4"/>
  <c r="G444" i="4"/>
  <c r="F444" i="4"/>
  <c r="E444" i="4"/>
  <c r="D444" i="4"/>
  <c r="B444" i="4"/>
  <c r="G443" i="4"/>
  <c r="F443" i="4"/>
  <c r="E443" i="4"/>
  <c r="D443" i="4"/>
  <c r="B443" i="4"/>
  <c r="G442" i="4"/>
  <c r="F442" i="4"/>
  <c r="E442" i="4"/>
  <c r="D442" i="4"/>
  <c r="B442" i="4"/>
  <c r="G441" i="4"/>
  <c r="F441" i="4"/>
  <c r="E441" i="4"/>
  <c r="D441" i="4"/>
  <c r="B441" i="4"/>
  <c r="G440" i="4"/>
  <c r="F440" i="4"/>
  <c r="E440" i="4"/>
  <c r="D440" i="4"/>
  <c r="B440" i="4"/>
  <c r="G439" i="4"/>
  <c r="F439" i="4"/>
  <c r="E439" i="4"/>
  <c r="D439" i="4"/>
  <c r="B439" i="4"/>
  <c r="G438" i="4"/>
  <c r="F438" i="4"/>
  <c r="E438" i="4"/>
  <c r="D438" i="4"/>
  <c r="B438" i="4"/>
  <c r="G437" i="4"/>
  <c r="F437" i="4"/>
  <c r="E437" i="4"/>
  <c r="D437" i="4"/>
  <c r="B437" i="4"/>
  <c r="G436" i="4"/>
  <c r="F436" i="4"/>
  <c r="E436" i="4"/>
  <c r="D436" i="4"/>
  <c r="B436" i="4"/>
  <c r="G435" i="4"/>
  <c r="F435" i="4"/>
  <c r="E435" i="4"/>
  <c r="D435" i="4"/>
  <c r="B435" i="4"/>
  <c r="G434" i="4"/>
  <c r="F434" i="4"/>
  <c r="E434" i="4"/>
  <c r="D434" i="4"/>
  <c r="B434" i="4"/>
  <c r="G433" i="4"/>
  <c r="F433" i="4"/>
  <c r="E433" i="4"/>
  <c r="D433" i="4"/>
  <c r="B433" i="4"/>
  <c r="G432" i="4"/>
  <c r="F432" i="4"/>
  <c r="E432" i="4"/>
  <c r="D432" i="4"/>
  <c r="B432" i="4"/>
  <c r="G431" i="4"/>
  <c r="F431" i="4"/>
  <c r="E431" i="4"/>
  <c r="D431" i="4"/>
  <c r="B431" i="4"/>
  <c r="G430" i="4"/>
  <c r="F430" i="4"/>
  <c r="E430" i="4"/>
  <c r="D430" i="4"/>
  <c r="B430" i="4"/>
  <c r="G429" i="4"/>
  <c r="F429" i="4"/>
  <c r="E429" i="4"/>
  <c r="D429" i="4"/>
  <c r="B429" i="4"/>
  <c r="G428" i="4"/>
  <c r="F428" i="4"/>
  <c r="E428" i="4"/>
  <c r="D428" i="4"/>
  <c r="B428" i="4"/>
  <c r="G427" i="4"/>
  <c r="F427" i="4"/>
  <c r="E427" i="4"/>
  <c r="D427" i="4"/>
  <c r="B427" i="4"/>
  <c r="G426" i="4"/>
  <c r="F426" i="4"/>
  <c r="E426" i="4"/>
  <c r="D426" i="4"/>
  <c r="B426" i="4"/>
  <c r="G425" i="4"/>
  <c r="F425" i="4"/>
  <c r="E425" i="4"/>
  <c r="D425" i="4"/>
  <c r="B425" i="4"/>
  <c r="G424" i="4"/>
  <c r="F424" i="4"/>
  <c r="E424" i="4"/>
  <c r="D424" i="4"/>
  <c r="B424" i="4"/>
  <c r="G423" i="4"/>
  <c r="F423" i="4"/>
  <c r="E423" i="4"/>
  <c r="D423" i="4"/>
  <c r="B423" i="4"/>
  <c r="G422" i="4"/>
  <c r="F422" i="4"/>
  <c r="E422" i="4"/>
  <c r="D422" i="4"/>
  <c r="B422" i="4"/>
  <c r="G421" i="4"/>
  <c r="F421" i="4"/>
  <c r="E421" i="4"/>
  <c r="D421" i="4"/>
  <c r="B421" i="4"/>
  <c r="G420" i="4"/>
  <c r="F420" i="4"/>
  <c r="E420" i="4"/>
  <c r="D420" i="4"/>
  <c r="B420" i="4"/>
  <c r="G419" i="4"/>
  <c r="F419" i="4"/>
  <c r="E419" i="4"/>
  <c r="D419" i="4"/>
  <c r="B419" i="4"/>
  <c r="G418" i="4"/>
  <c r="F418" i="4"/>
  <c r="E418" i="4"/>
  <c r="D418" i="4"/>
  <c r="B418" i="4"/>
  <c r="G417" i="4"/>
  <c r="F417" i="4"/>
  <c r="E417" i="4"/>
  <c r="D417" i="4"/>
  <c r="B417" i="4"/>
  <c r="G416" i="4"/>
  <c r="F416" i="4"/>
  <c r="E416" i="4"/>
  <c r="D416" i="4"/>
  <c r="B416" i="4"/>
  <c r="G415" i="4"/>
  <c r="F415" i="4"/>
  <c r="E415" i="4"/>
  <c r="D415" i="4"/>
  <c r="B415" i="4"/>
  <c r="G414" i="4"/>
  <c r="F414" i="4"/>
  <c r="E414" i="4"/>
  <c r="D414" i="4"/>
  <c r="B414" i="4"/>
  <c r="G413" i="4"/>
  <c r="F413" i="4"/>
  <c r="E413" i="4"/>
  <c r="D413" i="4"/>
  <c r="B413" i="4"/>
  <c r="G412" i="4"/>
  <c r="F412" i="4"/>
  <c r="E412" i="4"/>
  <c r="D412" i="4"/>
  <c r="B412" i="4"/>
  <c r="G411" i="4"/>
  <c r="F411" i="4"/>
  <c r="E411" i="4"/>
  <c r="D411" i="4"/>
  <c r="B411" i="4"/>
  <c r="G410" i="4"/>
  <c r="F410" i="4"/>
  <c r="E410" i="4"/>
  <c r="D410" i="4"/>
  <c r="B410" i="4"/>
  <c r="G409" i="4"/>
  <c r="F409" i="4"/>
  <c r="E409" i="4"/>
  <c r="D409" i="4"/>
  <c r="B409" i="4"/>
  <c r="G408" i="4"/>
  <c r="F408" i="4"/>
  <c r="E408" i="4"/>
  <c r="D408" i="4"/>
  <c r="B408" i="4"/>
  <c r="G407" i="4"/>
  <c r="F407" i="4"/>
  <c r="E407" i="4"/>
  <c r="D407" i="4"/>
  <c r="B407" i="4"/>
  <c r="G406" i="4"/>
  <c r="F406" i="4"/>
  <c r="E406" i="4"/>
  <c r="D406" i="4"/>
  <c r="B406" i="4"/>
  <c r="G405" i="4"/>
  <c r="F405" i="4"/>
  <c r="E405" i="4"/>
  <c r="D405" i="4"/>
  <c r="B405" i="4"/>
  <c r="G404" i="4"/>
  <c r="F404" i="4"/>
  <c r="E404" i="4"/>
  <c r="D404" i="4"/>
  <c r="B404" i="4"/>
  <c r="G403" i="4"/>
  <c r="F403" i="4"/>
  <c r="E403" i="4"/>
  <c r="D403" i="4"/>
  <c r="B403" i="4"/>
  <c r="G402" i="4"/>
  <c r="F402" i="4"/>
  <c r="E402" i="4"/>
  <c r="D402" i="4"/>
  <c r="B402" i="4"/>
  <c r="G401" i="4"/>
  <c r="F401" i="4"/>
  <c r="E401" i="4"/>
  <c r="D401" i="4"/>
  <c r="B401" i="4"/>
  <c r="G400" i="4"/>
  <c r="F400" i="4"/>
  <c r="E400" i="4"/>
  <c r="D400" i="4"/>
  <c r="B400" i="4"/>
  <c r="G399" i="4"/>
  <c r="F399" i="4"/>
  <c r="E399" i="4"/>
  <c r="D399" i="4"/>
  <c r="B399" i="4"/>
  <c r="G398" i="4"/>
  <c r="F398" i="4"/>
  <c r="E398" i="4"/>
  <c r="D398" i="4"/>
  <c r="B398" i="4"/>
  <c r="G397" i="4"/>
  <c r="F397" i="4"/>
  <c r="E397" i="4"/>
  <c r="D397" i="4"/>
  <c r="B397" i="4"/>
  <c r="G396" i="4"/>
  <c r="F396" i="4"/>
  <c r="E396" i="4"/>
  <c r="D396" i="4"/>
  <c r="B396" i="4"/>
  <c r="G395" i="4"/>
  <c r="F395" i="4"/>
  <c r="E395" i="4"/>
  <c r="D395" i="4"/>
  <c r="B395" i="4"/>
  <c r="G394" i="4"/>
  <c r="F394" i="4"/>
  <c r="E394" i="4"/>
  <c r="D394" i="4"/>
  <c r="B394" i="4"/>
  <c r="G393" i="4"/>
  <c r="F393" i="4"/>
  <c r="E393" i="4"/>
  <c r="D393" i="4"/>
  <c r="B393" i="4"/>
  <c r="G392" i="4"/>
  <c r="F392" i="4"/>
  <c r="E392" i="4"/>
  <c r="D392" i="4"/>
  <c r="B392" i="4"/>
  <c r="G391" i="4"/>
  <c r="F391" i="4"/>
  <c r="E391" i="4"/>
  <c r="D391" i="4"/>
  <c r="B391" i="4"/>
  <c r="G390" i="4"/>
  <c r="F390" i="4"/>
  <c r="E390" i="4"/>
  <c r="D390" i="4"/>
  <c r="B390" i="4"/>
  <c r="G389" i="4"/>
  <c r="F389" i="4"/>
  <c r="E389" i="4"/>
  <c r="D389" i="4"/>
  <c r="B389" i="4"/>
  <c r="G388" i="4"/>
  <c r="F388" i="4"/>
  <c r="E388" i="4"/>
  <c r="D388" i="4"/>
  <c r="B388" i="4"/>
  <c r="G387" i="4"/>
  <c r="F387" i="4"/>
  <c r="E387" i="4"/>
  <c r="D387" i="4"/>
  <c r="B387" i="4"/>
  <c r="G386" i="4"/>
  <c r="F386" i="4"/>
  <c r="E386" i="4"/>
  <c r="D386" i="4"/>
  <c r="B386" i="4"/>
  <c r="G385" i="4"/>
  <c r="F385" i="4"/>
  <c r="E385" i="4"/>
  <c r="D385" i="4"/>
  <c r="B385" i="4"/>
  <c r="G384" i="4"/>
  <c r="F384" i="4"/>
  <c r="E384" i="4"/>
  <c r="D384" i="4"/>
  <c r="B384" i="4"/>
  <c r="G383" i="4"/>
  <c r="F383" i="4"/>
  <c r="E383" i="4"/>
  <c r="D383" i="4"/>
  <c r="B383" i="4"/>
  <c r="G382" i="4"/>
  <c r="F382" i="4"/>
  <c r="E382" i="4"/>
  <c r="D382" i="4"/>
  <c r="B382" i="4"/>
  <c r="G381" i="4"/>
  <c r="F381" i="4"/>
  <c r="E381" i="4"/>
  <c r="D381" i="4"/>
  <c r="B381" i="4"/>
  <c r="G380" i="4"/>
  <c r="F380" i="4"/>
  <c r="E380" i="4"/>
  <c r="D380" i="4"/>
  <c r="B380" i="4"/>
  <c r="G379" i="4"/>
  <c r="F379" i="4"/>
  <c r="E379" i="4"/>
  <c r="D379" i="4"/>
  <c r="B379" i="4"/>
  <c r="G378" i="4"/>
  <c r="F378" i="4"/>
  <c r="E378" i="4"/>
  <c r="D378" i="4"/>
  <c r="B378" i="4"/>
  <c r="G377" i="4"/>
  <c r="F377" i="4"/>
  <c r="E377" i="4"/>
  <c r="D377" i="4"/>
  <c r="B377" i="4"/>
  <c r="G376" i="4"/>
  <c r="F376" i="4"/>
  <c r="E376" i="4"/>
  <c r="D376" i="4"/>
  <c r="B376" i="4"/>
  <c r="G375" i="4"/>
  <c r="F375" i="4"/>
  <c r="E375" i="4"/>
  <c r="D375" i="4"/>
  <c r="B375" i="4"/>
  <c r="G374" i="4"/>
  <c r="F374" i="4"/>
  <c r="E374" i="4"/>
  <c r="D374" i="4"/>
  <c r="B374" i="4"/>
  <c r="G373" i="4"/>
  <c r="F373" i="4"/>
  <c r="E373" i="4"/>
  <c r="D373" i="4"/>
  <c r="B373" i="4"/>
  <c r="G372" i="4"/>
  <c r="F372" i="4"/>
  <c r="E372" i="4"/>
  <c r="D372" i="4"/>
  <c r="B372" i="4"/>
  <c r="G371" i="4"/>
  <c r="F371" i="4"/>
  <c r="E371" i="4"/>
  <c r="D371" i="4"/>
  <c r="B371" i="4"/>
  <c r="G370" i="4"/>
  <c r="F370" i="4"/>
  <c r="E370" i="4"/>
  <c r="D370" i="4"/>
  <c r="B370" i="4"/>
  <c r="G369" i="4"/>
  <c r="F369" i="4"/>
  <c r="E369" i="4"/>
  <c r="D369" i="4"/>
  <c r="B369" i="4"/>
  <c r="G368" i="4"/>
  <c r="F368" i="4"/>
  <c r="E368" i="4"/>
  <c r="D368" i="4"/>
  <c r="B368" i="4"/>
  <c r="G367" i="4"/>
  <c r="F367" i="4"/>
  <c r="E367" i="4"/>
  <c r="D367" i="4"/>
  <c r="B367" i="4"/>
  <c r="G366" i="4"/>
  <c r="F366" i="4"/>
  <c r="E366" i="4"/>
  <c r="D366" i="4"/>
  <c r="B366" i="4"/>
  <c r="G365" i="4"/>
  <c r="F365" i="4"/>
  <c r="E365" i="4"/>
  <c r="D365" i="4"/>
  <c r="B365" i="4"/>
  <c r="G364" i="4"/>
  <c r="F364" i="4"/>
  <c r="E364" i="4"/>
  <c r="D364" i="4"/>
  <c r="B364" i="4"/>
  <c r="G363" i="4"/>
  <c r="F363" i="4"/>
  <c r="E363" i="4"/>
  <c r="D363" i="4"/>
  <c r="B363" i="4"/>
  <c r="G362" i="4"/>
  <c r="F362" i="4"/>
  <c r="E362" i="4"/>
  <c r="D362" i="4"/>
  <c r="B362" i="4"/>
  <c r="G361" i="4"/>
  <c r="F361" i="4"/>
  <c r="E361" i="4"/>
  <c r="D361" i="4"/>
  <c r="B361" i="4"/>
  <c r="G360" i="4"/>
  <c r="F360" i="4"/>
  <c r="E360" i="4"/>
  <c r="D360" i="4"/>
  <c r="B360" i="4"/>
  <c r="G359" i="4"/>
  <c r="F359" i="4"/>
  <c r="E359" i="4"/>
  <c r="D359" i="4"/>
  <c r="B359" i="4"/>
  <c r="G358" i="4"/>
  <c r="F358" i="4"/>
  <c r="E358" i="4"/>
  <c r="D358" i="4"/>
  <c r="B358" i="4"/>
  <c r="G357" i="4"/>
  <c r="F357" i="4"/>
  <c r="E357" i="4"/>
  <c r="D357" i="4"/>
  <c r="B357" i="4"/>
  <c r="G356" i="4"/>
  <c r="F356" i="4"/>
  <c r="E356" i="4"/>
  <c r="D356" i="4"/>
  <c r="B356" i="4"/>
  <c r="G355" i="4"/>
  <c r="F355" i="4"/>
  <c r="E355" i="4"/>
  <c r="D355" i="4"/>
  <c r="B355" i="4"/>
  <c r="G354" i="4"/>
  <c r="F354" i="4"/>
  <c r="E354" i="4"/>
  <c r="D354" i="4"/>
  <c r="B354" i="4"/>
  <c r="G353" i="4"/>
  <c r="F353" i="4"/>
  <c r="E353" i="4"/>
  <c r="D353" i="4"/>
  <c r="B353" i="4"/>
  <c r="G352" i="4"/>
  <c r="F352" i="4"/>
  <c r="E352" i="4"/>
  <c r="D352" i="4"/>
  <c r="B352" i="4"/>
  <c r="G351" i="4"/>
  <c r="F351" i="4"/>
  <c r="E351" i="4"/>
  <c r="D351" i="4"/>
  <c r="B351" i="4"/>
  <c r="G350" i="4"/>
  <c r="F350" i="4"/>
  <c r="E350" i="4"/>
  <c r="D350" i="4"/>
  <c r="B350" i="4"/>
  <c r="G349" i="4"/>
  <c r="F349" i="4"/>
  <c r="E349" i="4"/>
  <c r="D349" i="4"/>
  <c r="B349" i="4"/>
  <c r="G348" i="4"/>
  <c r="F348" i="4"/>
  <c r="E348" i="4"/>
  <c r="D348" i="4"/>
  <c r="B348" i="4"/>
  <c r="G347" i="4"/>
  <c r="F347" i="4"/>
  <c r="E347" i="4"/>
  <c r="D347" i="4"/>
  <c r="B347" i="4"/>
  <c r="G346" i="4"/>
  <c r="F346" i="4"/>
  <c r="E346" i="4"/>
  <c r="D346" i="4"/>
  <c r="B346" i="4"/>
  <c r="G345" i="4"/>
  <c r="F345" i="4"/>
  <c r="E345" i="4"/>
  <c r="D345" i="4"/>
  <c r="B345" i="4"/>
  <c r="G344" i="4"/>
  <c r="F344" i="4"/>
  <c r="E344" i="4"/>
  <c r="D344" i="4"/>
  <c r="B344" i="4"/>
  <c r="G343" i="4"/>
  <c r="F343" i="4"/>
  <c r="E343" i="4"/>
  <c r="D343" i="4"/>
  <c r="B343" i="4"/>
  <c r="G342" i="4"/>
  <c r="F342" i="4"/>
  <c r="E342" i="4"/>
  <c r="D342" i="4"/>
  <c r="B342" i="4"/>
  <c r="G341" i="4"/>
  <c r="F341" i="4"/>
  <c r="E341" i="4"/>
  <c r="D341" i="4"/>
  <c r="B341" i="4"/>
  <c r="G340" i="4"/>
  <c r="F340" i="4"/>
  <c r="E340" i="4"/>
  <c r="D340" i="4"/>
  <c r="B340" i="4"/>
  <c r="G339" i="4"/>
  <c r="F339" i="4"/>
  <c r="E339" i="4"/>
  <c r="D339" i="4"/>
  <c r="B339" i="4"/>
  <c r="G338" i="4"/>
  <c r="F338" i="4"/>
  <c r="E338" i="4"/>
  <c r="D338" i="4"/>
  <c r="B338" i="4"/>
  <c r="G337" i="4"/>
  <c r="F337" i="4"/>
  <c r="E337" i="4"/>
  <c r="D337" i="4"/>
  <c r="B337" i="4"/>
  <c r="G336" i="4"/>
  <c r="F336" i="4"/>
  <c r="E336" i="4"/>
  <c r="D336" i="4"/>
  <c r="B336" i="4"/>
  <c r="G335" i="4"/>
  <c r="F335" i="4"/>
  <c r="E335" i="4"/>
  <c r="D335" i="4"/>
  <c r="B335" i="4"/>
  <c r="G334" i="4"/>
  <c r="F334" i="4"/>
  <c r="E334" i="4"/>
  <c r="D334" i="4"/>
  <c r="B334" i="4"/>
  <c r="G333" i="4"/>
  <c r="F333" i="4"/>
  <c r="E333" i="4"/>
  <c r="D333" i="4"/>
  <c r="B333" i="4"/>
  <c r="G332" i="4"/>
  <c r="F332" i="4"/>
  <c r="E332" i="4"/>
  <c r="D332" i="4"/>
  <c r="B332" i="4"/>
  <c r="G331" i="4"/>
  <c r="F331" i="4"/>
  <c r="E331" i="4"/>
  <c r="D331" i="4"/>
  <c r="B331" i="4"/>
  <c r="G330" i="4"/>
  <c r="F330" i="4"/>
  <c r="E330" i="4"/>
  <c r="D330" i="4"/>
  <c r="B330" i="4"/>
  <c r="G329" i="4"/>
  <c r="F329" i="4"/>
  <c r="E329" i="4"/>
  <c r="D329" i="4"/>
  <c r="B329" i="4"/>
  <c r="G328" i="4"/>
  <c r="F328" i="4"/>
  <c r="E328" i="4"/>
  <c r="D328" i="4"/>
  <c r="B328" i="4"/>
  <c r="G327" i="4"/>
  <c r="F327" i="4"/>
  <c r="E327" i="4"/>
  <c r="D327" i="4"/>
  <c r="B327" i="4"/>
  <c r="G326" i="4"/>
  <c r="F326" i="4"/>
  <c r="E326" i="4"/>
  <c r="D326" i="4"/>
  <c r="B326" i="4"/>
  <c r="G325" i="4"/>
  <c r="F325" i="4"/>
  <c r="E325" i="4"/>
  <c r="D325" i="4"/>
  <c r="B325" i="4"/>
  <c r="G324" i="4"/>
  <c r="F324" i="4"/>
  <c r="E324" i="4"/>
  <c r="D324" i="4"/>
  <c r="B324" i="4"/>
  <c r="G323" i="4"/>
  <c r="F323" i="4"/>
  <c r="E323" i="4"/>
  <c r="D323" i="4"/>
  <c r="B323" i="4"/>
  <c r="G322" i="4"/>
  <c r="F322" i="4"/>
  <c r="E322" i="4"/>
  <c r="D322" i="4"/>
  <c r="B322" i="4"/>
  <c r="G321" i="4"/>
  <c r="F321" i="4"/>
  <c r="E321" i="4"/>
  <c r="D321" i="4"/>
  <c r="B321" i="4"/>
  <c r="G320" i="4"/>
  <c r="F320" i="4"/>
  <c r="E320" i="4"/>
  <c r="D320" i="4"/>
  <c r="B320" i="4"/>
  <c r="G319" i="4"/>
  <c r="F319" i="4"/>
  <c r="E319" i="4"/>
  <c r="D319" i="4"/>
  <c r="B319" i="4"/>
  <c r="G318" i="4"/>
  <c r="F318" i="4"/>
  <c r="E318" i="4"/>
  <c r="D318" i="4"/>
  <c r="B318" i="4"/>
  <c r="G317" i="4"/>
  <c r="F317" i="4"/>
  <c r="E317" i="4"/>
  <c r="D317" i="4"/>
  <c r="B317" i="4"/>
  <c r="G316" i="4"/>
  <c r="F316" i="4"/>
  <c r="E316" i="4"/>
  <c r="D316" i="4"/>
  <c r="B316" i="4"/>
  <c r="G315" i="4"/>
  <c r="F315" i="4"/>
  <c r="E315" i="4"/>
  <c r="D315" i="4"/>
  <c r="B315" i="4"/>
  <c r="G314" i="4"/>
  <c r="F314" i="4"/>
  <c r="E314" i="4"/>
  <c r="D314" i="4"/>
  <c r="B314" i="4"/>
  <c r="G313" i="4"/>
  <c r="F313" i="4"/>
  <c r="E313" i="4"/>
  <c r="D313" i="4"/>
  <c r="B313" i="4"/>
  <c r="G312" i="4"/>
  <c r="F312" i="4"/>
  <c r="E312" i="4"/>
  <c r="D312" i="4"/>
  <c r="B312" i="4"/>
  <c r="G311" i="4"/>
  <c r="F311" i="4"/>
  <c r="E311" i="4"/>
  <c r="D311" i="4"/>
  <c r="B311" i="4"/>
  <c r="G310" i="4"/>
  <c r="F310" i="4"/>
  <c r="E310" i="4"/>
  <c r="D310" i="4"/>
  <c r="B310" i="4"/>
  <c r="G309" i="4"/>
  <c r="F309" i="4"/>
  <c r="E309" i="4"/>
  <c r="D309" i="4"/>
  <c r="B309" i="4"/>
  <c r="G308" i="4"/>
  <c r="F308" i="4"/>
  <c r="E308" i="4"/>
  <c r="D308" i="4"/>
  <c r="B308" i="4"/>
  <c r="G307" i="4"/>
  <c r="F307" i="4"/>
  <c r="E307" i="4"/>
  <c r="D307" i="4"/>
  <c r="B307" i="4"/>
  <c r="G306" i="4"/>
  <c r="F306" i="4"/>
  <c r="E306" i="4"/>
  <c r="D306" i="4"/>
  <c r="B306" i="4"/>
  <c r="G305" i="4"/>
  <c r="F305" i="4"/>
  <c r="E305" i="4"/>
  <c r="D305" i="4"/>
  <c r="B305" i="4"/>
  <c r="G304" i="4"/>
  <c r="F304" i="4"/>
  <c r="E304" i="4"/>
  <c r="D304" i="4"/>
  <c r="B304" i="4"/>
  <c r="G303" i="4"/>
  <c r="F303" i="4"/>
  <c r="E303" i="4"/>
  <c r="D303" i="4"/>
  <c r="B303" i="4"/>
  <c r="G302" i="4"/>
  <c r="F302" i="4"/>
  <c r="E302" i="4"/>
  <c r="D302" i="4"/>
  <c r="B302" i="4"/>
  <c r="G301" i="4"/>
  <c r="F301" i="4"/>
  <c r="E301" i="4"/>
  <c r="D301" i="4"/>
  <c r="B301" i="4"/>
  <c r="G300" i="4"/>
  <c r="F300" i="4"/>
  <c r="E300" i="4"/>
  <c r="D300" i="4"/>
  <c r="B300" i="4"/>
  <c r="G299" i="4"/>
  <c r="F299" i="4"/>
  <c r="E299" i="4"/>
  <c r="D299" i="4"/>
  <c r="B299" i="4"/>
  <c r="G298" i="4"/>
  <c r="F298" i="4"/>
  <c r="E298" i="4"/>
  <c r="D298" i="4"/>
  <c r="B298" i="4"/>
  <c r="G297" i="4"/>
  <c r="F297" i="4"/>
  <c r="E297" i="4"/>
  <c r="D297" i="4"/>
  <c r="B297" i="4"/>
  <c r="G296" i="4"/>
  <c r="F296" i="4"/>
  <c r="E296" i="4"/>
  <c r="D296" i="4"/>
  <c r="B296" i="4"/>
  <c r="G295" i="4"/>
  <c r="F295" i="4"/>
  <c r="E295" i="4"/>
  <c r="D295" i="4"/>
  <c r="B295" i="4"/>
  <c r="G294" i="4"/>
  <c r="F294" i="4"/>
  <c r="E294" i="4"/>
  <c r="D294" i="4"/>
  <c r="B294" i="4"/>
  <c r="G293" i="4"/>
  <c r="F293" i="4"/>
  <c r="E293" i="4"/>
  <c r="D293" i="4"/>
  <c r="B293" i="4"/>
  <c r="G292" i="4"/>
  <c r="F292" i="4"/>
  <c r="E292" i="4"/>
  <c r="D292" i="4"/>
  <c r="B292" i="4"/>
  <c r="G291" i="4"/>
  <c r="F291" i="4"/>
  <c r="E291" i="4"/>
  <c r="D291" i="4"/>
  <c r="B291" i="4"/>
  <c r="G290" i="4"/>
  <c r="F290" i="4"/>
  <c r="E290" i="4"/>
  <c r="D290" i="4"/>
  <c r="B290" i="4"/>
  <c r="G289" i="4"/>
  <c r="F289" i="4"/>
  <c r="E289" i="4"/>
  <c r="D289" i="4"/>
  <c r="B289" i="4"/>
  <c r="G288" i="4"/>
  <c r="F288" i="4"/>
  <c r="E288" i="4"/>
  <c r="D288" i="4"/>
  <c r="B288" i="4"/>
  <c r="G287" i="4"/>
  <c r="F287" i="4"/>
  <c r="E287" i="4"/>
  <c r="D287" i="4"/>
  <c r="B287" i="4"/>
  <c r="G286" i="4"/>
  <c r="F286" i="4"/>
  <c r="E286" i="4"/>
  <c r="D286" i="4"/>
  <c r="B286" i="4"/>
  <c r="G285" i="4"/>
  <c r="F285" i="4"/>
  <c r="E285" i="4"/>
  <c r="D285" i="4"/>
  <c r="B285" i="4"/>
  <c r="G284" i="4"/>
  <c r="F284" i="4"/>
  <c r="E284" i="4"/>
  <c r="D284" i="4"/>
  <c r="B284" i="4"/>
  <c r="G283" i="4"/>
  <c r="F283" i="4"/>
  <c r="E283" i="4"/>
  <c r="D283" i="4"/>
  <c r="B283" i="4"/>
  <c r="G282" i="4"/>
  <c r="F282" i="4"/>
  <c r="E282" i="4"/>
  <c r="D282" i="4"/>
  <c r="B282" i="4"/>
  <c r="G281" i="4"/>
  <c r="F281" i="4"/>
  <c r="E281" i="4"/>
  <c r="D281" i="4"/>
  <c r="B281" i="4"/>
  <c r="G280" i="4"/>
  <c r="F280" i="4"/>
  <c r="E280" i="4"/>
  <c r="D280" i="4"/>
  <c r="B280" i="4"/>
  <c r="G279" i="4"/>
  <c r="F279" i="4"/>
  <c r="E279" i="4"/>
  <c r="D279" i="4"/>
  <c r="B279" i="4"/>
  <c r="G278" i="4"/>
  <c r="F278" i="4"/>
  <c r="E278" i="4"/>
  <c r="D278" i="4"/>
  <c r="B278" i="4"/>
  <c r="G277" i="4"/>
  <c r="F277" i="4"/>
  <c r="E277" i="4"/>
  <c r="D277" i="4"/>
  <c r="B277" i="4"/>
  <c r="G276" i="4"/>
  <c r="F276" i="4"/>
  <c r="E276" i="4"/>
  <c r="D276" i="4"/>
  <c r="B276" i="4"/>
  <c r="G275" i="4"/>
  <c r="F275" i="4"/>
  <c r="E275" i="4"/>
  <c r="D275" i="4"/>
  <c r="B275" i="4"/>
  <c r="G274" i="4"/>
  <c r="F274" i="4"/>
  <c r="E274" i="4"/>
  <c r="D274" i="4"/>
  <c r="B274" i="4"/>
  <c r="G273" i="4"/>
  <c r="F273" i="4"/>
  <c r="E273" i="4"/>
  <c r="D273" i="4"/>
  <c r="B273" i="4"/>
  <c r="G272" i="4"/>
  <c r="F272" i="4"/>
  <c r="E272" i="4"/>
  <c r="D272" i="4"/>
  <c r="B272" i="4"/>
  <c r="G271" i="4"/>
  <c r="F271" i="4"/>
  <c r="E271" i="4"/>
  <c r="D271" i="4"/>
  <c r="B271" i="4"/>
  <c r="G270" i="4"/>
  <c r="F270" i="4"/>
  <c r="E270" i="4"/>
  <c r="D270" i="4"/>
  <c r="B270" i="4"/>
  <c r="G269" i="4"/>
  <c r="F269" i="4"/>
  <c r="E269" i="4"/>
  <c r="D269" i="4"/>
  <c r="B269" i="4"/>
  <c r="G268" i="4"/>
  <c r="F268" i="4"/>
  <c r="E268" i="4"/>
  <c r="D268" i="4"/>
  <c r="B268" i="4"/>
  <c r="G267" i="4"/>
  <c r="F267" i="4"/>
  <c r="E267" i="4"/>
  <c r="D267" i="4"/>
  <c r="B267" i="4"/>
  <c r="G266" i="4"/>
  <c r="F266" i="4"/>
  <c r="E266" i="4"/>
  <c r="D266" i="4"/>
  <c r="B266" i="4"/>
  <c r="G265" i="4"/>
  <c r="F265" i="4"/>
  <c r="E265" i="4"/>
  <c r="D265" i="4"/>
  <c r="B265" i="4"/>
  <c r="G264" i="4"/>
  <c r="F264" i="4"/>
  <c r="E264" i="4"/>
  <c r="D264" i="4"/>
  <c r="B264" i="4"/>
  <c r="G263" i="4"/>
  <c r="F263" i="4"/>
  <c r="E263" i="4"/>
  <c r="D263" i="4"/>
  <c r="B263" i="4"/>
  <c r="G262" i="4"/>
  <c r="F262" i="4"/>
  <c r="E262" i="4"/>
  <c r="D262" i="4"/>
  <c r="B262" i="4"/>
  <c r="G261" i="4"/>
  <c r="F261" i="4"/>
  <c r="E261" i="4"/>
  <c r="D261" i="4"/>
  <c r="B261" i="4"/>
  <c r="G260" i="4"/>
  <c r="F260" i="4"/>
  <c r="E260" i="4"/>
  <c r="D260" i="4"/>
  <c r="B260" i="4"/>
  <c r="G259" i="4"/>
  <c r="F259" i="4"/>
  <c r="E259" i="4"/>
  <c r="D259" i="4"/>
  <c r="B259" i="4"/>
  <c r="G258" i="4"/>
  <c r="F258" i="4"/>
  <c r="E258" i="4"/>
  <c r="D258" i="4"/>
  <c r="B258" i="4"/>
  <c r="G257" i="4"/>
  <c r="F257" i="4"/>
  <c r="E257" i="4"/>
  <c r="D257" i="4"/>
  <c r="B257" i="4"/>
  <c r="G256" i="4"/>
  <c r="F256" i="4"/>
  <c r="E256" i="4"/>
  <c r="D256" i="4"/>
  <c r="B256" i="4"/>
  <c r="G255" i="4"/>
  <c r="F255" i="4"/>
  <c r="E255" i="4"/>
  <c r="D255" i="4"/>
  <c r="B255" i="4"/>
  <c r="G254" i="4"/>
  <c r="F254" i="4"/>
  <c r="E254" i="4"/>
  <c r="D254" i="4"/>
  <c r="B254" i="4"/>
  <c r="G253" i="4"/>
  <c r="F253" i="4"/>
  <c r="E253" i="4"/>
  <c r="D253" i="4"/>
  <c r="B253" i="4"/>
  <c r="G252" i="4"/>
  <c r="F252" i="4"/>
  <c r="E252" i="4"/>
  <c r="D252" i="4"/>
  <c r="B252" i="4"/>
  <c r="G251" i="4"/>
  <c r="F251" i="4"/>
  <c r="E251" i="4"/>
  <c r="D251" i="4"/>
  <c r="B251" i="4"/>
  <c r="G250" i="4"/>
  <c r="F250" i="4"/>
  <c r="E250" i="4"/>
  <c r="D250" i="4"/>
  <c r="B250" i="4"/>
  <c r="G249" i="4"/>
  <c r="F249" i="4"/>
  <c r="E249" i="4"/>
  <c r="D249" i="4"/>
  <c r="B249" i="4"/>
  <c r="G248" i="4"/>
  <c r="F248" i="4"/>
  <c r="E248" i="4"/>
  <c r="D248" i="4"/>
  <c r="B248" i="4"/>
  <c r="G247" i="4"/>
  <c r="F247" i="4"/>
  <c r="E247" i="4"/>
  <c r="D247" i="4"/>
  <c r="B247" i="4"/>
  <c r="G246" i="4"/>
  <c r="F246" i="4"/>
  <c r="E246" i="4"/>
  <c r="D246" i="4"/>
  <c r="B246" i="4"/>
  <c r="G245" i="4"/>
  <c r="F245" i="4"/>
  <c r="E245" i="4"/>
  <c r="D245" i="4"/>
  <c r="B245" i="4"/>
  <c r="G244" i="4"/>
  <c r="F244" i="4"/>
  <c r="E244" i="4"/>
  <c r="D244" i="4"/>
  <c r="B244" i="4"/>
  <c r="G243" i="4"/>
  <c r="F243" i="4"/>
  <c r="E243" i="4"/>
  <c r="D243" i="4"/>
  <c r="B243" i="4"/>
  <c r="G242" i="4"/>
  <c r="F242" i="4"/>
  <c r="E242" i="4"/>
  <c r="D242" i="4"/>
  <c r="B242" i="4"/>
  <c r="G241" i="4"/>
  <c r="F241" i="4"/>
  <c r="E241" i="4"/>
  <c r="D241" i="4"/>
  <c r="B241" i="4"/>
  <c r="G240" i="4"/>
  <c r="F240" i="4"/>
  <c r="E240" i="4"/>
  <c r="D240" i="4"/>
  <c r="B240" i="4"/>
  <c r="G239" i="4"/>
  <c r="F239" i="4"/>
  <c r="E239" i="4"/>
  <c r="D239" i="4"/>
  <c r="B239" i="4"/>
  <c r="G238" i="4"/>
  <c r="F238" i="4"/>
  <c r="E238" i="4"/>
  <c r="D238" i="4"/>
  <c r="B238" i="4"/>
  <c r="G237" i="4"/>
  <c r="F237" i="4"/>
  <c r="E237" i="4"/>
  <c r="D237" i="4"/>
  <c r="B237" i="4"/>
  <c r="G236" i="4"/>
  <c r="F236" i="4"/>
  <c r="E236" i="4"/>
  <c r="D236" i="4"/>
  <c r="B236" i="4"/>
  <c r="G235" i="4"/>
  <c r="F235" i="4"/>
  <c r="E235" i="4"/>
  <c r="D235" i="4"/>
  <c r="B235" i="4"/>
  <c r="G234" i="4"/>
  <c r="F234" i="4"/>
  <c r="E234" i="4"/>
  <c r="D234" i="4"/>
  <c r="B234" i="4"/>
  <c r="G233" i="4"/>
  <c r="F233" i="4"/>
  <c r="E233" i="4"/>
  <c r="D233" i="4"/>
  <c r="B233" i="4"/>
  <c r="G232" i="4"/>
  <c r="F232" i="4"/>
  <c r="E232" i="4"/>
  <c r="D232" i="4"/>
  <c r="B232" i="4"/>
  <c r="G231" i="4"/>
  <c r="F231" i="4"/>
  <c r="E231" i="4"/>
  <c r="D231" i="4"/>
  <c r="B231" i="4"/>
  <c r="G230" i="4"/>
  <c r="F230" i="4"/>
  <c r="E230" i="4"/>
  <c r="D230" i="4"/>
  <c r="B230" i="4"/>
  <c r="G229" i="4"/>
  <c r="F229" i="4"/>
  <c r="E229" i="4"/>
  <c r="D229" i="4"/>
  <c r="B229" i="4"/>
  <c r="G228" i="4"/>
  <c r="F228" i="4"/>
  <c r="E228" i="4"/>
  <c r="D228" i="4"/>
  <c r="B228" i="4"/>
  <c r="G227" i="4"/>
  <c r="F227" i="4"/>
  <c r="E227" i="4"/>
  <c r="D227" i="4"/>
  <c r="B227" i="4"/>
  <c r="G226" i="4"/>
  <c r="F226" i="4"/>
  <c r="E226" i="4"/>
  <c r="D226" i="4"/>
  <c r="B226" i="4"/>
  <c r="G225" i="4"/>
  <c r="F225" i="4"/>
  <c r="E225" i="4"/>
  <c r="D225" i="4"/>
  <c r="B225" i="4"/>
  <c r="G224" i="4"/>
  <c r="F224" i="4"/>
  <c r="E224" i="4"/>
  <c r="D224" i="4"/>
  <c r="B224" i="4"/>
  <c r="G223" i="4"/>
  <c r="F223" i="4"/>
  <c r="E223" i="4"/>
  <c r="D223" i="4"/>
  <c r="B223" i="4"/>
  <c r="G222" i="4"/>
  <c r="F222" i="4"/>
  <c r="E222" i="4"/>
  <c r="D222" i="4"/>
  <c r="B222" i="4"/>
  <c r="G221" i="4"/>
  <c r="F221" i="4"/>
  <c r="E221" i="4"/>
  <c r="D221" i="4"/>
  <c r="B221" i="4"/>
  <c r="G220" i="4"/>
  <c r="F220" i="4"/>
  <c r="E220" i="4"/>
  <c r="D220" i="4"/>
  <c r="B220" i="4"/>
  <c r="G219" i="4"/>
  <c r="F219" i="4"/>
  <c r="E219" i="4"/>
  <c r="D219" i="4"/>
  <c r="B219" i="4"/>
  <c r="G218" i="4"/>
  <c r="F218" i="4"/>
  <c r="E218" i="4"/>
  <c r="D218" i="4"/>
  <c r="B218" i="4"/>
  <c r="G217" i="4"/>
  <c r="F217" i="4"/>
  <c r="E217" i="4"/>
  <c r="D217" i="4"/>
  <c r="B217" i="4"/>
  <c r="G216" i="4"/>
  <c r="F216" i="4"/>
  <c r="E216" i="4"/>
  <c r="D216" i="4"/>
  <c r="B216" i="4"/>
  <c r="G215" i="4"/>
  <c r="F215" i="4"/>
  <c r="E215" i="4"/>
  <c r="D215" i="4"/>
  <c r="B215" i="4"/>
  <c r="G214" i="4"/>
  <c r="F214" i="4"/>
  <c r="E214" i="4"/>
  <c r="D214" i="4"/>
  <c r="B214" i="4"/>
  <c r="G213" i="4"/>
  <c r="F213" i="4"/>
  <c r="E213" i="4"/>
  <c r="D213" i="4"/>
  <c r="B213" i="4"/>
  <c r="G212" i="4"/>
  <c r="F212" i="4"/>
  <c r="E212" i="4"/>
  <c r="D212" i="4"/>
  <c r="B212" i="4"/>
  <c r="G211" i="4"/>
  <c r="F211" i="4"/>
  <c r="E211" i="4"/>
  <c r="D211" i="4"/>
  <c r="B211" i="4"/>
  <c r="G210" i="4"/>
  <c r="F210" i="4"/>
  <c r="E210" i="4"/>
  <c r="D210" i="4"/>
  <c r="B210" i="4"/>
  <c r="G209" i="4"/>
  <c r="F209" i="4"/>
  <c r="E209" i="4"/>
  <c r="D209" i="4"/>
  <c r="B209" i="4"/>
  <c r="G208" i="4"/>
  <c r="F208" i="4"/>
  <c r="E208" i="4"/>
  <c r="D208" i="4"/>
  <c r="B208" i="4"/>
  <c r="G207" i="4"/>
  <c r="F207" i="4"/>
  <c r="E207" i="4"/>
  <c r="D207" i="4"/>
  <c r="B207" i="4"/>
  <c r="G206" i="4"/>
  <c r="F206" i="4"/>
  <c r="E206" i="4"/>
  <c r="D206" i="4"/>
  <c r="B206" i="4"/>
  <c r="G205" i="4"/>
  <c r="F205" i="4"/>
  <c r="E205" i="4"/>
  <c r="D205" i="4"/>
  <c r="B205" i="4"/>
  <c r="G204" i="4"/>
  <c r="F204" i="4"/>
  <c r="E204" i="4"/>
  <c r="D204" i="4"/>
  <c r="B204" i="4"/>
  <c r="G203" i="4"/>
  <c r="F203" i="4"/>
  <c r="E203" i="4"/>
  <c r="D203" i="4"/>
  <c r="B203" i="4"/>
  <c r="G202" i="4"/>
  <c r="F202" i="4"/>
  <c r="E202" i="4"/>
  <c r="D202" i="4"/>
  <c r="B202" i="4"/>
  <c r="G201" i="4"/>
  <c r="F201" i="4"/>
  <c r="E201" i="4"/>
  <c r="D201" i="4"/>
  <c r="B201" i="4"/>
  <c r="G200" i="4"/>
  <c r="F200" i="4"/>
  <c r="E200" i="4"/>
  <c r="D200" i="4"/>
  <c r="B200" i="4"/>
  <c r="G199" i="4"/>
  <c r="F199" i="4"/>
  <c r="E199" i="4"/>
  <c r="D199" i="4"/>
  <c r="B199" i="4"/>
  <c r="G198" i="4"/>
  <c r="F198" i="4"/>
  <c r="E198" i="4"/>
  <c r="D198" i="4"/>
  <c r="B198" i="4"/>
  <c r="G197" i="4"/>
  <c r="F197" i="4"/>
  <c r="E197" i="4"/>
  <c r="D197" i="4"/>
  <c r="B197" i="4"/>
  <c r="G196" i="4"/>
  <c r="F196" i="4"/>
  <c r="E196" i="4"/>
  <c r="D196" i="4"/>
  <c r="B196" i="4"/>
  <c r="G195" i="4"/>
  <c r="F195" i="4"/>
  <c r="E195" i="4"/>
  <c r="D195" i="4"/>
  <c r="B195" i="4"/>
  <c r="G194" i="4"/>
  <c r="F194" i="4"/>
  <c r="E194" i="4"/>
  <c r="D194" i="4"/>
  <c r="B194" i="4"/>
  <c r="G193" i="4"/>
  <c r="F193" i="4"/>
  <c r="E193" i="4"/>
  <c r="D193" i="4"/>
  <c r="B193" i="4"/>
  <c r="G192" i="4"/>
  <c r="F192" i="4"/>
  <c r="E192" i="4"/>
  <c r="D192" i="4"/>
  <c r="B192" i="4"/>
  <c r="G191" i="4"/>
  <c r="F191" i="4"/>
  <c r="E191" i="4"/>
  <c r="D191" i="4"/>
  <c r="B191" i="4"/>
  <c r="G190" i="4"/>
  <c r="F190" i="4"/>
  <c r="E190" i="4"/>
  <c r="D190" i="4"/>
  <c r="B190" i="4"/>
  <c r="G189" i="4"/>
  <c r="F189" i="4"/>
  <c r="E189" i="4"/>
  <c r="D189" i="4"/>
  <c r="B189" i="4"/>
  <c r="G188" i="4"/>
  <c r="F188" i="4"/>
  <c r="E188" i="4"/>
  <c r="D188" i="4"/>
  <c r="B188" i="4"/>
  <c r="G187" i="4"/>
  <c r="F187" i="4"/>
  <c r="E187" i="4"/>
  <c r="D187" i="4"/>
  <c r="B187" i="4"/>
  <c r="G186" i="4"/>
  <c r="F186" i="4"/>
  <c r="E186" i="4"/>
  <c r="D186" i="4"/>
  <c r="B186" i="4"/>
  <c r="G185" i="4"/>
  <c r="F185" i="4"/>
  <c r="E185" i="4"/>
  <c r="D185" i="4"/>
  <c r="B185" i="4"/>
  <c r="G184" i="4"/>
  <c r="F184" i="4"/>
  <c r="E184" i="4"/>
  <c r="D184" i="4"/>
  <c r="B184" i="4"/>
  <c r="G183" i="4"/>
  <c r="F183" i="4"/>
  <c r="E183" i="4"/>
  <c r="D183" i="4"/>
  <c r="B183" i="4"/>
  <c r="G182" i="4"/>
  <c r="F182" i="4"/>
  <c r="E182" i="4"/>
  <c r="D182" i="4"/>
  <c r="B182" i="4"/>
  <c r="G181" i="4"/>
  <c r="F181" i="4"/>
  <c r="E181" i="4"/>
  <c r="D181" i="4"/>
  <c r="B181" i="4"/>
  <c r="G180" i="4"/>
  <c r="F180" i="4"/>
  <c r="E180" i="4"/>
  <c r="D180" i="4"/>
  <c r="B180" i="4"/>
  <c r="G179" i="4"/>
  <c r="F179" i="4"/>
  <c r="E179" i="4"/>
  <c r="D179" i="4"/>
  <c r="B179" i="4"/>
  <c r="G178" i="4"/>
  <c r="F178" i="4"/>
  <c r="E178" i="4"/>
  <c r="D178" i="4"/>
  <c r="B178" i="4"/>
  <c r="G177" i="4"/>
  <c r="F177" i="4"/>
  <c r="E177" i="4"/>
  <c r="D177" i="4"/>
  <c r="B177" i="4"/>
  <c r="G176" i="4"/>
  <c r="F176" i="4"/>
  <c r="E176" i="4"/>
  <c r="D176" i="4"/>
  <c r="B176" i="4"/>
  <c r="G175" i="4"/>
  <c r="F175" i="4"/>
  <c r="E175" i="4"/>
  <c r="D175" i="4"/>
  <c r="B175" i="4"/>
  <c r="G174" i="4"/>
  <c r="F174" i="4"/>
  <c r="E174" i="4"/>
  <c r="D174" i="4"/>
  <c r="B174" i="4"/>
  <c r="G173" i="4"/>
  <c r="F173" i="4"/>
  <c r="E173" i="4"/>
  <c r="D173" i="4"/>
  <c r="B173" i="4"/>
  <c r="G172" i="4"/>
  <c r="F172" i="4"/>
  <c r="E172" i="4"/>
  <c r="D172" i="4"/>
  <c r="B172" i="4"/>
  <c r="G171" i="4"/>
  <c r="F171" i="4"/>
  <c r="E171" i="4"/>
  <c r="D171" i="4"/>
  <c r="B171" i="4"/>
  <c r="G170" i="4"/>
  <c r="F170" i="4"/>
  <c r="E170" i="4"/>
  <c r="D170" i="4"/>
  <c r="B170" i="4"/>
  <c r="G169" i="4"/>
  <c r="F169" i="4"/>
  <c r="E169" i="4"/>
  <c r="D169" i="4"/>
  <c r="B169" i="4"/>
  <c r="G168" i="4"/>
  <c r="F168" i="4"/>
  <c r="E168" i="4"/>
  <c r="D168" i="4"/>
  <c r="B168" i="4"/>
  <c r="G167" i="4"/>
  <c r="F167" i="4"/>
  <c r="E167" i="4"/>
  <c r="D167" i="4"/>
  <c r="B167" i="4"/>
  <c r="G166" i="4"/>
  <c r="F166" i="4"/>
  <c r="E166" i="4"/>
  <c r="D166" i="4"/>
  <c r="B166" i="4"/>
  <c r="G165" i="4"/>
  <c r="F165" i="4"/>
  <c r="E165" i="4"/>
  <c r="D165" i="4"/>
  <c r="B165" i="4"/>
  <c r="G164" i="4"/>
  <c r="F164" i="4"/>
  <c r="E164" i="4"/>
  <c r="D164" i="4"/>
  <c r="B164" i="4"/>
  <c r="G163" i="4"/>
  <c r="F163" i="4"/>
  <c r="E163" i="4"/>
  <c r="D163" i="4"/>
  <c r="B163" i="4"/>
  <c r="G162" i="4"/>
  <c r="F162" i="4"/>
  <c r="E162" i="4"/>
  <c r="D162" i="4"/>
  <c r="B162" i="4"/>
  <c r="G161" i="4"/>
  <c r="F161" i="4"/>
  <c r="E161" i="4"/>
  <c r="D161" i="4"/>
  <c r="B161" i="4"/>
  <c r="G160" i="4"/>
  <c r="F160" i="4"/>
  <c r="E160" i="4"/>
  <c r="D160" i="4"/>
  <c r="B160" i="4"/>
  <c r="G159" i="4"/>
  <c r="F159" i="4"/>
  <c r="E159" i="4"/>
  <c r="D159" i="4"/>
  <c r="B159" i="4"/>
  <c r="G158" i="4"/>
  <c r="F158" i="4"/>
  <c r="E158" i="4"/>
  <c r="D158" i="4"/>
  <c r="B158" i="4"/>
  <c r="G157" i="4"/>
  <c r="F157" i="4"/>
  <c r="E157" i="4"/>
  <c r="D157" i="4"/>
  <c r="B157" i="4"/>
  <c r="G156" i="4"/>
  <c r="F156" i="4"/>
  <c r="E156" i="4"/>
  <c r="D156" i="4"/>
  <c r="B156" i="4"/>
  <c r="G155" i="4"/>
  <c r="F155" i="4"/>
  <c r="E155" i="4"/>
  <c r="D155" i="4"/>
  <c r="B155" i="4"/>
  <c r="G154" i="4"/>
  <c r="F154" i="4"/>
  <c r="E154" i="4"/>
  <c r="D154" i="4"/>
  <c r="B154" i="4"/>
  <c r="G153" i="4"/>
  <c r="F153" i="4"/>
  <c r="E153" i="4"/>
  <c r="D153" i="4"/>
  <c r="B153" i="4"/>
  <c r="G152" i="4"/>
  <c r="F152" i="4"/>
  <c r="E152" i="4"/>
  <c r="D152" i="4"/>
  <c r="B152" i="4"/>
  <c r="G151" i="4"/>
  <c r="F151" i="4"/>
  <c r="E151" i="4"/>
  <c r="D151" i="4"/>
  <c r="B151" i="4"/>
  <c r="G150" i="4"/>
  <c r="F150" i="4"/>
  <c r="E150" i="4"/>
  <c r="D150" i="4"/>
  <c r="B150" i="4"/>
  <c r="G149" i="4"/>
  <c r="F149" i="4"/>
  <c r="E149" i="4"/>
  <c r="D149" i="4"/>
  <c r="B149" i="4"/>
  <c r="G148" i="4"/>
  <c r="F148" i="4"/>
  <c r="E148" i="4"/>
  <c r="D148" i="4"/>
  <c r="B148" i="4"/>
  <c r="G147" i="4"/>
  <c r="F147" i="4"/>
  <c r="E147" i="4"/>
  <c r="D147" i="4"/>
  <c r="B147" i="4"/>
  <c r="G146" i="4"/>
  <c r="F146" i="4"/>
  <c r="E146" i="4"/>
  <c r="D146" i="4"/>
  <c r="B146" i="4"/>
  <c r="G145" i="4"/>
  <c r="F145" i="4"/>
  <c r="E145" i="4"/>
  <c r="D145" i="4"/>
  <c r="B145" i="4"/>
  <c r="G144" i="4"/>
  <c r="F144" i="4"/>
  <c r="E144" i="4"/>
  <c r="D144" i="4"/>
  <c r="B144" i="4"/>
  <c r="G143" i="4"/>
  <c r="F143" i="4"/>
  <c r="E143" i="4"/>
  <c r="D143" i="4"/>
  <c r="B143" i="4"/>
  <c r="G142" i="4"/>
  <c r="F142" i="4"/>
  <c r="E142" i="4"/>
  <c r="D142" i="4"/>
  <c r="B142" i="4"/>
  <c r="G141" i="4"/>
  <c r="F141" i="4"/>
  <c r="E141" i="4"/>
  <c r="D141" i="4"/>
  <c r="B141" i="4"/>
  <c r="G140" i="4"/>
  <c r="F140" i="4"/>
  <c r="E140" i="4"/>
  <c r="D140" i="4"/>
  <c r="B140" i="4"/>
  <c r="G139" i="4"/>
  <c r="F139" i="4"/>
  <c r="E139" i="4"/>
  <c r="D139" i="4"/>
  <c r="B139" i="4"/>
  <c r="G138" i="4"/>
  <c r="F138" i="4"/>
  <c r="E138" i="4"/>
  <c r="D138" i="4"/>
  <c r="B138" i="4"/>
  <c r="G137" i="4"/>
  <c r="F137" i="4"/>
  <c r="E137" i="4"/>
  <c r="D137" i="4"/>
  <c r="B137" i="4"/>
  <c r="G136" i="4"/>
  <c r="F136" i="4"/>
  <c r="E136" i="4"/>
  <c r="D136" i="4"/>
  <c r="B136" i="4"/>
  <c r="G135" i="4"/>
  <c r="F135" i="4"/>
  <c r="E135" i="4"/>
  <c r="D135" i="4"/>
  <c r="B135" i="4"/>
  <c r="G134" i="4"/>
  <c r="F134" i="4"/>
  <c r="E134" i="4"/>
  <c r="D134" i="4"/>
  <c r="B134" i="4"/>
  <c r="G133" i="4"/>
  <c r="F133" i="4"/>
  <c r="E133" i="4"/>
  <c r="D133" i="4"/>
  <c r="B133" i="4"/>
  <c r="G132" i="4"/>
  <c r="F132" i="4"/>
  <c r="E132" i="4"/>
  <c r="D132" i="4"/>
  <c r="B132" i="4"/>
  <c r="G131" i="4"/>
  <c r="F131" i="4"/>
  <c r="E131" i="4"/>
  <c r="D131" i="4"/>
  <c r="B131" i="4"/>
  <c r="G130" i="4"/>
  <c r="F130" i="4"/>
  <c r="E130" i="4"/>
  <c r="D130" i="4"/>
  <c r="B130" i="4"/>
  <c r="G129" i="4"/>
  <c r="F129" i="4"/>
  <c r="E129" i="4"/>
  <c r="D129" i="4"/>
  <c r="B129" i="4"/>
  <c r="G128" i="4"/>
  <c r="F128" i="4"/>
  <c r="E128" i="4"/>
  <c r="D128" i="4"/>
  <c r="B128" i="4"/>
  <c r="G127" i="4"/>
  <c r="F127" i="4"/>
  <c r="E127" i="4"/>
  <c r="D127" i="4"/>
  <c r="B127" i="4"/>
  <c r="G126" i="4"/>
  <c r="F126" i="4"/>
  <c r="E126" i="4"/>
  <c r="D126" i="4"/>
  <c r="B126" i="4"/>
  <c r="G125" i="4"/>
  <c r="F125" i="4"/>
  <c r="E125" i="4"/>
  <c r="D125" i="4"/>
  <c r="B125" i="4"/>
  <c r="G124" i="4"/>
  <c r="F124" i="4"/>
  <c r="E124" i="4"/>
  <c r="D124" i="4"/>
  <c r="B124" i="4"/>
  <c r="G123" i="4"/>
  <c r="F123" i="4"/>
  <c r="E123" i="4"/>
  <c r="D123" i="4"/>
  <c r="B123" i="4"/>
  <c r="G122" i="4"/>
  <c r="F122" i="4"/>
  <c r="E122" i="4"/>
  <c r="D122" i="4"/>
  <c r="B122" i="4"/>
  <c r="G121" i="4"/>
  <c r="F121" i="4"/>
  <c r="E121" i="4"/>
  <c r="D121" i="4"/>
  <c r="B121" i="4"/>
  <c r="G120" i="4"/>
  <c r="F120" i="4"/>
  <c r="E120" i="4"/>
  <c r="D120" i="4"/>
  <c r="B120" i="4"/>
  <c r="G119" i="4"/>
  <c r="F119" i="4"/>
  <c r="E119" i="4"/>
  <c r="D119" i="4"/>
  <c r="B119" i="4"/>
  <c r="G118" i="4"/>
  <c r="F118" i="4"/>
  <c r="E118" i="4"/>
  <c r="D118" i="4"/>
  <c r="B118" i="4"/>
  <c r="G117" i="4"/>
  <c r="F117" i="4"/>
  <c r="E117" i="4"/>
  <c r="D117" i="4"/>
  <c r="B117" i="4"/>
  <c r="G116" i="4"/>
  <c r="F116" i="4"/>
  <c r="E116" i="4"/>
  <c r="D116" i="4"/>
  <c r="B116" i="4"/>
  <c r="G115" i="4"/>
  <c r="F115" i="4"/>
  <c r="E115" i="4"/>
  <c r="D115" i="4"/>
  <c r="B115" i="4"/>
  <c r="G114" i="4"/>
  <c r="F114" i="4"/>
  <c r="E114" i="4"/>
  <c r="D114" i="4"/>
  <c r="B114" i="4"/>
  <c r="G113" i="4"/>
  <c r="F113" i="4"/>
  <c r="E113" i="4"/>
  <c r="D113" i="4"/>
  <c r="B113" i="4"/>
  <c r="G112" i="4"/>
  <c r="F112" i="4"/>
  <c r="E112" i="4"/>
  <c r="D112" i="4"/>
  <c r="B112" i="4"/>
  <c r="G111" i="4"/>
  <c r="F111" i="4"/>
  <c r="E111" i="4"/>
  <c r="D111" i="4"/>
  <c r="B111" i="4"/>
  <c r="G110" i="4"/>
  <c r="F110" i="4"/>
  <c r="E110" i="4"/>
  <c r="D110" i="4"/>
  <c r="B110" i="4"/>
  <c r="G109" i="4"/>
  <c r="F109" i="4"/>
  <c r="E109" i="4"/>
  <c r="D109" i="4"/>
  <c r="B109" i="4"/>
  <c r="G108" i="4"/>
  <c r="F108" i="4"/>
  <c r="E108" i="4"/>
  <c r="D108" i="4"/>
  <c r="B108" i="4"/>
  <c r="G107" i="4"/>
  <c r="F107" i="4"/>
  <c r="E107" i="4"/>
  <c r="D107" i="4"/>
  <c r="B107" i="4"/>
  <c r="G106" i="4"/>
  <c r="F106" i="4"/>
  <c r="E106" i="4"/>
  <c r="D106" i="4"/>
  <c r="B106" i="4"/>
  <c r="G105" i="4"/>
  <c r="F105" i="4"/>
  <c r="E105" i="4"/>
  <c r="D105" i="4"/>
  <c r="B105" i="4"/>
  <c r="G104" i="4"/>
  <c r="F104" i="4"/>
  <c r="E104" i="4"/>
  <c r="D104" i="4"/>
  <c r="B104" i="4"/>
  <c r="G103" i="4"/>
  <c r="F103" i="4"/>
  <c r="E103" i="4"/>
  <c r="D103" i="4"/>
  <c r="B103" i="4"/>
  <c r="G102" i="4"/>
  <c r="F102" i="4"/>
  <c r="E102" i="4"/>
  <c r="D102" i="4"/>
  <c r="B102" i="4"/>
  <c r="G101" i="4"/>
  <c r="F101" i="4"/>
  <c r="E101" i="4"/>
  <c r="D101" i="4"/>
  <c r="B101" i="4"/>
  <c r="G100" i="4"/>
  <c r="F100" i="4"/>
  <c r="E100" i="4"/>
  <c r="D100" i="4"/>
  <c r="B100" i="4"/>
  <c r="G99" i="4"/>
  <c r="F99" i="4"/>
  <c r="E99" i="4"/>
  <c r="D99" i="4"/>
  <c r="B99" i="4"/>
  <c r="G98" i="4"/>
  <c r="F98" i="4"/>
  <c r="E98" i="4"/>
  <c r="D98" i="4"/>
  <c r="B98" i="4"/>
  <c r="G97" i="4"/>
  <c r="F97" i="4"/>
  <c r="E97" i="4"/>
  <c r="D97" i="4"/>
  <c r="B97" i="4"/>
  <c r="G96" i="4"/>
  <c r="F96" i="4"/>
  <c r="E96" i="4"/>
  <c r="D96" i="4"/>
  <c r="B96" i="4"/>
  <c r="G95" i="4"/>
  <c r="F95" i="4"/>
  <c r="E95" i="4"/>
  <c r="D95" i="4"/>
  <c r="B95" i="4"/>
  <c r="G94" i="4"/>
  <c r="F94" i="4"/>
  <c r="E94" i="4"/>
  <c r="D94" i="4"/>
  <c r="B94" i="4"/>
  <c r="G93" i="4"/>
  <c r="F93" i="4"/>
  <c r="E93" i="4"/>
  <c r="D93" i="4"/>
  <c r="B93" i="4"/>
  <c r="G92" i="4"/>
  <c r="F92" i="4"/>
  <c r="E92" i="4"/>
  <c r="D92" i="4"/>
  <c r="B92" i="4"/>
  <c r="G91" i="4"/>
  <c r="F91" i="4"/>
  <c r="E91" i="4"/>
  <c r="D91" i="4"/>
  <c r="B91" i="4"/>
  <c r="G90" i="4"/>
  <c r="F90" i="4"/>
  <c r="E90" i="4"/>
  <c r="D90" i="4"/>
  <c r="B90" i="4"/>
  <c r="G89" i="4"/>
  <c r="F89" i="4"/>
  <c r="E89" i="4"/>
  <c r="D89" i="4"/>
  <c r="B89" i="4"/>
  <c r="G88" i="4"/>
  <c r="F88" i="4"/>
  <c r="E88" i="4"/>
  <c r="D88" i="4"/>
  <c r="B88" i="4"/>
  <c r="G87" i="4"/>
  <c r="F87" i="4"/>
  <c r="E87" i="4"/>
  <c r="D87" i="4"/>
  <c r="B87" i="4"/>
  <c r="G86" i="4"/>
  <c r="F86" i="4"/>
  <c r="E86" i="4"/>
  <c r="D86" i="4"/>
  <c r="B86" i="4"/>
  <c r="G85" i="4"/>
  <c r="F85" i="4"/>
  <c r="E85" i="4"/>
  <c r="D85" i="4"/>
  <c r="B85" i="4"/>
  <c r="G84" i="4"/>
  <c r="F84" i="4"/>
  <c r="E84" i="4"/>
  <c r="D84" i="4"/>
  <c r="B84" i="4"/>
  <c r="G83" i="4"/>
  <c r="F83" i="4"/>
  <c r="E83" i="4"/>
  <c r="D83" i="4"/>
  <c r="B83" i="4"/>
  <c r="G82" i="4"/>
  <c r="F82" i="4"/>
  <c r="E82" i="4"/>
  <c r="D82" i="4"/>
  <c r="B82" i="4"/>
  <c r="G81" i="4"/>
  <c r="F81" i="4"/>
  <c r="E81" i="4"/>
  <c r="D81" i="4"/>
  <c r="B81" i="4"/>
  <c r="G80" i="4"/>
  <c r="F80" i="4"/>
  <c r="E80" i="4"/>
  <c r="D80" i="4"/>
  <c r="B80" i="4"/>
  <c r="G79" i="4"/>
  <c r="F79" i="4"/>
  <c r="E79" i="4"/>
  <c r="D79" i="4"/>
  <c r="B79" i="4"/>
  <c r="G78" i="4"/>
  <c r="F78" i="4"/>
  <c r="E78" i="4"/>
  <c r="D78" i="4"/>
  <c r="B78" i="4"/>
  <c r="G77" i="4"/>
  <c r="F77" i="4"/>
  <c r="E77" i="4"/>
  <c r="D77" i="4"/>
  <c r="B77" i="4"/>
  <c r="G76" i="4"/>
  <c r="F76" i="4"/>
  <c r="E76" i="4"/>
  <c r="D76" i="4"/>
  <c r="B76" i="4"/>
  <c r="G75" i="4"/>
  <c r="F75" i="4"/>
  <c r="E75" i="4"/>
  <c r="D75" i="4"/>
  <c r="B75" i="4"/>
  <c r="G74" i="4"/>
  <c r="F74" i="4"/>
  <c r="E74" i="4"/>
  <c r="D74" i="4"/>
  <c r="B74" i="4"/>
  <c r="G73" i="4"/>
  <c r="F73" i="4"/>
  <c r="E73" i="4"/>
  <c r="D73" i="4"/>
  <c r="B73" i="4"/>
  <c r="G72" i="4"/>
  <c r="F72" i="4"/>
  <c r="E72" i="4"/>
  <c r="D72" i="4"/>
  <c r="B72" i="4"/>
  <c r="G71" i="4"/>
  <c r="F71" i="4"/>
  <c r="E71" i="4"/>
  <c r="D71" i="4"/>
  <c r="B71" i="4"/>
  <c r="G70" i="4"/>
  <c r="F70" i="4"/>
  <c r="E70" i="4"/>
  <c r="D70" i="4"/>
  <c r="B70" i="4"/>
  <c r="G69" i="4"/>
  <c r="F69" i="4"/>
  <c r="E69" i="4"/>
  <c r="D69" i="4"/>
  <c r="B69" i="4"/>
  <c r="G68" i="4"/>
  <c r="F68" i="4"/>
  <c r="E68" i="4"/>
  <c r="D68" i="4"/>
  <c r="B68" i="4"/>
  <c r="G67" i="4"/>
  <c r="F67" i="4"/>
  <c r="E67" i="4"/>
  <c r="D67" i="4"/>
  <c r="B67" i="4"/>
  <c r="G66" i="4"/>
  <c r="F66" i="4"/>
  <c r="E66" i="4"/>
  <c r="D66" i="4"/>
  <c r="B66" i="4"/>
  <c r="G65" i="4"/>
  <c r="F65" i="4"/>
  <c r="E65" i="4"/>
  <c r="D65" i="4"/>
  <c r="B65" i="4"/>
  <c r="G64" i="4"/>
  <c r="F64" i="4"/>
  <c r="E64" i="4"/>
  <c r="D64" i="4"/>
  <c r="B64" i="4"/>
  <c r="G63" i="4"/>
  <c r="F63" i="4"/>
  <c r="E63" i="4"/>
  <c r="D63" i="4"/>
  <c r="B63" i="4"/>
  <c r="G62" i="4"/>
  <c r="F62" i="4"/>
  <c r="E62" i="4"/>
  <c r="D62" i="4"/>
  <c r="B62" i="4"/>
  <c r="G61" i="4"/>
  <c r="F61" i="4"/>
  <c r="E61" i="4"/>
  <c r="D61" i="4"/>
  <c r="B61" i="4"/>
  <c r="G60" i="4"/>
  <c r="F60" i="4"/>
  <c r="E60" i="4"/>
  <c r="D60" i="4"/>
  <c r="B60" i="4"/>
  <c r="G59" i="4"/>
  <c r="F59" i="4"/>
  <c r="E59" i="4"/>
  <c r="D59" i="4"/>
  <c r="B59" i="4"/>
  <c r="G58" i="4"/>
  <c r="F58" i="4"/>
  <c r="E58" i="4"/>
  <c r="D58" i="4"/>
  <c r="B58" i="4"/>
  <c r="G57" i="4"/>
  <c r="F57" i="4"/>
  <c r="E57" i="4"/>
  <c r="D57" i="4"/>
  <c r="B57" i="4"/>
  <c r="G56" i="4"/>
  <c r="F56" i="4"/>
  <c r="E56" i="4"/>
  <c r="D56" i="4"/>
  <c r="B56" i="4"/>
  <c r="G55" i="4"/>
  <c r="F55" i="4"/>
  <c r="E55" i="4"/>
  <c r="D55" i="4"/>
  <c r="B55" i="4"/>
  <c r="G54" i="4"/>
  <c r="F54" i="4"/>
  <c r="E54" i="4"/>
  <c r="D54" i="4"/>
  <c r="B54" i="4"/>
  <c r="G53" i="4"/>
  <c r="F53" i="4"/>
  <c r="E53" i="4"/>
  <c r="D53" i="4"/>
  <c r="B53" i="4"/>
  <c r="G52" i="4"/>
  <c r="F52" i="4"/>
  <c r="E52" i="4"/>
  <c r="D52" i="4"/>
  <c r="B52" i="4"/>
  <c r="G51" i="4"/>
  <c r="F51" i="4"/>
  <c r="E51" i="4"/>
  <c r="D51" i="4"/>
  <c r="B51" i="4"/>
  <c r="G50" i="4"/>
  <c r="F50" i="4"/>
  <c r="E50" i="4"/>
  <c r="D50" i="4"/>
  <c r="B50" i="4"/>
  <c r="G49" i="4"/>
  <c r="F49" i="4"/>
  <c r="E49" i="4"/>
  <c r="D49" i="4"/>
  <c r="B49" i="4"/>
  <c r="G48" i="4"/>
  <c r="F48" i="4"/>
  <c r="E48" i="4"/>
  <c r="D48" i="4"/>
  <c r="B48" i="4"/>
  <c r="G47" i="4"/>
  <c r="F47" i="4"/>
  <c r="E47" i="4"/>
  <c r="D47" i="4"/>
  <c r="B47" i="4"/>
  <c r="G46" i="4"/>
  <c r="F46" i="4"/>
  <c r="E46" i="4"/>
  <c r="D46" i="4"/>
  <c r="B46" i="4"/>
  <c r="G45" i="4"/>
  <c r="F45" i="4"/>
  <c r="E45" i="4"/>
  <c r="D45" i="4"/>
  <c r="B45" i="4"/>
  <c r="G44" i="4"/>
  <c r="F44" i="4"/>
  <c r="E44" i="4"/>
  <c r="D44" i="4"/>
  <c r="B44" i="4"/>
  <c r="G43" i="4"/>
  <c r="F43" i="4"/>
  <c r="E43" i="4"/>
  <c r="D43" i="4"/>
  <c r="B43" i="4"/>
  <c r="G42" i="4"/>
  <c r="F42" i="4"/>
  <c r="E42" i="4"/>
  <c r="D42" i="4"/>
  <c r="B42" i="4"/>
  <c r="G41" i="4"/>
  <c r="F41" i="4"/>
  <c r="E41" i="4"/>
  <c r="D41" i="4"/>
  <c r="B41" i="4"/>
  <c r="G40" i="4"/>
  <c r="F40" i="4"/>
  <c r="E40" i="4"/>
  <c r="D40" i="4"/>
  <c r="B40" i="4"/>
  <c r="G39" i="4"/>
  <c r="F39" i="4"/>
  <c r="E39" i="4"/>
  <c r="D39" i="4"/>
  <c r="B39" i="4"/>
  <c r="G38" i="4"/>
  <c r="F38" i="4"/>
  <c r="E38" i="4"/>
  <c r="D38" i="4"/>
  <c r="B38" i="4"/>
  <c r="G37" i="4"/>
  <c r="F37" i="4"/>
  <c r="E37" i="4"/>
  <c r="D37" i="4"/>
  <c r="B37" i="4"/>
  <c r="G36" i="4"/>
  <c r="F36" i="4"/>
  <c r="E36" i="4"/>
  <c r="D36" i="4"/>
  <c r="B36" i="4"/>
  <c r="G35" i="4"/>
  <c r="F35" i="4"/>
  <c r="E35" i="4"/>
  <c r="D35" i="4"/>
  <c r="B35" i="4"/>
  <c r="G34" i="4"/>
  <c r="F34" i="4"/>
  <c r="E34" i="4"/>
  <c r="D34" i="4"/>
  <c r="B34" i="4"/>
  <c r="G33" i="4"/>
  <c r="F33" i="4"/>
  <c r="E33" i="4"/>
  <c r="D33" i="4"/>
  <c r="B33" i="4"/>
  <c r="G32" i="4"/>
  <c r="F32" i="4"/>
  <c r="E32" i="4"/>
  <c r="D32" i="4"/>
  <c r="B32" i="4"/>
  <c r="G31" i="4"/>
  <c r="F31" i="4"/>
  <c r="E31" i="4"/>
  <c r="D31" i="4"/>
  <c r="B31" i="4"/>
  <c r="G30" i="4"/>
  <c r="F30" i="4"/>
  <c r="E30" i="4"/>
  <c r="D30" i="4"/>
  <c r="B30" i="4"/>
  <c r="G29" i="4"/>
  <c r="F29" i="4"/>
  <c r="E29" i="4"/>
  <c r="D29" i="4"/>
  <c r="B29" i="4"/>
  <c r="G28" i="4"/>
  <c r="F28" i="4"/>
  <c r="E28" i="4"/>
  <c r="D28" i="4"/>
  <c r="B28" i="4"/>
  <c r="G27" i="4"/>
  <c r="F27" i="4"/>
  <c r="E27" i="4"/>
  <c r="D27" i="4"/>
  <c r="B27" i="4"/>
  <c r="G26" i="4"/>
  <c r="F26" i="4"/>
  <c r="E26" i="4"/>
  <c r="D26" i="4"/>
  <c r="B26" i="4"/>
  <c r="G25" i="4"/>
  <c r="F25" i="4"/>
  <c r="E25" i="4"/>
  <c r="D25" i="4"/>
  <c r="B25" i="4"/>
  <c r="G24" i="4"/>
  <c r="F24" i="4"/>
  <c r="E24" i="4"/>
  <c r="D24" i="4"/>
  <c r="B24" i="4"/>
  <c r="G23" i="4"/>
  <c r="F23" i="4"/>
  <c r="E23" i="4"/>
  <c r="D23" i="4"/>
  <c r="B23" i="4"/>
  <c r="G22" i="4"/>
  <c r="F22" i="4"/>
  <c r="E22" i="4"/>
  <c r="D22" i="4"/>
  <c r="B22" i="4"/>
  <c r="G21" i="4"/>
  <c r="F21" i="4"/>
  <c r="E21" i="4"/>
  <c r="D21" i="4"/>
  <c r="B21" i="4"/>
  <c r="G20" i="4"/>
  <c r="F20" i="4"/>
  <c r="E20" i="4"/>
  <c r="D20" i="4"/>
  <c r="B20" i="4"/>
  <c r="G19" i="4"/>
  <c r="F19" i="4"/>
  <c r="E19" i="4"/>
  <c r="D19" i="4"/>
  <c r="B19" i="4"/>
  <c r="G18" i="4"/>
  <c r="F18" i="4"/>
  <c r="E18" i="4"/>
  <c r="D18" i="4"/>
  <c r="B18" i="4"/>
  <c r="G17" i="4"/>
  <c r="F17" i="4"/>
  <c r="E17" i="4"/>
  <c r="D17" i="4"/>
  <c r="B17" i="4"/>
  <c r="G16" i="4"/>
  <c r="F16" i="4"/>
  <c r="E16" i="4"/>
  <c r="D16" i="4"/>
  <c r="B16" i="4"/>
  <c r="G15" i="4"/>
  <c r="F15" i="4"/>
  <c r="E15" i="4"/>
  <c r="D15" i="4"/>
  <c r="B15" i="4"/>
  <c r="G14" i="4"/>
  <c r="F14" i="4"/>
  <c r="E14" i="4"/>
  <c r="D14" i="4"/>
  <c r="B14" i="4"/>
  <c r="G13" i="4"/>
  <c r="F13" i="4"/>
  <c r="E13" i="4"/>
  <c r="D13" i="4"/>
  <c r="B13" i="4"/>
  <c r="G12" i="4"/>
  <c r="F12" i="4"/>
  <c r="E12" i="4"/>
  <c r="D12" i="4"/>
  <c r="B12" i="4"/>
  <c r="G11" i="4"/>
  <c r="F11" i="4"/>
  <c r="E11" i="4"/>
  <c r="D11" i="4"/>
  <c r="B11" i="4"/>
  <c r="G10" i="4"/>
  <c r="F10" i="4"/>
  <c r="E10" i="4"/>
  <c r="D10" i="4"/>
  <c r="B10" i="4"/>
  <c r="G9" i="4"/>
  <c r="F9" i="4"/>
  <c r="E9" i="4"/>
  <c r="D9" i="4"/>
  <c r="B9" i="4"/>
  <c r="G8" i="4"/>
  <c r="F8" i="4"/>
  <c r="E8" i="4"/>
  <c r="D8" i="4"/>
  <c r="B8" i="4"/>
  <c r="G7" i="4"/>
  <c r="F7" i="4"/>
  <c r="E7" i="4"/>
  <c r="D7" i="4"/>
  <c r="B7" i="4"/>
  <c r="G6" i="4"/>
  <c r="F6" i="4"/>
  <c r="E6" i="4"/>
  <c r="D6" i="4"/>
  <c r="B6" i="4"/>
  <c r="G5" i="4"/>
  <c r="F5" i="4"/>
  <c r="E5" i="4"/>
  <c r="D5" i="4"/>
  <c r="B5" i="4"/>
  <c r="G4" i="4"/>
  <c r="F4" i="4"/>
  <c r="E4" i="4"/>
  <c r="D4" i="4"/>
  <c r="B4" i="4"/>
  <c r="G3" i="4"/>
  <c r="F3" i="4"/>
  <c r="E3" i="4"/>
  <c r="D3" i="4"/>
  <c r="B3" i="4"/>
  <c r="G2" i="4"/>
  <c r="F2" i="4"/>
  <c r="E2" i="4"/>
  <c r="D2" i="4"/>
  <c r="B2" i="4"/>
  <c r="I4459" i="1"/>
  <c r="I3646" i="1"/>
  <c r="I3447" i="1"/>
  <c r="I3346" i="1"/>
  <c r="I3281" i="1"/>
  <c r="I3226" i="1"/>
  <c r="I2815" i="1"/>
  <c r="I2795" i="1"/>
  <c r="I2771" i="1"/>
  <c r="I2746" i="1"/>
  <c r="I2743" i="1"/>
  <c r="I2625" i="1"/>
  <c r="I2610" i="1"/>
  <c r="I2190" i="1"/>
  <c r="I2137" i="1"/>
  <c r="I2099" i="1"/>
  <c r="I1903" i="1"/>
  <c r="I1862" i="1"/>
  <c r="I1720" i="1"/>
  <c r="I1688" i="1"/>
  <c r="I1687" i="1"/>
  <c r="I1592" i="1"/>
  <c r="I1591" i="1"/>
  <c r="I1564" i="1"/>
  <c r="I1557" i="1"/>
  <c r="I1549" i="1"/>
  <c r="I1466" i="1"/>
  <c r="I1377" i="1"/>
  <c r="I1364" i="1"/>
  <c r="I1325" i="1"/>
  <c r="I1299" i="1"/>
  <c r="I1212" i="1"/>
  <c r="I1101" i="1"/>
  <c r="I939" i="1"/>
  <c r="I909" i="1"/>
  <c r="I887" i="1"/>
  <c r="I711" i="1"/>
  <c r="I674" i="1"/>
  <c r="I495" i="1"/>
  <c r="I388" i="1"/>
  <c r="I367" i="1"/>
  <c r="I321" i="1"/>
  <c r="I320" i="1"/>
  <c r="I319" i="1"/>
  <c r="I317" i="1"/>
  <c r="I316" i="1"/>
  <c r="J2" i="1" a="1"/>
  <c r="J2" i="1" s="1"/>
  <c r="K2" i="1" l="1"/>
  <c r="K3" i="1" a="1"/>
  <c r="K3" i="1" s="1"/>
  <c r="M2" i="1" a="1"/>
  <c r="M2" i="1" s="1"/>
  <c r="K1" i="2" a="1"/>
  <c r="K1" i="2" s="1"/>
  <c r="L2" i="1"/>
</calcChain>
</file>

<file path=xl/comments1.xml><?xml version="1.0" encoding="utf-8"?>
<comments xmlns="http://schemas.openxmlformats.org/spreadsheetml/2006/main">
  <authors>
    <author>Schans, Martin van der</author>
  </authors>
  <commentList>
    <comment ref="B5" authorId="0" shapeId="0">
      <text>
        <r>
          <rPr>
            <sz val="11"/>
            <color theme="1"/>
            <rFont val="Calibri"/>
            <family val="2"/>
            <scheme val="minor"/>
          </rPr>
          <t>Used by hgc.ner to generate a list of unwantes strings that are sometimes combined with the units</t>
        </r>
      </text>
    </comment>
    <comment ref="E6" authorId="0" shapeId="0">
      <text>
        <r>
          <rPr>
            <sz val="11"/>
            <color theme="1"/>
            <rFont val="Calibri"/>
            <family val="2"/>
            <scheme val="minor"/>
          </rPr>
          <t>not yet part of HGC</t>
        </r>
      </text>
    </comment>
    <comment ref="E7" authorId="0" shapeId="0">
      <text>
        <r>
          <rPr>
            <sz val="11"/>
            <color theme="1"/>
            <rFont val="Calibri"/>
            <family val="2"/>
            <scheme val="minor"/>
          </rPr>
          <t>not yet part of HGC</t>
        </r>
      </text>
    </comment>
    <comment ref="E27" authorId="0" shapeId="0">
      <text>
        <r>
          <rPr>
            <sz val="11"/>
            <color theme="1"/>
            <rFont val="Calibri"/>
            <family val="2"/>
            <scheme val="minor"/>
          </rPr>
          <t>not yet part of HGC</t>
        </r>
      </text>
    </comment>
    <comment ref="E28" authorId="0" shapeId="0">
      <text>
        <r>
          <rPr>
            <sz val="11"/>
            <color theme="1"/>
            <rFont val="Calibri"/>
            <family val="2"/>
            <scheme val="minor"/>
          </rPr>
          <t>not yet part of HGC</t>
        </r>
      </text>
    </comment>
    <comment ref="E33" authorId="0" shapeId="0">
      <text>
        <r>
          <rPr>
            <sz val="11"/>
            <color theme="1"/>
            <rFont val="Calibri"/>
            <family val="2"/>
            <scheme val="minor"/>
          </rPr>
          <t>not yet part of HGC</t>
        </r>
      </text>
    </comment>
    <comment ref="E34" authorId="0" shapeId="0">
      <text>
        <r>
          <rPr>
            <sz val="11"/>
            <color theme="1"/>
            <rFont val="Calibri"/>
            <family val="2"/>
            <scheme val="minor"/>
          </rPr>
          <t>not yet part of HGC</t>
        </r>
      </text>
    </comment>
    <comment ref="E40" authorId="0" shapeId="0">
      <text>
        <r>
          <rPr>
            <sz val="11"/>
            <color theme="1"/>
            <rFont val="Calibri"/>
            <family val="2"/>
            <scheme val="minor"/>
          </rPr>
          <t>not yet part of HGC</t>
        </r>
      </text>
    </comment>
    <comment ref="E42" authorId="0" shapeId="0">
      <text>
        <r>
          <rPr>
            <sz val="11"/>
            <color theme="1"/>
            <rFont val="Calibri"/>
            <family val="2"/>
            <scheme val="minor"/>
          </rPr>
          <t>not yet part of HGC</t>
        </r>
      </text>
    </comment>
    <comment ref="E47" authorId="0" shapeId="0">
      <text>
        <r>
          <rPr>
            <sz val="11"/>
            <color theme="1"/>
            <rFont val="Calibri"/>
            <family val="2"/>
            <scheme val="minor"/>
          </rPr>
          <t>not yet part of HGC</t>
        </r>
      </text>
    </comment>
    <comment ref="A56" authorId="0" shapeId="0">
      <text>
        <r>
          <rPr>
            <sz val="11"/>
            <color theme="1"/>
            <rFont val="Calibri"/>
            <family val="2"/>
            <scheme val="minor"/>
          </rPr>
          <t>Definition of units by HGC cannot be handled by NER</t>
        </r>
      </text>
    </comment>
    <comment ref="A57" authorId="0" shapeId="0">
      <text>
        <r>
          <rPr>
            <sz val="11"/>
            <color theme="1"/>
            <rFont val="Calibri"/>
            <family val="2"/>
            <scheme val="minor"/>
          </rPr>
          <t>Definition of units by HGC cannot be handled by NER</t>
        </r>
      </text>
    </comment>
    <comment ref="A58" authorId="0" shapeId="0">
      <text>
        <r>
          <rPr>
            <sz val="11"/>
            <color theme="1"/>
            <rFont val="Calibri"/>
            <family val="2"/>
            <scheme val="minor"/>
          </rPr>
          <t>Definition of units by HGC cannot be handled by NER</t>
        </r>
      </text>
    </comment>
    <comment ref="E64" authorId="0" shapeId="0">
      <text>
        <r>
          <rPr>
            <sz val="11"/>
            <color theme="1"/>
            <rFont val="Calibri"/>
            <family val="2"/>
            <scheme val="minor"/>
          </rPr>
          <t>not yet part of HGC</t>
        </r>
      </text>
    </comment>
    <comment ref="A71" authorId="0" shapeId="0">
      <text>
        <r>
          <rPr>
            <sz val="11"/>
            <color theme="1"/>
            <rFont val="Calibri"/>
            <family val="2"/>
            <scheme val="minor"/>
          </rPr>
          <t>Definition of units by HGC cannot be handled by NER</t>
        </r>
      </text>
    </comment>
    <comment ref="A72" authorId="0" shapeId="0">
      <text>
        <r>
          <rPr>
            <sz val="11"/>
            <color theme="1"/>
            <rFont val="Calibri"/>
            <family val="2"/>
            <scheme val="minor"/>
          </rPr>
          <t>Definition of units by HGC cannot be handled by NER</t>
        </r>
      </text>
    </comment>
    <comment ref="A73" authorId="0" shapeId="0">
      <text>
        <r>
          <rPr>
            <sz val="11"/>
            <color theme="1"/>
            <rFont val="Calibri"/>
            <family val="2"/>
            <scheme val="minor"/>
          </rPr>
          <t>Definition of units by HGC cannot be handled by NER</t>
        </r>
      </text>
    </comment>
  </commentList>
</comments>
</file>

<file path=xl/comments2.xml><?xml version="1.0" encoding="utf-8"?>
<comments xmlns="http://schemas.openxmlformats.org/spreadsheetml/2006/main">
  <authors>
    <author>Schans, Martin van der</author>
  </authors>
  <commentList>
    <comment ref="I1" authorId="0" shapeId="0">
      <text>
        <r>
          <rPr>
            <sz val="11"/>
            <color theme="1"/>
            <rFont val="Calibri"/>
            <family val="2"/>
            <scheme val="minor"/>
          </rPr>
          <t>add hyphen before number to prevent interpretation as date</t>
        </r>
      </text>
    </comment>
    <comment ref="K1" authorId="0" shapeId="0">
      <text>
        <r>
          <rPr>
            <sz val="11"/>
            <color theme="1"/>
            <rFont val="Calibri"/>
            <family val="2"/>
            <scheme val="minor"/>
          </rPr>
          <t xml:space="preserve">Check if Code already exists in sheet HGCinput (check for redundancies)
</t>
        </r>
      </text>
    </comment>
  </commentList>
</comments>
</file>

<file path=xl/sharedStrings.xml><?xml version="1.0" encoding="utf-8"?>
<sst xmlns="http://schemas.openxmlformats.org/spreadsheetml/2006/main" count="126748" uniqueCount="34868">
  <si>
    <t>DefaultUnits</t>
  </si>
  <si>
    <t>Category</t>
  </si>
  <si>
    <t>HGC</t>
  </si>
  <si>
    <t>MicrobialParameters</t>
  </si>
  <si>
    <t>OtherEnglishAlias</t>
  </si>
  <si>
    <t>Other_CASnumber</t>
  </si>
  <si>
    <t>OtherDutchAlias</t>
  </si>
  <si>
    <t>SIKBcode</t>
  </si>
  <si>
    <t>SIKB</t>
  </si>
  <si>
    <t>SIKB_CASnumber</t>
  </si>
  <si>
    <t>SIKB_Group</t>
  </si>
  <si>
    <t>NVWA</t>
  </si>
  <si>
    <t>NVWA_CASnumber</t>
  </si>
  <si>
    <t>KIWAnumber</t>
  </si>
  <si>
    <t>REWAB</t>
  </si>
  <si>
    <t>REWAB_CASnumber</t>
  </si>
  <si>
    <t>REWAB_units</t>
  </si>
  <si>
    <t>mg/L</t>
  </si>
  <si>
    <t>ions</t>
  </si>
  <si>
    <t>CH4</t>
  </si>
  <si>
    <t>methaan</t>
  </si>
  <si>
    <t>C1a</t>
  </si>
  <si>
    <t>74-82-8</t>
  </si>
  <si>
    <t>ChemischeStof</t>
  </si>
  <si>
    <t>H2S</t>
  </si>
  <si>
    <t>waterstofsulfide</t>
  </si>
  <si>
    <t>7783-06-4</t>
  </si>
  <si>
    <t>CO2</t>
  </si>
  <si>
    <t>Carbon dioxide</t>
  </si>
  <si>
    <t>kooldioxide |  koolzuurgas</t>
  </si>
  <si>
    <t>kooldioxide</t>
  </si>
  <si>
    <t>124-38-9</t>
  </si>
  <si>
    <t>CO3</t>
  </si>
  <si>
    <t>Carbon trioxide |  Carbonate</t>
  </si>
  <si>
    <t>carbonaat |  koolstoftrioxide</t>
  </si>
  <si>
    <t>carbonaat</t>
  </si>
  <si>
    <t>3812-32-6</t>
  </si>
  <si>
    <t>HCO3</t>
  </si>
  <si>
    <t>hydrogencarbonate</t>
  </si>
  <si>
    <t>waterstofcarbonaat |  bicarbonaat</t>
  </si>
  <si>
    <t>waterstofcarbonaat</t>
  </si>
  <si>
    <t>71-52-3</t>
  </si>
  <si>
    <t>Alkalinity</t>
  </si>
  <si>
    <t>alkalinity</t>
  </si>
  <si>
    <t>alkaliniteit</t>
  </si>
  <si>
    <t>ALKLTT</t>
  </si>
  <si>
    <t>Alkaliteit</t>
  </si>
  <si>
    <t>Grootheid</t>
  </si>
  <si>
    <t>O2_field</t>
  </si>
  <si>
    <t>oxygen field |  O2 field</t>
  </si>
  <si>
    <t>zuurstof veld |  O2 veld |  zuurstof opgelost veld</t>
  </si>
  <si>
    <t>O2_lab</t>
  </si>
  <si>
    <t>oxygen lab |  O2 lab</t>
  </si>
  <si>
    <t>zuurstof lab |  O2 lab |  zuurstof opgelost lab</t>
  </si>
  <si>
    <t>O2</t>
  </si>
  <si>
    <t>oxygen</t>
  </si>
  <si>
    <t>zuurstof |  zuurstof opgelost</t>
  </si>
  <si>
    <t>zuurstof</t>
  </si>
  <si>
    <t>7782-44-7</t>
  </si>
  <si>
    <t>KMnO4</t>
  </si>
  <si>
    <t>Potassium permanganate</t>
  </si>
  <si>
    <t>Kaliumpermanganaat</t>
  </si>
  <si>
    <t>kaliumpermanganaat</t>
  </si>
  <si>
    <t>7722-64-7</t>
  </si>
  <si>
    <t>NH4</t>
  </si>
  <si>
    <t>Ammonium</t>
  </si>
  <si>
    <t>ammonium</t>
  </si>
  <si>
    <t>14798-03-9</t>
  </si>
  <si>
    <t>NO2</t>
  </si>
  <si>
    <t>Nitrite</t>
  </si>
  <si>
    <t>nitriet</t>
  </si>
  <si>
    <t>14797-65-0</t>
  </si>
  <si>
    <t>NO3</t>
  </si>
  <si>
    <t>Nitrate</t>
  </si>
  <si>
    <t>nitraat</t>
  </si>
  <si>
    <t>14797-55-8</t>
  </si>
  <si>
    <t>N_kj</t>
  </si>
  <si>
    <t>TKN |  Kjeldahl Nitrogen</t>
  </si>
  <si>
    <t>17778-88-0</t>
  </si>
  <si>
    <t>Kjeldahl Stikstof</t>
  </si>
  <si>
    <t>NKj</t>
  </si>
  <si>
    <t>stikstof Kjeldahl</t>
  </si>
  <si>
    <t>N</t>
  </si>
  <si>
    <t>Total N |  Total Nitrogen</t>
  </si>
  <si>
    <t>Totaal Stikstof |  Total N</t>
  </si>
  <si>
    <t>PO4</t>
  </si>
  <si>
    <t>Phosphate |  total Phosphate</t>
  </si>
  <si>
    <t>fosfaat |  totaal fosfaat</t>
  </si>
  <si>
    <t>fosfaat</t>
  </si>
  <si>
    <t>14265-44-2</t>
  </si>
  <si>
    <t>PO4_ortho</t>
  </si>
  <si>
    <t>ortho phosphate</t>
  </si>
  <si>
    <t>Ortho-fosfaat</t>
  </si>
  <si>
    <t>P</t>
  </si>
  <si>
    <t>Total P |  Phosphorus</t>
  </si>
  <si>
    <t>7723-14-0</t>
  </si>
  <si>
    <t>totaal P |  fosfor</t>
  </si>
  <si>
    <t>SiO2</t>
  </si>
  <si>
    <t>siliciumdioxide | kiezelzuur | silica</t>
  </si>
  <si>
    <t>siliciumdioxide</t>
  </si>
  <si>
    <t>14808-60-7</t>
  </si>
  <si>
    <t>SO4</t>
  </si>
  <si>
    <t>Sulphate</t>
  </si>
  <si>
    <t>sulfaat</t>
  </si>
  <si>
    <t>14808-79-8</t>
  </si>
  <si>
    <t>SO4_ic</t>
  </si>
  <si>
    <t>Sulphate Ion Chromatography</t>
  </si>
  <si>
    <t>Sulfaat Ion Chromatograaf</t>
  </si>
  <si>
    <t>SO4_icp</t>
  </si>
  <si>
    <t>Sulphate ICP</t>
  </si>
  <si>
    <t>Sulfaat ICP</t>
  </si>
  <si>
    <t>doc</t>
  </si>
  <si>
    <t>DOC |  Dissolved Organic Carbon |  Organic Carbon</t>
  </si>
  <si>
    <t>koolstof organisch |  Opgeloste Organische Stof |  Organische stof |  Corg</t>
  </si>
  <si>
    <t>Corg</t>
  </si>
  <si>
    <t>koolstof organisch</t>
  </si>
  <si>
    <t>tic</t>
  </si>
  <si>
    <t>TIC |  total inorganic carbon |  inorganic carbon</t>
  </si>
  <si>
    <t>Canorg</t>
  </si>
  <si>
    <t>koolstof anorganisch</t>
  </si>
  <si>
    <t>toc</t>
  </si>
  <si>
    <t>TOC |  Total Organic Carbon</t>
  </si>
  <si>
    <t>Koolstof totaal |  Totaal organische stof |  Totaal organisch koolstof |  Canorg</t>
  </si>
  <si>
    <t>cod</t>
  </si>
  <si>
    <t>Chemical Oxygen Demand</t>
  </si>
  <si>
    <t>Chemisch Zuurstof Verbruik |  CZV</t>
  </si>
  <si>
    <t>CZV</t>
  </si>
  <si>
    <t>Chemisch zuurstofverbruik</t>
  </si>
  <si>
    <t>bod</t>
  </si>
  <si>
    <t>Biological Oxygen Demand</t>
  </si>
  <si>
    <t>Biologisch Zuurstof Verbruik |  BZV</t>
  </si>
  <si>
    <t>μS/cm</t>
  </si>
  <si>
    <t>ec_field</t>
  </si>
  <si>
    <t>EC field |  Electric Conductivity field</t>
  </si>
  <si>
    <t>EGV veld |  Electrisch Geleidings Vermogen veld</t>
  </si>
  <si>
    <t>ec_lab</t>
  </si>
  <si>
    <t>EC lab |  Electric Conductivity lab</t>
  </si>
  <si>
    <t>EGV lab |  Electrisch Geleidings Vermogen lab</t>
  </si>
  <si>
    <t>ec</t>
  </si>
  <si>
    <t>EC |  Electric Conductivity |  EC 20C</t>
  </si>
  <si>
    <t>EGV |  Electrisch Geleidings Vermogen |  EGV 20C</t>
  </si>
  <si>
    <t>ph_field</t>
  </si>
  <si>
    <t>pH field |  acidity field</t>
  </si>
  <si>
    <t>pH veld |  zuurgraad veld</t>
  </si>
  <si>
    <t>ph_lab</t>
  </si>
  <si>
    <t>pH lab |  acidity lab</t>
  </si>
  <si>
    <t>pH lab |  zuurgraad lab</t>
  </si>
  <si>
    <t>ph</t>
  </si>
  <si>
    <t>pH |  acidity</t>
  </si>
  <si>
    <t>zuurgraad</t>
  </si>
  <si>
    <t>pH</t>
  </si>
  <si>
    <t>Zuurgraad</t>
  </si>
  <si>
    <t>°C</t>
  </si>
  <si>
    <t>temp_field</t>
  </si>
  <si>
    <t>T field |  Temp field |  Temperature field</t>
  </si>
  <si>
    <t>T veld |  Temp veld |  Temperatuur veld |  watertemperatuur veld</t>
  </si>
  <si>
    <t>temp_lab</t>
  </si>
  <si>
    <t>T lab |  Temp lab |  Temperature lab</t>
  </si>
  <si>
    <t>Temperatuur lab |  watertemperatuur lab</t>
  </si>
  <si>
    <t>temp</t>
  </si>
  <si>
    <t>T |  Temp |  Temperature</t>
  </si>
  <si>
    <t>mV</t>
  </si>
  <si>
    <t>eh_field</t>
  </si>
  <si>
    <t>Redox potential</t>
  </si>
  <si>
    <t>REDPTTAL</t>
  </si>
  <si>
    <t>Redoxpotentiaal</t>
  </si>
  <si>
    <t>turb</t>
  </si>
  <si>
    <t>Turbidity |  FTU |  NTU</t>
  </si>
  <si>
    <t>Turbiditeit</t>
  </si>
  <si>
    <t>1/m</t>
  </si>
  <si>
    <t>SUVA</t>
  </si>
  <si>
    <t>pH T field |  pH Temp field |  pH Temperature field</t>
  </si>
  <si>
    <t>pH T veld |  pH Temp veld |  pH Temperature veld</t>
  </si>
  <si>
    <t>pH T lab |  pH Temp lab |  pH Temperature lab</t>
  </si>
  <si>
    <t>pH Temperatuur lab</t>
  </si>
  <si>
    <t>pH T |  pH Temp |  pH Temperature</t>
  </si>
  <si>
    <t>pH Temperatuur</t>
  </si>
  <si>
    <t>O2 T field |  O2 Temp field |  O2 Temperature field |  Oxygen T field |  Oxygen Temp field |  Oxygen Temperature field</t>
  </si>
  <si>
    <t>O2 T veld |  O2 Temp veld |  O2 Temperature veld |  Oxygen T veld |  Oxygen Temp veld |  Oxygen Temperature veld</t>
  </si>
  <si>
    <t>O2 T lab |  O2 Temp lab |  O2 Temperature lab |  Oxygen T lab |  Oxygen Temp lab |  Oxygen Temperature lab</t>
  </si>
  <si>
    <t>O2 T |  O2 Temp |  O2 Temperature |  Oxygen T |  Oxygen Temp |  Oxygen Temperature</t>
  </si>
  <si>
    <t>EC field T |  EC field Temp |  EC field Temperature |  Electric Conductivity field T |  Electric Conductivity field Temp |  Electric Conductivity field Temperature</t>
  </si>
  <si>
    <t>EGV veld T |  EGV veld Temp |  EGV veld Temperatuur |  Electrisch Geleidings Vermogen veld T |  Electrisch Geleidings Vermogen veld Temp |  Electrisch Geleidings Vermogen veld Temperatuur</t>
  </si>
  <si>
    <t>EC lab T |  EC lab Temp |  EC lab Temperature |  Electric Conductivity lab T |  Electric Conductivity lab Temp |  Electric Conductivity lab Temperature</t>
  </si>
  <si>
    <t>EGV lab T |  EGV lab Temp |  EGV lab Temperatuur |  Electrisch Geleidings Vermogen lab T |  Electrisch Geleidings Vermogen lab Temp |  Electrisch Geleidings Vermogen lab Temperatuur</t>
  </si>
  <si>
    <t>EC T |  EC Temp |  EC Temperature |  Electric Conductivity T |  Electric Conductivity Temp |  Electric Conductivity Temperature</t>
  </si>
  <si>
    <t>EGV T |  EGV Temp |  EGV Temperatuur |  Electrisch Geleidings Vermogen T |  Electrisch Geleidings Vermogen Temp |  Electrisch Geleidings Vermogen Temperatuur</t>
  </si>
  <si>
    <t>Totaal Gesuspendeerde Stoffen</t>
  </si>
  <si>
    <t>atoms</t>
  </si>
  <si>
    <t>H</t>
  </si>
  <si>
    <t>Hydrogen</t>
  </si>
  <si>
    <t>waterstof</t>
  </si>
  <si>
    <t>1333-74-0</t>
  </si>
  <si>
    <t>μg/L</t>
  </si>
  <si>
    <t>He</t>
  </si>
  <si>
    <t>Helium</t>
  </si>
  <si>
    <t>helium</t>
  </si>
  <si>
    <t>7440-59-7</t>
  </si>
  <si>
    <t>Li</t>
  </si>
  <si>
    <t>Lithium</t>
  </si>
  <si>
    <t>lithium</t>
  </si>
  <si>
    <t>7439-93-2</t>
  </si>
  <si>
    <t>Be</t>
  </si>
  <si>
    <t>Beryllium</t>
  </si>
  <si>
    <t>beryllium</t>
  </si>
  <si>
    <t>7440-41-7</t>
  </si>
  <si>
    <t>B</t>
  </si>
  <si>
    <t>Boron</t>
  </si>
  <si>
    <t>boor</t>
  </si>
  <si>
    <t>7440-42-8</t>
  </si>
  <si>
    <t>C</t>
  </si>
  <si>
    <t>TC | Carbon | Total Carbon</t>
  </si>
  <si>
    <t>koolstof</t>
  </si>
  <si>
    <t>7440-44-0</t>
  </si>
  <si>
    <t>Nitrogen</t>
  </si>
  <si>
    <t>stikstof</t>
  </si>
  <si>
    <t>O</t>
  </si>
  <si>
    <t>oxide</t>
  </si>
  <si>
    <t>16833-27-5</t>
  </si>
  <si>
    <t>F</t>
  </si>
  <si>
    <t>Fluoride</t>
  </si>
  <si>
    <t>fluoride</t>
  </si>
  <si>
    <t>16984-48-8</t>
  </si>
  <si>
    <t>Ne</t>
  </si>
  <si>
    <t>Neon</t>
  </si>
  <si>
    <t>neon</t>
  </si>
  <si>
    <t>7440-01-9</t>
  </si>
  <si>
    <t>Na</t>
  </si>
  <si>
    <t>Sodium</t>
  </si>
  <si>
    <t>natrium</t>
  </si>
  <si>
    <t>7440-23-5</t>
  </si>
  <si>
    <t>Mg</t>
  </si>
  <si>
    <t>Magnesium</t>
  </si>
  <si>
    <t>magnesium</t>
  </si>
  <si>
    <t>7439-95-4</t>
  </si>
  <si>
    <t>Al</t>
  </si>
  <si>
    <t>Aluminium</t>
  </si>
  <si>
    <t>aluminium</t>
  </si>
  <si>
    <t>7429-90-5</t>
  </si>
  <si>
    <t>Si</t>
  </si>
  <si>
    <t>Silicon</t>
  </si>
  <si>
    <t>silicium</t>
  </si>
  <si>
    <t>7440-21-3</t>
  </si>
  <si>
    <t>Phosphorus</t>
  </si>
  <si>
    <t>fosfor</t>
  </si>
  <si>
    <t>S</t>
  </si>
  <si>
    <t>Sulfur</t>
  </si>
  <si>
    <t>sulfide |  zwavel</t>
  </si>
  <si>
    <t>sulfide</t>
  </si>
  <si>
    <t>18496-25-8</t>
  </si>
  <si>
    <t>Cl</t>
  </si>
  <si>
    <t>Chloride</t>
  </si>
  <si>
    <t>chloride</t>
  </si>
  <si>
    <t>16887-00-6</t>
  </si>
  <si>
    <t>Ar</t>
  </si>
  <si>
    <t>Argon</t>
  </si>
  <si>
    <t>argon</t>
  </si>
  <si>
    <t>7440-37-1</t>
  </si>
  <si>
    <t>K</t>
  </si>
  <si>
    <t>Potassium</t>
  </si>
  <si>
    <t>kalium</t>
  </si>
  <si>
    <t>7440-09-7</t>
  </si>
  <si>
    <t>Ca</t>
  </si>
  <si>
    <t>Calcium</t>
  </si>
  <si>
    <t>calcium</t>
  </si>
  <si>
    <t>7440-70-2</t>
  </si>
  <si>
    <t>Sc</t>
  </si>
  <si>
    <t>Scandium</t>
  </si>
  <si>
    <t>scandium</t>
  </si>
  <si>
    <t>7440-20-2</t>
  </si>
  <si>
    <t>Ti</t>
  </si>
  <si>
    <t>Titanium</t>
  </si>
  <si>
    <t>titaan</t>
  </si>
  <si>
    <t>7440-32-6</t>
  </si>
  <si>
    <t>V</t>
  </si>
  <si>
    <t>Vanadium</t>
  </si>
  <si>
    <t>vanadium</t>
  </si>
  <si>
    <t>7440-62-2</t>
  </si>
  <si>
    <t>Cr</t>
  </si>
  <si>
    <t>Chromium</t>
  </si>
  <si>
    <t>chroom</t>
  </si>
  <si>
    <t>7440-47-3</t>
  </si>
  <si>
    <t>Mn</t>
  </si>
  <si>
    <t>Manganese</t>
  </si>
  <si>
    <t>mangaan</t>
  </si>
  <si>
    <t>7439-96-5</t>
  </si>
  <si>
    <t>Fe</t>
  </si>
  <si>
    <t>Iron</t>
  </si>
  <si>
    <t>ijzer</t>
  </si>
  <si>
    <t>7439-89-6</t>
  </si>
  <si>
    <t>Co</t>
  </si>
  <si>
    <t>Cobalt</t>
  </si>
  <si>
    <t>kobalt</t>
  </si>
  <si>
    <t>7440-48-4</t>
  </si>
  <si>
    <t>Ni</t>
  </si>
  <si>
    <t>Nickel</t>
  </si>
  <si>
    <t>nikkel</t>
  </si>
  <si>
    <t>7440-02-0</t>
  </si>
  <si>
    <t>Cu</t>
  </si>
  <si>
    <t>Copper</t>
  </si>
  <si>
    <t>koper</t>
  </si>
  <si>
    <t>7440-50-8</t>
  </si>
  <si>
    <t>Zn</t>
  </si>
  <si>
    <t>Zinc</t>
  </si>
  <si>
    <t>zink</t>
  </si>
  <si>
    <t>7440-66-6</t>
  </si>
  <si>
    <t>Ga</t>
  </si>
  <si>
    <t>Gallium</t>
  </si>
  <si>
    <t>gallium</t>
  </si>
  <si>
    <t>7440-55-3</t>
  </si>
  <si>
    <t>Ge</t>
  </si>
  <si>
    <t>Germanium</t>
  </si>
  <si>
    <t>germanium</t>
  </si>
  <si>
    <t>7440-56-4</t>
  </si>
  <si>
    <t>As</t>
  </si>
  <si>
    <t>Arsenic</t>
  </si>
  <si>
    <t>arseen</t>
  </si>
  <si>
    <t>7440-38-2</t>
  </si>
  <si>
    <t>Se</t>
  </si>
  <si>
    <t>Selenium</t>
  </si>
  <si>
    <t>seleen</t>
  </si>
  <si>
    <t>7782-49-2</t>
  </si>
  <si>
    <t>Br</t>
  </si>
  <si>
    <t>Bromine</t>
  </si>
  <si>
    <t>bromide</t>
  </si>
  <si>
    <t>24959-67-9</t>
  </si>
  <si>
    <t>Kr</t>
  </si>
  <si>
    <t>Krypton</t>
  </si>
  <si>
    <t>krypton</t>
  </si>
  <si>
    <t>7439-90-9</t>
  </si>
  <si>
    <t>Rb</t>
  </si>
  <si>
    <t>Rubidium</t>
  </si>
  <si>
    <t>rubidium</t>
  </si>
  <si>
    <t>7440-17-7</t>
  </si>
  <si>
    <t>Sr</t>
  </si>
  <si>
    <t>Strontium</t>
  </si>
  <si>
    <t>strontium</t>
  </si>
  <si>
    <t>7440-24-6</t>
  </si>
  <si>
    <t>Y</t>
  </si>
  <si>
    <t>Yttrium</t>
  </si>
  <si>
    <t>yttrium</t>
  </si>
  <si>
    <t>7440-65-5</t>
  </si>
  <si>
    <t>Zr</t>
  </si>
  <si>
    <t>Zirconium</t>
  </si>
  <si>
    <t>zirkonium</t>
  </si>
  <si>
    <t>7440-67-7</t>
  </si>
  <si>
    <t>Nb</t>
  </si>
  <si>
    <t>Niobium</t>
  </si>
  <si>
    <t>niobium</t>
  </si>
  <si>
    <t>7440-03-1</t>
  </si>
  <si>
    <t>Mo</t>
  </si>
  <si>
    <t>Molybdenum</t>
  </si>
  <si>
    <t>molybdeen</t>
  </si>
  <si>
    <t>7439-98-7</t>
  </si>
  <si>
    <t>Tc</t>
  </si>
  <si>
    <t>Technetium</t>
  </si>
  <si>
    <t>technetium</t>
  </si>
  <si>
    <t>7440-26-8</t>
  </si>
  <si>
    <t>Ru</t>
  </si>
  <si>
    <t>Ruthenium</t>
  </si>
  <si>
    <t>ruthenium</t>
  </si>
  <si>
    <t>7440-18-8</t>
  </si>
  <si>
    <t>Rh</t>
  </si>
  <si>
    <t>Rhodium</t>
  </si>
  <si>
    <t>rhodium</t>
  </si>
  <si>
    <t>7440-16-6</t>
  </si>
  <si>
    <t>Pd</t>
  </si>
  <si>
    <t>Palladium</t>
  </si>
  <si>
    <t>palladium</t>
  </si>
  <si>
    <t>7440-05-3</t>
  </si>
  <si>
    <t>Ag</t>
  </si>
  <si>
    <t>Silver</t>
  </si>
  <si>
    <t>zilver</t>
  </si>
  <si>
    <t>7440-22-4</t>
  </si>
  <si>
    <t>Cd</t>
  </si>
  <si>
    <t>Cadmium</t>
  </si>
  <si>
    <t>cadmium</t>
  </si>
  <si>
    <t>7440-43-9</t>
  </si>
  <si>
    <t>In</t>
  </si>
  <si>
    <t>Indium</t>
  </si>
  <si>
    <t>indium</t>
  </si>
  <si>
    <t>7440-74-6</t>
  </si>
  <si>
    <t>Sn</t>
  </si>
  <si>
    <t>Tin</t>
  </si>
  <si>
    <t>tin</t>
  </si>
  <si>
    <t>7440-31-5</t>
  </si>
  <si>
    <t>Sb</t>
  </si>
  <si>
    <t>Antimony</t>
  </si>
  <si>
    <t>antimoon</t>
  </si>
  <si>
    <t>7440-36-0</t>
  </si>
  <si>
    <t>Te</t>
  </si>
  <si>
    <t>Tellurium</t>
  </si>
  <si>
    <t>13494-80-9</t>
  </si>
  <si>
    <t>telluur</t>
  </si>
  <si>
    <t>I</t>
  </si>
  <si>
    <t>Iodine</t>
  </si>
  <si>
    <t>jodide</t>
  </si>
  <si>
    <t>20461-54-5</t>
  </si>
  <si>
    <t>Xe</t>
  </si>
  <si>
    <t>Xenon</t>
  </si>
  <si>
    <t>xenon</t>
  </si>
  <si>
    <t>7440-63-3</t>
  </si>
  <si>
    <t>Cs</t>
  </si>
  <si>
    <t>Caesium</t>
  </si>
  <si>
    <t>cesium</t>
  </si>
  <si>
    <t>7440-46-2</t>
  </si>
  <si>
    <t>Ba</t>
  </si>
  <si>
    <t>Barium</t>
  </si>
  <si>
    <t>barium</t>
  </si>
  <si>
    <t>7440-39-3</t>
  </si>
  <si>
    <t>La</t>
  </si>
  <si>
    <t>Lanthanum</t>
  </si>
  <si>
    <t>lanthaan</t>
  </si>
  <si>
    <t>7439-91-0</t>
  </si>
  <si>
    <t>Ce</t>
  </si>
  <si>
    <t>Cerium</t>
  </si>
  <si>
    <t>cerium</t>
  </si>
  <si>
    <t>7440-45-1</t>
  </si>
  <si>
    <t>Pr</t>
  </si>
  <si>
    <t>Praseodymium</t>
  </si>
  <si>
    <t>praseodymium</t>
  </si>
  <si>
    <t>7440-10-0</t>
  </si>
  <si>
    <t>Nd</t>
  </si>
  <si>
    <t>Neodymium</t>
  </si>
  <si>
    <t>neodymium</t>
  </si>
  <si>
    <t>7440-00-8</t>
  </si>
  <si>
    <t>Pm</t>
  </si>
  <si>
    <t>Promethium</t>
  </si>
  <si>
    <t>promethium</t>
  </si>
  <si>
    <t>7440-12-2</t>
  </si>
  <si>
    <t>Sm</t>
  </si>
  <si>
    <t>Samarium</t>
  </si>
  <si>
    <t>samarium</t>
  </si>
  <si>
    <t>7440-19-9</t>
  </si>
  <si>
    <t>Eu</t>
  </si>
  <si>
    <t>Europium</t>
  </si>
  <si>
    <t>europium</t>
  </si>
  <si>
    <t>7440-53-1</t>
  </si>
  <si>
    <t>Gd</t>
  </si>
  <si>
    <t>Gadolinium</t>
  </si>
  <si>
    <t>gadolinium</t>
  </si>
  <si>
    <t>7440-54-2</t>
  </si>
  <si>
    <t>Tb</t>
  </si>
  <si>
    <t>Terbium</t>
  </si>
  <si>
    <t>terbium</t>
  </si>
  <si>
    <t>7440-27-9</t>
  </si>
  <si>
    <t>Dy</t>
  </si>
  <si>
    <t>Dysprosium</t>
  </si>
  <si>
    <t>7429-91-6</t>
  </si>
  <si>
    <t>Ho</t>
  </si>
  <si>
    <t>Holmium</t>
  </si>
  <si>
    <t>holmium</t>
  </si>
  <si>
    <t>7440-60-0</t>
  </si>
  <si>
    <t>Er</t>
  </si>
  <si>
    <t>Erbium</t>
  </si>
  <si>
    <t>erbium</t>
  </si>
  <si>
    <t>7440-52-0</t>
  </si>
  <si>
    <t>Tm</t>
  </si>
  <si>
    <t>Thulium</t>
  </si>
  <si>
    <t>thulium</t>
  </si>
  <si>
    <t>7440-30-4</t>
  </si>
  <si>
    <t>Yb</t>
  </si>
  <si>
    <t>Ytterbium</t>
  </si>
  <si>
    <t>ytterbium</t>
  </si>
  <si>
    <t>7440-64-4</t>
  </si>
  <si>
    <t>Lu</t>
  </si>
  <si>
    <t>Lutetium</t>
  </si>
  <si>
    <t>lutetium</t>
  </si>
  <si>
    <t>7439-94-3</t>
  </si>
  <si>
    <t>Hf</t>
  </si>
  <si>
    <t>Hafnium</t>
  </si>
  <si>
    <t>waterstoffluoride</t>
  </si>
  <si>
    <t>hafnium</t>
  </si>
  <si>
    <t>7440-58-6</t>
  </si>
  <si>
    <t>Ta</t>
  </si>
  <si>
    <t>Tantalum</t>
  </si>
  <si>
    <t>tantalium</t>
  </si>
  <si>
    <t>7440-25-7</t>
  </si>
  <si>
    <t>W</t>
  </si>
  <si>
    <t>Tungsten</t>
  </si>
  <si>
    <t>wolfraam</t>
  </si>
  <si>
    <t>7440-33-7</t>
  </si>
  <si>
    <t>Re</t>
  </si>
  <si>
    <t>Rhenium</t>
  </si>
  <si>
    <t>renium</t>
  </si>
  <si>
    <t>7440-15-5</t>
  </si>
  <si>
    <t>Os</t>
  </si>
  <si>
    <t>Osmium</t>
  </si>
  <si>
    <t>osmium</t>
  </si>
  <si>
    <t>7440-04-2</t>
  </si>
  <si>
    <t>Ir</t>
  </si>
  <si>
    <t>Iridium</t>
  </si>
  <si>
    <t>iridium</t>
  </si>
  <si>
    <t>7439-88-5</t>
  </si>
  <si>
    <t>Pt</t>
  </si>
  <si>
    <t>Platinum</t>
  </si>
  <si>
    <t>platina</t>
  </si>
  <si>
    <t>7440-06-4</t>
  </si>
  <si>
    <t>Au</t>
  </si>
  <si>
    <t>Gold</t>
  </si>
  <si>
    <t>goud</t>
  </si>
  <si>
    <t>7440-57-5</t>
  </si>
  <si>
    <t>Hg</t>
  </si>
  <si>
    <t>Mercury</t>
  </si>
  <si>
    <t>kwik</t>
  </si>
  <si>
    <t>7439-97-6</t>
  </si>
  <si>
    <t>Tl</t>
  </si>
  <si>
    <t>Thallium</t>
  </si>
  <si>
    <t>thallium</t>
  </si>
  <si>
    <t>7440-28-0</t>
  </si>
  <si>
    <t>Pb</t>
  </si>
  <si>
    <t>Lead</t>
  </si>
  <si>
    <t>lood</t>
  </si>
  <si>
    <t>7439-92-1</t>
  </si>
  <si>
    <t>Bi</t>
  </si>
  <si>
    <t>Bismuth</t>
  </si>
  <si>
    <t>bismut</t>
  </si>
  <si>
    <t>7440-69-9</t>
  </si>
  <si>
    <t>Po</t>
  </si>
  <si>
    <t>Polonium</t>
  </si>
  <si>
    <t>polonium</t>
  </si>
  <si>
    <t>7440-08-6</t>
  </si>
  <si>
    <t>At</t>
  </si>
  <si>
    <t>Astatine</t>
  </si>
  <si>
    <t>astatium</t>
  </si>
  <si>
    <t>7440-68-8</t>
  </si>
  <si>
    <t>Rn</t>
  </si>
  <si>
    <t>Radon</t>
  </si>
  <si>
    <t>radon</t>
  </si>
  <si>
    <t>10043-92-2</t>
  </si>
  <si>
    <t>Fr</t>
  </si>
  <si>
    <t>Francium</t>
  </si>
  <si>
    <t>francium</t>
  </si>
  <si>
    <t>7440-73-5</t>
  </si>
  <si>
    <t>Ra</t>
  </si>
  <si>
    <t>Radium</t>
  </si>
  <si>
    <t>radium</t>
  </si>
  <si>
    <t>7440-14-4</t>
  </si>
  <si>
    <t>Ac</t>
  </si>
  <si>
    <t>Actinium</t>
  </si>
  <si>
    <t>actinium</t>
  </si>
  <si>
    <t>7440-34-8</t>
  </si>
  <si>
    <t>Th</t>
  </si>
  <si>
    <t>Thorium</t>
  </si>
  <si>
    <t>thorium</t>
  </si>
  <si>
    <t>7440-29-1</t>
  </si>
  <si>
    <t>Pa</t>
  </si>
  <si>
    <t>Protactinium</t>
  </si>
  <si>
    <t>protactinium</t>
  </si>
  <si>
    <t>7440-13-3</t>
  </si>
  <si>
    <t>U</t>
  </si>
  <si>
    <t>Uranium</t>
  </si>
  <si>
    <t>uranium</t>
  </si>
  <si>
    <t>7440-61-1</t>
  </si>
  <si>
    <t>Np</t>
  </si>
  <si>
    <t>Neptunium</t>
  </si>
  <si>
    <t>neptunium</t>
  </si>
  <si>
    <t>7439-99-8</t>
  </si>
  <si>
    <t>Pu</t>
  </si>
  <si>
    <t>Plutonium</t>
  </si>
  <si>
    <t>plutonium</t>
  </si>
  <si>
    <t>7440-07-5</t>
  </si>
  <si>
    <t>Am</t>
  </si>
  <si>
    <t>Americium</t>
  </si>
  <si>
    <t>americium</t>
  </si>
  <si>
    <t>7440-35-9</t>
  </si>
  <si>
    <t>Cm</t>
  </si>
  <si>
    <t>Curium</t>
  </si>
  <si>
    <t>curium</t>
  </si>
  <si>
    <t>7440-51-9</t>
  </si>
  <si>
    <t>Bk</t>
  </si>
  <si>
    <t>Berkelium</t>
  </si>
  <si>
    <t>berkelium</t>
  </si>
  <si>
    <t>7440-40-6</t>
  </si>
  <si>
    <t>Cf</t>
  </si>
  <si>
    <t>Californium</t>
  </si>
  <si>
    <t>californium</t>
  </si>
  <si>
    <t>7440-71-3</t>
  </si>
  <si>
    <t>Es</t>
  </si>
  <si>
    <t>Einsteinium</t>
  </si>
  <si>
    <t>einsteinium</t>
  </si>
  <si>
    <t>7429-92-7</t>
  </si>
  <si>
    <t>Fm</t>
  </si>
  <si>
    <t>Fermium</t>
  </si>
  <si>
    <t>fermium</t>
  </si>
  <si>
    <t>7440-72-4</t>
  </si>
  <si>
    <t>Md</t>
  </si>
  <si>
    <t>Mendelevium</t>
  </si>
  <si>
    <t>mendelevium</t>
  </si>
  <si>
    <t>7440-11-1</t>
  </si>
  <si>
    <t>No</t>
  </si>
  <si>
    <t>Nobelium</t>
  </si>
  <si>
    <t>nobelium</t>
  </si>
  <si>
    <t>10028-14-5</t>
  </si>
  <si>
    <t>Lr</t>
  </si>
  <si>
    <t>Lawrencium</t>
  </si>
  <si>
    <t>lawrencium</t>
  </si>
  <si>
    <t>22537-19-5</t>
  </si>
  <si>
    <t>Rf</t>
  </si>
  <si>
    <t>Rutherfordium</t>
  </si>
  <si>
    <t>rutherfordium</t>
  </si>
  <si>
    <t>53850-36-5</t>
  </si>
  <si>
    <t>Db</t>
  </si>
  <si>
    <t>Dubnium</t>
  </si>
  <si>
    <t>dubnium</t>
  </si>
  <si>
    <t>53850-35-4</t>
  </si>
  <si>
    <t>Sg</t>
  </si>
  <si>
    <t>Seaborgium</t>
  </si>
  <si>
    <t>seaborgium</t>
  </si>
  <si>
    <t>54038-81-2</t>
  </si>
  <si>
    <t>Bh</t>
  </si>
  <si>
    <t>Bohrium</t>
  </si>
  <si>
    <t>bohrium</t>
  </si>
  <si>
    <t>54037-14-8</t>
  </si>
  <si>
    <t>Hs</t>
  </si>
  <si>
    <t>Hassium</t>
  </si>
  <si>
    <t>hassium</t>
  </si>
  <si>
    <t>54037-57-9</t>
  </si>
  <si>
    <t>Mt</t>
  </si>
  <si>
    <t>Meitnerium</t>
  </si>
  <si>
    <t>meitnerium</t>
  </si>
  <si>
    <t>54038-01-6</t>
  </si>
  <si>
    <t>Ds</t>
  </si>
  <si>
    <t>Darmstadtium</t>
  </si>
  <si>
    <t>damstadtium</t>
  </si>
  <si>
    <t>54083-77-1</t>
  </si>
  <si>
    <t>Rg</t>
  </si>
  <si>
    <t>Roentgenium</t>
  </si>
  <si>
    <t>roentgenium</t>
  </si>
  <si>
    <t>54386-24-2</t>
  </si>
  <si>
    <t>Cn</t>
  </si>
  <si>
    <t>Copernicium</t>
  </si>
  <si>
    <t>cyanide</t>
  </si>
  <si>
    <t>copernicium</t>
  </si>
  <si>
    <t>54084-26-3</t>
  </si>
  <si>
    <t>Nh</t>
  </si>
  <si>
    <t>Nihonium</t>
  </si>
  <si>
    <t>54084-70-7</t>
  </si>
  <si>
    <t>Fl</t>
  </si>
  <si>
    <t>Flerovium</t>
  </si>
  <si>
    <t>flerovium</t>
  </si>
  <si>
    <t>54085-16-4</t>
  </si>
  <si>
    <t>Mc</t>
  </si>
  <si>
    <t>Moscovium</t>
  </si>
  <si>
    <t>54085-64-2</t>
  </si>
  <si>
    <t>Lv</t>
  </si>
  <si>
    <t>Livermorium</t>
  </si>
  <si>
    <t>livermorium</t>
  </si>
  <si>
    <t>54100-71-9</t>
  </si>
  <si>
    <t>Ts</t>
  </si>
  <si>
    <t>Tennessine</t>
  </si>
  <si>
    <t>87658-56-8</t>
  </si>
  <si>
    <t>Og</t>
  </si>
  <si>
    <t>Oganesson</t>
  </si>
  <si>
    <t>54144-19-3</t>
  </si>
  <si>
    <t>1/L</t>
  </si>
  <si>
    <t>Aeromonas</t>
  </si>
  <si>
    <t>Aeromonas colony count</t>
  </si>
  <si>
    <t>Aeromonas aantal kolonies</t>
  </si>
  <si>
    <t>L</t>
  </si>
  <si>
    <t>Aeromonas_volume</t>
  </si>
  <si>
    <t>Aeromonas analysis volume</t>
  </si>
  <si>
    <t>Aeromonas geanalyseerd volume</t>
  </si>
  <si>
    <t>Clostridium perfringens</t>
  </si>
  <si>
    <t>CLOSTR</t>
  </si>
  <si>
    <t>Clostridia</t>
  </si>
  <si>
    <t>Object</t>
  </si>
  <si>
    <t>Clostridium perfringens colony counts</t>
  </si>
  <si>
    <t>Clostridium perfringens aantal kolonies |  Clostridium perfringens aantal positief bevestigde kolonies</t>
  </si>
  <si>
    <t>Clostridium perfringens analysis volume</t>
  </si>
  <si>
    <t>Clostridium perfringens geanalyseerd volume</t>
  </si>
  <si>
    <t>Bacteriën coligroep |  Bacteriën coligroep (ISO 9308-1)</t>
  </si>
  <si>
    <t>TOTCLS</t>
  </si>
  <si>
    <t>Totaal Coli's (incubatie bij 37 C)</t>
  </si>
  <si>
    <t>Bacteriën coligroep aantal positief bevestigd</t>
  </si>
  <si>
    <t>Bacteriën coligroep aantal kolonies</t>
  </si>
  <si>
    <t>Bacteriën coligroep Escherichia coli volume |  Bacteriën coligroep Escherichia coli geanalyseerd volume</t>
  </si>
  <si>
    <t>Bacteriën coligroep volume |  Bacteriën coligroep geanalyseerd volume</t>
  </si>
  <si>
    <t>Koloniegetal |  Koloniegetal 22 °C</t>
  </si>
  <si>
    <t>aantal kolonies |  koloniegetal aantal</t>
  </si>
  <si>
    <t>koloniegetal volume |  koloniegetal geanalyseerd volume</t>
  </si>
  <si>
    <t>Escherichia coli</t>
  </si>
  <si>
    <t>Escherichia coli |  E.coli  (ISO 9308-1)</t>
  </si>
  <si>
    <t>E. coli number of positive counts</t>
  </si>
  <si>
    <t>E. coli aantal positief bevestigd |  Escherichia coli aantal kolonies</t>
  </si>
  <si>
    <t>E_COLI</t>
  </si>
  <si>
    <t>E.Coli analysis volume |  Escherichia coli analysis volume</t>
  </si>
  <si>
    <t>E.Coli geanalyseerd volume |  Escherichia coli geanalyseerd volume</t>
  </si>
  <si>
    <t>Enterococcus</t>
  </si>
  <si>
    <t>Enterococcen |  Enterococcen ISO 7899-2 |  Enterokokken</t>
  </si>
  <si>
    <t>Enterococcus colony count</t>
  </si>
  <si>
    <t>Enterococcus aantal kolonies |  Enterokokken aantal kolonies |  Enterokokken Aantal positief bevestigd</t>
  </si>
  <si>
    <t>Enterococcus_volume</t>
  </si>
  <si>
    <t>Enterococcus analysis volume</t>
  </si>
  <si>
    <t>Enterococcus geanalyseerd volume |  Enterokokken geanalyseerd volume</t>
  </si>
  <si>
    <t>f_specific_phage</t>
  </si>
  <si>
    <t>F specific phages</t>
  </si>
  <si>
    <t>F.specifieke fagen</t>
  </si>
  <si>
    <t>f_specific_phage_volume</t>
  </si>
  <si>
    <t>F specific phages volume</t>
  </si>
  <si>
    <t>F.specifieke fagen volume</t>
  </si>
  <si>
    <t>hygienic_suspect_colonies</t>
  </si>
  <si>
    <t>Hygienic suspect colonies</t>
  </si>
  <si>
    <t>Hygiënisch verdachte koloniën</t>
  </si>
  <si>
    <t>Hygienic suspect colonies count</t>
  </si>
  <si>
    <t>Hygiënisch verdachte koloniën aantal</t>
  </si>
  <si>
    <t>hygienic_suspect_colonies_volume</t>
  </si>
  <si>
    <t>Hygienic suspect colonies count volume</t>
  </si>
  <si>
    <t>Hygiënisch verdachte koloniën volume</t>
  </si>
  <si>
    <t>Intestinale enterokokken</t>
  </si>
  <si>
    <t>INTTNLETRCCN</t>
  </si>
  <si>
    <t>Intestinale enterococcen</t>
  </si>
  <si>
    <t>Intestinale enterokokken aantal</t>
  </si>
  <si>
    <t>Somatic coliphages</t>
  </si>
  <si>
    <t>Somatische colifagen</t>
  </si>
  <si>
    <t>Somatic coliphages count</t>
  </si>
  <si>
    <t>Somatische colifagen aantal</t>
  </si>
  <si>
    <t>Somatic coliphages sample volume</t>
  </si>
  <si>
    <t>Somatische colifagen monstervolume</t>
  </si>
  <si>
    <t>Somatic coliphages sample analysis volume</t>
  </si>
  <si>
    <t>Somatische colifagen inzetvolume |  Somatische colifagen geanalyseerd volume</t>
  </si>
  <si>
    <t>Cryptosporidium</t>
  </si>
  <si>
    <t>Sporen sulfietreducerende clostridia aantal kolonies |   Sporen sulfietreducerende clostridia aantal kolonies 24 uur |   Sporen sulfietreducerende clostridia colony count</t>
  </si>
  <si>
    <t>Sporen sulfietreducerende clostridia geanalyseerd volume |  Sporen Sulfietreducerende Clostridia Analysis Volume</t>
  </si>
  <si>
    <t>Sporen sulfietreducerende clostridia aantal kolonies 48 uur</t>
  </si>
  <si>
    <t>Campylobacter</t>
  </si>
  <si>
    <t>CAMPLBTR</t>
  </si>
  <si>
    <t>sample_volume</t>
  </si>
  <si>
    <t>analysis volume</t>
  </si>
  <si>
    <t>fecal_coliforms</t>
  </si>
  <si>
    <t>FAECLCLFMN</t>
  </si>
  <si>
    <t>Faecale coliformen</t>
  </si>
  <si>
    <t>fecal_streptococcus</t>
  </si>
  <si>
    <t>FAECLSTCCND</t>
  </si>
  <si>
    <t>Faecale Streptococcen D</t>
  </si>
  <si>
    <t>stoorflora</t>
  </si>
  <si>
    <t>centricon</t>
  </si>
  <si>
    <t>Bacteroides Dog</t>
  </si>
  <si>
    <t>BACTIODHSCFK</t>
  </si>
  <si>
    <t>Bacteroides - hond-specifieke stam</t>
  </si>
  <si>
    <t>BACTOIDBTRN</t>
  </si>
  <si>
    <t>Bacteroides bacteria</t>
  </si>
  <si>
    <t>Bacteroides Ruminant</t>
  </si>
  <si>
    <t>BACTOIDHKWSC</t>
  </si>
  <si>
    <t>Bacteroides - herkauwer-specifieke stam</t>
  </si>
  <si>
    <t>Bacteroides Human</t>
  </si>
  <si>
    <t>BACTOIDMSCFK</t>
  </si>
  <si>
    <t>Bacteroides - mens-specifieke stam</t>
  </si>
  <si>
    <t>BACTOIDTDRI</t>
  </si>
  <si>
    <t>Bacteriodes dorei</t>
  </si>
  <si>
    <t>Bacteroides Pig</t>
  </si>
  <si>
    <t>BACTOIDVKSCF</t>
  </si>
  <si>
    <t>Bacteriodes - varken-specifieke stam</t>
  </si>
  <si>
    <t>Bacteroides Avian Helicobacter</t>
  </si>
  <si>
    <t>AOC</t>
  </si>
  <si>
    <t xml:space="preserve"> assimileerbaar organische koolstof | Totaal AOC</t>
  </si>
  <si>
    <t>ATP</t>
  </si>
  <si>
    <t>Adenosine triphosphate</t>
  </si>
  <si>
    <t>adenosine-trifosfaat</t>
  </si>
  <si>
    <t>56-65-5</t>
  </si>
  <si>
    <t>ATP_sd</t>
  </si>
  <si>
    <t>Adenosine triphosphate standard deviation</t>
  </si>
  <si>
    <t>adenosine-trifosfaat standaard deviatie</t>
  </si>
  <si>
    <t>ATP_inhibition</t>
  </si>
  <si>
    <t>Adenosine triphosphate inhibition</t>
  </si>
  <si>
    <t>adenosine-trifosfaat standaard rendement</t>
  </si>
  <si>
    <t>DNA</t>
  </si>
  <si>
    <t>DNA concentration</t>
  </si>
  <si>
    <t>DNA concentratie</t>
  </si>
  <si>
    <t>DNA_recovery</t>
  </si>
  <si>
    <t>DNA recovery</t>
  </si>
  <si>
    <t>DNA rendement</t>
  </si>
  <si>
    <t>conduct analysis</t>
  </si>
  <si>
    <t>uitvoering analyse</t>
  </si>
  <si>
    <t>filtration</t>
  </si>
  <si>
    <t>filtratie</t>
  </si>
  <si>
    <t>filtration_field| filtration field</t>
  </si>
  <si>
    <t>filtratie veld</t>
  </si>
  <si>
    <t>filtration_laboratoy| filtration laboratoy</t>
  </si>
  <si>
    <t>filtratie laboratorium</t>
  </si>
  <si>
    <t>looptijd | looptijd (veld)</t>
  </si>
  <si>
    <t>heroin</t>
  </si>
  <si>
    <t>Heroïne</t>
  </si>
  <si>
    <t>Trihalomethane</t>
  </si>
  <si>
    <t>Trihalomethanen</t>
  </si>
  <si>
    <t>ETBE | Ethyl-tert-butylether</t>
  </si>
  <si>
    <t>chloridazon-desfenyl</t>
  </si>
  <si>
    <t>Tert-Amyl Methyl Ether</t>
  </si>
  <si>
    <t>tert-Amylmethylether (TAME) |  tert-Amylmethylether |  TAME</t>
  </si>
  <si>
    <t>ClC2e</t>
  </si>
  <si>
    <t>chlooretheen (vinylchloride)</t>
  </si>
  <si>
    <t>75-01-4</t>
  </si>
  <si>
    <t>TClC1a</t>
  </si>
  <si>
    <t>trichloormethaan (chloroform)</t>
  </si>
  <si>
    <t>67-66-3</t>
  </si>
  <si>
    <t>methylbenzeen</t>
  </si>
  <si>
    <t>Tol</t>
  </si>
  <si>
    <t>tolueen</t>
  </si>
  <si>
    <t>108-88-3</t>
  </si>
  <si>
    <t>PeClNO2Ben</t>
  </si>
  <si>
    <t>pentachloornitrobenzeen (quintozeen)</t>
  </si>
  <si>
    <t>fenzn</t>
  </si>
  <si>
    <t>fenazon (antipyrine)</t>
  </si>
  <si>
    <t>octgn</t>
  </si>
  <si>
    <t>octogeen (HMX)</t>
  </si>
  <si>
    <t>MTBE</t>
  </si>
  <si>
    <t>C1yttC4yEtr</t>
  </si>
  <si>
    <t>methyl-tertiair-butylether</t>
  </si>
  <si>
    <t>mecoprop MCPP | MCPP</t>
  </si>
  <si>
    <t>MCPP</t>
  </si>
  <si>
    <t>mecoprop</t>
  </si>
  <si>
    <t>93-65-2</t>
  </si>
  <si>
    <t>1011cDolcarb</t>
  </si>
  <si>
    <t>10,11-cisdiol carbamazepine</t>
  </si>
  <si>
    <t>35079-97-1</t>
  </si>
  <si>
    <t>1112T4ClC2a</t>
  </si>
  <si>
    <t>1,1,1,2-tetrachloorethaan</t>
  </si>
  <si>
    <t>630-20-6</t>
  </si>
  <si>
    <t>111TClC2a</t>
  </si>
  <si>
    <t>1,1,1-trichloorethaan</t>
  </si>
  <si>
    <t>71-55-6</t>
  </si>
  <si>
    <t>111TClTol</t>
  </si>
  <si>
    <t>1,1,1-trichloortolueen</t>
  </si>
  <si>
    <t>98-07-7</t>
  </si>
  <si>
    <t>1122T4ClC2a</t>
  </si>
  <si>
    <t>1,1,2,2-tetrachloorethaan</t>
  </si>
  <si>
    <t>79-34-5</t>
  </si>
  <si>
    <t>112TClC2a</t>
  </si>
  <si>
    <t>1,1,2-trichloorethaan</t>
  </si>
  <si>
    <t>79-00-5</t>
  </si>
  <si>
    <t>112TClC3a</t>
  </si>
  <si>
    <t>1,1,2-trichloorpropaan</t>
  </si>
  <si>
    <t>598-77-6</t>
  </si>
  <si>
    <t>11ClPF3OUdS</t>
  </si>
  <si>
    <t>11-chlooreicosafluor-3-oxaundecaan-1-sulfonzuur</t>
  </si>
  <si>
    <t>763051-92-9</t>
  </si>
  <si>
    <t>11DBrC2a</t>
  </si>
  <si>
    <t>1,1-dibroomethaan</t>
  </si>
  <si>
    <t>557-91-5</t>
  </si>
  <si>
    <t>11DC1yC2y2C1</t>
  </si>
  <si>
    <t>1,1-dimethylethyl-2-methoxyfenol</t>
  </si>
  <si>
    <t>53894-31-8</t>
  </si>
  <si>
    <t>11DC1yhdzne</t>
  </si>
  <si>
    <t>1,1-dimethylhydrazine</t>
  </si>
  <si>
    <t>57-14-7</t>
  </si>
  <si>
    <t>11DClC2a</t>
  </si>
  <si>
    <t>1,1-dichloorethaan</t>
  </si>
  <si>
    <t>75-34-3</t>
  </si>
  <si>
    <t>11DClC2e</t>
  </si>
  <si>
    <t>1,1-dichlooretheen</t>
  </si>
  <si>
    <t>75-35-4</t>
  </si>
  <si>
    <t>11DClC3a</t>
  </si>
  <si>
    <t>1,1-dichloorpropaan</t>
  </si>
  <si>
    <t>78-99-9</t>
  </si>
  <si>
    <t>11DClC3e</t>
  </si>
  <si>
    <t>1,1-dichloorpropeen</t>
  </si>
  <si>
    <t>563-58-6</t>
  </si>
  <si>
    <t>11n9cbxd9THC</t>
  </si>
  <si>
    <t>11-nor-9-carboxy-delta-9-tetrahydrocannabinol</t>
  </si>
  <si>
    <t>56354-06-4</t>
  </si>
  <si>
    <t>122TClC3a</t>
  </si>
  <si>
    <t>1,2,2-trichloorpropaan</t>
  </si>
  <si>
    <t>3175-23-3</t>
  </si>
  <si>
    <t>123456Hxtpne</t>
  </si>
  <si>
    <t>1,2,3,4,5,6-hexathiepane</t>
  </si>
  <si>
    <t>17233-71-5</t>
  </si>
  <si>
    <t>1234577HpClb</t>
  </si>
  <si>
    <t>1,2,3,4,5,7,7-heptachloor-bicyclo(2.2.1)-2-hepteen</t>
  </si>
  <si>
    <t>2440-02-0</t>
  </si>
  <si>
    <t>1234T4C1yBen</t>
  </si>
  <si>
    <t>1,2,3,4-tetramethylbenzeen</t>
  </si>
  <si>
    <t>488-23-3</t>
  </si>
  <si>
    <t>1234T4ClBen</t>
  </si>
  <si>
    <t>1,2,3,4-tetrachloorbenzeen</t>
  </si>
  <si>
    <t>634-66-2</t>
  </si>
  <si>
    <t>1234T4HNaf</t>
  </si>
  <si>
    <t>1,2,3,4-tetrahydronaftaleen</t>
  </si>
  <si>
    <t>119-64-2</t>
  </si>
  <si>
    <t>1235T4C1yBen</t>
  </si>
  <si>
    <t>1,2,3,5-tetramethylbenzeen</t>
  </si>
  <si>
    <t>527-53-7</t>
  </si>
  <si>
    <t>1235T4Cl46DC</t>
  </si>
  <si>
    <t>1,2,3,5-tetrachloor-4,6-dimethylbenzeen</t>
  </si>
  <si>
    <t>877-09-8</t>
  </si>
  <si>
    <t>1235T4ClBen</t>
  </si>
  <si>
    <t>1,2,3,5-tetrachloorbenzeen</t>
  </si>
  <si>
    <t>634-90-2</t>
  </si>
  <si>
    <t>123TC1yBen</t>
  </si>
  <si>
    <t>1,2,3-trimethylbenzeen</t>
  </si>
  <si>
    <t>526-73-8</t>
  </si>
  <si>
    <t>123TClBen</t>
  </si>
  <si>
    <t>1,2,3-trichloorbenzeen</t>
  </si>
  <si>
    <t>87-61-6</t>
  </si>
  <si>
    <t>123TClC3a</t>
  </si>
  <si>
    <t>1,2,3-trichloorpropaan</t>
  </si>
  <si>
    <t>96-18-4</t>
  </si>
  <si>
    <t>123TClC3e</t>
  </si>
  <si>
    <t>1,2,3-trichloorpropeen</t>
  </si>
  <si>
    <t>96-19-5</t>
  </si>
  <si>
    <t>123benztazl</t>
  </si>
  <si>
    <t>1,2,3-benzotriazool</t>
  </si>
  <si>
    <t>95-14-7</t>
  </si>
  <si>
    <t>1245T4C1yBen</t>
  </si>
  <si>
    <t>1,2,4,5-tetramethylbenzeen</t>
  </si>
  <si>
    <t>95-93-2</t>
  </si>
  <si>
    <t>1245T4ClBen</t>
  </si>
  <si>
    <t>1,2,4,5-tetrachloorbenzeen</t>
  </si>
  <si>
    <t>95-94-3</t>
  </si>
  <si>
    <t>124TC1yBen</t>
  </si>
  <si>
    <t>1,2,4-trimethylbenzeen</t>
  </si>
  <si>
    <t>95-63-6</t>
  </si>
  <si>
    <t>124TClBen</t>
  </si>
  <si>
    <t>1,2,4-trichloorbenzeen</t>
  </si>
  <si>
    <t>120-82-1</t>
  </si>
  <si>
    <t>12BenDAeDHCl</t>
  </si>
  <si>
    <t>1,2-benzeendiamine dihydrochloride</t>
  </si>
  <si>
    <t>615-28-1</t>
  </si>
  <si>
    <t>12C3yegcl</t>
  </si>
  <si>
    <t>1,2-propyleenglycol</t>
  </si>
  <si>
    <t>57-55-6</t>
  </si>
  <si>
    <t>12C4oxC2oxC2</t>
  </si>
  <si>
    <t>1-(2-butoxyethoxy)-ethanol</t>
  </si>
  <si>
    <t>54446-78-5</t>
  </si>
  <si>
    <t>12C4yeO</t>
  </si>
  <si>
    <t>1,2-butyleenoxide</t>
  </si>
  <si>
    <t>106-88-7</t>
  </si>
  <si>
    <t>12DAoBen</t>
  </si>
  <si>
    <t>1,2-diaminobenzeen</t>
  </si>
  <si>
    <t>95-54-5</t>
  </si>
  <si>
    <t>12DBr24DCNC4</t>
  </si>
  <si>
    <t>1,2-dibroom-2,4-dicyanobutaan</t>
  </si>
  <si>
    <t>35691-65-7</t>
  </si>
  <si>
    <t>12DBr3ClC3a</t>
  </si>
  <si>
    <t>1,2-dibroom-3-chloorpropaan</t>
  </si>
  <si>
    <t>96-12-8</t>
  </si>
  <si>
    <t>12DBrC2a</t>
  </si>
  <si>
    <t>1,2-dibroomethaan</t>
  </si>
  <si>
    <t>106-93-4</t>
  </si>
  <si>
    <t>12DC1y4C2yBe</t>
  </si>
  <si>
    <t>1,2-dimethyl-4-ethylbenzeen</t>
  </si>
  <si>
    <t>934-80-5</t>
  </si>
  <si>
    <t>12DC2oxC2a</t>
  </si>
  <si>
    <t>1,2-diethoxyethaan (diethylglycol)</t>
  </si>
  <si>
    <t>629-14-1</t>
  </si>
  <si>
    <t>12DC2yBen</t>
  </si>
  <si>
    <t>1,2-diethylbenzeen</t>
  </si>
  <si>
    <t>135-01-3</t>
  </si>
  <si>
    <t>12DClBen</t>
  </si>
  <si>
    <t>1,2-dichloorbenzeen</t>
  </si>
  <si>
    <t>95-50-1</t>
  </si>
  <si>
    <t>12DClC2a</t>
  </si>
  <si>
    <t>1,2-dichloorethaan</t>
  </si>
  <si>
    <t>107-06-2</t>
  </si>
  <si>
    <t>12DClC2e</t>
  </si>
  <si>
    <t>1,2-dichlooretheen</t>
  </si>
  <si>
    <t>540-59-0</t>
  </si>
  <si>
    <t>12DClC3a</t>
  </si>
  <si>
    <t>1,2-dichloorpropaan</t>
  </si>
  <si>
    <t>78-87-5</t>
  </si>
  <si>
    <t>12DClC3e</t>
  </si>
  <si>
    <t>1,2-dichloorpropeen</t>
  </si>
  <si>
    <t>563-54-2</t>
  </si>
  <si>
    <t>12DFyhdzne</t>
  </si>
  <si>
    <t>1,2-difenylhydrazine</t>
  </si>
  <si>
    <t>122-66-7</t>
  </si>
  <si>
    <t>12DHOxBen</t>
  </si>
  <si>
    <t>1,2-dihydroxybenzeen</t>
  </si>
  <si>
    <t>120-80-9</t>
  </si>
  <si>
    <t>12DNO2Ben</t>
  </si>
  <si>
    <t>1,2-dinitrobenzeen</t>
  </si>
  <si>
    <t>528-29-0</t>
  </si>
  <si>
    <t>12epOxC2yBen</t>
  </si>
  <si>
    <t>1,2-epoxyethylbenzeen</t>
  </si>
  <si>
    <t>96-09-3</t>
  </si>
  <si>
    <t>12xyln</t>
  </si>
  <si>
    <t>1,2-xyleen</t>
  </si>
  <si>
    <t>95-47-6</t>
  </si>
  <si>
    <t>133TC1yoidl</t>
  </si>
  <si>
    <t>1,3,3-trimethyloxindol</t>
  </si>
  <si>
    <t>20200-86-6</t>
  </si>
  <si>
    <t>134DClFy3C1y</t>
  </si>
  <si>
    <t>1-(3,4-dichloorfenyl)-3-methylureum</t>
  </si>
  <si>
    <t>3567-62-2</t>
  </si>
  <si>
    <t>134DClFyurum</t>
  </si>
  <si>
    <t>1-(3,4-dichloorfenyl)ureum</t>
  </si>
  <si>
    <t>2327-02-8</t>
  </si>
  <si>
    <t>135TBr223DBr</t>
  </si>
  <si>
    <t>1,3,5-tribroom-2-(2,3-dibroom-2-methylpropoxy)benzeen</t>
  </si>
  <si>
    <t>36065-30-2</t>
  </si>
  <si>
    <t>135TC1yBen</t>
  </si>
  <si>
    <t>1,3,5-trimethylbenzeen</t>
  </si>
  <si>
    <t>108-67-8</t>
  </si>
  <si>
    <t>135TCl246TC1</t>
  </si>
  <si>
    <t>1,3,5-trichloor-2,4,6-trimethylbenzeen</t>
  </si>
  <si>
    <t>5324-68-5</t>
  </si>
  <si>
    <t>135TClBen</t>
  </si>
  <si>
    <t>1,3,5-trichloorbenzeen</t>
  </si>
  <si>
    <t>108-70-3</t>
  </si>
  <si>
    <t>135TNO2Ben</t>
  </si>
  <si>
    <t>1,3,5-trinitrobenzeen</t>
  </si>
  <si>
    <t>99-35-4</t>
  </si>
  <si>
    <t>135Talicaurt</t>
  </si>
  <si>
    <t>1,3,5-triallylisocyanuraat</t>
  </si>
  <si>
    <t>1025-15-6</t>
  </si>
  <si>
    <t>135Tazn246TA</t>
  </si>
  <si>
    <t>1,3,5-Triazine-2,4,6-triamine (Melamine)</t>
  </si>
  <si>
    <t>108-78-1</t>
  </si>
  <si>
    <t>13C3yeDAeT4H</t>
  </si>
  <si>
    <t>1,3-propyleendiaminetatraazijnzuur</t>
  </si>
  <si>
    <t>1939-36-2</t>
  </si>
  <si>
    <t>13Clal357Taz</t>
  </si>
  <si>
    <t>1-(3-chloorallyl)-3,5,7-triaza-1-azoniaadamantaanchloride</t>
  </si>
  <si>
    <t>4080-31-3</t>
  </si>
  <si>
    <t>13DAoBen</t>
  </si>
  <si>
    <t>1,3-diaminobenzeen</t>
  </si>
  <si>
    <t>108-45-2</t>
  </si>
  <si>
    <t>13DC2yBen</t>
  </si>
  <si>
    <t>1,3-diethylbenzeen</t>
  </si>
  <si>
    <t>141-93-5</t>
  </si>
  <si>
    <t>13DCl2C3ol</t>
  </si>
  <si>
    <t>1,3-dichloor-2-propanol</t>
  </si>
  <si>
    <t>96-23-1</t>
  </si>
  <si>
    <t>13DCl5NO2Ben</t>
  </si>
  <si>
    <t>1,3-dichloor-5-nitrobenzeen</t>
  </si>
  <si>
    <t>618-62-2</t>
  </si>
  <si>
    <t>13DClBen</t>
  </si>
  <si>
    <t>1,3-dichloorbenzeen</t>
  </si>
  <si>
    <t>541-73-1</t>
  </si>
  <si>
    <t>13DClC3a</t>
  </si>
  <si>
    <t>1,3-dichloorpropaan</t>
  </si>
  <si>
    <t>142-28-9</t>
  </si>
  <si>
    <t>13DClC3e</t>
  </si>
  <si>
    <t>1,3-dichloorpropeen</t>
  </si>
  <si>
    <t>542-75-6</t>
  </si>
  <si>
    <t>13DFygandne</t>
  </si>
  <si>
    <t>1,3-difenylguanidine</t>
  </si>
  <si>
    <t>102-06-7</t>
  </si>
  <si>
    <t>13DHOxBen</t>
  </si>
  <si>
    <t>1,3-dihydroxybenzeen</t>
  </si>
  <si>
    <t>108-46-3</t>
  </si>
  <si>
    <t>13DNO2Ben</t>
  </si>
  <si>
    <t>1,3-dinitrobenzeen</t>
  </si>
  <si>
    <t>99-65-0</t>
  </si>
  <si>
    <t>13DOxan</t>
  </si>
  <si>
    <t>1,3-dioxaan</t>
  </si>
  <si>
    <t>505-22-6</t>
  </si>
  <si>
    <t>13DactBen</t>
  </si>
  <si>
    <t>1,3-diacetylbenzeen</t>
  </si>
  <si>
    <t>6781-42-6</t>
  </si>
  <si>
    <t>13DiC3yeBen</t>
  </si>
  <si>
    <t>1,3-di-isopropylbenzeen</t>
  </si>
  <si>
    <t>99-62-7</t>
  </si>
  <si>
    <t>13benztaz2sf</t>
  </si>
  <si>
    <t>1,3-benzothiazool-2-sulfonzuur</t>
  </si>
  <si>
    <t>941-57-1</t>
  </si>
  <si>
    <t>13butDen</t>
  </si>
  <si>
    <t>1,3-butadieen</t>
  </si>
  <si>
    <t>106-99-0</t>
  </si>
  <si>
    <t>13xyln</t>
  </si>
  <si>
    <t>1,3-xyleen</t>
  </si>
  <si>
    <t>108-38-3</t>
  </si>
  <si>
    <t>1458T4Ao910a</t>
  </si>
  <si>
    <t>1,4,5,8-tetraamino-9,10-anthrachinon</t>
  </si>
  <si>
    <t>2475-45-8</t>
  </si>
  <si>
    <t>14C4aDAe</t>
  </si>
  <si>
    <t>1,4-butaandiamine</t>
  </si>
  <si>
    <t>110-60-1</t>
  </si>
  <si>
    <t>14C4aDoDgcdE</t>
  </si>
  <si>
    <t>1,4-butaandioldiglycidylether</t>
  </si>
  <si>
    <t>2425-79-8</t>
  </si>
  <si>
    <t>14C4aDol</t>
  </si>
  <si>
    <t>1,4-butaandiol</t>
  </si>
  <si>
    <t>110-63-4</t>
  </si>
  <si>
    <t>14ClFyurum</t>
  </si>
  <si>
    <t>1-(4-chloorfenyl)ureum</t>
  </si>
  <si>
    <t>140-38-5</t>
  </si>
  <si>
    <t>14DAoBen</t>
  </si>
  <si>
    <t>1,4-diaminobenzeen</t>
  </si>
  <si>
    <t>106-50-3</t>
  </si>
  <si>
    <t>14DAoBenDHCl</t>
  </si>
  <si>
    <t>1,4-diaminobenzeen dihydrochloride</t>
  </si>
  <si>
    <t>624-18-0</t>
  </si>
  <si>
    <t>14DC1ox2356T</t>
  </si>
  <si>
    <t>1,4-dimethoxy-2,3,5,6-tetramethylbenzeen</t>
  </si>
  <si>
    <t>13199-54-7</t>
  </si>
  <si>
    <t>14DC1oxBen</t>
  </si>
  <si>
    <t>1,4-dimethoxybenzeen</t>
  </si>
  <si>
    <t>150-78-7</t>
  </si>
  <si>
    <t>14DC1y25DiC3</t>
  </si>
  <si>
    <t>1,4-dimethyl-2,5-diisopropylbenzeen</t>
  </si>
  <si>
    <t>10375-96-9</t>
  </si>
  <si>
    <t>14DC2oxBen</t>
  </si>
  <si>
    <t>1,4-diethoxybenzeen</t>
  </si>
  <si>
    <t>122-95-2</t>
  </si>
  <si>
    <t>14DC2yBen</t>
  </si>
  <si>
    <t>1,4-diethylbenzeen</t>
  </si>
  <si>
    <t>105-05-5</t>
  </si>
  <si>
    <t>14DC4oxBen</t>
  </si>
  <si>
    <t>1,4-dibutoxybenzeen</t>
  </si>
  <si>
    <t>104-36-9</t>
  </si>
  <si>
    <t>14DCl2C4e</t>
  </si>
  <si>
    <t>1,4-dichloor-2-buteen</t>
  </si>
  <si>
    <t>764-41-0</t>
  </si>
  <si>
    <t>14DClBen</t>
  </si>
  <si>
    <t>1,4-dichloorbenzeen</t>
  </si>
  <si>
    <t>106-46-7</t>
  </si>
  <si>
    <t>14DClC4a</t>
  </si>
  <si>
    <t>1,4-dichloorbutaan</t>
  </si>
  <si>
    <t>110-56-5</t>
  </si>
  <si>
    <t>14DHOxBen</t>
  </si>
  <si>
    <t>1,4-dihydroxybenzeen</t>
  </si>
  <si>
    <t>123-31-9</t>
  </si>
  <si>
    <t>14DNO2Ben</t>
  </si>
  <si>
    <t>1,4-dinitrobenzeen</t>
  </si>
  <si>
    <t>100-25-4</t>
  </si>
  <si>
    <t>14DOxan</t>
  </si>
  <si>
    <t>1,4-dioxaan</t>
  </si>
  <si>
    <t>123-91-1</t>
  </si>
  <si>
    <t>14DactBen</t>
  </si>
  <si>
    <t>1,4-diacetylbenzeen</t>
  </si>
  <si>
    <t>1009-61-6</t>
  </si>
  <si>
    <t>14DiC3yeBen</t>
  </si>
  <si>
    <t>1,4-di-isopropylbenzeen</t>
  </si>
  <si>
    <t>100-18-5</t>
  </si>
  <si>
    <t>14iC3yFy3C1y</t>
  </si>
  <si>
    <t>1-(4-isopropylfenyl)-3-methylureum</t>
  </si>
  <si>
    <t>34123-57-4</t>
  </si>
  <si>
    <t>14iC3yFyurum</t>
  </si>
  <si>
    <t>1-(4-isopropylfenyl)ureum</t>
  </si>
  <si>
    <t>56046-17-4</t>
  </si>
  <si>
    <t>14xyln</t>
  </si>
  <si>
    <t>1,4-xyleen</t>
  </si>
  <si>
    <t>106-42-3</t>
  </si>
  <si>
    <t>159ccddcten</t>
  </si>
  <si>
    <t>1,5,9-cyclododecatrieen</t>
  </si>
  <si>
    <t>4904-61-4</t>
  </si>
  <si>
    <t>15C5aDAe</t>
  </si>
  <si>
    <t>1,5-pentaandiamine</t>
  </si>
  <si>
    <t>462-94-2</t>
  </si>
  <si>
    <t>16DC1yNaf</t>
  </si>
  <si>
    <t>1,6-dimethylnaftaleen</t>
  </si>
  <si>
    <t>575-43-9</t>
  </si>
  <si>
    <t>17aestDol</t>
  </si>
  <si>
    <t>17alpha-estradiol</t>
  </si>
  <si>
    <t>57-91-0</t>
  </si>
  <si>
    <t>17bestDol</t>
  </si>
  <si>
    <t>17beta-estradiol</t>
  </si>
  <si>
    <t>50-28-2</t>
  </si>
  <si>
    <t>17naftrdne</t>
  </si>
  <si>
    <t>1,7-naftyridine</t>
  </si>
  <si>
    <t>253-69-0</t>
  </si>
  <si>
    <t>18cinole</t>
  </si>
  <si>
    <t>1,8-cineole</t>
  </si>
  <si>
    <t>470-82-6</t>
  </si>
  <si>
    <t>1Ao2C1yatqnn</t>
  </si>
  <si>
    <t>1-amino-2-methylanthraquinon</t>
  </si>
  <si>
    <t>82-28-0</t>
  </si>
  <si>
    <t>1AoC10a</t>
  </si>
  <si>
    <t>1-aminodecaan</t>
  </si>
  <si>
    <t>2016-57-1</t>
  </si>
  <si>
    <t>1AoC3a</t>
  </si>
  <si>
    <t>1-aminopropaan</t>
  </si>
  <si>
    <t>107-10-8</t>
  </si>
  <si>
    <t>1AoC4a</t>
  </si>
  <si>
    <t>1-aminobutaan</t>
  </si>
  <si>
    <t>109-73-9</t>
  </si>
  <si>
    <t>1AoC8a</t>
  </si>
  <si>
    <t>1-aminooctaan</t>
  </si>
  <si>
    <t>111-86-4</t>
  </si>
  <si>
    <t>1AoNaf</t>
  </si>
  <si>
    <t>1-aminonaftaleen</t>
  </si>
  <si>
    <t>134-32-7</t>
  </si>
  <si>
    <t>1C10e</t>
  </si>
  <si>
    <t>1-deceen</t>
  </si>
  <si>
    <t>872-05-9</t>
  </si>
  <si>
    <t>1C10ol</t>
  </si>
  <si>
    <t>1-decanol</t>
  </si>
  <si>
    <t>112-30-1</t>
  </si>
  <si>
    <t>1C16e</t>
  </si>
  <si>
    <t>1-hexadeceen</t>
  </si>
  <si>
    <t>629-73-2</t>
  </si>
  <si>
    <t>1C16ol</t>
  </si>
  <si>
    <t>1-hexadecanol</t>
  </si>
  <si>
    <t>36653-82-4</t>
  </si>
  <si>
    <t>1C1oxC3ol</t>
  </si>
  <si>
    <t>1-methoxy-2-propanol</t>
  </si>
  <si>
    <t>107-98-2</t>
  </si>
  <si>
    <t>1C1oxC4a</t>
  </si>
  <si>
    <t>1-methoxybutaan</t>
  </si>
  <si>
    <t>628-28-4</t>
  </si>
  <si>
    <t>1C1y2C3yBen</t>
  </si>
  <si>
    <t>1-methyl-2-propylbenzeen</t>
  </si>
  <si>
    <t>1074-17-5</t>
  </si>
  <si>
    <t>1C1y2prldnn</t>
  </si>
  <si>
    <t>1-methyl-2-pyrrolidinon</t>
  </si>
  <si>
    <t>872-50-4</t>
  </si>
  <si>
    <t>1C1yC12yBen</t>
  </si>
  <si>
    <t>1-methyldodecylbenzeen</t>
  </si>
  <si>
    <t>4534-53-6</t>
  </si>
  <si>
    <t>1C1yNaf</t>
  </si>
  <si>
    <t>1-methylnaftaleen</t>
  </si>
  <si>
    <t>90-12-0</t>
  </si>
  <si>
    <t>1C2ox2C3ol</t>
  </si>
  <si>
    <t>1-ethoxy-2-propanol</t>
  </si>
  <si>
    <t>1569-02-4</t>
  </si>
  <si>
    <t>1C2y1NO2sura</t>
  </si>
  <si>
    <t>1-ethyl-1-nitrosourea</t>
  </si>
  <si>
    <t>759-73-9</t>
  </si>
  <si>
    <t>1C2yC10yBen</t>
  </si>
  <si>
    <t>(1-ethyldecyl)-benzeen</t>
  </si>
  <si>
    <t>2400-00-2</t>
  </si>
  <si>
    <t>1C2yC9yBen</t>
  </si>
  <si>
    <t>(1-ethylnonyl)-benzeen</t>
  </si>
  <si>
    <t>4536-87-2</t>
  </si>
  <si>
    <t>1C2yididn</t>
  </si>
  <si>
    <t>1-ethylideenindeen</t>
  </si>
  <si>
    <t>2471-83-2</t>
  </si>
  <si>
    <t>1C3atol</t>
  </si>
  <si>
    <t>1-propaanthiol</t>
  </si>
  <si>
    <t>107-03-9</t>
  </si>
  <si>
    <t>1C3e</t>
  </si>
  <si>
    <t>1-propeen</t>
  </si>
  <si>
    <t>115-07-1</t>
  </si>
  <si>
    <t>1C3ol2ClPO4</t>
  </si>
  <si>
    <t>1-propanol-2-chloorfosfaat</t>
  </si>
  <si>
    <t>6145-73-9</t>
  </si>
  <si>
    <t>1C3yBen</t>
  </si>
  <si>
    <t>1-propylbenzeen</t>
  </si>
  <si>
    <t>103-65-1</t>
  </si>
  <si>
    <t>1C3yC9yBen</t>
  </si>
  <si>
    <t>(1-propylnonyl)-benzeen</t>
  </si>
  <si>
    <t>2719-64-4</t>
  </si>
  <si>
    <t>1C4atol</t>
  </si>
  <si>
    <t>1-butaanthiol</t>
  </si>
  <si>
    <t>109-79-5</t>
  </si>
  <si>
    <t>1C4yC7yBen</t>
  </si>
  <si>
    <t>1-(butylheptyl)-benzeen</t>
  </si>
  <si>
    <t>4537-15-9</t>
  </si>
  <si>
    <t>1C4yC8yBen</t>
  </si>
  <si>
    <t>(1-butyloctyl)-benzeen</t>
  </si>
  <si>
    <t>2719-63-3</t>
  </si>
  <si>
    <t>1C5atol</t>
  </si>
  <si>
    <t>1-pentaanthiol</t>
  </si>
  <si>
    <t>110-66-7</t>
  </si>
  <si>
    <t>1C5yC8yBen</t>
  </si>
  <si>
    <t>1-(pentyloctyl)-benzeen</t>
  </si>
  <si>
    <t>4534-49-0</t>
  </si>
  <si>
    <t>1C6Ol</t>
  </si>
  <si>
    <t>1-hexanol</t>
  </si>
  <si>
    <t>111-27-3</t>
  </si>
  <si>
    <t>1C7al</t>
  </si>
  <si>
    <t>1-heptanal</t>
  </si>
  <si>
    <t>111-71-7</t>
  </si>
  <si>
    <t>1C7e</t>
  </si>
  <si>
    <t>1-hepteen</t>
  </si>
  <si>
    <t>592-76-7</t>
  </si>
  <si>
    <t>1C7y2C1yccC3</t>
  </si>
  <si>
    <t>1-heptyl-2-methyl-cyclopropaan</t>
  </si>
  <si>
    <t>74663-91-5</t>
  </si>
  <si>
    <t>1C8e</t>
  </si>
  <si>
    <t>1-octeen</t>
  </si>
  <si>
    <t>111-66-0</t>
  </si>
  <si>
    <t>1C8ol</t>
  </si>
  <si>
    <t>1-octanol</t>
  </si>
  <si>
    <t>111-87-5</t>
  </si>
  <si>
    <t>1C9e</t>
  </si>
  <si>
    <t>1-noneen</t>
  </si>
  <si>
    <t>124-11-8</t>
  </si>
  <si>
    <t>1C9ol</t>
  </si>
  <si>
    <t>1-nonanol</t>
  </si>
  <si>
    <t>143-08-8</t>
  </si>
  <si>
    <t>1Cl24DNO2Ben</t>
  </si>
  <si>
    <t>1-chloor-2,4-dinitrobenzeen</t>
  </si>
  <si>
    <t>97-00-7</t>
  </si>
  <si>
    <t>1Cl2NO2Ben</t>
  </si>
  <si>
    <t>1-chloor-2-nitrobenzeen</t>
  </si>
  <si>
    <t>88-73-3</t>
  </si>
  <si>
    <t>1Cl3NO2Ben</t>
  </si>
  <si>
    <t>1-chloor-3-nitrobenzeen</t>
  </si>
  <si>
    <t>121-73-3</t>
  </si>
  <si>
    <t>1Cl4NO2Ben</t>
  </si>
  <si>
    <t>1-chloor-4-nitrobenzeen</t>
  </si>
  <si>
    <t>100-00-5</t>
  </si>
  <si>
    <t>1ClC16a</t>
  </si>
  <si>
    <t>1-chloorhexadecaan</t>
  </si>
  <si>
    <t>4860-03-1</t>
  </si>
  <si>
    <t>1ClC3a</t>
  </si>
  <si>
    <t>1-chloorpropaan</t>
  </si>
  <si>
    <t>540-54-5</t>
  </si>
  <si>
    <t>1ClC4a</t>
  </si>
  <si>
    <t>1-chloorbutaan</t>
  </si>
  <si>
    <t>109-69-3</t>
  </si>
  <si>
    <t>1ClNaf</t>
  </si>
  <si>
    <t>1-chloornaftaleen</t>
  </si>
  <si>
    <t>90-13-1</t>
  </si>
  <si>
    <t>1Fy1C5e3on</t>
  </si>
  <si>
    <t>1-fenyl-1-penteen-3-on</t>
  </si>
  <si>
    <t>3152-68-9</t>
  </si>
  <si>
    <t>1Fy2C2ol</t>
  </si>
  <si>
    <t>1-fenyl-2-ethanol</t>
  </si>
  <si>
    <t>60-12-8</t>
  </si>
  <si>
    <t>1FyC2yAe</t>
  </si>
  <si>
    <t>a-fenylethylamine</t>
  </si>
  <si>
    <t>618-36-0</t>
  </si>
  <si>
    <t>1HOxNaf</t>
  </si>
  <si>
    <t>1-hydroxynaftaleen</t>
  </si>
  <si>
    <t>90-15-3</t>
  </si>
  <si>
    <t>1HOxPyr</t>
  </si>
  <si>
    <t>1-hydroxypyreen</t>
  </si>
  <si>
    <t>5315-79-7</t>
  </si>
  <si>
    <t>1NO2Naf</t>
  </si>
  <si>
    <t>1-nitronaftaleen</t>
  </si>
  <si>
    <t>86-57-7</t>
  </si>
  <si>
    <t>1NO2Pyr</t>
  </si>
  <si>
    <t>1-nitropyreen</t>
  </si>
  <si>
    <t>5522-43-0</t>
  </si>
  <si>
    <t>1Nafactntl</t>
  </si>
  <si>
    <t>1-naftaleenacetonitril</t>
  </si>
  <si>
    <t>132-75-2</t>
  </si>
  <si>
    <t>1Nafsfzr</t>
  </si>
  <si>
    <t>1-naftaleensulfonzuur</t>
  </si>
  <si>
    <t>85-47-2</t>
  </si>
  <si>
    <t>1heneicsfmt</t>
  </si>
  <si>
    <t>1-heneicosylformaat</t>
  </si>
  <si>
    <t>77899-03-7</t>
  </si>
  <si>
    <t>1iC3y3C1yBen</t>
  </si>
  <si>
    <t>1-isopropyl-3-methyl-benzeen (m-cymeen)</t>
  </si>
  <si>
    <t>535-77-3</t>
  </si>
  <si>
    <t>1iC3y4C1yBen</t>
  </si>
  <si>
    <t>1-isopropyl-4-methyl-benzeen</t>
  </si>
  <si>
    <t>99-87-6</t>
  </si>
  <si>
    <t>1iCNC18a</t>
  </si>
  <si>
    <t>1-isocyanaat-octadecaan</t>
  </si>
  <si>
    <t>112-96-9</t>
  </si>
  <si>
    <t>1indnn</t>
  </si>
  <si>
    <t>1-indanon</t>
  </si>
  <si>
    <t>83-33-0</t>
  </si>
  <si>
    <t>1skamfr</t>
  </si>
  <si>
    <t>(1S)-kamfer</t>
  </si>
  <si>
    <t>464-48-2</t>
  </si>
  <si>
    <t>1tC4ox2C2oxC</t>
  </si>
  <si>
    <t>1-tert-butoxy-2-ethoxyethaan</t>
  </si>
  <si>
    <t>51422-54-9</t>
  </si>
  <si>
    <t>222C4oxC2oxC</t>
  </si>
  <si>
    <t>2-(2-(2-butoxyethoxy)ethoxy)ethanol</t>
  </si>
  <si>
    <t>143-22-6</t>
  </si>
  <si>
    <t>224C9yfOxC2o</t>
  </si>
  <si>
    <t>2-(2-(4-nonylfenoxy)ethoxy)ethanol</t>
  </si>
  <si>
    <t>20427-84-3</t>
  </si>
  <si>
    <t>224TC1y13C02</t>
  </si>
  <si>
    <t>2,2,4-trimethyl-1,3-pentaandioldiisobutyraat</t>
  </si>
  <si>
    <t>6846-50-0</t>
  </si>
  <si>
    <t>224TC1y13C5a</t>
  </si>
  <si>
    <t>2,2,4-trimethyl-1,3-pentaandiol</t>
  </si>
  <si>
    <t>144-19-4</t>
  </si>
  <si>
    <t>224TC1yC5a</t>
  </si>
  <si>
    <t>2,2,4-trimethylpentaan</t>
  </si>
  <si>
    <t>540-84-1</t>
  </si>
  <si>
    <t>2255T4C4yT4H</t>
  </si>
  <si>
    <t>2,2,5,5,-tetramethyl-tetrahydrofuran</t>
  </si>
  <si>
    <t>15045-43-9</t>
  </si>
  <si>
    <t>2266T4ClccC6</t>
  </si>
  <si>
    <t>2,2,6,6-tetrachloorcyclohexanon</t>
  </si>
  <si>
    <t>3776-30-5</t>
  </si>
  <si>
    <t>22C1oxC2oxC2</t>
  </si>
  <si>
    <t>2-(2-methoxyethoxy)ethanol</t>
  </si>
  <si>
    <t>111-77-3</t>
  </si>
  <si>
    <t>22C4oxC2ox02</t>
  </si>
  <si>
    <t>2-(2-butoxyethoxy)ethylacetaat</t>
  </si>
  <si>
    <t>124-17-4</t>
  </si>
  <si>
    <t>22C4oxC2oxC2</t>
  </si>
  <si>
    <t>2-(2-butoxyethoxy)ethanol</t>
  </si>
  <si>
    <t>112-34-5</t>
  </si>
  <si>
    <t>22DBr2caacam</t>
  </si>
  <si>
    <t>2,2-dibroom-2-cyaanaceetamide</t>
  </si>
  <si>
    <t>10222-01-2</t>
  </si>
  <si>
    <t>22DC1oxC3a</t>
  </si>
  <si>
    <t>2,2-dimethoxypropaan</t>
  </si>
  <si>
    <t>77-76-9</t>
  </si>
  <si>
    <t>22DClC3a</t>
  </si>
  <si>
    <t>2,2-dichloorpropaan</t>
  </si>
  <si>
    <t>594-20-7</t>
  </si>
  <si>
    <t>22DClDC2yEtr</t>
  </si>
  <si>
    <t>2,2-dichloordiethylether</t>
  </si>
  <si>
    <t>111-44-4</t>
  </si>
  <si>
    <t>22DClbzdne</t>
  </si>
  <si>
    <t>2,2'-dichloorbenzidine</t>
  </si>
  <si>
    <t>84-68-4</t>
  </si>
  <si>
    <t>22DClppozr</t>
  </si>
  <si>
    <t>2,2-dichloorpropionzuur</t>
  </si>
  <si>
    <t>75-99-0</t>
  </si>
  <si>
    <t>22DbztazDS</t>
  </si>
  <si>
    <t>2,2-dibenzothiazyldisulfide</t>
  </si>
  <si>
    <t>120-78-5</t>
  </si>
  <si>
    <t>2345PeBrC2y</t>
  </si>
  <si>
    <t>2,3,4,5,6-pentabroomethylbenzeen</t>
  </si>
  <si>
    <t>85-22-3</t>
  </si>
  <si>
    <t>2345T4ClAn</t>
  </si>
  <si>
    <t>2,3,4,5-tetrachlooraniline</t>
  </si>
  <si>
    <t>634-83-3</t>
  </si>
  <si>
    <t>2345T4ClFol</t>
  </si>
  <si>
    <t>2,3,4,5-tetrachloorfenol</t>
  </si>
  <si>
    <t>4901-51-3</t>
  </si>
  <si>
    <t>2346T4ClAn</t>
  </si>
  <si>
    <t>2,3,4,6-tetrachlooraniline</t>
  </si>
  <si>
    <t>654-36-4</t>
  </si>
  <si>
    <t>2346T4ClFol</t>
  </si>
  <si>
    <t>2,3,4,6-tetrachloorfenol</t>
  </si>
  <si>
    <t>58-90-2</t>
  </si>
  <si>
    <t>234TC1y2C5e</t>
  </si>
  <si>
    <t>2,3,4-Trimethyl-2-penteen</t>
  </si>
  <si>
    <t>61665-19-8</t>
  </si>
  <si>
    <t>234TC1yAn</t>
  </si>
  <si>
    <t>2,3,4-trimethylaniline</t>
  </si>
  <si>
    <t>1467-35-2</t>
  </si>
  <si>
    <t>234TClAn</t>
  </si>
  <si>
    <t>2,3,4-trichlooraniline</t>
  </si>
  <si>
    <t>634-67-3</t>
  </si>
  <si>
    <t>234TClFol</t>
  </si>
  <si>
    <t>2,3,4-trichloorfenol</t>
  </si>
  <si>
    <t>15950-66-0</t>
  </si>
  <si>
    <t>2356T4ClAn</t>
  </si>
  <si>
    <t>2,3,5,6-tetrachlooraniline</t>
  </si>
  <si>
    <t>3481-20-7</t>
  </si>
  <si>
    <t>2356T4ClFol</t>
  </si>
  <si>
    <t>2,3,5,6-tetrachloorfenol</t>
  </si>
  <si>
    <t>935-95-5</t>
  </si>
  <si>
    <t>235TC1yFol</t>
  </si>
  <si>
    <t>2,3,5-trimethylfenol</t>
  </si>
  <si>
    <t>697-82-5</t>
  </si>
  <si>
    <t>235TClAn</t>
  </si>
  <si>
    <t>2,3,5-trichlooraniline</t>
  </si>
  <si>
    <t>18487-39-3</t>
  </si>
  <si>
    <t>235TClFol</t>
  </si>
  <si>
    <t>2,3,5-trichloorfenol</t>
  </si>
  <si>
    <t>933-78-8</t>
  </si>
  <si>
    <t>235Tmtcb</t>
  </si>
  <si>
    <t>2,3,5-trimethacarb</t>
  </si>
  <si>
    <t>2655-15-4</t>
  </si>
  <si>
    <t>236TC1yC7a</t>
  </si>
  <si>
    <t>2,3,6-trimethylheptaan</t>
  </si>
  <si>
    <t>4032-93-3</t>
  </si>
  <si>
    <t>236TClAn</t>
  </si>
  <si>
    <t>2,3,6-trichlooraniline</t>
  </si>
  <si>
    <t>88963-39-7</t>
  </si>
  <si>
    <t>236TClFol</t>
  </si>
  <si>
    <t>2,3,6-trichloorfenol</t>
  </si>
  <si>
    <t>933-75-5</t>
  </si>
  <si>
    <t>23C4aDol</t>
  </si>
  <si>
    <t>dimethylglycol</t>
  </si>
  <si>
    <t>513-85-9</t>
  </si>
  <si>
    <t>23C4aDon</t>
  </si>
  <si>
    <t>2,3-butadion</t>
  </si>
  <si>
    <t>431-03-8</t>
  </si>
  <si>
    <t>23DC1yC4a</t>
  </si>
  <si>
    <t>2,3-dimethylbutaan</t>
  </si>
  <si>
    <t>79-29-8</t>
  </si>
  <si>
    <t>23DC1yFol</t>
  </si>
  <si>
    <t>2,3-dimethylfenol</t>
  </si>
  <si>
    <t>526-75-0</t>
  </si>
  <si>
    <t>23DC1yprdne</t>
  </si>
  <si>
    <t>2,3-dimethylpyridine</t>
  </si>
  <si>
    <t>583-61-9</t>
  </si>
  <si>
    <t>23DClAn</t>
  </si>
  <si>
    <t>2,3-dichlooraniline</t>
  </si>
  <si>
    <t>608-27-5</t>
  </si>
  <si>
    <t>23DClBencbzr</t>
  </si>
  <si>
    <t>2,3-dichloorbenzeencarbonzuur</t>
  </si>
  <si>
    <t>50-45-3</t>
  </si>
  <si>
    <t>23DClC3e</t>
  </si>
  <si>
    <t>2,3-dichloorpropeen</t>
  </si>
  <si>
    <t>78-88-6</t>
  </si>
  <si>
    <t>23DClC3ol</t>
  </si>
  <si>
    <t>2,3-dichloorpropanol</t>
  </si>
  <si>
    <t>616-23-9</t>
  </si>
  <si>
    <t>23DClFol</t>
  </si>
  <si>
    <t>2,3-dichloorfenol</t>
  </si>
  <si>
    <t>576-24-9</t>
  </si>
  <si>
    <t>23DClFyiCN</t>
  </si>
  <si>
    <t>2,3-dichloorfenylisocyanaat</t>
  </si>
  <si>
    <t>41195-90-8</t>
  </si>
  <si>
    <t>23DClNO2Ben</t>
  </si>
  <si>
    <t>2,3-dichloornitrobenzeen</t>
  </si>
  <si>
    <t>3209-22-1</t>
  </si>
  <si>
    <t>23DHindl2on</t>
  </si>
  <si>
    <t>2,3-dihydroindol-2-on</t>
  </si>
  <si>
    <t>59-48-3</t>
  </si>
  <si>
    <t>23DNO2Fol</t>
  </si>
  <si>
    <t>2,3-dinitrofenol</t>
  </si>
  <si>
    <t>66-56-8</t>
  </si>
  <si>
    <t>23DNO2Tol</t>
  </si>
  <si>
    <t>2,3-dinitrotolueen</t>
  </si>
  <si>
    <t>602-01-7</t>
  </si>
  <si>
    <t>23epOxC3yTC1</t>
  </si>
  <si>
    <t>2,3-epoxypropyltrimethylammoniumchloride</t>
  </si>
  <si>
    <t>3033-77-0</t>
  </si>
  <si>
    <t>23xyldne</t>
  </si>
  <si>
    <t>2,3-xylidine</t>
  </si>
  <si>
    <t>87-59-2</t>
  </si>
  <si>
    <t>244TC1y13C5a</t>
  </si>
  <si>
    <t>2,4,4-trimethyl-1,3-pentaandiol-1-isobutyraat</t>
  </si>
  <si>
    <t>74367-34-3</t>
  </si>
  <si>
    <t>245T</t>
  </si>
  <si>
    <t>2,4,5-trichloorfenoxyazijnzuur</t>
  </si>
  <si>
    <t>93-76-5</t>
  </si>
  <si>
    <t>245TC1yAn</t>
  </si>
  <si>
    <t>2,4,5-trimethylaniline</t>
  </si>
  <si>
    <t>137-17-7</t>
  </si>
  <si>
    <t>245TClAn</t>
  </si>
  <si>
    <t>2,4,5-trichlooraniline</t>
  </si>
  <si>
    <t>636-30-6</t>
  </si>
  <si>
    <t>245TClFol</t>
  </si>
  <si>
    <t>2,4,5-trichloorfenol</t>
  </si>
  <si>
    <t>95-95-4</t>
  </si>
  <si>
    <t>245TP</t>
  </si>
  <si>
    <t>2,4,5-trichloorfenoxypropionzuur</t>
  </si>
  <si>
    <t>93-72-1</t>
  </si>
  <si>
    <t>246TBrFol</t>
  </si>
  <si>
    <t>2,4,6-tribroomfenol</t>
  </si>
  <si>
    <t>118-79-6</t>
  </si>
  <si>
    <t>246TC1yAn</t>
  </si>
  <si>
    <t>2,4,6-trimethylaniline</t>
  </si>
  <si>
    <t>88-05-1</t>
  </si>
  <si>
    <t>246TC1yFol</t>
  </si>
  <si>
    <t>2,4,6-trimethylfenol</t>
  </si>
  <si>
    <t>527-60-6</t>
  </si>
  <si>
    <t>246TC1yprdne</t>
  </si>
  <si>
    <t>2,4,6-trimethylpyridine</t>
  </si>
  <si>
    <t>108-75-8</t>
  </si>
  <si>
    <t>246TClAn</t>
  </si>
  <si>
    <t>2,4,6-trichlooraniline</t>
  </si>
  <si>
    <t>634-93-5</t>
  </si>
  <si>
    <t>246TClFol</t>
  </si>
  <si>
    <t>2,4,6-trichloorfenol</t>
  </si>
  <si>
    <t>88-06-2</t>
  </si>
  <si>
    <t>246TNO2Fol</t>
  </si>
  <si>
    <t>2,4,6-trinitrofenol</t>
  </si>
  <si>
    <t>88-89-1</t>
  </si>
  <si>
    <t>246TttC4yFol</t>
  </si>
  <si>
    <t>2,4,6-tri-tert-butylfenol</t>
  </si>
  <si>
    <t>732-26-3</t>
  </si>
  <si>
    <t>2479T4C1y5dc</t>
  </si>
  <si>
    <t>2,4,7,9-tetramethyl-5-decyn-4,7-diol</t>
  </si>
  <si>
    <t>126-86-3</t>
  </si>
  <si>
    <t>24810T4Oasr5</t>
  </si>
  <si>
    <t>2,4,8,10 tetraoxaspiro(5.5)undecaan</t>
  </si>
  <si>
    <t>126-54-5</t>
  </si>
  <si>
    <t>24D</t>
  </si>
  <si>
    <t>2,4-dichloorfenoxyazijnzuur</t>
  </si>
  <si>
    <t>94-75-7</t>
  </si>
  <si>
    <t>24D2C2y4C1yC</t>
  </si>
  <si>
    <t>2,4-D 2-ethyl-4-methylpentyl ester</t>
  </si>
  <si>
    <t>53404-37-8</t>
  </si>
  <si>
    <t>24D2C2yC6yEs</t>
  </si>
  <si>
    <t>2,4-D 2-ethylhexylester</t>
  </si>
  <si>
    <t>1928-43-4</t>
  </si>
  <si>
    <t>24DAo6NO2Tol</t>
  </si>
  <si>
    <t>2,4-diamino-6-nitrotolueen</t>
  </si>
  <si>
    <t>6629-29-4</t>
  </si>
  <si>
    <t>24DAoTol</t>
  </si>
  <si>
    <t>2,4-diaminotolueen</t>
  </si>
  <si>
    <t>95-80-7</t>
  </si>
  <si>
    <t>24DAoansSO4</t>
  </si>
  <si>
    <t>2,4-diaminoanisolsulfaat</t>
  </si>
  <si>
    <t>39156-41-7</t>
  </si>
  <si>
    <t>24DAoansl</t>
  </si>
  <si>
    <t>2,4-diaminoanisol</t>
  </si>
  <si>
    <t>615-05-4</t>
  </si>
  <si>
    <t>24DB</t>
  </si>
  <si>
    <t>2,4-dichloorfenoxyboterzuur</t>
  </si>
  <si>
    <t>94-82-6</t>
  </si>
  <si>
    <t>24DC1y3C6ol</t>
  </si>
  <si>
    <t>2,4-dimethyl-3-hexanol</t>
  </si>
  <si>
    <t>13432-25-2</t>
  </si>
  <si>
    <t>24DC1yBenAh</t>
  </si>
  <si>
    <t>2,4-dimethylbenzaldehyde</t>
  </si>
  <si>
    <t>15764-16-6</t>
  </si>
  <si>
    <t>24DC1yC5a</t>
  </si>
  <si>
    <t>2,4-dimethylpentaan</t>
  </si>
  <si>
    <t>108-08-7</t>
  </si>
  <si>
    <t>24DC1yC5on</t>
  </si>
  <si>
    <t>2,4-dimethyl-3-pentanon</t>
  </si>
  <si>
    <t>565-80-0</t>
  </si>
  <si>
    <t>24DC1yC6a</t>
  </si>
  <si>
    <t>2,4-dimethylhexaan</t>
  </si>
  <si>
    <t>589-43-5</t>
  </si>
  <si>
    <t>24DC1yFol</t>
  </si>
  <si>
    <t>2,4-dimethylfenol</t>
  </si>
  <si>
    <t>105-67-9</t>
  </si>
  <si>
    <t>24DC1yprdne</t>
  </si>
  <si>
    <t>2,4-dimethylpyridine</t>
  </si>
  <si>
    <t>108-47-4</t>
  </si>
  <si>
    <t>24DC1yqnlne</t>
  </si>
  <si>
    <t>2,4-dimethylquinoline</t>
  </si>
  <si>
    <t>1198-37-4</t>
  </si>
  <si>
    <t>24DC3yegC4yE</t>
  </si>
  <si>
    <t>2,4-D propyleen glycol butyl ether ester</t>
  </si>
  <si>
    <t>1320-18-9</t>
  </si>
  <si>
    <t>24DC4oxC2yEs</t>
  </si>
  <si>
    <t>2,4-D butoxyethylester</t>
  </si>
  <si>
    <t>1929-73-3</t>
  </si>
  <si>
    <t>24DC4yEsr</t>
  </si>
  <si>
    <t>2,4-D butyl ester</t>
  </si>
  <si>
    <t>94-80-4</t>
  </si>
  <si>
    <t>24DCl6NO2An</t>
  </si>
  <si>
    <t>2,4-dichloor-6-nitroaniline</t>
  </si>
  <si>
    <t>2683-43-4</t>
  </si>
  <si>
    <t>24DClAn</t>
  </si>
  <si>
    <t>2,4-dichlooraniline</t>
  </si>
  <si>
    <t>554-00-7</t>
  </si>
  <si>
    <t>24DClFol</t>
  </si>
  <si>
    <t>2,4-dichloorfenol</t>
  </si>
  <si>
    <t>120-83-2</t>
  </si>
  <si>
    <t>24DClNO2Ben</t>
  </si>
  <si>
    <t>2,4-dichloornitrobenzeen</t>
  </si>
  <si>
    <t>611-06-3</t>
  </si>
  <si>
    <t>24DClctEsr</t>
  </si>
  <si>
    <t>2,4-D chloorcrotyl-ester</t>
  </si>
  <si>
    <t>2971-38-2</t>
  </si>
  <si>
    <t>24DDD</t>
  </si>
  <si>
    <t>2,4'-dichloordifenyldichloorethaan</t>
  </si>
  <si>
    <t>53-19-0</t>
  </si>
  <si>
    <t>24DDE</t>
  </si>
  <si>
    <t>2,4'-dichloordifenyldichlooretheen</t>
  </si>
  <si>
    <t>3424-82-6</t>
  </si>
  <si>
    <t>24DDT</t>
  </si>
  <si>
    <t>2,4'-dichloordifenyltrichloorethaan</t>
  </si>
  <si>
    <t>789-02-6</t>
  </si>
  <si>
    <t>24DNO2An</t>
  </si>
  <si>
    <t>2,4-dinitroaniline</t>
  </si>
  <si>
    <t>97-02-9</t>
  </si>
  <si>
    <t>24DNO2Fol</t>
  </si>
  <si>
    <t>2,4-dinitrofenol</t>
  </si>
  <si>
    <t>51-28-5</t>
  </si>
  <si>
    <t>24DNO2Tol</t>
  </si>
  <si>
    <t>2,4-dinitrotolueen</t>
  </si>
  <si>
    <t>121-14-2</t>
  </si>
  <si>
    <t>24DNazt</t>
  </si>
  <si>
    <t>2,4-D natrium zout</t>
  </si>
  <si>
    <t>2702-72-9</t>
  </si>
  <si>
    <t>24DP</t>
  </si>
  <si>
    <t>2,4-dichloorfenoxypropionzuur</t>
  </si>
  <si>
    <t>120-36-5</t>
  </si>
  <si>
    <t>24DiC3yEsr</t>
  </si>
  <si>
    <t>2,4-D isopropyl ester</t>
  </si>
  <si>
    <t>94-11-1</t>
  </si>
  <si>
    <t>24DttC4yFol</t>
  </si>
  <si>
    <t>2,4-di-tertiair-butylfenol</t>
  </si>
  <si>
    <t>96-76-4</t>
  </si>
  <si>
    <t>24TolDiCN</t>
  </si>
  <si>
    <t>2,4-tolueendiisocyanaat</t>
  </si>
  <si>
    <t>584-84-9</t>
  </si>
  <si>
    <t>24xyldne</t>
  </si>
  <si>
    <t>2,4-xylidine</t>
  </si>
  <si>
    <t>95-68-1</t>
  </si>
  <si>
    <t>25811T4OaC12</t>
  </si>
  <si>
    <t>2,5,8,11-tetraoxadodecaan</t>
  </si>
  <si>
    <t>112-49-2</t>
  </si>
  <si>
    <t>25DC1yC6a</t>
  </si>
  <si>
    <t>2,5-dimethylhexaan</t>
  </si>
  <si>
    <t>592-13-2</t>
  </si>
  <si>
    <t>25DC1yFol</t>
  </si>
  <si>
    <t>2,5-dimethylfenol</t>
  </si>
  <si>
    <t>95-87-4</t>
  </si>
  <si>
    <t>25DC2oxAn</t>
  </si>
  <si>
    <t>2,5-diethoxyaniline</t>
  </si>
  <si>
    <t>94-85-9</t>
  </si>
  <si>
    <t>25DCl4NO2An</t>
  </si>
  <si>
    <t>2,5-dichloor-4-nitroaniline</t>
  </si>
  <si>
    <t>6627-34-5</t>
  </si>
  <si>
    <t>25DCl6NO2An</t>
  </si>
  <si>
    <t>3,6-dichloor-2-nitroaniline</t>
  </si>
  <si>
    <t>15944-74-8</t>
  </si>
  <si>
    <t>25DClAn</t>
  </si>
  <si>
    <t>2,5-dichlooraniline</t>
  </si>
  <si>
    <t>95-82-9</t>
  </si>
  <si>
    <t>25DClFol</t>
  </si>
  <si>
    <t>2,5-dichloorfenol</t>
  </si>
  <si>
    <t>583-78-8</t>
  </si>
  <si>
    <t>25DClNO2Ben</t>
  </si>
  <si>
    <t>2,5-dichloornitrobenzeen</t>
  </si>
  <si>
    <t>89-61-2</t>
  </si>
  <si>
    <t>25DNO2Fol</t>
  </si>
  <si>
    <t>2,5-dinitrofenol</t>
  </si>
  <si>
    <t>329-71-5</t>
  </si>
  <si>
    <t>25DNO2Tol</t>
  </si>
  <si>
    <t>2,5-dinitrotolueen</t>
  </si>
  <si>
    <t>619-15-8</t>
  </si>
  <si>
    <t>25furDon</t>
  </si>
  <si>
    <t>2,5-furaandion</t>
  </si>
  <si>
    <t>108-31-6</t>
  </si>
  <si>
    <t>25xyldne</t>
  </si>
  <si>
    <t>2,5-xylidine</t>
  </si>
  <si>
    <t>95-78-3</t>
  </si>
  <si>
    <t>261014T4C102</t>
  </si>
  <si>
    <t>2,6,10,14-tetramethylhexadecaan</t>
  </si>
  <si>
    <t>638-36-8</t>
  </si>
  <si>
    <t>261014T4C1yC</t>
  </si>
  <si>
    <t>2,6,10,14-tetramethylpentadecaan</t>
  </si>
  <si>
    <t>1921-70-6</t>
  </si>
  <si>
    <t>26ClF12C6oxT</t>
  </si>
  <si>
    <t>2(6chloor-dodecafluorhexoxy)-tetrafluorethaansulfonaat,Kzout</t>
  </si>
  <si>
    <t>73606-19-6</t>
  </si>
  <si>
    <t>26DAo4NO2Tol</t>
  </si>
  <si>
    <t>2,6-diamino-4-nitrotolueen</t>
  </si>
  <si>
    <t>59229-75-3</t>
  </si>
  <si>
    <t>26DC1y4C7ol</t>
  </si>
  <si>
    <t>2,6-dimethyl-4-heptanol</t>
  </si>
  <si>
    <t>108-82-7</t>
  </si>
  <si>
    <t>26DC1y4C7on</t>
  </si>
  <si>
    <t>2,6-dimethyl-4-heptanon</t>
  </si>
  <si>
    <t>108-83-8</t>
  </si>
  <si>
    <t>26DC1yFol</t>
  </si>
  <si>
    <t>2,6-dimethylfenol</t>
  </si>
  <si>
    <t>576-26-1</t>
  </si>
  <si>
    <t>26DC1yprdne</t>
  </si>
  <si>
    <t>2,6-dimethylpyridine</t>
  </si>
  <si>
    <t>108-48-5</t>
  </si>
  <si>
    <t>26DC1yqnlne</t>
  </si>
  <si>
    <t>2,6-dimethylquinoline</t>
  </si>
  <si>
    <t>877-43-0</t>
  </si>
  <si>
    <t>26DC2yAn</t>
  </si>
  <si>
    <t>2,6-diethylaniline</t>
  </si>
  <si>
    <t>579-66-8</t>
  </si>
  <si>
    <t>26DCl3C1yAn</t>
  </si>
  <si>
    <t>2,6-dichloor-3-methylaniline</t>
  </si>
  <si>
    <t>64063-37-2</t>
  </si>
  <si>
    <t>26DCl4C1yFol</t>
  </si>
  <si>
    <t>2,6-dichloor-4-methylfenol</t>
  </si>
  <si>
    <t>2432-12-4</t>
  </si>
  <si>
    <t>26DCl4NO2An</t>
  </si>
  <si>
    <t>2,6-dichloor-4-nitroaniline</t>
  </si>
  <si>
    <t>99-30-9</t>
  </si>
  <si>
    <t>26DClAn</t>
  </si>
  <si>
    <t>2,6-dichlooraniline</t>
  </si>
  <si>
    <t>608-31-1</t>
  </si>
  <si>
    <t>26DClBenAd</t>
  </si>
  <si>
    <t>2,6-dichloorbenzamide</t>
  </si>
  <si>
    <t>2008-58-4</t>
  </si>
  <si>
    <t>26DClFol</t>
  </si>
  <si>
    <t>2,6-dichloorfenol</t>
  </si>
  <si>
    <t>87-65-0</t>
  </si>
  <si>
    <t>26DClbenzzr</t>
  </si>
  <si>
    <t>2,6-dichloorbenzoezuur</t>
  </si>
  <si>
    <t>50-30-6</t>
  </si>
  <si>
    <t>26DFBenAd</t>
  </si>
  <si>
    <t>2,6-difluorbenzamide</t>
  </si>
  <si>
    <t>18063-03-1</t>
  </si>
  <si>
    <t>26DNO2An</t>
  </si>
  <si>
    <t>2,6-dinitroaniline</t>
  </si>
  <si>
    <t>606-22-4</t>
  </si>
  <si>
    <t>26DNO2Fol</t>
  </si>
  <si>
    <t>2,6-dinitrofenol</t>
  </si>
  <si>
    <t>573-56-8</t>
  </si>
  <si>
    <t>26DNO2Tol</t>
  </si>
  <si>
    <t>2,6-dinitrotolueen</t>
  </si>
  <si>
    <t>606-20-2</t>
  </si>
  <si>
    <t>26DttC4y14be</t>
  </si>
  <si>
    <t>2,6-di-tert-butyl-1,4-benzochinon</t>
  </si>
  <si>
    <t>719-22-2</t>
  </si>
  <si>
    <t>26DttC4yFol</t>
  </si>
  <si>
    <t>2,6-di-tert-butylfenol</t>
  </si>
  <si>
    <t>128-39-2</t>
  </si>
  <si>
    <t>26TolDAe</t>
  </si>
  <si>
    <t>2,6-tolueendiamine</t>
  </si>
  <si>
    <t>823-40-5</t>
  </si>
  <si>
    <t>26TolDiCN</t>
  </si>
  <si>
    <t>2,6-tolueendiisocyanaat</t>
  </si>
  <si>
    <t>91-08-7</t>
  </si>
  <si>
    <t>26xyldne</t>
  </si>
  <si>
    <t>2,6-xylidine</t>
  </si>
  <si>
    <t>87-62-7</t>
  </si>
  <si>
    <t>28ClF16C8oxT</t>
  </si>
  <si>
    <t>2(8chloor-hexadecafluoroctoxy)-tetrafluorethaansulfonzuur,Kz</t>
  </si>
  <si>
    <t>83329-89-9</t>
  </si>
  <si>
    <t>2Ao46DNO2Tol</t>
  </si>
  <si>
    <t>2-amino-4,6-dinitrotolueen</t>
  </si>
  <si>
    <t>35572-78-2</t>
  </si>
  <si>
    <t>2Ao4ClFol</t>
  </si>
  <si>
    <t>2-amino-4-chloorfenol</t>
  </si>
  <si>
    <t>95-85-2</t>
  </si>
  <si>
    <t>2Ao6NO2Tol</t>
  </si>
  <si>
    <t>2-amino-6-nitrotolueen</t>
  </si>
  <si>
    <t>603-83-8</t>
  </si>
  <si>
    <t>2AoC2ypprzne</t>
  </si>
  <si>
    <t>2-aminoethylpiperazine</t>
  </si>
  <si>
    <t>140-31-8</t>
  </si>
  <si>
    <t>2AoNaf</t>
  </si>
  <si>
    <t>2-aminonaftaleen</t>
  </si>
  <si>
    <t>91-59-8</t>
  </si>
  <si>
    <t>2Aoactfnn</t>
  </si>
  <si>
    <t>2-aminoacetofenon</t>
  </si>
  <si>
    <t>551-93-9</t>
  </si>
  <si>
    <t>2Aoatcnn</t>
  </si>
  <si>
    <t>2-aminoanthrachinon</t>
  </si>
  <si>
    <t>117-79-3</t>
  </si>
  <si>
    <t>2Aobztzl</t>
  </si>
  <si>
    <t>2-aminobenzothiazool</t>
  </si>
  <si>
    <t>136-95-8</t>
  </si>
  <si>
    <t>2Aoflubdzle</t>
  </si>
  <si>
    <t>2-aminoflubendazole</t>
  </si>
  <si>
    <t>82050-13-3</t>
  </si>
  <si>
    <t>2Br14HOFyC2a</t>
  </si>
  <si>
    <t>2-broom-1-(4-hydroxyfenyl)ethaan-1-on</t>
  </si>
  <si>
    <t>2491-38-5</t>
  </si>
  <si>
    <t>2C11on</t>
  </si>
  <si>
    <t>2-undecanon</t>
  </si>
  <si>
    <t>112-12-9</t>
  </si>
  <si>
    <t>2C19on</t>
  </si>
  <si>
    <t>2-nonadecanon</t>
  </si>
  <si>
    <t>629-66-3</t>
  </si>
  <si>
    <t>2C1ox1C3ol</t>
  </si>
  <si>
    <t>2-methoxy-1-propanol</t>
  </si>
  <si>
    <t>1589-47-5</t>
  </si>
  <si>
    <t>2C1ox2C1yC4a</t>
  </si>
  <si>
    <t>2-methoxy-2-methylbutaan</t>
  </si>
  <si>
    <t>994-05-8</t>
  </si>
  <si>
    <t>2C1ox4NO2Fol</t>
  </si>
  <si>
    <t>2-methoxy-4-nitrofenol</t>
  </si>
  <si>
    <t>3251-56-7</t>
  </si>
  <si>
    <t>2C1oxAn</t>
  </si>
  <si>
    <t>2-methoxyaniline</t>
  </si>
  <si>
    <t>90-04-0</t>
  </si>
  <si>
    <t>2C1oxC2ol</t>
  </si>
  <si>
    <t>2-methoxyethanol</t>
  </si>
  <si>
    <t>109-86-4</t>
  </si>
  <si>
    <t>2C1oxC2yactt</t>
  </si>
  <si>
    <t>2-methoxyethylacetaat</t>
  </si>
  <si>
    <t>110-49-6</t>
  </si>
  <si>
    <t>2C1oxNaf</t>
  </si>
  <si>
    <t>2-methoxynaftaleen</t>
  </si>
  <si>
    <t>93-04-9</t>
  </si>
  <si>
    <t>2C1y1C3al</t>
  </si>
  <si>
    <t>2-methyl-1-propanal</t>
  </si>
  <si>
    <t>78-84-2</t>
  </si>
  <si>
    <t>2C1y1C3atol</t>
  </si>
  <si>
    <t>2-methyl-1-propaanthiol</t>
  </si>
  <si>
    <t>513-44-0</t>
  </si>
  <si>
    <t>2C1y1Fy2C3ol</t>
  </si>
  <si>
    <t>2-methyl-1-fenyl-2-propanol</t>
  </si>
  <si>
    <t>100-86-7</t>
  </si>
  <si>
    <t>2C1y2C3atol</t>
  </si>
  <si>
    <t>2-methyl-2-propaanthiol</t>
  </si>
  <si>
    <t>75-66-1</t>
  </si>
  <si>
    <t>2C1y2C4ol</t>
  </si>
  <si>
    <t>2-methyl-2-butanol</t>
  </si>
  <si>
    <t>75-85-4</t>
  </si>
  <si>
    <t>2C1y2Hitaz3o</t>
  </si>
  <si>
    <t>2-methyl-2H-isothiazool-3-on</t>
  </si>
  <si>
    <t>2682-20-4</t>
  </si>
  <si>
    <t>2C1y2bztazl</t>
  </si>
  <si>
    <t>2-methyl-2-benzotriazool</t>
  </si>
  <si>
    <t>16584-00-2</t>
  </si>
  <si>
    <t>2C1y2tazlne</t>
  </si>
  <si>
    <t>2-methyl-2-thiazoline</t>
  </si>
  <si>
    <t>2346-00-1</t>
  </si>
  <si>
    <t>2C1y5NO2imdz</t>
  </si>
  <si>
    <t>2-methyl-5-nitroimidazool</t>
  </si>
  <si>
    <t>696-23-1</t>
  </si>
  <si>
    <t>2C1yAn</t>
  </si>
  <si>
    <t>2-methylaniline</t>
  </si>
  <si>
    <t>95-53-4</t>
  </si>
  <si>
    <t>2C1yC3ol</t>
  </si>
  <si>
    <t>2-methylpropanol (iso-butanol)</t>
  </si>
  <si>
    <t>78-83-1</t>
  </si>
  <si>
    <t>2C1yC4a</t>
  </si>
  <si>
    <t>2-methylbutaan</t>
  </si>
  <si>
    <t>78-78-4</t>
  </si>
  <si>
    <t>2C1yC5a</t>
  </si>
  <si>
    <t>2-methylpentaan</t>
  </si>
  <si>
    <t>107-83-5</t>
  </si>
  <si>
    <t>2C1yC6a</t>
  </si>
  <si>
    <t>2-methylhexaan</t>
  </si>
  <si>
    <t>591-76-4</t>
  </si>
  <si>
    <t>2C1yC6azr</t>
  </si>
  <si>
    <t>2-methylhexaanzuur</t>
  </si>
  <si>
    <t>4536-23-6</t>
  </si>
  <si>
    <t>2C1yC7a</t>
  </si>
  <si>
    <t>2-methylheptaan</t>
  </si>
  <si>
    <t>592-27-8</t>
  </si>
  <si>
    <t>2C1yNaf</t>
  </si>
  <si>
    <t>2-methylnaftaleen</t>
  </si>
  <si>
    <t>91-57-6</t>
  </si>
  <si>
    <t>2C1ybztazl</t>
  </si>
  <si>
    <t>2-methylbenzothiazool</t>
  </si>
  <si>
    <t>120-75-2</t>
  </si>
  <si>
    <t>2C1yidl</t>
  </si>
  <si>
    <t>2-methylindol</t>
  </si>
  <si>
    <t>95-20-5</t>
  </si>
  <si>
    <t>2C1yltntl</t>
  </si>
  <si>
    <t>2-methyllactonitril</t>
  </si>
  <si>
    <t>75-86-5</t>
  </si>
  <si>
    <t>2C1yprdne</t>
  </si>
  <si>
    <t>2-methylpyridine</t>
  </si>
  <si>
    <t>109-06-8</t>
  </si>
  <si>
    <t>2C1yqnlne</t>
  </si>
  <si>
    <t>2-methylquinoline</t>
  </si>
  <si>
    <t>91-63-4</t>
  </si>
  <si>
    <t>2C1ytobztazl</t>
  </si>
  <si>
    <t>2-methylthiobenzothiazool</t>
  </si>
  <si>
    <t>615-22-5</t>
  </si>
  <si>
    <t>2C2ox2C1yC3a</t>
  </si>
  <si>
    <t>2-ethoxy-2-methylpropaan</t>
  </si>
  <si>
    <t>637-92-3</t>
  </si>
  <si>
    <t>2C2ox2C1yC4a</t>
  </si>
  <si>
    <t>2-ethoxy-2-methylbutaan</t>
  </si>
  <si>
    <t>919-94-8</t>
  </si>
  <si>
    <t>2C2oxC2ol</t>
  </si>
  <si>
    <t>2-ethoxyethanol</t>
  </si>
  <si>
    <t>110-80-5</t>
  </si>
  <si>
    <t>2C2oxC4a</t>
  </si>
  <si>
    <t>2-ethoxybutaan</t>
  </si>
  <si>
    <t>2679-87-0</t>
  </si>
  <si>
    <t>2C2y1C6ol</t>
  </si>
  <si>
    <t>2-ethyl-1-hexanol</t>
  </si>
  <si>
    <t>104-76-7</t>
  </si>
  <si>
    <t>2C2yC6azr</t>
  </si>
  <si>
    <t>2-ethylhexaanzuur</t>
  </si>
  <si>
    <t>149-57-5</t>
  </si>
  <si>
    <t>2C2yC6y4C1ox</t>
  </si>
  <si>
    <t>2-ethylhexyl-4-methoxycinnamaat</t>
  </si>
  <si>
    <t>5466-77-3</t>
  </si>
  <si>
    <t>2C2yC6yDFyPO</t>
  </si>
  <si>
    <t>2-ethylhexyldifenylfosfaat</t>
  </si>
  <si>
    <t>1241-94-7</t>
  </si>
  <si>
    <t>2C2yC6yNO3</t>
  </si>
  <si>
    <t>2-ethylhexylnitraat</t>
  </si>
  <si>
    <t>27247-96-7</t>
  </si>
  <si>
    <t>2C2yC6yaclt</t>
  </si>
  <si>
    <t>2-ethylhexylacrylaat</t>
  </si>
  <si>
    <t>103-11-7</t>
  </si>
  <si>
    <t>2C2yFol</t>
  </si>
  <si>
    <t>2-ethylfenol</t>
  </si>
  <si>
    <t>90-00-6</t>
  </si>
  <si>
    <t>2C2yTol</t>
  </si>
  <si>
    <t>2-ethyltolueen</t>
  </si>
  <si>
    <t>611-14-3</t>
  </si>
  <si>
    <t>2C2yatqnn</t>
  </si>
  <si>
    <t>2-ethyl-anthraquinon</t>
  </si>
  <si>
    <t>84-51-5</t>
  </si>
  <si>
    <t>2C2yid15DC1y</t>
  </si>
  <si>
    <t>2-ethylidene-1,5-dimethyl-3,3-difenylpyrrolidine</t>
  </si>
  <si>
    <t>30223-73-5</t>
  </si>
  <si>
    <t>2C3atol</t>
  </si>
  <si>
    <t>2-propaanthiol</t>
  </si>
  <si>
    <t>75-33-2</t>
  </si>
  <si>
    <t>2C3ezr</t>
  </si>
  <si>
    <t>2-propeenzuur</t>
  </si>
  <si>
    <t>79-10-7</t>
  </si>
  <si>
    <t>2C3ol</t>
  </si>
  <si>
    <t>2-propanol</t>
  </si>
  <si>
    <t>67-63-0</t>
  </si>
  <si>
    <t>2C3y1C7ol</t>
  </si>
  <si>
    <t>2-propyl-1-heptanol</t>
  </si>
  <si>
    <t>10042-59-8</t>
  </si>
  <si>
    <t>2C3y2C7eal</t>
  </si>
  <si>
    <t>2-propyl-2-heptenal</t>
  </si>
  <si>
    <t>34880-43-8</t>
  </si>
  <si>
    <t>2C3yC7azrC1y</t>
  </si>
  <si>
    <t>2-propylheptaanzuur methylester</t>
  </si>
  <si>
    <t>56247-53-1</t>
  </si>
  <si>
    <t>2C3yFol</t>
  </si>
  <si>
    <t>2-propylfenol</t>
  </si>
  <si>
    <t>644-35-9</t>
  </si>
  <si>
    <t>2C3yeBen</t>
  </si>
  <si>
    <t>2-propenylbenzeen</t>
  </si>
  <si>
    <t>300-57-2</t>
  </si>
  <si>
    <t>2C4atol</t>
  </si>
  <si>
    <t>2-butaanthiol</t>
  </si>
  <si>
    <t>513-53-1</t>
  </si>
  <si>
    <t>2C4ol</t>
  </si>
  <si>
    <t>2-butanol</t>
  </si>
  <si>
    <t>78-92-2</t>
  </si>
  <si>
    <t>2C4on</t>
  </si>
  <si>
    <t>2-butanon (MEK)</t>
  </si>
  <si>
    <t>78-93-3</t>
  </si>
  <si>
    <t>2C4oxC2ol</t>
  </si>
  <si>
    <t>2-butoxyethanol</t>
  </si>
  <si>
    <t>111-76-2</t>
  </si>
  <si>
    <t>2C4oxC2yactt</t>
  </si>
  <si>
    <t>2-butoxyethylacetaat</t>
  </si>
  <si>
    <t>112-07-2</t>
  </si>
  <si>
    <t>2C5on</t>
  </si>
  <si>
    <t>2-pentanon</t>
  </si>
  <si>
    <t>107-87-9</t>
  </si>
  <si>
    <t>2C6ol</t>
  </si>
  <si>
    <t>2-hexanol</t>
  </si>
  <si>
    <t>626-93-7</t>
  </si>
  <si>
    <t>2C6on</t>
  </si>
  <si>
    <t>2-hexanon</t>
  </si>
  <si>
    <t>591-78-6</t>
  </si>
  <si>
    <t>2C8ol</t>
  </si>
  <si>
    <t>2-octanol</t>
  </si>
  <si>
    <t>123-96-6</t>
  </si>
  <si>
    <t>2C8y2Hitaz3o</t>
  </si>
  <si>
    <t>2-octyl-2H-isothiazool-3-on</t>
  </si>
  <si>
    <t>26530-20-1</t>
  </si>
  <si>
    <t>2Cl11DC1yC2y</t>
  </si>
  <si>
    <t>2-chloor-1,1-dimethylethylbenzeen</t>
  </si>
  <si>
    <t>515-40-2</t>
  </si>
  <si>
    <t>2Cl14C1yBen</t>
  </si>
  <si>
    <t>2-chloor-1,4-dimethylbenzeen</t>
  </si>
  <si>
    <t>95-72-7</t>
  </si>
  <si>
    <t>2Cl2C3eol</t>
  </si>
  <si>
    <t>2-chloor-2-propeen-ol</t>
  </si>
  <si>
    <t>5976-47-6</t>
  </si>
  <si>
    <t>2Cl4C1yAn</t>
  </si>
  <si>
    <t>2-chloor-4-methylaniline</t>
  </si>
  <si>
    <t>615-65-6</t>
  </si>
  <si>
    <t>2Cl4NO2An</t>
  </si>
  <si>
    <t>2-chloor-4-nitroaniline</t>
  </si>
  <si>
    <t>121-87-9</t>
  </si>
  <si>
    <t>2Cl4NO2Tol</t>
  </si>
  <si>
    <t>2-chloor-4-nitrotolueen</t>
  </si>
  <si>
    <t>121-86-8</t>
  </si>
  <si>
    <t>2Cl5C1yAn</t>
  </si>
  <si>
    <t>2-chloor-5-methylaniline</t>
  </si>
  <si>
    <t>95-81-8</t>
  </si>
  <si>
    <t>2Cl5C1yFol</t>
  </si>
  <si>
    <t>2-chloor-5-methylfenol</t>
  </si>
  <si>
    <t>615-74-7</t>
  </si>
  <si>
    <t>2Cl5NO2An</t>
  </si>
  <si>
    <t>2-chloor-5-nitroaniline</t>
  </si>
  <si>
    <t>6283-25-6</t>
  </si>
  <si>
    <t>2Cl5NO2Tol</t>
  </si>
  <si>
    <t>2-chloor-5-nitrotolueen</t>
  </si>
  <si>
    <t>13290-74-9</t>
  </si>
  <si>
    <t>2Cl6C1yAn</t>
  </si>
  <si>
    <t>2-chloor-6-methylaniline</t>
  </si>
  <si>
    <t>87-63-8</t>
  </si>
  <si>
    <t>2Cl6C1yFol</t>
  </si>
  <si>
    <t>2-chloor-6-methylfenol</t>
  </si>
  <si>
    <t>87-64-9</t>
  </si>
  <si>
    <t>2Cl6FBenAd</t>
  </si>
  <si>
    <t>2-chloor-6-fluorbenzamide</t>
  </si>
  <si>
    <t>66073-54-9</t>
  </si>
  <si>
    <t>2Cl6NO2An</t>
  </si>
  <si>
    <t>2-chloor-6-nitroaniline</t>
  </si>
  <si>
    <t>769-11-9</t>
  </si>
  <si>
    <t>2Cl6NO2Tol</t>
  </si>
  <si>
    <t>2-chloor-6-nitrotolueen</t>
  </si>
  <si>
    <t>83-42-1</t>
  </si>
  <si>
    <t>2Cl6TClC1ypr</t>
  </si>
  <si>
    <t>2-chloor-6-(trichloormethyl)pyridine</t>
  </si>
  <si>
    <t>1929-82-4</t>
  </si>
  <si>
    <t>2ClAn</t>
  </si>
  <si>
    <t>2-chlooraniline</t>
  </si>
  <si>
    <t>95-51-2</t>
  </si>
  <si>
    <t>2ClC2ol</t>
  </si>
  <si>
    <t>2-chloorethanol</t>
  </si>
  <si>
    <t>107-07-3</t>
  </si>
  <si>
    <t>2ClC3a</t>
  </si>
  <si>
    <t>2-chloorpropaan</t>
  </si>
  <si>
    <t>75-29-6</t>
  </si>
  <si>
    <t>2ClEyEtr</t>
  </si>
  <si>
    <t>2-chloorethylether</t>
  </si>
  <si>
    <t>628-34-2</t>
  </si>
  <si>
    <t>2ClFol</t>
  </si>
  <si>
    <t>2-chloorfenol</t>
  </si>
  <si>
    <t>95-57-8</t>
  </si>
  <si>
    <t>2ClNaf</t>
  </si>
  <si>
    <t>2-chloornaftaleen</t>
  </si>
  <si>
    <t>91-58-7</t>
  </si>
  <si>
    <t>2ClTol</t>
  </si>
  <si>
    <t>2-chloortolueen</t>
  </si>
  <si>
    <t>95-49-8</t>
  </si>
  <si>
    <t>2ClacAd</t>
  </si>
  <si>
    <t>2-chlooraceetamide</t>
  </si>
  <si>
    <t>79-07-2</t>
  </si>
  <si>
    <t>2Clactfnn</t>
  </si>
  <si>
    <t>2-chlooracetofenon</t>
  </si>
  <si>
    <t>532-27-4</t>
  </si>
  <si>
    <t>2Cy12C3eal</t>
  </si>
  <si>
    <t>2-methyl-2 propenal</t>
  </si>
  <si>
    <t>78-85-3</t>
  </si>
  <si>
    <t>2FyAoC2ol</t>
  </si>
  <si>
    <t>2-fenylamino-ethanol</t>
  </si>
  <si>
    <t>122-98-5</t>
  </si>
  <si>
    <t>2FyC2yAe</t>
  </si>
  <si>
    <t>b-fenylethylamine</t>
  </si>
  <si>
    <t>64-04-0</t>
  </si>
  <si>
    <t>2FyFol</t>
  </si>
  <si>
    <t>2-fenylfenol</t>
  </si>
  <si>
    <t>90-43-7</t>
  </si>
  <si>
    <t>2FysfnAn</t>
  </si>
  <si>
    <t>2-(fenylsulfonyl)aniline</t>
  </si>
  <si>
    <t>4273-98-7</t>
  </si>
  <si>
    <t>2HOxC2yhdzne</t>
  </si>
  <si>
    <t>2-hydroxyethylhydrazine</t>
  </si>
  <si>
    <t>109-84-2</t>
  </si>
  <si>
    <t>2HOxNaf</t>
  </si>
  <si>
    <t>2-naftol</t>
  </si>
  <si>
    <t>135-19-3</t>
  </si>
  <si>
    <t>2HOxatzne</t>
  </si>
  <si>
    <t>2-hydroxyatrazine</t>
  </si>
  <si>
    <t>2163-68-0</t>
  </si>
  <si>
    <t>2HOxbenztazl</t>
  </si>
  <si>
    <t>2-hydroxybenzothiazol</t>
  </si>
  <si>
    <t>934-34-9</t>
  </si>
  <si>
    <t>2HOxibpfn</t>
  </si>
  <si>
    <t>2-hydroxyibuprofen</t>
  </si>
  <si>
    <t>51146-55-5</t>
  </si>
  <si>
    <t>2HOxppozC14y</t>
  </si>
  <si>
    <t>2-hydroxypropionzuur tetradecylester</t>
  </si>
  <si>
    <t>1323-03-1</t>
  </si>
  <si>
    <t>2NO2An</t>
  </si>
  <si>
    <t>2-nitroaniline</t>
  </si>
  <si>
    <t>88-74-4</t>
  </si>
  <si>
    <t>2NO2C3a</t>
  </si>
  <si>
    <t>2-nitropropaan</t>
  </si>
  <si>
    <t>79-46-9</t>
  </si>
  <si>
    <t>2NO2DFyAe</t>
  </si>
  <si>
    <t>2-nitrodifenylamine</t>
  </si>
  <si>
    <t>119-75-5</t>
  </si>
  <si>
    <t>2NO2Fol</t>
  </si>
  <si>
    <t>2-nitrofenol</t>
  </si>
  <si>
    <t>88-75-5</t>
  </si>
  <si>
    <t>2NO2Tol</t>
  </si>
  <si>
    <t>2-nitrotolueen</t>
  </si>
  <si>
    <t>88-72-2</t>
  </si>
  <si>
    <t>2NO2pcsl</t>
  </si>
  <si>
    <t>2-nitro-p-cresol</t>
  </si>
  <si>
    <t>119-33-5</t>
  </si>
  <si>
    <t>2Nafsfzr</t>
  </si>
  <si>
    <t>2-naftaleensulfonzuur</t>
  </si>
  <si>
    <t>120-18-3</t>
  </si>
  <si>
    <t>2Oxepnn</t>
  </si>
  <si>
    <t>2-oxepanon</t>
  </si>
  <si>
    <t>502-44-3</t>
  </si>
  <si>
    <t>2PFC6yC2a1sf</t>
  </si>
  <si>
    <t>2-(perfluorhexyl)ethaan-1-sulfonzuur</t>
  </si>
  <si>
    <t>27619-97-2</t>
  </si>
  <si>
    <t>2TFC1yAn</t>
  </si>
  <si>
    <t>2-trifluormethylaniline</t>
  </si>
  <si>
    <t>88-17-5</t>
  </si>
  <si>
    <t>2TFC1yBenAd</t>
  </si>
  <si>
    <t>2-trifluoromethylbenzamide</t>
  </si>
  <si>
    <t>360-64-5</t>
  </si>
  <si>
    <t>2actAoFle</t>
  </si>
  <si>
    <t>2-acetylaminofluoreen</t>
  </si>
  <si>
    <t>53-96-3</t>
  </si>
  <si>
    <t>2actfrn</t>
  </si>
  <si>
    <t>2-acetylfuran</t>
  </si>
  <si>
    <t>1192-62-7</t>
  </si>
  <si>
    <t>2actprl</t>
  </si>
  <si>
    <t>2-acetylpyrrol</t>
  </si>
  <si>
    <t>1072-83-9</t>
  </si>
  <si>
    <t>2ansdnHCl</t>
  </si>
  <si>
    <t>2-anisidine hydrochloride</t>
  </si>
  <si>
    <t>134-29-2</t>
  </si>
  <si>
    <t>2benztazetol</t>
  </si>
  <si>
    <t>2-benzothiazolethiol</t>
  </si>
  <si>
    <t>149-30-4</t>
  </si>
  <si>
    <t>2bztazsfAd</t>
  </si>
  <si>
    <t>2-benzothiazolsulfonamide</t>
  </si>
  <si>
    <t>3741-80-8</t>
  </si>
  <si>
    <t>2ccC6yAotobz</t>
  </si>
  <si>
    <t>2-(cyclohexylaminothio)benzothiazool</t>
  </si>
  <si>
    <t>95-33-0</t>
  </si>
  <si>
    <t>2fenOx1C3ol</t>
  </si>
  <si>
    <t>2-fenoxy-1-propanol</t>
  </si>
  <si>
    <t>4169-04-4</t>
  </si>
  <si>
    <t>2fenOxC2ol</t>
  </si>
  <si>
    <t>2-fenoxyethanol</t>
  </si>
  <si>
    <t>122-99-6</t>
  </si>
  <si>
    <t>2furC1ol</t>
  </si>
  <si>
    <t>2-furaanmethanol</t>
  </si>
  <si>
    <t>98-00-0</t>
  </si>
  <si>
    <t>2iC3yFol</t>
  </si>
  <si>
    <t>2-isopropylfenol</t>
  </si>
  <si>
    <t>88-69-7</t>
  </si>
  <si>
    <t>2mflntobztaz</t>
  </si>
  <si>
    <t>2-morfoline(thio)benzothiazool</t>
  </si>
  <si>
    <t>102-77-2</t>
  </si>
  <si>
    <t>2prldn</t>
  </si>
  <si>
    <t>2-pyrrolidon</t>
  </si>
  <si>
    <t>616-45-5</t>
  </si>
  <si>
    <t>2t4tDcdeal</t>
  </si>
  <si>
    <t>2-trans-4-trans-decadienal</t>
  </si>
  <si>
    <t>25152-84-5</t>
  </si>
  <si>
    <t>2ttC4y4C1oxF</t>
  </si>
  <si>
    <t>2-tert-butyl-4-methoxyfenol</t>
  </si>
  <si>
    <t>121-00-6</t>
  </si>
  <si>
    <t>2ttC4yFol</t>
  </si>
  <si>
    <t>2-tert-butylfenol</t>
  </si>
  <si>
    <t>88-18-6</t>
  </si>
  <si>
    <t>33DC1oxbzdnD</t>
  </si>
  <si>
    <t>3,3'-dimethoxybenzidine dihydrochloride</t>
  </si>
  <si>
    <t>20325-40-0</t>
  </si>
  <si>
    <t>33DC1oxbzdnH</t>
  </si>
  <si>
    <t>3,3'-dimethoxybenzidinehydrochloride</t>
  </si>
  <si>
    <t>111984-09-9</t>
  </si>
  <si>
    <t>33DC1oxbzdne</t>
  </si>
  <si>
    <t>3,3'-dimethoxybenzidine</t>
  </si>
  <si>
    <t>119-90-4</t>
  </si>
  <si>
    <t>33DC1ybzdnDH</t>
  </si>
  <si>
    <t>3,3'-dimethylbenzidine dihydrofluoride</t>
  </si>
  <si>
    <t>41766-75-0</t>
  </si>
  <si>
    <t>33DC1ybzdne</t>
  </si>
  <si>
    <t>3,3'-dimethylbenzidine</t>
  </si>
  <si>
    <t>119-93-7</t>
  </si>
  <si>
    <t>33DClbzdnDHC</t>
  </si>
  <si>
    <t>3,3'-dichloorbenzidine dihydrochloride</t>
  </si>
  <si>
    <t>612-83-9</t>
  </si>
  <si>
    <t>33DClbzdnSO4</t>
  </si>
  <si>
    <t>3,3'-dichloorbenzidine sulfaat</t>
  </si>
  <si>
    <t>64969-34-2</t>
  </si>
  <si>
    <t>33DClbzdne</t>
  </si>
  <si>
    <t>3,3'-dichloorbenzidine</t>
  </si>
  <si>
    <t>91-94-1</t>
  </si>
  <si>
    <t>345TC1yAn</t>
  </si>
  <si>
    <t>3,4,5-trimethylaniline</t>
  </si>
  <si>
    <t>1639-31-2</t>
  </si>
  <si>
    <t>345TC1yFol</t>
  </si>
  <si>
    <t>3,4,5-trimethylfenol</t>
  </si>
  <si>
    <t>527-54-8</t>
  </si>
  <si>
    <t>345TClAn</t>
  </si>
  <si>
    <t>3,4,5-trichlooraniline</t>
  </si>
  <si>
    <t>634-91-3</t>
  </si>
  <si>
    <t>345TClFol</t>
  </si>
  <si>
    <t>3,4,5-trichloorfenol</t>
  </si>
  <si>
    <t>609-19-8</t>
  </si>
  <si>
    <t>34C1yeDoxafA</t>
  </si>
  <si>
    <t>3,4-methyleendioxyamfetamine</t>
  </si>
  <si>
    <t>4764-17-4</t>
  </si>
  <si>
    <t>34C1yeDoxmaf</t>
  </si>
  <si>
    <t>3,4-methyleendioxymethamfetamine</t>
  </si>
  <si>
    <t>42542-10-9</t>
  </si>
  <si>
    <t>34DC1yAn</t>
  </si>
  <si>
    <t>3,4-dimethylaniline</t>
  </si>
  <si>
    <t>95-64-7</t>
  </si>
  <si>
    <t>34DC1yFol</t>
  </si>
  <si>
    <t>3,4-dimethylfenol</t>
  </si>
  <si>
    <t>95-65-8</t>
  </si>
  <si>
    <t>34DC1yactfnn</t>
  </si>
  <si>
    <t>3,4-dimethylacetofenon</t>
  </si>
  <si>
    <t>3637-01-2</t>
  </si>
  <si>
    <t>34DC1yprdne</t>
  </si>
  <si>
    <t>3,4-dimethylpyridine</t>
  </si>
  <si>
    <t>583-58-4</t>
  </si>
  <si>
    <t>34DC1yprzl</t>
  </si>
  <si>
    <t>3,4-dimethylpyrazol</t>
  </si>
  <si>
    <t>2820-37-3</t>
  </si>
  <si>
    <t>34DClAn</t>
  </si>
  <si>
    <t>3,4-dichlooraniline</t>
  </si>
  <si>
    <t>95-76-1</t>
  </si>
  <si>
    <t>34DClBencbzr</t>
  </si>
  <si>
    <t>3,4-dichloorbenzeencarbonzuur</t>
  </si>
  <si>
    <t>51-44-5</t>
  </si>
  <si>
    <t>34DClFol</t>
  </si>
  <si>
    <t>3,4-dichloorfenol</t>
  </si>
  <si>
    <t>95-77-2</t>
  </si>
  <si>
    <t>34DClNO2Ben</t>
  </si>
  <si>
    <t>3,4-dichloornitrobenzeen</t>
  </si>
  <si>
    <t>99-54-7</t>
  </si>
  <si>
    <t>34DNO2Fol</t>
  </si>
  <si>
    <t>3,4-dinitrofenol</t>
  </si>
  <si>
    <t>577-71-9</t>
  </si>
  <si>
    <t>34DNO2Tol</t>
  </si>
  <si>
    <t>3,4-dinitrotolueen</t>
  </si>
  <si>
    <t>610-39-9</t>
  </si>
  <si>
    <t>35DC1yAn</t>
  </si>
  <si>
    <t>3,5-dimethylaniline</t>
  </si>
  <si>
    <t>108-69-0</t>
  </si>
  <si>
    <t>35DC1yFol</t>
  </si>
  <si>
    <t>3,5-dimethylfenol</t>
  </si>
  <si>
    <t>108-68-9</t>
  </si>
  <si>
    <t>35DC1yprdne</t>
  </si>
  <si>
    <t>3,5-dimethylpyridine</t>
  </si>
  <si>
    <t>591-22-0</t>
  </si>
  <si>
    <t>35DC2y124Tto</t>
  </si>
  <si>
    <t>3,5-diethyl-1,2,4-trithiolan</t>
  </si>
  <si>
    <t>54644-28-9</t>
  </si>
  <si>
    <t>35DClAn</t>
  </si>
  <si>
    <t>3,5-dichlooraniline</t>
  </si>
  <si>
    <t>626-43-7</t>
  </si>
  <si>
    <t>35DClFol</t>
  </si>
  <si>
    <t>3,5-dichloorfenol</t>
  </si>
  <si>
    <t>591-35-5</t>
  </si>
  <si>
    <t>35DNO2An</t>
  </si>
  <si>
    <t>3,5-dinitroaniline</t>
  </si>
  <si>
    <t>618-87-1</t>
  </si>
  <si>
    <t>35DNO2Fol</t>
  </si>
  <si>
    <t>3,5-dinitrofenol</t>
  </si>
  <si>
    <t>586-11-88</t>
  </si>
  <si>
    <t>35DNO2Tol</t>
  </si>
  <si>
    <t>3,5-dinitrotolueen</t>
  </si>
  <si>
    <t>618-85-9</t>
  </si>
  <si>
    <t>371115T4C1y1</t>
  </si>
  <si>
    <t>3,7,11,15-tetramethyl-1hexadecanol</t>
  </si>
  <si>
    <t>645-72-7</t>
  </si>
  <si>
    <t>37DC1y17C8aD</t>
  </si>
  <si>
    <t>3,7-dimethyl-1,7-octaandiol</t>
  </si>
  <si>
    <t>107-74-4</t>
  </si>
  <si>
    <t>3Ao1C3e</t>
  </si>
  <si>
    <t>3-amino-1-propeen</t>
  </si>
  <si>
    <t>107-11-9</t>
  </si>
  <si>
    <t>3Ao25DClbzez</t>
  </si>
  <si>
    <t>3-amino-2,5-dichloor-benzoezuur</t>
  </si>
  <si>
    <t>133-90-4</t>
  </si>
  <si>
    <t>3Br1ClC3e</t>
  </si>
  <si>
    <t>3-broom-1-chloorpropeen</t>
  </si>
  <si>
    <t>3737-00-6</t>
  </si>
  <si>
    <t>3C10yacline</t>
  </si>
  <si>
    <t>3-decylacroleine</t>
  </si>
  <si>
    <t>7774-82-5</t>
  </si>
  <si>
    <t>3C16e</t>
  </si>
  <si>
    <t>3-hexadeceen</t>
  </si>
  <si>
    <t>34303-81-6</t>
  </si>
  <si>
    <t>3C1ox2C4ol</t>
  </si>
  <si>
    <t>3-methoxy-2-butanol</t>
  </si>
  <si>
    <t>53778-72-6</t>
  </si>
  <si>
    <t>3C1y12ccC5aD</t>
  </si>
  <si>
    <t>3-methyl-1,2-cyclopentaandion</t>
  </si>
  <si>
    <t>765-70-8</t>
  </si>
  <si>
    <t>3C1yAn</t>
  </si>
  <si>
    <t>3-methylaniline</t>
  </si>
  <si>
    <t>108-44-1</t>
  </si>
  <si>
    <t>3C1yC5a</t>
  </si>
  <si>
    <t>3-methylpentaan</t>
  </si>
  <si>
    <t>96-14-0</t>
  </si>
  <si>
    <t>3C1yC5azr</t>
  </si>
  <si>
    <t>3-methylpentaanzuur</t>
  </si>
  <si>
    <t>105-43-1</t>
  </si>
  <si>
    <t>3C1yC6a</t>
  </si>
  <si>
    <t>3-methylhexaan</t>
  </si>
  <si>
    <t>589-34-4</t>
  </si>
  <si>
    <t>3C1yC7a</t>
  </si>
  <si>
    <t>3-methylheptaan</t>
  </si>
  <si>
    <t>589-81-1</t>
  </si>
  <si>
    <t>3C1yactfnn</t>
  </si>
  <si>
    <t>3-methylacetofenon</t>
  </si>
  <si>
    <t>585-74-0</t>
  </si>
  <si>
    <t>3C1ycltn</t>
  </si>
  <si>
    <t>3-methylcholantreen</t>
  </si>
  <si>
    <t>56-49-5</t>
  </si>
  <si>
    <t>3C1yprdne</t>
  </si>
  <si>
    <t>3-methylpyridine</t>
  </si>
  <si>
    <t>108-99-6</t>
  </si>
  <si>
    <t>3C1yprzl</t>
  </si>
  <si>
    <t>3-methylpyrazol</t>
  </si>
  <si>
    <t>1453-58-3</t>
  </si>
  <si>
    <t>3C2y4C1yprl2</t>
  </si>
  <si>
    <t>3-ethyl-4-methylpyrrol-2,5-dion</t>
  </si>
  <si>
    <t>20189-42-8</t>
  </si>
  <si>
    <t>3C2yFol</t>
  </si>
  <si>
    <t>3-ethylfenol</t>
  </si>
  <si>
    <t>620-17-7</t>
  </si>
  <si>
    <t>3C2yTol</t>
  </si>
  <si>
    <t>3-ethyltolueen</t>
  </si>
  <si>
    <t>620-14-4</t>
  </si>
  <si>
    <t>3C5ol</t>
  </si>
  <si>
    <t>3-pentanol</t>
  </si>
  <si>
    <t>584-02-1</t>
  </si>
  <si>
    <t>3Cl2C1y1C3e</t>
  </si>
  <si>
    <t>3-chloor-2-methyl-1-propeen</t>
  </si>
  <si>
    <t>563-47-3</t>
  </si>
  <si>
    <t>3Cl2C1yAn</t>
  </si>
  <si>
    <t>3-chloor-2-methylaniline</t>
  </si>
  <si>
    <t>87-60-5</t>
  </si>
  <si>
    <t>3Cl2NO2An</t>
  </si>
  <si>
    <t>3-chloor-2-nitroaniline</t>
  </si>
  <si>
    <t>59483-54-4</t>
  </si>
  <si>
    <t>3Cl4C1oxAn</t>
  </si>
  <si>
    <t>3-chloor-4-methoxyaniline</t>
  </si>
  <si>
    <t>5345-54-0</t>
  </si>
  <si>
    <t>3Cl4C1yAn</t>
  </si>
  <si>
    <t>3-chloor-4-methylaniline</t>
  </si>
  <si>
    <t>95-74-9</t>
  </si>
  <si>
    <t>3Cl4C1yFyura</t>
  </si>
  <si>
    <t>(3-chloor-4-methylfenyl)urea</t>
  </si>
  <si>
    <t>13142-64-8</t>
  </si>
  <si>
    <t>3Cl4NO2Tol</t>
  </si>
  <si>
    <t>3-chloor-4-nitrotolueen</t>
  </si>
  <si>
    <t>38939-88-7</t>
  </si>
  <si>
    <t>3ClAn</t>
  </si>
  <si>
    <t>3-chlooraniline</t>
  </si>
  <si>
    <t>108-42-9</t>
  </si>
  <si>
    <t>3ClC3antl</t>
  </si>
  <si>
    <t>3-chloorpropaannitril</t>
  </si>
  <si>
    <t>542-76-7</t>
  </si>
  <si>
    <t>3ClC3e</t>
  </si>
  <si>
    <t>3-chloorpropeen</t>
  </si>
  <si>
    <t>107-05-1</t>
  </si>
  <si>
    <t>3ClFol</t>
  </si>
  <si>
    <t>3-chloorfenol</t>
  </si>
  <si>
    <t>108-43-0</t>
  </si>
  <si>
    <t>3ClNNDC1yAn</t>
  </si>
  <si>
    <t>3-chloor-N,N-dimethylaniline</t>
  </si>
  <si>
    <t>6848-13-1</t>
  </si>
  <si>
    <t>3ClTol</t>
  </si>
  <si>
    <t>3-chloortolueen</t>
  </si>
  <si>
    <t>108-41-8</t>
  </si>
  <si>
    <t>3Fyoazldne</t>
  </si>
  <si>
    <t>3-fenyloxazolidine</t>
  </si>
  <si>
    <t>20503-92-8</t>
  </si>
  <si>
    <t>3HOxcbfrn</t>
  </si>
  <si>
    <t>3-hydroxycarbofuran</t>
  </si>
  <si>
    <t>16655-82-6</t>
  </si>
  <si>
    <t>3NO2An</t>
  </si>
  <si>
    <t>3-nitroaniline</t>
  </si>
  <si>
    <t>99-09-2</t>
  </si>
  <si>
    <t>3NO2Fol</t>
  </si>
  <si>
    <t>3-nitrofenol</t>
  </si>
  <si>
    <t>554-84-7</t>
  </si>
  <si>
    <t>3NO2Tol</t>
  </si>
  <si>
    <t>3-nitrotolueen</t>
  </si>
  <si>
    <t>99-08-1</t>
  </si>
  <si>
    <t>3iC3yFol</t>
  </si>
  <si>
    <t>3-isopropylfenol</t>
  </si>
  <si>
    <t>618-45-1</t>
  </si>
  <si>
    <t>3ketcbfrn</t>
  </si>
  <si>
    <t>3-ketocarbofuraan</t>
  </si>
  <si>
    <t>16709-30-1</t>
  </si>
  <si>
    <t>3ttC4yFol</t>
  </si>
  <si>
    <t>3-tertiair-butylfenol</t>
  </si>
  <si>
    <t>585-34-2</t>
  </si>
  <si>
    <t>3vn4C1yprl25</t>
  </si>
  <si>
    <t>3-vinyl-4-methylpyrrool-2,5-dion</t>
  </si>
  <si>
    <t>21494-57-5</t>
  </si>
  <si>
    <t>41HOx1C1yC2y</t>
  </si>
  <si>
    <t>4-(1-hydroxy-1-methylethyl)-acetofenon</t>
  </si>
  <si>
    <t>54549-72-3</t>
  </si>
  <si>
    <t>44C1yeDAn</t>
  </si>
  <si>
    <t>4,4'-methyleendianiline</t>
  </si>
  <si>
    <t>101-77-9</t>
  </si>
  <si>
    <t>44C1yeDFyDiC</t>
  </si>
  <si>
    <t>4,4'-methyleendifenyldiisocyanaat</t>
  </si>
  <si>
    <t>101-68-8</t>
  </si>
  <si>
    <t>44C1yeb2ClAn</t>
  </si>
  <si>
    <t>4,4'-methyleenbis(2-chlooraniline)</t>
  </si>
  <si>
    <t>101-14-4</t>
  </si>
  <si>
    <t>44C1yebNNDC1</t>
  </si>
  <si>
    <t>4,4'-methyleenbis(N,N-dimethylaniline)</t>
  </si>
  <si>
    <t>101-61-1</t>
  </si>
  <si>
    <t>44DAoDFyEtr</t>
  </si>
  <si>
    <t>4,4'-diaminodifenylether</t>
  </si>
  <si>
    <t>101-80-4</t>
  </si>
  <si>
    <t>44DClbzfnn</t>
  </si>
  <si>
    <t>4,4'-dichloorbenzofenon</t>
  </si>
  <si>
    <t>90-98-2</t>
  </si>
  <si>
    <t>44DDD</t>
  </si>
  <si>
    <t>4,4'-dichloordifenyldichloorethaan</t>
  </si>
  <si>
    <t>72-54-8</t>
  </si>
  <si>
    <t>44DDE</t>
  </si>
  <si>
    <t>4,4'-dichloordifenyldichlooretheen</t>
  </si>
  <si>
    <t>72-55-9</t>
  </si>
  <si>
    <t>44DDT</t>
  </si>
  <si>
    <t>4,4'-dichloordifenyltrichloorethaan</t>
  </si>
  <si>
    <t>50-29-3</t>
  </si>
  <si>
    <t>44sulfnDFol</t>
  </si>
  <si>
    <t>4,4'-sulfonyldifenol</t>
  </si>
  <si>
    <t>80-09-1</t>
  </si>
  <si>
    <t>44thiobBenAe</t>
  </si>
  <si>
    <t>4,4'-thiobisbenzeenamine</t>
  </si>
  <si>
    <t>139-65-1</t>
  </si>
  <si>
    <t>45DCl2C8y2Hi</t>
  </si>
  <si>
    <t>4,5-dichloor-2-octyl-2H-isothiazool-3-on</t>
  </si>
  <si>
    <t>64359-81-5</t>
  </si>
  <si>
    <t>45DCl2NO2An</t>
  </si>
  <si>
    <t>4,5-dichloor-2-nitroaniline</t>
  </si>
  <si>
    <t>6641-64-1</t>
  </si>
  <si>
    <t>45DCl3H12Dto</t>
  </si>
  <si>
    <t>4,5-dichloor-3H-1,2-dithiool-3-on</t>
  </si>
  <si>
    <t>1192-52-5</t>
  </si>
  <si>
    <t>46DCl2C1yFol</t>
  </si>
  <si>
    <t>4,6-dichloor-2-methylfenol</t>
  </si>
  <si>
    <t>1570-65-6</t>
  </si>
  <si>
    <t>4Ao26DNO2Tol</t>
  </si>
  <si>
    <t>4-amino-2,6-dinitrotolueen</t>
  </si>
  <si>
    <t>19406-51-0</t>
  </si>
  <si>
    <t>4AoDFy</t>
  </si>
  <si>
    <t>4-aminodifenyl</t>
  </si>
  <si>
    <t>92-67-1</t>
  </si>
  <si>
    <t>4Aoatprne</t>
  </si>
  <si>
    <t>4-aminoantipyrine</t>
  </si>
  <si>
    <t>83-07-8</t>
  </si>
  <si>
    <t>4AoazBen</t>
  </si>
  <si>
    <t>4-aminoazobenzeen</t>
  </si>
  <si>
    <t>60-09-3</t>
  </si>
  <si>
    <t>4BrAn</t>
  </si>
  <si>
    <t>4-broomaniline</t>
  </si>
  <si>
    <t>106-40-1</t>
  </si>
  <si>
    <t>4BrFyFyEtr</t>
  </si>
  <si>
    <t>4-broomfenylfenylether</t>
  </si>
  <si>
    <t>101-55-3</t>
  </si>
  <si>
    <t>4C1ox2NO2An</t>
  </si>
  <si>
    <t>4-methoxy-2-nitroaniline</t>
  </si>
  <si>
    <t>96-96-8</t>
  </si>
  <si>
    <t>4C1oxbzAh</t>
  </si>
  <si>
    <t>4-methoxybenzaldehyde</t>
  </si>
  <si>
    <t>123-11-5</t>
  </si>
  <si>
    <t>4C1y1C5e</t>
  </si>
  <si>
    <t>4-methyl-1-penteen</t>
  </si>
  <si>
    <t>691-37-2</t>
  </si>
  <si>
    <t>4C1y1Hbztazl</t>
  </si>
  <si>
    <t>4-methyl-1H-benzotriazool</t>
  </si>
  <si>
    <t>29878-31-7</t>
  </si>
  <si>
    <t>4C1y2C5ol</t>
  </si>
  <si>
    <t>4-methyl-2-pentanol</t>
  </si>
  <si>
    <t>108-11-2</t>
  </si>
  <si>
    <t>4C1y2C5on</t>
  </si>
  <si>
    <t>4-methyl-2-pentanon (MIBK)</t>
  </si>
  <si>
    <t>108-10-1</t>
  </si>
  <si>
    <t>4C1y2NO2An</t>
  </si>
  <si>
    <t>4-methyl-2-nitroaniline</t>
  </si>
  <si>
    <t>89-62-3</t>
  </si>
  <si>
    <t>4C1y3NO2An</t>
  </si>
  <si>
    <t>4-methyl-3-nitroaniline</t>
  </si>
  <si>
    <t>119-32-4</t>
  </si>
  <si>
    <t>4C1y3tazlne</t>
  </si>
  <si>
    <t>4-methyl-3-thiazoline</t>
  </si>
  <si>
    <t>52558-99-3</t>
  </si>
  <si>
    <t>4C1yAn</t>
  </si>
  <si>
    <t>4-methylaniline</t>
  </si>
  <si>
    <t>106-49-0</t>
  </si>
  <si>
    <t>4C1ycarbzl</t>
  </si>
  <si>
    <t>4-methylcarbazol</t>
  </si>
  <si>
    <t>3770-48-7</t>
  </si>
  <si>
    <t>4C1yidl</t>
  </si>
  <si>
    <t>4-methylindol</t>
  </si>
  <si>
    <t>16096-32-5</t>
  </si>
  <si>
    <t>4C1yqnlne</t>
  </si>
  <si>
    <t>4-methylquinoline</t>
  </si>
  <si>
    <t>491-35-0</t>
  </si>
  <si>
    <t>4C1yvlrazr</t>
  </si>
  <si>
    <t>4-methylvaleriaanzuur</t>
  </si>
  <si>
    <t>646-07-1</t>
  </si>
  <si>
    <t>4C2y1ot3ol</t>
  </si>
  <si>
    <t>4-ethyl-1-octyn-3-ol</t>
  </si>
  <si>
    <t>5877-42-9</t>
  </si>
  <si>
    <t>4C2y23DC1yFo</t>
  </si>
  <si>
    <t>4-ethyl-2,3-dimethylfenol</t>
  </si>
  <si>
    <t>66142-72-1</t>
  </si>
  <si>
    <t>4C2y35DC1yFo</t>
  </si>
  <si>
    <t>4-ethyl-3,5-dimethylfenol</t>
  </si>
  <si>
    <t>62126-77-6</t>
  </si>
  <si>
    <t>4C2y4C6ymfln</t>
  </si>
  <si>
    <t>4-ethyl-4-hexadecylmorpholiniumethylsulfaat</t>
  </si>
  <si>
    <t>78-21-7</t>
  </si>
  <si>
    <t>4C2yFol</t>
  </si>
  <si>
    <t>4-ethylfenol</t>
  </si>
  <si>
    <t>123-07-9</t>
  </si>
  <si>
    <t>4C2yTol</t>
  </si>
  <si>
    <t>4-ethyltolueen</t>
  </si>
  <si>
    <t>622-96-8</t>
  </si>
  <si>
    <t>4C4oxC4azr</t>
  </si>
  <si>
    <t>4-butoxybutaanzuur</t>
  </si>
  <si>
    <t>55724-73-7</t>
  </si>
  <si>
    <t>4C4oxFol</t>
  </si>
  <si>
    <t>4-butoxyfenol</t>
  </si>
  <si>
    <t>122-94-1</t>
  </si>
  <si>
    <t>4C8yFol</t>
  </si>
  <si>
    <t>4-n-octylfenol</t>
  </si>
  <si>
    <t>1806-26-4</t>
  </si>
  <si>
    <t>4C8yN4C8yFyB</t>
  </si>
  <si>
    <t>4-octyl-N-(4-octylfenyl)-benzeenamine</t>
  </si>
  <si>
    <t>101-67-7</t>
  </si>
  <si>
    <t>4C9yFol</t>
  </si>
  <si>
    <t>4-nonylfenol</t>
  </si>
  <si>
    <t>104-40-5</t>
  </si>
  <si>
    <t>4CPA</t>
  </si>
  <si>
    <t>4-chloorfenoxyazijnzuur</t>
  </si>
  <si>
    <t>122-88-3</t>
  </si>
  <si>
    <t>4Cl26DNO2An</t>
  </si>
  <si>
    <t>4-chloor-2,6-dinitroaniline</t>
  </si>
  <si>
    <t>5388-62-5</t>
  </si>
  <si>
    <t>4Cl2C1yAn</t>
  </si>
  <si>
    <t>4-chloor-2-methylaniline (p-chloor-o-toluidine)</t>
  </si>
  <si>
    <t>95-69-2</t>
  </si>
  <si>
    <t>4Cl2C1yFol</t>
  </si>
  <si>
    <t>4-chloor-2-methylfenol</t>
  </si>
  <si>
    <t>1570-64-5</t>
  </si>
  <si>
    <t>4Cl2NO2An</t>
  </si>
  <si>
    <t>4-chloor-2-nitroaniline</t>
  </si>
  <si>
    <t>89-63-4</t>
  </si>
  <si>
    <t>4Cl2NO2Tol</t>
  </si>
  <si>
    <t>4-chloor-2-nitrotolueen</t>
  </si>
  <si>
    <t>89-59-8</t>
  </si>
  <si>
    <t>4Cl2NO2ansl</t>
  </si>
  <si>
    <t>4-chloor-2-nitroanisool</t>
  </si>
  <si>
    <t>89-21-4</t>
  </si>
  <si>
    <t>4Cl3C1yAn</t>
  </si>
  <si>
    <t>4-chloor-3-methylaniline</t>
  </si>
  <si>
    <t>7149-75-9</t>
  </si>
  <si>
    <t>4Cl3C1yFol</t>
  </si>
  <si>
    <t>4-chloor-3-methylfenol</t>
  </si>
  <si>
    <t>59-50-7</t>
  </si>
  <si>
    <t>4Cl3NO2An</t>
  </si>
  <si>
    <t>4-chloor-3-nitroaniline</t>
  </si>
  <si>
    <t>635-22-3</t>
  </si>
  <si>
    <t>4Cl3NO2Tol</t>
  </si>
  <si>
    <t>4-chloor-3-nitrotolueen</t>
  </si>
  <si>
    <t>89-60-1</t>
  </si>
  <si>
    <t>4ClAn</t>
  </si>
  <si>
    <t>4-chlooraniline</t>
  </si>
  <si>
    <t>106-47-8</t>
  </si>
  <si>
    <t>4ClFol</t>
  </si>
  <si>
    <t>4-chloorfenol</t>
  </si>
  <si>
    <t>106-48-9</t>
  </si>
  <si>
    <t>4ClFyFyEtr</t>
  </si>
  <si>
    <t>4-chloorfenyl fenylether</t>
  </si>
  <si>
    <t>7005-72-3</t>
  </si>
  <si>
    <t>4ClNC1yAn</t>
  </si>
  <si>
    <t>4-chloor-N-methylaniline</t>
  </si>
  <si>
    <t>932-96-7</t>
  </si>
  <si>
    <t>4ClTol</t>
  </si>
  <si>
    <t>4-chloortolueen</t>
  </si>
  <si>
    <t>106-43-4</t>
  </si>
  <si>
    <t>4Cy1cycC6on</t>
  </si>
  <si>
    <t>4-methylcyclohexanon</t>
  </si>
  <si>
    <t>589-92-4</t>
  </si>
  <si>
    <t>4DC1yAoazBen</t>
  </si>
  <si>
    <t>4-dimethylaminoazobenzeen</t>
  </si>
  <si>
    <t>60-11-7</t>
  </si>
  <si>
    <t>4DC1yC4yAoDF</t>
  </si>
  <si>
    <t>4-(dimethylbutylamino)-difenylamine</t>
  </si>
  <si>
    <t>793-24-8</t>
  </si>
  <si>
    <t>4HccPedefFen</t>
  </si>
  <si>
    <t>4H-cyclopenta[d,e,f]fenantreen-4-on</t>
  </si>
  <si>
    <t>5737-13-3</t>
  </si>
  <si>
    <t>4Hox4C1y2C5o</t>
  </si>
  <si>
    <t>4-hydroxy-4-methyl-2-pentanon</t>
  </si>
  <si>
    <t>123-42-2</t>
  </si>
  <si>
    <t>4HoxDcfnc</t>
  </si>
  <si>
    <t>4'-hydroxydiclofenac</t>
  </si>
  <si>
    <t>64118-84-9</t>
  </si>
  <si>
    <t>4NO2An</t>
  </si>
  <si>
    <t>4-nitroaniline</t>
  </si>
  <si>
    <t>100-01-6</t>
  </si>
  <si>
    <t>4NO2DC1yAn</t>
  </si>
  <si>
    <t>4-nitrodimethylaniline</t>
  </si>
  <si>
    <t>100-23-2</t>
  </si>
  <si>
    <t>4NO2DFy</t>
  </si>
  <si>
    <t>4-nitrodifenyl</t>
  </si>
  <si>
    <t>92-93-3</t>
  </si>
  <si>
    <t>4NO2DFyAe</t>
  </si>
  <si>
    <t>4-nitrodifenylamine</t>
  </si>
  <si>
    <t>836-30-6</t>
  </si>
  <si>
    <t>4NO2Fol</t>
  </si>
  <si>
    <t>4-nitrofenol</t>
  </si>
  <si>
    <t>100-02-7</t>
  </si>
  <si>
    <t>4NO2Tol</t>
  </si>
  <si>
    <t>4-nitrotolueen</t>
  </si>
  <si>
    <t>99-99-0</t>
  </si>
  <si>
    <t>4NO2sDFyAe</t>
  </si>
  <si>
    <t>4-nitrosodifenylamine</t>
  </si>
  <si>
    <t>156-10-5</t>
  </si>
  <si>
    <t>4Ooifrn</t>
  </si>
  <si>
    <t>4-oxoisoforon</t>
  </si>
  <si>
    <t>1125-21-9</t>
  </si>
  <si>
    <t>4cumFol</t>
  </si>
  <si>
    <t>4-cumylfenol</t>
  </si>
  <si>
    <t>599-64-4</t>
  </si>
  <si>
    <t>4formAoatprn</t>
  </si>
  <si>
    <t>4-formylaminoantipyrine</t>
  </si>
  <si>
    <t>1672-58-8</t>
  </si>
  <si>
    <t>4iC3yAn</t>
  </si>
  <si>
    <t>4-isopropylaniline (Cumidine)</t>
  </si>
  <si>
    <t>99-88-7</t>
  </si>
  <si>
    <t>4iC3yFol</t>
  </si>
  <si>
    <t>4-isopropylfenol</t>
  </si>
  <si>
    <t>99-89-8</t>
  </si>
  <si>
    <t>4iC9yFol</t>
  </si>
  <si>
    <t>4-isononylfenol</t>
  </si>
  <si>
    <t>26543-97-5</t>
  </si>
  <si>
    <t>4tC9yFolDC2o</t>
  </si>
  <si>
    <t>4-t-nonylfenoldiethoxylaat</t>
  </si>
  <si>
    <t>156609-10-8</t>
  </si>
  <si>
    <t>4ttC4y26DC1y</t>
  </si>
  <si>
    <t>4'-tertiair-butyl-2',6'-dimethylacetofenon</t>
  </si>
  <si>
    <t>2040-10-0</t>
  </si>
  <si>
    <t>4ttC4yFol</t>
  </si>
  <si>
    <t>4-tertiair-butylfenol</t>
  </si>
  <si>
    <t>98-54-4</t>
  </si>
  <si>
    <t>4ttC4yccC6on</t>
  </si>
  <si>
    <t>4-tert-butylcyclohexanon</t>
  </si>
  <si>
    <t>98-53-3</t>
  </si>
  <si>
    <t>4ttC8yFol</t>
  </si>
  <si>
    <t>4-tertiair-octylfenol</t>
  </si>
  <si>
    <t>140-66-9</t>
  </si>
  <si>
    <t>4vn1ccC6e</t>
  </si>
  <si>
    <t>4-vinyl-1-cyclohexeen</t>
  </si>
  <si>
    <t>100-40-3</t>
  </si>
  <si>
    <t>5677aT4H447a</t>
  </si>
  <si>
    <t>5,6,7,7a-tetrahydro-4,4,7a-trimethyl-2-benzofuranon</t>
  </si>
  <si>
    <t>15356-74-8</t>
  </si>
  <si>
    <t>5C1y1Hbztazl</t>
  </si>
  <si>
    <t>5-methyl-1H-benzotriazool</t>
  </si>
  <si>
    <t>136-85-6</t>
  </si>
  <si>
    <t>5C1y2C6on</t>
  </si>
  <si>
    <t>5-methyl-2-hexanon</t>
  </si>
  <si>
    <t>110-12-3</t>
  </si>
  <si>
    <t>5C1yChr</t>
  </si>
  <si>
    <t>5-methylchryseen</t>
  </si>
  <si>
    <t>3697-24-3</t>
  </si>
  <si>
    <t>5C1yT4lne</t>
  </si>
  <si>
    <t>5-methyltetralin</t>
  </si>
  <si>
    <t>2809-64-5</t>
  </si>
  <si>
    <t>5C1yoansdne</t>
  </si>
  <si>
    <t>5-methyl-o-anisidine</t>
  </si>
  <si>
    <t>120-71-8</t>
  </si>
  <si>
    <t>5C2yid2nbnn</t>
  </si>
  <si>
    <t>5-ethylideen-2-norborneen</t>
  </si>
  <si>
    <t>16219-75-3</t>
  </si>
  <si>
    <t>5Cl2C1y2Hita</t>
  </si>
  <si>
    <t>5-chloor-2-methyl-2H-isothiazool-3-on</t>
  </si>
  <si>
    <t>26172-55-4</t>
  </si>
  <si>
    <t>5Cl2C1yAn</t>
  </si>
  <si>
    <t>5-chloor-2-methylaniline</t>
  </si>
  <si>
    <t>95-79-4</t>
  </si>
  <si>
    <t>5Cl2NO2An</t>
  </si>
  <si>
    <t>5-chloor-2-nitroaniline</t>
  </si>
  <si>
    <t>1635-61-6</t>
  </si>
  <si>
    <t>5Cl2NO2Tol</t>
  </si>
  <si>
    <t>5-chloor-2-nitrotolueen</t>
  </si>
  <si>
    <t>5367-28-2</t>
  </si>
  <si>
    <t>5HDbenzbfazp</t>
  </si>
  <si>
    <t>5H-dibenz[b,f]azepine</t>
  </si>
  <si>
    <t>256-96-2</t>
  </si>
  <si>
    <t>5HOxtabdzle</t>
  </si>
  <si>
    <t>5-hydroxythiabendazole</t>
  </si>
  <si>
    <t>948-71-0</t>
  </si>
  <si>
    <t>5NO2oansdne</t>
  </si>
  <si>
    <t>5-nitro-ortho-anisidine</t>
  </si>
  <si>
    <t>99-59-2</t>
  </si>
  <si>
    <t>5NO2otlidne</t>
  </si>
  <si>
    <t>5-nitro-ortho-toluidine</t>
  </si>
  <si>
    <t>99-55-8</t>
  </si>
  <si>
    <t>5bcholet3on</t>
  </si>
  <si>
    <t>5-beta-cholestan-3-one</t>
  </si>
  <si>
    <t>601-53-6</t>
  </si>
  <si>
    <t>5choletne</t>
  </si>
  <si>
    <t>5-cholestene</t>
  </si>
  <si>
    <t>570-74-1</t>
  </si>
  <si>
    <t>5iC3y2C1yFol</t>
  </si>
  <si>
    <t>5-isopropyl-2-methylfenol</t>
  </si>
  <si>
    <t>499-75-2</t>
  </si>
  <si>
    <t>61014TC1y2C1</t>
  </si>
  <si>
    <t>6,10,14-trimethyl-2-pentadecanon</t>
  </si>
  <si>
    <t>502-69-2</t>
  </si>
  <si>
    <t>6Cl24DNO2An</t>
  </si>
  <si>
    <t>6-chloor-2,4-dinitroaniline</t>
  </si>
  <si>
    <t>3531-19-9</t>
  </si>
  <si>
    <t>6all4C1ox13B</t>
  </si>
  <si>
    <t>6-allyl-4-methoxy-1,3-benzodioxol</t>
  </si>
  <si>
    <t>607-91-0</t>
  </si>
  <si>
    <t>6iC3ymcsl</t>
  </si>
  <si>
    <t>6-isopropyl-m-cresol</t>
  </si>
  <si>
    <t>89-83-8</t>
  </si>
  <si>
    <t>6oMactmfne</t>
  </si>
  <si>
    <t>6-o-monoacetylmorfine</t>
  </si>
  <si>
    <t>2784-73-8</t>
  </si>
  <si>
    <t>7C1ycmrn</t>
  </si>
  <si>
    <t>7-methylcoumarin</t>
  </si>
  <si>
    <t>2445-83-2</t>
  </si>
  <si>
    <t>7HDbzcgcbzl</t>
  </si>
  <si>
    <t>7H-dibenzo(c,g)carbazol</t>
  </si>
  <si>
    <t>194-59-2</t>
  </si>
  <si>
    <t>8aestDol</t>
  </si>
  <si>
    <t>8alpha-estradiol</t>
  </si>
  <si>
    <t>517-04-4</t>
  </si>
  <si>
    <t>8chinlnl</t>
  </si>
  <si>
    <t>8-chinolinol</t>
  </si>
  <si>
    <t>148-24-3</t>
  </si>
  <si>
    <t>9-Cl-PF3ONS</t>
  </si>
  <si>
    <t>9-chloorhexadecaanfluor-3-oxanon-1-sulfonzuur</t>
  </si>
  <si>
    <t>756426-58-1</t>
  </si>
  <si>
    <t>9C16ezr</t>
  </si>
  <si>
    <t>9-hexadeceenzuur</t>
  </si>
  <si>
    <t>2091-29-4</t>
  </si>
  <si>
    <t>9C18eal</t>
  </si>
  <si>
    <t>9-octadecenal</t>
  </si>
  <si>
    <t>5090-41-5</t>
  </si>
  <si>
    <t>9fluornn</t>
  </si>
  <si>
    <t>9-fluorenon</t>
  </si>
  <si>
    <t>486-25-9</t>
  </si>
  <si>
    <t>AANMCCTTE</t>
  </si>
  <si>
    <t>Aanmaakconcentratie</t>
  </si>
  <si>
    <t>OngedefinieerdLab</t>
  </si>
  <si>
    <t>AANTFTE</t>
  </si>
  <si>
    <t>Aantalfractie</t>
  </si>
  <si>
    <t>AANTL</t>
  </si>
  <si>
    <t>Aantal</t>
  </si>
  <si>
    <t>AANTPLTE</t>
  </si>
  <si>
    <t>Aantal per lengte</t>
  </si>
  <si>
    <t>1/g</t>
  </si>
  <si>
    <t>AANTPMSA</t>
  </si>
  <si>
    <t>Aantal per massa</t>
  </si>
  <si>
    <t>1/m2</t>
  </si>
  <si>
    <t>AANTPOPVTE</t>
  </si>
  <si>
    <t>Aantal per oppervlakte</t>
  </si>
  <si>
    <t>1/m3</t>
  </si>
  <si>
    <t>AANTPVLME</t>
  </si>
  <si>
    <t>Aantal per volume</t>
  </si>
  <si>
    <t>AANWZHD</t>
  </si>
  <si>
    <t>Aanwezigheid</t>
  </si>
  <si>
    <t>AANZSHD</t>
  </si>
  <si>
    <t>Aanzuigsnelheid</t>
  </si>
  <si>
    <t xml:space="preserve">Natural Gas </t>
  </si>
  <si>
    <t>AARDGS</t>
  </si>
  <si>
    <t>Aardgas</t>
  </si>
  <si>
    <t>ACCMLTDR</t>
  </si>
  <si>
    <t>Accumulatieduur</t>
  </si>
  <si>
    <t>ACDTT</t>
  </si>
  <si>
    <t>Aciditeit</t>
  </si>
  <si>
    <t>ACTVTCCTTE</t>
  </si>
  <si>
    <t>Activiteitsconcentratie</t>
  </si>
  <si>
    <t>ADBI</t>
  </si>
  <si>
    <t>celestolide</t>
  </si>
  <si>
    <t>13171-00-1</t>
  </si>
  <si>
    <t>ADF</t>
  </si>
  <si>
    <t>Vezelfractie cellulose + lignine</t>
  </si>
  <si>
    <t>ADONA</t>
  </si>
  <si>
    <t>ammonium 4,8-dioxa-3H-perfluornonanoaat</t>
  </si>
  <si>
    <t>958445-44-8</t>
  </si>
  <si>
    <t>AFGTSHPO4</t>
  </si>
  <si>
    <t>Afgiftesnelheid fosfaat</t>
  </si>
  <si>
    <t>AFMD</t>
  </si>
  <si>
    <t>Afmeldreden niet genomen monster</t>
  </si>
  <si>
    <t>Typering</t>
  </si>
  <si>
    <t>AFSDRDMT</t>
  </si>
  <si>
    <t>Afscheidingsrendement</t>
  </si>
  <si>
    <t>AFVBRNRSG</t>
  </si>
  <si>
    <t>Afvoerbare neerslag</t>
  </si>
  <si>
    <t>AFWKG</t>
  </si>
  <si>
    <t>Afwijking</t>
  </si>
  <si>
    <t>AHMI</t>
  </si>
  <si>
    <t>5-acetyl-1,1,2,3,3,6-hexamethylindaan</t>
  </si>
  <si>
    <t>15323-35-0</t>
  </si>
  <si>
    <t>AHTN</t>
  </si>
  <si>
    <t>tonalide</t>
  </si>
  <si>
    <t>1506-02-1</t>
  </si>
  <si>
    <t>AMPA</t>
  </si>
  <si>
    <t>aminomethylfosfonzuur</t>
  </si>
  <si>
    <t>1066-51-9</t>
  </si>
  <si>
    <t>ANNA</t>
  </si>
  <si>
    <t>Anabaena</t>
  </si>
  <si>
    <t>ANNO</t>
  </si>
  <si>
    <t>Anabaenopsis</t>
  </si>
  <si>
    <t>ANSNL-D01</t>
  </si>
  <si>
    <t>Biodiversiteit</t>
  </si>
  <si>
    <t>ANSNL-D02</t>
  </si>
  <si>
    <t>Exoten</t>
  </si>
  <si>
    <t>ANSNL-D03</t>
  </si>
  <si>
    <t>Commerciële vis, schaal- en schelpdieren</t>
  </si>
  <si>
    <t>ANSNL-D04</t>
  </si>
  <si>
    <t>Voedselwebben</t>
  </si>
  <si>
    <t>ANSNL-D05</t>
  </si>
  <si>
    <t>Eutrofiering</t>
  </si>
  <si>
    <t>ANSNL-D06</t>
  </si>
  <si>
    <t>Zeebodemintegriteit</t>
  </si>
  <si>
    <t>ANSNL-D07</t>
  </si>
  <si>
    <t>Hydrografische eigenschappen</t>
  </si>
  <si>
    <t>ANSNL-D08</t>
  </si>
  <si>
    <t>Vervuilende stoffen</t>
  </si>
  <si>
    <t>ANSNL-D09</t>
  </si>
  <si>
    <t>Vervuilende stoffen visserijproducten</t>
  </si>
  <si>
    <t>ANSNL-D10</t>
  </si>
  <si>
    <t>Zwerfvuil</t>
  </si>
  <si>
    <t>ANSNL-D10C1</t>
  </si>
  <si>
    <t>D10C1 afval (excl. microafval)</t>
  </si>
  <si>
    <t>TyperingMarien</t>
  </si>
  <si>
    <t>ANSNL-D10C2</t>
  </si>
  <si>
    <t>D10C2 microafval</t>
  </si>
  <si>
    <t>ANSNL-D10C3</t>
  </si>
  <si>
    <t>D10C3 afval in de magen van zeedieren</t>
  </si>
  <si>
    <t>ANSNL-D10C4</t>
  </si>
  <si>
    <t>D10C4 nadelige effecten van afval</t>
  </si>
  <si>
    <t>ANSNL-D11</t>
  </si>
  <si>
    <t>Onderwatergeluid</t>
  </si>
  <si>
    <t>ANSNL-D11C1</t>
  </si>
  <si>
    <t>D11C1 antropogeen impulsief geluid</t>
  </si>
  <si>
    <t>ANSNL-D11C2</t>
  </si>
  <si>
    <t>D11C2 antropogeen continu geluid</t>
  </si>
  <si>
    <t>ANSNL-D1C1</t>
  </si>
  <si>
    <t>D1C1 sterftecijfer van bijvangst</t>
  </si>
  <si>
    <t>ANSNL-D1C2</t>
  </si>
  <si>
    <t>D1C2 populatiedichtheid</t>
  </si>
  <si>
    <t>ANSNL-D1C3</t>
  </si>
  <si>
    <t>D1C3 populatie demografie</t>
  </si>
  <si>
    <t>ANSNL-D1C4</t>
  </si>
  <si>
    <t>D1C4 populatie verspreiding</t>
  </si>
  <si>
    <t>ANSNL-D1C5</t>
  </si>
  <si>
    <t>D1C5 habitat voor de soort</t>
  </si>
  <si>
    <t>ANSNL-D1C6</t>
  </si>
  <si>
    <t>D1C6 toestand van het habitattype</t>
  </si>
  <si>
    <t>ANSNL-D2C1</t>
  </si>
  <si>
    <t>D2C1 geïntroduceerde niet-inheemse soorten</t>
  </si>
  <si>
    <t>ANSNL-D2C2</t>
  </si>
  <si>
    <t>D2C2 dichth. + verspreid. ingeburgerde niet-inheemse soorten</t>
  </si>
  <si>
    <t>ANSNL-D2C3</t>
  </si>
  <si>
    <t>D2C3 deel dat neg. veranderd is door niet-inheemse soorten</t>
  </si>
  <si>
    <t>ANSNL-D3C1</t>
  </si>
  <si>
    <t>D3C1 visserijsterfte</t>
  </si>
  <si>
    <t>ANSNL-D3C2</t>
  </si>
  <si>
    <t>D3C2 paaibiomassa</t>
  </si>
  <si>
    <t>ANSNL-D3C3</t>
  </si>
  <si>
    <t>D3C3 leeftijdsopbouw en grootteverdeling</t>
  </si>
  <si>
    <t>ANSNL-D4C1</t>
  </si>
  <si>
    <t>D4C1 diversiteit van het trofische gilde</t>
  </si>
  <si>
    <t>ANSNL-D4C2</t>
  </si>
  <si>
    <t>D4C2 dichtheid van het trofische gilde</t>
  </si>
  <si>
    <t>ANSNL-D4C3</t>
  </si>
  <si>
    <t>D4C3 grootteverdeling van het trofische gilde</t>
  </si>
  <si>
    <t>ANSNL-D4C4</t>
  </si>
  <si>
    <t>D4C4 productiviteit van het trofische gilde</t>
  </si>
  <si>
    <t>ANSNL-D5C1</t>
  </si>
  <si>
    <t>D5C1 nutriëntenconcentratie</t>
  </si>
  <si>
    <t>ANSNL-D5C2</t>
  </si>
  <si>
    <t>D5C2 chlorofyl-a-concentratie</t>
  </si>
  <si>
    <t>ANSNL-D5C3</t>
  </si>
  <si>
    <t>D5C3 schadelijke algenbloei</t>
  </si>
  <si>
    <t>ANSNL-D5C4</t>
  </si>
  <si>
    <t>D5C4 doorzicht</t>
  </si>
  <si>
    <t>ANSNL-D5C5</t>
  </si>
  <si>
    <t>D5C5 opgeloste-zuurstofconcentratie</t>
  </si>
  <si>
    <t>ANSNL-D5C6</t>
  </si>
  <si>
    <t>D5C6 dichtheid van opportunistische macroalgen</t>
  </si>
  <si>
    <t>ANSNL-D5C7</t>
  </si>
  <si>
    <t>D5C7 schadelijke effecten nutriënten op macrofytengemeensch.</t>
  </si>
  <si>
    <t>ANSNL-D5C8</t>
  </si>
  <si>
    <t>D5C8 schadelijke effecten nutriënten op macrofaunagemeensch.</t>
  </si>
  <si>
    <t>ANSNL-D6C1</t>
  </si>
  <si>
    <t>D6C1 fysiek verlies van de natuurlijke zeebodem</t>
  </si>
  <si>
    <t>ANSNL-D6C2</t>
  </si>
  <si>
    <t>D6C2 fysieke verstoringen van de zeebodem</t>
  </si>
  <si>
    <t>ANSNL-D6C3</t>
  </si>
  <si>
    <t>D6C3 omvang van habitattype dat schade is berokkend</t>
  </si>
  <si>
    <t>ANSNL-D6C4</t>
  </si>
  <si>
    <t>D6C4 omvang van het verlies van het habitattype</t>
  </si>
  <si>
    <t>ANSNL-D6C5</t>
  </si>
  <si>
    <t>D6C5 conditie van het benthisch habitat</t>
  </si>
  <si>
    <t>ANSNL-D7C1</t>
  </si>
  <si>
    <t>D7C1 permanente wijziging v.d. hydrografische omstandigheden</t>
  </si>
  <si>
    <t>ANSNL-D7C2</t>
  </si>
  <si>
    <t>D7C2 nadelige wijzig. hydrograf. omstandigh. per habitattype</t>
  </si>
  <si>
    <t>ANSNL-D8C1</t>
  </si>
  <si>
    <t>D8C1 verontreinigingen in het milieu</t>
  </si>
  <si>
    <t>ANSNL-D8C2</t>
  </si>
  <si>
    <t>D8C2 nadelige effecten van verontreinigingen</t>
  </si>
  <si>
    <t>ANSNL-D8C3</t>
  </si>
  <si>
    <t>D8C3 significante ernstige verontreinigingen</t>
  </si>
  <si>
    <t>ANSNL-D8C4</t>
  </si>
  <si>
    <t>D8C4 schadelijke effecten van significante ernstige verontr.</t>
  </si>
  <si>
    <t>ANSNL-D9C1</t>
  </si>
  <si>
    <t>D9C1 verontreinigingen in visserijproducten</t>
  </si>
  <si>
    <t>APNI</t>
  </si>
  <si>
    <t>Aphanizomenon</t>
  </si>
  <si>
    <t>ATCD</t>
  </si>
  <si>
    <t>acetylcedreen</t>
  </si>
  <si>
    <t>32388-55-9</t>
  </si>
  <si>
    <t>ATHN</t>
  </si>
  <si>
    <t>acetylhexamethyltetrahydronaftaleen</t>
  </si>
  <si>
    <t>21145-77-7</t>
  </si>
  <si>
    <t>ATTI</t>
  </si>
  <si>
    <t>traseolide</t>
  </si>
  <si>
    <t>68140-48-7</t>
  </si>
  <si>
    <t>AV10_H</t>
  </si>
  <si>
    <t>Aantal vrijheidsgraden bij het variantiedichtheidspectrum</t>
  </si>
  <si>
    <t>AV10_R</t>
  </si>
  <si>
    <t>Aantal vrijheidsgraden behorend bij het golfrichtingspectrum</t>
  </si>
  <si>
    <t>Ac228</t>
  </si>
  <si>
    <t>actinium 228</t>
  </si>
  <si>
    <t>14331-83-0</t>
  </si>
  <si>
    <t>AcNe</t>
  </si>
  <si>
    <t>acenafteen</t>
  </si>
  <si>
    <t>83-32-9</t>
  </si>
  <si>
    <t>AcNy</t>
  </si>
  <si>
    <t>acenaftyleen</t>
  </si>
  <si>
    <t>208-96-8</t>
  </si>
  <si>
    <t>Ag110m</t>
  </si>
  <si>
    <t>zilver 110m (metastabiel)</t>
  </si>
  <si>
    <t>378784-24-8</t>
  </si>
  <si>
    <t>Ag111</t>
  </si>
  <si>
    <t>zilver 111</t>
  </si>
  <si>
    <t>15760-04-0</t>
  </si>
  <si>
    <t>AlHOxCl</t>
  </si>
  <si>
    <t>aluminiumhydroxychloride</t>
  </si>
  <si>
    <t>1327-41-9</t>
  </si>
  <si>
    <t>AlIII</t>
  </si>
  <si>
    <t>aluminium (driewaardig)</t>
  </si>
  <si>
    <t>22537-23-1</t>
  </si>
  <si>
    <t>AlO</t>
  </si>
  <si>
    <t>aluminumoxide</t>
  </si>
  <si>
    <t>1344-28-1</t>
  </si>
  <si>
    <t>AlP</t>
  </si>
  <si>
    <t>aluminiumfosfide</t>
  </si>
  <si>
    <t>20859-73-8</t>
  </si>
  <si>
    <t>AlSO4</t>
  </si>
  <si>
    <t>aluminiumsulfaat</t>
  </si>
  <si>
    <t>10043-01-3</t>
  </si>
  <si>
    <t>Am241</t>
  </si>
  <si>
    <t>americium 241</t>
  </si>
  <si>
    <t>86954-36-1</t>
  </si>
  <si>
    <t>Am242</t>
  </si>
  <si>
    <t>americium 242</t>
  </si>
  <si>
    <t>13981-54-9</t>
  </si>
  <si>
    <t>An</t>
  </si>
  <si>
    <t>aniline</t>
  </si>
  <si>
    <t>62-53-3</t>
  </si>
  <si>
    <t>Ant</t>
  </si>
  <si>
    <t>antraceen</t>
  </si>
  <si>
    <t>120-12-7</t>
  </si>
  <si>
    <t>AoTC1yePA</t>
  </si>
  <si>
    <t>aminotrimethyleen fosfonzuur</t>
  </si>
  <si>
    <t>6419-19-8</t>
  </si>
  <si>
    <t>Aocb</t>
  </si>
  <si>
    <t>aminocarb</t>
  </si>
  <si>
    <t>2032-59-9</t>
  </si>
  <si>
    <t>Aofnzn</t>
  </si>
  <si>
    <t>aminofenazon</t>
  </si>
  <si>
    <t>58-15-1</t>
  </si>
  <si>
    <t>Aoprld</t>
  </si>
  <si>
    <t>aminopyralid</t>
  </si>
  <si>
    <t>150114-71-9</t>
  </si>
  <si>
    <t>As73</t>
  </si>
  <si>
    <t>arseen 73</t>
  </si>
  <si>
    <t>15422-59-0</t>
  </si>
  <si>
    <t>As74</t>
  </si>
  <si>
    <t>arseen 74</t>
  </si>
  <si>
    <t>14304-78-0</t>
  </si>
  <si>
    <t>AsO2</t>
  </si>
  <si>
    <t>arseniet</t>
  </si>
  <si>
    <t>15502-74-6</t>
  </si>
  <si>
    <t>AsO4</t>
  </si>
  <si>
    <t>arsenaat</t>
  </si>
  <si>
    <t>15584-04-0</t>
  </si>
  <si>
    <t>Au198</t>
  </si>
  <si>
    <t>goud 198</t>
  </si>
  <si>
    <t>10043-49-9</t>
  </si>
  <si>
    <t>Au199</t>
  </si>
  <si>
    <t>goud 199</t>
  </si>
  <si>
    <t>14391-11-8</t>
  </si>
  <si>
    <t>B2O3</t>
  </si>
  <si>
    <t>diboortrioxide</t>
  </si>
  <si>
    <t>1303-86-2</t>
  </si>
  <si>
    <t>BADGT</t>
  </si>
  <si>
    <t>Badgast</t>
  </si>
  <si>
    <t>BCDMH</t>
  </si>
  <si>
    <t>1-broom-3-chloor-5,5-dimethylhidantoïne</t>
  </si>
  <si>
    <t>16079-88-2</t>
  </si>
  <si>
    <t>BEDKG</t>
  </si>
  <si>
    <t>Bedekking</t>
  </si>
  <si>
    <t>BELTG</t>
  </si>
  <si>
    <t>Belasting</t>
  </si>
  <si>
    <t>BEMSDOVZDE</t>
  </si>
  <si>
    <t>Bemonsterde oeverzijde</t>
  </si>
  <si>
    <t>BEMSRBTE</t>
  </si>
  <si>
    <t>Bemonsteringsbreedte</t>
  </si>
  <si>
    <t>BEMSRDR</t>
  </si>
  <si>
    <t>Bemonsteringsduur</t>
  </si>
  <si>
    <t>BEMSROPVK</t>
  </si>
  <si>
    <t>Bemonsteringsoppervlak</t>
  </si>
  <si>
    <t>BESBHD</t>
  </si>
  <si>
    <t>Beschikbaarheid</t>
  </si>
  <si>
    <t>BESDWG</t>
  </si>
  <si>
    <t>Beschaduwing</t>
  </si>
  <si>
    <t>BEWKGD</t>
  </si>
  <si>
    <t>Bewolkingsgraad</t>
  </si>
  <si>
    <t>BEZ</t>
  </si>
  <si>
    <t>Bezinksel</t>
  </si>
  <si>
    <t>BHT</t>
  </si>
  <si>
    <t>butylhydroxytolueen (BHT)</t>
  </si>
  <si>
    <t>128-37-0</t>
  </si>
  <si>
    <t>BIJZDRBSDLGM</t>
  </si>
  <si>
    <t>Bijzondere bestanddelen grondmonster</t>
  </si>
  <si>
    <t>BIOGS</t>
  </si>
  <si>
    <t>Biogas</t>
  </si>
  <si>
    <t>BIOLT</t>
  </si>
  <si>
    <t>Biologie totaal</t>
  </si>
  <si>
    <t>BIOMSA</t>
  </si>
  <si>
    <t>Biomassa</t>
  </si>
  <si>
    <t>BIOMSFTE</t>
  </si>
  <si>
    <t>Biomassafractie</t>
  </si>
  <si>
    <t>BISADPT</t>
  </si>
  <si>
    <t>bis(2-ethylhexyl)adipaat</t>
  </si>
  <si>
    <t>103-23-1</t>
  </si>
  <si>
    <t>BLADVL</t>
  </si>
  <si>
    <t>Bladval</t>
  </si>
  <si>
    <t>BLOEIBAG</t>
  </si>
  <si>
    <t>Bloei blauwalg (kwalitatief)</t>
  </si>
  <si>
    <t>BLOEIFQTE</t>
  </si>
  <si>
    <t>Bloeifrequentie</t>
  </si>
  <si>
    <t>BODHTE</t>
  </si>
  <si>
    <t>Bodemhoogte</t>
  </si>
  <si>
    <t>BODKLTT</t>
  </si>
  <si>
    <t>Bodemkwaliteit (eindoordeel)</t>
  </si>
  <si>
    <t>BOOMLG</t>
  </si>
  <si>
    <t>Boomlaag</t>
  </si>
  <si>
    <t>BOTLME</t>
  </si>
  <si>
    <t>Botulisme</t>
  </si>
  <si>
    <t>BRAKKRTR</t>
  </si>
  <si>
    <t>Brakkarakter</t>
  </si>
  <si>
    <t>BREEDTE</t>
  </si>
  <si>
    <t>Breedte</t>
  </si>
  <si>
    <t>BRYOZ_HYDROZ</t>
  </si>
  <si>
    <t>Bryozoa en/of Hydrozoa</t>
  </si>
  <si>
    <t>BTCl</t>
  </si>
  <si>
    <t>boortrichloride</t>
  </si>
  <si>
    <t>10294-34-5</t>
  </si>
  <si>
    <t>BTF</t>
  </si>
  <si>
    <t>boortrifluoride</t>
  </si>
  <si>
    <t>7637-07-2</t>
  </si>
  <si>
    <t>BZV/NKj</t>
  </si>
  <si>
    <t>Verhouding BZV/stikstof Kjeldahl</t>
  </si>
  <si>
    <t>BZV/Ptot</t>
  </si>
  <si>
    <t>Verhouding BZV/fosfor totaal</t>
  </si>
  <si>
    <t>mg/l</t>
  </si>
  <si>
    <t>BZV1</t>
  </si>
  <si>
    <t>Biochemisch zuurstofverbruik over 1 dag</t>
  </si>
  <si>
    <t>BZV10</t>
  </si>
  <si>
    <t>Biochemisch zuurstofverbruik over 10 dagen</t>
  </si>
  <si>
    <t>BZV11</t>
  </si>
  <si>
    <t>Biochemisch zuurstofverbruik over 11 dagen</t>
  </si>
  <si>
    <t>BZV12</t>
  </si>
  <si>
    <t>Biochemisch zuurstofverbruik over 12 dagen</t>
  </si>
  <si>
    <t>BZV14</t>
  </si>
  <si>
    <t>Biochemisch zuurstofverbruik over 14 dagen</t>
  </si>
  <si>
    <t>BZV15</t>
  </si>
  <si>
    <t>Biochemisch zuurstofverbruik over 15 dagen</t>
  </si>
  <si>
    <t>BZV19</t>
  </si>
  <si>
    <t>Biochemisch zuurstofverbruik over 19 dagen</t>
  </si>
  <si>
    <t>BZV2</t>
  </si>
  <si>
    <t>Biochemisch zuurstofverbruik over 2 dagen</t>
  </si>
  <si>
    <t>BZV20</t>
  </si>
  <si>
    <t>Biochemisch zuurstofverbruik over 20 dagen</t>
  </si>
  <si>
    <t>BZV21</t>
  </si>
  <si>
    <t>Biochemisch zuurstofverbruik over 21 dagen</t>
  </si>
  <si>
    <t>BZV26</t>
  </si>
  <si>
    <t>Biochemisch zuurstofverbruik over 26 dagen</t>
  </si>
  <si>
    <t>BZV28</t>
  </si>
  <si>
    <t>Biochemisch zuurstofverbruik over 28 dagen</t>
  </si>
  <si>
    <t>BZV3</t>
  </si>
  <si>
    <t>Biochemisch zuurstofverbruik over 3 dagen</t>
  </si>
  <si>
    <t>BZV33</t>
  </si>
  <si>
    <t>Biochemisch zuurstofverbruik over 33 dagen</t>
  </si>
  <si>
    <t>BZV4</t>
  </si>
  <si>
    <t>Biochemisch zuurstofverbruik over 4 dagen</t>
  </si>
  <si>
    <t>BZV40</t>
  </si>
  <si>
    <t>Biochemisch zuurstofverbruik over 40 dagen</t>
  </si>
  <si>
    <t>BZV5</t>
  </si>
  <si>
    <t>Biochemisch zuurstofverbruik over 5 dagen</t>
  </si>
  <si>
    <t>BZV5a</t>
  </si>
  <si>
    <t>Biochemisch zuurstofverbruik met allylthioureum</t>
  </si>
  <si>
    <t>BZV6</t>
  </si>
  <si>
    <t>Biochemisch zuurstofverbruik over 6 dagen</t>
  </si>
  <si>
    <t>BZV7</t>
  </si>
  <si>
    <t>Biochemisch zuurstofverbruik over 7 dagen</t>
  </si>
  <si>
    <t>BZV8</t>
  </si>
  <si>
    <t>Biochemisch zuurstofverbruik over 8 dagen</t>
  </si>
  <si>
    <t>BZV9</t>
  </si>
  <si>
    <t>Biochemisch zuurstofverbruik over 9 dagen</t>
  </si>
  <si>
    <t>Ba133</t>
  </si>
  <si>
    <t>barium 133</t>
  </si>
  <si>
    <t>13981-41-4</t>
  </si>
  <si>
    <t>Ba140</t>
  </si>
  <si>
    <t>barium 140</t>
  </si>
  <si>
    <t>14798-08-4</t>
  </si>
  <si>
    <t>BaA</t>
  </si>
  <si>
    <t>benzo(a)antraceen</t>
  </si>
  <si>
    <t>56-55-3</t>
  </si>
  <si>
    <t>BaF</t>
  </si>
  <si>
    <t>benzo(a)fluorantheen</t>
  </si>
  <si>
    <t>203-33-8</t>
  </si>
  <si>
    <t>BaP</t>
  </si>
  <si>
    <t>benzo(a)pyreen</t>
  </si>
  <si>
    <t>50-32-8</t>
  </si>
  <si>
    <t>BbF</t>
  </si>
  <si>
    <t>benzo(b)fluorantheen</t>
  </si>
  <si>
    <t>205-99-2</t>
  </si>
  <si>
    <t>BbFle</t>
  </si>
  <si>
    <t>benzo(b)fluoreen</t>
  </si>
  <si>
    <t>243-17-4</t>
  </si>
  <si>
    <t>BcFle</t>
  </si>
  <si>
    <t>benzo(c)fluoreen</t>
  </si>
  <si>
    <t>205-12-9</t>
  </si>
  <si>
    <t>Be7</t>
  </si>
  <si>
    <t>beryllium 7</t>
  </si>
  <si>
    <t>13966-02-4</t>
  </si>
  <si>
    <t>BeP</t>
  </si>
  <si>
    <t>benzo(e)pyreen</t>
  </si>
  <si>
    <t>192-97-2</t>
  </si>
  <si>
    <t>Ben</t>
  </si>
  <si>
    <t>benzeen</t>
  </si>
  <si>
    <t>71-43-2</t>
  </si>
  <si>
    <t>BenAh</t>
  </si>
  <si>
    <t>benzaldehyde</t>
  </si>
  <si>
    <t>100-52-7</t>
  </si>
  <si>
    <t>BenHAc</t>
  </si>
  <si>
    <t>benzeenazijnzuur</t>
  </si>
  <si>
    <t>103-82-2</t>
  </si>
  <si>
    <t>Bensfzr</t>
  </si>
  <si>
    <t>benzeensulfonzuur</t>
  </si>
  <si>
    <t>98-11-3</t>
  </si>
  <si>
    <t>BghiPe</t>
  </si>
  <si>
    <t>benzo(ghi)peryleen</t>
  </si>
  <si>
    <t>191-24-2</t>
  </si>
  <si>
    <t>Bi206</t>
  </si>
  <si>
    <t>bismuth 206</t>
  </si>
  <si>
    <t>15776-19-9</t>
  </si>
  <si>
    <t>Bi207</t>
  </si>
  <si>
    <t>bismuth 207</t>
  </si>
  <si>
    <t>13982-38-2</t>
  </si>
  <si>
    <t>Bi210</t>
  </si>
  <si>
    <t>bismuth 210</t>
  </si>
  <si>
    <t>14331-79-4</t>
  </si>
  <si>
    <t>Bi212</t>
  </si>
  <si>
    <t>bismuth 212</t>
  </si>
  <si>
    <t>14913-49-6</t>
  </si>
  <si>
    <t>Bi214</t>
  </si>
  <si>
    <t>bismuth 214</t>
  </si>
  <si>
    <t>14733-03-0</t>
  </si>
  <si>
    <t>BjF</t>
  </si>
  <si>
    <t>benzo(j)fluorantheen</t>
  </si>
  <si>
    <t>205-82-3</t>
  </si>
  <si>
    <t>BkF</t>
  </si>
  <si>
    <t>benzo(k)fluorantheen</t>
  </si>
  <si>
    <t>207-08-9</t>
  </si>
  <si>
    <t>Br2</t>
  </si>
  <si>
    <t>dibroom</t>
  </si>
  <si>
    <t>7726-95-6</t>
  </si>
  <si>
    <t>BrBen</t>
  </si>
  <si>
    <t>broombenzeen</t>
  </si>
  <si>
    <t>108-86-1</t>
  </si>
  <si>
    <t>BrC1a</t>
  </si>
  <si>
    <t>broommethaan</t>
  </si>
  <si>
    <t>74-83-9</t>
  </si>
  <si>
    <t>BrC2e</t>
  </si>
  <si>
    <t>broometheen</t>
  </si>
  <si>
    <t>593-60-2</t>
  </si>
  <si>
    <t>BrClHAc</t>
  </si>
  <si>
    <t>broomchloorazijnzuur</t>
  </si>
  <si>
    <t>5589-96-8</t>
  </si>
  <si>
    <t>BrDClHAc</t>
  </si>
  <si>
    <t>broomdichloorazijnzuur</t>
  </si>
  <si>
    <t>71133-14-7</t>
  </si>
  <si>
    <t>BrHAc</t>
  </si>
  <si>
    <t>broomazijnzuur</t>
  </si>
  <si>
    <t>79-08-3</t>
  </si>
  <si>
    <t>BrO3</t>
  </si>
  <si>
    <t>bromaat</t>
  </si>
  <si>
    <t>15541-45-4</t>
  </si>
  <si>
    <t>BrOxnHpnat</t>
  </si>
  <si>
    <t>bromoxynil heptanoaat</t>
  </si>
  <si>
    <t>56634-95-8</t>
  </si>
  <si>
    <t>BrOxnOcnat</t>
  </si>
  <si>
    <t>broomoxynil-octanoaat</t>
  </si>
  <si>
    <t>1689-99-2</t>
  </si>
  <si>
    <t>BrOxnl</t>
  </si>
  <si>
    <t>broomoxynil</t>
  </si>
  <si>
    <t>1689-84-5</t>
  </si>
  <si>
    <t>BrTClC1a</t>
  </si>
  <si>
    <t>broomtrichloormethaan</t>
  </si>
  <si>
    <t>75-62-7</t>
  </si>
  <si>
    <t>Brccn</t>
  </si>
  <si>
    <t>bromocyclen</t>
  </si>
  <si>
    <t>1715-40-8</t>
  </si>
  <si>
    <t>Brctne</t>
  </si>
  <si>
    <t>bromocriptine</t>
  </si>
  <si>
    <t>25614-03-3</t>
  </si>
  <si>
    <t>Brfnxm</t>
  </si>
  <si>
    <t>broomfenoxim</t>
  </si>
  <si>
    <t>13181-17-4</t>
  </si>
  <si>
    <t>BrfvfsC1y</t>
  </si>
  <si>
    <t>broomfenvinfos-methyl</t>
  </si>
  <si>
    <t>13104-21-7</t>
  </si>
  <si>
    <t>Brpplt</t>
  </si>
  <si>
    <t>broompropylaat</t>
  </si>
  <si>
    <t>18181-80-1</t>
  </si>
  <si>
    <t>Brprlt</t>
  </si>
  <si>
    <t>broompyrolaat</t>
  </si>
  <si>
    <t>53808-86-9</t>
  </si>
  <si>
    <t>C10D911akFt</t>
  </si>
  <si>
    <t>C10-rijk di-C9-11-vertakt alkylftalaat</t>
  </si>
  <si>
    <t>68515-49-1</t>
  </si>
  <si>
    <t>C10a</t>
  </si>
  <si>
    <t>decaan</t>
  </si>
  <si>
    <t>124-18-5</t>
  </si>
  <si>
    <t>C10azr</t>
  </si>
  <si>
    <t>decaanzuur</t>
  </si>
  <si>
    <t>334-48-5</t>
  </si>
  <si>
    <t>C11a</t>
  </si>
  <si>
    <t>undecaan</t>
  </si>
  <si>
    <t>1120-21-4</t>
  </si>
  <si>
    <t>C11azr</t>
  </si>
  <si>
    <t>undecaanzuur</t>
  </si>
  <si>
    <t>112-37-8</t>
  </si>
  <si>
    <t>C11ezr</t>
  </si>
  <si>
    <t>undeceenzuur</t>
  </si>
  <si>
    <t>112-38-9</t>
  </si>
  <si>
    <t>C12C14akbzDC</t>
  </si>
  <si>
    <t>C12-C14-alkylbenzyldimethylammoniumchloride</t>
  </si>
  <si>
    <t>85409-23-0</t>
  </si>
  <si>
    <t>C12C16akbzDC</t>
  </si>
  <si>
    <t>C12-C16-alkylbenzyldimethylammoniumchloride</t>
  </si>
  <si>
    <t>68424-85-1</t>
  </si>
  <si>
    <t>C12C18DC1y34</t>
  </si>
  <si>
    <t>C12-C18-dimethyl-3,4-dichloorbenzylammoniumchloride</t>
  </si>
  <si>
    <t>92129-28-7</t>
  </si>
  <si>
    <t>C12a</t>
  </si>
  <si>
    <t>dodecaan</t>
  </si>
  <si>
    <t>112-40-3</t>
  </si>
  <si>
    <t>C12aAdNNb2Ho</t>
  </si>
  <si>
    <t>dodecaanamide N,N-bis2-hydroxyethyl</t>
  </si>
  <si>
    <t>120-40-1</t>
  </si>
  <si>
    <t>C12azr</t>
  </si>
  <si>
    <t>dodecaanzuur</t>
  </si>
  <si>
    <t>143-07-7</t>
  </si>
  <si>
    <t>C12ySO4</t>
  </si>
  <si>
    <t>laurylsulfaat</t>
  </si>
  <si>
    <t>151-41-7</t>
  </si>
  <si>
    <t>C12ylTC1ylNH</t>
  </si>
  <si>
    <t>dodecyltrimethylammoniumchloride</t>
  </si>
  <si>
    <t>112-00-5</t>
  </si>
  <si>
    <t>C13</t>
  </si>
  <si>
    <t>koolstof 13</t>
  </si>
  <si>
    <t>14762-74-4</t>
  </si>
  <si>
    <t>C13D1114akFt</t>
  </si>
  <si>
    <t>C13-rijk di-C11-14-vertakt alkylftalaat</t>
  </si>
  <si>
    <t>68515-47-9</t>
  </si>
  <si>
    <t>C13azr</t>
  </si>
  <si>
    <t>tridecaanzuur</t>
  </si>
  <si>
    <t>638-53-9</t>
  </si>
  <si>
    <t>C14</t>
  </si>
  <si>
    <t>koolstof 14</t>
  </si>
  <si>
    <t>14762-75-5</t>
  </si>
  <si>
    <t>C14C18C16C18</t>
  </si>
  <si>
    <t>C14-C18 en C16-C18 onverzadigd alkylamine-ethoxylaat</t>
  </si>
  <si>
    <t>68155-39-5</t>
  </si>
  <si>
    <t>C14azr</t>
  </si>
  <si>
    <t>tetradecaanzuur</t>
  </si>
  <si>
    <t>544-63-8</t>
  </si>
  <si>
    <t>C14ylTC1ylNH</t>
  </si>
  <si>
    <t>tetradecyltrimethylammoniumchloride</t>
  </si>
  <si>
    <t>4574-04-3</t>
  </si>
  <si>
    <t>C15al</t>
  </si>
  <si>
    <t>pentadecanal</t>
  </si>
  <si>
    <t>2765-11-9</t>
  </si>
  <si>
    <t>C15azr</t>
  </si>
  <si>
    <t>pentadecaanzuur</t>
  </si>
  <si>
    <t>1002-84-2</t>
  </si>
  <si>
    <t>C16azr</t>
  </si>
  <si>
    <t>hexadecaanzuur</t>
  </si>
  <si>
    <t>57-10-3</t>
  </si>
  <si>
    <t>C16ylTC1ylNH</t>
  </si>
  <si>
    <t>hexadecyltrimethylammoniumchloride</t>
  </si>
  <si>
    <t>112-02-7</t>
  </si>
  <si>
    <t>C17azr</t>
  </si>
  <si>
    <t>heptadecaanzuur</t>
  </si>
  <si>
    <t>506-12-7</t>
  </si>
  <si>
    <t>C18al</t>
  </si>
  <si>
    <t>octadecanal</t>
  </si>
  <si>
    <t>638-66-4</t>
  </si>
  <si>
    <t>C18azr</t>
  </si>
  <si>
    <t>octadecaanzuur</t>
  </si>
  <si>
    <t>57-11-4</t>
  </si>
  <si>
    <t>C1al</t>
  </si>
  <si>
    <t>methanal (formaldehyde)</t>
  </si>
  <si>
    <t>50-00-0</t>
  </si>
  <si>
    <t>C1atol</t>
  </si>
  <si>
    <t>methaanthiol</t>
  </si>
  <si>
    <t>74-93-1</t>
  </si>
  <si>
    <t>C1azr</t>
  </si>
  <si>
    <t>methaanzuur</t>
  </si>
  <si>
    <t>64-18-6</t>
  </si>
  <si>
    <t>C1ol</t>
  </si>
  <si>
    <t>methanol</t>
  </si>
  <si>
    <t>67-56-1</t>
  </si>
  <si>
    <t>C1olacAd</t>
  </si>
  <si>
    <t>methanolacrylamide</t>
  </si>
  <si>
    <t>924-42-5</t>
  </si>
  <si>
    <t>C1oxC2yHgCl</t>
  </si>
  <si>
    <t>methoxyethylkwikchloride</t>
  </si>
  <si>
    <t>123-88-6</t>
  </si>
  <si>
    <t>C1oxC3yactt</t>
  </si>
  <si>
    <t>methoxypropylacetaat</t>
  </si>
  <si>
    <t>84540-57-8</t>
  </si>
  <si>
    <t>C1oxCl</t>
  </si>
  <si>
    <t>methoxychloor</t>
  </si>
  <si>
    <t>72-43-5</t>
  </si>
  <si>
    <t>C1oxHAc</t>
  </si>
  <si>
    <t>methoxyazijnzuur</t>
  </si>
  <si>
    <t>625-45-6</t>
  </si>
  <si>
    <t>C1oxfnzde</t>
  </si>
  <si>
    <t>methoxyfenozide</t>
  </si>
  <si>
    <t>161050-58-4</t>
  </si>
  <si>
    <t>C1y14C1yC15a</t>
  </si>
  <si>
    <t>methyl 14-methylpentadecanoaat</t>
  </si>
  <si>
    <t>5129-60-2</t>
  </si>
  <si>
    <t>C1y1C1yC2ycc</t>
  </si>
  <si>
    <t>methyl(1-methylethyl)cyclohexanol</t>
  </si>
  <si>
    <t>30350-73-3</t>
  </si>
  <si>
    <t>C1y1Hbztazl</t>
  </si>
  <si>
    <t>methyl-1H-benzotriazool</t>
  </si>
  <si>
    <t>29385-43-1</t>
  </si>
  <si>
    <t>C1y4Bractact</t>
  </si>
  <si>
    <t>methyl-4-broomacetoacetaat</t>
  </si>
  <si>
    <t>17790-81-7</t>
  </si>
  <si>
    <t>C1yAeHCl</t>
  </si>
  <si>
    <t>methylamine hydrochloride</t>
  </si>
  <si>
    <t>593-51-1</t>
  </si>
  <si>
    <t>C1yAn</t>
  </si>
  <si>
    <t>methylaniline</t>
  </si>
  <si>
    <t>100-61-8</t>
  </si>
  <si>
    <t>C1yBrfs</t>
  </si>
  <si>
    <t>methylbromofos</t>
  </si>
  <si>
    <t>2104-96-3</t>
  </si>
  <si>
    <t>C1yC2yNOAe</t>
  </si>
  <si>
    <t>methylethylnitrosamine</t>
  </si>
  <si>
    <t>10595-95-6</t>
  </si>
  <si>
    <t>C1yC2yprdne</t>
  </si>
  <si>
    <t>methylethylpyridine</t>
  </si>
  <si>
    <t>104-90-5</t>
  </si>
  <si>
    <t>C1yC3yat</t>
  </si>
  <si>
    <t>methylpropylaat</t>
  </si>
  <si>
    <t>554-12-1</t>
  </si>
  <si>
    <t>C1yC4yat</t>
  </si>
  <si>
    <t>methylbutylaat</t>
  </si>
  <si>
    <t>623-42-7</t>
  </si>
  <si>
    <t>C1yC6yat</t>
  </si>
  <si>
    <t>methylhexylaat</t>
  </si>
  <si>
    <t>106-70-7</t>
  </si>
  <si>
    <t>C1yClcbnt</t>
  </si>
  <si>
    <t>methyl chloorcarbonaat</t>
  </si>
  <si>
    <t>79-22-1</t>
  </si>
  <si>
    <t>C1yClprfs</t>
  </si>
  <si>
    <t>methylchloorpyrifos</t>
  </si>
  <si>
    <t>5598-13-0</t>
  </si>
  <si>
    <t>C1yDC1yDtocb</t>
  </si>
  <si>
    <t>methyl dimethyldithiocarbamaat</t>
  </si>
  <si>
    <t>3735-92-0</t>
  </si>
  <si>
    <t>C1yDHjasmnt</t>
  </si>
  <si>
    <t>methyldihydrojasmonaat</t>
  </si>
  <si>
    <t>24851-98-7</t>
  </si>
  <si>
    <t>C1yFysfn</t>
  </si>
  <si>
    <t>methylfenylsulfon</t>
  </si>
  <si>
    <t>3112-85-4</t>
  </si>
  <si>
    <t>C1yHg</t>
  </si>
  <si>
    <t>methylkwik</t>
  </si>
  <si>
    <t>22967-92-6</t>
  </si>
  <si>
    <t>C1yHgbzat</t>
  </si>
  <si>
    <t>methylkwikbenzoaat</t>
  </si>
  <si>
    <t>3626-13-9</t>
  </si>
  <si>
    <t>C1yNNO2svnAe</t>
  </si>
  <si>
    <t>methyl-N-nitroso-vinylamine</t>
  </si>
  <si>
    <t>4549-40-0</t>
  </si>
  <si>
    <t>C1yNOurm</t>
  </si>
  <si>
    <t>methylnitrosoureum</t>
  </si>
  <si>
    <t>684-93-5</t>
  </si>
  <si>
    <t>C1yNaf</t>
  </si>
  <si>
    <t>methylnaftaleen</t>
  </si>
  <si>
    <t>1321-94-4</t>
  </si>
  <si>
    <t>C1yOxdmtn</t>
  </si>
  <si>
    <t>methyloxydemeton</t>
  </si>
  <si>
    <t>301-12-2</t>
  </si>
  <si>
    <t>C1yTcsn</t>
  </si>
  <si>
    <t>methyltriclosan</t>
  </si>
  <si>
    <t>4640-01-1</t>
  </si>
  <si>
    <t>C1yZZDc28Den</t>
  </si>
  <si>
    <t>methyl (2Z,8Z)-deca-2,8-dieen-4,6-diynoaat</t>
  </si>
  <si>
    <t>928-36-9</t>
  </si>
  <si>
    <t>C1yaclntl</t>
  </si>
  <si>
    <t>methyl-acrylonitril</t>
  </si>
  <si>
    <t>126-98-7</t>
  </si>
  <si>
    <t>C1yaclt</t>
  </si>
  <si>
    <t>methylacrylaat</t>
  </si>
  <si>
    <t>96-33-3</t>
  </si>
  <si>
    <t>C1yactt</t>
  </si>
  <si>
    <t>methylacetaat</t>
  </si>
  <si>
    <t>79-20-9</t>
  </si>
  <si>
    <t>C1yazfs</t>
  </si>
  <si>
    <t>methylazinfos</t>
  </si>
  <si>
    <t>86-50-0</t>
  </si>
  <si>
    <t>C1ycbmt</t>
  </si>
  <si>
    <t>methylcarbamaat</t>
  </si>
  <si>
    <t>598-55-0</t>
  </si>
  <si>
    <t>C1yccC5a</t>
  </si>
  <si>
    <t>methylcyclopentaan</t>
  </si>
  <si>
    <t>96-37-7</t>
  </si>
  <si>
    <t>C1yccC5e</t>
  </si>
  <si>
    <t>methylcyclopenteen</t>
  </si>
  <si>
    <t>693-89-0</t>
  </si>
  <si>
    <t>C1yccC6a</t>
  </si>
  <si>
    <t>methylcyclohexaan</t>
  </si>
  <si>
    <t>108-87-2</t>
  </si>
  <si>
    <t>C1ydesFyClid</t>
  </si>
  <si>
    <t>methyl-desfenylchloridazon</t>
  </si>
  <si>
    <t>17254-80-7</t>
  </si>
  <si>
    <t>C1yebtoCN</t>
  </si>
  <si>
    <t>methyleenbisthiocyanaat</t>
  </si>
  <si>
    <t>6317-18-6</t>
  </si>
  <si>
    <t>C1yfmt</t>
  </si>
  <si>
    <t>methylformaat</t>
  </si>
  <si>
    <t>107-31-3</t>
  </si>
  <si>
    <t>C1yfpp</t>
  </si>
  <si>
    <t>methylflamprop</t>
  </si>
  <si>
    <t>52756-25-9</t>
  </si>
  <si>
    <t>C1yhdzne</t>
  </si>
  <si>
    <t>methylhydrazine</t>
  </si>
  <si>
    <t>60-34-4</t>
  </si>
  <si>
    <t>C1yicnt</t>
  </si>
  <si>
    <t>methylisocyanaat</t>
  </si>
  <si>
    <t>624-83-9</t>
  </si>
  <si>
    <t>C1yidl</t>
  </si>
  <si>
    <t>methylindool</t>
  </si>
  <si>
    <t>27323-28-0</t>
  </si>
  <si>
    <t>C1yitoCN</t>
  </si>
  <si>
    <t>methylisothiocyanaat</t>
  </si>
  <si>
    <t>556-61-6</t>
  </si>
  <si>
    <t>C1ymsfrn</t>
  </si>
  <si>
    <t>methyl-metsulfuron</t>
  </si>
  <si>
    <t>74223-64-6</t>
  </si>
  <si>
    <t>C1ymtclt</t>
  </si>
  <si>
    <t>methylmethacrylaat</t>
  </si>
  <si>
    <t>80-62-6</t>
  </si>
  <si>
    <t>C1yntacAd</t>
  </si>
  <si>
    <t>methylnaftylaceetamide</t>
  </si>
  <si>
    <t>85-07-4</t>
  </si>
  <si>
    <t>C1yprmfs</t>
  </si>
  <si>
    <t>methylpirimifos</t>
  </si>
  <si>
    <t>29232-93-7</t>
  </si>
  <si>
    <t>C1yprton</t>
  </si>
  <si>
    <t>methylparathion</t>
  </si>
  <si>
    <t>298-00-0</t>
  </si>
  <si>
    <t>C21azr</t>
  </si>
  <si>
    <t>heneicosaanzuur</t>
  </si>
  <si>
    <t>2363-71-5</t>
  </si>
  <si>
    <t>C22azr</t>
  </si>
  <si>
    <t>docosaanzuur</t>
  </si>
  <si>
    <t>112-85-6</t>
  </si>
  <si>
    <t>C23azr</t>
  </si>
  <si>
    <t>tricosaanzuur</t>
  </si>
  <si>
    <t>2433-96-7</t>
  </si>
  <si>
    <t>C24azr</t>
  </si>
  <si>
    <t>tetracosaanzuur</t>
  </si>
  <si>
    <t>557-59-5</t>
  </si>
  <si>
    <t>C28a</t>
  </si>
  <si>
    <t>octacosaan</t>
  </si>
  <si>
    <t>630-02-4</t>
  </si>
  <si>
    <t>C2OH</t>
  </si>
  <si>
    <t>ethanol</t>
  </si>
  <si>
    <t>64-17-5</t>
  </si>
  <si>
    <t>C2a</t>
  </si>
  <si>
    <t>ethaan</t>
  </si>
  <si>
    <t>74-84-0</t>
  </si>
  <si>
    <t>C2al</t>
  </si>
  <si>
    <t>ethanal</t>
  </si>
  <si>
    <t>75-07-0</t>
  </si>
  <si>
    <t>C2atol</t>
  </si>
  <si>
    <t>ethaanthiol</t>
  </si>
  <si>
    <t>75-08-1</t>
  </si>
  <si>
    <t>C2e</t>
  </si>
  <si>
    <t>etheen</t>
  </si>
  <si>
    <t>74-85-1</t>
  </si>
  <si>
    <t>C2oxC2yactt</t>
  </si>
  <si>
    <t>ethoxyethylacetaat</t>
  </si>
  <si>
    <t>111-15-9</t>
  </si>
  <si>
    <t>C2oxsfrn</t>
  </si>
  <si>
    <t>ethoxysulfuron</t>
  </si>
  <si>
    <t>126801-58-9</t>
  </si>
  <si>
    <t>C2y2C1yBensf</t>
  </si>
  <si>
    <t>ethyl-2-methylbenzeensulfonamide</t>
  </si>
  <si>
    <t>1077-56-1</t>
  </si>
  <si>
    <t>C2y3HoxFyact</t>
  </si>
  <si>
    <t>ethyl-(3-hydroxyfenyl)acetaat</t>
  </si>
  <si>
    <t>22446-38-4</t>
  </si>
  <si>
    <t>C2y44DClbzlt</t>
  </si>
  <si>
    <t>ethyl-4,4'-dichloorbenzilaat</t>
  </si>
  <si>
    <t>510-15-6</t>
  </si>
  <si>
    <t>C2yAe</t>
  </si>
  <si>
    <t>ethylamine</t>
  </si>
  <si>
    <t>75-04-7</t>
  </si>
  <si>
    <t>C2yAn</t>
  </si>
  <si>
    <t>ethylaniline</t>
  </si>
  <si>
    <t>103-69-5</t>
  </si>
  <si>
    <t>C2yBen</t>
  </si>
  <si>
    <t>ethylbenzeen</t>
  </si>
  <si>
    <t>100-41-4</t>
  </si>
  <si>
    <t>C2yBrfs</t>
  </si>
  <si>
    <t>ethylbromofos</t>
  </si>
  <si>
    <t>4824-78-6</t>
  </si>
  <si>
    <t>C2yC6aDol</t>
  </si>
  <si>
    <t>ethylhexaandiol</t>
  </si>
  <si>
    <t>94-96-2</t>
  </si>
  <si>
    <t>C2yClfmt</t>
  </si>
  <si>
    <t>ethyl chloorformaat</t>
  </si>
  <si>
    <t>541-41-3</t>
  </si>
  <si>
    <t>C2yClprfs</t>
  </si>
  <si>
    <t>ethylchloorpyrifos</t>
  </si>
  <si>
    <t>2921-88-2</t>
  </si>
  <si>
    <t>C2yHgBr</t>
  </si>
  <si>
    <t>ethylkwikbromide</t>
  </si>
  <si>
    <t>107-26-6</t>
  </si>
  <si>
    <t>C2yTol</t>
  </si>
  <si>
    <t>ethyltolueen</t>
  </si>
  <si>
    <t>25550-14-5</t>
  </si>
  <si>
    <t>C2yaclt</t>
  </si>
  <si>
    <t>ethylacrylaat</t>
  </si>
  <si>
    <t>140-88-5</t>
  </si>
  <si>
    <t>C2yactt</t>
  </si>
  <si>
    <t>ethylacetaat</t>
  </si>
  <si>
    <t>141-78-6</t>
  </si>
  <si>
    <t>C2yazfs</t>
  </si>
  <si>
    <t>ethylazinfos</t>
  </si>
  <si>
    <t>2642-71-9</t>
  </si>
  <si>
    <t>C2ybtrt</t>
  </si>
  <si>
    <t>ethylbutyraat</t>
  </si>
  <si>
    <t>105-54-4</t>
  </si>
  <si>
    <t>C2yeDAe</t>
  </si>
  <si>
    <t>ethyleendiamine</t>
  </si>
  <si>
    <t>107-15-3</t>
  </si>
  <si>
    <t>C2yeO</t>
  </si>
  <si>
    <t>ethyleenoxide</t>
  </si>
  <si>
    <t>75-21-8</t>
  </si>
  <si>
    <t>C2yebDtocbmt</t>
  </si>
  <si>
    <t>ethyleenbisdithiocarbamaat</t>
  </si>
  <si>
    <t>111-54-6</t>
  </si>
  <si>
    <t>C2yegcDNO3</t>
  </si>
  <si>
    <t>ethyleenglycoldinitraat (EGDN)</t>
  </si>
  <si>
    <t>628-96-6</t>
  </si>
  <si>
    <t>C2yeimne</t>
  </si>
  <si>
    <t>ethyleenimine</t>
  </si>
  <si>
    <t>151-56-4</t>
  </si>
  <si>
    <t>C2yetourum</t>
  </si>
  <si>
    <t>ethyleenthioureum</t>
  </si>
  <si>
    <t>96-45-7</t>
  </si>
  <si>
    <t>C2ymtclt</t>
  </si>
  <si>
    <t>ethylmethacrylaat</t>
  </si>
  <si>
    <t>97-63-2</t>
  </si>
  <si>
    <t>C2yprmfs</t>
  </si>
  <si>
    <t>ethylpirimifos</t>
  </si>
  <si>
    <t>23505-41-1</t>
  </si>
  <si>
    <t>C2yprton</t>
  </si>
  <si>
    <t>ethylparathion</t>
  </si>
  <si>
    <t>56-38-2</t>
  </si>
  <si>
    <t>C3al</t>
  </si>
  <si>
    <t>propanal</t>
  </si>
  <si>
    <t>123-38-6</t>
  </si>
  <si>
    <t>C3astn</t>
  </si>
  <si>
    <t>propaansulton</t>
  </si>
  <si>
    <t>1120-71-4</t>
  </si>
  <si>
    <t>C3ol</t>
  </si>
  <si>
    <t>propanol</t>
  </si>
  <si>
    <t>71-23-8</t>
  </si>
  <si>
    <t>C3yactt</t>
  </si>
  <si>
    <t>propylacetaat</t>
  </si>
  <si>
    <t>109-60-4</t>
  </si>
  <si>
    <t>C3yeO</t>
  </si>
  <si>
    <t>propyleenoxide</t>
  </si>
  <si>
    <t>75-56-9</t>
  </si>
  <si>
    <t>C3yeimne</t>
  </si>
  <si>
    <t>propyleenimine</t>
  </si>
  <si>
    <t>75-55-8</t>
  </si>
  <si>
    <t>C3yslnl</t>
  </si>
  <si>
    <t>trimethylsilanol</t>
  </si>
  <si>
    <t>1066-40-6</t>
  </si>
  <si>
    <t>C4OxplC3yegc</t>
  </si>
  <si>
    <t>butoxypolypropyleenglycol</t>
  </si>
  <si>
    <t>9003-13-8</t>
  </si>
  <si>
    <t>C4a</t>
  </si>
  <si>
    <t>butaan</t>
  </si>
  <si>
    <t>106-97-8</t>
  </si>
  <si>
    <t>C4al</t>
  </si>
  <si>
    <t>butanal</t>
  </si>
  <si>
    <t>123-72-8</t>
  </si>
  <si>
    <t>C4ol</t>
  </si>
  <si>
    <t>butanol</t>
  </si>
  <si>
    <t>71-36-3</t>
  </si>
  <si>
    <t>C4yBen</t>
  </si>
  <si>
    <t>butylbenzeen</t>
  </si>
  <si>
    <t>104-51-8</t>
  </si>
  <si>
    <t>C4yBensfAd</t>
  </si>
  <si>
    <t>butylbenzeensulfonamide</t>
  </si>
  <si>
    <t>3622-84-2</t>
  </si>
  <si>
    <t>C4yBensfnt</t>
  </si>
  <si>
    <t>butylbenzeensulfonaat</t>
  </si>
  <si>
    <t>80-44-4</t>
  </si>
  <si>
    <t>C4yC16aoat</t>
  </si>
  <si>
    <t>butylhexadecanoaat</t>
  </si>
  <si>
    <t>111-06-8</t>
  </si>
  <si>
    <t>C4yaclt</t>
  </si>
  <si>
    <t>butylacrylaat</t>
  </si>
  <si>
    <t>141-32-2</t>
  </si>
  <si>
    <t>C4yactt</t>
  </si>
  <si>
    <t>butylacetaat</t>
  </si>
  <si>
    <t>123-86-4</t>
  </si>
  <si>
    <t>C4yat</t>
  </si>
  <si>
    <t>butylaat</t>
  </si>
  <si>
    <t>2008-41-5</t>
  </si>
  <si>
    <t>C4ymtclt</t>
  </si>
  <si>
    <t>butylmethacrylaat</t>
  </si>
  <si>
    <t>97-88-1</t>
  </si>
  <si>
    <t>C5a</t>
  </si>
  <si>
    <t>pentaan</t>
  </si>
  <si>
    <t>109-66-0</t>
  </si>
  <si>
    <t>C5al</t>
  </si>
  <si>
    <t>pentanal (n-valeraldehyde)</t>
  </si>
  <si>
    <t>110-62-3</t>
  </si>
  <si>
    <t>C5ol</t>
  </si>
  <si>
    <t>pentanol</t>
  </si>
  <si>
    <t>71-41-0</t>
  </si>
  <si>
    <t>C6H5F</t>
  </si>
  <si>
    <t>fluorbenzeen</t>
  </si>
  <si>
    <t>462-06-6</t>
  </si>
  <si>
    <t>C6a</t>
  </si>
  <si>
    <t>hexaan</t>
  </si>
  <si>
    <t>110-54-3</t>
  </si>
  <si>
    <t>C6al</t>
  </si>
  <si>
    <t>hexanal</t>
  </si>
  <si>
    <t>66-25-1</t>
  </si>
  <si>
    <t>C6azr</t>
  </si>
  <si>
    <t>hexaanzuur</t>
  </si>
  <si>
    <t>142-62-1</t>
  </si>
  <si>
    <t>C6yBen</t>
  </si>
  <si>
    <t>hexylbenzeen</t>
  </si>
  <si>
    <t>1077-16-3</t>
  </si>
  <si>
    <t>C6yegcl</t>
  </si>
  <si>
    <t>hexyleen glycol</t>
  </si>
  <si>
    <t>107-41-5</t>
  </si>
  <si>
    <t>C7a</t>
  </si>
  <si>
    <t>heptaan</t>
  </si>
  <si>
    <t>142-82-5</t>
  </si>
  <si>
    <t>C7azr</t>
  </si>
  <si>
    <t>heptaanzuur</t>
  </si>
  <si>
    <t>111-14-8</t>
  </si>
  <si>
    <t>C7azrC1yEsr</t>
  </si>
  <si>
    <t>heptaanzuur methylester</t>
  </si>
  <si>
    <t>106-73-0</t>
  </si>
  <si>
    <t>C7yBen</t>
  </si>
  <si>
    <t>heptylbenzeen</t>
  </si>
  <si>
    <t>1078-71-3</t>
  </si>
  <si>
    <t>C8C18akbzDC1</t>
  </si>
  <si>
    <t>C8-C18-alkylbenzyldimethylammoniumchloride</t>
  </si>
  <si>
    <t>63449-41-2</t>
  </si>
  <si>
    <t>C8a</t>
  </si>
  <si>
    <t>octaan</t>
  </si>
  <si>
    <t>111-65-9</t>
  </si>
  <si>
    <t>C8al</t>
  </si>
  <si>
    <t>octanal</t>
  </si>
  <si>
    <t>124-13-0</t>
  </si>
  <si>
    <t>C8azr</t>
  </si>
  <si>
    <t>octaanzuur</t>
  </si>
  <si>
    <t>124-07-2</t>
  </si>
  <si>
    <t>C8ybccC7eDcb</t>
  </si>
  <si>
    <t>octylbicyclohepteendicarboximide</t>
  </si>
  <si>
    <t>113-48-4</t>
  </si>
  <si>
    <t>C8yfOxplC2ox</t>
  </si>
  <si>
    <t>octylfenoxypolyethoxyethanol</t>
  </si>
  <si>
    <t>9036-19-5</t>
  </si>
  <si>
    <t>C9D810akFt</t>
  </si>
  <si>
    <t>C9-rijk di-C8-10-vertakt alkylftalaat</t>
  </si>
  <si>
    <t>68515-48-0</t>
  </si>
  <si>
    <t>C9a</t>
  </si>
  <si>
    <t>nonaan</t>
  </si>
  <si>
    <t>111-84-2</t>
  </si>
  <si>
    <t>C9al</t>
  </si>
  <si>
    <t>nonanal</t>
  </si>
  <si>
    <t>124-19-6</t>
  </si>
  <si>
    <t>C9azr</t>
  </si>
  <si>
    <t>nonaanzuur</t>
  </si>
  <si>
    <t>112-05-0</t>
  </si>
  <si>
    <t>C9yFol</t>
  </si>
  <si>
    <t>nonylfenol</t>
  </si>
  <si>
    <t>25154-52-3</t>
  </si>
  <si>
    <t>CAPCTT</t>
  </si>
  <si>
    <t>Capaciteit</t>
  </si>
  <si>
    <t>CATCANBTRDLG</t>
  </si>
  <si>
    <t>Categorie Cyanobacteriedrijflaag</t>
  </si>
  <si>
    <t>CATCANBTRMT</t>
  </si>
  <si>
    <t>Categorie Cyanobacteriemat</t>
  </si>
  <si>
    <t>CDMBP</t>
  </si>
  <si>
    <t>4-chloor-3',4'-dimethoxybenzofenon</t>
  </si>
  <si>
    <t>116412-83-0</t>
  </si>
  <si>
    <t>CFK11</t>
  </si>
  <si>
    <t>trichloorfluormethaan</t>
  </si>
  <si>
    <t>75-69-4</t>
  </si>
  <si>
    <t>CFK1113</t>
  </si>
  <si>
    <t>1-chloor-1,2,2-trifluoretheen</t>
  </si>
  <si>
    <t>79-38-9</t>
  </si>
  <si>
    <t>CFK112</t>
  </si>
  <si>
    <t>1,1,2,2-tetrachloor-1,2-difluorethaan</t>
  </si>
  <si>
    <t>76-12-0</t>
  </si>
  <si>
    <t>CFK113</t>
  </si>
  <si>
    <t>1,1,2-trichloor-1,2,2-trifluorethaan</t>
  </si>
  <si>
    <t>76-13-1</t>
  </si>
  <si>
    <t>CFK114</t>
  </si>
  <si>
    <t>1,2-dichloortetrafluorethaan</t>
  </si>
  <si>
    <t>76-14-2</t>
  </si>
  <si>
    <t>CFK115</t>
  </si>
  <si>
    <t>monochloorpentafluorethaan</t>
  </si>
  <si>
    <t>76-15-3</t>
  </si>
  <si>
    <t>CFK12</t>
  </si>
  <si>
    <t>dichloordifluormethaan</t>
  </si>
  <si>
    <t>75-71-8</t>
  </si>
  <si>
    <t>CFK13</t>
  </si>
  <si>
    <t>chloortrifluormethaan</t>
  </si>
  <si>
    <t>75-72-9</t>
  </si>
  <si>
    <t>CHEMT</t>
  </si>
  <si>
    <t>Chemische toestand</t>
  </si>
  <si>
    <t>CHLFa</t>
  </si>
  <si>
    <t>chlorofyl-a</t>
  </si>
  <si>
    <t>479-61-8</t>
  </si>
  <si>
    <t>CHLFa/FEOa</t>
  </si>
  <si>
    <t>Verhouding chlorofyl-a/feofytine a</t>
  </si>
  <si>
    <t>CHLFb</t>
  </si>
  <si>
    <t>chlorofyl-b</t>
  </si>
  <si>
    <t>519-62-0</t>
  </si>
  <si>
    <t>CMC</t>
  </si>
  <si>
    <t>carboxymethylcellulose (CMC)</t>
  </si>
  <si>
    <t>9000-11-7</t>
  </si>
  <si>
    <t>CMO</t>
  </si>
  <si>
    <t>koolmonoxide</t>
  </si>
  <si>
    <t>630-08-0</t>
  </si>
  <si>
    <t>CN</t>
  </si>
  <si>
    <t>57-12-5</t>
  </si>
  <si>
    <t>CNazne</t>
  </si>
  <si>
    <t>cyanazine</t>
  </si>
  <si>
    <t>21725-46-2</t>
  </si>
  <si>
    <t>CNcpx</t>
  </si>
  <si>
    <t>cyanide-complex</t>
  </si>
  <si>
    <t>CNuzCl</t>
  </si>
  <si>
    <t>cyanuurzuurchloride</t>
  </si>
  <si>
    <t>108-77-0</t>
  </si>
  <si>
    <t>CNuzr</t>
  </si>
  <si>
    <t>cyanuurzuur</t>
  </si>
  <si>
    <t>108-80-5</t>
  </si>
  <si>
    <t>CNvrij</t>
  </si>
  <si>
    <t>cyanide-vrij</t>
  </si>
  <si>
    <t>CONCTTE</t>
  </si>
  <si>
    <t>(massa)Concentratie</t>
  </si>
  <si>
    <t>CRYPTF</t>
  </si>
  <si>
    <t>Cryptofyten</t>
  </si>
  <si>
    <t>CS2</t>
  </si>
  <si>
    <t>koolstofdisulfide</t>
  </si>
  <si>
    <t>75-15-0</t>
  </si>
  <si>
    <t>CTAB</t>
  </si>
  <si>
    <t>cetyltrimethylammoniumbromide</t>
  </si>
  <si>
    <t>57-09-0</t>
  </si>
  <si>
    <t>CUSP</t>
  </si>
  <si>
    <t>Cuspidothrix</t>
  </si>
  <si>
    <t>CYANBTE</t>
  </si>
  <si>
    <t>Cyanobacterie (blauwalg)</t>
  </si>
  <si>
    <t>CYANBTRDLG</t>
  </si>
  <si>
    <t>Cyanobacteriedrijflaag</t>
  </si>
  <si>
    <t>CYLI</t>
  </si>
  <si>
    <t>Cylindrospermopsis</t>
  </si>
  <si>
    <t>CZV/BZV</t>
  </si>
  <si>
    <t>Verhouding CZV/BZV</t>
  </si>
  <si>
    <t>CZV/NKj</t>
  </si>
  <si>
    <t>Verhouding CZV/stikstof Kjeldahl</t>
  </si>
  <si>
    <t>CZV/Ntot</t>
  </si>
  <si>
    <t>Verhouding CZV/stikstof totaal</t>
  </si>
  <si>
    <t>CZV/Ptot</t>
  </si>
  <si>
    <t>Verhouding CZV/fosfor totaal</t>
  </si>
  <si>
    <t>Ca47</t>
  </si>
  <si>
    <t>calcium 47</t>
  </si>
  <si>
    <t>14391-99-2</t>
  </si>
  <si>
    <t>CaCO3</t>
  </si>
  <si>
    <t>calciumcarbonaat</t>
  </si>
  <si>
    <t>471-34-1</t>
  </si>
  <si>
    <t>CaCl2</t>
  </si>
  <si>
    <t>calciumchloride</t>
  </si>
  <si>
    <t>10043-52-4</t>
  </si>
  <si>
    <t>CaO</t>
  </si>
  <si>
    <t>calciumoxide</t>
  </si>
  <si>
    <t>1305-78-8</t>
  </si>
  <si>
    <t>CaOH2</t>
  </si>
  <si>
    <t>calciumdihydroxide</t>
  </si>
  <si>
    <t>1305-62-0</t>
  </si>
  <si>
    <t>CaSO4</t>
  </si>
  <si>
    <t>calciumsulfaat</t>
  </si>
  <si>
    <t>7778-18-9</t>
  </si>
  <si>
    <t>CacaAd</t>
  </si>
  <si>
    <t>calciumcyanamide</t>
  </si>
  <si>
    <t>156-62-7</t>
  </si>
  <si>
    <t>Cd109</t>
  </si>
  <si>
    <t>cadmium 109</t>
  </si>
  <si>
    <t>14109-32-1</t>
  </si>
  <si>
    <t>Ce139</t>
  </si>
  <si>
    <t>cerium 139</t>
  </si>
  <si>
    <t>13982-30-4</t>
  </si>
  <si>
    <t>Ce141</t>
  </si>
  <si>
    <t>cerium 141</t>
  </si>
  <si>
    <t>13967-74-3</t>
  </si>
  <si>
    <t>Ce144</t>
  </si>
  <si>
    <t>cerium 144</t>
  </si>
  <si>
    <t>14762-78-8</t>
  </si>
  <si>
    <t>CeO2</t>
  </si>
  <si>
    <t>ceriumoxide</t>
  </si>
  <si>
    <t>1306-38-3</t>
  </si>
  <si>
    <t>Cf249</t>
  </si>
  <si>
    <t>californium 249</t>
  </si>
  <si>
    <t>15237-97-5</t>
  </si>
  <si>
    <t>Cf251</t>
  </si>
  <si>
    <t>californium 251</t>
  </si>
  <si>
    <t>15765-19-2</t>
  </si>
  <si>
    <t>Chr</t>
  </si>
  <si>
    <t>chryseen</t>
  </si>
  <si>
    <t>218-01-9</t>
  </si>
  <si>
    <t>Cl/GELDHD</t>
  </si>
  <si>
    <t>Verhouding chloride/geleidendheid</t>
  </si>
  <si>
    <t>Cl2</t>
  </si>
  <si>
    <t>dichloor</t>
  </si>
  <si>
    <t>7782-50-5</t>
  </si>
  <si>
    <t>ClAeT</t>
  </si>
  <si>
    <t>chlooramine-T</t>
  </si>
  <si>
    <t>127-65-1</t>
  </si>
  <si>
    <t>ClBen</t>
  </si>
  <si>
    <t>chloorbenzeen</t>
  </si>
  <si>
    <t>108-90-7</t>
  </si>
  <si>
    <t>ClC1a</t>
  </si>
  <si>
    <t>chloormethaan</t>
  </si>
  <si>
    <t>74-87-3</t>
  </si>
  <si>
    <t>ClC2a</t>
  </si>
  <si>
    <t>chloorethaan</t>
  </si>
  <si>
    <t>75-00-3</t>
  </si>
  <si>
    <t>ClC3yat</t>
  </si>
  <si>
    <t>chloorpropylaat</t>
  </si>
  <si>
    <t>5836-10-2</t>
  </si>
  <si>
    <t>ClDC1yEtr</t>
  </si>
  <si>
    <t>chloordimethylether</t>
  </si>
  <si>
    <t>107-30-2</t>
  </si>
  <si>
    <t>ClDO</t>
  </si>
  <si>
    <t>chloordioxide</t>
  </si>
  <si>
    <t>10049-04-4</t>
  </si>
  <si>
    <t>ClFAn</t>
  </si>
  <si>
    <t>chloorfluoraniline</t>
  </si>
  <si>
    <t>367-21-5</t>
  </si>
  <si>
    <t>ClHAc</t>
  </si>
  <si>
    <t>chloorazijnzuur</t>
  </si>
  <si>
    <t>79-11-8</t>
  </si>
  <si>
    <t>ClNO2Ben</t>
  </si>
  <si>
    <t>chloornitrobenzeen</t>
  </si>
  <si>
    <t>25167-93-5</t>
  </si>
  <si>
    <t>ClO2</t>
  </si>
  <si>
    <t>chloriet</t>
  </si>
  <si>
    <t>14998-27-7</t>
  </si>
  <si>
    <t>ClO3</t>
  </si>
  <si>
    <t>chloraat</t>
  </si>
  <si>
    <t>14866-68-3</t>
  </si>
  <si>
    <t>ClOxnl</t>
  </si>
  <si>
    <t>chlooroxynil</t>
  </si>
  <si>
    <t>1891-95-8</t>
  </si>
  <si>
    <t>ClT4ccnHCl</t>
  </si>
  <si>
    <t>chloortetracycline hydrochloride</t>
  </si>
  <si>
    <t>64-72-2</t>
  </si>
  <si>
    <t>ClT4ccne</t>
  </si>
  <si>
    <t>chloortetracycline</t>
  </si>
  <si>
    <t>57-62-5</t>
  </si>
  <si>
    <t>ClTC1yBen</t>
  </si>
  <si>
    <t>chloortrimethylbenzeen</t>
  </si>
  <si>
    <t>1667-04-5</t>
  </si>
  <si>
    <t>ClTO</t>
  </si>
  <si>
    <t>chloortrioxide</t>
  </si>
  <si>
    <t>13932-10-0</t>
  </si>
  <si>
    <t>ClacAh</t>
  </si>
  <si>
    <t>chlooraceetaldehyde</t>
  </si>
  <si>
    <t>107-20-0</t>
  </si>
  <si>
    <t>Clactn</t>
  </si>
  <si>
    <t>chlooraceton</t>
  </si>
  <si>
    <t>78-95-5</t>
  </si>
  <si>
    <t>Clafncl</t>
  </si>
  <si>
    <t>chlooramfenicol</t>
  </si>
  <si>
    <t>56-75-7</t>
  </si>
  <si>
    <t>Clahdt</t>
  </si>
  <si>
    <t>chloralhydraat</t>
  </si>
  <si>
    <t>302-17-0</t>
  </si>
  <si>
    <t>Clbfm</t>
  </si>
  <si>
    <t>chloorbufam</t>
  </si>
  <si>
    <t>1967-16-4</t>
  </si>
  <si>
    <t>Clbmrn</t>
  </si>
  <si>
    <t>chloorbromuron</t>
  </si>
  <si>
    <t>13360-45-7</t>
  </si>
  <si>
    <t>Clbsde</t>
  </si>
  <si>
    <t>chloorbenside</t>
  </si>
  <si>
    <t>103-17-3</t>
  </si>
  <si>
    <t>ClccC6a</t>
  </si>
  <si>
    <t>chloorcyclohexaan</t>
  </si>
  <si>
    <t>542-18-7</t>
  </si>
  <si>
    <t>Cldn</t>
  </si>
  <si>
    <t>chloordaan</t>
  </si>
  <si>
    <t>57-74-9</t>
  </si>
  <si>
    <t>Clfapr</t>
  </si>
  <si>
    <t>chloorfenapyr</t>
  </si>
  <si>
    <t>122453-73-0</t>
  </si>
  <si>
    <t>Clfazrn</t>
  </si>
  <si>
    <t>chloorfluazuron</t>
  </si>
  <si>
    <t>71422-67-8</t>
  </si>
  <si>
    <t>Clfn</t>
  </si>
  <si>
    <t>chlorofeen</t>
  </si>
  <si>
    <t>120-32-1</t>
  </si>
  <si>
    <t>Clfsn</t>
  </si>
  <si>
    <t>chloorfenson</t>
  </si>
  <si>
    <t>80-33-1</t>
  </si>
  <si>
    <t>Clfvfs</t>
  </si>
  <si>
    <t>chloorfenvinfos</t>
  </si>
  <si>
    <t>470-90-6</t>
  </si>
  <si>
    <t>Clidzn</t>
  </si>
  <si>
    <t>chloridazon</t>
  </si>
  <si>
    <t>1698-60-8</t>
  </si>
  <si>
    <t>Clmfs</t>
  </si>
  <si>
    <t>chloormefos</t>
  </si>
  <si>
    <t>24934-91-6</t>
  </si>
  <si>
    <t>ClmqCl</t>
  </si>
  <si>
    <t>chloormequatchloride</t>
  </si>
  <si>
    <t>999-81-5</t>
  </si>
  <si>
    <t>Cloxrn</t>
  </si>
  <si>
    <t>chlooroxuron</t>
  </si>
  <si>
    <t>1982-47-4</t>
  </si>
  <si>
    <t>Clpcne</t>
  </si>
  <si>
    <t>chloorpicrine</t>
  </si>
  <si>
    <t>76-06-2</t>
  </si>
  <si>
    <t>Clpfm</t>
  </si>
  <si>
    <t>chloorprofam</t>
  </si>
  <si>
    <t>101-21-3</t>
  </si>
  <si>
    <t>Clpmzne</t>
  </si>
  <si>
    <t>chloorpromazine</t>
  </si>
  <si>
    <t>50-53-3</t>
  </si>
  <si>
    <t>Clpn</t>
  </si>
  <si>
    <t>chloropreen</t>
  </si>
  <si>
    <t>126-99-8</t>
  </si>
  <si>
    <t>Clptxne</t>
  </si>
  <si>
    <t>chloorprothixene</t>
  </si>
  <si>
    <t>113-59-7</t>
  </si>
  <si>
    <t>ClqnDFO4</t>
  </si>
  <si>
    <t>chloorquinedifosfaat</t>
  </si>
  <si>
    <t>50-63-5</t>
  </si>
  <si>
    <t>Clsfrn</t>
  </si>
  <si>
    <t>chloorsulfuron</t>
  </si>
  <si>
    <t>64902-72-3</t>
  </si>
  <si>
    <t>CltaAd</t>
  </si>
  <si>
    <t>chloorthiamide</t>
  </si>
  <si>
    <t>1918-13-4</t>
  </si>
  <si>
    <t>Cltlnl</t>
  </si>
  <si>
    <t>chloorthalonil</t>
  </si>
  <si>
    <t>1897-45-6</t>
  </si>
  <si>
    <t>Cltlrn</t>
  </si>
  <si>
    <t>chloortoluron</t>
  </si>
  <si>
    <t>15545-48-9</t>
  </si>
  <si>
    <t>CltofsI</t>
  </si>
  <si>
    <t>chloorthiofos I</t>
  </si>
  <si>
    <t>21923-23-9</t>
  </si>
  <si>
    <t>CltofsII</t>
  </si>
  <si>
    <t>chloorthiofos II</t>
  </si>
  <si>
    <t>77503-29-8</t>
  </si>
  <si>
    <t>Cm243</t>
  </si>
  <si>
    <t>curium 243</t>
  </si>
  <si>
    <t>15757-87-6</t>
  </si>
  <si>
    <t>Cm245</t>
  </si>
  <si>
    <t>curium 245</t>
  </si>
  <si>
    <t>15621-76-8</t>
  </si>
  <si>
    <t>Cm247</t>
  </si>
  <si>
    <t>curium 247</t>
  </si>
  <si>
    <t>15758-32-4</t>
  </si>
  <si>
    <t>Co56</t>
  </si>
  <si>
    <t>kobalt 56</t>
  </si>
  <si>
    <t>14093-03-9</t>
  </si>
  <si>
    <t>Co57</t>
  </si>
  <si>
    <t>kobalt 57</t>
  </si>
  <si>
    <t>13981-50-5</t>
  </si>
  <si>
    <t>Co58</t>
  </si>
  <si>
    <t>kobalt 58</t>
  </si>
  <si>
    <t>13981-38-9</t>
  </si>
  <si>
    <t>Co60</t>
  </si>
  <si>
    <t>kobalt 60</t>
  </si>
  <si>
    <t>10198-40-0</t>
  </si>
  <si>
    <t>Cr51</t>
  </si>
  <si>
    <t>chroom 51</t>
  </si>
  <si>
    <t>14392-02-0</t>
  </si>
  <si>
    <t>CrIII</t>
  </si>
  <si>
    <t>chroom (driewaardig)</t>
  </si>
  <si>
    <t>16065-83-1</t>
  </si>
  <si>
    <t>CrVI</t>
  </si>
  <si>
    <t>chroom (zeswaardig)</t>
  </si>
  <si>
    <t>18540-29-9</t>
  </si>
  <si>
    <t>Cs132</t>
  </si>
  <si>
    <t>cesium 132</t>
  </si>
  <si>
    <t>15758-03-9</t>
  </si>
  <si>
    <t>Cs134</t>
  </si>
  <si>
    <t>cesium 134</t>
  </si>
  <si>
    <t>13967-70-9</t>
  </si>
  <si>
    <t>Cs136</t>
  </si>
  <si>
    <t>cesium 136</t>
  </si>
  <si>
    <t>14234-29-8</t>
  </si>
  <si>
    <t>Cs137</t>
  </si>
  <si>
    <t>cesium 137</t>
  </si>
  <si>
    <t>10045-97-3</t>
  </si>
  <si>
    <t>CuO</t>
  </si>
  <si>
    <t>koperoxide</t>
  </si>
  <si>
    <t>1317-38-0</t>
  </si>
  <si>
    <t>CuSO4</t>
  </si>
  <si>
    <t>kopersulfaat</t>
  </si>
  <si>
    <t>7758-98-7</t>
  </si>
  <si>
    <t>Czr</t>
  </si>
  <si>
    <t>cyaanzuur</t>
  </si>
  <si>
    <t>420-05-3</t>
  </si>
  <si>
    <t>Czz_s</t>
  </si>
  <si>
    <t>Golfvariantiedichtheidspectrum</t>
  </si>
  <si>
    <t>D2O</t>
  </si>
  <si>
    <t>deuterium oxide (zwaar water)</t>
  </si>
  <si>
    <t>7789-20-0</t>
  </si>
  <si>
    <t>DBaeP</t>
  </si>
  <si>
    <t>dibenzo(a,e)pyreen</t>
  </si>
  <si>
    <t>192-65-4</t>
  </si>
  <si>
    <t>DBahAnt</t>
  </si>
  <si>
    <t>dibenzo(a,h)antraceen</t>
  </si>
  <si>
    <t>53-70-3</t>
  </si>
  <si>
    <t>DBahP</t>
  </si>
  <si>
    <t>dibenzo(a,h)pyreen</t>
  </si>
  <si>
    <t>189-64-0</t>
  </si>
  <si>
    <t>DBaiP</t>
  </si>
  <si>
    <t>dibenzo(a,i)pyreen</t>
  </si>
  <si>
    <t>191-30-0</t>
  </si>
  <si>
    <t>DBajAnt</t>
  </si>
  <si>
    <t>dibenzo(a,j)antraceen</t>
  </si>
  <si>
    <t>224-41-9</t>
  </si>
  <si>
    <t>DBalP</t>
  </si>
  <si>
    <t>dibenzo(a,l)pyreen</t>
  </si>
  <si>
    <t>189-55-9</t>
  </si>
  <si>
    <t>DBrC1a</t>
  </si>
  <si>
    <t>dibroommethaan</t>
  </si>
  <si>
    <t>74-95-3</t>
  </si>
  <si>
    <t>DBrClC1a</t>
  </si>
  <si>
    <t>dibroomchloormethaan</t>
  </si>
  <si>
    <t>124-48-1</t>
  </si>
  <si>
    <t>DBrClHAc</t>
  </si>
  <si>
    <t>dibroomchloorazijnzuur</t>
  </si>
  <si>
    <t>5278-95-5</t>
  </si>
  <si>
    <t>DBrHAc</t>
  </si>
  <si>
    <t>dibroomazijnzuur</t>
  </si>
  <si>
    <t>631-64-1</t>
  </si>
  <si>
    <t>DC11yFtvteln</t>
  </si>
  <si>
    <t>diundecylftalaat (vertakt en lineair)</t>
  </si>
  <si>
    <t>85507-79-5</t>
  </si>
  <si>
    <t>DC1oxC1a</t>
  </si>
  <si>
    <t>dimethoxymethaan</t>
  </si>
  <si>
    <t>109-87-5</t>
  </si>
  <si>
    <t>DC1yAe</t>
  </si>
  <si>
    <t>dimethylamine</t>
  </si>
  <si>
    <t>124-40-3</t>
  </si>
  <si>
    <t>DC1yAeDcba</t>
  </si>
  <si>
    <t>dimethylamine dicamba</t>
  </si>
  <si>
    <t>2300-66-5</t>
  </si>
  <si>
    <t>DC1yAeHCl</t>
  </si>
  <si>
    <t>dimethylamine-hydrochloride</t>
  </si>
  <si>
    <t>506-59-2</t>
  </si>
  <si>
    <t>DC1yAszr</t>
  </si>
  <si>
    <t>dimethylarseenzuur</t>
  </si>
  <si>
    <t>75-60-5</t>
  </si>
  <si>
    <t>DC1yC4a</t>
  </si>
  <si>
    <t>dimethylbutaan</t>
  </si>
  <si>
    <t>75-83-2</t>
  </si>
  <si>
    <t>DC1yCltoPO4</t>
  </si>
  <si>
    <t>dimethylchloorthiofosfaat</t>
  </si>
  <si>
    <t>2524-03-0</t>
  </si>
  <si>
    <t>DC1yDFyeDS</t>
  </si>
  <si>
    <t>dimethyldifenyleendisulfide</t>
  </si>
  <si>
    <t>103-19-5</t>
  </si>
  <si>
    <t>DC1yDS</t>
  </si>
  <si>
    <t>dimethyldisulfide</t>
  </si>
  <si>
    <t>624-92-0</t>
  </si>
  <si>
    <t>DC1yDtocbmt</t>
  </si>
  <si>
    <t>dimethyldithiocarbamaat</t>
  </si>
  <si>
    <t>79-45-8</t>
  </si>
  <si>
    <t>DC1yEtr</t>
  </si>
  <si>
    <t>dimethylether</t>
  </si>
  <si>
    <t>115-10-6</t>
  </si>
  <si>
    <t>DC1yFt</t>
  </si>
  <si>
    <t>dimethylftalaat</t>
  </si>
  <si>
    <t>131-11-3</t>
  </si>
  <si>
    <t>DC1yNOAe</t>
  </si>
  <si>
    <t>dimethylnitrosamine</t>
  </si>
  <si>
    <t>62-75-9</t>
  </si>
  <si>
    <t>DC1yS</t>
  </si>
  <si>
    <t>dimethylsulfide</t>
  </si>
  <si>
    <t>75-18-3</t>
  </si>
  <si>
    <t>DC1ySO</t>
  </si>
  <si>
    <t>dimethylsulfoxide</t>
  </si>
  <si>
    <t>67-68-5</t>
  </si>
  <si>
    <t>DC1ySO4</t>
  </si>
  <si>
    <t>dimethylsulfaat</t>
  </si>
  <si>
    <t>77-78-1</t>
  </si>
  <si>
    <t>DC1yT4S</t>
  </si>
  <si>
    <t>dimethyltetrasulfide</t>
  </si>
  <si>
    <t>5756-24-1</t>
  </si>
  <si>
    <t>DC1yTS</t>
  </si>
  <si>
    <t>dimethyltrisulfide</t>
  </si>
  <si>
    <t>3658-80-8</t>
  </si>
  <si>
    <t>DC1yacAd</t>
  </si>
  <si>
    <t>dimethylacetamide</t>
  </si>
  <si>
    <t>127-19-5</t>
  </si>
  <si>
    <t>DC1ybenzAe</t>
  </si>
  <si>
    <t>dimethylbenzylamine</t>
  </si>
  <si>
    <t>103-83-3</t>
  </si>
  <si>
    <t>DC1ycbmyCl</t>
  </si>
  <si>
    <t>dimethylcarbamoyl chloride</t>
  </si>
  <si>
    <t>79-44-7</t>
  </si>
  <si>
    <t>DC1yfAd</t>
  </si>
  <si>
    <t>dimethylformamide</t>
  </si>
  <si>
    <t>68-12-2</t>
  </si>
  <si>
    <t>DC1ysAd</t>
  </si>
  <si>
    <t>dimethylsulfamide</t>
  </si>
  <si>
    <t>3984-14-3</t>
  </si>
  <si>
    <t>DC2olAe</t>
  </si>
  <si>
    <t>diethanolamine</t>
  </si>
  <si>
    <t>111-42-2</t>
  </si>
  <si>
    <t>DC2yAe</t>
  </si>
  <si>
    <t>diethylamine</t>
  </si>
  <si>
    <t>109-89-7</t>
  </si>
  <si>
    <t>DC2yC4yAe</t>
  </si>
  <si>
    <t>diethylbutylamine</t>
  </si>
  <si>
    <t>4444-68-2</t>
  </si>
  <si>
    <t>DC2yEtr</t>
  </si>
  <si>
    <t>diethylether</t>
  </si>
  <si>
    <t>60-29-7</t>
  </si>
  <si>
    <t>DC2yFt</t>
  </si>
  <si>
    <t>diethylftalaat</t>
  </si>
  <si>
    <t>84-66-2</t>
  </si>
  <si>
    <t>DC2yNOAe</t>
  </si>
  <si>
    <t>diethylnitrosamine</t>
  </si>
  <si>
    <t>55-18-5</t>
  </si>
  <si>
    <t>DC2ySO4</t>
  </si>
  <si>
    <t>diethylsulfaat</t>
  </si>
  <si>
    <t>64-67-5</t>
  </si>
  <si>
    <t>DC2yeDAe</t>
  </si>
  <si>
    <t>diethyleendiamine</t>
  </si>
  <si>
    <t>110-85-0</t>
  </si>
  <si>
    <t>DC2yeTAe</t>
  </si>
  <si>
    <t>diethyleentriamine</t>
  </si>
  <si>
    <t>111-40-0</t>
  </si>
  <si>
    <t>DC2yegcDNO3</t>
  </si>
  <si>
    <t>diethyleenglycoldinitraat</t>
  </si>
  <si>
    <t>693-21-0</t>
  </si>
  <si>
    <t>DC2yegcl</t>
  </si>
  <si>
    <t>diethyleenglycol</t>
  </si>
  <si>
    <t>111-46-6</t>
  </si>
  <si>
    <t>DC2ysbsl</t>
  </si>
  <si>
    <t>diethylstilboestrol</t>
  </si>
  <si>
    <t>56-53-1</t>
  </si>
  <si>
    <t>DC3eygcl</t>
  </si>
  <si>
    <t>dipropyleenglycol</t>
  </si>
  <si>
    <t>25265-71-8</t>
  </si>
  <si>
    <t>DC3yAe</t>
  </si>
  <si>
    <t>dipropylamine</t>
  </si>
  <si>
    <t>142-84-7</t>
  </si>
  <si>
    <t>DC3yFt</t>
  </si>
  <si>
    <t>dipropylftalaat</t>
  </si>
  <si>
    <t>131-16-8</t>
  </si>
  <si>
    <t>DC3yNOAe</t>
  </si>
  <si>
    <t>dipropylnitrosamine</t>
  </si>
  <si>
    <t>621-64-7</t>
  </si>
  <si>
    <t>DC3yegcC1yEt</t>
  </si>
  <si>
    <t>dipropyleenglycolmonomethylether</t>
  </si>
  <si>
    <t>34590-94-8</t>
  </si>
  <si>
    <t>DC3yiccmrnt</t>
  </si>
  <si>
    <t>dipropyl-isocinchomeronaat</t>
  </si>
  <si>
    <t>136-45-8</t>
  </si>
  <si>
    <t>DC4y3OHC4yPO</t>
  </si>
  <si>
    <t>dibutyl-3-hydroxybutylfosfaat</t>
  </si>
  <si>
    <t>89197-69-3</t>
  </si>
  <si>
    <t>DC4yAe</t>
  </si>
  <si>
    <t>dibutylamine</t>
  </si>
  <si>
    <t>111-92-2</t>
  </si>
  <si>
    <t>DC4yFt</t>
  </si>
  <si>
    <t>dibutylftalaat</t>
  </si>
  <si>
    <t>84-74-2</t>
  </si>
  <si>
    <t>DC4yNOAe</t>
  </si>
  <si>
    <t>dibutylnitrosamine</t>
  </si>
  <si>
    <t>924-16-3</t>
  </si>
  <si>
    <t>DC4ySn</t>
  </si>
  <si>
    <t>dibutyltin (kation)</t>
  </si>
  <si>
    <t>14488-53-0</t>
  </si>
  <si>
    <t>DC5yFt</t>
  </si>
  <si>
    <t>dipentylftalaat</t>
  </si>
  <si>
    <t>131-18-0</t>
  </si>
  <si>
    <t>DC6yFt</t>
  </si>
  <si>
    <t>dihexylftalaat</t>
  </si>
  <si>
    <t>84-75-3</t>
  </si>
  <si>
    <t>DC7yFt</t>
  </si>
  <si>
    <t>diheptylftalaat</t>
  </si>
  <si>
    <t>3648-21-3</t>
  </si>
  <si>
    <t>DC8C18akDC1y</t>
  </si>
  <si>
    <t>di(C8-C18-alkyl)dimethylammoniumchloride</t>
  </si>
  <si>
    <t>73398-64-8</t>
  </si>
  <si>
    <t>DC8yFt</t>
  </si>
  <si>
    <t>dioctylftalaat</t>
  </si>
  <si>
    <t>117-84-0</t>
  </si>
  <si>
    <t>DC8ySn</t>
  </si>
  <si>
    <t>dioctyltin (kation)</t>
  </si>
  <si>
    <t>94410-05-6</t>
  </si>
  <si>
    <t>DC9yFt</t>
  </si>
  <si>
    <t>dinonylftalaat</t>
  </si>
  <si>
    <t>84-76-4</t>
  </si>
  <si>
    <t>DClBrC1a</t>
  </si>
  <si>
    <t>dichloorbroommethaan</t>
  </si>
  <si>
    <t>75-27-4</t>
  </si>
  <si>
    <t>DClC1a</t>
  </si>
  <si>
    <t>dichloormethaan</t>
  </si>
  <si>
    <t>75-09-2</t>
  </si>
  <si>
    <t>DClC3ol</t>
  </si>
  <si>
    <t>dichloorpropanol</t>
  </si>
  <si>
    <t>26545-73-3</t>
  </si>
  <si>
    <t>DClDiC3yEtr</t>
  </si>
  <si>
    <t>2,2'-Dichloordiisopropyl ether</t>
  </si>
  <si>
    <t>108-60-1</t>
  </si>
  <si>
    <t>DClHAc</t>
  </si>
  <si>
    <t>dichloorazijnzuur</t>
  </si>
  <si>
    <t>79-43-6</t>
  </si>
  <si>
    <t>DClbzdne</t>
  </si>
  <si>
    <t>dichloorbenzidine</t>
  </si>
  <si>
    <t>1331-47-1</t>
  </si>
  <si>
    <t>DClfn</t>
  </si>
  <si>
    <t>dichloorfeen</t>
  </si>
  <si>
    <t>97-23-4</t>
  </si>
  <si>
    <t>DClppP</t>
  </si>
  <si>
    <t>dichloorprop-P</t>
  </si>
  <si>
    <t>15165-67-0</t>
  </si>
  <si>
    <t>DClvs</t>
  </si>
  <si>
    <t>dichloorvos</t>
  </si>
  <si>
    <t>62-73-7</t>
  </si>
  <si>
    <t>DDBAB</t>
  </si>
  <si>
    <t>dodecyldimethylbenzylammoniumbromide</t>
  </si>
  <si>
    <t>7281-04-1</t>
  </si>
  <si>
    <t>DDBAC</t>
  </si>
  <si>
    <t>dodecyldimethylbenzylammoniumchloride</t>
  </si>
  <si>
    <t>139-07-1</t>
  </si>
  <si>
    <t>DDMAB</t>
  </si>
  <si>
    <t>didecyldimethylammoniumbromide</t>
  </si>
  <si>
    <t>2390-68-3</t>
  </si>
  <si>
    <t>DDMAC</t>
  </si>
  <si>
    <t>didecyldimethylammoniumchloride</t>
  </si>
  <si>
    <t>7173-51-5</t>
  </si>
  <si>
    <t>DDPA</t>
  </si>
  <si>
    <t>verdyl acetaat</t>
  </si>
  <si>
    <t>2500-83-6</t>
  </si>
  <si>
    <t>DEBFTE</t>
  </si>
  <si>
    <t>Debietfractie</t>
  </si>
  <si>
    <t>DEDC</t>
  </si>
  <si>
    <t>diethyldithiocarbamaat</t>
  </si>
  <si>
    <t>148-18-5</t>
  </si>
  <si>
    <t>DEELMSR</t>
  </si>
  <si>
    <t>Deelmonster</t>
  </si>
  <si>
    <t>DEET</t>
  </si>
  <si>
    <t>diethyltoluamide</t>
  </si>
  <si>
    <t>134-62-3</t>
  </si>
  <si>
    <t>DEHP</t>
  </si>
  <si>
    <t>bis(2-ethylhexyl)ftalaat (DEHP)</t>
  </si>
  <si>
    <t>117-81-7</t>
  </si>
  <si>
    <t>DENTFCTSHD</t>
  </si>
  <si>
    <t>Denitrificatiesnelheid</t>
  </si>
  <si>
    <t>DENTFCTTD</t>
  </si>
  <si>
    <t>Denitrificatietijd</t>
  </si>
  <si>
    <t>DESTMTLUGVD</t>
  </si>
  <si>
    <t>Destructie metalen uitgevoerd</t>
  </si>
  <si>
    <t>DESTTUGVD</t>
  </si>
  <si>
    <t>Destructie uitgevoerd</t>
  </si>
  <si>
    <t>DFyAe</t>
  </si>
  <si>
    <t>difenylamine</t>
  </si>
  <si>
    <t>122-39-4</t>
  </si>
  <si>
    <t>DFyNOAe</t>
  </si>
  <si>
    <t>difenylnitrosamine</t>
  </si>
  <si>
    <t>86-30-6</t>
  </si>
  <si>
    <t>DFySn</t>
  </si>
  <si>
    <t>difenyltin (kation)</t>
  </si>
  <si>
    <t>DGRE</t>
  </si>
  <si>
    <t>diglycidyl resorcinol ether (DGRE)</t>
  </si>
  <si>
    <t>101-90-6</t>
  </si>
  <si>
    <t>DHT</t>
  </si>
  <si>
    <t>dihydrotestosterone</t>
  </si>
  <si>
    <t>521-18-6</t>
  </si>
  <si>
    <t>DHTDMAC</t>
  </si>
  <si>
    <t>di(hydrogenated tallow alkyl) dimethylammoniumchlorides</t>
  </si>
  <si>
    <t>61789-80-8</t>
  </si>
  <si>
    <t>DHcEsrol</t>
  </si>
  <si>
    <t>dihydrocholesterol</t>
  </si>
  <si>
    <t>80-97-7</t>
  </si>
  <si>
    <t>DHmcnl</t>
  </si>
  <si>
    <t>dihydromyrcenol</t>
  </si>
  <si>
    <t>18479-58-8</t>
  </si>
  <si>
    <t>DHsfl</t>
  </si>
  <si>
    <t>dihydrosafrol</t>
  </si>
  <si>
    <t>94-58-6</t>
  </si>
  <si>
    <t>DIATMN</t>
  </si>
  <si>
    <t>Diatomeeen</t>
  </si>
  <si>
    <t>DICHTHD</t>
  </si>
  <si>
    <t>Dichtheid (soortelijke massa)</t>
  </si>
  <si>
    <t>DIEPTE</t>
  </si>
  <si>
    <t>Diepte</t>
  </si>
  <si>
    <t>DIERSR</t>
  </si>
  <si>
    <t>Dierenspoor</t>
  </si>
  <si>
    <t>DKedtl</t>
  </si>
  <si>
    <t>dikalium endothall</t>
  </si>
  <si>
    <t>2164-07-0</t>
  </si>
  <si>
    <t>DMST</t>
  </si>
  <si>
    <t>4-dimethylaminosulfotoluidide</t>
  </si>
  <si>
    <t>66840-71-9</t>
  </si>
  <si>
    <t>DNOC</t>
  </si>
  <si>
    <t>4,6-dinitro-o-cresol</t>
  </si>
  <si>
    <t>534-52-1</t>
  </si>
  <si>
    <t>DNaCNDtoimdC</t>
  </si>
  <si>
    <t>dinatriumcyanodithioimidocarbonaat</t>
  </si>
  <si>
    <t>138-93-2</t>
  </si>
  <si>
    <t>DODAC</t>
  </si>
  <si>
    <t>dimethyldioctadecylammoniumchloride</t>
  </si>
  <si>
    <t>107-64-2</t>
  </si>
  <si>
    <t>DODMAC</t>
  </si>
  <si>
    <t>dioctyldimethylammoniumchloride</t>
  </si>
  <si>
    <t>5538-94-3</t>
  </si>
  <si>
    <t>DONA</t>
  </si>
  <si>
    <t>trifluor-3-(hexafluor-3-(trifluormethoxy)propoxy)propaanzuur</t>
  </si>
  <si>
    <t>919005-14-4</t>
  </si>
  <si>
    <t>DOODSOZK</t>
  </si>
  <si>
    <t>Doodsoorzaak</t>
  </si>
  <si>
    <t>DOORSHTE</t>
  </si>
  <si>
    <t>Doorstroomhoogte</t>
  </si>
  <si>
    <t>DOSFTR</t>
  </si>
  <si>
    <t>Doseerfactor</t>
  </si>
  <si>
    <t>DOacb</t>
  </si>
  <si>
    <t>dioxacarb</t>
  </si>
  <si>
    <t>6988-21-2</t>
  </si>
  <si>
    <t>DOxbzfs</t>
  </si>
  <si>
    <t>dioxabenzofos</t>
  </si>
  <si>
    <t>3811-49-2</t>
  </si>
  <si>
    <t>DOxton</t>
  </si>
  <si>
    <t>dioxathion</t>
  </si>
  <si>
    <t>78-34-2</t>
  </si>
  <si>
    <t>DPMI</t>
  </si>
  <si>
    <t>cashmeran</t>
  </si>
  <si>
    <t>33704-61-9</t>
  </si>
  <si>
    <t>DRAADAGN</t>
  </si>
  <si>
    <t>Draadalgen</t>
  </si>
  <si>
    <t>DRAAIRTG</t>
  </si>
  <si>
    <t>Draairichting</t>
  </si>
  <si>
    <t>DRAAITD</t>
  </si>
  <si>
    <t>Draaitijd</t>
  </si>
  <si>
    <t>DRIJFBPTN</t>
  </si>
  <si>
    <t>Drijfbladplanten</t>
  </si>
  <si>
    <t>DROOGLGG</t>
  </si>
  <si>
    <t>Drooglegging</t>
  </si>
  <si>
    <t>DROOGSWTGG</t>
  </si>
  <si>
    <t>Droogstand watergang</t>
  </si>
  <si>
    <t>DROOGVLGD</t>
  </si>
  <si>
    <t>Droogvallingsgraad</t>
  </si>
  <si>
    <t>DRUK</t>
  </si>
  <si>
    <t>Druk</t>
  </si>
  <si>
    <t>DS</t>
  </si>
  <si>
    <t>Droge stof</t>
  </si>
  <si>
    <t>DS/OS</t>
  </si>
  <si>
    <t>Verhouding droge stof/onopgeloste stoffen</t>
  </si>
  <si>
    <t>DTPA</t>
  </si>
  <si>
    <t>di-ethyleentriaminepentaazijnzuur (DTPA)</t>
  </si>
  <si>
    <t>67-43-6</t>
  </si>
  <si>
    <t>DTPMP</t>
  </si>
  <si>
    <t>diethyleentriamine penta(methyleen fosfonzuur) (DTPMP)</t>
  </si>
  <si>
    <t>15827-60-8</t>
  </si>
  <si>
    <t>DUUR</t>
  </si>
  <si>
    <t>Duur</t>
  </si>
  <si>
    <t>DactLsbse</t>
  </si>
  <si>
    <t>diaceton-L-sorbose</t>
  </si>
  <si>
    <t>17682-70-1</t>
  </si>
  <si>
    <t>Dalfs</t>
  </si>
  <si>
    <t>dialifos</t>
  </si>
  <si>
    <t>10311-84-9</t>
  </si>
  <si>
    <t>Dalt</t>
  </si>
  <si>
    <t>diallaat</t>
  </si>
  <si>
    <t>2303-16-4</t>
  </si>
  <si>
    <t>DazC1a</t>
  </si>
  <si>
    <t>diazomethaan</t>
  </si>
  <si>
    <t>334-88-3</t>
  </si>
  <si>
    <t>DazclsrDHCl</t>
  </si>
  <si>
    <t>diazacholesterol-dihydrochloride</t>
  </si>
  <si>
    <t>1249-84-9</t>
  </si>
  <si>
    <t>Daznn</t>
  </si>
  <si>
    <t>diazinon</t>
  </si>
  <si>
    <t>333-41-5</t>
  </si>
  <si>
    <t>DbenzAe</t>
  </si>
  <si>
    <t>dibenzylamine</t>
  </si>
  <si>
    <t>103-49-1</t>
  </si>
  <si>
    <t>Dbenzahacdne</t>
  </si>
  <si>
    <t>dibenz(a,h)acridine</t>
  </si>
  <si>
    <t>226-36-8</t>
  </si>
  <si>
    <t>Dbenzajacdne</t>
  </si>
  <si>
    <t>dibenz(a,j)acridine</t>
  </si>
  <si>
    <t>224-42-0</t>
  </si>
  <si>
    <t>DbzFt</t>
  </si>
  <si>
    <t>dibenzylftalaat</t>
  </si>
  <si>
    <t>523-31-9</t>
  </si>
  <si>
    <t>Dbzfrn</t>
  </si>
  <si>
    <t>dibenzofuran</t>
  </si>
  <si>
    <t>132-64-9</t>
  </si>
  <si>
    <t>DcbNazt</t>
  </si>
  <si>
    <t>dicamba-natriumzout</t>
  </si>
  <si>
    <t>1982-69-0</t>
  </si>
  <si>
    <t>Dcba</t>
  </si>
  <si>
    <t>dicamba</t>
  </si>
  <si>
    <t>1918-00-9</t>
  </si>
  <si>
    <t>Dcbnl</t>
  </si>
  <si>
    <t>dichlobenil</t>
  </si>
  <si>
    <t>1194-65-6</t>
  </si>
  <si>
    <t>Dcbtzl</t>
  </si>
  <si>
    <t>diclobutrazool</t>
  </si>
  <si>
    <t>75736-33-3</t>
  </si>
  <si>
    <t>DccC6yFt</t>
  </si>
  <si>
    <t>dicyclohexylftalaat</t>
  </si>
  <si>
    <t>84-61-7</t>
  </si>
  <si>
    <t>DccC6ySn</t>
  </si>
  <si>
    <t>dicyclohexyltin (kation)</t>
  </si>
  <si>
    <t>DccPeDen</t>
  </si>
  <si>
    <t>dicyclopentadieen</t>
  </si>
  <si>
    <t>77-73-6</t>
  </si>
  <si>
    <t>Dccvrne</t>
  </si>
  <si>
    <t>dicycloverine</t>
  </si>
  <si>
    <t>77-19-0</t>
  </si>
  <si>
    <t>DcfC1y</t>
  </si>
  <si>
    <t>diclofop-methyl</t>
  </si>
  <si>
    <t>51338-27-3</t>
  </si>
  <si>
    <t>Dcfande</t>
  </si>
  <si>
    <t>dichlofluanide</t>
  </si>
  <si>
    <t>1085-98-9</t>
  </si>
  <si>
    <t>Dcfl</t>
  </si>
  <si>
    <t>dicofol</t>
  </si>
  <si>
    <t>115-32-2</t>
  </si>
  <si>
    <t>Dcfp</t>
  </si>
  <si>
    <t>diclofop</t>
  </si>
  <si>
    <t>40843-25-2</t>
  </si>
  <si>
    <t>Dcfton</t>
  </si>
  <si>
    <t>dichlofenthion</t>
  </si>
  <si>
    <t>97-17-6</t>
  </si>
  <si>
    <t>Dclofnc</t>
  </si>
  <si>
    <t>diclofenac</t>
  </si>
  <si>
    <t>15307-86-5</t>
  </si>
  <si>
    <t>Dcloxclne</t>
  </si>
  <si>
    <t>dicloxacilline</t>
  </si>
  <si>
    <t>3116-76-5</t>
  </si>
  <si>
    <t>Dctfs</t>
  </si>
  <si>
    <t>dicrotofos</t>
  </si>
  <si>
    <t>141-66-2</t>
  </si>
  <si>
    <t>DenCl</t>
  </si>
  <si>
    <t>dienochloor</t>
  </si>
  <si>
    <t>2227-17-0</t>
  </si>
  <si>
    <t>DepOxC4a</t>
  </si>
  <si>
    <t>diepoxybutaan</t>
  </si>
  <si>
    <t>1464-53-5</t>
  </si>
  <si>
    <t>Detfcb</t>
  </si>
  <si>
    <t>diethofencarb</t>
  </si>
  <si>
    <t>87130-20-9</t>
  </si>
  <si>
    <t>DettC2y</t>
  </si>
  <si>
    <t>diethatylethyl</t>
  </si>
  <si>
    <t>38727-55-8</t>
  </si>
  <si>
    <t>Dettl</t>
  </si>
  <si>
    <t>diethatyl</t>
  </si>
  <si>
    <t>38725-95-0</t>
  </si>
  <si>
    <t>DfAd</t>
  </si>
  <si>
    <t>difenamide</t>
  </si>
  <si>
    <t>957-51-7</t>
  </si>
  <si>
    <t>Dfbzrn</t>
  </si>
  <si>
    <t>diflubenzuron</t>
  </si>
  <si>
    <t>35367-38-5</t>
  </si>
  <si>
    <t>Dffncn</t>
  </si>
  <si>
    <t>diflufenican</t>
  </si>
  <si>
    <t>83164-33-4</t>
  </si>
  <si>
    <t>Dfhdmne</t>
  </si>
  <si>
    <t>difenhydramine</t>
  </si>
  <si>
    <t>58-73-1</t>
  </si>
  <si>
    <t>Dfncm</t>
  </si>
  <si>
    <t>difenacoum</t>
  </si>
  <si>
    <t>56073-07-5</t>
  </si>
  <si>
    <t>Dfncnzl</t>
  </si>
  <si>
    <t>difenoconazool</t>
  </si>
  <si>
    <t>119446-68-3</t>
  </si>
  <si>
    <t>Dfnxrn</t>
  </si>
  <si>
    <t>difenoxuron</t>
  </si>
  <si>
    <t>14214-32-5</t>
  </si>
  <si>
    <t>Dftiln</t>
  </si>
  <si>
    <t>difethialon</t>
  </si>
  <si>
    <t>104653-34-1</t>
  </si>
  <si>
    <t>Dfturn</t>
  </si>
  <si>
    <t>diafenthiuron</t>
  </si>
  <si>
    <t>80060-09-9</t>
  </si>
  <si>
    <t>Dfysfn</t>
  </si>
  <si>
    <t>difenylsulfon</t>
  </si>
  <si>
    <t>127-63-9</t>
  </si>
  <si>
    <t>Dfzqt</t>
  </si>
  <si>
    <t>difenzoquat</t>
  </si>
  <si>
    <t>49866-87-7</t>
  </si>
  <si>
    <t>DfzqtC1ySO4</t>
  </si>
  <si>
    <t>difenzoquatmethylsulfaat</t>
  </si>
  <si>
    <t>43222-48-6</t>
  </si>
  <si>
    <t>DhtaDC1yNH4h</t>
  </si>
  <si>
    <t>di(hydrogenetalkalkyl)dimethylammoniumhectoriet</t>
  </si>
  <si>
    <t>71011-27-3</t>
  </si>
  <si>
    <t>DhtaDC1yNH4m</t>
  </si>
  <si>
    <t>di(hydrogenetalkalkyl)dimethylammoniummontmorilloniet</t>
  </si>
  <si>
    <t>68911-87-5</t>
  </si>
  <si>
    <t>DiC10yFt</t>
  </si>
  <si>
    <t>diisodecylftalaat</t>
  </si>
  <si>
    <t>26761-40-0</t>
  </si>
  <si>
    <t>DiC11yFt</t>
  </si>
  <si>
    <t>diisoundecylftalaat</t>
  </si>
  <si>
    <t>96507-86-7</t>
  </si>
  <si>
    <t>DiC13yFt</t>
  </si>
  <si>
    <t>diisotridecylftalaat</t>
  </si>
  <si>
    <t>27253-26-5</t>
  </si>
  <si>
    <t>DiC3yAe</t>
  </si>
  <si>
    <t>diisopropylamine</t>
  </si>
  <si>
    <t>108-18-9</t>
  </si>
  <si>
    <t>DiC3yEtr</t>
  </si>
  <si>
    <t>diisopropylether</t>
  </si>
  <si>
    <t>108-20-3</t>
  </si>
  <si>
    <t>DiC3yFt</t>
  </si>
  <si>
    <t>diisopropylftalaat</t>
  </si>
  <si>
    <t>605-45-8</t>
  </si>
  <si>
    <t>DiC4oxC1a</t>
  </si>
  <si>
    <t>diisobutoxymethaan</t>
  </si>
  <si>
    <t>2568-91-4</t>
  </si>
  <si>
    <t>DiC4yFt</t>
  </si>
  <si>
    <t>diisobutylftalaat</t>
  </si>
  <si>
    <t>84-69-5</t>
  </si>
  <si>
    <t>DiC8yFt</t>
  </si>
  <si>
    <t>di-isooctylftalaat</t>
  </si>
  <si>
    <t>27554-26-3</t>
  </si>
  <si>
    <t>DiC9yFt</t>
  </si>
  <si>
    <t>diisononylftalaat</t>
  </si>
  <si>
    <t>28553-12-0</t>
  </si>
  <si>
    <t>Dikglc</t>
  </si>
  <si>
    <t>dikegulac</t>
  </si>
  <si>
    <t>18467-77-1</t>
  </si>
  <si>
    <t>DmTdzl</t>
  </si>
  <si>
    <t>dimetridazol</t>
  </si>
  <si>
    <t>551-92-8</t>
  </si>
  <si>
    <t>Dmfrn</t>
  </si>
  <si>
    <t>dimefuron</t>
  </si>
  <si>
    <t>34205-21-5</t>
  </si>
  <si>
    <t>DmtAd</t>
  </si>
  <si>
    <t>dimethenamide</t>
  </si>
  <si>
    <t>87674-68-8</t>
  </si>
  <si>
    <t>DmtCl</t>
  </si>
  <si>
    <t>dimethachloor</t>
  </si>
  <si>
    <t>50563-36-5</t>
  </si>
  <si>
    <t>Dmtat</t>
  </si>
  <si>
    <t>dimethoaat</t>
  </si>
  <si>
    <t>60-51-5</t>
  </si>
  <si>
    <t>Dmtmf</t>
  </si>
  <si>
    <t>dimethomorf</t>
  </si>
  <si>
    <t>110488-70-5</t>
  </si>
  <si>
    <t>DmtnmdC2asfz</t>
  </si>
  <si>
    <t>dimethenamid ethaansulfonzuur</t>
  </si>
  <si>
    <t>205939-58-8</t>
  </si>
  <si>
    <t>DmtnmdOoHac</t>
  </si>
  <si>
    <t>dimethenamid oxo azijnzuur</t>
  </si>
  <si>
    <t>380412-59-9</t>
  </si>
  <si>
    <t>DmtnmdP</t>
  </si>
  <si>
    <t>dimethenamid-P</t>
  </si>
  <si>
    <t>163515-14-8</t>
  </si>
  <si>
    <t>Dmtpn</t>
  </si>
  <si>
    <t>dimethipin</t>
  </si>
  <si>
    <t>55290-64-7</t>
  </si>
  <si>
    <t>Dmtrml</t>
  </si>
  <si>
    <t>dimethirimol</t>
  </si>
  <si>
    <t>5221-53-4</t>
  </si>
  <si>
    <t>Dmxsbne</t>
  </si>
  <si>
    <t>dimoxystrobine</t>
  </si>
  <si>
    <t>149961-52-4</t>
  </si>
  <si>
    <t>Dnbtn</t>
  </si>
  <si>
    <t>dinobuton</t>
  </si>
  <si>
    <t>973-21-7</t>
  </si>
  <si>
    <t>Dncnzl</t>
  </si>
  <si>
    <t>diniconazool</t>
  </si>
  <si>
    <t>83657-24-3</t>
  </si>
  <si>
    <t>Dncp</t>
  </si>
  <si>
    <t>dinocap</t>
  </si>
  <si>
    <t>39300-45-3</t>
  </si>
  <si>
    <t>Dnsactt</t>
  </si>
  <si>
    <t>dinoseb-acetaat</t>
  </si>
  <si>
    <t>2813-95-8</t>
  </si>
  <si>
    <t>Dnsb</t>
  </si>
  <si>
    <t>dinoseb</t>
  </si>
  <si>
    <t>88-85-7</t>
  </si>
  <si>
    <t>Dntb</t>
  </si>
  <si>
    <t>dinoterb</t>
  </si>
  <si>
    <t>1420-07-1</t>
  </si>
  <si>
    <t>Dotolsfn</t>
  </si>
  <si>
    <t>di-o-tolylsulfon</t>
  </si>
  <si>
    <t>5097-12-1</t>
  </si>
  <si>
    <t>DpTolsfnC2ye</t>
  </si>
  <si>
    <t>di-p-tolueensulfonaat-ethyleenglycol</t>
  </si>
  <si>
    <t>6315-52-2</t>
  </si>
  <si>
    <t>DpicAe</t>
  </si>
  <si>
    <t>dipicrylamine</t>
  </si>
  <si>
    <t>131-73-7</t>
  </si>
  <si>
    <t>Dpyrdml</t>
  </si>
  <si>
    <t>dipyridamol</t>
  </si>
  <si>
    <t>58-32-2</t>
  </si>
  <si>
    <t>DqBr</t>
  </si>
  <si>
    <t>diquatdibromide</t>
  </si>
  <si>
    <t>85-00-7</t>
  </si>
  <si>
    <t>DqDBrH2O</t>
  </si>
  <si>
    <t>diquatdibromide-monohydraat</t>
  </si>
  <si>
    <t>6385-62-2</t>
  </si>
  <si>
    <t>Dqt</t>
  </si>
  <si>
    <t>diquat</t>
  </si>
  <si>
    <t>2764-72-9</t>
  </si>
  <si>
    <t>DsftSO</t>
  </si>
  <si>
    <t>disulfoton-sulfoxide</t>
  </si>
  <si>
    <t>2497-07-6</t>
  </si>
  <si>
    <t>Dsftn</t>
  </si>
  <si>
    <t>disulfoton</t>
  </si>
  <si>
    <t>298-04-4</t>
  </si>
  <si>
    <t>Dsftsfn</t>
  </si>
  <si>
    <t>disulfoton-sulfon</t>
  </si>
  <si>
    <t>2497-06-5</t>
  </si>
  <si>
    <t>Dtann</t>
  </si>
  <si>
    <t>dithianon</t>
  </si>
  <si>
    <t>3347-22-6</t>
  </si>
  <si>
    <t>Dtlfs</t>
  </si>
  <si>
    <t>ditalimfos</t>
  </si>
  <si>
    <t>5131-24-8</t>
  </si>
  <si>
    <t>Dtoburt</t>
  </si>
  <si>
    <t>dithiobiuret</t>
  </si>
  <si>
    <t>541-53-7</t>
  </si>
  <si>
    <t>Durn</t>
  </si>
  <si>
    <t>diuron</t>
  </si>
  <si>
    <t>330-54-1</t>
  </si>
  <si>
    <t>E</t>
  </si>
  <si>
    <t>Extinctie</t>
  </si>
  <si>
    <t>E-Dmtmf</t>
  </si>
  <si>
    <t>(E)-dimethomorf</t>
  </si>
  <si>
    <t>113210-97-2</t>
  </si>
  <si>
    <t>EBAAP</t>
  </si>
  <si>
    <t>ethylbutylactetylaminopropionaat</t>
  </si>
  <si>
    <t>52304-36-6</t>
  </si>
  <si>
    <t>ECOLT</t>
  </si>
  <si>
    <t>Ecologie toestand of potentieel</t>
  </si>
  <si>
    <t>EDTA</t>
  </si>
  <si>
    <t>ethyleendiaminetetraethaanzuur (EDTA)</t>
  </si>
  <si>
    <t>60-00-4</t>
  </si>
  <si>
    <t>EDTMP</t>
  </si>
  <si>
    <t>ethyleendiamine tetra(methyleen fosfonzuur) (EDTMP)</t>
  </si>
  <si>
    <t>1429-50-1</t>
  </si>
  <si>
    <t>ELTSENGE</t>
  </si>
  <si>
    <t>Elektrische energie</t>
  </si>
  <si>
    <t>ELTSSM</t>
  </si>
  <si>
    <t>Elektrische stroom</t>
  </si>
  <si>
    <t>ELTSSNG</t>
  </si>
  <si>
    <t>Elektrische spanning</t>
  </si>
  <si>
    <t>EMSPTN</t>
  </si>
  <si>
    <t>Emerse planten</t>
  </si>
  <si>
    <t>ENGE</t>
  </si>
  <si>
    <t>Energie</t>
  </si>
  <si>
    <t>EPN</t>
  </si>
  <si>
    <t>ethyl-p-nitrofenylthiobenzeenfosfonaat</t>
  </si>
  <si>
    <t>2104-64-5</t>
  </si>
  <si>
    <t>EPTC</t>
  </si>
  <si>
    <t>ethyldipropylthiocarbamaat</t>
  </si>
  <si>
    <t>759-94-4</t>
  </si>
  <si>
    <t>EPTCHSCFK</t>
  </si>
  <si>
    <t>Epitheelcel - hond-specifiek</t>
  </si>
  <si>
    <t>EROD</t>
  </si>
  <si>
    <t>Ethoxyresorufin-O-deethylase activiteit</t>
  </si>
  <si>
    <t>ETCB</t>
  </si>
  <si>
    <t>sandacanol</t>
  </si>
  <si>
    <t>28219-61-6</t>
  </si>
  <si>
    <t>EUNIS_cde</t>
  </si>
  <si>
    <t>EUNIS code</t>
  </si>
  <si>
    <t>EVPTPRTE</t>
  </si>
  <si>
    <t>Evapotranspiratie</t>
  </si>
  <si>
    <t>EXPSTDR</t>
  </si>
  <si>
    <t>Expositieduur</t>
  </si>
  <si>
    <t>EXTTCEFCELBB</t>
  </si>
  <si>
    <t>Extinctiecoëfficiënt volgens wet van Lambert-Beer</t>
  </si>
  <si>
    <t>EXTTCEFCELBT</t>
  </si>
  <si>
    <t>Extinctiecoëfficiënt volgens wet van Lambert</t>
  </si>
  <si>
    <t>EXTTNIWG</t>
  </si>
  <si>
    <t>Extractie na inweeg</t>
  </si>
  <si>
    <t>EXTTOGWBSS</t>
  </si>
  <si>
    <t>Extractie op gewichtbasis</t>
  </si>
  <si>
    <t>EXTTOVLMBSS</t>
  </si>
  <si>
    <t>Extractie op volumebasis</t>
  </si>
  <si>
    <t>Es254</t>
  </si>
  <si>
    <t>einsteinium 254</t>
  </si>
  <si>
    <t>15840-03-6</t>
  </si>
  <si>
    <t>EtFOSA</t>
  </si>
  <si>
    <t>N-ethyl perfluoroctaansulfonamide</t>
  </si>
  <si>
    <t>4151-50-2</t>
  </si>
  <si>
    <t>EtFOSAA</t>
  </si>
  <si>
    <t>perfluoroctaansulfonylamide(N-ethyl)acetaat</t>
  </si>
  <si>
    <t>2991-50-6</t>
  </si>
  <si>
    <t>Eu152</t>
  </si>
  <si>
    <t>europium 152</t>
  </si>
  <si>
    <t>14683-23-9</t>
  </si>
  <si>
    <t>Eu154</t>
  </si>
  <si>
    <t>europium 154</t>
  </si>
  <si>
    <t>15585-10-1</t>
  </si>
  <si>
    <t>Eu155</t>
  </si>
  <si>
    <t>europium 155</t>
  </si>
  <si>
    <t>14391-16-3</t>
  </si>
  <si>
    <t>F2</t>
  </si>
  <si>
    <t>difluor</t>
  </si>
  <si>
    <t>7782-41-4</t>
  </si>
  <si>
    <t>F7C3yF4C2yEt</t>
  </si>
  <si>
    <t>heptafluorpropyl 1,2,2,2-tetrafluorethylether</t>
  </si>
  <si>
    <t>3330-15-2</t>
  </si>
  <si>
    <t>FAECS</t>
  </si>
  <si>
    <t>Faeces</t>
  </si>
  <si>
    <t>FEOa</t>
  </si>
  <si>
    <t>Feofytine a</t>
  </si>
  <si>
    <t>FEOb</t>
  </si>
  <si>
    <t>Feofytine b</t>
  </si>
  <si>
    <t>FILTTGVZFTUG</t>
  </si>
  <si>
    <t>Filtratie glasvezelfilter uitgevoerd</t>
  </si>
  <si>
    <t>FILTTPPFTUGV</t>
  </si>
  <si>
    <t>Filtratie papierfilter uitgevoerd</t>
  </si>
  <si>
    <t>FLAB</t>
  </si>
  <si>
    <t>Flab (Floating Algae Beds)</t>
  </si>
  <si>
    <t>FLOATLS</t>
  </si>
  <si>
    <t>Floatlands</t>
  </si>
  <si>
    <t>FLUORCTE</t>
  </si>
  <si>
    <t>Fluorescentie</t>
  </si>
  <si>
    <t>FOTNSDHD</t>
  </si>
  <si>
    <t>Fotonenstroomdichtheid</t>
  </si>
  <si>
    <t>FRD-902</t>
  </si>
  <si>
    <t>ammonium 2,3,3,3-tetrafluor-2-(heptafluorpropoxy)-propanoaat</t>
  </si>
  <si>
    <t>62037-80-3</t>
  </si>
  <si>
    <t>FRD-903</t>
  </si>
  <si>
    <t>2,3,3,3-tetrafluor-2-(heptafluorpropoxy)propionzuur</t>
  </si>
  <si>
    <t>13252-13-6</t>
  </si>
  <si>
    <t>FRD-ai902903</t>
  </si>
  <si>
    <t>2,3,3,3-tetrafluor-2-(heptafluorpropoxy)propanoaat (anion)</t>
  </si>
  <si>
    <t>FREQTE</t>
  </si>
  <si>
    <t>Frequentie</t>
  </si>
  <si>
    <t>FSPFAGEN</t>
  </si>
  <si>
    <t>F-specifieke fagen</t>
  </si>
  <si>
    <t>FTB_soortIPS</t>
  </si>
  <si>
    <t>Fytobenthos - soort Specifieke Vervuilingsgevoeligheid Index</t>
  </si>
  <si>
    <t>FTB_soortN</t>
  </si>
  <si>
    <t>Fytobenthos - soort voor verstoring en eutrofiering (neg.)</t>
  </si>
  <si>
    <t>FTB_soortP</t>
  </si>
  <si>
    <t>Fytobenthos - soort positief</t>
  </si>
  <si>
    <t>FTB_soortTI</t>
  </si>
  <si>
    <t>Fytobenthos - soort Trofie Index</t>
  </si>
  <si>
    <t>FTB_soortZ</t>
  </si>
  <si>
    <t>Fytobenthos - soort voor verzuring (neg.)</t>
  </si>
  <si>
    <t>FYSCHEM</t>
  </si>
  <si>
    <t>Algemene fysisch-chemische parameters</t>
  </si>
  <si>
    <t>FYTOBEN</t>
  </si>
  <si>
    <t>Fytobenthos-kwaliteit</t>
  </si>
  <si>
    <t>FYTOPL</t>
  </si>
  <si>
    <t>Fytoplankton-kwaliteit</t>
  </si>
  <si>
    <t>FYTPT</t>
  </si>
  <si>
    <t>Fytoplankton</t>
  </si>
  <si>
    <t>FYT_ABUN</t>
  </si>
  <si>
    <t>Abundantie fytoplankton</t>
  </si>
  <si>
    <t>FYT_SRTS</t>
  </si>
  <si>
    <t>Soortensamenstelling fytoplankton</t>
  </si>
  <si>
    <t>FYT_bloei1</t>
  </si>
  <si>
    <t>Fytopl. - bloeisoort (01-02) Planktothrix agardhii</t>
  </si>
  <si>
    <t>FYT_bloei10</t>
  </si>
  <si>
    <t>Fytopl. - bloeisoort (10) Scenedesmus soortenarm</t>
  </si>
  <si>
    <t>FYT_bloei11</t>
  </si>
  <si>
    <t>Fytopl. - bloeisoort (11) Cyclotella meneghiniana</t>
  </si>
  <si>
    <t>FYT_bloei12</t>
  </si>
  <si>
    <t>Fytopl. - bloeisoort (12) Stephanodiscus binderanus</t>
  </si>
  <si>
    <t>FYT_bloei13</t>
  </si>
  <si>
    <t>Fytopl. - bloeisoort (13) Gonyostomum semen</t>
  </si>
  <si>
    <t>FYT_bloei14</t>
  </si>
  <si>
    <t>Fytopl. - bloeisoort (14) Aphanizomenon gracile</t>
  </si>
  <si>
    <t>FYT_bloei15</t>
  </si>
  <si>
    <t>Fytopl. - bloeisoort (15) klein Chlorococcales soortenrijk</t>
  </si>
  <si>
    <t>FYT_bloei16</t>
  </si>
  <si>
    <t>Fytopl. - bloeisoort (16) Anabaenopsis</t>
  </si>
  <si>
    <t>FYT_bloei17</t>
  </si>
  <si>
    <t>Fytopl. - bloeisoort (17-18) Prymnesium</t>
  </si>
  <si>
    <t>FYT_bloei19</t>
  </si>
  <si>
    <t>Fytopl. - bloeisoort (19) kleine Cryptophyceae</t>
  </si>
  <si>
    <t>FYT_bloei20</t>
  </si>
  <si>
    <t>Fytopl. - bloeisoort (20) Cryptomonas</t>
  </si>
  <si>
    <t>FYT_bloei21</t>
  </si>
  <si>
    <t>Fytopl. - bloeisoort (21) Skeletonema</t>
  </si>
  <si>
    <t>FYT_bloei22</t>
  </si>
  <si>
    <t>Fytopl. - bloeisoort (22) Diatoma tenuis</t>
  </si>
  <si>
    <t>FYT_bloei23</t>
  </si>
  <si>
    <t>Fytopl. - bloeisoort (23) klein Chroococcales soortenrijk</t>
  </si>
  <si>
    <t>FYT_bloei24</t>
  </si>
  <si>
    <t>Fytopl. - bloeisoort (24-25) Aphanizomenon flos-aquae</t>
  </si>
  <si>
    <t>FYT_bloei26</t>
  </si>
  <si>
    <t>Fytopl. - bloeisoort (26) Anabaena</t>
  </si>
  <si>
    <t>FYT_bloei27</t>
  </si>
  <si>
    <t>Fytopl. - bloeisoort (27) Aulacoseira granulata/ambigua</t>
  </si>
  <si>
    <t>FYT_bloei28</t>
  </si>
  <si>
    <t>Fytopl. - bloeisoort (28) sieralg Staurodesmus extensus</t>
  </si>
  <si>
    <t>FYT_bloei29</t>
  </si>
  <si>
    <t>Fytopl. - bloeisoort (29) sieralg Teilingia granulata</t>
  </si>
  <si>
    <t>FYT_bloei3</t>
  </si>
  <si>
    <t>Fytopl. - bloeisoort (03) Planktothrix rubescens</t>
  </si>
  <si>
    <t>FYT_bloei30</t>
  </si>
  <si>
    <t>Fytopl. - bloeisoort (30) Ankyra</t>
  </si>
  <si>
    <t>FYT_bloei31</t>
  </si>
  <si>
    <t>Fytopl. - bloeisoort (31) Monomastix</t>
  </si>
  <si>
    <t>FYT_bloei32</t>
  </si>
  <si>
    <t>Fytopl. - bloeisoort (32) Pedinomonas</t>
  </si>
  <si>
    <t>FYT_bloei33</t>
  </si>
  <si>
    <t>Fytopl. - bloeisoort (33) Pyramimonas</t>
  </si>
  <si>
    <t>FYT_bloei34</t>
  </si>
  <si>
    <t>Fytopl. - bloeisoort (34) Woronichinia naegeliana</t>
  </si>
  <si>
    <t>FYT_bloei35</t>
  </si>
  <si>
    <t>Fytopl. - bloeisoort (35) Chrysochromulina parva</t>
  </si>
  <si>
    <t>FYT_bloei36</t>
  </si>
  <si>
    <t>Fytopl. - bloeisoort (36) Cyclotella radiosa</t>
  </si>
  <si>
    <t>FYT_bloei37</t>
  </si>
  <si>
    <t>Fytopl. - bloeisoort (37) Asterionella formosa</t>
  </si>
  <si>
    <t>FYT_bloei4</t>
  </si>
  <si>
    <t>Fytopl. - bloeisoort (04) dunne filamenteuze blauwalg</t>
  </si>
  <si>
    <t>FYT_bloei40</t>
  </si>
  <si>
    <t>Fytopl. - bloeisoort (40) Aulacoseira islandica/subarctica</t>
  </si>
  <si>
    <t>FYT_bloei41</t>
  </si>
  <si>
    <t>Fytopl. - bloeisoort (41) Cyclotella ocellata</t>
  </si>
  <si>
    <t>FYT_bloei42</t>
  </si>
  <si>
    <t>Fytopl. - bloeisoort (42) Chaetoceros</t>
  </si>
  <si>
    <t>FYT_bloei43</t>
  </si>
  <si>
    <t>Fytopl. - bloeisoort (43) Synura</t>
  </si>
  <si>
    <t>FYT_bloei44</t>
  </si>
  <si>
    <t>Fytopl. - bloeisoort (44) Mallomonas</t>
  </si>
  <si>
    <t>FYT_bloei45</t>
  </si>
  <si>
    <t>Fytopl. - bloeisoort (45) Dinobryon</t>
  </si>
  <si>
    <t>FYT_bloei46</t>
  </si>
  <si>
    <t>Fytopl. - bloeisoort (46) Ochromonas</t>
  </si>
  <si>
    <t>FYT_bloei47</t>
  </si>
  <si>
    <t>Fytopl. - bloeisoort (47) thecate dinoflagellaten Ceratium</t>
  </si>
  <si>
    <t>FYT_bloei48</t>
  </si>
  <si>
    <t>Fytopl. - bloeisoort (48) thecate dinoflagellaten Peridinium</t>
  </si>
  <si>
    <t>FYT_bloei49</t>
  </si>
  <si>
    <t>Fytopl. - bloeisoort (49) Desmidium swartzii</t>
  </si>
  <si>
    <t>FYT_bloei5</t>
  </si>
  <si>
    <t>Fytopl. - bloeisoort (05) Thalassiosira pseudonana</t>
  </si>
  <si>
    <t>FYT_bloei50</t>
  </si>
  <si>
    <t>Fytopl. - bloeisoort (50) Eudorina</t>
  </si>
  <si>
    <t>FYT_bloei51</t>
  </si>
  <si>
    <t>Fytopl. - bloeisoort (51) Botryococcus</t>
  </si>
  <si>
    <t>FYT_bloei52</t>
  </si>
  <si>
    <t>Fytopl. - bloeisoort (52) Chlorococcales</t>
  </si>
  <si>
    <t>FYT_bloei53</t>
  </si>
  <si>
    <t>Fytopl. - bloeisoort (53) Chromulina</t>
  </si>
  <si>
    <t>FYT_bloei54</t>
  </si>
  <si>
    <t>Fytopl. - bloeisoort (54) Chlamydomonas</t>
  </si>
  <si>
    <t>FYT_bloei56</t>
  </si>
  <si>
    <t>Fytopl. - bloeisoort (56) Hyalotheca dissiliens</t>
  </si>
  <si>
    <t>FYT_bloei57</t>
  </si>
  <si>
    <t>Fytopl. - bloeisoort (57) Syncrypta</t>
  </si>
  <si>
    <t>FYT_bloei58</t>
  </si>
  <si>
    <t>Fytopl. - bloeisoort (58) Bambusina borreri</t>
  </si>
  <si>
    <t>FYT_bloei6</t>
  </si>
  <si>
    <t>Fytopl. - bloeisoort (06) Stephanodiscus hantzschii</t>
  </si>
  <si>
    <t>FYT_bloei7</t>
  </si>
  <si>
    <t>Fytopl. - bloeisoort (07-08) Microcystis</t>
  </si>
  <si>
    <t>FYT_bloei9</t>
  </si>
  <si>
    <t>Fytopl. - bloeisoort (09) Microcystis wesenbergii</t>
  </si>
  <si>
    <t>Fe55</t>
  </si>
  <si>
    <t>ijzer 55</t>
  </si>
  <si>
    <t>14681-59-5</t>
  </si>
  <si>
    <t>Fe59</t>
  </si>
  <si>
    <t>ijzer 59</t>
  </si>
  <si>
    <t>14596-12-4</t>
  </si>
  <si>
    <t>FeCl2</t>
  </si>
  <si>
    <t>ijzer(II)chloride</t>
  </si>
  <si>
    <t>7758-94-3</t>
  </si>
  <si>
    <t>FeCl3</t>
  </si>
  <si>
    <t>ijzer(III)chloride</t>
  </si>
  <si>
    <t>7705-08-0</t>
  </si>
  <si>
    <t>FeII</t>
  </si>
  <si>
    <t>ijzer (tweewaardig)</t>
  </si>
  <si>
    <t>15438-31-0</t>
  </si>
  <si>
    <t>FeIIIO</t>
  </si>
  <si>
    <t>ijzer(III)oxide</t>
  </si>
  <si>
    <t>1309-37-1</t>
  </si>
  <si>
    <t>FePecbnl</t>
  </si>
  <si>
    <t>ijzerpentacarbonyl</t>
  </si>
  <si>
    <t>13463-40-6</t>
  </si>
  <si>
    <t>FeSO4</t>
  </si>
  <si>
    <t>ijzer(II)sulfaat</t>
  </si>
  <si>
    <t>7720-78-7</t>
  </si>
  <si>
    <t>Fen</t>
  </si>
  <si>
    <t>fenantreen</t>
  </si>
  <si>
    <t>85-01-8</t>
  </si>
  <si>
    <t>Fle</t>
  </si>
  <si>
    <t>fluoreen</t>
  </si>
  <si>
    <t>86-73-7</t>
  </si>
  <si>
    <t>Flu</t>
  </si>
  <si>
    <t>fluorantheen</t>
  </si>
  <si>
    <t>206-44-0</t>
  </si>
  <si>
    <t>Fol</t>
  </si>
  <si>
    <t>fenol</t>
  </si>
  <si>
    <t>108-95-2</t>
  </si>
  <si>
    <t>FolINDX</t>
  </si>
  <si>
    <t>fenolindex</t>
  </si>
  <si>
    <t>Fp</t>
  </si>
  <si>
    <t>Golffrequentie bij maximum v.h. variantiedichtheidspectrum</t>
  </si>
  <si>
    <t>Fr223</t>
  </si>
  <si>
    <t>francium 223</t>
  </si>
  <si>
    <t>15756-98-6</t>
  </si>
  <si>
    <t>FyC1yC2olAe</t>
  </si>
  <si>
    <t>fenylmethylethanolamine</t>
  </si>
  <si>
    <t>93-90-3</t>
  </si>
  <si>
    <t>FyEtr</t>
  </si>
  <si>
    <t>fenylether</t>
  </si>
  <si>
    <t>101-84-8</t>
  </si>
  <si>
    <t>Fyactn</t>
  </si>
  <si>
    <t>fenylaceton</t>
  </si>
  <si>
    <t>103-79-7</t>
  </si>
  <si>
    <t>Fyhdzne</t>
  </si>
  <si>
    <t>fenylhydrazine</t>
  </si>
  <si>
    <t>100-63-0</t>
  </si>
  <si>
    <t>GEHSDE</t>
  </si>
  <si>
    <t>Gehoorschade</t>
  </si>
  <si>
    <t>GELDHD</t>
  </si>
  <si>
    <t>Geleidendheid</t>
  </si>
  <si>
    <t>GEOLGSODGD</t>
  </si>
  <si>
    <t>Geologische ondergrond</t>
  </si>
  <si>
    <t>GETETTPE</t>
  </si>
  <si>
    <t>Getijextreemtype</t>
  </si>
  <si>
    <t>GETFSE</t>
  </si>
  <si>
    <t>Getijfase</t>
  </si>
  <si>
    <t>GETVLTG</t>
  </si>
  <si>
    <t>Getijverlating</t>
  </si>
  <si>
    <t>GEUR</t>
  </si>
  <si>
    <t>Geur</t>
  </si>
  <si>
    <t>GEURITSTT</t>
  </si>
  <si>
    <t>Geurintensiteit</t>
  </si>
  <si>
    <t>GEURVDNFTR</t>
  </si>
  <si>
    <t>Geurverdunningsfactor</t>
  </si>
  <si>
    <t>GGH</t>
  </si>
  <si>
    <t>Gemiddelde golfhoogte in het tijdsdomein</t>
  </si>
  <si>
    <t>GGT</t>
  </si>
  <si>
    <t>Gemiddelde golfperiode in het tijdsdomein</t>
  </si>
  <si>
    <t>GLOBLSLG</t>
  </si>
  <si>
    <t>Globale straling</t>
  </si>
  <si>
    <t>GLTR</t>
  </si>
  <si>
    <t>Gloeotrichia</t>
  </si>
  <si>
    <t>GOLFHTE</t>
  </si>
  <si>
    <t>Golfhoogte</t>
  </si>
  <si>
    <t>GR</t>
  </si>
  <si>
    <t>Gloeirest</t>
  </si>
  <si>
    <t>GRONDSBMSGD</t>
  </si>
  <si>
    <t>Grondsoort bijmengsel grind</t>
  </si>
  <si>
    <t>GRONDSBMSHMS</t>
  </si>
  <si>
    <t>Grondsoort bijmengsel humus</t>
  </si>
  <si>
    <t>GRONDSBMSLTM</t>
  </si>
  <si>
    <t>Grondsoort bijmengsel lutum</t>
  </si>
  <si>
    <t>GRONDSMDAN</t>
  </si>
  <si>
    <t>Grondsoort mediaan</t>
  </si>
  <si>
    <t>GRONDST</t>
  </si>
  <si>
    <t>Grondsoort</t>
  </si>
  <si>
    <t>GROTDBPTN</t>
  </si>
  <si>
    <t>Grote drijfbladplanten</t>
  </si>
  <si>
    <t>GV</t>
  </si>
  <si>
    <t>Gloeiverlies</t>
  </si>
  <si>
    <t>GWALGCHM</t>
  </si>
  <si>
    <t>Algemene chemische toestand grondwater</t>
  </si>
  <si>
    <t>GWEINDOD</t>
  </si>
  <si>
    <t>Eindoordeel grondwater</t>
  </si>
  <si>
    <t>GWINTAOW</t>
  </si>
  <si>
    <t>Interactie grondwater met oppervlaktewater</t>
  </si>
  <si>
    <t>GWINTATE</t>
  </si>
  <si>
    <t>Interactie grondwater met terrestrische ecosystemen</t>
  </si>
  <si>
    <t>GWINTRUS</t>
  </si>
  <si>
    <t>Intrusies grondwater (kwantiteit)</t>
  </si>
  <si>
    <t>GWINVLDW</t>
  </si>
  <si>
    <t>Invloed grondwater op drinkwaterwinning</t>
  </si>
  <si>
    <t>GWINVLOW</t>
  </si>
  <si>
    <t>Invloed grondwater op het oppervlaktewater</t>
  </si>
  <si>
    <t>GWINVLTE</t>
  </si>
  <si>
    <t>Invloed grondwater op terrestrische ecosystemen</t>
  </si>
  <si>
    <t>GWKWALT</t>
  </si>
  <si>
    <t>Toestand grondwaterkwaliteit</t>
  </si>
  <si>
    <t>GWKWANT</t>
  </si>
  <si>
    <t>Toestand grondwaterkwantiteit</t>
  </si>
  <si>
    <t>GWSTADMR</t>
  </si>
  <si>
    <t>Stadium maatregelen grondwater</t>
  </si>
  <si>
    <t>GWTSTIJG</t>
  </si>
  <si>
    <t>Trends in stijghoogten grondwater</t>
  </si>
  <si>
    <t>GWWATERB</t>
  </si>
  <si>
    <t>Waterbalans grondwater</t>
  </si>
  <si>
    <t>GWZOUTIT</t>
  </si>
  <si>
    <t>Zoutintrusies en andere intrusies grondwater</t>
  </si>
  <si>
    <t>Gd153</t>
  </si>
  <si>
    <t>gadolinium 153</t>
  </si>
  <si>
    <t>14276-65-4</t>
  </si>
  <si>
    <t>H-PFC10asfzr</t>
  </si>
  <si>
    <t>1H,1H,2H,2H-perfluordecaansulfonzuur</t>
  </si>
  <si>
    <t>39108-34-4</t>
  </si>
  <si>
    <t>H-PFC12asfzr</t>
  </si>
  <si>
    <t>1H,1H,2H,2H-perfluordodecaansulfonzuur</t>
  </si>
  <si>
    <t>120226-60-0</t>
  </si>
  <si>
    <t>H-PFC6asfzr</t>
  </si>
  <si>
    <t>1H,1H,2H,2H-perfluorhexaansulfonzuur</t>
  </si>
  <si>
    <t>757124-72-4</t>
  </si>
  <si>
    <t>H-PFDA</t>
  </si>
  <si>
    <t>2H,2H-perfluordecaanzuur</t>
  </si>
  <si>
    <t>27854-31-5</t>
  </si>
  <si>
    <t>H-PFUdA</t>
  </si>
  <si>
    <t>2H,2H,3H,3H-perfluorundecaanzuur</t>
  </si>
  <si>
    <t>34598-33-9</t>
  </si>
  <si>
    <t>H1/10</t>
  </si>
  <si>
    <t>Gem. hoogte van hoogste 1/10 deel v.d. golven (tijdsdomein)</t>
  </si>
  <si>
    <t>H1/3</t>
  </si>
  <si>
    <t>Gem. hoogte van hoogste 1/3 deel v.d. golven (tijdsdomein)</t>
  </si>
  <si>
    <t>H1/50</t>
  </si>
  <si>
    <t>Gem. hoogte van hoogste 1/50 deel v.d. golven (tijdsdomein)</t>
  </si>
  <si>
    <t>H2O2</t>
  </si>
  <si>
    <t>waterstofperoxide</t>
  </si>
  <si>
    <t>7722-84-1</t>
  </si>
  <si>
    <t>H2SO4</t>
  </si>
  <si>
    <t>zwavelzuur</t>
  </si>
  <si>
    <t>7664-93-9</t>
  </si>
  <si>
    <t>H3</t>
  </si>
  <si>
    <t>tritium</t>
  </si>
  <si>
    <t>10028-17-8</t>
  </si>
  <si>
    <t>H3PO4</t>
  </si>
  <si>
    <t>fosforzuur</t>
  </si>
  <si>
    <t>7664-38-2</t>
  </si>
  <si>
    <t>HABTDVSTT</t>
  </si>
  <si>
    <t>Habitatdiversiteit</t>
  </si>
  <si>
    <t>HAc</t>
  </si>
  <si>
    <t>azijnzuur</t>
  </si>
  <si>
    <t>64-19-7</t>
  </si>
  <si>
    <t>HBCD</t>
  </si>
  <si>
    <t>som HBCD (technisch mengsel, niet-gespecif. broom-posities)</t>
  </si>
  <si>
    <t>25637-99-4</t>
  </si>
  <si>
    <t>HCB</t>
  </si>
  <si>
    <t>hexachloorbenzeen</t>
  </si>
  <si>
    <t>118-74-1</t>
  </si>
  <si>
    <t>HCCPD</t>
  </si>
  <si>
    <t>hexachloorcyclopentadieen (HCCPD)</t>
  </si>
  <si>
    <t>77-47-4</t>
  </si>
  <si>
    <t>HCFK121</t>
  </si>
  <si>
    <t>1,1,2,2-tetrachloor-1-fluorethaan</t>
  </si>
  <si>
    <t>354-14-3</t>
  </si>
  <si>
    <t>HCFK121a</t>
  </si>
  <si>
    <t>1,1,1,2-tetrachloor-2-fluorethaan</t>
  </si>
  <si>
    <t>354-11-0</t>
  </si>
  <si>
    <t>HCFK123</t>
  </si>
  <si>
    <t>2,2-dichloor-1,1,1-trifluorethaan</t>
  </si>
  <si>
    <t>306-83-2</t>
  </si>
  <si>
    <t>HCFK123a</t>
  </si>
  <si>
    <t>1,2-dichloor-1,1,2-trifluorethaan</t>
  </si>
  <si>
    <t>354-23-4</t>
  </si>
  <si>
    <t>HCFK123b</t>
  </si>
  <si>
    <t>1,1-dichloor-1,2,2-trifluorethaan</t>
  </si>
  <si>
    <t>812-04-4</t>
  </si>
  <si>
    <t>HCFK124</t>
  </si>
  <si>
    <t>2-chloor-1,1,1,2-tetrafluorethaan</t>
  </si>
  <si>
    <t>2837-89-0</t>
  </si>
  <si>
    <t>HCFK124a</t>
  </si>
  <si>
    <t>1-chloor-1,1,2,2-tetrafluorethaan</t>
  </si>
  <si>
    <t>354-25-6</t>
  </si>
  <si>
    <t>HCFK131</t>
  </si>
  <si>
    <t>1,2,2-trichloorfluorethaan (Fc-131)</t>
  </si>
  <si>
    <t>359-28-4</t>
  </si>
  <si>
    <t>HCFK132</t>
  </si>
  <si>
    <t>1,2-dichloor-1,2-difluorethaan</t>
  </si>
  <si>
    <t>431-06-1</t>
  </si>
  <si>
    <t>HCFK132b</t>
  </si>
  <si>
    <t>1,2-dichloor-1,1-difluorethaan</t>
  </si>
  <si>
    <t>1649-08-7</t>
  </si>
  <si>
    <t>HCFK133a</t>
  </si>
  <si>
    <t>2-chloor-1,1,1-trifluorethaan</t>
  </si>
  <si>
    <t>75-88-7</t>
  </si>
  <si>
    <t>HCFK141b</t>
  </si>
  <si>
    <t>1,1-dichloor-1-fluorethaan</t>
  </si>
  <si>
    <t>1717-00-6</t>
  </si>
  <si>
    <t>HCFK142b</t>
  </si>
  <si>
    <t>1-chloor-1,1-difluorethaan</t>
  </si>
  <si>
    <t>75-68-3</t>
  </si>
  <si>
    <t>HCFK21</t>
  </si>
  <si>
    <t>dichloorfluormethaan</t>
  </si>
  <si>
    <t>75-43-4</t>
  </si>
  <si>
    <t>HCFK22</t>
  </si>
  <si>
    <t>chloordifluormethaan</t>
  </si>
  <si>
    <t>75-45-6</t>
  </si>
  <si>
    <t>HCFK225</t>
  </si>
  <si>
    <t>dichloorpentafluorpropaan</t>
  </si>
  <si>
    <t>127564-92-5</t>
  </si>
  <si>
    <t>HCFK225aa</t>
  </si>
  <si>
    <t>2,2-dichloor-1,1,1,3,3-pentafluorpropaan</t>
  </si>
  <si>
    <t>128903-21-9</t>
  </si>
  <si>
    <t>HCFK225ba</t>
  </si>
  <si>
    <t>2,3-dichloor-1,1,1,2,3-pentafluorpropaan</t>
  </si>
  <si>
    <t>422-48-0</t>
  </si>
  <si>
    <t>HCFK225bb</t>
  </si>
  <si>
    <t>1,2-dichloor-1,1,2,3,3-pentafluorpropaan</t>
  </si>
  <si>
    <t>422-44-6</t>
  </si>
  <si>
    <t>HCFK225ca</t>
  </si>
  <si>
    <t>3,3-dichloor-1,1,1,2,2-pentafluorpropaan</t>
  </si>
  <si>
    <t>422-56-0</t>
  </si>
  <si>
    <t>HCFK225cb</t>
  </si>
  <si>
    <t>1,3-dichloor-1,1,2,2,3-pentafluorpropaan</t>
  </si>
  <si>
    <t>507-55-1</t>
  </si>
  <si>
    <t>HCFK225cc</t>
  </si>
  <si>
    <t>1,1-dichloor-1,2,2,3,3-pentafluorpropaan</t>
  </si>
  <si>
    <t>13474-88-9</t>
  </si>
  <si>
    <t>HCFK225da</t>
  </si>
  <si>
    <t>1,2-dichloor-1,1,3,3,3-pentafluorpropaan</t>
  </si>
  <si>
    <t>431-86-7</t>
  </si>
  <si>
    <t>HCFK225ea</t>
  </si>
  <si>
    <t>1,3-dichloor-1,1,2,3,3-pentafluorpropaan</t>
  </si>
  <si>
    <t>136013-79-1</t>
  </si>
  <si>
    <t>HCFK225eb</t>
  </si>
  <si>
    <t>1,1-dichloor-1,2,3,3,3-pentafluorpropaan</t>
  </si>
  <si>
    <t>111512-56-2</t>
  </si>
  <si>
    <t>HCFK253fb</t>
  </si>
  <si>
    <t>3-chloor-1,1,1-trifluorpropaan</t>
  </si>
  <si>
    <t>460-35-5</t>
  </si>
  <si>
    <t>HCN</t>
  </si>
  <si>
    <t>waterstofcyanide</t>
  </si>
  <si>
    <t>74-90-8</t>
  </si>
  <si>
    <t>HCl</t>
  </si>
  <si>
    <t>zoutzuur</t>
  </si>
  <si>
    <t>7647-01-0</t>
  </si>
  <si>
    <t>HCltazde</t>
  </si>
  <si>
    <t>hydrochloorthiazide</t>
  </si>
  <si>
    <t>58-93-5</t>
  </si>
  <si>
    <t>HECHTGBDHD</t>
  </si>
  <si>
    <t>Hechtgebondenheid</t>
  </si>
  <si>
    <t>HEDP</t>
  </si>
  <si>
    <t>1-hydroxyethylideen-1,1-difosfonzuur</t>
  </si>
  <si>
    <t>2809-21-4</t>
  </si>
  <si>
    <t>HEFHTE</t>
  </si>
  <si>
    <t>Hefhoogte</t>
  </si>
  <si>
    <t>HELCBTBTRN</t>
  </si>
  <si>
    <t>Helicobacter bacteriën</t>
  </si>
  <si>
    <t>HELCBTVGSCFK</t>
  </si>
  <si>
    <t>Helicobacter - vogel-specifieke stam</t>
  </si>
  <si>
    <t>HELDHD</t>
  </si>
  <si>
    <t>Helderheid</t>
  </si>
  <si>
    <t>HETzr</t>
  </si>
  <si>
    <t>HETzuur</t>
  </si>
  <si>
    <t>115-28-6</t>
  </si>
  <si>
    <t>HF</t>
  </si>
  <si>
    <t>7664-39-3</t>
  </si>
  <si>
    <t>HFC3ye</t>
  </si>
  <si>
    <t>hexafluorpropyleen</t>
  </si>
  <si>
    <t>116-15-4</t>
  </si>
  <si>
    <t>HFK23</t>
  </si>
  <si>
    <t>trifluormethaan</t>
  </si>
  <si>
    <t>75-46-7</t>
  </si>
  <si>
    <t>HH</t>
  </si>
  <si>
    <t>Hardheid</t>
  </si>
  <si>
    <t>HHCB</t>
  </si>
  <si>
    <t>hexahydrohexamethylcyclopentabenzopyran (HHCB)</t>
  </si>
  <si>
    <t>1222-05-5</t>
  </si>
  <si>
    <t>HHT</t>
  </si>
  <si>
    <t>Hardheid tijdelijk</t>
  </si>
  <si>
    <t>HMFCON</t>
  </si>
  <si>
    <t>Riviercontinuïteit</t>
  </si>
  <si>
    <t>HMFGET</t>
  </si>
  <si>
    <t>Getijdenregime</t>
  </si>
  <si>
    <t>HMFMOR</t>
  </si>
  <si>
    <t>Morfologie</t>
  </si>
  <si>
    <t>HMFREG</t>
  </si>
  <si>
    <t>Hydrologisch regime</t>
  </si>
  <si>
    <t>HMFT</t>
  </si>
  <si>
    <t>Hydromorfologie totaal</t>
  </si>
  <si>
    <t>HNO3</t>
  </si>
  <si>
    <t>salpeterzuur</t>
  </si>
  <si>
    <t>7697-37-2</t>
  </si>
  <si>
    <t>HOCl</t>
  </si>
  <si>
    <t>hypochloorzuur</t>
  </si>
  <si>
    <t>7790-92-3</t>
  </si>
  <si>
    <t>HOEK</t>
  </si>
  <si>
    <t>Hoek</t>
  </si>
  <si>
    <t>HOOGTE</t>
  </si>
  <si>
    <t>Hoogte</t>
  </si>
  <si>
    <t>HOOGWTDG</t>
  </si>
  <si>
    <t>Hoogwater dag</t>
  </si>
  <si>
    <t>HOOGWTNT</t>
  </si>
  <si>
    <t>Hoogwater nacht</t>
  </si>
  <si>
    <t>HPFHpA</t>
  </si>
  <si>
    <t>7H-perfluorheptaanzuur</t>
  </si>
  <si>
    <t>1546-95-8</t>
  </si>
  <si>
    <t>HTE3</t>
  </si>
  <si>
    <t>Significante deiningshoogte in het spectrale domein</t>
  </si>
  <si>
    <t>HTI</t>
  </si>
  <si>
    <t>4-hydroxy-2,5,6-trichloorisoftalonitril</t>
  </si>
  <si>
    <t>28343-61-5</t>
  </si>
  <si>
    <t>HUISDR</t>
  </si>
  <si>
    <t>Huisdier</t>
  </si>
  <si>
    <t>HUMSZR</t>
  </si>
  <si>
    <t>Humuszuur</t>
  </si>
  <si>
    <t>HYBDVS</t>
  </si>
  <si>
    <t>Hybride vis</t>
  </si>
  <si>
    <t>He3</t>
  </si>
  <si>
    <t>helium 3</t>
  </si>
  <si>
    <t>12596-21-3</t>
  </si>
  <si>
    <t>Hg203</t>
  </si>
  <si>
    <t>kwik 203</t>
  </si>
  <si>
    <t>13982-78-0</t>
  </si>
  <si>
    <t>Hm0</t>
  </si>
  <si>
    <t>Significante golfhoogte in het spectrale domein</t>
  </si>
  <si>
    <t>Hmax</t>
  </si>
  <si>
    <t>Maximale golfhoogte in het tijdsdomein</t>
  </si>
  <si>
    <t>Hoxzne</t>
  </si>
  <si>
    <t>hydroxyzine</t>
  </si>
  <si>
    <t>68-88-2</t>
  </si>
  <si>
    <t>HpCl</t>
  </si>
  <si>
    <t>heptachloor</t>
  </si>
  <si>
    <t>76-44-8</t>
  </si>
  <si>
    <t>HpClNaf</t>
  </si>
  <si>
    <t>heptachloornaftaleen</t>
  </si>
  <si>
    <t>32241-08-0</t>
  </si>
  <si>
    <t>HpClnbnn</t>
  </si>
  <si>
    <t>heptachloornorborneen</t>
  </si>
  <si>
    <t>28680-45-7</t>
  </si>
  <si>
    <t>HxBr11bFy</t>
  </si>
  <si>
    <t>hexabroom-1,1'-bifenyl</t>
  </si>
  <si>
    <t>36355-01-8</t>
  </si>
  <si>
    <t>HxBrBen</t>
  </si>
  <si>
    <t>hexabroombenzeen</t>
  </si>
  <si>
    <t>87-82-1</t>
  </si>
  <si>
    <t>HxC1oxC1ymlm</t>
  </si>
  <si>
    <t>hexa(methoxymethyl)melamine</t>
  </si>
  <si>
    <t>68002-20-0</t>
  </si>
  <si>
    <t>HxC1yDslxn</t>
  </si>
  <si>
    <t>hexamethyldisiloxaan</t>
  </si>
  <si>
    <t>107-46-0</t>
  </si>
  <si>
    <t>HxC1yPAd</t>
  </si>
  <si>
    <t>hexamethylfosforamide</t>
  </si>
  <si>
    <t>680-31-9</t>
  </si>
  <si>
    <t>HxC1yeDiCN</t>
  </si>
  <si>
    <t>hexamethyleendiisocyanaat</t>
  </si>
  <si>
    <t>822-06-0</t>
  </si>
  <si>
    <t>HxC1yeT4Ae</t>
  </si>
  <si>
    <t>hexamethyleentetramine (Urotropine)</t>
  </si>
  <si>
    <t>100-97-0</t>
  </si>
  <si>
    <t>HxClC2a</t>
  </si>
  <si>
    <t>hexachloorethaan</t>
  </si>
  <si>
    <t>67-72-1</t>
  </si>
  <si>
    <t>HxClNaf</t>
  </si>
  <si>
    <t>hexachloornaftaleen</t>
  </si>
  <si>
    <t>1335-87-1</t>
  </si>
  <si>
    <t>HxClbcc22125</t>
  </si>
  <si>
    <t>hexachloor-biclyclo(2,2,1)-2,5-heptadieen</t>
  </si>
  <si>
    <t>28680-44-6</t>
  </si>
  <si>
    <t>HxClbtDen</t>
  </si>
  <si>
    <t>hexachloorbutadieen</t>
  </si>
  <si>
    <t>87-68-3</t>
  </si>
  <si>
    <t>HxClfn</t>
  </si>
  <si>
    <t>hexachloorfeen</t>
  </si>
  <si>
    <t>70-30-4</t>
  </si>
  <si>
    <t>Hxcnzl</t>
  </si>
  <si>
    <t>hexaconazool</t>
  </si>
  <si>
    <t>79983-71-4</t>
  </si>
  <si>
    <t>Hxfmrn</t>
  </si>
  <si>
    <t>hexaflumuron</t>
  </si>
  <si>
    <t>86479-06-3</t>
  </si>
  <si>
    <t>Hxznn</t>
  </si>
  <si>
    <t>hexazinon</t>
  </si>
  <si>
    <t>51235-04-2</t>
  </si>
  <si>
    <t>I-TEQ</t>
  </si>
  <si>
    <t>Internationaal toxisch equivalent volgens NATO/CCMS</t>
  </si>
  <si>
    <t>I125</t>
  </si>
  <si>
    <t>jodium 125</t>
  </si>
  <si>
    <t>14158-31-7</t>
  </si>
  <si>
    <t>I126</t>
  </si>
  <si>
    <t>jodium 126</t>
  </si>
  <si>
    <t>14158-32-8</t>
  </si>
  <si>
    <t>I129</t>
  </si>
  <si>
    <t>jodium 129</t>
  </si>
  <si>
    <t>15046-84-1</t>
  </si>
  <si>
    <t>I131</t>
  </si>
  <si>
    <t>jodium 131</t>
  </si>
  <si>
    <t>24267-56-9</t>
  </si>
  <si>
    <t>I2</t>
  </si>
  <si>
    <t>dijodium</t>
  </si>
  <si>
    <t>7553-56-2</t>
  </si>
  <si>
    <t>IC1a</t>
  </si>
  <si>
    <t>joodmethaan</t>
  </si>
  <si>
    <t>74-88-4</t>
  </si>
  <si>
    <t>IDTFCTDVMASU</t>
  </si>
  <si>
    <t>Identificatie draadvormers in actief slib uitgevoerd</t>
  </si>
  <si>
    <t>IJSDK</t>
  </si>
  <si>
    <t>IJsdek</t>
  </si>
  <si>
    <t>IJZOR</t>
  </si>
  <si>
    <t>IJzeroer</t>
  </si>
  <si>
    <t>IMPSSDUM</t>
  </si>
  <si>
    <t>Imposexstadium</t>
  </si>
  <si>
    <t>INBDF</t>
  </si>
  <si>
    <t>In bedrijf</t>
  </si>
  <si>
    <t>INDCTAUT</t>
  </si>
  <si>
    <t>Indicatie aan/uit</t>
  </si>
  <si>
    <t>INDCTOPDT</t>
  </si>
  <si>
    <t>Indicatie open/dicht</t>
  </si>
  <si>
    <t>INRTEBHR</t>
  </si>
  <si>
    <t>Inrichting en beheer</t>
  </si>
  <si>
    <t>INRTG</t>
  </si>
  <si>
    <t>Inrichting</t>
  </si>
  <si>
    <t>INTSSDUM</t>
  </si>
  <si>
    <t>Intersexstadium</t>
  </si>
  <si>
    <t>INWG</t>
  </si>
  <si>
    <t>Inweeg</t>
  </si>
  <si>
    <t>INZOGWBSS</t>
  </si>
  <si>
    <t>Inzet op gewichtbasis</t>
  </si>
  <si>
    <t>INZOVLMBSS</t>
  </si>
  <si>
    <t>Inzet op volumebasis</t>
  </si>
  <si>
    <t>IONBLS</t>
  </si>
  <si>
    <t>Ionenbalans</t>
  </si>
  <si>
    <t>IONRTO</t>
  </si>
  <si>
    <t>Ionenratio</t>
  </si>
  <si>
    <t>IONSTE</t>
  </si>
  <si>
    <t>Ionensterkte</t>
  </si>
  <si>
    <t>IPSindex</t>
  </si>
  <si>
    <t>Specifieke Vervuilingsgevoeligheid Index (IPS)</t>
  </si>
  <si>
    <t>ISOLTE</t>
  </si>
  <si>
    <t>Isolatie</t>
  </si>
  <si>
    <t>Ifr</t>
  </si>
  <si>
    <t>jodofoor</t>
  </si>
  <si>
    <t>39392-86-4</t>
  </si>
  <si>
    <t>In111</t>
  </si>
  <si>
    <t>indium 111</t>
  </si>
  <si>
    <t>15750-15-9</t>
  </si>
  <si>
    <t>In114m</t>
  </si>
  <si>
    <t>indium 114m (metastabiel)</t>
  </si>
  <si>
    <t>378759-66-1</t>
  </si>
  <si>
    <t>InP</t>
  </si>
  <si>
    <t>indeno(1,2,3-cd)pyreen</t>
  </si>
  <si>
    <t>193-39-5</t>
  </si>
  <si>
    <t>IppnC4ycbmt</t>
  </si>
  <si>
    <t>joodpropynylbutylcarbamaat</t>
  </si>
  <si>
    <t>55406-53-6</t>
  </si>
  <si>
    <t>Ir190</t>
  </si>
  <si>
    <t>iridium 190</t>
  </si>
  <si>
    <t>14981-91-0</t>
  </si>
  <si>
    <t>Ir192</t>
  </si>
  <si>
    <t>iridium 192</t>
  </si>
  <si>
    <t>14694-69-0</t>
  </si>
  <si>
    <t>Isfrn</t>
  </si>
  <si>
    <t>jodosulfuron</t>
  </si>
  <si>
    <t>185119-76-0</t>
  </si>
  <si>
    <t>IsfrnC1y</t>
  </si>
  <si>
    <t>jodosulfuron-methyl</t>
  </si>
  <si>
    <t>144550-06-1</t>
  </si>
  <si>
    <t>IsfrnC1yNa</t>
  </si>
  <si>
    <t>jodosulfuron-methyl-natrium</t>
  </si>
  <si>
    <t>144550-36-7</t>
  </si>
  <si>
    <t>K40</t>
  </si>
  <si>
    <t>kalium 40</t>
  </si>
  <si>
    <t>13966-00-2</t>
  </si>
  <si>
    <t>KBrO3</t>
  </si>
  <si>
    <t>kaliumbromaat</t>
  </si>
  <si>
    <t>7758-01-2</t>
  </si>
  <si>
    <t>KCl</t>
  </si>
  <si>
    <t>kaliumchloride</t>
  </si>
  <si>
    <t>7447-40-7</t>
  </si>
  <si>
    <t>KDC1yDtocbmt</t>
  </si>
  <si>
    <t>kaliumdimethyldithiocarbamaat</t>
  </si>
  <si>
    <t>128-03-0</t>
  </si>
  <si>
    <t>KENMKHD</t>
  </si>
  <si>
    <t>Kenmerkendheid</t>
  </si>
  <si>
    <t>KGF</t>
  </si>
  <si>
    <t>Korrelgroottefractie</t>
  </si>
  <si>
    <t>KIEMGTL</t>
  </si>
  <si>
    <t>Kiemgetal</t>
  </si>
  <si>
    <t>KLEED</t>
  </si>
  <si>
    <t>Kleed</t>
  </si>
  <si>
    <t>KLEUR</t>
  </si>
  <si>
    <t>Kleur</t>
  </si>
  <si>
    <t>KLEURITSTT</t>
  </si>
  <si>
    <t>Kleur intensiteit</t>
  </si>
  <si>
    <t>KNC1yDtocbmt</t>
  </si>
  <si>
    <t>kalium N-methyldithiocarbamaat</t>
  </si>
  <si>
    <t>137-41-7</t>
  </si>
  <si>
    <t>KOH</t>
  </si>
  <si>
    <t>kaliumhydroxide</t>
  </si>
  <si>
    <t>1310-58-3</t>
  </si>
  <si>
    <t>KROOS</t>
  </si>
  <si>
    <t>Kroos</t>
  </si>
  <si>
    <t>KRUIDLG</t>
  </si>
  <si>
    <t>Kruidlaag</t>
  </si>
  <si>
    <t>KRUINHTE</t>
  </si>
  <si>
    <t>Kruinhoogte</t>
  </si>
  <si>
    <t>KWALTKMK</t>
  </si>
  <si>
    <t>Kwaliteitskenmerk</t>
  </si>
  <si>
    <t>KWD_AREA</t>
  </si>
  <si>
    <t>Areaal kwelders</t>
  </si>
  <si>
    <t>KWD_KWAL</t>
  </si>
  <si>
    <t>Kwaliteit kwelders</t>
  </si>
  <si>
    <t>KWD_VGTTBK</t>
  </si>
  <si>
    <t>Kweldervegetatie(zone) - brak</t>
  </si>
  <si>
    <t>KWD_VGTTBKRT</t>
  </si>
  <si>
    <t>Kweldervegetatie(zone) - brak met riet</t>
  </si>
  <si>
    <t>KWD_VGTTE</t>
  </si>
  <si>
    <t>Kweldervegetatie(zone)</t>
  </si>
  <si>
    <t>KWD_VGTTHG</t>
  </si>
  <si>
    <t>Kweldervegetatie(zone) - hoog</t>
  </si>
  <si>
    <t>KWD_VGTTHGZK</t>
  </si>
  <si>
    <t>Kweldervegetatie(zone) - hoog met zeekweek</t>
  </si>
  <si>
    <t>KWD_VGTTLG</t>
  </si>
  <si>
    <t>Kweldervegetatie(zone) - laag</t>
  </si>
  <si>
    <t>KWD_VGTTMDN</t>
  </si>
  <si>
    <t>Kweldervegetatie(zone) - midden</t>
  </si>
  <si>
    <t>KWD_VGTTPONR</t>
  </si>
  <si>
    <t>Kweldervegetatie(zone) - pionier</t>
  </si>
  <si>
    <t>KWD_VGTTRT</t>
  </si>
  <si>
    <t>Kweldervegetatie(zone) - riet</t>
  </si>
  <si>
    <t>KWD_VGTTZKK</t>
  </si>
  <si>
    <t>Kweldervegetatie(zone) - zeekweek</t>
  </si>
  <si>
    <t>KWELDR</t>
  </si>
  <si>
    <t>Kwelder</t>
  </si>
  <si>
    <t>KWELIDCTE</t>
  </si>
  <si>
    <t>Kwelindicatie</t>
  </si>
  <si>
    <t>Kolat</t>
  </si>
  <si>
    <t>kaliumoleaat</t>
  </si>
  <si>
    <t>143-18-0</t>
  </si>
  <si>
    <t>LAAGWTDG</t>
  </si>
  <si>
    <t>Laagwater dag</t>
  </si>
  <si>
    <t>LANDGBK</t>
  </si>
  <si>
    <t>Landgebruik</t>
  </si>
  <si>
    <t>LANDSPLKLGG</t>
  </si>
  <si>
    <t>Landschappelijk ligging</t>
  </si>
  <si>
    <t>LC50</t>
  </si>
  <si>
    <t>Verdunning waarbij 50 procent van de individuen sterft</t>
  </si>
  <si>
    <t>LEEFTD</t>
  </si>
  <si>
    <t>Leeftijd</t>
  </si>
  <si>
    <t>LEGONLA</t>
  </si>
  <si>
    <t>Legionella</t>
  </si>
  <si>
    <t>LEGONLPMPLA</t>
  </si>
  <si>
    <t>Legionella pneumophila</t>
  </si>
  <si>
    <t>LEGONLnPMPLA</t>
  </si>
  <si>
    <t>Legionella non-pneumophila</t>
  </si>
  <si>
    <t>LEIDWTR</t>
  </si>
  <si>
    <t>Leidingwater</t>
  </si>
  <si>
    <t>LENGTE</t>
  </si>
  <si>
    <t>Lengte</t>
  </si>
  <si>
    <t>LENGTFTE</t>
  </si>
  <si>
    <t>Lengtefractie</t>
  </si>
  <si>
    <t>LEVDHD</t>
  </si>
  <si>
    <t>Levendigheid</t>
  </si>
  <si>
    <t>LEVSDM</t>
  </si>
  <si>
    <t>Levensstadium</t>
  </si>
  <si>
    <t>LICHTEMSE</t>
  </si>
  <si>
    <t>Lichtemissie</t>
  </si>
  <si>
    <t>LICHTRFTFTE</t>
  </si>
  <si>
    <t>lichtreflectie fractie</t>
  </si>
  <si>
    <t>LICHTSTE</t>
  </si>
  <si>
    <t>Lichtsterkte</t>
  </si>
  <si>
    <t>LICHTVZKG</t>
  </si>
  <si>
    <t>Lichtverzwakking</t>
  </si>
  <si>
    <t>LSCMLTF</t>
  </si>
  <si>
    <t>L/S-verhouding cumulatief</t>
  </si>
  <si>
    <t>LUCHTDK</t>
  </si>
  <si>
    <t>Luchtdruk</t>
  </si>
  <si>
    <t>LUCHTSHD</t>
  </si>
  <si>
    <t>Luchtsnelheid</t>
  </si>
  <si>
    <t>LUMNTE</t>
  </si>
  <si>
    <t>Luminatie</t>
  </si>
  <si>
    <t>L_PFBS</t>
  </si>
  <si>
    <t>perfluor-1-butaansulfonaat (lineair)</t>
  </si>
  <si>
    <t>375-73-5</t>
  </si>
  <si>
    <t>L_PFDS</t>
  </si>
  <si>
    <t>perfluor-1-decaansulfonaat (lineair)</t>
  </si>
  <si>
    <t>335-77-3</t>
  </si>
  <si>
    <t>L_PFHpS</t>
  </si>
  <si>
    <t>perfluor-1-heptaansulfonaat (lineair)</t>
  </si>
  <si>
    <t>375-92-8</t>
  </si>
  <si>
    <t>L_PFHxS</t>
  </si>
  <si>
    <t>perfluor-1-hexaansulfonaat (lineair)</t>
  </si>
  <si>
    <t>355-46-4</t>
  </si>
  <si>
    <t>La140</t>
  </si>
  <si>
    <t>lanthaan 140</t>
  </si>
  <si>
    <t>13981-28-7</t>
  </si>
  <si>
    <t>LiCO3</t>
  </si>
  <si>
    <t>lithium carbonaat</t>
  </si>
  <si>
    <t>554-13-2</t>
  </si>
  <si>
    <t>Lu173</t>
  </si>
  <si>
    <t>lutetium 173</t>
  </si>
  <si>
    <t>14391-24-3</t>
  </si>
  <si>
    <t>Lu177</t>
  </si>
  <si>
    <t>lutetium 177</t>
  </si>
  <si>
    <t>14265-75-9</t>
  </si>
  <si>
    <t>Lu177m</t>
  </si>
  <si>
    <t>lutetium 177m (metastabiel)</t>
  </si>
  <si>
    <t>378765-68-5</t>
  </si>
  <si>
    <t>M2C2yC6yC6aD</t>
  </si>
  <si>
    <t>mono-(2-ethylhexyl)-hexaandioaat</t>
  </si>
  <si>
    <t>4337-65-9</t>
  </si>
  <si>
    <t>MAAIVHTE</t>
  </si>
  <si>
    <t>Maaiveldhoogte</t>
  </si>
  <si>
    <t>MAALGEN</t>
  </si>
  <si>
    <t>Macroalgen-kwaliteit</t>
  </si>
  <si>
    <t>MACFN</t>
  </si>
  <si>
    <t>Macrofauna</t>
  </si>
  <si>
    <t>MACFT</t>
  </si>
  <si>
    <t>Macrofyten</t>
  </si>
  <si>
    <t>MAFAUNA</t>
  </si>
  <si>
    <t>Macrofauna-kwaliteit</t>
  </si>
  <si>
    <t>MAFYTEN</t>
  </si>
  <si>
    <t>Macrofyten-kwaliteit</t>
  </si>
  <si>
    <t>MAF_ALGV</t>
  </si>
  <si>
    <t>Algemene verstoring macrofauna</t>
  </si>
  <si>
    <t>MAF_AMBI-B</t>
  </si>
  <si>
    <t>Macrofauna - soort gevoelig volgens AMBI Borja</t>
  </si>
  <si>
    <t>MAF_DIVS</t>
  </si>
  <si>
    <t>Diversiteit macrofauna</t>
  </si>
  <si>
    <t>MAF_SEDV</t>
  </si>
  <si>
    <t>Sedimentvervuiling macrofauna</t>
  </si>
  <si>
    <t>MAF_ZOET</t>
  </si>
  <si>
    <t>Zoetwatersoorten macrofauna</t>
  </si>
  <si>
    <t>MAF_famEPT</t>
  </si>
  <si>
    <t>Macrofauna - familie Ephemeroptera, Plecoptera, Trichoptera</t>
  </si>
  <si>
    <t>MAF_genera</t>
  </si>
  <si>
    <t>Macrofauna - genera</t>
  </si>
  <si>
    <t>MAF_gildeVx</t>
  </si>
  <si>
    <t>Macrofauna - voedselgildes</t>
  </si>
  <si>
    <t>MAF_soortDN</t>
  </si>
  <si>
    <t>Macrofauna - soort dominant negatief</t>
  </si>
  <si>
    <t>MAF_soortDP</t>
  </si>
  <si>
    <t>Macrofauna - soort dominant positief</t>
  </si>
  <si>
    <t>MAF_soortK</t>
  </si>
  <si>
    <t>Macrofauna - soort kenmerkend</t>
  </si>
  <si>
    <t>MAF_soortKDP</t>
  </si>
  <si>
    <t>Macrofauna - soort kenmerkend en/of dominant positief</t>
  </si>
  <si>
    <t>MAF_srtBRAKl</t>
  </si>
  <si>
    <t>Macrofauna - brakwatersoorten litoraal</t>
  </si>
  <si>
    <t>MAF_srtISind</t>
  </si>
  <si>
    <t>Macrofauna - indicerende soorten - indifferent</t>
  </si>
  <si>
    <t>MAF_srtSSind</t>
  </si>
  <si>
    <t>Macrofauna - indicerende soorten -(1) schoon sediment</t>
  </si>
  <si>
    <t>MAF_srtVSind</t>
  </si>
  <si>
    <t>Macrofauna - indicerende soorten -(3) vervuild sediment</t>
  </si>
  <si>
    <t>MAF_srtZOETl</t>
  </si>
  <si>
    <t>Macrofauna - zoetwatersoorten litoraal</t>
  </si>
  <si>
    <t>MAF_srtZOETp</t>
  </si>
  <si>
    <t>Macrofauna - zoetwatersoorten profundaal</t>
  </si>
  <si>
    <t>MAF_srtZSind</t>
  </si>
  <si>
    <t>Macrofauna - indicerende soorten -(2) zwak vervuild sediment</t>
  </si>
  <si>
    <t>MAF_v-gildeA</t>
  </si>
  <si>
    <t>Macrofauna - voedselgilde (A) grazers en schrapers</t>
  </si>
  <si>
    <t>MAF_v-gildeB</t>
  </si>
  <si>
    <t>Macrofauna - voedselgilde (B) mineerders</t>
  </si>
  <si>
    <t>MAF_v-gildeC</t>
  </si>
  <si>
    <t>Macrofauna - voedselgilde (C) houteters</t>
  </si>
  <si>
    <t>MAF_v-gildeD</t>
  </si>
  <si>
    <t>Macrofauna - voedselgilde (D) knippers</t>
  </si>
  <si>
    <t>MAF_v-gildeE</t>
  </si>
  <si>
    <t>Macrofauna - voedselgilde (E) verzamelaars</t>
  </si>
  <si>
    <t>MAF_v-gildeF</t>
  </si>
  <si>
    <t>Macrofauna - voedselgilde (F) actieve filteraars</t>
  </si>
  <si>
    <t>MAF_v-gildeG</t>
  </si>
  <si>
    <t>Macrofauna - voedselgilde (G) passieve filteraars</t>
  </si>
  <si>
    <t>MAF_v-gildeH</t>
  </si>
  <si>
    <t>Macrofauna - voedselgilde (H) predatoren</t>
  </si>
  <si>
    <t>MAF_v-gildeI</t>
  </si>
  <si>
    <t>Macrofauna - voedselgilde (I) parasieten</t>
  </si>
  <si>
    <t>MAF_v-gildeJ</t>
  </si>
  <si>
    <t>Macrofauna - voedselgilde (J) anders</t>
  </si>
  <si>
    <t>MASSA</t>
  </si>
  <si>
    <t>Massa</t>
  </si>
  <si>
    <t>MASSFTE</t>
  </si>
  <si>
    <t>Massafractie</t>
  </si>
  <si>
    <t>MASSPOPVTE</t>
  </si>
  <si>
    <t>Massa per oppervlakte</t>
  </si>
  <si>
    <t>MASSSM</t>
  </si>
  <si>
    <t>Massastroom</t>
  </si>
  <si>
    <t>MC-LA</t>
  </si>
  <si>
    <t>microsystine-LA</t>
  </si>
  <si>
    <t>96180-79-9</t>
  </si>
  <si>
    <t>MC-LF</t>
  </si>
  <si>
    <t>microcystine-LF</t>
  </si>
  <si>
    <t>154037-70-4</t>
  </si>
  <si>
    <t>MC-LR</t>
  </si>
  <si>
    <t>microcystine-LR</t>
  </si>
  <si>
    <t>101043-37-2</t>
  </si>
  <si>
    <t>MC-LW</t>
  </si>
  <si>
    <t>microcystine-LW</t>
  </si>
  <si>
    <t>157622-02-1</t>
  </si>
  <si>
    <t>MC-LY</t>
  </si>
  <si>
    <t>microcystine-LY</t>
  </si>
  <si>
    <t>123304-10-9</t>
  </si>
  <si>
    <t>MC-RR</t>
  </si>
  <si>
    <t>microcystine-RR</t>
  </si>
  <si>
    <t>111755-37-4</t>
  </si>
  <si>
    <t>MC-YR</t>
  </si>
  <si>
    <t>microcystine-YR</t>
  </si>
  <si>
    <t>101064-48-6</t>
  </si>
  <si>
    <t>MC1yAe</t>
  </si>
  <si>
    <t>monomethylamine</t>
  </si>
  <si>
    <t>74-89-5</t>
  </si>
  <si>
    <t>MC1yAszr</t>
  </si>
  <si>
    <t>monomethylarseenzuur</t>
  </si>
  <si>
    <t>124-58-3</t>
  </si>
  <si>
    <t>MC2olAe</t>
  </si>
  <si>
    <t>monoethanolamine</t>
  </si>
  <si>
    <t>141-43-5</t>
  </si>
  <si>
    <t>MC4ySn</t>
  </si>
  <si>
    <t>monobutyltin (kation)</t>
  </si>
  <si>
    <t>MC8ySn</t>
  </si>
  <si>
    <t>monooctyltin (kation)</t>
  </si>
  <si>
    <t>94410-07-8</t>
  </si>
  <si>
    <t>MCDS</t>
  </si>
  <si>
    <t>monocarbamidedihydrogensulfaat</t>
  </si>
  <si>
    <t>21351-39-3</t>
  </si>
  <si>
    <t>MCPA</t>
  </si>
  <si>
    <t>2-methyl-4-chloorfenoxyazijnzuur</t>
  </si>
  <si>
    <t>94-74-6</t>
  </si>
  <si>
    <t>MCPANazt</t>
  </si>
  <si>
    <t>MCPA natriumzout</t>
  </si>
  <si>
    <t>3653-48-3</t>
  </si>
  <si>
    <t>MCPB</t>
  </si>
  <si>
    <t>2-methyl-4-chloorfenoxyboterzuur</t>
  </si>
  <si>
    <t>94-81-5</t>
  </si>
  <si>
    <t>MClhdne</t>
  </si>
  <si>
    <t>monochloorhydrine</t>
  </si>
  <si>
    <t>96-24-2</t>
  </si>
  <si>
    <t>MEADRG</t>
  </si>
  <si>
    <t>Meandering</t>
  </si>
  <si>
    <t>MEHP</t>
  </si>
  <si>
    <t>monoethylhexylftalaat (MEHP)</t>
  </si>
  <si>
    <t>4376-20-9</t>
  </si>
  <si>
    <t>MFT_ABGV</t>
  </si>
  <si>
    <t>Abundantie groeivormen macrofyten</t>
  </si>
  <si>
    <t>MFT_BIES</t>
  </si>
  <si>
    <t>Macrofyten - soorten bies</t>
  </si>
  <si>
    <t>MFT_SRTS</t>
  </si>
  <si>
    <t>Soortensamenstelling macrofyten</t>
  </si>
  <si>
    <t>MFT_srtscore</t>
  </si>
  <si>
    <t>Macrofyten - scorende soorten</t>
  </si>
  <si>
    <t>MFySn</t>
  </si>
  <si>
    <t>monofenyltin (kation)</t>
  </si>
  <si>
    <t>MGETAL</t>
  </si>
  <si>
    <t>M-getal</t>
  </si>
  <si>
    <t>MHPC</t>
  </si>
  <si>
    <t>methyl-3-hydroxyfenylcarbamaat</t>
  </si>
  <si>
    <t>13683-89-1</t>
  </si>
  <si>
    <t>MICCPODZATSU</t>
  </si>
  <si>
    <t>Microscopisch onderzoek actief slib uitgevoerd</t>
  </si>
  <si>
    <t>MICFT</t>
  </si>
  <si>
    <t>Microfyten</t>
  </si>
  <si>
    <t>MICY</t>
  </si>
  <si>
    <t>Microcystis</t>
  </si>
  <si>
    <t>MNCR_cde</t>
  </si>
  <si>
    <t>MNCR code</t>
  </si>
  <si>
    <t>MOLRCCTTE</t>
  </si>
  <si>
    <t>Molaire concentratie</t>
  </si>
  <si>
    <t>MOLRFTE</t>
  </si>
  <si>
    <t>Molaire fractie</t>
  </si>
  <si>
    <t>MONSDTE</t>
  </si>
  <si>
    <t>Bemonsteringsdiepte</t>
  </si>
  <si>
    <t>MONSLTE</t>
  </si>
  <si>
    <t>Bemonsteringslengte</t>
  </si>
  <si>
    <t>MONSNMBTROLG</t>
  </si>
  <si>
    <t>Monstername bacteriologische analyses uitgevoerd</t>
  </si>
  <si>
    <t>MONSNMFSCMSA</t>
  </si>
  <si>
    <t>Monstername fysisch-chemische analyses uitgevoerd</t>
  </si>
  <si>
    <t>MONSNMHDBOLG</t>
  </si>
  <si>
    <t>Monstername hydrobiologische analyses uitgevoerd</t>
  </si>
  <si>
    <t>MONSWGFTR</t>
  </si>
  <si>
    <t>Monsterwegingsfactor</t>
  </si>
  <si>
    <t>MOSLG</t>
  </si>
  <si>
    <t>Moslaag</t>
  </si>
  <si>
    <t>MUURPTN</t>
  </si>
  <si>
    <t>Muurplanten</t>
  </si>
  <si>
    <t>Mctfs</t>
  </si>
  <si>
    <t>monocrotofos</t>
  </si>
  <si>
    <t>6923-22-4</t>
  </si>
  <si>
    <t>MeFBSAA</t>
  </si>
  <si>
    <t>perfluorbutaansulfonylamide(N-methyl)acetaat</t>
  </si>
  <si>
    <t>159381-10-9</t>
  </si>
  <si>
    <t>MeFOSA</t>
  </si>
  <si>
    <t>N-methyl perfluoroctaansulfonamide</t>
  </si>
  <si>
    <t>31506-32-8</t>
  </si>
  <si>
    <t>MgCl2</t>
  </si>
  <si>
    <t>magnesiumchloride</t>
  </si>
  <si>
    <t>7786-30-3</t>
  </si>
  <si>
    <t>MgO</t>
  </si>
  <si>
    <t>magnesiumoxide</t>
  </si>
  <si>
    <t>1309-48-4</t>
  </si>
  <si>
    <t>MgOH2</t>
  </si>
  <si>
    <t>magnesiumhydroxide</t>
  </si>
  <si>
    <t>215-170-3</t>
  </si>
  <si>
    <t>MgP</t>
  </si>
  <si>
    <t>magnesiumfosfide</t>
  </si>
  <si>
    <t>12057-74-8</t>
  </si>
  <si>
    <t>Mlnrn</t>
  </si>
  <si>
    <t>monolinuron</t>
  </si>
  <si>
    <t>1746-81-2</t>
  </si>
  <si>
    <t>Mn52</t>
  </si>
  <si>
    <t>mangaan 52</t>
  </si>
  <si>
    <t>14092-99-0</t>
  </si>
  <si>
    <t>Mn54</t>
  </si>
  <si>
    <t>mangaan 54</t>
  </si>
  <si>
    <t>13966-31-9</t>
  </si>
  <si>
    <t>Mo99</t>
  </si>
  <si>
    <t>molybdeen 99</t>
  </si>
  <si>
    <t>14119-15-4</t>
  </si>
  <si>
    <t>MoTO</t>
  </si>
  <si>
    <t>molybdeentrioxide</t>
  </si>
  <si>
    <t>1313-27-5</t>
  </si>
  <si>
    <t>N-MeFOSAA</t>
  </si>
  <si>
    <t>perfluoroctaansulfonylamide(N-methyl)acetaat</t>
  </si>
  <si>
    <t>2355-31-9</t>
  </si>
  <si>
    <t>N1C1yC3y2C4a</t>
  </si>
  <si>
    <t>N-(1-methylpropyl)-2-butaanamine</t>
  </si>
  <si>
    <t>626-23-3</t>
  </si>
  <si>
    <t>N2</t>
  </si>
  <si>
    <t>distikstof</t>
  </si>
  <si>
    <t>7727-37-9</t>
  </si>
  <si>
    <t>N2DC1yAn</t>
  </si>
  <si>
    <t>N,2-dimethylaniline</t>
  </si>
  <si>
    <t>611-21-2</t>
  </si>
  <si>
    <t>N2O</t>
  </si>
  <si>
    <t>distikstofoxide (lachgas)</t>
  </si>
  <si>
    <t>10024-97-2</t>
  </si>
  <si>
    <t>N3AoC3yN12yC</t>
  </si>
  <si>
    <t>N-(3-aminopropyl)-N-dodecylpropaan-1,3-diamine</t>
  </si>
  <si>
    <t>2372-82-9</t>
  </si>
  <si>
    <t>N3DC1yAn</t>
  </si>
  <si>
    <t>N,3-dimethylaniline</t>
  </si>
  <si>
    <t>696-44-6</t>
  </si>
  <si>
    <t>N4DC1yAn</t>
  </si>
  <si>
    <t>N,4-dimethylaniline</t>
  </si>
  <si>
    <t>623-08-5</t>
  </si>
  <si>
    <t>NC1yPFC4asfA</t>
  </si>
  <si>
    <t>N-methylperfluorbutaansulfonamide</t>
  </si>
  <si>
    <t>68298-12-4</t>
  </si>
  <si>
    <t>NC1yacAd</t>
  </si>
  <si>
    <t>N-methylaceetamide</t>
  </si>
  <si>
    <t>79-16-3</t>
  </si>
  <si>
    <t>NC2y4C1yBens</t>
  </si>
  <si>
    <t>N-ethyl-4-methylbenzeensulfonamide</t>
  </si>
  <si>
    <t>80-39-7</t>
  </si>
  <si>
    <t>NC3y1C4aAe</t>
  </si>
  <si>
    <t>N-propyl-1-butaanamine</t>
  </si>
  <si>
    <t>20193-21-9</t>
  </si>
  <si>
    <t>NDF</t>
  </si>
  <si>
    <t>Vezelfractie hemicellulose + cellulose + lignine (+ cutine)</t>
  </si>
  <si>
    <t>NEERSG</t>
  </si>
  <si>
    <t>Neerslag</t>
  </si>
  <si>
    <t>NEERSOVST</t>
  </si>
  <si>
    <t>Neerslagoverschot</t>
  </si>
  <si>
    <t>NEERSTKRT</t>
  </si>
  <si>
    <t>Neerslagtekort</t>
  </si>
  <si>
    <t>NEERSVM</t>
  </si>
  <si>
    <t>Neerslagvorm</t>
  </si>
  <si>
    <t>NETTNRSG</t>
  </si>
  <si>
    <t>Netto neerslag</t>
  </si>
  <si>
    <t>NFYfAd</t>
  </si>
  <si>
    <t>N-fenylformamide</t>
  </si>
  <si>
    <t>103-70-8</t>
  </si>
  <si>
    <t>NG</t>
  </si>
  <si>
    <t>Natgewicht</t>
  </si>
  <si>
    <t>NH3</t>
  </si>
  <si>
    <t>ammoniak</t>
  </si>
  <si>
    <t>7664-41-7</t>
  </si>
  <si>
    <t>NH4Cl</t>
  </si>
  <si>
    <t>ammoniumchloride</t>
  </si>
  <si>
    <t>12125-02-9</t>
  </si>
  <si>
    <t>NH4ClO4</t>
  </si>
  <si>
    <t>ammoniumperchloraat</t>
  </si>
  <si>
    <t>7790-98-9</t>
  </si>
  <si>
    <t>NH4OH</t>
  </si>
  <si>
    <t>ammoniumhydroxide</t>
  </si>
  <si>
    <t>1336-21-6</t>
  </si>
  <si>
    <t>NITFCTRMG</t>
  </si>
  <si>
    <t>Nitrificatieremming</t>
  </si>
  <si>
    <t>NITFCTSHD</t>
  </si>
  <si>
    <t>Nitrificatiesnelheid</t>
  </si>
  <si>
    <t>NKj/NH4</t>
  </si>
  <si>
    <t>Verhouding stikstof Kjeldahl/ammonium</t>
  </si>
  <si>
    <t>NMVOS</t>
  </si>
  <si>
    <t>niet methaan vluchtige organische stoffen</t>
  </si>
  <si>
    <t>NN2TC1yAn</t>
  </si>
  <si>
    <t>N,N,2-trimethylaniline</t>
  </si>
  <si>
    <t>609-72-3</t>
  </si>
  <si>
    <t>NN3TC1yAn</t>
  </si>
  <si>
    <t>N,N,3-trimethylaniline</t>
  </si>
  <si>
    <t>121-72-2</t>
  </si>
  <si>
    <t>NN4TC1yAn</t>
  </si>
  <si>
    <t>N,N,4-trimethylaniline</t>
  </si>
  <si>
    <t>99-97-8</t>
  </si>
  <si>
    <t>NNDC1y1C12aA</t>
  </si>
  <si>
    <t>N,N-dimethyl-1-dodecaanamine</t>
  </si>
  <si>
    <t>112-18-5</t>
  </si>
  <si>
    <t>NNDC1yAn</t>
  </si>
  <si>
    <t>N,N-dimethylaniline</t>
  </si>
  <si>
    <t>121-69-7</t>
  </si>
  <si>
    <t>NNDC2yAn</t>
  </si>
  <si>
    <t>N,N-diethylaniline</t>
  </si>
  <si>
    <t>91-66-7</t>
  </si>
  <si>
    <t>NNDC4yfAd</t>
  </si>
  <si>
    <t>N,N-dibutylformamide</t>
  </si>
  <si>
    <t>761-65-9</t>
  </si>
  <si>
    <t>NNDalDClacAd</t>
  </si>
  <si>
    <t>N,N-diallyldichlooracetamide</t>
  </si>
  <si>
    <t>37764-25-3</t>
  </si>
  <si>
    <t>NNO2smflne</t>
  </si>
  <si>
    <t>N-nitrosomorfoline</t>
  </si>
  <si>
    <t>59-89-2</t>
  </si>
  <si>
    <t>NNb2C1yC3yAe</t>
  </si>
  <si>
    <t>N,N-bis(2-methylpropyl)amine</t>
  </si>
  <si>
    <t>110-96-3</t>
  </si>
  <si>
    <t>NNb5iCN133TC</t>
  </si>
  <si>
    <t>N,N'-bis((5isocyanaat-1,3,3-trimethylcyclohexyl)methyl)ureum</t>
  </si>
  <si>
    <t>55525-54-7</t>
  </si>
  <si>
    <t>NO2Ben</t>
  </si>
  <si>
    <t>nitrobenzeen</t>
  </si>
  <si>
    <t>98-95-3</t>
  </si>
  <si>
    <t>NO2cllse</t>
  </si>
  <si>
    <t>nitrocellulose</t>
  </si>
  <si>
    <t>9004-70-0</t>
  </si>
  <si>
    <t>NO2fn</t>
  </si>
  <si>
    <t>nitrofen</t>
  </si>
  <si>
    <t>1836-75-5</t>
  </si>
  <si>
    <t>NO2gcrne</t>
  </si>
  <si>
    <t>nitroglycerine</t>
  </si>
  <si>
    <t>55-63-0</t>
  </si>
  <si>
    <t>NO3/NO2</t>
  </si>
  <si>
    <t>Verhouding nitraat/nitriet</t>
  </si>
  <si>
    <t>NORMFTE</t>
  </si>
  <si>
    <t>Normfractie</t>
  </si>
  <si>
    <t>NOnnctne</t>
  </si>
  <si>
    <t>nitrosonornicotine</t>
  </si>
  <si>
    <t>16543-55-8</t>
  </si>
  <si>
    <t>NOpprdne</t>
  </si>
  <si>
    <t>nitrosopiperidine</t>
  </si>
  <si>
    <t>100-75-4</t>
  </si>
  <si>
    <t>NOprldne</t>
  </si>
  <si>
    <t>nitropyrrolidine</t>
  </si>
  <si>
    <t>930-55-2</t>
  </si>
  <si>
    <t>NOx</t>
  </si>
  <si>
    <t>stikstofoxiden</t>
  </si>
  <si>
    <t>NOx/NO2</t>
  </si>
  <si>
    <t>Verhouding stikstofoxiden/nitriet</t>
  </si>
  <si>
    <t>NPEO1</t>
  </si>
  <si>
    <t>nonylfenolmonoethoxylaat</t>
  </si>
  <si>
    <t>9016-45-9</t>
  </si>
  <si>
    <t>NPEO2</t>
  </si>
  <si>
    <t>nonylfenoldiethoxylaat</t>
  </si>
  <si>
    <t>27176-93-8</t>
  </si>
  <si>
    <t>NPEO3</t>
  </si>
  <si>
    <t>nonylfenoltriethoxylaat</t>
  </si>
  <si>
    <t>27176-95-0</t>
  </si>
  <si>
    <t>NPEO4</t>
  </si>
  <si>
    <t>nonylfenoltetraethoxylaat</t>
  </si>
  <si>
    <t>27176-97-2</t>
  </si>
  <si>
    <t>NPEO5</t>
  </si>
  <si>
    <t>nonylfenolpentaethoxylaat</t>
  </si>
  <si>
    <t>26264-02-8</t>
  </si>
  <si>
    <t>NPEO6</t>
  </si>
  <si>
    <t>nonylfenolhexaethoxylaat</t>
  </si>
  <si>
    <t>27177-01-1</t>
  </si>
  <si>
    <t>NPEO8</t>
  </si>
  <si>
    <t>nonylfenoloctaethoxylaat</t>
  </si>
  <si>
    <t>27177-05-5</t>
  </si>
  <si>
    <t>NTA</t>
  </si>
  <si>
    <t>nitrilotriazijnzuur (NTA)</t>
  </si>
  <si>
    <t>139-13-9</t>
  </si>
  <si>
    <t>NTCl</t>
  </si>
  <si>
    <t>stikstoftrichloride</t>
  </si>
  <si>
    <t>10025-85-1</t>
  </si>
  <si>
    <t>NTOXSBVMGBAG</t>
  </si>
  <si>
    <t>Niet-toxische bolvormige blauwalgen (chroococcales)</t>
  </si>
  <si>
    <t>NTOXSDVMGBAG</t>
  </si>
  <si>
    <t>Niet-toxische draadvormige blauwalgen</t>
  </si>
  <si>
    <t>NUTRIENT</t>
  </si>
  <si>
    <t>Nutriënten</t>
  </si>
  <si>
    <t>Na22</t>
  </si>
  <si>
    <t>natrium 22</t>
  </si>
  <si>
    <t>13966-32-0</t>
  </si>
  <si>
    <t>Na2B4O7</t>
  </si>
  <si>
    <t>dinatriumtetraboraat</t>
  </si>
  <si>
    <t>1330-43-4</t>
  </si>
  <si>
    <t>Na2B8O13</t>
  </si>
  <si>
    <t>dinatriumoctaboraat</t>
  </si>
  <si>
    <t>12008-41-2</t>
  </si>
  <si>
    <t>Na2CO3</t>
  </si>
  <si>
    <t>natriumcarbonaat</t>
  </si>
  <si>
    <t>497-19-8</t>
  </si>
  <si>
    <t>NaBrO3</t>
  </si>
  <si>
    <t>natriumbromaat</t>
  </si>
  <si>
    <t>7789-38-0</t>
  </si>
  <si>
    <t>NaC12yBensfn</t>
  </si>
  <si>
    <t>natriumdodecylbenzeensulfonaat</t>
  </si>
  <si>
    <t>25155-30-0</t>
  </si>
  <si>
    <t>NaC12yErSO4</t>
  </si>
  <si>
    <t>natriumlaurylethersulfaat</t>
  </si>
  <si>
    <t>68585-34-2</t>
  </si>
  <si>
    <t>NaCN</t>
  </si>
  <si>
    <t>natriumcyanide</t>
  </si>
  <si>
    <t>143-33-9</t>
  </si>
  <si>
    <t>NaCl</t>
  </si>
  <si>
    <t>natriumchloride</t>
  </si>
  <si>
    <t>7647-14-5</t>
  </si>
  <si>
    <t>NaClO3</t>
  </si>
  <si>
    <t>natriumchloraat</t>
  </si>
  <si>
    <t>7775-09-9</t>
  </si>
  <si>
    <t>NaClO5H2O</t>
  </si>
  <si>
    <t>natriumhypochloriet pentahydraat</t>
  </si>
  <si>
    <t>10022-70-5</t>
  </si>
  <si>
    <t>NaDC1yDtocbm</t>
  </si>
  <si>
    <t>natriumdimethyldithiocarbamaat</t>
  </si>
  <si>
    <t>128-04-1</t>
  </si>
  <si>
    <t>NaDHPO4</t>
  </si>
  <si>
    <t>natriumdiwaterstoffosfaat</t>
  </si>
  <si>
    <t>7558-80-7</t>
  </si>
  <si>
    <t>NaFactt</t>
  </si>
  <si>
    <t>natriumfluoracetaat</t>
  </si>
  <si>
    <t>62-74-8</t>
  </si>
  <si>
    <t>NaHSO3</t>
  </si>
  <si>
    <t>natriumwaterstofsulfiet</t>
  </si>
  <si>
    <t>7631-90-5</t>
  </si>
  <si>
    <t>NaI</t>
  </si>
  <si>
    <t>natriumjodide</t>
  </si>
  <si>
    <t>7681-82-5</t>
  </si>
  <si>
    <t>NaLySO4</t>
  </si>
  <si>
    <t>natriumlaurylsulfaat</t>
  </si>
  <si>
    <t>151-21-3</t>
  </si>
  <si>
    <t>NaMnO4</t>
  </si>
  <si>
    <t>natriumpermanganaat</t>
  </si>
  <si>
    <t>10101-50-5</t>
  </si>
  <si>
    <t>NaNO2</t>
  </si>
  <si>
    <t>natriumnitriet</t>
  </si>
  <si>
    <t>7632-00-0</t>
  </si>
  <si>
    <t>NaOCl</t>
  </si>
  <si>
    <t>natriumhypochloriet</t>
  </si>
  <si>
    <t>7681-52-9</t>
  </si>
  <si>
    <t>NaOH</t>
  </si>
  <si>
    <t>natriumhydroxide</t>
  </si>
  <si>
    <t>1310-73-2</t>
  </si>
  <si>
    <t>NaPeClfnt</t>
  </si>
  <si>
    <t>natriumpentachloorfenaat</t>
  </si>
  <si>
    <t>131-52-2</t>
  </si>
  <si>
    <t>NaSO4</t>
  </si>
  <si>
    <t>natriumsulfaat</t>
  </si>
  <si>
    <t>7757-82-6</t>
  </si>
  <si>
    <t>NaSiO2</t>
  </si>
  <si>
    <t>natriumsilicaat</t>
  </si>
  <si>
    <t>1344-09-8</t>
  </si>
  <si>
    <t>NaTplPO4</t>
  </si>
  <si>
    <t>natriumtripolyfosfaat</t>
  </si>
  <si>
    <t>13573-18-7</t>
  </si>
  <si>
    <t>Naalmnt</t>
  </si>
  <si>
    <t>natriumaluminaat</t>
  </si>
  <si>
    <t>1302-42-7</t>
  </si>
  <si>
    <t>Naazde</t>
  </si>
  <si>
    <t>natriumazide</t>
  </si>
  <si>
    <t>26628-22-8</t>
  </si>
  <si>
    <t>Naccmt</t>
  </si>
  <si>
    <t>natriumcyclamaat</t>
  </si>
  <si>
    <t>139-05-9</t>
  </si>
  <si>
    <t>Nact4Aoatprn</t>
  </si>
  <si>
    <t>N-acetyl-4-aminoantipyrine</t>
  </si>
  <si>
    <t>83-15-8</t>
  </si>
  <si>
    <t>Naf</t>
  </si>
  <si>
    <t>naftaleen</t>
  </si>
  <si>
    <t>91-20-3</t>
  </si>
  <si>
    <t>Nalnsfnt</t>
  </si>
  <si>
    <t>natrium lignosulfonaat</t>
  </si>
  <si>
    <t>8061-51-6</t>
  </si>
  <si>
    <t>NamAe</t>
  </si>
  <si>
    <t>N-amylamine</t>
  </si>
  <si>
    <t>110-58-7</t>
  </si>
  <si>
    <t>Namtolt</t>
  </si>
  <si>
    <t>natriummerthiolaat</t>
  </si>
  <si>
    <t>54-64-8</t>
  </si>
  <si>
    <t>Nanorg</t>
  </si>
  <si>
    <t>stikstof anorganisch</t>
  </si>
  <si>
    <t>NaoFyfnt</t>
  </si>
  <si>
    <t>natrium-ortho-fenylfenaat</t>
  </si>
  <si>
    <t>132-27-4</t>
  </si>
  <si>
    <t>NatoCN</t>
  </si>
  <si>
    <t>natriumthiocyanaat</t>
  </si>
  <si>
    <t>540-72-7</t>
  </si>
  <si>
    <t>NatoSO4</t>
  </si>
  <si>
    <t>natriumthiosulfaat</t>
  </si>
  <si>
    <t>10102-17-7</t>
  </si>
  <si>
    <t>Nb93m</t>
  </si>
  <si>
    <t>niobium 93m (metastabiel)</t>
  </si>
  <si>
    <t>378782-82-2</t>
  </si>
  <si>
    <t>Nb94</t>
  </si>
  <si>
    <t>niobium 94</t>
  </si>
  <si>
    <t>14681-63-1</t>
  </si>
  <si>
    <t>NbzNC1y1FyC1</t>
  </si>
  <si>
    <t>N-benzyl-N-methyl-1-phenylmethanamine</t>
  </si>
  <si>
    <t>102-05-6</t>
  </si>
  <si>
    <t>NccC6y2bztzA</t>
  </si>
  <si>
    <t>N-cyclohexyl-2-benzothiazolamine</t>
  </si>
  <si>
    <t>28291-75-0</t>
  </si>
  <si>
    <t>NccC6yacAd</t>
  </si>
  <si>
    <t>N-cyclohexylacetamide</t>
  </si>
  <si>
    <t>1124-53-4</t>
  </si>
  <si>
    <t>Nd147</t>
  </si>
  <si>
    <t>neodymium 147</t>
  </si>
  <si>
    <t>14269-74-0</t>
  </si>
  <si>
    <t>NiCl</t>
  </si>
  <si>
    <t>nikkelchloride</t>
  </si>
  <si>
    <t>13931-83-4</t>
  </si>
  <si>
    <t>NiSO4</t>
  </si>
  <si>
    <t>nikkelsulfaat</t>
  </si>
  <si>
    <t>7786-81-4</t>
  </si>
  <si>
    <t>Norg</t>
  </si>
  <si>
    <t>stikstof organisch</t>
  </si>
  <si>
    <t>Np237</t>
  </si>
  <si>
    <t>neptunium 237</t>
  </si>
  <si>
    <t>13994-20-2</t>
  </si>
  <si>
    <t>Np238</t>
  </si>
  <si>
    <t>neptunium 238</t>
  </si>
  <si>
    <t>15766-25-3</t>
  </si>
  <si>
    <t>Np239</t>
  </si>
  <si>
    <t>neptunium 239</t>
  </si>
  <si>
    <t>13968-59-7</t>
  </si>
  <si>
    <t>Ntot</t>
  </si>
  <si>
    <t>stikstof totaal</t>
  </si>
  <si>
    <t>O18-H2O</t>
  </si>
  <si>
    <t>zuurstof18 water</t>
  </si>
  <si>
    <t>14314-42-2</t>
  </si>
  <si>
    <t>OEVBGIG</t>
  </si>
  <si>
    <t>Oeverbegroeiing</t>
  </si>
  <si>
    <t>OEVBSIG</t>
  </si>
  <si>
    <t>Oeverbeschoeiing</t>
  </si>
  <si>
    <t>OEVPTN</t>
  </si>
  <si>
    <t>Oeverplanten</t>
  </si>
  <si>
    <t>OEVST</t>
  </si>
  <si>
    <t>Oeversoort</t>
  </si>
  <si>
    <t>OEVVTPG</t>
  </si>
  <si>
    <t>Oeververtrapping</t>
  </si>
  <si>
    <t>OLE</t>
  </si>
  <si>
    <t>Olie</t>
  </si>
  <si>
    <t>ONDHD</t>
  </si>
  <si>
    <t>Onderhoud</t>
  </si>
  <si>
    <t>OPNDR</t>
  </si>
  <si>
    <t>Openingsduur</t>
  </si>
  <si>
    <t>OPNMSHAOPO4</t>
  </si>
  <si>
    <t>Opnamesnelheid anoxisch fosfaat</t>
  </si>
  <si>
    <t>OPNMSHARPO4</t>
  </si>
  <si>
    <t>Opnamesnelheid aeroob fosfaat</t>
  </si>
  <si>
    <t>OPNPCTGE</t>
  </si>
  <si>
    <t>Openingspercentage</t>
  </si>
  <si>
    <t>OPPVPVK</t>
  </si>
  <si>
    <t>Oppervlak proefvlak</t>
  </si>
  <si>
    <t>OPPVTE</t>
  </si>
  <si>
    <t>Oppervlakte</t>
  </si>
  <si>
    <t>OPPVTFTE</t>
  </si>
  <si>
    <t>Oppervlaktefractie</t>
  </si>
  <si>
    <t>OS</t>
  </si>
  <si>
    <t>Onopgeloste stoffen</t>
  </si>
  <si>
    <t>OSCL</t>
  </si>
  <si>
    <t>Oscillatoria [1]</t>
  </si>
  <si>
    <t>OSPAR_PLAIND</t>
  </si>
  <si>
    <t>Plastic deeltjes, herkomst industrie (plastic granulaat)</t>
  </si>
  <si>
    <t>OSPAR_PLATOT</t>
  </si>
  <si>
    <t>Plastic deeltjes, herkomst industrie en consument</t>
  </si>
  <si>
    <t>OSPAR_PLAUSE</t>
  </si>
  <si>
    <t>Plastic deeltjes, herkomst consument</t>
  </si>
  <si>
    <t>OSPAR_SA001</t>
  </si>
  <si>
    <t>Plastic van 4-pack of 6-pack</t>
  </si>
  <si>
    <t>OSPAR_SA002</t>
  </si>
  <si>
    <t>Plastic (boodschappen)tas</t>
  </si>
  <si>
    <t>OSPAR_SA003</t>
  </si>
  <si>
    <t>Plastic zakje</t>
  </si>
  <si>
    <t>OSPAR_SA004</t>
  </si>
  <si>
    <t>Plastic drankfles</t>
  </si>
  <si>
    <t>OSPAR_SA005</t>
  </si>
  <si>
    <t>Plastic fles of verpakking voor schoonmaakmiddelen</t>
  </si>
  <si>
    <t>OSPAR_SA006</t>
  </si>
  <si>
    <t>Plastic fles of verpakking voor voedsel</t>
  </si>
  <si>
    <t>OSPAR_SA007</t>
  </si>
  <si>
    <t>Plastic fles of verpakking voor toiletartikelen</t>
  </si>
  <si>
    <t>OSPAR_SA008</t>
  </si>
  <si>
    <t>Plastic verpakking of olieton voor motorolie (&lt; 50 cm)</t>
  </si>
  <si>
    <t>OSPAR_SA009</t>
  </si>
  <si>
    <t>Plastic verpakking of olieton voor motorolie (&gt; 50 cm)</t>
  </si>
  <si>
    <t>OSPAR_SA010</t>
  </si>
  <si>
    <t>Plastic jerrycan</t>
  </si>
  <si>
    <t>OSPAR_SA011</t>
  </si>
  <si>
    <t>Plastic tube of patroon voor siliconenkit</t>
  </si>
  <si>
    <t>OSPAR_SA012</t>
  </si>
  <si>
    <t>Ander plastic fles, vat of verpakking</t>
  </si>
  <si>
    <t>OSPAR_SA013</t>
  </si>
  <si>
    <t>Kunststof krat</t>
  </si>
  <si>
    <t>OSPAR_SA014</t>
  </si>
  <si>
    <t>Kunststof auto onderdeel</t>
  </si>
  <si>
    <t>OSPAR_SA015</t>
  </si>
  <si>
    <t>Kunststof dop of deksel</t>
  </si>
  <si>
    <t>OSPAR_SA016</t>
  </si>
  <si>
    <t>Aansteker</t>
  </si>
  <si>
    <t>OSPAR_SA017</t>
  </si>
  <si>
    <t>Pen</t>
  </si>
  <si>
    <t>OSPAR_SA018</t>
  </si>
  <si>
    <t>Kam of haarborstel</t>
  </si>
  <si>
    <t>OSPAR_SA019</t>
  </si>
  <si>
    <t>Chips- of snoepzak of lollystokje</t>
  </si>
  <si>
    <t>OSPAR_SA020</t>
  </si>
  <si>
    <t>Kinderspeelgoed of party popper</t>
  </si>
  <si>
    <t>OSPAR_SA021</t>
  </si>
  <si>
    <t>Plastic beker</t>
  </si>
  <si>
    <t>OSPAR_SA022</t>
  </si>
  <si>
    <t>Plastic bestek of dienblad of rietje</t>
  </si>
  <si>
    <t>OSPAR_SA023</t>
  </si>
  <si>
    <t>Plastic zak voor kunstmest en dierenvoer</t>
  </si>
  <si>
    <t>OSPAR_SA024</t>
  </si>
  <si>
    <t>Kunststof net of netzak voor fruit, groenten of mosselen</t>
  </si>
  <si>
    <t>OSPAR_SA025</t>
  </si>
  <si>
    <t>Afwashandschoen</t>
  </si>
  <si>
    <t>OSPAR_SA026</t>
  </si>
  <si>
    <t>Kunststof krabbenfuik of kreeftenfuik</t>
  </si>
  <si>
    <t>OSPAR_SA027</t>
  </si>
  <si>
    <t>Kunststof inktvisfuik</t>
  </si>
  <si>
    <t>OSPAR_SA028</t>
  </si>
  <si>
    <t>Kunststof oesternet of mosselzak</t>
  </si>
  <si>
    <t>OSPAR_SA029</t>
  </si>
  <si>
    <t>Kunststof oesterkrat</t>
  </si>
  <si>
    <t>OSPAR_SA030</t>
  </si>
  <si>
    <t>Kunststof Tahitian (gebruikt in mosselkwekerijen)</t>
  </si>
  <si>
    <t>OSPAR_SA031</t>
  </si>
  <si>
    <t>Kunststof touw (diameter &gt; 1 cm)</t>
  </si>
  <si>
    <t>OSPAR_SA032</t>
  </si>
  <si>
    <t>Kunststof touwtjes en koord (diameter &lt; 1 cm)</t>
  </si>
  <si>
    <t>OSPAR_SA033</t>
  </si>
  <si>
    <t>Kunststof verstrengelde netten, touw of koord</t>
  </si>
  <si>
    <t>OSPAR_SA034</t>
  </si>
  <si>
    <t>Kunststof viskist</t>
  </si>
  <si>
    <t>OSPAR_SA035</t>
  </si>
  <si>
    <t>Vislijn</t>
  </si>
  <si>
    <t>OSPAR_SA036</t>
  </si>
  <si>
    <t>Lichtgevend staafje (light stick)</t>
  </si>
  <si>
    <t>OSPAR_SA037</t>
  </si>
  <si>
    <t>Kunststof drijver of boei</t>
  </si>
  <si>
    <t>OSPAR_SA038</t>
  </si>
  <si>
    <t>Plastic emmer</t>
  </si>
  <si>
    <t>OSPAR_SA039</t>
  </si>
  <si>
    <t>Straps (spanbanden voor industriële verpakking)</t>
  </si>
  <si>
    <t>OSPAR_SA040</t>
  </si>
  <si>
    <t>Industriële kunststof verpakkingsmateriaal</t>
  </si>
  <si>
    <t>OSPAR_SA041</t>
  </si>
  <si>
    <t>Glasvezel of polyester voorwerp</t>
  </si>
  <si>
    <t>OSPAR_SA042</t>
  </si>
  <si>
    <t>Veiligheidshelm</t>
  </si>
  <si>
    <t>OSPAR_SA043</t>
  </si>
  <si>
    <t>Patroon of munitiehuls</t>
  </si>
  <si>
    <t>OSPAR_SA044</t>
  </si>
  <si>
    <t>Plastic schoen of sandaal</t>
  </si>
  <si>
    <t>OSPAR_SA045</t>
  </si>
  <si>
    <t>Stuk kunststof spons</t>
  </si>
  <si>
    <t>OSPAR_SA046</t>
  </si>
  <si>
    <t>Stuk plastic of polystyreen 2,5 - 50 cm</t>
  </si>
  <si>
    <t>OSPAR_SA047</t>
  </si>
  <si>
    <t>Stuk plastic of polystyreen &gt; 50 cm</t>
  </si>
  <si>
    <t>OSPAR_SA048</t>
  </si>
  <si>
    <t>Ander plastic of polystyreen voorwerp</t>
  </si>
  <si>
    <t>OSPAR_SA049</t>
  </si>
  <si>
    <t>Ballon, inclusief ventiel, lint, touw etc.</t>
  </si>
  <si>
    <t>OSPAR_SA050</t>
  </si>
  <si>
    <t>Rubberlaars</t>
  </si>
  <si>
    <t>OSPAR_SA052</t>
  </si>
  <si>
    <t>Rubberband of rubberen riem</t>
  </si>
  <si>
    <t>OSPAR_SA053</t>
  </si>
  <si>
    <t>Ander rubberen voorwerp</t>
  </si>
  <si>
    <t>OSPAR_SA054</t>
  </si>
  <si>
    <t>Kleding</t>
  </si>
  <si>
    <t>OSPAR_SA055</t>
  </si>
  <si>
    <t>Meubelstof</t>
  </si>
  <si>
    <t>OSPAR_SA056</t>
  </si>
  <si>
    <t>Stoffen zak (bijv. jute)</t>
  </si>
  <si>
    <t>OSPAR_SA057</t>
  </si>
  <si>
    <t>Schoen, niet van plastic</t>
  </si>
  <si>
    <t>OSPAR_SA059</t>
  </si>
  <si>
    <t>Ander textiel voorwerp</t>
  </si>
  <si>
    <t>OSPAR_SA060</t>
  </si>
  <si>
    <t>Papieren zak</t>
  </si>
  <si>
    <t>OSPAR_SA061</t>
  </si>
  <si>
    <t>Karton</t>
  </si>
  <si>
    <t>OSPAR_SA062</t>
  </si>
  <si>
    <t>Overige kartonnen drankverpakking vb Tetra verpakking</t>
  </si>
  <si>
    <t>OSPAR_SA063</t>
  </si>
  <si>
    <t>Sigarettenpakje</t>
  </si>
  <si>
    <t>OSPAR_SA064</t>
  </si>
  <si>
    <t>Sigarettenpeuk</t>
  </si>
  <si>
    <t>OSPAR_SA065</t>
  </si>
  <si>
    <t>Papieren beker</t>
  </si>
  <si>
    <t>OSPAR_SA066</t>
  </si>
  <si>
    <t>Krant of tijdschrift</t>
  </si>
  <si>
    <t>OSPAR_SA067</t>
  </si>
  <si>
    <t>Ander papieren voorwerp</t>
  </si>
  <si>
    <t>OSPAR_SA068</t>
  </si>
  <si>
    <t>Kurk</t>
  </si>
  <si>
    <t>OSPAR_SA069</t>
  </si>
  <si>
    <t>Houten palet</t>
  </si>
  <si>
    <t>OSPAR_SA070</t>
  </si>
  <si>
    <t>Houten krat</t>
  </si>
  <si>
    <t>OSPAR_SA071</t>
  </si>
  <si>
    <t>Houten krabbenfuik of kreeftenfuik</t>
  </si>
  <si>
    <t>OSPAR_SA072</t>
  </si>
  <si>
    <t>Houten ijslollystokje of vorkje</t>
  </si>
  <si>
    <t>OSPAR_SA073</t>
  </si>
  <si>
    <t>Houten verfborstel</t>
  </si>
  <si>
    <t>OSPAR_SA074</t>
  </si>
  <si>
    <t>Ander hout &lt; 50 cm</t>
  </si>
  <si>
    <t>OSPAR_SA075</t>
  </si>
  <si>
    <t>Ander hout &gt; 50 cm</t>
  </si>
  <si>
    <t>OSPAR_SA076</t>
  </si>
  <si>
    <t>Metalen spuitbus</t>
  </si>
  <si>
    <t>OSPAR_SA077</t>
  </si>
  <si>
    <t>Metalen flessendop</t>
  </si>
  <si>
    <t>OSPAR_SA078</t>
  </si>
  <si>
    <t>Metalen drankbus of (drink)blikje</t>
  </si>
  <si>
    <t>OSPAR_SA079</t>
  </si>
  <si>
    <t>Elektrisch toestel</t>
  </si>
  <si>
    <t>OSPAR_SA080</t>
  </si>
  <si>
    <t>Vis gewicht</t>
  </si>
  <si>
    <t>OSPAR_SA081</t>
  </si>
  <si>
    <t>Inpakfolie</t>
  </si>
  <si>
    <t>OSPAR_SA082</t>
  </si>
  <si>
    <t>Conservenblik of blik voor voeding</t>
  </si>
  <si>
    <t>OSPAR_SA083</t>
  </si>
  <si>
    <t>Industrieel afval</t>
  </si>
  <si>
    <t>OSPAR_SA084</t>
  </si>
  <si>
    <t>Metalen olievat</t>
  </si>
  <si>
    <t>OSPAR_SA086</t>
  </si>
  <si>
    <t>Verfblik</t>
  </si>
  <si>
    <t>OSPAR_SA087</t>
  </si>
  <si>
    <t>Metalen krabbenfuik of kreeftenfuik</t>
  </si>
  <si>
    <t>OSPAR_SA088</t>
  </si>
  <si>
    <t>Metalen draden, netten, gaas of prikkeldraad</t>
  </si>
  <si>
    <t>OSPAR_SA089</t>
  </si>
  <si>
    <t>Andere metalen voorwerp &lt; 50 cm</t>
  </si>
  <si>
    <t>OSPAR_SA090</t>
  </si>
  <si>
    <t>Andere metalen voorwerp &gt; 50 cm</t>
  </si>
  <si>
    <t>OSPAR_SA091</t>
  </si>
  <si>
    <t>Glazen fles</t>
  </si>
  <si>
    <t>OSPAR_SA092</t>
  </si>
  <si>
    <t>Lamp of TL-lamp</t>
  </si>
  <si>
    <t>OSPAR_SA093</t>
  </si>
  <si>
    <t>Ander glazen voorwerp</t>
  </si>
  <si>
    <t>OSPAR_SA094</t>
  </si>
  <si>
    <t>Bouwmateriaal (bijv. tegel)</t>
  </si>
  <si>
    <t>OSPAR_SA095</t>
  </si>
  <si>
    <t>Inktvisfuik</t>
  </si>
  <si>
    <t>OSPAR_SA096</t>
  </si>
  <si>
    <t>Ander aardewerken of keramisch voorwerp</t>
  </si>
  <si>
    <t>OSPAR_SA097</t>
  </si>
  <si>
    <t>Condoom</t>
  </si>
  <si>
    <t>OSPAR_SA098</t>
  </si>
  <si>
    <t>Wattenstaafje</t>
  </si>
  <si>
    <t>OSPAR_SA099</t>
  </si>
  <si>
    <t>Maandverband of inlegkruisje</t>
  </si>
  <si>
    <t>OSPAR_SA100</t>
  </si>
  <si>
    <t>Tampon of inbrenghuls</t>
  </si>
  <si>
    <t>OSPAR_SA101</t>
  </si>
  <si>
    <t>Toiletverfrisser</t>
  </si>
  <si>
    <t>OSPAR_SA102</t>
  </si>
  <si>
    <t>Ander sanitair voorwerp</t>
  </si>
  <si>
    <t>OSPAR_SA103</t>
  </si>
  <si>
    <t>Medische koker of buisje</t>
  </si>
  <si>
    <t>OSPAR_SA104</t>
  </si>
  <si>
    <t>Injectiespuit</t>
  </si>
  <si>
    <t>OSPAR_SA105</t>
  </si>
  <si>
    <t>Ander medisch voorwerp</t>
  </si>
  <si>
    <t>OSPAR_SA108</t>
  </si>
  <si>
    <t>Stukje paraffine of wax 0 - 1 cm</t>
  </si>
  <si>
    <t>OSPAR_SA109</t>
  </si>
  <si>
    <t>Stukje paraffine of wax 1 - 10 cm</t>
  </si>
  <si>
    <t>OSPAR_SA110</t>
  </si>
  <si>
    <t>Stukje paraffine of wax &gt; 10 cm</t>
  </si>
  <si>
    <t>OSPAR_SA111</t>
  </si>
  <si>
    <t>Ander vervuilend voorwerp</t>
  </si>
  <si>
    <t>OSPAR_SA112</t>
  </si>
  <si>
    <t>Verzamelrol afgescheurde plastic zakken</t>
  </si>
  <si>
    <t>OSPAR_SA113</t>
  </si>
  <si>
    <t>Werkhandschoen (industrieel/professioneel)</t>
  </si>
  <si>
    <t>OSPAR_SA114</t>
  </si>
  <si>
    <t>Kreeft of vis label</t>
  </si>
  <si>
    <t>OSPAR_SA115</t>
  </si>
  <si>
    <t>Net of stukken net &lt; 50 cm</t>
  </si>
  <si>
    <t>OSPAR_SA116</t>
  </si>
  <si>
    <t>Net of stukken net &gt; 50 cm</t>
  </si>
  <si>
    <t>OSPAR_SA117</t>
  </si>
  <si>
    <t>Stukjes plastic of polystyreen 0-2,5 cm</t>
  </si>
  <si>
    <t>OSPAR_SA118</t>
  </si>
  <si>
    <t>Kartonnen drankverpakking voor melk, vb tetrapak</t>
  </si>
  <si>
    <t>OSPAR_SA119</t>
  </si>
  <si>
    <t>Houten viskrat</t>
  </si>
  <si>
    <t>OSPAR_SA120</t>
  </si>
  <si>
    <t>Wegwerp BBQ</t>
  </si>
  <si>
    <t>OSPAR_SA121</t>
  </si>
  <si>
    <t>Hondenpoepzakje</t>
  </si>
  <si>
    <t>OSPAR_SA200</t>
  </si>
  <si>
    <t>Touw klein</t>
  </si>
  <si>
    <t>OSPAR_SA201</t>
  </si>
  <si>
    <t>Touw groot</t>
  </si>
  <si>
    <t>OSPAR_SA202</t>
  </si>
  <si>
    <t>Plastic stukje</t>
  </si>
  <si>
    <t>OSPAR_SA203</t>
  </si>
  <si>
    <t>Handschoen</t>
  </si>
  <si>
    <t>OSPAR_SA204</t>
  </si>
  <si>
    <t>Drinkverpakking</t>
  </si>
  <si>
    <t>OSPAR_SA205</t>
  </si>
  <si>
    <t>Olievat - nieuw</t>
  </si>
  <si>
    <t>OSPAR_SA206</t>
  </si>
  <si>
    <t>Olievat - oud</t>
  </si>
  <si>
    <t>OSPAR_SA207</t>
  </si>
  <si>
    <t>Menselijke faecaliën</t>
  </si>
  <si>
    <t>OSPAR_SA208</t>
  </si>
  <si>
    <t>Dierlijke faecaliën</t>
  </si>
  <si>
    <t>OSPAR_SA210</t>
  </si>
  <si>
    <t>Kleding-koord</t>
  </si>
  <si>
    <t>Organic Matter</t>
  </si>
  <si>
    <t>OSTOF</t>
  </si>
  <si>
    <t>Organisch stof</t>
  </si>
  <si>
    <t>OTNE</t>
  </si>
  <si>
    <t>amberonne</t>
  </si>
  <si>
    <t>54464-57-2</t>
  </si>
  <si>
    <t>OVERSDR</t>
  </si>
  <si>
    <t>Overstortduur</t>
  </si>
  <si>
    <t>OVERSFQTE</t>
  </si>
  <si>
    <t>Overstortfrequentie</t>
  </si>
  <si>
    <t>OVSHTE</t>
  </si>
  <si>
    <t>Overstorthoogte</t>
  </si>
  <si>
    <t>OVSVLME</t>
  </si>
  <si>
    <t>Overstortvolume</t>
  </si>
  <si>
    <t>OVWFLORA</t>
  </si>
  <si>
    <t>Overige waterflora-kwaliteit</t>
  </si>
  <si>
    <t>OWEINDOD</t>
  </si>
  <si>
    <t>Eindoordeel oppervlaktewater</t>
  </si>
  <si>
    <t>OWSTADMR</t>
  </si>
  <si>
    <t>Stadium maatregelen oppervlaktewater</t>
  </si>
  <si>
    <t>OaAd</t>
  </si>
  <si>
    <t>oxamide</t>
  </si>
  <si>
    <t>471-46-5</t>
  </si>
  <si>
    <t>OaDazn</t>
  </si>
  <si>
    <t>oxadiazon</t>
  </si>
  <si>
    <t>19666-30-9</t>
  </si>
  <si>
    <t>OaDxl</t>
  </si>
  <si>
    <t>oxadixyl</t>
  </si>
  <si>
    <t>77732-09-3</t>
  </si>
  <si>
    <t>Oaclne</t>
  </si>
  <si>
    <t>oxacilline</t>
  </si>
  <si>
    <t>66-79-5</t>
  </si>
  <si>
    <t>OamOxme</t>
  </si>
  <si>
    <t>oxamyl-oxime</t>
  </si>
  <si>
    <t>30558-43-1</t>
  </si>
  <si>
    <t>Oaml</t>
  </si>
  <si>
    <t>oxamyl</t>
  </si>
  <si>
    <t>23135-22-0</t>
  </si>
  <si>
    <t>Oasfrn</t>
  </si>
  <si>
    <t>oxasulfuron</t>
  </si>
  <si>
    <t>144651-06-9</t>
  </si>
  <si>
    <t>Oatapplne</t>
  </si>
  <si>
    <t>oxathiapiproline</t>
  </si>
  <si>
    <t>1003318-67-9</t>
  </si>
  <si>
    <t>OcC1yT4slxn</t>
  </si>
  <si>
    <t>octamethyltetrasiloxaan</t>
  </si>
  <si>
    <t>1000-05-1</t>
  </si>
  <si>
    <t>OcC1yccT4slx</t>
  </si>
  <si>
    <t>octamethylcyclotetrasiloxaan</t>
  </si>
  <si>
    <t>556-67-2</t>
  </si>
  <si>
    <t>OcClNaf</t>
  </si>
  <si>
    <t>octachloornaftaleen</t>
  </si>
  <si>
    <t>2234-13-1</t>
  </si>
  <si>
    <t>OcClsrn</t>
  </si>
  <si>
    <t>octachloorstyreen</t>
  </si>
  <si>
    <t>29082-74-4</t>
  </si>
  <si>
    <t>Oolnzr</t>
  </si>
  <si>
    <t>oxolinezuur</t>
  </si>
  <si>
    <t>14698-29-4</t>
  </si>
  <si>
    <t>Os185</t>
  </si>
  <si>
    <t>osmium 185</t>
  </si>
  <si>
    <t>15766-50-4</t>
  </si>
  <si>
    <t>OsT4O</t>
  </si>
  <si>
    <t>osmium tetraoxide</t>
  </si>
  <si>
    <t>20816-12-0</t>
  </si>
  <si>
    <t>OxCldn</t>
  </si>
  <si>
    <t>oxychloordaan</t>
  </si>
  <si>
    <t>27304-13-8</t>
  </si>
  <si>
    <t>OxFfn</t>
  </si>
  <si>
    <t>oxyfluorfen</t>
  </si>
  <si>
    <t>42874-03-3</t>
  </si>
  <si>
    <t>OxT4ccnHCl</t>
  </si>
  <si>
    <t>oxytetracycline hydrochloride</t>
  </si>
  <si>
    <t>2058-46-0</t>
  </si>
  <si>
    <t>OxT4ccne</t>
  </si>
  <si>
    <t>oxytetracycline</t>
  </si>
  <si>
    <t>6153-64-6</t>
  </si>
  <si>
    <t>OxcbOxn</t>
  </si>
  <si>
    <t>oxycarboxin</t>
  </si>
  <si>
    <t>5259-88-1</t>
  </si>
  <si>
    <t>Oxcznde</t>
  </si>
  <si>
    <t>oxyclozanide</t>
  </si>
  <si>
    <t>2277-92-1</t>
  </si>
  <si>
    <t>Oxmtzlne</t>
  </si>
  <si>
    <t>oxymetazoline</t>
  </si>
  <si>
    <t>1491-59-4</t>
  </si>
  <si>
    <t>Oxprnl</t>
  </si>
  <si>
    <t>oxypurinol</t>
  </si>
  <si>
    <t>2465-59-0</t>
  </si>
  <si>
    <t>P4</t>
  </si>
  <si>
    <t>tetrafosfor</t>
  </si>
  <si>
    <t>12185-10-3</t>
  </si>
  <si>
    <t>PBB101</t>
  </si>
  <si>
    <t>2,2',4,5,5'-pentabroombifenyl</t>
  </si>
  <si>
    <t>67888-96-4</t>
  </si>
  <si>
    <t>PBB15</t>
  </si>
  <si>
    <t>4,4'-dibroombifenyl</t>
  </si>
  <si>
    <t>92-86-4</t>
  </si>
  <si>
    <t>PBB169</t>
  </si>
  <si>
    <t>3,3',4,4',5,5'-hexabroombifenyl</t>
  </si>
  <si>
    <t>60044-26-0</t>
  </si>
  <si>
    <t>PBB209</t>
  </si>
  <si>
    <t>2,2',3,3',4,4',5,5',6,6'-decabroombifenyl</t>
  </si>
  <si>
    <t>13654-09-6</t>
  </si>
  <si>
    <t>PBB49</t>
  </si>
  <si>
    <t>2,2',4,5'-tetrabroombifenyl</t>
  </si>
  <si>
    <t>60044-24-8</t>
  </si>
  <si>
    <t>PBB52</t>
  </si>
  <si>
    <t>2,2',4,4'-tetrabroombifenyl</t>
  </si>
  <si>
    <t>59080-37-4</t>
  </si>
  <si>
    <t>PBDE100</t>
  </si>
  <si>
    <t>2,2',4,4',6-pentabroomdifenylether</t>
  </si>
  <si>
    <t>189084-64-8</t>
  </si>
  <si>
    <t>PBDE119</t>
  </si>
  <si>
    <t>2,3',4,4',6-pentabroomdifenylether</t>
  </si>
  <si>
    <t>86029-64-3</t>
  </si>
  <si>
    <t>PBDE138</t>
  </si>
  <si>
    <t>2,2',3,4,4',5'-hexabroomdifenylether</t>
  </si>
  <si>
    <t>182677-30-1</t>
  </si>
  <si>
    <t>PBDE153</t>
  </si>
  <si>
    <t>2,2',4,4',5,5'-hexabroomdifenylether</t>
  </si>
  <si>
    <t>68631-49-2</t>
  </si>
  <si>
    <t>PBDE154</t>
  </si>
  <si>
    <t>2,2',4,4',5,6'-hexabroomdifenylether</t>
  </si>
  <si>
    <t>207122-15-4</t>
  </si>
  <si>
    <t>PBDE17</t>
  </si>
  <si>
    <t>2,2',4-tribroomdifenylether</t>
  </si>
  <si>
    <t>147217-75-2</t>
  </si>
  <si>
    <t>PBDE183</t>
  </si>
  <si>
    <t>2,2',3,4,4',5',6-heptabroomdifenylether</t>
  </si>
  <si>
    <t>207122-16-5</t>
  </si>
  <si>
    <t>PBDE190</t>
  </si>
  <si>
    <t>2,3,3',4,4',5,6-heptabroomdifenylether</t>
  </si>
  <si>
    <t>189084-68-2</t>
  </si>
  <si>
    <t>PBDE209</t>
  </si>
  <si>
    <t>2,2',3,3',4,4',5,5',6,6'-decabroomdiphenylether</t>
  </si>
  <si>
    <t>1163-19-5</t>
  </si>
  <si>
    <t>PBDE28</t>
  </si>
  <si>
    <t>2,4,4'-tribroomdifenylether</t>
  </si>
  <si>
    <t>41318-75-6</t>
  </si>
  <si>
    <t>PBDE47</t>
  </si>
  <si>
    <t>2,2',4,4'-tetrabroomdifenylether</t>
  </si>
  <si>
    <t>5436-43-1</t>
  </si>
  <si>
    <t>PBDE49</t>
  </si>
  <si>
    <t>2,2',4,5'-tetrabroomdifenylether</t>
  </si>
  <si>
    <t>243982-82-3</t>
  </si>
  <si>
    <t>PBDE51</t>
  </si>
  <si>
    <t>2,2',4,6'-tetrabroomdifenylether</t>
  </si>
  <si>
    <t>97038-95-4</t>
  </si>
  <si>
    <t>PBDE66</t>
  </si>
  <si>
    <t>2,3',4,4'-tetrabroomdifenylether</t>
  </si>
  <si>
    <t>189084-61-5</t>
  </si>
  <si>
    <t>PBDE71</t>
  </si>
  <si>
    <t>2,3',4',6-tetrabroomdifenylether</t>
  </si>
  <si>
    <t>189084-62-6</t>
  </si>
  <si>
    <t>PBDE75</t>
  </si>
  <si>
    <t>2,4,4',6-tetrabroomdifenylether</t>
  </si>
  <si>
    <t>189084-63-7</t>
  </si>
  <si>
    <t>PBDE77</t>
  </si>
  <si>
    <t>3,3',4,4'-tetrabroomdifenylether</t>
  </si>
  <si>
    <t>77102-82-0</t>
  </si>
  <si>
    <t>PBDE85</t>
  </si>
  <si>
    <t>2,2',3,4,4'-pentabroomdifenylether</t>
  </si>
  <si>
    <t>182346-21-0</t>
  </si>
  <si>
    <t>PBDE99</t>
  </si>
  <si>
    <t>2,2',4,4',5-pentabroomdifenylether</t>
  </si>
  <si>
    <t>60348-60-9</t>
  </si>
  <si>
    <t>PC2al</t>
  </si>
  <si>
    <t>polyethanal</t>
  </si>
  <si>
    <t>9002-91-9</t>
  </si>
  <si>
    <t>PCB1</t>
  </si>
  <si>
    <t>2-chloorbifenyl</t>
  </si>
  <si>
    <t>2051-60-7</t>
  </si>
  <si>
    <t>PCB10</t>
  </si>
  <si>
    <t>2,6-dichloorbifenyl</t>
  </si>
  <si>
    <t>33146-45-1</t>
  </si>
  <si>
    <t>PCB101</t>
  </si>
  <si>
    <t>2,2',4,5,5'-pentachloorbifenyl</t>
  </si>
  <si>
    <t>37680-73-2</t>
  </si>
  <si>
    <t>PCB104</t>
  </si>
  <si>
    <t>2,2',4,6,6'-pentachloorbifenyl</t>
  </si>
  <si>
    <t>56558-16-8</t>
  </si>
  <si>
    <t>PCB105</t>
  </si>
  <si>
    <t>2,3,3',4,4'-pentachloorbifenyl</t>
  </si>
  <si>
    <t>32598-14-4</t>
  </si>
  <si>
    <t>PCB107</t>
  </si>
  <si>
    <t>2,3,3',4,5-pentachloorbifenyl</t>
  </si>
  <si>
    <t>70424-69-0</t>
  </si>
  <si>
    <t>PCB110</t>
  </si>
  <si>
    <t>2,3,3',4',6-pentachloorbifenyl</t>
  </si>
  <si>
    <t>38380-03-9</t>
  </si>
  <si>
    <t>PCB114</t>
  </si>
  <si>
    <t>2,3,4,4',5-pentachloorbifenyl</t>
  </si>
  <si>
    <t>74472-37-0</t>
  </si>
  <si>
    <t>PCB118</t>
  </si>
  <si>
    <t>2,3',4,4',5-pentachloorbifenyl</t>
  </si>
  <si>
    <t>31508-00-6</t>
  </si>
  <si>
    <t>PCB123</t>
  </si>
  <si>
    <t>2,3',4,4',5'-pentachloorbifenyl</t>
  </si>
  <si>
    <t>65510-44-3</t>
  </si>
  <si>
    <t>PCB126</t>
  </si>
  <si>
    <t>3,3',4,4',5-pentachloorbifenyl</t>
  </si>
  <si>
    <t>57465-28-8</t>
  </si>
  <si>
    <t>PCB128</t>
  </si>
  <si>
    <t>2,2',3,3',4,4'-hexachloorbifenyl</t>
  </si>
  <si>
    <t>38380-07-3</t>
  </si>
  <si>
    <t>PCB130</t>
  </si>
  <si>
    <t>2,2',3,3',4,5'-hexachloorbifenyl</t>
  </si>
  <si>
    <t>52663-66-8</t>
  </si>
  <si>
    <t>PCB132</t>
  </si>
  <si>
    <t>2,2',3,3',4,6'-hexachloorbifenyl</t>
  </si>
  <si>
    <t>38380-05-1</t>
  </si>
  <si>
    <t>PCB137</t>
  </si>
  <si>
    <t>2,2',3,4,4',5-hexachloorbifenyl</t>
  </si>
  <si>
    <t>35694-06-5</t>
  </si>
  <si>
    <t>PCB138</t>
  </si>
  <si>
    <t>2,2',3,4,4',5'-hexachloorbifenyl</t>
  </si>
  <si>
    <t>35065-28-2</t>
  </si>
  <si>
    <t>PCB14</t>
  </si>
  <si>
    <t>3,5-dichloorbifenyl</t>
  </si>
  <si>
    <t>34883-41-5</t>
  </si>
  <si>
    <t>PCB141</t>
  </si>
  <si>
    <t>2,2',3,4,5,5'-hexachloorbifenyl</t>
  </si>
  <si>
    <t>52712-04-6</t>
  </si>
  <si>
    <t>PCB145</t>
  </si>
  <si>
    <t>2,2',3,4,6,6'-hexachloorbifenyl</t>
  </si>
  <si>
    <t>74472-40-5</t>
  </si>
  <si>
    <t>PCB149</t>
  </si>
  <si>
    <t>2,2',3,4',5',6-hexachloorbifenyl</t>
  </si>
  <si>
    <t>38380-04-0</t>
  </si>
  <si>
    <t>PCB151</t>
  </si>
  <si>
    <t>2,2',3,5,5',6-hexachloorbifenyl</t>
  </si>
  <si>
    <t>52663-63-5</t>
  </si>
  <si>
    <t>PCB153</t>
  </si>
  <si>
    <t>2,2',4,4',5,5'-hexachloorbifenyl</t>
  </si>
  <si>
    <t>35065-27-1</t>
  </si>
  <si>
    <t>PCB155</t>
  </si>
  <si>
    <t>2,2',4,4',6,6'-hexachloorbifenyl</t>
  </si>
  <si>
    <t>33979-03-2</t>
  </si>
  <si>
    <t>PCB156</t>
  </si>
  <si>
    <t>2,3,3',4,4',5-hexachloorbifenyl</t>
  </si>
  <si>
    <t>38380-08-4</t>
  </si>
  <si>
    <t>PCB157</t>
  </si>
  <si>
    <t>2,3,3',4,4',5'-hexachloorbifenyl</t>
  </si>
  <si>
    <t>69782-90-7</t>
  </si>
  <si>
    <t>PCB158</t>
  </si>
  <si>
    <t>2,3,3',4,4',6-hexachloorbifenyl</t>
  </si>
  <si>
    <t>74472-42-7</t>
  </si>
  <si>
    <t>PCB160</t>
  </si>
  <si>
    <t>2,3,3',4,5,6-hexachloorbifenyl</t>
  </si>
  <si>
    <t>41411-62-5</t>
  </si>
  <si>
    <t>PCB166</t>
  </si>
  <si>
    <t>2,3,4,4',5,6-hexachloorbifenyl</t>
  </si>
  <si>
    <t>41411-63-6</t>
  </si>
  <si>
    <t>PCB167</t>
  </si>
  <si>
    <t>2,3',4,4',5,5'-hexachloorbifenyl</t>
  </si>
  <si>
    <t>52663-72-6</t>
  </si>
  <si>
    <t>PCB169</t>
  </si>
  <si>
    <t>3,3',4,4',5,5'-hexachloorbifenyl</t>
  </si>
  <si>
    <t>32774-16-6</t>
  </si>
  <si>
    <t>PCB17</t>
  </si>
  <si>
    <t>2,2',4-trichloorbifenyl</t>
  </si>
  <si>
    <t>37680-66-3</t>
  </si>
  <si>
    <t>PCB170</t>
  </si>
  <si>
    <t>2,2',3,3',4,4',5-heptachloorbifenyl</t>
  </si>
  <si>
    <t>35065-30-6</t>
  </si>
  <si>
    <t>PCB171</t>
  </si>
  <si>
    <t>2,2',3,3',4,4',6-heptachloorbifenyl</t>
  </si>
  <si>
    <t>52663-71-5</t>
  </si>
  <si>
    <t>PCB172</t>
  </si>
  <si>
    <t>2,2',3,3',4,5,5'-heptachloorbifenyl</t>
  </si>
  <si>
    <t>52663-74-8</t>
  </si>
  <si>
    <t>PCB174</t>
  </si>
  <si>
    <t>2,2',3,3',4,5,6'-heptachloorbifenyl</t>
  </si>
  <si>
    <t>38411-25-5</t>
  </si>
  <si>
    <t>PCB175</t>
  </si>
  <si>
    <t>2,2',3,3',4,5,6-heptachloorbifenyl</t>
  </si>
  <si>
    <t>40186-70-7</t>
  </si>
  <si>
    <t>PCB176</t>
  </si>
  <si>
    <t>2,2',3,3',4,6,6'-heptachloorbifenyl</t>
  </si>
  <si>
    <t>52663-65-7</t>
  </si>
  <si>
    <t>PCB177</t>
  </si>
  <si>
    <t>2,2',3,3',4,5',6-heptachloorbifenyl</t>
  </si>
  <si>
    <t>52663-70-4</t>
  </si>
  <si>
    <t>PCB178</t>
  </si>
  <si>
    <t>2,2',3,3',5,5',6-heptachloorbifenyl</t>
  </si>
  <si>
    <t>52663-67-9</t>
  </si>
  <si>
    <t>PCB18</t>
  </si>
  <si>
    <t>2,2',5-trichloorbifenyl</t>
  </si>
  <si>
    <t>37680-65-2</t>
  </si>
  <si>
    <t>PCB180</t>
  </si>
  <si>
    <t>2,2',3,4,4',5,5'-heptachloorbifenyl</t>
  </si>
  <si>
    <t>35065-29-3</t>
  </si>
  <si>
    <t>PCB183</t>
  </si>
  <si>
    <t>2,2',3,4,4',5',6-heptachloorbifenyl</t>
  </si>
  <si>
    <t>52663-69-1</t>
  </si>
  <si>
    <t>PCB185</t>
  </si>
  <si>
    <t>2,2',3,4,5,5',6-heptachloorbifenyl</t>
  </si>
  <si>
    <t>52712-05-7</t>
  </si>
  <si>
    <t>PCB187</t>
  </si>
  <si>
    <t>2,2',3,4',5,5',6-heptachloorbifenyl</t>
  </si>
  <si>
    <t>52663-68-0</t>
  </si>
  <si>
    <t>PCB189</t>
  </si>
  <si>
    <t>2,3,3',4,4',5,5 '-heptachlorobifenyl</t>
  </si>
  <si>
    <t>39635-31-9</t>
  </si>
  <si>
    <t>PCB190</t>
  </si>
  <si>
    <t>2,3,3',4,4',5,6-heptachloorbifenyl</t>
  </si>
  <si>
    <t>41411-64-7</t>
  </si>
  <si>
    <t>PCB194</t>
  </si>
  <si>
    <t>2,2',3,3',4,4',5,5'-octachloorbifenyl</t>
  </si>
  <si>
    <t>35694-08-7</t>
  </si>
  <si>
    <t>PCB195</t>
  </si>
  <si>
    <t>2,2',3,3',4,4',5,6-octachloorbifenyl</t>
  </si>
  <si>
    <t>52663-78-2</t>
  </si>
  <si>
    <t>PCB196</t>
  </si>
  <si>
    <t>2,2',3,3',4,4',5,6'-octachloorbifenyl</t>
  </si>
  <si>
    <t>42740-50-1</t>
  </si>
  <si>
    <t>PCB199</t>
  </si>
  <si>
    <t>2,2',3,3',4,5,6,6'-octachloorbifenyl</t>
  </si>
  <si>
    <t>52663-73-7</t>
  </si>
  <si>
    <t>PCB2</t>
  </si>
  <si>
    <t>3-chloorbifenyl</t>
  </si>
  <si>
    <t>2051-61-8</t>
  </si>
  <si>
    <t>PCB20</t>
  </si>
  <si>
    <t>2,3,3'-trichloorbifenyl</t>
  </si>
  <si>
    <t>38444-84-7</t>
  </si>
  <si>
    <t>PCB201</t>
  </si>
  <si>
    <t>2,2',3,3',4,5',6,6'-octachloorbifenyl</t>
  </si>
  <si>
    <t>40186-71-8</t>
  </si>
  <si>
    <t>PCB202</t>
  </si>
  <si>
    <t>2,2',3,3',5,5',6,6'-octachloorbifenyl</t>
  </si>
  <si>
    <t>2136-99-4</t>
  </si>
  <si>
    <t>PCB204</t>
  </si>
  <si>
    <t>2,2',3,4,4',5,6,6'-octachloorbifenyl</t>
  </si>
  <si>
    <t>74472-52-9</t>
  </si>
  <si>
    <t>PCB206</t>
  </si>
  <si>
    <t>2,2',3,3',4,4',5,5',6-nonachloorbifenyl</t>
  </si>
  <si>
    <t>40186-72-9</t>
  </si>
  <si>
    <t>PCB207</t>
  </si>
  <si>
    <t>2,2',3,3',4,4',5,6,6'-nonachloorbifenyl</t>
  </si>
  <si>
    <t>52663-79-3</t>
  </si>
  <si>
    <t>PCB209</t>
  </si>
  <si>
    <t>2,2',3,3',4,4',5,5',6,6'-decachloorbifenyl</t>
  </si>
  <si>
    <t>2051-24-3</t>
  </si>
  <si>
    <t>PCB21</t>
  </si>
  <si>
    <t>2,3,4-trichloorbifenyl</t>
  </si>
  <si>
    <t>55702-46-0</t>
  </si>
  <si>
    <t>PCB28</t>
  </si>
  <si>
    <t>2,4,4'-trichloorbifenyl</t>
  </si>
  <si>
    <t>7012-37-5</t>
  </si>
  <si>
    <t>PCB3</t>
  </si>
  <si>
    <t>4-chloorbifenyl</t>
  </si>
  <si>
    <t>2051-62-9</t>
  </si>
  <si>
    <t>PCB30</t>
  </si>
  <si>
    <t>2,4,6-trichloorbifenyl</t>
  </si>
  <si>
    <t>35693-92-6</t>
  </si>
  <si>
    <t>PCB31</t>
  </si>
  <si>
    <t>2,4',5-trichloorbifenyl</t>
  </si>
  <si>
    <t>16606-02-3</t>
  </si>
  <si>
    <t>PCB44</t>
  </si>
  <si>
    <t>2,2',3,5'-tetrachloorbifenyl</t>
  </si>
  <si>
    <t>41464-39-5</t>
  </si>
  <si>
    <t>PCB47</t>
  </si>
  <si>
    <t>2,2',4,4'-tetrachloorbifenyl</t>
  </si>
  <si>
    <t>2437-79-8</t>
  </si>
  <si>
    <t>PCB49</t>
  </si>
  <si>
    <t>2,2',4,5'-tetrachloorbifenyl</t>
  </si>
  <si>
    <t>41464-40-8</t>
  </si>
  <si>
    <t>PCB50</t>
  </si>
  <si>
    <t>2,2',4,6-tetrachloorbifenyl</t>
  </si>
  <si>
    <t>62796-65-0</t>
  </si>
  <si>
    <t>PCB52</t>
  </si>
  <si>
    <t>2,2',5,5'-tetrachloorbifenyl</t>
  </si>
  <si>
    <t>35693-99-3</t>
  </si>
  <si>
    <t>PCB55</t>
  </si>
  <si>
    <t>2,3,3',4-tetrachloorbifenyl</t>
  </si>
  <si>
    <t>74338-24-2</t>
  </si>
  <si>
    <t>PCB56</t>
  </si>
  <si>
    <t>2,3,3',4'-tetrachloorbifenyl</t>
  </si>
  <si>
    <t>41464-43-1</t>
  </si>
  <si>
    <t>PCB64</t>
  </si>
  <si>
    <t>2,3,4',6-tetrachloorbifenyl</t>
  </si>
  <si>
    <t>52663-58-8</t>
  </si>
  <si>
    <t>PCB66</t>
  </si>
  <si>
    <t>2,3,4,4-tetrachloorbifenyl</t>
  </si>
  <si>
    <t>32598-10-0</t>
  </si>
  <si>
    <t>PCB70</t>
  </si>
  <si>
    <t>2,3',4',5-tetrachloorbifenyl</t>
  </si>
  <si>
    <t>32598-11-1</t>
  </si>
  <si>
    <t>PCB72</t>
  </si>
  <si>
    <t>2,3',5,5'-tetrachloorbifenyl</t>
  </si>
  <si>
    <t>41464-42-0</t>
  </si>
  <si>
    <t>PCB74</t>
  </si>
  <si>
    <t>2,4,4',5-tetrachloorbifenyl</t>
  </si>
  <si>
    <t>32690-93-0</t>
  </si>
  <si>
    <t>PCB77</t>
  </si>
  <si>
    <t>3,3',4,4'-tetrachloorbifenyl</t>
  </si>
  <si>
    <t>32598-13-3</t>
  </si>
  <si>
    <t>PCB78</t>
  </si>
  <si>
    <t>3,3',4,5-tetrachloorbifenyl</t>
  </si>
  <si>
    <t>70362-49-1</t>
  </si>
  <si>
    <t>PCB81</t>
  </si>
  <si>
    <t>3,4,4',5-tetrachlorobifenyl</t>
  </si>
  <si>
    <t>70362-50-4</t>
  </si>
  <si>
    <t>PCB85</t>
  </si>
  <si>
    <t>2,2',3,4,4'-pentachloorbifenyl</t>
  </si>
  <si>
    <t>65510-45-4</t>
  </si>
  <si>
    <t>PCB87</t>
  </si>
  <si>
    <t>2,2',3,4,5'-pentachloorbifenyl</t>
  </si>
  <si>
    <t>38380-02-8</t>
  </si>
  <si>
    <t>PCB92</t>
  </si>
  <si>
    <t>2,2',3,5,5'-pentachloorbifenyl</t>
  </si>
  <si>
    <t>52663-61-3</t>
  </si>
  <si>
    <t>PCB95</t>
  </si>
  <si>
    <t>2,2',3,5',6-pentachloorbifenyl</t>
  </si>
  <si>
    <t>38379-99-6</t>
  </si>
  <si>
    <t>PCB97</t>
  </si>
  <si>
    <t>2,2',3,4',5'-pentachloorbifenyl</t>
  </si>
  <si>
    <t>41464-51-1</t>
  </si>
  <si>
    <t>PCB99</t>
  </si>
  <si>
    <t>2,2',4,4',5-pentachloorbifenyl</t>
  </si>
  <si>
    <t>38380-01-7</t>
  </si>
  <si>
    <t>PCDD48</t>
  </si>
  <si>
    <t>2,3,7,8-tetrachloordibenzo-p-dioxine</t>
  </si>
  <si>
    <t>1746-01-6</t>
  </si>
  <si>
    <t>PCDD54</t>
  </si>
  <si>
    <t>1,2,3,7,8-pentachloordibenzo-p-dioxine</t>
  </si>
  <si>
    <t>40321-76-4</t>
  </si>
  <si>
    <t>PCDD66</t>
  </si>
  <si>
    <t>1,2,3,4,7,8-hexachloordibenzo-p-dioxine</t>
  </si>
  <si>
    <t>39227-28-6</t>
  </si>
  <si>
    <t>PCDD67</t>
  </si>
  <si>
    <t>1,2,3,6,7,8-hexachloordibenzo-p-dioxine</t>
  </si>
  <si>
    <t>57653-85-7</t>
  </si>
  <si>
    <t>PCDD70</t>
  </si>
  <si>
    <t>1,2,3,7,8,9-hexachloordibenzo-p-dioxine</t>
  </si>
  <si>
    <t>19408-74-3</t>
  </si>
  <si>
    <t>PCDD73</t>
  </si>
  <si>
    <t>1,2,3,4,6,7,8-heptachloordibenzo-p-dioxine</t>
  </si>
  <si>
    <t>35822-46-9</t>
  </si>
  <si>
    <t>PCDD75</t>
  </si>
  <si>
    <t>1,2,3,4,6,7,8,9-octachloordibenzo-p-dioxine</t>
  </si>
  <si>
    <t>3268-87-9</t>
  </si>
  <si>
    <t>PCDF112</t>
  </si>
  <si>
    <t>2,3,4,6,7-pentachloordibenzofuraan</t>
  </si>
  <si>
    <t>57117-43-8</t>
  </si>
  <si>
    <t>PCDF114</t>
  </si>
  <si>
    <t>2,3,4,7,8-pentachloordibenzofuraan</t>
  </si>
  <si>
    <t>57117-31-4</t>
  </si>
  <si>
    <t>PCDF118</t>
  </si>
  <si>
    <t>1,2,3,4,7,8-hexachloordibenzofuraan</t>
  </si>
  <si>
    <t>70648-26-9</t>
  </si>
  <si>
    <t>PCDF119</t>
  </si>
  <si>
    <t>1,2,3,4,7,9-hexachloordibenzofuraan</t>
  </si>
  <si>
    <t>91538-84-0</t>
  </si>
  <si>
    <t>PCDF121</t>
  </si>
  <si>
    <t>1,2,3,6,7,8-hexachloordibenzofuraan</t>
  </si>
  <si>
    <t>57117-44-9</t>
  </si>
  <si>
    <t>PCDF124</t>
  </si>
  <si>
    <t>1,2,3,7,8,9-hexachloordibenzofuraan</t>
  </si>
  <si>
    <t>72918-21-9</t>
  </si>
  <si>
    <t>PCDF130</t>
  </si>
  <si>
    <t>2,3,4,6,7,8-hexachloordibenzofuraan</t>
  </si>
  <si>
    <t>60851-34-5</t>
  </si>
  <si>
    <t>PCDF131</t>
  </si>
  <si>
    <t>1,2,3,4,6,7,8-heptachloordibenzofuraan</t>
  </si>
  <si>
    <t>67562-39-4</t>
  </si>
  <si>
    <t>PCDF134</t>
  </si>
  <si>
    <t>1,2,3,4,7,8,9-heptachloordibenzofuraan</t>
  </si>
  <si>
    <t>55673-89-7</t>
  </si>
  <si>
    <t>PCDF135</t>
  </si>
  <si>
    <t>1,2,3,4,6,7,8,9-octachloordibenzofuraan</t>
  </si>
  <si>
    <t>39001-02-0</t>
  </si>
  <si>
    <t>PCDF83</t>
  </si>
  <si>
    <t>2,3,7,8-tetrachloordibenzofuraan</t>
  </si>
  <si>
    <t>51207-31-9</t>
  </si>
  <si>
    <t>PCDF89</t>
  </si>
  <si>
    <t>1,2,3,4,8-pentachloordibenzofuraan</t>
  </si>
  <si>
    <t>67517-48-0</t>
  </si>
  <si>
    <t>PCDF94</t>
  </si>
  <si>
    <t>1,2,3,7,8-pentachloordibenzofuraan</t>
  </si>
  <si>
    <t>57117-41-6</t>
  </si>
  <si>
    <t>PCTA</t>
  </si>
  <si>
    <t>pentachloorthioanisole</t>
  </si>
  <si>
    <t>1825-19-0</t>
  </si>
  <si>
    <t>PE</t>
  </si>
  <si>
    <t>poly-elektrolyt</t>
  </si>
  <si>
    <t>PERMNTE</t>
  </si>
  <si>
    <t>Permanentie</t>
  </si>
  <si>
    <t>PF1IC6a</t>
  </si>
  <si>
    <t>perfluor-1-joodhexaan</t>
  </si>
  <si>
    <t>355-43-1</t>
  </si>
  <si>
    <t>PF37DC1yOA</t>
  </si>
  <si>
    <t>perfluor-3,7-dimethyloctaanzuur</t>
  </si>
  <si>
    <t>172155-07-6</t>
  </si>
  <si>
    <t>PFBA</t>
  </si>
  <si>
    <t>perfluorbutaanzuur</t>
  </si>
  <si>
    <t>375-22-4</t>
  </si>
  <si>
    <t>PFC16azr</t>
  </si>
  <si>
    <t>perfluorhexadecaanzuur</t>
  </si>
  <si>
    <t>67905-19-5</t>
  </si>
  <si>
    <t>PFC18azr</t>
  </si>
  <si>
    <t>perfluoroctadecaanzuur</t>
  </si>
  <si>
    <t>16517-11-6</t>
  </si>
  <si>
    <t>PFC4asfAd</t>
  </si>
  <si>
    <t>perfluorbutaansulfonamide</t>
  </si>
  <si>
    <t>30334-69-1</t>
  </si>
  <si>
    <t>PFC5asfzr</t>
  </si>
  <si>
    <t>perfluorpentaan-1-sulfonzuur</t>
  </si>
  <si>
    <t>2706-91-4</t>
  </si>
  <si>
    <t>PFC9asfzr</t>
  </si>
  <si>
    <t>perfluornonaan-1-sulfonzuur</t>
  </si>
  <si>
    <t>68259-12-1</t>
  </si>
  <si>
    <t>PFDA</t>
  </si>
  <si>
    <t>perfluordecaanzuur</t>
  </si>
  <si>
    <t>335-76-2</t>
  </si>
  <si>
    <t>PFDoA</t>
  </si>
  <si>
    <t>perfluordodecaanzuur</t>
  </si>
  <si>
    <t>307-55-1</t>
  </si>
  <si>
    <t>PFHpA</t>
  </si>
  <si>
    <t>perfluorheptaanzuur</t>
  </si>
  <si>
    <t>375-85-9</t>
  </si>
  <si>
    <t>PFHxA</t>
  </si>
  <si>
    <t>perfluorhexaanzuur</t>
  </si>
  <si>
    <t>307-24-4</t>
  </si>
  <si>
    <t>PFNA</t>
  </si>
  <si>
    <t>perfluornonaanzuur</t>
  </si>
  <si>
    <t>375-95-1</t>
  </si>
  <si>
    <t>PFOA</t>
  </si>
  <si>
    <t>perfluoroctaanzuur</t>
  </si>
  <si>
    <t>335-67-1</t>
  </si>
  <si>
    <t>PFOA_Ag</t>
  </si>
  <si>
    <t>perfluoroctaanzuur, zilver(1plus)zout (1-1)</t>
  </si>
  <si>
    <t>335-93-3</t>
  </si>
  <si>
    <t>PFOA_K</t>
  </si>
  <si>
    <t>perfluoroctaanzuur, kaliumzout</t>
  </si>
  <si>
    <t>2395-00-8</t>
  </si>
  <si>
    <t>PFOA_NH4</t>
  </si>
  <si>
    <t>perfluoroctaanzuur, ammoniumzout</t>
  </si>
  <si>
    <t>3825-26-1</t>
  </si>
  <si>
    <t>PFOA_Na</t>
  </si>
  <si>
    <t>perfluoroctaanzuur, natriumzout</t>
  </si>
  <si>
    <t>335-95-5</t>
  </si>
  <si>
    <t>PFOS</t>
  </si>
  <si>
    <t>perfluoroctaansulfonaat</t>
  </si>
  <si>
    <t>1763-23-1</t>
  </si>
  <si>
    <t>PFOSA</t>
  </si>
  <si>
    <t>perfluoroctaansulfonamide</t>
  </si>
  <si>
    <t>754-91-6</t>
  </si>
  <si>
    <t>PFOSF</t>
  </si>
  <si>
    <t>perfluorooctaansulfonylfluoride</t>
  </si>
  <si>
    <t>307-35-7</t>
  </si>
  <si>
    <t>PFOS_K</t>
  </si>
  <si>
    <t>perfluoroctaansulfonaat, kaliumzout</t>
  </si>
  <si>
    <t>2795-39-3</t>
  </si>
  <si>
    <t>PFPA</t>
  </si>
  <si>
    <t>perfluorpentaanzuur</t>
  </si>
  <si>
    <t>2706-90-3</t>
  </si>
  <si>
    <t>PFTDA</t>
  </si>
  <si>
    <t>perfluortridecaanzuur</t>
  </si>
  <si>
    <t>72629-94-8</t>
  </si>
  <si>
    <t>PFTeDA</t>
  </si>
  <si>
    <t>perfluortetradecaanzuur</t>
  </si>
  <si>
    <t>376-06-7</t>
  </si>
  <si>
    <t>PFUdA</t>
  </si>
  <si>
    <t>perfluorundecaanzuur</t>
  </si>
  <si>
    <t>2058-94-8</t>
  </si>
  <si>
    <t>PGEEA</t>
  </si>
  <si>
    <t>propyleenglycolmonoethyletheracetaat</t>
  </si>
  <si>
    <t>54839-24-6</t>
  </si>
  <si>
    <t>PGETAL</t>
  </si>
  <si>
    <t>P-getal</t>
  </si>
  <si>
    <t>PGMEA</t>
  </si>
  <si>
    <t>propyleenglycolmonomethyletheracetaat</t>
  </si>
  <si>
    <t>108-65-6</t>
  </si>
  <si>
    <t>PHMBHCl</t>
  </si>
  <si>
    <t>polyhexamethyleenbiguanide hydrochloride</t>
  </si>
  <si>
    <t>27083-27-8</t>
  </si>
  <si>
    <t>PHOI</t>
  </si>
  <si>
    <t>Phormidium [1]</t>
  </si>
  <si>
    <t>PID</t>
  </si>
  <si>
    <t>PID-waarden</t>
  </si>
  <si>
    <t>PLAN</t>
  </si>
  <si>
    <t>Planktothrix</t>
  </si>
  <si>
    <t>PMV</t>
  </si>
  <si>
    <t>Kaliumpermanganaat verbruik</t>
  </si>
  <si>
    <t>POELSK</t>
  </si>
  <si>
    <t>Poelslak</t>
  </si>
  <si>
    <t>PROFL</t>
  </si>
  <si>
    <t>Profiel</t>
  </si>
  <si>
    <t>PSEUDMNARGNS</t>
  </si>
  <si>
    <t>Pseudomonas aeruginosa</t>
  </si>
  <si>
    <t>PTMEG</t>
  </si>
  <si>
    <t>polytetramethyletherglycol</t>
  </si>
  <si>
    <t>24979-97-3</t>
  </si>
  <si>
    <t>PUIN</t>
  </si>
  <si>
    <t>Puin</t>
  </si>
  <si>
    <t>PULS</t>
  </si>
  <si>
    <t>Puls</t>
  </si>
  <si>
    <t>PULSVLME</t>
  </si>
  <si>
    <t>Pulsvolume</t>
  </si>
  <si>
    <t>Pa230</t>
  </si>
  <si>
    <t>protactinium 230</t>
  </si>
  <si>
    <t>15766-10-6</t>
  </si>
  <si>
    <t>Pa231</t>
  </si>
  <si>
    <t>protactinium 231</t>
  </si>
  <si>
    <t>14331-85-2</t>
  </si>
  <si>
    <t>Pa233</t>
  </si>
  <si>
    <t>protactinium 233</t>
  </si>
  <si>
    <t>13981-14-1</t>
  </si>
  <si>
    <t>Pb210</t>
  </si>
  <si>
    <t>lood 210</t>
  </si>
  <si>
    <t>14255-04-0</t>
  </si>
  <si>
    <t>Pb211</t>
  </si>
  <si>
    <t>lood 211</t>
  </si>
  <si>
    <t>15816-77-0</t>
  </si>
  <si>
    <t>Pb212</t>
  </si>
  <si>
    <t>lood 212</t>
  </si>
  <si>
    <t>15092-94-1</t>
  </si>
  <si>
    <t>Pb214</t>
  </si>
  <si>
    <t>lood 214</t>
  </si>
  <si>
    <t>15067-28-4</t>
  </si>
  <si>
    <t>Pd103</t>
  </si>
  <si>
    <t>palladium 103</t>
  </si>
  <si>
    <t>14967-68-1</t>
  </si>
  <si>
    <t>Pe</t>
  </si>
  <si>
    <t>peryleen</t>
  </si>
  <si>
    <t>198-55-0</t>
  </si>
  <si>
    <t>PeBrFyC1yacl</t>
  </si>
  <si>
    <t>(pentabroomfenyl)methylacrylaat</t>
  </si>
  <si>
    <t>59447-55-1</t>
  </si>
  <si>
    <t>PeC2yHxAe</t>
  </si>
  <si>
    <t>pentaethyleenhexamine</t>
  </si>
  <si>
    <t>4067-16-7</t>
  </si>
  <si>
    <t>PeClAn</t>
  </si>
  <si>
    <t>pentachlooraniline</t>
  </si>
  <si>
    <t>527-20-8</t>
  </si>
  <si>
    <t>PeClBen</t>
  </si>
  <si>
    <t>pentachloorbenzeen</t>
  </si>
  <si>
    <t>608-93-5</t>
  </si>
  <si>
    <t>PeClBentol</t>
  </si>
  <si>
    <t>pentachloorbenzeenthiol</t>
  </si>
  <si>
    <t>133-49-3</t>
  </si>
  <si>
    <t>PeClC2a</t>
  </si>
  <si>
    <t>pentachloorethaan</t>
  </si>
  <si>
    <t>76-01-7</t>
  </si>
  <si>
    <t>PeClFol</t>
  </si>
  <si>
    <t>pentachloorfenol</t>
  </si>
  <si>
    <t>87-86-5</t>
  </si>
  <si>
    <t>PeClNaf</t>
  </si>
  <si>
    <t>pentachloornaftaleen</t>
  </si>
  <si>
    <t>1321-64-8</t>
  </si>
  <si>
    <t>PeClansl</t>
  </si>
  <si>
    <t>pentachlooranisol</t>
  </si>
  <si>
    <t>1825-21-4</t>
  </si>
  <si>
    <t>PeerttT4NO3</t>
  </si>
  <si>
    <t>pentaerythritoltetranitraat (PETN)</t>
  </si>
  <si>
    <t>78-11-5</t>
  </si>
  <si>
    <t>Peglyme</t>
  </si>
  <si>
    <t>pentaglyme</t>
  </si>
  <si>
    <t>1191-87-3</t>
  </si>
  <si>
    <t>PenCl</t>
  </si>
  <si>
    <t>pentanochloor</t>
  </si>
  <si>
    <t>2307-68-8</t>
  </si>
  <si>
    <t>Po210</t>
  </si>
  <si>
    <t>polonium 210</t>
  </si>
  <si>
    <t>13981-52-7</t>
  </si>
  <si>
    <t>Porg</t>
  </si>
  <si>
    <t>fosfor organisch</t>
  </si>
  <si>
    <t>Ptot</t>
  </si>
  <si>
    <t>fosfor totaal</t>
  </si>
  <si>
    <t>Ptot/Fe</t>
  </si>
  <si>
    <t>Verhouding fosfor totaal/ijzer</t>
  </si>
  <si>
    <t>Ptot/PO4</t>
  </si>
  <si>
    <t>Verhouding fosfor totaal/fosfaat</t>
  </si>
  <si>
    <t>Pu237</t>
  </si>
  <si>
    <t>plutonium 237</t>
  </si>
  <si>
    <t>15411-93-5</t>
  </si>
  <si>
    <t>Pu238</t>
  </si>
  <si>
    <t>plutonium 238</t>
  </si>
  <si>
    <t>13981-16-3</t>
  </si>
  <si>
    <t>Pu239</t>
  </si>
  <si>
    <t>plutonium 239</t>
  </si>
  <si>
    <t>15117-48-3</t>
  </si>
  <si>
    <t>Pu240</t>
  </si>
  <si>
    <t>plutonium 240</t>
  </si>
  <si>
    <t>14119-33-6</t>
  </si>
  <si>
    <t>Pyr</t>
  </si>
  <si>
    <t>pyreen</t>
  </si>
  <si>
    <t>129-00-0</t>
  </si>
  <si>
    <t>Q</t>
  </si>
  <si>
    <t>Debiet</t>
  </si>
  <si>
    <t>QAVbzC1214ak</t>
  </si>
  <si>
    <t>quatern. ammoniumverb. benzyl-C12-14-alkyldimethyl- chloride</t>
  </si>
  <si>
    <t>85409-22-9</t>
  </si>
  <si>
    <t>Qp</t>
  </si>
  <si>
    <t>Karakterisering van breedte van het spectrum van 30-500 mHz</t>
  </si>
  <si>
    <t>R1FyC2ol</t>
  </si>
  <si>
    <t>(R)-1-fenylethanol</t>
  </si>
  <si>
    <t>1517-69-7</t>
  </si>
  <si>
    <t>RAT</t>
  </si>
  <si>
    <t>Rat</t>
  </si>
  <si>
    <t>RDX</t>
  </si>
  <si>
    <t>hexahydro-1,3,5-trinitro-1,3,5-triazin (RDX)</t>
  </si>
  <si>
    <t>121-82-4</t>
  </si>
  <si>
    <t>RECCLTFTR</t>
  </si>
  <si>
    <t>Recirculatiefactor</t>
  </si>
  <si>
    <t>REINGRDMT</t>
  </si>
  <si>
    <t>Reinigingsrendement</t>
  </si>
  <si>
    <t>RELTVLVTHD</t>
  </si>
  <si>
    <t>Relatieve luchtvochtigheid</t>
  </si>
  <si>
    <t>REPSTTVDG</t>
  </si>
  <si>
    <t>Representatieve dag</t>
  </si>
  <si>
    <t>RESTBTA</t>
  </si>
  <si>
    <t>Rest Beta</t>
  </si>
  <si>
    <t>RISCNVCANBTR</t>
  </si>
  <si>
    <t>Risiconiveau cyanobacteriën</t>
  </si>
  <si>
    <t>RPLI</t>
  </si>
  <si>
    <t>Relatieve penislengte index</t>
  </si>
  <si>
    <t>RPSI</t>
  </si>
  <si>
    <t>Relatieve penisgrootte index</t>
  </si>
  <si>
    <t>RTp</t>
  </si>
  <si>
    <t>Relatieve piekperiode</t>
  </si>
  <si>
    <t>Ra223</t>
  </si>
  <si>
    <t>radium 223</t>
  </si>
  <si>
    <t>15623-45-7</t>
  </si>
  <si>
    <t>Ra224</t>
  </si>
  <si>
    <t>radium 224</t>
  </si>
  <si>
    <t>13233-32-4</t>
  </si>
  <si>
    <t>Ra225</t>
  </si>
  <si>
    <t>radium 225</t>
  </si>
  <si>
    <t>13981-53-8</t>
  </si>
  <si>
    <t>Ra226</t>
  </si>
  <si>
    <t>radium 226</t>
  </si>
  <si>
    <t>13982-63-3</t>
  </si>
  <si>
    <t>Ra228</t>
  </si>
  <si>
    <t>radium 228</t>
  </si>
  <si>
    <t>15262-20-1</t>
  </si>
  <si>
    <t>Rb86</t>
  </si>
  <si>
    <t>rubidium 86</t>
  </si>
  <si>
    <t>14932-53-7</t>
  </si>
  <si>
    <t>Re186</t>
  </si>
  <si>
    <t>rhenium 186</t>
  </si>
  <si>
    <t>14998-63-1</t>
  </si>
  <si>
    <t>Ru103</t>
  </si>
  <si>
    <t>ruthenium 103</t>
  </si>
  <si>
    <t>13968-53-1</t>
  </si>
  <si>
    <t>Ru106</t>
  </si>
  <si>
    <t>ruthenium 106</t>
  </si>
  <si>
    <t>13967-48-1</t>
  </si>
  <si>
    <t>S0BH</t>
  </si>
  <si>
    <t>Gemiddelde golfrichtingspreiding in het spectrale domein</t>
  </si>
  <si>
    <t>S0BH_s</t>
  </si>
  <si>
    <t>Golfrichtingspreidingspectrum</t>
  </si>
  <si>
    <t>S6</t>
  </si>
  <si>
    <t>zwavel (S6)</t>
  </si>
  <si>
    <t>S8</t>
  </si>
  <si>
    <t>octylzwavel</t>
  </si>
  <si>
    <t>7704-34-9</t>
  </si>
  <si>
    <t>SALMNLA</t>
  </si>
  <si>
    <t>Salmonella</t>
  </si>
  <si>
    <t>SALNTT</t>
  </si>
  <si>
    <t>Saliniteit</t>
  </si>
  <si>
    <t>SAPBE</t>
  </si>
  <si>
    <t>Saprobie</t>
  </si>
  <si>
    <t>SCHAKLG</t>
  </si>
  <si>
    <t>Schakeling</t>
  </si>
  <si>
    <t>SCHELPN_lg</t>
  </si>
  <si>
    <t>Schelpen - leeg</t>
  </si>
  <si>
    <t>SCHUIM</t>
  </si>
  <si>
    <t>Schuim</t>
  </si>
  <si>
    <t>SCHUTTG</t>
  </si>
  <si>
    <t>schutting</t>
  </si>
  <si>
    <t>SCREENNVTGSF</t>
  </si>
  <si>
    <t>Screening niet-vluchtige stoffen uitgevoerd</t>
  </si>
  <si>
    <t>SCREENSMSLVZ</t>
  </si>
  <si>
    <t>Screening samenstelling vetzuren uitgevoerd</t>
  </si>
  <si>
    <t>SCREENVTGSFU</t>
  </si>
  <si>
    <t>Screening vluchtige stoffen uitgevoerd</t>
  </si>
  <si>
    <t>SED</t>
  </si>
  <si>
    <t>Sediment</t>
  </si>
  <si>
    <t>SENSHTE</t>
  </si>
  <si>
    <t>Sensorhoogte</t>
  </si>
  <si>
    <t>SEXE</t>
  </si>
  <si>
    <t>Sexe (geslacht)</t>
  </si>
  <si>
    <t>SF6</t>
  </si>
  <si>
    <t>zwavelhexafluoride</t>
  </si>
  <si>
    <t>2551-62-4</t>
  </si>
  <si>
    <t>SHANNIDX</t>
  </si>
  <si>
    <t>Shannon Index</t>
  </si>
  <si>
    <t>SLAK</t>
  </si>
  <si>
    <t>Slak</t>
  </si>
  <si>
    <t>SLIB</t>
  </si>
  <si>
    <t>Slib</t>
  </si>
  <si>
    <t>SLIBBLTG</t>
  </si>
  <si>
    <t>Slibbelasting</t>
  </si>
  <si>
    <t>SLIBDTE</t>
  </si>
  <si>
    <t>Slibdikte</t>
  </si>
  <si>
    <t>SLIBLTD</t>
  </si>
  <si>
    <t>Slibleeftijd</t>
  </si>
  <si>
    <t>SLIBSGHTE</t>
  </si>
  <si>
    <t>Slibspiegel hoogte</t>
  </si>
  <si>
    <t>SLIBVLMIDX</t>
  </si>
  <si>
    <t>Slibvolume-index</t>
  </si>
  <si>
    <t>SMAAK</t>
  </si>
  <si>
    <t>Smaak</t>
  </si>
  <si>
    <t>SMAAKVDNFTR</t>
  </si>
  <si>
    <t>Smaakverdunningsfactor</t>
  </si>
  <si>
    <t>SO2</t>
  </si>
  <si>
    <t>zwaveldioxide</t>
  </si>
  <si>
    <t>7446-09-5</t>
  </si>
  <si>
    <t>SO3</t>
  </si>
  <si>
    <t>sulfiet</t>
  </si>
  <si>
    <t>14265-45-3</t>
  </si>
  <si>
    <t>SOLPSETTE</t>
  </si>
  <si>
    <t>Solid Phase Extractie</t>
  </si>
  <si>
    <t>SOORT</t>
  </si>
  <si>
    <t>Soort</t>
  </si>
  <si>
    <t>SOORTADL</t>
  </si>
  <si>
    <t>Soortenaandeel</t>
  </si>
  <si>
    <t>SOORTRDM</t>
  </si>
  <si>
    <t>Soortenrijkdom</t>
  </si>
  <si>
    <t>SPECFEGVBBLT</t>
  </si>
  <si>
    <t>Specifiek energieverbruik beluchting</t>
  </si>
  <si>
    <t>SPECFEGVBTTL</t>
  </si>
  <si>
    <t>Specifiek energieverbruik totaal</t>
  </si>
  <si>
    <t>SPECFENGVBTP</t>
  </si>
  <si>
    <t>Specifiek energieverbruik transport</t>
  </si>
  <si>
    <t>SPECFETCTOWK</t>
  </si>
  <si>
    <t>Specifiek elektriciteitsopwekking</t>
  </si>
  <si>
    <t>SPECFKAVR</t>
  </si>
  <si>
    <t>Specifieke afvoer</t>
  </si>
  <si>
    <t>SPECFKBGG</t>
  </si>
  <si>
    <t>Specifieke berging</t>
  </si>
  <si>
    <t>SPECFKGPDTE</t>
  </si>
  <si>
    <t>Specifieke gasproductie</t>
  </si>
  <si>
    <t>SPECFKSPDTE</t>
  </si>
  <si>
    <t>Specifieke slibproductie</t>
  </si>
  <si>
    <t>SPECFOPVK</t>
  </si>
  <si>
    <t>Specifiek oppervlak</t>
  </si>
  <si>
    <t>SPGH</t>
  </si>
  <si>
    <t>Standaardafwijking van de golfhoogte in het tijdsdomein</t>
  </si>
  <si>
    <t>SPGT</t>
  </si>
  <si>
    <t>Standaardafwijking van de golfperiode in het tijdsdomein</t>
  </si>
  <si>
    <t>SPRONGLG</t>
  </si>
  <si>
    <t>Spronglaag</t>
  </si>
  <si>
    <t>STAATOBDG</t>
  </si>
  <si>
    <t>Staat van ontbinding</t>
  </si>
  <si>
    <t>STAPHLCCARUS</t>
  </si>
  <si>
    <t>Staphylococcus aureus</t>
  </si>
  <si>
    <t>STAPLCCCAGLP</t>
  </si>
  <si>
    <t>Staphylococcen (coagulase positief)</t>
  </si>
  <si>
    <t>STAPLCCN</t>
  </si>
  <si>
    <t>Staphylococcen</t>
  </si>
  <si>
    <t>STEEN</t>
  </si>
  <si>
    <t>Steen</t>
  </si>
  <si>
    <t>STERFTE</t>
  </si>
  <si>
    <t>Sterfte</t>
  </si>
  <si>
    <t>STIJGHTE</t>
  </si>
  <si>
    <t>Stijghoogte</t>
  </si>
  <si>
    <t>STOFEU</t>
  </si>
  <si>
    <t>Overige stoffen met EU norm</t>
  </si>
  <si>
    <t>STOFHVHD</t>
  </si>
  <si>
    <t>Stofhoeveelheid</t>
  </si>
  <si>
    <t>STOFOV</t>
  </si>
  <si>
    <t>Specifieke verontreinigende stoffen</t>
  </si>
  <si>
    <t>STOFPR</t>
  </si>
  <si>
    <t>Prioritaire stoffen totaal</t>
  </si>
  <si>
    <t>STOFPR_33-45</t>
  </si>
  <si>
    <t>Prioritaire stoffen - nieuw vanaf 2013 - nr. 34 t/m 45</t>
  </si>
  <si>
    <t>STOFPR_UBQJ</t>
  </si>
  <si>
    <t>Prioritaire stoffen - ubiquitair</t>
  </si>
  <si>
    <t>STOFPR_UBQN</t>
  </si>
  <si>
    <t>Prioritaire stoffen - niet-ubiquitair</t>
  </si>
  <si>
    <t>STOOKWDE</t>
  </si>
  <si>
    <t>Stookwaarde (calorische onderwaarde, verbrandingswarmte)</t>
  </si>
  <si>
    <t>STRIJKLTE</t>
  </si>
  <si>
    <t>Strijklengte</t>
  </si>
  <si>
    <t>STROMG</t>
  </si>
  <si>
    <t>Stroming</t>
  </si>
  <si>
    <t>STROMVRATE</t>
  </si>
  <si>
    <t>Stromingsvariatie</t>
  </si>
  <si>
    <t>STROOMRBS</t>
  </si>
  <si>
    <t>Stroomribbels</t>
  </si>
  <si>
    <t>STROOMRTG</t>
  </si>
  <si>
    <t>Stroomrichting</t>
  </si>
  <si>
    <t>STROOMSHD</t>
  </si>
  <si>
    <t>Stroomsnelheid</t>
  </si>
  <si>
    <t>STRUCTR</t>
  </si>
  <si>
    <t>Structuur</t>
  </si>
  <si>
    <t>STRUIKLG</t>
  </si>
  <si>
    <t>Struiklaag</t>
  </si>
  <si>
    <t>SUBMSPTN</t>
  </si>
  <si>
    <t>Submerse planten</t>
  </si>
  <si>
    <t>SUBSDFRTATE</t>
  </si>
  <si>
    <t>Substraatdifferentiatie</t>
  </si>
  <si>
    <t>SUBST</t>
  </si>
  <si>
    <t>Substraat</t>
  </si>
  <si>
    <t>Sb122</t>
  </si>
  <si>
    <t>antimoon 122</t>
  </si>
  <si>
    <t>14374-79-9</t>
  </si>
  <si>
    <t>Sb124</t>
  </si>
  <si>
    <t>antimoon 124</t>
  </si>
  <si>
    <t>14683-10-4</t>
  </si>
  <si>
    <t>Sb125</t>
  </si>
  <si>
    <t>antimoon 125</t>
  </si>
  <si>
    <t>14234-35-6</t>
  </si>
  <si>
    <t>Sb127</t>
  </si>
  <si>
    <t>antimoon 127</t>
  </si>
  <si>
    <t>13968-50-8</t>
  </si>
  <si>
    <t>Sc46</t>
  </si>
  <si>
    <t>scandium 46</t>
  </si>
  <si>
    <t>13967-63-0</t>
  </si>
  <si>
    <t>Se75</t>
  </si>
  <si>
    <t>seleen 75</t>
  </si>
  <si>
    <t>14265-71-5</t>
  </si>
  <si>
    <t>SeO3</t>
  </si>
  <si>
    <t>seleniet</t>
  </si>
  <si>
    <t>14124-67-5</t>
  </si>
  <si>
    <t>SeO4</t>
  </si>
  <si>
    <t>selenaat</t>
  </si>
  <si>
    <t>14124-68-6</t>
  </si>
  <si>
    <t>SmtlCl</t>
  </si>
  <si>
    <t>S-metolachloor</t>
  </si>
  <si>
    <t>87392-12-9</t>
  </si>
  <si>
    <t>Sn113</t>
  </si>
  <si>
    <t>tin 113</t>
  </si>
  <si>
    <t>13966-06-8</t>
  </si>
  <si>
    <t>Sn125</t>
  </si>
  <si>
    <t>tin 125</t>
  </si>
  <si>
    <t>14683-08-0</t>
  </si>
  <si>
    <t>Sr85</t>
  </si>
  <si>
    <t>strontium 85</t>
  </si>
  <si>
    <t>13967-73-2</t>
  </si>
  <si>
    <t>Sr89</t>
  </si>
  <si>
    <t>strontium 89</t>
  </si>
  <si>
    <t>14158-27-1</t>
  </si>
  <si>
    <t>Sr90</t>
  </si>
  <si>
    <t>strontium 90</t>
  </si>
  <si>
    <t>10098-97-2</t>
  </si>
  <si>
    <t>Stot</t>
  </si>
  <si>
    <t>zwavel totaal</t>
  </si>
  <si>
    <t>T</t>
  </si>
  <si>
    <t>Temperatuur</t>
  </si>
  <si>
    <t>T1/3</t>
  </si>
  <si>
    <t>Gem. golfperiode langste 1/3 deel v.d. golven (tijdsdomein)</t>
  </si>
  <si>
    <t>T2ClC2yPO4</t>
  </si>
  <si>
    <t>tri(2-chloorethyl)fosfaat</t>
  </si>
  <si>
    <t>115-96-8</t>
  </si>
  <si>
    <t>T4BrbFolA</t>
  </si>
  <si>
    <t>tetrabroombisfenol A</t>
  </si>
  <si>
    <t>79-94-7</t>
  </si>
  <si>
    <t>T4C1aDAobzfn</t>
  </si>
  <si>
    <t>tetramethyldiaminobenzofenon</t>
  </si>
  <si>
    <t>90-94-8</t>
  </si>
  <si>
    <t>T4C1olactlDu</t>
  </si>
  <si>
    <t>tetramethanol-acetyleendiureum</t>
  </si>
  <si>
    <t>5395-50-6</t>
  </si>
  <si>
    <t>T4C1yBen</t>
  </si>
  <si>
    <t>tetramethylbenzeen</t>
  </si>
  <si>
    <t>25619-60-7</t>
  </si>
  <si>
    <t>T4C1yNH4Cl</t>
  </si>
  <si>
    <t>tetramethylammoniumchloride</t>
  </si>
  <si>
    <t>75-57-0</t>
  </si>
  <si>
    <t>T4C2yPb</t>
  </si>
  <si>
    <t>tetraethyllood</t>
  </si>
  <si>
    <t>78-00-2</t>
  </si>
  <si>
    <t>T4C2yePeAe</t>
  </si>
  <si>
    <t>tetraethyleenpentamine</t>
  </si>
  <si>
    <t>112-57-2</t>
  </si>
  <si>
    <t>T4C3yNH3Br</t>
  </si>
  <si>
    <t>tetrapropylammoniumbromide</t>
  </si>
  <si>
    <t>1941-30-6</t>
  </si>
  <si>
    <t>T4C4yNH4Cl</t>
  </si>
  <si>
    <t>tetrabutylammoniumchloride</t>
  </si>
  <si>
    <t>1112-67-0</t>
  </si>
  <si>
    <t>T4C4ySn</t>
  </si>
  <si>
    <t>tetrabutyltin</t>
  </si>
  <si>
    <t>1461-25-2</t>
  </si>
  <si>
    <t>T4ClBen</t>
  </si>
  <si>
    <t>tetrachloorbenzeen</t>
  </si>
  <si>
    <t>12408-10-5</t>
  </si>
  <si>
    <t>T4ClC1a</t>
  </si>
  <si>
    <t>tetrachloormethaan (tetra)</t>
  </si>
  <si>
    <t>56-23-5</t>
  </si>
  <si>
    <t>T4ClC2a</t>
  </si>
  <si>
    <t>tetrachloorethaan</t>
  </si>
  <si>
    <t>25322-20-7</t>
  </si>
  <si>
    <t>T4ClC2al</t>
  </si>
  <si>
    <t>trichlooracetylchloride</t>
  </si>
  <si>
    <t>76-02-8</t>
  </si>
  <si>
    <t>T4ClC2e</t>
  </si>
  <si>
    <t>tetrachlooretheen (per)</t>
  </si>
  <si>
    <t>127-18-4</t>
  </si>
  <si>
    <t>T4ClNaf</t>
  </si>
  <si>
    <t>tetrachloornaftaleen</t>
  </si>
  <si>
    <t>1335-88-2</t>
  </si>
  <si>
    <t>T4Clvfs</t>
  </si>
  <si>
    <t>tetrachloorvinfos (mixed isomeren)</t>
  </si>
  <si>
    <t>961-11-5</t>
  </si>
  <si>
    <t>T4Dfn</t>
  </si>
  <si>
    <t>tetradifon</t>
  </si>
  <si>
    <t>116-29-0</t>
  </si>
  <si>
    <t>T4FC2e</t>
  </si>
  <si>
    <t>tetrafluoretheen</t>
  </si>
  <si>
    <t>116-14-3</t>
  </si>
  <si>
    <t>T4Hflmde</t>
  </si>
  <si>
    <t>tetrahydroftaalimide</t>
  </si>
  <si>
    <t>1469-48-3</t>
  </si>
  <si>
    <t>T4Hfrn</t>
  </si>
  <si>
    <t>tetrahydrofuraan</t>
  </si>
  <si>
    <t>109-99-9</t>
  </si>
  <si>
    <t>T4Htof11DO</t>
  </si>
  <si>
    <t>tetrahydrothiofeen-1,1-dioxide</t>
  </si>
  <si>
    <t>126-33-0</t>
  </si>
  <si>
    <t>T4Htofn</t>
  </si>
  <si>
    <t>tetrahydrothiofeen</t>
  </si>
  <si>
    <t>110-01-0</t>
  </si>
  <si>
    <t>T4ccne</t>
  </si>
  <si>
    <t>tetracycline</t>
  </si>
  <si>
    <t>60-54-8</t>
  </si>
  <si>
    <t>T4cnzl</t>
  </si>
  <si>
    <t>tetraconazool</t>
  </si>
  <si>
    <t>112281-77-3</t>
  </si>
  <si>
    <t>T4cycnHCl</t>
  </si>
  <si>
    <t>tetracycline hydrochloride</t>
  </si>
  <si>
    <t>64-75-5</t>
  </si>
  <si>
    <t>T4kHOC1yPSO4</t>
  </si>
  <si>
    <t>tetrakis(hydroxymethyl)fosfoniumsulfaat</t>
  </si>
  <si>
    <t>55566-30-8</t>
  </si>
  <si>
    <t>T4mtn</t>
  </si>
  <si>
    <t>tetramethrin</t>
  </si>
  <si>
    <t>7696-12-0</t>
  </si>
  <si>
    <t>T4sl</t>
  </si>
  <si>
    <t>tetrasul</t>
  </si>
  <si>
    <t>2227-13-6</t>
  </si>
  <si>
    <t>TAED</t>
  </si>
  <si>
    <t>tetraacetylethyleendiamine</t>
  </si>
  <si>
    <t>10543-57-4</t>
  </si>
  <si>
    <t>TALBVWTR</t>
  </si>
  <si>
    <t>Talud bovenwater (met flauwe hoek)</t>
  </si>
  <si>
    <t>TALHK</t>
  </si>
  <si>
    <t>Taludhoek</t>
  </si>
  <si>
    <t>TALODWTR</t>
  </si>
  <si>
    <t>Talud onderwater (met flauwe hoek)</t>
  </si>
  <si>
    <t>TBBPADM</t>
  </si>
  <si>
    <t>tetrabroombifenol dimethyl</t>
  </si>
  <si>
    <t>37853-61-5</t>
  </si>
  <si>
    <t>TBrC1a</t>
  </si>
  <si>
    <t>tribroommethaan</t>
  </si>
  <si>
    <t>75-25-2</t>
  </si>
  <si>
    <t>TBrHAc</t>
  </si>
  <si>
    <t>tribroomazijnzuur</t>
  </si>
  <si>
    <t>75-96-7</t>
  </si>
  <si>
    <t>TC1yAe</t>
  </si>
  <si>
    <t>trimethylamine</t>
  </si>
  <si>
    <t>75-50-3</t>
  </si>
  <si>
    <t>TC1yNH4Cl</t>
  </si>
  <si>
    <t>trimethylammoniumchloride</t>
  </si>
  <si>
    <t>593-81-7</t>
  </si>
  <si>
    <t>TC1yPO4</t>
  </si>
  <si>
    <t>trimethylfosfaat</t>
  </si>
  <si>
    <t>512-56-1</t>
  </si>
  <si>
    <t>TC1yegcl</t>
  </si>
  <si>
    <t>trimethyleenglycol (1,3-propyleenglycol)</t>
  </si>
  <si>
    <t>504-63-2</t>
  </si>
  <si>
    <t>TC1yhdzne</t>
  </si>
  <si>
    <t>trimethylhydrazine</t>
  </si>
  <si>
    <t>1741-01-1</t>
  </si>
  <si>
    <t>TC1ytoPO4</t>
  </si>
  <si>
    <t>trimethylthiofosfaat</t>
  </si>
  <si>
    <t>152-18-1</t>
  </si>
  <si>
    <t>TC2olAe</t>
  </si>
  <si>
    <t>triethanolamine</t>
  </si>
  <si>
    <t>102-71-6</t>
  </si>
  <si>
    <t>TC2yAe</t>
  </si>
  <si>
    <t>triethylamine</t>
  </si>
  <si>
    <t>121-44-8</t>
  </si>
  <si>
    <t>TC2yAeTcpr</t>
  </si>
  <si>
    <t>triethylamine-triclopyr</t>
  </si>
  <si>
    <t>57213-69-1</t>
  </si>
  <si>
    <t>TC2yPO4</t>
  </si>
  <si>
    <t>triethylfosfaat</t>
  </si>
  <si>
    <t>78-40-0</t>
  </si>
  <si>
    <t>TC2ycitt</t>
  </si>
  <si>
    <t>triethylcitraat</t>
  </si>
  <si>
    <t>77-93-0</t>
  </si>
  <si>
    <t>TC2yeT4Ae</t>
  </si>
  <si>
    <t>triethyleentetramine</t>
  </si>
  <si>
    <t>112-24-3</t>
  </si>
  <si>
    <t>TC2yegcl</t>
  </si>
  <si>
    <t>triethyleenglycol</t>
  </si>
  <si>
    <t>112-27-6</t>
  </si>
  <si>
    <t>TC3yAe</t>
  </si>
  <si>
    <t>tripropylamine</t>
  </si>
  <si>
    <t>102-69-2</t>
  </si>
  <si>
    <t>TC3yegcl</t>
  </si>
  <si>
    <t>tripropyleenglycol</t>
  </si>
  <si>
    <t>24800-44-0</t>
  </si>
  <si>
    <t>TC4yAe</t>
  </si>
  <si>
    <t>tributylamine</t>
  </si>
  <si>
    <t>102-82-9</t>
  </si>
  <si>
    <t>TC4yPO4</t>
  </si>
  <si>
    <t>tributylfosfaat</t>
  </si>
  <si>
    <t>126-73-8</t>
  </si>
  <si>
    <t>TC4ySn</t>
  </si>
  <si>
    <t>tributyltin (kation)</t>
  </si>
  <si>
    <t>36643-28-4</t>
  </si>
  <si>
    <t>TC4ySnactt</t>
  </si>
  <si>
    <t>tributyltinacetaat</t>
  </si>
  <si>
    <t>56-36-0</t>
  </si>
  <si>
    <t>TC4yTtoPO4</t>
  </si>
  <si>
    <t>tributyltrithiofosfaat</t>
  </si>
  <si>
    <t>78-48-8</t>
  </si>
  <si>
    <t>TC4yactcitt</t>
  </si>
  <si>
    <t>tributylacetylcitraat</t>
  </si>
  <si>
    <t>77-90-7</t>
  </si>
  <si>
    <t>TC8yPO4</t>
  </si>
  <si>
    <t>trioctylfosfaat</t>
  </si>
  <si>
    <t>25103-12-2</t>
  </si>
  <si>
    <t>TC8ySn</t>
  </si>
  <si>
    <t>trioctyltin (kation)</t>
  </si>
  <si>
    <t>869-59-0</t>
  </si>
  <si>
    <t>TCMTB</t>
  </si>
  <si>
    <t>2-(thiocyanomethylthio)benzothiazool</t>
  </si>
  <si>
    <t>21564-17-0</t>
  </si>
  <si>
    <t>TClBen</t>
  </si>
  <si>
    <t>trichloorbenzeen</t>
  </si>
  <si>
    <t>12002-48-1</t>
  </si>
  <si>
    <t>TClC2a</t>
  </si>
  <si>
    <t>trichloorethaan</t>
  </si>
  <si>
    <t>25323-89-1</t>
  </si>
  <si>
    <t>TClC2al</t>
  </si>
  <si>
    <t>trichloorethanal</t>
  </si>
  <si>
    <t>75-87-6</t>
  </si>
  <si>
    <t>TClC2e</t>
  </si>
  <si>
    <t>trichlooretheen (tri)</t>
  </si>
  <si>
    <t>79-01-6</t>
  </si>
  <si>
    <t>TClC3yPO4</t>
  </si>
  <si>
    <t>tris(1-chloor-2-propyl)fosfaat</t>
  </si>
  <si>
    <t>13674-84-5</t>
  </si>
  <si>
    <t>TClHAc</t>
  </si>
  <si>
    <t>trichloorazijnzuur</t>
  </si>
  <si>
    <t>76-03-9</t>
  </si>
  <si>
    <t>TClNaf</t>
  </si>
  <si>
    <t>trichloornaftaleen</t>
  </si>
  <si>
    <t>1321-65-9</t>
  </si>
  <si>
    <t>TClfn</t>
  </si>
  <si>
    <t>trichloorfon</t>
  </si>
  <si>
    <t>52-68-6</t>
  </si>
  <si>
    <t>TCliCNzr</t>
  </si>
  <si>
    <t>trichloorisocyanuurzuur</t>
  </si>
  <si>
    <t>87-90-1</t>
  </si>
  <si>
    <t>TClnt</t>
  </si>
  <si>
    <t>trichloronaat</t>
  </si>
  <si>
    <t>327-98-0</t>
  </si>
  <si>
    <t>TE</t>
  </si>
  <si>
    <t>Golfenergie in het spectrale domein</t>
  </si>
  <si>
    <t>TE3</t>
  </si>
  <si>
    <t>Deiningsenergie in het spectrale domein</t>
  </si>
  <si>
    <t>TEGDME</t>
  </si>
  <si>
    <t>tetraethyleenglycoldimethylether</t>
  </si>
  <si>
    <t>143-24-8</t>
  </si>
  <si>
    <t>TELLSD</t>
  </si>
  <si>
    <t>Tellerstand</t>
  </si>
  <si>
    <t>TEPP</t>
  </si>
  <si>
    <t>tetraethylpyrofosfaat</t>
  </si>
  <si>
    <t>107-49-3</t>
  </si>
  <si>
    <t>TFHAc</t>
  </si>
  <si>
    <t>trifluorazijnzuur</t>
  </si>
  <si>
    <t>76-05-1</t>
  </si>
  <si>
    <t>TFIC1a</t>
  </si>
  <si>
    <t>trifluorjoodmethaan</t>
  </si>
  <si>
    <t>2314-97-8</t>
  </si>
  <si>
    <t>TFyPO4</t>
  </si>
  <si>
    <t>trifenylfosfaat</t>
  </si>
  <si>
    <t>115-86-6</t>
  </si>
  <si>
    <t>TFySn</t>
  </si>
  <si>
    <t>trifenyltin (kation)</t>
  </si>
  <si>
    <t>668-34-8</t>
  </si>
  <si>
    <t>TFyffnS</t>
  </si>
  <si>
    <t>trifenylfosfinesulfide</t>
  </si>
  <si>
    <t>3878-45-3</t>
  </si>
  <si>
    <t>THAUMTPPCSNA</t>
  </si>
  <si>
    <t>Thaumetopoea processionea</t>
  </si>
  <si>
    <t>THERMTLRTCLS</t>
  </si>
  <si>
    <t>Thermotolerante Coli's (incubatie bij 44 C)</t>
  </si>
  <si>
    <t>TIindex</t>
  </si>
  <si>
    <t>Trofie Index</t>
  </si>
  <si>
    <t>TMPD</t>
  </si>
  <si>
    <t>tetramethyl-1,4-benzeendiamine</t>
  </si>
  <si>
    <t>100-22-1</t>
  </si>
  <si>
    <t>TNT</t>
  </si>
  <si>
    <t>2,4,6-trinitrotolueen (TNT)</t>
  </si>
  <si>
    <t>118-96-7</t>
  </si>
  <si>
    <t>TOERTL</t>
  </si>
  <si>
    <t>Toerental</t>
  </si>
  <si>
    <t>TOTAFA</t>
  </si>
  <si>
    <t>Totaal Alfa</t>
  </si>
  <si>
    <t>TOTBTA</t>
  </si>
  <si>
    <t>Totaal Beta</t>
  </si>
  <si>
    <t>TOXCTT</t>
  </si>
  <si>
    <t>Toxiciteit</t>
  </si>
  <si>
    <t>TOxC1ye</t>
  </si>
  <si>
    <t>trioxymethyleen</t>
  </si>
  <si>
    <t>110-88-3</t>
  </si>
  <si>
    <t>TPPO</t>
  </si>
  <si>
    <t>trifenylfosfineoxide</t>
  </si>
  <si>
    <t>791-28-6</t>
  </si>
  <si>
    <t>TRANSMSE</t>
  </si>
  <si>
    <t>Transmissie</t>
  </si>
  <si>
    <t>TRDE</t>
  </si>
  <si>
    <t>Trichodesmium</t>
  </si>
  <si>
    <t>TRICBHZA</t>
  </si>
  <si>
    <t>Trichobilharzia</t>
  </si>
  <si>
    <t>TROEBHD</t>
  </si>
  <si>
    <t>Troebelheid</t>
  </si>
  <si>
    <t>TROEBHKRTRTK</t>
  </si>
  <si>
    <t>Troebelheidkarakteristiek</t>
  </si>
  <si>
    <t>TROFE</t>
  </si>
  <si>
    <t>Trofie</t>
  </si>
  <si>
    <t>TSA</t>
  </si>
  <si>
    <t>tolueensulfonamide</t>
  </si>
  <si>
    <t>1333-07-9</t>
  </si>
  <si>
    <t>TZV</t>
  </si>
  <si>
    <t>Totaal zuurstofverbruik</t>
  </si>
  <si>
    <t>T_H1/3</t>
  </si>
  <si>
    <t>Golfperiode die hoort bij H1/3</t>
  </si>
  <si>
    <t>T_Hmax</t>
  </si>
  <si>
    <t>Golfperiode die hoort bij Hmax</t>
  </si>
  <si>
    <t>Ta182</t>
  </si>
  <si>
    <t>tantalum 182</t>
  </si>
  <si>
    <t>13982-00-8</t>
  </si>
  <si>
    <t>TacnlnHxactn</t>
  </si>
  <si>
    <t>triamcinolonehexacetonide</t>
  </si>
  <si>
    <t>5611-51-8</t>
  </si>
  <si>
    <t>TactnAe</t>
  </si>
  <si>
    <t>triacetonamine</t>
  </si>
  <si>
    <t>826-36-8</t>
  </si>
  <si>
    <t>Tadmfn</t>
  </si>
  <si>
    <t>triadimefon</t>
  </si>
  <si>
    <t>43121-43-3</t>
  </si>
  <si>
    <t>Tadmnl</t>
  </si>
  <si>
    <t>triadimenol</t>
  </si>
  <si>
    <t>55219-65-3</t>
  </si>
  <si>
    <t>Talt</t>
  </si>
  <si>
    <t>triallaat</t>
  </si>
  <si>
    <t>2303-17-5</t>
  </si>
  <si>
    <t>Tamfs</t>
  </si>
  <si>
    <t>triamifos</t>
  </si>
  <si>
    <t>1031-47-6</t>
  </si>
  <si>
    <t>Taptnl</t>
  </si>
  <si>
    <t>triapentenol</t>
  </si>
  <si>
    <t>76608-88-3</t>
  </si>
  <si>
    <t>Tasfrn</t>
  </si>
  <si>
    <t>triasulfuron</t>
  </si>
  <si>
    <t>82097-50-5</t>
  </si>
  <si>
    <t>TazO</t>
  </si>
  <si>
    <t>triazoxide</t>
  </si>
  <si>
    <t>72459-58-6</t>
  </si>
  <si>
    <t>Tazcn</t>
  </si>
  <si>
    <t>triazichon</t>
  </si>
  <si>
    <t>68-76-8</t>
  </si>
  <si>
    <t>Tazfs</t>
  </si>
  <si>
    <t>triazofos</t>
  </si>
  <si>
    <t>24017-47-8</t>
  </si>
  <si>
    <t>Tazmt</t>
  </si>
  <si>
    <t>triazamaat</t>
  </si>
  <si>
    <t>112143-82-5</t>
  </si>
  <si>
    <t>Tb160</t>
  </si>
  <si>
    <t>terbium 160</t>
  </si>
  <si>
    <t>13981-29-8</t>
  </si>
  <si>
    <t>TbenzAe</t>
  </si>
  <si>
    <t>tribenzylamine</t>
  </si>
  <si>
    <t>620-40-6</t>
  </si>
  <si>
    <t>TbnrC1y</t>
  </si>
  <si>
    <t>tribenuronmethyl</t>
  </si>
  <si>
    <t>101200-48-0</t>
  </si>
  <si>
    <t>Tc96</t>
  </si>
  <si>
    <t>technetium 96</t>
  </si>
  <si>
    <t>14808-44-7</t>
  </si>
  <si>
    <t>Tc97</t>
  </si>
  <si>
    <t>technetium 97</t>
  </si>
  <si>
    <t>15759-35-0</t>
  </si>
  <si>
    <t>Tc97m</t>
  </si>
  <si>
    <t>technetium 97m (metastabiel)</t>
  </si>
  <si>
    <t>378784-44-2</t>
  </si>
  <si>
    <t>Tc99</t>
  </si>
  <si>
    <t>technetium 99</t>
  </si>
  <si>
    <t>14133-76-7</t>
  </si>
  <si>
    <t>Tc99m</t>
  </si>
  <si>
    <t>technetium 99m (metastabiel)</t>
  </si>
  <si>
    <t>378784-45-3</t>
  </si>
  <si>
    <t>Tcbdzl</t>
  </si>
  <si>
    <t>triclabendazool</t>
  </si>
  <si>
    <t>68786-66-3</t>
  </si>
  <si>
    <t>TccC6ySn</t>
  </si>
  <si>
    <t>tricyclohexyltin (kation)</t>
  </si>
  <si>
    <t>Tccbn</t>
  </si>
  <si>
    <t>triclocarban</t>
  </si>
  <si>
    <t>101-20-2</t>
  </si>
  <si>
    <t>Tcczl</t>
  </si>
  <si>
    <t>tricyclazool</t>
  </si>
  <si>
    <t>41814-78-2</t>
  </si>
  <si>
    <t>Tcfndne</t>
  </si>
  <si>
    <t>trichlofenidine</t>
  </si>
  <si>
    <t>53720-80-2</t>
  </si>
  <si>
    <t>TcpC4OxC2yEs</t>
  </si>
  <si>
    <t>triclopyr-butoxyethylester</t>
  </si>
  <si>
    <t>64700-56-7</t>
  </si>
  <si>
    <t>Tcpr</t>
  </si>
  <si>
    <t>triclopyr</t>
  </si>
  <si>
    <t>55335-06-3</t>
  </si>
  <si>
    <t>TcsPO4</t>
  </si>
  <si>
    <t>tricresylfosfaat</t>
  </si>
  <si>
    <t>1330-78-5</t>
  </si>
  <si>
    <t>Tcsn</t>
  </si>
  <si>
    <t>triclosan</t>
  </si>
  <si>
    <t>3380-34-5</t>
  </si>
  <si>
    <t>TcstnA</t>
  </si>
  <si>
    <t>trichostatin A</t>
  </si>
  <si>
    <t>58880-19-6</t>
  </si>
  <si>
    <t>Tdmf</t>
  </si>
  <si>
    <t>tridemorf</t>
  </si>
  <si>
    <t>24602-86-6</t>
  </si>
  <si>
    <t>tellurium</t>
  </si>
  <si>
    <t>Te123m</t>
  </si>
  <si>
    <t>tellurium 123m (metastabiel)</t>
  </si>
  <si>
    <t>378784-49-7</t>
  </si>
  <si>
    <t>Te127m</t>
  </si>
  <si>
    <t>tellurium 127m (metastabiel)</t>
  </si>
  <si>
    <t>378784-51-1</t>
  </si>
  <si>
    <t>Te129m</t>
  </si>
  <si>
    <t>tellurium 129m (metastabiel)</t>
  </si>
  <si>
    <t>378784-52-2</t>
  </si>
  <si>
    <t>Te132</t>
  </si>
  <si>
    <t>tellurium 132</t>
  </si>
  <si>
    <t>14234-28-7</t>
  </si>
  <si>
    <t>Te133</t>
  </si>
  <si>
    <t>tellurium 133</t>
  </si>
  <si>
    <t>15759-52-1</t>
  </si>
  <si>
    <t>Tetzne</t>
  </si>
  <si>
    <t>trietazine</t>
  </si>
  <si>
    <t>1912-26-1</t>
  </si>
  <si>
    <t>Tfmf</t>
  </si>
  <si>
    <t>trifenmorf</t>
  </si>
  <si>
    <t>1420-06-0</t>
  </si>
  <si>
    <t>Tfmrn</t>
  </si>
  <si>
    <t>triflumuron</t>
  </si>
  <si>
    <t>64628-44-0</t>
  </si>
  <si>
    <t>Tfmzl</t>
  </si>
  <si>
    <t>triflumizool</t>
  </si>
  <si>
    <t>68694-11-1</t>
  </si>
  <si>
    <t>Tfrlne</t>
  </si>
  <si>
    <t>trifluraline</t>
  </si>
  <si>
    <t>1582-09-8</t>
  </si>
  <si>
    <t>Tfrne</t>
  </si>
  <si>
    <t>triforine</t>
  </si>
  <si>
    <t>26644-46-2</t>
  </si>
  <si>
    <t>TfsfrnC1y</t>
  </si>
  <si>
    <t>triflusulfuron-methyl</t>
  </si>
  <si>
    <t>126535-15-7</t>
  </si>
  <si>
    <t>Tfxsbn</t>
  </si>
  <si>
    <t>trifloxystrobin</t>
  </si>
  <si>
    <t>141517-21-7</t>
  </si>
  <si>
    <t>Tfyffne</t>
  </si>
  <si>
    <t>trifenylfosfine</t>
  </si>
  <si>
    <t>603-35-0</t>
  </si>
  <si>
    <t>Th0</t>
  </si>
  <si>
    <t>Gemiddelde golfrichting in het spectrale domein</t>
  </si>
  <si>
    <t>Th0_s</t>
  </si>
  <si>
    <t>Golfrichtingspectrum</t>
  </si>
  <si>
    <t>Th227</t>
  </si>
  <si>
    <t>thorium 227</t>
  </si>
  <si>
    <t>15623-47-9</t>
  </si>
  <si>
    <t>Th228</t>
  </si>
  <si>
    <t>thorium 228</t>
  </si>
  <si>
    <t>14274-82-9</t>
  </si>
  <si>
    <t>Th229</t>
  </si>
  <si>
    <t>thorium 229</t>
  </si>
  <si>
    <t>15594-54-4</t>
  </si>
  <si>
    <t>Th230</t>
  </si>
  <si>
    <t>thorium 230</t>
  </si>
  <si>
    <t>14269-63-7</t>
  </si>
  <si>
    <t>Th231</t>
  </si>
  <si>
    <t>thorium 231</t>
  </si>
  <si>
    <t>14932-40-2</t>
  </si>
  <si>
    <t>Th232</t>
  </si>
  <si>
    <t>thorium 232</t>
  </si>
  <si>
    <t>Th234</t>
  </si>
  <si>
    <t>thorium 234</t>
  </si>
  <si>
    <t>15065-10-8</t>
  </si>
  <si>
    <t>Th3</t>
  </si>
  <si>
    <t>Gem. richting deining tov ware noorden in spectrale domein</t>
  </si>
  <si>
    <t>ThDO</t>
  </si>
  <si>
    <t>thoriumdioxide</t>
  </si>
  <si>
    <t>1314-20-1</t>
  </si>
  <si>
    <t>Thxfidl</t>
  </si>
  <si>
    <t>trihexyfenidyl</t>
  </si>
  <si>
    <t>144-11-6</t>
  </si>
  <si>
    <t>TiC4yPO4</t>
  </si>
  <si>
    <t>triisobutylfosfaat</t>
  </si>
  <si>
    <t>126-71-6</t>
  </si>
  <si>
    <t>TiO2</t>
  </si>
  <si>
    <t>titaandioxide</t>
  </si>
  <si>
    <t>13463-67-7</t>
  </si>
  <si>
    <t>TiT4Cl</t>
  </si>
  <si>
    <t>titaantetrachloride</t>
  </si>
  <si>
    <t>7550-45-0</t>
  </si>
  <si>
    <t>Tl201</t>
  </si>
  <si>
    <t>thallium 201</t>
  </si>
  <si>
    <t>15064-65-0</t>
  </si>
  <si>
    <t>Tl202</t>
  </si>
  <si>
    <t>thallium 202</t>
  </si>
  <si>
    <t>15720-57-7</t>
  </si>
  <si>
    <t>Tl208</t>
  </si>
  <si>
    <t>thallium 208</t>
  </si>
  <si>
    <t>14913-50-9</t>
  </si>
  <si>
    <t>Tm-10</t>
  </si>
  <si>
    <t>Golfperiode bepaald uit de spectrale momenten m-1 en m0</t>
  </si>
  <si>
    <t>Tm01</t>
  </si>
  <si>
    <t>Golfperiode bepaald uit de spectrale momenten m0 en m1</t>
  </si>
  <si>
    <t>Tm02</t>
  </si>
  <si>
    <t>Golfperiode bepaald uit de spectrale momenten m0 en m2</t>
  </si>
  <si>
    <t>Tmax</t>
  </si>
  <si>
    <t>Maximale golfperiode in het tijdsdomein</t>
  </si>
  <si>
    <t>Tmtcb</t>
  </si>
  <si>
    <t>trimethacarb</t>
  </si>
  <si>
    <t>2686-99-9</t>
  </si>
  <si>
    <t>Tmtpm</t>
  </si>
  <si>
    <t>trimethoprim</t>
  </si>
  <si>
    <t>738-70-5</t>
  </si>
  <si>
    <t>Tnxpc</t>
  </si>
  <si>
    <t>trinexapac</t>
  </si>
  <si>
    <t>104273-73-6</t>
  </si>
  <si>
    <t>TnxpcC2y</t>
  </si>
  <si>
    <t>trinexapac-ethyl</t>
  </si>
  <si>
    <t>95266-40-3</t>
  </si>
  <si>
    <t>Tp</t>
  </si>
  <si>
    <t>Periode waar het energiespectrum maximaal is</t>
  </si>
  <si>
    <t>Tp1</t>
  </si>
  <si>
    <t>Piekperiode van 1e deelspectrum (bij dubbeltoppige spectra)</t>
  </si>
  <si>
    <t>Tp2</t>
  </si>
  <si>
    <t>Piekperiode van 2e deelspectrum (bij dubbeltoppige spectra)</t>
  </si>
  <si>
    <t>Tpb</t>
  </si>
  <si>
    <t>Blokpiekperiode</t>
  </si>
  <si>
    <t>Tpb1</t>
  </si>
  <si>
    <t>Blokpiekperiode 1e deelspectrum (bij dubbeltoppige spectra)</t>
  </si>
  <si>
    <t>Tpb2</t>
  </si>
  <si>
    <t>Blokpiekperiode 2e deelspectrum (bij dubbeltoppige spectra)</t>
  </si>
  <si>
    <t>Tpbeq</t>
  </si>
  <si>
    <t>Equivalente blokpiekperiode</t>
  </si>
  <si>
    <t>Tpeq</t>
  </si>
  <si>
    <t>Equivalente piekperiode</t>
  </si>
  <si>
    <t>Tpm</t>
  </si>
  <si>
    <t>Karakteristieke piekperiode</t>
  </si>
  <si>
    <t>Tps</t>
  </si>
  <si>
    <t>Piekperiode bep. uit gladgestreken energiespectrum rond piek</t>
  </si>
  <si>
    <t>Ttcnzl</t>
  </si>
  <si>
    <t>triticonazool</t>
  </si>
  <si>
    <t>131983-72-7</t>
  </si>
  <si>
    <t>TttC4yC1ol</t>
  </si>
  <si>
    <t>tri-tert-butylmethanol</t>
  </si>
  <si>
    <t>41902-42-5</t>
  </si>
  <si>
    <t>U231</t>
  </si>
  <si>
    <t>uranium 231</t>
  </si>
  <si>
    <t>15700-08-0</t>
  </si>
  <si>
    <t>U234</t>
  </si>
  <si>
    <t>uranium 234</t>
  </si>
  <si>
    <t>13966-29-5</t>
  </si>
  <si>
    <t>U235</t>
  </si>
  <si>
    <t>uranium 235</t>
  </si>
  <si>
    <t>15117-96-1</t>
  </si>
  <si>
    <t>U237</t>
  </si>
  <si>
    <t>uranium 237</t>
  </si>
  <si>
    <t>14269-75-1</t>
  </si>
  <si>
    <t>U238</t>
  </si>
  <si>
    <t>uranium 238</t>
  </si>
  <si>
    <t>UITLGG</t>
  </si>
  <si>
    <t>Uitloging</t>
  </si>
  <si>
    <t>V48</t>
  </si>
  <si>
    <t>vanadium 48</t>
  </si>
  <si>
    <t>14331-97-6</t>
  </si>
  <si>
    <t>VAARDTE</t>
  </si>
  <si>
    <t>Vaardiepte</t>
  </si>
  <si>
    <t>VARAEGKRTR</t>
  </si>
  <si>
    <t>Variant-eigen karakter</t>
  </si>
  <si>
    <t>VEGTTE</t>
  </si>
  <si>
    <t>Vegetatie</t>
  </si>
  <si>
    <t>VELDTZTLKWNM</t>
  </si>
  <si>
    <t>Veldtest zintuiglijke waarnemingen</t>
  </si>
  <si>
    <t>VERBDWDE</t>
  </si>
  <si>
    <t>Verbrandingswaarde (calorische bovenwaarde)</t>
  </si>
  <si>
    <t>VERBTD</t>
  </si>
  <si>
    <t>Verblijftijd</t>
  </si>
  <si>
    <t>VERDNFTR</t>
  </si>
  <si>
    <t>Verdunningsfactor</t>
  </si>
  <si>
    <t>VERDNG</t>
  </si>
  <si>
    <t>Verdunning</t>
  </si>
  <si>
    <t>VERDPG</t>
  </si>
  <si>
    <t>Verdamping</t>
  </si>
  <si>
    <t>VERDPTKT</t>
  </si>
  <si>
    <t>Verdampingstekort</t>
  </si>
  <si>
    <t>VERMGN</t>
  </si>
  <si>
    <t>Vermogen</t>
  </si>
  <si>
    <t>VERORNGG</t>
  </si>
  <si>
    <t>Verontreiniging</t>
  </si>
  <si>
    <t>VERPTSG</t>
  </si>
  <si>
    <t>verplaatsing</t>
  </si>
  <si>
    <t>VERVLWDE</t>
  </si>
  <si>
    <t>Vervuilingswaarde</t>
  </si>
  <si>
    <t>VERZDGGD</t>
  </si>
  <si>
    <t>Verzadigingsgraad</t>
  </si>
  <si>
    <t>VERZRG</t>
  </si>
  <si>
    <t>Verzuring</t>
  </si>
  <si>
    <t>VET</t>
  </si>
  <si>
    <t>Vet</t>
  </si>
  <si>
    <t>VIS</t>
  </si>
  <si>
    <t>Vis-kwaliteit</t>
  </si>
  <si>
    <t>VISCSTT</t>
  </si>
  <si>
    <t>Viscositeit</t>
  </si>
  <si>
    <t>VISSD</t>
  </si>
  <si>
    <t>Visstand</t>
  </si>
  <si>
    <t>VISSN</t>
  </si>
  <si>
    <t>Vissen</t>
  </si>
  <si>
    <t>VISVFTR</t>
  </si>
  <si>
    <t>Visvangstfactor</t>
  </si>
  <si>
    <t>VIS_ABUN</t>
  </si>
  <si>
    <t>Abundantie vissen</t>
  </si>
  <si>
    <t>VIS_LTOB</t>
  </si>
  <si>
    <t>Leeftijdsopbouw vissen</t>
  </si>
  <si>
    <t>VIS_SRTS</t>
  </si>
  <si>
    <t>Soortensamenstelling vissen</t>
  </si>
  <si>
    <t>VIS_gildeCA</t>
  </si>
  <si>
    <t>Visgilde - diadrome soort zoute wateren (CA)</t>
  </si>
  <si>
    <t>VIS_gildeDr</t>
  </si>
  <si>
    <t>Visgilde - diadrome soort rivieren (Dr)</t>
  </si>
  <si>
    <t>VIS_gildeER</t>
  </si>
  <si>
    <t>Visgilde - estuarien residente soort (ER)</t>
  </si>
  <si>
    <t>VIS_gildeEu</t>
  </si>
  <si>
    <t>Visgilde - eurytope soort (Eu)</t>
  </si>
  <si>
    <t>VIS_gildeEx</t>
  </si>
  <si>
    <t>Visgilde - exote soort (Ex)</t>
  </si>
  <si>
    <t>VIS_gildeFW</t>
  </si>
  <si>
    <t>Visgilde - zoetwater soort (FW)</t>
  </si>
  <si>
    <t>VIS_gildeHg</t>
  </si>
  <si>
    <t>Visgilde - habitatgevoelige soort (Hg)</t>
  </si>
  <si>
    <t>VIS_gildeLi</t>
  </si>
  <si>
    <t>Visgilde - limnofiele soort (Li)</t>
  </si>
  <si>
    <t>VIS_gildeMJ</t>
  </si>
  <si>
    <t>Visgilde - mariene juveniel (MJ)</t>
  </si>
  <si>
    <t>VIS_gildeMJS</t>
  </si>
  <si>
    <t>Visgilde - mariene juveniel/seizoensgast (MJ+MS)</t>
  </si>
  <si>
    <t>VIS_gildeMS</t>
  </si>
  <si>
    <t>Visgilde - mariene seizoensgast (MS)</t>
  </si>
  <si>
    <t>VIS_gildeMi</t>
  </si>
  <si>
    <t>Visgilde - migrerende soort (Mi)</t>
  </si>
  <si>
    <t>VIS_gildeO2</t>
  </si>
  <si>
    <t>Visgilde - zuurstoftolerante soort (O2)</t>
  </si>
  <si>
    <t>VIS_gildePm</t>
  </si>
  <si>
    <t>Visgilde - plantminnende soort (Pm)</t>
  </si>
  <si>
    <t>VIS_gildePmM</t>
  </si>
  <si>
    <t>Visgilde - plantminnende en migrerende soort (PmM)</t>
  </si>
  <si>
    <t>VIS_gildeRh</t>
  </si>
  <si>
    <t>Visgilde - rheofiele soort (Rh)</t>
  </si>
  <si>
    <t>VIS_gildeZ1</t>
  </si>
  <si>
    <t>Visgilde - chloridetolerante soort middel (Z1)</t>
  </si>
  <si>
    <t>VIS_gildeZ12</t>
  </si>
  <si>
    <t>Visgilde - chloridetolerante soort (Z1+Z2)</t>
  </si>
  <si>
    <t>VIS_gildeZ2</t>
  </si>
  <si>
    <t>Visgilde - chloridetolerante soort laag (Z2)</t>
  </si>
  <si>
    <t>VIS_gildeZ3</t>
  </si>
  <si>
    <t>Visgilde - plantminnende soort (Z3)</t>
  </si>
  <si>
    <t>VIS_groepBB</t>
  </si>
  <si>
    <t>Visgroep - baars en blankvoorn (BB)</t>
  </si>
  <si>
    <t>VIS_groepBK</t>
  </si>
  <si>
    <t>Visgroep - brasem en karper (BK)</t>
  </si>
  <si>
    <t>VIS_groepRkl</t>
  </si>
  <si>
    <t>Visgroep - soorten in kleine rivieren</t>
  </si>
  <si>
    <t>VITLTT</t>
  </si>
  <si>
    <t>Vitaliteit</t>
  </si>
  <si>
    <t>VLOEDMBDKG</t>
  </si>
  <si>
    <t>Vloedmerkbedekking</t>
  </si>
  <si>
    <t>VOEDSSTGE</t>
  </si>
  <si>
    <t>Voedselstrategie</t>
  </si>
  <si>
    <t>VOEDTSD</t>
  </si>
  <si>
    <t>Voedingstoestand</t>
  </si>
  <si>
    <t>VOGL</t>
  </si>
  <si>
    <t>Vogel</t>
  </si>
  <si>
    <t>VOLME</t>
  </si>
  <si>
    <t>Volume</t>
  </si>
  <si>
    <t>VOLMFTE</t>
  </si>
  <si>
    <t>Volumefractie</t>
  </si>
  <si>
    <t>VOORBWKHSCE</t>
  </si>
  <si>
    <t>Voorbewerking headspace</t>
  </si>
  <si>
    <t>VOZ</t>
  </si>
  <si>
    <t>Vluchtige organische zuren</t>
  </si>
  <si>
    <t>VOZ/ALKLTT</t>
  </si>
  <si>
    <t>Verhouding VOZ/ALKLTT</t>
  </si>
  <si>
    <t>VUIL</t>
  </si>
  <si>
    <t>Vuil</t>
  </si>
  <si>
    <t>W181</t>
  </si>
  <si>
    <t>wolfraam 181</t>
  </si>
  <si>
    <t>15749-46-9</t>
  </si>
  <si>
    <t>WARMTE</t>
  </si>
  <si>
    <t>Warmte</t>
  </si>
  <si>
    <t>WATCME</t>
  </si>
  <si>
    <t>Waterchemie</t>
  </si>
  <si>
    <t>WATDK</t>
  </si>
  <si>
    <t>waterdruk</t>
  </si>
  <si>
    <t>WATDTE</t>
  </si>
  <si>
    <t>Waterdiepte</t>
  </si>
  <si>
    <t>WATERBTE</t>
  </si>
  <si>
    <t>Waterbreedte</t>
  </si>
  <si>
    <t>WATEROPVTE</t>
  </si>
  <si>
    <t>Wateroppervlakte</t>
  </si>
  <si>
    <t>WATHTE</t>
  </si>
  <si>
    <t>Waterhoogte</t>
  </si>
  <si>
    <t>WATOZT</t>
  </si>
  <si>
    <t>Wateropzet</t>
  </si>
  <si>
    <t>WATPTN</t>
  </si>
  <si>
    <t>Waterplanten</t>
  </si>
  <si>
    <t>WATR</t>
  </si>
  <si>
    <t>Water</t>
  </si>
  <si>
    <t>WATSWSLG</t>
  </si>
  <si>
    <t>Waterstandswisseling</t>
  </si>
  <si>
    <t>WEERGSHD</t>
  </si>
  <si>
    <t>Weergesteldheid</t>
  </si>
  <si>
    <t>WHO-TEQ</t>
  </si>
  <si>
    <t>Toxisch equivalent volgens WHO</t>
  </si>
  <si>
    <t>WINDKT</t>
  </si>
  <si>
    <t>Windkracht</t>
  </si>
  <si>
    <t>WINDRTG</t>
  </si>
  <si>
    <t>Windrichting</t>
  </si>
  <si>
    <t>WINDSHD</t>
  </si>
  <si>
    <t>Windsnelheid</t>
  </si>
  <si>
    <t>WOBBIDX</t>
  </si>
  <si>
    <t>Wobbe index</t>
  </si>
  <si>
    <t>WORO</t>
  </si>
  <si>
    <t>Woronichinia</t>
  </si>
  <si>
    <t>XMC</t>
  </si>
  <si>
    <t>3,5-xylylmethylcarbamaat</t>
  </si>
  <si>
    <t>2655-14-3</t>
  </si>
  <si>
    <t>X_CODNT</t>
  </si>
  <si>
    <t>X-coordinaat</t>
  </si>
  <si>
    <t>Y88</t>
  </si>
  <si>
    <t>yttrium 88</t>
  </si>
  <si>
    <t>13982-36-0</t>
  </si>
  <si>
    <t>Y91</t>
  </si>
  <si>
    <t>yttrium 91</t>
  </si>
  <si>
    <t>14234-24-3</t>
  </si>
  <si>
    <t>Y_CODNT</t>
  </si>
  <si>
    <t>Y-coordinaat</t>
  </si>
  <si>
    <t>Yb175</t>
  </si>
  <si>
    <t>ytterbium 175</t>
  </si>
  <si>
    <t>14041-44-2</t>
  </si>
  <si>
    <t>ZAND</t>
  </si>
  <si>
    <t>Zand</t>
  </si>
  <si>
    <t>ZGV_AREA</t>
  </si>
  <si>
    <t>Areaal zeegrasvelden</t>
  </si>
  <si>
    <t>ZGV_DSRT</t>
  </si>
  <si>
    <t>Dichtheid soorten zeegras</t>
  </si>
  <si>
    <t>ZICHT</t>
  </si>
  <si>
    <t>Doorzicht</t>
  </si>
  <si>
    <t>ZOOPT</t>
  </si>
  <si>
    <t>Zooplankton</t>
  </si>
  <si>
    <t>ZOUTHHDG</t>
  </si>
  <si>
    <t>Zouthuishouding</t>
  </si>
  <si>
    <t>ZUURKRTR</t>
  </si>
  <si>
    <t>Zuurkarakter</t>
  </si>
  <si>
    <t>ZWEMMJK</t>
  </si>
  <si>
    <t>Zwemmersjeuk</t>
  </si>
  <si>
    <t>ZWEMWTKLTT</t>
  </si>
  <si>
    <t>Zwemwaterkwaliteit (eindoordeel)</t>
  </si>
  <si>
    <t>Zn65</t>
  </si>
  <si>
    <t>zink 65</t>
  </si>
  <si>
    <t>13982-39-3</t>
  </si>
  <si>
    <t>ZnCl</t>
  </si>
  <si>
    <t>zinkchloride</t>
  </si>
  <si>
    <t>7646-85-7</t>
  </si>
  <si>
    <t>ZnO</t>
  </si>
  <si>
    <t>zinkoxide</t>
  </si>
  <si>
    <t>1314-13-2</t>
  </si>
  <si>
    <t>Znprton</t>
  </si>
  <si>
    <t>zinkpyrithion</t>
  </si>
  <si>
    <t>13463-41-7</t>
  </si>
  <si>
    <t>Zr95</t>
  </si>
  <si>
    <t>zirconium 95</t>
  </si>
  <si>
    <t>13967-71-0</t>
  </si>
  <si>
    <t>aC1ysrn</t>
  </si>
  <si>
    <t>alfa-methylstyreen</t>
  </si>
  <si>
    <t>98-83-9</t>
  </si>
  <si>
    <t>aC6ycinnAh</t>
  </si>
  <si>
    <t>alfa-hexylcinnamaldehyde</t>
  </si>
  <si>
    <t>101-86-0</t>
  </si>
  <si>
    <t>aClfvfs</t>
  </si>
  <si>
    <t>alfa-chloorfenvinfos</t>
  </si>
  <si>
    <t>18708-87-7</t>
  </si>
  <si>
    <t>aFyBenC1ol</t>
  </si>
  <si>
    <t>alfa-fenylbenzeenmethanol</t>
  </si>
  <si>
    <t>91-01-0</t>
  </si>
  <si>
    <t>aHBCD</t>
  </si>
  <si>
    <t>alfa-hexabroomcyclododecaan</t>
  </si>
  <si>
    <t>134237-50-6</t>
  </si>
  <si>
    <t>aHCH</t>
  </si>
  <si>
    <t>alfa-hexachloorcyclohexaan</t>
  </si>
  <si>
    <t>319-84-6</t>
  </si>
  <si>
    <t>aHOxTol</t>
  </si>
  <si>
    <t>alfa-hydroxytolueen</t>
  </si>
  <si>
    <t>100-51-6</t>
  </si>
  <si>
    <t>aaDClTol</t>
  </si>
  <si>
    <t>alfa,alfa-dichloortolueen</t>
  </si>
  <si>
    <t>98-87-3</t>
  </si>
  <si>
    <t>abmtne</t>
  </si>
  <si>
    <t>abamectine</t>
  </si>
  <si>
    <t>71751-41-2</t>
  </si>
  <si>
    <t>acAd</t>
  </si>
  <si>
    <t>acrylamide</t>
  </si>
  <si>
    <t>79-06-1</t>
  </si>
  <si>
    <t>acAh</t>
  </si>
  <si>
    <t>acrylaldehyde</t>
  </si>
  <si>
    <t>107-02-8</t>
  </si>
  <si>
    <t>acFfNazt</t>
  </si>
  <si>
    <t>acifluorfen-natriumzout</t>
  </si>
  <si>
    <t>62476-59-9</t>
  </si>
  <si>
    <t>acbzlSC1y</t>
  </si>
  <si>
    <t>acibenzolar-S-methyl</t>
  </si>
  <si>
    <t>135158-54-2</t>
  </si>
  <si>
    <t>acdne</t>
  </si>
  <si>
    <t>acridine</t>
  </si>
  <si>
    <t>260-94-6</t>
  </si>
  <si>
    <t>acft</t>
  </si>
  <si>
    <t>acefaat</t>
  </si>
  <si>
    <t>30560-19-1</t>
  </si>
  <si>
    <t>aclinC1y</t>
  </si>
  <si>
    <t>2-butenal (cis en trans)</t>
  </si>
  <si>
    <t>4170-30-3</t>
  </si>
  <si>
    <t>aclntl</t>
  </si>
  <si>
    <t>acrylonitril</t>
  </si>
  <si>
    <t>107-13-1</t>
  </si>
  <si>
    <t>acmtnB1a</t>
  </si>
  <si>
    <t>avermectin B1a</t>
  </si>
  <si>
    <t>65195-55-3</t>
  </si>
  <si>
    <t>acnfn</t>
  </si>
  <si>
    <t>aclonifen</t>
  </si>
  <si>
    <t>74070-46-5</t>
  </si>
  <si>
    <t>acntn</t>
  </si>
  <si>
    <t>acrinathrin</t>
  </si>
  <si>
    <t>103833-18-7</t>
  </si>
  <si>
    <t>acpmtn</t>
  </si>
  <si>
    <t>alfa-cypermethrin</t>
  </si>
  <si>
    <t>67375-30-8</t>
  </si>
  <si>
    <t>acqncl</t>
  </si>
  <si>
    <t>acequinocyl</t>
  </si>
  <si>
    <t>57960-19-7</t>
  </si>
  <si>
    <t>acsfmeK</t>
  </si>
  <si>
    <t>acesulfame K</t>
  </si>
  <si>
    <t>55589-62-3</t>
  </si>
  <si>
    <t>actAd</t>
  </si>
  <si>
    <t>aceetamide</t>
  </si>
  <si>
    <t>60-35-5</t>
  </si>
  <si>
    <t>actCl</t>
  </si>
  <si>
    <t>acetochloor</t>
  </si>
  <si>
    <t>34256-82-1</t>
  </si>
  <si>
    <t>actctne</t>
  </si>
  <si>
    <t>acetylcysteine</t>
  </si>
  <si>
    <t>616-91-1</t>
  </si>
  <si>
    <t>actfnn</t>
  </si>
  <si>
    <t>acetofenon</t>
  </si>
  <si>
    <t>98-86-2</t>
  </si>
  <si>
    <t>actmpd</t>
  </si>
  <si>
    <t>acetamiprid</t>
  </si>
  <si>
    <t>135410-20-7</t>
  </si>
  <si>
    <t>actn</t>
  </si>
  <si>
    <t>aceton</t>
  </si>
  <si>
    <t>67-64-1</t>
  </si>
  <si>
    <t>actnlt</t>
  </si>
  <si>
    <t>actinoliet (groene asbest)</t>
  </si>
  <si>
    <t>77536-66-4</t>
  </si>
  <si>
    <t>actntl</t>
  </si>
  <si>
    <t>acetonitril</t>
  </si>
  <si>
    <t>75-05-8</t>
  </si>
  <si>
    <t>actsfmtozl</t>
  </si>
  <si>
    <t>acetylsulfamethoxazol</t>
  </si>
  <si>
    <t>21312-10-7</t>
  </si>
  <si>
    <t>aedsfn</t>
  </si>
  <si>
    <t>alfa-endosulfan</t>
  </si>
  <si>
    <t>959-98-8</t>
  </si>
  <si>
    <t>afencactt</t>
  </si>
  <si>
    <t>alfa-fenchylacetaat</t>
  </si>
  <si>
    <t>4057-31-2</t>
  </si>
  <si>
    <t>aiC1yionn</t>
  </si>
  <si>
    <t>alfa-isomethylionon</t>
  </si>
  <si>
    <t>127-51-5</t>
  </si>
  <si>
    <t>alCl</t>
  </si>
  <si>
    <t>alachloor</t>
  </si>
  <si>
    <t>15972-60-8</t>
  </si>
  <si>
    <t>alDcSO</t>
  </si>
  <si>
    <t>aldicarbsulfoxide</t>
  </si>
  <si>
    <t>1646-87-3</t>
  </si>
  <si>
    <t>alDcb</t>
  </si>
  <si>
    <t>aldicarb</t>
  </si>
  <si>
    <t>116-06-3</t>
  </si>
  <si>
    <t>alDcsfn</t>
  </si>
  <si>
    <t>aldicarbsulfon</t>
  </si>
  <si>
    <t>1646-88-4</t>
  </si>
  <si>
    <t>aldn</t>
  </si>
  <si>
    <t>aldrin</t>
  </si>
  <si>
    <t>309-00-2</t>
  </si>
  <si>
    <t>alfzsn</t>
  </si>
  <si>
    <t>alfuzosin</t>
  </si>
  <si>
    <t>81403-80-7</t>
  </si>
  <si>
    <t>alkC10C13Ben</t>
  </si>
  <si>
    <t>alkyl(C10-C13)benzeen</t>
  </si>
  <si>
    <t>67774-74-7</t>
  </si>
  <si>
    <t>allachl</t>
  </si>
  <si>
    <t>allylalcohol</t>
  </si>
  <si>
    <t>107-18-6</t>
  </si>
  <si>
    <t>allprnl</t>
  </si>
  <si>
    <t>allopurinol</t>
  </si>
  <si>
    <t>315-30-0</t>
  </si>
  <si>
    <t>alltn</t>
  </si>
  <si>
    <t>allethrin</t>
  </si>
  <si>
    <t>584-79-2</t>
  </si>
  <si>
    <t>allxdm</t>
  </si>
  <si>
    <t>alloxydim</t>
  </si>
  <si>
    <t>55634-91-8</t>
  </si>
  <si>
    <t>alncb</t>
  </si>
  <si>
    <t>alanycarb</t>
  </si>
  <si>
    <t>83130-01-2</t>
  </si>
  <si>
    <t>alnlzr</t>
  </si>
  <si>
    <t>alfa-linoleenzuur</t>
  </si>
  <si>
    <t>463-40-1</t>
  </si>
  <si>
    <t>alpzlm</t>
  </si>
  <si>
    <t>alprazolam</t>
  </si>
  <si>
    <t>28981-97-7</t>
  </si>
  <si>
    <t>amactt</t>
  </si>
  <si>
    <t>amylacetaat</t>
  </si>
  <si>
    <t>628-63-7</t>
  </si>
  <si>
    <t>amcnnde</t>
  </si>
  <si>
    <t>amcinonide</t>
  </si>
  <si>
    <t>51022-69-6</t>
  </si>
  <si>
    <t>amdTzinzr</t>
  </si>
  <si>
    <t>amidotrizoïnezuur</t>
  </si>
  <si>
    <t>117-96-4</t>
  </si>
  <si>
    <t>amdsfrn</t>
  </si>
  <si>
    <t>amidosulfuron</t>
  </si>
  <si>
    <t>120923-37-7</t>
  </si>
  <si>
    <t>amfAe</t>
  </si>
  <si>
    <t>amfetamine</t>
  </si>
  <si>
    <t>300-62-9</t>
  </si>
  <si>
    <t>amodne</t>
  </si>
  <si>
    <t>amiodarone</t>
  </si>
  <si>
    <t>1951-25-3</t>
  </si>
  <si>
    <t>ampclne</t>
  </si>
  <si>
    <t>ampicilline</t>
  </si>
  <si>
    <t>69-53-4</t>
  </si>
  <si>
    <t>amsbm</t>
  </si>
  <si>
    <t>amisulbrom</t>
  </si>
  <si>
    <t>348635-87-0</t>
  </si>
  <si>
    <t>amspde</t>
  </si>
  <si>
    <t>amisulpride</t>
  </si>
  <si>
    <t>71675-85-9</t>
  </si>
  <si>
    <t>amst</t>
  </si>
  <si>
    <t>amosiet (bruine asbest)</t>
  </si>
  <si>
    <t>12172-73-5</t>
  </si>
  <si>
    <t>amtl</t>
  </si>
  <si>
    <t>amitrol</t>
  </si>
  <si>
    <t>61-82-5</t>
  </si>
  <si>
    <t>amtn</t>
  </si>
  <si>
    <t>ametryn</t>
  </si>
  <si>
    <t>834-12-8</t>
  </si>
  <si>
    <t>amttdn</t>
  </si>
  <si>
    <t>ametoctradin</t>
  </si>
  <si>
    <t>865318-97-4</t>
  </si>
  <si>
    <t>amttlne</t>
  </si>
  <si>
    <t>amitriptyline</t>
  </si>
  <si>
    <t>50-48-6</t>
  </si>
  <si>
    <t>amtz</t>
  </si>
  <si>
    <t>amitraz</t>
  </si>
  <si>
    <t>33089-61-1</t>
  </si>
  <si>
    <t>amxclne</t>
  </si>
  <si>
    <t>amoxicilline</t>
  </si>
  <si>
    <t>26787-78-0</t>
  </si>
  <si>
    <t>anHertmcne</t>
  </si>
  <si>
    <t>anhydro-erythromycine</t>
  </si>
  <si>
    <t>23893-13-2</t>
  </si>
  <si>
    <t>ancmdl</t>
  </si>
  <si>
    <t>ancymidol</t>
  </si>
  <si>
    <t>12771-68-5</t>
  </si>
  <si>
    <t>anlzne</t>
  </si>
  <si>
    <t>anilazine</t>
  </si>
  <si>
    <t>101-05-3</t>
  </si>
  <si>
    <t>ansl</t>
  </si>
  <si>
    <t>anisool</t>
  </si>
  <si>
    <t>100-66-3</t>
  </si>
  <si>
    <t>antcnn</t>
  </si>
  <si>
    <t>antrachinon</t>
  </si>
  <si>
    <t>84-65-1</t>
  </si>
  <si>
    <t>antplt</t>
  </si>
  <si>
    <t>anthophylliet (gele asbest)</t>
  </si>
  <si>
    <t>77536-67-5</t>
  </si>
  <si>
    <t>antxna</t>
  </si>
  <si>
    <t>anatoxine-a</t>
  </si>
  <si>
    <t>64285-06-9</t>
  </si>
  <si>
    <t>apnn</t>
  </si>
  <si>
    <t>alfa-pineen</t>
  </si>
  <si>
    <t>80-56-8</t>
  </si>
  <si>
    <t>arcdnzr</t>
  </si>
  <si>
    <t>arachidonzuur</t>
  </si>
  <si>
    <t>506-32-1</t>
  </si>
  <si>
    <t>arcdzr</t>
  </si>
  <si>
    <t>arachidezuur</t>
  </si>
  <si>
    <t>506-30-9</t>
  </si>
  <si>
    <t>armt</t>
  </si>
  <si>
    <t>aramit</t>
  </si>
  <si>
    <t>140-57-8</t>
  </si>
  <si>
    <t>asbt</t>
  </si>
  <si>
    <t>asbest</t>
  </si>
  <si>
    <t>1332-21-4</t>
  </si>
  <si>
    <t>aslm</t>
  </si>
  <si>
    <t>asulam</t>
  </si>
  <si>
    <t>3337-71-1</t>
  </si>
  <si>
    <t>asprne</t>
  </si>
  <si>
    <t>aspirine</t>
  </si>
  <si>
    <t>50-78-2</t>
  </si>
  <si>
    <t>asptm</t>
  </si>
  <si>
    <t>aspartaam</t>
  </si>
  <si>
    <t>22839-47-0</t>
  </si>
  <si>
    <t>aterpnol</t>
  </si>
  <si>
    <t>alfa-terpineol</t>
  </si>
  <si>
    <t>98-55-5</t>
  </si>
  <si>
    <t>atnll</t>
  </si>
  <si>
    <t>atenolol</t>
  </si>
  <si>
    <t>29122-68-7</t>
  </si>
  <si>
    <t>attn</t>
  </si>
  <si>
    <t>atraton</t>
  </si>
  <si>
    <t>1610-17-9</t>
  </si>
  <si>
    <t>atvttne</t>
  </si>
  <si>
    <t>atorvastatine</t>
  </si>
  <si>
    <t>134523-00-5</t>
  </si>
  <si>
    <t>atzne</t>
  </si>
  <si>
    <t>atrazine</t>
  </si>
  <si>
    <t>1912-24-9</t>
  </si>
  <si>
    <t>azBen</t>
  </si>
  <si>
    <t>azobenzeen</t>
  </si>
  <si>
    <t>103-33-3</t>
  </si>
  <si>
    <t>azacnzl</t>
  </si>
  <si>
    <t>azaconazool</t>
  </si>
  <si>
    <t>60207-31-0</t>
  </si>
  <si>
    <t>azdn</t>
  </si>
  <si>
    <t>azodrin</t>
  </si>
  <si>
    <t>83857-41-4</t>
  </si>
  <si>
    <t>azdrtn</t>
  </si>
  <si>
    <t>azadirachtin</t>
  </si>
  <si>
    <t>11141-17-6</t>
  </si>
  <si>
    <t>azltne</t>
  </si>
  <si>
    <t>azelastine</t>
  </si>
  <si>
    <t>58581-89-8</t>
  </si>
  <si>
    <t>azmtfs</t>
  </si>
  <si>
    <t>azamethifos</t>
  </si>
  <si>
    <t>35575-96-3</t>
  </si>
  <si>
    <t>azoxsbn</t>
  </si>
  <si>
    <t>azoxystrobin</t>
  </si>
  <si>
    <t>131860-33-8</t>
  </si>
  <si>
    <t>azptn</t>
  </si>
  <si>
    <t>aziprotryn</t>
  </si>
  <si>
    <t>4658-28-0</t>
  </si>
  <si>
    <t>azsfrn</t>
  </si>
  <si>
    <t>azimsulfuron</t>
  </si>
  <si>
    <t>120162-55-2</t>
  </si>
  <si>
    <t>aztmcne</t>
  </si>
  <si>
    <t>azitromycine</t>
  </si>
  <si>
    <t>83905-01-5</t>
  </si>
  <si>
    <t>bBrbNO2srn</t>
  </si>
  <si>
    <t>beta-broom-beta-nitrostyreen</t>
  </si>
  <si>
    <t>7166-19-0</t>
  </si>
  <si>
    <t>bClfvfs</t>
  </si>
  <si>
    <t>beta-chloorfenvinfos</t>
  </si>
  <si>
    <t>18708-86-6</t>
  </si>
  <si>
    <t>bHBCD</t>
  </si>
  <si>
    <t>beta-hexabroomcyclododecaan</t>
  </si>
  <si>
    <t>134237-51-7</t>
  </si>
  <si>
    <t>bHCH</t>
  </si>
  <si>
    <t>beta-hexachloorcyclohexaan</t>
  </si>
  <si>
    <t>319-85-7</t>
  </si>
  <si>
    <t>bHpClepO</t>
  </si>
  <si>
    <t>beta-heptachloorepoxide</t>
  </si>
  <si>
    <t>76543-83-4</t>
  </si>
  <si>
    <t>bapOxT4ccne</t>
  </si>
  <si>
    <t>beta-apo-oxytetracycline</t>
  </si>
  <si>
    <t>18751-99-0</t>
  </si>
  <si>
    <t>barbn</t>
  </si>
  <si>
    <t>barban</t>
  </si>
  <si>
    <t>101-27-9</t>
  </si>
  <si>
    <t>bedsfn</t>
  </si>
  <si>
    <t>beta-endosulfan</t>
  </si>
  <si>
    <t>33213-65-9</t>
  </si>
  <si>
    <t>befbtAd</t>
  </si>
  <si>
    <t>beflubutamide</t>
  </si>
  <si>
    <t>113614-08-7</t>
  </si>
  <si>
    <t>benDocb</t>
  </si>
  <si>
    <t>bendiocarb</t>
  </si>
  <si>
    <t>22781-23-3</t>
  </si>
  <si>
    <t>benfn</t>
  </si>
  <si>
    <t>benefin</t>
  </si>
  <si>
    <t>1861-40-1</t>
  </si>
  <si>
    <t>benfrcb</t>
  </si>
  <si>
    <t>benfuracarb</t>
  </si>
  <si>
    <t>82560-54-1</t>
  </si>
  <si>
    <t>benlxl</t>
  </si>
  <si>
    <t>benalaxyl</t>
  </si>
  <si>
    <t>71626-11-4</t>
  </si>
  <si>
    <t>benlxlM</t>
  </si>
  <si>
    <t>benalaxyl-M</t>
  </si>
  <si>
    <t>98243-83-5</t>
  </si>
  <si>
    <t>benml</t>
  </si>
  <si>
    <t>benomyl</t>
  </si>
  <si>
    <t>17804-35-2</t>
  </si>
  <si>
    <t>benodnl</t>
  </si>
  <si>
    <t>benodanil</t>
  </si>
  <si>
    <t>15310-01-7</t>
  </si>
  <si>
    <t>bensfrnC1y</t>
  </si>
  <si>
    <t>bensulfuron-methyl</t>
  </si>
  <si>
    <t>83055-99-6</t>
  </si>
  <si>
    <t>bentavlcbiC3</t>
  </si>
  <si>
    <t>benthiavalicarb-isopropyl</t>
  </si>
  <si>
    <t>177406-68-7</t>
  </si>
  <si>
    <t>bentvlcb</t>
  </si>
  <si>
    <t>benthiavalicarb</t>
  </si>
  <si>
    <t>413615-35-7</t>
  </si>
  <si>
    <t>bentzn</t>
  </si>
  <si>
    <t>bentazon</t>
  </si>
  <si>
    <t>25057-89-0</t>
  </si>
  <si>
    <t>bentznC1y</t>
  </si>
  <si>
    <t>bentazon-methyl</t>
  </si>
  <si>
    <t>61592-45-8</t>
  </si>
  <si>
    <t>benzAd</t>
  </si>
  <si>
    <t>benzamide</t>
  </si>
  <si>
    <t>55-21-0</t>
  </si>
  <si>
    <t>benzAe</t>
  </si>
  <si>
    <t>benzylamine</t>
  </si>
  <si>
    <t>100-46-9</t>
  </si>
  <si>
    <t>benzC4yFt</t>
  </si>
  <si>
    <t>benzylbutylftalaat</t>
  </si>
  <si>
    <t>85-68-7</t>
  </si>
  <si>
    <t>benzCl</t>
  </si>
  <si>
    <t>benzylchloride</t>
  </si>
  <si>
    <t>100-44-7</t>
  </si>
  <si>
    <t>benzDC1yC10y</t>
  </si>
  <si>
    <t>benzyldimethyldecylammoniumchloride</t>
  </si>
  <si>
    <t>965-32-2</t>
  </si>
  <si>
    <t>benzDC1yC14y</t>
  </si>
  <si>
    <t>benzyldimethyltetradecylammoniumchloride</t>
  </si>
  <si>
    <t>139-08-2</t>
  </si>
  <si>
    <t>benzDC1yC16y</t>
  </si>
  <si>
    <t>benzyldimethylhexadecylammoniumchloride</t>
  </si>
  <si>
    <t>122-18-9</t>
  </si>
  <si>
    <t>benzDC1yC18y</t>
  </si>
  <si>
    <t>benzyldimethyloctadecylammoniumchloride</t>
  </si>
  <si>
    <t>122-19-0</t>
  </si>
  <si>
    <t>benzDC1yC8yl</t>
  </si>
  <si>
    <t>benzyldimethyloctylammoniumchloride</t>
  </si>
  <si>
    <t>959-55-7</t>
  </si>
  <si>
    <t>benzadnne</t>
  </si>
  <si>
    <t>benzyladenine</t>
  </si>
  <si>
    <t>1214-39-7</t>
  </si>
  <si>
    <t>benzbzat</t>
  </si>
  <si>
    <t>benzylbenzoaat</t>
  </si>
  <si>
    <t>120-51-4</t>
  </si>
  <si>
    <t>benzcine</t>
  </si>
  <si>
    <t>benzocaine</t>
  </si>
  <si>
    <t>94-09-7</t>
  </si>
  <si>
    <t>benzdne</t>
  </si>
  <si>
    <t>benzidine</t>
  </si>
  <si>
    <t>92-87-5</t>
  </si>
  <si>
    <t>benzezr</t>
  </si>
  <si>
    <t>benzoezuur</t>
  </si>
  <si>
    <t>65-85-0</t>
  </si>
  <si>
    <t>benzfnn</t>
  </si>
  <si>
    <t>benzofenon</t>
  </si>
  <si>
    <t>119-61-9</t>
  </si>
  <si>
    <t>benziC5yEtr</t>
  </si>
  <si>
    <t>benzylisopentylether</t>
  </si>
  <si>
    <t>122-73-6</t>
  </si>
  <si>
    <t>benzln</t>
  </si>
  <si>
    <t>benazolin</t>
  </si>
  <si>
    <t>3813-05-6</t>
  </si>
  <si>
    <t>benzlnC2y</t>
  </si>
  <si>
    <t>benazolin-ethyl</t>
  </si>
  <si>
    <t>25059-80-7</t>
  </si>
  <si>
    <t>benzntl</t>
  </si>
  <si>
    <t>benzonitril</t>
  </si>
  <si>
    <t>100-47-0</t>
  </si>
  <si>
    <t>benztazl</t>
  </si>
  <si>
    <t>benzothiazool</t>
  </si>
  <si>
    <t>95-16-9</t>
  </si>
  <si>
    <t>benztazrn</t>
  </si>
  <si>
    <t>benzthiazuron</t>
  </si>
  <si>
    <t>1929-88-0</t>
  </si>
  <si>
    <t>benzvdfpr</t>
  </si>
  <si>
    <t>benzovindiflupyr</t>
  </si>
  <si>
    <t>1072957-71-1</t>
  </si>
  <si>
    <t>benzxmt</t>
  </si>
  <si>
    <t>benzoximaat</t>
  </si>
  <si>
    <t>29104-30-1</t>
  </si>
  <si>
    <t>benzxnuCl</t>
  </si>
  <si>
    <t>benzoxoniumchloride</t>
  </si>
  <si>
    <t>19379-90-9</t>
  </si>
  <si>
    <t>benzyCl</t>
  </si>
  <si>
    <t>benzoylchloride</t>
  </si>
  <si>
    <t>98-88-4</t>
  </si>
  <si>
    <t>benzyegnne</t>
  </si>
  <si>
    <t>benzoylecgonine</t>
  </si>
  <si>
    <t>519-09-5</t>
  </si>
  <si>
    <t>benzypO</t>
  </si>
  <si>
    <t>benzoylperoxide</t>
  </si>
  <si>
    <t>94-36-0</t>
  </si>
  <si>
    <t>benzypp</t>
  </si>
  <si>
    <t>benzoylprop</t>
  </si>
  <si>
    <t>22212-56-2</t>
  </si>
  <si>
    <t>benzyppC2y</t>
  </si>
  <si>
    <t>benzoylprop-ethyl</t>
  </si>
  <si>
    <t>22212-55-1</t>
  </si>
  <si>
    <t>betxll</t>
  </si>
  <si>
    <t>betaxolol</t>
  </si>
  <si>
    <t>63659-18-7</t>
  </si>
  <si>
    <t>bezafbt</t>
  </si>
  <si>
    <t>bezafibraat</t>
  </si>
  <si>
    <t>41859-67-0</t>
  </si>
  <si>
    <t>bfnx</t>
  </si>
  <si>
    <t>bifenox</t>
  </si>
  <si>
    <t>42576-02-3</t>
  </si>
  <si>
    <t>biFy</t>
  </si>
  <si>
    <t>bifenyl</t>
  </si>
  <si>
    <t>92-52-4</t>
  </si>
  <si>
    <t>bifnzt</t>
  </si>
  <si>
    <t>bifenazaat</t>
  </si>
  <si>
    <t>149877-41-8</t>
  </si>
  <si>
    <t>biftn</t>
  </si>
  <si>
    <t>bifenthrin</t>
  </si>
  <si>
    <t>82657-04-3</t>
  </si>
  <si>
    <t>binpcl</t>
  </si>
  <si>
    <t>binapacryl</t>
  </si>
  <si>
    <t>485-31-4</t>
  </si>
  <si>
    <t>biormtn</t>
  </si>
  <si>
    <t>bioresmethrin</t>
  </si>
  <si>
    <t>28434-01-7</t>
  </si>
  <si>
    <t>biprdn</t>
  </si>
  <si>
    <t>biperiden</t>
  </si>
  <si>
    <t>514-65-8</t>
  </si>
  <si>
    <t>bis2C1oxC2yE</t>
  </si>
  <si>
    <t>bis(2-methoxyethyl)ether</t>
  </si>
  <si>
    <t>111-96-6</t>
  </si>
  <si>
    <t>bis2ClC2oxC1</t>
  </si>
  <si>
    <t>bis(2-chloorethoxy)methaan</t>
  </si>
  <si>
    <t>111-91-1</t>
  </si>
  <si>
    <t>bisC4yeT4HfA</t>
  </si>
  <si>
    <t>bis(butyleen)tetrahydrofuraldehyde</t>
  </si>
  <si>
    <t>126-15-8</t>
  </si>
  <si>
    <t>bisFolA</t>
  </si>
  <si>
    <t>bisfenol-A</t>
  </si>
  <si>
    <t>80-05-7</t>
  </si>
  <si>
    <t>bisFolF</t>
  </si>
  <si>
    <t>bisfenol-F</t>
  </si>
  <si>
    <t>2467-02-9</t>
  </si>
  <si>
    <t>bisPFC10yPO4</t>
  </si>
  <si>
    <t>bisperfluordecyl fosfaat</t>
  </si>
  <si>
    <t>678-41-1</t>
  </si>
  <si>
    <t>bisTClC1ysfn</t>
  </si>
  <si>
    <t>bis(trichloormethyl)sulfon</t>
  </si>
  <si>
    <t>3064-70-8</t>
  </si>
  <si>
    <t>bispll</t>
  </si>
  <si>
    <t>bisoprolol</t>
  </si>
  <si>
    <t>66722-44-9</t>
  </si>
  <si>
    <t>bittnl</t>
  </si>
  <si>
    <t>bitertanol</t>
  </si>
  <si>
    <t>55179-31-2</t>
  </si>
  <si>
    <t>bixfn</t>
  </si>
  <si>
    <t>bixafen</t>
  </si>
  <si>
    <t>581809-46-3</t>
  </si>
  <si>
    <t>boorzr</t>
  </si>
  <si>
    <t>boorzuur</t>
  </si>
  <si>
    <t>10043-35-3</t>
  </si>
  <si>
    <t>bornfmat</t>
  </si>
  <si>
    <t>bornylformiaat</t>
  </si>
  <si>
    <t>7492-41-3</t>
  </si>
  <si>
    <t>bornol</t>
  </si>
  <si>
    <t>borneol</t>
  </si>
  <si>
    <t>507-70-0</t>
  </si>
  <si>
    <t>boscld</t>
  </si>
  <si>
    <t>boscalid</t>
  </si>
  <si>
    <t>188425-85-6</t>
  </si>
  <si>
    <t>botzr</t>
  </si>
  <si>
    <t>boterzuur</t>
  </si>
  <si>
    <t>107-92-6</t>
  </si>
  <si>
    <t>bppoltn</t>
  </si>
  <si>
    <t>beta-propiolacton</t>
  </si>
  <si>
    <t>57-57-8</t>
  </si>
  <si>
    <t>brmrn</t>
  </si>
  <si>
    <t>bromuron</t>
  </si>
  <si>
    <t>3408-97-7</t>
  </si>
  <si>
    <t>brodfcm</t>
  </si>
  <si>
    <t>brodifacum</t>
  </si>
  <si>
    <t>56073-10-0</t>
  </si>
  <si>
    <t>bromcl</t>
  </si>
  <si>
    <t>bromacil</t>
  </si>
  <si>
    <t>314-40-9</t>
  </si>
  <si>
    <t>bromcnzl</t>
  </si>
  <si>
    <t>bromuconazool</t>
  </si>
  <si>
    <t>116255-48-2</t>
  </si>
  <si>
    <t>bromdoln</t>
  </si>
  <si>
    <t>bromadiolon</t>
  </si>
  <si>
    <t>28772-56-7</t>
  </si>
  <si>
    <t>bromxnbtrt</t>
  </si>
  <si>
    <t>bromoxynil butyraat</t>
  </si>
  <si>
    <t>3861-41-4</t>
  </si>
  <si>
    <t>bronpl</t>
  </si>
  <si>
    <t>bronopol</t>
  </si>
  <si>
    <t>52-51-7</t>
  </si>
  <si>
    <t>brucne</t>
  </si>
  <si>
    <t>brucine</t>
  </si>
  <si>
    <t>357-57-3</t>
  </si>
  <si>
    <t>bsitsrl</t>
  </si>
  <si>
    <t>beta-sitosterol</t>
  </si>
  <si>
    <t>83-46-5</t>
  </si>
  <si>
    <t>bumnfs</t>
  </si>
  <si>
    <t>buminafos</t>
  </si>
  <si>
    <t>51249-05-9</t>
  </si>
  <si>
    <t>bupfzn</t>
  </si>
  <si>
    <t>buprofezin</t>
  </si>
  <si>
    <t>69327-76-0</t>
  </si>
  <si>
    <t>bupofne</t>
  </si>
  <si>
    <t>buprenorfine</t>
  </si>
  <si>
    <t>52485-79-7</t>
  </si>
  <si>
    <t>buppon</t>
  </si>
  <si>
    <t>bupropion</t>
  </si>
  <si>
    <t>34911-55-2</t>
  </si>
  <si>
    <t>buprmt</t>
  </si>
  <si>
    <t>bupirimaat</t>
  </si>
  <si>
    <t>41483-43-6</t>
  </si>
  <si>
    <t>butCl</t>
  </si>
  <si>
    <t>butachloor</t>
  </si>
  <si>
    <t>23184-66-9</t>
  </si>
  <si>
    <t>butcbOxm</t>
  </si>
  <si>
    <t>butocarboxim</t>
  </si>
  <si>
    <t>34681-10-2</t>
  </si>
  <si>
    <t>butcbOxmSO</t>
  </si>
  <si>
    <t>butocarboximsulfoxide</t>
  </si>
  <si>
    <t>34681-24-8</t>
  </si>
  <si>
    <t>butcbOxmsfn</t>
  </si>
  <si>
    <t>butocarboximsulfon</t>
  </si>
  <si>
    <t>34681-23-7</t>
  </si>
  <si>
    <t>butln</t>
  </si>
  <si>
    <t>butralin</t>
  </si>
  <si>
    <t>33629-47-9</t>
  </si>
  <si>
    <t>butrn</t>
  </si>
  <si>
    <t>buturon</t>
  </si>
  <si>
    <t>3766-60-7</t>
  </si>
  <si>
    <t>c10C17ezr</t>
  </si>
  <si>
    <t>cis-10-heptadeceenzuur</t>
  </si>
  <si>
    <t>29743-97-3</t>
  </si>
  <si>
    <t>c111417C20aT</t>
  </si>
  <si>
    <t>cis-11,14,17-eicosatrieenzuur</t>
  </si>
  <si>
    <t>2091-27-2</t>
  </si>
  <si>
    <t>c1114C20aDzr</t>
  </si>
  <si>
    <t>cis-11,14-eicosadieenzuur</t>
  </si>
  <si>
    <t>5598-38-9</t>
  </si>
  <si>
    <t>c11C16ezr</t>
  </si>
  <si>
    <t>cis-11-hexadeceenzuur</t>
  </si>
  <si>
    <t>2416-20-8</t>
  </si>
  <si>
    <t>c11C20ezr</t>
  </si>
  <si>
    <t>cis-11-eicoseenzuur</t>
  </si>
  <si>
    <t>5561-99-9</t>
  </si>
  <si>
    <t>c12DClC2e</t>
  </si>
  <si>
    <t>cis-1,2-dichlooretheen</t>
  </si>
  <si>
    <t>156-59-2</t>
  </si>
  <si>
    <t>c12DClC3e</t>
  </si>
  <si>
    <t>cis-1,2-dichloorpropeen</t>
  </si>
  <si>
    <t>6923-20-2</t>
  </si>
  <si>
    <t>c1316C22aDzr</t>
  </si>
  <si>
    <t>cis-13,16-docosadieenzuur</t>
  </si>
  <si>
    <t>7370-49-2</t>
  </si>
  <si>
    <t>c13DClC3e</t>
  </si>
  <si>
    <t>cis-1,3-dichloorpropeen</t>
  </si>
  <si>
    <t>10061-01-5</t>
  </si>
  <si>
    <t>c15C24ezr</t>
  </si>
  <si>
    <t>cis-15-tetracoseenzuur</t>
  </si>
  <si>
    <t>506-37-6</t>
  </si>
  <si>
    <t>c2C4eal</t>
  </si>
  <si>
    <t>cis-2-butenal</t>
  </si>
  <si>
    <t>15798-64-8</t>
  </si>
  <si>
    <t>c81114C20aTz</t>
  </si>
  <si>
    <t>cis-8,11,14-eicosatrieenzuur</t>
  </si>
  <si>
    <t>1783-84-2</t>
  </si>
  <si>
    <t>cC15ezr</t>
  </si>
  <si>
    <t>cis-pentadeceenzuur</t>
  </si>
  <si>
    <t>29255-62-7</t>
  </si>
  <si>
    <t>cC20aPezr</t>
  </si>
  <si>
    <t>cis-5,8,11,14,17-eicosapentaeenzuur</t>
  </si>
  <si>
    <t>10417-94-4</t>
  </si>
  <si>
    <t>cC22aHxzr</t>
  </si>
  <si>
    <t>cis-4,7,10,13,16,19-docosahexaeenzuur</t>
  </si>
  <si>
    <t>6217-54-5</t>
  </si>
  <si>
    <t>cCldn</t>
  </si>
  <si>
    <t>cis-chloordaan</t>
  </si>
  <si>
    <t>5103-71-9</t>
  </si>
  <si>
    <t>cF16C10ezr</t>
  </si>
  <si>
    <t>cis-hexadecafluor-2-deceenzuur</t>
  </si>
  <si>
    <t>70887-84-2</t>
  </si>
  <si>
    <t>cHBCD</t>
  </si>
  <si>
    <t>gamma-hexabroomcyclododecaan</t>
  </si>
  <si>
    <t>134237-52-8</t>
  </si>
  <si>
    <t>cHCH</t>
  </si>
  <si>
    <t>gamma-hexachloorcyclohexaan (lindaan)</t>
  </si>
  <si>
    <t>58-89-9</t>
  </si>
  <si>
    <t>cHpClepO</t>
  </si>
  <si>
    <t>cis-heptachloorepoxide</t>
  </si>
  <si>
    <t>1024-57-3</t>
  </si>
  <si>
    <t>cNnCl</t>
  </si>
  <si>
    <t>cis-nonachloor</t>
  </si>
  <si>
    <t>5103-73-1</t>
  </si>
  <si>
    <t>cT4Clvfs</t>
  </si>
  <si>
    <t>cis-tetrachloorvinfos (Z-isomeer)</t>
  </si>
  <si>
    <t>22248-79-9</t>
  </si>
  <si>
    <t>cadsfs</t>
  </si>
  <si>
    <t>cadusafos</t>
  </si>
  <si>
    <t>95465-99-9</t>
  </si>
  <si>
    <t>caffine</t>
  </si>
  <si>
    <t>caffeine</t>
  </si>
  <si>
    <t>58-08-2</t>
  </si>
  <si>
    <t>calct</t>
  </si>
  <si>
    <t>calciet</t>
  </si>
  <si>
    <t>13397-26-7</t>
  </si>
  <si>
    <t>calrn</t>
  </si>
  <si>
    <t>calareen</t>
  </si>
  <si>
    <t>17334-55-3</t>
  </si>
  <si>
    <t>camfr</t>
  </si>
  <si>
    <t>camfor</t>
  </si>
  <si>
    <t>76-22-2</t>
  </si>
  <si>
    <t>campn</t>
  </si>
  <si>
    <t>campheen</t>
  </si>
  <si>
    <t>79-92-5</t>
  </si>
  <si>
    <t>campsfzr</t>
  </si>
  <si>
    <t>camphorsulfonzuur</t>
  </si>
  <si>
    <t>3144-16-9</t>
  </si>
  <si>
    <t>candstn</t>
  </si>
  <si>
    <t>candesartan</t>
  </si>
  <si>
    <t>139481-59-7</t>
  </si>
  <si>
    <t>captabne</t>
  </si>
  <si>
    <t>capectiabine</t>
  </si>
  <si>
    <t>154361-50-9</t>
  </si>
  <si>
    <t>captfl</t>
  </si>
  <si>
    <t>captafol</t>
  </si>
  <si>
    <t>2425-06-1</t>
  </si>
  <si>
    <t>captn</t>
  </si>
  <si>
    <t>captan</t>
  </si>
  <si>
    <t>133-06-2</t>
  </si>
  <si>
    <t>carbOxn</t>
  </si>
  <si>
    <t>carboxin</t>
  </si>
  <si>
    <t>5234-68-4</t>
  </si>
  <si>
    <t>carbdx</t>
  </si>
  <si>
    <t>carbadox</t>
  </si>
  <si>
    <t>6804-07-5</t>
  </si>
  <si>
    <t>carbdzm</t>
  </si>
  <si>
    <t>carbendazim</t>
  </si>
  <si>
    <t>10605-21-7</t>
  </si>
  <si>
    <t>carbfnton</t>
  </si>
  <si>
    <t>carbofenothion</t>
  </si>
  <si>
    <t>786-19-6</t>
  </si>
  <si>
    <t>carbfrn</t>
  </si>
  <si>
    <t>carbofuran</t>
  </si>
  <si>
    <t>1563-66-2</t>
  </si>
  <si>
    <t>carbhdzde</t>
  </si>
  <si>
    <t>carbohydrazide</t>
  </si>
  <si>
    <t>497-18-7</t>
  </si>
  <si>
    <t>carbmzpn1011</t>
  </si>
  <si>
    <t>carbamazepine 10,11-epoxide</t>
  </si>
  <si>
    <t>36507-30-9</t>
  </si>
  <si>
    <t>carbmzpne</t>
  </si>
  <si>
    <t>carbamazepine</t>
  </si>
  <si>
    <t>298-46-4</t>
  </si>
  <si>
    <t>carbnS</t>
  </si>
  <si>
    <t>carbonylsulfide</t>
  </si>
  <si>
    <t>463-58-1</t>
  </si>
  <si>
    <t>carbrl</t>
  </si>
  <si>
    <t>carbaryl</t>
  </si>
  <si>
    <t>63-25-2</t>
  </si>
  <si>
    <t>carbsfn</t>
  </si>
  <si>
    <t>carbosulfan</t>
  </si>
  <si>
    <t>55285-14-8</t>
  </si>
  <si>
    <t>carbtAd</t>
  </si>
  <si>
    <t>carbetamide</t>
  </si>
  <si>
    <t>16118-49-3</t>
  </si>
  <si>
    <t>carbzl</t>
  </si>
  <si>
    <t>carbazol</t>
  </si>
  <si>
    <t>86-74-8</t>
  </si>
  <si>
    <t>carftznC2y</t>
  </si>
  <si>
    <t>carfentrazon-ethyl</t>
  </si>
  <si>
    <t>128639-02-1</t>
  </si>
  <si>
    <t>carppAd</t>
  </si>
  <si>
    <t>carpropamide</t>
  </si>
  <si>
    <t>104030-54-8</t>
  </si>
  <si>
    <t>carvn</t>
  </si>
  <si>
    <t>carvon</t>
  </si>
  <si>
    <t>99-49-0</t>
  </si>
  <si>
    <t>ccC5a</t>
  </si>
  <si>
    <t>cyclopentaan</t>
  </si>
  <si>
    <t>287-92-3</t>
  </si>
  <si>
    <t>ccC6ytofmde</t>
  </si>
  <si>
    <t>cyclohexylthioftalimide</t>
  </si>
  <si>
    <t>17996-82-6</t>
  </si>
  <si>
    <t>cefTaxn</t>
  </si>
  <si>
    <t>ceftriaxon</t>
  </si>
  <si>
    <t>73384-59-5</t>
  </si>
  <si>
    <t>cefcr</t>
  </si>
  <si>
    <t>cefaclor</t>
  </si>
  <si>
    <t>53994-73-3</t>
  </si>
  <si>
    <t>cefdxl</t>
  </si>
  <si>
    <t>cefadroxil</t>
  </si>
  <si>
    <t>50370-12-2</t>
  </si>
  <si>
    <t>ceflxne</t>
  </si>
  <si>
    <t>cefalexine</t>
  </si>
  <si>
    <t>15686-71-2</t>
  </si>
  <si>
    <t>cefrxm</t>
  </si>
  <si>
    <t>cefuroxim</t>
  </si>
  <si>
    <t>55268-75-2</t>
  </si>
  <si>
    <t>ceftofr</t>
  </si>
  <si>
    <t>ceftiofur</t>
  </si>
  <si>
    <t>80370-57-6</t>
  </si>
  <si>
    <t>ceftxme</t>
  </si>
  <si>
    <t>cefotaxime</t>
  </si>
  <si>
    <t>63527-52-6</t>
  </si>
  <si>
    <t>cefxm</t>
  </si>
  <si>
    <t>cefixim</t>
  </si>
  <si>
    <t>79350-37-1</t>
  </si>
  <si>
    <t>cefzlne</t>
  </si>
  <si>
    <t>cefazoline</t>
  </si>
  <si>
    <t>25953-19-9</t>
  </si>
  <si>
    <t>celllse</t>
  </si>
  <si>
    <t>cellulose</t>
  </si>
  <si>
    <t>9004-34-6</t>
  </si>
  <si>
    <t>cfosfmdn</t>
  </si>
  <si>
    <t>cis-fosfamidon</t>
  </si>
  <si>
    <t>23783-98-4</t>
  </si>
  <si>
    <t>chinnmd</t>
  </si>
  <si>
    <t>chinonamid</t>
  </si>
  <si>
    <t>27541-88-4</t>
  </si>
  <si>
    <t>chitne</t>
  </si>
  <si>
    <t>chitine</t>
  </si>
  <si>
    <t>1398-61-4</t>
  </si>
  <si>
    <t>chitsn</t>
  </si>
  <si>
    <t>chitosan</t>
  </si>
  <si>
    <t>9012-76-4</t>
  </si>
  <si>
    <t>chloftzn</t>
  </si>
  <si>
    <t>chlofentezin</t>
  </si>
  <si>
    <t>74115-24-5</t>
  </si>
  <si>
    <t>chloranl</t>
  </si>
  <si>
    <t>chloranil</t>
  </si>
  <si>
    <t>118-75-2</t>
  </si>
  <si>
    <t>chloratnlpl</t>
  </si>
  <si>
    <t>chlorantraniliprole</t>
  </si>
  <si>
    <t>500008-45-7</t>
  </si>
  <si>
    <t>chlorlse</t>
  </si>
  <si>
    <t>chloralose</t>
  </si>
  <si>
    <t>15879-93-3</t>
  </si>
  <si>
    <t>chlormrC2y</t>
  </si>
  <si>
    <t>chlorimuron-ethyl</t>
  </si>
  <si>
    <t>90982-32-4</t>
  </si>
  <si>
    <t>chlozlnt</t>
  </si>
  <si>
    <t>chlozolinaat</t>
  </si>
  <si>
    <t>72391-46-9</t>
  </si>
  <si>
    <t>chol3en</t>
  </si>
  <si>
    <t>cholest-3-een</t>
  </si>
  <si>
    <t>16732-84-6</t>
  </si>
  <si>
    <t>cholEsrol</t>
  </si>
  <si>
    <t>cholesterol</t>
  </si>
  <si>
    <t>57-88-5</t>
  </si>
  <si>
    <t>chrystl</t>
  </si>
  <si>
    <t>chrysotiel (witte asbest)</t>
  </si>
  <si>
    <t>12001-29-5</t>
  </si>
  <si>
    <t>ciagn3</t>
  </si>
  <si>
    <t>C.I. Acid Green 3</t>
  </si>
  <si>
    <t>4680-78-8</t>
  </si>
  <si>
    <t>ciard114</t>
  </si>
  <si>
    <t>C.I. Acid Red 114</t>
  </si>
  <si>
    <t>6459-94-5</t>
  </si>
  <si>
    <t>ciard52</t>
  </si>
  <si>
    <t>C.I. Acid Red 52</t>
  </si>
  <si>
    <t>3520-42-1</t>
  </si>
  <si>
    <t>cibgn4</t>
  </si>
  <si>
    <t>C.I. Basic Green 4</t>
  </si>
  <si>
    <t>569-64-2</t>
  </si>
  <si>
    <t>cibrd1</t>
  </si>
  <si>
    <t>C.I. Basic Red 1</t>
  </si>
  <si>
    <t>989-38-8</t>
  </si>
  <si>
    <t>cidbe14</t>
  </si>
  <si>
    <t>C.I. Direct Blue 14</t>
  </si>
  <si>
    <t>72-57-1</t>
  </si>
  <si>
    <t>cidbe218</t>
  </si>
  <si>
    <t>C.I. Direct Blue 218</t>
  </si>
  <si>
    <t>28407-37-6</t>
  </si>
  <si>
    <t>cidbe6</t>
  </si>
  <si>
    <t>C.I. Direct Blue 6</t>
  </si>
  <si>
    <t>2602-46-2</t>
  </si>
  <si>
    <t>cidbk38</t>
  </si>
  <si>
    <t>C.I. Direct Black 38</t>
  </si>
  <si>
    <t>1937-37-7</t>
  </si>
  <si>
    <t>cidbn95</t>
  </si>
  <si>
    <t>C.I. Direct Brown 95</t>
  </si>
  <si>
    <t>16071-86-6</t>
  </si>
  <si>
    <t>cidyw3</t>
  </si>
  <si>
    <t>C.I. Disperse Yellow 3</t>
  </si>
  <si>
    <t>2832-40-8</t>
  </si>
  <si>
    <t>cifrd5</t>
  </si>
  <si>
    <t>C.I. Food Red 5</t>
  </si>
  <si>
    <t>3761-53-3</t>
  </si>
  <si>
    <t>cilzpl</t>
  </si>
  <si>
    <t>cilazapril</t>
  </si>
  <si>
    <t>92077-78-6</t>
  </si>
  <si>
    <t>cindnC2y</t>
  </si>
  <si>
    <t>cinidon-ethyl</t>
  </si>
  <si>
    <t>142891-20-1</t>
  </si>
  <si>
    <t>cinnAh</t>
  </si>
  <si>
    <t>cinnamaldehyde</t>
  </si>
  <si>
    <t>104-55-2</t>
  </si>
  <si>
    <t>cinsfrn</t>
  </si>
  <si>
    <t>cinosulfuron</t>
  </si>
  <si>
    <t>94593-91-6</t>
  </si>
  <si>
    <t>cipfxcne</t>
  </si>
  <si>
    <t>ciprofloxacine</t>
  </si>
  <si>
    <t>85721-33-1</t>
  </si>
  <si>
    <t>cisoe7</t>
  </si>
  <si>
    <t>C.I. Solvent Orange 7</t>
  </si>
  <si>
    <t>3118-97-6</t>
  </si>
  <si>
    <t>cisyw14</t>
  </si>
  <si>
    <t>C.I. Solvent Yellow 14</t>
  </si>
  <si>
    <t>842-07-9</t>
  </si>
  <si>
    <t>cisyw3</t>
  </si>
  <si>
    <t>C.I. Solvent Yellow 3</t>
  </si>
  <si>
    <t>97-56-3</t>
  </si>
  <si>
    <t>cisyw34</t>
  </si>
  <si>
    <t>C.I. Solvent Yellow 34</t>
  </si>
  <si>
    <t>492-80-8</t>
  </si>
  <si>
    <t>citl</t>
  </si>
  <si>
    <t>citral</t>
  </si>
  <si>
    <t>5392-40-5</t>
  </si>
  <si>
    <t>citlpm</t>
  </si>
  <si>
    <t>citalopram</t>
  </si>
  <si>
    <t>59729-33-8</t>
  </si>
  <si>
    <t>citnll</t>
  </si>
  <si>
    <t>citronellol</t>
  </si>
  <si>
    <t>106-22-9</t>
  </si>
  <si>
    <t>civyw4</t>
  </si>
  <si>
    <t>C.I. Vat Yellow 4</t>
  </si>
  <si>
    <t>128-66-5</t>
  </si>
  <si>
    <t>clartmcne</t>
  </si>
  <si>
    <t>claritromycine</t>
  </si>
  <si>
    <t>81103-11-9</t>
  </si>
  <si>
    <t>cldcne</t>
  </si>
  <si>
    <t>chloordecone</t>
  </si>
  <si>
    <t>143-50-0</t>
  </si>
  <si>
    <t>clemtne</t>
  </si>
  <si>
    <t>clemastine</t>
  </si>
  <si>
    <t>15686-51-8</t>
  </si>
  <si>
    <t>clenbtrl</t>
  </si>
  <si>
    <t>clenbuterol</t>
  </si>
  <si>
    <t>37148-27-9</t>
  </si>
  <si>
    <t>cletdm</t>
  </si>
  <si>
    <t>clethodim</t>
  </si>
  <si>
    <t>99129-21-2</t>
  </si>
  <si>
    <t>clfcnn</t>
  </si>
  <si>
    <t>chloorfacinon</t>
  </si>
  <si>
    <t>3691-35-8</t>
  </si>
  <si>
    <t>clfrnl</t>
  </si>
  <si>
    <t>chloorflurenol</t>
  </si>
  <si>
    <t>2464-37-1</t>
  </si>
  <si>
    <t>clhxdngcnt</t>
  </si>
  <si>
    <t>chloorhexidinegluconaat</t>
  </si>
  <si>
    <t>18472-51-0</t>
  </si>
  <si>
    <t>clindmcne</t>
  </si>
  <si>
    <t>clindamycine</t>
  </si>
  <si>
    <t>18323-44-9</t>
  </si>
  <si>
    <t>clmqat</t>
  </si>
  <si>
    <t>chloormequat</t>
  </si>
  <si>
    <t>7003-89-6</t>
  </si>
  <si>
    <t>clobtsppont</t>
  </si>
  <si>
    <t>clobetasolpropionaat</t>
  </si>
  <si>
    <t>25122-46-7</t>
  </si>
  <si>
    <t>clodnfp</t>
  </si>
  <si>
    <t>clodinafop</t>
  </si>
  <si>
    <t>114420-56-3</t>
  </si>
  <si>
    <t>clodnfppgl</t>
  </si>
  <si>
    <t>clodinafop-propargyl</t>
  </si>
  <si>
    <t>105512-06-9</t>
  </si>
  <si>
    <t>clofbnzr</t>
  </si>
  <si>
    <t>clofibrinezuur</t>
  </si>
  <si>
    <t>882-09-7</t>
  </si>
  <si>
    <t>clofbt</t>
  </si>
  <si>
    <t>clofibraat</t>
  </si>
  <si>
    <t>637-07-0</t>
  </si>
  <si>
    <t>clompmne</t>
  </si>
  <si>
    <t>clomipramine</t>
  </si>
  <si>
    <t>303-49-1</t>
  </si>
  <si>
    <t>clomzn</t>
  </si>
  <si>
    <t>clomazon</t>
  </si>
  <si>
    <t>81777-89-1</t>
  </si>
  <si>
    <t>clonzpm</t>
  </si>
  <si>
    <t>clonazepam</t>
  </si>
  <si>
    <t>1622-61-3</t>
  </si>
  <si>
    <t>cloprld</t>
  </si>
  <si>
    <t>clopyralid</t>
  </si>
  <si>
    <t>1702-17-6</t>
  </si>
  <si>
    <t>cloqtcmxl</t>
  </si>
  <si>
    <t>cloquintoceet-mexyl</t>
  </si>
  <si>
    <t>99607-70-2</t>
  </si>
  <si>
    <t>clotandne</t>
  </si>
  <si>
    <t>clothianidine</t>
  </si>
  <si>
    <t>210880-92-5</t>
  </si>
  <si>
    <t>clotmzl</t>
  </si>
  <si>
    <t>clotrimazol</t>
  </si>
  <si>
    <t>23593-75-1</t>
  </si>
  <si>
    <t>cloxclne</t>
  </si>
  <si>
    <t>cloxacilline</t>
  </si>
  <si>
    <t>61-72-3</t>
  </si>
  <si>
    <t>clozpne</t>
  </si>
  <si>
    <t>clozapine</t>
  </si>
  <si>
    <t>5786-21-0</t>
  </si>
  <si>
    <t>cltDC1y</t>
  </si>
  <si>
    <t>chloorthal-dimethyl</t>
  </si>
  <si>
    <t>1861-32-1</t>
  </si>
  <si>
    <t>cltl</t>
  </si>
  <si>
    <t>chloorthal</t>
  </si>
  <si>
    <t>2136-79-0</t>
  </si>
  <si>
    <t>cltofs</t>
  </si>
  <si>
    <t>chloorthiofos</t>
  </si>
  <si>
    <t>60238-56-4</t>
  </si>
  <si>
    <t>clxlnl</t>
  </si>
  <si>
    <t>chloorxylenol</t>
  </si>
  <si>
    <t>88-04-0</t>
  </si>
  <si>
    <t>cmevfs</t>
  </si>
  <si>
    <t>cis-mevinfos</t>
  </si>
  <si>
    <t>298-01-1</t>
  </si>
  <si>
    <t>cocine</t>
  </si>
  <si>
    <t>cocaïne</t>
  </si>
  <si>
    <t>50-36-2</t>
  </si>
  <si>
    <t>codine</t>
  </si>
  <si>
    <t>codeine</t>
  </si>
  <si>
    <t>76-57-3</t>
  </si>
  <si>
    <t>codlmn</t>
  </si>
  <si>
    <t>codlemon</t>
  </si>
  <si>
    <t>33956-49-9</t>
  </si>
  <si>
    <t>cortsn</t>
  </si>
  <si>
    <t>cortison</t>
  </si>
  <si>
    <t>53-06-5</t>
  </si>
  <si>
    <t>coumttll</t>
  </si>
  <si>
    <t>coumatetralyl</t>
  </si>
  <si>
    <t>5836-29-3</t>
  </si>
  <si>
    <t>cpermtn</t>
  </si>
  <si>
    <t>cis-permethrin</t>
  </si>
  <si>
    <t>61949-76-6</t>
  </si>
  <si>
    <t>cpyrfnx</t>
  </si>
  <si>
    <t>cis-pyrifenox</t>
  </si>
  <si>
    <t>83227-23-0</t>
  </si>
  <si>
    <t>creost</t>
  </si>
  <si>
    <t>creosoot</t>
  </si>
  <si>
    <t>8001-58-9</t>
  </si>
  <si>
    <t>crfmt</t>
  </si>
  <si>
    <t>crufomaat</t>
  </si>
  <si>
    <t>299-86-5</t>
  </si>
  <si>
    <t>crimdne</t>
  </si>
  <si>
    <t>crimidine</t>
  </si>
  <si>
    <t>535-89-7</t>
  </si>
  <si>
    <t>crocdlt</t>
  </si>
  <si>
    <t>crocidoliet (blauwe asbest)</t>
  </si>
  <si>
    <t>12001-28-4</t>
  </si>
  <si>
    <t>crotAh</t>
  </si>
  <si>
    <t>trans-2-butenal</t>
  </si>
  <si>
    <t>123-73-9</t>
  </si>
  <si>
    <t>cumHpO</t>
  </si>
  <si>
    <t>cumeen hydroperoxide</t>
  </si>
  <si>
    <t>80-15-9</t>
  </si>
  <si>
    <t>cumfs</t>
  </si>
  <si>
    <t>cumafos</t>
  </si>
  <si>
    <t>56-72-4</t>
  </si>
  <si>
    <t>cumn</t>
  </si>
  <si>
    <t>cumeen</t>
  </si>
  <si>
    <t>98-82-8</t>
  </si>
  <si>
    <t>cupfrn</t>
  </si>
  <si>
    <t>cupferron</t>
  </si>
  <si>
    <t>135-20-6</t>
  </si>
  <si>
    <t>cyanffs</t>
  </si>
  <si>
    <t>cyanofenfos</t>
  </si>
  <si>
    <t>13067-93-1</t>
  </si>
  <si>
    <t>cyanfs</t>
  </si>
  <si>
    <t>cyanofos</t>
  </si>
  <si>
    <t>2636-26-2</t>
  </si>
  <si>
    <t>cyatnlple</t>
  </si>
  <si>
    <t>cyantraniliprole</t>
  </si>
  <si>
    <t>736994-63-1</t>
  </si>
  <si>
    <t>cyazfAd</t>
  </si>
  <si>
    <t>cyazofamide</t>
  </si>
  <si>
    <t>120116-88-3</t>
  </si>
  <si>
    <t>cycC12a</t>
  </si>
  <si>
    <t>cyclododecaan</t>
  </si>
  <si>
    <t>294-62-2</t>
  </si>
  <si>
    <t>cycC15a</t>
  </si>
  <si>
    <t>cyclopentadecaan</t>
  </si>
  <si>
    <t>295-48-7</t>
  </si>
  <si>
    <t>cycC16a</t>
  </si>
  <si>
    <t>cyclohexadecaan</t>
  </si>
  <si>
    <t>295-65-8</t>
  </si>
  <si>
    <t>cycC6a</t>
  </si>
  <si>
    <t>cyclohexaan</t>
  </si>
  <si>
    <t>110-82-7</t>
  </si>
  <si>
    <t>cycC6e</t>
  </si>
  <si>
    <t>cyclohexeen</t>
  </si>
  <si>
    <t>110-83-8</t>
  </si>
  <si>
    <t>cycC6ol</t>
  </si>
  <si>
    <t>cyclohexanol</t>
  </si>
  <si>
    <t>108-93-0</t>
  </si>
  <si>
    <t>cycC6on</t>
  </si>
  <si>
    <t>cyclohexanon</t>
  </si>
  <si>
    <t>108-94-1</t>
  </si>
  <si>
    <t>cycPecdPyr</t>
  </si>
  <si>
    <t>cyclopenta(cd)pyreen</t>
  </si>
  <si>
    <t>27208-37-3</t>
  </si>
  <si>
    <t>cycat</t>
  </si>
  <si>
    <t>cycloaat</t>
  </si>
  <si>
    <t>1134-23-2</t>
  </si>
  <si>
    <t>cycffAd</t>
  </si>
  <si>
    <t>cyclofosfamide</t>
  </si>
  <si>
    <t>50-18-0</t>
  </si>
  <si>
    <t>cycmt</t>
  </si>
  <si>
    <t>cyclamaat</t>
  </si>
  <si>
    <t>100-88-9</t>
  </si>
  <si>
    <t>cycnlde</t>
  </si>
  <si>
    <t>cyclanilide</t>
  </si>
  <si>
    <t>113136-77-9</t>
  </si>
  <si>
    <t>cycrn</t>
  </si>
  <si>
    <t>cycluron</t>
  </si>
  <si>
    <t>2163-69-1</t>
  </si>
  <si>
    <t>cycxdm</t>
  </si>
  <si>
    <t>cycloxydim</t>
  </si>
  <si>
    <t>101205-02-1</t>
  </si>
  <si>
    <t>cyffAd</t>
  </si>
  <si>
    <t>cyflufenamide</t>
  </si>
  <si>
    <t>180409-60-3</t>
  </si>
  <si>
    <t>cyfmtfn</t>
  </si>
  <si>
    <t>cyflumetofen</t>
  </si>
  <si>
    <t>400882-07-7</t>
  </si>
  <si>
    <t>cyfntn</t>
  </si>
  <si>
    <t>cyfenothrin</t>
  </si>
  <si>
    <t>39515-40-7</t>
  </si>
  <si>
    <t>cyftn</t>
  </si>
  <si>
    <t>cyfluthrin</t>
  </si>
  <si>
    <t>68359-37-5</t>
  </si>
  <si>
    <t>cyhlfC4y</t>
  </si>
  <si>
    <t>cyhalofop-butyl</t>
  </si>
  <si>
    <t>122008-85-9</t>
  </si>
  <si>
    <t>cyhltn</t>
  </si>
  <si>
    <t>cyhalothrin</t>
  </si>
  <si>
    <t>68085-85-8</t>
  </si>
  <si>
    <t>cyhxtn</t>
  </si>
  <si>
    <t>cyhexatin</t>
  </si>
  <si>
    <t>13121-70-5</t>
  </si>
  <si>
    <t>cymOanl</t>
  </si>
  <si>
    <t>cymoxanil</t>
  </si>
  <si>
    <t>57966-95-7</t>
  </si>
  <si>
    <t>cymazl</t>
  </si>
  <si>
    <t>cymiazool</t>
  </si>
  <si>
    <t>61676-87-7</t>
  </si>
  <si>
    <t>cypHpdne</t>
  </si>
  <si>
    <t>cyproheptadine</t>
  </si>
  <si>
    <t>129-03-3</t>
  </si>
  <si>
    <t>cypcnzl</t>
  </si>
  <si>
    <t>cyproconazool</t>
  </si>
  <si>
    <t>94361-06-5</t>
  </si>
  <si>
    <t>cypdnl</t>
  </si>
  <si>
    <t>cyprodinil</t>
  </si>
  <si>
    <t>121552-61-2</t>
  </si>
  <si>
    <t>cypfrm</t>
  </si>
  <si>
    <t>cyprofuram</t>
  </si>
  <si>
    <t>69581-33-5</t>
  </si>
  <si>
    <t>cypmtn</t>
  </si>
  <si>
    <t>cypermethrin</t>
  </si>
  <si>
    <t>52315-07-8</t>
  </si>
  <si>
    <t>cyrmzne</t>
  </si>
  <si>
    <t>cyromazine</t>
  </si>
  <si>
    <t>66215-27-8</t>
  </si>
  <si>
    <t>cytoat</t>
  </si>
  <si>
    <t>cythioaat</t>
  </si>
  <si>
    <t>115-93-5</t>
  </si>
  <si>
    <t>dHCH</t>
  </si>
  <si>
    <t>delta-hexachloorcyclohexaan</t>
  </si>
  <si>
    <t>319-86-8</t>
  </si>
  <si>
    <t>dHs</t>
  </si>
  <si>
    <t>Verschil significante golfhoogte in laatste twee iteraties</t>
  </si>
  <si>
    <t>dT</t>
  </si>
  <si>
    <t>Temperatuurverschil</t>
  </si>
  <si>
    <t>daizine</t>
  </si>
  <si>
    <t>daidzeine</t>
  </si>
  <si>
    <t>486-66-8</t>
  </si>
  <si>
    <t>damnzde</t>
  </si>
  <si>
    <t>daminozide</t>
  </si>
  <si>
    <t>1596-84-5</t>
  </si>
  <si>
    <t>danfxcn</t>
  </si>
  <si>
    <t>danofloxacin</t>
  </si>
  <si>
    <t>112398-08-0</t>
  </si>
  <si>
    <t>dapsn</t>
  </si>
  <si>
    <t>dapson</t>
  </si>
  <si>
    <t>80-08-0</t>
  </si>
  <si>
    <t>dazmNazt</t>
  </si>
  <si>
    <t>dazomet natriumzout</t>
  </si>
  <si>
    <t>53404-60-7</t>
  </si>
  <si>
    <t>dazmt</t>
  </si>
  <si>
    <t>dazomet</t>
  </si>
  <si>
    <t>533-74-4</t>
  </si>
  <si>
    <t>dcarvn</t>
  </si>
  <si>
    <t>d-carvon</t>
  </si>
  <si>
    <t>2244-16-8</t>
  </si>
  <si>
    <t>demfon</t>
  </si>
  <si>
    <t>demefion</t>
  </si>
  <si>
    <t>8065-62-1</t>
  </si>
  <si>
    <t>demtSC1y</t>
  </si>
  <si>
    <t>demeton-S-methyl</t>
  </si>
  <si>
    <t>919-86-8</t>
  </si>
  <si>
    <t>demtSC1ysfn</t>
  </si>
  <si>
    <t>demeton-S-methylsulfon</t>
  </si>
  <si>
    <t>17040-19-6</t>
  </si>
  <si>
    <t>demtnO</t>
  </si>
  <si>
    <t>demeton-O</t>
  </si>
  <si>
    <t>298-03-3</t>
  </si>
  <si>
    <t>demtnS</t>
  </si>
  <si>
    <t>demeton-S</t>
  </si>
  <si>
    <t>126-75-0</t>
  </si>
  <si>
    <t>dennole</t>
  </si>
  <si>
    <t>dennenolie</t>
  </si>
  <si>
    <t>8002-09-3</t>
  </si>
  <si>
    <t>desC1yDazpm</t>
  </si>
  <si>
    <t>desmethyldiazepam</t>
  </si>
  <si>
    <t>1088-11-5</t>
  </si>
  <si>
    <t>desC2yatzne</t>
  </si>
  <si>
    <t>desethylatrazine</t>
  </si>
  <si>
    <t>6190-65-4</t>
  </si>
  <si>
    <t>desC2ysC4yat</t>
  </si>
  <si>
    <t>desethylsebutylazine</t>
  </si>
  <si>
    <t>37019-18-4</t>
  </si>
  <si>
    <t>desC2ytC4yaz</t>
  </si>
  <si>
    <t>desethylterbutylazine</t>
  </si>
  <si>
    <t>30125-63-4</t>
  </si>
  <si>
    <t>desC2ytbmtn</t>
  </si>
  <si>
    <t>desethylterbumeton</t>
  </si>
  <si>
    <t>30125-64-5</t>
  </si>
  <si>
    <t>desFyClidzn</t>
  </si>
  <si>
    <t>desfenylchloridazon</t>
  </si>
  <si>
    <t>6339-19-1</t>
  </si>
  <si>
    <t>desiC3yatzne</t>
  </si>
  <si>
    <t>desisopropylatrazine</t>
  </si>
  <si>
    <t>1007-28-9</t>
  </si>
  <si>
    <t>desmdfm</t>
  </si>
  <si>
    <t>desmedifam</t>
  </si>
  <si>
    <t>13684-56-5</t>
  </si>
  <si>
    <t>desmtn</t>
  </si>
  <si>
    <t>desmetryn</t>
  </si>
  <si>
    <t>1014-69-3</t>
  </si>
  <si>
    <t>dexmtsn</t>
  </si>
  <si>
    <t>dexamethason</t>
  </si>
  <si>
    <t>50-02-2</t>
  </si>
  <si>
    <t>diczrl</t>
  </si>
  <si>
    <t>diclazuril</t>
  </si>
  <si>
    <t>101831-37-2</t>
  </si>
  <si>
    <t>dieldn</t>
  </si>
  <si>
    <t>dieldrin</t>
  </si>
  <si>
    <t>60-57-1</t>
  </si>
  <si>
    <t>dikglNa</t>
  </si>
  <si>
    <t>dikegulac-natrium</t>
  </si>
  <si>
    <t>52508-35-7</t>
  </si>
  <si>
    <t>diltazm</t>
  </si>
  <si>
    <t>diltiazem</t>
  </si>
  <si>
    <t>42399-41-7</t>
  </si>
  <si>
    <t>dimtln</t>
  </si>
  <si>
    <t>dimetilan</t>
  </si>
  <si>
    <t>644-64-4</t>
  </si>
  <si>
    <t>diognn</t>
  </si>
  <si>
    <t>diosgenin</t>
  </si>
  <si>
    <t>512-04-9</t>
  </si>
  <si>
    <t>dlimnn</t>
  </si>
  <si>
    <t>d-limoneen</t>
  </si>
  <si>
    <t>5989-27-5</t>
  </si>
  <si>
    <t>dmMC-LR</t>
  </si>
  <si>
    <t>7-desmethylmicrocystine-LR</t>
  </si>
  <si>
    <t>134842-07-2</t>
  </si>
  <si>
    <t>dmMC-RR</t>
  </si>
  <si>
    <t>7-desmethylmicrocystine-RR</t>
  </si>
  <si>
    <t>131022-02-1</t>
  </si>
  <si>
    <t>dmtn</t>
  </si>
  <si>
    <t>deltamethrin</t>
  </si>
  <si>
    <t>52918-63-5</t>
  </si>
  <si>
    <t>doctxl</t>
  </si>
  <si>
    <t>docetaxel</t>
  </si>
  <si>
    <t>114977-28-5</t>
  </si>
  <si>
    <t>dodcBen</t>
  </si>
  <si>
    <t>dodecylbenzeen</t>
  </si>
  <si>
    <t>123-01-3</t>
  </si>
  <si>
    <t>dodmf</t>
  </si>
  <si>
    <t>dodemorf</t>
  </si>
  <si>
    <t>1593-77-7</t>
  </si>
  <si>
    <t>dodne</t>
  </si>
  <si>
    <t>dodine</t>
  </si>
  <si>
    <t>2439-10-3</t>
  </si>
  <si>
    <t>dormtne</t>
  </si>
  <si>
    <t>doramectine</t>
  </si>
  <si>
    <t>117704-25-3</t>
  </si>
  <si>
    <t>doxccne</t>
  </si>
  <si>
    <t>doxycycline</t>
  </si>
  <si>
    <t>564-25-0</t>
  </si>
  <si>
    <t>doxccnhct</t>
  </si>
  <si>
    <t>doxycycline hyclaat</t>
  </si>
  <si>
    <t>24390-14-5</t>
  </si>
  <si>
    <t>doxrbcne</t>
  </si>
  <si>
    <t>doxorubicine</t>
  </si>
  <si>
    <t>23214-92-8</t>
  </si>
  <si>
    <t>dtalltn</t>
  </si>
  <si>
    <t>d-trans-allethrin</t>
  </si>
  <si>
    <t>28057-48-9</t>
  </si>
  <si>
    <t>dulxtne</t>
  </si>
  <si>
    <t>duloxetine</t>
  </si>
  <si>
    <t>116539-59-4</t>
  </si>
  <si>
    <t>eHCH</t>
  </si>
  <si>
    <t>epsilon-hexachloorcyclohexaan</t>
  </si>
  <si>
    <t>6108-10-7</t>
  </si>
  <si>
    <t>eTDazl</t>
  </si>
  <si>
    <t>etridiazol</t>
  </si>
  <si>
    <t>2593-15-9</t>
  </si>
  <si>
    <t>ecapltm</t>
  </si>
  <si>
    <t>epsilon-caprolactam</t>
  </si>
  <si>
    <t>105-60-2</t>
  </si>
  <si>
    <t>edffs</t>
  </si>
  <si>
    <t>edifenfos</t>
  </si>
  <si>
    <t>17109-49-8</t>
  </si>
  <si>
    <t>eiwttl</t>
  </si>
  <si>
    <t>eiwit totaal</t>
  </si>
  <si>
    <t>emmtbzat</t>
  </si>
  <si>
    <t>emamectin-benzoaat</t>
  </si>
  <si>
    <t>155569-91-8</t>
  </si>
  <si>
    <t>emmtn</t>
  </si>
  <si>
    <t>emamectin</t>
  </si>
  <si>
    <t>119791-41-2</t>
  </si>
  <si>
    <t>emmtnB1a</t>
  </si>
  <si>
    <t>emamectin (B1a)</t>
  </si>
  <si>
    <t>121124-29-6</t>
  </si>
  <si>
    <t>emmtnB1b</t>
  </si>
  <si>
    <t>emamectin (B1b)</t>
  </si>
  <si>
    <t>121424-52-0</t>
  </si>
  <si>
    <t>emptn</t>
  </si>
  <si>
    <t>empenthrin</t>
  </si>
  <si>
    <t>54406-48-3</t>
  </si>
  <si>
    <t>endAh</t>
  </si>
  <si>
    <t>endrinaldehyde</t>
  </si>
  <si>
    <t>7421-93-4</t>
  </si>
  <si>
    <t>endn</t>
  </si>
  <si>
    <t>endrin</t>
  </si>
  <si>
    <t>72-20-8</t>
  </si>
  <si>
    <t>endsfSO4</t>
  </si>
  <si>
    <t>endosulfansulfaat</t>
  </si>
  <si>
    <t>1031-07-8</t>
  </si>
  <si>
    <t>endsfetr</t>
  </si>
  <si>
    <t>endosulfanether</t>
  </si>
  <si>
    <t>3369-52-6</t>
  </si>
  <si>
    <t>endsfltn</t>
  </si>
  <si>
    <t>endosulfanlacton</t>
  </si>
  <si>
    <t>3868-61-9</t>
  </si>
  <si>
    <t>endsfn</t>
  </si>
  <si>
    <t>endosulfan (som alfa- en beta-isomeer)</t>
  </si>
  <si>
    <t>115-29-7</t>
  </si>
  <si>
    <t>endtl</t>
  </si>
  <si>
    <t>endothal</t>
  </si>
  <si>
    <t>145-73-3</t>
  </si>
  <si>
    <t>enlpl</t>
  </si>
  <si>
    <t>enalapril</t>
  </si>
  <si>
    <t>75847-73-3</t>
  </si>
  <si>
    <t>enrfxcne</t>
  </si>
  <si>
    <t>enrofloxacine</t>
  </si>
  <si>
    <t>93106-60-6</t>
  </si>
  <si>
    <t>enxcne</t>
  </si>
  <si>
    <t>enoxacine</t>
  </si>
  <si>
    <t>74011-58-8</t>
  </si>
  <si>
    <t>epClhdnDC1yA</t>
  </si>
  <si>
    <t>epichloorhydrine-dimethylamine copolymeer</t>
  </si>
  <si>
    <t>25988-97-0</t>
  </si>
  <si>
    <t>epClhdne</t>
  </si>
  <si>
    <t>epichloorhydrine</t>
  </si>
  <si>
    <t>106-89-8</t>
  </si>
  <si>
    <t>epnmtn</t>
  </si>
  <si>
    <t>eprinomectin</t>
  </si>
  <si>
    <t>123997-26-2</t>
  </si>
  <si>
    <t>epstn</t>
  </si>
  <si>
    <t>eprosartan</t>
  </si>
  <si>
    <t>133040-01-4</t>
  </si>
  <si>
    <t>epxcnzl</t>
  </si>
  <si>
    <t>epoxiconazool</t>
  </si>
  <si>
    <t>133855-98-8</t>
  </si>
  <si>
    <t>erczr</t>
  </si>
  <si>
    <t>erucazuur</t>
  </si>
  <si>
    <t>112-86-7</t>
  </si>
  <si>
    <t>ergccfrl</t>
  </si>
  <si>
    <t>ergocalciferol</t>
  </si>
  <si>
    <t>50-14-6</t>
  </si>
  <si>
    <t>ertmcne</t>
  </si>
  <si>
    <t>erytromycine</t>
  </si>
  <si>
    <t>114-07-8</t>
  </si>
  <si>
    <t>esTol</t>
  </si>
  <si>
    <t>estriol</t>
  </si>
  <si>
    <t>50-27-1</t>
  </si>
  <si>
    <t>esfvlrt</t>
  </si>
  <si>
    <t>esfenvaleraat</t>
  </si>
  <si>
    <t>66230-04-4</t>
  </si>
  <si>
    <t>espcb</t>
  </si>
  <si>
    <t>esprocarb</t>
  </si>
  <si>
    <t>85785-20-2</t>
  </si>
  <si>
    <t>etcnzl</t>
  </si>
  <si>
    <t>etaconazool</t>
  </si>
  <si>
    <t>60207-93-4</t>
  </si>
  <si>
    <t>etdmrn</t>
  </si>
  <si>
    <t>ethidimuron</t>
  </si>
  <si>
    <t>30043-49-3</t>
  </si>
  <si>
    <t>etfbt</t>
  </si>
  <si>
    <t>etofibraat</t>
  </si>
  <si>
    <t>31637-97-5</t>
  </si>
  <si>
    <t>etfmst</t>
  </si>
  <si>
    <t>ethofumesaat</t>
  </si>
  <si>
    <t>26225-79-6</t>
  </si>
  <si>
    <t>etfn</t>
  </si>
  <si>
    <t>ethefon</t>
  </si>
  <si>
    <t>16672-87-0</t>
  </si>
  <si>
    <t>etfpx</t>
  </si>
  <si>
    <t>ethofenprox</t>
  </si>
  <si>
    <t>80844-07-1</t>
  </si>
  <si>
    <t>etfs</t>
  </si>
  <si>
    <t>etrimfos</t>
  </si>
  <si>
    <t>38260-54-7</t>
  </si>
  <si>
    <t>etnetDol</t>
  </si>
  <si>
    <t>ethinylestradiol</t>
  </si>
  <si>
    <t>57-63-6</t>
  </si>
  <si>
    <t>etngtl</t>
  </si>
  <si>
    <t>etonogestrel</t>
  </si>
  <si>
    <t>54048-10-1</t>
  </si>
  <si>
    <t>etofcb</t>
  </si>
  <si>
    <t>ethiofencarb</t>
  </si>
  <si>
    <t>29973-13-5</t>
  </si>
  <si>
    <t>etofcbSO</t>
  </si>
  <si>
    <t>ethiofencarbsulfoxide</t>
  </si>
  <si>
    <t>53380-22-6</t>
  </si>
  <si>
    <t>etofcbsfn</t>
  </si>
  <si>
    <t>ethiofencarbsulfon</t>
  </si>
  <si>
    <t>53380-23-7</t>
  </si>
  <si>
    <t>etolt</t>
  </si>
  <si>
    <t>ethiolaat</t>
  </si>
  <si>
    <t>2941-55-1</t>
  </si>
  <si>
    <t>eton</t>
  </si>
  <si>
    <t>ethion</t>
  </si>
  <si>
    <t>563-12-2</t>
  </si>
  <si>
    <t>etpfs</t>
  </si>
  <si>
    <t>ethoprofos</t>
  </si>
  <si>
    <t>13194-48-4</t>
  </si>
  <si>
    <t>etpl</t>
  </si>
  <si>
    <t>ethiprol</t>
  </si>
  <si>
    <t>181587-01-9</t>
  </si>
  <si>
    <t>etpsde</t>
  </si>
  <si>
    <t>etoposide</t>
  </si>
  <si>
    <t>33419-42-0</t>
  </si>
  <si>
    <t>etrml</t>
  </si>
  <si>
    <t>ethirimol</t>
  </si>
  <si>
    <t>23947-60-6</t>
  </si>
  <si>
    <t>etsimde</t>
  </si>
  <si>
    <t>ethosuximide</t>
  </si>
  <si>
    <t>77-67-8</t>
  </si>
  <si>
    <t>etxcne</t>
  </si>
  <si>
    <t>ethoxychine</t>
  </si>
  <si>
    <t>91-53-2</t>
  </si>
  <si>
    <t>etxzl</t>
  </si>
  <si>
    <t>etoxazool</t>
  </si>
  <si>
    <t>153233-91-1</t>
  </si>
  <si>
    <t>eugnl</t>
  </si>
  <si>
    <t>eugenol</t>
  </si>
  <si>
    <t>97-53-0</t>
  </si>
  <si>
    <t>fOxm</t>
  </si>
  <si>
    <t>foxim</t>
  </si>
  <si>
    <t>14816-18-3</t>
  </si>
  <si>
    <t>famfr</t>
  </si>
  <si>
    <t>famfur</t>
  </si>
  <si>
    <t>52-85-7</t>
  </si>
  <si>
    <t>famxdne</t>
  </si>
  <si>
    <t>famoxadone</t>
  </si>
  <si>
    <t>131807-57-3</t>
  </si>
  <si>
    <t>farnsl</t>
  </si>
  <si>
    <t>farnesol</t>
  </si>
  <si>
    <t>4602-84-0</t>
  </si>
  <si>
    <t>feNO2ton</t>
  </si>
  <si>
    <t>fenitrothion</t>
  </si>
  <si>
    <t>122-14-5</t>
  </si>
  <si>
    <t>fecrzlC2y</t>
  </si>
  <si>
    <t>fenchlorazool-ethyl</t>
  </si>
  <si>
    <t>103112-35-2</t>
  </si>
  <si>
    <t>fenClfs</t>
  </si>
  <si>
    <t>fenchloorfos</t>
  </si>
  <si>
    <t>299-84-3</t>
  </si>
  <si>
    <t>fenOapC2y</t>
  </si>
  <si>
    <t>fenoxaprop-ethyl</t>
  </si>
  <si>
    <t>66441-23-4</t>
  </si>
  <si>
    <t>fenOxcb</t>
  </si>
  <si>
    <t>fenoxycarb</t>
  </si>
  <si>
    <t>72490-01-8</t>
  </si>
  <si>
    <t>fenamfSO</t>
  </si>
  <si>
    <t>fenamifos-sulfoxide</t>
  </si>
  <si>
    <t>31972-43-7</t>
  </si>
  <si>
    <t>fenamfs</t>
  </si>
  <si>
    <t>fenamifos</t>
  </si>
  <si>
    <t>22224-92-6</t>
  </si>
  <si>
    <t>fenamfsfn</t>
  </si>
  <si>
    <t>fenamifos-sulfon</t>
  </si>
  <si>
    <t>31972-44-8</t>
  </si>
  <si>
    <t>fenarml</t>
  </si>
  <si>
    <t>fenarimol</t>
  </si>
  <si>
    <t>60168-88-9</t>
  </si>
  <si>
    <t>fenbbtl</t>
  </si>
  <si>
    <t>fenobarbital</t>
  </si>
  <si>
    <t>50-06-6</t>
  </si>
  <si>
    <t>fenbcb</t>
  </si>
  <si>
    <t>fenobucarb</t>
  </si>
  <si>
    <t>3766-81-2</t>
  </si>
  <si>
    <t>fenbcnzl</t>
  </si>
  <si>
    <t>fenbuconazool</t>
  </si>
  <si>
    <t>114369-43-6</t>
  </si>
  <si>
    <t>fenbdzl</t>
  </si>
  <si>
    <t>fenbendazol</t>
  </si>
  <si>
    <t>43210-67-9</t>
  </si>
  <si>
    <t>fenbtSnO</t>
  </si>
  <si>
    <t>fenbutatinoxide</t>
  </si>
  <si>
    <t>13356-08-6</t>
  </si>
  <si>
    <t>fenctne</t>
  </si>
  <si>
    <t>fenacitine</t>
  </si>
  <si>
    <t>62-44-2</t>
  </si>
  <si>
    <t>fenfbnzr</t>
  </si>
  <si>
    <t>fenofibrinezuur</t>
  </si>
  <si>
    <t>42017-89-0</t>
  </si>
  <si>
    <t>fenfbt</t>
  </si>
  <si>
    <t>fenofibraat</t>
  </si>
  <si>
    <t>49562-28-9</t>
  </si>
  <si>
    <t>fenfrm</t>
  </si>
  <si>
    <t>fenfuram</t>
  </si>
  <si>
    <t>24691-80-3</t>
  </si>
  <si>
    <t>fenhxAd</t>
  </si>
  <si>
    <t>fenhexamide</t>
  </si>
  <si>
    <t>126833-17-8</t>
  </si>
  <si>
    <t>fenmdfm</t>
  </si>
  <si>
    <t>fenmedifam</t>
  </si>
  <si>
    <t>13684-63-4</t>
  </si>
  <si>
    <t>fenmdn</t>
  </si>
  <si>
    <t>fenamidon</t>
  </si>
  <si>
    <t>161326-34-7</t>
  </si>
  <si>
    <t>fenmnsf</t>
  </si>
  <si>
    <t>fenaminosulf</t>
  </si>
  <si>
    <t>140-56-7</t>
  </si>
  <si>
    <t>fenoxppP</t>
  </si>
  <si>
    <t>fenoxaprop-P</t>
  </si>
  <si>
    <t>113158-40-0</t>
  </si>
  <si>
    <t>fenpcnl</t>
  </si>
  <si>
    <t>fenpiclonil</t>
  </si>
  <si>
    <t>74738-17-3</t>
  </si>
  <si>
    <t>fenpfn</t>
  </si>
  <si>
    <t>fenoprofen</t>
  </si>
  <si>
    <t>31879-05-7</t>
  </si>
  <si>
    <t>fenppdn</t>
  </si>
  <si>
    <t>fenpropidin</t>
  </si>
  <si>
    <t>67306-00-7</t>
  </si>
  <si>
    <t>fenppmf</t>
  </si>
  <si>
    <t>fenpropimorf</t>
  </si>
  <si>
    <t>67564-91-4</t>
  </si>
  <si>
    <t>fenprAe</t>
  </si>
  <si>
    <t>fenpyrazamine</t>
  </si>
  <si>
    <t>473798-59-3</t>
  </si>
  <si>
    <t>fenpratn</t>
  </si>
  <si>
    <t>fenpropathrin</t>
  </si>
  <si>
    <t>39515-41-8</t>
  </si>
  <si>
    <t>fenprxmt</t>
  </si>
  <si>
    <t>fenpyroximaat</t>
  </si>
  <si>
    <t>134098-61-6</t>
  </si>
  <si>
    <t>fenrn</t>
  </si>
  <si>
    <t>fenuron</t>
  </si>
  <si>
    <t>101-42-8</t>
  </si>
  <si>
    <t>fensfton</t>
  </si>
  <si>
    <t>fensulfothion</t>
  </si>
  <si>
    <t>115-90-2</t>
  </si>
  <si>
    <t>fentactt</t>
  </si>
  <si>
    <t>fentinacetaat</t>
  </si>
  <si>
    <t>900-95-8</t>
  </si>
  <si>
    <t>fentat</t>
  </si>
  <si>
    <t>fenthoaat</t>
  </si>
  <si>
    <t>2597-03-7</t>
  </si>
  <si>
    <t>fentn</t>
  </si>
  <si>
    <t>fenothrin</t>
  </si>
  <si>
    <t>26002-80-2</t>
  </si>
  <si>
    <t>fentnl</t>
  </si>
  <si>
    <t>fentanyl</t>
  </si>
  <si>
    <t>437-38-7</t>
  </si>
  <si>
    <t>fentoSO</t>
  </si>
  <si>
    <t>fenthion-sulfoxide</t>
  </si>
  <si>
    <t>3761-41-9</t>
  </si>
  <si>
    <t>fenton</t>
  </si>
  <si>
    <t>fenthion</t>
  </si>
  <si>
    <t>55-38-9</t>
  </si>
  <si>
    <t>fentosfn</t>
  </si>
  <si>
    <t>fenthion-sulfon</t>
  </si>
  <si>
    <t>3761-42-0</t>
  </si>
  <si>
    <t>fentrl</t>
  </si>
  <si>
    <t>fenoterol</t>
  </si>
  <si>
    <t>13392-18-2</t>
  </si>
  <si>
    <t>fenvlrt</t>
  </si>
  <si>
    <t>fenvaleraat</t>
  </si>
  <si>
    <t>51630-58-1</t>
  </si>
  <si>
    <t>fenxppPC2y</t>
  </si>
  <si>
    <t>fenoxaprop-P-ethyl</t>
  </si>
  <si>
    <t>71283-80-2</t>
  </si>
  <si>
    <t>fenzqn</t>
  </si>
  <si>
    <t>fenazaquin</t>
  </si>
  <si>
    <t>120928-09-8</t>
  </si>
  <si>
    <t>ferbm</t>
  </si>
  <si>
    <t>ferbam</t>
  </si>
  <si>
    <t>14484-64-1</t>
  </si>
  <si>
    <t>ferrcn</t>
  </si>
  <si>
    <t>ferroceen</t>
  </si>
  <si>
    <t>102-54-5</t>
  </si>
  <si>
    <t>fexfndne</t>
  </si>
  <si>
    <t>fexofenadine</t>
  </si>
  <si>
    <t>83799-24-0</t>
  </si>
  <si>
    <t>fipndsfnl</t>
  </si>
  <si>
    <t>fipronil-desulfinyl</t>
  </si>
  <si>
    <t>205650-65-3</t>
  </si>
  <si>
    <t>fipnl</t>
  </si>
  <si>
    <t>fipronil</t>
  </si>
  <si>
    <t>120068-37-3</t>
  </si>
  <si>
    <t>fipnsfn</t>
  </si>
  <si>
    <t>fipronil-sulfon</t>
  </si>
  <si>
    <t>120068-36-2</t>
  </si>
  <si>
    <t>flampMiC3y</t>
  </si>
  <si>
    <t>flamprop-M-isopropyl</t>
  </si>
  <si>
    <t>63782-90-1</t>
  </si>
  <si>
    <t>flazsfrn</t>
  </si>
  <si>
    <t>flazasulfuron</t>
  </si>
  <si>
    <t>104040-78-0</t>
  </si>
  <si>
    <t>flecinde</t>
  </si>
  <si>
    <t>flecainide</t>
  </si>
  <si>
    <t>54143-55-4</t>
  </si>
  <si>
    <t>flocmfn</t>
  </si>
  <si>
    <t>flocoumafen</t>
  </si>
  <si>
    <t>90035-08-8</t>
  </si>
  <si>
    <t>floncmd</t>
  </si>
  <si>
    <t>flonicamid</t>
  </si>
  <si>
    <t>158062-67-0</t>
  </si>
  <si>
    <t>florfncl</t>
  </si>
  <si>
    <t>florfenicol</t>
  </si>
  <si>
    <t>76639-94-6</t>
  </si>
  <si>
    <t>flrtmn</t>
  </si>
  <si>
    <t>flurtamon</t>
  </si>
  <si>
    <t>96525-23-4</t>
  </si>
  <si>
    <t>fluClaln</t>
  </si>
  <si>
    <t>fluchloralin</t>
  </si>
  <si>
    <t>33245-39-5</t>
  </si>
  <si>
    <t>fluOxpmtl</t>
  </si>
  <si>
    <t>fluroxypyr-meptyl</t>
  </si>
  <si>
    <t>81406-37-3</t>
  </si>
  <si>
    <t>fluTafl</t>
  </si>
  <si>
    <t>flutriafol</t>
  </si>
  <si>
    <t>76674-21-0</t>
  </si>
  <si>
    <t>fluacprm</t>
  </si>
  <si>
    <t>fluacrypyrim</t>
  </si>
  <si>
    <t>229977-93-9</t>
  </si>
  <si>
    <t>flualnt</t>
  </si>
  <si>
    <t>fluvalinaat</t>
  </si>
  <si>
    <t>69409-94-5</t>
  </si>
  <si>
    <t>fluazfC4y</t>
  </si>
  <si>
    <t>fluazifop-butyl</t>
  </si>
  <si>
    <t>69806-50-4</t>
  </si>
  <si>
    <t>fluazfPC4y</t>
  </si>
  <si>
    <t>fluazifop-P-butyl</t>
  </si>
  <si>
    <t>79241-46-6</t>
  </si>
  <si>
    <t>fluazfp</t>
  </si>
  <si>
    <t>fluazifop</t>
  </si>
  <si>
    <t>69335-91-7</t>
  </si>
  <si>
    <t>fluazfpP</t>
  </si>
  <si>
    <t>fluazifop-P</t>
  </si>
  <si>
    <t>83066-88-0</t>
  </si>
  <si>
    <t>fluazlt</t>
  </si>
  <si>
    <t>fluazolaat</t>
  </si>
  <si>
    <t>174514-07-9</t>
  </si>
  <si>
    <t>fluaznm</t>
  </si>
  <si>
    <t>fluazinam</t>
  </si>
  <si>
    <t>79622-59-6</t>
  </si>
  <si>
    <t>flubDad</t>
  </si>
  <si>
    <t>flubendiamide</t>
  </si>
  <si>
    <t>272451-65-7</t>
  </si>
  <si>
    <t>flubdzle</t>
  </si>
  <si>
    <t>flubendazole</t>
  </si>
  <si>
    <t>31430-15-6</t>
  </si>
  <si>
    <t>flubzmne</t>
  </si>
  <si>
    <t>flubenzimine</t>
  </si>
  <si>
    <t>37893-02-0</t>
  </si>
  <si>
    <t>flucaclne</t>
  </si>
  <si>
    <t>flucloxacilline</t>
  </si>
  <si>
    <t>5250-39-5</t>
  </si>
  <si>
    <t>fluccxrn</t>
  </si>
  <si>
    <t>flucycloxuron</t>
  </si>
  <si>
    <t>113036-88-7</t>
  </si>
  <si>
    <t>flucfrn</t>
  </si>
  <si>
    <t>flucofuron</t>
  </si>
  <si>
    <t>370-50-3</t>
  </si>
  <si>
    <t>flucnzl</t>
  </si>
  <si>
    <t>fluconazol</t>
  </si>
  <si>
    <t>86386-73-4</t>
  </si>
  <si>
    <t>fluctnt</t>
  </si>
  <si>
    <t>flucythrinaat</t>
  </si>
  <si>
    <t>70124-77-5</t>
  </si>
  <si>
    <t>fludoxnl</t>
  </si>
  <si>
    <t>fludioxonil</t>
  </si>
  <si>
    <t>131341-86-1</t>
  </si>
  <si>
    <t>flufnct</t>
  </si>
  <si>
    <t>flufenacet</t>
  </si>
  <si>
    <t>142459-58-3</t>
  </si>
  <si>
    <t>flufnxrn</t>
  </si>
  <si>
    <t>flufenoxuron</t>
  </si>
  <si>
    <t>101463-69-8</t>
  </si>
  <si>
    <t>flufnzne</t>
  </si>
  <si>
    <t>flufenazine</t>
  </si>
  <si>
    <t>69-23-8</t>
  </si>
  <si>
    <t>flumoxzn</t>
  </si>
  <si>
    <t>flumioxazin</t>
  </si>
  <si>
    <t>103361-09-7</t>
  </si>
  <si>
    <t>flumqne</t>
  </si>
  <si>
    <t>flumequine</t>
  </si>
  <si>
    <t>42835-25-6</t>
  </si>
  <si>
    <t>fluogcfnC2y</t>
  </si>
  <si>
    <t>fluorglycofen-ethyl</t>
  </si>
  <si>
    <t>77501-90-7</t>
  </si>
  <si>
    <t>fluomtrn</t>
  </si>
  <si>
    <t>fluometuron</t>
  </si>
  <si>
    <t>2164-17-2</t>
  </si>
  <si>
    <t>fluopclde</t>
  </si>
  <si>
    <t>fluopicolide</t>
  </si>
  <si>
    <t>239110-15-7</t>
  </si>
  <si>
    <t>fluoprm</t>
  </si>
  <si>
    <t>fluopyram</t>
  </si>
  <si>
    <t>658066-35-4</t>
  </si>
  <si>
    <t>fluoxsbn</t>
  </si>
  <si>
    <t>fluoxastrobin</t>
  </si>
  <si>
    <t>193740-76-0</t>
  </si>
  <si>
    <t>fluoxtne</t>
  </si>
  <si>
    <t>fluoxetine</t>
  </si>
  <si>
    <t>54910-89-3</t>
  </si>
  <si>
    <t>fluprdfrn</t>
  </si>
  <si>
    <t>flupyradifuron</t>
  </si>
  <si>
    <t>951659-40-8</t>
  </si>
  <si>
    <t>flupsfrnC1y</t>
  </si>
  <si>
    <t>flupyrsulfuron-methyl</t>
  </si>
  <si>
    <t>144740-54-5</t>
  </si>
  <si>
    <t>fluptxl</t>
  </si>
  <si>
    <t>flupentixol</t>
  </si>
  <si>
    <t>2709-56-0</t>
  </si>
  <si>
    <t>fluqcnzl</t>
  </si>
  <si>
    <t>fluquinconazool</t>
  </si>
  <si>
    <t>136426-54-5</t>
  </si>
  <si>
    <t>flurOxpr</t>
  </si>
  <si>
    <t>fluroxypyr</t>
  </si>
  <si>
    <t>69377-81-7</t>
  </si>
  <si>
    <t>flurcl</t>
  </si>
  <si>
    <t>fluracil</t>
  </si>
  <si>
    <t>51-21-8</t>
  </si>
  <si>
    <t>flurcrdn</t>
  </si>
  <si>
    <t>flurochloridon</t>
  </si>
  <si>
    <t>61213-25-0</t>
  </si>
  <si>
    <t>flurdn</t>
  </si>
  <si>
    <t>fluridon</t>
  </si>
  <si>
    <t>59756-60-4</t>
  </si>
  <si>
    <t>flurnC4y</t>
  </si>
  <si>
    <t>flurenol-butyl</t>
  </si>
  <si>
    <t>2314-09-2</t>
  </si>
  <si>
    <t>flurnl</t>
  </si>
  <si>
    <t>flurenol</t>
  </si>
  <si>
    <t>467-69-6</t>
  </si>
  <si>
    <t>flurpmdl</t>
  </si>
  <si>
    <t>flurprimidol</t>
  </si>
  <si>
    <t>77125-41-8</t>
  </si>
  <si>
    <t>flurslm</t>
  </si>
  <si>
    <t>florasulam</t>
  </si>
  <si>
    <t>145701-23-1</t>
  </si>
  <si>
    <t>fluslzl</t>
  </si>
  <si>
    <t>flusilazool</t>
  </si>
  <si>
    <t>85509-19-9</t>
  </si>
  <si>
    <t>flutcsppont</t>
  </si>
  <si>
    <t>fluticasonpropionaat</t>
  </si>
  <si>
    <t>80474-14-2</t>
  </si>
  <si>
    <t>flutlnl</t>
  </si>
  <si>
    <t>flutolanil</t>
  </si>
  <si>
    <t>66332-96-5</t>
  </si>
  <si>
    <t>flutmde</t>
  </si>
  <si>
    <t>flutamide</t>
  </si>
  <si>
    <t>13311-84-7</t>
  </si>
  <si>
    <t>fluxprxd</t>
  </si>
  <si>
    <t>fluxapyroxad</t>
  </si>
  <si>
    <t>907204-31-3</t>
  </si>
  <si>
    <t>folpt</t>
  </si>
  <si>
    <t>folpet</t>
  </si>
  <si>
    <t>133-07-3</t>
  </si>
  <si>
    <t>fomsfn</t>
  </si>
  <si>
    <t>fomesafen</t>
  </si>
  <si>
    <t>72178-02-0</t>
  </si>
  <si>
    <t>fonfs</t>
  </si>
  <si>
    <t>fonofos</t>
  </si>
  <si>
    <t>944-22-9</t>
  </si>
  <si>
    <t>forSO</t>
  </si>
  <si>
    <t>foraat-sulfoxide</t>
  </si>
  <si>
    <t>2588-05-8</t>
  </si>
  <si>
    <t>forasfrn</t>
  </si>
  <si>
    <t>foramsulfuron</t>
  </si>
  <si>
    <t>173159-57-4</t>
  </si>
  <si>
    <t>formAd</t>
  </si>
  <si>
    <t>formamide</t>
  </si>
  <si>
    <t>75-12-7</t>
  </si>
  <si>
    <t>formtnHCl</t>
  </si>
  <si>
    <t>formetanaat-hydrochloride</t>
  </si>
  <si>
    <t>23422-53-9</t>
  </si>
  <si>
    <t>formtnt</t>
  </si>
  <si>
    <t>formetanaat</t>
  </si>
  <si>
    <t>22259-30-9</t>
  </si>
  <si>
    <t>formton</t>
  </si>
  <si>
    <t>formothion</t>
  </si>
  <si>
    <t>2540-82-1</t>
  </si>
  <si>
    <t>forsfn</t>
  </si>
  <si>
    <t>foraat-sulfon</t>
  </si>
  <si>
    <t>2588-04-7</t>
  </si>
  <si>
    <t>fort</t>
  </si>
  <si>
    <t>foraat</t>
  </si>
  <si>
    <t>298-02-2</t>
  </si>
  <si>
    <t>fosC2yAl</t>
  </si>
  <si>
    <t>fosetyl-aluminium</t>
  </si>
  <si>
    <t>39148-24-8</t>
  </si>
  <si>
    <t>fosfmdn</t>
  </si>
  <si>
    <t>fosfamidon</t>
  </si>
  <si>
    <t>13171-21-6</t>
  </si>
  <si>
    <t>fosfne</t>
  </si>
  <si>
    <t>fosfine</t>
  </si>
  <si>
    <t>7803-51-2</t>
  </si>
  <si>
    <t>fosgn</t>
  </si>
  <si>
    <t>fosgeen</t>
  </si>
  <si>
    <t>75-44-5</t>
  </si>
  <si>
    <t>fosln</t>
  </si>
  <si>
    <t>fosalon</t>
  </si>
  <si>
    <t>2310-17-0</t>
  </si>
  <si>
    <t>fosmOon</t>
  </si>
  <si>
    <t>fosmet-oxon</t>
  </si>
  <si>
    <t>3735-33-9</t>
  </si>
  <si>
    <t>fosmt</t>
  </si>
  <si>
    <t>fosmet</t>
  </si>
  <si>
    <t>732-11-6</t>
  </si>
  <si>
    <t>fostazt</t>
  </si>
  <si>
    <t>fosthiazaat</t>
  </si>
  <si>
    <t>98886-44-3</t>
  </si>
  <si>
    <t>fostl</t>
  </si>
  <si>
    <t>fosetyl</t>
  </si>
  <si>
    <t>15845-66-6</t>
  </si>
  <si>
    <t>ftaalzrahdde</t>
  </si>
  <si>
    <t>ftaalzuuranhydride</t>
  </si>
  <si>
    <t>85-44-9</t>
  </si>
  <si>
    <t>ftalmde</t>
  </si>
  <si>
    <t>ftalimide</t>
  </si>
  <si>
    <t>85-41-6</t>
  </si>
  <si>
    <t>fubrdzl</t>
  </si>
  <si>
    <t>fuberidazool</t>
  </si>
  <si>
    <t>3878-19-1</t>
  </si>
  <si>
    <t>furfrl</t>
  </si>
  <si>
    <t>furfural</t>
  </si>
  <si>
    <t>98-01-1</t>
  </si>
  <si>
    <t>furlxl</t>
  </si>
  <si>
    <t>furalaxyl</t>
  </si>
  <si>
    <t>57646-30-7</t>
  </si>
  <si>
    <t>furmccx</t>
  </si>
  <si>
    <t>furmecyclox</t>
  </si>
  <si>
    <t>60568-05-0</t>
  </si>
  <si>
    <t>fursmde</t>
  </si>
  <si>
    <t>furosemide</t>
  </si>
  <si>
    <t>54-31-9</t>
  </si>
  <si>
    <t>furtocb</t>
  </si>
  <si>
    <t>furathiocarb</t>
  </si>
  <si>
    <t>65907-30-4</t>
  </si>
  <si>
    <t>furzldn</t>
  </si>
  <si>
    <t>furazolidon</t>
  </si>
  <si>
    <t>67-45-8</t>
  </si>
  <si>
    <t>fyccanne</t>
  </si>
  <si>
    <t>fycocyanine</t>
  </si>
  <si>
    <t>11016-15-2</t>
  </si>
  <si>
    <t>fytl</t>
  </si>
  <si>
    <t>fytol</t>
  </si>
  <si>
    <t>150-86-7</t>
  </si>
  <si>
    <t>gabptne</t>
  </si>
  <si>
    <t>gabapentine</t>
  </si>
  <si>
    <t>60142-96-3</t>
  </si>
  <si>
    <t>gabptnltm</t>
  </si>
  <si>
    <t>gabapentine-lactam</t>
  </si>
  <si>
    <t>64744-50-9</t>
  </si>
  <si>
    <t>gebbrlne</t>
  </si>
  <si>
    <t>gibberelline</t>
  </si>
  <si>
    <t>8030-53-3</t>
  </si>
  <si>
    <t>gebbrlnzr</t>
  </si>
  <si>
    <t>gibberellinezuur</t>
  </si>
  <si>
    <t>77-06-5</t>
  </si>
  <si>
    <t>geetxldC1214</t>
  </si>
  <si>
    <t>geëthoxyleerde C12-C14 alcoholen</t>
  </si>
  <si>
    <t>68439-50-9</t>
  </si>
  <si>
    <t>geetxldC1618</t>
  </si>
  <si>
    <t>geëthoxyleerde C16-C18 alcoholen</t>
  </si>
  <si>
    <t>68439-49-6</t>
  </si>
  <si>
    <t>geetxldC9C11</t>
  </si>
  <si>
    <t>geëthoxyleerde C9-C11 alcoholen</t>
  </si>
  <si>
    <t>68439-46-3</t>
  </si>
  <si>
    <t>geetxldiC10y</t>
  </si>
  <si>
    <t>geëthoxyleerde isodecylalcohol</t>
  </si>
  <si>
    <t>61827-42-7</t>
  </si>
  <si>
    <t>gemctbne</t>
  </si>
  <si>
    <t>gemcitabine</t>
  </si>
  <si>
    <t>95058-81-4</t>
  </si>
  <si>
    <t>gemfbzl</t>
  </si>
  <si>
    <t>gemfibrozil</t>
  </si>
  <si>
    <t>25812-30-0</t>
  </si>
  <si>
    <t>gentocb</t>
  </si>
  <si>
    <t>fenothiocarb</t>
  </si>
  <si>
    <t>62850-32-2</t>
  </si>
  <si>
    <t>gentsnzr</t>
  </si>
  <si>
    <t>gentisinezuur</t>
  </si>
  <si>
    <t>490-79-9</t>
  </si>
  <si>
    <t>gernl</t>
  </si>
  <si>
    <t>geraniol</t>
  </si>
  <si>
    <t>106-24-1</t>
  </si>
  <si>
    <t>glibcmde</t>
  </si>
  <si>
    <t>glibenclamide</t>
  </si>
  <si>
    <t>10238-21-8</t>
  </si>
  <si>
    <t>glimprde</t>
  </si>
  <si>
    <t>glimepiride</t>
  </si>
  <si>
    <t>93479-97-1</t>
  </si>
  <si>
    <t>glnlzr</t>
  </si>
  <si>
    <t>gamma-linoleenzuur</t>
  </si>
  <si>
    <t>506-26-3</t>
  </si>
  <si>
    <t>glucse</t>
  </si>
  <si>
    <t>glucose</t>
  </si>
  <si>
    <t>50-99-7</t>
  </si>
  <si>
    <t>glufsnt</t>
  </si>
  <si>
    <t>glufosinaat</t>
  </si>
  <si>
    <t>51276-47-2</t>
  </si>
  <si>
    <t>glufsntNH4</t>
  </si>
  <si>
    <t>glufosinaat-ammonium</t>
  </si>
  <si>
    <t>77182-82-2</t>
  </si>
  <si>
    <t>glutAh</t>
  </si>
  <si>
    <t>glutaaraldehyde</t>
  </si>
  <si>
    <t>111-30-8</t>
  </si>
  <si>
    <t>glutmnzr</t>
  </si>
  <si>
    <t>glutaminezuur</t>
  </si>
  <si>
    <t>56-86-0</t>
  </si>
  <si>
    <t>glycdl</t>
  </si>
  <si>
    <t>glycidol</t>
  </si>
  <si>
    <t>556-52-5</t>
  </si>
  <si>
    <t>glycl</t>
  </si>
  <si>
    <t>glycol (monoethyleenglycol)</t>
  </si>
  <si>
    <t>107-21-1</t>
  </si>
  <si>
    <t>glycrDactt</t>
  </si>
  <si>
    <t>glyceroldiacetaat</t>
  </si>
  <si>
    <t>25395-31-7</t>
  </si>
  <si>
    <t>glycrTactt</t>
  </si>
  <si>
    <t>glyceroltriacetaat</t>
  </si>
  <si>
    <t>102-76-1</t>
  </si>
  <si>
    <t>glycrne</t>
  </si>
  <si>
    <t>glycerine</t>
  </si>
  <si>
    <t>56-81-5</t>
  </si>
  <si>
    <t>glyfsTmsm</t>
  </si>
  <si>
    <t>glyfosaat-trimesium</t>
  </si>
  <si>
    <t>81591-81-3</t>
  </si>
  <si>
    <t>glyfsnt</t>
  </si>
  <si>
    <t>glyfosinaat</t>
  </si>
  <si>
    <t>2439-99-8</t>
  </si>
  <si>
    <t>glyfst</t>
  </si>
  <si>
    <t>glyfosaat</t>
  </si>
  <si>
    <t>1071-83-6</t>
  </si>
  <si>
    <t>glyoxl</t>
  </si>
  <si>
    <t>glyoxaal</t>
  </si>
  <si>
    <t>107-22-2</t>
  </si>
  <si>
    <t>guanurum</t>
  </si>
  <si>
    <t>guanylureum</t>
  </si>
  <si>
    <t>141-83-3</t>
  </si>
  <si>
    <t>guaztne</t>
  </si>
  <si>
    <t>guazatine</t>
  </si>
  <si>
    <t>108173-90-6</t>
  </si>
  <si>
    <t>hHCH</t>
  </si>
  <si>
    <t>eta-hexachloorcyclohexaan</t>
  </si>
  <si>
    <t>6108-12-9</t>
  </si>
  <si>
    <t>halOxfC1y</t>
  </si>
  <si>
    <t>haloxyfop-methyl</t>
  </si>
  <si>
    <t>69806-40-2</t>
  </si>
  <si>
    <t>halOxfC2oxC2</t>
  </si>
  <si>
    <t>haloxyfop-ethoxyethyl</t>
  </si>
  <si>
    <t>87237-48-7</t>
  </si>
  <si>
    <t>halOxfPC1y</t>
  </si>
  <si>
    <t>haloxyfop-P-methyl</t>
  </si>
  <si>
    <t>72619-32-0</t>
  </si>
  <si>
    <t>halOxfp</t>
  </si>
  <si>
    <t>haloxyfop</t>
  </si>
  <si>
    <t>69806-34-4</t>
  </si>
  <si>
    <t>halOxfpP</t>
  </si>
  <si>
    <t>haloxyfop-P</t>
  </si>
  <si>
    <t>95977-29-0</t>
  </si>
  <si>
    <t>halaxfnC1y</t>
  </si>
  <si>
    <t>halauxifen-methyl</t>
  </si>
  <si>
    <t>943831-98-9</t>
  </si>
  <si>
    <t>halfnzde</t>
  </si>
  <si>
    <t>halofenozide</t>
  </si>
  <si>
    <t>112226-61-6</t>
  </si>
  <si>
    <t>halon1011</t>
  </si>
  <si>
    <t>broomchloormethaan</t>
  </si>
  <si>
    <t>74-97-5</t>
  </si>
  <si>
    <t>halon1211</t>
  </si>
  <si>
    <t>broomchloordifluormethaan</t>
  </si>
  <si>
    <t>353-59-3</t>
  </si>
  <si>
    <t>halon1301</t>
  </si>
  <si>
    <t>broomtrifluormethaan</t>
  </si>
  <si>
    <t>75-63-8</t>
  </si>
  <si>
    <t>halon2402</t>
  </si>
  <si>
    <t>1,2-dibroomtetrafluorethaan</t>
  </si>
  <si>
    <t>124-73-2</t>
  </si>
  <si>
    <t>halprdl</t>
  </si>
  <si>
    <t>haloperidol</t>
  </si>
  <si>
    <t>52-86-8</t>
  </si>
  <si>
    <t>heptnfs</t>
  </si>
  <si>
    <t>heptenofos</t>
  </si>
  <si>
    <t>23560-59-0</t>
  </si>
  <si>
    <t>hexdcFC7a</t>
  </si>
  <si>
    <t>hexadecafluorheptaan</t>
  </si>
  <si>
    <t>335-57-9</t>
  </si>
  <si>
    <t>hextazx</t>
  </si>
  <si>
    <t>hexythiazox</t>
  </si>
  <si>
    <t>78587-05-0</t>
  </si>
  <si>
    <t>hydC1ynn</t>
  </si>
  <si>
    <t>hydramethylnon</t>
  </si>
  <si>
    <t>67485-29-4</t>
  </si>
  <si>
    <t>hydznSO4</t>
  </si>
  <si>
    <t>hydrazinesulfaat</t>
  </si>
  <si>
    <t>10034-93-2</t>
  </si>
  <si>
    <t>hydzne</t>
  </si>
  <si>
    <t>hydrazine</t>
  </si>
  <si>
    <t>302-01-2</t>
  </si>
  <si>
    <t>hymxzl</t>
  </si>
  <si>
    <t>hymexazool</t>
  </si>
  <si>
    <t>10004-44-1</t>
  </si>
  <si>
    <t>iC13olC2oxlt</t>
  </si>
  <si>
    <t>isotridecanol-ethoxylaat</t>
  </si>
  <si>
    <t>9043-30-5</t>
  </si>
  <si>
    <t>iC3yAe</t>
  </si>
  <si>
    <t>Isopropylamine</t>
  </si>
  <si>
    <t>75-31-0</t>
  </si>
  <si>
    <t>iC3yDgcdE</t>
  </si>
  <si>
    <t>iso-propylglycidylether</t>
  </si>
  <si>
    <t>4016-14-2</t>
  </si>
  <si>
    <t>iC3yactt</t>
  </si>
  <si>
    <t>isopropylacetaat</t>
  </si>
  <si>
    <t>108-21-4</t>
  </si>
  <si>
    <t>iC3yantnlAd</t>
  </si>
  <si>
    <t>isopropylanthranilamide</t>
  </si>
  <si>
    <t>30391-89-0</t>
  </si>
  <si>
    <t>iC3yfpp</t>
  </si>
  <si>
    <t>iso-propylflamprop</t>
  </si>
  <si>
    <t>52756-22-6</t>
  </si>
  <si>
    <t>iC3ymrtt</t>
  </si>
  <si>
    <t>isopropylmyristaat</t>
  </si>
  <si>
    <t>110-27-0</t>
  </si>
  <si>
    <t>iC4yAe</t>
  </si>
  <si>
    <t>isobutylamine</t>
  </si>
  <si>
    <t>78-81-9</t>
  </si>
  <si>
    <t>iC4yBen</t>
  </si>
  <si>
    <t>iso-butylbenzeen</t>
  </si>
  <si>
    <t>538-93-2</t>
  </si>
  <si>
    <t>iC4yaclt</t>
  </si>
  <si>
    <t>isobutylacrylaat</t>
  </si>
  <si>
    <t>106-63-8</t>
  </si>
  <si>
    <t>iC4yactt</t>
  </si>
  <si>
    <t>iso-butylacetaat</t>
  </si>
  <si>
    <t>110-19-0</t>
  </si>
  <si>
    <t>iC9ybzFt</t>
  </si>
  <si>
    <t>isononyl-benzylftalaat</t>
  </si>
  <si>
    <t>126198-74-1</t>
  </si>
  <si>
    <t>iClidzn</t>
  </si>
  <si>
    <t>isochloridazon</t>
  </si>
  <si>
    <t>162354-96-3</t>
  </si>
  <si>
    <t>iOaftl</t>
  </si>
  <si>
    <t>isoxaflutool</t>
  </si>
  <si>
    <t>141112-29-0</t>
  </si>
  <si>
    <t>iOxnl</t>
  </si>
  <si>
    <t>ioxynil</t>
  </si>
  <si>
    <t>1689-83-4</t>
  </si>
  <si>
    <t>iamactt</t>
  </si>
  <si>
    <t>iso-amylacetaat</t>
  </si>
  <si>
    <t>123-92-2</t>
  </si>
  <si>
    <t>ibpfn</t>
  </si>
  <si>
    <t>ibuprofen</t>
  </si>
  <si>
    <t>15687-27-1</t>
  </si>
  <si>
    <t>ibtzr</t>
  </si>
  <si>
    <t>iso-boterzuur</t>
  </si>
  <si>
    <t>79-31-2</t>
  </si>
  <si>
    <t>icbfs</t>
  </si>
  <si>
    <t>isocarbofos</t>
  </si>
  <si>
    <t>24353-61-5</t>
  </si>
  <si>
    <t>icbmd</t>
  </si>
  <si>
    <t>iso-carbamid</t>
  </si>
  <si>
    <t>30979-48-7</t>
  </si>
  <si>
    <t>icrdn</t>
  </si>
  <si>
    <t>icaridin</t>
  </si>
  <si>
    <t>119515-38-7</t>
  </si>
  <si>
    <t>idn</t>
  </si>
  <si>
    <t>isodrin</t>
  </si>
  <si>
    <t>465-73-6</t>
  </si>
  <si>
    <t>iffAd</t>
  </si>
  <si>
    <t>ifosfamide</t>
  </si>
  <si>
    <t>3778-73-2</t>
  </si>
  <si>
    <t>iffOon</t>
  </si>
  <si>
    <t>isofenfos-oxon</t>
  </si>
  <si>
    <t>31120-85-1</t>
  </si>
  <si>
    <t>iffs</t>
  </si>
  <si>
    <t>isofenfos</t>
  </si>
  <si>
    <t>25311-71-1</t>
  </si>
  <si>
    <t>ifrDiCN</t>
  </si>
  <si>
    <t>isoforon diisocyanaat</t>
  </si>
  <si>
    <t>4098-71-9</t>
  </si>
  <si>
    <t>ifrn</t>
  </si>
  <si>
    <t>isoforon</t>
  </si>
  <si>
    <t>78-59-1</t>
  </si>
  <si>
    <t>ifrntl</t>
  </si>
  <si>
    <t>isoforon-nitril</t>
  </si>
  <si>
    <t>7027-11-4</t>
  </si>
  <si>
    <t>imdcpd</t>
  </si>
  <si>
    <t>imidacloprid</t>
  </si>
  <si>
    <t>138261-41-3</t>
  </si>
  <si>
    <t>imzll</t>
  </si>
  <si>
    <t>imazalil</t>
  </si>
  <si>
    <t>35554-44-0</t>
  </si>
  <si>
    <t>imzmtbzC1y</t>
  </si>
  <si>
    <t>imazamethabenz-methyl</t>
  </si>
  <si>
    <t>81405-85-8</t>
  </si>
  <si>
    <t>imzmx</t>
  </si>
  <si>
    <t>imazamox</t>
  </si>
  <si>
    <t>114311-32-9</t>
  </si>
  <si>
    <t>inda</t>
  </si>
  <si>
    <t>indaan</t>
  </si>
  <si>
    <t>496-11-7</t>
  </si>
  <si>
    <t>inde</t>
  </si>
  <si>
    <t>indeen</t>
  </si>
  <si>
    <t>95-13-6</t>
  </si>
  <si>
    <t>indl</t>
  </si>
  <si>
    <t>indol</t>
  </si>
  <si>
    <t>120-72-9</t>
  </si>
  <si>
    <t>indlHAc</t>
  </si>
  <si>
    <t>indolylazijnzuur</t>
  </si>
  <si>
    <t>87-51-4</t>
  </si>
  <si>
    <t>indlbtzr</t>
  </si>
  <si>
    <t>indolylboterzuur</t>
  </si>
  <si>
    <t>133-32-4</t>
  </si>
  <si>
    <t>indmtcne</t>
  </si>
  <si>
    <t>indometacine</t>
  </si>
  <si>
    <t>53-86-1</t>
  </si>
  <si>
    <t>indxcb</t>
  </si>
  <si>
    <t>indoxacarb (S-isomeer)</t>
  </si>
  <si>
    <t>173584-44-6</t>
  </si>
  <si>
    <t>indxcb-R</t>
  </si>
  <si>
    <t>indoxacarb (R-isomeer)</t>
  </si>
  <si>
    <t>185608-75-7</t>
  </si>
  <si>
    <t>ioxnOcnat</t>
  </si>
  <si>
    <t>ioxynil octanoaat</t>
  </si>
  <si>
    <t>3861-47-0</t>
  </si>
  <si>
    <t>ipDon</t>
  </si>
  <si>
    <t>iprodion</t>
  </si>
  <si>
    <t>36734-19-7</t>
  </si>
  <si>
    <t>ipcb</t>
  </si>
  <si>
    <t>isoprocarb</t>
  </si>
  <si>
    <t>2631-40-5</t>
  </si>
  <si>
    <t>ipnfs</t>
  </si>
  <si>
    <t>iprobenfos</t>
  </si>
  <si>
    <t>26087-47-8</t>
  </si>
  <si>
    <t>ipropxC2ol</t>
  </si>
  <si>
    <t>isopropoxyethanol</t>
  </si>
  <si>
    <t>109-59-1</t>
  </si>
  <si>
    <t>iptoln</t>
  </si>
  <si>
    <t>isoprothiolan</t>
  </si>
  <si>
    <t>50512-35-1</t>
  </si>
  <si>
    <t>iptrn</t>
  </si>
  <si>
    <t>isoproturon</t>
  </si>
  <si>
    <t>34123-59-6</t>
  </si>
  <si>
    <t>ipvlcb</t>
  </si>
  <si>
    <t>iprovalicarb</t>
  </si>
  <si>
    <t>140923-17-7</t>
  </si>
  <si>
    <t>iqnlne</t>
  </si>
  <si>
    <t>isoquinoline</t>
  </si>
  <si>
    <t>119-65-3</t>
  </si>
  <si>
    <t>irbstan</t>
  </si>
  <si>
    <t>irbesartan</t>
  </si>
  <si>
    <t>138402-11-6</t>
  </si>
  <si>
    <t>irgrl</t>
  </si>
  <si>
    <t>irgarol</t>
  </si>
  <si>
    <t>28159-98-0</t>
  </si>
  <si>
    <t>isfl</t>
  </si>
  <si>
    <t>isosafrol</t>
  </si>
  <si>
    <t>120-58-1</t>
  </si>
  <si>
    <t>isprzm</t>
  </si>
  <si>
    <t>isopyrazam</t>
  </si>
  <si>
    <t>881685-58-1</t>
  </si>
  <si>
    <t>issbde</t>
  </si>
  <si>
    <t>isosorbide</t>
  </si>
  <si>
    <t>652-67-5</t>
  </si>
  <si>
    <t>isxbn</t>
  </si>
  <si>
    <t>isoxaben</t>
  </si>
  <si>
    <t>82558-50-7</t>
  </si>
  <si>
    <t>iszfs</t>
  </si>
  <si>
    <t>isazofos</t>
  </si>
  <si>
    <t>42509-80-8</t>
  </si>
  <si>
    <t>iurn</t>
  </si>
  <si>
    <t>isouron</t>
  </si>
  <si>
    <t>55861-78-4</t>
  </si>
  <si>
    <t>ivlrazr</t>
  </si>
  <si>
    <t>iso-valeriaanzuur</t>
  </si>
  <si>
    <t>503-74-2</t>
  </si>
  <si>
    <t>ivmctne</t>
  </si>
  <si>
    <t>ivermectine</t>
  </si>
  <si>
    <t>70288-86-7</t>
  </si>
  <si>
    <t>ixdfnC2y</t>
  </si>
  <si>
    <t>isoxadifen-ethyl</t>
  </si>
  <si>
    <t>163520-33-0</t>
  </si>
  <si>
    <t>ixtton</t>
  </si>
  <si>
    <t>isoxathion</t>
  </si>
  <si>
    <t>18854-01-8</t>
  </si>
  <si>
    <t>jodffs</t>
  </si>
  <si>
    <t>jodfenfos</t>
  </si>
  <si>
    <t>18181-70-9</t>
  </si>
  <si>
    <t>jodixnl</t>
  </si>
  <si>
    <t>jodixanol</t>
  </si>
  <si>
    <t>92339-11-2</t>
  </si>
  <si>
    <t>jodpAd</t>
  </si>
  <si>
    <t>jodipamide</t>
  </si>
  <si>
    <t>606-17-7</t>
  </si>
  <si>
    <t>johxl</t>
  </si>
  <si>
    <t>johexol</t>
  </si>
  <si>
    <t>66108-95-0</t>
  </si>
  <si>
    <t>jompl</t>
  </si>
  <si>
    <t>jomeprol</t>
  </si>
  <si>
    <t>78649-41-9</t>
  </si>
  <si>
    <t>jopmde</t>
  </si>
  <si>
    <t>jopromide</t>
  </si>
  <si>
    <t>73334-07-3</t>
  </si>
  <si>
    <t>jopmdl</t>
  </si>
  <si>
    <t>jopamidol</t>
  </si>
  <si>
    <t>60166-93-0</t>
  </si>
  <si>
    <t>jopninzr</t>
  </si>
  <si>
    <t>jopanoïnezuur</t>
  </si>
  <si>
    <t>96-83-3</t>
  </si>
  <si>
    <t>jotlmnzr</t>
  </si>
  <si>
    <t>jotalaminezuur</t>
  </si>
  <si>
    <t>2276-90-6</t>
  </si>
  <si>
    <t>joxgnzr</t>
  </si>
  <si>
    <t>joxaglinezuur</t>
  </si>
  <si>
    <t>59017-64-0</t>
  </si>
  <si>
    <t>joxtlmnzr</t>
  </si>
  <si>
    <t>joxitalaminezuur</t>
  </si>
  <si>
    <t>28179-44-4</t>
  </si>
  <si>
    <t>kasgmcne</t>
  </si>
  <si>
    <t>kasugamycine</t>
  </si>
  <si>
    <t>6980-18-3</t>
  </si>
  <si>
    <t>ketAe</t>
  </si>
  <si>
    <t>ketamine</t>
  </si>
  <si>
    <t>100477-72-3</t>
  </si>
  <si>
    <t>ketpfn</t>
  </si>
  <si>
    <t>ketoprofen</t>
  </si>
  <si>
    <t>22071-15-4</t>
  </si>
  <si>
    <t>kokakTC1yNH4</t>
  </si>
  <si>
    <t>kokosalkyltrimethylammoniumchloride</t>
  </si>
  <si>
    <t>61789-18-2</t>
  </si>
  <si>
    <t>koolhdtn</t>
  </si>
  <si>
    <t>koolhydraten</t>
  </si>
  <si>
    <t>koolwtshs</t>
  </si>
  <si>
    <t>koolwaterstofhars</t>
  </si>
  <si>
    <t>kresOxmC1y</t>
  </si>
  <si>
    <t>kresoxim-methyl</t>
  </si>
  <si>
    <t>143390-89-0</t>
  </si>
  <si>
    <t>lactfn</t>
  </si>
  <si>
    <t>lactofen</t>
  </si>
  <si>
    <t>77501-63-4</t>
  </si>
  <si>
    <t>lactse</t>
  </si>
  <si>
    <t>lactose</t>
  </si>
  <si>
    <t>63-42-3</t>
  </si>
  <si>
    <t>lamnrn</t>
  </si>
  <si>
    <t>laminaran</t>
  </si>
  <si>
    <t>9008-22-4</t>
  </si>
  <si>
    <t>lamtgne</t>
  </si>
  <si>
    <t>lamotrigine</t>
  </si>
  <si>
    <t>84057-84-1</t>
  </si>
  <si>
    <t>landn</t>
  </si>
  <si>
    <t>landrin</t>
  </si>
  <si>
    <t>12407-86-2</t>
  </si>
  <si>
    <t>lcyhltn</t>
  </si>
  <si>
    <t>lambda-cyhalothrin</t>
  </si>
  <si>
    <t>91465-08-6</t>
  </si>
  <si>
    <t>lencl</t>
  </si>
  <si>
    <t>lenacil</t>
  </si>
  <si>
    <t>2164-08-1</t>
  </si>
  <si>
    <t>leptfs</t>
  </si>
  <si>
    <t>leptofos</t>
  </si>
  <si>
    <t>21609-90-5</t>
  </si>
  <si>
    <t>levfxcne</t>
  </si>
  <si>
    <t>levofloxacine</t>
  </si>
  <si>
    <t>100986-85-4</t>
  </si>
  <si>
    <t>levmsl</t>
  </si>
  <si>
    <t>levamisol</t>
  </si>
  <si>
    <t>14769-73-4</t>
  </si>
  <si>
    <t>levtrctm</t>
  </si>
  <si>
    <t>levetiracetam</t>
  </si>
  <si>
    <t>102767-28-2</t>
  </si>
  <si>
    <t>levtrxne</t>
  </si>
  <si>
    <t>levothyroxine</t>
  </si>
  <si>
    <t>51-48-9</t>
  </si>
  <si>
    <t>lidcine</t>
  </si>
  <si>
    <t>lidocaïne</t>
  </si>
  <si>
    <t>137-58-6</t>
  </si>
  <si>
    <t>lignne</t>
  </si>
  <si>
    <t>lignine</t>
  </si>
  <si>
    <t>9005-53-2</t>
  </si>
  <si>
    <t>limnn</t>
  </si>
  <si>
    <t>limoneen</t>
  </si>
  <si>
    <t>138-86-3</t>
  </si>
  <si>
    <t>lincmcne</t>
  </si>
  <si>
    <t>lincomycine</t>
  </si>
  <si>
    <t>154-21-2</t>
  </si>
  <si>
    <t>linrn</t>
  </si>
  <si>
    <t>linuron</t>
  </si>
  <si>
    <t>330-55-2</t>
  </si>
  <si>
    <t>linzr</t>
  </si>
  <si>
    <t>linolzuur</t>
  </si>
  <si>
    <t>60-33-3</t>
  </si>
  <si>
    <t>lisnpl</t>
  </si>
  <si>
    <t>lisinopril</t>
  </si>
  <si>
    <t>83915-83-7</t>
  </si>
  <si>
    <t>lopAd</t>
  </si>
  <si>
    <t>loperamide</t>
  </si>
  <si>
    <t>53179-11-6</t>
  </si>
  <si>
    <t>lostan</t>
  </si>
  <si>
    <t>losartan</t>
  </si>
  <si>
    <t>114798-26-4</t>
  </si>
  <si>
    <t>lufnrn</t>
  </si>
  <si>
    <t>lufenuron</t>
  </si>
  <si>
    <t>103055-07-8</t>
  </si>
  <si>
    <t>mAh</t>
  </si>
  <si>
    <t>metaldehyde</t>
  </si>
  <si>
    <t>108-62-3</t>
  </si>
  <si>
    <t>malOon</t>
  </si>
  <si>
    <t>malaoxon</t>
  </si>
  <si>
    <t>1634-78-2</t>
  </si>
  <si>
    <t>malcgoxlt</t>
  </si>
  <si>
    <t>malachietgroen-oxalaat</t>
  </si>
  <si>
    <t>2437-29-8</t>
  </si>
  <si>
    <t>malinhdzde</t>
  </si>
  <si>
    <t>maleinehydrazide</t>
  </si>
  <si>
    <t>123-33-1</t>
  </si>
  <si>
    <t>malinzr</t>
  </si>
  <si>
    <t>maleïnezuur</t>
  </si>
  <si>
    <t>110-16-7</t>
  </si>
  <si>
    <t>malnntl</t>
  </si>
  <si>
    <t>malononitril</t>
  </si>
  <si>
    <t>109-77-3</t>
  </si>
  <si>
    <t>maltdtne</t>
  </si>
  <si>
    <t>maltodextrine</t>
  </si>
  <si>
    <t>9050-36-6</t>
  </si>
  <si>
    <t>malton</t>
  </si>
  <si>
    <t>malathion</t>
  </si>
  <si>
    <t>121-75-5</t>
  </si>
  <si>
    <t>manb</t>
  </si>
  <si>
    <t>maneb</t>
  </si>
  <si>
    <t>12427-38-2</t>
  </si>
  <si>
    <t>manczb</t>
  </si>
  <si>
    <t>mancozeb</t>
  </si>
  <si>
    <t>8018-01-7</t>
  </si>
  <si>
    <t>mandppAd</t>
  </si>
  <si>
    <t>mandipropamide</t>
  </si>
  <si>
    <t>374726-62-2</t>
  </si>
  <si>
    <t>mandsbn</t>
  </si>
  <si>
    <t>mandestrobin</t>
  </si>
  <si>
    <t>173662-97-0</t>
  </si>
  <si>
    <t>manm</t>
  </si>
  <si>
    <t>manam</t>
  </si>
  <si>
    <t>15339-36-3</t>
  </si>
  <si>
    <t>maptlne</t>
  </si>
  <si>
    <t>maprotiline</t>
  </si>
  <si>
    <t>10262-69-8</t>
  </si>
  <si>
    <t>mbenzdne</t>
  </si>
  <si>
    <t>m-benzidine</t>
  </si>
  <si>
    <t>2050-89-7</t>
  </si>
  <si>
    <t>mcresl</t>
  </si>
  <si>
    <t>m-cresol</t>
  </si>
  <si>
    <t>108-39-4</t>
  </si>
  <si>
    <t>mebdzl</t>
  </si>
  <si>
    <t>mebendazol</t>
  </si>
  <si>
    <t>31431-39-7</t>
  </si>
  <si>
    <t>mebvrnAm</t>
  </si>
  <si>
    <t>mebeverine amine</t>
  </si>
  <si>
    <t>14367-46-5</t>
  </si>
  <si>
    <t>mebvrnHCL</t>
  </si>
  <si>
    <t>mebeverine hydrochloride</t>
  </si>
  <si>
    <t>2753-45-9</t>
  </si>
  <si>
    <t>mecbm</t>
  </si>
  <si>
    <t>mecarbam</t>
  </si>
  <si>
    <t>2595-54-2</t>
  </si>
  <si>
    <t>mecccne</t>
  </si>
  <si>
    <t>meclocycline</t>
  </si>
  <si>
    <t>2013-58-3</t>
  </si>
  <si>
    <t>mecppP</t>
  </si>
  <si>
    <t>mecoprop-P</t>
  </si>
  <si>
    <t>16484-77-8</t>
  </si>
  <si>
    <t>meczne</t>
  </si>
  <si>
    <t>meclozine</t>
  </si>
  <si>
    <t>569-65-3</t>
  </si>
  <si>
    <t>medntactt</t>
  </si>
  <si>
    <t>medinoterbacetaat</t>
  </si>
  <si>
    <t>2487-01-6</t>
  </si>
  <si>
    <t>medtmdneHCl</t>
  </si>
  <si>
    <t>medetomidine hydrochloride</t>
  </si>
  <si>
    <t>86347-15-1</t>
  </si>
  <si>
    <t>meffln</t>
  </si>
  <si>
    <t>mefosfolan</t>
  </si>
  <si>
    <t>950-10-7</t>
  </si>
  <si>
    <t>mefidde</t>
  </si>
  <si>
    <t>mefluidide</t>
  </si>
  <si>
    <t>53780-34-0</t>
  </si>
  <si>
    <t>mefnct</t>
  </si>
  <si>
    <t>mefenacet</t>
  </si>
  <si>
    <t>73250-68-7</t>
  </si>
  <si>
    <t>mefpDC2y</t>
  </si>
  <si>
    <t>mefenpyr-diethyl</t>
  </si>
  <si>
    <t>135590-91-9</t>
  </si>
  <si>
    <t>melkzr</t>
  </si>
  <si>
    <t>melkzuur</t>
  </si>
  <si>
    <t>50-21-5</t>
  </si>
  <si>
    <t>memtne</t>
  </si>
  <si>
    <t>memantine</t>
  </si>
  <si>
    <t>19982-08-2</t>
  </si>
  <si>
    <t>mentl</t>
  </si>
  <si>
    <t>menthol</t>
  </si>
  <si>
    <t>89-78-1</t>
  </si>
  <si>
    <t>mepnl</t>
  </si>
  <si>
    <t>mepronil</t>
  </si>
  <si>
    <t>55814-41-0</t>
  </si>
  <si>
    <t>mepnprm</t>
  </si>
  <si>
    <t>mepanipyrim</t>
  </si>
  <si>
    <t>110235-47-7</t>
  </si>
  <si>
    <t>mepqCl</t>
  </si>
  <si>
    <t>mepiquatchloride</t>
  </si>
  <si>
    <t>24307-26-4</t>
  </si>
  <si>
    <t>mepqat</t>
  </si>
  <si>
    <t>mepiquat</t>
  </si>
  <si>
    <t>15302-91-7</t>
  </si>
  <si>
    <t>merfs</t>
  </si>
  <si>
    <t>merfos</t>
  </si>
  <si>
    <t>150-50-5</t>
  </si>
  <si>
    <t>meslzne</t>
  </si>
  <si>
    <t>mesalazine</t>
  </si>
  <si>
    <t>89-57-6</t>
  </si>
  <si>
    <t>mesnl</t>
  </si>
  <si>
    <t>mestranol</t>
  </si>
  <si>
    <t>72-33-3</t>
  </si>
  <si>
    <t>messfrnC1y</t>
  </si>
  <si>
    <t>mesosulfuron-methyl</t>
  </si>
  <si>
    <t>208465-21-8</t>
  </si>
  <si>
    <t>meston</t>
  </si>
  <si>
    <t>mesotrion</t>
  </si>
  <si>
    <t>104206-82-8</t>
  </si>
  <si>
    <t>mestoxde</t>
  </si>
  <si>
    <t>mesityloxide</t>
  </si>
  <si>
    <t>141-79-7</t>
  </si>
  <si>
    <t>metNa</t>
  </si>
  <si>
    <t>metham-natrium</t>
  </si>
  <si>
    <t>137-42-8</t>
  </si>
  <si>
    <t>metaczr</t>
  </si>
  <si>
    <t>methacrylzuur</t>
  </si>
  <si>
    <t>79-41-4</t>
  </si>
  <si>
    <t>metbmrn</t>
  </si>
  <si>
    <t>metobromuron</t>
  </si>
  <si>
    <t>3060-89-7</t>
  </si>
  <si>
    <t>metbtazrn</t>
  </si>
  <si>
    <t>metabenzthiazuron</t>
  </si>
  <si>
    <t>18691-97-9</t>
  </si>
  <si>
    <t>metbzn</t>
  </si>
  <si>
    <t>metribuzin</t>
  </si>
  <si>
    <t>21087-64-9</t>
  </si>
  <si>
    <t>metcb</t>
  </si>
  <si>
    <t>metolcarb</t>
  </si>
  <si>
    <t>1129-41-5</t>
  </si>
  <si>
    <t>metcfs</t>
  </si>
  <si>
    <t>methacrifos</t>
  </si>
  <si>
    <t>62610-77-9</t>
  </si>
  <si>
    <t>metcnzl</t>
  </si>
  <si>
    <t>metconazool</t>
  </si>
  <si>
    <t>125116-23-6</t>
  </si>
  <si>
    <t>metdn</t>
  </si>
  <si>
    <t>methadon</t>
  </si>
  <si>
    <t>76-99-3</t>
  </si>
  <si>
    <t>metdton</t>
  </si>
  <si>
    <t>methidathion</t>
  </si>
  <si>
    <t>950-37-8</t>
  </si>
  <si>
    <t>metfmne</t>
  </si>
  <si>
    <t>metformine</t>
  </si>
  <si>
    <t>657-24-9</t>
  </si>
  <si>
    <t>metfnn</t>
  </si>
  <si>
    <t>metrafenon</t>
  </si>
  <si>
    <t>220899-03-6</t>
  </si>
  <si>
    <t>methafAe</t>
  </si>
  <si>
    <t>methamfetamine</t>
  </si>
  <si>
    <t>537-46-2</t>
  </si>
  <si>
    <t>methafAeHCl</t>
  </si>
  <si>
    <t>methamfetamine hydrochloride</t>
  </si>
  <si>
    <t>4298-16-2</t>
  </si>
  <si>
    <t>metlCl</t>
  </si>
  <si>
    <t>metolachloor</t>
  </si>
  <si>
    <t>51218-45-2</t>
  </si>
  <si>
    <t>metlClC2asfz</t>
  </si>
  <si>
    <t>metolachlor ethaansulfonzuur</t>
  </si>
  <si>
    <t>171118-09-5</t>
  </si>
  <si>
    <t>metlClOoHac</t>
  </si>
  <si>
    <t>metolachlor oxo azijnzuur</t>
  </si>
  <si>
    <t>152019-73-3</t>
  </si>
  <si>
    <t>metml</t>
  </si>
  <si>
    <t>methomyl</t>
  </si>
  <si>
    <t>16752-77-5</t>
  </si>
  <si>
    <t>metndzl</t>
  </si>
  <si>
    <t>metronidazol</t>
  </si>
  <si>
    <t>443-48-1</t>
  </si>
  <si>
    <t>metocb</t>
  </si>
  <si>
    <t>methiocarb</t>
  </si>
  <si>
    <t>2032-65-7</t>
  </si>
  <si>
    <t>metocbSO</t>
  </si>
  <si>
    <t>methiocarbsulfoxide</t>
  </si>
  <si>
    <t>2635-10-1</t>
  </si>
  <si>
    <t>metocbsfn</t>
  </si>
  <si>
    <t>methiocarbsulfon</t>
  </si>
  <si>
    <t>2179-25-1</t>
  </si>
  <si>
    <t>metpll</t>
  </si>
  <si>
    <t>metoprolol</t>
  </si>
  <si>
    <t>37350-58-6</t>
  </si>
  <si>
    <t>metpn</t>
  </si>
  <si>
    <t>methopreen</t>
  </si>
  <si>
    <t>40596-69-8</t>
  </si>
  <si>
    <t>metptn</t>
  </si>
  <si>
    <t>methoprotryn</t>
  </si>
  <si>
    <t>841-06-5</t>
  </si>
  <si>
    <t>metrm</t>
  </si>
  <si>
    <t>metiram</t>
  </si>
  <si>
    <t>9006-42-2</t>
  </si>
  <si>
    <t>metslm</t>
  </si>
  <si>
    <t>metosulam</t>
  </si>
  <si>
    <t>139528-85-1</t>
  </si>
  <si>
    <t>mettxt</t>
  </si>
  <si>
    <t>methotrexaat</t>
  </si>
  <si>
    <t>59-05-2</t>
  </si>
  <si>
    <t>metxrn</t>
  </si>
  <si>
    <t>metoxuron</t>
  </si>
  <si>
    <t>19937-59-8</t>
  </si>
  <si>
    <t>metzClC2asfz</t>
  </si>
  <si>
    <t>metazachloor-ethaansulfonzuur</t>
  </si>
  <si>
    <t>172960-62-2</t>
  </si>
  <si>
    <t>metzClOoHac</t>
  </si>
  <si>
    <t>metazachloor oxo azijnzuur</t>
  </si>
  <si>
    <t>1231244-60-2</t>
  </si>
  <si>
    <t>metzl</t>
  </si>
  <si>
    <t>methazol</t>
  </si>
  <si>
    <t>20354-26-1</t>
  </si>
  <si>
    <t>mevfs</t>
  </si>
  <si>
    <t>mevinfos</t>
  </si>
  <si>
    <t>7786-34-7</t>
  </si>
  <si>
    <t>mexcbt</t>
  </si>
  <si>
    <t>mexacarbaat</t>
  </si>
  <si>
    <t>315-18-4</t>
  </si>
  <si>
    <t>mfmzn</t>
  </si>
  <si>
    <t>metaflumizon</t>
  </si>
  <si>
    <t>139968-49-3</t>
  </si>
  <si>
    <t>miasrne</t>
  </si>
  <si>
    <t>mianserine</t>
  </si>
  <si>
    <t>24219-97-4</t>
  </si>
  <si>
    <t>micanzl</t>
  </si>
  <si>
    <t>miconazol</t>
  </si>
  <si>
    <t>22916-47-8</t>
  </si>
  <si>
    <t>micnzNO3</t>
  </si>
  <si>
    <t>miconazolnitraat</t>
  </si>
  <si>
    <t>22832-87-7</t>
  </si>
  <si>
    <t>milbmcA3</t>
  </si>
  <si>
    <t>milbemycin A3</t>
  </si>
  <si>
    <t>51596-10-2</t>
  </si>
  <si>
    <t>milbmcA4</t>
  </si>
  <si>
    <t>milbemycin A4</t>
  </si>
  <si>
    <t>51596-11-3</t>
  </si>
  <si>
    <t>minrlole</t>
  </si>
  <si>
    <t>minerale olie</t>
  </si>
  <si>
    <t>8042-47-5</t>
  </si>
  <si>
    <t>minrlolidx</t>
  </si>
  <si>
    <t>minerale olie index</t>
  </si>
  <si>
    <t>mirx</t>
  </si>
  <si>
    <t>mirex</t>
  </si>
  <si>
    <t>2385-85-5</t>
  </si>
  <si>
    <t>mlxl</t>
  </si>
  <si>
    <t>metalaxyl</t>
  </si>
  <si>
    <t>57837-19-1</t>
  </si>
  <si>
    <t>mlxlM</t>
  </si>
  <si>
    <t>metalaxyl-M</t>
  </si>
  <si>
    <t>70630-17-0</t>
  </si>
  <si>
    <t>mmtn</t>
  </si>
  <si>
    <t>metamitron</t>
  </si>
  <si>
    <t>41394-05-2</t>
  </si>
  <si>
    <t>molnt</t>
  </si>
  <si>
    <t>molinaat</t>
  </si>
  <si>
    <t>2212-67-1</t>
  </si>
  <si>
    <t>monlde</t>
  </si>
  <si>
    <t>monalide</t>
  </si>
  <si>
    <t>7287-36-7</t>
  </si>
  <si>
    <t>monrn</t>
  </si>
  <si>
    <t>monuron</t>
  </si>
  <si>
    <t>150-68-5</t>
  </si>
  <si>
    <t>monsfrm</t>
  </si>
  <si>
    <t>monosulfiram</t>
  </si>
  <si>
    <t>95-05-6</t>
  </si>
  <si>
    <t>monsn</t>
  </si>
  <si>
    <t>monensin</t>
  </si>
  <si>
    <t>17090-79-8</t>
  </si>
  <si>
    <t>morflne</t>
  </si>
  <si>
    <t>morfoline</t>
  </si>
  <si>
    <t>110-91-8</t>
  </si>
  <si>
    <t>morfne</t>
  </si>
  <si>
    <t>morfine</t>
  </si>
  <si>
    <t>57-27-2</t>
  </si>
  <si>
    <t>mostgs</t>
  </si>
  <si>
    <t>mosterdgas</t>
  </si>
  <si>
    <t>505-60-2</t>
  </si>
  <si>
    <t>moxdtn</t>
  </si>
  <si>
    <t>moxidectin</t>
  </si>
  <si>
    <t>113507-06-5</t>
  </si>
  <si>
    <t>msPAFmet</t>
  </si>
  <si>
    <t>meersoorten PAF metalen</t>
  </si>
  <si>
    <t>msPAForg</t>
  </si>
  <si>
    <t>meersoorten PAF organische verbindingen</t>
  </si>
  <si>
    <t>mtmdfs</t>
  </si>
  <si>
    <t>methamidofos</t>
  </si>
  <si>
    <t>10265-92-6</t>
  </si>
  <si>
    <t>muskketn</t>
  </si>
  <si>
    <t>musk keton</t>
  </si>
  <si>
    <t>81-14-1</t>
  </si>
  <si>
    <t>muskxln</t>
  </si>
  <si>
    <t>musk-xyleen</t>
  </si>
  <si>
    <t>81-15-2</t>
  </si>
  <si>
    <t>mustne</t>
  </si>
  <si>
    <t>mustine</t>
  </si>
  <si>
    <t>51-75-2</t>
  </si>
  <si>
    <t>mycbtnl</t>
  </si>
  <si>
    <t>myclobutanil</t>
  </si>
  <si>
    <t>88671-89-0</t>
  </si>
  <si>
    <t>myomne</t>
  </si>
  <si>
    <t>myosmine</t>
  </si>
  <si>
    <t>532-12-7</t>
  </si>
  <si>
    <t>myrslinzr</t>
  </si>
  <si>
    <t>myristoleinezuur</t>
  </si>
  <si>
    <t>544-64-9</t>
  </si>
  <si>
    <t>mzCl</t>
  </si>
  <si>
    <t>metazachloor</t>
  </si>
  <si>
    <t>67129-08-2</t>
  </si>
  <si>
    <t>nabm</t>
  </si>
  <si>
    <t>nabam</t>
  </si>
  <si>
    <t>142-59-6</t>
  </si>
  <si>
    <t>nafclne</t>
  </si>
  <si>
    <t>nafcilline</t>
  </si>
  <si>
    <t>147-52-4</t>
  </si>
  <si>
    <t>nald</t>
  </si>
  <si>
    <t>naled</t>
  </si>
  <si>
    <t>300-76-5</t>
  </si>
  <si>
    <t>nappAd</t>
  </si>
  <si>
    <t>napropamide</t>
  </si>
  <si>
    <t>15299-99-7</t>
  </si>
  <si>
    <t>naptlm</t>
  </si>
  <si>
    <t>naptalam</t>
  </si>
  <si>
    <t>132-66-1</t>
  </si>
  <si>
    <t>napxn</t>
  </si>
  <si>
    <t>naproxen</t>
  </si>
  <si>
    <t>22204-53-1</t>
  </si>
  <si>
    <t>narsne</t>
  </si>
  <si>
    <t>narasine</t>
  </si>
  <si>
    <t>55134-13-9</t>
  </si>
  <si>
    <t>natmcn</t>
  </si>
  <si>
    <t>natamycin</t>
  </si>
  <si>
    <t>7681-93-8</t>
  </si>
  <si>
    <t>nebrn</t>
  </si>
  <si>
    <t>neburon</t>
  </si>
  <si>
    <t>555-37-3</t>
  </si>
  <si>
    <t>nefzdne</t>
  </si>
  <si>
    <t>nefazodone</t>
  </si>
  <si>
    <t>83366-66-9</t>
  </si>
  <si>
    <t>neoC10azetnE</t>
  </si>
  <si>
    <t>neodecaanzuur ethenylester</t>
  </si>
  <si>
    <t>51000-52-3</t>
  </si>
  <si>
    <t>neoC10azr</t>
  </si>
  <si>
    <t>neodecaanzuur</t>
  </si>
  <si>
    <t>26896-20-8</t>
  </si>
  <si>
    <t>nicsfrn</t>
  </si>
  <si>
    <t>nicosulfuron</t>
  </si>
  <si>
    <t>111991-09-4</t>
  </si>
  <si>
    <t>nictne</t>
  </si>
  <si>
    <t>nicotine</t>
  </si>
  <si>
    <t>54-11-5</t>
  </si>
  <si>
    <t>nitprm</t>
  </si>
  <si>
    <t>nitenpyram</t>
  </si>
  <si>
    <t>120738-89-8</t>
  </si>
  <si>
    <t>nittliC3y</t>
  </si>
  <si>
    <t>nitrothal-isopropyl</t>
  </si>
  <si>
    <t>10552-74-6</t>
  </si>
  <si>
    <t>nodlrn</t>
  </si>
  <si>
    <t>nodularin</t>
  </si>
  <si>
    <t>118399-22-7</t>
  </si>
  <si>
    <t>norcdine</t>
  </si>
  <si>
    <t>norcodeïne</t>
  </si>
  <si>
    <t>467-15-2</t>
  </si>
  <si>
    <t>noretsrn</t>
  </si>
  <si>
    <t>norethisteron</t>
  </si>
  <si>
    <t>68-22-4</t>
  </si>
  <si>
    <t>norfrzn</t>
  </si>
  <si>
    <t>norflurazon</t>
  </si>
  <si>
    <t>27314-13-2</t>
  </si>
  <si>
    <t>norfxcne</t>
  </si>
  <si>
    <t>norfloxacine</t>
  </si>
  <si>
    <t>70458-96-7</t>
  </si>
  <si>
    <t>novlrn</t>
  </si>
  <si>
    <t>novaluron</t>
  </si>
  <si>
    <t>116714-46-6</t>
  </si>
  <si>
    <t>nuarml</t>
  </si>
  <si>
    <t>nuarimol</t>
  </si>
  <si>
    <t>63284-71-9</t>
  </si>
  <si>
    <t>oFyHgOxFol</t>
  </si>
  <si>
    <t>o-(fenylkwikoxy)fenol</t>
  </si>
  <si>
    <t>27360-58-3</t>
  </si>
  <si>
    <t>oTolsfAd</t>
  </si>
  <si>
    <t>o-tolueensulfonamide</t>
  </si>
  <si>
    <t>88-19-7</t>
  </si>
  <si>
    <t>oallFol</t>
  </si>
  <si>
    <t>o-allylfenol</t>
  </si>
  <si>
    <t>1745-81-9</t>
  </si>
  <si>
    <t>obenzdne</t>
  </si>
  <si>
    <t>o-benzidine</t>
  </si>
  <si>
    <t>1454-80-4</t>
  </si>
  <si>
    <t>ocresl</t>
  </si>
  <si>
    <t>o-cresol</t>
  </si>
  <si>
    <t>95-48-7</t>
  </si>
  <si>
    <t>oestn</t>
  </si>
  <si>
    <t>oestron</t>
  </si>
  <si>
    <t>53-16-7</t>
  </si>
  <si>
    <t>ofrce</t>
  </si>
  <si>
    <t>ofurace</t>
  </si>
  <si>
    <t>58810-48-3</t>
  </si>
  <si>
    <t>ofxcne</t>
  </si>
  <si>
    <t>ofloxacine</t>
  </si>
  <si>
    <t>83380-47-6</t>
  </si>
  <si>
    <t>oladmcn</t>
  </si>
  <si>
    <t>oleandomycin</t>
  </si>
  <si>
    <t>3922-90-5</t>
  </si>
  <si>
    <t>oladmcnPO4</t>
  </si>
  <si>
    <t>oleandomycinefosfaat</t>
  </si>
  <si>
    <t>7060-74-4</t>
  </si>
  <si>
    <t>olinzr</t>
  </si>
  <si>
    <t>oleinezuur</t>
  </si>
  <si>
    <t>112-80-1</t>
  </si>
  <si>
    <t>ompzl</t>
  </si>
  <si>
    <t>omeprazol</t>
  </si>
  <si>
    <t>73590-58-6</t>
  </si>
  <si>
    <t>omtat</t>
  </si>
  <si>
    <t>omethoaat</t>
  </si>
  <si>
    <t>1113-02-6</t>
  </si>
  <si>
    <t>orbcb</t>
  </si>
  <si>
    <t>orbencarb</t>
  </si>
  <si>
    <t>34622-58-7</t>
  </si>
  <si>
    <t>orfadne</t>
  </si>
  <si>
    <t>orfenadrine</t>
  </si>
  <si>
    <t>83-98-7</t>
  </si>
  <si>
    <t>org2058</t>
  </si>
  <si>
    <t>16alfa-ethyl-21-hydroxy-19-nor-4-pregnene-3,20-dione</t>
  </si>
  <si>
    <t>24320-06-7</t>
  </si>
  <si>
    <t>orzln</t>
  </si>
  <si>
    <t>oryzalin</t>
  </si>
  <si>
    <t>19044-88-3</t>
  </si>
  <si>
    <t>osmd</t>
  </si>
  <si>
    <t>osalmid</t>
  </si>
  <si>
    <t>526-18-1</t>
  </si>
  <si>
    <t>ostmvr</t>
  </si>
  <si>
    <t>oseltamivir</t>
  </si>
  <si>
    <t>196618-13-0</t>
  </si>
  <si>
    <t>otolidnHCl</t>
  </si>
  <si>
    <t>o-toluidine hydrochloride</t>
  </si>
  <si>
    <t>636-21-5</t>
  </si>
  <si>
    <t>oxdagl</t>
  </si>
  <si>
    <t>oxadiargyl</t>
  </si>
  <si>
    <t>39807-15-3</t>
  </si>
  <si>
    <t>oxfdzle</t>
  </si>
  <si>
    <t>oxfendazole</t>
  </si>
  <si>
    <t>53716-50-0</t>
  </si>
  <si>
    <t>oxzpm</t>
  </si>
  <si>
    <t>oxazepam</t>
  </si>
  <si>
    <t>604-75-1</t>
  </si>
  <si>
    <t>oxzr</t>
  </si>
  <si>
    <t>oxaalzuur</t>
  </si>
  <si>
    <t>144-62-7</t>
  </si>
  <si>
    <t>ozn</t>
  </si>
  <si>
    <t>ozon</t>
  </si>
  <si>
    <t>10028-15-6</t>
  </si>
  <si>
    <t>p-ment38Dol</t>
  </si>
  <si>
    <t>p-menthaan-3,8-diol</t>
  </si>
  <si>
    <t>42822-86-6</t>
  </si>
  <si>
    <t>pClFyiCN</t>
  </si>
  <si>
    <t>p-chloorfenylisocyanaat</t>
  </si>
  <si>
    <t>104-12-1</t>
  </si>
  <si>
    <t>pClmcsl</t>
  </si>
  <si>
    <t>p-chloor-m-cresol</t>
  </si>
  <si>
    <t>35421-08-0</t>
  </si>
  <si>
    <t>pFolsfzr</t>
  </si>
  <si>
    <t>p-fenolsulfonzuur</t>
  </si>
  <si>
    <t>98-67-9</t>
  </si>
  <si>
    <t>pTolsfAd</t>
  </si>
  <si>
    <t>p-tolueensulfonamide</t>
  </si>
  <si>
    <t>70-55-3</t>
  </si>
  <si>
    <t>pacbtzl</t>
  </si>
  <si>
    <t>paclobutrazol</t>
  </si>
  <si>
    <t>76738-62-0</t>
  </si>
  <si>
    <t>pactxl</t>
  </si>
  <si>
    <t>paclitaxel</t>
  </si>
  <si>
    <t>33069-62-4</t>
  </si>
  <si>
    <t>pansdne</t>
  </si>
  <si>
    <t>p-anisidine</t>
  </si>
  <si>
    <t>104-94-9</t>
  </si>
  <si>
    <t>parAh</t>
  </si>
  <si>
    <t>paraldehyde</t>
  </si>
  <si>
    <t>123-63-7</t>
  </si>
  <si>
    <t>parctml</t>
  </si>
  <si>
    <t>paracetamol</t>
  </si>
  <si>
    <t>103-90-2</t>
  </si>
  <si>
    <t>parfAh</t>
  </si>
  <si>
    <t>paraformaldehyde</t>
  </si>
  <si>
    <t>30525-89-4</t>
  </si>
  <si>
    <t>paroetne</t>
  </si>
  <si>
    <t>paroxetine</t>
  </si>
  <si>
    <t>61869-08-7</t>
  </si>
  <si>
    <t>paroonC1y</t>
  </si>
  <si>
    <t>paraoxon-methyl</t>
  </si>
  <si>
    <t>950-35-6</t>
  </si>
  <si>
    <t>paroonC2y</t>
  </si>
  <si>
    <t>paraoxon-ethyl</t>
  </si>
  <si>
    <t>311-45-5</t>
  </si>
  <si>
    <t>parqt</t>
  </si>
  <si>
    <t>paraquat</t>
  </si>
  <si>
    <t>4685-14-7</t>
  </si>
  <si>
    <t>pcresl</t>
  </si>
  <si>
    <t>p-cresol</t>
  </si>
  <si>
    <t>106-44-5</t>
  </si>
  <si>
    <t>peblt</t>
  </si>
  <si>
    <t>pebulaat</t>
  </si>
  <si>
    <t>1114-71-2</t>
  </si>
  <si>
    <t>penccrn</t>
  </si>
  <si>
    <t>pencycuron</t>
  </si>
  <si>
    <t>66063-05-6</t>
  </si>
  <si>
    <t>penclnG</t>
  </si>
  <si>
    <t>penicilline G</t>
  </si>
  <si>
    <t>61-33-6</t>
  </si>
  <si>
    <t>penclnV</t>
  </si>
  <si>
    <t>penicilline V</t>
  </si>
  <si>
    <t>87-08-1</t>
  </si>
  <si>
    <t>pencnzl</t>
  </si>
  <si>
    <t>penconazool</t>
  </si>
  <si>
    <t>66246-88-6</t>
  </si>
  <si>
    <t>pendmtln</t>
  </si>
  <si>
    <t>pendimethalin</t>
  </si>
  <si>
    <t>40487-42-1</t>
  </si>
  <si>
    <t>penffn</t>
  </si>
  <si>
    <t>penflufen</t>
  </si>
  <si>
    <t>494793-67-8</t>
  </si>
  <si>
    <t>pentbbtNa</t>
  </si>
  <si>
    <t>pentobarbital-natrium</t>
  </si>
  <si>
    <t>57-33-0</t>
  </si>
  <si>
    <t>pentbbtl</t>
  </si>
  <si>
    <t>pentobarbital</t>
  </si>
  <si>
    <t>76-74-4</t>
  </si>
  <si>
    <t>pentoprd</t>
  </si>
  <si>
    <t>penthiopyrad</t>
  </si>
  <si>
    <t>183675-82-3</t>
  </si>
  <si>
    <t>perClC1ymctn</t>
  </si>
  <si>
    <t>perchloormethylmercaptan</t>
  </si>
  <si>
    <t>594-42-3</t>
  </si>
  <si>
    <t>perOxHAc</t>
  </si>
  <si>
    <t>peroxyazijnzuur</t>
  </si>
  <si>
    <t>79-21-0</t>
  </si>
  <si>
    <t>perfazne</t>
  </si>
  <si>
    <t>perfenazine</t>
  </si>
  <si>
    <t>58-39-9</t>
  </si>
  <si>
    <t>permtn</t>
  </si>
  <si>
    <t>permethrin</t>
  </si>
  <si>
    <t>52645-53-1</t>
  </si>
  <si>
    <t>pertn</t>
  </si>
  <si>
    <t>perthaan</t>
  </si>
  <si>
    <t>72-56-0</t>
  </si>
  <si>
    <t>petoamd</t>
  </si>
  <si>
    <t>pethoxamid</t>
  </si>
  <si>
    <t>106700-29-2</t>
  </si>
  <si>
    <t>piclnfn</t>
  </si>
  <si>
    <t>picolinafen</t>
  </si>
  <si>
    <t>137641-05-5</t>
  </si>
  <si>
    <t>picrm</t>
  </si>
  <si>
    <t>picloram</t>
  </si>
  <si>
    <t>1918-02-1</t>
  </si>
  <si>
    <t>picxsbn</t>
  </si>
  <si>
    <t>picoxystrobin</t>
  </si>
  <si>
    <t>117428-22-5</t>
  </si>
  <si>
    <t>pinadn</t>
  </si>
  <si>
    <t>pinoxaden</t>
  </si>
  <si>
    <t>243973-20-8</t>
  </si>
  <si>
    <t>pindll</t>
  </si>
  <si>
    <t>pindolol</t>
  </si>
  <si>
    <t>13523-86-9</t>
  </si>
  <si>
    <t>pipprn</t>
  </si>
  <si>
    <t>pipamperon</t>
  </si>
  <si>
    <t>1893-33-0</t>
  </si>
  <si>
    <t>piprnbO</t>
  </si>
  <si>
    <t>piperonyl-butoxide</t>
  </si>
  <si>
    <t>51-03-6</t>
  </si>
  <si>
    <t>piprnl</t>
  </si>
  <si>
    <t>piperonal</t>
  </si>
  <si>
    <t>120-57-0</t>
  </si>
  <si>
    <t>piptnl</t>
  </si>
  <si>
    <t>piproctanyl</t>
  </si>
  <si>
    <t>69309-47-3</t>
  </si>
  <si>
    <t>pirmcb</t>
  </si>
  <si>
    <t>pirimicarb</t>
  </si>
  <si>
    <t>23103-98-2</t>
  </si>
  <si>
    <t>pirmcdC1y</t>
  </si>
  <si>
    <t>pirimicarb-desmethyl</t>
  </si>
  <si>
    <t>30614-22-3</t>
  </si>
  <si>
    <t>pirmcdC1yfa</t>
  </si>
  <si>
    <t>pirimicarb-desmethyl-formamido</t>
  </si>
  <si>
    <t>59333-83-4</t>
  </si>
  <si>
    <t>pirmsfrnC1y</t>
  </si>
  <si>
    <t>pirimisulfuron-methyl</t>
  </si>
  <si>
    <t>86209-51-0</t>
  </si>
  <si>
    <t>piztfn</t>
  </si>
  <si>
    <t>pizotifen</t>
  </si>
  <si>
    <t>15574-96-6</t>
  </si>
  <si>
    <t>plC2yeplC3ye</t>
  </si>
  <si>
    <t>polyethyleen polypropyleenglycol</t>
  </si>
  <si>
    <t>9038-95-3</t>
  </si>
  <si>
    <t>plifnt</t>
  </si>
  <si>
    <t>plifenaat</t>
  </si>
  <si>
    <t>21757-82-4</t>
  </si>
  <si>
    <t>polC4e</t>
  </si>
  <si>
    <t>polybuteen</t>
  </si>
  <si>
    <t>9003-28-5</t>
  </si>
  <si>
    <t>polaclt</t>
  </si>
  <si>
    <t>polyacrylaat</t>
  </si>
  <si>
    <t>9003-01-4</t>
  </si>
  <si>
    <t>polmlinzr</t>
  </si>
  <si>
    <t>polymaleïnezuur</t>
  </si>
  <si>
    <t>26099-09-2</t>
  </si>
  <si>
    <t>polstyrn</t>
  </si>
  <si>
    <t>polystyreen</t>
  </si>
  <si>
    <t>9003-53-6</t>
  </si>
  <si>
    <t>polvnachl</t>
  </si>
  <si>
    <t>polyvinylalcohol</t>
  </si>
  <si>
    <t>9002-89-5</t>
  </si>
  <si>
    <t>polvnactt</t>
  </si>
  <si>
    <t>polyvinylacetaat</t>
  </si>
  <si>
    <t>9003-20-7</t>
  </si>
  <si>
    <t>polvnppont</t>
  </si>
  <si>
    <t>polyvinylpropionaat</t>
  </si>
  <si>
    <t>25035-84-1</t>
  </si>
  <si>
    <t>polxtnuCl</t>
  </si>
  <si>
    <t>polixetoniumchloride</t>
  </si>
  <si>
    <t>31512-74-0</t>
  </si>
  <si>
    <t>poxflne</t>
  </si>
  <si>
    <t>pentoxifylline</t>
  </si>
  <si>
    <t>6493-05-6</t>
  </si>
  <si>
    <t>pqtDCl</t>
  </si>
  <si>
    <t>paraquat-dichloride</t>
  </si>
  <si>
    <t>1910-42-5</t>
  </si>
  <si>
    <t>pralltn</t>
  </si>
  <si>
    <t>prallethrin</t>
  </si>
  <si>
    <t>23031-36-9</t>
  </si>
  <si>
    <t>pravstne</t>
  </si>
  <si>
    <t>pravastatine</t>
  </si>
  <si>
    <t>81093-37-0</t>
  </si>
  <si>
    <t>predncbt</t>
  </si>
  <si>
    <t>prednicarbaat</t>
  </si>
  <si>
    <t>73771-04-7</t>
  </si>
  <si>
    <t>primdn</t>
  </si>
  <si>
    <t>primidon</t>
  </si>
  <si>
    <t>125-33-7</t>
  </si>
  <si>
    <t>proClaz</t>
  </si>
  <si>
    <t>prochloraz</t>
  </si>
  <si>
    <t>67747-09-5</t>
  </si>
  <si>
    <t>proHxDonCa</t>
  </si>
  <si>
    <t>prohexadione-calcium</t>
  </si>
  <si>
    <t>127277-53-6</t>
  </si>
  <si>
    <t>proclnl</t>
  </si>
  <si>
    <t>proclonol</t>
  </si>
  <si>
    <t>14088-71-2</t>
  </si>
  <si>
    <t>procmdn</t>
  </si>
  <si>
    <t>procymidon</t>
  </si>
  <si>
    <t>32809-16-8</t>
  </si>
  <si>
    <t>profm</t>
  </si>
  <si>
    <t>profam</t>
  </si>
  <si>
    <t>122-42-9</t>
  </si>
  <si>
    <t>profnfs</t>
  </si>
  <si>
    <t>profenofos</t>
  </si>
  <si>
    <t>41198-08-7</t>
  </si>
  <si>
    <t>profxdm</t>
  </si>
  <si>
    <t>profoxydim</t>
  </si>
  <si>
    <t>139001-49-3</t>
  </si>
  <si>
    <t>progtrn</t>
  </si>
  <si>
    <t>progesteron</t>
  </si>
  <si>
    <t>57-83-0</t>
  </si>
  <si>
    <t>promcb</t>
  </si>
  <si>
    <t>promecarb</t>
  </si>
  <si>
    <t>2631-37-0</t>
  </si>
  <si>
    <t>promtn</t>
  </si>
  <si>
    <t>prometon</t>
  </si>
  <si>
    <t>1610-18-0</t>
  </si>
  <si>
    <t>promtne</t>
  </si>
  <si>
    <t>prometryne</t>
  </si>
  <si>
    <t>7287-19-6</t>
  </si>
  <si>
    <t>promtzne</t>
  </si>
  <si>
    <t>promethazine</t>
  </si>
  <si>
    <t>60-87-7</t>
  </si>
  <si>
    <t>propAd</t>
  </si>
  <si>
    <t>propyzamide</t>
  </si>
  <si>
    <t>23950-58-5</t>
  </si>
  <si>
    <t>propCl</t>
  </si>
  <si>
    <t>propachloor</t>
  </si>
  <si>
    <t>1918-16-7</t>
  </si>
  <si>
    <t>propcnzl</t>
  </si>
  <si>
    <t>propiconazol (som cis- en trans-)</t>
  </si>
  <si>
    <t>60207-90-1</t>
  </si>
  <si>
    <t>propfl</t>
  </si>
  <si>
    <t>propofol</t>
  </si>
  <si>
    <t>2078-54-8</t>
  </si>
  <si>
    <t>propfnzn</t>
  </si>
  <si>
    <t>propyfenazon</t>
  </si>
  <si>
    <t>479-92-5</t>
  </si>
  <si>
    <t>propfs</t>
  </si>
  <si>
    <t>propafos</t>
  </si>
  <si>
    <t>7292-16-2</t>
  </si>
  <si>
    <t>propgachl</t>
  </si>
  <si>
    <t>propargylalcohol</t>
  </si>
  <si>
    <t>107-19-7</t>
  </si>
  <si>
    <t>propgt</t>
  </si>
  <si>
    <t>propargiet</t>
  </si>
  <si>
    <t>2312-35-8</t>
  </si>
  <si>
    <t>propmcb</t>
  </si>
  <si>
    <t>propamocarb</t>
  </si>
  <si>
    <t>24579-73-5</t>
  </si>
  <si>
    <t>propmcbHCl</t>
  </si>
  <si>
    <t>propamocarb hydrochloride</t>
  </si>
  <si>
    <t>25606-41-1</t>
  </si>
  <si>
    <t>propnb</t>
  </si>
  <si>
    <t>propineb</t>
  </si>
  <si>
    <t>12071-83-9</t>
  </si>
  <si>
    <t>propnl</t>
  </si>
  <si>
    <t>propanil</t>
  </si>
  <si>
    <t>709-98-8</t>
  </si>
  <si>
    <t>propnll</t>
  </si>
  <si>
    <t>propranolol</t>
  </si>
  <si>
    <t>525-66-6</t>
  </si>
  <si>
    <t>propnllHCL</t>
  </si>
  <si>
    <t>propranolol-hydrochloride</t>
  </si>
  <si>
    <t>318-98-9</t>
  </si>
  <si>
    <t>propont</t>
  </si>
  <si>
    <t>propionaat</t>
  </si>
  <si>
    <t>72-03-7</t>
  </si>
  <si>
    <t>propozr</t>
  </si>
  <si>
    <t>propionzuur</t>
  </si>
  <si>
    <t>79-09-4</t>
  </si>
  <si>
    <t>propqzfp</t>
  </si>
  <si>
    <t>propaquizafop</t>
  </si>
  <si>
    <t>111479-05-1</t>
  </si>
  <si>
    <t>proptfs</t>
  </si>
  <si>
    <t>propetamfos</t>
  </si>
  <si>
    <t>31218-83-4</t>
  </si>
  <si>
    <t>propxcbzn</t>
  </si>
  <si>
    <t>propoxycarbazon</t>
  </si>
  <si>
    <t>145026-81-9</t>
  </si>
  <si>
    <t>propxr</t>
  </si>
  <si>
    <t>propoxur</t>
  </si>
  <si>
    <t>114-26-1</t>
  </si>
  <si>
    <t>propzne</t>
  </si>
  <si>
    <t>propazine</t>
  </si>
  <si>
    <t>139-40-2</t>
  </si>
  <si>
    <t>proqazd</t>
  </si>
  <si>
    <t>proquinazid</t>
  </si>
  <si>
    <t>189278-12-4</t>
  </si>
  <si>
    <t>prosfcb</t>
  </si>
  <si>
    <t>prosulfocarb</t>
  </si>
  <si>
    <t>52888-80-9</t>
  </si>
  <si>
    <t>prosfrn</t>
  </si>
  <si>
    <t>prosulfuron</t>
  </si>
  <si>
    <t>94125-34-5</t>
  </si>
  <si>
    <t>protat</t>
  </si>
  <si>
    <t>prothoaat</t>
  </si>
  <si>
    <t>2275-18-5</t>
  </si>
  <si>
    <t>protocb</t>
  </si>
  <si>
    <t>prothiocarb</t>
  </si>
  <si>
    <t>19622-08-3</t>
  </si>
  <si>
    <t>protocnzdto</t>
  </si>
  <si>
    <t>prothioconazol-desthio</t>
  </si>
  <si>
    <t>120983-64-4</t>
  </si>
  <si>
    <t>protocnzl</t>
  </si>
  <si>
    <t>prothioconazool</t>
  </si>
  <si>
    <t>178928-70-6</t>
  </si>
  <si>
    <t>protofs</t>
  </si>
  <si>
    <t>prothiofos</t>
  </si>
  <si>
    <t>34643-46-4</t>
  </si>
  <si>
    <t>pttC4yTol</t>
  </si>
  <si>
    <t>p-tertiair-butyltolueen</t>
  </si>
  <si>
    <t>98-51-1</t>
  </si>
  <si>
    <t>pttamFol</t>
  </si>
  <si>
    <t>para-(tertiair-amyl)fenol</t>
  </si>
  <si>
    <t>80-46-6</t>
  </si>
  <si>
    <t>pymtzne</t>
  </si>
  <si>
    <t>pymetrozine</t>
  </si>
  <si>
    <t>123312-89-0</t>
  </si>
  <si>
    <t>pyrazfs</t>
  </si>
  <si>
    <t>pyrazofos</t>
  </si>
  <si>
    <t>13457-18-6</t>
  </si>
  <si>
    <t>pyrbtcb</t>
  </si>
  <si>
    <t>pyributicarb</t>
  </si>
  <si>
    <t>88678-67-5</t>
  </si>
  <si>
    <t>pyrcbld</t>
  </si>
  <si>
    <t>pyracarbolid</t>
  </si>
  <si>
    <t>24691-76-7</t>
  </si>
  <si>
    <t>pyrcfs</t>
  </si>
  <si>
    <t>pyraclofos</t>
  </si>
  <si>
    <t>89784-60-1</t>
  </si>
  <si>
    <t>pyrcsbn</t>
  </si>
  <si>
    <t>pyraclostrobin</t>
  </si>
  <si>
    <t>175013-18-0</t>
  </si>
  <si>
    <t>pyrdbn</t>
  </si>
  <si>
    <t>pyridaben</t>
  </si>
  <si>
    <t>96489-71-3</t>
  </si>
  <si>
    <t>pyrdfl</t>
  </si>
  <si>
    <t>pyridafol</t>
  </si>
  <si>
    <t>40020-01-7</t>
  </si>
  <si>
    <t>pyrdfton</t>
  </si>
  <si>
    <t>pyridafention</t>
  </si>
  <si>
    <t>119-12-0</t>
  </si>
  <si>
    <t>pyrdll</t>
  </si>
  <si>
    <t>pyridalyl</t>
  </si>
  <si>
    <t>179101-81-6</t>
  </si>
  <si>
    <t>pyrdne</t>
  </si>
  <si>
    <t>pyridine</t>
  </si>
  <si>
    <t>110-86-1</t>
  </si>
  <si>
    <t>pyrdt</t>
  </si>
  <si>
    <t>pyridaat</t>
  </si>
  <si>
    <t>55512-33-9</t>
  </si>
  <si>
    <t>pyrffn</t>
  </si>
  <si>
    <t>pyraflufen</t>
  </si>
  <si>
    <t>129630-17-7</t>
  </si>
  <si>
    <t>pyrffnC2y</t>
  </si>
  <si>
    <t>pyraflufen-ethyl</t>
  </si>
  <si>
    <t>129630-19-9</t>
  </si>
  <si>
    <t>pyrfnx</t>
  </si>
  <si>
    <t>pyrifenox</t>
  </si>
  <si>
    <t>88283-41-4</t>
  </si>
  <si>
    <t>pyrlt</t>
  </si>
  <si>
    <t>pyrolaat</t>
  </si>
  <si>
    <t>596-51-0</t>
  </si>
  <si>
    <t>pyrmdfn</t>
  </si>
  <si>
    <t>pyrimidifen</t>
  </si>
  <si>
    <t>105779-78-0</t>
  </si>
  <si>
    <t>pyrmtnl</t>
  </si>
  <si>
    <t>pyrimethanil</t>
  </si>
  <si>
    <t>53112-28-0</t>
  </si>
  <si>
    <t>pyrofnn</t>
  </si>
  <si>
    <t>pyriofenon</t>
  </si>
  <si>
    <t>688046-61-9</t>
  </si>
  <si>
    <t>pyrpxfn</t>
  </si>
  <si>
    <t>pyriproxyfen</t>
  </si>
  <si>
    <t>95737-68-1</t>
  </si>
  <si>
    <t>pyrqln</t>
  </si>
  <si>
    <t>pyroquilon</t>
  </si>
  <si>
    <t>57369-32-1</t>
  </si>
  <si>
    <t>pyrslm</t>
  </si>
  <si>
    <t>pyroxsulam</t>
  </si>
  <si>
    <t>422556-08-9</t>
  </si>
  <si>
    <t>pyrtnI</t>
  </si>
  <si>
    <t>pyrethrin I</t>
  </si>
  <si>
    <t>121-21-1</t>
  </si>
  <si>
    <t>pyrtnII</t>
  </si>
  <si>
    <t>pyrethrin II</t>
  </si>
  <si>
    <t>121-29-9</t>
  </si>
  <si>
    <t>pyrtnn</t>
  </si>
  <si>
    <t>pyrethrinen</t>
  </si>
  <si>
    <t>8003-34-7</t>
  </si>
  <si>
    <t>pyrzl</t>
  </si>
  <si>
    <t>pyrazol</t>
  </si>
  <si>
    <t>288-13-1</t>
  </si>
  <si>
    <t>quetpne</t>
  </si>
  <si>
    <t>quetiapine</t>
  </si>
  <si>
    <t>111974-69-7</t>
  </si>
  <si>
    <t>quincmn</t>
  </si>
  <si>
    <t>quinoclamin</t>
  </si>
  <si>
    <t>2797-51-5</t>
  </si>
  <si>
    <t>quinfs</t>
  </si>
  <si>
    <t>quinalfos</t>
  </si>
  <si>
    <t>13593-03-8</t>
  </si>
  <si>
    <t>quinlne</t>
  </si>
  <si>
    <t>quinoline</t>
  </si>
  <si>
    <t>91-22-5</t>
  </si>
  <si>
    <t>quinmrc</t>
  </si>
  <si>
    <t>quinmerac</t>
  </si>
  <si>
    <t>90717-03-6</t>
  </si>
  <si>
    <t>quinmtont</t>
  </si>
  <si>
    <t>quinomethionaat</t>
  </si>
  <si>
    <t>2439-01-2</t>
  </si>
  <si>
    <t>quinne</t>
  </si>
  <si>
    <t>chinon</t>
  </si>
  <si>
    <t>106-51-4</t>
  </si>
  <si>
    <t>quinoxfn</t>
  </si>
  <si>
    <t>quinoxyfen</t>
  </si>
  <si>
    <t>124495-18-7</t>
  </si>
  <si>
    <t>quizlfC2y</t>
  </si>
  <si>
    <t>quizalofop-ethyl</t>
  </si>
  <si>
    <t>76578-14-8</t>
  </si>
  <si>
    <t>quizlfPC2y</t>
  </si>
  <si>
    <t>quizalofop-P-ethyl</t>
  </si>
  <si>
    <t>100646-51-3</t>
  </si>
  <si>
    <t>quizlfp</t>
  </si>
  <si>
    <t>quizalofop</t>
  </si>
  <si>
    <t>76578-12-6</t>
  </si>
  <si>
    <t>rantdne</t>
  </si>
  <si>
    <t>ranitidine</t>
  </si>
  <si>
    <t>66357-35-5</t>
  </si>
  <si>
    <t>repgnde</t>
  </si>
  <si>
    <t>repaglinide</t>
  </si>
  <si>
    <t>135062-02-1</t>
  </si>
  <si>
    <t>resmtn</t>
  </si>
  <si>
    <t>resmethrin</t>
  </si>
  <si>
    <t>10453-86-8</t>
  </si>
  <si>
    <t>rhodnne</t>
  </si>
  <si>
    <t>rhodanine</t>
  </si>
  <si>
    <t>141-84-4</t>
  </si>
  <si>
    <t>rimsfrn</t>
  </si>
  <si>
    <t>rimsulfuron</t>
  </si>
  <si>
    <t>122931-48-0</t>
  </si>
  <si>
    <t>risprdne</t>
  </si>
  <si>
    <t>risperidone</t>
  </si>
  <si>
    <t>106266-06-2</t>
  </si>
  <si>
    <t>ritlnzr</t>
  </si>
  <si>
    <t>ritalinezuur</t>
  </si>
  <si>
    <t>19395-41-6</t>
  </si>
  <si>
    <t>rondzl</t>
  </si>
  <si>
    <t>ronidazol</t>
  </si>
  <si>
    <t>7681-76-7</t>
  </si>
  <si>
    <t>rosgtzn</t>
  </si>
  <si>
    <t>rosiglitazon</t>
  </si>
  <si>
    <t>122320-73-4</t>
  </si>
  <si>
    <t>rosvstne</t>
  </si>
  <si>
    <t>rosuvastatine</t>
  </si>
  <si>
    <t>287714-41-4</t>
  </si>
  <si>
    <t>rotnn</t>
  </si>
  <si>
    <t>rotenon</t>
  </si>
  <si>
    <t>83-79-4</t>
  </si>
  <si>
    <t>roxtmcne</t>
  </si>
  <si>
    <t>roxitromycine</t>
  </si>
  <si>
    <t>80214-83-1</t>
  </si>
  <si>
    <t>s1214DClBen</t>
  </si>
  <si>
    <t>som 1,2- en 1,4-dichloorbenzeen</t>
  </si>
  <si>
    <t>s123xT4ClBen</t>
  </si>
  <si>
    <t>som 1,2,3,4- en 1,2,3,5-tetrachloorbenzeen</t>
  </si>
  <si>
    <t>s12ClNaf</t>
  </si>
  <si>
    <t>som 1- en 2-chloornaftaleen</t>
  </si>
  <si>
    <t>s12x5T4ClBen</t>
  </si>
  <si>
    <t>som 1,2,3,5- en 1,2,4,5-tetrachloorbenzeen</t>
  </si>
  <si>
    <t>s1314xyln</t>
  </si>
  <si>
    <t>som 1,3- en 1,4-xyleen</t>
  </si>
  <si>
    <t>s1Cl24NO2Ben</t>
  </si>
  <si>
    <t>som 1-chloor-2- en 4-nitrobenzeen</t>
  </si>
  <si>
    <t>s23452346T4F</t>
  </si>
  <si>
    <t>som 2,3,4,5- en 2,3,4,6-tetrachloorfenol</t>
  </si>
  <si>
    <t>s23ClTol</t>
  </si>
  <si>
    <t>som 2- en 3-chloortolueen</t>
  </si>
  <si>
    <t>s23cycC6on</t>
  </si>
  <si>
    <t>som 2- en 3-methylcyclohexanon</t>
  </si>
  <si>
    <t>s23x6T4ClFol</t>
  </si>
  <si>
    <t>som 2,3,4,6- en 2,3,5,6-tetrachloorfenol</t>
  </si>
  <si>
    <t>s2425DClAn</t>
  </si>
  <si>
    <t>som 2,4- en 2,5-dichlooraniline</t>
  </si>
  <si>
    <t>s2425DClFol</t>
  </si>
  <si>
    <t>som 2,4- en 2,5-dichloorfenol</t>
  </si>
  <si>
    <t>s2426DNO2Tol</t>
  </si>
  <si>
    <t>som 2,4- en 2,6-dinitrotolueen</t>
  </si>
  <si>
    <t>s2426TolDiCN</t>
  </si>
  <si>
    <t>som 2,4- en 2,6-tolueendiisocyanaat</t>
  </si>
  <si>
    <t>s24C1yAn</t>
  </si>
  <si>
    <t>som 2- en 4-methylaniline</t>
  </si>
  <si>
    <t>s24NO2Fol</t>
  </si>
  <si>
    <t>som 2- en 4-nitrofenol</t>
  </si>
  <si>
    <t>s2C2oxippxC2</t>
  </si>
  <si>
    <t>som 2-ethoxy- en isopropoxyethanol</t>
  </si>
  <si>
    <t>s2ClxNO2Tol</t>
  </si>
  <si>
    <t>som 2-chloor-4, 5 en 6-nitrotolueen</t>
  </si>
  <si>
    <t>s2xDClFol</t>
  </si>
  <si>
    <t>som 2,3-, 2,4-, 2,5- en 2,6-dichloorfenol</t>
  </si>
  <si>
    <t>s34C2yTol</t>
  </si>
  <si>
    <t>som 3- en 4-ethyltolueen</t>
  </si>
  <si>
    <t>s34ClAn</t>
  </si>
  <si>
    <t>som 3- en 4-chlooraniline</t>
  </si>
  <si>
    <t>s34ClFol</t>
  </si>
  <si>
    <t>som 3- en 4-chloorfenol</t>
  </si>
  <si>
    <t>s34ttCy4Fol</t>
  </si>
  <si>
    <t>som 3- en 4-tertiair-butylfenol</t>
  </si>
  <si>
    <t>s35DC1yAn25x</t>
  </si>
  <si>
    <t>som 3,5-dimethylaniline en 2,5-xylidine</t>
  </si>
  <si>
    <t>s35DC1yFol4C</t>
  </si>
  <si>
    <t>som 3,5-dimethylfenol en 4-ethylfenol</t>
  </si>
  <si>
    <t>s45C1y1Hbzta</t>
  </si>
  <si>
    <t>som 4- en 5-methyl-1H-benzotriazool</t>
  </si>
  <si>
    <t>s45Cl2C1yAn</t>
  </si>
  <si>
    <t>som 4- en 5-chloor-2-methylaniline</t>
  </si>
  <si>
    <t>s4C9yFol</t>
  </si>
  <si>
    <t>som 4-nonylfenol-isomeren (vertakt)</t>
  </si>
  <si>
    <t>84852-15-3</t>
  </si>
  <si>
    <t>s4ClC1yFol</t>
  </si>
  <si>
    <t>som 4-chloormethylfenol-isomeren</t>
  </si>
  <si>
    <t>sALK</t>
  </si>
  <si>
    <t>som alifatische koolwaterstoffen</t>
  </si>
  <si>
    <t>sANTXNS</t>
  </si>
  <si>
    <t>som anatoxines</t>
  </si>
  <si>
    <t>sAOX</t>
  </si>
  <si>
    <t>som adsorbeerbare organische halogeenverbindingen</t>
  </si>
  <si>
    <t>sARAM</t>
  </si>
  <si>
    <t>som aromatische amines</t>
  </si>
  <si>
    <t>sARK</t>
  </si>
  <si>
    <t>som aromatische koolwaterstoffen</t>
  </si>
  <si>
    <t>sBbjkF</t>
  </si>
  <si>
    <t>som benzo(b, j en k)fluorantheen-isomeren</t>
  </si>
  <si>
    <t>sBbkF</t>
  </si>
  <si>
    <t>som benzo(b)fluorantheen en benzo(k)fluorantheen</t>
  </si>
  <si>
    <t>sBghiPInP</t>
  </si>
  <si>
    <t>som benzo(ghi)peryleen en indeno(1,2,3-cd)pyreen</t>
  </si>
  <si>
    <t>sC10C13Clakn</t>
  </si>
  <si>
    <t>som C10-C13-chlooralkanen</t>
  </si>
  <si>
    <t>sC10armtn</t>
  </si>
  <si>
    <t>som C10-aromaten</t>
  </si>
  <si>
    <t>sC11C12armtn</t>
  </si>
  <si>
    <t>som C11- en C12-aromaten</t>
  </si>
  <si>
    <t>sC12XEtr</t>
  </si>
  <si>
    <t>som C12-gehalogeneerde ethers</t>
  </si>
  <si>
    <t>sC2akfnln</t>
  </si>
  <si>
    <t>som C2-alkylfenolen</t>
  </si>
  <si>
    <t>sC2oxdm</t>
  </si>
  <si>
    <t>sethoxydim</t>
  </si>
  <si>
    <t>74051-80-2</t>
  </si>
  <si>
    <t>sC2yDC1yFo02</t>
  </si>
  <si>
    <t>som 3- en 4-ethylfenol en 3,5-dimethylfenol</t>
  </si>
  <si>
    <t>sC2yDC1yFo03</t>
  </si>
  <si>
    <t>som 4-ethylfenol en 2,3- en 3,5-dimethylfenol</t>
  </si>
  <si>
    <t>sC2yDC1yFol3</t>
  </si>
  <si>
    <t>som 2 en 3-ethylfenol en 3,5-dimethylfenol</t>
  </si>
  <si>
    <t>sC3akfnln</t>
  </si>
  <si>
    <t>som C3-alkylfenolen</t>
  </si>
  <si>
    <t>sC4akfnln</t>
  </si>
  <si>
    <t>som C4-alkylfenolen</t>
  </si>
  <si>
    <t>sC4yBen</t>
  </si>
  <si>
    <t>butylbenzeen (vertakt en lineair)</t>
  </si>
  <si>
    <t>68411-44-9</t>
  </si>
  <si>
    <t>sC6C8armtn</t>
  </si>
  <si>
    <t>som C6-C8-aromaten</t>
  </si>
  <si>
    <t>sC6XEtr</t>
  </si>
  <si>
    <t>som C6-gehalogeneerde ethers</t>
  </si>
  <si>
    <t>sC7C10armtn</t>
  </si>
  <si>
    <t>som C7-C10-aromaten</t>
  </si>
  <si>
    <t>sC8yFol</t>
  </si>
  <si>
    <t>som octylfenolen</t>
  </si>
  <si>
    <t>sC9XEtr</t>
  </si>
  <si>
    <t>som C9-gehalogeneerde ethers</t>
  </si>
  <si>
    <t>sC9armtn</t>
  </si>
  <si>
    <t>som C9-aromaten</t>
  </si>
  <si>
    <t>sCFK</t>
  </si>
  <si>
    <t>som chloorfluorkoolstoffen</t>
  </si>
  <si>
    <t>sCHLFa2</t>
  </si>
  <si>
    <t>som 2 chlorofyl-a fracties</t>
  </si>
  <si>
    <t>sCHLFa4</t>
  </si>
  <si>
    <t>som 4 chlorofyl-a fracties</t>
  </si>
  <si>
    <t>sChER</t>
  </si>
  <si>
    <t>som cholinesteraseremmers</t>
  </si>
  <si>
    <t>sCl4NO2Ben2</t>
  </si>
  <si>
    <t>som o- en p-chloornitrobenzeen</t>
  </si>
  <si>
    <t>sCl4NO2Ben3</t>
  </si>
  <si>
    <t>som o-, m- en p-chloornitrobenzeen</t>
  </si>
  <si>
    <t>sClAn</t>
  </si>
  <si>
    <t>som chlooranilines</t>
  </si>
  <si>
    <t>sClBen</t>
  </si>
  <si>
    <t>som chloorbenzenen</t>
  </si>
  <si>
    <t>sClBen12</t>
  </si>
  <si>
    <t>som 12 chloorbenzenen (Bbk, 1-1-2008)</t>
  </si>
  <si>
    <t>sClC1yAn</t>
  </si>
  <si>
    <t>som chloormethylaniline-isomeren</t>
  </si>
  <si>
    <t>sClC3e</t>
  </si>
  <si>
    <t>som chloorpropeen-isomeren</t>
  </si>
  <si>
    <t>sClFol</t>
  </si>
  <si>
    <t>som chloorfenolen</t>
  </si>
  <si>
    <t>sCldn</t>
  </si>
  <si>
    <t>som chloordaan (som cis- en trans-)</t>
  </si>
  <si>
    <t>sDC1Fol2</t>
  </si>
  <si>
    <t>som 2,3- en 2,6-dimethylfenol</t>
  </si>
  <si>
    <t>sDC1yFol202</t>
  </si>
  <si>
    <t>som 4-ethyl-2,3-dimethylfenol en 3,5-dimethylfenol</t>
  </si>
  <si>
    <t>sDC1yFol3</t>
  </si>
  <si>
    <t>som 3 dimethylfenolen (4-ethyl-3,5- en 2,3- en 3,5-)</t>
  </si>
  <si>
    <t>sDC8yFt2</t>
  </si>
  <si>
    <t>som dioctylftalaat en bis(2-ethylhexyl)ftalaat (DEHP)</t>
  </si>
  <si>
    <t>sDClAn</t>
  </si>
  <si>
    <t>som dichlooraniline-isomeren</t>
  </si>
  <si>
    <t>sDClBen</t>
  </si>
  <si>
    <t>som dichloorbenzeen-isomeren</t>
  </si>
  <si>
    <t>sDClC2e</t>
  </si>
  <si>
    <t>som dichlooretheen-isomeren</t>
  </si>
  <si>
    <t>sDClC3a</t>
  </si>
  <si>
    <t>som dichloorpropaan-isomeren</t>
  </si>
  <si>
    <t>sDClC3a3</t>
  </si>
  <si>
    <t>som 3 dichloorpropanen (som 1,1- en 1,2- en 1,3-)</t>
  </si>
  <si>
    <t>sDClFol6</t>
  </si>
  <si>
    <t>som 6 dichloorfenolen (Bbk, 1-1-2008)</t>
  </si>
  <si>
    <t>sDClNO2Ben2</t>
  </si>
  <si>
    <t>som 2,3- en 3,4-dichloornitrobenzeen</t>
  </si>
  <si>
    <t>sDClNO2Ben4</t>
  </si>
  <si>
    <t>som 2,3-, 2,4-, 2,5- en 3,4-dichloornitrobenzeen</t>
  </si>
  <si>
    <t>sDDD</t>
  </si>
  <si>
    <t>som 2,4'- en 4,4'-DDD</t>
  </si>
  <si>
    <t>sDDE</t>
  </si>
  <si>
    <t>som 2,4'- en 4,4'-DDE</t>
  </si>
  <si>
    <t>sDDT</t>
  </si>
  <si>
    <t>som 2,4'- en 4,4'-DDT</t>
  </si>
  <si>
    <t>sDDX</t>
  </si>
  <si>
    <t>som DDT-, DDE- en DDD-isomeren</t>
  </si>
  <si>
    <t>sDDX2</t>
  </si>
  <si>
    <t>som 2,4'-DDT en 4,4'-DDD</t>
  </si>
  <si>
    <t>sDDX4</t>
  </si>
  <si>
    <t>som 2,4'-DDT, 4,4'-DDT, 4,4'-DDD en 4,4'-DDE</t>
  </si>
  <si>
    <t>sDDX6</t>
  </si>
  <si>
    <t>som 2,4'-, 4,4'-DDT, 2,4'-, 4,4'-DDD, 2,4'- en 4,4'-DDE</t>
  </si>
  <si>
    <t>sDHOxBen</t>
  </si>
  <si>
    <t>som dihydroxybenzeen-isomeren</t>
  </si>
  <si>
    <t>sDOxns17</t>
  </si>
  <si>
    <t>som 17 dioxines (Bbk, 1-1-2008, als I-TEQ)</t>
  </si>
  <si>
    <t>sDOxns29</t>
  </si>
  <si>
    <t>som 29 dioxines (Bbk, 1-10-2010, als TEQ)</t>
  </si>
  <si>
    <t>sDRIJFBEMSPT</t>
  </si>
  <si>
    <t>som drijfblad- en emerse planten</t>
  </si>
  <si>
    <t>sDomtat</t>
  </si>
  <si>
    <t>som dimethoaat en omethoaat</t>
  </si>
  <si>
    <t>sDoxn17PCB12</t>
  </si>
  <si>
    <t>som 17 dioxines en 12 dioxine-achtige PCB's</t>
  </si>
  <si>
    <t>sDtocbmt</t>
  </si>
  <si>
    <t>som dithiocarbamaten</t>
  </si>
  <si>
    <t>sEALK</t>
  </si>
  <si>
    <t>som extraheerbare alifatische koolwaterstoffen</t>
  </si>
  <si>
    <t>sEARK</t>
  </si>
  <si>
    <t>som extraheerbare aromatische koolwaterstoffen</t>
  </si>
  <si>
    <t>sEMSOVPTN</t>
  </si>
  <si>
    <t>som emerse en oeverplanten</t>
  </si>
  <si>
    <t>sEOS</t>
  </si>
  <si>
    <t>som extraheerbare organische zwavelverbindingen</t>
  </si>
  <si>
    <t>sEOV</t>
  </si>
  <si>
    <t>som extraheerbare oliën en vetten</t>
  </si>
  <si>
    <t>sEOX</t>
  </si>
  <si>
    <t>som extraheerbare organische halogeenverbindingen</t>
  </si>
  <si>
    <t>sETBEMTBE</t>
  </si>
  <si>
    <t>som 2-ethoxy-2-methylpropaan en methyl-tertiair-butylether</t>
  </si>
  <si>
    <t>sFEO</t>
  </si>
  <si>
    <t>som Feopigment</t>
  </si>
  <si>
    <t>sFLABKROOS</t>
  </si>
  <si>
    <t>som flab en kroos</t>
  </si>
  <si>
    <t>sFUH</t>
  </si>
  <si>
    <t>som fenylureumherbiciden</t>
  </si>
  <si>
    <t>sFol</t>
  </si>
  <si>
    <t>som fenolen</t>
  </si>
  <si>
    <t>sFolwv</t>
  </si>
  <si>
    <t>som fenolen waterdampvluchtig</t>
  </si>
  <si>
    <t>sGBCl</t>
  </si>
  <si>
    <t>som gebonden beschikbaar chloor</t>
  </si>
  <si>
    <t>sHBCD</t>
  </si>
  <si>
    <t>som 1,2,5,6,9,10-hexabroomcyclododecaan</t>
  </si>
  <si>
    <t>3194-55-6</t>
  </si>
  <si>
    <t>sHCFK</t>
  </si>
  <si>
    <t>som chloorfluorkoolwaterstoffen</t>
  </si>
  <si>
    <t>sHCFK123ab</t>
  </si>
  <si>
    <t>som dichloortrifluorethaan-isomeren</t>
  </si>
  <si>
    <t>sHCFK124</t>
  </si>
  <si>
    <t>som chloortetrafluorethaan-isomeren</t>
  </si>
  <si>
    <t>sHCH</t>
  </si>
  <si>
    <t>som hexachloorcyclohexaan-isomeren</t>
  </si>
  <si>
    <t>608-73-1</t>
  </si>
  <si>
    <t>sHCH3</t>
  </si>
  <si>
    <t>som a-, b- en c-HCH</t>
  </si>
  <si>
    <t>sHCH4</t>
  </si>
  <si>
    <t>som a-, b-, c- en d-HCH</t>
  </si>
  <si>
    <t>sHCH5</t>
  </si>
  <si>
    <t>som a-, b-, c-, d- en e-HCH</t>
  </si>
  <si>
    <t>sHFK</t>
  </si>
  <si>
    <t>som fluorkoolwaterstoffen</t>
  </si>
  <si>
    <t>sHpCl2</t>
  </si>
  <si>
    <t>som heptachloor en cis- en trans-heptachloorepoxide</t>
  </si>
  <si>
    <t>sHpClepO</t>
  </si>
  <si>
    <t>som heptachloorepoxide (som cis- en trans-)</t>
  </si>
  <si>
    <t>sHxClepO</t>
  </si>
  <si>
    <t>som hexachloorepoxide</t>
  </si>
  <si>
    <t>sMAK</t>
  </si>
  <si>
    <t>som monocyclische aromatische koolwaterstoffen (BTEX)</t>
  </si>
  <si>
    <t>sMCPB24DB</t>
  </si>
  <si>
    <t>som MCPB en 24DB</t>
  </si>
  <si>
    <t>sMClAn</t>
  </si>
  <si>
    <t>som monochlooraniline-isomeren</t>
  </si>
  <si>
    <t>sMClFol</t>
  </si>
  <si>
    <t>som monochloorfenol-isomeren</t>
  </si>
  <si>
    <t>sMClTol</t>
  </si>
  <si>
    <t>som monochloortolueen-isomeren</t>
  </si>
  <si>
    <t>sMDClAn</t>
  </si>
  <si>
    <t>som mono- en dichlooranilines</t>
  </si>
  <si>
    <t>sMICCTNS</t>
  </si>
  <si>
    <t>som microcystines</t>
  </si>
  <si>
    <t>sNCLObCN</t>
  </si>
  <si>
    <t>som niet-chlooroxideerbare cyanides</t>
  </si>
  <si>
    <t>sNH3NH4</t>
  </si>
  <si>
    <t>som ammoniak en ammonium</t>
  </si>
  <si>
    <t>sNO2frnn</t>
  </si>
  <si>
    <t>som nitrofuranen</t>
  </si>
  <si>
    <t>sNO3NO2</t>
  </si>
  <si>
    <t>som nitraat en nitriet</t>
  </si>
  <si>
    <t>sOCB21</t>
  </si>
  <si>
    <t>som 21 organochloorhoud. bestrijdingsm.(Bbk, 1-1-2008,landb)</t>
  </si>
  <si>
    <t>sOCB23</t>
  </si>
  <si>
    <t>som 23 organochloorhoud. bestrijdingsm.(Bbk,1-1-2008,waterb)</t>
  </si>
  <si>
    <t>sOPBONB14</t>
  </si>
  <si>
    <t>som 14 organofosfor- en organostikstofbestrijdingsmiddelen</t>
  </si>
  <si>
    <t>sPAK10</t>
  </si>
  <si>
    <t>som 10 polycyclische aromatische koolwaterstoffen (VROM)</t>
  </si>
  <si>
    <t>sPAK16</t>
  </si>
  <si>
    <t>som 16 polycyclische aromatische koolwaterstoffen (EPA)</t>
  </si>
  <si>
    <t>sPAK4</t>
  </si>
  <si>
    <t>som 4 polycyclische aromatische koolwaterstoffen (KB2002 DW)</t>
  </si>
  <si>
    <t>sPAK6</t>
  </si>
  <si>
    <t>som 6 polycyclische aromatische koolwaterstoffen (Borneff)</t>
  </si>
  <si>
    <t>sPAK7</t>
  </si>
  <si>
    <t>som 7 polycyclische aromatische koolwaterstoffen (BAGA)</t>
  </si>
  <si>
    <t>sPAK8</t>
  </si>
  <si>
    <t>som 8 polycyclische aromatische koolwaterstoffen (E-PRTR)</t>
  </si>
  <si>
    <t>sPAKx</t>
  </si>
  <si>
    <t>som polycyclische aromatische koolwaterstoffen (UVscreening)</t>
  </si>
  <si>
    <t>sPBB153DE154</t>
  </si>
  <si>
    <t>som PBB153 en PBDE154</t>
  </si>
  <si>
    <t>sPBB169DE183</t>
  </si>
  <si>
    <t>som PBB169 en PBDE183</t>
  </si>
  <si>
    <t>sPBDE4</t>
  </si>
  <si>
    <t>som PBDE47, 49, 99 en 100</t>
  </si>
  <si>
    <t>sPBDE6</t>
  </si>
  <si>
    <t>som PBDE28, 47, 99, 100, 153, 154</t>
  </si>
  <si>
    <t>sPCB105176</t>
  </si>
  <si>
    <t>som PCB105 en PCB176</t>
  </si>
  <si>
    <t>sPCB128174</t>
  </si>
  <si>
    <t>som PCB128 en PCB174</t>
  </si>
  <si>
    <t>sPCB12Doxnat</t>
  </si>
  <si>
    <t>som 12 dioxine-achtige PCB's</t>
  </si>
  <si>
    <t>sPCB138163</t>
  </si>
  <si>
    <t>som PCB138 en PCB163</t>
  </si>
  <si>
    <t>sPCB156172</t>
  </si>
  <si>
    <t>som PCB156 en PCB172</t>
  </si>
  <si>
    <t>sPCB6</t>
  </si>
  <si>
    <t>som 6 polychloorbifenylen PCB28, 52, 101, 138, 153, 180</t>
  </si>
  <si>
    <t>sPCB6695</t>
  </si>
  <si>
    <t>som PCB66 en PCB95</t>
  </si>
  <si>
    <t>sPCB7</t>
  </si>
  <si>
    <t>som 7 polychloorbifenylen PCB28, 52, 101, 118, 138, 153, 180</t>
  </si>
  <si>
    <t>sPCDF</t>
  </si>
  <si>
    <t>som polychloordibenzofuranen</t>
  </si>
  <si>
    <t>sPCDF118119</t>
  </si>
  <si>
    <t>som PCDF118 en PCDF119</t>
  </si>
  <si>
    <t>sPCDF9489</t>
  </si>
  <si>
    <t>som PCDF89 en PCDF94</t>
  </si>
  <si>
    <t>sPFK</t>
  </si>
  <si>
    <t>som perfluorkoolwaterstoffen</t>
  </si>
  <si>
    <t>sPO4</t>
  </si>
  <si>
    <t>som orthofosfaat en hydrolyseerbaar fosfaat</t>
  </si>
  <si>
    <t>sPTOXSBAGN</t>
  </si>
  <si>
    <t>som potentieel toxische blauwalgen</t>
  </si>
  <si>
    <t>sSAXTXNS</t>
  </si>
  <si>
    <t>som saxitoxines</t>
  </si>
  <si>
    <t>sSUBMSDBEMSP</t>
  </si>
  <si>
    <t>som submerse, drijfblad- en emerse planten</t>
  </si>
  <si>
    <t>sSUBMSDBPTN</t>
  </si>
  <si>
    <t>som submerse en drijfbladplanten</t>
  </si>
  <si>
    <t>sSUBMSPTDAGN</t>
  </si>
  <si>
    <t>som submerse planten en draadalgen</t>
  </si>
  <si>
    <t>sSr8990</t>
  </si>
  <si>
    <t>som strontium 89 en 90-isotopen</t>
  </si>
  <si>
    <t>sT4ClAn</t>
  </si>
  <si>
    <t>som tetrachlooraniline-isomeren</t>
  </si>
  <si>
    <t>sT4ClBen</t>
  </si>
  <si>
    <t>som tetrachloorbenzeen-isomeren</t>
  </si>
  <si>
    <t>sT4ClFol</t>
  </si>
  <si>
    <t>som tetrachloorfenol-isomeren</t>
  </si>
  <si>
    <t>sTC1yBen3</t>
  </si>
  <si>
    <t>som 3 trimethylbenzenen (som 1,2,3- en 1,2,4- en 1,3,5-)</t>
  </si>
  <si>
    <t>sTClAn</t>
  </si>
  <si>
    <t>som trichlooraniline-isomeren</t>
  </si>
  <si>
    <t>sTClBen</t>
  </si>
  <si>
    <t>som trichloorbenzenen (som 1,2,3- en 1,2,4- en 1,3,5-)</t>
  </si>
  <si>
    <t>som tri en per</t>
  </si>
  <si>
    <t>sTClC2eT4ClC</t>
  </si>
  <si>
    <t>som trichlooretheen (tri) en tetrachlooretheen (per)</t>
  </si>
  <si>
    <t>sTClFol</t>
  </si>
  <si>
    <t>som trichloorfenol-isomeren</t>
  </si>
  <si>
    <t>sTClFol2</t>
  </si>
  <si>
    <t>som 2 trichloorfenolen (2,3,5- en 2,4,5-trichloorfenol)</t>
  </si>
  <si>
    <t>sTHM4</t>
  </si>
  <si>
    <t>som 4 trihalomethanen TClC1a, TBrC1a, DBrClC1a, DClBrC1a</t>
  </si>
  <si>
    <t>sTOXSBAGN5</t>
  </si>
  <si>
    <t>som 5 toxische blauwalgen</t>
  </si>
  <si>
    <t>sVALK</t>
  </si>
  <si>
    <t>som vluchtige alifatische koolwaterstoffen</t>
  </si>
  <si>
    <t>sVARK</t>
  </si>
  <si>
    <t>som vluchtige aromatische koolwaterstoffen</t>
  </si>
  <si>
    <t>sVBCl</t>
  </si>
  <si>
    <t>som vrij beschikbaar chloor</t>
  </si>
  <si>
    <t>sVCK5</t>
  </si>
  <si>
    <t>som 5 vluchtige chloorkoolwaterstoffen (BARIM 19-10-07)</t>
  </si>
  <si>
    <t>sVGBCl</t>
  </si>
  <si>
    <t>som vrij en gebonden beschikbaar chloor</t>
  </si>
  <si>
    <t>sVHK14</t>
  </si>
  <si>
    <t>som 14 vluchtige halogeen koolwaterstoffen</t>
  </si>
  <si>
    <t>sVOC</t>
  </si>
  <si>
    <t>som vluchtige organische verbindingen (GM-MS-screening)</t>
  </si>
  <si>
    <t>sVOX</t>
  </si>
  <si>
    <t>som vluchtige organische halogeenverbindingen</t>
  </si>
  <si>
    <t>sVVZ</t>
  </si>
  <si>
    <t>som vluchtige vetzuren</t>
  </si>
  <si>
    <t>sabcHBCD</t>
  </si>
  <si>
    <t>som a-, b- en c-HBCD (1,2,5,6,9,10-HBCD)</t>
  </si>
  <si>
    <t>saccrne</t>
  </si>
  <si>
    <t>saccharine</t>
  </si>
  <si>
    <t>81-07-2</t>
  </si>
  <si>
    <t>saccrse</t>
  </si>
  <si>
    <t>saccharose</t>
  </si>
  <si>
    <t>57-50-1</t>
  </si>
  <si>
    <t>safl</t>
  </si>
  <si>
    <t>safrol</t>
  </si>
  <si>
    <t>94-59-7</t>
  </si>
  <si>
    <t>salbtml</t>
  </si>
  <si>
    <t>salbutamol</t>
  </si>
  <si>
    <t>18559-94-9</t>
  </si>
  <si>
    <t>salczr</t>
  </si>
  <si>
    <t>salicylzuur</t>
  </si>
  <si>
    <t>69-72-7</t>
  </si>
  <si>
    <t>samfibasbt</t>
  </si>
  <si>
    <t>som amfibool asbest</t>
  </si>
  <si>
    <t>sandgnsfn</t>
  </si>
  <si>
    <t>som androgene stoffen</t>
  </si>
  <si>
    <t>sanionn</t>
  </si>
  <si>
    <t>som anionen</t>
  </si>
  <si>
    <t>santadgnsfn</t>
  </si>
  <si>
    <t>som anti-androgene stoffen</t>
  </si>
  <si>
    <t>sarmtsolmd16</t>
  </si>
  <si>
    <t>som 16 aromatische oplosmiddelen (Bbk, 1-1-2008)</t>
  </si>
  <si>
    <t>sbcdcypmtn</t>
  </si>
  <si>
    <t>som bcd cypermethrin</t>
  </si>
  <si>
    <t>scresl</t>
  </si>
  <si>
    <t>som cresol-isomeren</t>
  </si>
  <si>
    <t>scresl2</t>
  </si>
  <si>
    <t>som m-cresol en p-cresol</t>
  </si>
  <si>
    <t>scresl201</t>
  </si>
  <si>
    <t>som o-cresol en p-cresol</t>
  </si>
  <si>
    <t>sct13DClC3e</t>
  </si>
  <si>
    <t>som cis- en trans-1,3-dichloorpropeen</t>
  </si>
  <si>
    <t>sdetgtaiatf</t>
  </si>
  <si>
    <t>som detergenten anionactief</t>
  </si>
  <si>
    <t>sdetgtkiatf</t>
  </si>
  <si>
    <t>som detergenten kationactief</t>
  </si>
  <si>
    <t>sdetgtniatf</t>
  </si>
  <si>
    <t>som detergenten nonionactief</t>
  </si>
  <si>
    <t>sdmtn</t>
  </si>
  <si>
    <t>som o-demeton en s-demeton</t>
  </si>
  <si>
    <t>sdrin2</t>
  </si>
  <si>
    <t>som aldrin en dieldrin</t>
  </si>
  <si>
    <t>sdrin3</t>
  </si>
  <si>
    <t>som aldrin, dieldrin en endrin</t>
  </si>
  <si>
    <t>sdrin4</t>
  </si>
  <si>
    <t>som aldrin, dieldrin, endrin en isodrin</t>
  </si>
  <si>
    <t>sdrin5</t>
  </si>
  <si>
    <t>som aldrin, dieldrin, endrin, isodrin en telodrin</t>
  </si>
  <si>
    <t>seC4yazne</t>
  </si>
  <si>
    <t>sebutylazine</t>
  </si>
  <si>
    <t>7286-69-3</t>
  </si>
  <si>
    <t>secC4yAe</t>
  </si>
  <si>
    <t>sec-butylamine</t>
  </si>
  <si>
    <t>13952-84-6</t>
  </si>
  <si>
    <t>secC4yBen</t>
  </si>
  <si>
    <t>secundair-butylbenzeen</t>
  </si>
  <si>
    <t>135-98-8</t>
  </si>
  <si>
    <t>secC4yactt</t>
  </si>
  <si>
    <t>sec-butylacetaat</t>
  </si>
  <si>
    <t>105-46-4</t>
  </si>
  <si>
    <t>secbmtn</t>
  </si>
  <si>
    <t>secbumeton</t>
  </si>
  <si>
    <t>26259-45-0</t>
  </si>
  <si>
    <t>sedxne</t>
  </si>
  <si>
    <t>sedaxane</t>
  </si>
  <si>
    <t>874967-67-6</t>
  </si>
  <si>
    <t>sendsfn2</t>
  </si>
  <si>
    <t>som alfa-endosulfan en endosulfansulfaat</t>
  </si>
  <si>
    <t>sendsfn3</t>
  </si>
  <si>
    <t>som alfa- en beta-endosulfan en endosulfansulfaat</t>
  </si>
  <si>
    <t>sertlne</t>
  </si>
  <si>
    <t>sertraline</t>
  </si>
  <si>
    <t>79617-96-2</t>
  </si>
  <si>
    <t>sestgnsfn</t>
  </si>
  <si>
    <t>som estrogene stoffen</t>
  </si>
  <si>
    <t>sftalt</t>
  </si>
  <si>
    <t>som ftalaten</t>
  </si>
  <si>
    <t>sftalt7</t>
  </si>
  <si>
    <t>som 7 ftalaten (Bbk, 1-1-2008)</t>
  </si>
  <si>
    <t>sgewbsmmdln</t>
  </si>
  <si>
    <t>som gewasbeschermingsmiddelen (BKMW)</t>
  </si>
  <si>
    <t>sgewgasbt</t>
  </si>
  <si>
    <t>som gewogen asbest</t>
  </si>
  <si>
    <t>sglucctcidsf</t>
  </si>
  <si>
    <t>som glucocorticoïde stoffen</t>
  </si>
  <si>
    <t>sglycln10</t>
  </si>
  <si>
    <t>som 10 glycolen</t>
  </si>
  <si>
    <t>shas10xnhasb</t>
  </si>
  <si>
    <t>som hechtgebonden- en 10x niet hechtgebonden-asbest</t>
  </si>
  <si>
    <t>silfofn</t>
  </si>
  <si>
    <t>silafluofen</t>
  </si>
  <si>
    <t>105024-66-6</t>
  </si>
  <si>
    <t>siltofm</t>
  </si>
  <si>
    <t>silthiofam</t>
  </si>
  <si>
    <t>175217-20-6</t>
  </si>
  <si>
    <t>simtn</t>
  </si>
  <si>
    <t>simetryn</t>
  </si>
  <si>
    <t>1014-70-6</t>
  </si>
  <si>
    <t>simvstne</t>
  </si>
  <si>
    <t>simvastatine</t>
  </si>
  <si>
    <t>79902-63-9</t>
  </si>
  <si>
    <t>simzne</t>
  </si>
  <si>
    <t>simazine</t>
  </si>
  <si>
    <t>122-34-9</t>
  </si>
  <si>
    <t>sindxcb</t>
  </si>
  <si>
    <t>som indoxacarb (S- en R-isomeer)</t>
  </si>
  <si>
    <t>144171-61-9</t>
  </si>
  <si>
    <t>sitgtne</t>
  </si>
  <si>
    <t>sitagliptine</t>
  </si>
  <si>
    <t>486460-32-6</t>
  </si>
  <si>
    <t>skationn</t>
  </si>
  <si>
    <t>som kationen</t>
  </si>
  <si>
    <t>slantndn</t>
  </si>
  <si>
    <t>som lanthaniden</t>
  </si>
  <si>
    <t>slevofxcne</t>
  </si>
  <si>
    <t>som levofloxacine en ofloxacine</t>
  </si>
  <si>
    <t>slinvertPFOA</t>
  </si>
  <si>
    <t>som lineair en vertakte perfluoroctaanzuur</t>
  </si>
  <si>
    <t>slinvertPFOS</t>
  </si>
  <si>
    <t>som lineair en vertakte perfluoroctylsulfonaat</t>
  </si>
  <si>
    <t>smetlglt</t>
  </si>
  <si>
    <t>som metalen (grijze lijst)</t>
  </si>
  <si>
    <t>smetln5</t>
  </si>
  <si>
    <t>som 5 metalen (Zn, Cu, Pb, Ni, Cr)</t>
  </si>
  <si>
    <t>smetln6</t>
  </si>
  <si>
    <t>som 6 metalen (Zn, Cu, Pb, Ni, Cr, As)</t>
  </si>
  <si>
    <t>smetlzlt</t>
  </si>
  <si>
    <t>som metalen (zwarte lijst)</t>
  </si>
  <si>
    <t>sorbnzr</t>
  </si>
  <si>
    <t>sorbinezuur</t>
  </si>
  <si>
    <t>110-44-1</t>
  </si>
  <si>
    <t>sorgSn2</t>
  </si>
  <si>
    <t>som 2 organotin verbindingen (tributyltin en trifenyltin)</t>
  </si>
  <si>
    <t>sotll</t>
  </si>
  <si>
    <t>sotalol</t>
  </si>
  <si>
    <t>3930-20-9</t>
  </si>
  <si>
    <t>soxylstyr</t>
  </si>
  <si>
    <t>som o-xyleen en styreen</t>
  </si>
  <si>
    <t>speroxsplfrt</t>
  </si>
  <si>
    <t>som peroxisoom proliferators (gamma)</t>
  </si>
  <si>
    <t>spestCrom</t>
  </si>
  <si>
    <t>som pesticiden Cromstrijen-nieuw</t>
  </si>
  <si>
    <t>spestSluft</t>
  </si>
  <si>
    <t>som pesticiden groep Slufter</t>
  </si>
  <si>
    <t>spinsd</t>
  </si>
  <si>
    <t>spinosad</t>
  </si>
  <si>
    <t>168316-95-8</t>
  </si>
  <si>
    <t>spinsnA</t>
  </si>
  <si>
    <t>spinosynA</t>
  </si>
  <si>
    <t>131929-60-7</t>
  </si>
  <si>
    <t>spinsnD</t>
  </si>
  <si>
    <t>spinosynD</t>
  </si>
  <si>
    <t>131929-63-0</t>
  </si>
  <si>
    <t>spirdcfn</t>
  </si>
  <si>
    <t>spirodiclofen</t>
  </si>
  <si>
    <t>148477-71-8</t>
  </si>
  <si>
    <t>spirmcne</t>
  </si>
  <si>
    <t>spiramycine</t>
  </si>
  <si>
    <t>8025-81-8</t>
  </si>
  <si>
    <t>spirmsfn</t>
  </si>
  <si>
    <t>spiromesifen</t>
  </si>
  <si>
    <t>283594-90-1</t>
  </si>
  <si>
    <t>spirttmckthd</t>
  </si>
  <si>
    <t>spirotetramat cis-keto-hydroxy</t>
  </si>
  <si>
    <t>1172134-11-0</t>
  </si>
  <si>
    <t>spirttmt</t>
  </si>
  <si>
    <t>spirotetramat</t>
  </si>
  <si>
    <t>203313-25-1</t>
  </si>
  <si>
    <t>spirxmne</t>
  </si>
  <si>
    <t>spiroxamine</t>
  </si>
  <si>
    <t>118134-30-8</t>
  </si>
  <si>
    <t>sprogtgnsfn</t>
  </si>
  <si>
    <t>som progestagene stoffen</t>
  </si>
  <si>
    <t>sprton2</t>
  </si>
  <si>
    <t>som ethylparathion en methylparathion</t>
  </si>
  <si>
    <t>spyrtnIenII</t>
  </si>
  <si>
    <t>som pyrethrin I en II</t>
  </si>
  <si>
    <t>squaln</t>
  </si>
  <si>
    <t>squaleen</t>
  </si>
  <si>
    <t>7683-64-9</t>
  </si>
  <si>
    <t>sserptasbt</t>
  </si>
  <si>
    <t>som serpentijn asbest</t>
  </si>
  <si>
    <t>streptmcne</t>
  </si>
  <si>
    <t>streptomycine</t>
  </si>
  <si>
    <t>57-92-1</t>
  </si>
  <si>
    <t>strychnne</t>
  </si>
  <si>
    <t>strychnine</t>
  </si>
  <si>
    <t>57-24-9</t>
  </si>
  <si>
    <t>sttC8yFol</t>
  </si>
  <si>
    <t>som tertiair-octylfenol-isomeren</t>
  </si>
  <si>
    <t>27193-28-8</t>
  </si>
  <si>
    <t>styrn</t>
  </si>
  <si>
    <t>styreen</t>
  </si>
  <si>
    <t>100-42-5</t>
  </si>
  <si>
    <t>succAh</t>
  </si>
  <si>
    <t>succinaldehyde</t>
  </si>
  <si>
    <t>638-37-9</t>
  </si>
  <si>
    <t>succmr</t>
  </si>
  <si>
    <t>succimer</t>
  </si>
  <si>
    <t>304-55-2</t>
  </si>
  <si>
    <t>suclse</t>
  </si>
  <si>
    <t>sucralose</t>
  </si>
  <si>
    <t>56038-13-2</t>
  </si>
  <si>
    <t>sulcfrn</t>
  </si>
  <si>
    <t>sulcofuron</t>
  </si>
  <si>
    <t>24019-05-4</t>
  </si>
  <si>
    <t>sulcton</t>
  </si>
  <si>
    <t>sulcotrion</t>
  </si>
  <si>
    <t>99105-77-8</t>
  </si>
  <si>
    <t>sulfClprdzne</t>
  </si>
  <si>
    <t>sulfachloorpyridazine</t>
  </si>
  <si>
    <t>80-32-0</t>
  </si>
  <si>
    <t>sulfafr</t>
  </si>
  <si>
    <t>sulfoxaflor</t>
  </si>
  <si>
    <t>946578-00-3</t>
  </si>
  <si>
    <t>sulfalt</t>
  </si>
  <si>
    <t>sulfallaat</t>
  </si>
  <si>
    <t>95-06-7</t>
  </si>
  <si>
    <t>sulfdazne</t>
  </si>
  <si>
    <t>sulfadiazine</t>
  </si>
  <si>
    <t>68-35-9</t>
  </si>
  <si>
    <t>sulfdmdne</t>
  </si>
  <si>
    <t>sulfadimidine</t>
  </si>
  <si>
    <t>57-68-1</t>
  </si>
  <si>
    <t>sulfdmtoxne</t>
  </si>
  <si>
    <t>sulfadimethoxine</t>
  </si>
  <si>
    <t>122-11-2</t>
  </si>
  <si>
    <t>sulfdxne</t>
  </si>
  <si>
    <t>sulfadoxine</t>
  </si>
  <si>
    <t>2447-57-6</t>
  </si>
  <si>
    <t>sulfmrzn</t>
  </si>
  <si>
    <t>sulfamerazin</t>
  </si>
  <si>
    <t>127-79-7</t>
  </si>
  <si>
    <t>sulfmtoazl</t>
  </si>
  <si>
    <t>sulfamethoxazol</t>
  </si>
  <si>
    <t>723-46-6</t>
  </si>
  <si>
    <t>sulfnD</t>
  </si>
  <si>
    <t>sulfinol D</t>
  </si>
  <si>
    <t>63665-16-7</t>
  </si>
  <si>
    <t>sulfprdne</t>
  </si>
  <si>
    <t>sulfapyridine</t>
  </si>
  <si>
    <t>144-83-2</t>
  </si>
  <si>
    <t>sulfqoxlne</t>
  </si>
  <si>
    <t>sulfaquinoxaline</t>
  </si>
  <si>
    <t>59-40-5</t>
  </si>
  <si>
    <t>sulfrF</t>
  </si>
  <si>
    <t>sulfurylfluoride</t>
  </si>
  <si>
    <t>2699-79-8</t>
  </si>
  <si>
    <t>sulfsfrn</t>
  </si>
  <si>
    <t>sulfosulfuron</t>
  </si>
  <si>
    <t>141776-32-1</t>
  </si>
  <si>
    <t>sulftp</t>
  </si>
  <si>
    <t>sulfotep</t>
  </si>
  <si>
    <t>3689-24-5</t>
  </si>
  <si>
    <t>sulpfs</t>
  </si>
  <si>
    <t>sulprofos</t>
  </si>
  <si>
    <t>35400-43-2</t>
  </si>
  <si>
    <t>sverttPFHxS</t>
  </si>
  <si>
    <t>som vertakte PFHxS-isomeren</t>
  </si>
  <si>
    <t>sverttPFOA</t>
  </si>
  <si>
    <t>som vertakte PFOA-isomeren</t>
  </si>
  <si>
    <t>sverttPFOS</t>
  </si>
  <si>
    <t>som vertakte PFOS-isomeren</t>
  </si>
  <si>
    <t>sxyldne</t>
  </si>
  <si>
    <t>som 2,4'- en 2,6'-xylidine</t>
  </si>
  <si>
    <t>sxyln</t>
  </si>
  <si>
    <t>som xyleen-isomeren</t>
  </si>
  <si>
    <t>szuurhbcdn</t>
  </si>
  <si>
    <t>som zuurherbiciden</t>
  </si>
  <si>
    <t>t1011DHOx101</t>
  </si>
  <si>
    <t>trans-10,11-dihydroxy-10,11-dihydrocarbazepine</t>
  </si>
  <si>
    <t>58955-93-4</t>
  </si>
  <si>
    <t>t12DClC2e</t>
  </si>
  <si>
    <t>trans-1,2-dichlooretheen</t>
  </si>
  <si>
    <t>156-60-5</t>
  </si>
  <si>
    <t>t12DClC3e</t>
  </si>
  <si>
    <t>trans-1,2-dichloorpropeen</t>
  </si>
  <si>
    <t>7069-38-7</t>
  </si>
  <si>
    <t>t13DClC3e</t>
  </si>
  <si>
    <t>trans-1,3-dichloorpropeen</t>
  </si>
  <si>
    <t>10061-02-6</t>
  </si>
  <si>
    <t>t14DCl2C4e</t>
  </si>
  <si>
    <t>trans-1,4-dichloor-2-buteen</t>
  </si>
  <si>
    <t>110-57-6</t>
  </si>
  <si>
    <t>t912C18aDzr</t>
  </si>
  <si>
    <t>trans-9,12-octadecadieenzuur</t>
  </si>
  <si>
    <t>506-21-8</t>
  </si>
  <si>
    <t>t9C18ezr</t>
  </si>
  <si>
    <t>trans-9-octadeceenzuur</t>
  </si>
  <si>
    <t>112-79-8</t>
  </si>
  <si>
    <t>tCldn</t>
  </si>
  <si>
    <t>trans-chloordaan</t>
  </si>
  <si>
    <t>5103-74-2</t>
  </si>
  <si>
    <t>tHpClepO</t>
  </si>
  <si>
    <t>trans-heptachloorepoxide</t>
  </si>
  <si>
    <t>28044-83-9</t>
  </si>
  <si>
    <t>tNnCl</t>
  </si>
  <si>
    <t>trans-nonachloor</t>
  </si>
  <si>
    <t>39765-80-5</t>
  </si>
  <si>
    <t>tT4ClFtzr</t>
  </si>
  <si>
    <t>tetrachloorftaalzuur</t>
  </si>
  <si>
    <t>632-58-6</t>
  </si>
  <si>
    <t>tabdzl</t>
  </si>
  <si>
    <t>thiabendazol</t>
  </si>
  <si>
    <t>148-79-8</t>
  </si>
  <si>
    <t>tamxfn</t>
  </si>
  <si>
    <t>tamoxifen</t>
  </si>
  <si>
    <t>10540-29-1</t>
  </si>
  <si>
    <t>tannne</t>
  </si>
  <si>
    <t>tannine</t>
  </si>
  <si>
    <t>5424-20-4</t>
  </si>
  <si>
    <t>taufvlnt</t>
  </si>
  <si>
    <t>tau-fluvalinaat</t>
  </si>
  <si>
    <t>102851-06-9</t>
  </si>
  <si>
    <t>tebcnzl</t>
  </si>
  <si>
    <t>tebuconazol</t>
  </si>
  <si>
    <t>107534-96-3</t>
  </si>
  <si>
    <t>tebfnzde</t>
  </si>
  <si>
    <t>tebufenozide</t>
  </si>
  <si>
    <t>112410-23-8</t>
  </si>
  <si>
    <t>tebfprd</t>
  </si>
  <si>
    <t>tebufenpyrad</t>
  </si>
  <si>
    <t>119168-77-3</t>
  </si>
  <si>
    <t>tebprfs</t>
  </si>
  <si>
    <t>tebupirimfos</t>
  </si>
  <si>
    <t>96182-53-5</t>
  </si>
  <si>
    <t>tebtm</t>
  </si>
  <si>
    <t>tebutam</t>
  </si>
  <si>
    <t>35256-85-0</t>
  </si>
  <si>
    <t>tebturn</t>
  </si>
  <si>
    <t>tebuthiuron</t>
  </si>
  <si>
    <t>34014-18-1</t>
  </si>
  <si>
    <t>tecnzn</t>
  </si>
  <si>
    <t>tecnazeen</t>
  </si>
  <si>
    <t>117-18-0</t>
  </si>
  <si>
    <t>tecrbzneC1y</t>
  </si>
  <si>
    <t>thiencarbazone-methyl</t>
  </si>
  <si>
    <t>317815-83-1</t>
  </si>
  <si>
    <t>tefbzrn</t>
  </si>
  <si>
    <t>teflubenzuron</t>
  </si>
  <si>
    <t>83121-18-0</t>
  </si>
  <si>
    <t>teftn</t>
  </si>
  <si>
    <t>tefluthrin</t>
  </si>
  <si>
    <t>79538-32-2</t>
  </si>
  <si>
    <t>teldn</t>
  </si>
  <si>
    <t>telodrin</t>
  </si>
  <si>
    <t>297-78-9</t>
  </si>
  <si>
    <t>telmstn</t>
  </si>
  <si>
    <t>telmisartan</t>
  </si>
  <si>
    <t>144701-48-4</t>
  </si>
  <si>
    <t>tembtone</t>
  </si>
  <si>
    <t>tembotrione</t>
  </si>
  <si>
    <t>335104-84-2</t>
  </si>
  <si>
    <t>temfs</t>
  </si>
  <si>
    <t>temefos</t>
  </si>
  <si>
    <t>3383-96-8</t>
  </si>
  <si>
    <t>temzpm</t>
  </si>
  <si>
    <t>temazepam</t>
  </si>
  <si>
    <t>846-50-4</t>
  </si>
  <si>
    <t>teplxdm</t>
  </si>
  <si>
    <t>tepraloxydim</t>
  </si>
  <si>
    <t>149979-41-9</t>
  </si>
  <si>
    <t>terC4yazne</t>
  </si>
  <si>
    <t>terbutylazine</t>
  </si>
  <si>
    <t>5915-41-3</t>
  </si>
  <si>
    <t>terbcl</t>
  </si>
  <si>
    <t>terbacil</t>
  </si>
  <si>
    <t>5902-51-2</t>
  </si>
  <si>
    <t>terbfSO</t>
  </si>
  <si>
    <t>terbufos-sulfoxide</t>
  </si>
  <si>
    <t>10548-10-4</t>
  </si>
  <si>
    <t>terbfs</t>
  </si>
  <si>
    <t>terbufos</t>
  </si>
  <si>
    <t>13071-79-9</t>
  </si>
  <si>
    <t>terbfsfn</t>
  </si>
  <si>
    <t>terbufos-sulfon</t>
  </si>
  <si>
    <t>56070-16-7</t>
  </si>
  <si>
    <t>terbmtn</t>
  </si>
  <si>
    <t>terbumeton</t>
  </si>
  <si>
    <t>33693-04-8</t>
  </si>
  <si>
    <t>terbtlne</t>
  </si>
  <si>
    <t>terbutaline</t>
  </si>
  <si>
    <t>23031-25-6</t>
  </si>
  <si>
    <t>terbtn</t>
  </si>
  <si>
    <t>terbutrin</t>
  </si>
  <si>
    <t>886-50-0</t>
  </si>
  <si>
    <t>terpihdt</t>
  </si>
  <si>
    <t>terpinhydraat</t>
  </si>
  <si>
    <t>2451-01-6</t>
  </si>
  <si>
    <t>terptne</t>
  </si>
  <si>
    <t>terpentine</t>
  </si>
  <si>
    <t>64742-82-1</t>
  </si>
  <si>
    <t>tetl</t>
  </si>
  <si>
    <t>tetryl (CE)</t>
  </si>
  <si>
    <t>479-45-8</t>
  </si>
  <si>
    <t>texanl</t>
  </si>
  <si>
    <t>texanol</t>
  </si>
  <si>
    <t>25265-77-4</t>
  </si>
  <si>
    <t>texnbzFt</t>
  </si>
  <si>
    <t>texanolbenzylftalaat</t>
  </si>
  <si>
    <t>32333-99-6</t>
  </si>
  <si>
    <t>tfluoxsbn</t>
  </si>
  <si>
    <t>trans-fluoxastrobin</t>
  </si>
  <si>
    <t>361377-29-9</t>
  </si>
  <si>
    <t>tfosfmdn</t>
  </si>
  <si>
    <t>trans-fosfamidon</t>
  </si>
  <si>
    <t>297-99-4</t>
  </si>
  <si>
    <t>tftn</t>
  </si>
  <si>
    <t>transfluthrin</t>
  </si>
  <si>
    <t>118712-89-3</t>
  </si>
  <si>
    <t>tganactn</t>
  </si>
  <si>
    <t>trans-geranylaceton</t>
  </si>
  <si>
    <t>3796-70-1</t>
  </si>
  <si>
    <t>theoplne</t>
  </si>
  <si>
    <t>theophylline</t>
  </si>
  <si>
    <t>58-55-9</t>
  </si>
  <si>
    <t>thiacpd</t>
  </si>
  <si>
    <t>thiacloprid</t>
  </si>
  <si>
    <t>111988-49-9</t>
  </si>
  <si>
    <t>thiamtxm</t>
  </si>
  <si>
    <t>thiamethoxam</t>
  </si>
  <si>
    <t>153719-23-4</t>
  </si>
  <si>
    <t>thiazfrn</t>
  </si>
  <si>
    <t>thiazafluron</t>
  </si>
  <si>
    <t>25366-23-8</t>
  </si>
  <si>
    <t>thifsfrn</t>
  </si>
  <si>
    <t>thifensulfuron</t>
  </si>
  <si>
    <t>79277-67-1</t>
  </si>
  <si>
    <t>thifsfrnC1y</t>
  </si>
  <si>
    <t>thifensulfuron-methyl</t>
  </si>
  <si>
    <t>79277-27-3</t>
  </si>
  <si>
    <t>thirm</t>
  </si>
  <si>
    <t>thiram</t>
  </si>
  <si>
    <t>137-26-8</t>
  </si>
  <si>
    <t>tiamlne</t>
  </si>
  <si>
    <t>tiamuline</t>
  </si>
  <si>
    <t>55297-95-5</t>
  </si>
  <si>
    <t>tilmcsne</t>
  </si>
  <si>
    <t>tilmicosine</t>
  </si>
  <si>
    <t>108050-54-0</t>
  </si>
  <si>
    <t>tmevfs</t>
  </si>
  <si>
    <t>trans-mevinfos</t>
  </si>
  <si>
    <t>338-45-4</t>
  </si>
  <si>
    <t>toCN</t>
  </si>
  <si>
    <t>thiocyanaat (anion)</t>
  </si>
  <si>
    <t>toDcb</t>
  </si>
  <si>
    <t>thiodicarb</t>
  </si>
  <si>
    <t>59669-26-0</t>
  </si>
  <si>
    <t>toacAd</t>
  </si>
  <si>
    <t>thioacetamide</t>
  </si>
  <si>
    <t>62-55-5</t>
  </si>
  <si>
    <t>tobcb</t>
  </si>
  <si>
    <t>thiobencarb</t>
  </si>
  <si>
    <t>28249-77-6</t>
  </si>
  <si>
    <t>tocbzl</t>
  </si>
  <si>
    <t>tiocarbazil</t>
  </si>
  <si>
    <t>36756-79-3</t>
  </si>
  <si>
    <t>toccm</t>
  </si>
  <si>
    <t>thiocyclam</t>
  </si>
  <si>
    <t>31895-21-3</t>
  </si>
  <si>
    <t>tofnC1y</t>
  </si>
  <si>
    <t>thiofanaat-methyl</t>
  </si>
  <si>
    <t>23564-05-8</t>
  </si>
  <si>
    <t>tofnC2y</t>
  </si>
  <si>
    <t>thiofanaat-ethyl</t>
  </si>
  <si>
    <t>23564-06-9</t>
  </si>
  <si>
    <t>tofnSO</t>
  </si>
  <si>
    <t>thiofanox-sulfoxide</t>
  </si>
  <si>
    <t>39184-27-5</t>
  </si>
  <si>
    <t>tofnsfn</t>
  </si>
  <si>
    <t>thiofanox-sulfon</t>
  </si>
  <si>
    <t>39184-59-3</t>
  </si>
  <si>
    <t>tofnx</t>
  </si>
  <si>
    <t>thiofanox</t>
  </si>
  <si>
    <t>39196-18-4</t>
  </si>
  <si>
    <t>tolbAd</t>
  </si>
  <si>
    <t>tolbutamide</t>
  </si>
  <si>
    <t>64-77-7</t>
  </si>
  <si>
    <t>tolcfsC1y</t>
  </si>
  <si>
    <t>tolclofos-methyl</t>
  </si>
  <si>
    <t>57018-04-9</t>
  </si>
  <si>
    <t>tolfAezr</t>
  </si>
  <si>
    <t>tolfenaminezuur</t>
  </si>
  <si>
    <t>13710-19-5</t>
  </si>
  <si>
    <t>tolfande</t>
  </si>
  <si>
    <t>tolylfluanide</t>
  </si>
  <si>
    <t>731-27-1</t>
  </si>
  <si>
    <t>tomtn</t>
  </si>
  <si>
    <t>thiometon</t>
  </si>
  <si>
    <t>640-15-3</t>
  </si>
  <si>
    <t>topmzn</t>
  </si>
  <si>
    <t>topramezon</t>
  </si>
  <si>
    <t>210631-68-8</t>
  </si>
  <si>
    <t>tosmcbzde</t>
  </si>
  <si>
    <t>thiosemicarbazide</t>
  </si>
  <si>
    <t>79-19-6</t>
  </si>
  <si>
    <t>tourm</t>
  </si>
  <si>
    <t>thioureum</t>
  </si>
  <si>
    <t>62-56-6</t>
  </si>
  <si>
    <t>toxafn</t>
  </si>
  <si>
    <t>toxafeen</t>
  </si>
  <si>
    <t>8001-35-2</t>
  </si>
  <si>
    <t>tpermtn</t>
  </si>
  <si>
    <t>trans-permethrin</t>
  </si>
  <si>
    <t>61949-77-7</t>
  </si>
  <si>
    <t>tpyrfnx</t>
  </si>
  <si>
    <t>trans-pyrifenox</t>
  </si>
  <si>
    <t>83227-22-9</t>
  </si>
  <si>
    <t>tramdl</t>
  </si>
  <si>
    <t>tramadol</t>
  </si>
  <si>
    <t>27203-92-5</t>
  </si>
  <si>
    <t>tremlt</t>
  </si>
  <si>
    <t>tremoliet (grijze asbest)</t>
  </si>
  <si>
    <t>77536-68-6</t>
  </si>
  <si>
    <t>tris23DBrC3y</t>
  </si>
  <si>
    <t>tris(2,3-dibroompropyl)fosfaat</t>
  </si>
  <si>
    <t>126-72-7</t>
  </si>
  <si>
    <t>tris2C2yC6yP</t>
  </si>
  <si>
    <t>tris(2-ethylhexyl)fosfaat</t>
  </si>
  <si>
    <t>78-42-2</t>
  </si>
  <si>
    <t>tris2C4oxC2y</t>
  </si>
  <si>
    <t>tris(2-butoxyethyl)fosfaat</t>
  </si>
  <si>
    <t>78-51-3</t>
  </si>
  <si>
    <t>tris2Cl1ClC1</t>
  </si>
  <si>
    <t>tris(2-chloor-1-(chloormethyl)ethyl)fosfaat</t>
  </si>
  <si>
    <t>13674-87-8</t>
  </si>
  <si>
    <t>trisTBrnoC5y</t>
  </si>
  <si>
    <t>tris(tribroomneopentyl)fosfaat</t>
  </si>
  <si>
    <t>19186-97-1</t>
  </si>
  <si>
    <t>tritsfrn</t>
  </si>
  <si>
    <t>tritosulfuron</t>
  </si>
  <si>
    <t>142469-14-5</t>
  </si>
  <si>
    <t>tritx100</t>
  </si>
  <si>
    <t>triton X-100</t>
  </si>
  <si>
    <t>9002-93-1</t>
  </si>
  <si>
    <t>ttC4ol</t>
  </si>
  <si>
    <t>tertiair-butanol</t>
  </si>
  <si>
    <t>75-65-0</t>
  </si>
  <si>
    <t>ttC4yAe</t>
  </si>
  <si>
    <t>tert-butylamine</t>
  </si>
  <si>
    <t>75-64-9</t>
  </si>
  <si>
    <t>ttC4yBen</t>
  </si>
  <si>
    <t>tertiair-butylbenzeen</t>
  </si>
  <si>
    <t>98-06-6</t>
  </si>
  <si>
    <t>ttC4yaclt</t>
  </si>
  <si>
    <t>tertiair-butylacrylaat</t>
  </si>
  <si>
    <t>1663-39-4</t>
  </si>
  <si>
    <t>ttC4yactt</t>
  </si>
  <si>
    <t>tertiair-butylacetaat</t>
  </si>
  <si>
    <t>540-88-5</t>
  </si>
  <si>
    <t>tylsne</t>
  </si>
  <si>
    <t>tylosine</t>
  </si>
  <si>
    <t>1401-69-0</t>
  </si>
  <si>
    <t>tylsnttt</t>
  </si>
  <si>
    <t>tylosine tartraat</t>
  </si>
  <si>
    <t>1405-54-5</t>
  </si>
  <si>
    <t>urtn</t>
  </si>
  <si>
    <t>urethaan</t>
  </si>
  <si>
    <t>51-79-6</t>
  </si>
  <si>
    <t>urum</t>
  </si>
  <si>
    <t>ureum</t>
  </si>
  <si>
    <t>57-13-6</t>
  </si>
  <si>
    <t>valdmcne</t>
  </si>
  <si>
    <t>validamycine</t>
  </si>
  <si>
    <t>37248-47-8</t>
  </si>
  <si>
    <t>valfnlt</t>
  </si>
  <si>
    <t>valifenalaat</t>
  </si>
  <si>
    <t>283159-90-0</t>
  </si>
  <si>
    <t>valpinzr</t>
  </si>
  <si>
    <t>valproinezuur</t>
  </si>
  <si>
    <t>99-66-1</t>
  </si>
  <si>
    <t>valrazr</t>
  </si>
  <si>
    <t>valeriaanzuur</t>
  </si>
  <si>
    <t>109-52-4</t>
  </si>
  <si>
    <t>valstan</t>
  </si>
  <si>
    <t>valsartan</t>
  </si>
  <si>
    <t>137862-53-4</t>
  </si>
  <si>
    <t>valstzr</t>
  </si>
  <si>
    <t>valsartanzuur</t>
  </si>
  <si>
    <t>164265-78-5</t>
  </si>
  <si>
    <t>valum</t>
  </si>
  <si>
    <t>valium</t>
  </si>
  <si>
    <t>439-14-5</t>
  </si>
  <si>
    <t>vamdton</t>
  </si>
  <si>
    <t>vamidothion</t>
  </si>
  <si>
    <t>2275-23-2</t>
  </si>
  <si>
    <t>vanlne</t>
  </si>
  <si>
    <t>vanilline</t>
  </si>
  <si>
    <t>121-33-5</t>
  </si>
  <si>
    <t>venlfxne</t>
  </si>
  <si>
    <t>venlafaxine</t>
  </si>
  <si>
    <t>93413-69-5</t>
  </si>
  <si>
    <t>verdx</t>
  </si>
  <si>
    <t>verdox</t>
  </si>
  <si>
    <t>88-41-5</t>
  </si>
  <si>
    <t>vernlt</t>
  </si>
  <si>
    <t>vernolaat</t>
  </si>
  <si>
    <t>1929-77-7</t>
  </si>
  <si>
    <t>verpml</t>
  </si>
  <si>
    <t>verapamil</t>
  </si>
  <si>
    <t>52-53-9</t>
  </si>
  <si>
    <t>verslde</t>
  </si>
  <si>
    <t>versalide</t>
  </si>
  <si>
    <t>88-29-9</t>
  </si>
  <si>
    <t>vigbtne</t>
  </si>
  <si>
    <t>vigabatrine</t>
  </si>
  <si>
    <t>60643-86-9</t>
  </si>
  <si>
    <t>vinactt</t>
  </si>
  <si>
    <t>vinylacetaat</t>
  </si>
  <si>
    <t>108-05-4</t>
  </si>
  <si>
    <t>vinczln</t>
  </si>
  <si>
    <t>vinclozolin</t>
  </si>
  <si>
    <t>50471-44-8</t>
  </si>
  <si>
    <t>virgnamcne</t>
  </si>
  <si>
    <t>virginiamycine</t>
  </si>
  <si>
    <t>11006-76-1</t>
  </si>
  <si>
    <t>vyactvyvstcp</t>
  </si>
  <si>
    <t>vinylacetaat-vinylversataat copolymeer</t>
  </si>
  <si>
    <t>68604-30-8</t>
  </si>
  <si>
    <t>warfrn</t>
  </si>
  <si>
    <t>warfarin</t>
  </si>
  <si>
    <t>81-81-2</t>
  </si>
  <si>
    <t>zOaAd</t>
  </si>
  <si>
    <t>zoxamide</t>
  </si>
  <si>
    <t>156052-68-5</t>
  </si>
  <si>
    <t>zinb</t>
  </si>
  <si>
    <t>zineb</t>
  </si>
  <si>
    <t>12122-67-7</t>
  </si>
  <si>
    <t>zirm</t>
  </si>
  <si>
    <t>ziram</t>
  </si>
  <si>
    <t>137-30-4</t>
  </si>
  <si>
    <t>zolpdm</t>
  </si>
  <si>
    <t>zolpidem</t>
  </si>
  <si>
    <t>82626-48-0</t>
  </si>
  <si>
    <t>(E_E)_8_10_DODECADIEN_1_OL</t>
  </si>
  <si>
    <t>(E_Z_Z)_3_8_11_TETRADECATRIEN_1_YL_ACETATE</t>
  </si>
  <si>
    <t>(E_Z)_3_8_TETRADECADIEN_1_YL_ACETATE</t>
  </si>
  <si>
    <t>(Z)_11_TETRADECENYLACETAAT</t>
  </si>
  <si>
    <t>(Z)_8_DODECEN_1_YL_ACETAAT</t>
  </si>
  <si>
    <t>(Z)_TETRADEC_9ENYLACETAAT</t>
  </si>
  <si>
    <t>1_4_DIMETHYLNAFTALEEN</t>
  </si>
  <si>
    <t>1_METHYLCYCLOPROPEEN</t>
  </si>
  <si>
    <t>3100-04-7</t>
  </si>
  <si>
    <t>1_NAFTYLACEETAMIDE</t>
  </si>
  <si>
    <t>1_NAFTYLAZIJNZUUR</t>
  </si>
  <si>
    <t>86-87-3</t>
  </si>
  <si>
    <t>2_4_D</t>
  </si>
  <si>
    <t>2_4_DB</t>
  </si>
  <si>
    <t>2_NAFTOXYAZIJNZUUR</t>
  </si>
  <si>
    <t>3_INDOLYLAZIJNZUUR</t>
  </si>
  <si>
    <t>4_CHLOORFENOXYAZIJNZUUR</t>
  </si>
  <si>
    <t>6_BENZYLADENINE</t>
  </si>
  <si>
    <t>8_10_DODECADIEN_1_OL</t>
  </si>
  <si>
    <t>A.A.POLYGLYCOLETHER</t>
  </si>
  <si>
    <t>ABAMECTINE</t>
  </si>
  <si>
    <t>ACEFAAT</t>
  </si>
  <si>
    <t>ACEQUINOCYL</t>
  </si>
  <si>
    <t>ACETAMIPRID</t>
  </si>
  <si>
    <t>135410-20-7 | 160430-64-8</t>
  </si>
  <si>
    <t>ACIBENZOLAR_S_METHYL</t>
  </si>
  <si>
    <t>ACLONIFEN</t>
  </si>
  <si>
    <t>ALACHLOOR</t>
  </si>
  <si>
    <t>ALDICARB</t>
  </si>
  <si>
    <t>ALFA_CYPERMETHRIN</t>
  </si>
  <si>
    <t>ALKYLDIMETHYLBENZYL_AMMONIUMCHLORIDE</t>
  </si>
  <si>
    <t>ALKYLDIMETHYLETHYLBENZYLAMMONIUMCHLORIDE</t>
  </si>
  <si>
    <t>ALLOXYDIM_NATRIUM</t>
  </si>
  <si>
    <t>ALUMINIUMFOSFIDE</t>
  </si>
  <si>
    <t>ALUMINIUMSULFAAT</t>
  </si>
  <si>
    <t>AMETOCTRADIN</t>
  </si>
  <si>
    <t>AMIDOSULFURON</t>
  </si>
  <si>
    <t>AMISULBROM</t>
  </si>
  <si>
    <t>AMITRAZ</t>
  </si>
  <si>
    <t>AMITROL</t>
  </si>
  <si>
    <t>AMM.KOPERSULFAAT</t>
  </si>
  <si>
    <t>AMMONIUMSULFAAT</t>
  </si>
  <si>
    <t>AMMONIUMSULFAMAAT</t>
  </si>
  <si>
    <t>AMMONIUMTHIOCYANAAT</t>
  </si>
  <si>
    <t>ANCYMIDOL</t>
  </si>
  <si>
    <t>ANILAZIN</t>
  </si>
  <si>
    <t>ANTHRACHINON</t>
  </si>
  <si>
    <t>ASCORBINEZUUR</t>
  </si>
  <si>
    <t>50-81-7</t>
  </si>
  <si>
    <t>ASULAM</t>
  </si>
  <si>
    <t>ATRAZIN</t>
  </si>
  <si>
    <t>AUREOBASISIUM_PULLULANS</t>
  </si>
  <si>
    <t>AZACONAZOLE</t>
  </si>
  <si>
    <t>AZADIRACHTINE_A</t>
  </si>
  <si>
    <t>AZAMETHIFOS</t>
  </si>
  <si>
    <t>AZIJNZUUR</t>
  </si>
  <si>
    <t>AZINFOS_METHYL</t>
  </si>
  <si>
    <t>AZOCYCLOTIN</t>
  </si>
  <si>
    <t>AZOXYSTROBINE</t>
  </si>
  <si>
    <t>BACILLUS_THURINGIENSIS</t>
  </si>
  <si>
    <t>BEAUVERIA_BASSIANA</t>
  </si>
  <si>
    <t>BENAZOLIN</t>
  </si>
  <si>
    <t>BENDIOCARB</t>
  </si>
  <si>
    <t>BENFLURALIN</t>
  </si>
  <si>
    <t>BENFURACARB</t>
  </si>
  <si>
    <t>BENODANIL</t>
  </si>
  <si>
    <t>BENOMYL</t>
  </si>
  <si>
    <t>BENTAZON</t>
  </si>
  <si>
    <t>BENTHIAVALICARB_ISOPROPYL</t>
  </si>
  <si>
    <t>BENZOEZUUR</t>
  </si>
  <si>
    <t>BENZOYLPROP_ETHYL</t>
  </si>
  <si>
    <t>BENZYLADENINE</t>
  </si>
  <si>
    <t>BENZYLBENZOAAT</t>
  </si>
  <si>
    <t>BIFENAZAAT</t>
  </si>
  <si>
    <t>BIFENOX</t>
  </si>
  <si>
    <t>BIFENTHRIN</t>
  </si>
  <si>
    <t>BINAPACRYL</t>
  </si>
  <si>
    <t>BIOALLETHRIN</t>
  </si>
  <si>
    <t>BITERTANOL</t>
  </si>
  <si>
    <t>BIXAFEN</t>
  </si>
  <si>
    <t>BOORZUUR</t>
  </si>
  <si>
    <t>BORATEN</t>
  </si>
  <si>
    <t>BORAX</t>
  </si>
  <si>
    <t>BOSCALID</t>
  </si>
  <si>
    <t>BRODIFACOUM</t>
  </si>
  <si>
    <t>BROMACIL</t>
  </si>
  <si>
    <t>BROMADIOLON</t>
  </si>
  <si>
    <t>BROMOFOS</t>
  </si>
  <si>
    <t>BROMOFOS_ETHYL</t>
  </si>
  <si>
    <t>BROMOXYNIL</t>
  </si>
  <si>
    <t>BROMUCONAZOOL</t>
  </si>
  <si>
    <t>BROOMFENOXIM</t>
  </si>
  <si>
    <t>BROOMPROPYLAAT</t>
  </si>
  <si>
    <t>BUMINAFOS</t>
  </si>
  <si>
    <t>BUPIRIMAAT</t>
  </si>
  <si>
    <t>BUPROFEZIN</t>
  </si>
  <si>
    <t>BUTOCARBOXIM</t>
  </si>
  <si>
    <t>BUTOXYCARBOXIM</t>
  </si>
  <si>
    <t>CALCIUM(POLY)SULFIDE</t>
  </si>
  <si>
    <t>CALCIUMCYANIDE</t>
  </si>
  <si>
    <t>CALCIUMNITRAAT</t>
  </si>
  <si>
    <t>CAPTAFOL</t>
  </si>
  <si>
    <t>CAPTAN</t>
  </si>
  <si>
    <t>CARBARYL</t>
  </si>
  <si>
    <t>CARBEETAMIDE</t>
  </si>
  <si>
    <t>CARBENDAZIM</t>
  </si>
  <si>
    <t>CARBOFENOTHION</t>
  </si>
  <si>
    <t>CARBOFURAN</t>
  </si>
  <si>
    <t>CARBOXIN</t>
  </si>
  <si>
    <t>CARFENTRAZON_ETHYL</t>
  </si>
  <si>
    <t>CARFENTRAZONE_ETHYL</t>
  </si>
  <si>
    <t>CARVON</t>
  </si>
  <si>
    <t>CHLOFENTEZIN</t>
  </si>
  <si>
    <t>CHLOORBROMURON</t>
  </si>
  <si>
    <t>CHLOORBUFAM</t>
  </si>
  <si>
    <t>CHLOORFACINON</t>
  </si>
  <si>
    <t>CHLOORFENOXYAZIJNZUUR</t>
  </si>
  <si>
    <t>CHLOORFENVINFOS</t>
  </si>
  <si>
    <t>CHLOORFLURENOLMETHYL</t>
  </si>
  <si>
    <t>CHLOORMEQUAT</t>
  </si>
  <si>
    <t>CHLOORPROFAM</t>
  </si>
  <si>
    <t>CHLOORPYRIFOS</t>
  </si>
  <si>
    <t>CHLOORTHAL</t>
  </si>
  <si>
    <t>CHLOORTHALONIL</t>
  </si>
  <si>
    <t>CHLOORTHIAMIDE</t>
  </si>
  <si>
    <t>CHLOORTOLURON</t>
  </si>
  <si>
    <t>CHLORALHYDRAAT</t>
  </si>
  <si>
    <t>CHLORANTRANILIPROLE</t>
  </si>
  <si>
    <t>CHLORIDAZON</t>
  </si>
  <si>
    <t>CHLOROXURON</t>
  </si>
  <si>
    <t>CINIDON_ETHYL</t>
  </si>
  <si>
    <t>CIPC</t>
  </si>
  <si>
    <t>CIS_DICHLOORPROPEEN</t>
  </si>
  <si>
    <t>CITRONELLA_OLIE</t>
  </si>
  <si>
    <t>CLETHODIM</t>
  </si>
  <si>
    <t>CLODINAFOP</t>
  </si>
  <si>
    <t>CLODINAFOP_PROPARGYL</t>
  </si>
  <si>
    <t>CLOFENTEZIN</t>
  </si>
  <si>
    <t>CLOMAZONE</t>
  </si>
  <si>
    <t>CLOPYRALID</t>
  </si>
  <si>
    <t>CLOQUINTOCEET</t>
  </si>
  <si>
    <t>CLOTHIANIDINE</t>
  </si>
  <si>
    <t>CODLEMON</t>
  </si>
  <si>
    <t>CONIOTHYRUM_MINITANS</t>
  </si>
  <si>
    <t>COS_OGA</t>
  </si>
  <si>
    <t>cas</t>
  </si>
  <si>
    <t>COUMATETRALYL</t>
  </si>
  <si>
    <t>CREOSOOT/CRESOL</t>
  </si>
  <si>
    <t>CRIMIDINE</t>
  </si>
  <si>
    <t>CYANAZIN</t>
  </si>
  <si>
    <t>CYANTRANILIPROLE</t>
  </si>
  <si>
    <t>CYAZOFAMID</t>
  </si>
  <si>
    <t>CYCLOAAT</t>
  </si>
  <si>
    <t>CYCLOXYDIM</t>
  </si>
  <si>
    <t>CYDIA_POM.GRANU.VIRUS</t>
  </si>
  <si>
    <t>CYFLUFENAMID</t>
  </si>
  <si>
    <t>CYFLUFENAMIDE</t>
  </si>
  <si>
    <t>CYFLUMETOFEN</t>
  </si>
  <si>
    <t>CYFLUTHRIN</t>
  </si>
  <si>
    <t>CYHALOTHRIN</t>
  </si>
  <si>
    <t>CYHEXATIN</t>
  </si>
  <si>
    <t>CYMOXANIL</t>
  </si>
  <si>
    <t>CYPERMETHRIN</t>
  </si>
  <si>
    <t>CYPROCONAZOOL</t>
  </si>
  <si>
    <t>CYPRODINIL</t>
  </si>
  <si>
    <t>CYPROFURAM</t>
  </si>
  <si>
    <t>CYROMAZINE</t>
  </si>
  <si>
    <t>DALAPON</t>
  </si>
  <si>
    <t>DAMINOZIDE</t>
  </si>
  <si>
    <t>DAZOMET</t>
  </si>
  <si>
    <t>DECAANZUUR</t>
  </si>
  <si>
    <t>DELTAMETHRIN</t>
  </si>
  <si>
    <t>DESMEDIFAM</t>
  </si>
  <si>
    <t>DESMETRYN</t>
  </si>
  <si>
    <t>DI_N_PROPYL_ISOCINCHOMERONAAT</t>
  </si>
  <si>
    <t>DIAL.DICHL.ACEETAM.</t>
  </si>
  <si>
    <t>DIALLAAT</t>
  </si>
  <si>
    <t>DIAMYL.ETH.GLYCOLET.</t>
  </si>
  <si>
    <t>DIAMYLFENOLDEKAETHYLEENGLYCOLETHER</t>
  </si>
  <si>
    <t>DIAZINON</t>
  </si>
  <si>
    <t>DICAMBA</t>
  </si>
  <si>
    <t>DICHLOBENIL</t>
  </si>
  <si>
    <t>DICHLOFENTHION</t>
  </si>
  <si>
    <t>DICHLOFLUANIDE</t>
  </si>
  <si>
    <t>DICHLOORMETHAAN</t>
  </si>
  <si>
    <t>DICHLOORPROP</t>
  </si>
  <si>
    <t>DICHLOORPROP_P</t>
  </si>
  <si>
    <t>DICHLOORPROPEEN</t>
  </si>
  <si>
    <t>DICHLOORVOS</t>
  </si>
  <si>
    <t>DICHLORAN</t>
  </si>
  <si>
    <t>DICOFOL</t>
  </si>
  <si>
    <t>DIDECYLDIMETHYLAMMONIUMCHLORIDE</t>
  </si>
  <si>
    <t>DIENOCHLOOR</t>
  </si>
  <si>
    <t>DIERLIJKE_TEEROLIE</t>
  </si>
  <si>
    <t>DIETHOFENCARB</t>
  </si>
  <si>
    <t>DIETHYL_M_TOLUAMIDE</t>
  </si>
  <si>
    <t>DIETHYLEENGLYCOL</t>
  </si>
  <si>
    <t>DIFENACOUM</t>
  </si>
  <si>
    <t>DIFENACUM</t>
  </si>
  <si>
    <t>DIFENOCONAZOOL</t>
  </si>
  <si>
    <t>DIFENOXURON</t>
  </si>
  <si>
    <t>DIFENZOQUAT</t>
  </si>
  <si>
    <t>DIFETHIALON</t>
  </si>
  <si>
    <t>DIFLUBENZURON</t>
  </si>
  <si>
    <t>DIFLUFENICAN</t>
  </si>
  <si>
    <t>DIKEGULAC_NATRIUM</t>
  </si>
  <si>
    <t>DIMETHACHLOOR</t>
  </si>
  <si>
    <t>DIMETHENAMIDE</t>
  </si>
  <si>
    <t>DIMETHENAMIDE_P</t>
  </si>
  <si>
    <t>DIMETHOAAT</t>
  </si>
  <si>
    <t>DIMETHOMORF</t>
  </si>
  <si>
    <t>DIMETHYLPOLYSILOXAAN</t>
  </si>
  <si>
    <t>DINOCAP</t>
  </si>
  <si>
    <t>DINOSEB</t>
  </si>
  <si>
    <t>DINOSEB_ACETAAT</t>
  </si>
  <si>
    <t>DINOTERB</t>
  </si>
  <si>
    <t>DIQUAT_DIBROMIDE</t>
  </si>
  <si>
    <t>DIQUATDIBROMIDE</t>
  </si>
  <si>
    <t>DITHIANON</t>
  </si>
  <si>
    <t>DIURON</t>
  </si>
  <si>
    <t>DODECAN_1_OL</t>
  </si>
  <si>
    <t>DODECYLDIHYDROXYETHYLBENZYLAMM.CHL.</t>
  </si>
  <si>
    <t>DODEMORF</t>
  </si>
  <si>
    <t>DODINE</t>
  </si>
  <si>
    <t>EMAMECTIN_BENZOAAT</t>
  </si>
  <si>
    <t>ENDOSULFAN</t>
  </si>
  <si>
    <t>ENDOTHAL_NATRIUM</t>
  </si>
  <si>
    <t>ENDRIN</t>
  </si>
  <si>
    <t>EPOXICONAZOOL</t>
  </si>
  <si>
    <t>135319-73-2</t>
  </si>
  <si>
    <t>ESFENVALERAAT</t>
  </si>
  <si>
    <t>ETHEFON</t>
  </si>
  <si>
    <t>ETHIOFENCARB</t>
  </si>
  <si>
    <t>ETHIRIMOL</t>
  </si>
  <si>
    <t>ETHOFUMESAAT</t>
  </si>
  <si>
    <t>ETHOPROFOS</t>
  </si>
  <si>
    <t>ETHYLEEN</t>
  </si>
  <si>
    <t>ETHYLEENGLYCOL</t>
  </si>
  <si>
    <t>ETHYLKWIKBROMIDE</t>
  </si>
  <si>
    <t>ETOXAZOOL</t>
  </si>
  <si>
    <t>ETRIDIAZOOL</t>
  </si>
  <si>
    <t>ETRIMFOS</t>
  </si>
  <si>
    <t>FAMOXADONE</t>
  </si>
  <si>
    <t>FENAMIDONE</t>
  </si>
  <si>
    <t>FENAMIFOS</t>
  </si>
  <si>
    <t>FENAMINOSULF</t>
  </si>
  <si>
    <t>FENARIMOL</t>
  </si>
  <si>
    <t>FENBUTATINOXIDE</t>
  </si>
  <si>
    <t>FENCHLORAZOOL_ETHYL</t>
  </si>
  <si>
    <t>FENFURAM</t>
  </si>
  <si>
    <t>FENHEXAMIDE</t>
  </si>
  <si>
    <t>FENITROTHION</t>
  </si>
  <si>
    <t>FENMEDIFAM</t>
  </si>
  <si>
    <t>FENOL</t>
  </si>
  <si>
    <t>FENOTHRIN</t>
  </si>
  <si>
    <t>FENOXAPROP_P_ETHYL</t>
  </si>
  <si>
    <t>FENOXYCARB</t>
  </si>
  <si>
    <t>79127-80-3</t>
  </si>
  <si>
    <t>FENPICLONIL</t>
  </si>
  <si>
    <t>FENPROPATHRIN</t>
  </si>
  <si>
    <t>FENPROPIDIN</t>
  </si>
  <si>
    <t>FENPROPIMORF</t>
  </si>
  <si>
    <t>FENPYRAZAMINE</t>
  </si>
  <si>
    <t>FENTHION</t>
  </si>
  <si>
    <t>FENTIN_ACETAAT</t>
  </si>
  <si>
    <t>FENTIN_HYDROXIDE</t>
  </si>
  <si>
    <t>FENVALERAAT</t>
  </si>
  <si>
    <t>FERBAM</t>
  </si>
  <si>
    <t>FERRI_FOSFAAT</t>
  </si>
  <si>
    <t>FERROSULFAAT</t>
  </si>
  <si>
    <t>FIPRONIL</t>
  </si>
  <si>
    <t>FLOCOUMAFEEN</t>
  </si>
  <si>
    <t>FLONICAMID</t>
  </si>
  <si>
    <t>FLORASULAM</t>
  </si>
  <si>
    <t>FLUAZIFOP_BUTYL</t>
  </si>
  <si>
    <t>FLUAZIFOP_P_BUTYL</t>
  </si>
  <si>
    <t>FLUAZINAM</t>
  </si>
  <si>
    <t>FLUBENDIAMIDE</t>
  </si>
  <si>
    <t>FLUCYCLOXURON</t>
  </si>
  <si>
    <t>FLUCYTHRINAAT</t>
  </si>
  <si>
    <t>FLUDIOXONIL</t>
  </si>
  <si>
    <t>FLUFENACET</t>
  </si>
  <si>
    <t>FLUMIOXAZIN</t>
  </si>
  <si>
    <t>FLUOPICOLIDE</t>
  </si>
  <si>
    <t>FLUOPYRAM</t>
  </si>
  <si>
    <t>FLUORCHLORIDON</t>
  </si>
  <si>
    <t>FLUOXASTROBIN</t>
  </si>
  <si>
    <t>FLUPYRADIFURON</t>
  </si>
  <si>
    <t>FLURENOL</t>
  </si>
  <si>
    <t>FLUROXYPYR</t>
  </si>
  <si>
    <t>FLUTOLANIL</t>
  </si>
  <si>
    <t>FLUVALINAAT_(TAU_)</t>
  </si>
  <si>
    <t>FLUXAPYROXAD</t>
  </si>
  <si>
    <t>FOLPET</t>
  </si>
  <si>
    <t>FONOFOS</t>
  </si>
  <si>
    <t>FORAMSULFURON</t>
  </si>
  <si>
    <t>FORMALDEHYDE</t>
  </si>
  <si>
    <t>FORMETANAAT</t>
  </si>
  <si>
    <t>FORMOTHION</t>
  </si>
  <si>
    <t>FOSALONE</t>
  </si>
  <si>
    <t>FOSETYL</t>
  </si>
  <si>
    <t>FOSETYL_ALUMINIUM</t>
  </si>
  <si>
    <t>FOSFAMIDON</t>
  </si>
  <si>
    <t>FOSMET</t>
  </si>
  <si>
    <t>FOSTHIAZAAT</t>
  </si>
  <si>
    <t>FOSTHIAZATE</t>
  </si>
  <si>
    <t>FOXIM</t>
  </si>
  <si>
    <t>FUBERIDAZOL</t>
  </si>
  <si>
    <t>FURALAXYL</t>
  </si>
  <si>
    <t>GEESTERDE_KOOLZAADOLIE</t>
  </si>
  <si>
    <t>GEETHOXYLEERDE_VETZUUR_AMINE</t>
  </si>
  <si>
    <t>GIBBERELINE</t>
  </si>
  <si>
    <t>-999999</t>
  </si>
  <si>
    <t>GIBBERELLA_ZUUR_A3</t>
  </si>
  <si>
    <t>GIBBERELLIN_A4_A7</t>
  </si>
  <si>
    <t>468-44-0 | 510-75-8</t>
  </si>
  <si>
    <t>GIBBERELLIN_A4+A7</t>
  </si>
  <si>
    <t>GIBBERELLINEZUUR</t>
  </si>
  <si>
    <t>GLUFOSINAAT_AMMONIUM</t>
  </si>
  <si>
    <t>GLYCOLEN</t>
  </si>
  <si>
    <t>GLYFOSAAT</t>
  </si>
  <si>
    <t>GLYFOSAAT_TRIMESIUM</t>
  </si>
  <si>
    <t>GROENEMUNTOLIE</t>
  </si>
  <si>
    <t>GUAZATINE</t>
  </si>
  <si>
    <t>HALOXYFOP_ETHOXYETHYL</t>
  </si>
  <si>
    <t>HALOXYFOP_P_METHYL</t>
  </si>
  <si>
    <t>HEPTENOFOS</t>
  </si>
  <si>
    <t>HEXAZINON</t>
  </si>
  <si>
    <t>HEXYLEENGLYCOL</t>
  </si>
  <si>
    <t>HEXYTHIAZOX</t>
  </si>
  <si>
    <t>HYDRAMETHYLNON</t>
  </si>
  <si>
    <t>HYMEXAZOOL</t>
  </si>
  <si>
    <t>IJZER_(ORGANISCHE_GEBONDEN)</t>
  </si>
  <si>
    <t>IJZER(II)SULFAAT</t>
  </si>
  <si>
    <t>IJZER(III)FOSFAAT</t>
  </si>
  <si>
    <t>IMAZALIL</t>
  </si>
  <si>
    <t>73790-28-0</t>
  </si>
  <si>
    <t>IMAZAMETHABENZ_METHYL</t>
  </si>
  <si>
    <t>IMAZAMOX</t>
  </si>
  <si>
    <t>IMIDACLOPRID</t>
  </si>
  <si>
    <t>INDOLYLBOTERZUUR</t>
  </si>
  <si>
    <t>INDOXACARB</t>
  </si>
  <si>
    <t>IODOSULFURON_METHYL_NATRIUM</t>
  </si>
  <si>
    <t>IOXYNIL</t>
  </si>
  <si>
    <t>IOXYNIL_OCTANOAAT</t>
  </si>
  <si>
    <t>IPC</t>
  </si>
  <si>
    <t>IPRODION</t>
  </si>
  <si>
    <t>ISO_OCTYLFENOLPOLYGLYCOLETHER</t>
  </si>
  <si>
    <t>ISODECYLALCOHOLETHOXYLAAT</t>
  </si>
  <si>
    <t>ISOFENFOS</t>
  </si>
  <si>
    <t>ISOPROTURON</t>
  </si>
  <si>
    <t>ISOPYRAZAM</t>
  </si>
  <si>
    <t>ISOXABEN</t>
  </si>
  <si>
    <t>ISOXADIFEN_ETHYL</t>
  </si>
  <si>
    <t>ISOXAFLUTOOL</t>
  </si>
  <si>
    <t>ISOXAFLUTOOL_(1998)</t>
  </si>
  <si>
    <t>JOODFENVOS</t>
  </si>
  <si>
    <t>KALIUM_WATERSTOFCARBONAAT</t>
  </si>
  <si>
    <t>KALIUMFOSFONATEN</t>
  </si>
  <si>
    <t>KALIUMJODIDE</t>
  </si>
  <si>
    <t>KALIUMTHIOCYANAAT</t>
  </si>
  <si>
    <t>KALIUMWATERSTOFCARBONAAT</t>
  </si>
  <si>
    <t>KALIUMZOUTEN_VAN_VETZUREN</t>
  </si>
  <si>
    <t>KARVON_D</t>
  </si>
  <si>
    <t>KASUGAMYCINE</t>
  </si>
  <si>
    <t>KNOFLOOK_EXTRACT</t>
  </si>
  <si>
    <t>KOOLZAADOLIE</t>
  </si>
  <si>
    <t>KOPERHYDROXIDE</t>
  </si>
  <si>
    <t>KOPERNAFTENAAT</t>
  </si>
  <si>
    <t>KOPEROXYCHINOLAAT</t>
  </si>
  <si>
    <t>KOPEROXYCHLORIDE</t>
  </si>
  <si>
    <t>KRESOXIM_METHYL</t>
  </si>
  <si>
    <t>KWARTSZAND</t>
  </si>
  <si>
    <t>LAMBDA_CYHALOTHRIN</t>
  </si>
  <si>
    <t>LAMINARIN</t>
  </si>
  <si>
    <t>LAURYLDIMETHYLBENZYLAMMONIUMCHLORIDE</t>
  </si>
  <si>
    <t>LENACIL</t>
  </si>
  <si>
    <t>LINDAAN</t>
  </si>
  <si>
    <t>LINURON</t>
  </si>
  <si>
    <t>LUFENURON</t>
  </si>
  <si>
    <t>MAGNESIUMFOSFIDE</t>
  </si>
  <si>
    <t>MALATHION</t>
  </si>
  <si>
    <t>MALEINE_HYDRAZIDE</t>
  </si>
  <si>
    <t>MALEINEHYDRAZIDE</t>
  </si>
  <si>
    <t>MALTODEXTRINE</t>
  </si>
  <si>
    <t>MANCOZEB</t>
  </si>
  <si>
    <t>MANDIPROPAMID</t>
  </si>
  <si>
    <t>MANEB</t>
  </si>
  <si>
    <t>301-03-1</t>
  </si>
  <si>
    <t>MECOPROP</t>
  </si>
  <si>
    <t>MECOPROP_P</t>
  </si>
  <si>
    <t>MEFENPYR_DIETHYL</t>
  </si>
  <si>
    <t>MEFLUIDIDE</t>
  </si>
  <si>
    <t>MEPANIPYRIM</t>
  </si>
  <si>
    <t>MEPIQUATCHLORIDE</t>
  </si>
  <si>
    <t>MESOSULFURON_METHYL</t>
  </si>
  <si>
    <t>MESOTRIONE</t>
  </si>
  <si>
    <t>METALAXYL</t>
  </si>
  <si>
    <t>METALAXYL_M</t>
  </si>
  <si>
    <t>METALDEHYDE</t>
  </si>
  <si>
    <t>METAM_NATRIUM</t>
  </si>
  <si>
    <t>METAMITRON</t>
  </si>
  <si>
    <t>METARHIZIUM_ANISOPLIAE</t>
  </si>
  <si>
    <t>METAZACHLOOR</t>
  </si>
  <si>
    <t>METCONAZOOL</t>
  </si>
  <si>
    <t>METHABENZTHIAZURON</t>
  </si>
  <si>
    <t>METHAMIDOFOS</t>
  </si>
  <si>
    <t>METHIDATION</t>
  </si>
  <si>
    <t>METHIOCARB</t>
  </si>
  <si>
    <t>METHOMYL</t>
  </si>
  <si>
    <t>METHOXYCHLOOR</t>
  </si>
  <si>
    <t>METHOXYFENOZIDE</t>
  </si>
  <si>
    <t>METHYLBROMIDE</t>
  </si>
  <si>
    <t>METHYLESTERS_VAN_VETZUREN_C6_C12</t>
  </si>
  <si>
    <t>METHYLISOTHIOCYANAAT</t>
  </si>
  <si>
    <t>METHYLKWIKBENZOAAT</t>
  </si>
  <si>
    <t>METHYLNAFTYLACEETAM.</t>
  </si>
  <si>
    <t>METHYLNAFTYLAZIJNZ.</t>
  </si>
  <si>
    <t>METIRAM</t>
  </si>
  <si>
    <t>METOBROMURON</t>
  </si>
  <si>
    <t>METOLACHLOOR</t>
  </si>
  <si>
    <t>METOXURON</t>
  </si>
  <si>
    <t>METRAFENONE</t>
  </si>
  <si>
    <t>METRIBUZIN</t>
  </si>
  <si>
    <t>METSULFURON_METHYL</t>
  </si>
  <si>
    <t>MEVINFOS</t>
  </si>
  <si>
    <t>MIERENZUUR</t>
  </si>
  <si>
    <t>MILBEMECTINE</t>
  </si>
  <si>
    <t>51596-10-2 | 51596-11-3</t>
  </si>
  <si>
    <t>MINERALE_OLIE</t>
  </si>
  <si>
    <t>MONOCARBAMIDE_DIHYDROGENSULFAAT_(MCDS)</t>
  </si>
  <si>
    <t>MONOLINURON</t>
  </si>
  <si>
    <t>MYCLOBUTANIL</t>
  </si>
  <si>
    <t>N_N_DIALLYLDICHLOORACEETAMIDE</t>
  </si>
  <si>
    <t>N_OCTYLBICYCLOHEPTEEN_DICARBOXIMIDE</t>
  </si>
  <si>
    <t>NA_DIMETH.DITHIOCARB</t>
  </si>
  <si>
    <t>NAFTALINE</t>
  </si>
  <si>
    <t>NAFTYLAZIJNZUURHYDRAZIDE</t>
  </si>
  <si>
    <t>NAPROPAMIDE</t>
  </si>
  <si>
    <t>NATRIUM_P_TOLUEENSULFONCHLOORAMIDE</t>
  </si>
  <si>
    <t>NATRIUMARSENIET</t>
  </si>
  <si>
    <t>NATRIUMBORAAT</t>
  </si>
  <si>
    <t>NATRIUMZILVERTHIOSULFAAT</t>
  </si>
  <si>
    <t>NICOSULFURON</t>
  </si>
  <si>
    <t>NITROTHAL_ISOPROPYL</t>
  </si>
  <si>
    <t>NONAANZUUR</t>
  </si>
  <si>
    <t>NONYLFENOL_ETH.GLYC.</t>
  </si>
  <si>
    <t>NONYLFENOLPOLYGLYCOLETHER</t>
  </si>
  <si>
    <t>NUARIMOL</t>
  </si>
  <si>
    <t>O_FENYLFENOL</t>
  </si>
  <si>
    <t>OMETHOAAT</t>
  </si>
  <si>
    <t>OXADIXYL</t>
  </si>
  <si>
    <t>OXAMYL</t>
  </si>
  <si>
    <t>OXY_DEMETON_METHYL</t>
  </si>
  <si>
    <t>OXYCARBOXIN</t>
  </si>
  <si>
    <t>PACLOBUTRAZOL</t>
  </si>
  <si>
    <t>PARAFFINE_OLIE</t>
  </si>
  <si>
    <t>PARAQUAT_DICHLORIDE</t>
  </si>
  <si>
    <t>PARATHION_(ETHYL_EN_METHYL)</t>
  </si>
  <si>
    <t>PELARGONZUUR</t>
  </si>
  <si>
    <t>PENCONAZOOL</t>
  </si>
  <si>
    <t>PENCYCURON</t>
  </si>
  <si>
    <t>PENDIMETHALIN</t>
  </si>
  <si>
    <t>PENFLUFEN</t>
  </si>
  <si>
    <t>PENTACHLOORFENOL</t>
  </si>
  <si>
    <t>PENTHIOPYRAD</t>
  </si>
  <si>
    <t>PERMETHRIN</t>
  </si>
  <si>
    <t>PICOXYSTROBIN</t>
  </si>
  <si>
    <t>PINOXADEN</t>
  </si>
  <si>
    <t>PIPERONYLBUTOXIDE</t>
  </si>
  <si>
    <t>PIPROCTANYLIUMBROMIDE</t>
  </si>
  <si>
    <t>PIRIMICARB</t>
  </si>
  <si>
    <t>PIRIMIFOS_METHYL</t>
  </si>
  <si>
    <t>PLIFENAAT</t>
  </si>
  <si>
    <t>POLYBUTENEN</t>
  </si>
  <si>
    <t>POLYETHETHANOXY_TALL</t>
  </si>
  <si>
    <t>POLYOXYETH.ALK.AM.</t>
  </si>
  <si>
    <t>PROCHLORAZ</t>
  </si>
  <si>
    <t>PROCYMIDON</t>
  </si>
  <si>
    <t>PROFAM</t>
  </si>
  <si>
    <t>PROFENOFOS</t>
  </si>
  <si>
    <t>PROHEXADION_CALCIUM</t>
  </si>
  <si>
    <t>PROHEXADIONE_CALCIUM</t>
  </si>
  <si>
    <t>PROMETRYN</t>
  </si>
  <si>
    <t>PROPACHLOOR</t>
  </si>
  <si>
    <t>PROPAMOCARB</t>
  </si>
  <si>
    <t>PROPAQUIZAFOP</t>
  </si>
  <si>
    <t>PROPAQUIZOFOP</t>
  </si>
  <si>
    <t>PROPAZIN</t>
  </si>
  <si>
    <t>PROPETAMFOS</t>
  </si>
  <si>
    <t>PROPICONAZOOL</t>
  </si>
  <si>
    <t>PROPOXUR</t>
  </si>
  <si>
    <t>PROPYLBUTYLFENOXYAC.</t>
  </si>
  <si>
    <t>PROPYZAMIDE</t>
  </si>
  <si>
    <t>PROSULFOCARB</t>
  </si>
  <si>
    <t>PROSULFURON</t>
  </si>
  <si>
    <t>PROTHIOCONAZOOL</t>
  </si>
  <si>
    <t>PYMETROZINE</t>
  </si>
  <si>
    <t>PYRACLOSTROBIN</t>
  </si>
  <si>
    <t>PYRACLOSTROBINE</t>
  </si>
  <si>
    <t>PYRAFLUFEN_ETHYL</t>
  </si>
  <si>
    <t>PYRAZOFOS</t>
  </si>
  <si>
    <t>PYRETHRINEN</t>
  </si>
  <si>
    <t>PYRIDAAT</t>
  </si>
  <si>
    <t>PYRIDABEN</t>
  </si>
  <si>
    <t>PYRIDALYL</t>
  </si>
  <si>
    <t>PYRIFENOX</t>
  </si>
  <si>
    <t>PYRIMETHANIL</t>
  </si>
  <si>
    <t>PYRIOFENON</t>
  </si>
  <si>
    <t>PYRIPROXIFEN</t>
  </si>
  <si>
    <t>PYRIPROXYFEN</t>
  </si>
  <si>
    <t>PYROXSULAM</t>
  </si>
  <si>
    <t>QUATERN.AMMONIUMVERB</t>
  </si>
  <si>
    <t>QUINMERAC</t>
  </si>
  <si>
    <t>QUINOCLAMIN</t>
  </si>
  <si>
    <t>QUINOXYFEN</t>
  </si>
  <si>
    <t>QUINTOZEEN</t>
  </si>
  <si>
    <t>QUIZALOFOP_P_ETHYL</t>
  </si>
  <si>
    <t>RIMSULFURON</t>
  </si>
  <si>
    <t>S_METHOPREN</t>
  </si>
  <si>
    <t>S_METOLACHLOOR</t>
  </si>
  <si>
    <t>87392-12-9 | 178961-20-1</t>
  </si>
  <si>
    <t>SEDAXAAN</t>
  </si>
  <si>
    <t>SELECTIEF_WERK.OLIE</t>
  </si>
  <si>
    <t>SETHOXYDIM</t>
  </si>
  <si>
    <t>SILICONEN</t>
  </si>
  <si>
    <t>SILTHIOFAM</t>
  </si>
  <si>
    <t>SIMAZIN</t>
  </si>
  <si>
    <t>SPINOSAD</t>
  </si>
  <si>
    <t>SPIRODICLOFEN</t>
  </si>
  <si>
    <t>SPIROMESIFEN</t>
  </si>
  <si>
    <t>SPIROTETRAMAT</t>
  </si>
  <si>
    <t>SPODOPTERA_EXIGUA_KERNPOLYEDERVIRUS</t>
  </si>
  <si>
    <t>STEENKOOLTEERDEST.</t>
  </si>
  <si>
    <t>STREPTOMYCINE</t>
  </si>
  <si>
    <t>STREPTOMYCINE(_SULFAAT)</t>
  </si>
  <si>
    <t>STREPTOMYCIS_GRISEOVIRIDIS</t>
  </si>
  <si>
    <t>STRYCHNINE</t>
  </si>
  <si>
    <t>SULCOTRION</t>
  </si>
  <si>
    <t>SULFOTEP</t>
  </si>
  <si>
    <t>SULFOXAFLOR</t>
  </si>
  <si>
    <t>SULFURYLFLUORIDE</t>
  </si>
  <si>
    <t>synthetische_latex</t>
  </si>
  <si>
    <t>TCA</t>
  </si>
  <si>
    <t>TEBUCONAZOOL</t>
  </si>
  <si>
    <t>TEBUFENPYRAD</t>
  </si>
  <si>
    <t>TEEROLIE</t>
  </si>
  <si>
    <t>TEFLUBENZURON</t>
  </si>
  <si>
    <t>TEFLUTHRIN</t>
  </si>
  <si>
    <t>TEMBOTRIONE</t>
  </si>
  <si>
    <t>TEMEFOS</t>
  </si>
  <si>
    <t>TEPRALOXYDIM</t>
  </si>
  <si>
    <t>TERBUFOS</t>
  </si>
  <si>
    <t>TERBUTRYN</t>
  </si>
  <si>
    <t>TERBUTYLAZIN</t>
  </si>
  <si>
    <t>TERTRADECANOL</t>
  </si>
  <si>
    <t>TETRACHLOORVINFOS</t>
  </si>
  <si>
    <t>TETRADECANOL</t>
  </si>
  <si>
    <t>TETRAMETHRIN</t>
  </si>
  <si>
    <t>THIABENDAZOOL</t>
  </si>
  <si>
    <t>THIACLOPRID</t>
  </si>
  <si>
    <t>THIAMETHOXAM</t>
  </si>
  <si>
    <t>THIENCARBAZON_METHYL</t>
  </si>
  <si>
    <t>THIFENSULFURON_METHYL</t>
  </si>
  <si>
    <t>THIOCYCLAMHYDRO.OXAL.</t>
  </si>
  <si>
    <t>THIODICARB</t>
  </si>
  <si>
    <t>THIOFANAAT_METHYL</t>
  </si>
  <si>
    <t>THIOFANOX</t>
  </si>
  <si>
    <t>THIOMETON</t>
  </si>
  <si>
    <t>THIRAM</t>
  </si>
  <si>
    <t>TOLCLOFOS_METHYL</t>
  </si>
  <si>
    <t>TOLYLFLUANIDE</t>
  </si>
  <si>
    <t>TOPRAMEZONE</t>
  </si>
  <si>
    <t>TRI_ALLAAT</t>
  </si>
  <si>
    <t>TRIADIMEFON</t>
  </si>
  <si>
    <t>TRIADIMENOL</t>
  </si>
  <si>
    <t>TRIAZAMAAT</t>
  </si>
  <si>
    <t>TRIAZOFOS</t>
  </si>
  <si>
    <t>TRIBENURON_METHYL</t>
  </si>
  <si>
    <t>TRICHLOORFON</t>
  </si>
  <si>
    <t>TRICHLORONAAT</t>
  </si>
  <si>
    <t>TRICLOPYR</t>
  </si>
  <si>
    <t>TRIDEMORF</t>
  </si>
  <si>
    <t>TRIFLOXYSTROBIN</t>
  </si>
  <si>
    <t>TRIFLOXYSTROBINE</t>
  </si>
  <si>
    <t>TRIFLUMIZOOL</t>
  </si>
  <si>
    <t>99387-89-0</t>
  </si>
  <si>
    <t>TRIFLURALIN</t>
  </si>
  <si>
    <t>TRIFLUSULFURON_METHYL</t>
  </si>
  <si>
    <t>TRIFORINE</t>
  </si>
  <si>
    <t>TRINEXAPAC_ETHYL</t>
  </si>
  <si>
    <t>TRIOXYMETHYLEEN</t>
  </si>
  <si>
    <t>TRITOSULFURON</t>
  </si>
  <si>
    <t>UITGEDRUKT_ALS_DIQUAT</t>
  </si>
  <si>
    <t>VALIDAMYCINE</t>
  </si>
  <si>
    <t>VAMIDOTHION</t>
  </si>
  <si>
    <t>VERTICILLIUM_ALBO_ATRUM_STAM_WCS850</t>
  </si>
  <si>
    <t>VETZUREN_KALIUMZOUTEN</t>
  </si>
  <si>
    <t>67701-09-1</t>
  </si>
  <si>
    <t>VINCHLOZOLIN</t>
  </si>
  <si>
    <t>WARFARIN</t>
  </si>
  <si>
    <t>ZILVERTHIOSULFAAT</t>
  </si>
  <si>
    <t>ZINEB</t>
  </si>
  <si>
    <t>ZINKFOSFIDE</t>
  </si>
  <si>
    <t>ZIRAM</t>
  </si>
  <si>
    <t>ZOXAMIDE</t>
  </si>
  <si>
    <t>ZWAVEL</t>
  </si>
  <si>
    <t>jjmmdd</t>
  </si>
  <si>
    <t>datum</t>
  </si>
  <si>
    <t>hhmm</t>
  </si>
  <si>
    <t>tijd</t>
  </si>
  <si>
    <t>luchttemperatuur</t>
  </si>
  <si>
    <t>mm</t>
  </si>
  <si>
    <t>neerslag</t>
  </si>
  <si>
    <t>cm</t>
  </si>
  <si>
    <t>waterstand</t>
  </si>
  <si>
    <t>m3/s</t>
  </si>
  <si>
    <t>waterafvoer</t>
  </si>
  <si>
    <t>m3/h</t>
  </si>
  <si>
    <t>debiet</t>
  </si>
  <si>
    <t>temperatuur</t>
  </si>
  <si>
    <t>mg/L O2</t>
  </si>
  <si>
    <t>%</t>
  </si>
  <si>
    <t>zuurstofverzadiging</t>
  </si>
  <si>
    <t>FTE</t>
  </si>
  <si>
    <t>troebelingsgraad</t>
  </si>
  <si>
    <t>troebelingsgraad visueel</t>
  </si>
  <si>
    <t xml:space="preserve"> -</t>
  </si>
  <si>
    <t>gesuspendeerde stoffen</t>
  </si>
  <si>
    <t>m</t>
  </si>
  <si>
    <t>doorzichtdiepte</t>
  </si>
  <si>
    <t>s/l2</t>
  </si>
  <si>
    <t>MFI (membraanfiltratie-index)</t>
  </si>
  <si>
    <t>totaal beschikbaar chloor</t>
  </si>
  <si>
    <t>mg/L Cl2</t>
  </si>
  <si>
    <t>vrij beschikbaar chloor</t>
  </si>
  <si>
    <t>gebonden beschikbaar chloor</t>
  </si>
  <si>
    <t>mg/L ClO2</t>
  </si>
  <si>
    <t>mg/L O3</t>
  </si>
  <si>
    <t>redoxpotentiaal</t>
  </si>
  <si>
    <t>mg/g</t>
  </si>
  <si>
    <t>jodiumgetal in actief kool</t>
  </si>
  <si>
    <t>Bq/L</t>
  </si>
  <si>
    <t>totaal beta-radioaktiviteit</t>
  </si>
  <si>
    <t>Bq/l</t>
  </si>
  <si>
    <t>totaal alfa-aktiviteit</t>
  </si>
  <si>
    <t>rest beta-radioakt. (tot.-K40)</t>
  </si>
  <si>
    <t>geurverdunningsfactor bij 25øC/20øC</t>
  </si>
  <si>
    <t>smaakverdunningsfactor bij 25øC/20øC</t>
  </si>
  <si>
    <t>geurgetal, kwantitatief</t>
  </si>
  <si>
    <t>geur, kwalitatief</t>
  </si>
  <si>
    <t>smaakgetal, kwantitatief</t>
  </si>
  <si>
    <t>smaak, kwalitatief</t>
  </si>
  <si>
    <t>pHs</t>
  </si>
  <si>
    <t>evenwichts-pH</t>
  </si>
  <si>
    <t>pH-veld</t>
  </si>
  <si>
    <t>SI</t>
  </si>
  <si>
    <t>saturatie-index</t>
  </si>
  <si>
    <t>agressief koolzuur</t>
  </si>
  <si>
    <t>mg/L CO2</t>
  </si>
  <si>
    <t>Corrosie-index voor gietijzer en staal: [Clî]+2[SO4ýî]/[HCO3î]</t>
  </si>
  <si>
    <t>koperopl.verm., 16 h, ..øC</t>
  </si>
  <si>
    <t>mg/L Cu</t>
  </si>
  <si>
    <t>loodopl. verm., 16 h, ..øC</t>
  </si>
  <si>
    <t>mg/L Pb</t>
  </si>
  <si>
    <t>zinkopl. verm., 16 h, ..øC</t>
  </si>
  <si>
    <t>mg/L Zn</t>
  </si>
  <si>
    <t>Langelierindex</t>
  </si>
  <si>
    <t>theoretisch afzetbaar calciumcarbonaat bij 10øC, TACC10</t>
  </si>
  <si>
    <t>theoretisch afzetbaar calciumcarbonaat bij 90øC, TACC90</t>
  </si>
  <si>
    <t>mS/m</t>
  </si>
  <si>
    <t>EGV (elek. geleid.verm., 20 øC)</t>
  </si>
  <si>
    <t>droogrest, 105 øC</t>
  </si>
  <si>
    <t>onoplosbare stoffen na destructie</t>
  </si>
  <si>
    <t>gloeirest, ... øC</t>
  </si>
  <si>
    <t>gloeirest, 600 øC</t>
  </si>
  <si>
    <t>mmol/l</t>
  </si>
  <si>
    <t>theoretisch afzetbaar calciumcarbonaat bij 90øC (TACC90)</t>
  </si>
  <si>
    <t>theoretisch afzetbaar calciumcarbonaat bij 10øC (TACC10)</t>
  </si>
  <si>
    <t>meq/l</t>
  </si>
  <si>
    <t>anionen</t>
  </si>
  <si>
    <t>kationen</t>
  </si>
  <si>
    <t>ionenbalans</t>
  </si>
  <si>
    <t>koolstofdioxide</t>
  </si>
  <si>
    <t>mg/L HCO3</t>
  </si>
  <si>
    <t>waterstofcarbonaat, na filtratie</t>
  </si>
  <si>
    <t>mg/L CO3</t>
  </si>
  <si>
    <t>mg/L Cl</t>
  </si>
  <si>
    <t>mg/L SO4</t>
  </si>
  <si>
    <t>7646-69-7</t>
  </si>
  <si>
    <t>mg/L Na</t>
  </si>
  <si>
    <t>7-9-7440</t>
  </si>
  <si>
    <t>mg/L K</t>
  </si>
  <si>
    <t>mg/L Ca</t>
  </si>
  <si>
    <t>calcium, na filtratie</t>
  </si>
  <si>
    <t>mg/L Mg</t>
  </si>
  <si>
    <t>magnesium, na filtratie over 0.45 æm</t>
  </si>
  <si>
    <t>totale hardheid</t>
  </si>
  <si>
    <t>totale hardheid, na filtratie</t>
  </si>
  <si>
    <t>tijdelijke hardheid</t>
  </si>
  <si>
    <t>PACCk</t>
  </si>
  <si>
    <t>mmol/l Ca</t>
  </si>
  <si>
    <t>PACCu</t>
  </si>
  <si>
    <t>6684-80-6</t>
  </si>
  <si>
    <t>mg/L NH4</t>
  </si>
  <si>
    <t>albuminoid ammonium</t>
  </si>
  <si>
    <t>mg/L N</t>
  </si>
  <si>
    <t>stikstof, Kjeldahl</t>
  </si>
  <si>
    <t>organisch gebonden stikstof</t>
  </si>
  <si>
    <t>somparameter [nitraat]/50 + [nitriet]/3</t>
  </si>
  <si>
    <t>mg/L NO2</t>
  </si>
  <si>
    <t>mg/L NO3</t>
  </si>
  <si>
    <t>orthofosfaat</t>
  </si>
  <si>
    <t>mg/L P</t>
  </si>
  <si>
    <t>totaal fosfaat</t>
  </si>
  <si>
    <t>98059-61-1</t>
  </si>
  <si>
    <t>silicaat</t>
  </si>
  <si>
    <t>mg/L Si</t>
  </si>
  <si>
    <t>silicaat, niet ionogeen</t>
  </si>
  <si>
    <t>7440-21-4</t>
  </si>
  <si>
    <t>gesuspendeerde stoffen (-Calciet)</t>
  </si>
  <si>
    <t>72608-12-9</t>
  </si>
  <si>
    <t>µg/L</t>
  </si>
  <si>
    <t>µg/L Fe</t>
  </si>
  <si>
    <t>totaal ijzergehalte, titrimetrisch bepaald</t>
  </si>
  <si>
    <t>µg/L Mn</t>
  </si>
  <si>
    <t>mangaan, na filtratie over 0,45 æm</t>
  </si>
  <si>
    <t>ijzer, na filtratie over 0,45æm</t>
  </si>
  <si>
    <t>8053-60-9</t>
  </si>
  <si>
    <t>boor, na filtr. over 0,45 æm</t>
  </si>
  <si>
    <t>µg/L Al</t>
  </si>
  <si>
    <t>aluminium, na filtratie over 0.45 æm</t>
  </si>
  <si>
    <t>µg/L Sb</t>
  </si>
  <si>
    <t>antimoon, na filtratie over 0.45 æm</t>
  </si>
  <si>
    <t>7784-42-1</t>
  </si>
  <si>
    <t>µg/L As</t>
  </si>
  <si>
    <t>arseen, na filtratie over 0.45 æm</t>
  </si>
  <si>
    <t>µg/L Ba</t>
  </si>
  <si>
    <t>barium, na filtratie over 0.45 æm</t>
  </si>
  <si>
    <t>µg/L Be</t>
  </si>
  <si>
    <t>beryllium, na filtratie over 0.45 æm</t>
  </si>
  <si>
    <t>bismuth</t>
  </si>
  <si>
    <t>µg/L Bi</t>
  </si>
  <si>
    <t>bismuth, na filtratie over 0.45</t>
  </si>
  <si>
    <t>µg/L B</t>
  </si>
  <si>
    <t>µg/L Cd</t>
  </si>
  <si>
    <t>cadmium, na filtratie over 0.45 æm</t>
  </si>
  <si>
    <t>µg/L Cr</t>
  </si>
  <si>
    <t>chroom, na filtratie over 0.45 æm</t>
  </si>
  <si>
    <t>µg/L Co</t>
  </si>
  <si>
    <t>kobalt, na filtratie over 0.45 æm</t>
  </si>
  <si>
    <t>µg/L Cu</t>
  </si>
  <si>
    <t>koper, na filtratie over 0.45 æm</t>
  </si>
  <si>
    <t>µg/L Hg</t>
  </si>
  <si>
    <t>kwik, na filtratie over 0.45 æm</t>
  </si>
  <si>
    <t>µg/L Pb</t>
  </si>
  <si>
    <t>lood, na filtratie over 0.45 æm</t>
  </si>
  <si>
    <t>µg/L Li</t>
  </si>
  <si>
    <t>lithium, na filtratie over 0.45 æm</t>
  </si>
  <si>
    <t>µg/L Mo</t>
  </si>
  <si>
    <t>molybdeen, na filtratie over 0.45 æm</t>
  </si>
  <si>
    <t>µg/L Ni</t>
  </si>
  <si>
    <t>nikkel, na filtratie over 0.45 æm</t>
  </si>
  <si>
    <t>µg/L Se</t>
  </si>
  <si>
    <t>µg/L Sr</t>
  </si>
  <si>
    <t>µg/L Tl</t>
  </si>
  <si>
    <t>µg/L Te</t>
  </si>
  <si>
    <t>µg/L Sn</t>
  </si>
  <si>
    <t>tin, na filtratie over 0.45 æm</t>
  </si>
  <si>
    <t>µg/L Ti</t>
  </si>
  <si>
    <t>titaan, na filtratie over 0.45 æm</t>
  </si>
  <si>
    <t>µg/L V</t>
  </si>
  <si>
    <t>vanadium, na filtratie over 0.45 æm</t>
  </si>
  <si>
    <t>µg/L Ag</t>
  </si>
  <si>
    <t>zilver, na filtratie over 0.45 æm</t>
  </si>
  <si>
    <t>µg/L Zn</t>
  </si>
  <si>
    <t>zink, na filtratie over 0.45 æm</t>
  </si>
  <si>
    <t>cerium, na filtratie over 0.45 æm</t>
  </si>
  <si>
    <t>µg/L Ce</t>
  </si>
  <si>
    <t>lantaan, na filtratie over 0.45 æm</t>
  </si>
  <si>
    <t>µg/L La</t>
  </si>
  <si>
    <t>neodymium, na filtratie over 0.45 æm</t>
  </si>
  <si>
    <t>µg/L Nd</t>
  </si>
  <si>
    <t>rubidium, na filtratie over 0.45 æm</t>
  </si>
  <si>
    <t>µg/L Rb</t>
  </si>
  <si>
    <t>samarium, na filtratie over 0.45 æm</t>
  </si>
  <si>
    <t>µg/L Sm</t>
  </si>
  <si>
    <t>uranium, na filtratie over 0.45 æm</t>
  </si>
  <si>
    <t>µg/L U</t>
  </si>
  <si>
    <t>seleen, na filtratie over 0.45 æm</t>
  </si>
  <si>
    <t>strontium, na filtratie over 0.45 æm</t>
  </si>
  <si>
    <t>thallium, na filtratie over 0.45 æm</t>
  </si>
  <si>
    <t>telluur, na filtratie over 0.45 æm</t>
  </si>
  <si>
    <t>wolmanzouten (som van As, Cr, Cu)</t>
  </si>
  <si>
    <t>Cesium</t>
  </si>
  <si>
    <t>lantaan</t>
  </si>
  <si>
    <t>arseen III</t>
  </si>
  <si>
    <t>1327-53-3</t>
  </si>
  <si>
    <t>arseen V</t>
  </si>
  <si>
    <t>1303-28-2</t>
  </si>
  <si>
    <t>µg/L Th</t>
  </si>
  <si>
    <t>thorium, na filtratie over 0.45 æm</t>
  </si>
  <si>
    <t>mg/L Br</t>
  </si>
  <si>
    <t>mg/L F</t>
  </si>
  <si>
    <t>chroom VI</t>
  </si>
  <si>
    <t>µg/L I</t>
  </si>
  <si>
    <t>totaal cyanide</t>
  </si>
  <si>
    <t>µg/L CN</t>
  </si>
  <si>
    <t>vrij cyanide</t>
  </si>
  <si>
    <t>thiocyanaat</t>
  </si>
  <si>
    <t>302-04-5</t>
  </si>
  <si>
    <t>µg/L CNS</t>
  </si>
  <si>
    <t>µg/L S</t>
  </si>
  <si>
    <t>µg/L BrO3</t>
  </si>
  <si>
    <t>µg/L ClO3</t>
  </si>
  <si>
    <t>µg/L ClO2</t>
  </si>
  <si>
    <t>boraat</t>
  </si>
  <si>
    <t>14213-97-9</t>
  </si>
  <si>
    <t>mg/L BO3 3-</t>
  </si>
  <si>
    <t>totaal organisch koolstof (TOC)</t>
  </si>
  <si>
    <t>mg/L C</t>
  </si>
  <si>
    <t>koolstof, uitblaasbaar</t>
  </si>
  <si>
    <t>opgelost organisch koolstof (DOC)</t>
  </si>
  <si>
    <t>CZV, chem. zuurstofverbr.</t>
  </si>
  <si>
    <t>CZV, na filtratie over 0.45 æm</t>
  </si>
  <si>
    <t>BZV (biochem. zuurst.verbr.)</t>
  </si>
  <si>
    <t>biol. afbreekbaarheid na .. weken</t>
  </si>
  <si>
    <t>oxideerbaarheid met KMnO4</t>
  </si>
  <si>
    <t>extinctie 436 nm</t>
  </si>
  <si>
    <t>UV-extinctie, 254 nm</t>
  </si>
  <si>
    <t>extinctie 410 nm</t>
  </si>
  <si>
    <t>kleurintens., Pt/Co-schaal</t>
  </si>
  <si>
    <t>mg/L Pt</t>
  </si>
  <si>
    <t>perchloraat</t>
  </si>
  <si>
    <t>14797-73-0</t>
  </si>
  <si>
    <t>anionaktieve detergentia</t>
  </si>
  <si>
    <t>mg/L Na-lauryl-SO4</t>
  </si>
  <si>
    <t>kationaktieve detergentia</t>
  </si>
  <si>
    <t>nonionaktieve detergentia</t>
  </si>
  <si>
    <t>nonionische plus kationische detergentia</t>
  </si>
  <si>
    <t>fenolen, waterdampvl.</t>
  </si>
  <si>
    <t>µg/L C6H5OH</t>
  </si>
  <si>
    <t>minerale olie, GC-methode</t>
  </si>
  <si>
    <t>AOX (ads. org. geb. halog.)</t>
  </si>
  <si>
    <t>µmol X/l</t>
  </si>
  <si>
    <t>EOX (extr. org. geb. halog.)</t>
  </si>
  <si>
    <t>µg/L Cl</t>
  </si>
  <si>
    <t>VOX (vl. org. geb. halog.)</t>
  </si>
  <si>
    <t>AOCl (ads. org. geb. chloor)</t>
  </si>
  <si>
    <t>AOBr (ads. org.geb. broom)</t>
  </si>
  <si>
    <t>µg/L Br</t>
  </si>
  <si>
    <t>AOI (ads. org. geb. jood)</t>
  </si>
  <si>
    <t>AOS (ads. geb. zwavel)</t>
  </si>
  <si>
    <t>EON (extr. org. geb. stikstof)</t>
  </si>
  <si>
    <t>µg/L N</t>
  </si>
  <si>
    <t>EOP (extr. org. geb. fosfor)</t>
  </si>
  <si>
    <t>µg/L P</t>
  </si>
  <si>
    <t>EOS (extr. org. geb. zwavel)</t>
  </si>
  <si>
    <t>som trihalomethanen</t>
  </si>
  <si>
    <t>PAK, 6 van Borneff</t>
  </si>
  <si>
    <t>PAK, som 16 van EPA</t>
  </si>
  <si>
    <t>PAK, som 10</t>
  </si>
  <si>
    <t>VAK</t>
  </si>
  <si>
    <t>choline esterase remmers</t>
  </si>
  <si>
    <t>µg/L paraoxon</t>
  </si>
  <si>
    <t>kobalt-60</t>
  </si>
  <si>
    <t>strontium-89</t>
  </si>
  <si>
    <t>strontium-90</t>
  </si>
  <si>
    <t>jodium-129</t>
  </si>
  <si>
    <t>jodium-131</t>
  </si>
  <si>
    <t>10043-66-0</t>
  </si>
  <si>
    <t>cesium-134</t>
  </si>
  <si>
    <t>cesium-137</t>
  </si>
  <si>
    <t>lood-210</t>
  </si>
  <si>
    <t>polonium-210</t>
  </si>
  <si>
    <t>radium-224</t>
  </si>
  <si>
    <t>radium-226</t>
  </si>
  <si>
    <t>radium-228</t>
  </si>
  <si>
    <t>thallium-232</t>
  </si>
  <si>
    <t>78896-00-1</t>
  </si>
  <si>
    <t>uranium-234</t>
  </si>
  <si>
    <t>uranium-238</t>
  </si>
  <si>
    <t>plutonium-239</t>
  </si>
  <si>
    <t>kve/ml</t>
  </si>
  <si>
    <t>koloniegetal 22 øC, 3 dg GGA-gietplaat</t>
  </si>
  <si>
    <t>koloniegetal 37 øC, 2 dg GGA-gietplaat</t>
  </si>
  <si>
    <t>koloniegetal 22 øC, 7 dg LLA-strijkplaat</t>
  </si>
  <si>
    <t>koloniegetal 25 øC, 10 dg R2A-strijkplaat</t>
  </si>
  <si>
    <t>MPN/100 ml</t>
  </si>
  <si>
    <t>bacteriën Coligroep (37 øC, MWA-methode)</t>
  </si>
  <si>
    <t>kve/100 ml</t>
  </si>
  <si>
    <t>bacteriën Coligroep (37 øC)</t>
  </si>
  <si>
    <t>thermotol.bact.van de coligroep (44 øC)</t>
  </si>
  <si>
    <t>Enterococcen</t>
  </si>
  <si>
    <t>AanOfAfwezig/100 ml</t>
  </si>
  <si>
    <t>Escherichia coli (PCR)</t>
  </si>
  <si>
    <t>Aeromonas spp. 30 øC</t>
  </si>
  <si>
    <t>Aeromonas spp. 37 øC</t>
  </si>
  <si>
    <t>actinomyceten</t>
  </si>
  <si>
    <t>sporen van sulfiet-reducerende clostridia</t>
  </si>
  <si>
    <t>kve/l</t>
  </si>
  <si>
    <t>Legionella spp.</t>
  </si>
  <si>
    <t>Pseudomonas spp.</t>
  </si>
  <si>
    <t>Enterococcen, Intestinale</t>
  </si>
  <si>
    <t>sporenvormers, aeroob</t>
  </si>
  <si>
    <t>kve/1000 ml</t>
  </si>
  <si>
    <t>Enterococcen spp.</t>
  </si>
  <si>
    <t>Enterococcen (PCR)</t>
  </si>
  <si>
    <t xml:space="preserve">Kopieën/l </t>
  </si>
  <si>
    <t>pve/l</t>
  </si>
  <si>
    <t>Colifagen</t>
  </si>
  <si>
    <t>Clostridium botulinum</t>
  </si>
  <si>
    <t>Clostridium perfringens (met inbegrip van sporen)</t>
  </si>
  <si>
    <t>MWA/100 ml</t>
  </si>
  <si>
    <t>Campylobacter spp.</t>
  </si>
  <si>
    <t>MWA/l</t>
  </si>
  <si>
    <t>reovirussen</t>
  </si>
  <si>
    <t>schimmels, totaal</t>
  </si>
  <si>
    <t>Aureobasidium</t>
  </si>
  <si>
    <t>fusarium</t>
  </si>
  <si>
    <t>mucor</t>
  </si>
  <si>
    <t>Penicillium</t>
  </si>
  <si>
    <t>schimmels, diverse</t>
  </si>
  <si>
    <t>Trichoderma</t>
  </si>
  <si>
    <t>µg ac-C/l</t>
  </si>
  <si>
    <t>AOC (assimileerbare organische koolstof)</t>
  </si>
  <si>
    <t>pve/L</t>
  </si>
  <si>
    <t>somatische colifagen</t>
  </si>
  <si>
    <t>Enterovirussen</t>
  </si>
  <si>
    <t>F-specifieke RNA-bacteriofagen</t>
  </si>
  <si>
    <t>totaal anorganisch koolstof</t>
  </si>
  <si>
    <t>µg/L ac-C</t>
  </si>
  <si>
    <t>AOC-Nox (Spirillum)</t>
  </si>
  <si>
    <t>AOC-P17 (Pseudomonas fluorescens)</t>
  </si>
  <si>
    <t>kve/L</t>
  </si>
  <si>
    <t>n/l</t>
  </si>
  <si>
    <t>Salmonellae spp.</t>
  </si>
  <si>
    <t>Legionella non- pneumophila</t>
  </si>
  <si>
    <t>deceen</t>
  </si>
  <si>
    <t>25339-53-1</t>
  </si>
  <si>
    <t>dimethylhexeen</t>
  </si>
  <si>
    <t>hepteen</t>
  </si>
  <si>
    <t>25339-56-4</t>
  </si>
  <si>
    <t>hexadecaan</t>
  </si>
  <si>
    <t>544-76-3</t>
  </si>
  <si>
    <t>hexadeceen</t>
  </si>
  <si>
    <t>26952-14-7</t>
  </si>
  <si>
    <t>hexeen</t>
  </si>
  <si>
    <t>25264-93-1</t>
  </si>
  <si>
    <t>methyldeceen</t>
  </si>
  <si>
    <t>73752-14-4</t>
  </si>
  <si>
    <t>noneen</t>
  </si>
  <si>
    <t>27215-95-8</t>
  </si>
  <si>
    <t>octadecaan</t>
  </si>
  <si>
    <t>593-45-3</t>
  </si>
  <si>
    <t>octadeceen</t>
  </si>
  <si>
    <t>27070-58-2</t>
  </si>
  <si>
    <t>octeen</t>
  </si>
  <si>
    <t>25377-83-7</t>
  </si>
  <si>
    <t>tetradecaan</t>
  </si>
  <si>
    <t>629-59-4</t>
  </si>
  <si>
    <t>tetradeceen</t>
  </si>
  <si>
    <t>26952-13-6</t>
  </si>
  <si>
    <t>tetramethylhexadieen</t>
  </si>
  <si>
    <t>51504-54-2</t>
  </si>
  <si>
    <t>tridecaan</t>
  </si>
  <si>
    <t>629-50-5</t>
  </si>
  <si>
    <t>trideceen</t>
  </si>
  <si>
    <t>25377-82-6</t>
  </si>
  <si>
    <t>undeceen</t>
  </si>
  <si>
    <t>821-95-4</t>
  </si>
  <si>
    <t>broombutaan</t>
  </si>
  <si>
    <t>broomchloorjoodmethaan</t>
  </si>
  <si>
    <t>34970-00-8</t>
  </si>
  <si>
    <t>broomdichloormethaan</t>
  </si>
  <si>
    <t>chloorbuteen</t>
  </si>
  <si>
    <t>chloorjoodmethaan</t>
  </si>
  <si>
    <t>593-71-5</t>
  </si>
  <si>
    <t>chloorpropylcarbonaat</t>
  </si>
  <si>
    <t>dibroomjoodmethaan</t>
  </si>
  <si>
    <t>593-94-2</t>
  </si>
  <si>
    <t>dichloorbutaan</t>
  </si>
  <si>
    <t>dichloorbuteen</t>
  </si>
  <si>
    <t>11069-19-5</t>
  </si>
  <si>
    <t>dichloorjoodmethaan</t>
  </si>
  <si>
    <t>594-04-7</t>
  </si>
  <si>
    <t>dichloormethylpropaan</t>
  </si>
  <si>
    <t>hexachloorbutaan</t>
  </si>
  <si>
    <t>26523-63-7</t>
  </si>
  <si>
    <t>pentachloorbutadieen</t>
  </si>
  <si>
    <t>55880-77-8</t>
  </si>
  <si>
    <t>pentachloorpropeen</t>
  </si>
  <si>
    <t>1600-37-9</t>
  </si>
  <si>
    <t>tetrachloorbutaan</t>
  </si>
  <si>
    <t>tetrachlooretheen</t>
  </si>
  <si>
    <t>tetrachloormethaan</t>
  </si>
  <si>
    <t>trichloorbuteen</t>
  </si>
  <si>
    <t>51023-22-4</t>
  </si>
  <si>
    <t>trichloordifluorethaan</t>
  </si>
  <si>
    <t>41834-16-6</t>
  </si>
  <si>
    <t>trichlooretheen</t>
  </si>
  <si>
    <t>trichloormethaan</t>
  </si>
  <si>
    <t>trichloornitromethaan</t>
  </si>
  <si>
    <t>1,1,1-trichloorpropaan</t>
  </si>
  <si>
    <t>7789-89-1</t>
  </si>
  <si>
    <t>1,1,3-trichloorpropaan</t>
  </si>
  <si>
    <t>20395-25-9</t>
  </si>
  <si>
    <t>dimethylnitropentaan</t>
  </si>
  <si>
    <t>597-45-5</t>
  </si>
  <si>
    <t>nitropentaan</t>
  </si>
  <si>
    <t>tetramethyl-ureum</t>
  </si>
  <si>
    <t>632-22-4</t>
  </si>
  <si>
    <t>n-butyl-cyclohexaan</t>
  </si>
  <si>
    <t>1678-93-9</t>
  </si>
  <si>
    <t>dicyclodihydropentadieen</t>
  </si>
  <si>
    <t>1,2-dimethylbenzeen</t>
  </si>
  <si>
    <t>1,3-dimethylbenzeen</t>
  </si>
  <si>
    <t>1,4-dimethylbenzeen</t>
  </si>
  <si>
    <t>dimethylcyclopentaan</t>
  </si>
  <si>
    <t>28729-52-4</t>
  </si>
  <si>
    <t>dimethylcyclohexaan</t>
  </si>
  <si>
    <t>dimethylindaan</t>
  </si>
  <si>
    <t>dimethylindeen</t>
  </si>
  <si>
    <t>18636-55-0</t>
  </si>
  <si>
    <t>ethenylbenzeen</t>
  </si>
  <si>
    <t>ethylethenylbenzeen</t>
  </si>
  <si>
    <t>69011-18-3</t>
  </si>
  <si>
    <t>ethylindaan</t>
  </si>
  <si>
    <t>heptyl-benzeen</t>
  </si>
  <si>
    <t>n-hexylbenzeen</t>
  </si>
  <si>
    <t>iso-propenylbenzeen</t>
  </si>
  <si>
    <t>methylethenylbenzeen</t>
  </si>
  <si>
    <t>25013-15-4</t>
  </si>
  <si>
    <t>methylethylcyclohexaan</t>
  </si>
  <si>
    <t>4926-90-3</t>
  </si>
  <si>
    <t>methylindaan</t>
  </si>
  <si>
    <t>27133-93-3</t>
  </si>
  <si>
    <t>methylindeen</t>
  </si>
  <si>
    <t>29036-25-7</t>
  </si>
  <si>
    <t>octylbenzeen</t>
  </si>
  <si>
    <t>2189-60-8</t>
  </si>
  <si>
    <t>pentylbenzeen</t>
  </si>
  <si>
    <t>538-68-1</t>
  </si>
  <si>
    <t>terpenen</t>
  </si>
  <si>
    <t>129874-08-4</t>
  </si>
  <si>
    <t>tetramethylindaan</t>
  </si>
  <si>
    <t>trimethylbenzeen</t>
  </si>
  <si>
    <t>25551-13-7</t>
  </si>
  <si>
    <t>trimethylcyclohexaan</t>
  </si>
  <si>
    <t>2-chloormethylbenzeen</t>
  </si>
  <si>
    <t>3-chloormethylbenzeen</t>
  </si>
  <si>
    <t>chloornitromethylbenzeen</t>
  </si>
  <si>
    <t>dichloorcyclohexaan</t>
  </si>
  <si>
    <t>dichloormethylbenzeen</t>
  </si>
  <si>
    <t>29797-40-8</t>
  </si>
  <si>
    <t>dichloornitrobenzeen</t>
  </si>
  <si>
    <t>dichloortrifluormethylbenzeen</t>
  </si>
  <si>
    <t>isobornylchloride</t>
  </si>
  <si>
    <t>559-45-5</t>
  </si>
  <si>
    <t>trichloormethylbenzeen</t>
  </si>
  <si>
    <t>azidobenzeen</t>
  </si>
  <si>
    <t>622-37-7</t>
  </si>
  <si>
    <t>butylnitrobenzeen</t>
  </si>
  <si>
    <t>chinoxaziline</t>
  </si>
  <si>
    <t>chloorfenyldibutylureum</t>
  </si>
  <si>
    <t>chloorpyridine</t>
  </si>
  <si>
    <t>29154-12-9</t>
  </si>
  <si>
    <t>dimethylethylpyridine</t>
  </si>
  <si>
    <t>dimethylpyridine</t>
  </si>
  <si>
    <t>27175-64-0</t>
  </si>
  <si>
    <t>dinitrobenzeen</t>
  </si>
  <si>
    <t>25154-54-5</t>
  </si>
  <si>
    <t>ethenylpyridine</t>
  </si>
  <si>
    <t>ethylnitromethylbenzeen</t>
  </si>
  <si>
    <t>ethylpyridine</t>
  </si>
  <si>
    <t>28631-77-8</t>
  </si>
  <si>
    <t>fenacetin</t>
  </si>
  <si>
    <t>fenylaziridine</t>
  </si>
  <si>
    <t>696-18-4</t>
  </si>
  <si>
    <t>methylbenzonazol</t>
  </si>
  <si>
    <t>95-21-6</t>
  </si>
  <si>
    <t>methylbutylpyridine</t>
  </si>
  <si>
    <t>79562-37-1</t>
  </si>
  <si>
    <t>methylpyridine</t>
  </si>
  <si>
    <t>1333-41-1</t>
  </si>
  <si>
    <t>nitrodimethylbenzeen</t>
  </si>
  <si>
    <t>nitronaftaleen</t>
  </si>
  <si>
    <t>27254-36-0</t>
  </si>
  <si>
    <t>trimethylazidocyclohexeen</t>
  </si>
  <si>
    <t>trimethyldiazine</t>
  </si>
  <si>
    <t>trimethylpyridine</t>
  </si>
  <si>
    <t>azuleen</t>
  </si>
  <si>
    <t>275-51-4</t>
  </si>
  <si>
    <t>butylnaftaleen</t>
  </si>
  <si>
    <t>dimethylbifenyl</t>
  </si>
  <si>
    <t>dimethylfenantreen</t>
  </si>
  <si>
    <t>29062-98-4</t>
  </si>
  <si>
    <t>dimethylnaftaleen</t>
  </si>
  <si>
    <t>28804-88-8</t>
  </si>
  <si>
    <t>ethylbifenyl</t>
  </si>
  <si>
    <t>40529-66-6</t>
  </si>
  <si>
    <t>ethylfenantreen</t>
  </si>
  <si>
    <t>ethylnaftaleen</t>
  </si>
  <si>
    <t>27138-19-8</t>
  </si>
  <si>
    <t>indeno (1,2,3-cd)pyreen</t>
  </si>
  <si>
    <t>methylbifenyl</t>
  </si>
  <si>
    <t>28652-72-4</t>
  </si>
  <si>
    <t>methylethylnaftaleen</t>
  </si>
  <si>
    <t>2027-17-0</t>
  </si>
  <si>
    <t>methylfenantreen</t>
  </si>
  <si>
    <t>31711-53-2</t>
  </si>
  <si>
    <t>trimethylnaftaleen</t>
  </si>
  <si>
    <t>2245-38-7</t>
  </si>
  <si>
    <t>dichloornaftaleen</t>
  </si>
  <si>
    <t>28699-88-9</t>
  </si>
  <si>
    <t>trichloorbifenylchloormethylbenzeen</t>
  </si>
  <si>
    <t>2-2'-dichloorbifenyl</t>
  </si>
  <si>
    <t>13029-08-8</t>
  </si>
  <si>
    <t>2,3-dichloorbifenyl</t>
  </si>
  <si>
    <t>16605-91-7</t>
  </si>
  <si>
    <t>2,3'-dichloorbifenyl</t>
  </si>
  <si>
    <t>25569-80-6</t>
  </si>
  <si>
    <t>2,4-dichloorbifenyl</t>
  </si>
  <si>
    <t>33284-50-3</t>
  </si>
  <si>
    <t>2,4'-dichloorbifenyl</t>
  </si>
  <si>
    <t>34883-43-7</t>
  </si>
  <si>
    <t>2,5-dichloorbifenyl</t>
  </si>
  <si>
    <t>34883-39-1</t>
  </si>
  <si>
    <t>3,3'-dichloorbifenyl</t>
  </si>
  <si>
    <t>2050-67-1</t>
  </si>
  <si>
    <t>3,4-dichloorbifenyl</t>
  </si>
  <si>
    <t>2974-92-7</t>
  </si>
  <si>
    <t>3,4'-dichloorbifenyl</t>
  </si>
  <si>
    <t>2974-90-5</t>
  </si>
  <si>
    <t>4,4'-dichloorbifenyl</t>
  </si>
  <si>
    <t>2050-68-2</t>
  </si>
  <si>
    <t>2,2',3-trichloorbifenyl</t>
  </si>
  <si>
    <t>38444-78-9</t>
  </si>
  <si>
    <t>2,2',6-trichloorbifenyl</t>
  </si>
  <si>
    <t>38444-73-4</t>
  </si>
  <si>
    <t>2,3,4'-trichloorbifenyl</t>
  </si>
  <si>
    <t>38444-85-8</t>
  </si>
  <si>
    <t>2,3,5-trichloorbifenyl</t>
  </si>
  <si>
    <t>55720-44-0</t>
  </si>
  <si>
    <t>2,3,6-trichloorbifenyl</t>
  </si>
  <si>
    <t>55702-45-9</t>
  </si>
  <si>
    <t>2,3',4-trichloorbifenyl</t>
  </si>
  <si>
    <t>55712-37-3</t>
  </si>
  <si>
    <t>2,3',5-trichloorbifenyl</t>
  </si>
  <si>
    <t>38444-81-4</t>
  </si>
  <si>
    <t>2,3',6-trichloorbifenyl</t>
  </si>
  <si>
    <t>38444-76-7</t>
  </si>
  <si>
    <t>2,4,5-trichloorbifenyl</t>
  </si>
  <si>
    <t>15862-07-4</t>
  </si>
  <si>
    <t>2,4',6-trichloorbifenyl</t>
  </si>
  <si>
    <t>38444-77-8</t>
  </si>
  <si>
    <t>2,3',4'-trichloorbifenyl</t>
  </si>
  <si>
    <t>38444-86-9</t>
  </si>
  <si>
    <t>2,3',5'-trichloorbifenyl</t>
  </si>
  <si>
    <t>37680-68-5</t>
  </si>
  <si>
    <t>3,3',4-trichloorbifenyl</t>
  </si>
  <si>
    <t>37680-69-6</t>
  </si>
  <si>
    <t>3,3',5-trichloorbifenyl</t>
  </si>
  <si>
    <t>38444-87-0</t>
  </si>
  <si>
    <t>3,4,4'-trichloorbifenyl</t>
  </si>
  <si>
    <t>38444-90-5</t>
  </si>
  <si>
    <t>3,4,5-trichloorbifenyl</t>
  </si>
  <si>
    <t>53555-66-1</t>
  </si>
  <si>
    <t>3,4',5-trichloorbifenyl</t>
  </si>
  <si>
    <t>38444-88-1</t>
  </si>
  <si>
    <t>2,2',3,3'-tetrachloorbifenyl</t>
  </si>
  <si>
    <t>38444-93-8</t>
  </si>
  <si>
    <t>2,2',3,4-tetrachloorbifenyl</t>
  </si>
  <si>
    <t>52663-59-9</t>
  </si>
  <si>
    <t>2,2',3,4'-tetrachloorbifenyl</t>
  </si>
  <si>
    <t>36559-22-5</t>
  </si>
  <si>
    <t>2,2',3,5-tetrachloorbifenyl</t>
  </si>
  <si>
    <t>70362-46-8</t>
  </si>
  <si>
    <t>2,2',3,6-tetrachloorbifenyl</t>
  </si>
  <si>
    <t>70362-45-7</t>
  </si>
  <si>
    <t>2,2',3,6'-tetrachloorbifenyl</t>
  </si>
  <si>
    <t>41464-47-5</t>
  </si>
  <si>
    <t>2,2',4,5-tetrachloorbifenyl</t>
  </si>
  <si>
    <t>70362-47-9</t>
  </si>
  <si>
    <t>2,2',4,6'-tetrachloorbifenyl</t>
  </si>
  <si>
    <t>68194-04-7</t>
  </si>
  <si>
    <t>2,2',5,6'-tetrachloorbifenyl</t>
  </si>
  <si>
    <t>41464-41-9</t>
  </si>
  <si>
    <t>2,2',6,6'-tetrachloorbifenyl</t>
  </si>
  <si>
    <t>15968-05-5</t>
  </si>
  <si>
    <t>2,3,3',5-tetrachloorbifenyl</t>
  </si>
  <si>
    <t>70424-67-8</t>
  </si>
  <si>
    <t>2,3,3',5'-tetrachloorbifenyl</t>
  </si>
  <si>
    <t>41464-49-7</t>
  </si>
  <si>
    <t>2,3,3',6-tetrachloorbifenyl</t>
  </si>
  <si>
    <t>74472-33-6</t>
  </si>
  <si>
    <t>2,3,4,4'-tetrachloorbifenyl</t>
  </si>
  <si>
    <t>33025-41-1</t>
  </si>
  <si>
    <t>2,3,4,5-tetrachloorbifenyl</t>
  </si>
  <si>
    <t>33284-53-6</t>
  </si>
  <si>
    <t>2,3,4,6-tetrachloorbifenyl</t>
  </si>
  <si>
    <t>54230-22-7</t>
  </si>
  <si>
    <t>2,3,4',5-tetrachloorbifenyl</t>
  </si>
  <si>
    <t>74472-34-7</t>
  </si>
  <si>
    <t>2,3,5,6-tetrachloorbifenyl</t>
  </si>
  <si>
    <t>33284-54-7</t>
  </si>
  <si>
    <t>2,3',4,4'-tetrachloorbifenyl</t>
  </si>
  <si>
    <t>2,3',4,5-tetrachloorbifenyl</t>
  </si>
  <si>
    <t>73575-53-8</t>
  </si>
  <si>
    <t>2,3',4,5'-tetrachloorbifenyl</t>
  </si>
  <si>
    <t>73575-52-7</t>
  </si>
  <si>
    <t>2,3',4,6-tetrachloorbifenyl</t>
  </si>
  <si>
    <t>60233-24-1</t>
  </si>
  <si>
    <t>2,3',4',6-tetrachloorbifenyl</t>
  </si>
  <si>
    <t>41464-46-4</t>
  </si>
  <si>
    <t>2,3',5',6-tetrachloorbifenyl</t>
  </si>
  <si>
    <t>74338-23-1</t>
  </si>
  <si>
    <t>2,4,4',6-tetrachloorbifenyl</t>
  </si>
  <si>
    <t>32598-12-2</t>
  </si>
  <si>
    <t>2,3',4',5'-tetrachloorbifenyl</t>
  </si>
  <si>
    <t>70362-48-0</t>
  </si>
  <si>
    <t>3,3',4,5'-tetrachloorbifenyl</t>
  </si>
  <si>
    <t>41464-48-6</t>
  </si>
  <si>
    <t>3,3',5,5'-tetrachloorbifenyl</t>
  </si>
  <si>
    <t>33284-52-5</t>
  </si>
  <si>
    <t>3,4,4',5-tetrachloorbifenyl</t>
  </si>
  <si>
    <t>2,2',3,3',4-pentachloorbifenyl</t>
  </si>
  <si>
    <t>52663-62-4</t>
  </si>
  <si>
    <t>2,2',3,3',5-pentachloorbifenyl</t>
  </si>
  <si>
    <t>60145-20-2</t>
  </si>
  <si>
    <t>2,2',3,3',6-pentachloorbifenyl</t>
  </si>
  <si>
    <t>52663-60-2</t>
  </si>
  <si>
    <t>2,2',3,4,5-pentachloorbifenyl</t>
  </si>
  <si>
    <t>55312-69-1</t>
  </si>
  <si>
    <t>2,2',3,4,6-pentachloorbifenyl</t>
  </si>
  <si>
    <t>55215-17-3</t>
  </si>
  <si>
    <t>2,2',3,4,6'-pentachloorbifenyl</t>
  </si>
  <si>
    <t>73575-57-2</t>
  </si>
  <si>
    <t>2,2',3,4',5-pentachloorbifenyl</t>
  </si>
  <si>
    <t>68194-07-0</t>
  </si>
  <si>
    <t>2,2',3,4',6-pentachloorbifenyl</t>
  </si>
  <si>
    <t>68194-05-8</t>
  </si>
  <si>
    <t>2,2',3,5,6-pentachloorbifenyl</t>
  </si>
  <si>
    <t>73575-56-1</t>
  </si>
  <si>
    <t>2,2',3,5,6'-pentachloorbifenyl</t>
  </si>
  <si>
    <t>73575-55-0</t>
  </si>
  <si>
    <t>2,2',3,6,6'-pentachloorbifenyl</t>
  </si>
  <si>
    <t>73575-54-9</t>
  </si>
  <si>
    <t>41464-51-0</t>
  </si>
  <si>
    <t>2,2',3,4',6'-pentachloorbifenyl</t>
  </si>
  <si>
    <t>60233-25-2</t>
  </si>
  <si>
    <t>2,2',4,4',6-pentachloorbifenyl</t>
  </si>
  <si>
    <t>39485-83-1</t>
  </si>
  <si>
    <t>2,2',4,5,6'-pentachloorbifenyl</t>
  </si>
  <si>
    <t>68194-06-9</t>
  </si>
  <si>
    <t>2,2',4,5',6-pentachloorbifenyl</t>
  </si>
  <si>
    <t>60145-21-3</t>
  </si>
  <si>
    <t>2,3,3',4',5-pentachloorbifenyl</t>
  </si>
  <si>
    <t>70424-68-9</t>
  </si>
  <si>
    <t>2,3,3',4,5'-pentachloorbifenyl</t>
  </si>
  <si>
    <t>70362-41-3</t>
  </si>
  <si>
    <t>2,3,3',4,6-pentachloorbifenyl</t>
  </si>
  <si>
    <t>74472-35-8</t>
  </si>
  <si>
    <t>2,3,3',5,5'-pentachloorbifenyl</t>
  </si>
  <si>
    <t>39635-32-0</t>
  </si>
  <si>
    <t>2,3,3',5,6-pentachloorbifenyl</t>
  </si>
  <si>
    <t>74472-36-9</t>
  </si>
  <si>
    <t>2,3,3',5',6-pentachloorbifenyl</t>
  </si>
  <si>
    <t>68194-10-5</t>
  </si>
  <si>
    <t>2,3,4,4',6-pentachloorbifenyl</t>
  </si>
  <si>
    <t>74472-38-1</t>
  </si>
  <si>
    <t>2,3,4,5,6-pentachloorbifenyl</t>
  </si>
  <si>
    <t>18259-05-7</t>
  </si>
  <si>
    <t>2,3,4',5,6-pentachloorbifenyl</t>
  </si>
  <si>
    <t>68194-11-6</t>
  </si>
  <si>
    <t>2,3',4,4',6-pentachloorbifenyl</t>
  </si>
  <si>
    <t>56558-17-9</t>
  </si>
  <si>
    <t>2,3',4,5,5'-pentachloorbifenyl</t>
  </si>
  <si>
    <t>68194-12-7</t>
  </si>
  <si>
    <t>2,3',4,5',6-pentachloorbifenyl</t>
  </si>
  <si>
    <t>56558-18-0</t>
  </si>
  <si>
    <t>2,3,3',4',5'-pentachloorbifenyl</t>
  </si>
  <si>
    <t>76842-07-4</t>
  </si>
  <si>
    <t>2,3',4',5,5'-pentachloorbifenyl</t>
  </si>
  <si>
    <t>70424-70-3</t>
  </si>
  <si>
    <t>2,3',4',5',6-pentachloorbifenyl</t>
  </si>
  <si>
    <t>74472-39-2</t>
  </si>
  <si>
    <t>3,3',4,5,5'-pentachloorbifenyl</t>
  </si>
  <si>
    <t>39635-33-1</t>
  </si>
  <si>
    <t>2,2',3,3',4,5-hexachloorbifenyl</t>
  </si>
  <si>
    <t>55215-18-4</t>
  </si>
  <si>
    <t>2,2',3,3',4,6-hexachloorbifenyl</t>
  </si>
  <si>
    <t>61798-70-7</t>
  </si>
  <si>
    <t>2,2',3,3',5,5'-hexachloorbifenyl</t>
  </si>
  <si>
    <t>35694-04-3</t>
  </si>
  <si>
    <t>2,2',3,3',5,6-hexachloorbifenyl</t>
  </si>
  <si>
    <t>52704-70-8</t>
  </si>
  <si>
    <t>2,2',3,3',5,6'-hexachloorbifenyl</t>
  </si>
  <si>
    <t>52744-13-5</t>
  </si>
  <si>
    <t>2,2',3,3',6,6'-hexachloorbifenyl</t>
  </si>
  <si>
    <t>38411-22-2</t>
  </si>
  <si>
    <t>2,2',3,4,4',6-hexachloorbifenyl</t>
  </si>
  <si>
    <t>56030-56-9</t>
  </si>
  <si>
    <t>2,2',3,4,4',6'-hexachloorbifenyl</t>
  </si>
  <si>
    <t>59291-64-4</t>
  </si>
  <si>
    <t>2,2',3,4,5,6-hexachloorbifenyl</t>
  </si>
  <si>
    <t>41411-61-4</t>
  </si>
  <si>
    <t>2,2',3,4,5,6'-hexachloorbifenyl</t>
  </si>
  <si>
    <t>68194-15-0</t>
  </si>
  <si>
    <t>2,2',3,4,5',6-hexachloorbifenyl</t>
  </si>
  <si>
    <t>68194-14-9</t>
  </si>
  <si>
    <t>2,2',3,4',5,5'-hexachloorbifenyl</t>
  </si>
  <si>
    <t>51908-16-8</t>
  </si>
  <si>
    <t>2,2',3,4',5,6-hexachloorbifenyl</t>
  </si>
  <si>
    <t>68194-13-8</t>
  </si>
  <si>
    <t>2,2',3,4',5,6'-hexachloorbifenyl</t>
  </si>
  <si>
    <t>74472-41-6</t>
  </si>
  <si>
    <t>2,2',3,4',6,6'-hexachloorbifenyl</t>
  </si>
  <si>
    <t>68194-08-1</t>
  </si>
  <si>
    <t>2,2',3,5,6,6'-hexachloorbifenyl</t>
  </si>
  <si>
    <t>68194-09-2</t>
  </si>
  <si>
    <t>2,2',4,4',5,6'-hexachloorbifenyl</t>
  </si>
  <si>
    <t>60145-22-4</t>
  </si>
  <si>
    <t>2,3,3',4,5,5'-hexachloorbifenyl</t>
  </si>
  <si>
    <t>39635-35-3</t>
  </si>
  <si>
    <t>2,3,3',4,5',6-hexachloorbifenyl</t>
  </si>
  <si>
    <t>74472-43-8</t>
  </si>
  <si>
    <t>2,3,3',4',5,5'-hexachloorbifenyl</t>
  </si>
  <si>
    <t>39635-34-2</t>
  </si>
  <si>
    <t>2,3,3',4',5,6-hexachloorbifenyl</t>
  </si>
  <si>
    <t>74472-44-9</t>
  </si>
  <si>
    <t>2,3,3',4',5',6-hexachloorbifenyl</t>
  </si>
  <si>
    <t>74472-45-0</t>
  </si>
  <si>
    <t>2,3,3',5,5',6-hexachloorbifenyl</t>
  </si>
  <si>
    <t>74472-46-1</t>
  </si>
  <si>
    <t>2,3',4,4',5',6-hexachloorbifenyl</t>
  </si>
  <si>
    <t>59291-65-5</t>
  </si>
  <si>
    <t>68194-16-1</t>
  </si>
  <si>
    <t>2,2',3,3',4,5',6'-heptachloorbifenyl</t>
  </si>
  <si>
    <t>2,2',3,3',5,6,6'-heptachloorbifenyl</t>
  </si>
  <si>
    <t>52663-64-6</t>
  </si>
  <si>
    <t>2,2',3,4,4',5,6-heptachloorbifenyl</t>
  </si>
  <si>
    <t>74472-47-2</t>
  </si>
  <si>
    <t>2,2',3,4,4',5,6'-heptachloorbifenyl</t>
  </si>
  <si>
    <t>60145-23-5</t>
  </si>
  <si>
    <t>2,2',3,4,4',6,6'-heptachloorbifenyl</t>
  </si>
  <si>
    <t>74472-48-3</t>
  </si>
  <si>
    <t>2,2',3,4,5,6,6'-heptachloorbifenyl</t>
  </si>
  <si>
    <t>74472-49-4</t>
  </si>
  <si>
    <t>2,2',3,4',5,6,6'-heptachloorbifenyl</t>
  </si>
  <si>
    <t>74487-85-7</t>
  </si>
  <si>
    <t>2,3,3',4,4',5,5'-heptachloorbifenyl</t>
  </si>
  <si>
    <t>2,3,3',4,4',5',6-heptachloorbifenyl</t>
  </si>
  <si>
    <t>74472-50-7</t>
  </si>
  <si>
    <t>2,3,3',4,5,5',6-heptachloorbifenyl</t>
  </si>
  <si>
    <t>74472-51-8</t>
  </si>
  <si>
    <t>2,3,3',4',5,5',6-heptachloorbifenyl</t>
  </si>
  <si>
    <t>69782-91-8</t>
  </si>
  <si>
    <t>2,2',3,3',4,4',6,6'-octachloorbifenyl</t>
  </si>
  <si>
    <t>33091-17-7</t>
  </si>
  <si>
    <t>2,2',3,3',4,5,5',6-octachloorbifenyl</t>
  </si>
  <si>
    <t>68194-17-2</t>
  </si>
  <si>
    <t>2,2',3,3',4,5,5',6'-octachloorbifenyl</t>
  </si>
  <si>
    <t>52663-75-9</t>
  </si>
  <si>
    <t>2,2',3,4,4',5,5',6-octachloorbifenyl</t>
  </si>
  <si>
    <t>52663-76-0</t>
  </si>
  <si>
    <t>2,3,3',4,4',5,5',6-octachloorbifenyl</t>
  </si>
  <si>
    <t>74472-53-0</t>
  </si>
  <si>
    <t>2,2',3,3',4,5,5',6,6'-nonachloorbifenyl</t>
  </si>
  <si>
    <t>52663-77-1</t>
  </si>
  <si>
    <t>benzochinoline</t>
  </si>
  <si>
    <t>benzopyrrole</t>
  </si>
  <si>
    <t>chinoline</t>
  </si>
  <si>
    <t>dibenzopyridine</t>
  </si>
  <si>
    <t>dichloorazobenzeen</t>
  </si>
  <si>
    <t>diethylbenzopyrrole</t>
  </si>
  <si>
    <t>difenylenimine</t>
  </si>
  <si>
    <t>difenylhydrazine</t>
  </si>
  <si>
    <t>38622-18-3</t>
  </si>
  <si>
    <t>dimethylchinoline</t>
  </si>
  <si>
    <t>28351-04-4</t>
  </si>
  <si>
    <t>dimethyldibenzopyridine</t>
  </si>
  <si>
    <t>ethyldifenylenimine</t>
  </si>
  <si>
    <t>isochinoline</t>
  </si>
  <si>
    <t>methylchinoline</t>
  </si>
  <si>
    <t>oxindool</t>
  </si>
  <si>
    <t>ÿ59-48-3</t>
  </si>
  <si>
    <t>trimethylchinoline</t>
  </si>
  <si>
    <t>51366-52-0</t>
  </si>
  <si>
    <t>trimethyldihydrochinoline</t>
  </si>
  <si>
    <t>147-47-7</t>
  </si>
  <si>
    <t>trimethylbenzopyrrole</t>
  </si>
  <si>
    <t>trimethyloxindol</t>
  </si>
  <si>
    <t>19501-89-4</t>
  </si>
  <si>
    <t>n-butanol</t>
  </si>
  <si>
    <t>decanol</t>
  </si>
  <si>
    <t>36729-58-5</t>
  </si>
  <si>
    <t>6,6-diallyloxyhexeen</t>
  </si>
  <si>
    <t>dibutoxymethaan</t>
  </si>
  <si>
    <t>2568-90-3</t>
  </si>
  <si>
    <t>dibutylether</t>
  </si>
  <si>
    <t>142-96-1</t>
  </si>
  <si>
    <t>diethoxyethylether</t>
  </si>
  <si>
    <t>dihydroxypropylether</t>
  </si>
  <si>
    <t>dimethoxyethaan</t>
  </si>
  <si>
    <t>25154-53-4</t>
  </si>
  <si>
    <t>dimethoxyethylether</t>
  </si>
  <si>
    <t>dimethoxyheptaan</t>
  </si>
  <si>
    <t>10032-05-0</t>
  </si>
  <si>
    <t>dimethoxypropaan</t>
  </si>
  <si>
    <t>dimethyloktaandiol</t>
  </si>
  <si>
    <t>dipentylether</t>
  </si>
  <si>
    <t>693-65-2</t>
  </si>
  <si>
    <t>dipropylether</t>
  </si>
  <si>
    <t>111-43-3</t>
  </si>
  <si>
    <t>dodecanol</t>
  </si>
  <si>
    <t>27342-88-7</t>
  </si>
  <si>
    <t>ethylideenbis-oxy-bispropaan</t>
  </si>
  <si>
    <t>105-82-8</t>
  </si>
  <si>
    <t>heptadecanol</t>
  </si>
  <si>
    <t>52783-44-5</t>
  </si>
  <si>
    <t>heptanol</t>
  </si>
  <si>
    <t>53535-33-4</t>
  </si>
  <si>
    <t>hexaandiol</t>
  </si>
  <si>
    <t>26762-52-7</t>
  </si>
  <si>
    <t>hexadecanol</t>
  </si>
  <si>
    <t>29354-98-1</t>
  </si>
  <si>
    <t>hexanol</t>
  </si>
  <si>
    <t>25917-35-5</t>
  </si>
  <si>
    <t>hexeendiol</t>
  </si>
  <si>
    <t>hydroxypropoxypropanol</t>
  </si>
  <si>
    <t>106-62-7</t>
  </si>
  <si>
    <t>isopropylethylether</t>
  </si>
  <si>
    <t>625-54-7</t>
  </si>
  <si>
    <t>methoxypropoxypropanol</t>
  </si>
  <si>
    <t>nonanol</t>
  </si>
  <si>
    <t>octadecanol</t>
  </si>
  <si>
    <t>26762-44-7</t>
  </si>
  <si>
    <t>octanol</t>
  </si>
  <si>
    <t>29063-28-3</t>
  </si>
  <si>
    <t>pentadecanol</t>
  </si>
  <si>
    <t>68333-80-2</t>
  </si>
  <si>
    <t>30899-19-5</t>
  </si>
  <si>
    <t>penta-oxo-pentadecaaan</t>
  </si>
  <si>
    <t>tetradecanol</t>
  </si>
  <si>
    <t>27196-00-5</t>
  </si>
  <si>
    <t>tetra-ethyleenglycoldimethylether</t>
  </si>
  <si>
    <t>tetra-oxo-dodecaan</t>
  </si>
  <si>
    <t>tridecanol</t>
  </si>
  <si>
    <t>26248-42-0</t>
  </si>
  <si>
    <t>trimethoxymethaan</t>
  </si>
  <si>
    <t>149-73-5</t>
  </si>
  <si>
    <t>undecanol</t>
  </si>
  <si>
    <t>112-42-5</t>
  </si>
  <si>
    <t>bis(4-chloorbutyl)ether</t>
  </si>
  <si>
    <t>6334-96-9</t>
  </si>
  <si>
    <t>bis(2-chloorethyl)ether</t>
  </si>
  <si>
    <t>bis(chloorisobutyl)ether</t>
  </si>
  <si>
    <t>53622-12-1</t>
  </si>
  <si>
    <t>bis(chloormethyl)ether</t>
  </si>
  <si>
    <t>542-88-1</t>
  </si>
  <si>
    <t>bis(chloorpentyl)ether</t>
  </si>
  <si>
    <t>bis(dichloorisopropyl)ether</t>
  </si>
  <si>
    <t>bis(1,3-dichloorpropyl)ether</t>
  </si>
  <si>
    <t>59440-89-0</t>
  </si>
  <si>
    <t>trichloordibutylether</t>
  </si>
  <si>
    <t>acetylfenylpropanol</t>
  </si>
  <si>
    <t>bifenyl-ol</t>
  </si>
  <si>
    <t>4-n-butoxyfenol</t>
  </si>
  <si>
    <t>butylcyclohexanol</t>
  </si>
  <si>
    <t>butyldifenylether</t>
  </si>
  <si>
    <t>t-butylfenol</t>
  </si>
  <si>
    <t>butylfenoxyethanol</t>
  </si>
  <si>
    <t>butylmethylfenol</t>
  </si>
  <si>
    <t>cyclohexylmethylfenol</t>
  </si>
  <si>
    <t>decylfenol</t>
  </si>
  <si>
    <t>27157-66-0</t>
  </si>
  <si>
    <t>diacetoxybenzeen</t>
  </si>
  <si>
    <t>dibenzylether</t>
  </si>
  <si>
    <t>103-50-4</t>
  </si>
  <si>
    <t>dibutoxybenzeen</t>
  </si>
  <si>
    <t>di-t-butylfenol</t>
  </si>
  <si>
    <t>di-t-butyl-p-methylfenol</t>
  </si>
  <si>
    <t>dicyclohexylether</t>
  </si>
  <si>
    <t>4645-15-2</t>
  </si>
  <si>
    <t>diethoxybenzeen</t>
  </si>
  <si>
    <t>diethylfenylether</t>
  </si>
  <si>
    <t>difenylether</t>
  </si>
  <si>
    <t>dihydromethoxypyraan</t>
  </si>
  <si>
    <t>dimethoxybenzeen</t>
  </si>
  <si>
    <t>dimethylbenzylether</t>
  </si>
  <si>
    <t>dimethylcyclohexanol</t>
  </si>
  <si>
    <t>1333-45-5</t>
  </si>
  <si>
    <t>dimethylfenylether</t>
  </si>
  <si>
    <t>ethylbenzylether</t>
  </si>
  <si>
    <t>539-30-0</t>
  </si>
  <si>
    <t>ethylcyclohexanol</t>
  </si>
  <si>
    <t>ethylfenol</t>
  </si>
  <si>
    <t>25429-37-2</t>
  </si>
  <si>
    <t>ethylmethoxybenzeen</t>
  </si>
  <si>
    <t>ethylmethylcyclohexanol</t>
  </si>
  <si>
    <t>32296-45-0</t>
  </si>
  <si>
    <t>ethylmethylfenol</t>
  </si>
  <si>
    <t>fenoxyfenol</t>
  </si>
  <si>
    <t>fenylpropanol</t>
  </si>
  <si>
    <t>1335-12-2</t>
  </si>
  <si>
    <t>heptylfenol</t>
  </si>
  <si>
    <t>26997-02-4</t>
  </si>
  <si>
    <t>hexylfenol</t>
  </si>
  <si>
    <t>hexyloxyfenol</t>
  </si>
  <si>
    <t>18979-55-0</t>
  </si>
  <si>
    <t>hydroxyfluoreen</t>
  </si>
  <si>
    <t>1689-64-1</t>
  </si>
  <si>
    <t>isobutylmethoxyfenol</t>
  </si>
  <si>
    <t>93840-92-7</t>
  </si>
  <si>
    <t>isopropylfenylpropanol</t>
  </si>
  <si>
    <t>methoxybenzeen</t>
  </si>
  <si>
    <t>methoxyfenol</t>
  </si>
  <si>
    <t>26638-03-9</t>
  </si>
  <si>
    <t>methoxyfenylethaan</t>
  </si>
  <si>
    <t>3558-60-9</t>
  </si>
  <si>
    <t>methylbenzeenmethanol</t>
  </si>
  <si>
    <t>methylfenol</t>
  </si>
  <si>
    <t>1319-77-3</t>
  </si>
  <si>
    <t>methylfenoxybenzeen</t>
  </si>
  <si>
    <t>3586-14-9</t>
  </si>
  <si>
    <t>methylfenyloxyethanol</t>
  </si>
  <si>
    <t>15149-10-7</t>
  </si>
  <si>
    <t>methylmethoxybenzeen</t>
  </si>
  <si>
    <t>propoxyfenol</t>
  </si>
  <si>
    <t>trimethylcyclohexanol</t>
  </si>
  <si>
    <t>1321-60-4</t>
  </si>
  <si>
    <t>trimethylfenol</t>
  </si>
  <si>
    <t>26998-80-1</t>
  </si>
  <si>
    <t>vinylbenzylalcohol</t>
  </si>
  <si>
    <t>42273-76-7</t>
  </si>
  <si>
    <t>chloorbenzeenethanol</t>
  </si>
  <si>
    <t>1004-99-5</t>
  </si>
  <si>
    <t>chloorcyclohexanol</t>
  </si>
  <si>
    <t>chloordifenylether</t>
  </si>
  <si>
    <t>chloordimethoxybenzeen</t>
  </si>
  <si>
    <t>dichloorbenzeenmethanol</t>
  </si>
  <si>
    <t>dichloormethoxybenzeen</t>
  </si>
  <si>
    <t>tetrachloormethylfenol</t>
  </si>
  <si>
    <t>trichloormethoxybenzeen</t>
  </si>
  <si>
    <t>53452-80-5</t>
  </si>
  <si>
    <t>trichloormethylfenol</t>
  </si>
  <si>
    <t>551-76-8</t>
  </si>
  <si>
    <t>ethoxynitrobenzeen</t>
  </si>
  <si>
    <t>methoxyfenylhydrazine</t>
  </si>
  <si>
    <t>3471-32-7</t>
  </si>
  <si>
    <t>methoxynitrobenzeen</t>
  </si>
  <si>
    <t>methoxynitromethylbenzeen</t>
  </si>
  <si>
    <t>nitromethylfenol</t>
  </si>
  <si>
    <t>benzofuraan</t>
  </si>
  <si>
    <t>271-89-6</t>
  </si>
  <si>
    <t>diacetonglucose</t>
  </si>
  <si>
    <t>582-52-5</t>
  </si>
  <si>
    <t>dibenzofuraan</t>
  </si>
  <si>
    <t>dimethylbenzofuranose</t>
  </si>
  <si>
    <t>di-o-propylideen-1-sorbofuranose</t>
  </si>
  <si>
    <t>ethyldioxolaan</t>
  </si>
  <si>
    <t>methylbenzofuraan</t>
  </si>
  <si>
    <t>methyldioxolaan</t>
  </si>
  <si>
    <t>497-26-7</t>
  </si>
  <si>
    <t>propenyldioxolaan</t>
  </si>
  <si>
    <t>4528-26-1</t>
  </si>
  <si>
    <t>pyraan</t>
  </si>
  <si>
    <t>trimethyldioxolaan</t>
  </si>
  <si>
    <t>trimethyltrioxaan</t>
  </si>
  <si>
    <t>trioxaan</t>
  </si>
  <si>
    <t>n-butanal</t>
  </si>
  <si>
    <t>diisobutylketon</t>
  </si>
  <si>
    <t>heptanon</t>
  </si>
  <si>
    <t>hexanon</t>
  </si>
  <si>
    <t>30637-87-7</t>
  </si>
  <si>
    <t>nonanon</t>
  </si>
  <si>
    <t>octanon</t>
  </si>
  <si>
    <t>27457-18-7</t>
  </si>
  <si>
    <t>pentanal</t>
  </si>
  <si>
    <t>pentanon</t>
  </si>
  <si>
    <t>27154-67-2</t>
  </si>
  <si>
    <t>trichloorpropanon</t>
  </si>
  <si>
    <t>3-allylsalicylaldehyde</t>
  </si>
  <si>
    <t>24019-66-7</t>
  </si>
  <si>
    <t>4-n-butylacetofenon</t>
  </si>
  <si>
    <t>37920-25-5</t>
  </si>
  <si>
    <t>butylcyclohexanon</t>
  </si>
  <si>
    <t>cyclopentanon</t>
  </si>
  <si>
    <t>120-92-3</t>
  </si>
  <si>
    <t>dibutylbenzochinon</t>
  </si>
  <si>
    <t>dibutylhydroxybenzaldehyd</t>
  </si>
  <si>
    <t>1620-98-0</t>
  </si>
  <si>
    <t>diethylmethylcyclopenteenethanon</t>
  </si>
  <si>
    <t>dihydroxy-acetofenon</t>
  </si>
  <si>
    <t>28604-78-6</t>
  </si>
  <si>
    <t>dimethylbenzaldehyde</t>
  </si>
  <si>
    <t>28351-09-9</t>
  </si>
  <si>
    <t>dimethylbenzofuranon</t>
  </si>
  <si>
    <t>dimethylcyclohexanon</t>
  </si>
  <si>
    <t>1333-44-4</t>
  </si>
  <si>
    <t>dimethylethylacetofenon</t>
  </si>
  <si>
    <t>ethylbenzaldehyd</t>
  </si>
  <si>
    <t>ethylcyclohexanon</t>
  </si>
  <si>
    <t>ethylmethylcyclohexanon</t>
  </si>
  <si>
    <t>fluorenon</t>
  </si>
  <si>
    <t>hydroxybenzofenon</t>
  </si>
  <si>
    <t>indanon</t>
  </si>
  <si>
    <t>56049-88-8</t>
  </si>
  <si>
    <t>isopropylacetofenon</t>
  </si>
  <si>
    <t>methylcyclohexanon</t>
  </si>
  <si>
    <t>1331-22-2</t>
  </si>
  <si>
    <t>methylcyclopentanon</t>
  </si>
  <si>
    <t>trimethylcyclobutanon</t>
  </si>
  <si>
    <t>1449-49-6</t>
  </si>
  <si>
    <t>trimethylcyclohexanon</t>
  </si>
  <si>
    <t>3,5,5-trimethyl-2-cyclohexen-1-on</t>
  </si>
  <si>
    <t>trimethyldihydronaftalenon</t>
  </si>
  <si>
    <t>chloorbenzaldehyd</t>
  </si>
  <si>
    <t>dichlooracetofenon</t>
  </si>
  <si>
    <t>dichlooranthrachinon</t>
  </si>
  <si>
    <t>dichloorfenylethanon</t>
  </si>
  <si>
    <t>ÿ2648-61-5</t>
  </si>
  <si>
    <t>1-aminoanthrachinon</t>
  </si>
  <si>
    <t>82-45-1</t>
  </si>
  <si>
    <t>amino-fenylbutanon</t>
  </si>
  <si>
    <t>bis (dimethylamino)benzofenon</t>
  </si>
  <si>
    <t>chinazolinon</t>
  </si>
  <si>
    <t>72-44-6</t>
  </si>
  <si>
    <t>dihydropyrazolon</t>
  </si>
  <si>
    <t>ditoluidineketon</t>
  </si>
  <si>
    <t>methylindazolon</t>
  </si>
  <si>
    <t>nitroacetofenon</t>
  </si>
  <si>
    <t>n-butaanzuur</t>
  </si>
  <si>
    <t>butylbutanoaat</t>
  </si>
  <si>
    <t>109-21-7</t>
  </si>
  <si>
    <t>n-butylpropanoaat</t>
  </si>
  <si>
    <t>590-01-2</t>
  </si>
  <si>
    <t>dibutylfumaraat</t>
  </si>
  <si>
    <t>105-75-9</t>
  </si>
  <si>
    <t>dimethyldipropylmalonaat</t>
  </si>
  <si>
    <t>dimethylethylpropanoaat</t>
  </si>
  <si>
    <t>20487-40-5</t>
  </si>
  <si>
    <t>ethaanzuur</t>
  </si>
  <si>
    <t>ethyldodecanoaat</t>
  </si>
  <si>
    <t>106-33-2</t>
  </si>
  <si>
    <t>ethylhexadecanoaat</t>
  </si>
  <si>
    <t>628-97-7</t>
  </si>
  <si>
    <t>ethyloctadecanoaat</t>
  </si>
  <si>
    <t>111-61-5</t>
  </si>
  <si>
    <t>ethyl-2-pentenoaat</t>
  </si>
  <si>
    <t>2445-93-4</t>
  </si>
  <si>
    <t>ethyltetradecanoaat</t>
  </si>
  <si>
    <t>124-06-1</t>
  </si>
  <si>
    <t>pentaanzuur</t>
  </si>
  <si>
    <t>propaanzuur</t>
  </si>
  <si>
    <t>benzoëzuur</t>
  </si>
  <si>
    <t>4-n-butylbenzoaat</t>
  </si>
  <si>
    <t>136-60-7</t>
  </si>
  <si>
    <t>4-n-butylbenzoëzuur</t>
  </si>
  <si>
    <t>20651-71-2</t>
  </si>
  <si>
    <t>butylbenzylftalaat</t>
  </si>
  <si>
    <t>di(2-ethylhexyl)ftalaat</t>
  </si>
  <si>
    <t>di(n-octyl)ftalaat</t>
  </si>
  <si>
    <t>ethylbenzeenethanoaat</t>
  </si>
  <si>
    <t>ethylbenzoaat</t>
  </si>
  <si>
    <t>93-89-0</t>
  </si>
  <si>
    <t>ethyldimethylbenzeenethanoaat</t>
  </si>
  <si>
    <t>ethylmethylbenzeenethanoaat</t>
  </si>
  <si>
    <t>hydroxybenzoëzuur</t>
  </si>
  <si>
    <t>29656-58-4</t>
  </si>
  <si>
    <t>hydroxymethylbenzoëzuur</t>
  </si>
  <si>
    <t>isobutylbenzoaat</t>
  </si>
  <si>
    <t>120-50-3</t>
  </si>
  <si>
    <t>isopropylsalicylaat</t>
  </si>
  <si>
    <t>607-85-2</t>
  </si>
  <si>
    <t>methoxybenzoëzuur</t>
  </si>
  <si>
    <t>1335-08-6</t>
  </si>
  <si>
    <t>methylbenzoaat</t>
  </si>
  <si>
    <t>93-58-3</t>
  </si>
  <si>
    <t>methylfenoxy-ethylpropionaat</t>
  </si>
  <si>
    <t>methylsalicylaat</t>
  </si>
  <si>
    <t>119-36-8</t>
  </si>
  <si>
    <t>chloorfenoxyethylbutyraat</t>
  </si>
  <si>
    <t>37483-53-7</t>
  </si>
  <si>
    <t>chloorfenoxyethylpropionaat</t>
  </si>
  <si>
    <t>Gentisinezuur</t>
  </si>
  <si>
    <t>dichloorbenzalchloride</t>
  </si>
  <si>
    <t>81-19-6</t>
  </si>
  <si>
    <t>dichloormethylbenzoaat</t>
  </si>
  <si>
    <t>diethylpentaanamine</t>
  </si>
  <si>
    <t>N,N-dimethylpentaanamine</t>
  </si>
  <si>
    <t>26153-88-8</t>
  </si>
  <si>
    <t>N,N-dipropylpropaanamine</t>
  </si>
  <si>
    <t>N-ethylheptaanamine</t>
  </si>
  <si>
    <t>66793-76-8</t>
  </si>
  <si>
    <t>ethylmethylpentaanamine</t>
  </si>
  <si>
    <t>67953-05-3</t>
  </si>
  <si>
    <t>N-ethylpentaanamine</t>
  </si>
  <si>
    <t>17839-26-8</t>
  </si>
  <si>
    <t>hexaanamine</t>
  </si>
  <si>
    <t>111-26-2</t>
  </si>
  <si>
    <t>N-methyleen-etheenamine</t>
  </si>
  <si>
    <t>38239-27-9</t>
  </si>
  <si>
    <t>methylheptaanamine</t>
  </si>
  <si>
    <t>693-16-3</t>
  </si>
  <si>
    <t>pentaanamine</t>
  </si>
  <si>
    <t>propylhexaanamine</t>
  </si>
  <si>
    <t>55327-20-3</t>
  </si>
  <si>
    <t>tri-N-butylamine</t>
  </si>
  <si>
    <t>N-acetyl,N-ethylaniline</t>
  </si>
  <si>
    <t>dibutyltoluidine</t>
  </si>
  <si>
    <t>dicyclohexylamine</t>
  </si>
  <si>
    <t>101-83-7</t>
  </si>
  <si>
    <t>diethoxyaniline</t>
  </si>
  <si>
    <t>diethyltoluidine</t>
  </si>
  <si>
    <t>24544-08-9</t>
  </si>
  <si>
    <t>diethylxylidine</t>
  </si>
  <si>
    <t>3995-37-7</t>
  </si>
  <si>
    <t>dimethyltoluidine</t>
  </si>
  <si>
    <t>N-ethyl-N-benzylaniline</t>
  </si>
  <si>
    <t>92-59-1</t>
  </si>
  <si>
    <t>ethylcyclohexaanamine</t>
  </si>
  <si>
    <t>5459-93-8</t>
  </si>
  <si>
    <t>N-ethyl-ethylaniline</t>
  </si>
  <si>
    <t>N-ethyltoluidine</t>
  </si>
  <si>
    <t>fenyl-oxo-fenylamine</t>
  </si>
  <si>
    <t>isobutyltoluidine</t>
  </si>
  <si>
    <t>isopropyldifenylamine</t>
  </si>
  <si>
    <t>2-10-5650</t>
  </si>
  <si>
    <t>methoxyaniline</t>
  </si>
  <si>
    <t>N-methylaniline</t>
  </si>
  <si>
    <t>methylbenzylanilinenaftylamine</t>
  </si>
  <si>
    <t>pentylaniline</t>
  </si>
  <si>
    <t>2655-27-8</t>
  </si>
  <si>
    <t>pentyltoluidine</t>
  </si>
  <si>
    <t>chloordiaminediethyltriazine</t>
  </si>
  <si>
    <t>chloornitro-aniline</t>
  </si>
  <si>
    <t>dichloornitro-aniline</t>
  </si>
  <si>
    <t>dichloortoluidine</t>
  </si>
  <si>
    <t>dimethoxychlooraniline</t>
  </si>
  <si>
    <t>trifluormethylaniline</t>
  </si>
  <si>
    <t>amino-ethyldibenzopyrrole</t>
  </si>
  <si>
    <t>dimethylnitro-aniline</t>
  </si>
  <si>
    <t>nitroaniline</t>
  </si>
  <si>
    <t>29757-24-2</t>
  </si>
  <si>
    <t>nitrotoluidine</t>
  </si>
  <si>
    <t>n-butylamide</t>
  </si>
  <si>
    <t>dibutylformamide</t>
  </si>
  <si>
    <t>N,N-dimethylaceetamide</t>
  </si>
  <si>
    <t>hexaanamide</t>
  </si>
  <si>
    <t>628-02-4</t>
  </si>
  <si>
    <t>dimethyl (methoxyfenyl)formamide</t>
  </si>
  <si>
    <t>fenyl-benzamide</t>
  </si>
  <si>
    <t>93-98-1</t>
  </si>
  <si>
    <t>N-butylmethylbenzamide</t>
  </si>
  <si>
    <t>N-ethyl-N-fenylacetamide</t>
  </si>
  <si>
    <t>529-65-7</t>
  </si>
  <si>
    <t>N-methyl-N-fenylacetamide</t>
  </si>
  <si>
    <t>579-10-2</t>
  </si>
  <si>
    <t>N-methyl-N-fenylformamide</t>
  </si>
  <si>
    <t>93-61-8</t>
  </si>
  <si>
    <t>2-chloor-N-(2-ethyl-6-methylfenyl)-N-(2-methoxy-1-methylethyl)acetamide</t>
  </si>
  <si>
    <t>amino(methylethyl)benzamide</t>
  </si>
  <si>
    <t>diazine diylbisacetamide</t>
  </si>
  <si>
    <t>methylhexaannitril</t>
  </si>
  <si>
    <t>19424-34-1</t>
  </si>
  <si>
    <t>nonaannitril</t>
  </si>
  <si>
    <t>2243-27-8</t>
  </si>
  <si>
    <t>methylbenzonitril</t>
  </si>
  <si>
    <t>25550-22-5</t>
  </si>
  <si>
    <t>dichloorbenzonitril</t>
  </si>
  <si>
    <t>benzothiofeen</t>
  </si>
  <si>
    <t>11095-43-5</t>
  </si>
  <si>
    <t>4-n-butylbenzeensulfonaat</t>
  </si>
  <si>
    <t>butylthiofenol</t>
  </si>
  <si>
    <t>diethyldisulfide</t>
  </si>
  <si>
    <t>110-81-6</t>
  </si>
  <si>
    <t>diethylpentylfosfaat</t>
  </si>
  <si>
    <t>20195-08-8</t>
  </si>
  <si>
    <t>diethylsulfide</t>
  </si>
  <si>
    <t>352-93-2</t>
  </si>
  <si>
    <t>diethyltrisulfide</t>
  </si>
  <si>
    <t>3600-24-6</t>
  </si>
  <si>
    <t>ditolylsulfon</t>
  </si>
  <si>
    <t>599-66-6</t>
  </si>
  <si>
    <t>ethylhexyldifenylfosfaat</t>
  </si>
  <si>
    <t>ethylmethylsulfide</t>
  </si>
  <si>
    <t>624-89-5</t>
  </si>
  <si>
    <t>ethylmethylthia-indeen</t>
  </si>
  <si>
    <t>4-t-butyl-2-methylthiofenol</t>
  </si>
  <si>
    <t>15570-10-2</t>
  </si>
  <si>
    <t>methylethyldisulfide</t>
  </si>
  <si>
    <t>20333-39-5</t>
  </si>
  <si>
    <t>methylethyltrisulfide</t>
  </si>
  <si>
    <t>31499-71-5</t>
  </si>
  <si>
    <t>trifenylethanolfosfaat</t>
  </si>
  <si>
    <t>trifenylfosfine-oxide</t>
  </si>
  <si>
    <t>trimethyldisulfide</t>
  </si>
  <si>
    <t>trimethylthiothiofosfaat</t>
  </si>
  <si>
    <t>trimethyltrisulfide</t>
  </si>
  <si>
    <t>2404-55-9</t>
  </si>
  <si>
    <t>tripropylfosfaat</t>
  </si>
  <si>
    <t>513-08-6</t>
  </si>
  <si>
    <t>benzeensulfonylchloride</t>
  </si>
  <si>
    <t>98-09-9</t>
  </si>
  <si>
    <t>N-butylbenzeensulfonamide</t>
  </si>
  <si>
    <t>fenylisothiocyanaat</t>
  </si>
  <si>
    <t>103-72-0</t>
  </si>
  <si>
    <t>thiomethylbenzothiazol</t>
  </si>
  <si>
    <t>trimethylbenzothiazol</t>
  </si>
  <si>
    <t>trans 1,3 dichloorpropeen</t>
  </si>
  <si>
    <t>cis 1,2-dibroometheen</t>
  </si>
  <si>
    <t>590-12-5</t>
  </si>
  <si>
    <t>2-chloorpropeen</t>
  </si>
  <si>
    <t>557-98-2</t>
  </si>
  <si>
    <t>tetrachloororthoftaalzuur</t>
  </si>
  <si>
    <t>nitrilo triethaanzuur(NTA)</t>
  </si>
  <si>
    <t>ethyleendiaminetetra-azijnzuur</t>
  </si>
  <si>
    <t>dodeceen</t>
  </si>
  <si>
    <t>25378-22-7</t>
  </si>
  <si>
    <t>hexadieen</t>
  </si>
  <si>
    <t>42296-74-2</t>
  </si>
  <si>
    <t>iso-propylbenzeen</t>
  </si>
  <si>
    <t>n-propylbenzeen</t>
  </si>
  <si>
    <t>1,3,5-tri-isopropylbenzeen</t>
  </si>
  <si>
    <t>717-74-8</t>
  </si>
  <si>
    <t>methylacenaftyleen</t>
  </si>
  <si>
    <t>58548-38-2</t>
  </si>
  <si>
    <t>methoxybutanol</t>
  </si>
  <si>
    <t>c4-cyclohexanol</t>
  </si>
  <si>
    <t>ethoxypropoxyethanol</t>
  </si>
  <si>
    <t>1-octyn-4-ol</t>
  </si>
  <si>
    <t>52517-92-7</t>
  </si>
  <si>
    <t>decanal</t>
  </si>
  <si>
    <t>112-81-2</t>
  </si>
  <si>
    <t>hexaandion</t>
  </si>
  <si>
    <t>82056-15-3</t>
  </si>
  <si>
    <t>oktanal</t>
  </si>
  <si>
    <t>methylpentanon</t>
  </si>
  <si>
    <t>tetramethylpentanon</t>
  </si>
  <si>
    <t>815-24-7</t>
  </si>
  <si>
    <t>dihydro-indeen-on</t>
  </si>
  <si>
    <t>dihydro-dimethylindol-on</t>
  </si>
  <si>
    <t>t-butoxymetoxymethaan</t>
  </si>
  <si>
    <t>dimethoxybutaan</t>
  </si>
  <si>
    <t>methoxymethylpropaan</t>
  </si>
  <si>
    <t>ethoxybutaan</t>
  </si>
  <si>
    <t>oktaanzuur</t>
  </si>
  <si>
    <t>hydroxybutylmethanoaat</t>
  </si>
  <si>
    <t>trimethyl(hydroxymethylpropyl)propanoaat</t>
  </si>
  <si>
    <t>ethylcitraat</t>
  </si>
  <si>
    <t>trimethylcitraat</t>
  </si>
  <si>
    <t>1587-20-8</t>
  </si>
  <si>
    <t>1-chloorpentaan</t>
  </si>
  <si>
    <t>543-59-9</t>
  </si>
  <si>
    <t>coroneen</t>
  </si>
  <si>
    <t>191-07-1</t>
  </si>
  <si>
    <t>anthranilzuur</t>
  </si>
  <si>
    <t>118-92-3</t>
  </si>
  <si>
    <t>dimethylbenzeenethanol</t>
  </si>
  <si>
    <t>dimethylbenzeenmethanol</t>
  </si>
  <si>
    <t>617-94-7</t>
  </si>
  <si>
    <t>benzofuranon</t>
  </si>
  <si>
    <t>1-fenyl-2,4-hexadiyn-1-one, (9CI)</t>
  </si>
  <si>
    <t>ditolylether</t>
  </si>
  <si>
    <t>28299-41-4</t>
  </si>
  <si>
    <t>1-(methoxyethoxy)benzeen</t>
  </si>
  <si>
    <t>4013-34-7</t>
  </si>
  <si>
    <t>dimethyl-methylbenzoaat</t>
  </si>
  <si>
    <t>benzopyranon</t>
  </si>
  <si>
    <t>dihydro4H1-benzopyran4on</t>
  </si>
  <si>
    <t>n-butylacetamide</t>
  </si>
  <si>
    <t>1119-49-9</t>
  </si>
  <si>
    <t>n-butylformamide</t>
  </si>
  <si>
    <t>871-71-6</t>
  </si>
  <si>
    <t>nitropropaan</t>
  </si>
  <si>
    <t>25322-01-4</t>
  </si>
  <si>
    <t>pentaandieennitril</t>
  </si>
  <si>
    <t>1615-70-9</t>
  </si>
  <si>
    <t>trimethyltridecatrieennitril</t>
  </si>
  <si>
    <t>5-1-6006</t>
  </si>
  <si>
    <t>tetramethylpiperidion</t>
  </si>
  <si>
    <t>diethylindolenine</t>
  </si>
  <si>
    <t>methylpyrrolipyridine</t>
  </si>
  <si>
    <t>naftylamine</t>
  </si>
  <si>
    <t>25168-10-9</t>
  </si>
  <si>
    <t>nitrobenzeen-ethanol</t>
  </si>
  <si>
    <t>2-amino-3-hydroxybenzoëzuur</t>
  </si>
  <si>
    <t>548-93-6</t>
  </si>
  <si>
    <t>7(H)-pteridinon</t>
  </si>
  <si>
    <t>chloortoluidine</t>
  </si>
  <si>
    <t>N-ethylaniline</t>
  </si>
  <si>
    <t>methylbenzylaniline</t>
  </si>
  <si>
    <t>614-30-2</t>
  </si>
  <si>
    <t>trichloordipropylether</t>
  </si>
  <si>
    <t>1-chloor-dodecaan</t>
  </si>
  <si>
    <t>112-52-7</t>
  </si>
  <si>
    <t>butylchloormethylbenzeen</t>
  </si>
  <si>
    <t>36078-54-3</t>
  </si>
  <si>
    <t>chloormethylpyridine</t>
  </si>
  <si>
    <t>2,4-dichloormethylbenzeen</t>
  </si>
  <si>
    <t>95-73-8</t>
  </si>
  <si>
    <t>trifluorchloormethylbenzeen</t>
  </si>
  <si>
    <t>705-29-3</t>
  </si>
  <si>
    <t>trifluormethylbenzeen</t>
  </si>
  <si>
    <t>98-08-8</t>
  </si>
  <si>
    <t>diethylfosfaat</t>
  </si>
  <si>
    <t>598-02-7</t>
  </si>
  <si>
    <t>tributylethanolfosfaat</t>
  </si>
  <si>
    <t>tris(ethylhexyl)fosfaat</t>
  </si>
  <si>
    <t>trichloorethylfosfaat</t>
  </si>
  <si>
    <t>306-52-5</t>
  </si>
  <si>
    <t>o-terfenyl</t>
  </si>
  <si>
    <t>84-15-1</t>
  </si>
  <si>
    <t>dibutyldimethyldicyclohexanon</t>
  </si>
  <si>
    <t>dicyclopentaandion</t>
  </si>
  <si>
    <t>diisobutylcarbinol</t>
  </si>
  <si>
    <t>dioxaandimethanol</t>
  </si>
  <si>
    <t>6228-25-7</t>
  </si>
  <si>
    <t>methoxyhexanon</t>
  </si>
  <si>
    <t>29006-00-6</t>
  </si>
  <si>
    <t>octenon</t>
  </si>
  <si>
    <t>4312-99-6</t>
  </si>
  <si>
    <t>benzoyl oxyfenylethanon</t>
  </si>
  <si>
    <t>butyltoluoxyethanol</t>
  </si>
  <si>
    <t>cholestadienol</t>
  </si>
  <si>
    <t>dihydroabietal</t>
  </si>
  <si>
    <t>di(HydroxyisoPro)benzeen</t>
  </si>
  <si>
    <t>ethylhexyldifenylftalaat</t>
  </si>
  <si>
    <t>ethylhydroxytoluaat</t>
  </si>
  <si>
    <t>methylhydroxytoluaat</t>
  </si>
  <si>
    <t>63027-59-8</t>
  </si>
  <si>
    <t>trimethyl-a-d-xylofuranoside</t>
  </si>
  <si>
    <t>valerylfuraan</t>
  </si>
  <si>
    <t>3194-17-0</t>
  </si>
  <si>
    <t>xantheen</t>
  </si>
  <si>
    <t>92-83-1</t>
  </si>
  <si>
    <t>cumylfenol</t>
  </si>
  <si>
    <t>broomfenylisothiazool</t>
  </si>
  <si>
    <t>cyanobenzyloxyethaan</t>
  </si>
  <si>
    <t>dihydro 1H purinedion</t>
  </si>
  <si>
    <t>dimethylnaftothiofenol</t>
  </si>
  <si>
    <t>naftylisocyanide</t>
  </si>
  <si>
    <t>9-4-1984</t>
  </si>
  <si>
    <t>decamethylcyclopentasiloxaan</t>
  </si>
  <si>
    <t>541-02-6</t>
  </si>
  <si>
    <t>hexamethylcyclotrisiloxaan</t>
  </si>
  <si>
    <t>541-05-9</t>
  </si>
  <si>
    <t>octamethylcyclotrisiloxaan</t>
  </si>
  <si>
    <t>3-chloor-4-(dichloormethyl)-5-hydroxy-2(5H)-furanon</t>
  </si>
  <si>
    <t>77439-76-0</t>
  </si>
  <si>
    <t>dipalmityldimethylamoniumchloride (TDMAC)</t>
  </si>
  <si>
    <t>1812-53-9</t>
  </si>
  <si>
    <t>1,2-dichloor-4-nitrobenzeen</t>
  </si>
  <si>
    <t>2-methyl-2-pentanol</t>
  </si>
  <si>
    <t>590-36-3</t>
  </si>
  <si>
    <t>2,3-dimethyl-3-pentanol</t>
  </si>
  <si>
    <t>600-36-2</t>
  </si>
  <si>
    <t>1-methoxy-2-propylacetaat</t>
  </si>
  <si>
    <t>2-ethyl-2-isobutyl-1,3-dioxolaan</t>
  </si>
  <si>
    <t>126-39-6</t>
  </si>
  <si>
    <t>trimethylbicycloheptan-2-ol</t>
  </si>
  <si>
    <t>dimethylethylcyclohexaan</t>
  </si>
  <si>
    <t>3178-22-1</t>
  </si>
  <si>
    <t>2-ethyl-2-methyloxiraan</t>
  </si>
  <si>
    <t>30095-63-7</t>
  </si>
  <si>
    <t>1,1'-oxy-bis-(2-methoxy)ethaan</t>
  </si>
  <si>
    <t>70992-86-8</t>
  </si>
  <si>
    <t>trimethoxyethylbenzeen</t>
  </si>
  <si>
    <t>efedrine</t>
  </si>
  <si>
    <t>299-42-3</t>
  </si>
  <si>
    <t>2-methyl-3-butyn-2-ol</t>
  </si>
  <si>
    <t>115-19-5</t>
  </si>
  <si>
    <t>tetrachloorftaalzuuranhydride</t>
  </si>
  <si>
    <t>117-08-8</t>
  </si>
  <si>
    <t>trimethylcyclohexaan-1-methanol</t>
  </si>
  <si>
    <t>methyl(methylethyl)(1a,2b,5b)cyclohexenon</t>
  </si>
  <si>
    <t>1-(2-methoxy-1-methylethoxy)-2-propanol</t>
  </si>
  <si>
    <t>20324-32-7</t>
  </si>
  <si>
    <t>2-(1,1-dimethylethyl)cyclohexanon</t>
  </si>
  <si>
    <t>1728-46-7</t>
  </si>
  <si>
    <t>1-(2,4,6 trimethyl,fenyl)ethanon</t>
  </si>
  <si>
    <t>1667-01-2</t>
  </si>
  <si>
    <t>2,2-azobis(methyl)propaannitril</t>
  </si>
  <si>
    <t>78-67-1</t>
  </si>
  <si>
    <t>dichloor(a-methyl)benzeenmethanol</t>
  </si>
  <si>
    <t>dihydromethylindeenmethanol</t>
  </si>
  <si>
    <t>dimethylpropanoaatoctenol</t>
  </si>
  <si>
    <t>trimethylpentadiol-di-isobutyraat</t>
  </si>
  <si>
    <t>3,4 dihydro-2-methoxy-2H-pyraan</t>
  </si>
  <si>
    <t>1-5-4454</t>
  </si>
  <si>
    <t>tetraisobuteen</t>
  </si>
  <si>
    <t>15220-85-6</t>
  </si>
  <si>
    <t>triisobuteen</t>
  </si>
  <si>
    <t>7756-94-7</t>
  </si>
  <si>
    <t>talofuranose</t>
  </si>
  <si>
    <t>36978-43-5</t>
  </si>
  <si>
    <t>1-(1-methyl-2-(2-propenyloxy)ethoxy)-2-propanol</t>
  </si>
  <si>
    <t>55956-25-7</t>
  </si>
  <si>
    <t>4-(1,1-dimethylethyl)cyclohexanon)</t>
  </si>
  <si>
    <t>didecylftalaat</t>
  </si>
  <si>
    <t>ÿ84-77-5</t>
  </si>
  <si>
    <t>anthanthreen</t>
  </si>
  <si>
    <t>191-26-4</t>
  </si>
  <si>
    <t>1-methyl-4-isopropylbenzeen</t>
  </si>
  <si>
    <t>bis(2-chloor-isopropyl)ether</t>
  </si>
  <si>
    <t>39638-32-9</t>
  </si>
  <si>
    <t>bis(2-chloor-propyl)ether</t>
  </si>
  <si>
    <t>54460-96-7</t>
  </si>
  <si>
    <t>monochloorazijnzuur</t>
  </si>
  <si>
    <t>monobroomazijnzuur</t>
  </si>
  <si>
    <t>chloordibroomazijnzuur</t>
  </si>
  <si>
    <t>2,3-dichloor-1-propeen</t>
  </si>
  <si>
    <t>para-tolueensulfonamide</t>
  </si>
  <si>
    <t>2-butenal</t>
  </si>
  <si>
    <t>N-nitrosodifenylamine</t>
  </si>
  <si>
    <t>2,6-dinitromethylbenzeen</t>
  </si>
  <si>
    <t>2,3-dimethylpyrazine</t>
  </si>
  <si>
    <t>5910-89-4</t>
  </si>
  <si>
    <t>2,5-dimethylpyrazine</t>
  </si>
  <si>
    <t>123-32-0</t>
  </si>
  <si>
    <t>ng/l</t>
  </si>
  <si>
    <t>geosmine</t>
  </si>
  <si>
    <t>16423-19-1</t>
  </si>
  <si>
    <t>2-methylisoborneol</t>
  </si>
  <si>
    <t>2371-42-8</t>
  </si>
  <si>
    <t>4,5-dimethyleenfenanthreen</t>
  </si>
  <si>
    <t>3674-69-9</t>
  </si>
  <si>
    <t>2-(4-chloorfenoxy)-2-methylpropionzuur</t>
  </si>
  <si>
    <t>882-89-7</t>
  </si>
  <si>
    <t>1,2-dibroometheen</t>
  </si>
  <si>
    <t>25429-23-6</t>
  </si>
  <si>
    <t>1,1,2-tribroometheen</t>
  </si>
  <si>
    <t>598-16-3</t>
  </si>
  <si>
    <t>t-butylbenzeen</t>
  </si>
  <si>
    <t>4-n-nonylfenol</t>
  </si>
  <si>
    <t>68152-92-1</t>
  </si>
  <si>
    <t>hydrochinon</t>
  </si>
  <si>
    <t>di-ethyleentriaminepenta-azijnzuur</t>
  </si>
  <si>
    <t>fluroglycofen-ethyl</t>
  </si>
  <si>
    <t>2-methylfenol</t>
  </si>
  <si>
    <t>4-methylfenol</t>
  </si>
  <si>
    <t>8001-28-3</t>
  </si>
  <si>
    <t>dichloor-difluormethaan</t>
  </si>
  <si>
    <t>isobutylbenzeen</t>
  </si>
  <si>
    <t>PCB's (som)</t>
  </si>
  <si>
    <t>2,3+3,5-dimethylfenol</t>
  </si>
  <si>
    <t>tetra- en trichlooretheen (som)</t>
  </si>
  <si>
    <t>4-isopropylaniline</t>
  </si>
  <si>
    <t>2,4-dimethylaniline</t>
  </si>
  <si>
    <t>2,5-dimethylaniline</t>
  </si>
  <si>
    <t>2,3-dimethylaniline</t>
  </si>
  <si>
    <t>4-chloor-2-methylaniline</t>
  </si>
  <si>
    <t>2-(fenylsulfon)aniline</t>
  </si>
  <si>
    <t>1,3- en 1,4-dimethylbenzeen (som)</t>
  </si>
  <si>
    <t>hexachloorcyclopentadieen</t>
  </si>
  <si>
    <t>mg/kg chem.</t>
  </si>
  <si>
    <t>sec. alifatische amines</t>
  </si>
  <si>
    <t>methyl-tertiair-butylether (MTBE)</t>
  </si>
  <si>
    <t>1634-04-4</t>
  </si>
  <si>
    <t>N,N-dimethylbenzylaniline</t>
  </si>
  <si>
    <t>o-anisidine</t>
  </si>
  <si>
    <t>4- en 5-chloor-2-methylaniline</t>
  </si>
  <si>
    <t>2,5- en 2,6-dimethylaniline</t>
  </si>
  <si>
    <t>2,4- en 2,5-dichlooraniline</t>
  </si>
  <si>
    <t>2- en 4-methylaniline</t>
  </si>
  <si>
    <t>2-(trifluormethyl)aniline</t>
  </si>
  <si>
    <t>2,5- en 3,5-dimethylaniline</t>
  </si>
  <si>
    <t>2,4- en 2,6-dimethylaniline</t>
  </si>
  <si>
    <t>lidoca‹ne</t>
  </si>
  <si>
    <t>4,4?sulfonyldifenol</t>
  </si>
  <si>
    <t>bis(4-chloorfenyl)sulfon</t>
  </si>
  <si>
    <t>80-07-9</t>
  </si>
  <si>
    <t>S-butylbenzeen</t>
  </si>
  <si>
    <t>3- en 4-methylfenol</t>
  </si>
  <si>
    <t>2,4- en 2,5-dichloorfenol</t>
  </si>
  <si>
    <t>2,4- en 2,5-dimethylfenol</t>
  </si>
  <si>
    <t>M-431</t>
  </si>
  <si>
    <t>4-octylfenol</t>
  </si>
  <si>
    <t>iso-nonylfenol</t>
  </si>
  <si>
    <t>11066-49-2</t>
  </si>
  <si>
    <t>bisfenol A</t>
  </si>
  <si>
    <t>estrone</t>
  </si>
  <si>
    <t>17alfa-ethinylestradiol</t>
  </si>
  <si>
    <t>77538-56-8</t>
  </si>
  <si>
    <t>tributyltin</t>
  </si>
  <si>
    <t>688-73-3</t>
  </si>
  <si>
    <t>o- en p-cresol</t>
  </si>
  <si>
    <t>pentylfenol</t>
  </si>
  <si>
    <t>1322-06-1</t>
  </si>
  <si>
    <t>octylfenol</t>
  </si>
  <si>
    <t>4-tert-octylfenol</t>
  </si>
  <si>
    <t>n-butylbenzeen</t>
  </si>
  <si>
    <t>dimethylketon</t>
  </si>
  <si>
    <t>methylethylketon</t>
  </si>
  <si>
    <t>surfynol 104</t>
  </si>
  <si>
    <t>1,3-diol-2,2-trimethylpentaan</t>
  </si>
  <si>
    <t>kamfer</t>
  </si>
  <si>
    <t>2-(2-propenyl)fenol</t>
  </si>
  <si>
    <t>2,6,6-trimethyl-2-cyclohexeen-1,4-dion</t>
  </si>
  <si>
    <t>111-02-4</t>
  </si>
  <si>
    <t>tris(2-chloorisopropyl)fosfaat</t>
  </si>
  <si>
    <t>tributyltin-cation</t>
  </si>
  <si>
    <t>4-chloor-2-nitro-aniline</t>
  </si>
  <si>
    <t>chloorpreen (2-Chloor-1,3-butadieen)</t>
  </si>
  <si>
    <t>3-chloorpropeen (allylchloride)</t>
  </si>
  <si>
    <t>2-chloor-4-methyl-aniline</t>
  </si>
  <si>
    <t>dichloorfluordifluorchloorethaan (freon 113)</t>
  </si>
  <si>
    <t>2,3,4,6- en 2,3,5,6-tetrachloorfenol</t>
  </si>
  <si>
    <t>octacosane</t>
  </si>
  <si>
    <t>octa-methyl-tetra-siloxaan</t>
  </si>
  <si>
    <t>cyaanuurzuurchloride</t>
  </si>
  <si>
    <t>3-chloor-2-methyl-aniline</t>
  </si>
  <si>
    <t>bis(2-methoxyethyl)ether (diglyme)</t>
  </si>
  <si>
    <t>hexa(methoxymethyl) melamine (HMMM)</t>
  </si>
  <si>
    <t>3089-11-0</t>
  </si>
  <si>
    <t>2,2-dimethoxybutaan</t>
  </si>
  <si>
    <t>3453-99-4</t>
  </si>
  <si>
    <t>1-(2-methoxypropoxy)-2-propanol</t>
  </si>
  <si>
    <t>1321-21-7</t>
  </si>
  <si>
    <t>penta(methoxymethyl)melamine (PMMM)</t>
  </si>
  <si>
    <t>4-chloor-3,5-dimethylfenol</t>
  </si>
  <si>
    <t>p-chloor-p'-hydroxybenzofenon</t>
  </si>
  <si>
    <t>N,N-diisobutylformamide</t>
  </si>
  <si>
    <t>2591-76-6</t>
  </si>
  <si>
    <t>urotropine</t>
  </si>
  <si>
    <t>2-ethyl-4-methyl-1,3-dioxolaan</t>
  </si>
  <si>
    <t>4359-46-0</t>
  </si>
  <si>
    <t>ethyl-tertiair-butylether</t>
  </si>
  <si>
    <t>2,2,4'-tribroomdifenylether</t>
  </si>
  <si>
    <t>N-methyl-N-benzolsulfonylglycine</t>
  </si>
  <si>
    <t>triethyleenglycoldimethylether</t>
  </si>
  <si>
    <t>3- en 4-ethylfenol</t>
  </si>
  <si>
    <t>2-(1,1-dimethyl-ethyl)-dimethyl-1-fenylaziridine</t>
  </si>
  <si>
    <t>benzotriazool</t>
  </si>
  <si>
    <t>5-methyl-1-H-benzotriazool</t>
  </si>
  <si>
    <t>docosaan</t>
  </si>
  <si>
    <t>629-97-0</t>
  </si>
  <si>
    <t>hexatriacontaan</t>
  </si>
  <si>
    <t>630-06-8</t>
  </si>
  <si>
    <t>hexacosaan</t>
  </si>
  <si>
    <t>630-01-3</t>
  </si>
  <si>
    <t>octatriacontaan</t>
  </si>
  <si>
    <t>7194-85-6</t>
  </si>
  <si>
    <t>eicosaan</t>
  </si>
  <si>
    <t>112-95-8</t>
  </si>
  <si>
    <t>dotriacontaan</t>
  </si>
  <si>
    <t>544-85-4</t>
  </si>
  <si>
    <t>tetracontaan</t>
  </si>
  <si>
    <t>4181-95-7</t>
  </si>
  <si>
    <t>tetracosaan</t>
  </si>
  <si>
    <t>646-31-1</t>
  </si>
  <si>
    <t>tetratriacontaan</t>
  </si>
  <si>
    <t>14167-59-0</t>
  </si>
  <si>
    <t>triacontaan</t>
  </si>
  <si>
    <t>638-68-6</t>
  </si>
  <si>
    <t>di-(2-methyl-propyl)ftalaat</t>
  </si>
  <si>
    <t>trifenyltin</t>
  </si>
  <si>
    <t>892-20-6</t>
  </si>
  <si>
    <t>tricyclohexyltin</t>
  </si>
  <si>
    <t>6056-50-4</t>
  </si>
  <si>
    <t>dibutyltin</t>
  </si>
  <si>
    <t>1002-53-5</t>
  </si>
  <si>
    <t>dicyclohexyltin</t>
  </si>
  <si>
    <t>7529-52-4</t>
  </si>
  <si>
    <t>difenyltin</t>
  </si>
  <si>
    <t>1011-95-6</t>
  </si>
  <si>
    <t>2-hydroxynaftaleen-3,6-disulfonaat, dinatriumzout</t>
  </si>
  <si>
    <t xml:space="preserve">135-51-3 </t>
  </si>
  <si>
    <t>trans-4,4-diamimostilben-2,2-disulfonaat</t>
  </si>
  <si>
    <t>7336-20-1</t>
  </si>
  <si>
    <t>4-methylbenzeensulfonaat</t>
  </si>
  <si>
    <t>70778-73-3</t>
  </si>
  <si>
    <t>4,4?-diamino-1,1?-bianthrachinon-3,3?-disulfonaat</t>
  </si>
  <si>
    <t>6022-22-6</t>
  </si>
  <si>
    <t>2-amino-5-methylbenzeensulfonaat</t>
  </si>
  <si>
    <t>88-44-8</t>
  </si>
  <si>
    <t>1-amino-4-bromo-9,10-dioxoanthracene-2-sulfonaat (natriumzout )</t>
  </si>
  <si>
    <t>6-6-6258</t>
  </si>
  <si>
    <t>1-amino-8-hydroxynaftaleen-2,4-disulfonzuur</t>
  </si>
  <si>
    <t>82-47-3</t>
  </si>
  <si>
    <t>1-naftol-8-amino-3,6-disulfonzuur</t>
  </si>
  <si>
    <t>90-20-0</t>
  </si>
  <si>
    <t>4-amino-1-naftaleensulfonzuur natriumzout (1:1)</t>
  </si>
  <si>
    <t>130-13-2</t>
  </si>
  <si>
    <t>8-amino-2-naftaleensulfonzuur natriumzout</t>
  </si>
  <si>
    <t>6322-37-8</t>
  </si>
  <si>
    <t>1-hydroxynaftaleen-3,6-disulfonaat</t>
  </si>
  <si>
    <t>79873-37-3</t>
  </si>
  <si>
    <t>1-hydroxynaftaleen-4-sulfonaat</t>
  </si>
  <si>
    <t>6099-57-6</t>
  </si>
  <si>
    <t>2-chloortolueen-4-sulfonaat natriumzout</t>
  </si>
  <si>
    <t>5138-91-0</t>
  </si>
  <si>
    <t>2-amino-5-hydroxynaftaleen-7-sulfonaat</t>
  </si>
  <si>
    <t>87-02-5</t>
  </si>
  <si>
    <t>3-nitrobenzeensulfonaat</t>
  </si>
  <si>
    <t>127-68-4</t>
  </si>
  <si>
    <t>2-aminonaftaleen-1,5-disulfonaat</t>
  </si>
  <si>
    <t>117-62-4</t>
  </si>
  <si>
    <t>2-aminonaftaleen-1-sulfonaat</t>
  </si>
  <si>
    <t>81-16-3</t>
  </si>
  <si>
    <t>2-aminonaftaleen-4,8-disulfonaat</t>
  </si>
  <si>
    <t>4681-22-5</t>
  </si>
  <si>
    <t>2-aminonaftaleen-6-sulfonaat</t>
  </si>
  <si>
    <t>93-00-5</t>
  </si>
  <si>
    <t>2-chloor-5-methylbenzeensulfonaat</t>
  </si>
  <si>
    <t>56919-12-1</t>
  </si>
  <si>
    <t>2-hydroxy-4,6-bis(4-sulfanilo)-1,3,5-trisulfonaat</t>
  </si>
  <si>
    <t>2-hydroxynaftaleen-6-disulfonaat</t>
  </si>
  <si>
    <t>93-01-6</t>
  </si>
  <si>
    <t>8,8-methyleenbis-2-naftaleensulfonzuur natriumzout</t>
  </si>
  <si>
    <t>54175-61-0</t>
  </si>
  <si>
    <t>2-amino-5-chloor-4-methylbenzeensulfonaat</t>
  </si>
  <si>
    <t>88-53-9</t>
  </si>
  <si>
    <t>naftaleen-1,3,6-trisulfonaat</t>
  </si>
  <si>
    <t>19437-42-4</t>
  </si>
  <si>
    <t>Benzeen-1,3-disulfonaat natriumzout</t>
  </si>
  <si>
    <t>831-59-4</t>
  </si>
  <si>
    <t>naftaleen-2,6-disulfonaat</t>
  </si>
  <si>
    <t>51770-80-0</t>
  </si>
  <si>
    <t>naftaleen-1-sulfonaat</t>
  </si>
  <si>
    <t>130-14-3</t>
  </si>
  <si>
    <t>naftaleen-1,7-disulfonaat</t>
  </si>
  <si>
    <t>1655-31-8</t>
  </si>
  <si>
    <t>naftaleen-1,6-disulfonaat</t>
  </si>
  <si>
    <t>1655-43-2</t>
  </si>
  <si>
    <t>naftaleen-1,5-disulfonaat</t>
  </si>
  <si>
    <t>49735-71-9</t>
  </si>
  <si>
    <t>naftaleen-2,7-disulfonaat</t>
  </si>
  <si>
    <t>51770-81-1</t>
  </si>
  <si>
    <t>naftaleen-1,3,7-trisulfonaat</t>
  </si>
  <si>
    <t>84100-31-2</t>
  </si>
  <si>
    <t>naftaleen-2-sulfonaat</t>
  </si>
  <si>
    <t>532-02-5</t>
  </si>
  <si>
    <t>cis-4,4'-dinitrostilbeen-2,2'-disulfonaat</t>
  </si>
  <si>
    <t>cis-4,4'-diaminostilbeen-2,2'-disulfonaat</t>
  </si>
  <si>
    <t>anthrachinon-2-sulfonaat</t>
  </si>
  <si>
    <t>84-48-0</t>
  </si>
  <si>
    <t>anthrachinon-1,8-disulfonaat</t>
  </si>
  <si>
    <t>anthrachinon-1,5-disulfonaat</t>
  </si>
  <si>
    <t>117-14-6</t>
  </si>
  <si>
    <t>naftaleen-1,3,5-trisulfonaat</t>
  </si>
  <si>
    <t>naftaleen-1,3-disulfonaat</t>
  </si>
  <si>
    <t>tertiair-amyl-methylether</t>
  </si>
  <si>
    <t>N,N-dimethylsulfamide (DMS)</t>
  </si>
  <si>
    <t>5,6-dimethyl-1H-benzotriazool</t>
  </si>
  <si>
    <t>4184-79-6</t>
  </si>
  <si>
    <t>5-chloor-1H-benzotriazool</t>
  </si>
  <si>
    <t>94-97-3</t>
  </si>
  <si>
    <t>3-hydroxynaftaleen-2,7-disulfonaat</t>
  </si>
  <si>
    <t>148-75-4</t>
  </si>
  <si>
    <t>perfluorbutaansulfonaat</t>
  </si>
  <si>
    <t>108427-52-7</t>
  </si>
  <si>
    <t>perfluorhexaansulfonaat</t>
  </si>
  <si>
    <t>3871-99-6</t>
  </si>
  <si>
    <t>2-(methylthio)benzothiazool</t>
  </si>
  <si>
    <t>2-hydroxybenzothiazool</t>
  </si>
  <si>
    <t>acesulfaam</t>
  </si>
  <si>
    <t>33665-90-6</t>
  </si>
  <si>
    <t>acesulfaam-K</t>
  </si>
  <si>
    <t>ng/L</t>
  </si>
  <si>
    <t>N-nitrosodimethylamine</t>
  </si>
  <si>
    <t>N-nitrosopiperidine</t>
  </si>
  <si>
    <t xml:space="preserve">100-75-4 </t>
  </si>
  <si>
    <t>N-nitrosopyrrolidine</t>
  </si>
  <si>
    <t>N-Nitrosomethylethylamine</t>
  </si>
  <si>
    <t xml:space="preserve">10595-95-6 </t>
  </si>
  <si>
    <t>N-nitrosodiethylamine</t>
  </si>
  <si>
    <t xml:space="preserve">55-18-5 </t>
  </si>
  <si>
    <t>Nitrosodipropylamine</t>
  </si>
  <si>
    <t>N,N-dibutylnitrosoamine</t>
  </si>
  <si>
    <t xml:space="preserve">924-16-3 </t>
  </si>
  <si>
    <t>Hexafluorpropeen</t>
  </si>
  <si>
    <t>6:2 Fluorotelomer sulfonic acid (6:2 FTS)</t>
  </si>
  <si>
    <t>2-Octanol</t>
  </si>
  <si>
    <t>2-Propanol</t>
  </si>
  <si>
    <t>Pyrazool</t>
  </si>
  <si>
    <t>t-Butanol</t>
  </si>
  <si>
    <t>iso-Butanol</t>
  </si>
  <si>
    <t>melamine</t>
  </si>
  <si>
    <t>2,3,3,3-tetrafluor-2-heptafluorpropoxypropaanzuur</t>
  </si>
  <si>
    <t>tolyltriazool</t>
  </si>
  <si>
    <t>1,2-benzisothiazolin-3-on</t>
  </si>
  <si>
    <t>2634-33-5</t>
  </si>
  <si>
    <t>1,3-dicyclohexylureum</t>
  </si>
  <si>
    <t>219-213-7</t>
  </si>
  <si>
    <t>1,3-diethyl-1,3-difenylureum</t>
  </si>
  <si>
    <t>85-98-3</t>
  </si>
  <si>
    <t>2-octyl-4-isothiazoline-3-on</t>
  </si>
  <si>
    <t>4-dimethylaminopyridine</t>
  </si>
  <si>
    <t>1122-58-3</t>
  </si>
  <si>
    <t>4,5-dichloor-2-octyl-isothiazolon</t>
  </si>
  <si>
    <t>irgarol 1051 (cybutryn)</t>
  </si>
  <si>
    <t>tri-2-cresylfosfaat (TCP)</t>
  </si>
  <si>
    <t>tri-3-cresylfosfaat (TCP)</t>
  </si>
  <si>
    <t>tri-4-cresylfosfaat (TCP)</t>
  </si>
  <si>
    <t>tri(1,3-dichloor-2-propyl)fosfaat</t>
  </si>
  <si>
    <t>2,3,4,4-tetrabroomdifenylether</t>
  </si>
  <si>
    <t>2,3,4,6-tetrabroomdifenylether</t>
  </si>
  <si>
    <t>2,4,4-tribroomdifenylether</t>
  </si>
  <si>
    <t>dicyclohexylftalaat (DCHP)</t>
  </si>
  <si>
    <t>diheptylftalaat (DHP)</t>
  </si>
  <si>
    <t>2-n-dodecylfenol</t>
  </si>
  <si>
    <t>5284-29-7</t>
  </si>
  <si>
    <t>25340-17-4</t>
  </si>
  <si>
    <t>1-broom-3-chloorpropaan</t>
  </si>
  <si>
    <t>109-70-6</t>
  </si>
  <si>
    <t>2,2,5,5-tetramethyltetrahydrofuraan</t>
  </si>
  <si>
    <t>o + m-toluidine</t>
  </si>
  <si>
    <t>m + p-cresol</t>
  </si>
  <si>
    <t>cis + trans 1,3-Dichloorpropeen</t>
  </si>
  <si>
    <t>2,3+3,4-dichloormethylbenzeen</t>
  </si>
  <si>
    <t>2,4+2,5+2,6-dichloormethylbenzeen</t>
  </si>
  <si>
    <t>som nonylfenolen</t>
  </si>
  <si>
    <t>1,1,2-tribroomethaan</t>
  </si>
  <si>
    <t>78-74-0</t>
  </si>
  <si>
    <t>caprolactam</t>
  </si>
  <si>
    <t>dimeer van caprolactam</t>
  </si>
  <si>
    <t>56403-09-9</t>
  </si>
  <si>
    <t xml:space="preserve">trimeer van caprolactam </t>
  </si>
  <si>
    <t>56403-08-8</t>
  </si>
  <si>
    <t>6-aminohexaanzuur</t>
  </si>
  <si>
    <t>60-32-2</t>
  </si>
  <si>
    <t>2,4-dibroomfenol</t>
  </si>
  <si>
    <t>615-58-7</t>
  </si>
  <si>
    <t>2,6-dibroomfenol</t>
  </si>
  <si>
    <t>608-33-3</t>
  </si>
  <si>
    <t>3-broomfenol</t>
  </si>
  <si>
    <t>591-20-8</t>
  </si>
  <si>
    <t>N,N-dimethylbenzylamine</t>
  </si>
  <si>
    <t>cis-1-chloor-1-propeen</t>
  </si>
  <si>
    <t>16136-84-8</t>
  </si>
  <si>
    <t>trans-1-chloor-1-propeen</t>
  </si>
  <si>
    <t>16136-85-9</t>
  </si>
  <si>
    <t>freon-113</t>
  </si>
  <si>
    <t>BDE-066</t>
  </si>
  <si>
    <t>2,4,6-tribroomanisool</t>
  </si>
  <si>
    <t>607-99-8</t>
  </si>
  <si>
    <t>2,4-dibroomanisool</t>
  </si>
  <si>
    <t>21702-84-1</t>
  </si>
  <si>
    <t>3-broomanisool</t>
  </si>
  <si>
    <t>2398-37-0</t>
  </si>
  <si>
    <t>di-n-pentylftalaat</t>
  </si>
  <si>
    <t>di-undecylftalaat</t>
  </si>
  <si>
    <t>3648-20-2</t>
  </si>
  <si>
    <t>di-dodecylftalaat</t>
  </si>
  <si>
    <t>2432-90-8</t>
  </si>
  <si>
    <t>di-iso-propylftalaat</t>
  </si>
  <si>
    <t>bis(2-methoxyethyl)ftalaat</t>
  </si>
  <si>
    <t>117-82-8</t>
  </si>
  <si>
    <t>bis(2-butoxyethyl)ftalaat</t>
  </si>
  <si>
    <t>117-83-9</t>
  </si>
  <si>
    <t>di-n-nonylftalaat</t>
  </si>
  <si>
    <t>di(2-ethylhexyl)adipaat</t>
  </si>
  <si>
    <t>perfluorbutaansulfonzuur (PFBS)</t>
  </si>
  <si>
    <t>perfluorhexaansulfonzuur (PFHxS)</t>
  </si>
  <si>
    <t>432-50-8</t>
  </si>
  <si>
    <t>perfluorheptaansulfonzuur (PFHpS)</t>
  </si>
  <si>
    <t>357-92-8</t>
  </si>
  <si>
    <t>perfluordecaansulfonzuur (PFDS)</t>
  </si>
  <si>
    <t>333-77-3</t>
  </si>
  <si>
    <t>perfuorpentaansulfonzuur (PFPeS)</t>
  </si>
  <si>
    <t>perfluornonaansulfonzuur (PFNS)</t>
  </si>
  <si>
    <t>98789-57-2</t>
  </si>
  <si>
    <t>1H,1H,2H,2H,-perfluor1-1hexaansulfonzuur (H4-PFHS)</t>
  </si>
  <si>
    <t>1H,1H,2H,2H,-perfluor-1-decaansulfonzuur (H4-PFDS)</t>
  </si>
  <si>
    <t>N-methylperfluor-1-octaansulfonamidoazijnzuur (N-MePFOSAA)</t>
  </si>
  <si>
    <t>N-ethylperfluor-1-octaansulfonamidoazijnzuur (N-EtPFOSAA)</t>
  </si>
  <si>
    <t>naftaleensulfonzuur 1</t>
  </si>
  <si>
    <t>naftaleensulfonzuur 2</t>
  </si>
  <si>
    <t>n-pentaan</t>
  </si>
  <si>
    <t>n-pentadecaan</t>
  </si>
  <si>
    <t>629-62-9</t>
  </si>
  <si>
    <t>Acetaldehyde</t>
  </si>
  <si>
    <t>1,3-diisopropylbenzeen</t>
  </si>
  <si>
    <t>butylmethylether</t>
  </si>
  <si>
    <t>Dibroommethaansulfonzuur</t>
  </si>
  <si>
    <t>859073-88-4</t>
  </si>
  <si>
    <t>dichloormethaansulfonzuur</t>
  </si>
  <si>
    <t>53638-45-2</t>
  </si>
  <si>
    <t>Ethylsulfaat</t>
  </si>
  <si>
    <t xml:space="preserve">540-82-9 </t>
  </si>
  <si>
    <t xml:space="preserve">diacetone acrylamide </t>
  </si>
  <si>
    <t>2873-97-4</t>
  </si>
  <si>
    <t>clarithromycine</t>
  </si>
  <si>
    <t>erythromycine</t>
  </si>
  <si>
    <t>oleandomycine</t>
  </si>
  <si>
    <t>roxithromycine</t>
  </si>
  <si>
    <t>sulfamerazine</t>
  </si>
  <si>
    <t>6-5-6493</t>
  </si>
  <si>
    <t>diazepam</t>
  </si>
  <si>
    <t>amidotrizo‹nezuur</t>
  </si>
  <si>
    <t>62883-00-5</t>
  </si>
  <si>
    <t>jopano‹nezuur</t>
  </si>
  <si>
    <t>dimethylaminofenazon</t>
  </si>
  <si>
    <t>fenazon</t>
  </si>
  <si>
    <t>60-80-0</t>
  </si>
  <si>
    <t>asperine</t>
  </si>
  <si>
    <t>azithromycine</t>
  </si>
  <si>
    <t>Ada 202-718</t>
  </si>
  <si>
    <t>83791-86-0</t>
  </si>
  <si>
    <t>PDTA</t>
  </si>
  <si>
    <t>4408-81-5</t>
  </si>
  <si>
    <t>mestranole</t>
  </si>
  <si>
    <t>norethisterone</t>
  </si>
  <si>
    <t>sulfacetamide</t>
  </si>
  <si>
    <t>144-80-9</t>
  </si>
  <si>
    <t>sulfafenazol</t>
  </si>
  <si>
    <t>526-08-9</t>
  </si>
  <si>
    <t>sulfaguanidine</t>
  </si>
  <si>
    <t>57-67-0</t>
  </si>
  <si>
    <t>sulfamethoxypyridazine</t>
  </si>
  <si>
    <t>80-35-3</t>
  </si>
  <si>
    <t>sulfathiazole</t>
  </si>
  <si>
    <t>72-14-0</t>
  </si>
  <si>
    <t>sulfatroxazol</t>
  </si>
  <si>
    <t>23256-23-7</t>
  </si>
  <si>
    <t>sulfisoxazol</t>
  </si>
  <si>
    <t>127-69-5</t>
  </si>
  <si>
    <t>N(4)-acetylsulfadoxine</t>
  </si>
  <si>
    <t>5018-54-2</t>
  </si>
  <si>
    <t>trans-4,4-dinitrostilben-2,2-disulfonaat</t>
  </si>
  <si>
    <t>5-nitro-2-methylbenzeensulfonzuur</t>
  </si>
  <si>
    <t>121-03-9</t>
  </si>
  <si>
    <t>sulfanilamide</t>
  </si>
  <si>
    <t>63-74-1</t>
  </si>
  <si>
    <t>theofylline</t>
  </si>
  <si>
    <t>nordazepam</t>
  </si>
  <si>
    <t>desalkylflurazepam</t>
  </si>
  <si>
    <t>17617-59-3</t>
  </si>
  <si>
    <t>6-O-monoacetylmorfine</t>
  </si>
  <si>
    <t>hero‹ne</t>
  </si>
  <si>
    <t>561-27-3</t>
  </si>
  <si>
    <t>amobarbital</t>
  </si>
  <si>
    <t>57-43-2</t>
  </si>
  <si>
    <t>barbital</t>
  </si>
  <si>
    <t>57-44-3</t>
  </si>
  <si>
    <t>code‹ne</t>
  </si>
  <si>
    <t>secobarbital</t>
  </si>
  <si>
    <t>76-73-3</t>
  </si>
  <si>
    <t>thiopental</t>
  </si>
  <si>
    <t>76-75-5</t>
  </si>
  <si>
    <t>butalbital</t>
  </si>
  <si>
    <t>77-26-9</t>
  </si>
  <si>
    <t>delta-9-tetrahydrocannabinol</t>
  </si>
  <si>
    <t>3-8-1972</t>
  </si>
  <si>
    <t>flunisolide</t>
  </si>
  <si>
    <t>3-3-3385</t>
  </si>
  <si>
    <t>triamcinolon</t>
  </si>
  <si>
    <t>124-94-7</t>
  </si>
  <si>
    <t>methylfenidaat</t>
  </si>
  <si>
    <t>298-59-9</t>
  </si>
  <si>
    <t>11-hydroxytetrahydrocannabinol</t>
  </si>
  <si>
    <t>36557-05-8</t>
  </si>
  <si>
    <t>desoximetason</t>
  </si>
  <si>
    <t>382-67-2</t>
  </si>
  <si>
    <t>N-methyl-3,4-methyleendioxyamfetamine</t>
  </si>
  <si>
    <t>fluorometholon</t>
  </si>
  <si>
    <t>426-13-1</t>
  </si>
  <si>
    <t>tenamfetamine</t>
  </si>
  <si>
    <t>rimexolon</t>
  </si>
  <si>
    <t>49697-38-3</t>
  </si>
  <si>
    <t>hydrocortison</t>
  </si>
  <si>
    <t>50-23-7</t>
  </si>
  <si>
    <t>prednisolon</t>
  </si>
  <si>
    <t>50-24-8</t>
  </si>
  <si>
    <t>coca‹ne</t>
  </si>
  <si>
    <t>meta-chlorofenylpiperazine</t>
  </si>
  <si>
    <t>51639-49-7</t>
  </si>
  <si>
    <t>aldosteron</t>
  </si>
  <si>
    <t>52-39-1</t>
  </si>
  <si>
    <t>prednison</t>
  </si>
  <si>
    <t>53-03-2</t>
  </si>
  <si>
    <t>metamfetamine</t>
  </si>
  <si>
    <t>methacathinon</t>
  </si>
  <si>
    <t>5650-44-2</t>
  </si>
  <si>
    <t>meprobamaat</t>
  </si>
  <si>
    <t>57-53-4</t>
  </si>
  <si>
    <t>11-nor-delta(9)-tetrahydrocannabinol-9-carboxylzuur</t>
  </si>
  <si>
    <t>64280-14-4</t>
  </si>
  <si>
    <t>desoxicorticosteron</t>
  </si>
  <si>
    <t>64-85-7</t>
  </si>
  <si>
    <t>6740-88-1</t>
  </si>
  <si>
    <t>triamcinoloneacetonide</t>
  </si>
  <si>
    <t>76-25-5</t>
  </si>
  <si>
    <t>3,4-methyleendioxyethamfetamine</t>
  </si>
  <si>
    <t>82801-81-8</t>
  </si>
  <si>
    <t>methylprednisolon</t>
  </si>
  <si>
    <t>83-43-2</t>
  </si>
  <si>
    <t>hydrochlorthiazide</t>
  </si>
  <si>
    <t>28-36-9</t>
  </si>
  <si>
    <t>delta-9-tetrahydrocannabinol-carbonzuur</t>
  </si>
  <si>
    <t>23978-85-0</t>
  </si>
  <si>
    <t>2-ethylideen-1,5-dimethyl-3,3-difenylpyrrolidine</t>
  </si>
  <si>
    <t>66729-78-0</t>
  </si>
  <si>
    <t>2-ethyl-5-methyl-3,3-difenyl-1-pyrroline</t>
  </si>
  <si>
    <t>betamethason + paramethason</t>
  </si>
  <si>
    <t>17a-Estradiol</t>
  </si>
  <si>
    <t>Clozapine</t>
  </si>
  <si>
    <t>Dipyridamol</t>
  </si>
  <si>
    <t>Gabapentine</t>
  </si>
  <si>
    <t>Gemcitabine</t>
  </si>
  <si>
    <t>Methotrexaat</t>
  </si>
  <si>
    <t>Pipamperon</t>
  </si>
  <si>
    <t>Quetiapine</t>
  </si>
  <si>
    <t>Spiramycine I</t>
  </si>
  <si>
    <t>24916-50-5</t>
  </si>
  <si>
    <t>Spiramycine II</t>
  </si>
  <si>
    <t>Spiramycine III</t>
  </si>
  <si>
    <t>Tamoxifen</t>
  </si>
  <si>
    <t>Tramadol</t>
  </si>
  <si>
    <t>Valsartan</t>
  </si>
  <si>
    <t>Vigabatrine</t>
  </si>
  <si>
    <t>5-Fluorouracil</t>
  </si>
  <si>
    <t>Cefuroxime</t>
  </si>
  <si>
    <t>Florfenicol</t>
  </si>
  <si>
    <t>73231-34-2</t>
  </si>
  <si>
    <t>Triclocarban</t>
  </si>
  <si>
    <t>Benzocaine</t>
  </si>
  <si>
    <t>Carbadox</t>
  </si>
  <si>
    <t>5-7-6804</t>
  </si>
  <si>
    <t>Dimetridazool</t>
  </si>
  <si>
    <t>Etoposide</t>
  </si>
  <si>
    <t>Irbesartan</t>
  </si>
  <si>
    <t>Levetiracetam</t>
  </si>
  <si>
    <t>Mebendazool</t>
  </si>
  <si>
    <t>Candesartan</t>
  </si>
  <si>
    <t>Cetirizine</t>
  </si>
  <si>
    <t>83881-51-0</t>
  </si>
  <si>
    <t>Gabapentin-lactam</t>
  </si>
  <si>
    <t>Lamotrigine</t>
  </si>
  <si>
    <t>N-Acetyl-4-aminoantipyrine</t>
  </si>
  <si>
    <t>N-Formyl-4-aminoantipyrine</t>
  </si>
  <si>
    <t>Oxipurinol</t>
  </si>
  <si>
    <t>Sitagliptine</t>
  </si>
  <si>
    <t>Telmisartan</t>
  </si>
  <si>
    <t>Valsartanzuur</t>
  </si>
  <si>
    <t>10,11-dihydro-10,11-dihydroxycarbamazepine</t>
  </si>
  <si>
    <t>cotinine</t>
  </si>
  <si>
    <t>486-56-6</t>
  </si>
  <si>
    <t>8-Hydroxypenillic acid</t>
  </si>
  <si>
    <t>3053-85-8</t>
  </si>
  <si>
    <t>-</t>
  </si>
  <si>
    <t>Ames test (TA98)</t>
  </si>
  <si>
    <t>UMU-test</t>
  </si>
  <si>
    <t>Comet assay</t>
  </si>
  <si>
    <t>ER-Calux in 17beta-estradiol equivalenten</t>
  </si>
  <si>
    <t>GR-Calux acitviteit in dexamethason equivalenten</t>
  </si>
  <si>
    <t>Citalopramÿ</t>
  </si>
  <si>
    <t>Venlafaxine</t>
  </si>
  <si>
    <t>Amisulpride</t>
  </si>
  <si>
    <t>53583-79-2</t>
  </si>
  <si>
    <t>fenofibraat gerelateerde component A</t>
  </si>
  <si>
    <t>42019-78-3</t>
  </si>
  <si>
    <t>carbamazepine epoxide 10,11</t>
  </si>
  <si>
    <t>paraxanthine</t>
  </si>
  <si>
    <t>611-59-6</t>
  </si>
  <si>
    <t>bisoprolol hemifumaraat</t>
  </si>
  <si>
    <t>104344-23-2</t>
  </si>
  <si>
    <t>Dresscher - Van der Mark Index</t>
  </si>
  <si>
    <t>n taxa</t>
  </si>
  <si>
    <t>Ciliata A</t>
  </si>
  <si>
    <t>euglenophyceae B</t>
  </si>
  <si>
    <t>chlorococcales C1</t>
  </si>
  <si>
    <t>bacillariophyceae C2</t>
  </si>
  <si>
    <t>donjugales D1</t>
  </si>
  <si>
    <t>Chrysophyceae D2</t>
  </si>
  <si>
    <t>peridiniales D3</t>
  </si>
  <si>
    <t>som chlorofyl-a en faepigmenten</t>
  </si>
  <si>
    <t>faeopigmenten tijdens bepaling chlorofyl-a</t>
  </si>
  <si>
    <t>l</t>
  </si>
  <si>
    <t>gefiltreerd monstervolume</t>
  </si>
  <si>
    <t>ml</t>
  </si>
  <si>
    <t>volume sediment in 500 æm residu</t>
  </si>
  <si>
    <t>volume sediment in 30 æm residu</t>
  </si>
  <si>
    <t>volume sediment in 100 æm residu</t>
  </si>
  <si>
    <t>volume zware sediment in 100 æm residu</t>
  </si>
  <si>
    <t>volume korrelvormig licht sediment in 100 æm residu</t>
  </si>
  <si>
    <t>volume vlokvormig licht sediment in 100 æm residu</t>
  </si>
  <si>
    <t>kiezels in 500 æm residu</t>
  </si>
  <si>
    <t>roestbrokken in 500 æm residu</t>
  </si>
  <si>
    <t>stukjes asbest-cement in 500 æm residu</t>
  </si>
  <si>
    <t>krullen kunststof in 500 æm residu</t>
  </si>
  <si>
    <t>brokjes bitumen in 500 æm residu</t>
  </si>
  <si>
    <t>plantaardig materiaal in 500 æm residu</t>
  </si>
  <si>
    <t>stukjes van een prop in 500 æm residu</t>
  </si>
  <si>
    <t>overig materiaal in 500 æm residu</t>
  </si>
  <si>
    <t>zand in 100 æm residu</t>
  </si>
  <si>
    <t>vlokvormig materiaal in 100 æm residu</t>
  </si>
  <si>
    <t>roestbrokjes in 100 æm residu</t>
  </si>
  <si>
    <t>zwarte brokjes in 100 æm residu</t>
  </si>
  <si>
    <t>overig materiaal in 100 æm residu</t>
  </si>
  <si>
    <t>uitwerpselen waterpissebedden in 100 æm residu</t>
  </si>
  <si>
    <t>beige deel van uitwerpselen waterpissebedden</t>
  </si>
  <si>
    <t>oranje deel van uitwerpselen waterpissebedden</t>
  </si>
  <si>
    <t>bruine deel van uitwerpselen waterpissebedden</t>
  </si>
  <si>
    <t>zwarte deel van uitwerpselen waterpissebedden</t>
  </si>
  <si>
    <t>n/ml</t>
  </si>
  <si>
    <t>fytoplankton, totaal</t>
  </si>
  <si>
    <t>æ-algen</t>
  </si>
  <si>
    <t>Cyanobacteriën (Cyanophyceae)</t>
  </si>
  <si>
    <t>µm3/ml</t>
  </si>
  <si>
    <t>Cyanobacteriën, biovolume</t>
  </si>
  <si>
    <t>mm3/m3</t>
  </si>
  <si>
    <t>trichomen 200 µm/ml</t>
  </si>
  <si>
    <t>Aphanizomenon, biovolume</t>
  </si>
  <si>
    <t>Oscillatoria</t>
  </si>
  <si>
    <t>cellen/ml</t>
  </si>
  <si>
    <t>Chroococcus</t>
  </si>
  <si>
    <t>cellen/l</t>
  </si>
  <si>
    <t>Anabaena, biovolume</t>
  </si>
  <si>
    <t>Aphanocapsa</t>
  </si>
  <si>
    <t>microcystis</t>
  </si>
  <si>
    <t>microcystis, biovolume</t>
  </si>
  <si>
    <t>microcystine (bepaald bij +4 C)</t>
  </si>
  <si>
    <t>microcystine (bepaald bij -20 C)</t>
  </si>
  <si>
    <t>Cryptophyceae</t>
  </si>
  <si>
    <t>goudalgen (Chrysophyceae)</t>
  </si>
  <si>
    <t>groenalgen (Chlorophyceae)</t>
  </si>
  <si>
    <t>Kiezelalgen (Bacillariophyceae)</t>
  </si>
  <si>
    <t>oogflagell. (Euglenophyceae)</t>
  </si>
  <si>
    <t>pantseralgen (Dinophyceae)</t>
  </si>
  <si>
    <t>dierlijke organismen, totaal</t>
  </si>
  <si>
    <t>n/m3</t>
  </si>
  <si>
    <t>dierlijke ‚‚ncelligen, totaal</t>
  </si>
  <si>
    <t>lege celwanden eencelligen</t>
  </si>
  <si>
    <t>lege celwanden ‚‚ncelligen</t>
  </si>
  <si>
    <t>Amoeben (Rhizopoda)</t>
  </si>
  <si>
    <t>naaktamoeben (Gymnamoebia)</t>
  </si>
  <si>
    <t>schaalamoeben (Testacea)</t>
  </si>
  <si>
    <t>beerdieren (Tardigrada)</t>
  </si>
  <si>
    <t>raderdieren (Rotifera)</t>
  </si>
  <si>
    <t>wimperdieren (Ciliata)</t>
  </si>
  <si>
    <t>Cryptosporidium spp.</t>
  </si>
  <si>
    <t>n/L (n = oocysten)</t>
  </si>
  <si>
    <t>Cryptosporidium spp. (totaal)</t>
  </si>
  <si>
    <t>Cryptosporidium spp. (PI positief)</t>
  </si>
  <si>
    <t>Giardia spp.</t>
  </si>
  <si>
    <t>n/L (n = cysten)</t>
  </si>
  <si>
    <t>Giardia spp. (totaal)</t>
  </si>
  <si>
    <t>Giardia spp. (PI positief)</t>
  </si>
  <si>
    <t>zonnedieren (Heliozoa)</t>
  </si>
  <si>
    <t>mosselkreeften (Ostracoda)</t>
  </si>
  <si>
    <t>watervlooien (Cladocera)</t>
  </si>
  <si>
    <t>roeipootkreeften (Copepoda), totaal</t>
  </si>
  <si>
    <t>naupliuslarven</t>
  </si>
  <si>
    <t>Cyclopoidea</t>
  </si>
  <si>
    <t>Calanoidea</t>
  </si>
  <si>
    <t>Harpacticoidea</t>
  </si>
  <si>
    <t>buikharigen (Gastrotricha)</t>
  </si>
  <si>
    <t>borstelwormen (Oligochaeta)</t>
  </si>
  <si>
    <t>borstelwormen (L &lt;= 5 mm)</t>
  </si>
  <si>
    <t>borstelwormen (L &gt; 5 mm)</t>
  </si>
  <si>
    <t>draadwormen (Nematoda)</t>
  </si>
  <si>
    <t>platwormen (Turbellaria)</t>
  </si>
  <si>
    <t>wormen, diverse soorten</t>
  </si>
  <si>
    <t>larven van insecten (Insecta)</t>
  </si>
  <si>
    <t>springstaarten (Collembola)</t>
  </si>
  <si>
    <t>dansmuggen (Chironomidae)</t>
  </si>
  <si>
    <t>watermijten (Hydrachnellae)</t>
  </si>
  <si>
    <t>larven van watermijten (Hydrachnellae)</t>
  </si>
  <si>
    <t>kreeftachtigen (Crustacea) ,totaal</t>
  </si>
  <si>
    <t>kreeftachtigen (Crustacea), totaal</t>
  </si>
  <si>
    <t>waterpissebedden (Asellidae)</t>
  </si>
  <si>
    <t>waterpissebedden delen met kop</t>
  </si>
  <si>
    <t>delen van waterpissebedden</t>
  </si>
  <si>
    <t>vlokreeften (Gammaridae)</t>
  </si>
  <si>
    <t>insecten (Insecta), totaal</t>
  </si>
  <si>
    <t>mossellarven (Bivalvia)</t>
  </si>
  <si>
    <t>slakken (Gastropoda)</t>
  </si>
  <si>
    <t>diversen</t>
  </si>
  <si>
    <t>Adenosinetrifosfaat (ATP)</t>
  </si>
  <si>
    <t>aldicarb-sulfon</t>
  </si>
  <si>
    <t>aldicarb-sulfoxide</t>
  </si>
  <si>
    <t>alfacypermethrin</t>
  </si>
  <si>
    <t>alloxydim-natrium</t>
  </si>
  <si>
    <t>2-aminobenzimidazol</t>
  </si>
  <si>
    <t>934-32-7</t>
  </si>
  <si>
    <t>amiton</t>
  </si>
  <si>
    <t>78-53-5</t>
  </si>
  <si>
    <t>anilazin</t>
  </si>
  <si>
    <t>antu</t>
  </si>
  <si>
    <t>86-88-4</t>
  </si>
  <si>
    <t>anthrachinon</t>
  </si>
  <si>
    <t>anthranilzuur-isopropylamide</t>
  </si>
  <si>
    <t>atrazin</t>
  </si>
  <si>
    <t>azinfos-ethyl</t>
  </si>
  <si>
    <t>azinfos-methyl</t>
  </si>
  <si>
    <t>azocyclotin</t>
  </si>
  <si>
    <t>41083-11-8</t>
  </si>
  <si>
    <t>azolamide</t>
  </si>
  <si>
    <t>bariumpolysulfiden</t>
  </si>
  <si>
    <t>50864-67-0</t>
  </si>
  <si>
    <t>benazoline</t>
  </si>
  <si>
    <t>6-5-3813</t>
  </si>
  <si>
    <t>benazoline ethyl-ester</t>
  </si>
  <si>
    <t>benchinox</t>
  </si>
  <si>
    <t>benfluralin</t>
  </si>
  <si>
    <t>o-benzyl-p-chloorfenol</t>
  </si>
  <si>
    <t>bio-resmethrin</t>
  </si>
  <si>
    <t>bordeauxse pap</t>
  </si>
  <si>
    <t>8011-63-0</t>
  </si>
  <si>
    <t>bourgondische pap</t>
  </si>
  <si>
    <t>11125-96-5</t>
  </si>
  <si>
    <t>bromofos-methyl</t>
  </si>
  <si>
    <t>bromofos-ethyl</t>
  </si>
  <si>
    <t>bromoxynil</t>
  </si>
  <si>
    <t>2-broomacrole‹ne</t>
  </si>
  <si>
    <t>1425-39-4</t>
  </si>
  <si>
    <t>p-broomaniline</t>
  </si>
  <si>
    <t>2-broom-3-chloor-1-propeen</t>
  </si>
  <si>
    <t>16400-63-8</t>
  </si>
  <si>
    <t>butoxycarboxim</t>
  </si>
  <si>
    <t>californische pap</t>
  </si>
  <si>
    <t>1344-81-6</t>
  </si>
  <si>
    <t>1-6-2425</t>
  </si>
  <si>
    <t>carbateen</t>
  </si>
  <si>
    <t>carbeetamide</t>
  </si>
  <si>
    <t>carbitulaat</t>
  </si>
  <si>
    <t>cetoctaelate</t>
  </si>
  <si>
    <t>cepyram</t>
  </si>
  <si>
    <t>chinomethionaat</t>
  </si>
  <si>
    <t>2-1-2439</t>
  </si>
  <si>
    <t>chloormethoxynil</t>
  </si>
  <si>
    <t>32861-85-1</t>
  </si>
  <si>
    <t>chlooracrylzuur</t>
  </si>
  <si>
    <t>598-79-8</t>
  </si>
  <si>
    <t>chloorallylalcohol</t>
  </si>
  <si>
    <t>chlooramben</t>
  </si>
  <si>
    <t>chloorbenzilaat</t>
  </si>
  <si>
    <t>chloorbroomoxyline</t>
  </si>
  <si>
    <t>chloorfenamidine</t>
  </si>
  <si>
    <t>6164-98-3</t>
  </si>
  <si>
    <t>chloorfenprop-methyl</t>
  </si>
  <si>
    <t>14437-17-3</t>
  </si>
  <si>
    <t>chloorfenylethanol</t>
  </si>
  <si>
    <t>3-chloormethoxyaniline</t>
  </si>
  <si>
    <t>chloorpyrifos-methyl</t>
  </si>
  <si>
    <t>chloorthal-methyl</t>
  </si>
  <si>
    <t>chlooraniformethaan</t>
  </si>
  <si>
    <t>20856-57-9</t>
  </si>
  <si>
    <t>chlooranil</t>
  </si>
  <si>
    <t>chloraalhydraat</t>
  </si>
  <si>
    <t>prynachlor</t>
  </si>
  <si>
    <t>21267-72-1</t>
  </si>
  <si>
    <t>COBH</t>
  </si>
  <si>
    <t>495-73-8</t>
  </si>
  <si>
    <t>cumachloor</t>
  </si>
  <si>
    <t>81-82-3</t>
  </si>
  <si>
    <t>cyanazin</t>
  </si>
  <si>
    <t>cypendazool</t>
  </si>
  <si>
    <t>28559-00-4</t>
  </si>
  <si>
    <t>2,4-DB (4-(2,4-dichloorfenoxy)boterzuur)</t>
  </si>
  <si>
    <t>2,4-D 1-butylester</t>
  </si>
  <si>
    <t>2,4-D butylglycolester</t>
  </si>
  <si>
    <t>2,4-D iso-butylester</t>
  </si>
  <si>
    <t>17-13-15-1</t>
  </si>
  <si>
    <t>2,4-D iso-octylester</t>
  </si>
  <si>
    <t>25168-26-7</t>
  </si>
  <si>
    <t>2,4-D methylester</t>
  </si>
  <si>
    <t>1928-38-7</t>
  </si>
  <si>
    <t>2,4-DB methylester</t>
  </si>
  <si>
    <t>18625-12-2</t>
  </si>
  <si>
    <t>dalapon (2,2-dichloorpropionzuur)</t>
  </si>
  <si>
    <t>o,p-DDD</t>
  </si>
  <si>
    <t>p,p'-DDD</t>
  </si>
  <si>
    <t>o,p'-DDE</t>
  </si>
  <si>
    <t>p,p'-DDE</t>
  </si>
  <si>
    <t>o,p'-DDT</t>
  </si>
  <si>
    <t>p,p'-DDT</t>
  </si>
  <si>
    <t>decafentin</t>
  </si>
  <si>
    <t>15652-38-7</t>
  </si>
  <si>
    <t>demeton</t>
  </si>
  <si>
    <t>8065-48-3</t>
  </si>
  <si>
    <t>desethylatrazin</t>
  </si>
  <si>
    <t>desethylterbutylatrazin</t>
  </si>
  <si>
    <t>desisopropylatrazin</t>
  </si>
  <si>
    <t>diamino-o-cresol</t>
  </si>
  <si>
    <t>15872-73-8</t>
  </si>
  <si>
    <t>dichlofob-methyl</t>
  </si>
  <si>
    <t>diclone</t>
  </si>
  <si>
    <t>117-80-6</t>
  </si>
  <si>
    <t>dichlooraceetamide</t>
  </si>
  <si>
    <t>683-72-7</t>
  </si>
  <si>
    <t>2,5-dichloorbenzoëzuur</t>
  </si>
  <si>
    <t>2905-69-3</t>
  </si>
  <si>
    <t>dichloor-chloorfenylaminotriazine</t>
  </si>
  <si>
    <t>2,4-dichloor-4-methylfenol</t>
  </si>
  <si>
    <t>dichloorprop (2,4-DP)</t>
  </si>
  <si>
    <t>dichloor-s-triazine</t>
  </si>
  <si>
    <t>2831-66-5</t>
  </si>
  <si>
    <t>dichlorofeen</t>
  </si>
  <si>
    <t>dichloran</t>
  </si>
  <si>
    <t>81859-29-2</t>
  </si>
  <si>
    <t>diclobutrazol</t>
  </si>
  <si>
    <t>dethatyl-ethyl</t>
  </si>
  <si>
    <t>diethyldianthogeen</t>
  </si>
  <si>
    <t>difenylacetonitril</t>
  </si>
  <si>
    <t>86-29-3</t>
  </si>
  <si>
    <t>dimefox</t>
  </si>
  <si>
    <t>115-26-4</t>
  </si>
  <si>
    <t>dimetan</t>
  </si>
  <si>
    <t>122-15-6</t>
  </si>
  <si>
    <t>2,6-dimethylaniline</t>
  </si>
  <si>
    <t>dimexano</t>
  </si>
  <si>
    <t>1468-37-7</t>
  </si>
  <si>
    <t>diniconazol</t>
  </si>
  <si>
    <t>dinitrorhodaanbenzeen</t>
  </si>
  <si>
    <t>1594-56-5</t>
  </si>
  <si>
    <t>dinoseb (2-sec.butyl-4,6-dinitrofenol)</t>
  </si>
  <si>
    <t>dinoterb (2-tert.butyl-4,6-dinitrofenol)</t>
  </si>
  <si>
    <t>dipropylisocinchom.</t>
  </si>
  <si>
    <t>2-methyl-4,6-dinitrofenol (DNOC)</t>
  </si>
  <si>
    <t>3-10-2439</t>
  </si>
  <si>
    <t>endothal-natrium</t>
  </si>
  <si>
    <t>129-67-9</t>
  </si>
  <si>
    <t>endothion</t>
  </si>
  <si>
    <t>3-4-2778</t>
  </si>
  <si>
    <t>ethalfluraline</t>
  </si>
  <si>
    <t>55283-68-6</t>
  </si>
  <si>
    <t>ethoxyquine</t>
  </si>
  <si>
    <t>ethyleenglycol</t>
  </si>
  <si>
    <t>ethyleenureum</t>
  </si>
  <si>
    <t>120-93-4</t>
  </si>
  <si>
    <t>etridiazool</t>
  </si>
  <si>
    <t>fenaxoprop-ethyl</t>
  </si>
  <si>
    <t>fenazofloor</t>
  </si>
  <si>
    <t>fenchloorfos  (ronnel)</t>
  </si>
  <si>
    <t>fenothiazine</t>
  </si>
  <si>
    <t>92-84-2</t>
  </si>
  <si>
    <t>fenotrin</t>
  </si>
  <si>
    <t>fenoxaprop</t>
  </si>
  <si>
    <t>73519-55-8</t>
  </si>
  <si>
    <t>64257-84-7</t>
  </si>
  <si>
    <t>fenson</t>
  </si>
  <si>
    <t>80-38-6</t>
  </si>
  <si>
    <t>7-3-2597</t>
  </si>
  <si>
    <t>fentinhydroxide</t>
  </si>
  <si>
    <t>76-87-9</t>
  </si>
  <si>
    <t>o-fenylfenol</t>
  </si>
  <si>
    <t>6-chloor-4-hydroxy-3-fenylpyridazine</t>
  </si>
  <si>
    <t>fenylkwikverbindingen</t>
  </si>
  <si>
    <t>feranimol</t>
  </si>
  <si>
    <t>flamprop-isopropyl</t>
  </si>
  <si>
    <t>flamprop-methyl</t>
  </si>
  <si>
    <t>flucithrinaat</t>
  </si>
  <si>
    <t>fluennitril</t>
  </si>
  <si>
    <t>fluorchloridon</t>
  </si>
  <si>
    <t>fluorodifeen</t>
  </si>
  <si>
    <t>15457-05-3</t>
  </si>
  <si>
    <t>flusilazol</t>
  </si>
  <si>
    <t>formaline</t>
  </si>
  <si>
    <t>fosfor (gele)</t>
  </si>
  <si>
    <t>gralit</t>
  </si>
  <si>
    <t>heptachloorepoxide(som)</t>
  </si>
  <si>
    <t>hexachloorbenzeen (HCB)</t>
  </si>
  <si>
    <t>hexahydro-1,3,5-triethyl-s-triazine</t>
  </si>
  <si>
    <t>7779-27-3</t>
  </si>
  <si>
    <t>hexyleenglycol</t>
  </si>
  <si>
    <t>hydropeen</t>
  </si>
  <si>
    <t>8-hydroxychinoline</t>
  </si>
  <si>
    <t>hydroxyethylhydrazine</t>
  </si>
  <si>
    <t>imazamethabenz</t>
  </si>
  <si>
    <t>100728-84-5</t>
  </si>
  <si>
    <t>isocil</t>
  </si>
  <si>
    <t>314-42-1</t>
  </si>
  <si>
    <t>isolan</t>
  </si>
  <si>
    <t>119-38-0</t>
  </si>
  <si>
    <t>iso-octylfenolpolyglycolether</t>
  </si>
  <si>
    <t>9616-45-9</t>
  </si>
  <si>
    <t>joodfenfos</t>
  </si>
  <si>
    <t>kopernaftenaat</t>
  </si>
  <si>
    <t>1338-02-9</t>
  </si>
  <si>
    <t>koperoxychinolaat</t>
  </si>
  <si>
    <t>10380-28-6</t>
  </si>
  <si>
    <t>koperoxyduul</t>
  </si>
  <si>
    <t>kwikmethoxyethyl</t>
  </si>
  <si>
    <t>28403-56-7</t>
  </si>
  <si>
    <t>lauryldimethylbenzylammoniumchloride</t>
  </si>
  <si>
    <t>1-8-2164</t>
  </si>
  <si>
    <t>lindaan</t>
  </si>
  <si>
    <t>lonchocarpus</t>
  </si>
  <si>
    <t>97766-22-8</t>
  </si>
  <si>
    <t>7-1-8018</t>
  </si>
  <si>
    <t>4-chloor-2-methylfenoxyazijnzuur</t>
  </si>
  <si>
    <t>4-(4-chloor-2-methylfenoxy)boterzuur</t>
  </si>
  <si>
    <t>7085-19-0</t>
  </si>
  <si>
    <t>MEMC</t>
  </si>
  <si>
    <t>menazon</t>
  </si>
  <si>
    <t>78-57-9</t>
  </si>
  <si>
    <t>mepiquat chloride</t>
  </si>
  <si>
    <t>mesulan</t>
  </si>
  <si>
    <t>metam-ammonium</t>
  </si>
  <si>
    <t>39680-90-5</t>
  </si>
  <si>
    <t>metam-natrium</t>
  </si>
  <si>
    <t>methabenzthiazuron</t>
  </si>
  <si>
    <t>methfuroxam</t>
  </si>
  <si>
    <t>28730-17-8</t>
  </si>
  <si>
    <t>methoprene</t>
  </si>
  <si>
    <t>methoprotryne</t>
  </si>
  <si>
    <t>methylbromide (broommethaan)</t>
  </si>
  <si>
    <t>methylisothiocyanaat (MITC)</t>
  </si>
  <si>
    <t>methylmetiram</t>
  </si>
  <si>
    <t>8064-35-5</t>
  </si>
  <si>
    <t>methylnaftoxyacetaat</t>
  </si>
  <si>
    <t>1929-87-9</t>
  </si>
  <si>
    <t>metsulfuron-methyl</t>
  </si>
  <si>
    <t>mevinfos (cis+trans)</t>
  </si>
  <si>
    <t>mierezuur</t>
  </si>
  <si>
    <t>naftylaceetamide</t>
  </si>
  <si>
    <t>86-86-2</t>
  </si>
  <si>
    <t>naftalam</t>
  </si>
  <si>
    <t>natrium-dimethyldithiocarbamaat</t>
  </si>
  <si>
    <t>nitralin</t>
  </si>
  <si>
    <t>4726-14-1</t>
  </si>
  <si>
    <t>nitrofeen</t>
  </si>
  <si>
    <t>NIX</t>
  </si>
  <si>
    <t>nonylfenolpolyglyco-ether</t>
  </si>
  <si>
    <t>ofurac</t>
  </si>
  <si>
    <t>oxycarboxine</t>
  </si>
  <si>
    <t>oxydemeton-methyl</t>
  </si>
  <si>
    <t>oxyfluorfeen</t>
  </si>
  <si>
    <t>parathion-ethyl</t>
  </si>
  <si>
    <t>parathion-methyl</t>
  </si>
  <si>
    <t>parijs groen</t>
  </si>
  <si>
    <t>12002-03-8</t>
  </si>
  <si>
    <t>pentachloorthioanisool</t>
  </si>
  <si>
    <t>perthane</t>
  </si>
  <si>
    <t>fencapton</t>
  </si>
  <si>
    <t>2275-14-1</t>
  </si>
  <si>
    <t>1-2-1918</t>
  </si>
  <si>
    <t>piperonylbutoxide</t>
  </si>
  <si>
    <t>piproctanyliumbromide</t>
  </si>
  <si>
    <t>56717-11-4</t>
  </si>
  <si>
    <t>pirimifos-ethyl</t>
  </si>
  <si>
    <t>pirimifos-methyl</t>
  </si>
  <si>
    <t>polyboraten</t>
  </si>
  <si>
    <t>polybutenen</t>
  </si>
  <si>
    <t>9003-29-6</t>
  </si>
  <si>
    <t>prodiamine</t>
  </si>
  <si>
    <t>29091-21-2</t>
  </si>
  <si>
    <t>prometryn</t>
  </si>
  <si>
    <t>propargite</t>
  </si>
  <si>
    <t>propazin</t>
  </si>
  <si>
    <t>propiconazool</t>
  </si>
  <si>
    <t>pyracarbolide</t>
  </si>
  <si>
    <t>pyraoxon</t>
  </si>
  <si>
    <t>pyrimidine</t>
  </si>
  <si>
    <t>289-95-2</t>
  </si>
  <si>
    <t>chinalfos</t>
  </si>
  <si>
    <t>chinonamide</t>
  </si>
  <si>
    <t>quintoceen</t>
  </si>
  <si>
    <t>82-68-8</t>
  </si>
  <si>
    <t>S 421</t>
  </si>
  <si>
    <t>127-90-2</t>
  </si>
  <si>
    <t>salicylanilide</t>
  </si>
  <si>
    <t>87-17-2</t>
  </si>
  <si>
    <t>schradan</t>
  </si>
  <si>
    <t>152-16-9</t>
  </si>
  <si>
    <t>scilla maritima</t>
  </si>
  <si>
    <t>scilliroside</t>
  </si>
  <si>
    <t>507-60-8</t>
  </si>
  <si>
    <t>selectieve olie</t>
  </si>
  <si>
    <t>siduron</t>
  </si>
  <si>
    <t>1982-49-6</t>
  </si>
  <si>
    <t>simazin</t>
  </si>
  <si>
    <t>sublimaat</t>
  </si>
  <si>
    <t>7487-94-7</t>
  </si>
  <si>
    <t>2,4,5-T (2,4,5-trichloorfenoxyazijnzuur)</t>
  </si>
  <si>
    <t>2,3,6-trichloorbenzoezuur</t>
  </si>
  <si>
    <t>8003-94-9</t>
  </si>
  <si>
    <t>tecoram</t>
  </si>
  <si>
    <t>5836-23-7</t>
  </si>
  <si>
    <t>tefluthrine</t>
  </si>
  <si>
    <t>telodrine</t>
  </si>
  <si>
    <t>tetraethyl pyrofosfaat</t>
  </si>
  <si>
    <t>terbuconazool</t>
  </si>
  <si>
    <t>terbutryn</t>
  </si>
  <si>
    <t>terramycine</t>
  </si>
  <si>
    <t>79-57-2</t>
  </si>
  <si>
    <t>tetrachloorvinfos</t>
  </si>
  <si>
    <t>thiameturon</t>
  </si>
  <si>
    <t>thiameturon-methyl</t>
  </si>
  <si>
    <t>thiochinox</t>
  </si>
  <si>
    <t>93-75-4</t>
  </si>
  <si>
    <t>thiocyanomethylthiobenzothiazol</t>
  </si>
  <si>
    <t>thiocyclam hydrogeenoxalaat</t>
  </si>
  <si>
    <t>31895-22-4</t>
  </si>
  <si>
    <t>thionazine</t>
  </si>
  <si>
    <t>297-97-2</t>
  </si>
  <si>
    <t>tolclofos-ethyl</t>
  </si>
  <si>
    <t>2,4,5-TP (2-(2,4,5-trichloorfenoxy)propionzuur)</t>
  </si>
  <si>
    <t>tralkoxydime</t>
  </si>
  <si>
    <t>87820-88-0</t>
  </si>
  <si>
    <t>triasulforon</t>
  </si>
  <si>
    <t>trichloortrinitrobenzeen</t>
  </si>
  <si>
    <t>28260-63-1</t>
  </si>
  <si>
    <t>trietazin</t>
  </si>
  <si>
    <t>trifluralin</t>
  </si>
  <si>
    <t>urbazide</t>
  </si>
  <si>
    <t>2445-07-0</t>
  </si>
  <si>
    <t>vinchlozolin</t>
  </si>
  <si>
    <t>zinkfosfide</t>
  </si>
  <si>
    <t>1314-84-7</t>
  </si>
  <si>
    <t>zwavel</t>
  </si>
  <si>
    <t>zwavelkoolstof</t>
  </si>
  <si>
    <t>dichloorfenoxyethylpropionaat</t>
  </si>
  <si>
    <t>delta-HCH (delta-hexachloorcyclohexaan)</t>
  </si>
  <si>
    <t>butocarboxinsulfoxide</t>
  </si>
  <si>
    <t>thiofanoxsulfoxide</t>
  </si>
  <si>
    <t>thiofanoxsulfon</t>
  </si>
  <si>
    <t>cis-chloorfenvinfos</t>
  </si>
  <si>
    <t>trans-chloorfenvinfos</t>
  </si>
  <si>
    <t>2,4-dichloorbenzoëzuur</t>
  </si>
  <si>
    <t>35112-28-8</t>
  </si>
  <si>
    <t>chloorpyrifos</t>
  </si>
  <si>
    <t>µg/L CS2</t>
  </si>
  <si>
    <t>dithiocarbamaten als CS2</t>
  </si>
  <si>
    <t>4384-82-1</t>
  </si>
  <si>
    <t>4-hydroxy-2,5,6,-trichloorisoftalonitril</t>
  </si>
  <si>
    <t>epsilon-HCH</t>
  </si>
  <si>
    <t>7-10-6108</t>
  </si>
  <si>
    <t>N,N-Dimethyl-N'-tolylsulfonyldiamide</t>
  </si>
  <si>
    <t>106325-08-0</t>
  </si>
  <si>
    <t>1-(3-chloor-4-methylfenyl)ureum</t>
  </si>
  <si>
    <t>8-2-2327</t>
  </si>
  <si>
    <t>pesticiden (som)</t>
  </si>
  <si>
    <t>2,6-dichloorbenzoëzuur</t>
  </si>
  <si>
    <t>dimetheenamide</t>
  </si>
  <si>
    <t>1,3,5-triazine-2,4-diamine</t>
  </si>
  <si>
    <t>504-08-5</t>
  </si>
  <si>
    <t>N-(t-butyl)-O-3-dimethyl ureylfenylcarbamaat</t>
  </si>
  <si>
    <t>terbucarb</t>
  </si>
  <si>
    <t>2-11-1918</t>
  </si>
  <si>
    <t>azoxystrobine</t>
  </si>
  <si>
    <t>imidaclopride</t>
  </si>
  <si>
    <t>sulcotrione</t>
  </si>
  <si>
    <t>clomazone</t>
  </si>
  <si>
    <t>dimethenamid-p</t>
  </si>
  <si>
    <t>iodosulfuron-methyl-natrium</t>
  </si>
  <si>
    <t>mefenpyr-dietyl</t>
  </si>
  <si>
    <t>N,N-dimethylaminosulfanilide (DMSA)</t>
  </si>
  <si>
    <t>4710-17-2</t>
  </si>
  <si>
    <t>buprofezine</t>
  </si>
  <si>
    <t>5-6-2497</t>
  </si>
  <si>
    <t>6-7-2497</t>
  </si>
  <si>
    <t>6-3-2588</t>
  </si>
  <si>
    <t>7-4-2588</t>
  </si>
  <si>
    <t>methiocarb-sulfoxide</t>
  </si>
  <si>
    <t>1-10-2635</t>
  </si>
  <si>
    <t>famoxadon</t>
  </si>
  <si>
    <t>flonicamide</t>
  </si>
  <si>
    <t>160430-64-8</t>
  </si>
  <si>
    <t>indoxacarb</t>
  </si>
  <si>
    <t>primicarb-desmetyl</t>
  </si>
  <si>
    <t>ethiofencarb-sulfon</t>
  </si>
  <si>
    <t>fenvaleraat en esfenvaleraat (som RR&amp;SS)</t>
  </si>
  <si>
    <t>2-nitrofenol en 4-nitrofenol (som)</t>
  </si>
  <si>
    <t xml:space="preserve">µg/L                </t>
  </si>
  <si>
    <t>fenvalerate en esfenvalerate (som RS&amp;SR)</t>
  </si>
  <si>
    <t>imazamethabenzmethyl</t>
  </si>
  <si>
    <t>6-benzyladenine</t>
  </si>
  <si>
    <t>E-fluoxastrobin</t>
  </si>
  <si>
    <t>quinoclamine</t>
  </si>
  <si>
    <t xml:space="preserve">cis- propiconazool </t>
  </si>
  <si>
    <t xml:space="preserve">trans- propiconazool </t>
  </si>
  <si>
    <t>3,4,5-trimethacarb</t>
  </si>
  <si>
    <t>acibenzolar-s-methyl</t>
  </si>
  <si>
    <t>iodosulfuron-methyl</t>
  </si>
  <si>
    <t>benoxacor</t>
  </si>
  <si>
    <t>98730-04-2</t>
  </si>
  <si>
    <t>bromoxynil-octanoaat</t>
  </si>
  <si>
    <t>broomcyclen</t>
  </si>
  <si>
    <t>butafenacil</t>
  </si>
  <si>
    <t>134605-64-4</t>
  </si>
  <si>
    <t>cadusofos</t>
  </si>
  <si>
    <t>carbofenothion-methyl</t>
  </si>
  <si>
    <t>953-17-3</t>
  </si>
  <si>
    <t>carbofuran-3-keto</t>
  </si>
  <si>
    <t>carbofuran-fenol</t>
  </si>
  <si>
    <t>1563-38-8</t>
  </si>
  <si>
    <t>chloorfenvinfos (alfa-)</t>
  </si>
  <si>
    <t>chloorfenvinfos (beta-)</t>
  </si>
  <si>
    <t>chloorneb</t>
  </si>
  <si>
    <t>2675-77-6</t>
  </si>
  <si>
    <t>2-10-5836</t>
  </si>
  <si>
    <t>chloorthion</t>
  </si>
  <si>
    <t>500-28-7</t>
  </si>
  <si>
    <t>chloorthiofos-sulfon</t>
  </si>
  <si>
    <t>25900-20-3</t>
  </si>
  <si>
    <t>climbazool</t>
  </si>
  <si>
    <t>38083-17-9</t>
  </si>
  <si>
    <t>cloquintocet-mexyl</t>
  </si>
  <si>
    <t>cyhalothrin (lambda-)</t>
  </si>
  <si>
    <t>demeton-s</t>
  </si>
  <si>
    <t>diethatyl-ethyl</t>
  </si>
  <si>
    <t>dimoxystrobin</t>
  </si>
  <si>
    <t>dinotefuran</t>
  </si>
  <si>
    <t>165252-70-0</t>
  </si>
  <si>
    <t>dipropetryn</t>
  </si>
  <si>
    <t>4147-51-7</t>
  </si>
  <si>
    <t>ethiprole</t>
  </si>
  <si>
    <t>etofenprox</t>
  </si>
  <si>
    <t>famofos</t>
  </si>
  <si>
    <t>fenfluthrin</t>
  </si>
  <si>
    <t>67640-14-6</t>
  </si>
  <si>
    <t>fenoxaprop-p-ethyl</t>
  </si>
  <si>
    <t>fluazifop-p-butyl</t>
  </si>
  <si>
    <t>fluotrimazool</t>
  </si>
  <si>
    <t>57381-79-0</t>
  </si>
  <si>
    <t>2-9-2314</t>
  </si>
  <si>
    <t>formetanaat hydrochloride</t>
  </si>
  <si>
    <t>56425-91-3</t>
  </si>
  <si>
    <t>fluthiacet-methyl</t>
  </si>
  <si>
    <t>117337-19-6</t>
  </si>
  <si>
    <t>forchlorfenuron</t>
  </si>
  <si>
    <t>68157-60-8</t>
  </si>
  <si>
    <t>fosfolan</t>
  </si>
  <si>
    <t>947-02-4</t>
  </si>
  <si>
    <t>fthalimide</t>
  </si>
  <si>
    <t>halfenprox</t>
  </si>
  <si>
    <t>111872-58-3</t>
  </si>
  <si>
    <t>imazaquin</t>
  </si>
  <si>
    <t>81335-37-7</t>
  </si>
  <si>
    <t>imazethapyr</t>
  </si>
  <si>
    <t>81335-77-5</t>
  </si>
  <si>
    <t>imibenconazool</t>
  </si>
  <si>
    <t>86598-92-7</t>
  </si>
  <si>
    <t>isofenfos-methyl</t>
  </si>
  <si>
    <t>101365-44-0</t>
  </si>
  <si>
    <t>30864-28-9</t>
  </si>
  <si>
    <t>nafthol-1</t>
  </si>
  <si>
    <t>1321-67-1</t>
  </si>
  <si>
    <t>150824-47-8</t>
  </si>
  <si>
    <t>nitrapyrin</t>
  </si>
  <si>
    <t>pentachlooranisool</t>
  </si>
  <si>
    <t>permethrin (cis-)</t>
  </si>
  <si>
    <t>permethrin (trans-)</t>
  </si>
  <si>
    <t>27218-04-8</t>
  </si>
  <si>
    <t>profluralin</t>
  </si>
  <si>
    <t>26399-36-0</t>
  </si>
  <si>
    <t>prothiocarb hydrochloride</t>
  </si>
  <si>
    <t>19622-19-6</t>
  </si>
  <si>
    <t>prothioconazool-desthio</t>
  </si>
  <si>
    <t>77458-01-6</t>
  </si>
  <si>
    <t>pyrethrine</t>
  </si>
  <si>
    <t>pyridafenthion</t>
  </si>
  <si>
    <t>quinclorac</t>
  </si>
  <si>
    <t>84087-01-4</t>
  </si>
  <si>
    <t>spirotetramat cis-enol</t>
  </si>
  <si>
    <t>203312-38-3</t>
  </si>
  <si>
    <t>spirotetramat enol-glucoside</t>
  </si>
  <si>
    <t>1172614-86-6</t>
  </si>
  <si>
    <t>spirotetramat mono-hydroxy</t>
  </si>
  <si>
    <t>1172134-12-1</t>
  </si>
  <si>
    <t>sulfentrazon</t>
  </si>
  <si>
    <t>122836-35-5</t>
  </si>
  <si>
    <t>thidiazuron</t>
  </si>
  <si>
    <t>51707-55-2</t>
  </si>
  <si>
    <t>triapenthenol</t>
  </si>
  <si>
    <t>tribenuron-methyl</t>
  </si>
  <si>
    <t>uniconazool</t>
  </si>
  <si>
    <t>83657-22-1</t>
  </si>
  <si>
    <t>2,4'-methoxychloor</t>
  </si>
  <si>
    <t>30667-99-3</t>
  </si>
  <si>
    <t>flufenacet-ESA</t>
  </si>
  <si>
    <t>flufenacet-OA</t>
  </si>
  <si>
    <t>201668-31-7</t>
  </si>
  <si>
    <t>acetochloor-ESA</t>
  </si>
  <si>
    <t>tembotrion</t>
  </si>
  <si>
    <t>alachloor-ESA</t>
  </si>
  <si>
    <t>142363-53-9</t>
  </si>
  <si>
    <t>dimethenamid-ESA</t>
  </si>
  <si>
    <t>dimethenamid-OA</t>
  </si>
  <si>
    <t>metolachloor-ESA</t>
  </si>
  <si>
    <t>metolachloor-OA</t>
  </si>
  <si>
    <t>metribuzin-desamino</t>
  </si>
  <si>
    <t>35045-02-4</t>
  </si>
  <si>
    <t>propachloor-ESA</t>
  </si>
  <si>
    <t>propachloor-OA</t>
  </si>
  <si>
    <t>fosfamidon isomeren</t>
  </si>
  <si>
    <t>E,Z-fluoxastrobin</t>
  </si>
  <si>
    <t>sulfaminezuur</t>
  </si>
  <si>
    <t>5329-14-6</t>
  </si>
  <si>
    <t>trifluormethaansulfonzuur</t>
  </si>
  <si>
    <t>1493-13-6</t>
  </si>
  <si>
    <t>Metazachloor-C-metaboliet</t>
  </si>
  <si>
    <t>Metazachloor-S-metaboliet</t>
  </si>
  <si>
    <t>Sedaxaan</t>
  </si>
  <si>
    <t>Penflufen</t>
  </si>
  <si>
    <t>Halauxifen-methyl</t>
  </si>
  <si>
    <t>Flupyradifuron</t>
  </si>
  <si>
    <t>swep</t>
  </si>
  <si>
    <t>1918-18-9</t>
  </si>
  <si>
    <t>spiromesifen metaboliet M01</t>
  </si>
  <si>
    <t>148476-30-6</t>
  </si>
  <si>
    <t>metalaxyl metaboliet cga 108906</t>
  </si>
  <si>
    <t>104390-56-9</t>
  </si>
  <si>
    <t>metalaxyl metaboliet cga 62826</t>
  </si>
  <si>
    <t>87764-37-2</t>
  </si>
  <si>
    <t>dimethachloorsulfonzuur</t>
  </si>
  <si>
    <t>1231710-75-0</t>
  </si>
  <si>
    <t>dimethachloorzuur</t>
  </si>
  <si>
    <t>1086384-49-7</t>
  </si>
  <si>
    <t>milbemectin A4</t>
  </si>
  <si>
    <t>metolachloorsulfonzuur</t>
  </si>
  <si>
    <t>947601-85-6</t>
  </si>
  <si>
    <t>chloorthalonil metaboliet m5 r611965</t>
  </si>
  <si>
    <t>142733-37-7</t>
  </si>
  <si>
    <t>chloorthalonilsulfonzuur r417888</t>
  </si>
  <si>
    <t>1418095-02-95</t>
  </si>
  <si>
    <t>dimethachloor metaboliet cga 36987</t>
  </si>
  <si>
    <t>1418095-08-5</t>
  </si>
  <si>
    <t>Code</t>
  </si>
  <si>
    <t>Omschrijving</t>
  </si>
  <si>
    <t>CASnummer</t>
  </si>
  <si>
    <t>Groep</t>
  </si>
  <si>
    <t>ID</t>
  </si>
  <si>
    <t>D_BEGIN</t>
  </si>
  <si>
    <t>D_EIND</t>
  </si>
  <si>
    <t>D_STATUS</t>
  </si>
  <si>
    <t>CASnummer2</t>
  </si>
  <si>
    <t>G</t>
  </si>
  <si>
    <t>'35079-97-1</t>
  </si>
  <si>
    <t>'630-20-6</t>
  </si>
  <si>
    <t>'71-55-6</t>
  </si>
  <si>
    <t>'98-07-7</t>
  </si>
  <si>
    <t>'79-34-5</t>
  </si>
  <si>
    <t>'79-00-5</t>
  </si>
  <si>
    <t>'598-77-6</t>
  </si>
  <si>
    <t>'763051-92-9</t>
  </si>
  <si>
    <t>'557-91-5</t>
  </si>
  <si>
    <t>'53894-31-8</t>
  </si>
  <si>
    <t>'57-14-7</t>
  </si>
  <si>
    <t>'75-34-3</t>
  </si>
  <si>
    <t>'75-35-4</t>
  </si>
  <si>
    <t>'78-99-9</t>
  </si>
  <si>
    <t>'563-58-6</t>
  </si>
  <si>
    <t>'56354-06-4</t>
  </si>
  <si>
    <t>'3175-23-3</t>
  </si>
  <si>
    <t>'17233-71-5</t>
  </si>
  <si>
    <t>'2440-02-0</t>
  </si>
  <si>
    <t>'488-23-3</t>
  </si>
  <si>
    <t>'634-66-2</t>
  </si>
  <si>
    <t>'119-64-2</t>
  </si>
  <si>
    <t>'527-53-7</t>
  </si>
  <si>
    <t>'877-09-8</t>
  </si>
  <si>
    <t>'634-90-2</t>
  </si>
  <si>
    <t>'526-73-8</t>
  </si>
  <si>
    <t>'87-61-6</t>
  </si>
  <si>
    <t>'96-18-4</t>
  </si>
  <si>
    <t>'96-19-5</t>
  </si>
  <si>
    <t>'95-14-7</t>
  </si>
  <si>
    <t>'95-93-2</t>
  </si>
  <si>
    <t>'95-94-3</t>
  </si>
  <si>
    <t>'95-63-6</t>
  </si>
  <si>
    <t>'120-82-1</t>
  </si>
  <si>
    <t>'615-28-1</t>
  </si>
  <si>
    <t>'57-55-6</t>
  </si>
  <si>
    <t>'54446-78-5</t>
  </si>
  <si>
    <t>'106-88-7</t>
  </si>
  <si>
    <t>'95-54-5</t>
  </si>
  <si>
    <t>'35691-65-7</t>
  </si>
  <si>
    <t>'96-12-8</t>
  </si>
  <si>
    <t>'106-93-4</t>
  </si>
  <si>
    <t>'934-80-5</t>
  </si>
  <si>
    <t>'629-14-1</t>
  </si>
  <si>
    <t>'135-01-3</t>
  </si>
  <si>
    <t>'95-50-1</t>
  </si>
  <si>
    <t>'107-06-2</t>
  </si>
  <si>
    <t>'540-59-0</t>
  </si>
  <si>
    <t>'78-87-5</t>
  </si>
  <si>
    <t>'563-54-2</t>
  </si>
  <si>
    <t>'122-66-7</t>
  </si>
  <si>
    <t>'120-80-9</t>
  </si>
  <si>
    <t>'528-29-0</t>
  </si>
  <si>
    <t>'96-09-3</t>
  </si>
  <si>
    <t>'95-47-6</t>
  </si>
  <si>
    <t>'20200-86-6</t>
  </si>
  <si>
    <t>'3567-62-2</t>
  </si>
  <si>
    <t>'2327-02-8</t>
  </si>
  <si>
    <t>'36065-30-2</t>
  </si>
  <si>
    <t>'108-67-8</t>
  </si>
  <si>
    <t>'5324-68-5</t>
  </si>
  <si>
    <t>'108-70-3</t>
  </si>
  <si>
    <t>'99-35-4</t>
  </si>
  <si>
    <t>'1025-15-6</t>
  </si>
  <si>
    <t>'108-78-1</t>
  </si>
  <si>
    <t>'1939-36-2</t>
  </si>
  <si>
    <t>'4080-31-3</t>
  </si>
  <si>
    <t>'108-45-2</t>
  </si>
  <si>
    <t>'141-93-5</t>
  </si>
  <si>
    <t>'96-23-1</t>
  </si>
  <si>
    <t>'618-62-2</t>
  </si>
  <si>
    <t>'541-73-1</t>
  </si>
  <si>
    <t>'142-28-9</t>
  </si>
  <si>
    <t>'542-75-6</t>
  </si>
  <si>
    <t>'102-06-7</t>
  </si>
  <si>
    <t>'108-46-3</t>
  </si>
  <si>
    <t>'99-65-0</t>
  </si>
  <si>
    <t>'505-22-6</t>
  </si>
  <si>
    <t>'6781-42-6</t>
  </si>
  <si>
    <t>'99-62-7</t>
  </si>
  <si>
    <t>'941-57-1</t>
  </si>
  <si>
    <t>'106-99-0</t>
  </si>
  <si>
    <t>'108-38-3</t>
  </si>
  <si>
    <t>'2475-45-8</t>
  </si>
  <si>
    <t>'110-60-1</t>
  </si>
  <si>
    <t>'2425-79-8</t>
  </si>
  <si>
    <t>'110-63-4</t>
  </si>
  <si>
    <t>'140-38-5</t>
  </si>
  <si>
    <t>'106-50-3</t>
  </si>
  <si>
    <t>'624-18-0</t>
  </si>
  <si>
    <t>'13199-54-7</t>
  </si>
  <si>
    <t>'150-78-7</t>
  </si>
  <si>
    <t>'10375-96-9</t>
  </si>
  <si>
    <t>'122-95-2</t>
  </si>
  <si>
    <t>'105-05-5</t>
  </si>
  <si>
    <t>'104-36-9</t>
  </si>
  <si>
    <t>'764-41-0</t>
  </si>
  <si>
    <t>'106-46-7</t>
  </si>
  <si>
    <t>'110-56-5</t>
  </si>
  <si>
    <t>'123-31-9</t>
  </si>
  <si>
    <t>'100-25-4</t>
  </si>
  <si>
    <t>'123-91-1</t>
  </si>
  <si>
    <t>'1009-61-6</t>
  </si>
  <si>
    <t>'100-18-5</t>
  </si>
  <si>
    <t>'34123-57-4</t>
  </si>
  <si>
    <t>'56046-17-4</t>
  </si>
  <si>
    <t>'106-42-3</t>
  </si>
  <si>
    <t>'4904-61-4</t>
  </si>
  <si>
    <t>'462-94-2</t>
  </si>
  <si>
    <t>'575-43-9</t>
  </si>
  <si>
    <t>'57-91-0</t>
  </si>
  <si>
    <t>'50-28-2</t>
  </si>
  <si>
    <t>'253-69-0</t>
  </si>
  <si>
    <t>'470-82-6</t>
  </si>
  <si>
    <t>'82-28-0</t>
  </si>
  <si>
    <t>'2016-57-1</t>
  </si>
  <si>
    <t>'107-10-8</t>
  </si>
  <si>
    <t>'109-73-9</t>
  </si>
  <si>
    <t>'111-86-4</t>
  </si>
  <si>
    <t>'134-32-7</t>
  </si>
  <si>
    <t>'872-05-9</t>
  </si>
  <si>
    <t>'112-30-1</t>
  </si>
  <si>
    <t>'629-73-2</t>
  </si>
  <si>
    <t>'36653-82-4</t>
  </si>
  <si>
    <t>'107-98-2</t>
  </si>
  <si>
    <t>'628-28-4</t>
  </si>
  <si>
    <t>'1074-17-5</t>
  </si>
  <si>
    <t>'872-50-4</t>
  </si>
  <si>
    <t>'4534-53-6</t>
  </si>
  <si>
    <t>'90-12-0</t>
  </si>
  <si>
    <t>'1569-02-4</t>
  </si>
  <si>
    <t>'759-73-9</t>
  </si>
  <si>
    <t>'2400-00-2</t>
  </si>
  <si>
    <t>'4536-87-2</t>
  </si>
  <si>
    <t>'2471-83-2</t>
  </si>
  <si>
    <t>'107-03-9</t>
  </si>
  <si>
    <t>'115-07-1</t>
  </si>
  <si>
    <t>'6145-73-9</t>
  </si>
  <si>
    <t>'103-65-1</t>
  </si>
  <si>
    <t>'2719-64-4</t>
  </si>
  <si>
    <t>'109-79-5</t>
  </si>
  <si>
    <t>'4537-15-9</t>
  </si>
  <si>
    <t>'2719-63-3</t>
  </si>
  <si>
    <t>'110-66-7</t>
  </si>
  <si>
    <t>'4534-49-0</t>
  </si>
  <si>
    <t>'111-27-3</t>
  </si>
  <si>
    <t>'111-71-7</t>
  </si>
  <si>
    <t>'592-76-7</t>
  </si>
  <si>
    <t>'74663-91-5</t>
  </si>
  <si>
    <t>'111-66-0</t>
  </si>
  <si>
    <t>'111-87-5</t>
  </si>
  <si>
    <t>'124-11-8</t>
  </si>
  <si>
    <t>'143-08-8</t>
  </si>
  <si>
    <t>'97-00-7</t>
  </si>
  <si>
    <t>'88-73-3</t>
  </si>
  <si>
    <t>'121-73-3</t>
  </si>
  <si>
    <t>'100-00-5</t>
  </si>
  <si>
    <t>'4860-03-1</t>
  </si>
  <si>
    <t>'540-54-5</t>
  </si>
  <si>
    <t>'109-69-3</t>
  </si>
  <si>
    <t>'90-13-1</t>
  </si>
  <si>
    <t>'3152-68-9</t>
  </si>
  <si>
    <t>'60-12-8</t>
  </si>
  <si>
    <t>'618-36-0</t>
  </si>
  <si>
    <t>'90-15-3</t>
  </si>
  <si>
    <t>'5315-79-7</t>
  </si>
  <si>
    <t>'86-57-7</t>
  </si>
  <si>
    <t>'5522-43-0</t>
  </si>
  <si>
    <t>'132-75-2</t>
  </si>
  <si>
    <t>'85-47-2</t>
  </si>
  <si>
    <t>'77899-03-7</t>
  </si>
  <si>
    <t>'535-77-3</t>
  </si>
  <si>
    <t>'99-87-6</t>
  </si>
  <si>
    <t>'112-96-9</t>
  </si>
  <si>
    <t>'83-33-0</t>
  </si>
  <si>
    <t>'464-48-2</t>
  </si>
  <si>
    <t>'51422-54-9</t>
  </si>
  <si>
    <t>'143-22-6</t>
  </si>
  <si>
    <t>'20427-84-3</t>
  </si>
  <si>
    <t>'6846-50-0</t>
  </si>
  <si>
    <t>'144-19-4</t>
  </si>
  <si>
    <t>'540-84-1</t>
  </si>
  <si>
    <t>'15045-43-9</t>
  </si>
  <si>
    <t>'3776-30-5</t>
  </si>
  <si>
    <t>'111-77-3</t>
  </si>
  <si>
    <t>'124-17-4</t>
  </si>
  <si>
    <t>'112-34-5</t>
  </si>
  <si>
    <t>'10222-01-2</t>
  </si>
  <si>
    <t>'77-76-9</t>
  </si>
  <si>
    <t>'594-20-7</t>
  </si>
  <si>
    <t>'111-44-4</t>
  </si>
  <si>
    <t>'84-68-4</t>
  </si>
  <si>
    <t>'75-99-0</t>
  </si>
  <si>
    <t>'120-78-5</t>
  </si>
  <si>
    <t>'85-22-3</t>
  </si>
  <si>
    <t>'634-83-3</t>
  </si>
  <si>
    <t>'4901-51-3</t>
  </si>
  <si>
    <t>'654-36-4</t>
  </si>
  <si>
    <t>'58-90-2</t>
  </si>
  <si>
    <t>'61665-19-8</t>
  </si>
  <si>
    <t>'1467-35-2</t>
  </si>
  <si>
    <t>'634-67-3</t>
  </si>
  <si>
    <t>'15950-66-0</t>
  </si>
  <si>
    <t>'3481-20-7</t>
  </si>
  <si>
    <t>'935-95-5</t>
  </si>
  <si>
    <t>'697-82-5</t>
  </si>
  <si>
    <t>'18487-39-3</t>
  </si>
  <si>
    <t>'933-78-8</t>
  </si>
  <si>
    <t>'2655-15-4</t>
  </si>
  <si>
    <t>'4032-93-3</t>
  </si>
  <si>
    <t>'88963-39-7</t>
  </si>
  <si>
    <t>'933-75-5</t>
  </si>
  <si>
    <t>'513-85-9</t>
  </si>
  <si>
    <t>'431-03-8</t>
  </si>
  <si>
    <t>'79-29-8</t>
  </si>
  <si>
    <t>'526-75-0</t>
  </si>
  <si>
    <t>'583-61-9</t>
  </si>
  <si>
    <t>'608-27-5</t>
  </si>
  <si>
    <t>'50-45-3</t>
  </si>
  <si>
    <t>'78-88-6</t>
  </si>
  <si>
    <t>'616-23-9</t>
  </si>
  <si>
    <t>'576-24-9</t>
  </si>
  <si>
    <t>'41195-90-8</t>
  </si>
  <si>
    <t>'3209-22-1</t>
  </si>
  <si>
    <t>'59-48-3</t>
  </si>
  <si>
    <t>'66-56-8</t>
  </si>
  <si>
    <t>'602-01-7</t>
  </si>
  <si>
    <t>'3033-77-0</t>
  </si>
  <si>
    <t>'87-59-2</t>
  </si>
  <si>
    <t>'74367-34-3</t>
  </si>
  <si>
    <t>'93-76-5</t>
  </si>
  <si>
    <t>'137-17-7</t>
  </si>
  <si>
    <t>'636-30-6</t>
  </si>
  <si>
    <t>'95-95-4</t>
  </si>
  <si>
    <t>'93-72-1</t>
  </si>
  <si>
    <t>'118-79-6</t>
  </si>
  <si>
    <t>'88-05-1</t>
  </si>
  <si>
    <t>'527-60-6</t>
  </si>
  <si>
    <t>'108-75-8</t>
  </si>
  <si>
    <t>'634-93-5</t>
  </si>
  <si>
    <t>'88-06-2</t>
  </si>
  <si>
    <t>'88-89-1</t>
  </si>
  <si>
    <t>'732-26-3</t>
  </si>
  <si>
    <t>'126-86-3</t>
  </si>
  <si>
    <t>'126-54-5</t>
  </si>
  <si>
    <t>'94-75-7</t>
  </si>
  <si>
    <t>'53404-37-8</t>
  </si>
  <si>
    <t>'1928-43-4</t>
  </si>
  <si>
    <t>'6629-29-4</t>
  </si>
  <si>
    <t>'95-80-7</t>
  </si>
  <si>
    <t>'39156-41-7</t>
  </si>
  <si>
    <t>'615-05-4</t>
  </si>
  <si>
    <t>'94-82-6</t>
  </si>
  <si>
    <t>'13432-25-2</t>
  </si>
  <si>
    <t>'15764-16-6</t>
  </si>
  <si>
    <t>'108-08-7</t>
  </si>
  <si>
    <t>'565-80-0</t>
  </si>
  <si>
    <t>'589-43-5</t>
  </si>
  <si>
    <t>'105-67-9</t>
  </si>
  <si>
    <t>'108-47-4</t>
  </si>
  <si>
    <t>'1198-37-4</t>
  </si>
  <si>
    <t>'1320-18-9</t>
  </si>
  <si>
    <t>'1929-73-3</t>
  </si>
  <si>
    <t>'94-80-4</t>
  </si>
  <si>
    <t>'2683-43-4</t>
  </si>
  <si>
    <t>'554-00-7</t>
  </si>
  <si>
    <t>'120-83-2</t>
  </si>
  <si>
    <t>'611-06-3</t>
  </si>
  <si>
    <t>'2971-38-2</t>
  </si>
  <si>
    <t>'53-19-0</t>
  </si>
  <si>
    <t>'3424-82-6</t>
  </si>
  <si>
    <t>'789-02-6</t>
  </si>
  <si>
    <t>'97-02-9</t>
  </si>
  <si>
    <t>'51-28-5</t>
  </si>
  <si>
    <t>'121-14-2</t>
  </si>
  <si>
    <t>'2702-72-9</t>
  </si>
  <si>
    <t>'120-36-5</t>
  </si>
  <si>
    <t>'94-11-1</t>
  </si>
  <si>
    <t>'96-76-4</t>
  </si>
  <si>
    <t>'584-84-9</t>
  </si>
  <si>
    <t>'95-68-1</t>
  </si>
  <si>
    <t>'112-49-2</t>
  </si>
  <si>
    <t>'592-13-2</t>
  </si>
  <si>
    <t>'95-87-4</t>
  </si>
  <si>
    <t>'94-85-9</t>
  </si>
  <si>
    <t>'6627-34-5</t>
  </si>
  <si>
    <t>'15944-74-8</t>
  </si>
  <si>
    <t>'95-82-9</t>
  </si>
  <si>
    <t>'583-78-8</t>
  </si>
  <si>
    <t>'89-61-2</t>
  </si>
  <si>
    <t>'329-71-5</t>
  </si>
  <si>
    <t>'619-15-8</t>
  </si>
  <si>
    <t>'108-31-6</t>
  </si>
  <si>
    <t>'95-78-3</t>
  </si>
  <si>
    <t>'638-36-8</t>
  </si>
  <si>
    <t>'1921-70-6</t>
  </si>
  <si>
    <t>'73606-19-6</t>
  </si>
  <si>
    <t>'59229-75-3</t>
  </si>
  <si>
    <t>'108-82-7</t>
  </si>
  <si>
    <t>'108-83-8</t>
  </si>
  <si>
    <t>'576-26-1</t>
  </si>
  <si>
    <t>'108-48-5</t>
  </si>
  <si>
    <t>'877-43-0</t>
  </si>
  <si>
    <t>'579-66-8</t>
  </si>
  <si>
    <t>'64063-37-2</t>
  </si>
  <si>
    <t>'2432-12-4</t>
  </si>
  <si>
    <t>'99-30-9</t>
  </si>
  <si>
    <t>'608-31-1</t>
  </si>
  <si>
    <t>'2008-58-4</t>
  </si>
  <si>
    <t>'87-65-0</t>
  </si>
  <si>
    <t>'50-30-6</t>
  </si>
  <si>
    <t>'18063-03-1</t>
  </si>
  <si>
    <t>'606-22-4</t>
  </si>
  <si>
    <t>'573-56-8</t>
  </si>
  <si>
    <t>'606-20-2</t>
  </si>
  <si>
    <t>'719-22-2</t>
  </si>
  <si>
    <t>'128-39-2</t>
  </si>
  <si>
    <t>'823-40-5</t>
  </si>
  <si>
    <t>'91-08-7</t>
  </si>
  <si>
    <t>'87-62-7</t>
  </si>
  <si>
    <t>'83329-89-9</t>
  </si>
  <si>
    <t>'35572-78-2</t>
  </si>
  <si>
    <t>'95-85-2</t>
  </si>
  <si>
    <t>'603-83-8</t>
  </si>
  <si>
    <t>'140-31-8</t>
  </si>
  <si>
    <t>'91-59-8</t>
  </si>
  <si>
    <t>'551-93-9</t>
  </si>
  <si>
    <t>'117-79-3</t>
  </si>
  <si>
    <t>'136-95-8</t>
  </si>
  <si>
    <t>'82050-13-3</t>
  </si>
  <si>
    <t>'2491-38-5</t>
  </si>
  <si>
    <t>'112-12-9</t>
  </si>
  <si>
    <t>'629-66-3</t>
  </si>
  <si>
    <t>'1589-47-5</t>
  </si>
  <si>
    <t>'994-05-8</t>
  </si>
  <si>
    <t>'3251-56-7</t>
  </si>
  <si>
    <t>'90-04-0</t>
  </si>
  <si>
    <t>'109-86-4</t>
  </si>
  <si>
    <t>'110-49-6</t>
  </si>
  <si>
    <t>'93-04-9</t>
  </si>
  <si>
    <t>'78-84-2</t>
  </si>
  <si>
    <t>'513-44-0</t>
  </si>
  <si>
    <t>'100-86-7</t>
  </si>
  <si>
    <t>'75-66-1</t>
  </si>
  <si>
    <t>'75-85-4</t>
  </si>
  <si>
    <t>'2682-20-4</t>
  </si>
  <si>
    <t>'16584-00-2</t>
  </si>
  <si>
    <t>'2346-00-1</t>
  </si>
  <si>
    <t>'696-23-1</t>
  </si>
  <si>
    <t>'95-53-4</t>
  </si>
  <si>
    <t>'78-83-1</t>
  </si>
  <si>
    <t>'78-78-4</t>
  </si>
  <si>
    <t>'107-83-5</t>
  </si>
  <si>
    <t>'591-76-4</t>
  </si>
  <si>
    <t>'4536-23-6</t>
  </si>
  <si>
    <t>'592-27-8</t>
  </si>
  <si>
    <t>'91-57-6</t>
  </si>
  <si>
    <t>'120-75-2</t>
  </si>
  <si>
    <t>'95-20-5</t>
  </si>
  <si>
    <t>'75-86-5</t>
  </si>
  <si>
    <t>'109-06-8</t>
  </si>
  <si>
    <t>'91-63-4</t>
  </si>
  <si>
    <t>'615-22-5</t>
  </si>
  <si>
    <t>'637-92-3</t>
  </si>
  <si>
    <t>'919-94-8</t>
  </si>
  <si>
    <t>'110-80-5</t>
  </si>
  <si>
    <t>'2679-87-0</t>
  </si>
  <si>
    <t>'104-76-7</t>
  </si>
  <si>
    <t>'149-57-5</t>
  </si>
  <si>
    <t>'5466-77-3</t>
  </si>
  <si>
    <t>'1241-94-7</t>
  </si>
  <si>
    <t>'27247-96-7</t>
  </si>
  <si>
    <t>'103-11-7</t>
  </si>
  <si>
    <t>'90-00-6</t>
  </si>
  <si>
    <t>'611-14-3</t>
  </si>
  <si>
    <t>'84-51-5</t>
  </si>
  <si>
    <t>'30223-73-5</t>
  </si>
  <si>
    <t>'75-33-2</t>
  </si>
  <si>
    <t>'79-10-7</t>
  </si>
  <si>
    <t>'67-63-0</t>
  </si>
  <si>
    <t>'10042-59-8</t>
  </si>
  <si>
    <t>'34880-43-8</t>
  </si>
  <si>
    <t>'56247-53-1</t>
  </si>
  <si>
    <t>'644-35-9</t>
  </si>
  <si>
    <t>'300-57-2</t>
  </si>
  <si>
    <t>'513-53-1</t>
  </si>
  <si>
    <t>'78-92-2</t>
  </si>
  <si>
    <t>'78-93-3</t>
  </si>
  <si>
    <t>'111-76-2</t>
  </si>
  <si>
    <t>'112-07-2</t>
  </si>
  <si>
    <t>'107-87-9</t>
  </si>
  <si>
    <t>'626-93-7</t>
  </si>
  <si>
    <t>'591-78-6</t>
  </si>
  <si>
    <t>'123-96-6</t>
  </si>
  <si>
    <t>'26530-20-1</t>
  </si>
  <si>
    <t>'515-40-2</t>
  </si>
  <si>
    <t>'95-72-7</t>
  </si>
  <si>
    <t>'5976-47-6</t>
  </si>
  <si>
    <t>'615-65-6</t>
  </si>
  <si>
    <t>'121-87-9</t>
  </si>
  <si>
    <t>'121-86-8</t>
  </si>
  <si>
    <t>'95-81-8</t>
  </si>
  <si>
    <t>'615-74-7</t>
  </si>
  <si>
    <t>'6283-25-6</t>
  </si>
  <si>
    <t>'13290-74-9</t>
  </si>
  <si>
    <t>'87-63-8</t>
  </si>
  <si>
    <t>'87-64-9</t>
  </si>
  <si>
    <t>'66073-54-9</t>
  </si>
  <si>
    <t>'769-11-9</t>
  </si>
  <si>
    <t>'83-42-1</t>
  </si>
  <si>
    <t>'1929-82-4</t>
  </si>
  <si>
    <t>'95-51-2</t>
  </si>
  <si>
    <t>'107-07-3</t>
  </si>
  <si>
    <t>'75-29-6</t>
  </si>
  <si>
    <t>'628-34-2</t>
  </si>
  <si>
    <t>'95-57-8</t>
  </si>
  <si>
    <t>'91-58-7</t>
  </si>
  <si>
    <t>'95-49-8</t>
  </si>
  <si>
    <t>'79-07-2</t>
  </si>
  <si>
    <t>'532-27-4</t>
  </si>
  <si>
    <t>'78-85-3</t>
  </si>
  <si>
    <t>'122-98-5</t>
  </si>
  <si>
    <t>'64-04-0</t>
  </si>
  <si>
    <t>'90-43-7</t>
  </si>
  <si>
    <t>'4273-98-7</t>
  </si>
  <si>
    <t>'109-84-2</t>
  </si>
  <si>
    <t>'135-19-3</t>
  </si>
  <si>
    <t>'2163-68-0</t>
  </si>
  <si>
    <t>'934-34-9</t>
  </si>
  <si>
    <t>'51146-55-5</t>
  </si>
  <si>
    <t>'1323-03-1</t>
  </si>
  <si>
    <t>'88-74-4</t>
  </si>
  <si>
    <t>'79-46-9</t>
  </si>
  <si>
    <t>'119-75-5</t>
  </si>
  <si>
    <t>'88-75-5</t>
  </si>
  <si>
    <t>'88-72-2</t>
  </si>
  <si>
    <t>'119-33-5</t>
  </si>
  <si>
    <t>'120-18-3</t>
  </si>
  <si>
    <t>'502-44-3</t>
  </si>
  <si>
    <t>'27619-97-2</t>
  </si>
  <si>
    <t>'88-17-5</t>
  </si>
  <si>
    <t>'360-64-5</t>
  </si>
  <si>
    <t>'53-96-3</t>
  </si>
  <si>
    <t>'1192-62-7</t>
  </si>
  <si>
    <t>'1072-83-9</t>
  </si>
  <si>
    <t>'134-29-2</t>
  </si>
  <si>
    <t>'149-30-4</t>
  </si>
  <si>
    <t>'3741-80-8</t>
  </si>
  <si>
    <t>'95-33-0</t>
  </si>
  <si>
    <t>'4169-04-4</t>
  </si>
  <si>
    <t>'122-99-6</t>
  </si>
  <si>
    <t>'98-00-0</t>
  </si>
  <si>
    <t>'88-69-7</t>
  </si>
  <si>
    <t>'102-77-2</t>
  </si>
  <si>
    <t>'616-45-5</t>
  </si>
  <si>
    <t>'25152-84-5</t>
  </si>
  <si>
    <t>'121-00-6</t>
  </si>
  <si>
    <t>'88-18-6</t>
  </si>
  <si>
    <t>'20325-40-0</t>
  </si>
  <si>
    <t>'111984-09-9</t>
  </si>
  <si>
    <t>'119-90-4</t>
  </si>
  <si>
    <t>'41766-75-0</t>
  </si>
  <si>
    <t>'119-93-7</t>
  </si>
  <si>
    <t>'612-83-9</t>
  </si>
  <si>
    <t>'64969-34-2</t>
  </si>
  <si>
    <t>'91-94-1</t>
  </si>
  <si>
    <t>'1639-31-2</t>
  </si>
  <si>
    <t>'527-54-8</t>
  </si>
  <si>
    <t>'634-91-3</t>
  </si>
  <si>
    <t>'609-19-8</t>
  </si>
  <si>
    <t>'4764-17-4</t>
  </si>
  <si>
    <t>'42542-10-9</t>
  </si>
  <si>
    <t>'95-64-7</t>
  </si>
  <si>
    <t>'95-65-8</t>
  </si>
  <si>
    <t>'3637-01-2</t>
  </si>
  <si>
    <t>'583-58-4</t>
  </si>
  <si>
    <t>'2820-37-3</t>
  </si>
  <si>
    <t>'95-76-1</t>
  </si>
  <si>
    <t>'51-44-5</t>
  </si>
  <si>
    <t>'95-77-2</t>
  </si>
  <si>
    <t>'99-54-7</t>
  </si>
  <si>
    <t>'577-71-9</t>
  </si>
  <si>
    <t>'610-39-9</t>
  </si>
  <si>
    <t>'108-69-0</t>
  </si>
  <si>
    <t>'108-68-9</t>
  </si>
  <si>
    <t>'591-22-0</t>
  </si>
  <si>
    <t>'54644-28-9</t>
  </si>
  <si>
    <t>'626-43-7</t>
  </si>
  <si>
    <t>'591-35-5</t>
  </si>
  <si>
    <t>'618-87-1</t>
  </si>
  <si>
    <t>'586-11-88</t>
  </si>
  <si>
    <t>'618-85-9</t>
  </si>
  <si>
    <t>'645-72-7</t>
  </si>
  <si>
    <t>'107-74-4</t>
  </si>
  <si>
    <t>'107-11-9</t>
  </si>
  <si>
    <t>'133-90-4</t>
  </si>
  <si>
    <t>'3737-00-6</t>
  </si>
  <si>
    <t>'7774-82-5</t>
  </si>
  <si>
    <t>'34303-81-6</t>
  </si>
  <si>
    <t>'53778-72-6</t>
  </si>
  <si>
    <t>'765-70-8</t>
  </si>
  <si>
    <t>'108-44-1</t>
  </si>
  <si>
    <t>'96-14-0</t>
  </si>
  <si>
    <t>'105-43-1</t>
  </si>
  <si>
    <t>'589-34-4</t>
  </si>
  <si>
    <t>'589-81-1</t>
  </si>
  <si>
    <t>'585-74-0</t>
  </si>
  <si>
    <t>'56-49-5</t>
  </si>
  <si>
    <t>'108-99-6</t>
  </si>
  <si>
    <t>'1453-58-3</t>
  </si>
  <si>
    <t>'20189-42-8</t>
  </si>
  <si>
    <t>'620-17-7</t>
  </si>
  <si>
    <t>'620-14-4</t>
  </si>
  <si>
    <t>'584-02-1</t>
  </si>
  <si>
    <t>'563-47-3</t>
  </si>
  <si>
    <t>'87-60-5</t>
  </si>
  <si>
    <t>'59483-54-4</t>
  </si>
  <si>
    <t>'5345-54-0</t>
  </si>
  <si>
    <t>'95-74-9</t>
  </si>
  <si>
    <t>'13142-64-8</t>
  </si>
  <si>
    <t>'38939-88-7</t>
  </si>
  <si>
    <t>'108-42-9</t>
  </si>
  <si>
    <t>'542-76-7</t>
  </si>
  <si>
    <t>'107-05-1</t>
  </si>
  <si>
    <t>'108-43-0</t>
  </si>
  <si>
    <t>'6848-13-1</t>
  </si>
  <si>
    <t>'108-41-8</t>
  </si>
  <si>
    <t>'20503-92-8</t>
  </si>
  <si>
    <t>'16655-82-6</t>
  </si>
  <si>
    <t>'99-09-2</t>
  </si>
  <si>
    <t>'554-84-7</t>
  </si>
  <si>
    <t>'99-08-1</t>
  </si>
  <si>
    <t>'618-45-1</t>
  </si>
  <si>
    <t>'16709-30-1</t>
  </si>
  <si>
    <t>'585-34-2</t>
  </si>
  <si>
    <t>'21494-57-5</t>
  </si>
  <si>
    <t>'54549-72-3</t>
  </si>
  <si>
    <t>'101-77-9</t>
  </si>
  <si>
    <t>'101-68-8</t>
  </si>
  <si>
    <t>'101-14-4</t>
  </si>
  <si>
    <t>'101-61-1</t>
  </si>
  <si>
    <t>'101-80-4</t>
  </si>
  <si>
    <t>'90-98-2</t>
  </si>
  <si>
    <t>'72-54-8</t>
  </si>
  <si>
    <t>'72-55-9</t>
  </si>
  <si>
    <t>'50-29-3</t>
  </si>
  <si>
    <t>'80-09-1</t>
  </si>
  <si>
    <t>'139-65-1</t>
  </si>
  <si>
    <t>'64359-81-5</t>
  </si>
  <si>
    <t>'6641-64-1</t>
  </si>
  <si>
    <t>'1192-52-5</t>
  </si>
  <si>
    <t>'1570-65-6</t>
  </si>
  <si>
    <t>'19406-51-0</t>
  </si>
  <si>
    <t>'92-67-1</t>
  </si>
  <si>
    <t>'83-07-8</t>
  </si>
  <si>
    <t>'60-09-3</t>
  </si>
  <si>
    <t>'106-40-1</t>
  </si>
  <si>
    <t>'101-55-3</t>
  </si>
  <si>
    <t>'96-96-8</t>
  </si>
  <si>
    <t>'123-11-5</t>
  </si>
  <si>
    <t>'691-37-2</t>
  </si>
  <si>
    <t>'29878-31-7</t>
  </si>
  <si>
    <t>'108-11-2</t>
  </si>
  <si>
    <t>'108-10-1</t>
  </si>
  <si>
    <t>'89-62-3</t>
  </si>
  <si>
    <t>'119-32-4</t>
  </si>
  <si>
    <t>'52558-99-3</t>
  </si>
  <si>
    <t>'106-49-0</t>
  </si>
  <si>
    <t>'3770-48-7</t>
  </si>
  <si>
    <t>'16096-32-5</t>
  </si>
  <si>
    <t>'491-35-0</t>
  </si>
  <si>
    <t>'646-07-1</t>
  </si>
  <si>
    <t>'5877-42-9</t>
  </si>
  <si>
    <t>'66142-72-1</t>
  </si>
  <si>
    <t>'62126-77-6</t>
  </si>
  <si>
    <t>'78-21-7</t>
  </si>
  <si>
    <t>'123-07-9</t>
  </si>
  <si>
    <t>'622-96-8</t>
  </si>
  <si>
    <t>'55724-73-7</t>
  </si>
  <si>
    <t>'122-94-1</t>
  </si>
  <si>
    <t>'1806-26-4</t>
  </si>
  <si>
    <t>'101-67-7</t>
  </si>
  <si>
    <t>'104-40-5</t>
  </si>
  <si>
    <t>'122-88-3</t>
  </si>
  <si>
    <t>'5388-62-5</t>
  </si>
  <si>
    <t>'95-69-2</t>
  </si>
  <si>
    <t>'1570-64-5</t>
  </si>
  <si>
    <t>'89-63-4</t>
  </si>
  <si>
    <t>'89-59-8</t>
  </si>
  <si>
    <t>'89-21-4</t>
  </si>
  <si>
    <t>'7149-75-9</t>
  </si>
  <si>
    <t>'59-50-7</t>
  </si>
  <si>
    <t>'635-22-3</t>
  </si>
  <si>
    <t>'89-60-1</t>
  </si>
  <si>
    <t>'106-47-8</t>
  </si>
  <si>
    <t>'106-48-9</t>
  </si>
  <si>
    <t>'7005-72-3</t>
  </si>
  <si>
    <t>'932-96-7</t>
  </si>
  <si>
    <t>'106-43-4</t>
  </si>
  <si>
    <t>'589-92-4</t>
  </si>
  <si>
    <t>'60-11-7</t>
  </si>
  <si>
    <t>'793-24-8</t>
  </si>
  <si>
    <t>'5737-13-3</t>
  </si>
  <si>
    <t>'123-42-2</t>
  </si>
  <si>
    <t>'64118-84-9</t>
  </si>
  <si>
    <t>'100-01-6</t>
  </si>
  <si>
    <t>'100-23-2</t>
  </si>
  <si>
    <t>'92-93-3</t>
  </si>
  <si>
    <t>'836-30-6</t>
  </si>
  <si>
    <t>'100-02-7</t>
  </si>
  <si>
    <t>'99-99-0</t>
  </si>
  <si>
    <t>'156-10-5</t>
  </si>
  <si>
    <t>'1125-21-9</t>
  </si>
  <si>
    <t>'599-64-4</t>
  </si>
  <si>
    <t>'1672-58-8</t>
  </si>
  <si>
    <t>'99-88-7</t>
  </si>
  <si>
    <t>'99-89-8</t>
  </si>
  <si>
    <t>'26543-97-5</t>
  </si>
  <si>
    <t>'156609-10-8</t>
  </si>
  <si>
    <t>'2040-10-0</t>
  </si>
  <si>
    <t>'98-54-4</t>
  </si>
  <si>
    <t>'98-53-3</t>
  </si>
  <si>
    <t>'140-66-9</t>
  </si>
  <si>
    <t>'100-40-3</t>
  </si>
  <si>
    <t>'15356-74-8</t>
  </si>
  <si>
    <t>'136-85-6</t>
  </si>
  <si>
    <t>'110-12-3</t>
  </si>
  <si>
    <t>'3697-24-3</t>
  </si>
  <si>
    <t>'2809-64-5</t>
  </si>
  <si>
    <t>'120-71-8</t>
  </si>
  <si>
    <t>'16219-75-3</t>
  </si>
  <si>
    <t>'26172-55-4</t>
  </si>
  <si>
    <t>'95-79-4</t>
  </si>
  <si>
    <t>'1635-61-6</t>
  </si>
  <si>
    <t>'5367-28-2</t>
  </si>
  <si>
    <t>'256-96-2</t>
  </si>
  <si>
    <t>'948-71-0</t>
  </si>
  <si>
    <t>'99-59-2</t>
  </si>
  <si>
    <t>'99-55-8</t>
  </si>
  <si>
    <t>'601-53-6</t>
  </si>
  <si>
    <t>'570-74-1</t>
  </si>
  <si>
    <t>'499-75-2</t>
  </si>
  <si>
    <t>'502-69-2</t>
  </si>
  <si>
    <t>'3531-19-9</t>
  </si>
  <si>
    <t>'607-91-0</t>
  </si>
  <si>
    <t>'89-83-8</t>
  </si>
  <si>
    <t>'2784-73-8</t>
  </si>
  <si>
    <t>'2445-83-2</t>
  </si>
  <si>
    <t>'194-59-2</t>
  </si>
  <si>
    <t>'517-04-4</t>
  </si>
  <si>
    <t>'148-24-3</t>
  </si>
  <si>
    <t>'756426-58-1</t>
  </si>
  <si>
    <t>'2091-29-4</t>
  </si>
  <si>
    <t>'5090-41-5</t>
  </si>
  <si>
    <t>'486-25-9</t>
  </si>
  <si>
    <t>NVT</t>
  </si>
  <si>
    <t>'NVT</t>
  </si>
  <si>
    <t>'13171-00-1</t>
  </si>
  <si>
    <t>'958445-44-8</t>
  </si>
  <si>
    <t>'15323-35-0</t>
  </si>
  <si>
    <t>'1506-02-1</t>
  </si>
  <si>
    <t>'1066-51-9</t>
  </si>
  <si>
    <t>'32388-55-9</t>
  </si>
  <si>
    <t>'21145-77-7</t>
  </si>
  <si>
    <t>'56-65-5</t>
  </si>
  <si>
    <t>'68140-48-7</t>
  </si>
  <si>
    <t>'7440-34-8</t>
  </si>
  <si>
    <t>'14331-83-0</t>
  </si>
  <si>
    <t>'83-32-9</t>
  </si>
  <si>
    <t>'208-96-8</t>
  </si>
  <si>
    <t>'7440-22-4</t>
  </si>
  <si>
    <t>'378784-24-8</t>
  </si>
  <si>
    <t>'15760-04-0</t>
  </si>
  <si>
    <t>'7429-90-5</t>
  </si>
  <si>
    <t>'1327-41-9</t>
  </si>
  <si>
    <t>'22537-23-1</t>
  </si>
  <si>
    <t>'1344-28-1</t>
  </si>
  <si>
    <t>'20859-73-8</t>
  </si>
  <si>
    <t>'10043-01-3</t>
  </si>
  <si>
    <t>'7440-35-9</t>
  </si>
  <si>
    <t>'86954-36-1</t>
  </si>
  <si>
    <t>'13981-54-9</t>
  </si>
  <si>
    <t>'62-53-3</t>
  </si>
  <si>
    <t>'120-12-7</t>
  </si>
  <si>
    <t>'6419-19-8</t>
  </si>
  <si>
    <t>'2032-59-9</t>
  </si>
  <si>
    <t>'58-15-1</t>
  </si>
  <si>
    <t>'150114-71-9</t>
  </si>
  <si>
    <t>'7440-37-1</t>
  </si>
  <si>
    <t>'7440-38-2</t>
  </si>
  <si>
    <t>'15422-59-0</t>
  </si>
  <si>
    <t>'14304-78-0</t>
  </si>
  <si>
    <t>'15502-74-6</t>
  </si>
  <si>
    <t>'15584-04-0</t>
  </si>
  <si>
    <t>'7440-68-8</t>
  </si>
  <si>
    <t>'7440-57-5</t>
  </si>
  <si>
    <t>'10043-49-9</t>
  </si>
  <si>
    <t>'14391-11-8</t>
  </si>
  <si>
    <t>'7440-42-8</t>
  </si>
  <si>
    <t>'1303-86-2</t>
  </si>
  <si>
    <t>Bacteroides bacteriën</t>
  </si>
  <si>
    <t>'16079-88-2</t>
  </si>
  <si>
    <t>'128-37-0</t>
  </si>
  <si>
    <t>'103-23-1</t>
  </si>
  <si>
    <t>'10294-34-5</t>
  </si>
  <si>
    <t>'7637-07-2</t>
  </si>
  <si>
    <t>'7440-39-3</t>
  </si>
  <si>
    <t>'13981-41-4</t>
  </si>
  <si>
    <t>'14798-08-4</t>
  </si>
  <si>
    <t>'56-55-3</t>
  </si>
  <si>
    <t>'203-33-8</t>
  </si>
  <si>
    <t>'50-32-8</t>
  </si>
  <si>
    <t>'205-99-2</t>
  </si>
  <si>
    <t>'243-17-4</t>
  </si>
  <si>
    <t>'205-12-9</t>
  </si>
  <si>
    <t>'7440-41-7</t>
  </si>
  <si>
    <t>'13966-02-4</t>
  </si>
  <si>
    <t>'192-97-2</t>
  </si>
  <si>
    <t>'71-43-2</t>
  </si>
  <si>
    <t>'100-52-7</t>
  </si>
  <si>
    <t>'103-82-2</t>
  </si>
  <si>
    <t>'98-11-3</t>
  </si>
  <si>
    <t>'191-24-2</t>
  </si>
  <si>
    <t>'54037-14-8</t>
  </si>
  <si>
    <t>'7440-69-9</t>
  </si>
  <si>
    <t>'15776-19-9</t>
  </si>
  <si>
    <t>'13982-38-2</t>
  </si>
  <si>
    <t>'14331-79-4</t>
  </si>
  <si>
    <t>'14913-49-6</t>
  </si>
  <si>
    <t>'14733-03-0</t>
  </si>
  <si>
    <t>'205-82-3</t>
  </si>
  <si>
    <t>'7440-40-6</t>
  </si>
  <si>
    <t>'207-08-9</t>
  </si>
  <si>
    <t>'24959-67-9</t>
  </si>
  <si>
    <t>'7726-95-6</t>
  </si>
  <si>
    <t>'108-86-1</t>
  </si>
  <si>
    <t>'74-83-9</t>
  </si>
  <si>
    <t>'593-60-2</t>
  </si>
  <si>
    <t>'5589-96-8</t>
  </si>
  <si>
    <t>'71133-14-7</t>
  </si>
  <si>
    <t>'79-08-3</t>
  </si>
  <si>
    <t>'15541-45-4</t>
  </si>
  <si>
    <t>'56634-95-8</t>
  </si>
  <si>
    <t>'1689-99-2</t>
  </si>
  <si>
    <t>'1689-84-5</t>
  </si>
  <si>
    <t>'75-62-7</t>
  </si>
  <si>
    <t>'1715-40-8</t>
  </si>
  <si>
    <t>'25614-03-3</t>
  </si>
  <si>
    <t>'13181-17-4</t>
  </si>
  <si>
    <t>'13104-21-7</t>
  </si>
  <si>
    <t>'18181-80-1</t>
  </si>
  <si>
    <t>'53808-86-9</t>
  </si>
  <si>
    <t>'7440-44-0</t>
  </si>
  <si>
    <t>'68515-49-1</t>
  </si>
  <si>
    <t>'124-18-5</t>
  </si>
  <si>
    <t>'334-48-5</t>
  </si>
  <si>
    <t>'1120-21-4</t>
  </si>
  <si>
    <t>'112-37-8</t>
  </si>
  <si>
    <t>'112-38-9</t>
  </si>
  <si>
    <t>'85409-23-0</t>
  </si>
  <si>
    <t>'68424-85-1</t>
  </si>
  <si>
    <t>'92129-28-7</t>
  </si>
  <si>
    <t>'112-40-3</t>
  </si>
  <si>
    <t>'120-40-1</t>
  </si>
  <si>
    <t>'143-07-7</t>
  </si>
  <si>
    <t>'151-41-7</t>
  </si>
  <si>
    <t>'112-00-5</t>
  </si>
  <si>
    <t>'14762-74-4</t>
  </si>
  <si>
    <t>'68515-47-9</t>
  </si>
  <si>
    <t>'638-53-9</t>
  </si>
  <si>
    <t>'14762-75-5</t>
  </si>
  <si>
    <t>'68155-39-5</t>
  </si>
  <si>
    <t>'544-63-8</t>
  </si>
  <si>
    <t>'4574-04-3</t>
  </si>
  <si>
    <t>'2765-11-9</t>
  </si>
  <si>
    <t>'1002-84-2</t>
  </si>
  <si>
    <t>'57-10-3</t>
  </si>
  <si>
    <t>'112-02-7</t>
  </si>
  <si>
    <t>'506-12-7</t>
  </si>
  <si>
    <t>'638-66-4</t>
  </si>
  <si>
    <t>'57-11-4</t>
  </si>
  <si>
    <t>'74-82-8</t>
  </si>
  <si>
    <t>'50-00-0</t>
  </si>
  <si>
    <t>'74-93-1</t>
  </si>
  <si>
    <t>'64-18-6</t>
  </si>
  <si>
    <t>'67-56-1</t>
  </si>
  <si>
    <t>'924-42-5</t>
  </si>
  <si>
    <t>'123-88-6</t>
  </si>
  <si>
    <t>'84540-57-8</t>
  </si>
  <si>
    <t>'72-43-5</t>
  </si>
  <si>
    <t>'625-45-6</t>
  </si>
  <si>
    <t>'161050-58-4</t>
  </si>
  <si>
    <t>'5129-60-2</t>
  </si>
  <si>
    <t>'30350-73-3</t>
  </si>
  <si>
    <t>'29385-43-1</t>
  </si>
  <si>
    <t>'17790-81-7</t>
  </si>
  <si>
    <t>'593-51-1</t>
  </si>
  <si>
    <t>'100-61-8</t>
  </si>
  <si>
    <t>'2104-96-3</t>
  </si>
  <si>
    <t>'10595-95-6</t>
  </si>
  <si>
    <t>'104-90-5</t>
  </si>
  <si>
    <t>'554-12-1</t>
  </si>
  <si>
    <t>'623-42-7</t>
  </si>
  <si>
    <t>'106-70-7</t>
  </si>
  <si>
    <t>'79-22-1</t>
  </si>
  <si>
    <t>'5598-13-0</t>
  </si>
  <si>
    <t>'3735-92-0</t>
  </si>
  <si>
    <t>'24851-98-7</t>
  </si>
  <si>
    <t>'3112-85-4</t>
  </si>
  <si>
    <t>'22967-92-6</t>
  </si>
  <si>
    <t>'3626-13-9</t>
  </si>
  <si>
    <t>'4549-40-0</t>
  </si>
  <si>
    <t>'684-93-5</t>
  </si>
  <si>
    <t>'1321-94-4</t>
  </si>
  <si>
    <t>'301-12-2</t>
  </si>
  <si>
    <t>'4640-01-1</t>
  </si>
  <si>
    <t>'928-36-9</t>
  </si>
  <si>
    <t>'126-98-7</t>
  </si>
  <si>
    <t>'96-33-3</t>
  </si>
  <si>
    <t>'79-20-9</t>
  </si>
  <si>
    <t>'86-50-0</t>
  </si>
  <si>
    <t>'598-55-0</t>
  </si>
  <si>
    <t>'96-37-7</t>
  </si>
  <si>
    <t>'693-89-0</t>
  </si>
  <si>
    <t>'108-87-2</t>
  </si>
  <si>
    <t>'17254-80-7</t>
  </si>
  <si>
    <t>'6317-18-6</t>
  </si>
  <si>
    <t>'107-31-3</t>
  </si>
  <si>
    <t>'52756-25-9</t>
  </si>
  <si>
    <t>'60-34-4</t>
  </si>
  <si>
    <t>'624-83-9</t>
  </si>
  <si>
    <t>'27323-28-0</t>
  </si>
  <si>
    <t>'556-61-6</t>
  </si>
  <si>
    <t>'74223-64-6</t>
  </si>
  <si>
    <t>'80-62-6</t>
  </si>
  <si>
    <t>'85-07-4</t>
  </si>
  <si>
    <t>'29232-93-7</t>
  </si>
  <si>
    <t>'298-00-0</t>
  </si>
  <si>
    <t>'1634-04-4</t>
  </si>
  <si>
    <t>'2363-71-5</t>
  </si>
  <si>
    <t>'112-85-6</t>
  </si>
  <si>
    <t>'2433-96-7</t>
  </si>
  <si>
    <t>'557-59-5</t>
  </si>
  <si>
    <t>'630-02-4</t>
  </si>
  <si>
    <t>'64-17-5</t>
  </si>
  <si>
    <t>'74-84-0</t>
  </si>
  <si>
    <t>'75-07-0</t>
  </si>
  <si>
    <t>'75-08-1</t>
  </si>
  <si>
    <t>'74-85-1</t>
  </si>
  <si>
    <t>'111-15-9</t>
  </si>
  <si>
    <t>'126801-58-9</t>
  </si>
  <si>
    <t>'1077-56-1</t>
  </si>
  <si>
    <t>'22446-38-4</t>
  </si>
  <si>
    <t>'510-15-6</t>
  </si>
  <si>
    <t>'75-04-7</t>
  </si>
  <si>
    <t>'103-69-5</t>
  </si>
  <si>
    <t>'100-41-4</t>
  </si>
  <si>
    <t>'4824-78-6</t>
  </si>
  <si>
    <t>'94-96-2</t>
  </si>
  <si>
    <t>'541-41-3</t>
  </si>
  <si>
    <t>'2921-88-2</t>
  </si>
  <si>
    <t>'107-26-6</t>
  </si>
  <si>
    <t>'25550-14-5</t>
  </si>
  <si>
    <t>'140-88-5</t>
  </si>
  <si>
    <t>'141-78-6</t>
  </si>
  <si>
    <t>'2642-71-9</t>
  </si>
  <si>
    <t>'105-54-4</t>
  </si>
  <si>
    <t>'107-15-3</t>
  </si>
  <si>
    <t>'75-21-8</t>
  </si>
  <si>
    <t>'111-54-6</t>
  </si>
  <si>
    <t>'628-96-6</t>
  </si>
  <si>
    <t>'151-56-4</t>
  </si>
  <si>
    <t>'96-45-7</t>
  </si>
  <si>
    <t>'97-63-2</t>
  </si>
  <si>
    <t>'23505-41-1</t>
  </si>
  <si>
    <t>'56-38-2</t>
  </si>
  <si>
    <t>'123-38-6</t>
  </si>
  <si>
    <t>'1120-71-4</t>
  </si>
  <si>
    <t>'71-23-8</t>
  </si>
  <si>
    <t>'109-60-4</t>
  </si>
  <si>
    <t>'75-56-9</t>
  </si>
  <si>
    <t>'75-55-8</t>
  </si>
  <si>
    <t>'1066-40-6</t>
  </si>
  <si>
    <t>'9003-13-8</t>
  </si>
  <si>
    <t>'106-97-8</t>
  </si>
  <si>
    <t>'123-72-8</t>
  </si>
  <si>
    <t>'71-36-3</t>
  </si>
  <si>
    <t>'104-51-8</t>
  </si>
  <si>
    <t>'3622-84-2</t>
  </si>
  <si>
    <t>'80-44-4</t>
  </si>
  <si>
    <t>'111-06-8</t>
  </si>
  <si>
    <t>'141-32-2</t>
  </si>
  <si>
    <t>'123-86-4</t>
  </si>
  <si>
    <t>'2008-41-5</t>
  </si>
  <si>
    <t>'97-88-1</t>
  </si>
  <si>
    <t>'109-66-0</t>
  </si>
  <si>
    <t>'110-62-3</t>
  </si>
  <si>
    <t>'71-41-0</t>
  </si>
  <si>
    <t>'462-06-6</t>
  </si>
  <si>
    <t>'110-54-3</t>
  </si>
  <si>
    <t>'66-25-1</t>
  </si>
  <si>
    <t>'142-62-1</t>
  </si>
  <si>
    <t>'1077-16-3</t>
  </si>
  <si>
    <t>'107-41-5</t>
  </si>
  <si>
    <t>'142-82-5</t>
  </si>
  <si>
    <t>'111-14-8</t>
  </si>
  <si>
    <t>'106-73-0</t>
  </si>
  <si>
    <t>'1078-71-3</t>
  </si>
  <si>
    <t>'63449-41-2</t>
  </si>
  <si>
    <t>'111-65-9</t>
  </si>
  <si>
    <t>'124-13-0</t>
  </si>
  <si>
    <t>'124-07-2</t>
  </si>
  <si>
    <t>'113-48-4</t>
  </si>
  <si>
    <t>'9036-19-5</t>
  </si>
  <si>
    <t>'68515-48-0</t>
  </si>
  <si>
    <t>'111-84-2</t>
  </si>
  <si>
    <t>'124-19-6</t>
  </si>
  <si>
    <t>'112-05-0</t>
  </si>
  <si>
    <t>'25154-52-3</t>
  </si>
  <si>
    <t>'116412-83-0</t>
  </si>
  <si>
    <t>'75-69-4</t>
  </si>
  <si>
    <t>'79-38-9</t>
  </si>
  <si>
    <t>'76-12-0</t>
  </si>
  <si>
    <t>'76-13-1</t>
  </si>
  <si>
    <t>'76-14-2</t>
  </si>
  <si>
    <t>'76-15-3</t>
  </si>
  <si>
    <t>'75-71-8</t>
  </si>
  <si>
    <t>'75-72-9</t>
  </si>
  <si>
    <t>'479-61-8</t>
  </si>
  <si>
    <t>'519-62-0</t>
  </si>
  <si>
    <t>'9000-11-7</t>
  </si>
  <si>
    <t>'630-08-0</t>
  </si>
  <si>
    <t>'57-12-5</t>
  </si>
  <si>
    <t>'21725-46-2</t>
  </si>
  <si>
    <t>'108-77-0</t>
  </si>
  <si>
    <t>'108-80-5</t>
  </si>
  <si>
    <t>'124-38-9</t>
  </si>
  <si>
    <t>'3812-32-6</t>
  </si>
  <si>
    <t>'75-15-0</t>
  </si>
  <si>
    <t>'57-09-0</t>
  </si>
  <si>
    <t>'7440-70-2</t>
  </si>
  <si>
    <t>'14391-99-2</t>
  </si>
  <si>
    <t>'471-34-1</t>
  </si>
  <si>
    <t>'10043-52-4</t>
  </si>
  <si>
    <t>'1305-78-8</t>
  </si>
  <si>
    <t>'1305-62-0</t>
  </si>
  <si>
    <t>'7778-18-9</t>
  </si>
  <si>
    <t>'156-62-7</t>
  </si>
  <si>
    <t>'7440-43-9</t>
  </si>
  <si>
    <t>'14109-32-1</t>
  </si>
  <si>
    <t>'7440-45-1</t>
  </si>
  <si>
    <t>'13982-30-4</t>
  </si>
  <si>
    <t>'13967-74-3</t>
  </si>
  <si>
    <t>'14762-78-8</t>
  </si>
  <si>
    <t>'1306-38-3</t>
  </si>
  <si>
    <t>'7440-71-3</t>
  </si>
  <si>
    <t>'15237-97-5</t>
  </si>
  <si>
    <t>'15765-19-2</t>
  </si>
  <si>
    <t>'218-01-9</t>
  </si>
  <si>
    <t>'16887-00-6</t>
  </si>
  <si>
    <t>'7782-50-5</t>
  </si>
  <si>
    <t>'127-65-1</t>
  </si>
  <si>
    <t>'108-90-7</t>
  </si>
  <si>
    <t>'74-87-3</t>
  </si>
  <si>
    <t>'75-00-3</t>
  </si>
  <si>
    <t>'75-01-4</t>
  </si>
  <si>
    <t>'5836-10-2</t>
  </si>
  <si>
    <t>'107-30-2</t>
  </si>
  <si>
    <t>'10049-04-4</t>
  </si>
  <si>
    <t>'367-21-5</t>
  </si>
  <si>
    <t>'79-11-8</t>
  </si>
  <si>
    <t>'25167-93-5</t>
  </si>
  <si>
    <t>'14998-27-7</t>
  </si>
  <si>
    <t>'14866-68-3</t>
  </si>
  <si>
    <t>'1891-95-8</t>
  </si>
  <si>
    <t>'64-72-2</t>
  </si>
  <si>
    <t>'57-62-5</t>
  </si>
  <si>
    <t>'1667-04-5</t>
  </si>
  <si>
    <t>'13932-10-0</t>
  </si>
  <si>
    <t>'107-20-0</t>
  </si>
  <si>
    <t>'78-95-5</t>
  </si>
  <si>
    <t>'56-75-7</t>
  </si>
  <si>
    <t>'302-17-0</t>
  </si>
  <si>
    <t>'1967-16-4</t>
  </si>
  <si>
    <t>'13360-45-7</t>
  </si>
  <si>
    <t>'103-17-3</t>
  </si>
  <si>
    <t>'542-18-7</t>
  </si>
  <si>
    <t>'57-74-9</t>
  </si>
  <si>
    <t>'122453-73-0</t>
  </si>
  <si>
    <t>'71422-67-8</t>
  </si>
  <si>
    <t>'120-32-1</t>
  </si>
  <si>
    <t>'80-33-1</t>
  </si>
  <si>
    <t>'470-90-6</t>
  </si>
  <si>
    <t>'1698-60-8</t>
  </si>
  <si>
    <t>'24934-91-6</t>
  </si>
  <si>
    <t>'999-81-5</t>
  </si>
  <si>
    <t>'1982-47-4</t>
  </si>
  <si>
    <t>'76-06-2</t>
  </si>
  <si>
    <t>'101-21-3</t>
  </si>
  <si>
    <t>'50-53-3</t>
  </si>
  <si>
    <t>'126-99-8</t>
  </si>
  <si>
    <t>'113-59-7</t>
  </si>
  <si>
    <t>'50-63-5</t>
  </si>
  <si>
    <t>'64902-72-3</t>
  </si>
  <si>
    <t>'1918-13-4</t>
  </si>
  <si>
    <t>'1897-45-6</t>
  </si>
  <si>
    <t>'15545-48-9</t>
  </si>
  <si>
    <t>'21923-23-9</t>
  </si>
  <si>
    <t>'77503-29-8</t>
  </si>
  <si>
    <t>'7440-51-9</t>
  </si>
  <si>
    <t>'15757-87-6</t>
  </si>
  <si>
    <t>'15621-76-8</t>
  </si>
  <si>
    <t>'15758-32-4</t>
  </si>
  <si>
    <t>'54084-26-3</t>
  </si>
  <si>
    <t>'7440-48-4</t>
  </si>
  <si>
    <t>'14093-03-9</t>
  </si>
  <si>
    <t>'13981-50-5</t>
  </si>
  <si>
    <t>'13981-38-9</t>
  </si>
  <si>
    <t>'10198-40-0</t>
  </si>
  <si>
    <t>'7440-47-3</t>
  </si>
  <si>
    <t>'14392-02-0</t>
  </si>
  <si>
    <t>'16065-83-1</t>
  </si>
  <si>
    <t>'18540-29-9</t>
  </si>
  <si>
    <t>'7440-46-2</t>
  </si>
  <si>
    <t>'15758-03-9</t>
  </si>
  <si>
    <t>'13967-70-9</t>
  </si>
  <si>
    <t>'14234-29-8</t>
  </si>
  <si>
    <t>'10045-97-3</t>
  </si>
  <si>
    <t>'7440-50-8</t>
  </si>
  <si>
    <t>'1317-38-0</t>
  </si>
  <si>
    <t>'7758-98-7</t>
  </si>
  <si>
    <t>'420-05-3</t>
  </si>
  <si>
    <t>'7789-20-0</t>
  </si>
  <si>
    <t>'192-65-4</t>
  </si>
  <si>
    <t>'53-70-3</t>
  </si>
  <si>
    <t>'189-64-0</t>
  </si>
  <si>
    <t>'191-30-0</t>
  </si>
  <si>
    <t>'224-41-9</t>
  </si>
  <si>
    <t>'189-55-9</t>
  </si>
  <si>
    <t>'74-95-3</t>
  </si>
  <si>
    <t>'124-48-1</t>
  </si>
  <si>
    <t>'5278-95-5</t>
  </si>
  <si>
    <t>'631-64-1</t>
  </si>
  <si>
    <t>'85507-79-5</t>
  </si>
  <si>
    <t>'109-87-5</t>
  </si>
  <si>
    <t>'124-40-3</t>
  </si>
  <si>
    <t>'2300-66-5</t>
  </si>
  <si>
    <t>'506-59-2</t>
  </si>
  <si>
    <t>'75-60-5</t>
  </si>
  <si>
    <t>'75-83-2</t>
  </si>
  <si>
    <t>'2524-03-0</t>
  </si>
  <si>
    <t>'103-19-5</t>
  </si>
  <si>
    <t>'624-92-0</t>
  </si>
  <si>
    <t>'79-45-8</t>
  </si>
  <si>
    <t>'115-10-6</t>
  </si>
  <si>
    <t>'131-11-3</t>
  </si>
  <si>
    <t>'62-75-9</t>
  </si>
  <si>
    <t>'75-18-3</t>
  </si>
  <si>
    <t>'67-68-5</t>
  </si>
  <si>
    <t>'77-78-1</t>
  </si>
  <si>
    <t>'5756-24-1</t>
  </si>
  <si>
    <t>'3658-80-8</t>
  </si>
  <si>
    <t>'127-19-5</t>
  </si>
  <si>
    <t>'103-83-3</t>
  </si>
  <si>
    <t>'79-44-7</t>
  </si>
  <si>
    <t>'68-12-2</t>
  </si>
  <si>
    <t>'3984-14-3</t>
  </si>
  <si>
    <t>'111-42-2</t>
  </si>
  <si>
    <t>'109-89-7</t>
  </si>
  <si>
    <t>'4444-68-2</t>
  </si>
  <si>
    <t>'60-29-7</t>
  </si>
  <si>
    <t>'84-66-2</t>
  </si>
  <si>
    <t>'55-18-5</t>
  </si>
  <si>
    <t>'64-67-5</t>
  </si>
  <si>
    <t>'110-85-0</t>
  </si>
  <si>
    <t>'111-40-0</t>
  </si>
  <si>
    <t>'693-21-0</t>
  </si>
  <si>
    <t>'111-46-6</t>
  </si>
  <si>
    <t>'56-53-1</t>
  </si>
  <si>
    <t>'25265-71-8</t>
  </si>
  <si>
    <t>'142-84-7</t>
  </si>
  <si>
    <t>'131-16-8</t>
  </si>
  <si>
    <t>'621-64-7</t>
  </si>
  <si>
    <t>'34590-94-8</t>
  </si>
  <si>
    <t>'136-45-8</t>
  </si>
  <si>
    <t>'89197-69-3</t>
  </si>
  <si>
    <t>'111-92-2</t>
  </si>
  <si>
    <t>'84-74-2</t>
  </si>
  <si>
    <t>'924-16-3</t>
  </si>
  <si>
    <t>'14488-53-0</t>
  </si>
  <si>
    <t>'131-18-0</t>
  </si>
  <si>
    <t>'84-75-3</t>
  </si>
  <si>
    <t>'3648-21-3</t>
  </si>
  <si>
    <t>'73398-64-8</t>
  </si>
  <si>
    <t>'117-84-0</t>
  </si>
  <si>
    <t>'94410-05-6</t>
  </si>
  <si>
    <t>'84-76-4</t>
  </si>
  <si>
    <t>'75-27-4</t>
  </si>
  <si>
    <t>'75-09-2</t>
  </si>
  <si>
    <t>'26545-73-3</t>
  </si>
  <si>
    <t>'108-60-1</t>
  </si>
  <si>
    <t>'79-43-6</t>
  </si>
  <si>
    <t>'1331-47-1</t>
  </si>
  <si>
    <t>'97-23-4</t>
  </si>
  <si>
    <t>'15165-67-0</t>
  </si>
  <si>
    <t>'62-73-7</t>
  </si>
  <si>
    <t>'7281-04-1</t>
  </si>
  <si>
    <t>'139-07-1</t>
  </si>
  <si>
    <t>'2390-68-3</t>
  </si>
  <si>
    <t>'7173-51-5</t>
  </si>
  <si>
    <t>'2500-83-6</t>
  </si>
  <si>
    <t>'148-18-5</t>
  </si>
  <si>
    <t>'134-62-3</t>
  </si>
  <si>
    <t>'117-81-7</t>
  </si>
  <si>
    <t>'122-39-4</t>
  </si>
  <si>
    <t>'86-30-6</t>
  </si>
  <si>
    <t>'101-90-6</t>
  </si>
  <si>
    <t>'521-18-6</t>
  </si>
  <si>
    <t>'61789-80-8</t>
  </si>
  <si>
    <t>'80-97-7</t>
  </si>
  <si>
    <t>'18479-58-8</t>
  </si>
  <si>
    <t>'94-58-6</t>
  </si>
  <si>
    <t>'2164-07-0</t>
  </si>
  <si>
    <t>'66840-71-9</t>
  </si>
  <si>
    <t>'534-52-1</t>
  </si>
  <si>
    <t>'138-93-2</t>
  </si>
  <si>
    <t>'107-64-2</t>
  </si>
  <si>
    <t>'5538-94-3</t>
  </si>
  <si>
    <t>'919005-14-4</t>
  </si>
  <si>
    <t>'6988-21-2</t>
  </si>
  <si>
    <t>'3811-49-2</t>
  </si>
  <si>
    <t>'78-34-2</t>
  </si>
  <si>
    <t>'33704-61-9</t>
  </si>
  <si>
    <t>'67-43-6</t>
  </si>
  <si>
    <t>'15827-60-8</t>
  </si>
  <si>
    <t>'17682-70-1</t>
  </si>
  <si>
    <t>'10311-84-9</t>
  </si>
  <si>
    <t>'2303-16-4</t>
  </si>
  <si>
    <t>'334-88-3</t>
  </si>
  <si>
    <t>'1249-84-9</t>
  </si>
  <si>
    <t>'333-41-5</t>
  </si>
  <si>
    <t>'53850-35-4</t>
  </si>
  <si>
    <t>'103-49-1</t>
  </si>
  <si>
    <t>'226-36-8</t>
  </si>
  <si>
    <t>'224-42-0</t>
  </si>
  <si>
    <t>'523-31-9</t>
  </si>
  <si>
    <t>'132-64-9</t>
  </si>
  <si>
    <t>'1982-69-0</t>
  </si>
  <si>
    <t>'1918-00-9</t>
  </si>
  <si>
    <t>'1194-65-6</t>
  </si>
  <si>
    <t>'75736-33-3</t>
  </si>
  <si>
    <t>'84-61-7</t>
  </si>
  <si>
    <t>'77-73-6</t>
  </si>
  <si>
    <t>'77-19-0</t>
  </si>
  <si>
    <t>'51338-27-3</t>
  </si>
  <si>
    <t>'1085-98-9</t>
  </si>
  <si>
    <t>'115-32-2</t>
  </si>
  <si>
    <t>'40843-25-2</t>
  </si>
  <si>
    <t>'97-17-6</t>
  </si>
  <si>
    <t>'15307-86-5</t>
  </si>
  <si>
    <t>'3116-76-5</t>
  </si>
  <si>
    <t>'141-66-2</t>
  </si>
  <si>
    <t>'2227-17-0</t>
  </si>
  <si>
    <t>'1464-53-5</t>
  </si>
  <si>
    <t>'87130-20-9</t>
  </si>
  <si>
    <t>'38727-55-8</t>
  </si>
  <si>
    <t>'38725-95-0</t>
  </si>
  <si>
    <t>'957-51-7</t>
  </si>
  <si>
    <t>'35367-38-5</t>
  </si>
  <si>
    <t>'83164-33-4</t>
  </si>
  <si>
    <t>'58-73-1</t>
  </si>
  <si>
    <t>'56073-07-5</t>
  </si>
  <si>
    <t>'119446-68-3</t>
  </si>
  <si>
    <t>'14214-32-5</t>
  </si>
  <si>
    <t>'104653-34-1</t>
  </si>
  <si>
    <t>'80060-09-9</t>
  </si>
  <si>
    <t>'127-63-9</t>
  </si>
  <si>
    <t>'49866-87-7</t>
  </si>
  <si>
    <t>'43222-48-6</t>
  </si>
  <si>
    <t>'71011-27-3</t>
  </si>
  <si>
    <t>'68911-87-5</t>
  </si>
  <si>
    <t>'26761-40-0</t>
  </si>
  <si>
    <t>'96507-86-7</t>
  </si>
  <si>
    <t>'27253-26-5</t>
  </si>
  <si>
    <t>'108-18-9</t>
  </si>
  <si>
    <t>'108-20-3</t>
  </si>
  <si>
    <t>'605-45-8</t>
  </si>
  <si>
    <t>'2568-91-4</t>
  </si>
  <si>
    <t>'84-69-5</t>
  </si>
  <si>
    <t>'27554-26-3</t>
  </si>
  <si>
    <t>'28553-12-0</t>
  </si>
  <si>
    <t>'18467-77-1</t>
  </si>
  <si>
    <t>'551-92-8</t>
  </si>
  <si>
    <t>'34205-21-5</t>
  </si>
  <si>
    <t>'87674-68-8</t>
  </si>
  <si>
    <t>'50563-36-5</t>
  </si>
  <si>
    <t>'60-51-5</t>
  </si>
  <si>
    <t>'110488-70-5</t>
  </si>
  <si>
    <t>'205939-58-8</t>
  </si>
  <si>
    <t>'380412-59-9</t>
  </si>
  <si>
    <t>'163515-14-8</t>
  </si>
  <si>
    <t>'55290-64-7</t>
  </si>
  <si>
    <t>'5221-53-4</t>
  </si>
  <si>
    <t>'149961-52-4</t>
  </si>
  <si>
    <t>'973-21-7</t>
  </si>
  <si>
    <t>'83657-24-3</t>
  </si>
  <si>
    <t>'39300-45-3</t>
  </si>
  <si>
    <t>'2813-95-8</t>
  </si>
  <si>
    <t>'88-85-7</t>
  </si>
  <si>
    <t>'1420-07-1</t>
  </si>
  <si>
    <t>'5097-12-1</t>
  </si>
  <si>
    <t>'6315-52-2</t>
  </si>
  <si>
    <t>'131-73-7</t>
  </si>
  <si>
    <t>'58-32-2</t>
  </si>
  <si>
    <t>'85-00-7</t>
  </si>
  <si>
    <t>'6385-62-2</t>
  </si>
  <si>
    <t>'2764-72-9</t>
  </si>
  <si>
    <t>'54083-77-1</t>
  </si>
  <si>
    <t>'2497-07-6</t>
  </si>
  <si>
    <t>'298-04-4</t>
  </si>
  <si>
    <t>'2497-06-5</t>
  </si>
  <si>
    <t>'3347-22-6</t>
  </si>
  <si>
    <t>'5131-24-8</t>
  </si>
  <si>
    <t>'541-53-7</t>
  </si>
  <si>
    <t>'330-54-1</t>
  </si>
  <si>
    <t>'7429-91-6</t>
  </si>
  <si>
    <t>'113210-97-2</t>
  </si>
  <si>
    <t>'52304-36-6</t>
  </si>
  <si>
    <t>'60-00-4</t>
  </si>
  <si>
    <t>'1429-50-1</t>
  </si>
  <si>
    <t>'2104-64-5</t>
  </si>
  <si>
    <t>'759-94-4</t>
  </si>
  <si>
    <t>'28219-61-6</t>
  </si>
  <si>
    <t>'7440-52-0</t>
  </si>
  <si>
    <t>'7429-92-7</t>
  </si>
  <si>
    <t>'15840-03-6</t>
  </si>
  <si>
    <t>'4151-50-2</t>
  </si>
  <si>
    <t>'2991-50-6</t>
  </si>
  <si>
    <t>'7440-53-1</t>
  </si>
  <si>
    <t>'14683-23-9</t>
  </si>
  <si>
    <t>'15585-10-1</t>
  </si>
  <si>
    <t>'14391-16-3</t>
  </si>
  <si>
    <t>'16984-48-8</t>
  </si>
  <si>
    <t>'7782-41-4</t>
  </si>
  <si>
    <t>'3330-15-2</t>
  </si>
  <si>
    <t>'62037-80-3</t>
  </si>
  <si>
    <t>'13252-13-6</t>
  </si>
  <si>
    <t>'7439-89-6</t>
  </si>
  <si>
    <t>'14681-59-5</t>
  </si>
  <si>
    <t>'14596-12-4</t>
  </si>
  <si>
    <t>'7758-94-3</t>
  </si>
  <si>
    <t>'7705-08-0</t>
  </si>
  <si>
    <t>'15438-31-0</t>
  </si>
  <si>
    <t>'1309-37-1</t>
  </si>
  <si>
    <t>'13463-40-6</t>
  </si>
  <si>
    <t>'7720-78-7</t>
  </si>
  <si>
    <t>'85-01-8</t>
  </si>
  <si>
    <t>'54085-16-4</t>
  </si>
  <si>
    <t>'86-73-7</t>
  </si>
  <si>
    <t>'206-44-0</t>
  </si>
  <si>
    <t>'7440-72-4</t>
  </si>
  <si>
    <t>'108-95-2</t>
  </si>
  <si>
    <t>'7440-73-5</t>
  </si>
  <si>
    <t>'15756-98-6</t>
  </si>
  <si>
    <t>'93-90-3</t>
  </si>
  <si>
    <t>'101-84-8</t>
  </si>
  <si>
    <t>'103-79-7</t>
  </si>
  <si>
    <t>'100-63-0</t>
  </si>
  <si>
    <t>'7440-55-3</t>
  </si>
  <si>
    <t>'7440-54-2</t>
  </si>
  <si>
    <t>'14276-65-4</t>
  </si>
  <si>
    <t>'7440-56-4</t>
  </si>
  <si>
    <t>'1333-74-0</t>
  </si>
  <si>
    <t>'39108-34-4</t>
  </si>
  <si>
    <t>'120226-60-0</t>
  </si>
  <si>
    <t>'757124-72-4</t>
  </si>
  <si>
    <t>'27854-31-5</t>
  </si>
  <si>
    <t>'34598-33-9</t>
  </si>
  <si>
    <t>'7722-84-1</t>
  </si>
  <si>
    <t>'7783-06-4</t>
  </si>
  <si>
    <t>'7664-93-9</t>
  </si>
  <si>
    <t>'10028-17-8</t>
  </si>
  <si>
    <t>'7664-38-2</t>
  </si>
  <si>
    <t>'64-19-7</t>
  </si>
  <si>
    <t>'25637-99-4</t>
  </si>
  <si>
    <t>'118-74-1</t>
  </si>
  <si>
    <t>'77-47-4</t>
  </si>
  <si>
    <t>'354-14-3</t>
  </si>
  <si>
    <t>'354-11-0</t>
  </si>
  <si>
    <t>'306-83-2</t>
  </si>
  <si>
    <t>'354-23-4</t>
  </si>
  <si>
    <t>'812-04-4</t>
  </si>
  <si>
    <t>'2837-89-0</t>
  </si>
  <si>
    <t>'354-25-6</t>
  </si>
  <si>
    <t>'359-28-4</t>
  </si>
  <si>
    <t>'431-06-1</t>
  </si>
  <si>
    <t>'1649-08-7</t>
  </si>
  <si>
    <t>'75-88-7</t>
  </si>
  <si>
    <t>'1717-00-6</t>
  </si>
  <si>
    <t>'75-68-3</t>
  </si>
  <si>
    <t>'75-43-4</t>
  </si>
  <si>
    <t>'75-45-6</t>
  </si>
  <si>
    <t>'127564-92-5</t>
  </si>
  <si>
    <t>'128903-21-9</t>
  </si>
  <si>
    <t>'422-48-0</t>
  </si>
  <si>
    <t>'422-44-6</t>
  </si>
  <si>
    <t>'422-56-0</t>
  </si>
  <si>
    <t>'507-55-1</t>
  </si>
  <si>
    <t>'13474-88-9</t>
  </si>
  <si>
    <t>'431-86-7</t>
  </si>
  <si>
    <t>'136013-79-1</t>
  </si>
  <si>
    <t>'111512-56-2</t>
  </si>
  <si>
    <t>'460-35-5</t>
  </si>
  <si>
    <t>'74-90-8</t>
  </si>
  <si>
    <t>'71-52-3</t>
  </si>
  <si>
    <t>'7647-01-0</t>
  </si>
  <si>
    <t>'58-93-5</t>
  </si>
  <si>
    <t>'2809-21-4</t>
  </si>
  <si>
    <t>'115-28-6</t>
  </si>
  <si>
    <t>'7664-39-3</t>
  </si>
  <si>
    <t>'116-15-4</t>
  </si>
  <si>
    <t>'75-46-7</t>
  </si>
  <si>
    <t>'1222-05-5</t>
  </si>
  <si>
    <t>'7697-37-2</t>
  </si>
  <si>
    <t>'7790-92-3</t>
  </si>
  <si>
    <t>'1546-95-8</t>
  </si>
  <si>
    <t>'28343-61-5</t>
  </si>
  <si>
    <t>'7440-59-7</t>
  </si>
  <si>
    <t>'12596-21-3</t>
  </si>
  <si>
    <t>'7440-58-6</t>
  </si>
  <si>
    <t>'7439-97-6</t>
  </si>
  <si>
    <t>'13982-78-0</t>
  </si>
  <si>
    <t>'7440-60-0</t>
  </si>
  <si>
    <t>'68-88-2</t>
  </si>
  <si>
    <t>'76-44-8</t>
  </si>
  <si>
    <t>'32241-08-0</t>
  </si>
  <si>
    <t>'28680-45-7</t>
  </si>
  <si>
    <t>'54037-57-9</t>
  </si>
  <si>
    <t>'36355-01-8</t>
  </si>
  <si>
    <t>'87-82-1</t>
  </si>
  <si>
    <t>'68002-20-0</t>
  </si>
  <si>
    <t>'107-46-0</t>
  </si>
  <si>
    <t>'680-31-9</t>
  </si>
  <si>
    <t>'822-06-0</t>
  </si>
  <si>
    <t>'100-97-0</t>
  </si>
  <si>
    <t>'67-72-1</t>
  </si>
  <si>
    <t>'1335-87-1</t>
  </si>
  <si>
    <t>'28680-44-6</t>
  </si>
  <si>
    <t>'87-68-3</t>
  </si>
  <si>
    <t>'70-30-4</t>
  </si>
  <si>
    <t>'79983-71-4</t>
  </si>
  <si>
    <t>'86479-06-3</t>
  </si>
  <si>
    <t>'51235-04-2</t>
  </si>
  <si>
    <t>'20461-54-5</t>
  </si>
  <si>
    <t>'14158-31-7</t>
  </si>
  <si>
    <t>'14158-32-8</t>
  </si>
  <si>
    <t>'15046-84-1</t>
  </si>
  <si>
    <t>'24267-56-9</t>
  </si>
  <si>
    <t>'7553-56-2</t>
  </si>
  <si>
    <t>'74-88-4</t>
  </si>
  <si>
    <t>'39392-86-4</t>
  </si>
  <si>
    <t>'7440-74-6</t>
  </si>
  <si>
    <t>'15750-15-9</t>
  </si>
  <si>
    <t>'378759-66-1</t>
  </si>
  <si>
    <t>'193-39-5</t>
  </si>
  <si>
    <t>'55406-53-6</t>
  </si>
  <si>
    <t>'7439-88-5</t>
  </si>
  <si>
    <t>'14981-91-0</t>
  </si>
  <si>
    <t>'14694-69-0</t>
  </si>
  <si>
    <t>'185119-76-0</t>
  </si>
  <si>
    <t>'144550-06-1</t>
  </si>
  <si>
    <t>'144550-36-7</t>
  </si>
  <si>
    <t>'7440-09-7</t>
  </si>
  <si>
    <t>'13966-00-2</t>
  </si>
  <si>
    <t>'7758-01-2</t>
  </si>
  <si>
    <t>'7447-40-7</t>
  </si>
  <si>
    <t>'128-03-0</t>
  </si>
  <si>
    <t>'7722-64-7</t>
  </si>
  <si>
    <t>'137-41-7</t>
  </si>
  <si>
    <t>'1310-58-3</t>
  </si>
  <si>
    <t>'143-18-0</t>
  </si>
  <si>
    <t>'7439-90-9</t>
  </si>
  <si>
    <t>'375-73-5</t>
  </si>
  <si>
    <t>'335-77-3</t>
  </si>
  <si>
    <t>'375-92-8</t>
  </si>
  <si>
    <t>'355-46-4</t>
  </si>
  <si>
    <t>'7439-91-0</t>
  </si>
  <si>
    <t>'13981-28-7</t>
  </si>
  <si>
    <t>'7439-93-2</t>
  </si>
  <si>
    <t>'554-13-2</t>
  </si>
  <si>
    <t>'22537-19-5</t>
  </si>
  <si>
    <t>'7439-94-3</t>
  </si>
  <si>
    <t>'14391-24-3</t>
  </si>
  <si>
    <t>'14265-75-9</t>
  </si>
  <si>
    <t>'378765-68-5</t>
  </si>
  <si>
    <t>'54100-71-9</t>
  </si>
  <si>
    <t>'4337-65-9</t>
  </si>
  <si>
    <t>'96180-79-9</t>
  </si>
  <si>
    <t>'154037-70-4</t>
  </si>
  <si>
    <t>'101043-37-2</t>
  </si>
  <si>
    <t>'157622-02-1</t>
  </si>
  <si>
    <t>'123304-10-9</t>
  </si>
  <si>
    <t>'111755-37-4</t>
  </si>
  <si>
    <t>'101064-48-6</t>
  </si>
  <si>
    <t>'74-89-5</t>
  </si>
  <si>
    <t>'124-58-3</t>
  </si>
  <si>
    <t>'141-43-5</t>
  </si>
  <si>
    <t>'94410-07-8</t>
  </si>
  <si>
    <t>'21351-39-3</t>
  </si>
  <si>
    <t>'94-74-6</t>
  </si>
  <si>
    <t>'3653-48-3</t>
  </si>
  <si>
    <t>'94-81-5</t>
  </si>
  <si>
    <t>'93-65-2</t>
  </si>
  <si>
    <t>'96-24-2</t>
  </si>
  <si>
    <t>'4376-20-9</t>
  </si>
  <si>
    <t>'13683-89-1</t>
  </si>
  <si>
    <t>'6923-22-4</t>
  </si>
  <si>
    <t>'7440-11-1</t>
  </si>
  <si>
    <t>'159381-10-9</t>
  </si>
  <si>
    <t>'31506-32-8</t>
  </si>
  <si>
    <t>'7439-95-4</t>
  </si>
  <si>
    <t>'7786-30-3</t>
  </si>
  <si>
    <t>'1309-48-4</t>
  </si>
  <si>
    <t>'215-170-3</t>
  </si>
  <si>
    <t>'12057-74-8</t>
  </si>
  <si>
    <t>'1746-81-2</t>
  </si>
  <si>
    <t>'7439-96-5</t>
  </si>
  <si>
    <t>'14092-99-0</t>
  </si>
  <si>
    <t>'13966-31-9</t>
  </si>
  <si>
    <t>'7439-98-7</t>
  </si>
  <si>
    <t>'14119-15-4</t>
  </si>
  <si>
    <t>'1313-27-5</t>
  </si>
  <si>
    <t>'54038-01-6</t>
  </si>
  <si>
    <t>'2355-31-9</t>
  </si>
  <si>
    <t>'626-23-3</t>
  </si>
  <si>
    <t>'7727-37-9</t>
  </si>
  <si>
    <t>'611-21-2</t>
  </si>
  <si>
    <t>'10024-97-2</t>
  </si>
  <si>
    <t>'2372-82-9</t>
  </si>
  <si>
    <t>'696-44-6</t>
  </si>
  <si>
    <t>'623-08-5</t>
  </si>
  <si>
    <t>'68298-12-4</t>
  </si>
  <si>
    <t>'79-16-3</t>
  </si>
  <si>
    <t>'80-39-7</t>
  </si>
  <si>
    <t>'20193-21-9</t>
  </si>
  <si>
    <t>'103-70-8</t>
  </si>
  <si>
    <t>'7664-41-7</t>
  </si>
  <si>
    <t>'14798-03-9</t>
  </si>
  <si>
    <t>'12125-02-9</t>
  </si>
  <si>
    <t>'7790-98-9</t>
  </si>
  <si>
    <t>'1336-21-6</t>
  </si>
  <si>
    <t>'609-72-3</t>
  </si>
  <si>
    <t>'121-72-2</t>
  </si>
  <si>
    <t>'99-97-8</t>
  </si>
  <si>
    <t>'112-18-5</t>
  </si>
  <si>
    <t>'121-69-7</t>
  </si>
  <si>
    <t>'91-66-7</t>
  </si>
  <si>
    <t>'761-65-9</t>
  </si>
  <si>
    <t>'37764-25-3</t>
  </si>
  <si>
    <t>'59-89-2</t>
  </si>
  <si>
    <t>'110-96-3</t>
  </si>
  <si>
    <t>'55525-54-7</t>
  </si>
  <si>
    <t>'14797-65-0</t>
  </si>
  <si>
    <t>'98-95-3</t>
  </si>
  <si>
    <t>'9004-70-0</t>
  </si>
  <si>
    <t>'1836-75-5</t>
  </si>
  <si>
    <t>'55-63-0</t>
  </si>
  <si>
    <t>'14797-55-8</t>
  </si>
  <si>
    <t>'16543-55-8</t>
  </si>
  <si>
    <t>'100-75-4</t>
  </si>
  <si>
    <t>'930-55-2</t>
  </si>
  <si>
    <t>'9016-45-9</t>
  </si>
  <si>
    <t>'27176-93-8</t>
  </si>
  <si>
    <t>'27176-95-0</t>
  </si>
  <si>
    <t>'27176-97-2</t>
  </si>
  <si>
    <t>'26264-02-8</t>
  </si>
  <si>
    <t>'27177-01-1</t>
  </si>
  <si>
    <t>'27177-05-5</t>
  </si>
  <si>
    <t>'139-13-9</t>
  </si>
  <si>
    <t>'10025-85-1</t>
  </si>
  <si>
    <t>'7440-23-5</t>
  </si>
  <si>
    <t>'13966-32-0</t>
  </si>
  <si>
    <t>'1330-43-4</t>
  </si>
  <si>
    <t>'12008-41-2</t>
  </si>
  <si>
    <t>'497-19-8</t>
  </si>
  <si>
    <t>'7789-38-0</t>
  </si>
  <si>
    <t>'25155-30-0</t>
  </si>
  <si>
    <t>'68585-34-2</t>
  </si>
  <si>
    <t>'143-33-9</t>
  </si>
  <si>
    <t>'7647-14-5</t>
  </si>
  <si>
    <t>'7775-09-9</t>
  </si>
  <si>
    <t>'10022-70-5</t>
  </si>
  <si>
    <t>'128-04-1</t>
  </si>
  <si>
    <t>'7558-80-7</t>
  </si>
  <si>
    <t>'62-74-8</t>
  </si>
  <si>
    <t>'7631-90-5</t>
  </si>
  <si>
    <t>'7681-82-5</t>
  </si>
  <si>
    <t>'151-21-3</t>
  </si>
  <si>
    <t>'10101-50-5</t>
  </si>
  <si>
    <t>'7632-00-0</t>
  </si>
  <si>
    <t>'7681-52-9</t>
  </si>
  <si>
    <t>'1310-73-2</t>
  </si>
  <si>
    <t>'131-52-2</t>
  </si>
  <si>
    <t>'7757-82-6</t>
  </si>
  <si>
    <t>'1344-09-8</t>
  </si>
  <si>
    <t>'13573-18-7</t>
  </si>
  <si>
    <t>'1302-42-7</t>
  </si>
  <si>
    <t>'26628-22-8</t>
  </si>
  <si>
    <t>'139-05-9</t>
  </si>
  <si>
    <t>'83-15-8</t>
  </si>
  <si>
    <t>'91-20-3</t>
  </si>
  <si>
    <t>'8061-51-6</t>
  </si>
  <si>
    <t>'110-58-7</t>
  </si>
  <si>
    <t>'54-64-8</t>
  </si>
  <si>
    <t>'132-27-4</t>
  </si>
  <si>
    <t>'540-72-7</t>
  </si>
  <si>
    <t>'10102-17-7</t>
  </si>
  <si>
    <t>'7440-03-1</t>
  </si>
  <si>
    <t>'378782-82-2</t>
  </si>
  <si>
    <t>'14681-63-1</t>
  </si>
  <si>
    <t>'102-05-6</t>
  </si>
  <si>
    <t>'28291-75-0</t>
  </si>
  <si>
    <t>'1124-53-4</t>
  </si>
  <si>
    <t>'7440-00-8</t>
  </si>
  <si>
    <t>'14269-74-0</t>
  </si>
  <si>
    <t>'7440-01-9</t>
  </si>
  <si>
    <t>'7440-02-0</t>
  </si>
  <si>
    <t>'13931-83-4</t>
  </si>
  <si>
    <t>'7786-81-4</t>
  </si>
  <si>
    <t>'10028-14-5</t>
  </si>
  <si>
    <t>'7439-99-8</t>
  </si>
  <si>
    <t>'13994-20-2</t>
  </si>
  <si>
    <t>'15766-25-3</t>
  </si>
  <si>
    <t>'13968-59-7</t>
  </si>
  <si>
    <t>'14314-42-2</t>
  </si>
  <si>
    <t>'7782-44-7</t>
  </si>
  <si>
    <t>'54464-57-2</t>
  </si>
  <si>
    <t>'471-46-5</t>
  </si>
  <si>
    <t>'19666-30-9</t>
  </si>
  <si>
    <t>'77732-09-3</t>
  </si>
  <si>
    <t>'66-79-5</t>
  </si>
  <si>
    <t>'30558-43-1</t>
  </si>
  <si>
    <t>'23135-22-0</t>
  </si>
  <si>
    <t>'144651-06-9</t>
  </si>
  <si>
    <t>'1003318-67-9</t>
  </si>
  <si>
    <t>'1000-05-1</t>
  </si>
  <si>
    <t>'556-67-2</t>
  </si>
  <si>
    <t>'2234-13-1</t>
  </si>
  <si>
    <t>'29082-74-4</t>
  </si>
  <si>
    <t>'14698-29-4</t>
  </si>
  <si>
    <t>'7440-04-2</t>
  </si>
  <si>
    <t>'15766-50-4</t>
  </si>
  <si>
    <t>'20816-12-0</t>
  </si>
  <si>
    <t>'27304-13-8</t>
  </si>
  <si>
    <t>'42874-03-3</t>
  </si>
  <si>
    <t>'2058-46-0</t>
  </si>
  <si>
    <t>'6153-64-6</t>
  </si>
  <si>
    <t>'5259-88-1</t>
  </si>
  <si>
    <t>'2277-92-1</t>
  </si>
  <si>
    <t>'1491-59-4</t>
  </si>
  <si>
    <t>'2465-59-0</t>
  </si>
  <si>
    <t>'12185-10-3</t>
  </si>
  <si>
    <t>'67888-96-4</t>
  </si>
  <si>
    <t>'92-86-4</t>
  </si>
  <si>
    <t>'60044-26-0</t>
  </si>
  <si>
    <t>'13654-09-6</t>
  </si>
  <si>
    <t>'60044-24-8</t>
  </si>
  <si>
    <t>'59080-37-4</t>
  </si>
  <si>
    <t>'189084-64-8</t>
  </si>
  <si>
    <t>'86029-64-3</t>
  </si>
  <si>
    <t>'182677-30-1</t>
  </si>
  <si>
    <t>'68631-49-2</t>
  </si>
  <si>
    <t>'207122-15-4</t>
  </si>
  <si>
    <t>'147217-75-2</t>
  </si>
  <si>
    <t>'207122-16-5</t>
  </si>
  <si>
    <t>'189084-68-2</t>
  </si>
  <si>
    <t>'1163-19-5</t>
  </si>
  <si>
    <t>'41318-75-6</t>
  </si>
  <si>
    <t>'5436-43-1</t>
  </si>
  <si>
    <t>'243982-82-3</t>
  </si>
  <si>
    <t>'97038-95-4</t>
  </si>
  <si>
    <t>'189084-61-5</t>
  </si>
  <si>
    <t>'189084-62-6</t>
  </si>
  <si>
    <t>'189084-63-7</t>
  </si>
  <si>
    <t>'77102-82-0</t>
  </si>
  <si>
    <t>'182346-21-0</t>
  </si>
  <si>
    <t>'60348-60-9</t>
  </si>
  <si>
    <t>'9002-91-9</t>
  </si>
  <si>
    <t>'2051-60-7</t>
  </si>
  <si>
    <t>'33146-45-1</t>
  </si>
  <si>
    <t>'37680-73-2</t>
  </si>
  <si>
    <t>'56558-16-8</t>
  </si>
  <si>
    <t>'32598-14-4</t>
  </si>
  <si>
    <t>'70424-69-0</t>
  </si>
  <si>
    <t>'38380-03-9</t>
  </si>
  <si>
    <t>'74472-37-0</t>
  </si>
  <si>
    <t>'31508-00-6</t>
  </si>
  <si>
    <t>'65510-44-3</t>
  </si>
  <si>
    <t>'57465-28-8</t>
  </si>
  <si>
    <t>'38380-07-3</t>
  </si>
  <si>
    <t>'52663-66-8</t>
  </si>
  <si>
    <t>'38380-05-1</t>
  </si>
  <si>
    <t>'35694-06-5</t>
  </si>
  <si>
    <t>'35065-28-2</t>
  </si>
  <si>
    <t>'34883-41-5</t>
  </si>
  <si>
    <t>'52712-04-6</t>
  </si>
  <si>
    <t>'74472-40-5</t>
  </si>
  <si>
    <t>'38380-04-0</t>
  </si>
  <si>
    <t>'52663-63-5</t>
  </si>
  <si>
    <t>'35065-27-1</t>
  </si>
  <si>
    <t>'33979-03-2</t>
  </si>
  <si>
    <t>'38380-08-4</t>
  </si>
  <si>
    <t>'69782-90-7</t>
  </si>
  <si>
    <t>'74472-42-7</t>
  </si>
  <si>
    <t>'41411-62-5</t>
  </si>
  <si>
    <t>'41411-63-6</t>
  </si>
  <si>
    <t>'52663-72-6</t>
  </si>
  <si>
    <t>'32774-16-6</t>
  </si>
  <si>
    <t>'37680-66-3</t>
  </si>
  <si>
    <t>'35065-30-6</t>
  </si>
  <si>
    <t>'52663-71-5</t>
  </si>
  <si>
    <t>'52663-74-8</t>
  </si>
  <si>
    <t>'38411-25-5</t>
  </si>
  <si>
    <t>'40186-70-7</t>
  </si>
  <si>
    <t>'52663-65-7</t>
  </si>
  <si>
    <t>'52663-70-4</t>
  </si>
  <si>
    <t>'52663-67-9</t>
  </si>
  <si>
    <t>'37680-65-2</t>
  </si>
  <si>
    <t>'35065-29-3</t>
  </si>
  <si>
    <t>'52663-69-1</t>
  </si>
  <si>
    <t>'52712-05-7</t>
  </si>
  <si>
    <t>'52663-68-0</t>
  </si>
  <si>
    <t>'39635-31-9</t>
  </si>
  <si>
    <t>'41411-64-7</t>
  </si>
  <si>
    <t>'35694-08-7</t>
  </si>
  <si>
    <t>'52663-78-2</t>
  </si>
  <si>
    <t>'42740-50-1</t>
  </si>
  <si>
    <t>'52663-73-7</t>
  </si>
  <si>
    <t>'2051-61-8</t>
  </si>
  <si>
    <t>'38444-84-7</t>
  </si>
  <si>
    <t>'40186-71-8</t>
  </si>
  <si>
    <t>'2136-99-4</t>
  </si>
  <si>
    <t>'74472-52-9</t>
  </si>
  <si>
    <t>'40186-72-9</t>
  </si>
  <si>
    <t>'52663-79-3</t>
  </si>
  <si>
    <t>'2051-24-3</t>
  </si>
  <si>
    <t>'55702-46-0</t>
  </si>
  <si>
    <t>'7012-37-5</t>
  </si>
  <si>
    <t>'2051-62-9</t>
  </si>
  <si>
    <t>'35693-92-6</t>
  </si>
  <si>
    <t>'16606-02-3</t>
  </si>
  <si>
    <t>'41464-39-5</t>
  </si>
  <si>
    <t>'2437-79-8</t>
  </si>
  <si>
    <t>'41464-40-8</t>
  </si>
  <si>
    <t>'62796-65-0</t>
  </si>
  <si>
    <t>'35693-99-3</t>
  </si>
  <si>
    <t>'74338-24-2</t>
  </si>
  <si>
    <t>'41464-43-1</t>
  </si>
  <si>
    <t>'52663-58-8</t>
  </si>
  <si>
    <t>'32598-10-0</t>
  </si>
  <si>
    <t>'32598-11-1</t>
  </si>
  <si>
    <t>'41464-42-0</t>
  </si>
  <si>
    <t>'32690-93-0</t>
  </si>
  <si>
    <t>'32598-13-3</t>
  </si>
  <si>
    <t>'70362-49-1</t>
  </si>
  <si>
    <t>'70362-50-4</t>
  </si>
  <si>
    <t>'65510-45-4</t>
  </si>
  <si>
    <t>'38380-02-8</t>
  </si>
  <si>
    <t>'52663-61-3</t>
  </si>
  <si>
    <t>'38379-99-6</t>
  </si>
  <si>
    <t>'41464-51-1</t>
  </si>
  <si>
    <t>'38380-01-7</t>
  </si>
  <si>
    <t>'1746-01-6</t>
  </si>
  <si>
    <t>'40321-76-4</t>
  </si>
  <si>
    <t>'39227-28-6</t>
  </si>
  <si>
    <t>'57653-85-7</t>
  </si>
  <si>
    <t>'19408-74-3</t>
  </si>
  <si>
    <t>'35822-46-9</t>
  </si>
  <si>
    <t>'3268-87-9</t>
  </si>
  <si>
    <t>'57117-43-8</t>
  </si>
  <si>
    <t>'57117-31-4</t>
  </si>
  <si>
    <t>'70648-26-9</t>
  </si>
  <si>
    <t>'91538-84-0</t>
  </si>
  <si>
    <t>'57117-44-9</t>
  </si>
  <si>
    <t>'72918-21-9</t>
  </si>
  <si>
    <t>'60851-34-5</t>
  </si>
  <si>
    <t>'67562-39-4</t>
  </si>
  <si>
    <t>'55673-89-7</t>
  </si>
  <si>
    <t>'39001-02-0</t>
  </si>
  <si>
    <t>'51207-31-9</t>
  </si>
  <si>
    <t>'67517-48-0</t>
  </si>
  <si>
    <t>'57117-41-6</t>
  </si>
  <si>
    <t>'1825-19-0</t>
  </si>
  <si>
    <t>'355-43-1</t>
  </si>
  <si>
    <t>'172155-07-6</t>
  </si>
  <si>
    <t>'375-22-4</t>
  </si>
  <si>
    <t>'67905-19-5</t>
  </si>
  <si>
    <t>'16517-11-6</t>
  </si>
  <si>
    <t>'30334-69-1</t>
  </si>
  <si>
    <t>'2706-91-4</t>
  </si>
  <si>
    <t>'68259-12-1</t>
  </si>
  <si>
    <t>'335-76-2</t>
  </si>
  <si>
    <t>'307-55-1</t>
  </si>
  <si>
    <t>'375-85-9</t>
  </si>
  <si>
    <t>'307-24-4</t>
  </si>
  <si>
    <t>'375-95-1</t>
  </si>
  <si>
    <t>'335-67-1</t>
  </si>
  <si>
    <t>'335-93-3</t>
  </si>
  <si>
    <t>'2395-00-8</t>
  </si>
  <si>
    <t>'3825-26-1</t>
  </si>
  <si>
    <t>'335-95-5</t>
  </si>
  <si>
    <t>'1763-23-1</t>
  </si>
  <si>
    <t>'754-91-6</t>
  </si>
  <si>
    <t>'307-35-7</t>
  </si>
  <si>
    <t>'2795-39-3</t>
  </si>
  <si>
    <t>'2706-90-3</t>
  </si>
  <si>
    <t>'72629-94-8</t>
  </si>
  <si>
    <t>'376-06-7</t>
  </si>
  <si>
    <t>'2058-94-8</t>
  </si>
  <si>
    <t>'54839-24-6</t>
  </si>
  <si>
    <t>'108-65-6</t>
  </si>
  <si>
    <t>'27083-27-8</t>
  </si>
  <si>
    <t>'14265-44-2</t>
  </si>
  <si>
    <t>'24979-97-3</t>
  </si>
  <si>
    <t>'7440-13-3</t>
  </si>
  <si>
    <t>'15766-10-6</t>
  </si>
  <si>
    <t>'14331-85-2</t>
  </si>
  <si>
    <t>'13981-14-1</t>
  </si>
  <si>
    <t>'7439-92-1</t>
  </si>
  <si>
    <t>'14255-04-0</t>
  </si>
  <si>
    <t>'15816-77-0</t>
  </si>
  <si>
    <t>'15092-94-1</t>
  </si>
  <si>
    <t>'15067-28-4</t>
  </si>
  <si>
    <t>'7440-05-3</t>
  </si>
  <si>
    <t>'14967-68-1</t>
  </si>
  <si>
    <t>'198-55-0</t>
  </si>
  <si>
    <t>'59447-55-1</t>
  </si>
  <si>
    <t>'4067-16-7</t>
  </si>
  <si>
    <t>'527-20-8</t>
  </si>
  <si>
    <t>'608-93-5</t>
  </si>
  <si>
    <t>'133-49-3</t>
  </si>
  <si>
    <t>'76-01-7</t>
  </si>
  <si>
    <t>'87-86-5</t>
  </si>
  <si>
    <t>'82-68-8</t>
  </si>
  <si>
    <t>'1321-64-8</t>
  </si>
  <si>
    <t>'1825-21-4</t>
  </si>
  <si>
    <t>'78-11-5</t>
  </si>
  <si>
    <t>'1191-87-3</t>
  </si>
  <si>
    <t>'2307-68-8</t>
  </si>
  <si>
    <t>'7440-12-2</t>
  </si>
  <si>
    <t>'7440-08-6</t>
  </si>
  <si>
    <t>'13981-52-7</t>
  </si>
  <si>
    <t>'7440-10-0</t>
  </si>
  <si>
    <t>'7440-06-4</t>
  </si>
  <si>
    <t>'7440-07-5</t>
  </si>
  <si>
    <t>'15411-93-5</t>
  </si>
  <si>
    <t>'13981-16-3</t>
  </si>
  <si>
    <t>'15117-48-3</t>
  </si>
  <si>
    <t>'14119-33-6</t>
  </si>
  <si>
    <t>'129-00-0</t>
  </si>
  <si>
    <t>'85409-22-9</t>
  </si>
  <si>
    <t>'1517-69-7</t>
  </si>
  <si>
    <t>'121-82-4</t>
  </si>
  <si>
    <t>'7440-14-4</t>
  </si>
  <si>
    <t>'15623-45-7</t>
  </si>
  <si>
    <t>'13233-32-4</t>
  </si>
  <si>
    <t>'13981-53-8</t>
  </si>
  <si>
    <t>'13982-63-3</t>
  </si>
  <si>
    <t>'15262-20-1</t>
  </si>
  <si>
    <t>'7440-17-7</t>
  </si>
  <si>
    <t>'14932-53-7</t>
  </si>
  <si>
    <t>'7440-15-5</t>
  </si>
  <si>
    <t>'14998-63-1</t>
  </si>
  <si>
    <t>'53850-36-5</t>
  </si>
  <si>
    <t>'54386-24-2</t>
  </si>
  <si>
    <t>'7440-16-6</t>
  </si>
  <si>
    <t>'10043-92-2</t>
  </si>
  <si>
    <t>'7440-18-8</t>
  </si>
  <si>
    <t>'13968-53-1</t>
  </si>
  <si>
    <t>'13967-48-1</t>
  </si>
  <si>
    <t>'18496-25-8</t>
  </si>
  <si>
    <t>'7704-34-9</t>
  </si>
  <si>
    <t>'2551-62-4</t>
  </si>
  <si>
    <t>'7446-09-5</t>
  </si>
  <si>
    <t>'14265-45-3</t>
  </si>
  <si>
    <t>'14808-79-8</t>
  </si>
  <si>
    <t>'7440-36-0</t>
  </si>
  <si>
    <t>'14374-79-9</t>
  </si>
  <si>
    <t>'14683-10-4</t>
  </si>
  <si>
    <t>'14234-35-6</t>
  </si>
  <si>
    <t>'13968-50-8</t>
  </si>
  <si>
    <t>'7440-20-2</t>
  </si>
  <si>
    <t>'13967-63-0</t>
  </si>
  <si>
    <t>'7782-49-2</t>
  </si>
  <si>
    <t>'14265-71-5</t>
  </si>
  <si>
    <t>'14124-67-5</t>
  </si>
  <si>
    <t>'14124-68-6</t>
  </si>
  <si>
    <t>'54038-81-2</t>
  </si>
  <si>
    <t>'7440-21-3</t>
  </si>
  <si>
    <t>'14808-60-7</t>
  </si>
  <si>
    <t>'7440-19-9</t>
  </si>
  <si>
    <t>'87392-12-9</t>
  </si>
  <si>
    <t>'7440-31-5</t>
  </si>
  <si>
    <t>'13966-06-8</t>
  </si>
  <si>
    <t>'14683-08-0</t>
  </si>
  <si>
    <t>'7440-24-6</t>
  </si>
  <si>
    <t>'13967-73-2</t>
  </si>
  <si>
    <t>'14158-27-1</t>
  </si>
  <si>
    <t>'10098-97-2</t>
  </si>
  <si>
    <t>'115-96-8</t>
  </si>
  <si>
    <t>'79-94-7</t>
  </si>
  <si>
    <t>'90-94-8</t>
  </si>
  <si>
    <t>'5395-50-6</t>
  </si>
  <si>
    <t>'25619-60-7</t>
  </si>
  <si>
    <t>'75-57-0</t>
  </si>
  <si>
    <t>'78-00-2</t>
  </si>
  <si>
    <t>'112-57-2</t>
  </si>
  <si>
    <t>'1941-30-6</t>
  </si>
  <si>
    <t>'1112-67-0</t>
  </si>
  <si>
    <t>'1461-25-2</t>
  </si>
  <si>
    <t>'12408-10-5</t>
  </si>
  <si>
    <t>'56-23-5</t>
  </si>
  <si>
    <t>'25322-20-7</t>
  </si>
  <si>
    <t>'76-02-8</t>
  </si>
  <si>
    <t>'127-18-4</t>
  </si>
  <si>
    <t>'1335-88-2</t>
  </si>
  <si>
    <t>'961-11-5</t>
  </si>
  <si>
    <t>'116-29-0</t>
  </si>
  <si>
    <t>'116-14-3</t>
  </si>
  <si>
    <t>'1469-48-3</t>
  </si>
  <si>
    <t>'109-99-9</t>
  </si>
  <si>
    <t>'126-33-0</t>
  </si>
  <si>
    <t>'110-01-0</t>
  </si>
  <si>
    <t>'60-54-8</t>
  </si>
  <si>
    <t>'112281-77-3</t>
  </si>
  <si>
    <t>'64-75-5</t>
  </si>
  <si>
    <t>'55566-30-8</t>
  </si>
  <si>
    <t>'7696-12-0</t>
  </si>
  <si>
    <t>'2227-13-6</t>
  </si>
  <si>
    <t>'10543-57-4</t>
  </si>
  <si>
    <t>'37853-61-5</t>
  </si>
  <si>
    <t>'75-25-2</t>
  </si>
  <si>
    <t>'75-96-7</t>
  </si>
  <si>
    <t>'75-50-3</t>
  </si>
  <si>
    <t>'593-81-7</t>
  </si>
  <si>
    <t>'512-56-1</t>
  </si>
  <si>
    <t>'504-63-2</t>
  </si>
  <si>
    <t>'1741-01-1</t>
  </si>
  <si>
    <t>'152-18-1</t>
  </si>
  <si>
    <t>'102-71-6</t>
  </si>
  <si>
    <t>'121-44-8</t>
  </si>
  <si>
    <t>'57213-69-1</t>
  </si>
  <si>
    <t>'78-40-0</t>
  </si>
  <si>
    <t>'77-93-0</t>
  </si>
  <si>
    <t>'112-24-3</t>
  </si>
  <si>
    <t>'112-27-6</t>
  </si>
  <si>
    <t>'102-69-2</t>
  </si>
  <si>
    <t>'24800-44-0</t>
  </si>
  <si>
    <t>'102-82-9</t>
  </si>
  <si>
    <t>'126-73-8</t>
  </si>
  <si>
    <t>'36643-28-4</t>
  </si>
  <si>
    <t>'56-36-0</t>
  </si>
  <si>
    <t>'78-48-8</t>
  </si>
  <si>
    <t>'77-90-7</t>
  </si>
  <si>
    <t>'25103-12-2</t>
  </si>
  <si>
    <t>'869-59-0</t>
  </si>
  <si>
    <t>'21564-17-0</t>
  </si>
  <si>
    <t>'12002-48-1</t>
  </si>
  <si>
    <t>'67-66-3</t>
  </si>
  <si>
    <t>'25323-89-1</t>
  </si>
  <si>
    <t>'75-87-6</t>
  </si>
  <si>
    <t>'79-01-6</t>
  </si>
  <si>
    <t>'13674-84-5</t>
  </si>
  <si>
    <t>'76-03-9</t>
  </si>
  <si>
    <t>'1321-65-9</t>
  </si>
  <si>
    <t>'52-68-6</t>
  </si>
  <si>
    <t>'87-90-1</t>
  </si>
  <si>
    <t>'327-98-0</t>
  </si>
  <si>
    <t>'143-24-8</t>
  </si>
  <si>
    <t>'107-49-3</t>
  </si>
  <si>
    <t>'76-05-1</t>
  </si>
  <si>
    <t>'2314-97-8</t>
  </si>
  <si>
    <t>'115-86-6</t>
  </si>
  <si>
    <t>'668-34-8</t>
  </si>
  <si>
    <t>'3878-45-3</t>
  </si>
  <si>
    <t>'100-22-1</t>
  </si>
  <si>
    <t>'118-96-7</t>
  </si>
  <si>
    <t>'110-88-3</t>
  </si>
  <si>
    <t>'791-28-6</t>
  </si>
  <si>
    <t>'1333-07-9</t>
  </si>
  <si>
    <t>'7440-25-7</t>
  </si>
  <si>
    <t>'13982-00-8</t>
  </si>
  <si>
    <t>'5611-51-8</t>
  </si>
  <si>
    <t>'826-36-8</t>
  </si>
  <si>
    <t>'43121-43-3</t>
  </si>
  <si>
    <t>'55219-65-3</t>
  </si>
  <si>
    <t>'2303-17-5</t>
  </si>
  <si>
    <t>'1031-47-6</t>
  </si>
  <si>
    <t>'76608-88-3</t>
  </si>
  <si>
    <t>'82097-50-5</t>
  </si>
  <si>
    <t>'72459-58-6</t>
  </si>
  <si>
    <t>'68-76-8</t>
  </si>
  <si>
    <t>'24017-47-8</t>
  </si>
  <si>
    <t>'112143-82-5</t>
  </si>
  <si>
    <t>'7440-27-9</t>
  </si>
  <si>
    <t>'13981-29-8</t>
  </si>
  <si>
    <t>'620-40-6</t>
  </si>
  <si>
    <t>'101200-48-0</t>
  </si>
  <si>
    <t>'7440-26-8</t>
  </si>
  <si>
    <t>'14808-44-7</t>
  </si>
  <si>
    <t>'15759-35-0</t>
  </si>
  <si>
    <t>'378784-44-2</t>
  </si>
  <si>
    <t>'14133-76-7</t>
  </si>
  <si>
    <t>'378784-45-3</t>
  </si>
  <si>
    <t>'68786-66-3</t>
  </si>
  <si>
    <t>'101-20-2</t>
  </si>
  <si>
    <t>'41814-78-2</t>
  </si>
  <si>
    <t>'53720-80-2</t>
  </si>
  <si>
    <t>'64700-56-7</t>
  </si>
  <si>
    <t>'55335-06-3</t>
  </si>
  <si>
    <t>'1330-78-5</t>
  </si>
  <si>
    <t>'3380-34-5</t>
  </si>
  <si>
    <t>'58880-19-6</t>
  </si>
  <si>
    <t>'24602-86-6</t>
  </si>
  <si>
    <t>'13494-80-9</t>
  </si>
  <si>
    <t>'378784-49-7</t>
  </si>
  <si>
    <t>'378784-51-1</t>
  </si>
  <si>
    <t>'378784-52-2</t>
  </si>
  <si>
    <t>'14234-28-7</t>
  </si>
  <si>
    <t>'15759-52-1</t>
  </si>
  <si>
    <t>'1912-26-1</t>
  </si>
  <si>
    <t>'1420-06-0</t>
  </si>
  <si>
    <t>'64628-44-0</t>
  </si>
  <si>
    <t>'68694-11-1</t>
  </si>
  <si>
    <t>'1582-09-8</t>
  </si>
  <si>
    <t>'26644-46-2</t>
  </si>
  <si>
    <t>'126535-15-7</t>
  </si>
  <si>
    <t>'141517-21-7</t>
  </si>
  <si>
    <t>'603-35-0</t>
  </si>
  <si>
    <t>'7440-29-1</t>
  </si>
  <si>
    <t>'15623-47-9</t>
  </si>
  <si>
    <t>'14274-82-9</t>
  </si>
  <si>
    <t>'15594-54-4</t>
  </si>
  <si>
    <t>'14269-63-7</t>
  </si>
  <si>
    <t>'14932-40-2</t>
  </si>
  <si>
    <t>'15065-10-8</t>
  </si>
  <si>
    <t>'1314-20-1</t>
  </si>
  <si>
    <t>'144-11-6</t>
  </si>
  <si>
    <t>'7440-32-6</t>
  </si>
  <si>
    <t>'126-71-6</t>
  </si>
  <si>
    <t>'13463-67-7</t>
  </si>
  <si>
    <t>'7550-45-0</t>
  </si>
  <si>
    <t>'7440-28-0</t>
  </si>
  <si>
    <t>'15064-65-0</t>
  </si>
  <si>
    <t>'15720-57-7</t>
  </si>
  <si>
    <t>'14913-50-9</t>
  </si>
  <si>
    <t>'7440-30-4</t>
  </si>
  <si>
    <t>'2686-99-9</t>
  </si>
  <si>
    <t>'738-70-5</t>
  </si>
  <si>
    <t>'104273-73-6</t>
  </si>
  <si>
    <t>'95266-40-3</t>
  </si>
  <si>
    <t>'108-88-3</t>
  </si>
  <si>
    <t>'131983-72-7</t>
  </si>
  <si>
    <t>'41902-42-5</t>
  </si>
  <si>
    <t>'7440-61-1</t>
  </si>
  <si>
    <t>'15700-08-0</t>
  </si>
  <si>
    <t>'13966-29-5</t>
  </si>
  <si>
    <t>'15117-96-1</t>
  </si>
  <si>
    <t>'14269-75-1</t>
  </si>
  <si>
    <t>'7440-62-2</t>
  </si>
  <si>
    <t>'14331-97-6</t>
  </si>
  <si>
    <t>'7440-33-7</t>
  </si>
  <si>
    <t>'15749-46-9</t>
  </si>
  <si>
    <t>'2655-14-3</t>
  </si>
  <si>
    <t>'7440-63-3</t>
  </si>
  <si>
    <t>'7440-65-5</t>
  </si>
  <si>
    <t>'13982-36-0</t>
  </si>
  <si>
    <t>'14234-24-3</t>
  </si>
  <si>
    <t>'7440-64-4</t>
  </si>
  <si>
    <t>'14041-44-2</t>
  </si>
  <si>
    <t>'7440-66-6</t>
  </si>
  <si>
    <t>'13982-39-3</t>
  </si>
  <si>
    <t>'7646-85-7</t>
  </si>
  <si>
    <t>'1314-13-2</t>
  </si>
  <si>
    <t>'13463-41-7</t>
  </si>
  <si>
    <t>'7440-67-7</t>
  </si>
  <si>
    <t>'13967-71-0</t>
  </si>
  <si>
    <t>'98-83-9</t>
  </si>
  <si>
    <t>'101-86-0</t>
  </si>
  <si>
    <t>'18708-87-7</t>
  </si>
  <si>
    <t>'91-01-0</t>
  </si>
  <si>
    <t>'134237-50-6</t>
  </si>
  <si>
    <t>'319-84-6</t>
  </si>
  <si>
    <t>'100-51-6</t>
  </si>
  <si>
    <t>'98-87-3</t>
  </si>
  <si>
    <t>'71751-41-2</t>
  </si>
  <si>
    <t>'79-06-1</t>
  </si>
  <si>
    <t>'107-02-8</t>
  </si>
  <si>
    <t>'62476-59-9</t>
  </si>
  <si>
    <t>'135158-54-2</t>
  </si>
  <si>
    <t>'260-94-6</t>
  </si>
  <si>
    <t>'30560-19-1</t>
  </si>
  <si>
    <t>'4170-30-3</t>
  </si>
  <si>
    <t>'107-13-1</t>
  </si>
  <si>
    <t>'65195-55-3</t>
  </si>
  <si>
    <t>'74070-46-5</t>
  </si>
  <si>
    <t>'103833-18-7</t>
  </si>
  <si>
    <t>'67375-30-8</t>
  </si>
  <si>
    <t>'57960-19-7</t>
  </si>
  <si>
    <t>'55589-62-3</t>
  </si>
  <si>
    <t>'60-35-5</t>
  </si>
  <si>
    <t>'34256-82-1</t>
  </si>
  <si>
    <t>'616-91-1</t>
  </si>
  <si>
    <t>'98-86-2</t>
  </si>
  <si>
    <t>'135410-20-7</t>
  </si>
  <si>
    <t>'67-64-1</t>
  </si>
  <si>
    <t>'77536-66-4</t>
  </si>
  <si>
    <t>'75-05-8</t>
  </si>
  <si>
    <t>'21312-10-7</t>
  </si>
  <si>
    <t>'959-98-8</t>
  </si>
  <si>
    <t>'4057-31-2</t>
  </si>
  <si>
    <t>'127-51-5</t>
  </si>
  <si>
    <t>'15972-60-8</t>
  </si>
  <si>
    <t>'1646-87-3</t>
  </si>
  <si>
    <t>'116-06-3</t>
  </si>
  <si>
    <t>'1646-88-4</t>
  </si>
  <si>
    <t>'309-00-2</t>
  </si>
  <si>
    <t>'81403-80-7</t>
  </si>
  <si>
    <t>'67774-74-7</t>
  </si>
  <si>
    <t>'107-18-6</t>
  </si>
  <si>
    <t>'315-30-0</t>
  </si>
  <si>
    <t>'584-79-2</t>
  </si>
  <si>
    <t>'55634-91-8</t>
  </si>
  <si>
    <t>'83130-01-2</t>
  </si>
  <si>
    <t>'463-40-1</t>
  </si>
  <si>
    <t>'28981-97-7</t>
  </si>
  <si>
    <t>'628-63-7</t>
  </si>
  <si>
    <t>'51022-69-6</t>
  </si>
  <si>
    <t>'117-96-4</t>
  </si>
  <si>
    <t>'120923-37-7</t>
  </si>
  <si>
    <t>'300-62-9</t>
  </si>
  <si>
    <t>'1951-25-3</t>
  </si>
  <si>
    <t>'69-53-4</t>
  </si>
  <si>
    <t>'348635-87-0</t>
  </si>
  <si>
    <t>'71675-85-9</t>
  </si>
  <si>
    <t>'12172-73-5</t>
  </si>
  <si>
    <t>'61-82-5</t>
  </si>
  <si>
    <t>'834-12-8</t>
  </si>
  <si>
    <t>'865318-97-4</t>
  </si>
  <si>
    <t>'50-48-6</t>
  </si>
  <si>
    <t>'33089-61-1</t>
  </si>
  <si>
    <t>'26787-78-0</t>
  </si>
  <si>
    <t>'23893-13-2</t>
  </si>
  <si>
    <t>'12771-68-5</t>
  </si>
  <si>
    <t>'101-05-3</t>
  </si>
  <si>
    <t>'100-66-3</t>
  </si>
  <si>
    <t>'84-65-1</t>
  </si>
  <si>
    <t>'77536-67-5</t>
  </si>
  <si>
    <t>'64285-06-9</t>
  </si>
  <si>
    <t>'80-56-8</t>
  </si>
  <si>
    <t>'506-32-1</t>
  </si>
  <si>
    <t>'506-30-9</t>
  </si>
  <si>
    <t>'140-57-8</t>
  </si>
  <si>
    <t>'1332-21-4</t>
  </si>
  <si>
    <t>'3337-71-1</t>
  </si>
  <si>
    <t>'50-78-2</t>
  </si>
  <si>
    <t>'22839-47-0</t>
  </si>
  <si>
    <t>'98-55-5</t>
  </si>
  <si>
    <t>'29122-68-7</t>
  </si>
  <si>
    <t>'1610-17-9</t>
  </si>
  <si>
    <t>'134523-00-5</t>
  </si>
  <si>
    <t>'1912-24-9</t>
  </si>
  <si>
    <t>'103-33-3</t>
  </si>
  <si>
    <t>'60207-31-0</t>
  </si>
  <si>
    <t>'83857-41-4</t>
  </si>
  <si>
    <t>'11141-17-6</t>
  </si>
  <si>
    <t>'58581-89-8</t>
  </si>
  <si>
    <t>'35575-96-3</t>
  </si>
  <si>
    <t>'131860-33-8</t>
  </si>
  <si>
    <t>'4658-28-0</t>
  </si>
  <si>
    <t>'120162-55-2</t>
  </si>
  <si>
    <t>'83905-01-5</t>
  </si>
  <si>
    <t>'7166-19-0</t>
  </si>
  <si>
    <t>'18708-86-6</t>
  </si>
  <si>
    <t>'134237-51-7</t>
  </si>
  <si>
    <t>'319-85-7</t>
  </si>
  <si>
    <t>'76543-83-4</t>
  </si>
  <si>
    <t>'18751-99-0</t>
  </si>
  <si>
    <t>'101-27-9</t>
  </si>
  <si>
    <t>'33213-65-9</t>
  </si>
  <si>
    <t>'113614-08-7</t>
  </si>
  <si>
    <t>'22781-23-3</t>
  </si>
  <si>
    <t>'1861-40-1</t>
  </si>
  <si>
    <t>'82560-54-1</t>
  </si>
  <si>
    <t>'71626-11-4</t>
  </si>
  <si>
    <t>'98243-83-5</t>
  </si>
  <si>
    <t>'17804-35-2</t>
  </si>
  <si>
    <t>'15310-01-7</t>
  </si>
  <si>
    <t>'83055-99-6</t>
  </si>
  <si>
    <t>'177406-68-7</t>
  </si>
  <si>
    <t>'413615-35-7</t>
  </si>
  <si>
    <t>'25057-89-0</t>
  </si>
  <si>
    <t>'61592-45-8</t>
  </si>
  <si>
    <t>'55-21-0</t>
  </si>
  <si>
    <t>'100-46-9</t>
  </si>
  <si>
    <t>'85-68-7</t>
  </si>
  <si>
    <t>'100-44-7</t>
  </si>
  <si>
    <t>'965-32-2</t>
  </si>
  <si>
    <t>'139-08-2</t>
  </si>
  <si>
    <t>'122-18-9</t>
  </si>
  <si>
    <t>'122-19-0</t>
  </si>
  <si>
    <t>'959-55-7</t>
  </si>
  <si>
    <t>'1214-39-7</t>
  </si>
  <si>
    <t>'120-51-4</t>
  </si>
  <si>
    <t>'94-09-7</t>
  </si>
  <si>
    <t>'92-87-5</t>
  </si>
  <si>
    <t>'65-85-0</t>
  </si>
  <si>
    <t>'119-61-9</t>
  </si>
  <si>
    <t>'122-73-6</t>
  </si>
  <si>
    <t>'3813-05-6</t>
  </si>
  <si>
    <t>'25059-80-7</t>
  </si>
  <si>
    <t>'100-47-0</t>
  </si>
  <si>
    <t>'95-16-9</t>
  </si>
  <si>
    <t>'1929-88-0</t>
  </si>
  <si>
    <t>'1072957-71-1</t>
  </si>
  <si>
    <t>'29104-30-1</t>
  </si>
  <si>
    <t>'19379-90-9</t>
  </si>
  <si>
    <t>'98-88-4</t>
  </si>
  <si>
    <t>'519-09-5</t>
  </si>
  <si>
    <t>'94-36-0</t>
  </si>
  <si>
    <t>'22212-56-2</t>
  </si>
  <si>
    <t>'22212-55-1</t>
  </si>
  <si>
    <t>'63659-18-7</t>
  </si>
  <si>
    <t>'41859-67-0</t>
  </si>
  <si>
    <t>'42576-02-3</t>
  </si>
  <si>
    <t>'92-52-4</t>
  </si>
  <si>
    <t>'149877-41-8</t>
  </si>
  <si>
    <t>'82657-04-3</t>
  </si>
  <si>
    <t>'485-31-4</t>
  </si>
  <si>
    <t>'28434-01-7</t>
  </si>
  <si>
    <t>'514-65-8</t>
  </si>
  <si>
    <t>'111-96-6</t>
  </si>
  <si>
    <t>'111-91-1</t>
  </si>
  <si>
    <t>'126-15-8</t>
  </si>
  <si>
    <t>'80-05-7</t>
  </si>
  <si>
    <t>'2467-02-9</t>
  </si>
  <si>
    <t>'678-41-1</t>
  </si>
  <si>
    <t>'3064-70-8</t>
  </si>
  <si>
    <t>'66722-44-9</t>
  </si>
  <si>
    <t>'55179-31-2</t>
  </si>
  <si>
    <t>'581809-46-3</t>
  </si>
  <si>
    <t>'10043-35-3</t>
  </si>
  <si>
    <t>'7492-41-3</t>
  </si>
  <si>
    <t>'507-70-0</t>
  </si>
  <si>
    <t>'188425-85-6</t>
  </si>
  <si>
    <t>'107-92-6</t>
  </si>
  <si>
    <t>'57-57-8</t>
  </si>
  <si>
    <t>'3408-97-7</t>
  </si>
  <si>
    <t>'56073-10-0</t>
  </si>
  <si>
    <t>'314-40-9</t>
  </si>
  <si>
    <t>'116255-48-2</t>
  </si>
  <si>
    <t>'28772-56-7</t>
  </si>
  <si>
    <t>'3861-41-4</t>
  </si>
  <si>
    <t>'52-51-7</t>
  </si>
  <si>
    <t>'357-57-3</t>
  </si>
  <si>
    <t>'83-46-5</t>
  </si>
  <si>
    <t>'51249-05-9</t>
  </si>
  <si>
    <t>'69327-76-0</t>
  </si>
  <si>
    <t>'52485-79-7</t>
  </si>
  <si>
    <t>'34911-55-2</t>
  </si>
  <si>
    <t>'41483-43-6</t>
  </si>
  <si>
    <t>'23184-66-9</t>
  </si>
  <si>
    <t>'34681-10-2</t>
  </si>
  <si>
    <t>'34681-24-8</t>
  </si>
  <si>
    <t>'34681-23-7</t>
  </si>
  <si>
    <t>'33629-47-9</t>
  </si>
  <si>
    <t>'3766-60-7</t>
  </si>
  <si>
    <t>'29743-97-3</t>
  </si>
  <si>
    <t>'2091-27-2</t>
  </si>
  <si>
    <t>'5598-38-9</t>
  </si>
  <si>
    <t>'2416-20-8</t>
  </si>
  <si>
    <t>'5561-99-9</t>
  </si>
  <si>
    <t>'156-59-2</t>
  </si>
  <si>
    <t>'6923-20-2</t>
  </si>
  <si>
    <t>'7370-49-2</t>
  </si>
  <si>
    <t>'10061-01-5</t>
  </si>
  <si>
    <t>'506-37-6</t>
  </si>
  <si>
    <t>'15798-64-8</t>
  </si>
  <si>
    <t>'1783-84-2</t>
  </si>
  <si>
    <t>'29255-62-7</t>
  </si>
  <si>
    <t>'10417-94-4</t>
  </si>
  <si>
    <t>'6217-54-5</t>
  </si>
  <si>
    <t>'5103-71-9</t>
  </si>
  <si>
    <t>'70887-84-2</t>
  </si>
  <si>
    <t>'134237-52-8</t>
  </si>
  <si>
    <t>'58-89-9</t>
  </si>
  <si>
    <t>'1024-57-3</t>
  </si>
  <si>
    <t>'5103-73-1</t>
  </si>
  <si>
    <t>'22248-79-9</t>
  </si>
  <si>
    <t>'95465-99-9</t>
  </si>
  <si>
    <t>'58-08-2</t>
  </si>
  <si>
    <t>'13397-26-7</t>
  </si>
  <si>
    <t>'17334-55-3</t>
  </si>
  <si>
    <t>'76-22-2</t>
  </si>
  <si>
    <t>'79-92-5</t>
  </si>
  <si>
    <t>'3144-16-9</t>
  </si>
  <si>
    <t>'139481-59-7</t>
  </si>
  <si>
    <t>'154361-50-9</t>
  </si>
  <si>
    <t>'2425-06-1</t>
  </si>
  <si>
    <t>'133-06-2</t>
  </si>
  <si>
    <t>'5234-68-4</t>
  </si>
  <si>
    <t>'6804-07-5</t>
  </si>
  <si>
    <t>'10605-21-7</t>
  </si>
  <si>
    <t>'786-19-6</t>
  </si>
  <si>
    <t>'1563-66-2</t>
  </si>
  <si>
    <t>'497-18-7</t>
  </si>
  <si>
    <t>'36507-30-9</t>
  </si>
  <si>
    <t>'298-46-4</t>
  </si>
  <si>
    <t>'463-58-1</t>
  </si>
  <si>
    <t>'63-25-2</t>
  </si>
  <si>
    <t>'55285-14-8</t>
  </si>
  <si>
    <t>'16118-49-3</t>
  </si>
  <si>
    <t>'86-74-8</t>
  </si>
  <si>
    <t>'128639-02-1</t>
  </si>
  <si>
    <t>'104030-54-8</t>
  </si>
  <si>
    <t>'99-49-0</t>
  </si>
  <si>
    <t>'287-92-3</t>
  </si>
  <si>
    <t>'17996-82-6</t>
  </si>
  <si>
    <t>'73384-59-5</t>
  </si>
  <si>
    <t>'53994-73-3</t>
  </si>
  <si>
    <t>'50370-12-2</t>
  </si>
  <si>
    <t>'15686-71-2</t>
  </si>
  <si>
    <t>'55268-75-2</t>
  </si>
  <si>
    <t>'80370-57-6</t>
  </si>
  <si>
    <t>'63527-52-6</t>
  </si>
  <si>
    <t>'79350-37-1</t>
  </si>
  <si>
    <t>'25953-19-9</t>
  </si>
  <si>
    <t>'9004-34-6</t>
  </si>
  <si>
    <t>'23783-98-4</t>
  </si>
  <si>
    <t>'27541-88-4</t>
  </si>
  <si>
    <t>'1398-61-4</t>
  </si>
  <si>
    <t>'9012-76-4</t>
  </si>
  <si>
    <t>'74115-24-5</t>
  </si>
  <si>
    <t>'118-75-2</t>
  </si>
  <si>
    <t>'500008-45-7</t>
  </si>
  <si>
    <t>'15879-93-3</t>
  </si>
  <si>
    <t>'90982-32-4</t>
  </si>
  <si>
    <t>'72391-46-9</t>
  </si>
  <si>
    <t>'16732-84-6</t>
  </si>
  <si>
    <t>'57-88-5</t>
  </si>
  <si>
    <t>'12001-29-5</t>
  </si>
  <si>
    <t>'4680-78-8</t>
  </si>
  <si>
    <t>'6459-94-5</t>
  </si>
  <si>
    <t>'3520-42-1</t>
  </si>
  <si>
    <t>'569-64-2</t>
  </si>
  <si>
    <t>'989-38-8</t>
  </si>
  <si>
    <t>'72-57-1</t>
  </si>
  <si>
    <t>'28407-37-6</t>
  </si>
  <si>
    <t>'2602-46-2</t>
  </si>
  <si>
    <t>'1937-37-7</t>
  </si>
  <si>
    <t>'16071-86-6</t>
  </si>
  <si>
    <t>'2832-40-8</t>
  </si>
  <si>
    <t>'3761-53-3</t>
  </si>
  <si>
    <t>'92077-78-6</t>
  </si>
  <si>
    <t>'142891-20-1</t>
  </si>
  <si>
    <t>'104-55-2</t>
  </si>
  <si>
    <t>'94593-91-6</t>
  </si>
  <si>
    <t>'85721-33-1</t>
  </si>
  <si>
    <t>'3118-97-6</t>
  </si>
  <si>
    <t>'842-07-9</t>
  </si>
  <si>
    <t>'97-56-3</t>
  </si>
  <si>
    <t>'492-80-8</t>
  </si>
  <si>
    <t>'5392-40-5</t>
  </si>
  <si>
    <t>'59729-33-8</t>
  </si>
  <si>
    <t>'106-22-9</t>
  </si>
  <si>
    <t>'128-66-5</t>
  </si>
  <si>
    <t>'81103-11-9</t>
  </si>
  <si>
    <t>'143-50-0</t>
  </si>
  <si>
    <t>'15686-51-8</t>
  </si>
  <si>
    <t>'37148-27-9</t>
  </si>
  <si>
    <t>'99129-21-2</t>
  </si>
  <si>
    <t>'3691-35-8</t>
  </si>
  <si>
    <t>'2464-37-1</t>
  </si>
  <si>
    <t>'18472-51-0</t>
  </si>
  <si>
    <t>'18323-44-9</t>
  </si>
  <si>
    <t>'7003-89-6</t>
  </si>
  <si>
    <t>'25122-46-7</t>
  </si>
  <si>
    <t>'114420-56-3</t>
  </si>
  <si>
    <t>'105512-06-9</t>
  </si>
  <si>
    <t>'882-09-7</t>
  </si>
  <si>
    <t>'637-07-0</t>
  </si>
  <si>
    <t>'303-49-1</t>
  </si>
  <si>
    <t>'81777-89-1</t>
  </si>
  <si>
    <t>'1622-61-3</t>
  </si>
  <si>
    <t>'1702-17-6</t>
  </si>
  <si>
    <t>'99607-70-2</t>
  </si>
  <si>
    <t>'210880-92-5</t>
  </si>
  <si>
    <t>'23593-75-1</t>
  </si>
  <si>
    <t>'61-72-3</t>
  </si>
  <si>
    <t>'5786-21-0</t>
  </si>
  <si>
    <t>'1861-32-1</t>
  </si>
  <si>
    <t>'2136-79-0</t>
  </si>
  <si>
    <t>'60238-56-4</t>
  </si>
  <si>
    <t>'88-04-0</t>
  </si>
  <si>
    <t>'298-01-1</t>
  </si>
  <si>
    <t>'50-36-2</t>
  </si>
  <si>
    <t>'76-57-3</t>
  </si>
  <si>
    <t>'33956-49-9</t>
  </si>
  <si>
    <t>'53-06-5</t>
  </si>
  <si>
    <t>'5836-29-3</t>
  </si>
  <si>
    <t>'61949-76-6</t>
  </si>
  <si>
    <t>'83227-23-0</t>
  </si>
  <si>
    <t>'8001-58-9</t>
  </si>
  <si>
    <t>'299-86-5</t>
  </si>
  <si>
    <t>'535-89-7</t>
  </si>
  <si>
    <t>'12001-28-4</t>
  </si>
  <si>
    <t>'123-73-9</t>
  </si>
  <si>
    <t>'80-15-9</t>
  </si>
  <si>
    <t>'56-72-4</t>
  </si>
  <si>
    <t>'98-82-8</t>
  </si>
  <si>
    <t>'135-20-6</t>
  </si>
  <si>
    <t>'13067-93-1</t>
  </si>
  <si>
    <t>'2636-26-2</t>
  </si>
  <si>
    <t>'736994-63-1</t>
  </si>
  <si>
    <t>'120116-88-3</t>
  </si>
  <si>
    <t>'294-62-2</t>
  </si>
  <si>
    <t>'295-48-7</t>
  </si>
  <si>
    <t>'295-65-8</t>
  </si>
  <si>
    <t>'110-82-7</t>
  </si>
  <si>
    <t>'110-83-8</t>
  </si>
  <si>
    <t>'108-93-0</t>
  </si>
  <si>
    <t>'108-94-1</t>
  </si>
  <si>
    <t>'27208-37-3</t>
  </si>
  <si>
    <t>'1134-23-2</t>
  </si>
  <si>
    <t>'50-18-0</t>
  </si>
  <si>
    <t>'100-88-9</t>
  </si>
  <si>
    <t>'113136-77-9</t>
  </si>
  <si>
    <t>'2163-69-1</t>
  </si>
  <si>
    <t>'101205-02-1</t>
  </si>
  <si>
    <t>'180409-60-3</t>
  </si>
  <si>
    <t>'400882-07-7</t>
  </si>
  <si>
    <t>'39515-40-7</t>
  </si>
  <si>
    <t>'68359-37-5</t>
  </si>
  <si>
    <t>'122008-85-9</t>
  </si>
  <si>
    <t>'68085-85-8</t>
  </si>
  <si>
    <t>'13121-70-5</t>
  </si>
  <si>
    <t>'57966-95-7</t>
  </si>
  <si>
    <t>'61676-87-7</t>
  </si>
  <si>
    <t>'129-03-3</t>
  </si>
  <si>
    <t>'94361-06-5</t>
  </si>
  <si>
    <t>'121552-61-2</t>
  </si>
  <si>
    <t>'69581-33-5</t>
  </si>
  <si>
    <t>'52315-07-8</t>
  </si>
  <si>
    <t>'66215-27-8</t>
  </si>
  <si>
    <t>'115-93-5</t>
  </si>
  <si>
    <t>'319-86-8</t>
  </si>
  <si>
    <t>'486-66-8</t>
  </si>
  <si>
    <t>'1596-84-5</t>
  </si>
  <si>
    <t>'112398-08-0</t>
  </si>
  <si>
    <t>'80-08-0</t>
  </si>
  <si>
    <t>'53404-60-7</t>
  </si>
  <si>
    <t>'533-74-4</t>
  </si>
  <si>
    <t>'2244-16-8</t>
  </si>
  <si>
    <t>'8065-62-1</t>
  </si>
  <si>
    <t>'919-86-8</t>
  </si>
  <si>
    <t>'17040-19-6</t>
  </si>
  <si>
    <t>'298-03-3</t>
  </si>
  <si>
    <t>'126-75-0</t>
  </si>
  <si>
    <t>'8002-09-3</t>
  </si>
  <si>
    <t>'1088-11-5</t>
  </si>
  <si>
    <t>'6190-65-4</t>
  </si>
  <si>
    <t>'37019-18-4</t>
  </si>
  <si>
    <t>'30125-63-4</t>
  </si>
  <si>
    <t>'30125-64-5</t>
  </si>
  <si>
    <t>'6339-19-1</t>
  </si>
  <si>
    <t>'1007-28-9</t>
  </si>
  <si>
    <t>'13684-56-5</t>
  </si>
  <si>
    <t>'1014-69-3</t>
  </si>
  <si>
    <t>'50-02-2</t>
  </si>
  <si>
    <t>'101831-37-2</t>
  </si>
  <si>
    <t>'60-57-1</t>
  </si>
  <si>
    <t>'52508-35-7</t>
  </si>
  <si>
    <t>'42399-41-7</t>
  </si>
  <si>
    <t>'644-64-4</t>
  </si>
  <si>
    <t>'512-04-9</t>
  </si>
  <si>
    <t>'5989-27-5</t>
  </si>
  <si>
    <t>'134842-07-2</t>
  </si>
  <si>
    <t>'131022-02-1</t>
  </si>
  <si>
    <t>'52918-63-5</t>
  </si>
  <si>
    <t>'114977-28-5</t>
  </si>
  <si>
    <t>'123-01-3</t>
  </si>
  <si>
    <t>'1593-77-7</t>
  </si>
  <si>
    <t>'2439-10-3</t>
  </si>
  <si>
    <t>'117704-25-3</t>
  </si>
  <si>
    <t>'564-25-0</t>
  </si>
  <si>
    <t>'24390-14-5</t>
  </si>
  <si>
    <t>'23214-92-8</t>
  </si>
  <si>
    <t>'28057-48-9</t>
  </si>
  <si>
    <t>'116539-59-4</t>
  </si>
  <si>
    <t>'6108-10-7</t>
  </si>
  <si>
    <t>'2593-15-9</t>
  </si>
  <si>
    <t>'105-60-2</t>
  </si>
  <si>
    <t>'17109-49-8</t>
  </si>
  <si>
    <t>'155569-91-8</t>
  </si>
  <si>
    <t>'119791-41-2</t>
  </si>
  <si>
    <t>'121124-29-6</t>
  </si>
  <si>
    <t>'121424-52-0</t>
  </si>
  <si>
    <t>'54406-48-3</t>
  </si>
  <si>
    <t>'7421-93-4</t>
  </si>
  <si>
    <t>'72-20-8</t>
  </si>
  <si>
    <t>'1031-07-8</t>
  </si>
  <si>
    <t>'3369-52-6</t>
  </si>
  <si>
    <t>'3868-61-9</t>
  </si>
  <si>
    <t>'115-29-7</t>
  </si>
  <si>
    <t>'145-73-3</t>
  </si>
  <si>
    <t>'75847-73-3</t>
  </si>
  <si>
    <t>'93106-60-6</t>
  </si>
  <si>
    <t>'74011-58-8</t>
  </si>
  <si>
    <t>'25988-97-0</t>
  </si>
  <si>
    <t>'106-89-8</t>
  </si>
  <si>
    <t>'123997-26-2</t>
  </si>
  <si>
    <t>'133040-01-4</t>
  </si>
  <si>
    <t>'133855-98-8</t>
  </si>
  <si>
    <t>'112-86-7</t>
  </si>
  <si>
    <t>'50-14-6</t>
  </si>
  <si>
    <t>'114-07-8</t>
  </si>
  <si>
    <t>'50-27-1</t>
  </si>
  <si>
    <t>'66230-04-4</t>
  </si>
  <si>
    <t>'85785-20-2</t>
  </si>
  <si>
    <t>'60207-93-4</t>
  </si>
  <si>
    <t>'30043-49-3</t>
  </si>
  <si>
    <t>'31637-97-5</t>
  </si>
  <si>
    <t>'26225-79-6</t>
  </si>
  <si>
    <t>'16672-87-0</t>
  </si>
  <si>
    <t>'80844-07-1</t>
  </si>
  <si>
    <t>'38260-54-7</t>
  </si>
  <si>
    <t>'57-63-6</t>
  </si>
  <si>
    <t>'54048-10-1</t>
  </si>
  <si>
    <t>'29973-13-5</t>
  </si>
  <si>
    <t>'53380-22-6</t>
  </si>
  <si>
    <t>'53380-23-7</t>
  </si>
  <si>
    <t>'2941-55-1</t>
  </si>
  <si>
    <t>'563-12-2</t>
  </si>
  <si>
    <t>'13194-48-4</t>
  </si>
  <si>
    <t>'181587-01-9</t>
  </si>
  <si>
    <t>'33419-42-0</t>
  </si>
  <si>
    <t>'23947-60-6</t>
  </si>
  <si>
    <t>'77-67-8</t>
  </si>
  <si>
    <t>'91-53-2</t>
  </si>
  <si>
    <t>'153233-91-1</t>
  </si>
  <si>
    <t>'97-53-0</t>
  </si>
  <si>
    <t>'14816-18-3</t>
  </si>
  <si>
    <t>'52-85-7</t>
  </si>
  <si>
    <t>'131807-57-3</t>
  </si>
  <si>
    <t>'4602-84-0</t>
  </si>
  <si>
    <t>'122-14-5</t>
  </si>
  <si>
    <t>'103112-35-2</t>
  </si>
  <si>
    <t>'299-84-3</t>
  </si>
  <si>
    <t>'66441-23-4</t>
  </si>
  <si>
    <t>'72490-01-8</t>
  </si>
  <si>
    <t>'31972-43-7</t>
  </si>
  <si>
    <t>'22224-92-6</t>
  </si>
  <si>
    <t>'31972-44-8</t>
  </si>
  <si>
    <t>'60168-88-9</t>
  </si>
  <si>
    <t>'50-06-6</t>
  </si>
  <si>
    <t>'3766-81-2</t>
  </si>
  <si>
    <t>'114369-43-6</t>
  </si>
  <si>
    <t>'43210-67-9</t>
  </si>
  <si>
    <t>'13356-08-6</t>
  </si>
  <si>
    <t>'62-44-2</t>
  </si>
  <si>
    <t>'42017-89-0</t>
  </si>
  <si>
    <t>'49562-28-9</t>
  </si>
  <si>
    <t>'24691-80-3</t>
  </si>
  <si>
    <t>'126833-17-8</t>
  </si>
  <si>
    <t>'13684-63-4</t>
  </si>
  <si>
    <t>'161326-34-7</t>
  </si>
  <si>
    <t>'140-56-7</t>
  </si>
  <si>
    <t>'113158-40-0</t>
  </si>
  <si>
    <t>'74738-17-3</t>
  </si>
  <si>
    <t>'31879-05-7</t>
  </si>
  <si>
    <t>'67306-00-7</t>
  </si>
  <si>
    <t>'67564-91-4</t>
  </si>
  <si>
    <t>'473798-59-3</t>
  </si>
  <si>
    <t>'39515-41-8</t>
  </si>
  <si>
    <t>'134098-61-6</t>
  </si>
  <si>
    <t>'101-42-8</t>
  </si>
  <si>
    <t>'115-90-2</t>
  </si>
  <si>
    <t>'900-95-8</t>
  </si>
  <si>
    <t>'2597-03-7</t>
  </si>
  <si>
    <t>'26002-80-2</t>
  </si>
  <si>
    <t>'437-38-7</t>
  </si>
  <si>
    <t>'3761-41-9</t>
  </si>
  <si>
    <t>'55-38-9</t>
  </si>
  <si>
    <t>'3761-42-0</t>
  </si>
  <si>
    <t>'13392-18-2</t>
  </si>
  <si>
    <t>'51630-58-1</t>
  </si>
  <si>
    <t>'71283-80-2</t>
  </si>
  <si>
    <t>'60-80-0</t>
  </si>
  <si>
    <t>'120928-09-8</t>
  </si>
  <si>
    <t>'14484-64-1</t>
  </si>
  <si>
    <t>'102-54-5</t>
  </si>
  <si>
    <t>'83799-24-0</t>
  </si>
  <si>
    <t>'205650-65-3</t>
  </si>
  <si>
    <t>'120068-37-3</t>
  </si>
  <si>
    <t>'120068-36-2</t>
  </si>
  <si>
    <t>'63782-90-1</t>
  </si>
  <si>
    <t>'104040-78-0</t>
  </si>
  <si>
    <t>'54143-55-4</t>
  </si>
  <si>
    <t>'90035-08-8</t>
  </si>
  <si>
    <t>'158062-67-0</t>
  </si>
  <si>
    <t>'76639-94-6</t>
  </si>
  <si>
    <t>'96525-23-4</t>
  </si>
  <si>
    <t>'33245-39-5</t>
  </si>
  <si>
    <t>'81406-37-3</t>
  </si>
  <si>
    <t>'76674-21-0</t>
  </si>
  <si>
    <t>'229977-93-9</t>
  </si>
  <si>
    <t>'69409-94-5</t>
  </si>
  <si>
    <t>'69806-50-4</t>
  </si>
  <si>
    <t>'79241-46-6</t>
  </si>
  <si>
    <t>'69335-91-7</t>
  </si>
  <si>
    <t>'83066-88-0</t>
  </si>
  <si>
    <t>'174514-07-9</t>
  </si>
  <si>
    <t>'79622-59-6</t>
  </si>
  <si>
    <t>'272451-65-7</t>
  </si>
  <si>
    <t>'31430-15-6</t>
  </si>
  <si>
    <t>'37893-02-0</t>
  </si>
  <si>
    <t>'5250-39-5</t>
  </si>
  <si>
    <t>'113036-88-7</t>
  </si>
  <si>
    <t>'370-50-3</t>
  </si>
  <si>
    <t>'86386-73-4</t>
  </si>
  <si>
    <t>'70124-77-5</t>
  </si>
  <si>
    <t>'131341-86-1</t>
  </si>
  <si>
    <t>'142459-58-3</t>
  </si>
  <si>
    <t>'101463-69-8</t>
  </si>
  <si>
    <t>'69-23-8</t>
  </si>
  <si>
    <t>'103361-09-7</t>
  </si>
  <si>
    <t>'42835-25-6</t>
  </si>
  <si>
    <t>'77501-90-7</t>
  </si>
  <si>
    <t>'2164-17-2</t>
  </si>
  <si>
    <t>'239110-15-7</t>
  </si>
  <si>
    <t>'658066-35-4</t>
  </si>
  <si>
    <t>'193740-76-0</t>
  </si>
  <si>
    <t>'54910-89-3</t>
  </si>
  <si>
    <t>'951659-40-8</t>
  </si>
  <si>
    <t>'144740-54-5</t>
  </si>
  <si>
    <t>'2709-56-0</t>
  </si>
  <si>
    <t>'136426-54-5</t>
  </si>
  <si>
    <t>'69377-81-7</t>
  </si>
  <si>
    <t>'51-21-8</t>
  </si>
  <si>
    <t>'61213-25-0</t>
  </si>
  <si>
    <t>'59756-60-4</t>
  </si>
  <si>
    <t>'2314-09-2</t>
  </si>
  <si>
    <t>'467-69-6</t>
  </si>
  <si>
    <t>'77125-41-8</t>
  </si>
  <si>
    <t>'145701-23-1</t>
  </si>
  <si>
    <t>'85509-19-9</t>
  </si>
  <si>
    <t>'80474-14-2</t>
  </si>
  <si>
    <t>'66332-96-5</t>
  </si>
  <si>
    <t>'13311-84-7</t>
  </si>
  <si>
    <t>'907204-31-3</t>
  </si>
  <si>
    <t>'133-07-3</t>
  </si>
  <si>
    <t>'72178-02-0</t>
  </si>
  <si>
    <t>'944-22-9</t>
  </si>
  <si>
    <t>'2588-05-8</t>
  </si>
  <si>
    <t>'173159-57-4</t>
  </si>
  <si>
    <t>'75-12-7</t>
  </si>
  <si>
    <t>'23422-53-9</t>
  </si>
  <si>
    <t>'22259-30-9</t>
  </si>
  <si>
    <t>'2540-82-1</t>
  </si>
  <si>
    <t>'2588-04-7</t>
  </si>
  <si>
    <t>'298-02-2</t>
  </si>
  <si>
    <t>'39148-24-8</t>
  </si>
  <si>
    <t>'13171-21-6</t>
  </si>
  <si>
    <t>'7803-51-2</t>
  </si>
  <si>
    <t>'75-44-5</t>
  </si>
  <si>
    <t>'2310-17-0</t>
  </si>
  <si>
    <t>'3735-33-9</t>
  </si>
  <si>
    <t>'732-11-6</t>
  </si>
  <si>
    <t>'98886-44-3</t>
  </si>
  <si>
    <t>'15845-66-6</t>
  </si>
  <si>
    <t>'85-44-9</t>
  </si>
  <si>
    <t>'85-41-6</t>
  </si>
  <si>
    <t>'3878-19-1</t>
  </si>
  <si>
    <t>'98-01-1</t>
  </si>
  <si>
    <t>'57646-30-7</t>
  </si>
  <si>
    <t>'60568-05-0</t>
  </si>
  <si>
    <t>'54-31-9</t>
  </si>
  <si>
    <t>'65907-30-4</t>
  </si>
  <si>
    <t>'67-45-8</t>
  </si>
  <si>
    <t>'11016-15-2</t>
  </si>
  <si>
    <t>'150-86-7</t>
  </si>
  <si>
    <t>'60142-96-3</t>
  </si>
  <si>
    <t>'64744-50-9</t>
  </si>
  <si>
    <t>'8030-53-3</t>
  </si>
  <si>
    <t>'77-06-5</t>
  </si>
  <si>
    <t>'68439-50-9</t>
  </si>
  <si>
    <t>'68439-49-6</t>
  </si>
  <si>
    <t>'68439-46-3</t>
  </si>
  <si>
    <t>'61827-42-7</t>
  </si>
  <si>
    <t>'95058-81-4</t>
  </si>
  <si>
    <t>'25812-30-0</t>
  </si>
  <si>
    <t>'62850-32-2</t>
  </si>
  <si>
    <t>'490-79-9</t>
  </si>
  <si>
    <t>'106-24-1</t>
  </si>
  <si>
    <t>'10238-21-8</t>
  </si>
  <si>
    <t>'93479-97-1</t>
  </si>
  <si>
    <t>'506-26-3</t>
  </si>
  <si>
    <t>'50-99-7</t>
  </si>
  <si>
    <t>'51276-47-2</t>
  </si>
  <si>
    <t>'77182-82-2</t>
  </si>
  <si>
    <t>'111-30-8</t>
  </si>
  <si>
    <t>'56-86-0</t>
  </si>
  <si>
    <t>'556-52-5</t>
  </si>
  <si>
    <t>'107-21-1</t>
  </si>
  <si>
    <t>'25395-31-7</t>
  </si>
  <si>
    <t>'102-76-1</t>
  </si>
  <si>
    <t>'56-81-5</t>
  </si>
  <si>
    <t>'81591-81-3</t>
  </si>
  <si>
    <t>'2439-99-8</t>
  </si>
  <si>
    <t>'1071-83-6</t>
  </si>
  <si>
    <t>'107-22-2</t>
  </si>
  <si>
    <t>'141-83-3</t>
  </si>
  <si>
    <t>'108173-90-6</t>
  </si>
  <si>
    <t>'6108-12-9</t>
  </si>
  <si>
    <t>'69806-40-2</t>
  </si>
  <si>
    <t>'87237-48-7</t>
  </si>
  <si>
    <t>'72619-32-0</t>
  </si>
  <si>
    <t>'69806-34-4</t>
  </si>
  <si>
    <t>'95977-29-0</t>
  </si>
  <si>
    <t>'943831-98-9</t>
  </si>
  <si>
    <t>'112226-61-6</t>
  </si>
  <si>
    <t>'74-97-5</t>
  </si>
  <si>
    <t>'353-59-3</t>
  </si>
  <si>
    <t>'75-63-8</t>
  </si>
  <si>
    <t>'124-73-2</t>
  </si>
  <si>
    <t>'52-86-8</t>
  </si>
  <si>
    <t>'23560-59-0</t>
  </si>
  <si>
    <t>'335-57-9</t>
  </si>
  <si>
    <t>'78587-05-0</t>
  </si>
  <si>
    <t>'67485-29-4</t>
  </si>
  <si>
    <t>'10034-93-2</t>
  </si>
  <si>
    <t>'302-01-2</t>
  </si>
  <si>
    <t>'10004-44-1</t>
  </si>
  <si>
    <t>'9043-30-5</t>
  </si>
  <si>
    <t>'75-31-0</t>
  </si>
  <si>
    <t>'4016-14-2</t>
  </si>
  <si>
    <t>'108-21-4</t>
  </si>
  <si>
    <t>'30391-89-0</t>
  </si>
  <si>
    <t>'52756-22-6</t>
  </si>
  <si>
    <t>'110-27-0</t>
  </si>
  <si>
    <t>'78-81-9</t>
  </si>
  <si>
    <t>'538-93-2</t>
  </si>
  <si>
    <t>'106-63-8</t>
  </si>
  <si>
    <t>'110-19-0</t>
  </si>
  <si>
    <t>'126198-74-1</t>
  </si>
  <si>
    <t>'162354-96-3</t>
  </si>
  <si>
    <t>'141112-29-0</t>
  </si>
  <si>
    <t>'1689-83-4</t>
  </si>
  <si>
    <t>'123-92-2</t>
  </si>
  <si>
    <t>'15687-27-1</t>
  </si>
  <si>
    <t>'79-31-2</t>
  </si>
  <si>
    <t>'24353-61-5</t>
  </si>
  <si>
    <t>'30979-48-7</t>
  </si>
  <si>
    <t>'119515-38-7</t>
  </si>
  <si>
    <t>'465-73-6</t>
  </si>
  <si>
    <t>'3778-73-2</t>
  </si>
  <si>
    <t>'31120-85-1</t>
  </si>
  <si>
    <t>'25311-71-1</t>
  </si>
  <si>
    <t>'4098-71-9</t>
  </si>
  <si>
    <t>'78-59-1</t>
  </si>
  <si>
    <t>'7027-11-4</t>
  </si>
  <si>
    <t>'138261-41-3</t>
  </si>
  <si>
    <t>'35554-44-0</t>
  </si>
  <si>
    <t>'81405-85-8</t>
  </si>
  <si>
    <t>'114311-32-9</t>
  </si>
  <si>
    <t>'496-11-7</t>
  </si>
  <si>
    <t>'95-13-6</t>
  </si>
  <si>
    <t>'120-72-9</t>
  </si>
  <si>
    <t>'87-51-4</t>
  </si>
  <si>
    <t>'133-32-4</t>
  </si>
  <si>
    <t>'53-86-1</t>
  </si>
  <si>
    <t>'173584-44-6</t>
  </si>
  <si>
    <t>'185608-75-7</t>
  </si>
  <si>
    <t>'3861-47-0</t>
  </si>
  <si>
    <t>'36734-19-7</t>
  </si>
  <si>
    <t>'2631-40-5</t>
  </si>
  <si>
    <t>'26087-47-8</t>
  </si>
  <si>
    <t>'109-59-1</t>
  </si>
  <si>
    <t>'50512-35-1</t>
  </si>
  <si>
    <t>'34123-59-6</t>
  </si>
  <si>
    <t>'140923-17-7</t>
  </si>
  <si>
    <t>'119-65-3</t>
  </si>
  <si>
    <t>'138402-11-6</t>
  </si>
  <si>
    <t>'28159-98-0</t>
  </si>
  <si>
    <t>'120-58-1</t>
  </si>
  <si>
    <t>'881685-58-1</t>
  </si>
  <si>
    <t>'652-67-5</t>
  </si>
  <si>
    <t>'82558-50-7</t>
  </si>
  <si>
    <t>'42509-80-8</t>
  </si>
  <si>
    <t>'55861-78-4</t>
  </si>
  <si>
    <t>'503-74-2</t>
  </si>
  <si>
    <t>'70288-86-7</t>
  </si>
  <si>
    <t>'163520-33-0</t>
  </si>
  <si>
    <t>'18854-01-8</t>
  </si>
  <si>
    <t>'18181-70-9</t>
  </si>
  <si>
    <t>'92339-11-2</t>
  </si>
  <si>
    <t>'606-17-7</t>
  </si>
  <si>
    <t>'66108-95-0</t>
  </si>
  <si>
    <t>'78649-41-9</t>
  </si>
  <si>
    <t>'73334-07-3</t>
  </si>
  <si>
    <t>'60166-93-0</t>
  </si>
  <si>
    <t>'96-83-3</t>
  </si>
  <si>
    <t>'2276-90-6</t>
  </si>
  <si>
    <t>'59017-64-0</t>
  </si>
  <si>
    <t>'28179-44-4</t>
  </si>
  <si>
    <t>'6980-18-3</t>
  </si>
  <si>
    <t>'100477-72-3</t>
  </si>
  <si>
    <t>'22071-15-4</t>
  </si>
  <si>
    <t>'61789-18-2</t>
  </si>
  <si>
    <t>'143390-89-0</t>
  </si>
  <si>
    <t>'77501-63-4</t>
  </si>
  <si>
    <t>'63-42-3</t>
  </si>
  <si>
    <t>'9008-22-4</t>
  </si>
  <si>
    <t>'84057-84-1</t>
  </si>
  <si>
    <t>'12407-86-2</t>
  </si>
  <si>
    <t>'91465-08-6</t>
  </si>
  <si>
    <t>'2164-08-1</t>
  </si>
  <si>
    <t>'21609-90-5</t>
  </si>
  <si>
    <t>'100986-85-4</t>
  </si>
  <si>
    <t>'14769-73-4</t>
  </si>
  <si>
    <t>'102767-28-2</t>
  </si>
  <si>
    <t>'51-48-9</t>
  </si>
  <si>
    <t>'137-58-6</t>
  </si>
  <si>
    <t>'9005-53-2</t>
  </si>
  <si>
    <t>'138-86-3</t>
  </si>
  <si>
    <t>'154-21-2</t>
  </si>
  <si>
    <t>'330-55-2</t>
  </si>
  <si>
    <t>'60-33-3</t>
  </si>
  <si>
    <t>'83915-83-7</t>
  </si>
  <si>
    <t>'53179-11-6</t>
  </si>
  <si>
    <t>'114798-26-4</t>
  </si>
  <si>
    <t>'103055-07-8</t>
  </si>
  <si>
    <t>'108-62-3</t>
  </si>
  <si>
    <t>'1634-78-2</t>
  </si>
  <si>
    <t>'2437-29-8</t>
  </si>
  <si>
    <t>'123-33-1</t>
  </si>
  <si>
    <t>'110-16-7</t>
  </si>
  <si>
    <t>'109-77-3</t>
  </si>
  <si>
    <t>'9050-36-6</t>
  </si>
  <si>
    <t>'121-75-5</t>
  </si>
  <si>
    <t>'12427-38-2</t>
  </si>
  <si>
    <t>'8018-01-7</t>
  </si>
  <si>
    <t>'374726-62-2</t>
  </si>
  <si>
    <t>'173662-97-0</t>
  </si>
  <si>
    <t>'15339-36-3</t>
  </si>
  <si>
    <t>'10262-69-8</t>
  </si>
  <si>
    <t>'2050-89-7</t>
  </si>
  <si>
    <t>'108-39-4</t>
  </si>
  <si>
    <t>'31431-39-7</t>
  </si>
  <si>
    <t>'14367-46-5</t>
  </si>
  <si>
    <t>'2753-45-9</t>
  </si>
  <si>
    <t>'2595-54-2</t>
  </si>
  <si>
    <t>'2013-58-3</t>
  </si>
  <si>
    <t>'16484-77-8</t>
  </si>
  <si>
    <t>'569-65-3</t>
  </si>
  <si>
    <t>'2487-01-6</t>
  </si>
  <si>
    <t>'86347-15-1</t>
  </si>
  <si>
    <t>'950-10-7</t>
  </si>
  <si>
    <t>'53780-34-0</t>
  </si>
  <si>
    <t>'73250-68-7</t>
  </si>
  <si>
    <t>'135590-91-9</t>
  </si>
  <si>
    <t>'50-21-5</t>
  </si>
  <si>
    <t>'19982-08-2</t>
  </si>
  <si>
    <t>'89-78-1</t>
  </si>
  <si>
    <t>'55814-41-0</t>
  </si>
  <si>
    <t>'110235-47-7</t>
  </si>
  <si>
    <t>'24307-26-4</t>
  </si>
  <si>
    <t>'15302-91-7</t>
  </si>
  <si>
    <t>'150-50-5</t>
  </si>
  <si>
    <t>'89-57-6</t>
  </si>
  <si>
    <t>'72-33-3</t>
  </si>
  <si>
    <t>'208465-21-8</t>
  </si>
  <si>
    <t>'104206-82-8</t>
  </si>
  <si>
    <t>'141-79-7</t>
  </si>
  <si>
    <t>'137-42-8</t>
  </si>
  <si>
    <t>'79-41-4</t>
  </si>
  <si>
    <t>'3060-89-7</t>
  </si>
  <si>
    <t>'18691-97-9</t>
  </si>
  <si>
    <t>'21087-64-9</t>
  </si>
  <si>
    <t>'1129-41-5</t>
  </si>
  <si>
    <t>'62610-77-9</t>
  </si>
  <si>
    <t>'125116-23-6</t>
  </si>
  <si>
    <t>'76-99-3</t>
  </si>
  <si>
    <t>'950-37-8</t>
  </si>
  <si>
    <t>'657-24-9</t>
  </si>
  <si>
    <t>'220899-03-6</t>
  </si>
  <si>
    <t>'537-46-2</t>
  </si>
  <si>
    <t>'4298-16-2</t>
  </si>
  <si>
    <t>'51218-45-2</t>
  </si>
  <si>
    <t>'171118-09-5</t>
  </si>
  <si>
    <t>'152019-73-3</t>
  </si>
  <si>
    <t>'16752-77-5</t>
  </si>
  <si>
    <t>'443-48-1</t>
  </si>
  <si>
    <t>'2032-65-7</t>
  </si>
  <si>
    <t>'2635-10-1</t>
  </si>
  <si>
    <t>'2179-25-1</t>
  </si>
  <si>
    <t>'37350-58-6</t>
  </si>
  <si>
    <t>'40596-69-8</t>
  </si>
  <si>
    <t>'841-06-5</t>
  </si>
  <si>
    <t>'9006-42-2</t>
  </si>
  <si>
    <t>'139528-85-1</t>
  </si>
  <si>
    <t>'59-05-2</t>
  </si>
  <si>
    <t>'19937-59-8</t>
  </si>
  <si>
    <t>'172960-62-2</t>
  </si>
  <si>
    <t>'1231244-60-2</t>
  </si>
  <si>
    <t>'20354-26-1</t>
  </si>
  <si>
    <t>'7786-34-7</t>
  </si>
  <si>
    <t>'315-18-4</t>
  </si>
  <si>
    <t>'139968-49-3</t>
  </si>
  <si>
    <t>'24219-97-4</t>
  </si>
  <si>
    <t>'22916-47-8</t>
  </si>
  <si>
    <t>'22832-87-7</t>
  </si>
  <si>
    <t>'51596-10-2</t>
  </si>
  <si>
    <t>'51596-11-3</t>
  </si>
  <si>
    <t>'8042-47-5</t>
  </si>
  <si>
    <t>'2385-85-5</t>
  </si>
  <si>
    <t>'57837-19-1</t>
  </si>
  <si>
    <t>'70630-17-0</t>
  </si>
  <si>
    <t>'41394-05-2</t>
  </si>
  <si>
    <t>'2212-67-1</t>
  </si>
  <si>
    <t>'7287-36-7</t>
  </si>
  <si>
    <t>'150-68-5</t>
  </si>
  <si>
    <t>'95-05-6</t>
  </si>
  <si>
    <t>'17090-79-8</t>
  </si>
  <si>
    <t>'110-91-8</t>
  </si>
  <si>
    <t>'57-27-2</t>
  </si>
  <si>
    <t>'505-60-2</t>
  </si>
  <si>
    <t>'113507-06-5</t>
  </si>
  <si>
    <t>'10265-92-6</t>
  </si>
  <si>
    <t>'81-14-1</t>
  </si>
  <si>
    <t>'81-15-2</t>
  </si>
  <si>
    <t>'51-75-2</t>
  </si>
  <si>
    <t>'88671-89-0</t>
  </si>
  <si>
    <t>'532-12-7</t>
  </si>
  <si>
    <t>'544-64-9</t>
  </si>
  <si>
    <t>'67129-08-2</t>
  </si>
  <si>
    <t>'142-59-6</t>
  </si>
  <si>
    <t>'147-52-4</t>
  </si>
  <si>
    <t>'300-76-5</t>
  </si>
  <si>
    <t>'15299-99-7</t>
  </si>
  <si>
    <t>'132-66-1</t>
  </si>
  <si>
    <t>'22204-53-1</t>
  </si>
  <si>
    <t>'55134-13-9</t>
  </si>
  <si>
    <t>'7681-93-8</t>
  </si>
  <si>
    <t>'555-37-3</t>
  </si>
  <si>
    <t>'83366-66-9</t>
  </si>
  <si>
    <t>'51000-52-3</t>
  </si>
  <si>
    <t>'26896-20-8</t>
  </si>
  <si>
    <t>'111991-09-4</t>
  </si>
  <si>
    <t>'54-11-5</t>
  </si>
  <si>
    <t>'120738-89-8</t>
  </si>
  <si>
    <t>'10552-74-6</t>
  </si>
  <si>
    <t>'118399-22-7</t>
  </si>
  <si>
    <t>'467-15-2</t>
  </si>
  <si>
    <t>'68-22-4</t>
  </si>
  <si>
    <t>'27314-13-2</t>
  </si>
  <si>
    <t>'70458-96-7</t>
  </si>
  <si>
    <t>'116714-46-6</t>
  </si>
  <si>
    <t>'63284-71-9</t>
  </si>
  <si>
    <t>'27360-58-3</t>
  </si>
  <si>
    <t>'88-19-7</t>
  </si>
  <si>
    <t>'1745-81-9</t>
  </si>
  <si>
    <t>'1454-80-4</t>
  </si>
  <si>
    <t>'95-48-7</t>
  </si>
  <si>
    <t>2691-41-0</t>
  </si>
  <si>
    <t>'2691-41-0</t>
  </si>
  <si>
    <t>'53-16-7</t>
  </si>
  <si>
    <t>'58810-48-3</t>
  </si>
  <si>
    <t>'83380-47-6</t>
  </si>
  <si>
    <t>'3922-90-5</t>
  </si>
  <si>
    <t>'7060-74-4</t>
  </si>
  <si>
    <t>'112-80-1</t>
  </si>
  <si>
    <t>'73590-58-6</t>
  </si>
  <si>
    <t>'1113-02-6</t>
  </si>
  <si>
    <t>'34622-58-7</t>
  </si>
  <si>
    <t>'83-98-7</t>
  </si>
  <si>
    <t>'24320-06-7</t>
  </si>
  <si>
    <t>'19044-88-3</t>
  </si>
  <si>
    <t>'526-18-1</t>
  </si>
  <si>
    <t>'196618-13-0</t>
  </si>
  <si>
    <t>'636-21-5</t>
  </si>
  <si>
    <t>'39807-15-3</t>
  </si>
  <si>
    <t>'53716-50-0</t>
  </si>
  <si>
    <t>'604-75-1</t>
  </si>
  <si>
    <t>'144-62-7</t>
  </si>
  <si>
    <t>'10028-15-6</t>
  </si>
  <si>
    <t>'42822-86-6</t>
  </si>
  <si>
    <t>'104-12-1</t>
  </si>
  <si>
    <t>'35421-08-0</t>
  </si>
  <si>
    <t>'98-67-9</t>
  </si>
  <si>
    <t>'70-55-3</t>
  </si>
  <si>
    <t>'76738-62-0</t>
  </si>
  <si>
    <t>'33069-62-4</t>
  </si>
  <si>
    <t>'104-94-9</t>
  </si>
  <si>
    <t>'123-63-7</t>
  </si>
  <si>
    <t>'103-90-2</t>
  </si>
  <si>
    <t>'30525-89-4</t>
  </si>
  <si>
    <t>'61869-08-7</t>
  </si>
  <si>
    <t>'950-35-6</t>
  </si>
  <si>
    <t>'311-45-5</t>
  </si>
  <si>
    <t>'4685-14-7</t>
  </si>
  <si>
    <t>'106-44-5</t>
  </si>
  <si>
    <t>'1114-71-2</t>
  </si>
  <si>
    <t>'66063-05-6</t>
  </si>
  <si>
    <t>'61-33-6</t>
  </si>
  <si>
    <t>'87-08-1</t>
  </si>
  <si>
    <t>'66246-88-6</t>
  </si>
  <si>
    <t>'40487-42-1</t>
  </si>
  <si>
    <t>'494793-67-8</t>
  </si>
  <si>
    <t>'57-33-0</t>
  </si>
  <si>
    <t>'76-74-4</t>
  </si>
  <si>
    <t>'183675-82-3</t>
  </si>
  <si>
    <t>'594-42-3</t>
  </si>
  <si>
    <t>'79-21-0</t>
  </si>
  <si>
    <t>'58-39-9</t>
  </si>
  <si>
    <t>'52645-53-1</t>
  </si>
  <si>
    <t>'72-56-0</t>
  </si>
  <si>
    <t>'106700-29-2</t>
  </si>
  <si>
    <t>'137641-05-5</t>
  </si>
  <si>
    <t>'1918-02-1</t>
  </si>
  <si>
    <t>'117428-22-5</t>
  </si>
  <si>
    <t>'243973-20-8</t>
  </si>
  <si>
    <t>'13523-86-9</t>
  </si>
  <si>
    <t>'1893-33-0</t>
  </si>
  <si>
    <t>'51-03-6</t>
  </si>
  <si>
    <t>'120-57-0</t>
  </si>
  <si>
    <t>'69309-47-3</t>
  </si>
  <si>
    <t>'23103-98-2</t>
  </si>
  <si>
    <t>'30614-22-3</t>
  </si>
  <si>
    <t>'59333-83-4</t>
  </si>
  <si>
    <t>'86209-51-0</t>
  </si>
  <si>
    <t>'15574-96-6</t>
  </si>
  <si>
    <t>'9038-95-3</t>
  </si>
  <si>
    <t>'21757-82-4</t>
  </si>
  <si>
    <t>'9003-28-5</t>
  </si>
  <si>
    <t>'9003-01-4</t>
  </si>
  <si>
    <t>'26099-09-2</t>
  </si>
  <si>
    <t>'9003-53-6</t>
  </si>
  <si>
    <t>'9002-89-5</t>
  </si>
  <si>
    <t>'9003-20-7</t>
  </si>
  <si>
    <t>'25035-84-1</t>
  </si>
  <si>
    <t>'31512-74-0</t>
  </si>
  <si>
    <t>'6493-05-6</t>
  </si>
  <si>
    <t>'1910-42-5</t>
  </si>
  <si>
    <t>'23031-36-9</t>
  </si>
  <si>
    <t>'81093-37-0</t>
  </si>
  <si>
    <t>'73771-04-7</t>
  </si>
  <si>
    <t>'125-33-7</t>
  </si>
  <si>
    <t>'67747-09-5</t>
  </si>
  <si>
    <t>'127277-53-6</t>
  </si>
  <si>
    <t>'14088-71-2</t>
  </si>
  <si>
    <t>'32809-16-8</t>
  </si>
  <si>
    <t>'122-42-9</t>
  </si>
  <si>
    <t>'41198-08-7</t>
  </si>
  <si>
    <t>'139001-49-3</t>
  </si>
  <si>
    <t>'57-83-0</t>
  </si>
  <si>
    <t>'2631-37-0</t>
  </si>
  <si>
    <t>'1610-18-0</t>
  </si>
  <si>
    <t>'7287-19-6</t>
  </si>
  <si>
    <t>'60-87-7</t>
  </si>
  <si>
    <t>'23950-58-5</t>
  </si>
  <si>
    <t>'1918-16-7</t>
  </si>
  <si>
    <t>'60207-90-1</t>
  </si>
  <si>
    <t>'2078-54-8</t>
  </si>
  <si>
    <t>'479-92-5</t>
  </si>
  <si>
    <t>'7292-16-2</t>
  </si>
  <si>
    <t>'107-19-7</t>
  </si>
  <si>
    <t>'2312-35-8</t>
  </si>
  <si>
    <t>'24579-73-5</t>
  </si>
  <si>
    <t>'25606-41-1</t>
  </si>
  <si>
    <t>'12071-83-9</t>
  </si>
  <si>
    <t>'709-98-8</t>
  </si>
  <si>
    <t>'525-66-6</t>
  </si>
  <si>
    <t>'318-98-9</t>
  </si>
  <si>
    <t>'72-03-7</t>
  </si>
  <si>
    <t>'79-09-4</t>
  </si>
  <si>
    <t>'111479-05-1</t>
  </si>
  <si>
    <t>'31218-83-4</t>
  </si>
  <si>
    <t>'145026-81-9</t>
  </si>
  <si>
    <t>'114-26-1</t>
  </si>
  <si>
    <t>'139-40-2</t>
  </si>
  <si>
    <t>'189278-12-4</t>
  </si>
  <si>
    <t>'52888-80-9</t>
  </si>
  <si>
    <t>'94125-34-5</t>
  </si>
  <si>
    <t>'2275-18-5</t>
  </si>
  <si>
    <t>'19622-08-3</t>
  </si>
  <si>
    <t>'120983-64-4</t>
  </si>
  <si>
    <t>'178928-70-6</t>
  </si>
  <si>
    <t>'34643-46-4</t>
  </si>
  <si>
    <t>'98-51-1</t>
  </si>
  <si>
    <t>'80-46-6</t>
  </si>
  <si>
    <t>'123312-89-0</t>
  </si>
  <si>
    <t>'13457-18-6</t>
  </si>
  <si>
    <t>'88678-67-5</t>
  </si>
  <si>
    <t>'24691-76-7</t>
  </si>
  <si>
    <t>'89784-60-1</t>
  </si>
  <si>
    <t>'175013-18-0</t>
  </si>
  <si>
    <t>'96489-71-3</t>
  </si>
  <si>
    <t>'40020-01-7</t>
  </si>
  <si>
    <t>'119-12-0</t>
  </si>
  <si>
    <t>'179101-81-6</t>
  </si>
  <si>
    <t>'110-86-1</t>
  </si>
  <si>
    <t>'55512-33-9</t>
  </si>
  <si>
    <t>'129630-17-7</t>
  </si>
  <si>
    <t>'129630-19-9</t>
  </si>
  <si>
    <t>'88283-41-4</t>
  </si>
  <si>
    <t>'596-51-0</t>
  </si>
  <si>
    <t>'105779-78-0</t>
  </si>
  <si>
    <t>'53112-28-0</t>
  </si>
  <si>
    <t>'688046-61-9</t>
  </si>
  <si>
    <t>'95737-68-1</t>
  </si>
  <si>
    <t>'57369-32-1</t>
  </si>
  <si>
    <t>'422556-08-9</t>
  </si>
  <si>
    <t>'121-21-1</t>
  </si>
  <si>
    <t>'121-29-9</t>
  </si>
  <si>
    <t>'8003-34-7</t>
  </si>
  <si>
    <t>'288-13-1</t>
  </si>
  <si>
    <t>'111974-69-7</t>
  </si>
  <si>
    <t>'2797-51-5</t>
  </si>
  <si>
    <t>'13593-03-8</t>
  </si>
  <si>
    <t>'91-22-5</t>
  </si>
  <si>
    <t>'90717-03-6</t>
  </si>
  <si>
    <t>'2439-01-2</t>
  </si>
  <si>
    <t>'106-51-4</t>
  </si>
  <si>
    <t>'124495-18-7</t>
  </si>
  <si>
    <t>'76578-14-8</t>
  </si>
  <si>
    <t>'100646-51-3</t>
  </si>
  <si>
    <t>'76578-12-6</t>
  </si>
  <si>
    <t>'66357-35-5</t>
  </si>
  <si>
    <t>'135062-02-1</t>
  </si>
  <si>
    <t>'10453-86-8</t>
  </si>
  <si>
    <t>'141-84-4</t>
  </si>
  <si>
    <t>'122931-48-0</t>
  </si>
  <si>
    <t>'106266-06-2</t>
  </si>
  <si>
    <t>'19395-41-6</t>
  </si>
  <si>
    <t>'7681-76-7</t>
  </si>
  <si>
    <t>'122320-73-4</t>
  </si>
  <si>
    <t>'287714-41-4</t>
  </si>
  <si>
    <t>'83-79-4</t>
  </si>
  <si>
    <t>'80214-83-1</t>
  </si>
  <si>
    <t>'84852-15-3</t>
  </si>
  <si>
    <t>'74051-80-2</t>
  </si>
  <si>
    <t>'68411-44-9</t>
  </si>
  <si>
    <t>'3194-55-6</t>
  </si>
  <si>
    <t>'608-73-1</t>
  </si>
  <si>
    <t>'81-07-2</t>
  </si>
  <si>
    <t>'57-50-1</t>
  </si>
  <si>
    <t>'94-59-7</t>
  </si>
  <si>
    <t>'18559-94-9</t>
  </si>
  <si>
    <t>'69-72-7</t>
  </si>
  <si>
    <t>'7286-69-3</t>
  </si>
  <si>
    <t>'13952-84-6</t>
  </si>
  <si>
    <t>'135-98-8</t>
  </si>
  <si>
    <t>'105-46-4</t>
  </si>
  <si>
    <t>'26259-45-0</t>
  </si>
  <si>
    <t>'874967-67-6</t>
  </si>
  <si>
    <t>'79617-96-2</t>
  </si>
  <si>
    <t>'105024-66-6</t>
  </si>
  <si>
    <t>'175217-20-6</t>
  </si>
  <si>
    <t>'1014-70-6</t>
  </si>
  <si>
    <t>'79902-63-9</t>
  </si>
  <si>
    <t>'122-34-9</t>
  </si>
  <si>
    <t>'144171-61-9</t>
  </si>
  <si>
    <t>'486460-32-6</t>
  </si>
  <si>
    <t>'110-44-1</t>
  </si>
  <si>
    <t>'3930-20-9</t>
  </si>
  <si>
    <t>'168316-95-8</t>
  </si>
  <si>
    <t>'131929-60-7</t>
  </si>
  <si>
    <t>'131929-63-0</t>
  </si>
  <si>
    <t>'148477-71-8</t>
  </si>
  <si>
    <t>'8025-81-8</t>
  </si>
  <si>
    <t>'283594-90-1</t>
  </si>
  <si>
    <t>'1172134-11-0</t>
  </si>
  <si>
    <t>'203313-25-1</t>
  </si>
  <si>
    <t>'118134-30-8</t>
  </si>
  <si>
    <t>'7683-64-9</t>
  </si>
  <si>
    <t>'57-92-1</t>
  </si>
  <si>
    <t>'57-24-9</t>
  </si>
  <si>
    <t>'27193-28-8</t>
  </si>
  <si>
    <t>'100-42-5</t>
  </si>
  <si>
    <t>'638-37-9</t>
  </si>
  <si>
    <t>'304-55-2</t>
  </si>
  <si>
    <t>'56038-13-2</t>
  </si>
  <si>
    <t>'24019-05-4</t>
  </si>
  <si>
    <t>'99105-77-8</t>
  </si>
  <si>
    <t>'80-32-0</t>
  </si>
  <si>
    <t>'946578-00-3</t>
  </si>
  <si>
    <t>'95-06-7</t>
  </si>
  <si>
    <t>'68-35-9</t>
  </si>
  <si>
    <t>'57-68-1</t>
  </si>
  <si>
    <t>'122-11-2</t>
  </si>
  <si>
    <t>'2447-57-6</t>
  </si>
  <si>
    <t>'127-79-7</t>
  </si>
  <si>
    <t>'723-46-6</t>
  </si>
  <si>
    <t>'63665-16-7</t>
  </si>
  <si>
    <t>'144-83-2</t>
  </si>
  <si>
    <t>'59-40-5</t>
  </si>
  <si>
    <t>'2699-79-8</t>
  </si>
  <si>
    <t>'141776-32-1</t>
  </si>
  <si>
    <t>'3689-24-5</t>
  </si>
  <si>
    <t>'35400-43-2</t>
  </si>
  <si>
    <t>'58955-93-4</t>
  </si>
  <si>
    <t>'156-60-5</t>
  </si>
  <si>
    <t>'7069-38-7</t>
  </si>
  <si>
    <t>'10061-02-6</t>
  </si>
  <si>
    <t>'110-57-6</t>
  </si>
  <si>
    <t>'506-21-8</t>
  </si>
  <si>
    <t>'112-79-8</t>
  </si>
  <si>
    <t>'5103-74-2</t>
  </si>
  <si>
    <t>'28044-83-9</t>
  </si>
  <si>
    <t>'39765-80-5</t>
  </si>
  <si>
    <t>'632-58-6</t>
  </si>
  <si>
    <t>'148-79-8</t>
  </si>
  <si>
    <t>'10540-29-1</t>
  </si>
  <si>
    <t>'5424-20-4</t>
  </si>
  <si>
    <t>'102851-06-9</t>
  </si>
  <si>
    <t>'107534-96-3</t>
  </si>
  <si>
    <t>'112410-23-8</t>
  </si>
  <si>
    <t>'119168-77-3</t>
  </si>
  <si>
    <t>'96182-53-5</t>
  </si>
  <si>
    <t>'35256-85-0</t>
  </si>
  <si>
    <t>'34014-18-1</t>
  </si>
  <si>
    <t>'117-18-0</t>
  </si>
  <si>
    <t>'317815-83-1</t>
  </si>
  <si>
    <t>'83121-18-0</t>
  </si>
  <si>
    <t>'79538-32-2</t>
  </si>
  <si>
    <t>'297-78-9</t>
  </si>
  <si>
    <t>'144701-48-4</t>
  </si>
  <si>
    <t>'335104-84-2</t>
  </si>
  <si>
    <t>'3383-96-8</t>
  </si>
  <si>
    <t>'846-50-4</t>
  </si>
  <si>
    <t>'149979-41-9</t>
  </si>
  <si>
    <t>'5915-41-3</t>
  </si>
  <si>
    <t>'5902-51-2</t>
  </si>
  <si>
    <t>'10548-10-4</t>
  </si>
  <si>
    <t>'13071-79-9</t>
  </si>
  <si>
    <t>'56070-16-7</t>
  </si>
  <si>
    <t>'33693-04-8</t>
  </si>
  <si>
    <t>'23031-25-6</t>
  </si>
  <si>
    <t>'886-50-0</t>
  </si>
  <si>
    <t>'2451-01-6</t>
  </si>
  <si>
    <t>'64742-82-1</t>
  </si>
  <si>
    <t>'479-45-8</t>
  </si>
  <si>
    <t>'25265-77-4</t>
  </si>
  <si>
    <t>'32333-99-6</t>
  </si>
  <si>
    <t>'361377-29-9</t>
  </si>
  <si>
    <t>'297-99-4</t>
  </si>
  <si>
    <t>'118712-89-3</t>
  </si>
  <si>
    <t>'3796-70-1</t>
  </si>
  <si>
    <t>'58-55-9</t>
  </si>
  <si>
    <t>'111988-49-9</t>
  </si>
  <si>
    <t>'153719-23-4</t>
  </si>
  <si>
    <t>'25366-23-8</t>
  </si>
  <si>
    <t>'79277-67-1</t>
  </si>
  <si>
    <t>'79277-27-3</t>
  </si>
  <si>
    <t>'137-26-8</t>
  </si>
  <si>
    <t>'55297-95-5</t>
  </si>
  <si>
    <t>'108050-54-0</t>
  </si>
  <si>
    <t>'338-45-4</t>
  </si>
  <si>
    <t>'59669-26-0</t>
  </si>
  <si>
    <t>'62-55-5</t>
  </si>
  <si>
    <t>'28249-77-6</t>
  </si>
  <si>
    <t>'36756-79-3</t>
  </si>
  <si>
    <t>'31895-21-3</t>
  </si>
  <si>
    <t>'23564-05-8</t>
  </si>
  <si>
    <t>'23564-06-9</t>
  </si>
  <si>
    <t>'39184-27-5</t>
  </si>
  <si>
    <t>'39184-59-3</t>
  </si>
  <si>
    <t>'39196-18-4</t>
  </si>
  <si>
    <t>'64-77-7</t>
  </si>
  <si>
    <t>'57018-04-9</t>
  </si>
  <si>
    <t>'13710-19-5</t>
  </si>
  <si>
    <t>'731-27-1</t>
  </si>
  <si>
    <t>'640-15-3</t>
  </si>
  <si>
    <t>'210631-68-8</t>
  </si>
  <si>
    <t>'79-19-6</t>
  </si>
  <si>
    <t>'62-56-6</t>
  </si>
  <si>
    <t>'8001-35-2</t>
  </si>
  <si>
    <t>'61949-77-7</t>
  </si>
  <si>
    <t>'83227-22-9</t>
  </si>
  <si>
    <t>'27203-92-5</t>
  </si>
  <si>
    <t>'77536-68-6</t>
  </si>
  <si>
    <t>'126-72-7</t>
  </si>
  <si>
    <t>'78-42-2</t>
  </si>
  <si>
    <t>'78-51-3</t>
  </si>
  <si>
    <t>'13674-87-8</t>
  </si>
  <si>
    <t>'19186-97-1</t>
  </si>
  <si>
    <t>'142469-14-5</t>
  </si>
  <si>
    <t>'9002-93-1</t>
  </si>
  <si>
    <t>'75-65-0</t>
  </si>
  <si>
    <t>'75-64-9</t>
  </si>
  <si>
    <t>'98-06-6</t>
  </si>
  <si>
    <t>'1663-39-4</t>
  </si>
  <si>
    <t>'540-88-5</t>
  </si>
  <si>
    <t>'1401-69-0</t>
  </si>
  <si>
    <t>'1405-54-5</t>
  </si>
  <si>
    <t>'51-79-6</t>
  </si>
  <si>
    <t>'57-13-6</t>
  </si>
  <si>
    <t>'37248-47-8</t>
  </si>
  <si>
    <t>'283159-90-0</t>
  </si>
  <si>
    <t>'99-66-1</t>
  </si>
  <si>
    <t>'109-52-4</t>
  </si>
  <si>
    <t>'137862-53-4</t>
  </si>
  <si>
    <t>'164265-78-5</t>
  </si>
  <si>
    <t>'439-14-5</t>
  </si>
  <si>
    <t>'2275-23-2</t>
  </si>
  <si>
    <t>'121-33-5</t>
  </si>
  <si>
    <t>'93413-69-5</t>
  </si>
  <si>
    <t>'88-41-5</t>
  </si>
  <si>
    <t>'1929-77-7</t>
  </si>
  <si>
    <t>'52-53-9</t>
  </si>
  <si>
    <t>'88-29-9</t>
  </si>
  <si>
    <t>'60643-86-9</t>
  </si>
  <si>
    <t>'108-05-4</t>
  </si>
  <si>
    <t>'50471-44-8</t>
  </si>
  <si>
    <t>'11006-76-1</t>
  </si>
  <si>
    <t>'68604-30-8</t>
  </si>
  <si>
    <t>'81-81-2</t>
  </si>
  <si>
    <t>'156052-68-5</t>
  </si>
  <si>
    <t>'12122-67-7</t>
  </si>
  <si>
    <t>'137-30-4</t>
  </si>
  <si>
    <t>'82626-48-0</t>
  </si>
  <si>
    <t>stofnaam</t>
  </si>
  <si>
    <t>Casnr</t>
  </si>
  <si>
    <t>cas 3100-04-7</t>
  </si>
  <si>
    <t>cas 86-87-3</t>
  </si>
  <si>
    <t>cas 94-75-7</t>
  </si>
  <si>
    <t>cas 87-51-4</t>
  </si>
  <si>
    <t>cas 71751-41-2</t>
  </si>
  <si>
    <t>cas 30560-19-1</t>
  </si>
  <si>
    <t>cas 57960-19-7</t>
  </si>
  <si>
    <t>cas 135410-20-7 en 160430-64-8</t>
  </si>
  <si>
    <t>cas 135158-54-2</t>
  </si>
  <si>
    <t>cas 74070-46-5</t>
  </si>
  <si>
    <t>cas 865318-97-4</t>
  </si>
  <si>
    <t>cas 120923-37-7</t>
  </si>
  <si>
    <t>cas 348635-87-0</t>
  </si>
  <si>
    <t>cas 61-82-5</t>
  </si>
  <si>
    <t>cas 50-81-7</t>
  </si>
  <si>
    <t>cas 3337-71-1</t>
  </si>
  <si>
    <t>cas 11141-17-6</t>
  </si>
  <si>
    <t>cas 131860-33-8</t>
  </si>
  <si>
    <t>cas 1861-40-1</t>
  </si>
  <si>
    <t>cas 25057-89-0</t>
  </si>
  <si>
    <t>cas 177406-68-7</t>
  </si>
  <si>
    <t>cas 65-85-0</t>
  </si>
  <si>
    <t>cas 149877-41-8</t>
  </si>
  <si>
    <t>cas 42576-02-3</t>
  </si>
  <si>
    <t>cas 584-79-2</t>
  </si>
  <si>
    <t>cas 55179-31-2</t>
  </si>
  <si>
    <t>cas 581809-46-3</t>
  </si>
  <si>
    <t>cas 188425-85-6</t>
  </si>
  <si>
    <t>cas 1689-84-5</t>
  </si>
  <si>
    <t>cas 116255-48-2</t>
  </si>
  <si>
    <t>cas 41483-43-6</t>
  </si>
  <si>
    <t>cas 133-06-2</t>
  </si>
  <si>
    <t>cas 16118-49-3</t>
  </si>
  <si>
    <t>cas 10605-21-7</t>
  </si>
  <si>
    <t>cas 128639-02-1</t>
  </si>
  <si>
    <t>cas 999-81-5</t>
  </si>
  <si>
    <t>cas 101-21-3</t>
  </si>
  <si>
    <t>cas 1897-45-6</t>
  </si>
  <si>
    <t>cas 500008-45-7</t>
  </si>
  <si>
    <t>cas 1698-60-8</t>
  </si>
  <si>
    <t>cas 99129-21-2</t>
  </si>
  <si>
    <t>cas 105512-06-9</t>
  </si>
  <si>
    <t>cas 74115-24-5</t>
  </si>
  <si>
    <t>cas 81777-89-1</t>
  </si>
  <si>
    <t>cas 1702-17-6</t>
  </si>
  <si>
    <t>cas 120116-88-3</t>
  </si>
  <si>
    <t>cas 101205-02-1</t>
  </si>
  <si>
    <t>cas 180409-60-3</t>
  </si>
  <si>
    <t>cas 400882-07-7</t>
  </si>
  <si>
    <t>cas 68359-37-5</t>
  </si>
  <si>
    <t>cas 57966-95-7</t>
  </si>
  <si>
    <t>cas 94361-06-5</t>
  </si>
  <si>
    <t>cas 121552-61-2</t>
  </si>
  <si>
    <t>cas 66215-27-8</t>
  </si>
  <si>
    <t>cas 1596-84-5</t>
  </si>
  <si>
    <t>cas 533-74-4</t>
  </si>
  <si>
    <t>cas 52918-63-5</t>
  </si>
  <si>
    <t>cas 13684-56-5</t>
  </si>
  <si>
    <t>cas 1918-00-9</t>
  </si>
  <si>
    <t>cas 62-73-7</t>
  </si>
  <si>
    <t>cas 87130-20-9</t>
  </si>
  <si>
    <t>cas 119446-68-3</t>
  </si>
  <si>
    <t>cas 35367-38-5</t>
  </si>
  <si>
    <t>cas 83164-33-4</t>
  </si>
  <si>
    <t>cas 163515-14-8</t>
  </si>
  <si>
    <t>cas 60-51-5</t>
  </si>
  <si>
    <t>cas 110488-70-5</t>
  </si>
  <si>
    <t>cas 85-00-7</t>
  </si>
  <si>
    <t>cas 3347-22-6</t>
  </si>
  <si>
    <t>cas 1593-77-7</t>
  </si>
  <si>
    <t>cas 2439-10-3</t>
  </si>
  <si>
    <t>cas 155569-91-8</t>
  </si>
  <si>
    <t>cas 135319-73-2</t>
  </si>
  <si>
    <t>cas 66230-04-4</t>
  </si>
  <si>
    <t>cas 16672-87-0</t>
  </si>
  <si>
    <t>cas 26225-79-6</t>
  </si>
  <si>
    <t>cas 13194-48-4</t>
  </si>
  <si>
    <t>cas 153233-91-1</t>
  </si>
  <si>
    <t>cas 2593-15-9</t>
  </si>
  <si>
    <t>cas 131807-57-3</t>
  </si>
  <si>
    <t>cas 161326-34-7</t>
  </si>
  <si>
    <t>cas 13356-08-6</t>
  </si>
  <si>
    <t>cas 126833-17-8</t>
  </si>
  <si>
    <t>cas 13684-63-4</t>
  </si>
  <si>
    <t>cas 71283-80-2</t>
  </si>
  <si>
    <t>cas 79127-80-3</t>
  </si>
  <si>
    <t>cas 67306-00-7</t>
  </si>
  <si>
    <t>cas 67564-91-4</t>
  </si>
  <si>
    <t>cas 473798-59-3</t>
  </si>
  <si>
    <t>cas 158062-67-0</t>
  </si>
  <si>
    <t>cas 145701-23-1</t>
  </si>
  <si>
    <t>cas 79241-46-6</t>
  </si>
  <si>
    <t>cas 79622-59-6</t>
  </si>
  <si>
    <t>cas 272451-65-7</t>
  </si>
  <si>
    <t>cas 131341-86-1</t>
  </si>
  <si>
    <t>cas 142459-58-3</t>
  </si>
  <si>
    <t>cas 103361-09-7</t>
  </si>
  <si>
    <t>cas 239110-15-7</t>
  </si>
  <si>
    <t>cas 658066-35-4</t>
  </si>
  <si>
    <t>cas 361377-29-9</t>
  </si>
  <si>
    <t>cas 69377-81-7</t>
  </si>
  <si>
    <t>cas 66332-96-5</t>
  </si>
  <si>
    <t>cas 907204-31-3</t>
  </si>
  <si>
    <t>cas 133-07-3</t>
  </si>
  <si>
    <t>cas 173159-57-4</t>
  </si>
  <si>
    <t>cas 22259-30-9</t>
  </si>
  <si>
    <t>cas 15845-66-6</t>
  </si>
  <si>
    <t>cas 39148-24-8</t>
  </si>
  <si>
    <t>cas 98886-44-3</t>
  </si>
  <si>
    <t>cas -999999</t>
  </si>
  <si>
    <t>cas 77-06-5</t>
  </si>
  <si>
    <t>cas 468-44-0 + 510-75-8</t>
  </si>
  <si>
    <t>cas 77182-82-2</t>
  </si>
  <si>
    <t>cas 1071-83-6</t>
  </si>
  <si>
    <t>cas 78587-05-0</t>
  </si>
  <si>
    <t>cas 10004-44-1</t>
  </si>
  <si>
    <t>cas 73790-28-0</t>
  </si>
  <si>
    <t>cas 114311-32-9</t>
  </si>
  <si>
    <t>cas 138261-41-3</t>
  </si>
  <si>
    <t>cas 133-32-4</t>
  </si>
  <si>
    <t>cas 173584-44-6</t>
  </si>
  <si>
    <t>cas 144550-36-7</t>
  </si>
  <si>
    <t>cas 1689-83-4</t>
  </si>
  <si>
    <t>cas 3861-47-0</t>
  </si>
  <si>
    <t>cas 36734-19-7</t>
  </si>
  <si>
    <t>cas 34123-59-6</t>
  </si>
  <si>
    <t>cas 881685-58-1</t>
  </si>
  <si>
    <t>cas 141112-29-0</t>
  </si>
  <si>
    <t>cas 143390-89-0</t>
  </si>
  <si>
    <t>cas 91465-08-6</t>
  </si>
  <si>
    <t>cas 9008-22-4</t>
  </si>
  <si>
    <t>cas 2164-08-1</t>
  </si>
  <si>
    <t>cas 330-55-2</t>
  </si>
  <si>
    <t>cas 103055-07-8</t>
  </si>
  <si>
    <t>cas 123-33-1</t>
  </si>
  <si>
    <t>cas 8018-01-7</t>
  </si>
  <si>
    <t>cas 374726-62-2</t>
  </si>
  <si>
    <t>cas 301-03-1</t>
  </si>
  <si>
    <t>cas 94-74-6</t>
  </si>
  <si>
    <t>cas 16484-77-8</t>
  </si>
  <si>
    <t>cas 110235-47-7</t>
  </si>
  <si>
    <t>cas 24307-26-4</t>
  </si>
  <si>
    <t>cas 208465-21-8</t>
  </si>
  <si>
    <t>cas 104206-82-8</t>
  </si>
  <si>
    <t>cas 70630-17-0</t>
  </si>
  <si>
    <t>cas 108-62-3</t>
  </si>
  <si>
    <t>cas 41394-05-2</t>
  </si>
  <si>
    <t>cas 67129-08-2</t>
  </si>
  <si>
    <t>cas 125116-23-6</t>
  </si>
  <si>
    <t>cas 2032-65-7</t>
  </si>
  <si>
    <t>cas 16752-77-5</t>
  </si>
  <si>
    <t>cas 161050-58-4</t>
  </si>
  <si>
    <t>cas 9006-42-2</t>
  </si>
  <si>
    <t>cas 3060-89-7</t>
  </si>
  <si>
    <t>cas 220899-03-6</t>
  </si>
  <si>
    <t>cas 21087-64-9</t>
  </si>
  <si>
    <t>cas 74223-64-6</t>
  </si>
  <si>
    <t>cas 64-18-6</t>
  </si>
  <si>
    <t>cas 51596-10-2 + 51596-11-3</t>
  </si>
  <si>
    <t>cas 15299-99-7</t>
  </si>
  <si>
    <t>cas 111991-09-4</t>
  </si>
  <si>
    <t>cas 23135-22-0</t>
  </si>
  <si>
    <t>cas 76738-62-0</t>
  </si>
  <si>
    <t>cas 1910-42-5</t>
  </si>
  <si>
    <t>cas 66246-88-6</t>
  </si>
  <si>
    <t>cas 66063-05-6</t>
  </si>
  <si>
    <t>cas 40487-42-1</t>
  </si>
  <si>
    <t>cas 183675-82-3</t>
  </si>
  <si>
    <t>cas 52645-53-1</t>
  </si>
  <si>
    <t>cas 117428-22-5</t>
  </si>
  <si>
    <t>cas 243973-20-8</t>
  </si>
  <si>
    <t>cas 23103-98-2</t>
  </si>
  <si>
    <t>cas 29232-93-7</t>
  </si>
  <si>
    <t>cas 67747-09-5</t>
  </si>
  <si>
    <t>cas 32809-16-8</t>
  </si>
  <si>
    <t>cas 127277-53-6</t>
  </si>
  <si>
    <t>cas 25606-41-1</t>
  </si>
  <si>
    <t>cas 60207-90-1</t>
  </si>
  <si>
    <t>cas 23950-58-5</t>
  </si>
  <si>
    <t>cas 52888-80-9</t>
  </si>
  <si>
    <t>cas 94125-34-5</t>
  </si>
  <si>
    <t>cas 178928-70-6</t>
  </si>
  <si>
    <t>cas 123312-89-0</t>
  </si>
  <si>
    <t>cas 175013-18-0</t>
  </si>
  <si>
    <t>cas 129630-19-9</t>
  </si>
  <si>
    <t>cas 8003-34-7</t>
  </si>
  <si>
    <t>cas 55512-33-9</t>
  </si>
  <si>
    <t>cas 96489-71-3</t>
  </si>
  <si>
    <t>cas 179101-81-6</t>
  </si>
  <si>
    <t>cas 53112-28-0</t>
  </si>
  <si>
    <t>cas 95737-68-1</t>
  </si>
  <si>
    <t>cas 422556-08-9</t>
  </si>
  <si>
    <t>cas 90717-03-6</t>
  </si>
  <si>
    <t>cas 2797-51-5</t>
  </si>
  <si>
    <t>cas 100646-51-3</t>
  </si>
  <si>
    <t>cas 122931-48-0</t>
  </si>
  <si>
    <t>cas 87392-12-9 + 178961-20-1</t>
  </si>
  <si>
    <t>cas 168316-95-8</t>
  </si>
  <si>
    <t>cas 148477-71-8</t>
  </si>
  <si>
    <t>cas 283594-90-1</t>
  </si>
  <si>
    <t>cas 203313-25-1</t>
  </si>
  <si>
    <t>cas 99105-77-8</t>
  </si>
  <si>
    <t>cas 107534-96-3</t>
  </si>
  <si>
    <t>cas 119168-77-3</t>
  </si>
  <si>
    <t>cas 83121-18-0</t>
  </si>
  <si>
    <t>cas 335104-84-2</t>
  </si>
  <si>
    <t>cas 149979-41-9</t>
  </si>
  <si>
    <t>cas 5915-41-3</t>
  </si>
  <si>
    <t>cas 148-79-8</t>
  </si>
  <si>
    <t>cas 111988-49-9</t>
  </si>
  <si>
    <t>cas 153719-23-4</t>
  </si>
  <si>
    <t>cas 317815-83-1</t>
  </si>
  <si>
    <t>cas 23564-05-8</t>
  </si>
  <si>
    <t>cas 137-26-8</t>
  </si>
  <si>
    <t>cas 57018-04-9</t>
  </si>
  <si>
    <t>cas 210631-68-8</t>
  </si>
  <si>
    <t>cas 2303-17-5</t>
  </si>
  <si>
    <t>cas 55219-65-3</t>
  </si>
  <si>
    <t>cas 101200-48-0</t>
  </si>
  <si>
    <t>cas 55335-06-3</t>
  </si>
  <si>
    <t>cas 141517-21-7</t>
  </si>
  <si>
    <t>cas 99387-89-0</t>
  </si>
  <si>
    <t>cas 126535-15-7</t>
  </si>
  <si>
    <t>cas 95266-40-3</t>
  </si>
  <si>
    <t>cas 142469-14-5</t>
  </si>
  <si>
    <t>cas 67701-09-1</t>
  </si>
  <si>
    <t>cas 50471-44-8</t>
  </si>
  <si>
    <t>cas 12122-67-7</t>
  </si>
  <si>
    <t>cas 156052-68-5</t>
  </si>
  <si>
    <t>Kiwanummer</t>
  </si>
  <si>
    <t>Eenheid</t>
  </si>
  <si>
    <t>Casnummer</t>
  </si>
  <si>
    <t>Hoofdgroep</t>
  </si>
  <si>
    <t>Subgroep</t>
  </si>
  <si>
    <t>mg/l O2</t>
  </si>
  <si>
    <t>mg/l Cl2</t>
  </si>
  <si>
    <t>mg/l ClO2</t>
  </si>
  <si>
    <t>mg/l O3</t>
  </si>
  <si>
    <t>mg/l CO2</t>
  </si>
  <si>
    <t>mg/l Cu</t>
  </si>
  <si>
    <t>mg/l Pb</t>
  </si>
  <si>
    <t>mg/l Zn</t>
  </si>
  <si>
    <t>mg/l HCO3</t>
  </si>
  <si>
    <t>mg/l CO3</t>
  </si>
  <si>
    <t>mg/l Cl</t>
  </si>
  <si>
    <t>mg/l SO4</t>
  </si>
  <si>
    <t>mg/l Na</t>
  </si>
  <si>
    <t>mg/l K</t>
  </si>
  <si>
    <t>mg/l Ca</t>
  </si>
  <si>
    <t>mg/l Mg</t>
  </si>
  <si>
    <t>mg/l NH4</t>
  </si>
  <si>
    <t>mg/l N</t>
  </si>
  <si>
    <t>mg/l NO2</t>
  </si>
  <si>
    <t>mg/l NO3</t>
  </si>
  <si>
    <t>mg/l P</t>
  </si>
  <si>
    <t>mg/l Si</t>
  </si>
  <si>
    <t>µg/l Fe</t>
  </si>
  <si>
    <t>µg/l Mn</t>
  </si>
  <si>
    <t>µg/l</t>
  </si>
  <si>
    <t>µg/l Al</t>
  </si>
  <si>
    <t>µg/l Sb</t>
  </si>
  <si>
    <t>µg/l As</t>
  </si>
  <si>
    <t>µg/l Ba</t>
  </si>
  <si>
    <t>µg/l Be</t>
  </si>
  <si>
    <t>µg/l Bi</t>
  </si>
  <si>
    <t>µg/l B</t>
  </si>
  <si>
    <t>µg/l Cd</t>
  </si>
  <si>
    <t>µg/l Cr</t>
  </si>
  <si>
    <t>µg/l Co</t>
  </si>
  <si>
    <t>µg/l Cu</t>
  </si>
  <si>
    <t>µg/l Hg</t>
  </si>
  <si>
    <t>µg/l Pb</t>
  </si>
  <si>
    <t>µg/l Li</t>
  </si>
  <si>
    <t>µg/l Mo</t>
  </si>
  <si>
    <t>µg/l Ni</t>
  </si>
  <si>
    <t>µg/l Se</t>
  </si>
  <si>
    <t>µg/l Sr</t>
  </si>
  <si>
    <t>µg/l Tl</t>
  </si>
  <si>
    <t>µg/l Te</t>
  </si>
  <si>
    <t>µg/l Sn</t>
  </si>
  <si>
    <t>µg/l Ti</t>
  </si>
  <si>
    <t>µg/l V</t>
  </si>
  <si>
    <t>µg/l Ag</t>
  </si>
  <si>
    <t>µg/l Zn</t>
  </si>
  <si>
    <t>µg/l Ce</t>
  </si>
  <si>
    <t>µg/l La</t>
  </si>
  <si>
    <t>µg/l Nd</t>
  </si>
  <si>
    <t>µg/l Rb</t>
  </si>
  <si>
    <t>µg/l Sm</t>
  </si>
  <si>
    <t>µg/l U</t>
  </si>
  <si>
    <t>µg/l Th</t>
  </si>
  <si>
    <t>mg/l Br</t>
  </si>
  <si>
    <t>mg/l F</t>
  </si>
  <si>
    <t>µg/l I</t>
  </si>
  <si>
    <t>µg/l CN</t>
  </si>
  <si>
    <t>µg/l CNS</t>
  </si>
  <si>
    <t>µg/l S</t>
  </si>
  <si>
    <t>µg/l BrO3</t>
  </si>
  <si>
    <t>µg/l ClO3</t>
  </si>
  <si>
    <t>µg/l ClO2</t>
  </si>
  <si>
    <t>mg/l BO3 3-</t>
  </si>
  <si>
    <t>mg/l C</t>
  </si>
  <si>
    <t>mg/l Pt</t>
  </si>
  <si>
    <t>mg/l Na-lauryl-SO4</t>
  </si>
  <si>
    <t>µg/l C6H5OH</t>
  </si>
  <si>
    <t>µg/l Cl</t>
  </si>
  <si>
    <t>µg/l Br</t>
  </si>
  <si>
    <t>µg/l N</t>
  </si>
  <si>
    <t>µg/l P</t>
  </si>
  <si>
    <t>µg/l paraoxon</t>
  </si>
  <si>
    <t>µg/l ac-C</t>
  </si>
  <si>
    <t>µg/l CS2</t>
  </si>
  <si>
    <t xml:space="preserve">µg/l                </t>
  </si>
  <si>
    <t>Features IUPAC converted by Python PupChem</t>
  </si>
  <si>
    <t>Feature_ori</t>
  </si>
  <si>
    <t>CAS</t>
  </si>
  <si>
    <t>SIKB2(Mix)</t>
  </si>
  <si>
    <t>SIKB3(Eng)</t>
  </si>
  <si>
    <t>iupac</t>
  </si>
  <si>
    <t>synonyms</t>
  </si>
  <si>
    <t>compounds</t>
  </si>
  <si>
    <t>formulae</t>
  </si>
  <si>
    <t>cid</t>
  </si>
  <si>
    <t>flag</t>
  </si>
  <si>
    <t>REMARK</t>
  </si>
  <si>
    <t>copy</t>
  </si>
  <si>
    <t>Ethyl-tert-butylether</t>
  </si>
  <si>
    <t>tert-Butyl ethyl ether</t>
  </si>
  <si>
    <t>['tert-Butyl ethyl ether', '637-92-3', 'Ethyl tert-butyl ether', '2-Ethoxy-2-methylpropane', 'ETBE', 'Propane, 2-ethoxy-2-methyl-', 'Ethyl t-butyl ether', '2-Methyl-2-ethoxypropane', 'Ethyl tert-butyl oxide', 'Ether, tert-butyl ethyl', 'tert-Butylethylether', 'Ethyl-tert-butyl ether', 'Methyl-2-ethoxypropane', '2-ethoxy-2-methyl-propane', 'T-BUTYL ETHYL ETHER', 'UNII-3R9B16WR19', '1,1-Dimethylethyl ethyl ether', 'Ethyl 1,1-dimethylethyl ether', 'CCRIS 6061', '2-Methyl-2-ethoxypropane (etbe)', 'NSC 1069', 'EINECS 211-309-7', '3R9B16WR19', 'GEO-03226', 'J-660063', 'W-109094', 'tert-Butyl ethyl ether, 97%', 'HSDB 7867', 't-BuOEt', 'ethyl-tert-butylether', 'Tere-Butyl Ethyl Ether', 'tert-C4H9OC2H5', 'DSSTox_CID_5604', 'EC 211-309-7', 'ACMC-1B5P9', 'DSSTox_RID_77850', 'DSSTox_GSID_25604', 'SCHEMBL42870', 'KSC490I7L', 'tert-Butyl ethyl ether, 99%', 'CHEMBL1409831', 'DTXSID0025604', 'CTK3J0475', 'NSC1069', 'CHEBI:141564', 'ethyl (2-methyl-2-propyl) ether', 'KS-00000X2K', 'NSC-1069', 'ZINC1587813', 'Tox21_200349', '7559AF', 'ANW-34733', 'LS-277', 'MFCD00009225', 'AKOS015909016', 'ZINC100511913', 'FCH1117921', 'NCGC00091556-01', 'NCGC00091556-02', 'NCGC00257903-01', 'CAS-637-92-3', 'CC-34757', 'DB-054548', 'tert-Butyl ethyl ether, analytical standard', 'B1542', 'FT-0626237', 'NS00009065', '74376-EP2308857A1', 'tert-Butyl ethyl ether, purum, &gt;=97.0% (GC)', 'A834529', 'C-28318', 'Q424480', 'Propane, 2-ethoxy-2-methyl-;2-Methyl-2-ethoxypropane']</t>
  </si>
  <si>
    <t>Compound(12512)</t>
  </si>
  <si>
    <t>C6H14O</t>
  </si>
  <si>
    <t>from column A</t>
  </si>
  <si>
    <t>4-amino-5-chloro-1H-pyridazin-6-one</t>
  </si>
  <si>
    <t>['5-Amino-4-chloropyridazin-3(2H)-one', '6339-19-1', '3(2H)-Pyridazinone, 5-amino-4-chloro-', 'CHLORIDAZON-DESPHENYL', '4-Amino-5-chloropyridazin-6-on', 'UNII-43F7SZ79PP', '4-amino-5-chloro-1H-pyridazin-6-one', 'chloridazone-desphenyl', '5-AMINO-4-CHLORO-2,3-DIHYDROPYRIDAZIN-3-ONE', '43F7SZ79PP', '5-AMINO-4-CHLORO-3(2H)-PYRIDAZINONE', 'Desphenyl Chloridazon', 'NSC 38293', 'NSC38293', 'Chloridazon Metabolite B', 'KSC618S6L', '4-amino-5-chloro-6-pyridazone', 'SCHEMBL11704753', '5-amino-4-chloropyridazin-3-ol', 'CHEBI:83479', 'CTK5B8965', 'KS-00000NXL', 'DTXSID50212792', 'ANW-46423', 'NSC-38293', 'ZINC17300623', 'AKOS006278170', 'MCULE-2690467469', 'MP-1603', 'PB10202', '3(2H)-Pyridazinone,5-amino-4-chloro-', 'AK-86203', 'DS-18140', 'AB0025967', 'CS-0053952', 'FT-0666262', 'NS00000315', 'W7537', 'Chloridazon Impurity 1 (Desphenyl Chloridazon)', 'Chloridazon-desphenyl 10 microg/mL in Acetonitrile', 'Chloridazon-desphenyl 100 microg/mL in Acetonitrile', 'Q27156862', 'Z1416200926']</t>
  </si>
  <si>
    <t>Compound(95827)</t>
  </si>
  <si>
    <t>C4H4ClN3O</t>
  </si>
  <si>
    <t>chloroethylene (vinyl chloride)</t>
  </si>
  <si>
    <t>chloroethene</t>
  </si>
  <si>
    <t>['VINYL CHLORIDE', 'Chloroethylene', 'Chloroethene', 'Ethene, chloro-', 'Monochloroethene', 'Monochloroethylene', '75-01-4', 'Ethylene monochloride', 'Chlorethylene', 'Chlorure de vinyle', 'Vinylchlorid', 'Vinylchloride', 'Monovinyl chloride', 'Ethylene, chloro-', 'Chlorethene', 'Trovidur', 'Vinyl C monomer', 'Vinyl chloride monomer', 'POLYVINYL CHLORIDE', 'Poly(vinyl chloride)', 'Vinyl chlorine', 'Winylu chlorek', 'Cloruro di vinile', 'RCRA waste number U043', 'Vinyle(chlorure de)', 'VC', 'Vinylchlorid [German]', 'cloroetileno', 'Winylu chlorek [Polish]', 'cloruro de vinilo', '9002-86-2', 'UNII-WD06X94M2D', 'Chlorure de vinyle [French]', 'Cloruro di vinile [Italian]', 'CCRIS 621', 'Vinyle(chlorure de) [French]', 'UN 1086', 'HSDB 169', 'Vinile (cloruro di) [Italian]', 'Polyvinylchloride latex', 'Polyvinyl chloride resin', 'EINECS 200-831-0', 'UN1086', 'RCRA waste no. U043', 'BRN 1731576', 'chloroethyl', 'Vinyl chloride Chloroethylene', 'WD06X94M2D', 'VCM', '1-Chlorethyl', 'CHEBI:28509', 'Chloroethylene polymer', 'Ethene, chloro-, homopolymer', 'Armodour', 'Bakelite', 'Boltaron', 'Dacovin', 'Dynadur', 'Genotherm', 'Hostalit', 'Carina', 'Flocor', 'Ultron', 'Vinyl chloride, inhibited or Vinyl chloride stabilized [UN1086]', 'Resinite 90', 'Ekavyl SD 2', 'Vinile (cloruro di)', 'Darvic 110', 'Halvic 223', 'Chloroethene homopolymer', 'Corvic 55/9', 'C2H3Cl', 'Exon 605', 'Aron TS 700', 'Expanded polyvinyl chloride', 'Atactic poly(vinyl chloride)', 'GEON 51', 'CCRIS 634', 'chloro-ethene', 'Polyvinylchloride', 'HSDB 1213', 'Vinyl C', '101EP', '1-Chloroethylene #', 'Chloroethylene homopolymerise [French]', 'FC 4648', 'Chloroethylene, polymer', '1032X', 'EC 200-831-0', 'Ethylene, chloro-, polymer', '4-01-00-00700 (Beilstein Handbook Reference)', 'Vinyl chloride, &gt;=99.5%', 'Vinyl chloride, &gt;=99.95%', 'CHEMBL2311071', 'DTXSID8021434', 'CTK2H8187', 'AKOS015916049', 'LS-1651', 'LS-2301', 'MCULE-9678046268', 'L 5', 'U 1', 'Vinyl chloride 100 microg/mL in Methanol', 'Vinyl chloride 1000 microg/mL in Methanol', 'Vinyl Chloride 5000 microg/mL in Methanol', 'FT-0606106', 'FT-0693147', 'NS00008276', 'C06793', 'C19508', '15558-EP2270113A1', '15558-EP2272817A1', '15558-EP2272849A1', '15558-EP2272935A1', '15558-EP2275417A2', '15558-EP2277945A1', '15558-EP2284146A2', '15558-EP2284147A2', '15558-EP2284162A2', '15558-EP2284163A2', '15558-EP2287141A1', '15558-EP2287155A1', '15558-EP2289896A1', '15558-EP2295414A1', '15558-EP2295438A1', '15558-EP2305683A1', '15558-EP2309505A1', '15558-EP2311839A1', '15558-EP2314589A1', '15558-EP2316837A1', '15558-EP2371831A1', '15558-EP2374786A1', '20585-EP2287159A1', '20585-EP2295406A1', '20585-EP2301934A1', '20585-EP2314585A1', '23285-EP2305808A1', '23285-EP2314584A1', '77629-EP2272846A1', '77629-EP2277868A1', '77629-EP2277869A1', '77629-EP2277870A1', '77629-EP2308866A1', '78040-EP2272846A1', '78040-EP2275422A1', '78040-EP2277868A1', '78040-EP2277869A1', '78040-EP2277870A1', '78040-EP2292608A1', '78040-EP2298076A1', '78040-EP2298077A1', '78040-EP2301353A1', '78040-EP2305031A1', '78040-EP2305034A1', '78040-EP2305035A1', '78040-EP2308866A1', '78040-EP2374791A1', '80163-EP2272516A2', '80163-EP2272517A1', '80163-EP2272841A1', '80163-EP2292596A2', '80163-EP2295434A2', '80163-EP2301929A1', '80163-EP2301935A1', '80163-EP2305250A1', '80163-EP2305674A1', '80163-EP2305684A1', 'Q338869', 'Vinyl chloride, inhibited or Vinyl chloride stabilized', 'VCL']</t>
  </si>
  <si>
    <t>Compound(6338)</t>
  </si>
  <si>
    <t>C2H3Cl</t>
  </si>
  <si>
    <t>from column B</t>
  </si>
  <si>
    <t>trichloromethane (chloroform)</t>
  </si>
  <si>
    <t>chloroform</t>
  </si>
  <si>
    <t>['CHLOROFORM', 'Trichloromethane', '67-66-3', 'Methane, trichloro-', 'Trichlormethan', 'Formyl trichloride', 'Trichloroform', 'Methenyl trichloride', 'Methyl trichloride', 'Methane trichloride', 'Chloroforme', 'CHCl3', 'Cloroformio', 'Triclorometano', 'Trichloormethaan', 'Freon 20', 'R 20 (Refrigerant)', '1,1,1-Trichloromethane', 'RCRA waste number U044', 'Methenyl chloride', 'NCI-C02686', 'Refrigerant R20', 'Chloroforme [French]', 'HSDB 56', 'Caswell No. 192', 'Cloroformio [Italian]', 'Methylidyne trichloride', 'Trichlormethan [Czech]', 'Chloroform [NF XVII]', 'Trichloormethaan [Dutch]', 'Triclorometano [Italian]', 'trichloro-methane', 'NSC 77361', 'CCRIS 137', 'UNII-7V31YC746X', 'R 20', 'Chloroform [UN1888] [Poison]', 'EINECS 200-663-8', 'UN1888', 'RCRA waste no. U044', 'EPA Pesticide Chemical Code 020701', 'BRN 1731042', 'AI3-24207', 'CHEBI:35255', '7V31YC746X', 'NCGC00090794-01', 'chloroform CHCl3', 'DSSTox_CID_306', 'DSSTox_RID_75501', 'DSSTox_GSID_20306', 'Chloroform, analytical standard', 'MFCD00000826', 'CAS-67-66-3', 'Chloroform [NF]', 'Chloroform, for HPLC, stabilized with amylene', 'CHLOROFORM, ACS', 'CHLOROFORMWith Amylene', 'CHLOROFORMWith Ethanol', 'Chloroform, 99+%, for HPLC, stabilized with ethanol', 'Chloroform, 99+%, extra pure, stabilized with amylene', 'Chloroform, 99+%, extra pure, stabilized with ethanol', 'Chloroform, 99+%, for analysis, stabilized with ethanol', 'Chloroform, 99.9%, Extra Dry, stabilized, AcroSeal(R)', 'chlorform', 'chloroforrn', 'cloroform', 'trichlormethane', 'trichlorocarbon', 'Chloroform, 99.8%, for analysis, stabilized with amylene', 'Chloroform, 99.8+%, ACS reagent, stabilized with ethanol', 'Chloroform, 99+%, for spectroscopy, stabilized with amylene', 'chloro form', 'chloro-form', 'Chloroform-', 'Chloroform, for HPLC, &gt;=99.8%, contains 0.5-1.0% ethanol as stabilizer', 'Chloroform, 99.9%, Extra Dry over Molecular Sieve, Stabilized, AcroSeal(R)', 'Chloroform, 99.9%, for residue analysis, ECD tested for pesticide anal., residue &lt;0.0005%', 'trichloro- methane', 'Chloroform solution', 'methane   trichloride', 'tris(chloranyl)methane', 'CCl3H', 'HCCl3', 'Chloroform, for HPLC', 'Trichloromethane, 9CI', 'Chloroform with amylene', 'chloroformium pro narcosi', 'WLN: GYGG', 'Aqualine&amp;trade; Matrix K', 'EC 200-663-8', '4-01-00-00042 (Beilstein Handbook Reference)', 'KSC353S7H', 'CHEMBL44618', 'Chloroform, p.a., 99.8%', 'GTPL2503', 'Chloroform - Reagent Grade ACS', 'DTXSID1020306', 'CTK2F3973', 'R 20 (VAN)', 'Chloroform with Amylene HPLC grade', 'NSC77361', 'ZINC8214524', 'Tox21_111024', 'Tox21_202494', '8296AF', 'Chloroform, for HPLC, &gt;=99.5%', 'Chloroform, for HPLC, &gt;=99.8%', 'NSC-77361', 'AKOS000269026', 'Chloroform 100 microg/mL in Methanol', 'DB11387', 'LS-1567', 'MCULE-5607930311', 'UN 1888', 'Chloroform 5000 microg/mL in Methanol', 'Chloroform, purification grade, &gt;=99%', 'KS-0000112L', 'NCGC00090794-02', 'NCGC00260043-01', 'F 20', 'SC-46857', 'Trichloromethane 10 microg/mL in Methanol', 'Chloroform, JIS special grade, &gt;=99.0%', 'Trichloromethane 100 microg/mL in Methanol', 'C0819', 'FT-0623661', 'NS00007346', 'Trichloromethane 5000 microg/mL in Methanol', 'Y1314', 'C13827', 'Chloroform, HPLC grade stabilized with ethanol', 'Chloroform, SAJ super special grade, &gt;=99.0%', 'WATER DISINFECTION BYPRODUCTS(CHLOROFORM)', 'A835850', 'L023971', 'Q172275', 'BRD-K88785477-001-01-8', 'Chloroform, for HPLC, &gt;=99.8%, amylene stabilized', 'Chloroform, 99.8%, ACS Reagent stabilized with Ethanol', 'Chloroform, technical, amylene stabilized, &gt;=99% (GC)', 'F0001-1775', 'Chloroform, technical grade, 95%, contains 50 ppm Amylene', 'Chloroform, 99.8%, for spectroscopy, stabilized with ethanol', 'Chloroform, anhydrous, contains amylenes as stabilizer, &gt;=99%', 'Chloroform, for HPLC, &gt;=99.8% (chloroform + ethanol, GC)', 'Chloroform, for residue analysis, suitable for 5000 per JIS', 'Chloroform solution, 200 mug/mL in methanol, analytical standard', 'Chloroform stabilized with 50-200 ppm Amylene ACS Reagent Grade', 'Chloroform, &gt;=99%, PCR Reagent, contains amylenes as stabilizer', 'Chloroform, ACS reagent, &gt;=99.8%, contains amylenes as stabilizer', 'Chloroform, AR, contains 1-2% ethanol as stabilizer, &gt;=99.5%', 'Chloroform, AR, contains 100 ppm amylene as stabilizer, &gt;=99.5%', 'Chloroform, contains 100-200 ppm amylenes as stabilizer, &gt;=99.5%', 'Chloroform, contains amylenes as stabilizer, ACS reagent, &gt;=99.8%', 'Chloroform, contains ethanol as stabilizer, ACS reagent, &gt;=99.8%', 'Chloroform, LR, contains 100 ppm amylene as stabilizer, &gt;=99%', 'Chloroform, p.a., ACS reagent, 99.8%, contains 0.005% Amylene', 'Chloroform, SAJ first grade, &gt;=99.0%, contains 0.4-0.8% ethanol', 'Chloroform, UV HPLC spectroscopic, 99.9%, contains 50 ppm Amylene', 'Chloroform solution, certified reference material, 5000 mug/mL in methanol', 'Chloroform, ACS reagent, Reag. Ph. Eur., contains ethanol as stabilizer', 'Chloroform, anhydrous, &gt;=99%, contains 0.5-1.0% ethanol as stabilizer', 'Chloroform, Pharmaceutical Secondary Standard; Certified Reference Material', 'Chloroform, puriss. p.a., reag. ISO, reag. Ph. Eur., 99.0-99.4% (GC)', 'Chloroform, suitable for 300 per JIS, &gt;=99.0%, for residue analysis', 'Chloroform, UV HPLC spectroscopic, 99.0%, contains 0.6-1.0% Ethanol', 'Chloroform solution, NIST standard reference material, 1% in acetone-d6 (99.9 atom % D)', 'Chloroform solution, NMR reference standard, 1% in acetone-d6 (99.9 atom % D)', 'Chloroform solution, NMR reference standard, 3% in acetone-d6 (99.9 atom % D)', 'Chloroform, ACS reagent, &gt;=99.8%, contains 0.5-1.0% ethanol as stabilizer', 'Chloroform, ACS spectrophotometric grade, &gt;=99.8%, contains amylenes as stabilizer', 'Chloroform, biotech. grade, &gt;=99.8%, contains 0.5-1.0% ethanol as stabilizer', 'Chloroform, p.a., ACS reagent, reag. ISO, 99.8%, contains 50 ppm Amylene', 'Chloroform, puriss. p.a., ACS reagent, &gt;=99.8% (chloroform + ethanol, GC)', 'Chloroform, ReagentPlus(R), &gt;=99.8%, contains 0.5-1.0% ethanol as stabilizer', 'Residual Solvent Class 2 - Chloroform, United States Pharmacopeia (USP) Reference Standard', '8013-54-5', 'Chloroform solution, NMR reference standard, 0.3% in acetone-d6 (99.9 atom % D), NMR tube size 3 mm x 8 in.', 'Chloroform solution, NMR reference standard, 0.3% in acetone-d6 (99.9 atom % D), NMR tube size 5 mm x 8 in.', 'Chloroform solution, NMR reference standard, 1% in acetone-d6 (99,9 atom % D), TMS 0.1 %, NMR tube size 5 mm x 8 in.', 'Chloroform solution, NMR reference standard, 1% in acetone-d6 (99.9 atom % D), NMR tube size 10 mm x 8 in.', 'Chloroform solution, NMR reference standard, 1% in acetone-d6 (99.9 atom % D), NMR tube size 3 mm x 8 in.', 'Chloroform solution, NMR reference standard, 1% in acetone-d6 (99.9 atom % D), NMR tube size 4 mm x 8 in.', 'Chloroform solution, NMR reference standard, 1% in acetone-d6 (99.9 atom % D), NMR tube size 8 mm x 8 in.', 'Chloroform solution, NMR reference standard, 10% in acetone-d6 (99.9 atom % D), NMR tube size 3 mm x 8 in.', 'Chloroform solution, NMR reference standard, 2% in acetone-d6 (99.9 atom % D), NMR tube size 5 mm x 8 in.', 'Chloroform solution, NMR reference standard, 2% in chloroform-d (99.8 atom % D), NMR tube size 3 mm x 8 in.', 'Chloroform solution, NMR reference standard, 2% in chloroform-d (99.8 atom % D), NMR tube size 5 mm x 8 in.', 'Chloroform solution, NMR reference standard, 20% in acetone-d6 (99.9 atom % D), NMR tube size 5 mm x 8 in.', 'Chloroform solution, NMR reference standard, 3% in acetone-d6 (99.9 atom % D), TMS 0.2 %, NMR tube size 3 mm x 8 in.', 'Chloroform solution, NMR reference standard, 3% in acetone-d6 (99.9 atom % D), TMS 0.2 %, NMR tube size 5 mm x 8 in.', 'Chloroform solution, NMR reference standard, 5% in acetone-d6 (99.9 atom % D), chromium(III) acetylacetonate 0.2 %', 'Chloroform solution, NMR reference standard, 5% in acetone-d6 (99.9 atom % D), chromium(III) acetylacetonate 2 %, NMR tube size 10 mm x 8 in.', 'Chloroform solution, NMR reference standard, 5% in acetone-d6 (99.9 atom % D), NMR tube size 3 mm x 8 in.', 'Chloroform solution, NMR reference standard, 5% in acetone-d6 (99.9 atom % D), NMR tube size 5 mm x 8 in.', 'Chloroform solution, NMR reference standard, 50% in acetone-d6 (99.9 atom % D), chromium(III) acetylacetonate 0.2 %', 'Chloroform solution, NMR reference standard, 50% in acetone-d6 (99.9 atom % D), chromium(III) acetylacetonate 0.2 %, NMR tube size 10 mm x 8 in.', 'Chloroform, ACS spectrophotometric grade, &gt;=99.8%, contains 0.5-1.0% ethanol as stabilizer', 'Chloroform, contains ethanol as stabilizer, meets analytical specification of DAB9, BP, 99-99.4% (GC)', 'Chloroform, HPLC Plus, for HPLC, GC, and residue analysis, &gt;=99.9%, contains 0.5-1.0% ethanol as stabilizer', 'Chloroform, HPLC Plus, for HPLC, GC, and residue analysis, &gt;=99.9%, contains amylenes as stabilizer', 'Chloroform/isoamyl alcohol 24:1(v/v), for molecular biology, DNAse, RNAse and Protease free', 'Residual Solvent - Chloroform, Pharmaceutical Secondary Standard; Certified Reference Material']</t>
  </si>
  <si>
    <t>Compound(6212)</t>
  </si>
  <si>
    <t>CHCl3</t>
  </si>
  <si>
    <t>toluene</t>
  </si>
  <si>
    <t>['toluene', 'methylbenzene', 'toluol', '108-88-3', 'Phenylmethane', 'Benzene, methyl-', 'methylbenzol', 'methacide', 'Toluen', 'antisal 1a', 'tolu-sol', 'monomethyl benzene', 'Methane, phenyl-', 'Tolueen', 'Toluolo', 'phenyl methane', 'methyl-Benzene', 'p-toluene', 'Tolueen [Dutch]', 'Toluen [Czech]', 'Tolueno [Spanish]', 'Toluolo [Italian]', 'RCRA waste number U220', 'NCI-C07272', 'Caswell No. 859', 'para-toluene', '4-methylbenzene', 'Benzene, methyl', 'CP 25', 'UNII-3FPU23BG52', 'NSC 406333', 'UN 1294', 'PHME', 'CCRIS 2366', 'HSDB 131', 'EINECS 203-625-9', 'UN1294', 'RCRA waste no. U220', 'EPA Pesticide Chemical Code 080601', 'paratoluene', 'CHEMBL9113', 'AI3-02261', '3FPU23BG52', 'CHEBI:17578', 'MFCD00008512', 'NSC-406333', 'NCGC00090939-02', 'Otoline', 'DSSTox_CID_1360', 'Toluene, analytical standard', 'DSSTox_RID_76107', 'DSSTox_GSID_21360', 'Toluene, 99+%, extra pure', 'Toluene, 99.5%, ACS reagent', 'Toluene, 99.8+%, for analysis', 'Tolueno', 'methyl benzene', 'Toluene, ACS reagent, &gt;=99.5%', '1-Methylbenzene', 'CAS-108-88-3', 'Toluene, 99.85%, for pesticide residue analysis', 'Dracyl', 'phenyl-methane', 'toluene solvent', '2-methylbenzene', 'toluene solution', 'toluene-', 'Toluene, 99.85%, Extra Dry over Molecular Sieve, AcroSeal(R)', 'MePh', 'Titration Solvent', '2-methyl benzene', '4-methyl-benzene', 'Benzylidyne radical', 'Toluene, technical', 'Toluene ACS Grade', 'Toluene HPLC grade', 'Methylbenzene, 9CI', 'Toluene (Technical)', 'Toluene, for HPLC', 'ACMC-20egwh', 'PhCH3', 'Toluene, ACS reagent', '4i7k', 'Toluene, 99.5%', 'Toluene Reagent Grade ACS', 'EC 203-625-9', 'Toluene, LR, &gt;=99%', 'C6H5CH3', 'WLN: 1R', 'BIDD:ER0288', 'Toluene, anhydrous, 99.8%', 'Toluene, ASTM, 99.5%', 'Toluene, p.a., 99.5%', 'GTPL5481', 'DTXSID7021360', 'Toluene, AR, &gt;=99.5%', 'Toluene, for HPLC, 99.9%', 'Toluene, LR, rectified, 99%', 'DTXSID00184990', 'Toluene, HPLC grade, 99.8%', 'LS-26', 'Toluene 10 microg/mL in Methanol', 'Toluene, LR, sulfur free, 99%', 'ZINC967534', 'Toluene, AR, rectified, 99.5%', 'Toluene, technical grade, 95.0%', 'BCP16202', 'Toluene, for HPLC, &gt;=99.8%', 'Toluene, for HPLC, &gt;=99.9%', 'Toluene, histology grade, practical', 'Toluene, PRA grade, &gt;=99.8%', 'Toluene 100 microg/mL in Methanol', 'Tox21_111042', 'Tox21_201224', 'ANW-44012', 'BDBM50008558', 'NSC406333', 'Toluene 1000 microg/mL in Methanol', 'Toluene, purification grade, 99.8%', 'AKOS015840411', 'ZINC100116646', 'DB11558', 'MCULE-4817136027', 'Toluene [UN1294] [Flammable liquid]', 'Toluene, puriss., &gt;=99.5% (GC)', 'Toluene, SAJ first grade, &gt;=99.0%', 'NCGC00090939-01', 'NCGC00090939-03', 'NCGC00258776-01', 'Toluene [UN1294]  [Flammable liquid]', 'Toluene, 99.5%, for spectroscopy ACS', 'Toluene, JIS special grade, &gt;=99.5%', 'Toluene, Laboratory Reagent, &gt;=99.3%', '50643-04-4', 'SC-19104', 'Toluene disproportionation catalyst ZA-90', 'Toluene, for HPLC, &gt;=99.7% (GC)', 'Toluene, UV HPLC spectroscopic, 99.5%', 'Toluene, anhydrous, ZerO2(TM), 99.8%', '941-EP0930075A1', '941-EP2269975A2', '941-EP2269977A2', '941-EP2269978A2', '941-EP2269979A1', '941-EP2269985A2', '941-EP2269986A1', '941-EP2269987A1', '941-EP2269988A2', '941-EP2269989A1', '941-EP2269990A1', '941-EP2269991A2', '941-EP2269992A1', '941-EP2269993A1', '941-EP2269995A1', '941-EP2269997A2', '941-EP2270000A1', '941-EP2270001A1', '941-EP2270002A1', '941-EP2270003A1', '941-EP2270004A1', '941-EP2270006A1', '941-EP2270008A1', '941-EP2270009A1', '941-EP2270010A1', '941-EP2270011A1', '941-EP2270014A1', '941-EP2270101A1', '941-EP2270113A1', '941-EP2270114A1', '941-EP2270505A1', '941-EP2272509A1', '941-EP2272516A2', '941-EP2272517A1', '941-EP2272537A2', '941-EP2272813A2', '941-EP2272817A1', '941-EP2272822A1', '941-EP2272825A2', '941-EP2272827A1', '941-EP2272828A1', '941-EP2272829A2', '941-EP2272830A1', '941-EP2272831A1', '941-EP2272832A1', '941-EP2272834A1', '941-EP2272835A1', '941-EP2272837A1', '941-EP2272838A1', '941-EP2272839A1', '941-EP2272840A1', '941-EP2272841A1', '941-EP2272842A1', '941-EP2272843A1', '941-EP2272844A1', '941-EP2272847A1', '941-EP2272848A1', '941-EP2272849A1', '941-EP2272935A1', '941-EP2274983A1', '941-EP2275102A1', '941-EP2275395A2', '941-EP2275401A1', '941-EP2275403A1', '941-EP2275404A1', '941-EP2275407A1', '941-EP2275409A1', '941-EP2275410A1', '941-EP2275411A2', '941-EP2275413A1', '941-EP2275414A1', '941-EP2275415A2', '941-EP2275416A1', '941-EP2275418A1', '941-EP2275427A1', '941-EP2275469A1', '941-EP2277848A1', '941-EP2277858A1', '941-EP2277861A1', '941-EP2277865A1', '941-EP2277867A2', '941-EP2277871A1', '941-EP2277875A2', '941-EP2277877A1', '941-EP2277878A1', '941-EP2277880A1', '941-EP2277881A1', '941-EP2279750A1', '941-EP2280000A1', '941-EP2280001A1', '941-EP2280003A2', '941-EP2280004A1', '941-EP2280005A1', '941-EP2280006A1', '941-EP2280007A1', '941-EP2280008A2', '941-EP2280009A1', '941-EP2280010A2', '941-EP2280011A1', '941-EP2280012A2', '941-EP2280014A2', '941-EP2280020A1', '941-EP2280021A1', '941-EP2281563A1', '941-EP2281810A1', '941-EP2281812A1', '941-EP2281813A1', '941-EP2281815A1', '941-EP2281817A1', '941-EP2281818A1', '941-EP2281819A1', '941-EP2281820A2', '941-EP2281821A1', '941-EP2281822A1', '941-EP2281899A2', '941-EP2284148A1', '941-EP2284149A1', '941-EP2284150A2', '941-EP2284151A2', '941-EP2284152A2', '941-EP2284153A2', '941-EP2284155A2', '941-EP2284156A2', '941-EP2284157A1', '941-EP2284158A1', '941-EP2284159A1', '941-EP2284160A1', '941-EP2284164A2', '941-EP2284165A1', '941-EP2284167A2', '941-EP2284168A2', '941-EP2284169A1', '941-EP2284170A1', '941-EP2284172A1', '941-EP2284174A1', '941-EP2284920A1', '941-EP2286811A1', '941-EP2286915A2', '941-EP2287140A2', '941-EP2287141A1', '941-EP2287147A2', '941-EP2287148A2', '941-EP2287150A2', '941-EP2287152A2', '941-EP2287153A1', '941-EP2287154A1', '941-EP2287155A1', '941-EP2287156A1', '941-EP2287157A1', '941-EP2287159A1', '941-EP2287161A1', '941-EP2287162A1', '941-EP2287165A2', '941-EP2287166A2', '941-EP2287167A1', '941-EP2287168A2', '941-EP2287940A1', '941-EP2289509A2', '941-EP2289510A1', '941-EP2289868A1', '941-EP2289876A1', '941-EP2289877A1', '941-EP2289879A1', '941-EP2289883A1', '941-EP2289884A1', '941-EP2289885A1', '941-EP2289887A2', '941-EP2289888A2', '941-EP2289890A1', '941-EP2289892A1', '941-EP2289893A1', '941-EP2289894A2', '941-EP2289896A1', '941-EP2289897A1', '941-EP2289965A1', '941-EP2292227A2', '941-EP2292228A1', '941-EP2292233A2', '941-EP2292586A2', '941-EP2292589A1', '941-EP2292592A1', '941-EP2292593A2', '941-EP2292595A1', '941-EP2292596A2', '941-EP2292597A1', '941-EP2292599A1', '941-EP2292601A1', '941-EP2292602A1', '941-EP2292603A1', '941-EP2292604A2', '941-EP2292606A1', '941-EP2292607A2', '941-EP2292609A1', '941-EP2292610A1', '941-EP2292612A2', '941-EP2292615A1', '941-EP2292617A1', '941-EP2292618A1', '941-EP2292619A1', '941-EP2292620A2', '941-EP2292621A1', '941-EP2292622A1', '941-EP2292624A1', '941-EP2292628A2', '941-EP2292629A1', '941-EP2293650A1', '941-EP2295053A1', '941-EP2295399A2', '941-EP2295401A2', '941-EP2295406A1', '941-EP2295407A1', '941-EP2295409A1', '941-EP2295410A1', '941-EP2295411A1', '941-EP2295412A1', '941-EP2295413A1', '941-EP2295414A1', '941-EP2295415A1', '941-EP2295416A2', '941-EP2295417A1', '941-EP2295418A1', '941-EP2295419A2', '941-EP2295420A1', '941-EP2295421A1', '941-EP2295423A1', '941-EP2295425A1', '941-EP2295426A1', '941-EP2295427A1', '941-EP2295429A1', '941-EP2295432A1', '941-EP2295433A2', '941-EP2295437A1', '941-EP2295438A1', '941-EP2295439A1', '941-EP2295503A1', '941-EP2298312A1', '941-EP2298313A1', '941-EP2298729A1', '941-EP2298731A1', '941-EP2298734A2', '941-EP2298735A1', '941-EP2298736A1', '941-EP2298737A1', '941-EP2298739A1', '941-EP2298740A1', '941-EP2298741A1', '941-EP2298742A1', '941-EP2298743A1', '941-EP2298744A2', '941-EP2298745A1', '941-EP2298746A1', '941-EP2298747A1', '941-EP2298748A2', '941-EP2298749A1', '941-EP2298750A1', '941-EP2298751A2', '941-EP2298752A1', '941-EP2298753A1', '941-EP2298754A1', '941-EP2298755A1', '941-EP2298756A1', '941-EP2298757A2', '941-EP2298758A1', '941-EP2298759A1', '941-EP2298761A1', '941-EP2298763A1', '941-EP2298764A1', '941-EP2298765A1', '941-EP2298767A1', '941-EP2298768A1', '941-EP2298770A1', '941-EP2298771A2', '941-EP2298772A1', '941-EP2298774A1', '941-EP2298775A1', '941-EP2298776A1', '941-EP2298777A2', '941-EP2298778A1', '941-EP2298779A1', '941-EP2298780A1', '941-EP2298783A1', '941-EP2298828A1', '941-EP2299326A1', '941-EP2299509A1', '941-EP2299510A1', '941-EP2299785A1', '941-EP2301536A1', '941-EP2301538A1', '941-EP2301627A1', '941-EP2301911A1', '941-EP2301918A1', '941-EP2301919A1', '941-EP2301920A1', '941-EP2301921A1', '941-EP2301922A1', '941-EP2301923A1', '941-EP2301924A1', '941-EP2301925A1', '941-EP2301926A1', '941-EP2301927A1', '941-EP2301928A1', '941-EP2301929A1', '941-EP2301930A1', '941-EP2301931A1', '941-EP2301932A1', '941-EP2301933A1', '941-EP2301934A1', '941-EP2301935A1', '941-EP2301936A1', '941-EP2301937A1', '941-EP2301939A1', '941-EP2301940A1', '941-EP2301983A1', '941-EP2302003A1', '941-EP2302015A1', '941-EP2305219A1', '941-EP2305250A1', '941-EP2305254A1', '941-EP2305257A1', '941-EP2305625A1', '941-EP2305627A1', '941-EP2305633A1', '941-EP2305636A1', '941-EP2305637A2', '941-EP2305640A2', '941-EP2305641A1', '941-EP2305642A2', '941-EP2305643A1', '941-EP2305646A1', '941-EP2305647A1', '941-EP2305648A1', '941-EP2305649A1', '941-EP2305650A1', '941-EP2305651A1', '941-EP2305652A2', '941-EP2305655A2', '941-EP2305656A1', '941-EP2305658A1', '941-EP2305659A1', '941-EP2305660A1', '941-EP2305662A1', '941-EP2305664A1', '941-EP2305666A1', '941-EP2305667A2', '941-EP2305668A1', '941-EP2305669A1', '941-EP2305671A1', '941-EP2305672A1', '941-EP2305674A1', '941-EP2305675A1', '941-EP2305676A1', '941-EP2305677A1', '941-EP2305679A1', '941-EP2305680A2', '941-EP2305682A1', '941-EP2305684A1', '941-EP2305685A1', '941-EP2305686A1', '941-EP2305687A1', '941-EP2305688A1', '941-EP2305695A2', '941-EP2305696A2', '941-EP2305697A2', '941-EP2305698A2', '941-EP2305769A2', '941-EP2305808A1', '941-EP2305825A1', '941-EP2306788A1', '941-EP2306789A1', '941-EP2308471A1', '941-EP2308479A2', '941-EP2308492A1', '941-EP2308510A1', '941-EP2308562A2', '941-EP2308812A2', '941-EP2308828A2', '941-EP2308831A1', '941-EP2308833A2', '941-EP2308838A1', '941-EP2308839A1', '941-EP2308840A1', '941-EP2308841A2', '941-EP2308843A1', '941-EP2308844A2', '941-EP2308845A2', '941-EP2308846A2', '941-EP2308848A1', '941-EP2308849A1', '941-EP2308850A1', '941-EP2308851A1', '941-EP2308853A1', '941-EP2308854A1', '941-EP2308857A1', '941-EP2308858A1', '941-EP2308861A1', '941-EP2308862A1', '941-EP2308864A1', '941-EP2308865A1', '941-EP2308867A2', '941-EP2308868A1', '941-EP2308869A1', '941-EP2308870A2', '941-EP2308871A1', '941-EP2308872A1', '941-EP2308873A1', '941-EP2308874A1', '941-EP2308875A1', '941-EP2308876A1', '941-EP2308877A1', '941-EP2308879A1', '941-EP2308880A1', '941-EP2308882A1', '941-EP2308926A1', '941-EP2308960A1', '941-EP2309564A1', '941-EP2309584A1', '941-EP2311455A1', '941-EP2311464A1', '941-EP2311801A1', '941-EP2311802A1', '941-EP2311803A1', '941-EP2311804A2', '941-EP2311805A1', '941-EP2311806A2', '941-EP2311807A1', '941-EP2311808A1', '941-EP2311811A1', '941-EP2311813A1', '941-EP2311814A1', '941-EP2311815A1', '941-EP2311816A1', '941-EP2311817A1', '941-EP2311818A1', '941-EP2311820A1', '941-EP2311822A1', '941-EP2311823A1', '941-EP2311824A1', '941-EP2311826A2', '941-EP2311827A1', '941-EP2311829A1', '941-EP2311830A1', '941-EP2311831A1', '941-EP2311835A1', '941-EP2311836A1', '941-EP2314295A1', '941-EP2314558A1', '941-EP2314571A2', '941-EP2314574A1', '941-EP2314575A1', '941-EP2314576A1', '941-EP2314577A1', '941-EP2314578A1', '941-EP2314579A1', '941-EP2314581A1', '941-EP2314582A1', '941-EP2314583A1', '941-EP2314585A1', '941-EP2314586A1', '941-EP2314587A1', '941-EP2314588A1', '941-EP2314590A1', '941-EP2314591A1', '941-EP2314593A1', '941-EP2315303A1', '941-EP2315502A1', '941-EP2316452A1', '941-EP2316457A1', '941-EP2316824A1', '941-EP2316825A1', '941-EP2316826A1', '941-EP2316827A1', '941-EP2316829A1', '941-EP2316831A1', '941-EP2316832A1', '941-EP2316833A1', '941-EP2316835A1', '941-EP2316836A1', '941-EP2370383A2', '941-EP2371795A1', '941-EP2371797A1', '941-EP2371798A1', '941-EP2371800A1', '941-EP2371804A1', '941-EP2371805A1', '941-EP2371810A1', '941-EP2371811A2', '941-EP2371812A1', '941-EP2371813A1', '941-EP2371814A1', '941-EP2371831A1', '941-EP2372804A1', '941-EP2374454A1', '941-EP2374783A1', '941-EP2374787A1', '941-EP2374788A1', '941-EP2374790A1', '941-EP2374895A1', '941-EP2377841A1', '941-EP2377845A1', '941-EP2377847A1', '941-EP2378585A1', '941-EP2380568A1', '941-EP2380867A1', '941-EP2380873A1', '941-EP2380874A2', 'FT-0688208', 'NS00008096', 'Toluene, 99.85%, Extra Dry, AcroSeal(R)', 'Toluene, suitable for determination of dioxins', '4489-EP2272846A1', 'C01455', 'Q15779', 'Toluene, suitable for scintillation, &gt;=99.7%', '28403-EP2269977A2', '28403-EP2311830A1', '28403-EP2314581A1', '28443-EP2269995A1', '28443-EP2275403A1', '28443-EP2284178A2', '28443-EP2284179A2', '28443-EP2292615A1', '28443-EP2298738A1', '28443-EP2298776A1', '28443-EP2301627A1', '28443-EP2301937A1', '28443-EP2305685A1', '28443-EP2305686A1', '28443-EP2311464A1', '28443-EP2314581A1', '28443-EP2371805A1', '28443-EP2377847A1', '48782-EP2272834A1', '48782-EP2275398A1', '48782-EP2284165A1', '48782-EP2298745A1', '48782-EP2301929A1', '48782-EP2301935A1', '48782-EP2305674A1', '48782-EP2311812A1', '56745-EP2272846A1', '56745-EP2275408A1', '56745-EP2275422A1', '56745-EP2277862A2', '56745-EP2277868A1', '56745-EP2277869A1', '56745-EP2277870A1', '56745-EP2281861A2', '56745-EP2284166A1', '56745-EP2287164A1', '56745-EP2289483A1', '56745-EP2289881A1', '56745-EP2292608A1', '56745-EP2292616A1', '56745-EP2292625A1', '56745-EP2295422A2', '56745-EP2295436A1', '56745-EP2298076A1', '56745-EP2298077A1', '56745-EP2298305A1', '56745-EP2298749A1', '56745-EP2298762A2', '56745-EP2298769A1', '56745-EP2298773A1', '56745-EP2301353A1', '56745-EP2305031A1', '56745-EP2305033A1', '56745-EP2305034A1', '56745-EP2305035A1', '56745-EP2308866A1', '56745-EP2308878A2', '56745-EP2371806A1', '56745-EP2371807A1', '56745-EP2371823A1', '56745-EP2374791A1', '56745-EP2380874A2', 'Toluene liquid density, NIST(R) SRM(R) 211d', 'Toluene, for residue analysis, &gt;=99.8% (GC)', '133890-EP2275410A1', '133890-EP2295420A1', 'A801937', 'SR-01000944565', 'Toluene, ACS spectrophotometric grade, &gt;=99.5%', 'SR-01000944565-1', 'Toluene, p.a., ACS reagent, reag. ISO, 99.5%', 'Toluene, suitable for 5000 per JIS, for residue analysis', 'TOLUENE (SEE ALSO TOLUENE (TECHNICAL), NTP 11617-L)', 'Toluene, HPLC Plus, for HPLC, GC, and residue analysis, &gt;=99.9%', 'Toluene, p.a., ACS reagent, reag. ISO, reag. Ph. Eur., 99.5%', 'Toluene, suitable for 300 per JIS, for residue analysis, &gt;=99.8%', 'TOLUENE (TECHNICAL) (SEE ALSOTOLUENE (NITRATION GRADE) NTP10009-V)', 'Toluene, 99.85%, Extra Dry, AcroSeal(R), package of 4x25ML bottles', 'Toluene, absolute, over molecular sieve (H2O &lt;=0.005%), &gt;=99.7% (GC)', 'Toluene, Pharmaceutical Secondary Standard; Certified Reference Material', 'Toluene, suitable for 1000 per JIS, for residue analysis, &gt;=99.8%', 'Residual Solvent - Toluene, Pharmaceutical Secondary Standard; Certified Reference Material', 'Toluene, puriss. p.a., ACS reagent, reag. ISO, reag. Ph. Eur., &gt;=99.7% (GC)']</t>
  </si>
  <si>
    <t>Compound(1140)</t>
  </si>
  <si>
    <t>C7H8</t>
  </si>
  <si>
    <t>pentachloronitrobenzene (quintozene)</t>
  </si>
  <si>
    <t>1,2,3,4,5-pentachloro-6-nitrobenzene</t>
  </si>
  <si>
    <t>['PENTACHLORONITROBENZENE', 'Quintozene', '82-68-8', 'PCNB', 'Brassicol', 'Quintozen', 'Terrachlor', '1,2,3,4,5-Pentachloro-6-nitrobenzene', 'Batrilex', 'Botrilex', 'Earthcide', 'Fungiclor', 'Pentagen', 'Phomasan', 'Terraclor', 'Terrafun', 'Tilcarex', 'Avicol', 'Fartox', 'Benzene, pentachloronitro-', 'Nitropentachlorobenzene', 'Quintocene', 'Chinozan', 'Kobutol', 'Quinosan', 'Tritisan', 'Brassicol super', 'Marisan forte', 'Pentachlornitrobenzol', 'Brassicol 75', 'Liro-PCNB', 'Fomac 2', 'Terraclor 30 G', 'Terrazan', 'Pentachloronitrobenzol', 'KOBU', 'OLPISAN', 'PKHNB', 'Saniclor 30', 'Tri-PCNB', 'Quintobenzene', 'Avicol, pesticide', 'KP 2', 'Avicol (pesticide)', 'NCI-C00419', 'Caswell No. 640', 'Quintozene [BSI:ISO]', 'Pcnb 100', 'Avicol, pesticide (VAN)', 'Benzene, nitropentachloro-', 'RCRA waste number U185', 'RTU 1010', 'GC 3944-3-4', 'PKhNC', 'Technical Grade PCNB 95%', 'CCRIS 495', 'Pentachlornitrobenzol [German]', 'UNII-Q37G40S4S8', '101 brand pcnb 75 Wettable', 'HSDB 1749', 'EINECS 201-435-0', 'Olin Terraclor 75% Wettable Powder', 'NSC 58427', 'Olin Terraclor 90% Dust Concentrate', 'RCRA waste no. U185', 'EPA Pesticide Chemical Code 056502', 'HOE 026014', 'BRN 1914324', 'AI-23024', 'Gustafson Terraclor 80% Dust Concentrate', 'AI3-23024', 'Benzene,1,2,3,4,5-pentachloro-6-nitro-', 'Benzene, 1,2,3,4,5-pentachloro-6-nitro-', 'CHEBI:34908', 'Q37G40S4S8', '2,3,4,5,6-pentachloronitrobenzene', 'Olin Terraclor Technical Grade PCNB 99% Soil Fungicide', 'Pcnb Technical Material for Manufacturing Purposes Only', 'Quintozine', 'DSSTox_CID_1105', 'DSSTox_RID_75944', 'DSSTox_GSID_21105', 'CAS-82-68-8', 'C6Cl5NO2', 'Eorthcicle', 'Avical', 'Fortox', 'Pentachloronitrobenzene (PCNB)', 'Marison Forte', 'Quintozene powder', 'SA Terraclor', 'SA Terraclor 2E', 'Quintozene (Pentachloronitrobenzene)', 'Trim (Salt/Mix)', 'fom ac 2', 'Tri PCNB', 'Pentachoronitrobenzene', 'Turfcide (Salt/Mix)', 'Tubergran (Salt/Mix)', 'PubChem13406', '1,2,3,4,5-pentachloro-6-nitro-benzene', 'Tri-PCNB (Salt/Mix)', 'Benezene, pentachloronitro-', 'NCIOpen2_002667', 'Pentachloronitrobenzene powder', 'SCHEMBL69247', 'MLS002454434', 'BIDD:ER0635', 'CHEMBL468759', 'DTXSID2021105', 'Pentachloronitrobenzene, &gt;=94%', 'CTK5E9947', 'WLN: WNR BG CG DG EG FG', 'NSC58427', 'ZINC1689074', 'Tox21_201947', 'Tox21_301060', '7617AH', 'NSC-58427', 'SBB061399', 'AKOS015902907', 'LS-1817', 'MCULE-4346664802', 'NE10470', 'Quintozene 10 microg/mL in Cyclohexane', 'NCGC00091305-01', 'NCGC00091305-02', 'NCGC00091305-03', 'NCGC00091305-04', 'NCGC00091305-05', 'NCGC00254962-01', 'NCGC00259496-01', 'Quintozene 100 microg/mL in Cyclohexane', 'Quintozene 100 microg/mL in Acetonitrile', 'SC-74757', 'SMR000778040', '1,2,3,4,5-Pentachloro-6-nitrobenzene #', 'DB-056648', 'FT-0631375', 'NS00001402', 'P0032', 'PCNB / Pentachloronitrobenzene (Quintozene)', 'ST51047418', 'EN300-82484', 'Quintozene, PESTANAL(R), analytical standard', 'C14338', '1,2,3,4,5-pentakis(chloranyl)-6-nitro-benzene', 'A840414', 'Pentachloronitrobenzene 1000 microg/mL in Acetone', 'Q418683', 'Pentachloronitrobenzene (PCNB);quintozene;Quintozene;Quintozen', 'Pentachloronitrobenzene, plant cell culture tested, BioReagent, &gt;=94% (GC), powder']</t>
  </si>
  <si>
    <t>Compound(6720)</t>
  </si>
  <si>
    <t>C6Cl5NO2</t>
  </si>
  <si>
    <t>phenazone (antipyrine)</t>
  </si>
  <si>
    <t>1,5-dimethyl-2-phenylpyrazol-3-one</t>
  </si>
  <si>
    <t>['antipyrine', 'Phenazone', '60-80-0', 'Antipyrin', 'Phenazon', 'Analgesine', 'Anodynine', 'Anodynin', 'Azophen', 'Fenazone', '2,3-Dimethyl-1-phenyl-5-pyrazolone', 'Antipirin', 'Phenozone', 'Apirelina', 'Azophene', 'Methozin', 'Phenazonum', 'Phenylone', 'Pyrazophyl', 'Sedatine', 'Sedatin', 'Dimethyloxychinizin', 'Antipyrinum', 'Dimethyloxyquinazine', 'Oxydimethylquinazine', 'Azophenum', 'Parodyne', 'Phenylon', '3-Antipyrine', 'Fenazon [Czech]', 'Fenazona', '3H-Pyrazol-3-one, 1,2-dihydro-1,5-dimethyl-2-phenyl-', 'Fenazona [INN-Spanish]', 'Phenazone (pharmaceutical)', 'Fenazon', 'Oxydimethylquinizine', '2,3-Dimethyl-1-phenyl-3-pyrazolin-5-one', '1-Phenyl-2,3-dimethyl-5-pyrazolone', '1-Phenyl-2,3-dimethylpyrazole-5-one', '1,2-Dihydro-1,5-dimethyl-2-phenyl-3H-pyrazol-3-one', '1,5-Dimethyl-2-phenyl-1,2-dihydro-3H-pyrazol-3-one', 'CHEBI:31225', 'Phenazonum [INN-Latin]', 'UNII-T3CHA1B51H', 'NSC 7945', '1,5-dimethyl-2-phenylpyrazol-3-one', 'CCRIS 1369', 'EINECS 200-486-6', 'T3CHA1B51H', '1,5-dimethyl-2-phenyl-2,3-dihydro-1H-pyrazol-3-one', 'AI3-15293', 'Phenazone (INN)', 'Phenazone [INN]', 'NSC-7945', 'Antipyrine, 99%', 'CAS-60-80-0', 'NCGC00016274-04', 'DSSTox_CID_1117', 'DSSTox_RID_75949', 'DSSTox_GSID_21117', 'Antipyrine [JAN]', 'SMR000238140', 'Antipyrine [USP:JAN]', 'SR-05000001566', 'Phenazone;Phenazon', '.beta.-Antipyrine', 'Prestwick_26', 'Antipyrine Crystals', 'MFCD00003146', 'component of Auralgan', '1,5-dimethyl-2-phenyl-pyrazol-3-one', 'Spectrum_000058', 'Prestwick0_000029', 'Prestwick1_000029', 'Prestwick2_000029', 'Prestwick3_000029', 'Spectrum2_000088', 'Spectrum3_000305', 'Spectrum4_000152', 'Spectrum5_000842', 'ACMC-209mm6', 'Antipyrine (JP17/USP)', 'Epitope ID:124927', 'EC 200-486-6', '1,5-dimethyl-2-phenyl-1H-pyrazol-3(2H)-one', 'ANTIPYRINE CRYSTALLINE', 'Propyphenazone EP impurity A', 'SCHEMBL20452', 'BSPBio_000097', 'BSPBio_001870', 'KBioGR_000624', 'KBioSS_000438', 'KSC912A0P', 'MLS001331753', 'MLS001332401', 'MLS001332402', 'MLS002154179', 'DivK1c_000484', 'SPECTRUM1500128', 'SPBio_000016', 'SPBio_002018', 'Antipyrine, analytical standard', 'BPBio1_000107', 'CHEMBL277474', 'DTXSID6021117', 'CTK8B2007', 'HMS501I06', 'KBio1_000484', 'KBio2_000438', 'KBio2_003006', 'KBio2_005574', 'KBio3_001370', 'ZINC61044', 'NSC7945', 'Antipyrine, &gt;=99.0% (RT)', 'NINDS_000484', 'HMS1568E19', 'HMS1920E09', 'HMS2091K09', 'HMS2095E19', 'HMS2272G04', 'HMS3652C09', 'HMS3712E19', 'Pharmakon1600-01500128', 'WLN: T5NNVJ A1 BR&amp; E1', 'HY-B0171', 'KS-000010VJ', 'Tox21_110342', 'Tox21_201600', 'Tox21_303026', 'Antipyrine, Sigma Reference Standard', 'ANW-33580', 'BBL001832', 'BDBM50103600', 'CCG-38904', 'NSC755874', 's3173', 'SBB017226', 'STK328171', '1,5-Dimethyl-2-phenyl-3-pyrazolone', 'AKOS000588788', 'Tox21_110342_1', 'CS-2044', 'DB01435', 'LS-7645', 'MCULE-9945022433', 'NSC-755874', 'IDI1_000484', 'Antipyrine, analytical reference material', 'Antipyrine, tested according to Ph.Eur.', 'NCGC00016274-01', 'NCGC00016274-02', 'NCGC00016274-03', 'NCGC00016274-05', 'NCGC00016274-06', 'NCGC00016274-07', 'NCGC00016274-10', 'NCGC00094591-01', 'NCGC00094591-02', 'NCGC00094591-03', 'NCGC00178937-01', 'NCGC00178937-02', 'NCGC00256527-01', 'NCGC00259149-01', 'AS-13248', 'H725', 'SC-25842', 'ST009485', 'SBI-0051287.P003', 'Antipyrine, Vetec(TM) reagent grade, 98%', 'Phenazon (Antipyrin- ID 2519)_338_ p', 'D1876', 'FT-0609690', 'FT-0662246', 'NS00000287', 'SW196343-3', 'A19580', 'BIM-0051287.0001', 'C13244', 'D01776', 'AF-960/00437050', 'Q415578', 'Q-201552', 'SR-05000001566-1', 'SR-05000001566-3', 'BRD-K46937689-001-05-1', 'BRD-K46937689-001-08-5', 'Z56869297', 'F2173-0728', '1,5-Dimethyl-2-phenyl-1,2-dihydro-3H-pyrazol-3-one #', 'Phenazone, European Pharmacopoeia (EP) Reference Standard', 'Antipyrine, United States Pharmacopeia (USP) Reference Standard', '1,2-Dihydro-1,5-dimethyl-2-phenyl-3H-pyrazol-3-one; Phenazone']</t>
  </si>
  <si>
    <t>Compound(2206)</t>
  </si>
  <si>
    <t>C11H12N2O</t>
  </si>
  <si>
    <t>octogen (HMX)</t>
  </si>
  <si>
    <t>1,3,5,7-tetranitro-1,3,5,7-tetrazocane</t>
  </si>
  <si>
    <t>['Octogen', 'Oktogen', 'Tetramethylenetetranitramine', '2691-41-0', 'Octahydro-1,3,5,7-tetranitro-1,3,5,7-tetrazocine', '1,3,5,7-tetranitro-1,3,5,7-tetrazocane', 'CYCLOTETRAMETHYLENETETRANITRAMINE', 'beta-Hmy', '1,3,5,7-Tetrazocine, octahydro-1,3,5,7-tetranitro-', '1,3,5,7-Tetranitro-1,3,5,7-tetraazacyclooctane', 'HMX', 'HW 4', 'Cyclotetramethylene Tetranitramine', 'UNII-LLW94W5BSJ', 'LX 14-0', 'HSDB 5893', 'EINECS 220-260-0', 'UN0226', 'LLW94W5BSJ', 'BRN 0361386', 'UN0484', '1,3,5,7-Tetranitro-1,3,5,7-tetraazocane', 'W-109815', 'Octagen', 'Octolite or octol, dry or wetted with &lt; 15% water, by mass', 'Cyclotetramethylene tetranitramine (dry or unphlegmatized)(HMX) [Forbidden]', 'Cyclotetramethylenetetranitramine, desensitized or octogen, desensitized or HMX, desensitized', 'Cyclotetramethylenetetranitramine, wetted or HMX, wetted or octogen, wetted with not &lt; 15% water, by mass', 'octahydro-1', 'beta-HMX', '.beta. Hmy', '.beta.-HMX', 'EC 220-260-0', '4-26-00-01645 (Beilstein Handbook Reference)', 'UN 0226 (Salt/Mix)', 'Ex146', 'SCHEMBL164769', '1,3,5,7-Tetrazocine,octahydro-1,3,5,7-tetranitro-', 'DTXSID3024237', 'CHEBI:33176', 'ZINC38140831', 'Octogen 10 microg/mL in Acetonitrile', 'AKOS000668897', 'ACM2691410', 'MCULE-2633308521', 'NCGC00160380-01', 'LS-149036', 'NS00007641', 'Octahydro-1,3,5,7-Tetranitro-s-tetrazocine', '1,3,5,7-Tetranitro-1,3,5,7-tetraazocane #', '1,3,5,7-Tetraza-1,3,5,7-tetranitrocyclooctane', 'Q422206', 'Cyclotetramethylene tetranitramine (dry or unphlegmatized)(HMX)', 'octahydro-1,3,5,7-tetranitro-1,3,5,7-tetrazocine, betaine', 'HMX solution, 10 mg/mL in acetonitrile, ampule of 5 mL, certified reference material', 'HMX solution, 1000 mug/mL in acetonitrile, ampule of 1.2 mL, certified reference material', 'Cyclotetramethylenetetranitramine, desensitized or octogen, desensitized or HMX, desensitized [UN0484]  [Explosive 1.1D]', 'Cyclotetramethylenetetranitramine, desensitized or octogen, desensitized or HMX, desensitized [UN0484] [Explosive 1.1D]', 'Cyclotetramethylenetetranitramine, wetted or HMX, wetted or octogen, wetted with not &lt;15% water, by mass', 'Cyclotetramethylenetetranitramine, wetted or HMX, wetted or octogen, wetted with not &lt;15% water, by mass [UN0226]  [Explosive 1.1D]', 'Cyclotetramethylenetetranitramine, wetted or HMX, wetted or octogen, wetted with not &lt;15% water, by mass [UN0226] [Explosive 1.1D]']</t>
  </si>
  <si>
    <t>Compound(17596)</t>
  </si>
  <si>
    <t>C4H8N8O8</t>
  </si>
  <si>
    <t>methyl tertiary butyl ether</t>
  </si>
  <si>
    <t>2-ethoxy-2-methylpropane</t>
  </si>
  <si>
    <t>2-(4-chloro-2-methylphenoxy)propanoic acid</t>
  </si>
  <si>
    <t>['MECOPROP', '2-(4-Chloro-2-methylphenoxy)propanoic acid', '93-65-2', 'Mecopeop', 'Compitox', 'Rankotex', 'Anicon B', 'Mechlorprop', 'Isocarnox', 'Kilprop', 'Liranox', 'Mecopar', 'Mecoper', 'Mecopex', 'Mecoturf', 'Mecprop', 'Morogal', 'Runcatex', 'Mepro', 'CMPP', 'Iso-Cornox', 'Okultin MP', 'N.b. mecoprop', '2-(4-Chloro-2-methylphenoxy)propionic acid', 'Vi-Par', 'Vi-Pex', '2M4KhP', 'Mecomec', 'Proponex-plus', '2-Mcpp', 'Celatox CMPP', '7085-19-0', 'Chipco turf herbicide mcpp', 'Propanoic acid, 2-(4-chloro-2-methylphenoxy)-', '2-(p-Chloro-o-tolyloxy)propionic acid', '2-(2-Methyl-4-chlorophenoxy)propionic acid', 'SYS 67 Mecmin', 'FBC CMPP', 'U 46 KV fluid', 'Anicon P', '2M-4CP', '2M 4KhP', 'Caswell No. 559', 'Mecoprop [BSI:ISO]', 'RD 4593', '(rac)-mecoprop', '2-(2-Methyl-4-chlorophenoxy)propanoic acid', '2-(4-Chlorophenoxy-2-methyl)propionic acid', 'NSC 60282', 'Propionic acid, 2-(4-chloro-2-methylphenoxy)', 'Propionic acid, 2-(2-methyl-4-chlorophenoxy)-', '2-(4-Chloro-2-tolyloxy)propionic acid', 'CCRIS 1464', '2-(4-Chloor-2-methyl-fenoxy)-propionzuur', 'HSDB 1738', '2-(4-Chlor-2-methyl-phenoxy)-propionsaeure', '4-Chloro-2-methylphenoxy-alpha-propionic acid', 'Acido 2-(4-cloro-2-metil-fenossi)-propionico', 'EINECS 202-264-4', 'EINECS 230-386-8', 'Acide 2-(4-chloro-2-methyl-phenoxy)propionique', 'EPA Pesticide Chemical Code 031501', 'BRN 2212752', 'Kwas 4-chloro-2-metylofenoksypropionowy', '2-(4-Chloro-o-tolyl)oxylpropionic acid', '2-(2-Methyl-4-chlorphenoxy)-propionsaeure', 'MLS000084910', 'CHEMBL272942', 'CHEBI:75704', 'Propionic acid, 2-[(4-chloro-o-tolyl)oxy]-', 'alpha-(2-Methyl-4-chlorophenoxy)propionic acid', 'Kyselina 2-(4-chlor-2-methylfenoxy)propionova', 'Kwas 4-chloro-2-metylofenoksypropionowy [Polish]', '2-(4-Chloor-2-methyl-fenoxy)-propionzuur [Dutch]', '2-(2-Methyl-4-chlorphenoxy)-propionsaeure [German]', '(+)-alpha-(4-Chloro-2-methylphenoxy) propionic acid', '2-(4-Chlor-2-methyl-phenoxy)-propionsaeure [German]', 'Acido 2-(4-cloro-2-metil-fenossi)-propionico [Italian]', 'Kyselina 2-(4-chlor-2-methylfenoxy)propionova [Czech]', 'Acide 2-(4-chloro-2-methyl-phenoxy)propionique [French]', 'SMR000019256', 'DSSTox_CID_4194', 'Propionic acid, 2-((4-chloro-o-tolyl)oxy)-', "2-(2'-Methyl-4'-chlorophenoxy)propionic acid", 'DSSTox_RID_77323', '.alpha.-(2-Methyl-4-chlorophenoxy)propionic acid', 'DSSTox_GSID_24194', 'UNII-74N8TKR9P8', 'CAS-93-65-2', 'Duplosan CMPP', '74N8TKR9P8', 'U 46 KV-fluid', 'Opera_ID_972', 'Duplosan new system CMPP', 'EC 230-386-8', 'Propanoic acid, 2-(4-chloro-2-methylphenoxy)-, (2R)-', 'SCHEMBL53198', 'WLN: QVY1&amp;OR DG B1', '(+-)-2-((4-Chloro-o-tolyl)oxy)propionic acid (8CI)', 'DTXSID9024194', 'CTK7I5121', 'HMS2234F04', 'HMS3371H17', 'NSC60282', 'Tox21_201667', 'Tox21_303335', '3661AF', 'BDBM50375464', 'NSC-60282', 'PDSP1_001803', 'PDSP2_001786', 'SBB036142', 'STK208483', 'AKOS000120873', 'AKOS016890728', '2-(4-Chloro-o-tolyloxy)propionic acid', 'MCULE-5901282849', 'Mecoprop 10 microg/mL in Acetonitrile', 'NE23745', 'Mecoprop 100 microg/mL in Acetonitrile', 'O-(4-chloro-2-methylphenyl)lactic acid', 'NCGC00051613-02', 'NCGC00051613-03', 'NCGC00163831-01', 'NCGC00257155-01', 'NCGC00259216-01', '(4-Chloro-2-methylphenoxy)propionic acid', 'TS-03067', 'Mecoturf;Okultin MP;2M4KhP;NSC 60282', 'LS-124601', 'LS-190737', 'AM20041299', 'FT-0608602', 'FT-0670969', 'FT-0704763', 'FT-0770555', 'Mecoprop, PESTANAL(R), analytical standard', 'ST50407022', '2-(4-Chloro-o-tolyloxy)propionic acid, 98%', 'C18742', '(+-)-2-((4-Chloro-o-tolyl)oxy)propionic acid', "2-(2'-methyl-4'-chloro-phenoxy)-propionic acid", '2-Methyl-4-chlorophenoxy-.alpha.-propionic acid', '4-Chloro-2-methylphenoxy-.alpha.-propionic acid', '(+)-2-(4-Chloro-2-methylphenoxy)propionic acid', '.alpha.-(4-Chloro-2-methylphenoxy)propionic acid', '085M190', 'AJ-087/41885651', 'L001008', 'Q149452', 'SR-01000408149', 'SR-01000408149-1', 'W-109051', '(.+/-.)-2-(4-Chloro-2-methylphenoxy)propanoic acid', '(.+/-.)-2-(4-Chloro-2-methylphenoxy)propionic acid', '(+)-.alpha.-(4-Chloro-2-methylphenoxy) propionic acid', 'Propionic acid, 2-[(4-chloro-o-tolyl)oxy]-, (.+/-.)-', 'Propanoic acid, 2-(4-chloro-2-methylphenoxy)-, (.+/-.)-']</t>
  </si>
  <si>
    <t>Compound(7153)</t>
  </si>
  <si>
    <t>C10H11ClO3</t>
  </si>
  <si>
    <t>TAME</t>
  </si>
  <si>
    <t>methyl (2S)-5-(diaminomethylideneamino)-2-[(4-methylphenyl)sulfonylamino]pentanoate</t>
  </si>
  <si>
    <t>['Tame', '901-47-3', 'Ts-Arg-OMe', 'Methyl P-toluenesulfonyl-L-argininate', 'tosyl-arginine methyl ester', 'UNII-1H7BKF44U1', 'p-toluenesulfonyl-L-arginine methyl ester', 'tosyl-L-arginine methyl ester', 'CHEMBL44752', '1H7BKF44U1', 'CHEBI:62167', 'methyl N(2)-(p-tosyl)-L-argininate', 'p-toluensulfonyl-L-arginine methyl ester', 'N(alpha)-p-tosyl-L-arginine methyl ester', '(S)-methyl 5-guanidino-2-(4-methylphenylsulfonamido)pentanoate', 'methyl N(2)-(p-toluenenesulfonyl)-L-argininate', 'methyl N(2)-[(p-tolyl)sulphonyl]-L-argininate', 'N(2)-(p-tolylsulfonyl)-L-arginine methyl ester', 'methyl N(2)-[(4-methylphenyl)sulfonyl]-L-argininate', 'TOSYLARGININE METHYL ESTER', 'methyl (2S)-5-(diaminomethylideneamino)-2-[(4-methylphenyl)sulfonylamino]pentanoate', 'TAME/', 'SCHEMBL324561', 'p-tosyl-l-arginine methyl ester', 'Nalpha-tosylarginine methyl ester', 'BCPP000052', 'ZINC1639578', 'ABP000326', 'BDBM50070707', 's2225', 'AKOS030214485', 'CCG-264948', 'CS-0466', 'alpha-N-p-Tosyl-L-arginine methyl ester', 'NCGC00346615-01', 'HY-13255', 'SW219688-1', 'X7573', 'N-alpha-Toluenesulfonyl-L-arginine methyl ester', 'W-5260', 'AB01566842_01', 'p-TOLUENESULFONYL-L-ARGININE METHYL ESTER HCl', 'Q27131658', 'L-Arginine, N2-((4-methylphenyl)sulfonyl)-, methyl ester', '(S)-5-Guanidino-2-(toluene-4-sulfonylamino)-pentanoic acid methyl ester']</t>
  </si>
  <si>
    <t>Compound(1550286)</t>
  </si>
  <si>
    <t>C14H22N4O4S</t>
  </si>
  <si>
    <t>5,6-dihydroxy-5,6-dihydrobenzo[b][1]benzazepine-11-carboxamide</t>
  </si>
  <si>
    <t>['Dihydroxycarbazepine', 'Cbz-diol', 'Carbazepine 10,11-diol', 'CBZD', '10,11-Dihydroxycarbamazepine', '10,11-Dihydro-10,11-dihydroxycarbamazepine', '35079-97-1', '10,11-Dihydro-10,11-dihydroxy-5H-dibenzazepine-5-carboxamide', '5,6-dihydroxy-5,6-dihydrobenzo[b][1]benzazepine-11-carboxamide', 'Carbamazepine-10,11-diol', 'Cgp 10,000', '6064-68-2', '10,11-Dihydroxy-10,11-dihydrocarbamazepine', 'CBZ-10,11-diol', 'CHEBI:4592', 'SCHEMBL14317737', 'Carbamazepine-10,11-dihydrodiol', 'DTXSID30891504', '10,11-Dihydroxy-10,11-dihydrocarbamazepin', 'FT-0666958', 'NS00008351', 'C07495', 'trans-10,11-Dihydroxy-10,11-dihydrocarbamazepin', 'Q27106416', '10,11-Dihydroxy-10,11-dihydro-5H-dibenzo[b,f]azepine-5-carboxamide', '10,11-Dihydroxy-10,11-dihydro-5H-dibenzo[b,f]azepine-5-carboxamide #', '5H-Dibenz(b,f)azepine-5-carboxamide, 10,11-dihydro-10,11-dihydroxy-']</t>
  </si>
  <si>
    <t>Compound(83852)</t>
  </si>
  <si>
    <t>C15H14N2O3</t>
  </si>
  <si>
    <t>1,1,1,2-tetrachloroethane</t>
  </si>
  <si>
    <t>['1,1,1,2-TETRACHLOROETHANE', '630-20-6', 'Ethane, 1,1,1,2-tetrachloro-', 'RCRA waste number U208', '1,1,1,2-Tetrachlorethane', 'NCI-C52459', 'RCRA waste no. U208', 'UNII-0S5MKE574X', 'CCRIS 577', 'HSDB 4148', 'EINECS 211-135-1', 'BRN 1733216', '0S5MKE574X', '1,1,1,2-Tetrachloro-Ethane', 'CHEBI:34024', '1,1,1,2-Tetrachloroethane, analytical standard', 'Tetrachloroethane, 1,1,1,2-', 'Ethyl, 1,2,2,2-tetrachloro-', 'alpha,beta,beta,beta-Tetrachloroethyl', 'Asym-tetrachloroethane', 'CH2ClCCl3', 'ACMC-1B6JZ', 'DSSTox_CID_1317', 'SCHEMBL2565', '1,1,1,2-Tetrachloraethan', 'DSSTox_RID_76077', 'DSSTox_GSID_21317', '4-01-00-00143 (Beilstein Handbook Reference)', 'BIDD:ER0593', 'CHEMBL155816', 'Tetrachlorethan, 1,1,1,2-', 'DTXSID2021317', 'CTK1A5884', 'ZINC8437800', 'Tox21_201109', 'ANW-42388', 'FCH917374', 'SBB061237', 'AKOS006228374', 'LS-1518', 'MCULE-4379418128', 'ACM25322207', 'NCGC00248924-01', 'NCGC00258661-01', '23425-39-0', 'CAS-630-20-6', 'CC-34839', 'FT-0750803', 'NS00002181', 'S0647', 'ST51047281', 'C14705', '26061-EP2270113A1', '26061-EP2272935A1', '26061-EP2289879A1', '26061-EP2301924A1', '26061-EP2314558A1', 'C-04957', 'Q161264', '1,1,1,2-Tetrachloroethane, ReagentPlus(R), 99%', '1,1,1,2-Tetrachloroethane 100 microg/mL in Methanol', 'Tetrachlorethan, 1,1,1,2-;1,1,1,2-tetrachloroethane', 'UNII-31UK5E8W7C component QVLAWKAXOMEXPM-UHFFFAOYSA-N', 'HALOGENATED ETHANES CS (1,1, 1,2-TETRACHLOROETHANE)', '1,1,1,2-TETRACHLOROETHANE (SEE ALSO HALOGENATED ETHANESCS (1,1,1,2-TETRACHLOROETHANE))']</t>
  </si>
  <si>
    <t>Compound(12418)</t>
  </si>
  <si>
    <t>C2H2Cl4</t>
  </si>
  <si>
    <t>1,1,1-trichloroethane</t>
  </si>
  <si>
    <t>['1,1,1-TRICHLOROETHANE', 'Methylchloroform', 'TRICHLOROETHANE', '71-55-6', 'Ethane, 1,1,1-trichloro-', 'Methyl chloroform', 'Chlorothene', 'Inhibisol', 'Chlorothene NU', 'Chlorothene VG', 'Aerothene TT', 'Chlorotene', 'Chlorten', 'Methyltrichloromethane', 'Cleanite', 'Tafclean', 'alpha-Trichloroethane', 'Chlorothene SM', 'Solvent 111', 'alpha-T', 'Genklene LB', 'Ethana NU', 'Three One A', 'Three One S', 'Chloroform, methyl-', 'Trichloromethylmethane', 'Chlorothene, inhibited', '1,1,1-Trichloraethan', 'Rcra waste number U226', 'Trichloro-1,1,1-ethane', '1,1,1-TCE', 'Baltana', 'ICI-CF 2', 'Tri-ethane', 'Chlorothane NU', '1,1,1-Tricloroetano', 'Dowclene LS', '1,1,1-Trichlorethane', 'NCI-C04626', 'HCC 140a', 'Caswell No. 875', 'Solvethane', 'CF 2', '.alpha.-Trichloroethane', '1,1,1-trichloroethan', 'Ethana', 'Chloroethene NU', 'F 140a', '1,1,1-Trichloro-Ethane', 'Distillex DS1', '.alpha.-T', 'UN 2831', 'CCRIS 1290', 'HSDB 157', '1,1-Trichloroethane', 'UNII-113C650IR1', '1,1,1-Trichloraethan [German]', '1,1,1-Tricloroetano [Italian]', 'CH3CCl3', 'NSC 9367', 'Trichloro-1,1,1-ethane [French]', 'EINECS 200-756-3', 'UN2831', 'RCRA waste no. U226', 'EPA Pesticide Chemical Code 081201', 'Trichloroethane, 1,1,1-', 'BRN 1731614', '1,1,1-Trichloroethane, technical grade', 'AI3-02061', '25323-89-1', 'CHEBI:36015', '113C650IR1', '1,1,1-Trichloroethane [UN2831] [Poison]', '1-1-1-trichloroethane', 'Chloroetene', 'methyl-chloroform', '1,1-Tricloroetano', '1,1-Trichloraethan', '1,1 Trichloroethane', '1,1-Trichloorethaan', 'Trichloroethane (VAN)', '1,1,1-Trichlorathan', 'Trichloro-1,1-ethane', '1,1,1 Trichloroethane', 'DSSTox_CID_1381', 'WLN: GXGG1', 'EC 200-756-3', 'DSSTox_RID_76124', 'DSSTox_GSID_21381', 'SCHEMBL16434', '4-01-00-00138 (Beilstein Handbook Reference)', 'CHEMBL16080', 'SCHEMBL458743', '1,1,1-tris(chloranyl)ethane', 'GTPL5482', 'DTXSID0021381', '1,1,1-Trichloroethane, 97%', 'CTK1A6665', 'NSC9367', '1,1,1-Trichloorethaan (DUTCH)', 'NSC-9367', 'ZINC8585883', '1,1, 1-Trichloraethan (GERMAN)', 'Tox21_203122', '1,1, 1-Tricloroetano (ITALIAN)', 'MFCD00000806', 'AKOS015899823', 'Trichloro-1,1, 1-ethane (FRENCH)', 'LS-1606', 'MCULE-5353008945', 'CAS-71-55-6', 'NCGC00091158-01', 'NCGC00091158-02', 'NCGC00260667-01', 'M983', '1,1,1-Trichloroethane (ACD/Name 4.0)', 'FT-0605938', 'FT-0605984', 'NS00006146', 'C18246', '26062-EP2274983A1', '26062-EP2301924A1', '26062-EP2308858A1', '26062-EP2309584A1', '26062-EP2311816A1', '26062-EP2311817A1', '26062-EP2314558A1', '74303-EP2380568A1', '1,1,1-TRICHLOROETHANE (METHYL CHLOROFORM)', '1,1,1-Trichloroethane 10 microg/mL in Methanol', '1,1,1-Trichloroethane 100 microg/mL in Methanol', 'A837242', 'Q161268', '1,1,1-Trichloroethane 1000 microg/mL in Methanol', 'HALOGENATED ETHANES CS (1,1, 1-TRICHLOROETHANE)', 'UNII-F387UE664L component UOCLXMDMGBRAIB-UHFFFAOYSA-N', '1,1,1-trichloroethane;TRICHLOROETHANE;Ethane, 1,1,1-trichloro-', '1,1,1-TRICHLOROETHANE (SEE ALSO HALOGENATED ETHANES CS (1,1,1-TRICHLOROETHANE))']</t>
  </si>
  <si>
    <t>Compound(6278)</t>
  </si>
  <si>
    <t>C2H3Cl3</t>
  </si>
  <si>
    <t>1,1,1-trichlorotoluene</t>
  </si>
  <si>
    <t>trichloromethylbenzene</t>
  </si>
  <si>
    <t>['BENZOTRICHLORIDE', '(Trichloromethyl)benzene', '98-07-7', 'alpha,alpha,alpha-Trichlorotoluene', 'Trichloromethylbenzene', 'Phenylchloroform', 'Benzyl trichloride', 'TRICHLOROTOLUENE', 'Toluene trichloride', 'Benzenyl trichloride', 'Benzene, (trichloromethyl)-', 'Benzylidyne chloride', 'Phenyltrichloromethane', 'Trichlorophenylmethane', '1-(Trichloromethyl)benzene', 'Phenyl chloroform', 'Benzoic trichloride', 'Trichlormethylbenzol', 'Triclorometilbenzene', 'Trichloormethylbenzeen', 'Triclorotoluene', 'Chlorure de benzenyle', 'Benzenyl chloride', 'Benzene, trichloromethyl-', 'RCRA waste number U023', 'a,a,a-Trichlorotoluene', 'Benzotricloruro [Spanish]', 'Triclorotoluene [Italian]', 'UNII-U62VHG99AM', 'NSC 14663', 'Trichlormethylbenzol [German]', 'Trichloormethylbenzeen [Dutch]', 'Triclorometilbenzene [Italian]', 'CCRIS 1292', 'Chlorure de benzenyle [French]', 'AI3-02583', 'Chlorure de benzylidyne [French]', 'HSDB 2076', 'EINECS 202-634-5', 'UN2226', 'RCRA waste no. U023', 'Toluene, alpha,alpha,alpha,-trichloro-', 'BRN 0508152', 'U62VHG99AM', 'CHEBI:82274', 'MFCD00000786', 'Toluene, alpha,alpha,alpha-trichloro-', '30583-33-6', 'alpha,alpha,alpha-Trichlorotoluene, 98%', 'DSSTox_CID_148', 'Toluene, .alpha.,.alpha.,.alpha.-trichloro-', 'DSSTox_RID_75401', 'DSSTox_GSID_20148', 'Benzotricloruro', 'CAS-98-07-7', 'Methyltrichlorobenzene', 'Chlorure de benzylidyne', 'alpha,alpha,alpha-Trichlorotoluene, analytical standard', 'benzotrichlorid', 'Benzene, methyl-, trichloro deriv.', 'EINECS 250-252-2', 'Benzylidyne trichloride', 'PubChem22016', 'phenyl  trichloromethane', 'WLN: GXGGR', 'EC 202-634-5', '4-05-00-00820 (Beilstein Handbook Reference)', 'KSC497A3B', 'MLS001055387', 'SCHEMBL522316', 'CHEMBL1347516', 'DTXSID1020148', 'CTK3J7030', '.alpha.,.alpha.-Trichlorotoluene', '.omega.,.omega.-Trichlorotoluene', 'omega,omega,omega-Trichlorotoluene', 'HMS3039D05', 'alpha, alpha,alpha-Trichlorotoluene', 'NSC14663', 'ZINC1653138', 'Toluene,.alpha.,.alpha.-trichloro-', 'Tox21_201290', 'Tox21_300181', 'Alpha, Alpha, Alpha-trichlorotoluene', 'NSC-14663', 'STL280431', 'Toluene,.alpha.,.alpha.,-trichloro-', 'AKOS000120182', 'AS02920', 'LS-2037', 'MCULE-7029967845', 'UN 2226', 'Benzotrichloride [UN2226] [Corrosive]', 'NCGC00090931-01', 'NCGC00090931-02', 'NCGC00090931-03', 'NCGC00090931-04', 'NCGC00254133-01', 'NCGC00258842-01', '.alpha.,.alpha.,.alpha.-Trichlorotoluene', '.omega.,.omega.,.omega.-Trichlorotoluene', '61878-57-7', 'Benzotrichloride [UN2226]  [Corrosive]', 'SMR000677940', 'DB-080489', 'FT-0622736', 'NS00004266', '.alpha.,.alpha.,.alpha.-Trichloromethylbenzene', 'C19166', 'A845800', 'Q426111', 'Z1262252895', 'alpha,alpha,alpha-Trichlorotoluene, purum, &gt;=97.0% (GC)', 'trichlorotoluene;Benzotrichloride;?,?,?-trichlorotoluene;a,a,a-trichlorotoluene;Benzene, (trichloromethyl)-']</t>
  </si>
  <si>
    <t>Compound(7367)</t>
  </si>
  <si>
    <t>C7H5Cl3</t>
  </si>
  <si>
    <t>1,1, 2,2-tetrachloroethane</t>
  </si>
  <si>
    <t>1,1,2,2-tetrachloroethane</t>
  </si>
  <si>
    <t>['1,1,2,2-TETRACHLOROETHANE', '79-34-5', 's-Tetrachloroethane', 'Acetylene tetrachloride', 'Ethane, 1,1,2,2-tetrachloro-', 'Bonoform', 'Cellon', 'Tetrachlorethane', 'sym-Tetrachloroethane', 'Westron', '1,1,2,2-Tetrachlorethane', '1,1,2,2-Tetrachloraethan', '1,1-Dichloro-2,2-dichloroethane', "Tetrachlorure d'acetylene", 'TCE (ambiguous)', 'RCRA waste number U209', 'NCI-C03554', 'Caswell No. 826', 'Acetosol', 'Tetrachloroethane (VAN)', '1,1,2,2-Tetracloroetano', 'Dichloro-2,2-dichloroethane', 'UNII-1L6BI049XV', '1,1,2,2-Czterochloroetan', 'NSC 60912', '1,1,2,2-Tetrachloorethaan', 'CCRIS 578', '1,1,2,2,-tetrachloroethane', 'HSDB 123', 'Tetrachloroethane, 1,1,2,2-', "Tetrachlorure d'acetylene [French]", 'EINECS 201-197-8', '1,1,2,2-Czterochloroetan [Polish]', '1,1,2,2-Tetrachloorethaan [Dutch]', '1,1,2,2-Tetrachloraethan [German]', '1,1,2,2-Tetrachlorethane [French]', '1,1,2,2-Tetracloroetano [Italian]', 'RCRA waste no. U209', 'EPA Pesticide Chemical Code 078601', 'BRN 0969206', 'AI3-04597', '1,1,2,2-Tetrachloro-Ethane', '1L6BI049XV', 'CHEBI:36026', '1,1,2,2-tetrachlorethan', '1,1,2,2-tetrachloro-[1,2-2H2]ethane', '1,1,2,2-Tetrachloroethane, 98.5%', '25322-20-7', 'Tetrachloroethane [ISO]', 'symmetrical tetrachloroethane', 'sym-tetrachlorethane', 'CHCl2CHCl2', 'WLN: GYGYGG', 'ACMC-1BLLY', '1,2,2-Tetracloroetano', '1,2,2-Czterochloroetan', '1,2,2-Tetrachloraethan', '1,2,2-Tetrachlorethane', '1,2,2-Tetrachloorethaan', '1,2,2-Tetrachloroethane', 'DSSTox_CID_1318', 'SCHEMBL2564', 'Dichloro 2,2 dichloroethane', 'DSSTox_RID_76078', '(CHCl2)2', 'DSSTox_GSID_21318', 'Ethane,1,2,2-tetrachloro-', '4-01-00-00144 (Beilstein Handbook Reference)', 'CHEMBL47258', '1,1,2,2-tetra chloroethane', 'DTXSID7021318', 'CTK3J8260', 'KS-00000UVL', 'Tetrachloroe thane, 1,1,2,2-', 'NSC60912', 'ZINC8585904', '1,1,2,2-tetrakis(chloranyl)ethane', 'Tox21_200074', 'ANW-37287', 'MFCD00000848', 'NSC-60912', 'AKOS009029114', 'ETHANE,1,1,2,2-TETRACHLORO', 'LS-1779', 'MCULE-4029260741', 'NE10057', 'UN 1702', 'CAS-79-34-5', 'NCGC00091543-01', 'NCGC00091543-02', 'NCGC00257628-01', 'SC-22842', 'FT-0605963', 'S0654', 'EN300-19275', 'C19534', '1,1,2,2-Tetrachloroethane, analytical standard', '1,1,2,2-Tetrachloroethane, reagent grade, 97%', '133175-EP2380568A1', 'A839654', 'Q161275', 'J-503708', '1,1,2,2-Tetrachloroethane, reagent grade, &gt;=98.0%', '1,1,2,2-Tetrachloroethane 100 microg/mL in Methanol', 'F0001-2074', '1,1,2,2-Tetrachloroethane, JIS special grade, &gt;=97.0%', '1,1,2,2-Tetrachloroethane;Ethane, 1,1,2,2-tetrachloro-', 'UNII-31UK5E8W7C component QPFMBZIOSGYJDE-UHFFFAOYSA-N', 'HALOGENATED ETHANES CS (1,1, 2,2-TETRACHLOROETHANE)', '1,1,2,2-TETRACHLOROETHANE (SEE ALSO HALOGENATED ETHANESCS (1,1,2,2-TETRACHLOROETHANE))']</t>
  </si>
  <si>
    <t>Compound(6591)</t>
  </si>
  <si>
    <t>1,1,2-trichloroethane</t>
  </si>
  <si>
    <t>['1,1,2-TRICHLOROETHANE', '79-00-5', 'Ethane, 1,1,2-trichloro-', 'Vinyltrichloride', 'beta-Trichloroethane', '1,1,2-Trichlorethane', '1,2,2-Trichloroethane', 'Vinyl trichloride', 'Ethane trichloride', 'RCRA waste number U227', 'RCRA waste number U359', 'NCI-C04579', '.beta.-T', 'Caswell No. 875A', 'Trojchloroetan(1,1,2)', 'beta-T', 'UNII-28E9ERN9WU', 'CCRIS 602', 'NSC 405074', '.beta.-Trichloroethane', 'HSDB 1412', '1,1,2-Trichloraethan', 'Trojchloroetan(1,1,2) [Polish]', 'EINECS 201-166-9', '1,1,2-Trichloro-Ethane', 'RCRA waste no. U227', 'EPA Pesticide Chemical Code 081203', 'BRN 1731726', '28E9ERN9WU', 'CHEBI:36018', '1,1,2-Trichloroethane, 98%', 'Trichloroethane, 1,1,2-', '1,2-Trichloroethane', 'CHCl2CH2Cl', 'Trojchloroetan(1,2)', 'ACMC-209tev', 'Ethane,1,2-trichloro-', 'Trichloroethane-1,1,2', 'DSSTox_CID_1380', 'WLN: GYG1G', 'EC 201-166-9', 'DSSTox_RID_76123', 'DSSTox_GSID_21380', 'SCHEMBL16435', '4-01-00-00139 (Beilstein Handbook Reference)', 'KSC494E4F', 'CHEMBL43882', '1,1,2-tris(chloranyl)ethane', 'DTXSID5021380', 'CTK3J4242', 'KS-00000V8L', 'ZINC8585885', 'Tox21_202465', 'ANW-42389', 'NSC405074', 'AKOS000118752', 'LS-1767', 'MCULE-9302905435', 'NSC-405074', 'CAS-79-00-5', 'NCGC00091216-01', 'NCGC00260014-01', 'I098', 'SC-23300', '1,1,2-Trichloroethane, analytical standard', 'FT-0605983', 'NS00004799', 'S0640', 'C19536', '73912-EP2275469A1', '73912-EP2287940A1', '73912-EP2289965A1', '73912-EP2298756A1', '73912-EP2298828A1', '73912-EP2301983A1', '73912-EP2305667A2', '73912-EP2308926A1', '73912-EP2309564A1', '73912-EP2380568A1', '1,1,2-TRICHLOROETHANE (VINYL TRICHLORIDE)', '1,1,2-Trichloroethane 10 microg/mL in Methanol', '1,1,2-Trichloroethane 100 microg/mL in Methanol', '1,1,2-trichloroethane;Ethane, 1,1,2-trichloro-', 'A839550', 'Q161280', 'J-503709', 'F0001-2067', 'UNII-F387UE664L component UBOXGVDOUJQMTN-UHFFFAOYSA-N', '1,1,2-Trichloroethane, contains &lt;=3% 2-propanol as stabilizer, 97%']</t>
  </si>
  <si>
    <t>Compound(6574)</t>
  </si>
  <si>
    <t>1,1,2-trichloropropane</t>
  </si>
  <si>
    <t>['1,1,2-TRICHLOROPROPANE', '598-77-6', 'Propane, 1,1,2-trichloro-', '2-Chloropropylidene Chloride', 'BRN 1731988', 'EINECS 209-951-8', '1,1,2-TRICHLOROPROPANE 96+%', 'ACMC-1BNAG', 'DSSTox_CID_4362', 'C3H5Cl3', 'DSSTox_RID_77379', 'DSSTox_GSID_24362', 'SCHEMBL868495', 'CHEMBL3183042', 'DTXSID3024362', 'CTK3J4113', 'Tox21_200408', '7030AF', 'ANW-33383', 'FCH918377', 'AKOS006230423', 'MCULE-1848161215', 'NCGC00248597-01', 'NCGC00257962-01', 'CAS-598-77-6', 'SC-25006', 'DB-053483', 'LS-121092', 'FT-0632489', 'NS00034261', 'C-57985', 'Q27290517']</t>
  </si>
  <si>
    <t>Compound(11733)</t>
  </si>
  <si>
    <t>C3H5Cl3</t>
  </si>
  <si>
    <t>11-chloro-eicosafluoro-3-oxaundecane-1-sulfonic acid</t>
  </si>
  <si>
    <t>2-(8-chloro-1,1,2,2,3,3,4,4,5,5,6,6,7,7,8,8-hexadecafluorooctoxy)-1,1,2,2-tetrafluoroethanesulfonic acid</t>
  </si>
  <si>
    <t>['2-[(8-Chloro-1,1,2,2,3,3,4,4,5,5,6,6,7,7,8,8-hexadecafluorooctyl)oxy]-1,1,2,2-tetrafluoroethanesulfonic acid', '763051-92-9', '2-((8-chloro-1,1,2,2,3,3,4,4,5,5,6,6,7,7,8,8-hexadecafluorooctyl)oxy)-1,1,2,2-tetrafluoroethanesulfonic acid', 'ClOPFLSA n=8', '11Cl-PF3OUdS', 'SCHEMBL6399346', 'DTXSID40892507', 'ZINC150338967', 'Cl-substituted,ether-substituted perfluoroalkyl (linear)sulfonic acids, n=8']</t>
  </si>
  <si>
    <t>Compound(15099039)</t>
  </si>
  <si>
    <t>C10HClF20O4S</t>
  </si>
  <si>
    <t>1,1-dibromoethane</t>
  </si>
  <si>
    <t>['1,1-DIBROMOETHANE', '557-91-5', 'Ethylidene bromide', 'DIBROMOETHANE', 'Ethane, 1,1-dibromo-', 'Ethylidene dibromide', 'UNII-KJ8ZJY72QQ', 'HSDB 7382', 'EINECS 209-184-9', 'KJ8ZJY72QQ', '1,1-Dibromoethane, 99%, stabilized', 'dibromethane', 'dibromoethan', 'Dibromoetane', 'dibromo ethane', '2-dibromoethane', 'CCRIS 8552', '1,1-dibromo-ethane', 'CH3CHBr2', 'ACMC-1B1EB', 'SCHEMBL4352', 'DTXSID3060324', 'CTK1H0575', '1,1-Dibromoethane;Ethylidene bromide', 'ZINC59697701', 'AKOS025295468', 'FCH1115990', 'LS-65477', 'D0184', 'FT-0693205', 'NS00022379', '23008-EP2270011A1', '23008-EP2270101A1', '23008-EP2295428A2', '23008-EP2301924A1', '23008-EP2311802A1', '23008-EP2311803A1', '23008-EP2315502A1', 'C-47319', 'Q2352935']</t>
  </si>
  <si>
    <t>Compound(11201)</t>
  </si>
  <si>
    <t>C2H4Br2</t>
  </si>
  <si>
    <t>1,1-dimethylethyl-2-methoxyphenol</t>
  </si>
  <si>
    <t>4-tert-butyl-2-methoxyphenol</t>
  </si>
  <si>
    <t>['4-tert-butyl-2-methoxyphenol', 'Phenol, (1,1-dimethylethyl)-2-methoxy-', '4-(tert-butyl)-2-methoxyphenol', '37987-27-2', '53894-31-8', '4-(1,1-dimethylethyl)-2-methoxyphenol', '5-t-butyl-2-hydroxyanisole', '2-Methoxy-4-tert-butylphenol', '4-tert-butyl-2-methoxy-phenol', 'SCHEMBL5613937', 'CTK1B5255', 'DTXSID80202161', 'ZINC2003421', 'STL454249', 'Phenol, 4-(1,1-dimethylethyl)-2-methoxy-']</t>
  </si>
  <si>
    <t>Compound(40919)</t>
  </si>
  <si>
    <t>C11H16O2</t>
  </si>
  <si>
    <t>['1,1-DIMETHYLHYDRAZINE', 'N,N-Dimethylhydrazine', '57-14-7', 'Dimazine', 'gem-Dimethylhydrazine', 'Unsymmetrical dimethylhydrazine', '1,1-Dimethylhydrazin', 'Hydrazine, 1,1-dimethyl-', 'UDMH', 'Unsym-dimethylhydrazine', 'u-Dimethylhydrazine', '1,1-Dimethyl hydrazine', 'uns-Dimethylhydrazine', 'Dimazin', 'as-Dimethylhydrazine', 'Hydrazine, N,N-dimethyl-', 'asymmetric Dimethylhydrazine', 'RCRA waste number U098', 'as-Dimethyl hydrazine', 'unsymmetrical-Dimethylhydrazine', 'Dimethylhydrazine, unsym.', 'asymmetric-Dimethylhydrazine', 'UNII-4WPQ90N53J', 'NSC 60517', 'CCRIS 258', 'Dimethylhydrazine unsymmetrical', 'N,N-Dimetilidrazina [Italian]', 'HSDB 528', '1,1-Dimethylhydrazin [German]', 'Niesymetryczna dwu metylohydrazyna', 'EINECS 200-316-0', 'UN1163', 'Dimethyl hydrazine (DMH)', 'RCRA waste no. U098', 'BRN 0605261', 'Niesymetryczna dwu metylohydrazyna [Polish]', '(CH3)2NNH2', '4WPQ90N53J', 'Dimethylhydrazine, unsymmetrical', 'DTXSID1020516', 'N,N-Dimetilidrazina', '1,1-dimethyhydrazine', 'Dimethylhydrazine, 1,1-', '1,1-dimethyldiazane', 'Dimethylhydrazine, as', 'asym-Dimethylhydrazine', 'Hydrazine,N-dimethyl-', 'Hydrazine,1-dimethyl-', 'N,N-dimethyl hydrazine', 'N,N-Dimethyl-hydrazine', 'Dimethylhydrazine, unsym', '1,1-dimethyl-hydrazine', 'Me2NNH2', "N',N'-dimethylhydrazine", 'DSSTox_CID_516', 'EC 200-316-0', 'DSSTox_RID_75637', 'DSSTox_GSID_20516', 'unsymmetrical-dimethylhyrazine', 'N,N-Dimethylhydrazine, 98%', 'unsymetrical dimethyl hydrazine', 'unsym etrical dimethyl hydrazine', 'WLN: ZN1&amp;1', 'Dimethyl hydrazine (asymetrical)', 'CHEBI:18853', 'CTK4G4744', 'NSC60517', 'Tox21_302358', 'NSC-60517', 'ZINC59447665', 'AKOS000119664', 'Hydrazine, dimethyl-(7CI,8CI,9CI)', 'LS-1390', 'MCULE-8775366011', 'NE62753', 'UN 1163', 'CAS-57-14-7', 'NCGC00255194-01', 'D0740', 'NS00008277', 'C19233', '132332-EP2292597A1', '132332-EP2295418A1', 'A831327', 'Q161296', 'Dimethylhydrazine, unsymmetrical [UN1163] [Poison]', 'Q-200052', 'Dimethylhydrazine, unsymmetrical [UN1163]  [Poison]', 'DIMETHYL HYDRAZINE (DMH) (SEEALSO ASBESTOS, CHRYSOTILE(IR)+ DMH, CAS 12001-29-5)', '1,1-Dimethylhydrazine;N,N-dimethylhydrazine;1,1-dimethylhydrazine monohydrochloride;Hydrazine, 1,1-dimethyl-, hydrochloride']</t>
  </si>
  <si>
    <t>Compound(5976)</t>
  </si>
  <si>
    <t>C2H8N2</t>
  </si>
  <si>
    <t>1,1-dichloroethane</t>
  </si>
  <si>
    <t>['1,1-DICHLOROETHANE', 'Ethylidene chloride', '75-34-3', 'Ethane, 1,1-dichloro-', 'DICHLOROETHANE', 'Ethylidene dichloride', '1,1-Dichlorethane', 'Aethylidenchlorid', '1,1-Dicloroetano', '1,1-Ethylidene dichloride', 'Dichloromethylmethane', 'RCRA waste number U076', '1,1-Dichloraethan', 'Cloruro di etilidene', '1,1-Dichloorethaan', "Chlorure D'ethylidene", 'Chlorinated hydrochloric ether', '1300-21-6', 'alpha,alpha-Dichloroethane', 'NCI-C04535', 'Aethylidenchlorid [German]', '1,1-Dichloorethaan [Dutch]', '1,1-Dichloraethan [German]', '1,1-Dicloroetano [Italian]', 'CCRIS 224', 'HSDB 64', 'UNII-0S989LNA44', "Chlorure d'ethylidene [French]", 'Cloruro di etilidene [Italian]', '1,1-Dichloro-ethane', 'Dichloroethane, 1,1-', 'EINECS 200-863-5', 'UN2362', 'RCRA waste no. U076', 'Dichlorethan', 'CHEBI:81599', '0S989LNA44', '1,1-Dichloroethane Ethlidene chloride', '1,1-Dichloroethane, analytical standard', '1,1-dichlorethan', 'dichioroethane', 'dichlorethane', 'dichloroetane', 'dichloroethan', 'dichloro ethane', 'dichloro-ethane', '1,1 dichloroethane', '2,2-dichloroethane', 'MFCD00013673', 'CH3CHCl2', '1,1-Ethylene dichloride', 'DSSTox_CID_437', '1,1-bis(chloranyl)ethane', 'Assymmetrical Dichloroethane', 'DSSTox_RID_75586', 'DSSTox_GSID_20437', 'CHEMBL45079', 'DTXSID1020437', 'CTK2H7353', 'ZINC8681670', 'Tox21_200205', '9227AE', 'ANW-41633', 'AKOS006230759', 'LS-1662', 'MCULE-2444543893', 'UN 2362', 'CAS-75-34-3', 'NCGC00091482-01', 'NCGC00091482-02', 'NCGC00257759-01', 'DB-055953', 'FT-0606105', 'NS00001673', '1,1-Dichloroethane 100 microg/mL in Methanol', '5587-EP2269977A2', '5587-EP2269993A1', '5587-EP2270003A1', '5587-EP2270006A1', '5587-EP2270895A2', '5587-EP2272813A2', '5587-EP2272817A1', '5587-EP2272835A1', '5587-EP2272841A1', '5587-EP2272844A1', '5587-EP2275395A2', '5587-EP2275401A1', '5587-EP2275404A1', '5587-EP2275407A1', '5587-EP2275411A2', '5587-EP2275413A1', '5587-EP2275421A1', '5587-EP2277875A2', '5587-EP2278637A1', '5587-EP2280001A1', '5587-EP2280005A1', '5587-EP2280006A1', '5587-EP2280008A2', '5587-EP2280012A2', '5587-EP2284160A1', '5587-EP2286811A1', '5587-EP2287141A1', '5587-EP2287156A1', '5587-EP2287160A1', '5587-EP2287165A2', '5587-EP2287166A2', '5587-EP2289868A1', '5587-EP2289871A1', '5587-EP2289884A1', '5587-EP2289887A2', '5587-EP2289888A2', '5587-EP2289890A1', '5587-EP2289893A1', '5587-EP2289894A2', '5587-EP2289897A1', '5587-EP2289965A1', '5587-EP2292620A2', '5587-EP2295411A1', '5587-EP2295415A1', '5587-EP2295417A1', '5587-EP2295426A1', '5587-EP2295427A1', '5587-EP2298763A1', '5587-EP2298764A1', '5587-EP2298765A1', '5587-EP2298767A1', '5587-EP2301536A1', '5587-EP2301538A1', '5587-EP2301544A1', '5587-EP2301918A1', '5587-EP2301931A1', '5587-EP2301939A1', '5587-EP2305648A1', '5587-EP2305649A1', '5587-EP2305651A1', '5587-EP2305659A1', '5587-EP2305667A2', '5587-EP2305668A1', '5587-EP2305679A1', '5587-EP2305682A1', '5587-EP2305685A1', '5587-EP2305686A1', '5587-EP2308562A2', '5587-EP2308838A1', '5587-EP2308848A1', '5587-EP2308854A1', '5587-EP2308861A1', '5587-EP2308867A2', '5587-EP2308870A2', '5587-EP2308879A1', '5587-EP2309584A1', '5587-EP2311455A1', '5587-EP2311796A1', '5587-EP2311797A1', '5587-EP2311798A1', '5587-EP2311799A1', '5587-EP2311801A1', '5587-EP2311802A1', '5587-EP2311803A1', '5587-EP2311813A1', '5587-EP2311824A1', '5587-EP2311825A1', '5587-EP2311829A1', '5587-EP2311842A2', '5587-EP2314295A1', '5587-EP2314558A1', '5587-EP2314581A1', '5587-EP2314585A1', '5587-EP2314586A1', '5587-EP2314587A1', '5587-EP2316452A1', '5587-EP2316832A1', '5587-EP2316833A1', '5587-EP2371814A1', 'C18247', 'Y-8943', '1,1-Dichloroethane 5000 microg/mL in Methanol', '57166-EP2277868A1', '57166-EP2277869A1', '57166-EP2277870A1', '57166-EP2284166A1', '57166-EP2292608A1', '57166-EP2295436A1', '57166-EP2298769A1', '57166-EP2308866A1', '57166-EP2308878A2', '1,1-Dichloroethane (stabilized with nitromethane)', '1,1-Dichloroethane [UN2362] [Flammable liquid]', '130665-EP2380568A1', 'A838387', 'Q161282', '1,1-Dichloroethane [UN2362]  [Flammable liquid]', '1,1-dichloroethane;Ethane, 1,1-dichloro-;1,1-Dichloroethane', 'UNII-9D6S017631 component SCYULBFZEHDVBN-UHFFFAOYSA-N', '1,1-Di-(tert-butylperoxy)-3,3,5-trimethylcyclohexane, 75% solution in aromatic free mineral spirit']</t>
  </si>
  <si>
    <t>Compound(6365)</t>
  </si>
  <si>
    <t>C2H4Cl2</t>
  </si>
  <si>
    <t>1,1-dichloroethylene</t>
  </si>
  <si>
    <t>1,1-dichloroethene</t>
  </si>
  <si>
    <t>['Vinylidene chloride', '1,1-DICHLOROETHYLENE', '1,1-Dichloroethene', '75-35-4', 'Ethene, 1,1-dichloro-', 'Vinylidene dichloride', '1,1-Dce', 'Vinylidine chloride', 'Ethylene, 1,1-dichloro-', 'as-Dichloroethylene', 'RCRA waste number U078', 'asym-Dichloroethylene', 'Chlorure de vinylidene', 'Vinylidene chloride (II)', 'NCI-C54262', 'Vinylidene chloride, monomer', 'CCRIS 622', 'UNII-21SK105J9D', 'Vinylidene chloride (inhibited)', 'Chlorure de vinylidene [French]', '1,1-Dichloro-Ethene', 'HSDB 1995', 'EINECS 200-864-0', 'UN1303', 'RCRA waste no. U078', 'Vinylidene chloride, inhibited', 'AI3-28804', '1,1-Dichloroethylene, inhibited', 'CHEBI:34031', '21SK105J9D', 'VDC', '1,1-dichloroeth-2-yl', 'Vinylidene chloride, 99.9%, stabilized', 'Polyvinylidene chloride', '1,1-Dichloroethene 100 microg/mL in Methanol', 'Ethene, 1,1-dichloro-, homopolymer', '1,1-Dichloroethene homopolymer', '1,1,-dichloroethene', '9002-85-1', 'vinylidene chloride(II)', 'ACMC-1CAKJ', 'CH2=CCl2', 'DSSTox_CID_1438', 'EC 200-864-0', 'Vinylidene chloride, stabil', 'Ethene, dichloro- (9CI)', 'DSSTox_RID_76159', 'DSSTox_GSID_21438', '1,1-Dichloroethene (9CI)', 'CHEMBL156455', 'DTXSID8021438', 'CTK1A2372', 'ZINC8437654', 'Tox21_200357', '6815AF', 'ANW-42304', 'AKOS000120591', 'LS-1663', 'MCULE-1430323756', '1,1-Dichloroethene, analytical standard', 'CAS-75-35-4', 'NCGC00091090-01', 'NCGC00091090-02', 'NCGC00091090-03', 'NCGC00257911-01', '1,1-Dichloroethylene, analytical standard', 'SC-81453', 'D0366', 'NS00008027', '1,1-Dichloroethene 10 microg/mL in Methanol', 'C14039', '23286-EP2270113A1', '23286-EP2272849A1', '23286-EP2272935A1', '23286-EP2275417A2', '23286-EP2284162A2', '23286-EP2284163A2', '23286-EP2314584A1', '23286-EP2374786A1', '72047-EP2308849A1', '72047-EP2308850A1', '72047-EP2308867A2', '72047-EP2308870A2', '90080-EP2301929A1', '90080-EP2301935A1', '90080-EP2305674A1', 'Q161284', 'F0001-1900', 'Vinylidene chloride, inhibited [UN1303]  [Flammable liquid]', 'Vinylidene chloride, inhibited [UN1303] [Flammable liquid]', '1,1-Dichloroethylene, contains 200 ppm MEHQ as inhibitor, 99%']</t>
  </si>
  <si>
    <t>Compound(6366)</t>
  </si>
  <si>
    <t>C2H2Cl2</t>
  </si>
  <si>
    <t>1,1-dichloropropane</t>
  </si>
  <si>
    <t>['1,1-DICHLOROPROPANE', 'Propane, 1,1-dichloro-', 'Propylidene chloride', '78-99-9', 'Propylidene dichloride', 'UNII-SR71OVZ2OZ', 'alpha,alpha-Dichloropropane', 'R 270fb', 'alpha,alpha-Propylene dichloride', 'HSDB 5131', 'EINECS 201-165-3', 'SR71OVZ2OZ', 'BRN 1731152', '26638-19-7', 'Propane, dichloro-', '1,1-dichloro-propane', 'ethyl methylene chloride', 'ACMC-1CI7M', 'SCHEMBL74614', '1,1-Dichloropropane, 97%', '4-01-00-00195 (Beilstein Handbook Reference)', 'CHEMBL2287704', 'DTXSID9058818', 'CTK4F8269', 'ZINC2041253', 'Propane, dichloro-(7CI,8CI,9CI)', 'AKOS015913725', 'FCH1116984', 'ACM26638197', 'LS-119954', 'NS00022802', '1,1-Dichloropropane 100 microg/mL in Methanol', 'Q2715351', 'UNII-B8X7551QF3 component WIHMGGWNMISDNJ-UHFFFAOYSA-N']</t>
  </si>
  <si>
    <t>Compound(6573)</t>
  </si>
  <si>
    <t>C3H6Cl2</t>
  </si>
  <si>
    <t>1,1-dichloropropene</t>
  </si>
  <si>
    <t>1,1-dichloroprop-1-ene</t>
  </si>
  <si>
    <t>['1,1-DICHLOROPROPENE', '563-58-6', '1-Propene, 1,1-dichloro-', '1,1-Dichloro-1-propene', '1,1-Dichloropropylene', '1,1-dichloroprop-1-ene', 'Propene, 1,1-dichloro-', 'CCRIS 9037', 'UNII-5C5688865R', 'NSC 6201', 'EINECS 209-253-3', 'BRN 1734809', '26952-23-8', '5C5688865R', 'NSC6201', 'Propene,1-dichloro-', 'ACMC-1AQVQ', '1-Propene,1-dichloro-', 'DSSTox_CID_9910', '1,1-dichloro-prop-1-ene', 'DSSTox_RID_78832', 'DSSTox_GSID_29910', 'SCHEMBL119766', 'CHEMBL1595845', 'DTXSID1029910', 'CTK1A4277', 'NSC-6201', 'ZINC1693326', 'Tox21_200331', 'FCH917768', '1-Propene, 1,1-dichloro- (9CI)', 'AKOS006228585', 'LS-2154', 'MCULE-3741261135', 'ACM26952238', 'NCGC00091506-01', 'NCGC00091506-02', 'NCGC00257885-01', 'CAS-563-58-6', 'FT-0606098', 'NS00033509', '162081-EP2284146A2', '162081-EP2284147A2', '1,1-Dichloro-1-propene 100 microg/mL in Methanol', 'Q24755666', 'UNII-314002Q8Y6 component ZAIDIVBQUMFXEC-UHFFFAOYSA-N', '1,1-Dichloropropene, certified reference material, 5000 mug/mL in methanol']</t>
  </si>
  <si>
    <t>Compound(11245)</t>
  </si>
  <si>
    <t>C3H4Cl2</t>
  </si>
  <si>
    <t>(6aR,10aR)-1-hydroxy-6,6-dimethyl-3-pentyl-6a,7,8,10a-tetrahydrobenzo[c]chromene-9-carboxylic acid</t>
  </si>
  <si>
    <t>['56354-06-4', 'UNII-4TPC9E4A32', '11-Nor-9-carboxy-delta-9-tetrahydrocannabinol', 'CHEBI:77273', 'THC-COOH', 'Thc-11-oic acid', '(-)-11-Nor-9-Carboxy-delta9-THC', '11-COOH-THC', '4TPC9E4A32', '(6ar,10ar)-1-hydroxy-6,6-dimethyl-3-pentyl-6a,7,8,10a-tetrahydro-6h-benzo[c]chromene-9-carboxylic acid', '11-Nor-9-carboxy-Delta9-THC', '11-nor-9-carboxy-delta9-tetrahydrocannabinol', '(6aR,10aR)-6a,7,8,10a-Tetrahydro-1-hydroxy-6,6-dimethyl-3-pentyl-6H-dibenzo[b,d]pyran-9-carboxylic Acid', '(6aR,10aR)-1-hydroxy-6,6-dimethyl-3-pentyl-6a,7,8,10a-tetrahydrobenzo[c]chromene-9-carboxylic acid', '104874-50-2', 'Ncthc', '(+/-)-11-Nor-9-carboxy-delta9-thc', 'DL-11-NOR-9-CARBOXY-DELTA-9-THC', 'THC-d3', 'Epitope ID:224557', 'CHEMBL3263381', 'SCHEMBL13587290', 'BDBM84885', 'CTK1H4226', 'DTXSID20204907', 'THC, 9-Nor-9-carboxy-delta 9', 'ZINC2572326', '1001AH', 'PDSP2_000218', 'trans-11-Nor-9-carboxy-Delta9-THC', '6H-Dibenzo(b,d)pyran-9-carboxylic acid, 6a,7,8,10a-tetrahydro-1-hydroxy-6,6-dimethyl-3-pentyl-, (6aR-trans)-', '(-)-11-Nor-9-carboxy-.DELTA.9-THC', 'Q27146854', '(-)-11-Nor-9-carboxy-Delta9-THC 0.1 mg/ml in Methanol', '(-)-11-Nor-9-carboxy-Delta9-THC 1.0 mg/ml in Methanol', 'trans-11-Nor-9-carboxy-Delta9-THC 0.1 mg/ml in Methanol', '(-)-11-nor-9-Carboxy-Delta9-THC solution, 1.0 mg/mL in methanol, ampule of 1 mL, certified reference material', '(-)-11-nor-9-Carboxy-Delta9-THC solution, 100 mug/mL in methanol, ampule of 1 mL, certified reference material', '6aR,7,8,10aR-Tetrahydro-1-hydroxy-6,6-dimethyl-3-pentyl-6H-dibenzo[b,d]pyran-9-carboxylic acid', '6H-Dibenzo(b,d)pyran-9-carboxylic acid, 6a,7,8,10a-tetrahydro-1-hydroxy-6,6-dimethyl-3-pentyl-, (6aR,10aR)-', '6H-Dibenzo[b,d]pyran-9-carboxylicacid, 6a,7,8,10a-tetrahydro-1-hydroxy-6,6-dimethyl-3-pentyl-, (6aR,10aR)-']</t>
  </si>
  <si>
    <t>Compound(108207)</t>
  </si>
  <si>
    <t>C21H28O4</t>
  </si>
  <si>
    <t>1,2,2-trichloropropane</t>
  </si>
  <si>
    <t>['1,2,2-TRICHLOROPROPANE', 'Propane, 1,2,2-trichloro-', '3175-23-3', 'BRN 1697206', 'EINECS 221-645-6', '1,2,2-Trichlor-propan', '1,2,2-trichloro-propane', 'SCHEMBL868601', 'DTXSID0062890', 'CTK6H6199', 'FCH844116', 'ZINC95678184', 'AKOS006279853', 'OR460037', 'LS-121093', 'NS00029171']</t>
  </si>
  <si>
    <t>Compound(18505)</t>
  </si>
  <si>
    <t>1,2, 3,4, 5,6-hexathiepane</t>
  </si>
  <si>
    <t>hexathiepane</t>
  </si>
  <si>
    <t>['Hexathiepane', '17233-71-5', '1,2,3,4,5,6-hexathiepane', 'DTXSID70938129', '1,2,3,4,5,6-Hexathiacycloheptane', 'ACM17233715']</t>
  </si>
  <si>
    <t>Compound(87012)</t>
  </si>
  <si>
    <t>CH2S6</t>
  </si>
  <si>
    <t>1,2,3,4, 5,7, 7-heptachloro-bicyclo (2.2.1)-2-heptene</t>
  </si>
  <si>
    <t>1,2,3,4,5,7,7-heptachlorobicyclo[2.2.1]hept-2-ene</t>
  </si>
  <si>
    <t>['2440-02-0', '5202-36-8', '1,2,3,4,5,7,7-Heptachlorobicyclo[2.2.1]hept-2-ene', 'Bicyclo[2.2.1]hept-2-ene, 1,2,3,4,5,7,7-heptachloro-', '1,2,3,4,5,7,7-Heptachlorobicyclo(2.2.1)hept-2-ene', 'Bicyclo(2.2.1)hept-2-ene, 1,2,3,4,5,7,7-heptachloro-', '2-Norbornene, 1,2,3,4,5,7,7-heptachloro-', 'NSC143940', '1,2,3,4,5,7,7-Heptachloro-2-norbornene', 'SCHEMBL9593431', 'DTXSID10947270', 'NSC-143940', '1,2,3,4,5,7,7-Heptachloronorbornan-2-ene', '1,2,3,4,5,7,7-heptachloro-bicyclo [2,2,1]hept-2-ene', '1,2,3,4,5,7,7-Heptachlorobicyclo[2.2.1]hept-2-ene #', 'Bicyclo[2.2.1]hept-2-ene,2,3,4,5,7,7-heptachloro-, endo-']</t>
  </si>
  <si>
    <t>Compound(98482)</t>
  </si>
  <si>
    <t>C7H3Cl7</t>
  </si>
  <si>
    <t>1,2, 3,4-tetramethylbenzene</t>
  </si>
  <si>
    <t>1,2,3,4-tetramethylbenzene</t>
  </si>
  <si>
    <t>['1,2,3,4-TETRAMETHYLBENZENE', '488-23-3', 'Prehnitene', 'Prehnitol', 'Benzene, 1,2,3,4-tetramethyl-', 'TETRAMETHYLBENZENE', 'Benzene, tetramethyl-', 'UNII-96WT7D2WXJ', 'EINECS 207-673-1', 'NSC 93932', '96WT7D2WXJ', '1,2,3,4-tetramethyl-benzene', 'CHEBI:38997', '25619-60-7', 'Prehenitene', 'CCRIS 8659', 'Tetramethylbenzenes', 'tetra-methyl benzene', '1,3,4-Tetramethylbenzene', 'Benzene,2,3,4-tetramethyl-', 'CHEMBL1797278', 'DTXSID4060072', 'Tetramethylbenzene (all isomers)', 'CTK1A4161', 'KS-00000LWN', 'Tetramethylbenzene (mixed isomers)', 'BCP07046', 'NSC93932', 'ZINC1609579', '1,2,3,4-TETRAMETHLYBENZENE', 'MFCD00008521', 'NSC-93932', 'AKOS009031131', 'CS-W006416', 'DS-7452', 'AK162123', 'LS-32179', 'DB-018721', 'LS-193352', 'FT-0606203', 'NS00021173', '488T233', 'Q27118087', '1,2,3,4-Tetramethylbenzene 100 microg/mL in Methanol', '1,2,3,4-Tetramethylbenzene;1,2,3,4-tetramethylbenzene', 'UNII-5L4Y5PFP1R component UOHMMEJUHBCKEE-UHFFFAOYSA-N']</t>
  </si>
  <si>
    <t>Compound(10263)</t>
  </si>
  <si>
    <t>C10H14</t>
  </si>
  <si>
    <t>1,2, 3,4-tetrachlorobenzene</t>
  </si>
  <si>
    <t>1,2,3,4-tetrachlorobenzene</t>
  </si>
  <si>
    <t>['1,2,3,4-TETRACHLOROBENZENE', '634-66-2', 'Benzene, 1,2,3,4-tetrachloro-', 'Tetrachlorobenzene', 'Caswell No. 825', 'UNII-MH0UY3V1KE', 'CCRIS 5935', '1,2,3,4-benzene tetrachloride', 'HSDB 4268', 'EINECS 211-214-0', 'NSC 50729', 'MH0UY3V1KE', 'EPA Pesticide Chemical Code 061101', 'BRN 1910025', '1,2,3,4-Tetrachlorbenzol', 'AI3-01834', '1,2,3,4-Tetrachloro-Benzene', 'CHEBI:18855', '1,3-Cyclohexadien-5-yne, 1,2,3,4-tetrachloro-', 'DSSTox_CID_6088', 'DSSTox_RID_78012', 'DSSTox_GSID_26088', 'CAS-634-66-2', 'ACMC-209nfu', 'TETRACHLOROBENZENES', '1,3,4-Tetrachlorobenzene', '2,3,4,5-tetrachlorobenzene', '4-05-00-00667 (Beilstein Handbook Reference)', 'CHEMBL46422', 'SCHEMBL348089', 'DTXSID6026088', 'CTK0H8905', 'Tetrachlorobenzene, 1,2,3,4-?', 'ZINC162000', 'KS-000017MF', 'NSC50729', 'Tox21_201497', 'Tox21_303272', 'ANW-34648', 'NSC-50729', '1,2,3,4-Tetrachlorobenzene, 98%', 'AKOS015850356', 'LS-1525', 'MCULE-8096041529', 'NCGC00090840-01', 'NCGC00090840-02', 'NCGC00090840-03', 'NCGC00257037-01', 'NCGC00259048-01', '13280-72-3', '63697-20-1', 'DB-054493', 'FT-0606184', 'NS00003840', 'ST51047491', 'Y6739', 'C18236', 'caswell no. 825;1,2,3,4-tetrachlorobenzene', '1,2,3,4-Tetrachlorobenzene, technical grade, 90%', 'W-109583', 'Q27109095', '1,2,3,4-Tetrachlorobenzene 10 microg/mL in Cyclohexane', '1,2,3,4-Tetrachlorobenzene 100 microg/mL in Methanol', 'UNII-66WII99B89 component GBDZXPJXOMHESU-UHFFFAOYSA-N', '1,2,3,4-Tetrachlorobenzene, PESTANAL(R), analytical standard']</t>
  </si>
  <si>
    <t>Compound(12463)</t>
  </si>
  <si>
    <t>C6H2Cl4</t>
  </si>
  <si>
    <t>1,2, 3,4-tetrahydro-naphthalen</t>
  </si>
  <si>
    <t>1,2,3,4-tetrahydronaphthalene</t>
  </si>
  <si>
    <t>['1,2,3,4-Tetrahydronaphthalene', 'TETRALIN', '119-64-2', 'Benzocyclohexane', 'Tetrahydronaphthalene', 'Bacticin', 'Tetraline', 'Naphthalene, 1,2,3,4-tetrahydro-', 'Tetranap', 'Tetralina', 'Naphthalene 1,2,3,4-tetrahydride', 'Naphthalene, tetrahydro-', 'tetralene', 'Tetralina [Polish]', 'Caswell No. 842A', 'UNII-FT6XMI58YQ', 'NSC 77451', 'CCRIS 3564', 'HSDB 127', 'delta(sup 5,7,9)-naphthantriene', '(C4-C5) Alkyltetrahydronaphthalenes', 'EINECS 204-340-2', 'FT6XMI58YQ', 'EPA Pesticide Chemical Code 055901', 'Naphthalene, 1,2,3,4-tetrahydro-, C1-4-alkyl derivs.', 'AI3-01257', 'CHEBI:35008', '1,2,3,4-tetrahydro-naphthalene', 'MFCD00001733', 'DSSTox_CID_6118', 'DSSTox_RID_78023', 'DSSTox_GSID_26118', 'CAS-119-64-2', '1,2,3,4-Tetrahydronaphthalene, 98+%, pure', '1,2,3,4-Tetrahydronaphthalene, reagent grade, &gt;=97%', 'Tetralin solvent', 'EINECS 270-178-4', 'ACMC-1C8AU', 'bmse000530', 'EC 204-340-2', 'NCIOpen2_000650', '1,3,4-Tetrahydronaphthalene', '68412-24-8', 'KSC192O5P', '1,2,3,4-tetrahydronapthalene', '5,6,7,8-tetrahydronaphthalene', 'CHEMBL1575635', 'DTXSID1026118', 'Naphthalene 1,3,4-tetrahydride', 'WLN: L66 &amp; TJ', 'CTK0J2757', 'KS-00000YXZ', '.delta.(5,7,9)-Naphthantriene', '.delta.(sup 5,9)-Naphthantriene', 'Naphthalene-1,2,3,4-tetrahydride', 'NSC77451', 'ZINC8437660', 'Tox21_201793', 'Tox21_303325', 'LS-620', 'NSC-77451', 'SBB060619', 'STL264224', '.delta.(sup 5,7,9)-Naphthantriene', 'AKOS000121383', 'LS40429', 'MCULE-8327072794', 'NCGC00091744-01', 'NCGC00091744-02', 'NCGC00256948-01', 'NCGC00259342-01', 'I899', 'SC-79751', 'FT-0654145', 'NS00008482', 'ST51046766', 'T0713', '1,2,3,4-tetrahydronaphthalene, Tetralin, THN', 'C14114', 'Y-9119', '1,2,3,4-Tetrahydronaphthalene, anhydrous, 99%', 'Q420416', 'TETRALIN (SEE ALSO DECALIN (91-17-8))', '1,2,3,4-Tetrahydronaphthalene, analytical standard', 'W-108503', '1,2,3,4-Tetrahydronaphthalene, ReagentPlus(R), 99%', 'F1908-0164', '1,2,3,4-Tetrahydronaphthalene, Vetec(TM) reagent grade, 98%', '1,2,3,4-tetrahydronaphthalene;Naphthalene, 1,2,3,4-tetrahydro-', '27216-28-0']</t>
  </si>
  <si>
    <t>Compound(8404)</t>
  </si>
  <si>
    <t>C10H12</t>
  </si>
  <si>
    <t>1,2,3,5-tetramethylbenzene</t>
  </si>
  <si>
    <t>['1,2,3,5-TETRAMETHYLBENZENE', 'Isodurene', '527-53-7', 'Benzene, 1,2,3,5-tetramethyl-', 'UNII-0JBI5Y5A5Z', '1,3,4,5-Tetramethylbenzene', 'NSC 8091', 'EINECS 208-417-1', '0JBI5Y5A5Z', '1,2,3,5-tetramethyl-benzene', 'CCRIS 8661', 'ACMC-1AVX4', 'DSSTox_CID_6119', '1,3,5-Tetramethylbenzene', 'DSSTox_RID_78024', 'DSSTox_GSID_26119', 'Benzene,2,3,5-tetramethyl-', 'CHEMBL1797133', 'DTXSID6026119', 'NSC8091', 'NSC-8091', 'ZINC1586393', 'Tox21_302230', '1,2,3,5-TETRAMETHLYBENZENE', 'ANW-31539', 'LS-180', 'SBB061132', 'AKOS009031098', 'MCULE-9905592719', 'NCGC00255396-01', '1,2,3,5-Tetramethylbenzene (Isodurene)', '1,2,3,5-Tetramethylbenzene, AldrichCPR', 'CAS-527-53-7', 'FT-0606209', 'NS00009847', 'ST51047189', 'A829235', 'Q24819115', 'UNII-5L4Y5PFP1R component BFIMMTCNYPIMRN-UHFFFAOYSA-N', '1,2,3,5-TETRAMETHYLBENZENE;Benzene, 1,2,3,5-tetramethyl-;1,2,3,5-tetramethylbenzene']</t>
  </si>
  <si>
    <t>Compound(10695)</t>
  </si>
  <si>
    <t>1,2, 3,5-tetrachloro-4,6-dimethylbenzene</t>
  </si>
  <si>
    <t>1,2,3,5-tetrachloro-4,6-dimethylbenzene</t>
  </si>
  <si>
    <t>['Tetrachloro-m-xylene', '2,4,5,6-Tetrachloro-m-xylene', '877-09-8', '1,2,3,5-Tetrachloro-4,6-dimethylbenzene', 'Benzene, 1,2,3,5-tetrachloro-4,6-dimethyl-', 'm-Xylene, 2,4,5,6-tetrachloro-', 'UNII-O8XMK3B4S9', 'O8XMK3B4S9', 'EINECS 212-886-8', 'NSC141482', 'Tetrachlor-m-Xylol (TCX)', '2,4,5,6-Tetrachloroxylene', '2,5,6-Tetrachloro-m-xylene', 'SCHEMBL631112', 'm-Xylene,4,5,6-tetrachloro-', 'tetrachloro-1,3-dimethylbenzene', 'DTXSID6075433', 'CTK3E8796', 'ZINC392869', 'SBB061482', 'AKOS024319014', 'FCH1328963', 'MCULE-2916203253', 'NSC-141482', 'CC-07070', '1,2,4,6-tetrachloro-3,5-dimethylbenzene', '1,3,4,5-tetrachloro-2,6-dimethylbenzene', 'Benzene,2,3,5-tetrachloro-4,6-dimethyl-', 'DB-057016', 'FT-0633055', 'NS00006405', 'ST50409109', 'C-14754', '2,4,5,6-Tetrachloro-m-xylene, analytical standard', 'Q7706236', 'Tetrachlor-m-Xylol (TCX);2,4,5,6-tetrachloro-m-xylene', '2,4,5,6-Tetrachloro-m-xylene 10 microg/mL in Cyclohexane', '2,4,5,6-Tetrachloro-m-xylene 100 microg/mL in Methanol', '2,4,5,6-Tetrachloro-m-xylene 2000 microg/mL in Acetone']</t>
  </si>
  <si>
    <t>Compound(70139)</t>
  </si>
  <si>
    <t>C8H6Cl4</t>
  </si>
  <si>
    <t>1,2, 3,5-tetrachlorobenzene</t>
  </si>
  <si>
    <t>1,2,3,5-tetrachlorobenzene</t>
  </si>
  <si>
    <t>['1,2,3,5-TETRACHLOROBENZENE', '634-90-2', 'Benzene, 1,2,3,5-tetrachloro-', 'UNII-I27N186CIN', 'CCRIS 5936', 'HSDB 4269', 'EINECS 211-217-7', 'NSC 78934', 'BRN 1618864', '1,2,3,5-Tetrachlorbenzol', 'AI3-18219', 'I27N186CIN', 'CHEBI:36696', 'NSC78934', 'ACMC-209nfx', 'DSSTox_CID_6089', '1,3,5-Tetrachlorobenzene', 'DSSTox_RID_78013', 'NCIOpen2_004420', 'DSSTox_GSID_26089', '1,2,3,5 tetrachlorobenzene', 'KSC454C5L', 'tetrachloro1,2,3,5-benzene', 'Benzene,2,3,5-tetrachloro-', 'CHEMBL44011', 'SCHEMBL358001', '1,2,3,5-Tetrachloro-Benzene', 'DTXSID1026089', 'KS-000010ZP', 'ZINC1719222', 'Tox21_200673', 'ANW-34651', 'KM0749', 'NSC-78934', '1,2,3,5-tetrakis(chloranyl)benzene', 'AKOS015889831', 'AS06947', 'LS-1526', 'VZ20347', 'chlorinatedbenzenes,tri-,tetra-andpenta-', 'NCGC00090896-01', 'NCGC00090896-02', 'NCGC00258227-01', '63697-21-2', 'AC-20114', 'AS-13405', 'CAS-634-90-2', 'I103', 'SC-15320', 'DB-005059', '1,2,3,5-TETRACHLOROBENZENE OEKANAL', 'FT-0602561', 'NS00003280', '1,2,3,5-tcb;1,2,3,5-tetrachloro-benzen', '634T902', 'A834399', 'Q27116931', '1,2,3,5-Tetrachlorbenzol;1,2,3,5-tetrachlorobenzene', '1,2,3,5-Tetrachlorobenzene 10 microg/mL in Cyclohexane', '1,2,3,5-Tetrachlorobenzene 100 microg/mL in Methanol', '1,2,4,6-tetrachlorobenzene;benzene,1,2,3,5-tetrachloro', 'UNII-66WII99B89 component QZYNWJQFTJXIRN-UHFFFAOYSA-N', '1,2,3,5-Tetrachlorobenzene, PESTANAL(R), analytical standard', '1,2,3,5-Tetrachlorobenzene solution, certified reference material, 2000 mug/mL in methanol']</t>
  </si>
  <si>
    <t>Compound(12468)</t>
  </si>
  <si>
    <t>1,2,3-trimethylbenzene</t>
  </si>
  <si>
    <t>['1,2,3-TRIMETHYLBENZENE', '526-73-8', 'Hemimellitene', 'Hemellitol', 'Trimethylbenzene', 'Hemimellitol', 'Benzene, 1,2,3-trimethyl-', 'Benzene, trimethyl-', 'UNII-ZK4R7UPH6R', 'NSC 5167', '1,2,3-Trimethylbenzene, 90.5%', 'EINECS 208-394-8', 'ZK4R7UPH6R', '1,2,3-trimethyl-benzene', 'BRN 1903410', '25551-13-7', 'CHEBI:34037', '1,3-Trimethylbenzene', 'Hemimellitene, 90.5%', 'Benzene,2,3-trimethyl-', 'WLN: 1R B1 C1', '1,3-Trimethylbenzene, 90.5%', 'Methylxylene', 'Trimethyl benzene', 'TRIMETHYLBENZENES', 'CCRIS 8145', 'HSDB 6830', 'HSDB 7551', 'Trimethyl benzene (mixed isomers)', 'EINECS 247-099-9', 'Benzene, trimethyl- (mixed isomers)', '1,2,3-TrimethyIbenzene', 'ACMC-1AZ9L', 'DSSTox_CID_27750', 'DSSTox_GSID_47769', '4-05-00-01007 (Beilstein Handbook Reference)', 'Trimethylbenzol, 1,2,3 -', 'BIDD:ER0517', 'Trimethylbenzene (all isomers)', 'CHEMBL1797279', 'DTXSID8047769', 'CTK1A2038', 'NSC5167', '1,2,3-TRIMETHYL BENZENE', 'NSC-5167', 'NSC65599', 'ZINC1680739', 'Tox21_303868', 'ANW-75634', 'NSC-65599', 'SBB061131', 'AKOS009031505', 'MCULE-1130443786', 'KS-000010M6', 'NCGC00357131-01', 'CAS-526-73-8', 'LS-32254', 'LS-32255', 'SC-80528', '1,2,3-Trimethylbenzene, analytical standard', 'FT-0606232', 'NS00010824', 'ST51047188', 'X6071', '1,2,3-Trimethylbenzene, technical grade, 90%', 'C14518', 'Y-9936', 'A829196', '1,2,3-Trimethylbenzene 100 microg/mL in Methanol', 'Q4352416', 'W-105806', 'F0001-1357', 'Z955123778', 'UNII-A3F3279Q14 component FYGHSUNMUKGBRK-UHFFFAOYSA-N', 'trimethylbenzene;Benzene, trimethyl-;1,2,3-Trimethylbenzene;1,2,3-trimethylbenzene']</t>
  </si>
  <si>
    <t>Compound(10686)</t>
  </si>
  <si>
    <t>C9H12</t>
  </si>
  <si>
    <t>1,2,3-trichlorobenzene</t>
  </si>
  <si>
    <t>['1,2,3-TRICHLOROBENZENE', '87-61-6', 'TRICHLOROBENZENE', 'vic-Trichlorobenzene', 'Benzene, 1,2,3-trichloro-', '1,2,6-Trichlorobenzene', 'Benzene, trichloro-', 'UNII-NUR9777IK4', 'CCRIS 5944', 'HSDB 1502', 'EINECS 201-757-1', 'NSC 43432', '12002-48-1', 'BRN 0956882', 'AI3-15516', 'NUR9777IK4', 'CHEBI:35289', '1,2,3-TCB', 'DSSTox_CID_6193', 'DSSTox_RID_78052', 'DSSTox_GSID_26193', 'Trichlorbenzene', 'Trichlorobenzenes', 'Invalon TC', 'CAS-87-61-6', 'Pyranol 1478', '1,2,3-trichlorbenzene', 'Trichlorobencenos [Spanish]', 'HSDB 882', 'EINECS 234-413-4', '10-Oxapalitic acid', 'PubChem9584', '1,3-Trichlorobenzene', '1,6-Trichlorobenzene', '1,2,3-Trichlorbenzol', 'AI3-08095', 'Benzene,2,3-trichloro-', '1,2-dichlorochlorobenzene', 'ACMC-209td1', '1,2,3-Trichloro-Benzene', 'Benzene, 1,2,3-trichloro-, radical ion(1-)', 'EC 201-757-1', 'SCHEMBL23239', 'KSC175G2J', 'MLS002415671', 'BIDD:ER0649', 'CHEMBL46557', 'DTXSID8026193', 'CTK0H5324', '1,2,3-Trichlorobenzene, 99%', 'HMS3039D12', 'ZINC404471', 'NSC43432', 'Tox21_202113', 'Tox21_300501', 'ANW-42323', 'CK1107', 'MFCD00000537', 'NSC-43432', 'SBB057512', 'AKOS007930300', 'AS00242', 'LS-1868', 'MCULE-8411730300', 'NCGC00091850-01', 'NCGC00091850-02', 'NCGC00091850-03', 'NCGC00091850-04', 'NCGC00254273-01', 'NCGC00259662-01', '51703-47-0', 'K849', 'SC-74612', 'SMR001370869', 'DB-057010', 'LS-163986', '1,2,3-Trichlorobenzene, analytical standard', 'FT-0606225', 'FT-0606226', 'NS00004401', 'ST50406120', 'EN300-83456', 'C14408', '22996-EP2289896A1', '22996-EP2289965A1', '22996-EP2298828A1', '22996-EP2301924A1', '22996-EP2315502A1', '22996-EP2371831A1', '189049-EP2269986A1', '1,2,3-Trichlorobenzene 100 microg/mL in Isooctane', 'Q1917053', '1,2,3-Trichlorobenzene 10 microg/mL in Acetonitrile', '1,2,3-Trichlorobenzene 10 microg/mL in Cyclohexane', '1,2,3-Trichlorobenzene 1000 microg/mL in Methanol', '1,2,3-Trichlorobenzene 5000 microg/mL in Methanol', '1,2,3-Trichlorobenzene, PESTANAL(R), analytical standard', 'UNII-5K7N3LID79 component RELMFMZEBKVZJC-UHFFFAOYSA-N', 'trichlorobenzene;1,2,3-Trichlorobenzene;1,2,3-trichlorobenzene;1,2,3 Trichlorobenzene']</t>
  </si>
  <si>
    <t>Compound(6895)</t>
  </si>
  <si>
    <t>C6H3Cl3</t>
  </si>
  <si>
    <t>1,2,3-trichloropropane</t>
  </si>
  <si>
    <t>['1,2,3-TRICHLOROPROPANE', '96-18-4', 'Trichlorohydrin', 'Glycerol trichlorohydrin', 'Allyl trichloride', 'Propane, 1,2,3-trichloro-', 'Glyceryl trichlorohydrin', 'NCI-C60220', 'UNII-3MJ7QCK0Z0', 'NSC 35403', 'CCRIS 5874', 'HSDB 1340', 'EINECS 202-486-1', '1,2,3-Trichloro-propane', 'BRN 1732068', '3MJ7QCK0Z0', 'AI3-26040', 'CHEBI:34036', 'DSSTox_CID_1390', 'DSSTox_RID_76132', 'DSSTox_GSID_21390', 'CAS-96-18-4', 'Trichloropropane, 1,2,3-', 'glyceroltrichlorohydrin', '1,3-Trichloropropane', '1,2,3trichloropropane', 'Glycerin trichlorohydrin', 'Propane,2,3-trichloro-', 'ACMC-209s6o', 'EC 202-486-1', 'WLN: G1YG1G', 'SCHEMBL19623', 'KSC494G0L', 'BIDD:ER0690', 'morpholino(4-pyridyl)methanone', 'CHEMBL346933', 'DTXSID9021390', 'CTK3J4305', '1,2,3-Trichloropropane, 99%', 'LS-29', 'BB_SC-00499', 'KS-00000V6B', 'NSC35403', 'ZINC1667602', 'Tox21_202023', 'Tox21_302963', 'ANW-40798', 'BBL010950', 'FCH963930', 'MFCD00000946', 'NSC-35403', 'SBB060982', 'STK802057', 'AKOS005622729', 'MCULE-3839333809', '1,2,3-Trichloropropane, TraceCERT(R)', 'NCGC00090694-01', 'NCGC00090694-02', 'NCGC00090694-03', 'NCGC00256369-01', 'NCGC00259572-01', 'VS-02765', '1,2,3-Trichloropropane, analytical standard', 'FT-0606227', 'NS00006830', 'S0655', 'ST51047067', 'C14400', '28417-EP2380568A1', '1,2,3-Trichloropropane 10 microg/mL in Methanol', 'Q161301', '1,2,3-Trichloropropane 100 microg/mL in Methanol', '1,2,3-Trichloropropane;Propane, 1,2,3-trichloro-;1,2,3-trichloropropane', 'FISH PROJECT 1 (1,2,3-TRICHLOROPROPANE) (1,2,3-TRICHLOROPROPANE)', 'EPA Method 552.3 IS Solution 1,2,3-Trichloropropane 1000 microg/mL in Methanol', 'Propane, 1,2,3-trichloro-, polymer with 1,1-[methylenebis(oxy)]bis[2-chloroethane] and sodium sulfide (Na2(Sx)), reduced']</t>
  </si>
  <si>
    <t>Compound(7285)</t>
  </si>
  <si>
    <t>1,2,3-trichloropropene</t>
  </si>
  <si>
    <t>(Z)-1,2,3-trichloroprop-1-ene</t>
  </si>
  <si>
    <t>['1,2,3-Trichloropropene', '96-19-5', '1-Propene, 1,2,3-trichloro-, (Z)-', 'cis-1,2,3-Trichloro-1-propene', 'Propene, 1,2,3-trichloro-', 'HSDB 888', 'UNII-IK4V4M8E7K', '2,3-Dichloroallyl chloride', '1,2,3-TRICHLORO-1-PROPENE', '1,2,3-Trichlor-1-propene', '1,2,3-trichloroprop-1-ene', 'EINECS 202-487-7', 'NSC 164001', 'IK4V4M8E7K', '1-Propene, 1,2,3-trichloro-', '13116-57-9', '(1Z)-1,2,3-trichloropropene', 'C3H3Cl3', '1,2,3-Trichloropropene, (1Z)-', '1,3-Trichloropropene', 'Propene,2,3-trichloro-', '1,3-Trichloro-1-propene', 'WLN: G1YGU1G', '1,2,3-Trichloropropene;1,2,3-Trichloropropene (TRCP)', '1-Propene,2,3-trichloro-', 'Cis-1,2,3-trichloropropene', 'cis-1,2,3-trichloro-propene', '1,2,3-Trichloropropene, Z-', 'DTXSID70880876', '(Z)-1,2,3-Trichloro-1-propene', 'ZINC1640049', '(1Z)-1,2,3-trichloroprop-1-ene', 'NSC164001', '(1Z)-1,2,3-Trichloro-1-propene', 'AKOS006222331', 'AKOS025310860', 'NE11929', 'NSC-164001', 'S646', 'LS-123550', 'LS-123553', 'NS00003461', 'J-503780', 'Q27280763', 'UNII-764948U3XW component HIILBTHBHCLUER-IWQZZHSRSA-N', '1,2,3-TRICHLOROPROPENE (CIS- AND TRANS- MIXTURE) 95+%']</t>
  </si>
  <si>
    <t>Compound(5370144)</t>
  </si>
  <si>
    <t>C3H3Cl3</t>
  </si>
  <si>
    <t>1,2,3-benzotriazole</t>
  </si>
  <si>
    <t>2H-benzotriazole</t>
  </si>
  <si>
    <t>['1H-Benzotriazole', 'Benzotriazole', '95-14-7', '1H-Benzo[d][1,2,3]triazole', '1,2,3-BENZOTRIAZOLE', '2H-Benzotriazole', '1H-1,2,3-Benzotriazole', 'Azimidobenzene', 'Aziminobenzene', 'Benztriazole', 'Benzisotriazole', 'Benzene azimide', '2,3-Diazaindole', 'Cobratec #99', '1H-Benzotriazol', '1,2-Aminoazophenylene', 'Cobratec 99', '1,2,3-Triaza-1H-indene', '1,2,3-Triazaindene', '1,2,-Aminozophenylene', 'NCI-C03521', 'NSC-3058', 'Benzotriazole (VAN)', 'benzotriazol', '273-02-9', '1,2,3-1h-benzotriazole', 'CCRIS 78', 'U-6233', 'UNII-86110UXM5Y', '2H-benzo[d][1,2,3]triazole', 'CHEBI:75331', '1,2,3-Benztriazole', 'HSDB 4143', 'EINECS 202-394-1', '27556-51-0', 'BRN 0112133', 'AI3-15984', '3H-Benzo[d][1,2,3]triazole', '86110UXM5Y', 'MFCD00005699', 'DSSTox_CID_147', '1H-Benzotriazole, 99%', 'DSSTox_RID_75400', 'DSSTox_GSID_20147', 'BtaH', 'CAS-95-14-7', 'Pseudoazimidobenzene', 'Cobratec 35G', '1,2,3-Benzotriazole,1H-benzo[d][1,2,3]triazole', 'azaindazole', 'aza-indazole', '3uzj', '1 h-benzotriazole', '1,3-Triazaindene', '0CT', '1,3-Benzotriazole', 'cobr atec #99', 'Cobratec No. 99', 'Benzotriazole (BTR)', '1,2-Aminozophenylene', 'PubChem16004', 'ACMC-209ruz', 'Benzotriazole_166_ p', '1H-1,3-Benzotriazole', '1,3-Triaza-1H-indene', '1H-Benzotriazole (VAN8C', 'EC 202-394-1', 'WLN: T56 BMNNJ', 'SCHEMBL8956', '1,2,3-Benzotriazole(BTA)', '4-26-00-00093 (Beilstein Handbook Reference)', 'KSC486M6D', 'MLS002302971', 'CHEMBL84963', '1H-benzo-[1,2,3]triazole', 'DTXSID6020147', 'BDBM36293', 'CTK1A4424', 'CTK3I6661', 'NSC3058', 'Benzotriazole, analytical standard', 'HMS3091M10', 'ZINC332008', 'Benzotriazole, reagent grade, 97%', 'CS-D1407', 'KS-00000K8O', 'STR01561', 'Tox21_201501', 'Tox21_302934', 'ANW-40377', 'BDBM50234613', 'SBB060070', 'STL281967', 'Benzotriazole, ReagentPlus(R), 99%', '1H-Benzotriazole, &gt;=98.0% (N)', 'AKOS000119181', 'AKOS025396849', 'LS-1972', 'MCULE-2848618742', 'PS-3644', 'NCGC00091322-01', 'NCGC00091322-02', 'NCGC00091322-03', 'NCGC00256574-01', 'NCGC00259052-01', 'AK-44446', 'BP-21454', 'SC-15698', 'SMR001252218', 'AB0008382', 'DB-022595', 'B0094', 'BB 0243857', 'FT-0606217', 'FT-0698151', 'ST51046317', 'Benzotriazole, Vetec(TM) reagent grade, 98%', '3334-EP2270010A1', '3334-EP2270113A1', '3334-EP2272828A1', '3334-EP2272935A1', '3334-EP2280000A1', '3334-EP2281563A1', '3334-EP2281818A1', '3334-EP2284920A1', '3334-EP2289883A1', '3334-EP2292586A2', '3334-EP2292593A2', '3334-EP2292597A1', '3334-EP2292611A1', '3334-EP2298753A1', '3334-EP2301918A1', '3334-EP2301921A1', '3334-EP2301924A1', '3334-EP2301926A1', '3334-EP2305651A1', '3334-EP2308562A2', '3334-EP2308839A1', '3334-EP2308840A1', '3334-EP2308849A1', '3334-EP2308850A1', '3334-EP2308854A1', '3334-EP2314575A1', '3334-EP2315502A1', '3334-EP2316459A1', '3334-EP2371811A2', '3334-EP2372804A1', '3334-EP2377847A1', '3334-EP2378585A1', 'Z-2915', '22608-EP2315502A1', '81449-EP2275411A2', '81449-EP2305687A1', 'AB00374479-06', 'AC-907/34124039', 'Q220672', 'W-100172', 'Z57127352', 'F2190-0645']</t>
  </si>
  <si>
    <t>Compound(7220)</t>
  </si>
  <si>
    <t>C6H5N3</t>
  </si>
  <si>
    <t>1,2,4,5-tetramethylbenzene</t>
  </si>
  <si>
    <t>['1,2,4,5-TETRAMETHYLBENZENE', 'Durene', '95-93-2', 'Benzene, 1,2,4,5-tetramethyl-', 'Durol', 'UNII-181426CFYB', 'NSC 6770', 'EINECS 202-465-7', 'p-Xylene, 2,5-dimethyl-', 'AI3-25182', '1,2,4,5-tetramethyl-benzene', 'CHEBI:38978', '181426CFYB', 'DSSTox_CID_9124', 'DSSTox_RID_78675', 'DSSTox_GSID_29124', '1,2,4,5-Tetramethylbenzene, 97+%', 'CAS-95-93-2', 'Duren', 'CCRIS 8660', '2,5-dimethyl-p-xylene', 'ACMC-1ASD5', 'NCIMech_000514', 'BIDD:ER0685', 'CHEMBL1797134', 'DTXSID1029124', 'CTK3I7046', 'NSC6770', 'WLN: 1R B1 D1 E1', 'KS-00000W7A', 'NSC-6770', 'ZINC1295393', 'p-Xylene, 2,5-dimethyl- (7CI)', 'Tox21_201920', 'Tox21_303511', '1,2,4,5-TETRAMETHLYBENZENE', 'ANW-40773', 'MFCD00008528', 'SBB058376', 'STL268879', '1,2,4,5-Tetramethylbenzene, 98%', 'AKOS000119934', 'MCULE-6922205692', 'NCGC00249135-01', 'NCGC00257264-01', 'NCGC00259469-01', 'LS-32180', 'P154', 'SC-75227', 'DB-038211', 'FT-0625629', 'ST50188811', 'C14534', 'Q907919', 'W-100151', '1,2,4,5-Tetramethylbenzene 10 microg/mL in Cyclohexane', 'F0001-2285', 'Z1262246137', 'UNII-5L4Y5PFP1R component SQNZJJAZBFDUTD-UHFFFAOYSA-N', 'Benzene, 1,2,4,5-tetramethyl-;1,2,4,5-tetramethylbenzene;p-xylene', '1,2,4,5-Tetramethylbenzene, Standard for quantitative NMR, TraceCERT(R)']</t>
  </si>
  <si>
    <t>Compound(7269)</t>
  </si>
  <si>
    <t>1,2, 4,5-tetrachlorobenzene</t>
  </si>
  <si>
    <t>1,2,4,5-tetrachlorobenzene</t>
  </si>
  <si>
    <t>['1,2,4,5-TETRACHLOROBENZENE', '95-94-3', 's-Tetrachlorobenzene', 'Benzene, 1,2,4,5-tetrachloro-', 'Benzene tetrachloride', '1,2,4,5-Tetrachlorbenzol', 'RCRA waste number U207', 'UNII-5N27529KGH', 'CCRIS 766', 'Benzene, tetrachloro-', 'HSDB 2733', 'EINECS 202-466-2', 'NSC 27003', 'RCRA waste no. U207', '1,2,4,5-Tetrachlorbenzol [Russian]', 'BRN 1618315', 'AI3-01835', 'CHEBI:36697', '5N27529KGH', '1,2,4,5-Tetrachlorobenzene, 98%', 'DSSTox_CID_4320', 'DSSTox_RID_77368', 'DSSTox_GSID_24320', '12408-10-5', 'CAS-95-94-3', 'PubChem3718', 'Maybridge1_002304', '1,4,5-Tetrachlorobenzene', 'WLN: GR BG DG EG', 'KSC494M2D', 'MLS001055490', 'CHEMBL45428', 'DivK1c_001056', 'SCHEMBL348913', 'Tetrachlorobenzene-1,2,4,5', 'ACMC-209s62', '1,2,4,5-Tetrachloro-Benzene', 'DTXSID7024320', 'CTK3J4621', 'HMS548A16', 'HMS3039K13', 'Tetrachlorobenzene (mixed isomers)', 'ZINC136314', 'ACT09027', 'KS-00000VN3', 'NSC27003', 'EINECS 235-643-8', 'Tox21_201707', 'Tox21_300505', 'ANW-40776', 'MFCD00000549', 'NSC-27003', 'STL483079', 'AKOS009031577', 'AS02944', 'LS-1996', 'MCULE-9570171530', 'NE10032', 'CDS1_000016', 'NCGC00090685-01', 'NCGC00090685-02', 'NCGC00090685-03', 'NCGC00090685-04', 'NCGC00254246-01', 'NCGC00259256-01', '63697-22-3', 'AC-20113', 'AS-13406', 'I104', 'SMR001227186', 'AB0007822', 'DB-057616', 'FT-0606240', 'NS00009991', '1,2,4,5-Tetrachlorobenzene, analytical standard', 'Q2557079', 'W-100149', '1,2,4,5-Tetrachlorobenzene 10 microg/mL in Cyclohexane', '1,2,4,5-Tetrachlorobenzene 100 microg/mL in Methanol', 'UNII-66WII99B89 component JHBKHLUZVFWLAG-UHFFFAOYSA-N', '1,2,4,5-Tetrachlorobenzene, PESTANAL(R), analytical standard', 'Tetrachlorobenzene;1,2,4,5-Tetrachlorobenzene;1,2,4,5-tetrachlorobenzene;1,2,4,5-Tetrachlorbenzol;/ 63697-22-3 1 , 2 , 4 , 5-tetrachlorobenzene']</t>
  </si>
  <si>
    <t>Compound(7270)</t>
  </si>
  <si>
    <t>1,2,4-trimethylbenzene</t>
  </si>
  <si>
    <t>['1,2,4-TRIMETHYLBENZENE', 'Pseudocumene', '95-63-6', 'Pseudocumol', 'Psi-cumene', 'as-Trimethylbenzene', 'Benzene, 1,2,4-trimethyl-', '1,3,4-Trimethylbenzene', 'Uns-trimethylbenzene', '1,2,5-Trimethylbenzene', 'Asymmetrical trimethylbenzene', '.psi.-Cumene', '1,2,4-trimethyl-benzene', 'Benzene, 1,2,5-trimethyl-', 'pseudo-cumene', '1,2,4-Trimethyl benzene', 'NSC 65600', 'UNII-34X0W8052F', 'HSDB 5293', 'EINECS 202-436-9', 'AI3-03976', '1.2.4-TRIMETHYLBENZENE', 'CHEBI:34039', '1,2,4-Trimethylbenzene, 98%', '34X0W8052F', 'DSSTox_CID_1402', 'DSSTox_RID_76140', 'DSSTox_GSID_21402', 'CAS-95-63-6', '95-36-3', '1,2,4-Trimethylbenzene, analytical standard', 'pseudo cumene', 'CCRIS 8146', '1,4-Trimethylbenzene', 'laquo Psiraquo -Cumene', '1,2,4 trimethylbenzene', 'Benzene,2,4-trimethyl-', '1,2,5-trimethyl-benzene', '1,2, 4-Trimethylbenzene', 'ACMC-20ap77', 'EC 202-436-9', 'Trimethyl benzene (Related)', 'BIDD:ER0682', 'ScintiVerse&amp;trade; II Cocktail', 'ScintiVerse&amp;trade; LC Cocktail', 'CHEMBL1797280', 'DTXSID6021402', 'WLN: 1R B1 D1', 'CTK3J0662', 'KS-00000WXY', 'LABOTEST-BB LTBB001896', 'NSC65600', 'ZINC1692473', 'Tox21_200518', 'Tox21_300049', 'MFCD00008527', 'NSC-65600', 'SBB060396', 'STL268868', 'AKOS000120059', '1,2,4-Trimethylbenzene (pseudocumene)', 'AS00262', 'LS-7737', 'MCULE-5935311187', 'NCGC00247891-01', 'NCGC00247891-02', 'NCGC00254118-01', 'NCGC00258072-01', 'PS-11947', 'SC-46730', '1,2,4-Trimethylbenzene (ACD/Name 4.0)', 'FT-0606255', 'NS00006467', 'S0662', 'ST51046585', 'X8415', 'C14533', '213343-EP2380867A1', 'Q376994', '1,2,4-Trimethylbenzene 100 microg/mL in Methanol', 'F0001-2275', 'Z1262252998', 'UNII-A3F3279Q14 component GWHJZXXIDMPWGX-UHFFFAOYSA-N', '1,2,4-Trimethylbenzene, certified reference material, TraceCERT(R)', '1,2,4-Trimethylbenzene;1,2,4-trimethylbenzene;Benzene, 1,2,4-trimethyl-;TRIMETHYLBENZENE', 'XBZ']</t>
  </si>
  <si>
    <t>Compound(7247)</t>
  </si>
  <si>
    <t>1,2,4-trichlorobenzene</t>
  </si>
  <si>
    <t>['1,2,4-trichlorobenzene', '120-82-1', 'Benzene, 1,2,4-trichloro-', 'unsym-Trichlorobenzene', 'Hostetex L-pec', 'Trojchlorobenzen', '1,2,4-Trichlorbenzol', '1,2,4-Trichlorobenzol', '1,3,4-Trichlorobenzene', '1,2,5-Trichlorobenzene', 'as-trichlorobenzene', '1,2,4-trichloro-benzene', 'Trojchlorobenzen [Polish]', 'Trichlorobenzene A', 'NSC 406697', 'UNII-05IQ959M1N', 'CCRIS 5945', 'HSDB 1105', 'EINECS 204-428-0', 'BRN 0956819', 'AI3-07775', 'CHEBI:28222', '05IQ959M1N', '1,2,4-TCB', 'MFCD00000547', '63697-18-7', 'DSSTox_CID_1965', 'DSSTox_RID_76431', 'DSSTox_GSID_21965', '1,2,4-Trichlorobenzene, 99%, pure', 'CAS-120-82-1', '1, 2, 4-Trichlorobenzene', 'Trichlorobenzol', 'Hipochem GM', '1,4-Trichlorobenzol', '1,4-Trichlorobenzene', '1,2,4-triclorobenzene', 'Benzene,2,4-trichloro-', 'ACMC-1B7LJ', 'WLN: GR BG DG', 'bmse000841', 'UN 2321 (Related)', 'Benzene, 1,2,4-trichloro-, radical ion(1-)', 'EC 204-428-0', '2,4-dichlorophenyl chloride', 'SCHEMBL22730', 'ghl.PD_Mitscher_leg0.137', 'KSC356O4N', 'MLS001050173', 'BIDD:ER0328', 'CHEMBL296348', 'DTXSID0021965', 'CTK2F6746', '124-TCB', 'ZINC388208', 'KS-00000V4L', 'Tox21_201311', 'Tox21_300563', 'ANW-17536', 'LS-638', 'NSC406697', 'SBB060225', 'STL481897', 'AKOS000120900', 'MCULE-2714956388', 'NE10031', 'NSC-406697', 'NCGC00090833-01', 'NCGC00090833-02', 'NCGC00090833-03', 'NCGC00090833-04', 'NCGC00254336-01', 'NCGC00258863-01', 'S697', 'SMR001216523', '1,2,4-Trichlorobenzene, anhydrous, &gt;=99%', 'FT-0606243', 'FT-0606251', 'NS00001861', 'ST50406605', '1,2,4-Trichlorobenzene, for HPLC, &gt;=99%', '1,2,4-Trichlorobenzene, for synthesis, 99%', 'C06594', '1,2,4-Trichlorobenzene 100 microg/mL in Hexane', '1,2,4-Trichlorobenzene, ReagentPlus(R), &gt;=99%', 'Benzene,1,2,4-trichloro-,radical ion(1-)(9ci)', 'J-503791', 'Q1876830', '1,2,4-Trichlorobenzene 10 microg/mL in Cyclohexane', '1,2,4-Trichlorobenzene 5000 microg/mL in Methanol', '1,2,4-Trichlorobenzene, UV HPLC spectroscopic, 99.5%', 'F0001-0333', 'Z1262395981', '1,2,4-Trichlorobenzene, PESTANAL(R), analytical standard', 'UNII-5K7N3LID79 component PBKONEOXTCPAFI-UHFFFAOYSA-N', '1,2,4-Trichlorobenzene, certified reference material, TraceCERT(R)', '1,2,4-trichlorobenzene;Benzene, 1,2,4-trichloro-;1,2,4 Trichlorobenzene']</t>
  </si>
  <si>
    <t>Compound(13)</t>
  </si>
  <si>
    <t>1,2-benzenediamine dihydrochloride</t>
  </si>
  <si>
    <t>benzene-1,2-diamine;dihydrochloride</t>
  </si>
  <si>
    <t>['615-28-1', 'o-Phenylenediamine dihydrochloride', '1,2-Phenylenediamine dihydrochloride', '1,2-Benzenediamine, dihydrochloride', 'benzene-1,2-diamine dihydrochloride', 'USAF EK-678', 'UNII-Z16252Z50J', 'HSDB 6232', 'o-Phenylenediamine.2HCl', 'EINECS 210-418-7', '1,2-BENZENEDIAMINE DIHYDROCHLORIDE', 'AI3-50519', 'O-PHENYLENEDIAMINE 2HCL', '1,2-Diaminobenzene Dihydrochloride', 'Z16252Z50J', 'Opd Easy-Tablets', 'o-Phenylenediamine dihydrochloride, 99+%', '1,2-Benzenediamine, hydrochloride (1:2)', 'o-Phenylenediamine dihydrochloride, tablet, 5 mg substrate per tablet', 'MFCD00012966', 'PubChem23346', 'o-phenylenediamine dihcl', 'OPD.2HCl', 'ACMC-209mtk', 'DSSTox_CID_1140', 'DSSTox_RID_75971', 'DSSTox_GSID_21140', 'SCHEMBL39679', 'KSC491Q7R', 'o-phenylenediaminedihydrochloride', 'CHEMBL3183208', 'DTXSID3021140', 'CTK3J1878', 'phenylenediamine bis-hydrochloride', 'KS-000010WH', 'Tox21_200980', '1,2-phenylenediamine bishydrochloride', '7682AF', 'ANW-33846', 'AKOS016353189', 'LS-7652', 'MCULE-6086072969', 'NCGC00258533-01', 'AS-40012', 'CAS-615-28-1', 'SC-47879', 'DB-053918', 'P0171', 'P1144', 'o-Phenylenediamine dihydrochloride, &gt;=99.0% (AT)', 'Q26841263', 'F1905-7101', 'o-Phenylenediamine dihydrochloride, peroxidase substrate', 'o-Phenylenediamine dihydrochloride, tablet, 1 mg substrate per tablet', 'o-Phenylenediamine dihydrochloride, tablet, 10 mg substrate per tablet', 'o-Phenylenediamine dihydrochloride, tablet, 15 mg substrate per tablet', 'o-Phenylenediamine dihydrochloride, tablet, 2 mg substrate per tablet', 'o-Phenylenediamine dihydrochloride, tablet, 20 mg substrate per tablet', 'o-Phenylenediamine dihydrochloride, tablet, 3 mg substrate per tablet', 'o-Phenylenediamine dihydrochloride, tablet, 30 mg substrate per tablet', 'o-Phenylenediamine dihydrochloride, tablet, 4 mg substrate per tablet', 'o-Phenylenediamine dihydrochloride, tablet, 60 mg substrate per tablet']</t>
  </si>
  <si>
    <t>Compound(11990)</t>
  </si>
  <si>
    <t>C6H10Cl2N2</t>
  </si>
  <si>
    <t>1,2-propylene glycol</t>
  </si>
  <si>
    <t>propane-1,2-diol</t>
  </si>
  <si>
    <t>['1,2-propanediol', 'propylene glycol', 'propane-1,2-diol', '57-55-6', '1,2-Propylene glycol', '1,2-dihydroxypropane', '2-Hydroxypropanol', 'Methylethyl glycol', 'Methylethylene glycol', 'Isopropylene glycol', 'Monopropylene glycol', 'Dowfrost', 'Sirlene', 'Trimethyl glycol', '2,3-Propanediol', 'Propylene Glycol USP', 'Solargard P', 'alpha-Propyleneglycol', 'Solar Winter BAN', 'dl-Propylene glycol', 'DL-1,2-Propanediol', 'Ucar 35', 'Sentry Propylene Glycol', '1,2-Propylenglykol', '(RS)-1,2-Propanediol', '(+-)-1,2-Propanediol', 'PG 12', '(+-)-Propylene glycol', 'FEMA No. 2940', 'propylenglycol', 'alpha-Propylene glycol', 'Caswell No. 713', '(+/-)-1,2-propanediol', '1,2-Propylenglykol [German]', 'CCRIS 5929', 'HSDB 174', 'Prolugen', '.alpha.-Propylene glycol', '1,2-(RS)-Propanediol', 'Ilexan P', 'AI3-01898', '1,2-propandiol', 'NSC 69860', 'SDM No. 27', '1,2-propane diol', '1,2-propane-diol', 'EPA Pesticide Chemical Code 068603', 'Propan-1,2-Diol', 'L-1,2-propanediol', 'CHEBI:16997', 'HOCH2CH(OH)Me', 'MeCH(OH)CH2OH', 'EINECS 200-338-0', 'S-(+)-Propylene glycol', '1000PG', 'CH3CH(OH)CH2OH', 'HOCH2CH(OH)CH3', 'MFCD00064272', 'BRN 1340498', '1,2-Propanediol, ACS reagent', '1,2-Propanediol (8CI,9CI)', '1, 2-propanediol', 'NSC-69860', 'LS-1391', 'NCGC00090739-02', '(+/-)-Propylene glycol', 'DSSTox_CID_1206', 'DSSTox_RID_76010', 'DSSTox_GSID_21206', 'General lube', '1,2-Propanediol, 99%, extra pure', 'Propylene Glycol (Propane-1,2-diol)', '1,2-Propanediol, 99+%, for analysis', 'CAS-57-55-6', '1,2 Propanediol', 'S(+)-Propylene glycol', 'All purpose lubricant', 'Polypropylene glycol 1,000', 'Propylene glycol [USP:JAN]', 'Propylene glycol [USAN:JAN]', 'propylene-glycol', 'Aliphatic alcohol', 'Centella Asiatica', 'Chilisa FE', '1.2-propanediol', 'a-Propylene glycol', '1,2 -propanediol', '1,2-propyleneglycol', 'Propylene glycol, USP', 'Average MW 1000', 'Propylene glycol (TN)', 'racemic propylene glycol', 'ACMC-1AMKJ', 'Propylene glycol dl-form', 'racemic 1,2-propanediol', 'JEFFCOOL P150', 'Propylene Glycol 50/50', 'ACMC-209jq5', 'ACMC-209jq6', 'bmse000302', 'Epitope ID:161748', 'EC 200-338-0', 'propylene glycol cefatrizine', 'DSSTox_RID_78594', 'H[OCH(CH3)CH2]nOH', 'Propylene glycol, FCC, FG', 'DSSTox_GSID_27863', '3-01-00-02142 (Beilstein Handbook Reference)', 'KSC269I3T', 'MLS001055394', 'WLN: QY1&amp;1Q', 'Propylene Glycol Reagent Grade', 'CHEMBL286398', 'Propylene glycol (JP17/USP)', 'Glycol, polypropylene (P400)', 'Glycol, polypropylene (P750)', 'Inhibited 1,2-propylene glycol', 'DTXSID0021206', '(.+/-.)-1,2-Propanediol', 'CTK1G9439', 'KS-00000GZH', '1,2-PDO', 'Glycol, polypropylene (P1200)', 'HMS3039O11', 'Propylene Glycol (Fragrance Grade)', 'Propylene Glycol, Industrial Grade', '1,2-Propanediol, LR, &gt;=99%', 'BCP23677', 'HY-Y0921', 'NSC35747', 'NSC35748', 'NSC35749', 'NSC69860', 'Tox21_111003', 'Tox21_201812', 'Tox21_300006', 'Tox21_301441', '1,2-Propanediol, USP, 99.5%', 'ANW-49390', 'BBL011472', 'NSC-35747', 'NSC-35748', 'NSC-35749', 'STL146584', '1,2-Propanediol, analytical standard', '1,2-Propanediol, puriss., 99.5%', 'AKOS000121049', 'AKOS016355793', 'DB01839', 'MCULE-5574440784', 'Poly(propylene glycol) average Mw 400', 'NCGC00090739-01', 'NCGC00090739-03', 'NCGC00090739-04', 'NCGC00254159-01', 'NCGC00255183-01', 'NCGC00259361-01', 'Poly(propylene glycol) average Mw 1000', 'Poly(propylene glycol) average Mw 2000', 'Poly(propylene glycol) average Mw 3000', '1,2-Propanediol, ReagentPlus(R), 99%', '4254-16-4', 'AK-46689', 'AK111153', 'AK158454', 'BP-21014', 'E490', 'SC-16372', 'SMR000677948', 'SY003769', 'SY003770', 'CAS-25322-69-4', 'DB-013280', '1,2-Propanediol, ACS reagent, &gt;=99.5%', '1,2-Propanediol, ReagentPlus(R), &gt;=99%', '432-EP2269978A2', '432-EP2269985A2', '432-EP2269991A2', '432-EP2269996A1', '432-EP2270002A1', '432-EP2270004A1', '432-EP2270005A1', '432-EP2270006A1', '432-EP2270010A1', '432-EP2270101A1', '432-EP2270505A1', '432-EP2272517A1', '432-EP2272537A2', '432-EP2272817A1', '432-EP2272822A1', '432-EP2272832A1', '432-EP2272834A1', '432-EP2272835A1', '432-EP2272841A1', '432-EP2272844A1', '432-EP2272847A1', '432-EP2272848A1', '432-EP2272849A1', '432-EP2274983A1', '432-EP2275102A1', '432-EP2275413A1', '432-EP2275417A2', '432-EP2275469A1', '432-EP2277565A2', '432-EP2277566A2', '432-EP2277567A1', '432-EP2277568A2', '432-EP2277569A2', '432-EP2277570A2', '432-EP2277848A1', '432-EP2277861A1', '432-EP2277865A1', '432-EP2277866A1', '432-EP2277876A1', '432-EP2277877A1', '432-EP2277879A1', '432-EP2277881A1', '432-EP2280001A1', '432-EP2280008A2', '432-EP2280010A2', '432-EP2281816A1', '432-EP2281818A1', '432-EP2281819A1', '432-EP2281823A2', '432-EP2283811A1', '432-EP2284149A1', '432-EP2284150A2', '432-EP2284151A2', '432-EP2284152A2', '432-EP2284153A2', '432-EP2284155A2', '432-EP2284156A2', '432-EP2284157A1', '432-EP2284159A1', '432-EP2284160A1', '432-EP2284162A2', '432-EP2284163A2', '432-EP2284164A2', '432-EP2284165A1', '432-EP2284169A1', '432-EP2284170A1', '432-EP2284172A1', '432-EP2284178A2', '432-EP2284179A2', '432-EP2286812A1', '432-EP2287140A2', '432-EP2287147A2', '432-EP2287148A2', '432-EP2287150A2', '432-EP2287156A1', '432-EP2287160A1', '432-EP2287161A1', '432-EP2287162A1', '432-EP2287163A1', '432-EP2287165A2', '432-EP2287166A2', '432-EP2287167A1', '432-EP2287940A1', '432-EP2289868A1', '432-EP2289871A1', '432-EP2289879A1', '432-EP2289883A1', '432-EP2289890A1', '432-EP2289892A1', '432-EP2289965A1', '432-EP2292227A2', '432-EP2292228A1', '432-EP2292233A2', '432-EP2292280A1', '432-EP2292590A2', '432-EP2292592A1', '432-EP2292593A2', '432-EP2292597A1', '432-EP2292611A1', '432-EP2292612A2', '432-EP2292614A1', '432-EP2292619A1', '432-EP2292620A2', '432-EP2292622A1', '432-EP2295055A2', '432-EP2295399A2', '432-EP2295402A2', '432-EP2295406A1', '432-EP2295408A1', '432-EP2295409A1', '432-EP2295410A1', '432-EP2295411A1', '432-EP2295412A1', '432-EP2295413A1', '432-EP2295415A1', '432-EP2295416A2', '432-EP2295419A2', '432-EP2295426A1', '432-EP2295427A1', '432-EP2295429A1', '432-EP2295430A2', '432-EP2295431A2', '432-EP2295434A2', '432-EP2295437A1', '432-EP2295438A1', '432-EP2295550A2', '432-EP2298731A1', '432-EP2298732A1', '432-EP2298734A2', '432-EP2298735A1', '432-EP2298742A1', '432-EP2298747A1', '432-EP2298748A2', '432-EP2298764A1', '432-EP2298765A1', '432-EP2298766A1', '432-EP2298770A1', '432-EP2298772A1', '432-EP2298775A1', '432-EP2298783A1', '432-EP2298828A1', '432-EP2301534A1', '432-EP2301536A1', '432-EP2301538A1', '432-EP2301912A2', '432-EP2301913A1', '432-EP2301914A1', '432-EP2301916A2', '432-EP2301919A1', '432-EP2301922A1', '432-EP2301924A1', '432-EP2301929A1', '432-EP2301935A1', '432-EP2301936A1', '432-EP2301937A1', '432-EP2301939A1', '432-EP2301983A1', '432-EP2305243A1', '432-EP2305625A1', '432-EP2305636A1', '432-EP2305637A2', '432-EP2305641A1', '432-EP2305642A2', '432-EP2305648A1', '432-EP2305651A1', '432-EP2305658A1', '432-EP2305659A1', '432-EP2305668A1', '432-EP2305671A1', '432-EP2305674A1', '432-EP2305677A1', '432-EP2305678A1', '432-EP2305679A1', '432-EP2305682A1', '432-EP2305683A1', '432-EP2305688A1', '432-EP2305695A2', '432-EP2305696A2', '432-EP2305697A2', '432-EP2305698A2', '432-EP2308479A2', '432-EP2308492A1', '432-EP2308510A1', '432-EP2308562A2', '432-EP2308812A2', '432-EP2308828A2', '432-EP2308832A1', '432-EP2308838A1', '432-EP2308839A1', '432-EP2308840A1', '432-EP2308844A2', '432-EP2308845A2', '432-EP2308846A2', '432-EP2308854A1', '432-EP2308857A1', '432-EP2308858A1', '432-EP2308861A1', '432-EP2308863A1', '432-EP2308865A1', '432-EP2308867A2', '432-EP2308869A1', '432-EP2308870A2', '432-EP2308872A1', '432-EP2308873A1', '432-EP2308874A1', '432-EP2308875A1', '432-EP2308879A1', '432-EP2308926A1', '432-EP2309564A1', '432-EP2311451A1', '432-EP2311453A1', '432-EP2311455A1', '432-EP2311464A1', '432-EP2311494A1', '432-EP2311796A1', '432-EP2311797A1', '432-EP2311798A1', '432-EP2311799A1', '432-EP2311806A2', '432-EP2311807A1', '432-EP2311809A1', '432-EP2311815A1', '432-EP2311816A1', '432-EP2311817A1', '432-EP2311818A1', '432-EP2311821A1', '432-EP2311823A1', '432-EP2311824A1', '432-EP2311829A1', '432-EP2311831A1', '432-EP2311832A1', '432-EP2311833A1', '432-EP2311835A1', '432-EP2311836A1', '432-EP2311837A1', '432-EP2311839A1', '432-EP2311840A1', '432-EP2311842A2', '432-EP2314571A2', '432-EP2314575A1', '432-EP2314577A1', '432-EP2314582A1', '432-EP2314584A1', '432-EP2314586A1', '432-EP2314588A1', '432-EP2314589A1', '432-EP2314590A1', '432-EP2315303A1', '432-EP2316450A1', '432-EP2316452A1', '432-EP2316470A2', '432-EP2316829A1', '432-EP2316831A1', '432-EP2316832A1', '432-EP2316833A1', '432-EP2316834A1', '432-EP2316835A1', '432-EP2316836A1', '432-EP2316837A1', '432-EP2371797A1', '432-EP2371800A1', '432-EP2371809A1', '432-EP2371811A2', '432-EP2372017A1', '432-EP2374454A1', '432-EP2374783A1', '432-EP2374790A1', '432-EP2374792A1', '432-EP2374895A1', '432-EP2377841A1', '432-EP2377849A2', '432-EP2380568A1', '432-EP2380873A1', 'CS-0015917', 'E1520', 'FT-0605030', 'FT-0605236', 'FT-0606483', 'P0485', 'S6258', '1,2-Propanediol, analytical reference material', '1,2-Propanediol, tested according to Ph.Eur.', 'C00583', 'D00078', '1,2-Propanediol, p.a., ACS reagent, 99.5%', '1,2-Propanediol, SAJ first grade, &gt;=99.0%', '15490-EP2295399A2', '15490-EP2305669A1', '15490-EP2305683A1', '15490-EP2311839A1', '15490-EP2314589A1', '15490-EP2316837A1', '55805-EP2287158A1', '55805-EP2298415A1', '55805-EP2305033A1', '55805-EP2308864A1', '69996-EP2308479A2', '98469-EP2275417A2', '98469-EP2284162A2', '98469-EP2284163A2', '98469-EP2284174A1', '98469-EP2301919A1', '98469-EP2374783A1', '98469-EP2377841A1', '98469-EP2380568A1', '1,2-Propanediol, SAJ special grade, &gt;=99.0%', '1,2-Propanediol, Vetec(TM) reagent grade, 98%', '135584-EP2287158A1', '135584-EP2292608A1', 'Propylene Glycol, meets USP testing specifications', 'Q161495', 'J-502273', 'F1908-0071', 'Z1939437503', '1,2-Propanediol, puriss. p.a., ACS reagent, &gt;=99.5% (GC)', 'Propylene glycol, British Pharmacopoeia (BP) Reference Standard', '1,2-(RS)-Propanediol; 1,2-Dihydroxypropane; 1,2-Propylene glycol', 'Poly[oxy(methyl-1,2-ethanediyl)], .alpha.-hydro-.omega.-hydroxy-', 'Propylene glycol, European Pharmacopoeia (EP) Reference Standard', 'Propylene glycol, United States Pharmacopeia (USP) Reference Standard', '1,2-Propanediol, meets analytical specification of Ph. Eur., BP, USP, &gt;=99.5%', 'Propylene glycol, Pharmaceutical Secondary Standard; Certified Reference Material', 'Soybean oil,polymer with benzoic acid,pentaerythritol,phthalic anhydride and propylene glycol']</t>
  </si>
  <si>
    <t>Compound(1030)</t>
  </si>
  <si>
    <t>C3H8O2</t>
  </si>
  <si>
    <t>1- (2-butoxyethoxy) ethanol</t>
  </si>
  <si>
    <t>1-(2-butoxyethoxy)ethanol</t>
  </si>
  <si>
    <t>['1-(2-BUTOXYETHOXY)ETHANOL', 'Ethanol, 1-(2-butoxyethoxy)-', '54446-78-5', '2-butoxyethoxyethanol', 'SCHEMBL1308908', 'DTXSID40866425']</t>
  </si>
  <si>
    <t>Compound(41088)</t>
  </si>
  <si>
    <t>C8H18O3</t>
  </si>
  <si>
    <t>1,2-butylene oxide</t>
  </si>
  <si>
    <t>2-ethyloxirane</t>
  </si>
  <si>
    <t>['1,2-Epoxybutane', '2-Ethyloxirane', '106-88-7', '1,2-Butylene oxide', 'Ethyloxirane', 'Oxirane, ethyl-', 'Epoxybutane', 'Butane, epoxy-', 'Ethylethylene oxide', '1,2-Butene oxide', '1-BUTENE OXIDE', 'Oxirane, 2-ethyl-', '1-Butylene oxide', 'Butene oxide', '1,2-Monoepoxybutane', 'n-Butene-1,2-oxide', 'Ethylene oxide, ethyl-', 'Butane, 1,2-epoxy-', 'alpha-Butylene oxide', 'DL-1,2-Epoxybutane', '2-Ethyl-oxirane', '1,2-butyleneoxide', 'Ethyl ethylene oxide', 'NCI-C55527', '(+-)-2-Ethyloxirane', 'But-1-ene oxide', '1,2-Butene oxide (VAN)', 'NSC 24240', 'CCRIS 1015', 'HSDB 2855', '.alpha.-Butylene oxide', 'EINECS 203-438-2', 'UN3022', 'BRN 0102411', 'CHEBI:82326', '(+-)-Ethyloxirane', 'ethyl oxirane', 'a-butylene oxide', '1,2 epoxybutane', 'Butane,2-epoxy-', 'EBU', '1,2-epoxy butane', '1,2-epoxy-butane', '( -)-Ethyloxirane', '1,2 butylene oxide', '1.2-butylene oxide', '(S)-2-ethyloxirane', 'Epoxybutane, 1,2-', 'racemic 1,2-epoxybutane', 'DSSTox_CID_569', 'ACMC-1AU3S', '(S)-(-)-ButyleneOxide', 'EC 203-438-2', '1,2-Epoxybutane, 99%', 'WLN: T3OTJ B2', 'DSSTox_RID_75663', 'DSSTox_GSID_20569', '(.+/-.)-2-Ethyloxirane', '5-17-01-00056 (Beilstein Handbook Reference)', 'KSC175M9J', '1,2-Epoxybutane, &gt;=99%', '1,2-Butylene oxide, stabilized', 'CHEMBL1378095', 'DTXSID6020569', 'CTK0H5694', 'KS-00000WEW', 'NSC24240', 'Tox21_200207', '7255AF', 'ANW-15453', 'BBL011530', 'LS-408', 'NSC-24240', 'STL146646', 'AKOS000121478', 'AKOS017278428', 'MCULE-8341828978', 'KS-00000X27', 'NCGC00091511-01', 'NCGC00091511-02', 'NCGC00257761-01', 'CAS-106-88-7', '1-Butene oxide, purum, &gt;=99.0% (GC)', 'LS-158343', 'A6421', 'B0719', 'FT-0770886', 'NS00007838', 'C19237', 'Q-200063', 'Q2539029', '(R)-1,2-Epoxybutane;(R)-1,2-Epoxybutane;(R)-Ethyloxirane', '1,2-Butylene oxide, stabilized [UN3022]  [Flammable liquid]', '1,2-Butylene oxide, stabilized [UN3022] [Flammable liquid]', '1,2-EPOXYBUTANE (SEE ALSO BUTYLENE OXIDE CAS 26249-20-7)']</t>
  </si>
  <si>
    <t>Compound(7834)</t>
  </si>
  <si>
    <t>C4H8O</t>
  </si>
  <si>
    <t>1,2-diamino benzene</t>
  </si>
  <si>
    <t>benzene-1,2-diamine</t>
  </si>
  <si>
    <t>['O-PHENYLENEDIAMINE', 'benzene-1,2-diamine', '95-54-5', '1,2-Phenylenediamine', '1,2-Benzenediamine', '1,2-Diaminobenzene', '2-Aminoaniline', 'o-Diaminobenzene', 'Orthamine', 'o-Benzenediamine', 'OPDA', 'ortho-Phenylenediamine', 'o-Phenylene diamine', 'PODA', 'C.I. Oxidation Base 16', 'o-Fenylendiamin', '1,2-Fenylendiamin', '2-Phenylene diamine', 'IK 3', 'CI Oxidation Base 16', 'EK 1700', 'o-Fenylendiamin [Czech]', 'o-phenylendiamine', 'SQ 15500', 'NSC 5354', 'C.I. 76010', '1,2-Fenylendiamin [Czech]', 'CCRIS 508', 'UNII-8B713N8Q0F', 'HSDB 2893', 'phenylene-1,2-dimaine', 'Phenylenediamine, ortho-', 'EINECS 202-430-6', 'MFCD00007721', 'BRN 0606074', 'CI 76010', 'AI3-24343', 'CHEBI:34043', 'NSC5354', '8B713N8Q0F', 'Phenylenediamine, o-, and its salt', 'NCGC00090885-03', 'o-Phenylenediamine, 98%', 'orthophenylenediamine', 'PHENYLENDIAMINE', '1,2-Benzenediamine, hydrochloride (1:2)', 'o-Aminoaniline', 'o-phenylendiamin', 'Phenylene diamine', '2-Amino-aniline', 'ortho-aminoaniline', '0-phenylendiamine', '0-phenylenediamine', '2-aminophenylamine', 'o-phenyl-enediamine', 'o-phenyle-nediamine', 'o-phenylene-diamine', 'ortho-diaminobenzene', '1.2-diaminobenzene', '1,2-phenylendiamine', '1,2 phenylenediamine', '1,2-benzenedi-amine', '1.2-phenylenediamine', 'ortho phenylene diamine', '(2-aminophenyl)-amine', '1,2 phenylene diamine', '1,2-phenylene diamine', '1,2-phenylene-diamine', 'ACMC-209rzd', 'DSSTox_CID_5881', 'WLN: ZR BZ', 'EC 202-430-6', 'NCIMech_000739', 'SCHEMBL6187', 'DSSTox_RID_77958', 'DSSTox_GSID_25881', '1,2-DIAMINO-BENZENE', '4-13-00-00038 (Beilstein Handbook Reference)', 'BIDD:ER0680', 'CHEMBL70582', 'ZINC4316', 'DTXSID3025881', 'SCHEMBL11062175', 'CTK1A4112', 'BCP25295', 'KS-00000YB2', 'NSC-5354', 'STR03001', 'Tox21_400014', 'ANW-40535', 'CCG-35856', 'o-Phenylenediamine, flaked, 99.5%', 'SBB040801', 'STK301816', 'AKOS000119133', 'o-Phenylenediamine, sublimed, &gt;=99%', 'LS-1980', 'MCULE-9134155552', 'NE10509', 'CAS-95-54-5', 'NCGC00090885-01', 'NCGC00090885-02', 'NCGC00090885-04', 'NCGC00090885-05', 'NCGC00090885-06', 'BP-11855', 'H444', 'NCI60_004318', 'SC-26371', '2-Phenylene diamine  (1,2Phenylenediamine)', 'FT-0662537', 'NS00006526', 'P0168', 'P0968', 'P1805', 'ST45061692', 'C14402', 'o-Phenylenediamine, for fluorescence, free base', '33225-EP2276085A1', '33225-EP2284920A1', '33225-EP2292586A2', '33225-EP2295421A1', '33225-EP2298828A1', '33225-EP2299509A1', '33225-EP2301983A1', '33225-EP2305643A1', '33225-EP2311815A1', '33225-EP2371810A1', '33225-EP2371812A1', '33225-EP2372804A1', '33225-EP2378585A1', '80449-EP2280008A2', '80449-EP2292597A1', '80449-EP2298770A1', '80449-EP2305250A1', '177737-EP2277862A2', '177737-EP2280282A1', 'AC-907/25014349', 'o-Phenylenediamine [UN1673] [Keep away from food]', 'Q3596763', 'W-100163', 'o-Phenylenediamine [UN1673]  [Keep away from food]', 'F1908-0114', 'o-Phenylenediamine, tablet, 20 mg substrate per tablet', 'Z1245635791', 'o-Phenylenediamine, Peroxidase substrate, &gt;=98.0%, powder', 'UNII-TJX894Z2PK component GEYOCULIXLDCMW-UHFFFAOYSA-N', 'o-Phenylenediamine, suitable for fluorescence, &gt;=99.0% (NT)']</t>
  </si>
  <si>
    <t>Compound(7243)</t>
  </si>
  <si>
    <t>C6H8N2</t>
  </si>
  <si>
    <t>1,2-dibromo-2,4-dicyanobutane</t>
  </si>
  <si>
    <t>2-bromo-2-(bromomethyl)pentanedinitrile</t>
  </si>
  <si>
    <t>['1,2-Dibromo-2,4-dicyanobutane', 'Bromothalonil', '35691-65-7', 'Methyldibromo glutaronitrile', '2-BROMO-2-(BROMOMETHYL)PENTANEDINITRILE', 'Methyldibromoglutaronitrile', 'Tektamer 38', 'BBMG', 'MDBGN', 'Tektamer', '2-Bromo-2-(bromomethyl)glutaronitrile', 'Metacide 38', 'Tektamer 38AD', 'DBDCB', 'Tuopai DM 01', 'Pentanedinitrile, 2-bromo-2-(bromomethyl)-', 'Caswell No. 114G', '1-Bromo-1-(bromomethyl)-1,3-propanedicarbonitrile', 'MDGN', 'Glutaronitrile, 2-bromo-2-(bromomethyl)-', 'HSDB 7313', 'EINECS 252-681-0', 'EPA Pesticide Chemical Code 111001', '2-Bromo-2-(bromomethyl) glutaronitrile', '2-Bromo-2-(bromomethyl) pentanedinitrile', 'CHEBI:62823', '2-Bromo-2-bromomethylglutaronitrile', 'W-106657', 'CCRIS 9475', 'DSSTox_CID_4944', 'DSSTox_RID_77593', 'DSSTox_GSID_24944', 'SCHEMBL154866', 'CHEMBL3188084', 'DTXSID3024944', '2-Bromo-2-bromoethylglutaronitrile', 'ZX-AT016304', 'Tox21_301951', 'MFCD00072483', 'SBB066972', 'METHYLDIBROMO GLU- TARONITRILE', 'AKOS015900574', 'DB14199', 'FCH1320650', 'LS-1232', 'ACM35691657', 'NCGC00255109-01', 'AS-14360', 'CC-02872', 'K861', '2-bromanyl-2-(bromomethyl)pentanedinitrile', '2-Bromo-2-(bromomethyl)pentanedinitrile #', 'CAS-35691-65-7', 'FT-0606348', 'NS00003747', 'Methyldibromoglutaronitrile, analytical standard', 'A822942', 'C-16641', '1-bromo-1-(bromomethyl)propane-1,3-dicarbonitrile', 'Q1972088', 'Methyldibromoglutaronitrile (1,2-Dibromo-2,4-dicyanobutane)', '2-bromo-2-(bromomethyl)pentanedinitrile / 1,2-Dibromo-2,4-dicyanobutane', '2-bromo-2-(bromomethyl)pentanedinitrile;1,2-DIBROMO-2,4-DICYANOBUTANE;2-Bromo-2-(bromomethyl)pentanedinitrile, mixt. with 2-phenoxyethanol']</t>
  </si>
  <si>
    <t>Compound(61948)</t>
  </si>
  <si>
    <t>C6H6Br2N2</t>
  </si>
  <si>
    <t>1,2-dibromo-3-chloropropane</t>
  </si>
  <si>
    <t>['1,2-DIBROMO-3-CHLOROPROPANE', '96-12-8', 'DBCP', '3-Chloro-1,2-dibromopropane', 'Fumazone', 'Dibromochloropropane', 'Nemagon', 'Fumagon', 'Nemabrom', 'Nemafume', 'Nemanax', 'Nemapaz', 'Nemaset', 'Nemazon', 'Fumazone 86', 'Fumazone 86E', 'Nemagon 20', 'Nemagon 20G', 'Nemagon 90', 'Dibromchlorpropan', 'Nemagon Soil Fumigant', 'Propane, 1,2-dibromo-3-chloro-', 'Nemagone', 'Nemanex', '1-Chloro-2,3-dibromopropane', 'BBC 12', 'Fumazon 86', 'NCI-C00500', 'Oxy DBCP', 'BBCP', 'Nemagon 206', '1,2-Dibrom-3-chlor-propan', '1,2-Dibroom-3-chloorpropaan', 'Caswell No. 287', '1,2-Dibromo-3-cloro-propano', 'Nematocide', 'Nematocide EM 12.1', 'Nematocide EM 15.1', 'C3H5Br2Cl', 'OS 1897', 'SD 1897', '1,2-Dibromochloropropane', 'Propane, 1-chloro-2,3-dibromo-', 'Dibromchlorpropan [German]', 'Gro-Tone Nematode Granular', 'RCRA waste number U066', 'NSC 1512', '1,2-Dibromopropyl Chloride', 'CCRIS 215', 'Durham Nematicode EM 17.1', '2,3-Dibromo-1-chloropropane', 'Nematocide Solution EM 17.1', 'HSDB 1629', 'Propane, dibromochloro-', 'EINECS 202-479-3', 'UN2872', 'RCRA waste no. U066', '1,2-Dibrom-3-chlor-propan [German]', '1,2-Dibromo-3-chloropropane (DBCP)', '1,2-Dibroom-3-chloorpropaan [Dutch]', 'EPA Pesticide Chemical Code 011301', 'BRN 1732077', '1,2-Dibromo-3-cloro-propano [Italian]', 'AI3-18445', 'CHEBI:34044', '67708-83-2', 'fumag on', 'CBCP', 'ClCH2CHBrCH2Br', 'DSSTox_CID_413', '3-Chloropropylene Bromide', 'EC 202-479-3', 'WLN: G1YE1E', 'DSSTox_RID_75570', 'DSSTox_GSID_20413', 'SCHEMBL82591', '3-01-00-00250 (Beilstein Handbook Reference)', 'MLS001061196', '1,3-Dibromo-3-chloropropane', 'Propane,2-dibromo-3-chloro-', 'CHEMBL1331743', 'DTXSID3020413', 'CTK3J1957', 'NSC1512', 'HMS3039L07', 'NSC-1512', 'ZX-AT010184', 'Tox21_200382', 'ANW-42387', 'OR1177', '1,2-Dibromo-3-chloropropane, 97%', 'AKOS015836028', 'FCH1321852', 'LS-2001', 'MCULE-2454576835', 'VZ26541', 'CAS-96-12-8', 'NCGC00090684-01', 'NCGC00090684-02', 'NCGC00257936-01', 'CC-14598', 'Dibromo-3-chloropropane, 1,2- (DBCP)', 'Dibromochloropropane [UN2872] [Poison]', 'I609', 'SMR000677929', 'Dibromochloropropane [UN2872]  [Poison]', 'DB-057621', 'C0806', 'FT-0606354', 'NS00006746', 'C14336', 'Y-9830', 'C-14021', 'Q161465', '1,2-Dibromo-3-chloropropane 2000 microg/mL in Methanol', '1,2-Dibromo-3-chloropropane, PESTANAL(R), analytical standard', '1,2-dibromo-3-chloropropane;Dibromochloropropane (DBCP);1,2-Dibromo-3-chloropropane']</t>
  </si>
  <si>
    <t>Compound(7280)</t>
  </si>
  <si>
    <t>C3H5Br2Cl</t>
  </si>
  <si>
    <t>1,2-dibromoethane</t>
  </si>
  <si>
    <t>['1,2-Dibromoethane', '106-93-4', 'ETHYLENE DIBROMIDE', 'Ethylene bromide', 'Ethane, 1,2-dibromo-', 'sym-Dibromoethane', 'alpha,beta-Dibromoethane', 'Bromuro di etile', '1,2-Dibromaethan', '1,2-Dibroomethaan', '1,2-Ethylene dibromide', 'Aadibroom', 'Bromofume', 'Sanhyuum', 'Soilbrom', 'Soilfume', 'Celmide', 'Edabrom', 'Kopfume', 'Unifume', 'Nefis', "Dibromure D'ethylene", 'Fumo-gas', 'Glycol Dibromide', 'Iscobrome D', 'Dowfume EDB', 'Soilbrom-90ec', 'alpha,omega-Dibromoethane', 'Soilbrom-40', 'Soilbrom-85', 'Soilbrom-90', 'Dowfume 40', 'Dowfume W-8', 'Pestmaster edb-85', 'Soilbrom-100', 'Aethylenbromid', 'Dwubromoetan', 'Dowfume W-90', 'Dowfume W-100', 'E-D-Bee', 'Rcra waste number U067', '1,2-Dibromoetano', '1,2-Dibromomethane', 'Dowfume W-85', 'Caswell No. 439', 'Dwubromoetan [Polish]', 'EDB-85', 'Aethylenbromid [German]', 'NCI-C00522', 'Bromuro di etile [Italian]', '1,2-Dibromaethan [German]', '1,2-Dibroomethaan [Dutch]', '1,2-Dibromoetano [Italian]', 'CCRIS 295', 'ENT 15,349', 'UNII-1N41638RNO', "Dibromure d'ethylene [French]", 'UN 1605', 'Ethylene dibromide [BSI:ISO]', '1,2-dibromo-ethane', 'HSDB 536', 'EDB', "Dibromure d'ethylene [ISO-French]", 'EINECS 203-444-5', 'UN1605', 'RCRA waste no. U067', 'EPA Pesticide Chemical Code 042002', 'BRN 0605266', '.alpha.,.beta.-Dibromoethane', 'AI3-15349', 'CHEBI:28534', '1N41638RNO', '1,2,Dibromoethane', 'DBE', 'Glycol bromide', 'DSSTox_CID_415', '1,2-Dibromoethane, 99%', 'DSSTox_RID_75571', 'DSSTox_GSID_20415', 'CAS-106-93-4', '1,2 Dibromoethane', 'Dowfume W85', 'Dowfume W 85', 'Dibromoethane, 1,2-', 'ethylenebromide', 'dibromoet hane', 'Garden dowfume', 'ethylenedibromide', '1,2dibromoethane', 'Ethylene  Bromide', '1,2-dibromethane', 'Soilbrome-85', 'Soilbrom 90EC', '1.2-dibromoethane', 'Dibromoethane-1,2', '1,2,-dibromethane', '1, 2-dibromoethane', '1,2 dibromo ethane', '1,2-dibromo ethane', 'BrCH2CH2Br', 'CH2BrCH2Br', '1,2,-dibromo ethane', 'Br(CH2)2Br', 'ACMC-1BNI8', 'EC 203-444-5', 'SCHEMBL1698', '1,2-Dibromoethane, 98%', '4-01-00-00158 (Beilstein Handbook Reference)', 'KSC174M2N', 'BIDD:ER0281', '.alpha.,.omega.-Dibromoethane', 'CHEMBL452370', '1,2-Dibromoethane, &gt;=99%', 'DTXSID3020415', 'CTK0H4626', 'BCP27504', 'KS-00000YT4', 'ZINC8234381', 'Tox21_201427', 'Tox21_302879', 'ANW-15461', 'BBL012210', 'LS-413', 'MFCD00000233', 'SBB040806', 'STL163551', 'AKOS000118755', 'MCULE-7586462642', 'Ethylene dibromide [UN1605] [Poison]', 'NCGC00091279-01', 'NCGC00091279-02', 'NCGC00091279-03', 'NCGC00256607-01', 'NCGC00258978-01', 'BP-13439', 'Ethylene dibromide [UN1605]  [Poison]', 'I812', '5-amino-2H-1,2,4-triazol-3(4H)-one', 'DB-002363', 'D0180', 'FT-0606341', 'FT-0694297', 'ST50214372', '1,2-Dibromoethane 100 microg/mL in Methanol', '1,2-Dibromoethane, purum, &gt;=98.0% (GC)', '1,2-Dibromoethane 1000 microg/mL in Methanol', '1,2-Dibromoethane 5000 microg/mL in Methanol', '6737-EP1441224A2', '6737-EP2298756A1', 'C11088', '20571-EP2270008A1', '20571-EP2272516A2', '20571-EP2275102A1', '20571-EP2275411A2', '20571-EP2277878A1', '20571-EP2280012A2', '20571-EP2284159A1', '20571-EP2287153A1', '20571-EP2289891A2', '20571-EP2292617A1', '20571-EP2298776A1', '20571-EP2305254A1', '20571-EP2305651A1', '20571-EP2308838A1', '20571-EP2308854A1', '20571-EP2308873A1', '20571-EP2311824A1', '20571-EP2314585A1', 'Q161471', 'J-503807', '1,2-Dibromoethane, PESTANAL(R), analytical standard', 'F0001-0129', '1,2-Dibromoethane solution, certified reference material, 200 mug/mL in methanol', '1,2-Dibromoethane solution, certified reference material, 5000 mug/mL in methanol', '1,2-dibromoethane;Ethane, 1,2-dibromo-;Dibromoethane (EDB);ethylene dibromide;Ethane, 1,2-dibromo-, mixt. with 1,2-dichloroethane and tetrachloromethane;N,N-Bis(2,2,6,6-tetramethyl-4-piperidyl)hexamethylenediamine-1,2-dibromoethane, copolymer']</t>
  </si>
  <si>
    <t>Compound(7839)</t>
  </si>
  <si>
    <t>1,2-dimethyl-4-ethylbenzene</t>
  </si>
  <si>
    <t>4-ethyl-1,2-dimethylbenzene</t>
  </si>
  <si>
    <t>['4-Ethyl-o-xylene', '4-ETHYL-1,2-DIMETHYLBENZENE', '934-80-5', '1,2-Dimethyl-4-ethylbenzene', '2-Methyl-p-ethyltoluene', '3,4-Dimethylethylbenzene', 'Benzene, 4-ethyl-1,2-dimethyl-', 'o-Xylene, 4-ethyl-', '1-ethyl-3,4-dimethylbenzene', 'NSC74183', 'EINECS 213-293-7', 'NSC 74183', 'ACMC-209rm3', '4-ETHYL-ORTHO-XYLENE', '3,4-Dimethyl-1-ethylbenzene', '1,2-Dimethyl-4-ethyl benzene', 'o-Xylene, 4-ethyl- (8CI)', 'DTXSID6061317', 'CHEBI:89727', 'CTK8B2716', 'KS-00000O3T', 'ZINC1699567', 'ANW-40057', 'FCH917660', 'NSC-74183', 'SBB061288', 'AKOS006228185', 'DS-5262', 'MCULE-1311626108', 'AK135930', 'AX8097019', 'E0281', 'FT-0691812', 'NS00039565', 'ST51047319', 'C-46478', 'Q27161917']</t>
  </si>
  <si>
    <t>Compound(13629)</t>
  </si>
  <si>
    <t>1,2-diethoxyethane (diethyl glycol)</t>
  </si>
  <si>
    <t>1,2-diethoxyethane</t>
  </si>
  <si>
    <t>['1,2-Diethoxyethane', 'ETHYLENE GLYCOL DIETHYL ETHER', '629-14-1', 'Diethyl cellosolve', 'Ethane, 1,2-diethoxy-', 'Hisolve EME', '3,6-Dioxaoctane', 'Glyme-1', 'Diethyl Glycol', '2-Ethoxyethyl ethyl ether', 'EGDEE', 'Diethylether ethylenglykolu', 'UNII-F99O7F0CYH', 'HSDB 71', '1,2-Ethanediol, diethyl ether', 'Diethylether ethylenglykolu [Czech]', 'EINECS 211-076-1', 'UN1153', 'Ethyleneglycol diethyl ether', 'BRN 1732917', 'F99O7F0CYH', 'AI3-19760', '1,2-Diethoxyethan', 'J-503818', 'Ethylene glycol diethyl ether, 99%', 'Ethyl glyme', '1,2 diethoxyethane', 'Ethylenglykoldiethylether', 'ethyleneglycoldiethylether', 'ethyleneglycol diethylether', 'DSSTox_CID_5285', 'ACMC-1AU26', 'DSSTox_RID_77726', 'DSSTox_GSID_25285', 'SCHEMBL22247', 'KSC353E4R', 'CHEMBL1877517', 'DTXSID5025285', 'CTK2F3248', 'KS-00000VOF', 'ZINC2031604', 'Ethylene glycol diethyl ether, 98%', 'Tox21_200656', 'ANW-34446', 'MFCD00009253', 'AKOS015899579', 'FCH1118715', 'LS-1514', 'UN 1153', 'NCGC00091756-01', 'NCGC00091756-02', 'NCGC00258210-01', 'CAS-629-14-1', 'CC-02909', 'DB-054328', 'D0456', 'FT-0626328', 'NS00004869', '76452-EP2301928A1', '76452-EP2308960A1', '76452-EP2380568A1', '107608-EP2298746A1', '135579-EP2277868A1', '135579-EP2277869A1', '135579-EP2277870A1', '135579-EP2292608A1', '136057-EP2277880A1', '136057-EP2292592A1', '136057-EP2292610A1', 'C-24757', 'Q1223259', 'Ethylenglykoldiethylether;Ethylene glycol diethyl ether', 'Ethylene glycol diethyl ether, technical, &gt;=90% (GC)', 'Ethylene glycol diethyl ether [UN1153] [Flammable liquid]', 'Ethylene glycol diethyl ether [UN1153]  [Flammable liquid]']</t>
  </si>
  <si>
    <t>Compound(12375)</t>
  </si>
  <si>
    <t>C6H14O2</t>
  </si>
  <si>
    <t>1,2-diethylbenzene</t>
  </si>
  <si>
    <t>['1,2-DIETHYLBENZENE', '135-01-3', 'o-Diethylbenzene', 'Benzene, 1,2-diethyl-', 'Benzene, diethyl-', 'Benzene, o-diethyl-', 'Diethylbenzol', '1,2-diethyl-benzene', 'UNII-25HOX6T1LU', 'HSDB 4081', 'EINECS 205-170-1', 'BRN 1904392', '25HOX6T1LU', 'Diethylbenzenes (mixed isomer)', 'EINECS 246-874-9', 'UN2049', 'NSC 405068', 'BRN 1903396', 'AI3-15336', 'DSSTox_CID_7866', 'DSSTox_RID_78595', 'DSSTox_GSID_27866', 'CAS-25340-17-4', 'diethyl benzene', 'Diethylbenzene.', '1,2-diethylbenzol', 'ortho-Diethylbenzene', '3,4-diethylbenzene', '1,2-DiethyIbenzene', '1,2-diethyl benzene', 'ACMC-1CH19', '4-05-00-01065 (Beilstein Handbook Reference)', 'BIDD:ER0356', 'Diethylbenzene (mixed isomers)', 'CHEMBL3186870', 'DTXSID6052742', 'CTK0H9660', 'KS-00000Z6H', 'ZINC2013553', 'Tox21_202258', 'Tox21_303467', 'MFCD00009258', 'AKOS015888421', 'MCULE-2736970809', 'NE10643', 'NCGC00257453-01', 'NCGC00259807-01', '1,2-Diethylbenzene, &gt;=99.0% (GC)', 'LS-29827', 'LS-29829', 'SC-48251', '1,2-Diethylbenzene, technical grade, 92%', 'DB-042262', 'FT-0606393', 'FT-0624880', 'NS00001325', 'Diethylbenzene [UN2049] [Flammable liquid]', '1,2-Diethylbenzene 100 microg/mL in Methanol', 'Diethylbenzene [UN2049]  [Flammable liquid]', 'EC 246-874-9', '4-05-00-01067 (Beilstein Handbook Reference)', 'A806866', 'J-503819', 'Q2429316', 'UNII-9A18Z78Q73 component KVNYFPKFSJIPBJ-UHFFFAOYSA-N', '1,2-Diethylbenzol;o-diethylbenzene;Diethylbenzene;DIETHYLBENZENE;Benzene, diethyl-;diethylbenzene']</t>
  </si>
  <si>
    <t>Compound(8657)</t>
  </si>
  <si>
    <t>1,2-dichlorobenzene</t>
  </si>
  <si>
    <t>['1,2-DICHLOROBENZENE', 'o-Dichlorobenzene', '95-50-1', 'ortho-Dichlorobenzene', 'o-Dichlorbenzol', '2-Dichlorobenzene', 'Chloroben', 'Dilantin DB', 'ODCB', 'Benzene, 1,2-dichloro-', 'o-Dichlorobenzol', 'Orthodichlorobenzol', 'Cloroben', 'Termitkil', 'Dizene', 'o-Dichlorbenzene', 'Dowtherm E', 'o-Dichlor benzol', 'Orthodichlorobenzene', 'Chloroden', 'Special termite fluid', 'Benzene, o-dichloro-', 'Dilatin DB', 'Benzene, dichloro-', '1,2-Dichlorbenzene', 'Dichlorobenzene, o-', 'NCI-C54944', 'o-DCB', 'Caswell No. 301', '1,2-Dichloro-Benzene', 'UNII-6PJ93I88XL', 'NSC 60644', 'Dichlorobenzene, ortho, liquid', 'CCRIS 1360', 'HSDB 521', 'EINECS 202-425-9', 'UN1591', 'ODB', 'RCRA waste no. U070', 'EPA Pesticide Chemical Code 059401', '1,2-Dichlorobenzene (o-dichlorobenzene)', 'DICHLOROBENZENE MIXTURE', 'AI3-00053', '6PJ93I88XL', '25321-22-6', 'CHEBI:35290', 'MFCD00000535', '1, 2-Dichlorobenzene', 'NCGC00090825-01', 'DSSTox_CID_430', 'DSSTox_RID_75581', 'DSSTox_GSID_20430', 'Rotamott', '1,2-Dichlorobenzene, 99%, pure', 'Dichlorobenzenes', 'Dilatin DBI', 'Mott-Ex', 'CAS-95-50-1', '1,2-Dichlorobenzene, 99+%, for HPLC', '1,2 dichlorobenzene', '1,2-Dichlorobenzene, 99+%, for spectroscopy', 'Dichlorobenzene, 1,2-', 'Mottenschutzmittel Evau P', '1,2-Dichlorobenzene, 98+%, Extra Dry, AcroSeal(R)', 'Dichlorobenzol', 'o-dichlorobezene', 'Dichlorobenzene (mixed isomers)', 'HSDB 6372', '0-dichlorobenzene', 'o-Dichlrorobenzene', 'o-dichloro benzene', 'o-dichloro-benzene', '1,2-dichlorobenzen', 'EINECS 246-837-7', 'ortho dichlorobenzene', '1,2-dichiorobenzene', '1.2-dichlorobenzene', '2,3-dichlorobenzene', '3,4-dichlorobenzene', 'Benzene,2-dichloro-', 'Dichlorobenzene, ortho', 'O-CHLOROBENZENE', '1 ,2-dichlorobenzene', '1, 2 dichlorobenzene', '1,2-dichlor-obenzene', '1,2-dichloro benzene', '1,2-Di-chlorobenzene', 'PubChem16667', 'Dichlorobenzene (mixed)', '1,3-Cyclohexadien-5-yne, 1,2-dichloro-', 'DOWTHERM(R) E', 'WLN: GR BG', 'ACMC-209rz4', '1,2-bis(chloranyl)benzene', 'EC 202-425-9', 'o,p-Dichlorobenzene mixture', 'SCHEMBL5190', 'Dichlorobenzene (all isomers)', 'KSC202I4D', 'BENZENE,1,2-DICHLORO', 'BIDD:ER0678', 'ORTHO DI CHLORO BENZENE', 'CHEMBL298461', 'PARAGOS 530105', 'DTXSID6020430', 'CTK1A2441', 'TIMTEC-BB SBB040881', '1-Bromo-3,5-dichlorobenzene-d3', 'LABOTEST-BB LTBB002095', 'LS-53', 'ZINC388506', 'BCP08071', 'KS-00000V2Y', 'NSC60644', 'AKOS BBS-00004357', 'Tox21_111030', 'Tox21_202157', 'Tox21_300046', 'ANW-40526', 'NSC-60644', 'SBB040881', 'STL283948', '1,2-Dichlorobenzene, LR, &gt;=98%', 'AKOS000120142', '1,2-Dichlorobenzene, anhydrous, 99%', 'AM87481', 'AS00250', 'DB13963', 'GF-0116', 'MCULE-4275292262', 'UN 1591', '1,2-Dichlorobenzene, for HPLC, 99%', 'NCGC00090825-02', 'NCGC00090825-03', 'NCGC00253914-01', 'NCGC00259706-01', '1,2-dichlorobenzene ortho-dichlorobenzene', '1,3-Cyclohexadien-5-yne,1,2-dichloro-', '24634-92-2', 'LS-29792', 'SC-54551', 'SC-75282', 'DB-045754', '1,2-Dichlorobenzene, ReagentPlus(R), 99%', 'D1116', 'FT-0606382', 'FT-0606383', 'NS00008007', 'S0668', 'ST50214478', '1,2-Dichlorobenzene, for synthesis, 99.0%', '6344-EP2269995A1', '6344-EP2272832A1', '6344-EP2274983A1', '6344-EP2275403A1', '6344-EP2275411A2', '6344-EP2280005A1', '6344-EP2289868A1', '6344-EP2289884A1', '6344-EP2289896A1', '6344-EP2289897A1', '6344-EP2289965A1', '6344-EP2292597A1', '6344-EP2292604A2', '6344-EP2292606A1', '6344-EP2292619A1', '6344-EP2298731A1', '6344-EP2298763A1', '6344-EP2298770A1', '6344-EP2298828A1', '6344-EP2301924A1', '6344-EP2305649A1', '6344-EP2305658A1', '6344-EP2308838A1', '6344-EP2308857A1', '6344-EP2308926A1', '6344-EP2314581A1', '6344-EP2371831A1', '6344-EP2377610A2', '6344-EP2377611A2', '6414-EP2272849A1', '6414-EP2275409A1', '6414-EP2275469A1', '6414-EP2287940A1', '6414-EP2289965A1', '6414-EP2295428A2', '6414-EP2298745A1', '6414-EP2298828A1', '6414-EP2301983A1', '6414-EP2305219A1', '6414-EP2308926A1', '6414-EP2309564A1', '6414-EP2309584A1', 'C14328', 'M-6062', '1,2-Dichlorobenzene 100 microg/mL in Methanol', '13942-EP2269986A1', '13942-EP2277858A1', '13942-EP2287155A1', '13942-EP2292604A2', '13942-EP2295503A1', '13942-EP2305655A2', '13942-EP2314577A1', '13942-EP2314593A1', '13942-EP2316836A1', '33396-EP2280005A1', '33396-EP2289884A1', '33396-EP2292602A1', '33396-EP2298771A2', '33396-EP2311815A1', '72392-EP2308870A2', '1,2-Dichlorobenzene 10 microg/mL in Cyclohexane', '148105-EP2280005A1', '148105-EP2289884A1', '178510-EP2371806A1', '178510-EP2371807A1', 'A845316', 'J-503814', 'o-Dichlorobenzene [UN1591] [Keep away from food]', 'Q2609815', 'o-Dichlorobenzene [UN1591]  [Keep away from food]', '1,2-Dichlorobenzene, PESTANAL(R), analytical standard', 'F1908-0113', 'UNII-F56X88UAJQ component RFFLAFLAYFXFSW-UHFFFAOYSA-N', '1,2-Dichlorobenzene solution, certified reference material, 200 mug/mL in methanol', '1,2-Dichlorobenzene solution, certified reference material, 5000 mug/mL in methanol', '1,2-DICHLOROBENZENE (O-DICHLOROBENZENE) (SEE ALSO: 1,3-DICHLOROBENZENE (541-73-1) &amp; 1,4-DICHLOROBENZENE (106-46-7))', '1,2-Dichlorobenzene solution, NMR reference standard, 1% in acetone-d6 (99.9 atom % D), NMR tube size 3 mm x 8 in.', '1,2-Dichlorobenzene solution, NMR reference standard, 5% in acetone-d6 (99.9 atom % D), NMR tube size 5 mm x 8 in.', 'YAN']</t>
  </si>
  <si>
    <t>Compound(7239)</t>
  </si>
  <si>
    <t>C6H4Cl2</t>
  </si>
  <si>
    <t>1,2-dichloroethane</t>
  </si>
  <si>
    <t>['1,2-dichloroethane', 'Ethylene dichloride', '107-06-2', 'Ethylene chloride', 'Ethane, 1,2-dichloro-', 'Dichloroethylene', 'Dutch liquid', 'Dutch oil', 'Ethane dichloride', 'Glycol dichloride', 'Aethylenchlorid', 'Dichloro-1,2-ethane', 'Dichloremulsion', '1,2-Dichlorethane', 'Brocide', "Bichlorure D'ethylene", 'Borer sol', 'Di-chlor-mulsion', '1,2-DCE', 'Freon 150', 'sym-Dichloroethane', 'alpha,beta-Dichloroethane', 'EDC (halocarbon)', '1,2-Ethylene dichloride', 'Destruxol borer-sol', '1,2-Bichloroethane', 'Dichlor-Mulsion', '2-Dichloroethane', 'Ethyleendichloride', 'Cloruro di ethene', 'Rcra waste number U077', '1,2-Dicloroetano', "Chlorure D'ethylene", '1,2-Dichloorethaan', 'DCE', '1,2-Dichlor-aethan', '1, 2-dichloroethane', 'Caswell No. 440', 'EDC', 'Aethylenchlorid [German]', 'Aethylendichlorid', 's-Dichloroethane', 'HCC 150', 'ethylenedichloride', 'NCI-C00511', 'RY Dichloro-1,2-ethane', 'Ethyleendichloride [Dutch]', '1,2-Ethylidene dichloride', 'Cloruro di ethene [Italian]', 'ENT 1,656', '1,2-Dichloorethaan [Dutch]', '1,2-Dichloraethan', '1,2-Dicloroetano [Italian]', 'CCRIS 225', "Chlorure d'ethylene [French]", 'HSDB 65', '1.2-dichloroethane', '1,2-Dichlor-aethan [German]', "Bichlorure d'ethylene [French]", 'Dichloro-1,2-ethane [French]', 'Ethylene dichloride [BSI:ISO]', 'ClCH2CH2Cl', 'UNII-55163IJI47', '1,2-Dichloro-Ethane', "Dichlorure d'ethylene [ISO-French]", 'EINECS 203-458-1', 'MFCD00000963', 'UN1184', 'RCRA waste no. U077', 'EPA Pesticide Chemical Code 042003', '.alpha.,.beta.-Dichloroethane', 'AI3-01656', 'CHEBI:27789', '1,2-Dichlorethan', '55163IJI47', '1,2-Dichloroethane, 99+%, pure', '1,2-Dichloroethane, analytical standard', '1,2-Dichloroethane, 99+%, ACS reagent', '1,2 dichloroethane', "Dichlorure d'ethylene", '1,2-Dichloroethane, 99+%, for spectroscopy', '1,2-Dichloroethane 100 microg/mL in Methanol', 'Dichloroethane, 1,2-', '1,2-Dichloroethane, 99+%, for spectroscopy ACS', '1,2-Dichloroethane, 99.8%, Extra Dry, AcroSeal(R)', 'ethylenechloride', 'ethylendichloride', 'alpha,Bet', 'dichloro ethylene', 'ethylene-chloride', '1,2-Dichloroethane, 99.5%, Extra Dry over Molecular Sieve, AcroSeal(R)', 'ethylene dichoride', '1,2dichlorethane', '1,2dichloroethane', 'ehtylene dichloride', 'Ethane, dichloro-', '1,2 dichlorethane', '1,2 dichoroethane', '1,2-dichloroetane', '1,2-dichloroethan', '1,2-dichoroethane', '1,2-dicloroethane', '1,2-dichioroethane', 'destruxol borer- sol', '1,2-dichloroetharie', '1 ,2-dichloroethane', '1, 2 dichloroethane', '1,2 -dichloroethane', '1,2 dichloro ethane', '1,2,-dichloroethane', '1,2- dichloroethane', '1,2-di-chloroethane', '1,2-dichloro ethane', '1.2-di-chloroethane', 'CH2ClCH2Cl', '1,2-ethylenedichloride', 'ClCH2-CH2Cl', 'dichloro-1, 2-ethane', 'C1CH2CH2Cl', 'ClCH2CH2C1', 'EDC, JMAF', 'Cl(CH2)2Cl', 'DSSTox_CID_438', '12-DICHLOROETHANE', 'alpha, beta-dichloroethane', 'ACMC-1BV6R', 'bmse000568', 'EC 203-458-1', 'DSSTox_RID_75587', 'DSSTox_GSID_20438', 'KSC492S6F', 'CHEMBL16370', '1,2-Dichloroethane, for HPLC', 'Ethylene dichloride, BSI, ISO', 'DTXSID6020438', 'CTK3J2962', 'Dichloroethane Reagent Grade ACS', 'KS-00000UMQ', '1,2-Dichloroethane, ACS reagent', 'ZINC8220695', 'Tox21_202466', '1,2-Dichloroethane, LR, &gt;=99%', 'ANW-15475', 'LS-425', 'SBB040805', 'STL264187', 'AKOS000120021', 'DB03733', 'MCULE-3493741440', 'UN 1184', '1,2-Dichloroethane, AR, &gt;=99.5%', '1,2-Dichloroethane, anhydrous, 99.8%', 'NCGC00091763-01', 'NCGC00091763-02', 'NCGC00091763-03', 'NCGC00260015-01', 'CAS-107-06-2', 'SC-22798', '1,2-Dichloroethane, for HPLC, 99.8%', '1,2-Dichloroethane, 99.8+%, extra pure', '1,2-Dichloroethane, ACS reagent, &gt;=99%', '1,2-Dichloroethane, ReagentPlus(R), 99%', '1,2-Dichloroethane, for HPLC, &gt;=99.8%', 'D0310', 'D0364', 'E0289', 'FT-0626325', 'FT-0771283', 'NS00004126', 'R 150', 'ST50214371', '1,2-Dichloroethane 10 microg/mL in Methanol', '1,2-Dichloroethane, ACS reagent, &gt;=99.0%', '7816-EP2269977A2', '7816-EP2269978A2', '7816-EP2269985A2', '7816-EP2269986A1', '7816-EP2269988A2', '7816-EP2269989A1', '7816-EP2269991A2', '7816-EP2269993A1', '7816-EP2269995A1', '7816-EP2270006A1', '7816-EP2270895A2', '7816-EP2272509A1', '7816-EP2272516A2', '7816-EP2272517A1', '7816-EP2272825A2', '7816-EP2272832A1', '7816-EP2272835A1', '7816-EP2275105A1', '7816-EP2275404A1', '7816-EP2275414A1', '7816-EP2275420A1', '7816-EP2275469A1', '7816-EP2277848A1', '7816-EP2277858A1', '7816-EP2277867A2', '7816-EP2277878A1', '7816-EP2278637A1', '7816-EP2280000A1', '7816-EP2280003A2', '7816-EP2280005A1', '7816-EP2280006A1', '7816-EP2280007A1', '7816-EP2280008A2', '7816-EP2280009A1', '7816-EP2281813A1', '7816-EP2284150A2', '7816-EP2284151A2', '7816-EP2284152A2', '7816-EP2284153A2', '7816-EP2284155A2', '7816-EP2284156A2', '7816-EP2284157A1', '7816-EP2284164A2', '7816-EP2284172A1', '7816-EP2284174A1', '7816-EP2286811A1', '7816-EP2287140A2', '7816-EP2287148A2', '7816-EP2287150A2', '7816-EP2287165A2', '7816-EP2287166A2', '7816-EP2287940A1', '7816-EP2289884A1', '7816-EP2289891A2', '7816-EP2289892A1', '7816-EP2289894A2', '7816-EP2289965A1', '7816-EP2292592A1', '7816-EP2292619A1', '7816-EP2292620A2', '7816-EP2292621A1', '7816-EP2295406A1', '7816-EP2295410A1', '7816-EP2295414A1', '7816-EP2295415A1', '7816-EP2295417A1', '7816-EP2295419A2', '7816-EP2295426A1', '7816-EP2295427A1', '7816-EP2295432A1', '7816-EP2295441A2', '7816-EP2298729A1', '7816-EP2298731A1', '7816-EP2298738A1', '7816-EP2298743A1', '7816-EP2298744A2', '7816-EP2298747A1', '7816-EP2298750A1', '7816-EP2298756A1', '7816-EP2298764A1', '7816-EP2298765A1', '7816-EP2298766A1', '7816-EP2298767A1', '7816-EP2298768A1', '7816-EP2298770A1', '7816-EP2298772A1', '7816-EP2298777A2', '7816-EP2298778A1', '7816-EP2298828A1', '7816-EP2299785A1', '7816-EP2301922A1', '7816-EP2301934A1', '7816-EP2301983A1', '7816-EP2305633A1', '7816-EP2305637A2', '7816-EP2305641A1', '7816-EP2305647A1', '7816-EP2305648A1', '7816-EP2305651A1', '7816-EP2305660A1', '7816-EP2305676A1', '7816-EP2305682A1', '7816-EP2305687A1', '7816-EP2305695A2', '7816-EP2305696A2', '7816-EP2305697A2', '7816-EP2305698A2', '7816-EP2306788A1', '7816-EP2306789A1', '7816-EP2308562A2', '7816-EP2308812A2', '7816-EP2308828A2', '7816-EP2308838A1', '7816-EP2308839A1', '7816-EP2308848A1', '7816-EP2308849A1', '7816-EP2308850A1', '7816-EP2308854A1', '7816-EP2308857A1', '7816-EP2308861A1', '7816-EP2308865A1', '7816-EP2308867A2', '7816-EP2308869A1', '7816-EP2308870A2', '7816-EP2308872A1', '7816-EP2308873A1', '7816-EP2308879A1', '7816-EP2308880A1', '7816-EP2308926A1', '7816-EP2309564A1', '7816-EP2311808A1', '7816-EP2311811A1', '7816-EP2311814A1', '7816-EP2311824A1', '7816-EP2311829A1', '7816-EP2314295A1', '7816-EP2314578A1', '7816-EP2314581A1', '7816-EP2314585A1', '7816-EP2314587A1', '7816-EP2314593A1', '7816-EP2316829A1', '7816-EP2316905A1', '7816-EP2316906A2', '7816-EP2371811A2', '7816-EP2374454A1', '7816-EP2380568A1', 'C06752', '1,2-Dichloroethane 1000 microg/mL in Methanol', '10084-EP2270004A1', '10084-EP2270005A1', '10084-EP2270009A1', '10084-EP2272509A1', '10084-EP2272517A1', '10084-EP2272537A2', '10084-EP2272825A2', '10084-EP2272838A1', '10084-EP2272839A1', '10084-EP2272840A1', '10084-EP2275105A1', '10084-EP2277865A1', '10084-EP2281563A1', '10084-EP2281818A1', '10084-EP2284172A1', '10084-EP2284174A1', '10084-EP2287153A1', '10084-EP2289890A1', '10084-EP2289894A2', '10084-EP2292628A2', '10084-EP2295402A2', '10084-EP2295410A1', '10084-EP2295412A1', '10084-EP2295413A1', '10084-EP2295432A1', '10084-EP2295439A1', '10084-EP2298312A1', '10084-EP2298743A1', '10084-EP2298744A2', '10084-EP2298752A1', '10084-EP2298770A1', '10084-EP2298776A1', '10084-EP2301536A1', '10084-EP2301538A1', '10084-EP2302382A2', '10084-EP2302383A2', '10084-EP2305250A1', '10084-EP2305643A1', '10084-EP2305647A1', '10084-EP2305648A1', '10084-EP2305660A1', '10084-EP2305682A1', '10084-EP2305808A1', '10084-EP2308844A2', '10084-EP2308845A2', '10084-EP2308846A2', '10084-EP2308851A1', '10084-EP2308861A1', '10084-EP2308879A1', '10084-EP2308880A1', '10084-EP2308960A1', '10084-EP2311455A1', '10084-EP2311808A1', '10084-EP2311825A1', '10084-EP2311829A1', '10084-EP2311840A1', '10084-EP2316470A2', '10084-EP2316831A1', '10084-EP2316835A1', '10084-EP2371811A2', '10084-EP2374791A1', '10084-EP2377849A2', '10662-EP2281821A1', '10662-EP2301544A1', '10662-EP2316452A1', '30216-EP2284169A1', '30216-EP2287161A1', '30216-EP2287162A1', '30216-EP2295424A1', '30216-EP2295429A1', '30216-EP2308874A1', '30216-EP2311464A1', '38093-EP2269978A2', '38093-EP2269985A2', '38093-EP2269991A2', '38093-EP2284150A2', '38093-EP2284151A2', '38093-EP2284152A2', '38093-EP2284153A2', '38093-EP2284155A2', '38093-EP2284156A2', '38093-EP2284164A2', '38093-EP2287140A2', '38093-EP2287148A2', '38093-EP2287150A2', '38093-EP2289871A1', '38093-EP2295419A2', '38093-EP2298776A1', '38093-EP2305637A2', '38093-EP2311796A1', '38093-EP2311797A1', '38093-EP2311798A1', '38093-EP2311799A1', '44969-EP2269977A2', '44969-EP2277848A1', '44969-EP2280006A1', '44969-EP2280008A2', '44969-EP2280012A2', '44969-EP2289894A2', '44969-EP2295410A1', '44969-EP2295414A1', '44969-EP2295426A1', '44969-EP2295427A1', '44969-EP2295432A1', '44969-EP2298743A1', '44969-EP2298770A1', '44969-EP2299785A1', '44969-EP2301922A1', '44969-EP2301939A1', '44969-EP2305648A1', '44969-EP2305679A1', '44969-EP2305682A1', '44969-EP2305695A2', '44969-EP2305696A2', '44969-EP2305697A2', '44969-EP2305698A2', '44969-EP2306788A1', '44969-EP2306789A1', '44969-EP2308867A2', '44969-EP2308870A2', '44969-EP2308879A1', '44969-EP2311818A1', '44969-EP2311825A1', '57205-EP2275422A1', '57205-EP2277868A1', '57205-EP2277869A1', '57205-EP2277870A1', '57205-EP2281861A2', '57205-EP2295422A2', '57205-EP2295436A1', '57205-EP2298749A1', '57205-EP2298769A1', '57205-EP2308878A2', '58409-EP2272825A2', '58409-EP2277875A2', '58409-EP2305682A1', '58409-EP2308879A1', '1,2-Dichloroethane, SAJ first grade, &gt;=99.0%', '122783-EP2280009A1', '122783-EP2295053A1', '218668-EP2377610A2', '218668-EP2377611A2', 'Ethylene dichloride [UN1184] [Flammable liquid]', 'Q161480', '1,2-Dichloroethane, JIS special grade, &gt;=99.5%', 'Ethylene dichloride [UN1184]  [Flammable liquid]', 'J-503815', '1,2-Dichloroethane, anhydrous, ZerO2(TM), 99.8%', '1,2-Dichloroethane, spectrophotometric grade, &gt;=99%', 'UNII-9D6S017631 component WSLDOOZREJYCGB-UHFFFAOYSA-N', '1,2-Dichloroethane, 99.5%, for electronic use (MOS), residue free', '1,2-Dichloroethane, puriss., absolute, over molecular sieve (H2O &lt;=0.005%), &gt;=99.5% (GC)', '52399-93-6']</t>
  </si>
  <si>
    <t>Compound(11)</t>
  </si>
  <si>
    <t>1,2-dichloroethylene</t>
  </si>
  <si>
    <t>1,2-dichloroethene</t>
  </si>
  <si>
    <t>['1,2-Dichloroethene', 'Ethene, 1,2-dichloro-', '1,2-Dichloroethylene', '540-59-0', '1,2-Dichlor-aethen', 'Dichloro-1,2-ethylene', 'Dioform', 'sym-Dichloroethylene', 'Ethylene, 1,2-dichloro-', 'NCI-C56031', 'Ethene, 1,2-dichloro-, (1Z)-', '1,2-Dichlor-aethen [German]', 'CCRIS 6227', 'HSDB 149', 'Dichloro-1,2-ethylene [French]', 'EINECS 208-750-2', 'BRN 1719345', '1,2-Dichloroethene #', '1,2-Dichloroethylene,c&amp;t', 'CHEBI:18882', 'cis &amp; trans 1,2-Dichloroethylene', '1,2-Dichloroethene (mixed isomers)', '1,2-Dichloroethylene (cis &amp; trans)', 'Ethene, dichloro-', 'chlorovinyl chloride', 'ACMC-20alfp', 'Trans-ethylendichloride', 'ACMC-209tcb', 'DSSTox_CID_4991', 'DSSTox_RID_77614', '1,2-DichlorA currencythylen', 'DSSTox_GSID_24991', '2-01-00-00158 (Beilstein Handbook Reference)', '(Z,E)-1,2-Dichloroethylene', 'cis-/trans-1,2-Dichloroethene', 'cis,trans-1,2-Dichloroethylene', 'CHEMBL1385560', 'DTXSID8024991', 'CTK0H5190', 'CTK1G9758', 'cs &amp; trans 1,2-Dichloroethylene', 'Tox21_200774', 'ANW-42297', 'AKOS025243626', 'MCULE-1709740532', '1,2-Dichlorethen;1,2-Dichloroethylene', 'KS-000016A9', 'NCGC00091531-01', 'NCGC00258328-01', 'CAS-540-59-0', 'FT-0604919', 'FT-0690818', 'FT-0696065', 'trans-1,2-Dichloroethylene(stabilizedwithMEHQ)', '72326-EP2305667A2', '72326-EP2308867A2', '72326-EP2308870A2', '146097-EP2380568A1', 'Q161475']</t>
  </si>
  <si>
    <t>Compound(10900)</t>
  </si>
  <si>
    <t>1,2-dichloropropane</t>
  </si>
  <si>
    <t>['1,2-DICHLOROPROPANE', '78-87-5', 'Propylene dichloride', 'Propane, 1,2-dichloro-', 'Propylene chloride', 'Dwuchloropropan', 'Bichlorure de propylene', 'RCRA waste number U083', 'NCI-C55141', 'Caswell No. 324', 'ENT 15,406', 'Dwuchloropropan [Polish]', 'alpha,beta-Dichloropropane', 'NSC 1237', 'CCRIS 951', 'alpha,beta-Propylene dichloride', 'Bichlorure de propylene [French]', 'HSDB 1102', '1,2-Dichloropropane [BSI:ISO]', 'EINECS 201-152-2', 'Dichloro-1,2 propane [ISO-French]', 'UN1279', 'RCRA waste no. U083', 'EPA Pesticide Chemical Code 029002', 'BRN 1718880', 'AI3-15406', '.alpha.,.beta.-Dichloropropane', 'CHEBI:82163', '1,2-DICHLORO-PROPANE', '1,2-Dichloropropane (propylene dichloride)', '1,2-Dichloropropane, 99%', '1,2-Dichloropropane, 98%, pure', '1,2 dichloropropane', 'Dichloro-1,2 propane', 'Dichloropropanes', 'Propylene Chlor ide', '2,3-dichloropropane', 'Propane,2-dichloro-', 'CH3CHClCH2Cl', 'ACMC-1BJNP', 'Dichloropropane, 1,2-', 'DSSTox_CID_448', 'Chlorinated C3 hydrocarbons', 'EC 201-152-2', 'DSSTox_RID_75597', 'DSSTox_GSID_20448', 'SCHEMBL29365', '3-01-00-00225 (Beilstein Handbook Reference)', 'KSC378C9L', 'CHEMBL44641', 'WLN: GY1&amp;1G', 'DTXSID0020448', 'CTK2H8195', 'KS-00000WUI', 'NSC1237', 'CHEBI:142468', 'NSC-1237', 'EINECS 269-914-7', 'Tox21_200362', '.alpha.,.beta.-Propylene dichloride', 'ANW-37233', 'MFCD00000868', 'SBB059979', 'AKOS006220772', 'component of D-D Mixture (Salt/Mix)', 'LS-1758', 'LS40550', 'MCULE-1548912109', 'NE10059', 'CAS-78-87-5', '1,2-Dichloropropane, analytical standard', 'NCGC00091757-01', 'NCGC00091757-02', 'NCGC00257916-01', 'SC-18215', 'DB-056340', 'D0398', 'FT-0606387', 'FT-0612014', 'NS00009881', 'NS00099198', 'ST51046241', 'C19034', '1,2-Dichloropropane 100 microg/mL in Cyclohexane', '1,2-Dichloropropane 10000 microg/mL in Methanol', 'Q161478', '1,2-Dichloropropane [UN1279]  [Flammable liquid]', '1,2-Dichloropropane [UN1279] [Flammable liquid]', 'J-503816', '1,2-Dichloro-Propane;Propane, 1,2-dichloro-;1,2-dichloropropane;1,2-Dichloropropane']</t>
  </si>
  <si>
    <t>Compound(6564)</t>
  </si>
  <si>
    <t>1,2-dichloropropene</t>
  </si>
  <si>
    <t>1,2-dichloroprop-1-ene</t>
  </si>
  <si>
    <t>['1,2-DICHLOROPROPENE', '563-54-2', '1,2-Dichloro-1-propene', '1,2-Dichloropropylene', '1-Propene, 1,2-dichloro-', '1,2-dichloro-prop-1-ene', '(E)-1,2-dichloroprop-1-ene', 'DTXSID2060337', 'CTK5A5021', 'CTK5D2841', '1-Propene,1,2-dichloro- (9CI)', '1-Propene,1,2-dichloro-, (1E)- (9CI)']</t>
  </si>
  <si>
    <t>Compound(11243)</t>
  </si>
  <si>
    <t>1,2-diphenylhydrazine</t>
  </si>
  <si>
    <t>['1,2-DIPHENYLHYDRAZINE', 'Hydrazobenzene', '122-66-7', '1,2-diphenyldiazane', 'Hydrazine, 1,2-diphenyl-', "N,N'-Bianiline", "N,N'-Diphenylhydrazine", 'Hydrazobenzen', 'Benzene, hydrazodi-', '(sym)-Diphenylhydrazine', 'RCRA waste number U109', 'NCI-C01854', 'Hydrazine, diphenyl-', "Benzene, 1,1'-hydrazobis-", 'Hydrazobenzen [Czech]', 'DIPHENYLHYDRAZINE', "1,1'-Hydrazodibenzene", 'UNII-1G3CS09TUK', 'NSC 3510', 'CCRIS 337', 'Symmetrical diphenyl hydrazine', 'HSDB 2882', 'EINECS 204-563-5', 'BRN 0639793', '1G3CS09TUK', 'AI3-15365', 'DSSTox_CID_710', 'DSSTox_RID_75751', 'DSSTox_GSID_20710', '38622-18-3', 'CAS-122-66-7', 'Diphenylhydrazine, 1,2-', 'hydrazobenzol', 'hydrazodibenzene', '1,2-Diphenyldrazine', 'Hydrazine,2-diphenyl-', "N,N'-biphenylhydrazine", 'PubChem16518', 'ACMC-209alo', '1,2-diphenyl-hydrazine', "Benzene,1'-hydrazobis-", 'WLN: RMMR', 'Hydrazobenzene;hydrazobenzene', 'Mr-II-10', 'SCHEMBL51179', '4-15-00-00056 (Beilstein Handbook Reference)', '1,2-Diphenylhydrazine (9CI)', 'CHEMBL558459', 'DTXSID7020710', 'CTK3J2883', 'YBQZXXMEJHZYMB-UHFFFAOYSA-', 'NSC3510', 'BDBM233141', 'NSC-3510', 'ZINC1666823', 'Tox21_202323', 'Tox21_300492', 'ANW-18010', 'LS-670', 'SBB058764', 'STL283944', 'AKOS015889796', 'MCULE-4832667531', 'NCGC00091240-01', 'NCGC00091240-02', 'NCGC00091240-03', 'NCGC00091240-04', 'NCGC00254433-01', 'NCGC00259872-01', 'H567', 'DB-005623', 'FT-0600571', 'FT-0629583', 'NS00023998', 'ST50826965', '1,2-Diphenyldiazane (1,2-Diphenylhydrazine)', 'KS-00001467', '1,2-Diphenylhydrazine, remainder mainly azobenzene', 'A804943', 'Q424993', 'W-108426', 'F0001-0358', '1,2-Diphenylhydrazine, analytical standard, ampule of 100 mg']</t>
  </si>
  <si>
    <t>Compound(31222)</t>
  </si>
  <si>
    <t>C12H12N2</t>
  </si>
  <si>
    <t>1,2-dihydroxybenzene</t>
  </si>
  <si>
    <t>benzene-1,2-diol</t>
  </si>
  <si>
    <t>['pyrocatechol', 'catechol', '120-80-9', '1,2-dihydroxybenzene', '1,2-benzenediol', 'benzene-1,2-diol', 'pyrocatechin', '2-hydroxyphenol', 'o-Benzenediol', 'o-Dihydroxybenzene', 'Pyrocatechine', 'o-Dioxybenzene', 'o-Hydroquinone', 'o-Hydroxyphenol', 'o-Phenylenediol', 'Oxyphenic acid', 'Phthalhydroquinone', 'Fouramine PCH', 'benzenediol', 'Durafur developer C', 'Pelagol Grey C', 'Catechin (phenol)', 'Fourrine 68', 'Benzene, o-dihydroxy-', 'Catechol (phenol)', 'o-Diphenol', 'ortho-Hydroxyphenol', 'Pyrokatechin', 'Pyrokatechol', 'Katechol', 'ortho-Dihydroxybenzene', 'C.I. Oxidation Base 26', 'ortho-Benzenediol', 'ortho-Dioxybenzene', 'ortho-Hydroquinone', 'Katechol [Czech]', 'ortho-Phenylenediol', 'Pyrocatechinic acid', 'NCI-C55856', 'Pyrokatechin [Czech]', 'Pyrokatechol [Czech]', 'CI Oxidation Base 26', 'UNII-LF3AJ089DQ', 'NSC 1573', 'C.I. 76500', 'CCRIS 741', 'Catechol-pyrocatechol', 'HSDB 1436', 'EINECS 204-427-5', 'BRN 0471401', 'LF3AJ089DQ', 'CI 76500', 'AI3-03995', 'CHEMBL280998', 'DTXSID3020257', 'CHEBI:18135', 'MFCD00002188', 'CAQ', 'Catechol, 99+%', 'DSSTox_CID_257', 'DSSTox_RID_75468', 'DSSTox_GSID_20257', 'Phthalic alcohol', 'CAS-120-80-9', 'SMR000326660', 'Benzcatechin', 'Oxyphenate', 'Kachin', 'ortho-diphenol', 'benzene diol', 'ortho-Quinol', 'o Dihydroxybenzene', '4oow', 'alpha-hydroxyphenol', '1,2-benzenedio', 'o-dihydroxy-benzene', 'phenol derivative, 2', '3fw4', '4k7i', 'ACMC-1BTYG', 'Pyrocatechol, &gt;=99%', 'Lopac-C-9510', 'WLN: QR BQ', 'bmse000385', 'EC 204-427-5', '1,2-Dihydroxybenzene, XI', '1,2-Benzenediol; Catechol', 'Lopac0_000280', 'SCHEMBL18351', '12385-08-9', 'KSC177E7T', 'MLS002153385', 'MLS002303022', 'BIDD:ER0327', 'Pyrocatechinic acidPyrocatechol', 'Pyrocatechol, p.a., 99.0%', 'BDBM26188', 'CTK0H7279', 'Durafur Developer CFouramine PCH', 'NSC1573', 'Benzene-1,2-diol (Pyrocatechol)', 'HMS2233A17', 'HMS3260H22', 'HMS3373K16', 'KS-000000NB', 'NSC-1573', 'Tox21_202317', 'Tox21_300153', 'Tox21_500280', 'ANW-17534', 'BBL002408', 'LS-637', 's6305', 'SBB040792', 'STK398651', 'ZINC13512214', 'AKOS000119002', 'CCG-204375', 'DB02232', 'LP00280', 'MCULE-9007211544', 'SDCCGSBI-0050268.P002', 'NCGC00015283-01', 'NCGC00015283-02', 'NCGC00015283-03', 'NCGC00015283-04', 'NCGC00015283-05', 'NCGC00015283-06', 'NCGC00015283-07', 'NCGC00015283-08', 'NCGC00091262-01', 'NCGC00091262-02', 'NCGC00091262-03', 'NCGC00253952-01', 'NCGC00259866-01', 'NCGC00260965-01', 'BP-21156', 'SC-19023', 'Catechol (Pyrocatechol; Benzene-1,2-diol)', 'DB-003770', 'EU-0100280', 'FT-0606411', 'NS00007130', 'P0317', 'P0567', 'ST50214346', 'T7344', '3437-EP2298767A1', '3437-EP2301934A1', '3437-EP2305633A1', '3437-EP2314587A1', 'C 9510', 'C00090', 'C01785', 'C15571', '1,2-Dihydroxybenzene, ReagentPlus(R), &gt;=99%', '28696-EP2314579A1', 'Pyrocatechol, purified by sublimation, &gt;=99.5%', 'A804599', 'AB-131/40235236', 'Q282440', 'SR-01000075791', 'SR-01000075791-1', 'W-109068', 'F0001-0332', 'Pyrocatechol, certified reference material, TraceCERT(R)', 'Z1262246103', 'Pyrocatechol, plant cell culture tested, BioReagent, &gt;=99%, powder', '2H-1-Benzopyran-3,5,7-triol, 2-(3,4-dihydroxyphenyl)-3,4-dihydro-,(2R-trans)-']</t>
  </si>
  <si>
    <t>Compound(289)</t>
  </si>
  <si>
    <t>C6H6O2</t>
  </si>
  <si>
    <t>1,2-dinitrobenzene</t>
  </si>
  <si>
    <t>['1,2-Dinitrobenzene', '528-29-0', 'O-DINITROBENZENE', '1,2-Dinitrobenzol', 'Benzene, 1,2-dinitro-', 'Benzene, o-dinitro-', 'Dinitrobenzene, o-', 'ortho-Dinitrobenzene', '1,2-dinitro-benzene', 'o-Dintrobenzene', 'UNII-35XUO924Y0', 'CCRIS 3091', 'HSDB 4486', 'EINECS 208-431-8', 'NSC 60682', 'AI3-15338', 'CHEBI:34053', '35XUO924Y0', 'DSSTox_CID_4066', 'DSSTox_RID_77278', 'DSSTox_GSID_24066', '25154-54-5', 'CAS-528-29-0', 'Dinitrobenzol', 'PubChem4413', 'WLN: WNR BNW', 'ACMC-1B14O', 'SCHEMBL22566', '1,2-Dinitrobenzene, 97%', 'ghl.PD_Mitscher_leg0.923', 'BIDD:ER0518', 'CHEMBL168075', '1,2-Dinitrobenzene, &gt;=99%', 'DTXSID4024066', 'CTK1A3477', 'Benzene, 1,2-dinitro- (9CI)', 'LABOTEST-BB LTBB004348', 'WT511', '1,2-dinitrobenzene;o-dinitrobenzene', '528-29-0 1,2-Dinitrobenzene', 'ACT12765', 'KS-000010MA', 'NSC60682', 'ZINC4261808', 'Tox21_201580', 'Tox21_300418', 'ANW-31560', 'NSC-60682', 'STL453602', 'TD1044', 'AKOS000120631', 'AS01463', 'CM12263', 'GS-3201', 'LS10285', 'MCULE-7727148464', 'o-Dinitrobenzene [UN1597] [Poison]', '1,2-Dinitrobenzene, analytical standard', 'NCGC00164050-01', 'NCGC00164050-02', 'NCGC00164050-03', 'NCGC00254393-01', 'NCGC00259129-01', 'o-Dinitrobenzene [UN1597]  [Poison]', 'AC-26090', 'LS-29908', 'SC-94846', 'AB0012261', 'D0818', 'FT-0632304', 'NS00009735', '1,2-Dinitrobenzene 10 microg/mL in Methanol', 'EN300-17305', 'A20874', 'C14702', 'S-8111', 'J-200033', 'Q2238767', 'Z56914842', 'UNII-1PRF48770M component IZUKQUVSCNEFMJ-UHFFFAOYSA-N']</t>
  </si>
  <si>
    <t>Compound(10707)</t>
  </si>
  <si>
    <t>C6H4N2O4</t>
  </si>
  <si>
    <t>1,2-epoxyethylbenzene</t>
  </si>
  <si>
    <t>2-phenyloxirane</t>
  </si>
  <si>
    <t>['Styrene oxide', '2-Phenyloxirane', '96-09-3', 'Phenyloxirane', 'Epoxystyrene', 'Phenylethylene oxide', '1,2-Epoxyethylbenzene', 'Oxirane, phenyl-', 'Styrene epoxide', 'Styryl oxide', '(Epoxyethyl)benzene', '1-Phenyloxirane', 'Styrene 7,8-oxide', 'Phenethylene oxide', 'Phenyl oxirane', 'Styreneoxide', 'Epoxyethylbenzene', '1-Phenyl-1,2-epoxyethane', 'Benzene, (epoxyethyl)-', 'oxirane, 2-phenyl-', '1,2-Epoxy-1-phenylethane', 'STYRENE-7,8-OXIDE', '2-phenyl-oxirane', 'Fenyloxiran', 'Epoxyethyl benzene', 'NCI-C54977', 'Fenyloxiran [Czech]', 'alpha,beta-Epoxystyrene', 'NSC 637', '(S)-Phenyloxirane', 'Benzene, (1,2-epoxyethyl)-', 'CCRIS 1268', 'HSDB 2646', 'STYRENE 0XIDE', 'EINECS 202-476-7', 'EP-182', '(1,2-Epoxyethyl)benzene', 'BRN 0108582', '.alpha.,.beta.-Epoxystyrene', 'AI3-18151', 'CHEBI:17907', 'Styrene oxide-d8', 'Styrene oxide, 97+%', 'DSSTox_CID_1286', 'WLN: T3OTJ BR', '(S)-(-)-Styrene oxide', 'DSSTox_RID_76058', 'DSSTox_GSID_21286', '(R)-Styreneoxide', 'CAS-96-09-3', 'styrene oxide, (R)-isomer', 'styrene oxide, (S)-isomer', 'styrene oxide, (+-)-isomer', 'MFCD00066210', 'a,b-Epoxystyrene', 'Phenyloxirane, d8', '2-(phenyl)oxirane', 'racemic phenyloxirane', '(+)-styrene oxide', 'phenyl-ethylene oxide', 'racemic styrene oxide', '(+/-)-Epoxystyrene', 'Styrene oxide, 97%', '(rac) phenylethylenoxide', '1,2-epoxyethyl benzene', 'Styrene oxide, &gt;=97%', 'EC 202-476-7', '(.+/-.)-Styrene oxide', '(+/-)-phenylethylene oxide', 'SCHEMBL21026', '5-17-01-00577 (Beilstein Handbook Reference)', '(+-)-STYRENE OXIDE', 'ACMC-20978q', 'NSC637', 'CHEMBL1605493', 'DTXSID2021286', 'Ethane, 1,2-epoxy-1-phenyl-', '(epoxyethyl)benzene;styrene oxide', 'CTK3I6866', 'NSC-637', 'NSC7582', '(r)-(+)-1,2-epoxyethylbenzene', 'BCP14534', 'KS-00000X4C', 'NSC-7582', 'Tox21_202112', 'Tox21_300110', 'ANW-13656', 'BBL027496', 'c0037', 'MFCD00005121', 'MFCD00064310', 'STL146352', 'AKOS000120666', 'AKOS016843291', 'AC-9510', 'AC-9511', 'LS-2000', 'MCULE-4265681704', 'VC30408', 'NCGC00091674-01', 'NCGC00091674-02', 'NCGC00091674-03', 'NCGC00253978-01', 'NCGC00259661-01', 'BP-21407', 'H390', 'SC-02359', 'SC-65236', 'SY032955', 'SY033347', 'DB-004092', 'A4520', 'E0013', 'FT-0605077', 'FT-0605345', 'FT-0674671', 'FT-0674672', 'NS00008575', 'NS00099135', 'C02083', 'Q413262', 'J-503834', 'F0001-2287']</t>
  </si>
  <si>
    <t>Compound(7276)</t>
  </si>
  <si>
    <t>C8H8O</t>
  </si>
  <si>
    <t>1,2-xylene</t>
  </si>
  <si>
    <t>['O-XYLENE', '1,2-Dimethylbenzene', '1,2-Xylene', 'Ortho-Xylene', '95-47-6', 'o-Xylol', 'o-Methyltoluene', '2-Xylene', 'o-Dimethylbenzene', 'Benzene, 1,2-dimethyl-', '3,4-Xylene', 'o-Xylenes', '1,2-Dimethylbenzol', 'Xylene, o-', 'Benzene, o-dimethyl-', 'Benzene, dimethyl-, chloromethylated', 'NSC 60920', 'CCRIS 905', 'UNII-Z2474E14QP', 'HSDB 134', 'ORTHO XYLENE', 'EINECS 202-422-2', 'BENZENE,1,2-DIMETHYL', 'CHEMBL45005', 'AI3-08197', 'CHEBI:28063', 'Z2474E14QP', 'ortho-dimethylbenzene', 'MFCD00008519', 'o-Xylene, 99%, Extra Dry, AcroSeal(R)', 'orthoxylene', 'dimethyl benzene', 'dimethyl-benzene', '2-Methyltoluene', 'Xylenes ACS', 'Xylene, o-isomer', '1,2-dimethyl-benzene', 'Xylene mixture of isomers', 'o-Xylene, 99%, pure', 'DSSTox_CID_1807', 'ACMC-209rz0', 'bmse000526', 'EC 202-422-2', 'DSSTox_RID_76340', 'o-Xylene, anhydrous, 97%', 'DSSTox_GSID_21807', '68411-84-7', 'KSC174O2H', 'o-Xylene, analytical standard', 'o-Xylene, for HPLC, 98%', 'WLN: 1R B1', 'DTXSID3021807', 'o-Xylene, for synthesis, 98%', 'CTK0H4723', '188l', 'ZINC968282', 'KS-00000W4L', 'NSC60920', 'o-Xylene 10 microg/mL in Methanol', 'Tox21_200658', 'ANW-40522', 'BDBM50008560', 'NSC-60920', 'SBB040816', 'STL264206', 'o-Xylene 100 microg/mL in Methanol', 'AKOS000269058', 'o-Xylene, reagent grade, &gt;=98.0%', 'LS-1976', 'MCULE-2208963094', 'CAS-95-47-6', 'KS-00000V35', 'NCGC00091662-01', 'NCGC00091662-02', 'NCGC00091662-03', 'NCGC00258212-01', 'o-Xylene [UN1307] [Flammable liquid]', 'o-Xylene, spectrophotometric grade, 98%', 'o-Xylene [UN1307]  [Flammable liquid]', 'o-Xylene, SAJ special grade, &gt;=98.5%', '849-EP2269975A2', '849-EP2269977A2', '849-EP2269986A1', '849-EP2269988A2', '849-EP2269989A1', '849-EP2269990A1', '849-EP2269993A1', '849-EP2269997A2', '849-EP2270113A1', '849-EP2270114A1', '849-EP2272516A2', '849-EP2272537A2', '849-EP2272813A2', '849-EP2272822A1', '849-EP2272830A1', '849-EP2272832A1', '849-EP2272841A1', '849-EP2272849A1', '849-EP2272935A1', '849-EP2274983A1', '849-EP2275105A1', '849-EP2275395A2', '849-EP2275403A1', '849-EP2275404A1', '849-EP2275407A1', '849-EP2275409A1', '849-EP2275410A1', '849-EP2275411A2', '849-EP2275414A1', '849-EP2275415A2', '849-EP2275427A1', '849-EP2275469A1', '849-EP2277848A1', '849-EP2277858A1', '849-EP2277865A1', '849-EP2277871A1', '849-EP2277878A1', '849-EP2279750A1', '849-EP2280000A1', '849-EP2280001A1', '849-EP2280005A1', '849-EP2280009A1', '849-EP2280011A1', '849-EP2281810A1', '849-EP2281812A1', '849-EP2281816A1', '849-EP2281818A1', '849-EP2281821A1', '849-EP2284159A1', '849-EP2284160A1', '849-EP2284165A1', '849-EP2284174A1', '849-EP2284920A1', '849-EP2286811A1', '849-EP2287141A1', '849-EP2287152A2', '849-EP2287159A1', '849-EP2287167A1', '849-EP2287940A1', '849-EP2289509A2', '849-EP2289868A1', '849-EP2289876A1', '849-EP2289884A1', '849-EP2289887A2', '849-EP2289888A2', '849-EP2289896A1', '849-EP2289965A1', '849-EP2292227A2', '849-EP2292586A2', '849-EP2292592A1', '849-EP2292593A2', '849-EP2292597A1', '849-EP2292599A1', '849-EP2292606A1', '849-EP2292609A1', '849-EP2292612A2', '849-EP2292624A1', '849-EP2295406A1', '849-EP2295409A1', '849-EP2295412A1', '849-EP2295413A1', '849-EP2295414A1', '849-EP2295421A1', '849-EP2295425A1', '849-EP2295426A1', '849-EP2295427A1', '849-EP2295433A2', '849-EP2295437A1', '849-EP2295438A1', '849-EP2298731A1', '849-EP2298744A2', '849-EP2298747A1', '849-EP2298750A1', '849-EP2298756A1', '849-EP2298763A1', '849-EP2298766A1', '849-EP2298767A1', '849-EP2298768A1', '849-EP2298770A1', '849-EP2298775A1', '849-EP2298777A2', '849-EP2298828A1', '849-EP2301922A1', '849-EP2301924A1', '849-EP2301925A1', '849-EP2301928A1', '849-EP2301934A1', '849-EP2301936A1', '849-EP2301983A1', '849-EP2305625A1', '849-EP2305640A2', '849-EP2305641A1', '849-EP2305642A2', '849-EP2305649A1', '849-EP2305651A1', '849-EP2305655A2', '849-EP2305658A1', '849-EP2305667A2', '849-EP2305668A1', '849-EP2305672A1', '849-EP2305676A1', '849-EP2305677A1', '849-EP2305685A1', '849-EP2305686A1', '849-EP2308471A1', '849-EP2308562A2', '849-EP2308838A1', '849-EP2308840A1', '849-EP2308844A2', '849-EP2308845A2', '849-EP2308846A2', '849-EP2308849A1', '849-EP2308850A1', '849-EP2308853A1', '849-EP2308854A1', '849-EP2308857A1', '849-EP2308858A1', '849-EP2308869A1', '849-EP2308877A1', '849-EP2308926A1', '849-EP2309564A1', '849-EP2311801A1', '849-EP2311802A1', '849-EP2311803A1', '849-EP2311804A2', '849-EP2311808A1', '849-EP2311810A1', '849-EP2311813A1', '849-EP2311815A1', '849-EP2311816A1', '849-EP2311817A1', '849-EP2311826A2', '849-EP2311829A1', '849-EP2311830A1', '849-EP2314558A1', '849-EP2314579A1', '849-EP2314583A1', '849-EP2314584A1', '849-EP2314586A1', '849-EP2314587A1', '849-EP2315502A1', '849-EP2316832A1', '849-EP2316833A1', '849-EP2316836A1', '849-EP2371795A1', '849-EP2371797A1', '849-EP2371798A1', '849-EP2371800A1', '849-EP2371804A1', '849-EP2371805A1', '849-EP2371810A1', '849-EP2371814A1', '849-EP2371831A1', '849-EP2374783A1', '849-EP2374895A1', '849-EP2377841A1', '849-EP2377845A1', '849-EP2377847A1', '849-EP2380568A1', '849-EP2380873A1', 'FT-0645147', 'FT-0688168', 'NS00007915', 'S0650', 'ST50214390', 'o-Xylene, puriss. p.a., &gt;=99.0% (GC)', 'C07212', '15074-EP2272813A2', '15074-EP2275395A2', '15074-EP2316832A1', '15074-EP2316833A1', '15074-EP2380867A1', '15075-EP2272813A2', '15075-EP2275395A2', '15075-EP2316832A1', '15075-EP2316833A1', '28308-EP2272813A2', '28308-EP2275395A2', '28308-EP2280005A1', '28308-EP2289884A1', '28308-EP2298738A1', '28308-EP2305625A1', '28308-EP2309584A1', '28308-EP2314577A1', '28308-EP2371831A1', '28308-EP2380568A1', '77824-EP2272846A1', '77824-EP2275422A1', '77824-EP2277868A1', '77824-EP2277869A1', '77824-EP2277870A1', '77824-EP2292608A1', '77824-EP2295436A1', '77824-EP2298076A1', '77824-EP2298077A1', '77824-EP2298749A1', '77824-EP2298762A2', '77824-EP2298769A1', '77824-EP2301353A1', '77824-EP2305031A1', '77824-EP2305034A1', '77824-EP2305035A1', '77824-EP2308866A1', '77824-EP2371823A1', '77824-EP2374791A1', 'Q2988108', 'F1908-0112', 'UNII-D856J1047R component CTQNGGLPUBDAKN-UHFFFAOYSA-N', 'o-Xylene, Pharmaceutical Secondary Standard; Certified Reference Material', 'Xy']</t>
  </si>
  <si>
    <t>Compound(7237)</t>
  </si>
  <si>
    <t>C8H10</t>
  </si>
  <si>
    <t>1,3,3-trimethyloxindole</t>
  </si>
  <si>
    <t>1,3,3-trimethylindol-2-one</t>
  </si>
  <si>
    <t>['20200-86-6', '2-Indolinone, 1,3,3-trimethyl-', '2H-Indol-2-one, 1,3-dihydro-1,3,3-trimethyl-', '1,3,3-Trimethyloxindole', '1,3,3-trimethylindolin-2-one', 'SCHEMBL1260714', '1,3,3-Trimethylindoline-2-one', 'CTK0J9245', 'DTXSID50174048', 'ZINC5456554', '1,3,3-trimethyl-1H-indol-2-one', 'AKOS022666919', '1,3,3-Trimethyl-1,3-dihydro-2H-indol-2-one', '1,3,3-Trimethyl-1,3-dihydro-2H-indol-2-one #']</t>
  </si>
  <si>
    <t>Compound(30001)</t>
  </si>
  <si>
    <t>C11H13NO</t>
  </si>
  <si>
    <t>1- (3,4-dichlorophenyl)-3-methylurea</t>
  </si>
  <si>
    <t>1-(3,4-dichlorophenyl)-3-methylurea</t>
  </si>
  <si>
    <t>['Monomethyldiuron', '1-(3,4-Dichlorophenyl)-3-methylurea', '3567-62-2', 'N-Demethoxylinuron', '1-(3,4-dichlorophenyl)-3-methyl urea', 'Dcpmu', "N-(3,4-Dichlorophenyl)-N'-methylurea", 'Diuron-desmonomethyl', 'diuron-desmethyl', 'UNII-Z19W74Z2N4', 'BRN 2805599', "Urea, N-(3,4-dichlorophenyl)-N'-methyl-", '3-(3,4-Dichlorophenyl)-1-methylurea', 'CHEBI:83466', 'Z19W74Z2N4', "N-methyl-N'-(3',4'-dichlorophenyl)-urea", 'Urea, 1-(3,4-dichlorophenyl)-3-methyl- (6CI,7CI,8CI)', 'N-Demethoxy Linuron', 'Desmethyldiuron', 'Desmethoxy-linuron', 'Diuron DCPMU', '1-Methyl-3-(3,4-dichlorophenyl)urea', "N-Methyl-N'-(3,4-dichlorophenyl)urea", 'Urea, 1-(3,4-dichlorophenyl)-3-methyl-', 'DSSTox_CID_22180', 'DSSTox_RID_79945', 'DSSTox_GSID_42180', 'SCHEMBL2893642', 'CHEMBL3181859', 'DTXSID3042180', 'CTK4H5136', 'ZINC396195', 'KS-000000QM', 'Tox21_301892', '3-4-(dichlorophenyl)-3-methyl urea', 'AKOS017100445', 'MCULE-1445161593', '1-(3,4-dichlorophenyl)-3-methyl-uree', "N-methyl-N'-(3,4-dichlorophenyl)-urea", 'NCGC00255937-01', 'AS-56949', 'CAS-3567-62-2', "Urea,N-(3,4-dichlorophenyl)-N'-methyl-", 'LS-159759', 'FT-0665722', 'ST50549344', 'Y1186', "N'-(3,4-DICHLOROPHENYL)-N-METHYLUREA", 'N-(3,4-dichlorophenyl)(methylamino)carboxamide', 'Q27156849', '1-(3,4-Dichlorophenyl)-3-methylurea 100 microg/mL in Acetonitrile']</t>
  </si>
  <si>
    <t>Compound(19113)</t>
  </si>
  <si>
    <t>C8H8Cl2N2O</t>
  </si>
  <si>
    <t>1- (3,4-dichlorophenyl) urea</t>
  </si>
  <si>
    <t>(3,4-dichlorophenyl)urea</t>
  </si>
  <si>
    <t>['1-(3,4-Dichlorophenyl)urea', '2327-02-8', 'diuron-desdimethyl', '(3,4-DICHLOROPHENYL)UREA', '3,4-Dichlorophenylurea', 'N-(3,4-Dichlorophenyl)urea', 'Urea, (3,4-dichlorophenyl)-', 'BRN 2723039', 'CHEBI:83464', 'Urea, N-(3,4-dichlorophenyl)-', 'AI3-61325', '3,4-Dcpu', 'DCPU', '3-4-(dichlorophenyl)-urea', 'DSSTox_CID_21468', 'DSSTox_RID_79745', 'DSSTox_GSID_41468', 'SCHEMBL112841', 'CHEMBL3182746', 'DTXSID2041468', 'Urea,N-(3,4-dichlorophenyl)-', 'CTK4F1210', 'ZINC397310', 'amino-N-(3,4-dichlorophenyl)amide', 'KS-00000LS4', 'Tox21_302258', 'ANW-52318', 'BBL004951', 'HTS000757', 'RW4070', 'STL124166', 'AKOS000156874', 'BS-4153', 'MCULE-8356846621', 'QC-3627', 'NCGC00255466-01', 'AK-32560', 'BR-32560', 'CAS-2327-02-8', 'DB-005586', 'LS-159747', 'AM20060562', 'FT-0634202', 'ST50551148', 'W4708', 'S-3953', '327D028', 'Q27156847', '1-(3,4-Dichlorophenyl)urea 10 microg/mL in Acetonitrile', '1-(3,4-Dichlorophenyl)urea;3,4-DICHLOROPHENYLUREA;Diuron-desdimethyl']</t>
  </si>
  <si>
    <t>Compound(16854)</t>
  </si>
  <si>
    <t>C7H6Cl2N2O</t>
  </si>
  <si>
    <t>1,3,5-tribromo-2- (2,3-dibromo-2-methylpropoxy) benzene</t>
  </si>
  <si>
    <t>1,3,5-tribromo-2-(2,3-dibromo-2-methylpropoxy)benzene</t>
  </si>
  <si>
    <t>['1,3,5-Tribromo-2-(2,3-dibromo-2-methylpropoxy)benzene', '36065-30-2', 'EINECS 252-859-8', 'SCHEMBL11206727', 'CTK1H1600', 'DTXSID50957474', 'ACM36065302', 'NS00057516']</t>
  </si>
  <si>
    <t>Compound(118274)</t>
  </si>
  <si>
    <t>C10H9Br5O</t>
  </si>
  <si>
    <t>1,3,5-trimethylbenzene</t>
  </si>
  <si>
    <t>['MESITYLENE', '1,3,5-Trimethylbenzene', '108-67-8', 'sym-Trimethylbenzene', 'Benzene, 1,3,5-trimethyl-', 'Fleet-X', 'Trimethylbenzol', '3,5-Dimethyltoluene', 's-Trimethylbenzene', '1,3,5-trimethyl-benzene', 'NSC 9273', 'HSDB 92', 'UNII-887L18KQ6X', '2,4,6-trimethylbenzene', 'EINECS 203-604-4', 'UN2325', 'Trimethylbenzene, 1,3,5-', 'AI3-23973', 'CHEBI:34833', '887L18KQ6X', 'Mesitylene, 97%, pure', 'DSSTox_CID_6797', 'DSSTox_RID_78217', 'DSSTox_GSID_26797', 'Mesitylene, 99%, extra pure', 'CAS-108-67-8', 'CCRIS 8147', 'Mesitylene, 98%', 'ACMC-1BSDX', 'Trimethylbenzol (Related)', 'Trimethylbenzene (Related)', '1,3, 5-Trimethylbenzene', 'EC 203-604-4', 'KSC177Q3P', 'BIDD:ER0286', 'Mesitylene (ACD/Name 4.0)', 'Mesitylene, analytical standard', 'CHEMBL1797281', 'DTXSID6026797', 'WLN: 1R C1 E1', 'CTK0H7837', 'KS-00000WGP', 'Mesitylene, reagent grade, 97%', 'NSC9273', 'BENZENE,1,3,5-TRIMETHYL', 'NSC-9273', 'STR03436', 'ZINC1699890', 'Tox21_201452', 'Tox21_300341', 'ANW-15967', 'MFCD00008538', 'SBB060395', 'STL268905', '1,3,5-Trimethylbenzene (Mesitylene)', 'AKOS000120144', 'MCULE-4050779572', 'Mesitylene, purum, &gt;=98.0% (GC)', 'MP-2176', 'UN 2325', 'NCGC00247999-01', 'NCGC00247999-02', 'NCGC00254430-01', 'NCGC00259003-01', 'LS-89876', 'SC-76695', 'FT-0606520', 'NS00004224', 'S0658', 'ST51046584', 'X8424', 'AZ0001-0009', '7720-EP2269986A1', '7720-EP2269995A1', '7720-EP2275469A1', '7720-EP2277878A1', '7720-EP2280005A1', '7720-EP2284165A1', '7720-EP2287940A1', '7720-EP2289868A1', '7720-EP2289884A1', '7720-EP2289965A1', '7720-EP2292593A2', '7720-EP2292597A1', '7720-EP2295406A1', '7720-EP2298767A1', '7720-EP2301918A1', '7720-EP2305649A1', '7720-EP2305668A1', '7720-EP2305676A1', '7720-EP2311804A2', '7720-EP2314587A1', '7720-EP2371831A1', '7720-EP2380568A1', 'C14508', 'A801911', 'Q425161', '1,3,5-Trimethylbenzene 100 microg/mL in Methanol', 'J-002179', 'J-521685', '1,3,5-Trimethylbenzene [UN2325] [Flammable liquid]', '1,3,5-Trimethylbenzene [UN2325]  [Flammable liquid]', 'F0001-0175', 'Mesitylene, certified reference material, TraceCERT(R)', 'Z1262253023', 'UNII-A3F3279Q14 component AUHZEENZYGFFBQ-UHFFFAOYSA-N', 'mesitylene;MESITYLENE;Benzene, 1,3,5-trimethyl-;Tricarbonyl((1,2,3,4,5,6-eta)-1,3,5-trimethylbenzene)chromium;Tricarbonyl((1,2,3,4,5,6-eta)-1,3,5-trimethylbenzene)tungsten']</t>
  </si>
  <si>
    <t>Compound(7947)</t>
  </si>
  <si>
    <t>1,3,5-trichloro- 2,4, 6-trimethyl benzene</t>
  </si>
  <si>
    <t>1,3,5-trichloro-2,4,6-trimethylbenzene</t>
  </si>
  <si>
    <t>['1,3,5-Trichloro-2,4,6-trimethylbenzene', '5324-68-5', 'trichloromesitylene', 'Mesitylene, 2,4,6-trichloro-', 'Benzene, 1,3,5-trichloro-2,4,6-trimethyl-', '2,4,6-Trichloromesitylene', '1,3,5-trichloro-2,4,6-trimethyl-benzene', 'NSC2718', 'Mesitylene,4,6-trichloro-', 'SCHEMBL1004841', '2,6-TRICHLOROMESITYLENE', 'CTK1H3651', 'DTXSID60201339', 'ZINC391371', 'NSC-2718', 'AKOS015962041', 'MCULE-4518072994', '1,5-Trichloro-2,4,6-trimethylbenzene', 'AC-15676', 'Benzene,3,5-trichloro-2,4,6-trimethyl-', 'DB-013758', 'FT-0754374']</t>
  </si>
  <si>
    <t>Compound(138452)</t>
  </si>
  <si>
    <t>C9H9Cl3</t>
  </si>
  <si>
    <t>1,3, 5-trichlorobenzene</t>
  </si>
  <si>
    <t>1,3,5-trichlorobenzene</t>
  </si>
  <si>
    <t>['1,3,5-TRICHLOROBENZENE', '108-70-3', 's-Trichlorobenzene', 'sym-Trichlorobenzene', 'Benzene, 1,3,5-trichloro-', '1,3,5-TRICHLORO-BENZENE', 'UNII-2HS4M0BX3C', 'CCRIS 5946', 'HSDB 132', 'NSC 4389', 'EINECS 203-608-6', '2HS4M0BX3C', 'AI3-22031', 'CHEBI:49916', '1,5-Trichlorobenzene', 'TCB; Trichlorobenzene', 'PubChem23744', '1,3,5-Trichlorbenzol', '2,4,6-trichlorobenzene', 'Benzene,3,5-trichloro-', 'DSSTox_CID_6195', 'Symmetrical trichlorobenzene', 'Trichlorbenzol, 1,3,5-', 'benzene,1,3,5-trichloro-', 'ACMC-1BV03', 'DSSTox_RID_78053', 'DSSTox_GSID_26195', 'KSC176K3T', 'CHEMBL44228', 'SCHEMBL429512', '1,3,5-tris(chloranyl)benzene', 'DTXSID8026195', 'CTK0H6539', 'KS-00000VCL', '1,3,5-Trichlorobenzene, 99%', 'NSC4389', 'ZINC391973', 'EBD10916', 'NSC-4389', 'Tox21_200279', 'ANW-15972', 'LS-468', 'MFCD00000585', 'SBB060226', 'AKOS015888162', 'DB03836', 'MCULE-9710772952', 'NE10039', 'NCGC00091181-01', 'NCGC00091181-02', 'NCGC00257833-01', 'CAS-108-70-3', 'I834', 'PS-10255', 'SC-16080', 'TCZ', '1,3,5-Trichlorobenzene, analytical standard', 'FT-0606508', 'NS00004747', 'ST50406121', '08T703', 'Benzene, 1,3,5-trichloro-, radical ion(1-)', '1,3,5-trichlorobenzene;Trichlorbenzol, 1,3,5-', 'A801916', '1,3,5-Trichlorobenzene 100 microg/mL in Methanol', 'J-503845', 'Q2031856', '1,3,5-Trichlorobenzene 10 microg/mL in Acetonitrile', '1,3,5-Trichlorobenzene 10 microg/mL in Cyclohexane', 'Z1695906707', '1,3,5-Trichlorobenzene, PESTANAL(R), analytical standard', 'UNII-5K7N3LID79 component XKEFYDZQGKAQCN-UHFFFAOYSA-N', '1,3,5-Trichlorobenzene, certified reference material, TraceCERT(R)']</t>
  </si>
  <si>
    <t>Compound(7950)</t>
  </si>
  <si>
    <t>1,3,5-trinitrobenzene</t>
  </si>
  <si>
    <t>['1,3,5-TRINITROBENZENE', '99-35-4', 's-Trinitrobenzene', 'Trinitrobenzene', 'sym-Trinitrobenzene', 'Benzite', 'syn-Trinitrobenzene', 'Trinitrobenzeen', 'Trinitrobenzol', 'Benzene, 1,3,5-trinitro-', 'Benzene, trinitro- (wet)', 'RCRA waste number U234', 'Trinitrobenzeen [Dutch]', 'Trinitrobenzol [German]', 'symmetric Trinitrobenzene', 'Benzene,1,3,5-trinitro-', 'NSC 36931', 'CCRIS 3093', 'TNB', 'UNII-2H75703R1X', 'HSDB 6005', '1,3,5-Trinitrobenzol', 'EINECS 202-752-7', 'UN0214', 'UN1354', 'RCRA waste no. U234', 'AI3-08924', '2H75703R1X', 'Trinitrobenzene, dry or wetted with &lt; 30% water, by mass', '2,4,6-trinitrobenzene', 'Trinitrobenzenes', 'Trinitrobenzene, dry', 'Trinitrobenzene, wet', '1,5-Trinitrobenzene', '1,3,5-trinitro-benzene', 'WLN: WNR CNW ENW', 'Ex241', 'SCHEMBL212845', 'DTXSID6021406', 'CHEBI:48113', 'CTK3J8219', 'KS-000017WG', 'NSC36931', 'NSC-36931', 'ZINC22345669', 'AKOS001092692', 'MCULE-9062988700', 'LS-32258', 'FT-0654261', 'NS00004045', '1,3,5-Trinitrobenzene 10 microg/mL in Methanol', 'C-46443', 'Q420320', 'Trinitrobenzene, wetted with not &lt;30% water, by mass', 'Z57056418', 'Trinitrobenzene, dry or wetted with &lt;30% water, by mass', '(2,4,6-Trinitro-2,5-cyclohexadiene-4-ide)-1-ylradical', '1,3,5-Trinitrobenzene;1,3,5-trinitrobenzene;1,3,5-Trinitrobenzol', '1,3,5-Trinitrobenzene(wettedwithca.40%Water)(unitweightondryweightbasis)', 'Trinitrobenzene, dry or wetted with &lt;30% water, by mass [UN0214]  [Explosive 1.1D]', 'Trinitrobenzene, dry or wetted with &lt;30% water, by mass [UN0214] [Explosive 1.1D]', 'Trinitrobenzene, wetted with not &lt;30% water, by mass [UN1354]  [Flammable solid]', 'Trinitrobenzene, wetted with not &lt;30% water, by mass [UN1354] [Flammable solid]']</t>
  </si>
  <si>
    <t>Compound(7434)</t>
  </si>
  <si>
    <t>C6H3N3O6</t>
  </si>
  <si>
    <t>1,3,5-triallyl isocyanurate</t>
  </si>
  <si>
    <t>1,3,5-tris(prop-2-enyl)-1,3,5-triazinane-2,4,6-trione</t>
  </si>
  <si>
    <t>['TRIALLYL ISOCYANURATE', '1025-15-6', '1,3,5-Triallyl-1,3,5-triazinane-2,4,6-trione', 'Isocyanuric acid triallyl ester', 'Triallylisocyanurate', 'TAIC', '1,3,5-Tri-2-propenyl-1,3,5-triazine-2,4,6(1H,3H,5H)-trione', 'DIAK 7', '1,3,5-Triallylisocyanurate', '1,3,5-Triallyl isocyanurate', '1,3,5-Triallylisocyanuric acid', '1,3,5-Triazine-2,4,6(1H,3H,5H)-trione, 1,3,5-tri-2-propenyl-', 'UNII-P48OBJ1G11', 'NSC 11692', 'CCRIS 6105', 'EINECS 213-834-7', '1,3,5-Triallyl-1,3,5-triazine-2,4,6(1H,3H,5H)-trione', 's-Triazine-2,4,6(1H,3H,5H)-trione, triallyl-', 'BRN 0225482', 'AI3-60290', 'P48OBJ1G11', 'DTXSID0026175', 's-Triazine-2,4,6(1H,3H,5H)-trione, 1,3,5-triallyl-', '1,3,5-Triazine-2,4,6(1H,3H,5H)-trione, 1,3,5-tri-2-propen-1-yl-', 'Triallyl isocyanurate (500 ppm BHT as inhibitor)', 'Triallyl-1,3,5-triazine-2,4,6(1H,3H,5H)trione', 'Perkalink 301', '1,3,5-triprop-2-enyl-1,3,5-triazaperhydroine-2,4,6-trione', 'Triallyl-s-triazine-2,4,6(1H,3H,5H)-trione, 98%, stabilized', 'DSSTox_CID_6175', '1,5-Triallyl isocyanurate', 'EC 213-834-7', 'DSSTox_RID_78047', 'DSSTox_GSID_26175', 'SCHEMBL28662', '1,5-Triallylisocyanuric acid', 'KSC909A3N', 'MLS001056238', 'CHEMBL1327450', 'Isocyanuric acid, triallyl ester', 'CTK8A9036', '1,3,5-tris(prop-2-enyl)-1,3,5-triazinane-2,4,6-trione', 'LS-88', 'ZINC119291', 'BCP25975', 'NSC11692', 'Tox21_200270', 'ANW-14708', 'NSC-11692', 'SBB012455', 'AKOS015904043', 'CS-W014106', 'MCULE-1356824970', 'NCGC00091064-01', 'NCGC00091064-02', 'NCGC00257824-01', 'AK-55601', 'AS-15234', 'NCI60_000389', 'O577', 'SMR001216600', 'ST066892', 'CAS-1025-15-6', 'FT-0627404', 'I0279', 'NS00003049', 'Triallyl-S-triazine-2,4,6(1H,3H,5H)-trione', 'triallyl-s-triazine-2,4,6-(1h,3h,5h)-trione', 'A800579', '1,3,5-triallyl-[1,3,5]triazinane-2,4,6-trione', '1,3,5-Triallyl-1,3,5-triazinane-2,4,6-trione #', 'Q27286126', 'Triallyl 1,3,5-triazine-2,4,6(1H,3H,5H)-trione', '1,3,5-Triallyl-S-triazine-2,4,6(1H,3H,5H)-trione', 's-Triazine-2,6(1H,3H,5H)-trione, 1,3,5-triallyl-', '1,3,5-Triallyl-1,3,5-triazine-2,4,6(1H,3H,5H)-trione, 98%', '1,5-Triazine-2,4,6(1H,3H,5H)-trione, 1,3,5-tri-2-propenyl-', '1,3,5-Triallyl-1,3,5-triazinane-2,4,6-trione;Isocyanuric acid triallyl ester']</t>
  </si>
  <si>
    <t>Compound(13931)</t>
  </si>
  <si>
    <t>C12H15N3O3</t>
  </si>
  <si>
    <t>1,3,5-triazine- 2,4, 6-triamine (Melamine)</t>
  </si>
  <si>
    <t>1,3,5-triazine-2,4,6-triamine</t>
  </si>
  <si>
    <t>['MELAMINE', '1,3,5-Triazine-2,4,6-triamine', '108-78-1', 'Cyanuramide', 'Cyanurotriamide', 'Cyanurotriamine', 'Isomelamine', 'Theoharn', 'Teoharn', 'Triaminotriazine', 'Cyanuric triamide', 'Hicophor PR', 's-Triazinetriamine', 'Aero', '2,4,6-Triamino-1,3,5-triazine', 'Yukamelamine', 'Pluragard', 'Cymel', 'Virset 656-4', '2,4,6-Triamino-s-triazine', 'Spinflam ML 94M', '2,4,6-Triaminotriazine', 'Pluragard C 133', 'ADK Stab ZS 27', 'Mark ZS 27', 'DG 002 (amine)', 'NCI-C50715', 'Cyanurtriamide', 's-Triazine, 2,4,6-triamino-', '1,3,5-Triazine-2,4,6(1H,3H,5H)-triimine', 'ZS 27', 's-triaminotriazine', 'UNII-N3GP2YSD88', 'NSC 2130', 'DG 002', 'sym-Triaminotriazine', 'CCRIS 373', 'Melamine, 99%', 'HSDB 2648', 'EINECS 203-615-4', '67297-95-4', 'BRN 0124341', 'N3GP2YSD88', '2,4,6-triamino sym-triazine', 'AI3-14883', 'DTXSID6020802', 'CHEBI:27915', '1,3,5-triazine-2,4,6(1H,3H,5H)triimine', 'Melamine Monomer', '2,4,6-triamino-1,3,5-triazine;melamine;1,3,5-triazine-2,4,6-triamine;[1,3,5]triazine-2,4,6-triamine;s-triazine, 4,6-diamino-1,2-dihydro-2-imino-;2,4,6-triamino-1,3,5-triazine melamine 1,3,5-triazine-2,4,6-triamine [1,3,5]triazine-2,4,6-triamine s-triazine, 4,6-diamino-1,2-dihydro-2-imino-', 'melamin', 'cyan urotriamide', 'AX2', 'Sym Triaminotriazine', '2,6-Triaminotriazine', 'CYMEL (Salt/Mix)', 'Metformin EP impurity D', '2,4,6-Triamino-1,3,5-triazine Monomer', 'DSSTox_CID_802', '2,6-Triamino-s-triazine', 'Melamine-13C3,15N3', 'EC 203-615-4', 's-Triazine,4,6-triamino-', 'DSSTox_RID_75795', 'DSSTox_GSID_20802', 'SCHEMBL25853', 'Melamine, analytical standard', '4-26-00-01253 (Beilstein Handbook Reference)', 'BIDD:ER0287', 'CHEMBL1231106', 'SCHEMBL12192199', 'KS-00000VSY', 'Melamine (Metformin Impurity D)', '1,5-Triazine-2,4,6-triamine', '2,6-Triamino-1,3,5-triazine', 'NSC2130', 'NSC8152', 'ZINC897751', 'HY-Y1117', 'NSC-2130', 'NSC-8152', 'WLN: T6N CN ENJ BZ DZ FZ', 'Tox21_200503', '1,3,5-triazinane-2,4,6-triimine', 'BBL000010', 'LS-469', 'MFCD00006055', 's9212', 'SBB000053', 'STK378738', '[1,3,5]triazine-2,4,6-triamine', '1,3, 5-Triazine-2,4,6-triamine', '2,4, 6-Triamino-1,3,5-triazine', 'AKOS005448714', 'CCG-266105', 'MCULE-1467355510', 'NCGC00164014-01', 'NCGC00164014-02', 'NCGC00258057-01', '1246816-14-7', '94977-27-2', 'CAS-108-78-1', 'ST018511', 'VS-00405', 'Melamine 1.0 mg/ml in Dimethyl Sulfoxide', 'CS-0016866', 'FT-0609833', 'FT-0670982', 'FT-0670983', 'Melamine; 1,3,5-Triazine-2,4,6-triamine', 'T6897', '1,3,5-Triazine-2,4,6-triamine (Melamine)', '1,5-Triazine-2,4,6(1H,3H,5H)-triimine', '4,6-Diamino-1,2-dihydro-2-imino-S-Triazine', 'C08737', '78403-EP2270101A1', '78403-EP2270113A1', '78403-EP2272849A1', '78403-EP2272935A1', '78403-EP2276751A1', '78403-EP2289896A1', '78403-EP2298828A1', '78403-EP2301924A1', '78403-EP2301983A1', '78403-EP2308856A1', '78403-EP2374895A1', 's-Triazine, 4,6-diamino-1,2-dihydro-2-imino-', 'Q212553', 'J-002191', '1,3,5-Triazine-2,4,6-triamine (ACD/Name 4.0)', 'Melamine, &gt;=95.0% (HPLC), pharmaceutical impurity standard', 'Melamine, United States Pharmacopeia (USP) Reference Standard', 'Melamine, Pharmaceutical Secondary Standard; Certified Reference Material']</t>
  </si>
  <si>
    <t>Compound(7955)</t>
  </si>
  <si>
    <t>C3H6N6</t>
  </si>
  <si>
    <t>1,3-propylenediaminetatraacetic acid</t>
  </si>
  <si>
    <t>2-[3-[bis(carboxymethyl)amino]propyl-(carboxymethyl)amino]acetic acid</t>
  </si>
  <si>
    <t>['1939-36-2', "2,2',2'',2'''-(Propane-1,3-diylbis(azanetriyl))tetraacetic acid", 'TRIMETHYLENEDIAMINETETRAACETIC ACID', '1,3-Propylenediaminetertaacetic acid', 'UNII-3F6OA94EER', 'NSC 18484', '3F6OA94EER', '2-[3-[bis(carboxymethyl)amino]propyl-(carboxymethyl)amino]acetic acid', "Glycine, N,N'-1,3-propanediylbis(N-(carboxymethyl)-", "Glycine, N,N'-1,3-propanediylbis[N-(carboxymethyl)-", 'Acetic acid, (trimethylenedinitrilo)tetra-', "N,N'-propylene-1,3-diylbis(N-(hydroxycarbonylmethyl)glycine)", "N,N'-propylene-1,3-diylbis[N-(hydroxycarbonylmethyl)glycine]", '1,3-PROPYLENEDIAMINETETRAACETIC ACID', '111687-36-6', 'DSSTox_CID_9225', 'EC 400-400-9', "1,3-Propanediamine-N,N,N',N'-tetraacetic Acid", "Trimethylenediamine-N,N,N',N'-tetraacetic acid", 'DSSTox_GSID_29225', 'SCHEMBL133510', '1,3-propanediaminetetraacetate', 'CHEMBL1863868', 'DTXSID9029225', 'CTK4I7973', 'NSC18484', 'trimethylenedinitrilotetraacetic acid', 'ZINC1769289', 'Tox21_303722', 'NSC-18484', '1,3-Propylenediamine tertaacetic acid', 'AKOS015892923', 'ACM1939362', 'NCGC00164260-01', 'NCGC00164260-02', 'NCGC00357034-01', 'AK114726', 'AS-71550', 'K878', 'LS-72864', 'CAS-1939-36-2', 'AX8155484', 'FT-0606746', 'NS00006883', 'P1605', "1,3-diaminopropane-N,N,N',N'-tetra-acetic acid", 'A813679', 'C-36490', 'Q27257149', '1,3-Diaminopropane-N,N,N,N-tetraacetic acid &gt;=99.0% (KT)', "2,2',2'',2'''-(propane-1,3-diyldinitrilo)tetraacetic acid", "1,3-Diaminopropane-N,N,N',N'-tetraacetic acid, &gt;=99.0% (KT)", "2,2'',2'''',2''''''-(Propane-1,3-Diylbis(Azanetriyl))Tetraacetic Acid", "2,2',2'',2'''-(Propane-1,3-diylbis(azanetriyl))-tetraacetic acid", '2-({3-[bis(carboxymethyl)amino]propyl}(carboxymethyl)amino)acetic acid', '2-[3-[bis(2-hydroxy-2-oxoethyl)amino]propyl-(2-hydroxy-2-oxoethyl)amino]ethanoic acid', 'Ferrate(1-), [[N,N-1,3-propanediylbis[ N-(carboxymethyl)glycinato]](4-)-N,N,O,O,ON,ON ]-, ammonium, (OC-6-21)-']</t>
  </si>
  <si>
    <t>Compound(80296)</t>
  </si>
  <si>
    <t>C11H18N2O8</t>
  </si>
  <si>
    <t>1- (3-chloroallyl)- 3,5, 7-triaza-1-azoniaadamantane chloride</t>
  </si>
  <si>
    <t>1-[(E)-3-chloroprop-2-enyl]-3,5,7-triaza-1-azoniatricyclo[3.3.1.13,7]decane;chloride</t>
  </si>
  <si>
    <t>['Quaternium-15', '4080-31-3', 'Quaternium-15 trans-form', 'UNII-2W5B4VJ152', 'N-(3-Chloroallyl)hexaminium chloride', 'Quaternium 15', 'Methenamine 3-chloroallylochloride', 'Dowicide Q', '1-(3-Chloroallyl)-3,5,7-triaza-1-azoniaadamantane chloride', '2W5B4VJ152', 'Dowicil 75', 'Cinartc 200', 'Dowicil 100', 'Caswell No. 181', 'Dowco 184', 'Hexamethylenetetramine chloroallyl chloride', 'CCRIS 1398', 'HSDB 6820', 'EINECS 223-805-0', 'EPA Pesticide Chemical Code 017901', 'NSC 172971', 'XD-1840', '3,5,7-Triaza-1-azoniatricyclo[3.3.1.13,7]decane, 1-(3-chloro-2-propenyl)-, chloride', 'Quaternim-15 trans-form', 'CHEBI:59607', '3,5,7-Triaza-1-azoniaadamantane, 1-(3-chloroallyl)-, chloride', 'Quaternium-15 / Methenamine 3-chloroallylochloride', '3,5,7-Triaza-1-azoniatricyclo(3.3.1.13,7)decane, 1-(3-chloro-2-propenyl)-, chloride', 'Dowicil75', '1-[(2E)-3-chloroprop-2-en-1-yl]-3,5,7-triaza-1-azoniatricyclo[3.3.1.13,7]decane chloride', '1-(3-chloro-2-propenyl)-3,5,7-triaza-1-azoniatricyclo(3.3.1.13,7)decane chloride', '3,5,7-Triaza-1-azoniatricyclo(3.3.1.13,7)decane, 1-(3-chloro-2-propen-1-yl)-, chloride (1:1)', 'AKOS016009992', 'n-(3-chloroallyl) hexaminium chloride', '194805-30-6', 'Q27255687', 'UNII-E40U03LEM0 component UKHVLWKBNNSRRR-TYYBGVCCSA-M', '1-[3-chloroprop-2-en-1-yl]-3,5,7-triaza-1-azoniatricyclo[3.3.1.1(3),(7)]decanium chloride']</t>
  </si>
  <si>
    <t>Compound(6433396)</t>
  </si>
  <si>
    <t>C9H16Cl2N4</t>
  </si>
  <si>
    <t>1,3-diamino benzene</t>
  </si>
  <si>
    <t>benzene-1,3-diamine</t>
  </si>
  <si>
    <t>['m-Phenylenediamine', 'benzene-1,3-diamine', '108-45-2', '1,3-BENZENEDIAMINE', '1,3-Phenylenediamine', '1,3-Diaminobenzene', 'meta-Phenylenediamine', 'm-Diaminobenzene', '3-Aminoaniline', 'm-Aminoaniline', '3-Phenylenediamine', 'Metaphenylenediamine', 'm-Benzenediamine', 'Developer C', 'Developer H', 'Developer M', 'Direct Brown BR', 'Direct Brown GG', 'Developer 11', 'm-Fenylendiamin', 'C.I. Developer 11', 'meta-Diaminobenzene', 'm-Phenylene diamine', 'meta-Aminoaniline', 'meta-Benzenediamine', 'CI Developer 11', '1,3-phenylene diamine', 'm-Fenylendiamin [Czech]', 'APCO 2330', 'Benzene, 1,3-diamino-', 'NSC 4776', 'CCRIS 1236', 'UNII-OE624J2447', 'HSDB 5384', 'Phenylenediamine, meta-', 'EINECS 203-584-7', 'MFCD00007799', 'BRN 0471357', '1,3-DIAMINO-BENZENE', 'AI3-52607', 'CHEBI:8092', 'DTXSID4021137', 'OE624J2447', 'C.I. 76025', 'DSSTox_CID_1137', 'm-Phenylenediamine, 99+%', 'DSSTox_RID_75968', 'DSSTox_GSID_21137', 'CAS-108-45-2', '1,3-Benzenediamine, hydrochloride (1:2)', 'm-phenylene-diamine', '1,3-diaminobenzol', 'Phenylenediamine, m', 'metaphenylene diamine', '1,3-phenylendiamine', 'm - Phenylenediamine', '1,3 phenylenediamine', 'meta-phenylene diamine', 'Phenylenediamine, meta', '(3-aminophenyl)-amine', '1,3 phenylene diamine', 'm-Phenylenediamine, flake', 'ACMC-1BU4X', 'WLN: ZR CZ', 'UN-1673 (Related)', 'EC 203-584-7', 'SCHEMBL16054', '4-13-00-00079 (Beilstein Handbook Reference)', 'KSC174K9T', 'CHEMBL1595914', 'CTK0H4599', 'NSC4776', 'm-Phenylenediamine, flakes, 99%', 'ZINC164650', 'ACT07283', 'KS-00000X9A', 'NSC-4776', 'Tox21_202106', 'Tox21_300490', 'ANW-15943', 'LS-463', 'STL194287', 'AKOS000119108', 'AS06865', 'GS-6709', 'MCULE-2875685579', 'NCGC00091145-01', 'NCGC00091145-02', 'NCGC00091145-03', 'NCGC00091145-04', 'NCGC00254260-01', 'NCGC00259655-01', 'AC-11132', 'H423', 'SC-79068', 'm-Phenylenediamine, purum, &gt;=99.0% (T)', 'FT-0606740', 'FT-0673748', 'NS00005820', 'P1892', 'P1911', 'C02454', 'm-Phenylenediamine, technical, &gt;=98.0% (NT)', '104091-EP2295415A1', '104091-EP2302015A1', '104091-EP2374895A1', 'm-Phenylenediamine [UN1673] [Keep away from food]', 'Q2410205', 'W-108716', 'm-Phenylenediamine [UN1673]  [Keep away from food]', 'F0001-0170', 'UNII-TJX894Z2PK component WZCQRUWWHSTZEM-UHFFFAOYSA-N']</t>
  </si>
  <si>
    <t>Compound(7935)</t>
  </si>
  <si>
    <t>1,3-diethylbenzene</t>
  </si>
  <si>
    <t>['1,3-DIETHYLBENZENE', 'm-Diethylbenzene', '141-93-5', 'Benzene, 1,3-diethyl-', 'Benzene, m-diethyl-', 'm-Ethylethylbenzene', 'UNII-ZM2X7I1G8Y', '1,3-diethyl-benzene', 'HSDB 4082', 'EINECS 205-511-4', 'NSC 62102', 'BRN 1903394', 'ZM2X7I1G8Y', '68584-01-0', 'Ethylated benzene', 'Benzene, ethylated', 'meta-Diethylbenzene', '1,3-diethylbenzol', 'Polyethylated benzene', 'Benzene,3-diethyl-', 'Benzene, polyethylated', 'DSSTox_CID_2003', 'ACMC-209cn9', 'DSSTox_GSID_22003', '4-05-00-01066 (Beilstein Handbook Reference)', 'KSC145G5H', 'WLN: 2R C2', 'DTXSID1022003', 'NSC62102', 'ZINC1691006', 'EINECS 271-527-3', 'Tox21_303896', 'ANW-20659', 'MFCD00009260', 'NSC-62102', 'AKOS015964280', 'EBD3315819', 'FCH1115716', 'MCULE-2327529578', 'ACM25340174', 'KS-000000N7', 'NCGC00356969-01', '1,3-Diethylbenzene, &gt;=98.0% (GC)', 'AC-18367', 'CAS-141-93-5', 'LS-29828', 'DB-042592', 'D0478', 'FT-0606659', 'NS00007714', '1,3-Diethylbenzene 100 microg/mL in Methanol', '141D935', 'A807834', '1,3-Diethylbenzol;m-diethylbenzene;Benzene, ethylated', 'Q24816743', 'UNII-9A18Z78Q73 component AFZZYIJIWUTJFO-UHFFFAOYSA-N']</t>
  </si>
  <si>
    <t>Compound(8864)</t>
  </si>
  <si>
    <t>1,3-dichloro-2-propanol</t>
  </si>
  <si>
    <t>1,3-dichloropropan-2-ol</t>
  </si>
  <si>
    <t>['1,3-DICHLORO-2-PROPANOL', '96-23-1', '1,3-Dichloropropan-2-ol', 'Dichlorohydrin', '2-Propanol, 1,3-dichloro-', '1,3-Dichloroisopropanol', '1,3-Dichlorohydrin', 'Glycerol 1,3-dichlorohydrin', 'Enodrin', '1,3-Dichloro-2-hydroxypropane', '1,3-Dichloroisopropyl alcohol', 'Sym-glycerol dichlorohydrin', 'Propylene dichlorohydrin', 'Sym-dichloroisopropyl alcohol', 's-Glycerol dichlorohydrin', 'alpha-Dichlorohydrin', 's-Dichloroisopropyl alcohol', '1,3-Dichloropropanol', 'Gdch', 'Propanol, dichloro-', 'Glycerol alpha,gamma-dichlorohydrin', '.alpha.-Dichlorohydrin', 'alpha,gamma-Dichlorohydrin', 'alpha-Propenyldichlorohydrin', '1,3-dichloro-propan-2-ol', 'UNII-0F4P2VQC07', 'NSC 70982', 'CCRIS 953', '2-Propanol, 1-3-dichloro-', 'U 25,354', 'HSDB 5302', '2-Chloro-1-(chloromethyl)ethanol', '1,3-Dichloropropanol-2', 'EINECS 202-491-9', 'HOCH(CH2Cl)2', 'BRN 1732063', 'AI3-14899', '0F4P2VQC07', '.alpha.,.gamma.-Dichlorohydrin', 'CHEBI:18917', '1,3-DCP', '1,3-dichloro-1,3-dideoxyglycerol', "Glycerol alpha,alpha'-dichlorohydrin", 'MFCD00000951', 'Glycerol .alpha.,.gamma.-dichlorohydrin', 'DSSTox_CID_5010', '1,3-dichloropropane-2-ol', 'DSSTox_RID_77625', 'DSSTox_GSID_25010', '1,3-Dichloro-2-propanol, 99%', 'CAS-96-23-1', 'Dichlorhydrin', "alpha,alpha'-DICHLOROHYDRIN", 'PubChem5871', '2-Propanol,3-dichloro-', 'ACMC-1CQL6', 'EC 202-491-9', 'Glycerol-a,?-dichlorohydrin', 'WLN: G1YQ1G', '1,3-di-chloro-2-propanol', 'Glycerol-1,3-dichlorohydrin', 'SCHEMBL27171', '4-01-00-01491 (Beilstein Handbook Reference)', 'alphaC3H6OCl2-Dichlorohydrin', 'GLYCEROL DICHLOROHYDRIN', 'KSC489M3F', 'MLS001050097', 'BIDD:ER0691', 'CHEMBL468581', 'DTXSID6025010', 'CTK3I9632', 'KS-00000VAH', 'Glycerol-alpha,gamma-dichlorohydrin', '1,3-Dichloro-2-propanol, 98%', 'NSC70982', 'ZINC1696572', 'EINECS 247-787-9', 'Tox21_201890', 'Tox21_300284', 'ANW-40800', 'NSC-70982', 'SBB060190', 'STL268847', 'AKOS005206949', 'LS-2003', 'MCULE-7873018520', 'NE10067', 'UN 2750', 'NCGC00091689-01', 'NCGC00091689-02', 'NCGC00091689-03', 'NCGC00254123-01', 'NCGC00259439-01', 'SMR001216525', '13-hydroperoxyoctadeca-9,11-dienoic acid', 'DB-027324', 'D0402', 'FT-0606643', 'FT-0695912', 'NS00003950', 'ST51046422', 'Y5055', 'EN300-31252', 'C14399', '1,3-Dichloro-2-propanol;1,3-dichloropropan-2-ol', '157424-EP2275417A2', '157424-EP2284146A2', '157424-EP2284147A2', '157424-EP2284162A2', '157424-EP2284163A2', '157467-EP2275417A2', '157467-EP2284162A2', '157467-EP2284163A2', '196055-EP2272972A1', '196055-EP2272973A1', '196055-EP2277872A1', '1,3-Dichloro-2-propanol, purum, &gt;=98.0% (GC)', 'J-503895', 'Q10843705', 'F0001-2291', 'UNII-2NN2GH3YU6 component DEWLEGDTCGBNGU-UHFFFAOYSA-N']</t>
  </si>
  <si>
    <t>Compound(7289)</t>
  </si>
  <si>
    <t>C3H6Cl2O</t>
  </si>
  <si>
    <t>1,3-dichloro-5-nitrobenzene</t>
  </si>
  <si>
    <t>['1,3-Dichloro-5-nitrobenzene', '3,5-Dichloronitrobenzene', '618-62-2', 'Benzene, 1,3-dichloro-5-nitro-', 'm-Dichloronitrobenzene', 'meta-Dichloronitrobenzene', '3,5-DICHLORO-1-NITROBENZENE', 'Benzene,3-dichloro-5-nitro-', 'W-109092', 'NSC 53841', 'EINECS 210-557-3', 'NSC 60642', 'PubChem3695', 'ACMC-1B7UQ', 'EC 210-557-3', '3,5-dichloro-nitro-benzene', 'KSC493O5P', 'SCHEMBL204235', 'AMBZ0106', 'DTXSID1060683', 'CTK3J3757', '5-NITRO-M-DICHLOROBENZENE', 'LABOTEST-BB LTBB004236', 'ACT12751', 'EBD42690', 'NSC53841', 'NSC60642', 'ZINC1513802', 'ZX-AT019834', 'ANW-33970', 'LABOTEST-BB LT03382130', 'MFCD00007211', 'NSC-53841', 'NSC-60642', 'OR1083', 'SBB058893', '1,3-Dichloro-5-nitrobenzene, 98%', 'AKOS015889988', 'AM85848', 'AS02887', 'CS-W015833', 'FCH1117949', 'MCULE-5659096682', 'KS-000010X1', 'AK-94134', 'AS-40752', 'CC-13504', 'P615', 'AX8082561', 'DB-022038', 'D0983', 'FT-0614566', 'NS00002387', 'ST50407536', '618D622', 'C-08328', '3,5-dichloronitrobenzene;Nitrobenzene, 3,5-dichloro-']</t>
  </si>
  <si>
    <t>Compound(12064)</t>
  </si>
  <si>
    <t>C6H3Cl2NO2</t>
  </si>
  <si>
    <t>1,3-dichlorobenzene</t>
  </si>
  <si>
    <t>['1,3-DICHLOROBENZENE', 'm-Dichlorobenzene', '541-73-1', 'Benzene, 1,3-dichloro-', 'm-Phenylene dichloride', 'm-Dichlorobenzol', 'meta-Dichlorobenzene', 'Metadichlorobenzene', 'Benzene, m-dichloro-', 'm-Phenylenedichloride', 'm-DCB', '1,3-dichloro-benzene', 'UNII-75W0WNE5FP', 'NSC 8754', '2,4-dichlorobenzene', 'CCRIS 4259', 'HSDB 522', 'EINECS 208-792-1', 'RCRA waste no. U071', '75W0WNE5FP', '1,3-Dichlorobenzene, 98%', 'AI3-15517', 'CHEBI:36693', 'DSSTox_CID_2056', 'DSSTox_RID_76473', 'DSSTox_GSID_22056', 'CAS-541-73-1', 'm-dichlorobenzen', '1,3-dichorobenzene', '1.3-dichlorobenzene', '2,6-dichlorobenzene', 'MDCB', 'PubChem13088', 'ACMC-209tea', 'Benzene, 1,3-dichloro-, radical ion(1-)', '1,3-bis(chloranyl)benzene', 'EC 208-792-1', 'SCHEMBL28140', 'M-DICHLOROBENZENE 99', 'KSC255M9B', 'MLS001050090', 'CHEMBL45235', 'PARAGOS 530110', 'DTXSID6022056', 'NSC8754', 'LABOTEST-BB LTBB002096', 'ZINC388095', 'CS-B0931', 'KS-00000V4X', 'NSC-8754', 'Tox21_202179', 'Tox21_300005', 'ANW-42368', 'LS-207', 'MFCD00000573', 'AKOS009031576', 'AS00251', 'MCULE-4362550696', '1,3-Dichlorobenzene (M-Dichlorobenzene)', 'NCGC00091197-01', 'NCGC00091197-02', 'NCGC00091197-03', 'NCGC00253960-01', 'NCGC00259728-01', '63697-17-6', 'AS-12418', 'SC-18512', 'SMR001216526', 'D0333', 'FT-0606649', 'NS00006298', 'S0665', 'C19397', '1,3-Dichlorobenzene 100 microg/mL in Methanol', '28316-EP2269986A1', '28316-EP2287141A1', '28316-EP2305655A2', '28316-EP2314577A1', '1,3-Dichlorobenzene 10 microg/mL in Cyclohexane', '1,3-Dichlorobenzene, puriss., &gt;=99.0% (GC)', 'A830009', 'J-503894', 'Q2216854', '1,3-Dichlorobenzene, PESTANAL(R), analytical standard', 'F0001-1423', 'UNII-F56X88UAJQ component ZPQOPVIELGIULI-UHFFFAOYSA-N', '46536A91-5C63-4685-94E2-E2FAB9C3B34D', '1,3-Dichlorobenzene solution, certified reference material, 5000 mug/mL in methanol', 'm-Dichlorobenzene;Benzene, 1,3-dichloro-;1,3-dichlorobenzene;1 , 3-dichlorobenzene', '1,3-DICHLOROBENZENE (SEE ALSO: 1,2-DICHLOROBENZENE (95-50-1) &amp; 1,4-DICHLOROBENZENE (106-46-7))']</t>
  </si>
  <si>
    <t>Compound(10943)</t>
  </si>
  <si>
    <t>1,3-dichloropropane</t>
  </si>
  <si>
    <t>['1,3-DICHLOROPROPANE', '142-28-9', 'Trimethylene dichloride', 'Propane, 1,3-dichloro-', '1,3-Dichloro-propane', 'UNII-AJ1HQ2GUCP', 'R 270fa', 'CCRIS 9220', 'CH2ClCH2CH2Cl', 'HSDB 5482', 'AJ1HQ2GUCP', 'NSC 6204', 'Cl(CH2)3Cl', 'EINECS 205-531-3', '1,3-Dichloropropane, 99%', '1,3-dichlorpropan', 'Trimethylene Chloride', '1.3-dichloropropane', 'Propane,3-dichloro-', 'ClCH2CH2CH2Cl', '1,3-propylene dichloride', 'DSSTox_CID_2004', 'WLN: G3G', 'DSSTox_RID_76454', 'DSSTox_GSID_22004', 'SCHEMBL29249', 'KSC491K9F', 'CHEMBL157427', 'DTXSID6022004', 'CTK3J1592', 'KS-00000VBP', 'NSC6204', 'CHEBI:137978', 'NSC-6204', 'STR02541', 'ZINC1693328', 'Tox21_201140', 'ANW-20690', 'MFCD00000999', 'SBB040918', 'AKOS000269050', '1,3-Dichlorpropan;1,3-dichloropropane', 'LS-2112', 'MCULE-6693270397', 'NCGC00091672-01', 'NCGC00091672-02', 'NCGC00258692-01', 'CAS-142-28-9', 'SC-26779', 'D0399', 'FT-0606652', 'FT-0624729', 'FT-0624730', 'NS00004738', 'S0642', '1,3-Dichloropropane, purum, &gt;=98.0% (GC)', 'J-007632', 'Q2436290', '1,3-Dichloropropane, PESTANAL(R), analytical standard', 'UNII-B8X7551QF3 component YHRUOJUYPBUZOS-UHFFFAOYSA-N', '1,3-Dichloropropane solution, 5000 mug/mL in methanol, analytical standard', '0CL']</t>
  </si>
  <si>
    <t>Compound(8881)</t>
  </si>
  <si>
    <t>1,3-dichloropropene</t>
  </si>
  <si>
    <t>(E)-1,3-dichloroprop-1-ene</t>
  </si>
  <si>
    <t>['1,3-DICHLOROPROPENE', 'trans-1,3-Dichloropropene', '10061-02-6', '542-75-6', 'Telone II', 'Telone', '1,3-Dichloropropylene', 'Nemex', 'trans-1,3-Dichloropropylene', 'Dorlone II', 'Telone C', '3-Chloroallyl chloride', '(E)-1,3-Dichloropropene', 'Di-Trapex CP', 'Telone II-B', '(1E)-1,3-dichloroprop-1-ene', 'Dorlone', 'Nematox', '1-Propene, 1,3-dichloro-', 'trans-Telone', '1-Propene, 1,3-dichloro-, (1E)-', 'trans-1,3-Dichloro-1-propene', 'Vorlex 201', '(E)-1,3-Dichloro-1-propene', 'trans-3-Chloroallyl chloride', '1,3-Dichloropropene-1', '3-Chloropropenyl chloride', '(E)-1,3-dichloroprop-1-ene', '1,3-Dichloro-2-propene', 'Propene, 1,3-dichloro-', 'Telone C17', 'Telone II soil fumigant', 'D-D 92', '1,3-Dichloro-1-propene', '1,3-Dichloroprop-1-ene', '1,3-Dichloro-1-propylene', 'alpha,gamma-Dichloropropylene', 'Caswell No. 324A', 'Dichloro-1,3 propene', 'E-1,3-Dichloropropene', '(1E)-1,3-dichloro-1-propene', 'gamma-Chloroallyl chloride', '1,3-Dichloropropene [BSI:ISO]', 'DD 95', 'NCI-C03985', 'trans 1,3-dichloropropene', 'Tri-Form', 'chloroallylchloride', 'Propene, 1,3-dichloro-, (E)-', 'UNII-21UG87ODPI', 'RCRA waste number U084', 'NSC 6202', 'Telone IIR', '1,3-D', 'cis-Dichloropropene', 'Dichloro-1,3 propene [ISO-French]', '3-dichloropropylene', '1-Propene, 1,3-dichloro-, (E)-', 'CCRIS 955', 'Chloroallyl Chloride', '1,3-Dichloropropene, trans-', '1,3-Dichloropropene (technical grade)', 'Chloropropenyl chloride', 'HSDB 1109', 'HSDB 1504', '1,3-D, Dorlone', 'Telone 2000', 'alpha-chloroallylchloride', 'chloroorpropenyl chloride', 'gamma-chloroallylchloride', 'alpha-Chloroallyl chloride', 'EINECS 208-826-5', 'Propylene, 1,3-dichloro-, (trans)', 'RCRA waste no. U084', 'EPA Pesticide Chemical Code 029001', 'BRN 1719556', 'BRN 1719558', '(1E)-1,3-dichloropropene', '21UG87ODPI', '1,3-Dichloropropene (mixed)', 'CHEBI:18624', 'Vidden D', 'D-d Mixture', 'D-D92', '1,3-Dichloropropene, cis + trans', '1,3-Dichloropropene (mixed isomers)', 'Dichloropropene, 1,3- (Telone II)', 'MFCD00000985', '1, 3-Dichloropropene', '1,3-DICHLOROPROPENE (TELONE II)', 'Telone II, technical grade (without epichlorohydrin)', 'Telone II, technical grade (with 1% epichlorohydrin)', 'Telone EC', 'sJPDADFHRUf`d`', '.gamma.-Chloroallyl chloride', '.alpha.,.gamma.-Dichloropropylene', 'Dedisol', 'Sepisol', 'Anema', 'Dedisol C', 'Telone (van)', '1,3-Dichlopropene', '1,3-Dichlorpropene', 'Chloroallyl C hloride', 'Telone II, Technical', '1,3-Dichloropropene,c&amp;t', 'D-d Mixture (Salt/Mix)', '(alpha)-chloroallyl chloride', '(gamma)-chloroallyl chloride', 'SCHEMBL33876', '1,3-Dichloropropene, E,Z-', '1,3-Dichloropropene, mixture', 'BIDD:ER0524', '1,3-Dichloro-1-propene,c&amp;t', '(alpha,gamma)-dichloropropylene', '3-D, DCP', 'CHEMBL155926', 'DTXSID2042480', 'trans-1,3-dichloro-prop-1-ene', '(beta)-epidichlorohydrin cis-trans', 'D-D95', 'TELONE II, TECHNICAL GRADE', 'ZINC1530489', 'c0611', 'LS-209', 'LS-323', '1,3-Dichloropropene (mixed  isomers)', 'AKOS000120933', 'NE10071', 'NCGC00091495-01', 'NCGC00091495-02', 'AS-13194', 'H570', 'SC-17396', 'SC-81421', 'LS-123466', '1,3-Dichloro-1-propene (ACD/Name 4.0)', '1,3-Dichloropropene, 90%, technical grade', 'D2346', 'NS00007908', 'S0639', '1,3-Dichloropropene (cis- and trans- mixture)', '1-Propene, 1,3-dichloro-, (1E)-;Di-trapex', 'C06609', 'C18627', 'trans-1,3-Dichloropropene, analytical standard', '1,3-DICHLORO PROPYLENE ( TRANS-: CIS-)', 'Q161507', 'J-000180', 'J-524982', '1,3-Dichloropropene, cis + trans, analytical standard', '1,3-Dichloropropene, PESTANAL(R), analytical standard', 'trans-1,3-Dichloropropene, vial of 1 g, analytical standard', 'UNII-314002Q8Y6 component UOORRWUZONOOLO-OWOJBTEDSA-N', 'UNII-9H780918D0 component UOORRWUZONOOLO-OWOJBTEDSA-N', '5427-56-5']</t>
  </si>
  <si>
    <t>Compound(24726)</t>
  </si>
  <si>
    <t>1,3-diphenylguanidine</t>
  </si>
  <si>
    <t>1,2-diphenylguanidine</t>
  </si>
  <si>
    <t>['1,3-Diphenylguanidine', '102-06-7', 'Diphenylguanidine', "N,N'-DIPHENYLGUANIDINE", 'Vulkazit', 'Accelerator D', 'Melaniline', 's-Diphenylguanidine', 'Denax', "Guanidine, N,N'-diphenyl-", 'Vulkacite D', 'Nocceler D', 'Vulkacit D', 'Vulcafor DPG', '1,2-diphenylguanidine', 'DPG accelerator', 'Vulkacit D/C', 'Denax DPG', '1,3-Difenylguanid', 'Guanidine, 1,3-diphenyl-', 'Dwufenyloguanidyna', 'USAF EK-1270', 'USAF B-19', 'UNII-6MRZ85RNHQ', 'Sanceler D', 'Vulcacid D', 'NCI-C60924', 'Soxinol D', 'diphenyl guanidine', 'DPG (VAN)', 'Dwufenyloguanidyna [Polish]', 'NSC 3272', '1,3-Difenylguanid [Czech]', 'CCRIS 1395', 'HSDB 5345', 'EINECS 203-002-1', 'MFCD00001758', '6MRZ85RNHQ', 'CHEMBL77675', 'AI3-00225', 'DFG', '[imino(phenylamino)methyl]phenylamine', 'NCGC00090698-02', 'NCGC00090698-04', 'Sym-diphenylguanidine', 'DSSTox_CID_5178', 'DSSTox_RID_77696', 'DSSTox_GSID_25178', 'Vanax DPG', 'CAS-102-06-7', 'SMR000567260', 'phenax', 'DPG vulcanizer', 'Akrochem DPG', 'diphenyl-guanidine', 'Perkacit DPG', 'Vulcaid DPG', 'Guanidine,3-diphenyl-', "Guanidine,N'-diphenyl-", '1,3 Diphenyl Guanidine', "N,N'-Diphenyl-guanidine", 'Maybridge1_002607', "N,N''-Diphenyl-guanidine", 'ACMC-2097zz', 'WLN: MUYMR &amp; MR', 'EC 203-002-1', 'Cambridge id 5539652', 'D.P.G', 'REGID_for_CID_7594', 'SCHEMBL35172', 'KSC168K0J', 'MLS001055401', 'MLS001181565', 'DivK1c_001359', '1,3-Diphenylguanidine, 97%', 'DTXSID3025178', 'CTK2G1927', 'HMS548O11', 'KS-00000YPV', 'NSC3272', 'CHEBI:144319', 'HMS2870H09', 'NSC-3272', 'Tox21_110998', 'Tox21_400041', 'ANW-14637', 'BBL011030', 'BDBM50010769', 'CCG-49163', 'LS-353', 'SBB000514', 'STK802182', 'STL301515', 'ZINC18208503', 'AKOS000118775', 'AKOS022133740', "Guanidine, N,N''-diphenyl-, (E)-", 'Tox21_110998_1', 'ACN-048674', 'DB14191', 'MCULE-4310964857', 'NE10119', 'CDS1_000319', 'NCGC00090698-01', 'NCGC00090698-03', 'NCGC00090698-05', 'NCGC00090698-06', 'DA-16706', 'P121', 'SC-57981', 'ST025753', 'VS-02813', 'D0723', 'D0892', 'FT-0606715', 'NS00011462', 'AE-641/01188002', 'Q2537147', 'SR-01000638639-1', 'W-108887', 'F3096-1727', 'Z262221800', '1,3-Diphenylguanidine, analytical standard (for titrimetry)', "1,3-diphenylguanidine ;Guanidine, 1,3-diphenyl-;1,3-diphenylguanidine;1,3-diphenylguanidinium phthalate;N,N'-diphenylguanidine monohydrochloride;N,N'-diphenylguanidine monohydrobromide", '73240-92-3']</t>
  </si>
  <si>
    <t>Compound(7594)</t>
  </si>
  <si>
    <t>C13H13N3</t>
  </si>
  <si>
    <t>1,3-dihydroxybenzene</t>
  </si>
  <si>
    <t>benzene-1,3-diol</t>
  </si>
  <si>
    <t>['resorcinol', '108-46-3', '1,3-Benzenediol', 'benzene-1,3-diol', 'Resorcin', '1,3-Dihydroxybenzene', 'm-Hydroquinone', 'm-Hydroxyphenol', '3-Hydroxyphenol', 'm-Dihydroxybenzene', 'Resorcine', 'm-Dioxybenzene', 'm-Benzenediol', 'Dihydroxybenzol', 'Resorzin', 'Developer O', 'Developer R', 'Developer RS', 'Fouramine RS', 'Fourrine EW', 'Pelagol RS', 'Pelagol Grey RS', 'Resorcinolum', 'Fourrine 79', 'Nako TGG', 'Durafur developer G', 'Phenol, m-hydroxy-', 'C.I. Developer 4', 'Benzene, m-dihydroxy-', 'C.I. Oxidation Base 31', 'Rcra waste number U201', 'Acnomel', 'Benzene, 1,3-dihydroxy-', 'Rezamid', 'Sulforcin', '3-Hydroxycyclohexadien-1-one', '1,3-Benzenediol, homopolymer', 'Caswell No. 723', 'Resorcinol, homopolymer', 'FEMA No. 3589', 'UNII-YUL4LO94HK', 'NCI-C05970', 'RCRA waste no. U201', 'NSC 1571', 'C.I. 76505', '.alpha.-Resorcinol', 'Resorcin (JAN)', 'Resorcin (TN)', 'Resorcinol (USP)', 'Resorcinol [USP]', 'CCRIS 4052', 'HSDB 722', 'EINECS 203-585-2', 'UN2876', 'YUL4LO94HK', 'EPA Pesticide Chemical Code 071401', 'BRN 0906905', 'CHEMBL24147', 'AI3-03996', 'CHEBI:27810', 'Resorcinol [UN2876]  [Poison]', 'Resorcinol, 98%', 'MFCD00002269', 'NCGC00091501-01', 'Resorcino', 'BENZENE,1,3-DIHYDROXY   RESORCINOL', 'DSSTox_CID_1238', 'DSSTox_RID_76030', 'DSSTox_GSID_21238', 'RCO', 'Rezorsine', 'Resorcinol (1,3-Dihydroxybenzene)', 'Rodol RS', 'CAS-108-46-3', 'Eskamel', 'Remazol', 'm-hydroxy-phenol', '3-hydroxy-phenol', '3aqt', '3-Hydroxy phenol', 'Resorcinol, 8CI', 'benzen-1,3-diol', '1,3-benzene diol', 'Resorcine, technical', '1,3-dihyroxybenzene', '1,3-Dihydroxybenzol', 'Acnomel (Salt/Mix)', 'Eskamel (Salt/Mix)', 'Rezamid (Salt/Mix)', 'phenol derivative, 3', 'Benzene,3-dihydroxy-', 'Sulforcin (Salt/Mix)', '1,3-dihydroxy-benzene', 'PubChem22214', 'Spectrum_000173', 'M-Dihydroxybenzene,(S)', 'Spectrum2_001310', 'Spectrum3_000895', 'Spectrum4_000990', 'Spectrum5_001152', 'ACMC-1BUC4', 'WLN: QR CQ', 'bmse000415', 'EC 203-585-2', '1,3-Dihydroxybenzene, XII', 'NCIOpen2_003867', 'SCHEMBL15515', 'KBioGR_001399', 'KBioSS_000653', 'Resorcinol, &gt;=98%, FG', 'Resorcinol, LR, &gt;=99%', '26982-54-7', '4-06-00-05658 (Beilstein Handbook Reference)', 'KSC174M8L', 'BIDD:ER0285', 'DivK1c_000041', 'SPECTRUM1500527', 'SPBio_001379', 'Resorcinol, BioXtra, &gt;=99%', 'ZINC2028', 'DTXSID2021238', 'BDBM26189', 'CTK0H4685', 'FEMA 3589', 'HMS500C03', 'KBio1_000041', 'KBio2_000653', 'KBio2_003221', 'KBio2_005789', 'KBio3_001810', 'KS-00000WDP', 'Resorcinol, reagent grade, 98%', 'NSC1571', '4e49', 'NINDS_000041', 'Resorcinol [UN2876] [Poison]', 'HMS1920P06', 'HMS2092G07', 'Pharmakon1600-01500527', '1,3-Dihydroxybenzene (Resorcinol)', 'HY-B0907', 'NSC-1571', 'Resorcinol, ReagentPlus(R), 99%', 'Tox21_111140', 'Tox21_202417', 'Tox21_300140', 'ANW-15944', 'CCG-39248', 'LS-464', 'NSC757310', 'Resorcinol 10 microg/mL in Methanol', 'SBB040843', 'STL185604', 'AKOS000119813', 'Resorcinol, ACS reagent, &gt;=99.0%', 'Tox21_111140_1', 'DB11085', 'MCULE-7018276061', 'NSC-757310', 'UN 2876', 'IDI1_000041', 'NCGC00091501-02', 'NCGC00091501-03', 'NCGC00091501-04', 'NCGC00091501-05', 'NCGC00091501-06', 'NCGC00253918-01', 'NCGC00259966-01', 'Resorcinol, p.a., 99.0-100.5%', 'Resorcinol, tested according to Ph.Eur.', 'AC-14363', 'BP-21158', 'BR-79460', 'Resorcinol, SAJ first grade, &gt;=98.0%', 'SC-19106', 'SBI-0051505.P003', 'Resorcinol, JIS special grade, &gt;=99.0%', 'FT-0606668', 'FT-0674352', 'FT-0674353', 'NS00007013', 'R0008', 'S4579', 'ST50214427', '1,3-BENZENEDIOL; 1,3-DIHYDROXYBENZENE', '3252-EP2270101A1', '3252-EP2280005A1', '3252-EP2289884A1', '3252-EP2298312A1', '3252-EP2311806A2', '3252-EP2314579A1', '6393-EP2289483A1', '6393-EP2371806A1', '6393-EP2372017A1', 'C01751', 'D00133', 'M-6074', 'TRANSGENIC MODEL EVALUATION (RESORCINOL)', 'AB00052085_03', 'A801880', 'Q408865', 'SR-05000002092', 'Q-201666', 'SR-05000002092-1', 'BRD-K74190368-001-02-7', 'F1908-0097', 'Resorcinol, certified reference material, TraceCERT(R)', 'Z955123646', 'Resorcinol, European Pharmacopoeia (EP) Reference Standard', 'TRANSGENIC LEP (RESORCINOL) (SEE ALSO RESORCINOL)', 'Resorcinol, United States Pharmacopeia (USP) Reference Standard', 'Hymecromone impurity A, European Pharmacopoeia (EP) Reference Standard', 'RESORCINOL (SEE ALSO TRANSGENIC MODEL EVALUATION (RESORCINOL))', 'Resorcinol, Pharmaceutical Secondary Standard; Certified Reference Material', 'Resorcinol, meets analytical specification of Ph.??Eur., BP, 98.5-100.5% (calc. to the dried substance)']</t>
  </si>
  <si>
    <t>Compound(5054)</t>
  </si>
  <si>
    <t>1,3-dinitrobenzene</t>
  </si>
  <si>
    <t>['1,3-Dinitrobenzene', '99-65-0', 'M-DINITROBENZENE', '2,4-Dinitrobenzene', 'Benzene, 1,3-dinitro-', 'meta-Dinitrobenzene', '1,3-Dinitrobenzol', 'Dinitrobenzene', 'Benzene, m-dinitro-', 'm-DNB', 'Dwunitrobenzen', '1,3-Dinitro-benzene', '3-dinitrobenzene', 'Dinitrobenzene, m-', 'DINITROPHENYLENE', 'Dwunitrobenzen [Polish]', 'NSC 7189', 'UNII-DK8B627BU0', 'CCRIS 1802', 'HSDB 4017', 'EINECS 202-776-8', 'AI3-02913', 'DK8B627BU0', 'CHEBI:51397', 'NCGC00091351-02', 'NCGC00091351-03', 'DSSTox_CID_4065', 'DSSTox_RID_77277', 'DSSTox_GSID_24065', '1,3-Dinitrobenzene, analytical standard', 'CAS-99-65-0', 'Binitrobenzene', 'm-dinitrobenzol', '1,3 Dinitrobenzene', 'ACMC-209sdm', 'WLN: WNR CNW', 'SCHEMBL36632', 'ghl.PD_Mitscher_leg0.916', 'KSC487A5R', 'UN 1597 (Salt/Mix)', 'Ex077', 'CHEMBL114070', 'DTXSID9024065', 'SCHEMBL13815840', 'SCHEMBL17347353', 'CTK3I7058', '99-65-0 1,3-dinitrobenzene', 'NSC7189', 'm-Dinitrobenzene, liquid or solid', 'WT299', 'KS-00000WW1', 'NSC-7189', 'ZINC1683353', 'Tox21_111119', 'Tox21_400032', '(3-Nitrophenyloxylatoaminooxy)radical', 'ANW-41048', 'STL282471', 'AKOS000120046', 'DB02680', 'LS-2198', 'MCULE-7187890602', 'NCGC00091351-01', 'NCGC00091351-04', 'SC-46714', '1,3-Dinitrobenzene, 97% anhydrous basis', 'DB-032004', 'D0817', 'FT-0615610', 'NS00014601', 'X7172', '1,3-Dinitrobenzene 10 microg/mL in Methanol', 'A23174', 'Q-9475', 'AE-562/40238126', 'J-503935', 'Q2653558', 'm-Dinitrobenzene, liquid or solid [UN1597] [Poison]', '1,3-Dinitrobenzene,99%(drywt.),maycont.uptoca5%water', 'F0001-2338', 'm-Dinitrobenzene, liquid or solid [UN1597]  [Poison]', 'UNII-1PRF48770M component WDCYWAQPCXBPJA-UHFFFAOYSA-N', '1,3-Dinitrobenzene, certified reference material, TraceCERT(R)', '1,3-Dinitrobenzene, for HPLC derivatization, for the detection of steroids']</t>
  </si>
  <si>
    <t>Compound(7452)</t>
  </si>
  <si>
    <t>1,3-dioxane</t>
  </si>
  <si>
    <t>['1,3-DIOXANE', '505-22-6', 'm-Dioxane', '1,3-Dioxacyclohexane', 'meta-Dioxane', '1,3-Propanediol formal', 'm-Dioxin, dihydro-', 'Trimethylene glycol methylene ether', 'HSDB 4263', 'dihydro-m-dioxin', 'UNII-B2C8M17I09', 'CCRIS 5911', 'EINECS 208-005-1', 'NSC 139436', 'B2C8M17I09', '2,4-dioxane', '1-5-dioxane', '2,6-dioxane', '1,3-dioxan', 'B-1,3-dioxane', 'ACMC-1ASQC', '1,3-Dioxane, 97%', 'DTXSID3025174', 'CHEBI:46924', 'CTK1G9559', 'ZINC5052074', 'ACM505226', 'ANW-31037', 'LS-147', 'MFCD00006566', 'NSC139436', 'AKOS015856097', 'FCH1117325', 'NSC-139436', 'D0859', 'FT-0606704', 'NS00021179', '25752-EP2269990A1', '25752-EP2277861A1', '25752-EP2284159A1', '25752-EP2287159A1', '25752-EP2287167A1', '25752-EP2295406A1', '25752-EP2295432A1', '25752-EP2305648A1', '25752-EP2308839A1', '25752-EP2311825A1', '25752-EP2314577A1', '25752-EP2315303A1', 'Q4545677', '1,3-DIOXANE (SEE ALSO: 1,4-DIOXANE (CAS 123-91-1))']</t>
  </si>
  <si>
    <t>Compound(10450)</t>
  </si>
  <si>
    <t>C4H8O2</t>
  </si>
  <si>
    <t>1,3-diacetylbenzene</t>
  </si>
  <si>
    <t>1-(3-acetylphenyl)ethanone</t>
  </si>
  <si>
    <t>['1,3-DIACETYLBENZENE', '6781-42-6', "1,1'-(1,3-phenylene)diethanone", "Ethanone, 1,1'-(1,3-phenylene)bis-", 'Benzene-1,3-bis(acetyl)', 'm-Diacetylbenzene', 'MFCD00008740', '1,3-Diacetylbenzene, 99%', 'm-Acetyl acetophenone', '1-(3-acetylphenyl)ethanone', '1-(3-Acetylphenyl)ethan-1-one', 'm-diacetyl benzene', 'meta-diacetylbenzene', 'EINECS 229-842-9', 'ACMC-209o0z', '1,3-Diacetylbenzene, 97%', '1-(3-ethanoylphenyl)ethanone', 'KSC354Q7F', 'SCHEMBL279656', '3-CH3CO-C6H4-COCH3', 'CTK2F4872', 'DTXSID80218060', '1,1-(1,3-Phenylene)diethanone', 'KS-00000V2T', 'ZINC2029853', 'ZX-AT015226', 'ANW-35409', 'KM1138', 'SBB071421', 'AKOS004900787', 'FCH1118867', 'MCULE-3792336330', 'OR59987', 'AK-48964', 'CC-03092', 'CS-11495', 'SC-27733', 'ST092321', 'SY022506', 'AB0009912', 'AX8053916', 'D2617', 'FT-0606607', 'NS00010798', 'A835893', 'Benzene-1,3-bis(acetyl);benzene-1,3-bis(acetyl)', 'C-34718']</t>
  </si>
  <si>
    <t>Compound(23229)</t>
  </si>
  <si>
    <t>C10H10O2</t>
  </si>
  <si>
    <t>1,3-di-isopropylbenzene</t>
  </si>
  <si>
    <t>1,3-di(propan-2-yl)benzene</t>
  </si>
  <si>
    <t>['1,3-DIISOPROPYLBENZENE', '99-62-7', 'm-Diisopropylbenzene', 'Benzene, 1,3-bis(1-methylethyl)-', 'Benzene, m-diisopropyl-', 'm-Diisopropylbenzol', '1,3-Bis(1-methylethyl)benzene', 'HSDB 5325', '3-Isopropylcumene', 'UNII-482VXW192E', 'meta-Diisopropylbenzene', 'EINECS 202-773-1', 'BRN 1905828', 'CHEMBL31352', 'AI3-08224', '1,3-bis(propan-2-yl)benzene', '482VXW192E', 'MFCD00008889', 'DSSTox_CID_6640', 'DSSTox_RID_78170', 'DSSTox_GSID_26640', 'CAS-99-62-7', '1,3-di(propan-2-yl)benzene', 'meta-diisopropyl benzene', 'ACMC-209sdh', '1,3-diisopropyl benzene', '1,3-Diisopropyl-benzene', '1,3-dipropan-2-ylbenzene', 'EC 202-773-1', '1,3-di-iso-propyl-benzene', '1,3-bis(methylethyl)benzene', 'KSC493Q8H', '1,3-Diisopropylbenzene, 96%', 'DTXSID8026640', 'CTK3J3883', 'KS-00000XEF', 'UNEATYXSUBPPKP-UHFFFAOYSA-', 'Benzene, 1,3-di-(1-methylethyl)', 'ZINC2041162', 'Tox21_201318', 'Tox21_300362', 'ANW-41043', 'BDBM50409536', 'AKOS009031313', 'MCULE-7542963043', 'NCGC00164041-01', 'NCGC00164041-02', 'NCGC00164041-03', 'NCGC00254476-01', 'NCGC00258870-01', 'AS-57826', 'LS-29850', 'D0927', 'D2490', 'FT-0760730', 'NS00010078', 'ST50405543', '1-Isopropyl-3-methylbenzene (ACD/Name 4.0)', '1,3-diisopropylbenzene;Benzene, 1,3-diiso-propyl-', 'W-109373', 'Q27259097', 'UNII-K2RZG204KI component UNEATYXSUBPPKP-UHFFFAOYSA-N']</t>
  </si>
  <si>
    <t>Compound(7450)</t>
  </si>
  <si>
    <t>C12H18</t>
  </si>
  <si>
    <t>1,3-benzothiazole-2-sulfonic acid</t>
  </si>
  <si>
    <t>['Benzothiazole-2-sulfonic acid', '941-57-1', '2-Benzothiazolesulfonic acid', '1,3-Benzothiazole-2-sulfonic acid', '2-Benzothiazolesulfonicacid(6Ci,7Ci,8Ci,9Ci)', 'Q63396458', 'benzo[d]thiazole-2-sulfonic acid', 'benzothiazole sulfonic acid', '2-Benzothiazolsulfonic acid', 'benzthiazoline sulfonic acid', 'Benzothiazol-2-sulfonic acid', 'SCHEMBL329578', 'CTK3I8459', 'DTXSID80240528', 'ZINC1845473', 'AKOS000313321', 'AM101677', 'NS00010634', 'benzothiazole sulfonic acid;Benzothiazole-2-sulfonic acid']</t>
  </si>
  <si>
    <t>Compound(30647)</t>
  </si>
  <si>
    <t>C7H5NO3S2</t>
  </si>
  <si>
    <t>1,3-butadiene</t>
  </si>
  <si>
    <t>buta-1,3-diene</t>
  </si>
  <si>
    <t>['1,3-BUTADIENE', 'Buta-1,3-diene', 'BUTADIENE', 'Divinyl', '106-99-0', 'Vinylethylene', 'Biethylene', 'Erythrene', 'Bivinyl', 'Pyrrolylene', 'Butadieen', 'Butadien', 'Buta-1,3-dien', 'Buta-1,3-dieen', 'alpha,gamma-Butadiene', 'Butadiene monomer', 'NCI-C50602', 'Butadiene-1,3-uninhibited', 'CCRIS 99', '1,3 butadiene', 'Butadieen [Dutch]', 'Butadien [Polish]', '1,3-butadien', 'HSDB 181', 'JSD5FGP5VD', 'UNII-JSD5FGP5VD', 'EINECS 203-450-8', 'CH2=CHCH=CH2', '.alpha.,.gamma.-Butadiene', 'Buta-1,3-dieen [Dutch]', 'Buta-1,3-dien [German]', 'CHEBI:39478', '25339-57-5', '9003-17-2', 'UN 1010', 'Hydrocarbons, C4-5-unsatd.', '1,3-Butadiene, puriss., &gt;=99.5% (GC)', '1,3-Butadiene, homopolymer', 'Alfine', 'Hydrocarbons, C4-5 unsatd.', 'vinyl ethylene', '1,3-Butadiene, homopolymer, syndiotactic', 'Butadiene resin', 'Hystl', 'Carboxy-terminated polybutadiene', 'Poly(butadiene)', 'Butadiene polymer', 'Polybutadiene, carboxy-terminated', 'Butadiene oligomer', '1,3-Butadiene, homopolymer, carboxy-terminated', 'Butarez 15', 'EINECS 271-039-0', 'Butadiene homopolymer', 'alpha-gamma-butadiene', 'Dienite 556', 'Dienite 643', 'Polyoil 110', 'Polyoil 130', 'Butadiene, 1,3-', 'Poly-1,3-butadiene', 'Dienite X 555', 'Dienite X 644', 'Diene 35 NF', 'Budium RK 622', 'Quintol B 1000', '1,3-Butadiene polymer, carboxy-terminated', 'ACMC-1BPVB', 'Nisso PB 100', 'Hystl B 300', '1,3-Butadiene polymer, carboxyl-terminated', 'Atactic butadiene polymer', 'Nisso BN 1000', 'Nisso PB 3000', 'Nisso PB 4000', 'Nisso PR 2000', 'Hystl B 1000', 'Hystl B 2000', 'Hystl B 3000', 'Pbc200', '1,3-Butadiene, polymers', 'Nisso PB-B 4000', 'BUTADIENE 1,3', 'Nisso PB-GQ 3000', '2-Butene-1,4-diylradical', 'alpha,&lt;&lt;gamma&gt;&gt;-Butadiene', 'FCR 1261pd', 'CH2=CH-CH=CH2', 'CH22CH1CH2CH2', '31567-90-5', '68441-48-5', '68514-37-4', '1,3-Butadiene, &gt;=99%', '1,3-butadiene, various grades', 'CHEMBL537970', 'XPDR-A 288', 'XRDR-A-288', 'DTXSID3020203', 'CTK0H7242', 'HSDB 1196', 'FCR 126', 'LCB 150', '1,3-Butadiene, &gt;=99.6%', 'CB 10', 'FCR 1261', 'KS-000017UN', '[(E)-2-Butene-1,4-diyl]radical', 'LS-417', 'ZINC71775431', '1,3-Butadiene, purum, &gt;=98.0%', 'AKOS007930655', '1,3-Butadiene (ca. 15% in Toluene)', 'B 11', '929-EP2270101A1', '929-EP2270113A1', '929-EP2272849A1', '929-EP2272935A1', '929-EP2277945A1', '929-EP2284165A1', '929-EP2289896A1', '929-EP2292586A2', '929-EP2295426A1', '929-EP2295427A1', '929-EP2295438A1', '929-EP2298753A1', '929-EP2301924A1', '929-EP2309584A1', '929-EP2374780A1', '929-EP2374781A1', 'B0675', 'B4358', 'B4359', 'FT-0606587', 'NS00007558', 'S 820', 'J3.623.750C', '1,3-Butadiene solution, 15 wt. % in hexane', '1,3-Butadiene solution, 20 wt. % in toluene', '5920-EP0930075A1', '5920-EP2292604A2', '5920-EP2308843A1', 'B 3000', 'C16450', 'EC 203-450-8', 'Q161503', '1,3-Butadiene Solution 100 microg/mL in Methanol', '1,3-Butadiene(ca.13%inTetrahydrofuran,ca.2mol/L)', '1,3-Butadiene 10 microg/mL in N,N-Dimethylacetamide', '1,3-Butadiene 50 microg/mL in N,N-Dimethylacetamide', '1,3-Butadiene 150 microg/mL in N,N-Dimethylacetamide', '1,3-Butadiene 250 microg/mL in N,N-Dimethylacetamide', '1,3-Butadiene 400 microg/mL in N,N-Dimethylacetamide', '1,3-Butadiene 200 microg/mL in Methanol. Short expiry date due to chemical nature of component(s)', 'B 7']</t>
  </si>
  <si>
    <t>Compound(7845)</t>
  </si>
  <si>
    <t>C4H6</t>
  </si>
  <si>
    <t>1,3-xylene</t>
  </si>
  <si>
    <t>['M-XYLENE', '1,3-Dimethylbenzene', '108-38-3', '1,3-Xylene', 'm-Xylol', 'meta-Xylene', 'm-Dimethylbenzene', 'm-Methyltoluene', 'Benzene, 1,3-dimethyl-', '3-Xylene', '1,3-Dimethylbenzol', 'Santosol 150', 'm-Xylene, benzylated', 'm-Xylenes', 'Xylene, m-', '2,4-Xylene', 'Benzene, 1,3-dimethyl-, benzylated', 'Benzene, m-dimethyl-', '1,3-Dimethylbenzene, benzylated', 'UNII-O9XS864HTE', 'NSC 61769', 'CCRIS 907', 'HSDB 135', 'META XYLENE', 'EINECS 203-576-3', 'EINECS 272-684-0', 'O9XS864HTE', 'AI3-08916', 'CHEMBL286727', 'CHEBI:28488', 'MFCD00008536', 'Xylol, Dimethylbenzene', 'DSSTox_CID_1446', 'DSSTox_RID_78091', 'DSSTox_GSID_26298', 'Benzylated m-xylene', 'Naphtha Solvent from Coal Tar', 'm-Xylene, 99+%, extra pure', 'CAS-108-38-3', 'm-Xylene, 99%, Extra Dry, AcroSeal(R)', 'metaxylene', 'M xylene', 'Xylene, mixed isomers', '1,3-dimethyl-benzene', 'm-Xylene [UN1307]  [Flammable liquid]', 'bmse000554', 'Xylenes Reagent Grade ACS', 'EC 203-576-3', 'DSSTox_RID_76162', 'DSSTox_GSID_21446', 'KSC492A9P', 'm-Xylene, analytical standard', 'BENZENE,1,3-DIMETHYL', 'ACMC-1C123', 'WLN: 1R C1', 'm-Xylene, anhydrous, &gt;=99%', 'DTXSID6026298', 'm-Xylene, for synthesis, 99%', 'CTK3J2097', 'KS-00000VPL', 'ZINC968281', 'm-Xylene, ReagentPlus(R), 99%', 'NSC61769', 'm-Xylene 10 microg/mL in Methanol', 'Tox21_200292', 'Tox21_202056', 'Tox21_303203', 'BDBM50008556', 'LS-459', 'NSC-61769', 'STL268867', 'm-Xylene 100 microg/mL in Methanol', 'AKOS000121123', 'MCULE-9376558510', 'm-Xylene [UN1307] [Flammable liquid]', 'NCGC00091711-01', 'NCGC00091711-02', 'NCGC00091711-03', 'NCGC00257052-01', 'NCGC00257846-01', 'NCGC00259605-01', 'LS-29889', 'm-Xylene, SAJ first grade, &gt;=98.5%', 'CAS-1330-20-7', 'FT-0629041', 'NS00010709', 'S0648', 'm-Xylene, puriss. p.a., &gt;=99.0% (GC)', 'C07208', '28307-EP2280005A1', '28307-EP2289884A1', '28307-EP2301536A1', '28307-EP2301538A1', '28307-EP2301923A1', '28307-EP2301930A1', '28307-EP2309584A1', '28307-EP2311455A1', '28307-EP2314577A1', '28307-EP2380568A1', 'm-, o-, and p-Dimethylbenzene (mixed isomers).', 'J-503933', 'Q3234708', 'F1908-0174', 'UNII-D856J1047R component IVSZLXZYQVIEFR-UHFFFAOYSA-N', 'm-Xylene, Pharmaceutical Secondary Standard; Certified Reference Material', 'Xylene mixture (50.31% m-xylene, 26.9% o-xylene, 22.24% p-xylene)']</t>
  </si>
  <si>
    <t>Compound(7929)</t>
  </si>
  <si>
    <t>1,4, 5,8-tetra-amino-9,10-anthraquinone</t>
  </si>
  <si>
    <t>1,4,5,8-tetraaminoanthracene-9,10-dione</t>
  </si>
  <si>
    <t>['DISPERSE BLUE 1', 'Acetate Blue G', '2475-45-8', 'C.I. Disperse Blue 1', '1,4,5,8-Tetraaminoanthraquinone', 'Celliton Blue G', 'Perliton Blue B', 'Fenacet Blue G', 'Nacelan Blue G', 'Cilla Blue Extra', 'Amacel Blue GG', 'Serinyl Blue 2G', 'Serinyl Blue 3G', 'Miketon Fast Blue', 'Artisil Blue SAP', 'Grasol Blue 2GS', 'Neosetile Blue EB', 'Solvent Blue 18', 'Serinyl Blue 3GN', 'Setacyl Blue 2GS', 'Brasilazet Blue GR', 'Acetoquinone Blue L', 'Acetoquinone Blue R', 'Celliton Blue Extra', 'Microsetile Blue EB', 'Amacel Pure Blue B', 'Nyloquinone Blue 2J', 'Miketon Fast Blue B', 'C.I. Solvent Blue 18', 'Disperse Blue NO 1', '9,10-Anthracenedione, 1,4,5,8-tetraamino-', 'Acetylon Fast Blue G', 'Celliton Blue BB-CF', 'Celliton Blue GA-CF', 'Supracet Deep Blue R', 'Kayalon Fast Blue BR', 'Artisil Blue SAP Conc', 'Setacyl Blue 2GS II', '1,4,5,8-tetraaminoanthracene-9,10-dione', 'Oracet Sapphire Blue G', 'Cibacet Sapphire Blue G', 'Diacelliton Fast Blue R', 'Cibacete Sapphire Blue G', 'Duranol Brilliant Blue CB', 'Celanthrene Pure Blue BRS', 'Supracet Brilliant Blue 2GN', 'Acetate Blue 6', 'C.I. 64500', '1,4,5,8-Tetraminoanthraquinone', 'NCI-C54900', 'CI Disperse Blue 1', '1,4,5,8-Tetraamino-9,10-anthracenedione', 'CI Solvent Blue 18', 'Dracet Sapphire Blue G', 'UNII-2429NAZ8WH', 'Anthraquinone, 1,4,5,8-tetramino-', 'NSC 39936', 'Anthraquinone, 1,4,5,8-tetraamino-', 'CCRIS 1419', '1,4,5,8-Tetraaminoanthra-9,10-quinone', 'HSDB 4200', 'EINECS 219-603-7', 'BRN 0925672', 'CI 64500', '2429NAZ8WH', 'CHEBI:82325', 'NSC39936', 'grasol blu e 2gs', 'serinyl blue  2g', 'acetoquinone blue  r', 'celliton b lue bb-cf', 'disperse blue no. 1', 'diacellition fast blue r', 'Artisil Blue Sap Conc.', '1,5,8-Tetraminoanthraquinone', 'CHEMBL87568', 'SCHEMBL125495', '1,5,8-Tetraaminoanthraquinone', '9, 1,4,5,8-tetraamino-', 'DTXSID7020188', 'CTK8E3132', 'Anthraquinone,4,5,8-tetraamino-', '1,4,5,8-Tetraamino-anthraquinone', 'ZINC3861518', 'MFCD00001225', 'NSC-39936', 'SBB057268', 'Disperse Blue 1, Dye content 30 %', 'AKOS001567886', 'LS-1059', 'MCULE-6975341302', '1,5,8-Tetraamino-9,10-anthracenedione', 'NCGC00164089-01', 'AC-16450', 'NCI60_003723', '1,4,5,8-tetraamino-9,10-anthraquinone', 'WLN: L C666 BV IVJ DZ GZ KZ NZ', '1,4,5,8-Tetraaminoanthra-9,10-quinone #', 'NS00020775', 'ST50308422', 'Anthraquinone, 1,4,5,8-tetraamino- (8CI)', 'C19236', 'J-015656', 'Q27155877']</t>
  </si>
  <si>
    <t>Compound(17190)</t>
  </si>
  <si>
    <t>C14H12N4O2</t>
  </si>
  <si>
    <t>1,4-butanediamine</t>
  </si>
  <si>
    <t>butane-1,4-diamine</t>
  </si>
  <si>
    <t>['putrescine', '1,4-diaminobutane', '1,4-butanediamine', 'butane-1,4-diamine', '110-60-1', 'tetramethylenediamine', 'Butylenediamine', 'Putrescin', '1,4-Butylenediamine', 'Tetramethyldiamine', '1,4-Tetramethylenediamine', 'putrescina', 'Putreszin', 'Tetramethylendiamin', 'UNII-V10TVZ52E4', 'NSC 60545', 'BRN 0605282', 'CCRIS 6751', 'H2N(CH2)4NH2', 'AI3-25444', '1,4-Diamino-n-butane', 'EINECS 203-782-3', 'MFCD00008235', '1,4-Diaminobutane, 99%', 'CHEMBL46257', 'V10TVZ52E4', 'CHEBI:17148', 'NSC-60545', 'PUT', 'butylene amine', 'HSDB 7865', 'tetramethylendiamine', '4-amino-butyl-amine', 'tetramethylene diamine', '1,4 diamino butane', '1,4-butane diamine', '1,4-diamino butane', 'Putrescine, free base', 'Spectrum_001646', '1i7c', '1i7m', 'Spectrum2_001935', 'Spectrum3_001198', 'Spectrum4_000237', 'Spectrum5_001005', 'Lopac-P-7505', 'ACMC-1BP9O', 'bmse000109', 'bmse000814', 'bmse000862', 'EC 203-782-3', 'BUTANE,1,4-DIAMINO', 'butane-1 pound not4-diamine', 'Lopac0_000972', 'BSPBio_002875', 'KBioGR_000933', 'KBioSS_002126', 'DivK1c_000716', 'SPBio_001969', '.alpha.,.omega.-Butanediamine', 'Putrescine, analytical standard', 'GTPL2388', 'DTXSID4041107', 'CTK0I0210', 'KBio1_000716', 'KBio2_002126', 'KBio2_004694', 'KBio2_007262', 'KBio3_002375', 'KS-00000UIO', '1a99', 'NINDS_000716', 'EBD52608', 'HY-N2407', 'NSC60545', 'ZINC5828633', 'ANW-16171', 'BBL027703', 'BDBM50009385', 'Putrescine; NSC 60545; Putramine', 's5825', 'SBB059998', 'STL372697', 'AKOS000119071', 'CCG-205052', 'DB01917', 'MCULE-3098044935', 'NE10565', 'SDCCGMLS-0066929.P001', 'SDCCGSBI-0050945.P003', 'IDI1_000716', 'NCGC00015837-01', 'NCGC00015837-02', 'NCGC00015837-03', 'NCGC00162302-01', 'BP-21408', 'LS-45640', 'NCI60_004431', 'SC-50226', 'CS-0022608', 'D0239', 'FT-0606836', 'NS00009671', 'ST45255380', '1,4-Diaminobutane, purum, &gt;=98.0% (GC)', 'C00134', 'C02896', 'P-7990', '1,4-Diaminobutane, puriss., &gt;=99.0% (GC)', '115003-EP2287167A1', '115003-EP2295399A2', '115003-EP2298728A1', '148095-EP2277878A1', '148095-EP2280005A1', '148095-EP2289884A1', 'Q410190', 'F1791-1258', 'Z1245649995', 'A4738F6F-F1A1-4B30-BF38-866D5AC66C93', 'Putrescine;tetramethylenediamine;Tetramethylenediammonium dichloride;1,4-Diaminobutane dihydrochloride']</t>
  </si>
  <si>
    <t>Compound(1045)</t>
  </si>
  <si>
    <t>C4H12N2</t>
  </si>
  <si>
    <t>1,4-butanediol diglycidyl ether</t>
  </si>
  <si>
    <t>2-[4-(oxiran-2-ylmethoxy)butoxymethyl]oxirane</t>
  </si>
  <si>
    <t>['1,4-Butanediol diglycidyl ether', '2425-79-8', '1,4-Diglycidyloxybutane', '1,4-Butane diglycidyl ether', '1,4-bis(oxiran-2-ylmethoxy)butane', '1,4-Bis(glycidyloxy)butane', '1,4-BIS(2,3-EPOXYPROPOXY)BUTANE', 'Butanediol diglycidyl ether', 'Tetramethylene glycol diglycidyl ether', 'Araldit DY 026', 'Grilonit RV 1806', '1,4-Diglycidloxybutane', 'ChS-RR2', "Oxirane, 2,2'-[1,4-butanediylbis(oxymethylene)]bis-", 'Butane, 1,4-bis(2,3-epoxypropoxy)-', '1,4-Bis(oxiranylmethyloxy)butane', 'Butane-1:4-diol diglycidyl ether', 'UNII-E9MU425FIB', '1,4-Bis(2,3-epoxypropyloxy)butane', 'NSC 24834', '1,4-Butanedioldiglycidylether', 'CD 15006 A', 'CCRIS 2639', 'TK 10352', 'HSDB 5459', 'EINECS 219-371-7', 'BRN 0115238', 'E9MU425FIB', '(Tetramethylenebis(oxymethylene))dioxirane', 'Butanediol diglycidyl ether, 1,4-', "2,2'-(1,4-Butanediylbis(oxymethylene))bis(oxirane)", "Oxirane, 2,2'-(1,4-butanediylbis(oxymethylene))bis-", '[Tetramethylenebis(oxymethylene)]dioxirane', "2,2'-(1,4-Butanediylbis(oxymethylene)bisoxirane)", '2,4-Butanediylbis(oxymethylene)]bis(oxirane)', '2,4-Butanediylbis(oxymethylene)]bis[oxirane]', '1,4-Butanediol diglycidyl ether, 60%, technical', "2,2'-[butane-1,4-diylbis(oxymethylene)]dioxirane", "2,2'-[1,4-Butanediylbis(oxymethylene)]bis[oxirane]", 'MFCD00005146', '1,3-epoxypropoxy)butane', 'Heloxy 67 (Salt/Mix)', 'DSSTox_CID_4667', '1,3-epoxypropyloxy)butane', 'EC 219-371-7', 'DSSTox_RID_77493', 'DSSTox_GSID_24667', 'SCHEMBL21272', '29611-97-0', '5-17-03-00023 (Beilstein Handbook Reference)', 'CHEMBL1450123', 'DTXSID7024667', 'Butane,4-bis(2,3-epoxypropoxy)-', 'KS-00000ZV2', 'NSC24834', 'Tox21_202267', 'NSC-24834', "Oxirane, 2,2'-(1,4-butanediylbis(oxymethylene))bis-, homopolymer", 'AKOS015901760', 'LS-1040', '1,4-Butanediyl diglycidyl ether, ~70%', 'NCGC00091209-01', 'NCGC00091209-02', 'NCGC00259816-01', 'AS-18231', '1,4-Butanediol diglycidyl ether, &gt;=95%', 'CAS-2425-79-8', 'B0964', 'FT-0689123', 'NS00011502', 'ST50308052', 'W4780', 'C-34135', "Oxirane,2'-[1,4-butanediylbis(oxymethylene)]bis-", '2-([4-(2-Oxiranylmethoxy)butoxy]methyl)oxirane #', 'J-015419', 'Oxirane, 2,2-[1,4-butanediylbis(oxymethylene)]bis-', 'Q13427523', '1,4-Butanediol diglycidyl ether, technical grade, 60%', '1,4-bis(2,3-epoxypropoxy)butane ;1,4-bis(2,3-epoxypropoxy)butane;2-Propenoic acid, polymer with 2,2-[1,4-butanediylbis(oxymethylene)]bis[oxirane]']</t>
  </si>
  <si>
    <t>Compound(17046)</t>
  </si>
  <si>
    <t>C10H18O4</t>
  </si>
  <si>
    <t>1,4-butanediol</t>
  </si>
  <si>
    <t>butane-1,4-diol</t>
  </si>
  <si>
    <t>['1,4-BUTANEDIOL', 'Butane-1,4-diol', '110-63-4', '1,4-Butylene glycol', 'Tetramethylene glycol', '1,4-Dihydroxybutane', '1,4-Tetramethylene glycol', 'Tetramethylene 1,4-diol', 'Sucol B', '1,4-BD', 'DIOL 14B', 'Agrisynth B1D', 'UNII-7XOO2LE6G3', 'HO(CH2)4OH', 'NSC 406696', 'CCRIS 5984', 'HSDB 1112', 'EINECS 203-786-5', 'MFCD00002968', 'HOCH2CH2CH2CH2OH', 'BRN 1633445', '7XOO2LE6G3', 'AI3-07553', 'CHEBI:41189', 'DSSTox_CID_4666', 'DSSTox_RID_77492', 'DSSTox_GSID_24666', 'BDO', 'BU1', 'CAS-110-63-4', '1,4-Butanediol, homopolymer', '4-hydroxybutanol', '1,4butanediol', '1.4-butanediol', 'Dabco BDO', '1,4-butandiol', '1,4-butane diol', '1,4-butane-diol', 'butane 1,4-diol', 'butane diol-1,4', 'butane-1-4-diol', '1,4- butandiol', 'Butan-1.4-diol', '1.4 - butanediol', '1,4 butylene glycol', 'ACMC-1BRE8', '1,4-Butanediol, 99%', 'EC 203-786-5', 'WLN: Q4Q', '4-01-00-02515 (Beilstein Handbook Reference)', 'KSC175Q8N', 'MLS001061198', '1,4-Butanediol 4 M solution', 'CHEMBL171623', 'DTXSID2024666', 'CTK0H5886', 'KS-00000WMZ', 'HMS3039N12', 'ZINC1599375', 'Tox21_202245', 'Tox21_303040', 'ANW-16175', 'LS-512', 'NSC406696', 'STL283940', 'AKOS000118735', '1,4-Butanediol, for synthesis, 98%', 'CS-W016669', 'DB01955', 'MCULE-2010022287', 'NSC-406696', '1,4-Butanediol, ReagentPlus(R), 99%', 'NCGC00090733-01', 'NCGC00090733-02', 'NCGC00257119-01', 'NCGC00259794-01', '28324-25-6', 'BP-21418', 'SC-79277', 'SMR000677930', '1,4-Butanediol, ReagentPlus(R), &gt;=99%', 'B0680', 'FT-0606811', 'NS00006936', '3379-EP2272849A1', '3379-EP2292597A1', '3379-EP2301919A1', '3379-EP2305668A1', '1,4-Butanediol, Vetec(TM) reagent grade, 98%', '48881-EP2270101A1', '48881-EP2275417A2', '48881-EP2284162A2', '48881-EP2284163A2', '48881-EP2284165A1', '48881-EP2295399A2', '48881-EP2295438A1', '48881-EP2308865A1', '48881-EP2311841A1', '48881-EP2371797A1', '48881-EP2371798A1', '48881-EP2371805A1', '48881-EP2380568A1', '48881-EP2380873A1', 'Q161521', 'J-503971', 'J-512798', 'F0001-0222', 'Z1259087047', 'UNII-TMS4MGA0H4 component WERYXYBDKMZEQL-UHFFFAOYSA-N', '1,4-Butanediol solution, 1.0 mg/mL in methanol, ampule of 1 mL, certified reference material', '732189-03-6']</t>
  </si>
  <si>
    <t>Compound(8064)</t>
  </si>
  <si>
    <t>C4H10O2</t>
  </si>
  <si>
    <t>1- (4-chlorophenyl) urea</t>
  </si>
  <si>
    <t>(4-chlorophenyl)urea</t>
  </si>
  <si>
    <t>['4-Chlorophenylurea', '1-(4-chlorophenyl)urea', '140-38-5', '(4-CHLOROPHENYL)UREA', 'Urea, (4-chlorophenyl)-', '(p-Chlorophenyl)urea', 'p-CPU', 'Urea, (p-chlorophenyl)-', '1-(p-Chlorophenyl)urea', 'N-(4-Chlorophenyl)urea', 'P-CHLOROPHENYLUREA', 'Urea, 1-(p-chlorophenyl)-', 'UNII-52HM99ELKB', 'EINECS 205-412-6', 'NSC 12971', 'BRN 0908492', '52HM99ELKB', 'Urea, N-(4-chlorophenyl)-', 'AI3-20197', 'p-chlorophenyl urea', 'NSC12971', '4-Chlorophenyl urea', 'CPU 4-chlorophenylurea', '3-(4-chlorophenyl)urea', 'Maybridge1_007118', 'ACMC-1BVQ0', 'N-(4-Chlorophenyl)urea #', 'Urea,N-(4-chlorophenyl)-', 'DSSTox_CID_21512', 'DSSTox_RID_79757', 'DSSTox_GSID_41512', 'MLS001005702', 'SCHEMBL224279', 'amino-N-(4-chlorophenyl)amide', 'CHEMBL1544569', 'DTXSID5041512', 'CTK4C2152', 'HMS561L12', 'ZINC97935', 'HMS2756H14', 'Urea, (p-chlorophenyl)- (8CI)', 'KS-00000O2U', 'Tox21_300837', 'ANW-55687', 'BBL004576', 'HTS000781', 'MFCD00014788', 'NSC-12971', 'NSC400071', 'STK368443', 'AKOS000200346', 'MCULE-3872752626', 'NSC-400071', 'NCGC00246128-01', 'NCGC00246128-02', 'NCGC00254741-01', 'AK-59139', 'CAS-140-38-5', 'S828', 'SMR000348912', 'LS-159545', 'FT-0618254', 'H2450', 'NS00021640', 'ST50409806', 'EN300-14986', '12F-909', 'AR-360/40260054', 'J-007381', 'Q27261007', 'Z56754682']</t>
  </si>
  <si>
    <t>Compound(8796)</t>
  </si>
  <si>
    <t>C7H7ClN2O</t>
  </si>
  <si>
    <t>1,4-diamino benzene</t>
  </si>
  <si>
    <t>benzene-1,4-diamine</t>
  </si>
  <si>
    <t>['p-Phenylenediamine', 'benzene-1,4-diamine', '106-50-3', '1,4-BENZENEDIAMINE', '1,4-Diaminobenzene', '1,4-Phenylenediamine', '4-Aminoaniline', 'para-phenylenediamine', 'p-Diaminobenzene', 'p-Aminoaniline', 'Orsin', '4-Phenylenediamine', 'Paraphenylenediamine', 'p-Benzenediamine', 'Fouramine D', 'Futramine D', 'Benzofur D', 'Fourrine D', 'Fur Yellow', 'Developer PF', 'Santoflex IC', 'Santoflex LC', 'Pelagol D', 'Tertral D', 'Durafur Black R', 'Pelagol DR', 'Peltol D', 'Fourrine 1', 'Pelagol Grey D', 'Furro D', 'Ursol D', 'Zoba Black D', 'Renal PF', 'Developer 13', 'Nako H', 'BASF ursol D', 'Oxidation base 10', 'Fenylenodwuamina', 'p-Phenyldiamine', 'P-PHENYLENE DIAMINE', 'Usaf ek-394', 'C.I. Developer 13', 'Rodol D', 'Fur Black 41867', 'Paraphenylen-diamine', 'FUR Brown 41866', 'paraphenylene-diamine', 'C.I. Oxidation Base 10', 'p-Fenylendiamin', 'CI Developer 13', 'p-phenylenediamine base', 'CI Oxidation Base 10', 'Fur Black 41866', 'p-Fenylendiamin [Czech]', 'Fenylenodwuamina [Polish]', 'NSC 4777', 'C.I. 76060', 'para-diaminobenzene', 'UNII-U770QIT64J', 'CCRIS 509', 'CI 76060', 'CHEBI:51403', 'HSDB 2518', 'Phenylenediamine, para-', 'EINECS 203-404-7', 'AI3-00710', 'U770QIT64J', 'MFCD00007901', 'NCGC00159375-02', 'NCGC00159375-04', 'DSSTox_CID_1138', 'p-Phenylenediamine, 99+%', 'DSSTox_RID_75969', 'DSSTox_GSID_21138', 'Phenylenediamines', '4-aminophenylamine', 'CAS-106-50-3', '4-phenylene diamine', 'PHENYLENEDIAMINE, P-', 'p-phenylendiamine', '4-amino-aniline', 'Aminogen II', 'p-phenylene-diamine', 'paraphenylene diamine', '1,4-diamino benzene', 'para-phenylene diamine', 'Phenylenediamine, para', 'JAROCOL PPD', '1,4 phenylene diamine', 'PubChem22180', 'ACMC-1CUCB', 'WLN: ZR DZ', 'Epitope ID:114080', 'EC 203-404-7', 'SCHEMBL27981', '1,4-DIAMINO-BENZENE', 'PARA PHENYLENE DIAMINE', '1,4-Phenylenediamine-13N2', 'KSC174M0N', 'HSDB 6256 (Salt/Mix)', 'CHEMBL403741', 'DTXSID9021138', 'CTK0H4606', 'NSC4777', 'ATTERCOP-CHM AT126215', 'OTAVA-BB 1509975', 'C.I. 76076 (Salt/Mix)', 'LABOTEST-BB LTBB002107', 'ACT07286', 'NSC-4777', 'STR01091', 'ZINC8294962', 'Tox21_111615', 'Tox21_201993', 'Tox21_302943', 'ANW-15356', 'BBL011602', 'LS-402', 'STL163334', 'AKOS005716327', 'p-Phenylenediamine, sublimed, &gt;=99%', 'Tox21_111615_1', 'AS00466', 'DB14141', 'MCULE-9588027148', 'NE10526', 'UN 1673', 'KS-00000V64', 'p-Phenylenediamine, flakes, &gt;=99.5%', 'NCGC00159375-03', 'NCGC00159375-05', 'NCGC00256482-01', 'NCGC00259542-01', 'I809', 'SC-77433', 'p-Phenylenediamine, &gt;=99.0% (GC/NT)', 'FT-0606928', 'FT-0673749', 'NS00010864', 'P0170', 'EN300-19064', 'C19499', 'Q415024', 'p-Phenylenediamine [UN1673] [Keep away from food]', 'p-Phenylenediamine, technical, &gt;=97.0% (GC/NT)', '1,4-Phenylenediamine 2000 microg/mL in Acetonitrile', 'p-Phenylenediamine [UN1673]  [Keep away from food]', 'F0001-0125', 'Z426537038', 'UNII-TJX894Z2PK component CBCKQZAAMUWICA-UHFFFAOYSA-N', 'p-Phenylenediamine, zone-refined, purified by sublimation, &gt;=99%']</t>
  </si>
  <si>
    <t>Compound(7814)</t>
  </si>
  <si>
    <t>1,4-diaminobenzene dihydrochloride</t>
  </si>
  <si>
    <t>benzene-1,4-diamine;dihydrochloride</t>
  </si>
  <si>
    <t>['624-18-0', 'benzene-1,4-diamine dihydrochloride', 'p-Phenylenediamine dihydrochloride', '1,4-DIAMINOBENZENE DIHYDROCHLORIDE', '1,4-Phenylenediamine dihydrochloride', 'Fourrine DS', '1,4-Benzenediamine dihydrochloride', '1,4-Benzenediamine, dihydrochloride', 'Pelagol CD', 'Pelagol Grey CD', 'Durafur Black RC', 'Fourrine 64', 'p-Pda HCl', 'Oxidation Base 10A', 'p-PD HCl', 'p-Phenylenediamine HCl', 'p-Diaminobenzene dihydrochloride', 'p-Phenylenediamine.2HCl', 'CI Oxidation Base 10A', 'C.I. Oxidation Base 10A', 'CCRIS 510', 'p-Aminoaniline dihydrochloride', '4-Aminoaniline dihydrochloride', 'Phenylenediamine dihydrochloride', 'p-Benzenediamine dihydrochloride', 'UNII-GL418131I1', 'HSDB 5436', 'NCI-C03930', 'p-Phenylenediamine, dihydrochloride', 'p-Phenylenediamine 2HCl', 'EINECS 210-834-9', '1,4-Phenylenediamine 2-hydrochloride', 'NSC 112725', 'CI 76061', 'C.I. 76061', '1,4-Benzenediamine hydrochloride', '1,4-Phenylenediamine hydrochloride', 'GL418131I1', 'para-Phenylenediamine hydrochloride', 'W-104999', 'p-Phenylenediamine dihydrochloride, 99+%', '1,4-PHENYLENEDIAMMONIUM DICHLORIDE', '1,4-Benzenediamine, hydrochloride (1:2)', 'pe lagol cd', 'ACMC-1B8GI', 'DSSTox_CID_1141', 'DSSTox_GSID_21141', 'p-Amimoaniline dihydrochloride', 'KSC353Q5H', 'SCHEMBL378591', '1,4-Phenyldiamine hydrochloride', 'CHEMBL3561416', 'DTXSID8021141', 'p-benzenediamine dihydroch loride', 'CTK2F3853', 'ACT07287', 'paraphenylene diamine dihydrochloride', 'Tox21_303880', 'ANW-34202', 'MFCD00013002', 'AKOS016008571', 'LS-1497', 'MCULE-7306560059', 'OR51807', 'NCGC00357140-01', 'AS-12683', 'CAS-624-18-0', 'P-PHENYLENE DIAMINE DIHYDROCHLORIDE', 'DB-073115', 'P0152', '1,4-Phenylenediamine dihydrochloride, &gt;=99.0%', 'Q3318029']</t>
  </si>
  <si>
    <t>Compound(12205)</t>
  </si>
  <si>
    <t>1,4-dimethoxy- 2,3, 5,6-tetramethylbenzene</t>
  </si>
  <si>
    <t>1,4-dimethoxy-2,3,5,6-tetramethylbenzene</t>
  </si>
  <si>
    <t>['Dimethoxydurene', '1,4-Dimethoxy-2,3,5,6-tetramethylbenzene', '13199-54-7', 'Benzene, 1,4-dimethoxy-2,3,5,6-tetramethyl-', 'SCHEMBL2952712', 'CTK0F5219', 'DTXSID20345081', 'ZINC1504866', 'AKOS004903457', '2,5-dimethoxy-1,3,4,6-tetramethylbenzene']</t>
  </si>
  <si>
    <t>Compound(601765)</t>
  </si>
  <si>
    <t>C12H18O2</t>
  </si>
  <si>
    <t>1,4-dimethoxybenzene</t>
  </si>
  <si>
    <t>['1,4-Dimethoxybenzene', '150-78-7', 'p-Dimethoxybenzene', 'HYDROQUINONE DIMETHYL ETHER', 'p-Methoxyanisole', 'Benzene, 1,4-dimethoxy-', 'Quinol dimethyl ether', 'Benzene, p-dimethoxy-', 'Dimethylhydroquinone ether', 'Dimethyl ether hydroquinone', '1,4-Dimethoxybenzol', 'USAF AN-9', '4-Methoxyanisole', '1,4-dimethoxy-benzene', 'Dimethyl hydroquinone', 'Anisole, p-methoxy-', 'Methyl p-methoxyphenyl ether', 'Dimethylether hydrochinonu', 'USAF uctl-1791', 'Hydroquinone, dimethyl ether', 'NSC 7483', 'UNII-24WC6T6X0G', 'FEMA No. 2386', 'CCRIS 5920', 'Dimethylolbenzimidazolon', 'HSDB 4259', '1,4-dimethoxy benzene', 'Dimethylether hydrochinonu [Czech]', 'EINECS 205-771-9', 'MFCD00008401', '4-Methoxyphenol, methyl ether', 'AI3-24139', '24WC6T6X0G', '1,3-Bis(hydroxymethyl)-2-benzimidazolinone', 'DSSTox_CID_2014', 'DSSTox_RID_76460', 'DSSTox_GSID_22014', 'Hydroquinone dimethyl ether (1,4-Dimethoxybenzene)', '1,4-Dimethoxybenzene, 99+%', 'CAS-150-78-7', 'p-Methoxy-Anisole', 'p-dimethoxy benzene', 'p-Dimethoxy-Benzene', 'Hydroquinone dimethyl', '1,4-dimethoxy-benzen', '1,4-di-methoxybenzene', '1,4-Dimethoxybenzene.', 'hydroquinone dimethylether', 'Benzene,1,4-dimethoxy-', 'EC 205-771-9', '1-Methoxy-4-methoxybenzene', 'SCHEMBL8489', 'ACMC-1C1E3', 'Methyl 4-methoxyphenyl ether', 'WLN: 1OR DO1', 'KSC175M9L', 'MLS002454408', 'BENZENE,1,4-DIMETHOXY', 'CHEMBL1668604', 'DTXSID0022014', 'SCHEMBL12015220', 'BDBM36302', 'CTK0H5695', 'KS-00000GET', 'NSC7483', 'HMS2270C23', 'ZINC388747', '1,4-Dimethoxybenzene, 99%, FG', 'NSC-7483', 'STR02500', 'WLN: T56 BNVNJ B1Q D1Q', '4-Methoxyanisole;Anisole, p-methoxy', 'Tox21_201333', 'Tox21_302782', 'ANW-21298', 'BBL003611', 'LS-878', 'SBB060067', 'STK065405', 'AKOS000119956', 'AS06962', 'CS-W016496', 'HY-W015780', 'MCULE-5232933383', 'NCGC00091220-01', 'NCGC00091220-02', 'NCGC00091220-03', 'NCGC00256564-01', 'NCGC00258885-01', '1,4-Dimethoxybenzene, analytical standard', 'AK109309', 'K896', 'SMR001252207', '2-Benzimidazolinone,3-bis(hydroxymethyl)-', 'DB-013768', '1, 3-Bis(hydroxymethyl)-2-benzimidazolinone', '2-Benzimidazolinone, 1,3-bis(hydroxymethyl)', 'D0629', 'FT-0606887', 'NS00002609', 'ST51046314', 'T7424', '1,4-Dimethoxybenzene, ReagentPlus(R), 99%', 'Q4545697', 'W-108072', '1,4-Dimethoxybenzene, Vetec(TM) reagent grade, 98%', 'Z53833835', 'F1908-0181', 'HYDROQUINONE DIMETHYL ETHER (SEE ALSO: HYDROQUINONE MONOMETHYL ETHER (CAS 150-76-5))', 'Hydroquinone dimethyl ether;1,4-dimethoxybenzene;DIMETHYLHYDROQUINONE;Benzene, 1,4-dimethoxy-']</t>
  </si>
  <si>
    <t>Compound(9016)</t>
  </si>
  <si>
    <t>C8H10O2</t>
  </si>
  <si>
    <t>1,4-dimethyl-2,5-diisopropylbenzene</t>
  </si>
  <si>
    <t>1,4-dimethyl-2,5-di(propan-2-yl)benzene</t>
  </si>
  <si>
    <t>['2,5-Diisopropyl-p-xylene', 'p-Xylene, 2,5-diisopropyl-', '10375-96-9', 'Benzene, 1,4-dimethyl-2,5-bis(1-methylethyl)-', 'NSC84199', '1,5-diisopropylbenzene', '1,4-dimethyl-2,5-di(propan-2-yl)benzene', 'p-Xylene,5-diisopropyl-', 'CTK8G4760', 'DTXSID90146042', 'ZINC1736680', 'NSC-84199', '1,4-Diisopropyl-2,5-dimethylbenzene', '1,4-Dimethyl-2,5-diisopropylbenzene', '2,5-Diisopropyl-1,4-dimethylbenzene', 'AKOS024323100', 'MCULE-2694857944', 'Benzene,4-dimethyl-2,5-bis(1-methylethyl)-']</t>
  </si>
  <si>
    <t>Compound(25211)</t>
  </si>
  <si>
    <t>C14H22</t>
  </si>
  <si>
    <t>1,4-diethoxybenzene</t>
  </si>
  <si>
    <t>['1,4-Diethoxybenzene', '122-95-2', 'Benzene, 1,4-diethoxy-', 'p-Diethoxybenzene', 'Hydroquinone diethyl ether', 'Benzene, p-diethoxy-', 'NSC-2113', '1,4-diethoxy-benzen', 'UNII-C6Y51501JB', 'CHEMBL219898', 'C6Y51501JB', 'Benzene,4-diethoxy-', 'Q63395501', 'NSC2113', 'NSC 2113', 'EINECS 204-585-5', '1,4-diethoxy-benzene', 'ACMC-209ans', 'AI3-09458', 'KSC174M8J', 'SCHEMBL124015', 'Benzene, p-diethoxy- (8CI)', 'DTXSID9059549', 'CTK0H4684', 'KS-00000WIN', 'ZINC394919', 'NSC68808', 'ANW-18086', 'BDBM50195871', 'MFCD00015146', 'NSC-68808', 'SBB060362', 'AKOS008948257', 'MCULE-4277102754', 'PS-4039', 'SC-77503', 'DB-041698', 'CS-0105156', 'D0535', 'FT-0606868', 'NS00024004', 'ST50406047', 'A804998', 'W-108419', 'F0001-0360']</t>
  </si>
  <si>
    <t>Compound(67150)</t>
  </si>
  <si>
    <t>C10H14O2</t>
  </si>
  <si>
    <t>1,4-diethylbenzene</t>
  </si>
  <si>
    <t>['1,4-DIETHYLBENZENE', '105-05-5', 'p-Diethylbenzene', 'Benzene, 1,4-diethyl-', 'p-Ethylethylbenzene', 'Benzene, p-diethyl-', 'para-Diethylbenzene', 'UNII-0PSM16X42D', 'HSDB 4083', 'EINECS 203-265-2', '0PSM16X42D', 'CHEBI:34062', '1,4-Diethylbenzene, 98%', '1,4-diethyl-benzene', 'ACMC-1BU3Z', 'DSSTox_CID_6711', 'EC 203-265-2', 'DSSTox_RID_78192', 'DSSTox_GSID_26711', '1,4-Diethylbenzene, 96%', 'BIDD:ER0274', 'CHEMBL3187283', 'DTXSID4026711', 'CTK0H7917', 'KS-00000YS1', 'ZINC2013555', 'Tox21_200146', 'ANW-15168', 'MFCD00009264', 'AKOS009031101', 'MCULE-4575632412', 'NE10645', '1,4-Diethylbenzene, analytical standard', 'NCGC00248539-01', 'NCGC00257700-01', 'AS-13583', 'CAS-105-05-5', 'I794', 'LS-29830', 'SC-79228', 'D0479', 'FT-0606869', 'NS00008246', 'EN300-21456', '1,4-Diethylbenzene 100 microg/mL in Methanol', 'C14583', 'Q-200084', 'Q27115785', 'UNII-9A18Z78Q73 component DSNHSQKRULAAEI-UHFFFAOYSA-N']</t>
  </si>
  <si>
    <t>Compound(7734)</t>
  </si>
  <si>
    <t>1,4-dibutoxybenzene</t>
  </si>
  <si>
    <t>['1,4-Dibutoxybenzene', '104-36-9', 'p-Dibutoxybenzene', 'Benzene, 1,4-dibutoxy-', 'Benzene, p-dibutoxy-', '1,4-dibutoxy-benzene', 'Benzene,4-dibutoxy-', 'W-108816', '1,4-Dibutyloxybenzene', 'NSC2754', 'NSC 2754', 'EINECS 203-196-8', '4-DIBUTOXYBENZENE', 'AI3-17639', 'Benzene, 1,4-dibutoxy', '1,4-di-n-butoxybenzene', 'ACMC-2098bt', 'SCHEMBL26850', 'Benzene, p-dibutoxy- (8CI)', 'DTXSID0059295', 'CTK0H6253', 'NSC-2754', 'ZINC1641138', 'ANW-15063', 'NSC404303', 'SBB060363', 'STK053112', 'AKOS005386106', 'MCULE-4473579927', 'NSC-404303', 'CC-03325', 'DB-040536', 'D3264', 'FT-0631568', 'NS00023299', 'ST50444654', 'C-12433']</t>
  </si>
  <si>
    <t>Compound(66911)</t>
  </si>
  <si>
    <t>C14H22O2</t>
  </si>
  <si>
    <t>1,4-dichloro-2-butene</t>
  </si>
  <si>
    <t>(E)-1,4-dichlorobut-2-ene</t>
  </si>
  <si>
    <t>['trans-1,4-Dichloro-2-butene', '110-57-6', '1,4-Dichlorobutene-2', '1,4-DICHLORO-2-BUTENE', '(2E)-1,4-dichlorobut-2-ene', '(E)-1,4-dichlorobut-2-ene', 'trans-1,4-Dichlorobutene', '2-Butene, 1,4-dichloro-, (2E)-', '2-Butylene dichloride', 'trans-1,4-Dichlorobut-2-ene', '(E)-1,4-Dichloro-2-butene', 'RCRA waste number U074', '764-41-0', '1,4-DICHLORO-trans-2-BUTENE', '2-Butene, 1,4-dichloro-, (E)-', '1,4-DCB', '1,4-Dichloro-2-butylene', '1,4-Dichlorobut-2-ene', '2-Butene, 1,4-dichloro-, trans-', 'trans-1,4-Dichlorobutene-2', 'UNII-92HZ946H7Y', 'CCRIS 2458', '2-Butene, 1,4-dichloro-', 'HSDB 1501', 'HSDB 6008', 'NSC 9452', 'EINECS 203-779-7', 'EINECS 212-121-8', 'RCRA waste no. U074', 'cis-1,4-Dichloro-2-butene', 'BRN 1361446', 'BRN 1719693', 'AI3-52332', 'CHEBI:82446', '92HZ946H7Y', '1,4-Dichloro-2-butene (mixture of cis and trans)', '1476-11-5', 'CCRIS 8948', '1,4-Dichloro-2-butene (cis+trans)', 'DSSTox_CID_434', 'DSSTox_RID_75585', 'DSSTox_GSID_20434', 'trans 1,4-dichlorobutene-2', '4-01-00-00787 (Beilstein Handbook Reference)', 'SCHEMBL205123', '1,4-Dichloro-2-but-2-ene', 'ghl.PD_Mitscher_leg0.1064', 'CHEMBL468582', '1,4-dichloro(trans) 2-butene', '1,4-Dichloro-(E)-2-butene', 'trans-1,4-dichloro-but-2-ene', '1,4-Dichloro-2-butene, trans', 'DTXSID6020434', '(E)-1,4-dichloro-but-2-ene', '1,4-Dichlorobutene-2, (E)-', 'EBD8765', 'ZINC1699991', '(2E)-1,4-Dichloro-2-butene #', 'Tox21_200019', '(E)-1,4-bis(chloranyl)but-2-ene', 'BBL102602', 'CT0203', 'MFCD00000988', 'SBB060216', 'STL556405', 'WT2134', 'AKOS009157402', 'trans-1,4-Dichloro-2-butene, 98%', 'API0004469', 'CM14479', 'FCH2257689', 'LS-2251', 'LS30302', 'NCGC00091067-01', 'NCGC00091067-02', 'NCGC00091067-03', 'NCGC00257573-01', 'BBV-34552975', 'BP-30086', 'CAS-110-57-6', 'CC-35152', 'LS-46969', 'MS-20466', 'OR323266', 'SC-15726', 'SC-72167', '110-57-6 trans-1,4-Dichloro-2-butene', 'DB-002326', 'C2933', 'D1624', 'NS00023544', 'ST51046442', 'Y3341', 'C19398', 'A802220', '1,4-Dichlorobutene-2 (65% trans-, 35% cis-)', 'Q4545691', 'trans-1,4-Dichloro-2-butene, technical grade, 85%, remainder predominantly cis isomer', '(2E)-1,4-Dichlorobut-2-ene;1,4-dichlorobut-2-ene;2-Butene, 1,4-dichloro-;1,4-Dichloro-2-butene']</t>
  </si>
  <si>
    <t>Compound(642197)</t>
  </si>
  <si>
    <t>C4H6Cl2</t>
  </si>
  <si>
    <t>1,4-dichlorobenzene</t>
  </si>
  <si>
    <t>['1,4-DICHLOROBENZENE', '106-46-7', 'p-Dichlorobenzene', 'paradichlorobenzene', 'para-Dichlorobenzene', 'Paracide', 'Paramoth', 'Paranuggets', 'Santochlor', 'Paradow', 'Benzene, 1,4-dichloro-', 'Evola', 'p-Dichlorbenzol', 'Persia-perazol', 'p-Dichlorobenzol', 'p-Chlorophenyl chloride', 'Globol', 'Para crystals', 'Dichlorocide', 'Paradi', 'Di-chloricide', 'Paradichlorbenzol', 'PARA', 'PDCB', 'p-Diclorobenzene', '1,4-Dichloorbenzeen', 'p-Dichloorbenzeen', 'Paradichlorobenzol', '1,4-Dichlor-benzol', '1,4-Diclorobenzene', 'Benzene, p-dichloro-', '1,4-dichloro-benzene', 'dichloricide', 'Parazene', 'RCRA waste number U070', 'RCRA waste number U071', 'RCRA waste number U072', 'Para-zene', '4-Dichlorobenzene', 'NCI-C54955', '1,4 dichlorobenzene', 'Caswell No. 632', 'Kaydox', 'p-Dichlorbenzene', 'p-Dichlorbenzol [German]', 'p-Dichloorbenzeen [Dutch]', 'Paradichlorbenzol [German]', 'UNII-D149TYB5MK', 'p-Diclorobenzene [Italian]', 'PDB', 'NSC 36935', '1,4-chlorobenzene', 'CCRIS 307', '1,4-Dichloorbenzeen [Dutch]', '1,4-Dichlor-benzol [German]', '1,4-Diclorobenzene [Italian]', 'Dichlorobenzene, para', 'HSDB 523', 'EINECS 203-400-5', 'RCRA waste no. D027', 'RCRA waste no. U072', 'EPA Pesticide Chemical Code 061501', 'D149TYB5MK', 'AI3-0050', 'AI3-00050', 'CHEMBL190982', 'CHEBI:28618', 'MFCD00000604', '1,4-Dichlorobenzene (p-dichlorobenzene)', 'NCGC00094540-01', '1,3-Cyclohexadien-5-yne,1,4-dichloro-', 'DSSTox_CID_431', 'DSSTox_RID_75582', 'DSSTox_GSID_20431', 'C6H4Cl2', '1,4-Dichlorobenzene, 99+%', 'p-DCB', '1,4-dichlorbenzol', 'CAS-106-46-7', 'Dichlorobenzene, p-', 'Dichlorobenzene, 1,4-', 'diclorobenzene', 'p-dichlorobenzen', 'p-dichloro-benzene', 'Benzene,4-dichloro-', 'Dichlorobenzene, solid', '1, 4-Dichlorobenzene', 'Spectrum_001891', 'ACMC-1BDGR', 'SpecPlus_000512', '1,3-Cyclohexadien-5-yne, 1,4-dichloro-', 'Benzene, 1,4-dichloro-, radical ion(1-)', 'Spectrum2_001869', 'Spectrum3_000846', 'Spectrum4_000686', 'Spectrum5_002008', 'p-Dichlorbenzol(GERMAN)', 'p-Dichloorbenzeen(DUTCH)', 'Para-Dichlorobenzene,(S)', 'WLN: GR DG', '1,4-Dichlorobenzene paste', 'EC 203-400-5', 'p-Diclorobenzene(ITALIAN)', 'Dichlorobenzene, p-, solid', 'SCHEMBL5191', 'BSPBio_002431', 'KBioGR_001151', 'KBioSS_002421', 'SPECTRUM330055', 'KSC176S3J', 'BIDD:ER0278', 'DivK1c_006608', 'SPBio_001718', '1, 4-Dichloorbenzeen(DUTCH)', '1,4-Dichlor-benzol(GERMAN)', '1,4-Diclorobenzene(ITALIAN)', 'DTXSID1020431', '1,4-Dichlorobenzene, &gt;=99%', 'CTK0H6934', 'KBio1_001552', 'KBio2_002415', 'KBio2_004983', 'KBio2_007551', 'KBio3_001931', 'KS-00000VTW', 'LS-58', 'ZINC388507', 'NSC36935', 'Tox21_111293', 'Tox21_200399', 'Tox21_300018', '1,4-Dichlorobenzene-UL-14C, neat', 'ANW-42346', 'BDBM50159263', 'c0593', 'CCG-39407', 'NSC-36935', 's6300', 'STL445582', 'AKOS000120016', 'AS06944', 'MCULE-2384194593', 'NE10041', 'UN 1592', '1,4-Dichlorobenzene (ACD/Name 4.0)', 'NCGC00094540-02', 'NCGC00094540-03', 'NCGC00094540-04', 'NCGC00094540-05', 'NCGC00253934-01', 'NCGC00257953-01', '55232-43-4', 'S679', 'SC-79050', 'Benzene,1-chloro-4-(chloro-38cl)-(9ci)', 'D0687', 'FT-0606862', 'NS00010822', 'S0666', '1,4-Dichlorobenzene 10 microg/mL in Isooctane', 'C07092', '1,4-Dichlorobenzene 100 microg/mL in Methanol', '1,4-Dichlorobenzene 1000 microg/mL in Methanol', '1,4-Dichlorobenzene, SAJ first grade, &gt;=99.0%', '177753-EP2272510A1', 'Q161529', 'J-503986', '1,4-Dichlorobenzene, PESTANAL(R), analytical standard', 'F0001-0123', 'UNII-F56X88UAJQ component OCJBOOLMMGQPQU-UHFFFAOYSA-N', '1,4-Dichlorobenzene;1,4-dichlorobenzene;Benzene, 1,4-dichloro-', '1,4-DICHLOROBENZENE (P-DICHLOROBENZENE) (SEE ALSO: 1,2-DICHLOROBENZENE (95-50-1)&amp; 1,3-DICHLOROBENZENE (541-73-1))']</t>
  </si>
  <si>
    <t>Compound(4685)</t>
  </si>
  <si>
    <t>1,4-dichlorobutane</t>
  </si>
  <si>
    <t>['1,4-DICHLOROBUTANE', '110-56-5', 'Butane, 1,4-dichloro-', 'UNII-8326YNM2B3', 'Tetramethylene chloride', 'Tetramethylene dichloride', 'NSC 6288', 'EINECS 203-778-1', '1,4-Dichlorobutane, 99%', '8326YNM2B3', 'C4H8Cl2', 'NSC6288', 'Butane,4-dichloro-', '1,4-dichloro-butane', '1,4-bis(chloranyl)butane', 'SCHEMBL21800', 'KSC491K8B', 'ACMC-20996e', 'DTXSID5021918', 'CTK3J1580', 'KS-00000V6V', 'NSC-6288', 'ZINC1693385', 'ANW-16164', 'MFCD00001011', 'AKOS000120565', 'MCULE-4863501782', 'I851', 'SC-25917', 'LS-184868', 'D0349', 'FT-0606863', 'FT-0651580', 'NS00021515', '1,4-Dichlorobutane, puriss., &gt;=99.0% (GC)', 'A802213', 'Q161526', 'Q-200083']</t>
  </si>
  <si>
    <t>Compound(8059)</t>
  </si>
  <si>
    <t>C4H8Cl2</t>
  </si>
  <si>
    <t>1,4-dihydroxybenzene</t>
  </si>
  <si>
    <t>benzene-1,4-diol</t>
  </si>
  <si>
    <t>['hydroquinone', 'Benzene-1,4-diol', '1,4-benzenediol', '123-31-9', '1,4-Dihydroxybenzene', 'Quinol', 'p-Benzenediol', 'p-Hydroquinone', 'p-Hydroxyphenol', '4-Hydroxyphenol', 'p-Dihydroxybenzene', 'Benzoquinol', 'Eldoquin', 'hydroquinol', 'Eldopaque', 'Phiaquin', 'p-Dioxybenzene', 'Dihydroquinone', 'Hydroquinole', 'Idrochinone', 'Tecquinol', 'Benzohydroquinone', 'Arctuvin', 'Hidroquinone', 'Tequinol', 'Dihydroxybenzene', 'Solaquin forte', 'Derma-Blanch', 'Tenox HQ', 'Hydrochinon', 'Hydrochinone', 'Artra', 'Eldopaque Forte', 'Eldoquin Forte', 'Diak 5', 'Benzene, p-dihydroxy-', '1,4-Dihydroxy-benzol', 'Usaf ek-356', '1,4-Diidrobenzene', 'p-Dioxobenzene', '1,4-Dihydroxybenzen', 'para-Dioxybenzene', 'para-Hydroquinone', 'Pyrogentistic acid', '1,4-Dihydroxy-benzeen', 'NCI-C55834', 'HE 5', 'para-Dihydroxybenzene', 'Black and White Bleaching Cream', 'beta-quinol', 'Idrochinone [Italian]', 'Hydrochinon [Czech, Polish]', '1,4-Dihydroxybenzen [Czech]', '1,4-Diidrobenzene [Italian]', 'Benzosemiquinone', '1,4-Dihydroxy-benzeen [Dutch]', '1,4-Dihydroxy-benzol [German]', 'p Benzendiol', 'alpha-hydroquinone', 'UNII-XV74C1N1AE', 'para-Hydroxyphenol', 'NSC 9247', 'UN2662', 'CCRIS 714', '1,4-Hydroxybenzene', 'Hydroquinone [USP]', 'HSDB 577', 'CHEBI:17594', 'AI3-00072', '4-DIHYDROXYBENZENE', 'EINECS 204-617-8', 'HQ', 'CHEMBL537', 'XV74C1N1AE', 'DTXSID7020716', 'Hydroquinone-d4', 'NSC-9247', 'Hydroquinone [UN2662]  [Poison]', 'Hydroquinone (USP)', 'MFCD00002339', 'Hydroquinone, 99%', 'NCGC00015523-02', 'Hydroquinone, 99.5%', 'DSSTox_CID_716', 'DSSTox_RID_75754', 'DSSTox_GSID_20716', 'Eldopacque', 'Hydroquinone (Benzene-1,4-diol)', 'Epiquin', 'Sunvanish', 'p-Dihydroquinone', 'CAS-123-31-9', 'SMR000059154', 'SR-01000075920', 'hydrokinone', 'hydroquinon', 'quinnone', 'Hydroquinoue', 'Elopaque', 'hydroq uinone', 'hydroquinone gr', 'a-Hydroquinone', 'Black &amp; White Bleaching Cream', 'p-Diphenol', 'p-Hydroxybenzene', 'b-Quinol', '4-Benzenediol', 'Dihydroxybenzen e', 'Hydroquinone, HQ', '.beta.-Quinol', '1,4 benzenediol', 'Hydroquinone,(S)', 'p-dihydroxy benzene', 'HQE', 'Hydroquinone polymer', 'p -Dihydroxybenzene', 'PLQ', '1,4-Benzendil', 'Artra (Salt/Mix)', '1, 4-Benzenediol', 'HYDROP', '.alpha.-Hydroquinone', 'phenol derivative, 4', 'PubChem9139', '4-hydroxyphenyl alcohol', 'Spectrum_001757', '4e3h', 'ACMC-209aok', 'SpecPlus_000769', '1,4-Dihydrobenzoquinone', 'ELDOQUIN (TN)', 'HYDROQUINONE BAKER', 'hydroquinone for synthesis', 'Spectrum2_001672', 'Spectrum3_000656', 'Spectrum4_000633', 'Spectrum5_001430', 'Lopac-H-9003', '1,2 BENZOLDIOL', 'WLN: QR DQ', 'bmse000293', 'Epitope ID:116206', 'EC 204-617-8', 'Lopac0_000577', 'SCHEMBL15516', 'BSPBio_002291', 'KBioGR_001246', 'KBioSS_002237', '1,4-Dihydroxybenzene, XIII', 'KSC175A5P', 'MLS000069815', 'MLS001074911', 'BIDD:ER0340', 'DivK1c_006865', 'Hydroquinone, LR, &gt;=99%', 'SPECTRUM1504237', 'Hydrochinon(CZECH, POLISH)', 'SPBio_001883', 'BDBM26190', 'CTK0H5057', 'Hydroquinone, puriss., 99.0%', 'KBio1_001809', 'KBio2_002237', 'KBio2_004805', 'KBio2_007373', 'KBio3_001511', 'NSC9247', 'Benzene-1,4-diol (Hydroquinone)', 'HMS1922H15', 'HMS2093E08', 'HMS3261D16', 'LABOTEST-BB LTBB001931', 'LS-23', 'Pharmakon1600-01504237', 'HY-B0951', 'Hydroquinone [UN2662] [Poison]', 'ZINC5133378', 'Tox21_110169', 'Tox21_202345', 'Tox21_300015', 'Tox21_500577', 'ANW-18114', 'BBL011606', 'CCG-39082', 'NSC758707', 's4580', 'SBB060421', 'STK397446', 'AKOS000119003', 'Tox21_110169_1', 'AS00174', 'DB09526', 'LP00577', 'MCULE-3953269041', 'NE10177', 'NSC-758707', 'SDCCGSBI-0050559.P003', 'UN 2662', 'Hydroquinone, ReagentPlus(R), &gt;=99%', 'Hydroquinone, USP, 99.0-100.5%', 'NCGC00015523-01', 'NCGC00015523-03', 'NCGC00015523-04', 'NCGC00015523-05', 'NCGC00015523-06', 'NCGC00015523-07', 'NCGC00015523-08', 'NCGC00015523-09', 'NCGC00015523-10', 'NCGC00015523-11', 'NCGC00015523-12', 'NCGC00015523-13', 'NCGC00090880-01', 'NCGC00090880-02', 'NCGC00090880-03', 'NCGC00090880-04', 'NCGC00090880-05', 'NCGC00254037-01', 'NCGC00259894-01', 'NCGC00261262-01', 'BP-21160', 'DA-33570', 'SC-00632', 'Hydroquinone, ReagentPlus(R), &gt;=99.5%', 'SBI-0050559.P002', 'Hydroquinone, SAJ first grade, &gt;=99.0%', 'EU-0100577', 'FT-0606877', 'Hydroquinone, SAJ special grade, &gt;=99.0%', 'NS00004421', 'ST50214344', 'Hydroquinone, meets USP testing specifications', 'C00530', 'D00073', 'H 9003', '19538-EP2272837A1', '19538-EP2284165A1', '19538-EP2302015A1', '19538-EP2305825A1', '19538-EP2309584A1', '19538-EP2311804A2', '19538-EP2314576A1', '19538-EP2314579A1', '19538-EP2314584A1', '19538-EP2315303A1', '19538-EP2371803A1', '19538-EP2377843A1', '97871-EP2305685A1', 'AB00053361_08', '122680-EP2295053A1', 'Q419164', 'J-004910', 'J-521469', 'SR-01000075920-1', 'SR-01000075920-4', 'Q27102742', 'Z57127551', '094CADDB-59BF-4EDF-B278-59791B203EA2', 'F1908-0167', 'Hydroquinone, certified reference material, TraceCERT(R)', 'Hydroquinone, United States Pharmacopeia (USP) Reference Standard', 'Hydroquinone, Pharmaceutical Secondary Standard; Certified Reference Material', 'Hydroquinone;HYDROQUINONE;hydroquinone;1,4-Benzenediol;Hydroquinone--4-(methylamino)phenol (1:2)']</t>
  </si>
  <si>
    <t>Compound(785)</t>
  </si>
  <si>
    <t>1,4-dinitrobenzene</t>
  </si>
  <si>
    <t>['1,4-Dinitrobenzene', '100-25-4', 'P-DINITROBENZENE', 'Benzene, 1,4-dinitro-', 'Benzene, p-dinitro-', 'Dithane A-4', 'Dinitrobenzene, p-', 'Dinitrobenzene, para-', '1,4-Dinitro-benzene', 'CCRIS 3092', 'UNII-784Q9O56S9', 'HSDB 4485', 'NSC 3809', 'EINECS 202-833-7', '1,4-Dinitrobenzene, 98%', 'CHEBI:51398', '784Q9O56S9', '1,4-Dinitrobenzene, analytical standard', 'para-Dinitrobenzene', 'Dintrobenzenes', '2,5-Dinitrobenzenide', 'WLN: WNR DNW', 'ACMC-1BQ9D', 'DSSTox_CID_1836', 'DSSTox_GSID_21836', 'SCHEMBL22567', 'ghl.PD_Mitscher_leg0.912', 'CHEMBL349400', 'DTXSID0021836', 'CTK0H5410', 'NSC3809', 'KS-00000X7M', 'NSC-3809', 'ZINC3875684', 'Tox21_303785', 'ANW-14197', 'BBL100125', 'MFCD00007314', 'STK370411', 'AKOS003632345', 'MCULE-3128989063', 'p-Dinitrobenzene [UN1597] [Poison]', 'NCGC00164028-01', 'NCGC00357075-01', 'p-Dinitrobenzene [UN1597]  [Poison]', 'AS-14988', 'CAS-100-25-4', 'LS-29909', 'N486', 'D0819', 'FT-0631524', 'NS00020131', '1,4-Dinitrobenzene 10 microg/mL in Methanol', 'A800079', 'J-000072', 'Q2403718', 'UNII-1PRF48770M component FYFDQJRXFWGIBS-UHFFFAOYSA-N']</t>
  </si>
  <si>
    <t>Compound(7492)</t>
  </si>
  <si>
    <t>1,4-dioxane</t>
  </si>
  <si>
    <t>['1,4-DIOXANE', 'Dioxane', 'p-Dioxane', '123-91-1', '1,4-Diethylene dioxide', 'Dioxan', 'Diethylene ether', '1,4-Dioxacyclohexane', 'Tetrahydro-p-dioxin', 'Di(ethylene oxide)', 'Tetrahydro-1,4-dioxin', 'Dioxane-1,4', 'Dioxanne', 'Diethylene dioxide', 'Glycol ethylene ether', '1,4-Dioxan', 'Dioxan-1,4', 'Dioksan', 'p-Dioxan', 'Tetrahydro-para-dioxin', 'Dioxyethylene ether', 'Diokan', 'para-Dioxane', 'Diossano-1,4', 'Dioxaan-1,4', 'p-Dioxin, tetrahydro-', 'Glycolethylenether', 'Dioksan [Polish]', 'Dioxanne [French]', 'RCRA waste number U108', 'p-Dioxan [Czech]', '1,4-Dioxanne', 'NCI-C03689', '[1,4]dioxane', '1, 4-dioxane', '1,4-Diethyleneoxide', 'Dioxane, technical grade', 'Dioxaan-1,4 [Dutch]', 'Dioxan-1,4 [German]', '1,4-Dioxanne [French]', 'Diossano-1,4 [Italian]', 'NSC 8728', 'UNII-J8A3S10O7S', 'MFCD00006571', 'NE 220', 'CCRIS 269', 'HSDB 81', '1.4-dioxane', '1-4 Dioxane', '1,4-Diethylenedioxide', 'EINECS 204-661-8', 'UN1165', '1,4-Dioxin, tetrahydro-', 'RCRA waste no. U108', 'UN 1165', 'BRN 0102551', 'AI3-01055', 'J8A3S10O7S', 'CHEBI:47032', '1, 4-Diethylene dioxide', '1,4-dioxane-[2LH8]', '1,4-Dioxane, 99.5%, for HPLC', '1,4-Dioxane, 99+%, for spectroscopy', '1,4-Dioxane, ACS reagent, &gt;=99.0%', '1,4-Dioxane, 99+%, extra pure, stabilized', '1,4-Dioxane, 99+%, ACS reagent, stabilized', '1,4-Dioxane, 99.5%, for analysis, stabilized', 'Dioxane, 1,4-', 'paradioxane', '1,4-Dioxane, 99.8%, Extra Dry, stabilized, AcroSeal(R)', '1,4-Dioxane, 99%, for biochemistry, stabilized, AcroSeal(R)', 'P-Doxane', '1,4-Dioxane, 99.5%, Extra Dry over Molecular Sieve, stabilized, AcroSeal(R)', '1,4dioxane', '1,4-Dioxane solution, NMR reference standard, 40% in benzene-d6 (99.6 atom % D), NMR tube size 5 mm x 8 in.', '1,4dioxan', '1,4 dioxane', '1-4-dioxane', '1,4 dioxan', 'Dioxane 1.4', '1 ,4-dioxane', '1, 4 dioxane', '1,-4-dioxane', '1,4 -dioxane', '1,4,-dioxane', '1,4- dioxane', '1,4-di-oxane', '1 ,4-dioxan', '1,4 -dioxan', '[1,4]-dioxane', 'glycol ethylene ether8', 'ACMC-1AMTK', 'Glycol ethylene ether 8', '1,4-Dioxane, anhydrous', 'DSSTox_CID_533', 'WLN: T6O DOTJ', 'EC 204-661-8', '1,4-Dioxane, for HPLC', '1,4-Dioxane, ACS Grade', 'DSSTox_RID_75644', 'DSSTox_GSID_20533', '5-19-01-00016 (Beilstein Handbook Reference)', 'KSC177C4J', 'BIDD:ER0341', 'Ethylene glycol ethylene ether', 'CHEMBL453716', '1,4-Dioxane, SAJ first grade', 'DTXSID4020533', '9042Af', 'CTK0H7144', 'NSC8728', '1,4-Dioxane, analytical standard', '1,4-Dioxane, p.a., 99%', '1,4-Dioxane, LR, &gt;=99%', 'BCP16201', 'KS-00000W4A', 'NSC-8728', 'ZINC1648204', '1,4-Dioxane, anhydrous, 99.8%', 'Tox21_200971', 'ANW-43566', 'LS-686', 'STL264191', 'AKOS000120203', '1,4-Dioxane, AR, &gt;=99.5%', '1,4-Dioxane, HPLC grade, 99.9%', 'DB03316', 'MCULE-5088019198', 'Dioxane [UN1165] [Flammable liquid]', 'Dioxane [UN1165]  [Flammable liquid]', 'NCGC00248888-01', 'NCGC00258524-01', '1,4-Dioxane, for HPLC, &gt;=99.5%', '1,4-Dioxane, for HPLC, &gt;=99.7%', '1,4-Dioxane, ReagentPlus(R), &gt;=99%', 'CAS-123-91-1', 'SC-25840', '1,4-Dioxane 1000 microg/mL in Methanol', '1,4-Dioxane, AldraSORB(TM), 99.8%', '1,4-Dioxane, histological grade, &gt;=99%', 'DB-025338', 'D0860', 'FT-0606896', 'FT-0606897', 'NS00002649', 'DuPont zonyl FSO-100 fluorinated surfactants', '1,4-Dioxane, JIS special grade, &gt;=99.0%', '1,4-Dioxane, spectrophotometric grade, &gt;=99%', '1,4-Dioxane, UV HPLC spectroscopic, 99.9%', '4484-EP0930075A1', '4484-EP1441224A2', '4484-EP2269610A2', '4484-EP2269977A2', '4484-EP2269989A1', '4484-EP2269990A1', '4484-EP2269992A1', '4484-EP2269993A1', '4484-EP2270000A1', '4484-EP2270001A1', '4484-EP2270002A1', '4484-EP2270006A1', '4484-EP2270008A1', '4484-EP2270009A1', '4484-EP2270010A1', '4484-EP2270011A1', '4484-EP2270014A1', '4484-EP2270113A1', '4484-EP2270114A1', '4484-EP2272509A1', '4484-EP2272516A2', '4484-EP2272517A1', '4484-EP2272817A1', '4484-EP2272822A1', '4484-EP2272825A2', '4484-EP2272826A1', '4484-EP2272827A1', '4484-EP2272828A1', '4484-EP2272830A1', '4484-EP2272832A1', '4484-EP2272835A1', '4484-EP2272841A1', '4484-EP2272843A1', '4484-EP2272844A1', '4484-EP2272846A1', '4484-EP2272935A1', '4484-EP2272972A1', '4484-EP2272973A1', '4484-EP2275102A1', '4484-EP2275395A2', '4484-EP2275401A1', '4484-EP2275404A1', '4484-EP2275407A1', '4484-EP2275410A1', '4484-EP2275411A2', '4484-EP2275412A1', '4484-EP2275413A1', '4484-EP2275417A2', '4484-EP2275469A1', '4484-EP2277858A1', '4484-EP2277861A1', '4484-EP2277862A2', '4484-EP2277865A1', '4484-EP2277867A2', '4484-EP2277871A1', '4484-EP2277872A1', '4484-EP2277875A2', '4484-EP2277877A1', '4484-EP2277878A1', '4484-EP2277881A1', '4484-EP2279750A1', '4484-EP2280000A1', '4484-EP2280001A1', '4484-EP2280003A2', '4484-EP2280006A1', '4484-EP2280007A1', '4484-EP2280008A2', '4484-EP2280009A1', '4484-EP2280010A2', '4484-EP2280011A1', '4484-EP2280012A2', '4484-EP2280013A1', '4484-EP2281563A1', '4484-EP2281817A1', '4484-EP2281818A1', '4484-EP2281821A1', '4484-EP2281822A1', '4484-EP2281823A2', '4484-EP2284146A2', '4484-EP2284147A2', '4484-EP2284148A1', '4484-EP2284154A1', '4484-EP2284157A1', '4484-EP2284159A1', '4484-EP2284160A1', '4484-EP2284162A2', '4484-EP2284163A2', '4484-EP2284165A1', '4484-EP2284169A1', '4484-EP2284170A1', '4484-EP2286811A1', '4484-EP2287147A2', '4484-EP2287153A1', '4484-EP2287154A1', '4484-EP2287156A1', '4484-EP2287159A1', '4484-EP2287161A1', '4484-EP2287162A1', '4484-EP2287165A2', '4484-EP2287166A2', '4484-EP2287940A1', '4484-EP2289868A1', '4484-EP2289879A1', '4484-EP2289882A1', '4484-EP2289885A1', '4484-EP2289887A2', '4484-EP2289888A2', '4484-EP2289890A1', '4484-EP2289891A2', '4484-EP2289892A1', '4484-EP2289893A1', '4484-EP2289894A2', '4484-EP2289965A1', '4484-EP2292228A1', '4484-EP2292576A2', '4484-EP2292589A1', '4484-EP2292592A1', '4484-EP2292593A2', '4484-EP2292596A2', '4484-EP2292604A2', '4484-EP2292606A1', '4484-EP2292610A1', '4484-EP2292612A2', '4484-EP2292615A1', '4484-EP2292617A1', '4484-EP2292619A1', '4484-EP2292620A2', '4484-EP2292621A1', '4484-EP2292630A1', '4484-EP2295402A2', '4484-EP2295406A1', '4484-EP2295407A1', '4484-EP2295410A1', '4484-EP2295411A1', '4484-EP2295414A1', '4484-EP2295415A1', '4484-EP2295416A2', '4484-EP2295417A1', '4484-EP2295422A2', '4484-EP2295423A1', '4484-EP2295425A1', '4484-EP2295426A1', '4484-EP2295427A1', '4484-EP2295429A1', '4484-EP2295432A1', '4484-EP2295433A2', '4484-EP2295503A1', '4484-EP2298312A1', '4484-EP2298731A1', '4484-EP2298734A2', '4484-EP2298736A1', '4484-EP2298738A1', '4484-EP2298742A1', '4484-EP2298743A1', '4484-EP2298746A1', '4484-EP2298747A1', '4484-EP2298748A2', '4484-EP2298750A1', '4484-EP2298753A1', '4484-EP2298761A1', '4484-EP2298763A1', '4484-EP2298766A1', '4484-EP2298767A1', '4484-EP2298770A1', '4484-EP2298776A1', '4484-EP2298778A1', '4484-EP2298828A1', '4484-EP2301536A1', '4484-EP2301538A1', '4484-EP2301627A1', '4484-EP2301918A1', '4484-EP2301922A1', '4484-EP2301923A1', '4484-EP2301924A1', '4484-EP2301928A1', '4484-EP2301929A1', '4484-EP2301930A1', '4484-EP2301931A1', '4484-EP2301933A1', '4484-EP2301935A1', '4484-EP2301936A1', '4484-EP2301939A1', '4484-EP2301940A1', '4484-EP2301983A1', '4484-EP2302003A1', '4484-EP2302015A1', '4484-EP2305250A1', '4484-EP2305640A2', '4484-EP2305641A1', '4484-EP2305642A2', '4484-EP2305646A1', '4484-EP2305648A1', '4484-EP2305649A1', '4484-EP2305650A1', '4484-EP2305651A1', '4484-EP2305660A1', '4484-EP2305662A1', '4484-EP2305663A1', '4484-EP2305667A2', '4484-EP2305668A1', '4484-EP2305671A1', '4484-EP2305672A1', '4484-EP2305674A1', '4484-EP2305675A1', '4484-EP2305676A1', '4484-EP2305679A1', '4484-EP2305682A1', '4484-EP2305683A1', '4484-EP2305684A1', '4484-EP2305687A1', '4484-EP2305695A2', '4484-EP2305696A2', '4484-EP2305697A2', '4484-EP2305698A2', '4484-EP2305769A2', '4484-EP2305808A1', '4484-EP2308510A1', '4484-EP2308562A2', '4484-EP2308812A2', '4484-EP2308833A2', '4484-EP2308838A1', '4484-EP2308839A1', '4484-EP2308847A1', '4484-EP2308848A1', '4484-EP2308849A1', '4484-EP2308850A1', '4484-EP2308851A1', '4484-EP2308854A1', '4484-EP2308855A1', '4484-EP2308861A1', '4484-EP2308864A1', '4484-EP2308866A1', '4484-EP2308867A2', '4484-EP2308869A1', '4484-EP2308870A2', '4484-EP2308871A1', '4484-EP2308872A1', '4484-EP2308873A1', '4484-EP2308875A1', '4484-EP2308877A1', '4484-EP2308879A1', '4484-EP2308880A1', '4484-EP2308926A1', '4484-EP2308960A1', '4484-EP2309564A1', '4484-EP2309584A1', '4484-EP2311455A1', '4484-EP2311464A1', '4484-EP2311807A1', '4484-EP2311808A1', '4484-EP2311811A1', '4484-EP2311818A1', '4484-EP2311821A1', '4484-EP2311822A1', '4484-EP2311825A1', '4484-EP2311826A2', '4484-EP2311827A1', '4484-EP2311829A1', '4484-EP2311830A1', '4484-EP2311831A1', '4484-EP2311835A1', '4484-EP2311836A1', '4484-EP2311837A1', '4484-EP2311839A1', '4484-EP2311840A1', '4484-EP2311842A2', '4484-EP2314558A1', '4484-EP2314576A1', '4484-EP2314577A1', '4484-EP2314579A1', '4484-EP2314586A1', '4484-EP2314587A1', '4484-EP2314589A1', '4484-EP2314590A1', '4484-EP2314593A1', '4484-EP2315502A1', '4484-EP2316452A1', '4484-EP2316457A1', '4484-EP2316458A1', '4484-EP2316824A1', '4484-EP2316825A1', '4484-EP2316827A1', '4484-EP2316829A1', '4484-EP2316835A1', '4484-EP2316836A1', '4484-EP2316837A1', '4484-EP2371795A1', '4484-EP2371797A1', '4484-EP2371798A1', '4484-EP2371800A1', '4484-EP2371804A1', '4484-EP2371811A2', '4484-EP2371814A1', '4484-EP2371831A1', '4484-EP2374454A1', '4484-EP2374538A1', '4484-EP2374790A1', '4484-EP2377847A1', '4484-EP2380568A1', '4484-EP2380873A1', '4484-EP2380874A2', '6661-EP1441224A2', '6661-EP2269990A1', '6661-EP2269993A1', '6661-EP2270000A1', '6661-EP2270006A1', '6661-EP2270011A1', '6661-EP2270012A1', '6661-EP2270013A1', '6661-EP2270014A1', '6661-EP2272516A2', '6661-EP2272517A1', '6661-EP2272813A2', '6661-EP2272817A1', '6661-EP2272822A1', '6661-EP2272832A1', '6661-EP2272841A1', '6661-EP2272843A1', '6661-EP2272848A1', '6661-EP2272972A1', '6661-EP2272973A1', '6661-EP2274983A1', '6661-EP2275102A1', '6661-EP2275404A1', '6661-EP2275409A1', '6661-EP2275414A1', '6661-EP2275469A1', '6661-EP2277848A1', '6661-EP2277858A1', '6661-EP2277865A1', '6661-EP2277867A2', '6661-EP2277872A1', '6661-EP2277875A2', '6661-EP2277881A1', '6661-EP2279750A1', '6661-EP2280000A1', '6661-EP2280001A1', '6661-EP2280003A2', '6661-EP2280006A1', '6661-EP2280008A2', '6661-EP2280012A2', '6661-EP2281817A1', '6661-EP2281823A2', '6661-EP2284154A1', '6661-EP2284159A1', '6661-EP2284165A1', '6661-EP2284169A1', '6661-EP2284174A1', '6661-EP2286811A1', '6661-EP2287141A1', '6661-EP2287147A2', '6661-EP2287152A2', '6661-EP2287155A1', '6661-EP2287161A1', '6661-EP2287162A1', '6661-EP2287165A2', '6661-EP2287166A2', '6661-EP2287940A1', '6661-EP2289509A2', '6661-EP2289879A1', '6661-EP2289890A1', '6661-EP2289893A1', '6661-EP2289894A2', '6661-EP2292228A1', '6661-EP2292589A1', '6661-EP2292592A1', '6661-EP2292597A1', '6661-EP2292604A2', '6661-EP2292611A1', '6661-EP2292615A1', '6661-EP2292619A1', '6661-EP2292620A2', '6661-EP2295406A1', '6661-EP2295432A1', '6661-EP2295437A1', '6661-EP2295503A1', '6661-EP2298728A1', '6661-EP2298729A1', '6661-EP2298731A1', '6661-EP2298743A1', '6661-EP2298747A1', '6661-EP2298750A1', '6661-EP2298752A1', '6661-EP2298756A1', '6661-EP2298757A2', '6661-EP2298761A1', '6661-EP2298767A1', '6661-EP2298768A1', '6661-EP2298770A1', '6661-EP2298772A1', '6661-EP2298774A1', '6661-EP2298775A1', '6661-EP2299326A1', '6661-EP2301536A1', '6661-EP2301538A1', '6661-EP2301921A1', '6661-EP2301922A1', '6661-EP2301923A1', '6661-EP2301926A1', '6661-EP2301928A1', '6661-EP2301933A1', '6661-EP2301934A1', '6661-EP2301983A1', '6661-EP2305250A1', '6661-EP2305633A1', '6661-EP2305647A1', '6661-EP2305648A1', '6661-EP2305651A1', '6661-EP2305663A1', '6661-EP2305667A2', '6661-EP2305671A1', '6661-EP2305673A1', '6661-EP2305681A1', '6661-EP2305682A1', '6661-EP2305684A1', '6661-EP2305695A2', '6661-EP2305696A2', '6661-EP2305697A2', '6661-EP2305698A2', '6661-EP2308510A1', '6661-EP2308562A2', '6661-EP2308812A2', '6661-EP2308828A2', '6661-EP2308838A1', '6661-EP2308839A1', '6661-EP2308840A1', '6661-EP2308854A1', '6661-EP2308857A1', '6661-EP2308858A1', '6661-EP2308864A1', '6661-EP2308867A2', '6661-EP2308870A2', '6661-EP2308872A1', '6661-EP2308873A1', '6661-EP2308876A1', '6661-EP2308877A1', '6661-EP2308879A1', '6661-EP2308880A1', '6661-EP2308883A1', '6661-EP2311455A1', '6661-EP2311807A1', '6661-EP2311810A1', '6661-EP2311811A1', '6661-EP2311816A1', '6661-EP2311817A1', '6661-EP2311818A1', '6661-EP2311825A1', '6661-EP2311826A2', '6661-EP2311827A1', '6661-EP2311834A1', '6661-EP2311838A1', '6661-EP2311842A2', '6661-EP2314295A1', '6661-EP2314575A1', '6661-EP2314577A1', '6661-EP2314582A1', '6661-EP2314585A1', '6661-EP2314586A1', '6661-EP2314587A1', '6661-EP2314590A1', '6661-EP2316452A1', '6661-EP2316458A1', '6661-EP2316825A1', '6661-EP2316826A1', '6661-EP2316829A1', '6661-EP2316836A1', '6661-EP2371811A2', '6661-EP2374788A1', '6661-EP2374790A1', 'C14440', 'DuPont  Zonyl FSO-100 Fluorinated Surfactants', '1,4-Dioxane, anhydrous, ZerO2(TM), 99.8%', '27151-EP2292611A1', '27151-EP2314575A1', '27269-EP2284174A1', '27269-EP2301921A1', '27269-EP2305671A1', '27269-EP2308880A1', '27269-EP2314575A1', '60134-EP2281899A2', '60134-EP2308875A1', '78129-EP2272848A1', '78129-EP2280006A1', '78129-EP2281817A1', '78129-EP2287164A1', '78129-EP2292615A1', '78129-EP2292616A1', '78129-EP2298749A1', '78129-EP2305657A2', '78129-EP2308866A1', 'Q161532', 'J-004995', 'J-523874', 'BRD-K42978307-001-01-0', '1,4-Dioxane, &gt;=99.5%, for titration in non-aqueous medium', '1,4-DIOXANE (SEE ALSO: 1,3-DIOXANE (CAS 505-22-6))', '1,4-Dioxane, puriss. p.a., dried, &gt;=99.5% (GC), &lt;=0.005% water', '1,4-Dioxane, 99.8%, Extra Dry, stabilized, AcroSeal(R), package of 4x25ml bottles', '1,4-Dioxane, Pharmaceutical Secondary Standard; Certified Reference Material', '1,4-Dioxane, puriss. p.a., ACS reagent, reag. ISO, reag. Ph. Eur., &gt;=99.5% (GC)', '1,4-Dioxane, puriss., absolute, over molecular sieve (H2O &lt;=0.01%), &gt;=99.5% (GC)', '1,4-Dioxane solution, certified reference material, 2000 mug/mL in methanol, ampule of 1 mL', '1,4-Dioxane solution, NMR reference standard, 0.1 mM in D2O ("100%", 99.96 atom % D), NMR tube size 5 mm x 7 in.', '1,4-Dioxane solution, NMR reference standard, 1 mM in D2O ("100", 99.96 atom % D), NMR tube size 5 mm x 7 in.', '1,4-Dioxane solution, NMR reference standard, 10 mM in chloroform-d (99.8 atom % D), NMR tube size 5 mm x 8 in.', '1,4-Dioxane solution, NMR reference standard, 10 mM in D2O ("100%", 99.96 atom % D), NMR tube size 5 mm x 7 in.', '1,4-Dioxane solution, NMR reference standard, 10 mM in methanol-d4 (99.8 atom % D), NMR tube size 5 mm x 8 in.', '1,4-Dioxane solution, NMR reference standard, 10% in benzene-d6 (99.6 atom % D), chromium(III) acetylacetonate 5 mg/mL, NMR tube size 5 mm x 8 in.', '1,4-Dioxane solution, NMR reference standard, 40% in benzene-d6 (99.6 atom % D), chromium(III) acetylacetonate 5 mg/mL, NMR tube size 3 mm x 8 in.', '1,4-Dioxane solution, NMR reference standard, 40% in benzene-d6 (99.6 atom % D), chromium(III) acetylacetonate 5 mg/mL, NMR tube size 5 mm x 8 in.', '1,4-Dioxane solution, NMR reference standard, 40% in benzene-d6 (99.6 atom % D), chromium(III) acetylacetonate 5 mg/mL, NMR tube size 6.5 mm x 8 in.', '1,4-Dioxane solution, NMR reference standard, 40% in benzene-d6 (99.6 atom % D), NMR tube size 10 mm x 8 in.', '1,4-Dioxane solution, NMR reference standard, 40% in benzene-d6 (99.6 atom % D), NMR tube size 3 mm x 8 in.', '1,4-Dioxane solution, NMR reference standard, 5 mM in benzene-d6 (99.6 atom % D), NMR tube size 3 mm x 8 in.', '1,4-Dioxane solution, NMR reference standard, 5 mM in chloroform-d (99.8 atom % D), NMR tube size 3 mm x 8 in.', '39449-24-6', '54841-74-6', 'Residual Solvent Class 2 - 1,4-Dioxane, United States Pharmacopeia (USP) Reference Standard']</t>
  </si>
  <si>
    <t>Compound(31275)</t>
  </si>
  <si>
    <t>1,4-diacetylbenzene</t>
  </si>
  <si>
    <t>1-(4-acetylphenyl)ethanone</t>
  </si>
  <si>
    <t>['1,4-Diacetylbenzene', '1009-61-6', "1,1'-(1,4-phenylene)diethanone", 'p-Diacetylbenzene', 'p-Acetylacetophenone', "Ethanone, 1,1'-(1,4-phenylene)bis-", 'Benzene, p-diacetyl-', "4'-Acetylacetophenone", '1-(4-Acetylphenyl)ethan-1-one', '1,1-(1,4-Phenylene)bis-ethanone', 'J-503972', 'Q63399973', '1-(4-acetylphenyl)ethanone', 'EINECS 213-769-4', 'NSC 295548', 'PubChem3143', 'FR-2298', '1,4-diacetyl benzene', 'ACMC-1BWLG', 'DSSTox_CID_1657', '1-(4-acetylphenyl)ethanon', 'DSSTox_RID_76269', 'DSSTox_GSID_21657', 'SCHEMBL50646', '1,4-Diacetylbenzene, 99%', '1-(4-acetylphenyl)-ethanone', '1-(4-ethanoylphenyl)ethanone', 'Benzene, p-diacetyl- (8CI)', '1-(4-Acetyl-phenyl)-ethanone', 'CHEMBL3186189', 'DTXSID7021657', 'CTK3J9396', "Ethanone,1'-(1,4-phenylene)bis-", 'ZINC2026195', 'ZX-AT015227', 'Tox21_201219', 'ANW-14405', 'NSC295548', 'SBB008588', 'AKOS003628600', "Ethanone,1,1'-(1,4-phenylene)bis-", 'FCH1114378', 'MCULE-6429827613', 'NSC-295548', 'OR59988', 'NCGC00248961-01', 'NCGC00258771-01', 'AK114027', 'AS-61744', 'CC-03300', 'SC-65431', 'ST092348', 'CAS-1009-61-6', 'AX8000050', 'BB0295855', 'D0066', 'FT-0606830', 'NS00010678', 'A800303', 'C-04213', "1,4-diacetylbenzene;Ethanone, 1,1'-(1,4-phenylene)bis-"]</t>
  </si>
  <si>
    <t>Compound(13888)</t>
  </si>
  <si>
    <t>1,4-di-isopropylbenzene</t>
  </si>
  <si>
    <t>1,4-di(propan-2-yl)benzene</t>
  </si>
  <si>
    <t>['1,4-DIISOPROPYLBENZENE', '100-18-5', 'p-Diisopropylbenzene', 'Benzene, 1,4-bis(1-methylethyl)-', 'Benzene, p-diisopropyl-', 'para-Diisopropylbenzene', 'p-Diisopropylbenzol', '1,4-Bis(1-methylethyl)benzene', 'UNII-5M62031NZP', 'HSDB 5331', 'EINECS 202-826-9', 'NSC 84198', 'BRN 1854739', '5M62031NZP', 'DSSTox_CID_6652', 'DSSTox_RID_78174', 'DSSTox_GSID_26652', '1,4-Diisopropylbenzene, 99%', '700-18-5', 'CAS-100-18-5', '1,4-Di-iso-propylbenzene', '1,4-di(propan-2-yl)benzene', '4-Isopropylcumene', 'MFCD00008892', '1,4-diisopropyl benzene', '1,4-Di-isopropylbenzene', 'Benzene, p-diisopropyl-,', 'EC 202-826-9', 'ACMC-1BR22', 'Benzene, 1,4-diisopropyl-', '1,4-bis(methylethyl)benzene', '4-05-00-01126 (Beilstein Handbook Reference)', 'KSC493G9F', '1,4-bis(propan-2-yl)benzene', '1,4-Diisopropylbenzene, 97%', 'Benzene,4-bis(1-methylethyl)-', 'CHEMBL1872836', 'DTXSID2026652', 'CTK3J3392', 'KS-00000WUQ', 'Benzene, 1,4-di-(1-methylethyl)', 'NSC84198', 'ZINC1736679', 'Tox21_201380', 'Tox21_303217', '0115AA', 'ANW-14177', 'CCG-40478', 'NSC-84198', 'AKOS009031475', 'CS-W023159', 'MCULE-4909545475', 'NCGC00164049-01', 'NCGC00164049-02', 'NCGC00257053-01', 'NCGC00258931-01', 'AC-14064', 'LS-29852', 'SC-92396', '1,4-Diisopropylbenzene, analytical standard', 'D0928', 'FT-0693058', 'NS00005895', 'ST50406203', '1,4-diisopropylbenzene;Benzene, p-diisopropyl-', 'W-109375', 'Q27262542', 'UNII-K2RZG204KI component SPPWGCYEYAMHDT-UHFFFAOYSA-N']</t>
  </si>
  <si>
    <t>Compound(7486)</t>
  </si>
  <si>
    <t>1- (4-Isopropyl-phenyl)-3-methyl-urea</t>
  </si>
  <si>
    <t>1-methyl-3-(4-propan-2-ylphenyl)urea</t>
  </si>
  <si>
    <t>['isoproturon-monodemethyl', '34123-57-4', 'Monodesmethylisoproturon', '1-(4-isopropylphenyl)-3-methylurea', '1-methyl-3-(4-propan-2-ylphenyl)urea', 'CHEBI:83468', '1-(4-Isoprophenyl)-3-methylurea', '1-methyl-3-[4-(propan-2-yl)phenyl]urea', 'N-Demethylisoproturon', 'Desmethyl-isoproturon', "N-(4-Isopropylphenyl)-N'-methylurea", 'Monodemethylisoproturon', 'Urea, N-methyl-N-(4-(1-methylethyl)phenyl)-', "Urea, N-methyl-N'-[4-(1-methylethyl)phenyl]-", 'SCHEMBL799380', 'CHEMBL163921', 'DTXSID90891449', "N'-(isopropylphenyl)-N-methylurea", 'ZINC392912', '3-(4-isopropylphenyl)-1-methylurea', 'AKOS006241792', 'MCULE-7179734025', "N',-(4-Isopropylphenyl)-N-methylurea", "N-methyl-N'-(4-isopropylphenyl)-urea", '1-(4-Isopropyl-phenyl)-3-methyl-urea', "N-methyl-N'-[4-(propan-2-yl)phenyl]urea", 'NS00000274', 'Q27156851', 'Isoproturon-monodemethyl = 1-(4-Isoprophenyl)-3-methylurea', '1-(4-Isopropylphenly)-3-methylurea 100 microg/mL in Acetonitrile']</t>
  </si>
  <si>
    <t>Compound(182167)</t>
  </si>
  <si>
    <t>C11H16N2O</t>
  </si>
  <si>
    <t>1- (4-isopropylphenyl) urea</t>
  </si>
  <si>
    <t>(4-propan-2-ylphenyl)urea</t>
  </si>
  <si>
    <t>['isoproturon-didemethyl', 'Isoproturon-desmethyl', '56046-17-4', 'Didesmethylisoproturon', '1-(4-Isopropylphenyl)urea', 'Didemethylisoproturon', '1-[4-(propan-2-yl)phenyl]urea', '(4-propan-2-ylphenyl)urea', '[4-(propan-2-yl)phenyl]urea', '1-(4-Isoprophenyl)urea', '1-(4-isopropylphenyl)-urea', "N',-(4-isopropylphenyl)urea", "N'-(4-isopropylphenyl)-urea", 'SCHEMBL5533028', 'CHEBI:83514', 'CTK5A4554', 'DTXSID10204592', 'N-[4-(Propan-2-yl)phenyl]urea', '3-[4-(propan-2-yl)phenyl]urea', 'ZINC2382702', 'BBL004966', 'STL124179', 'Urea,N-[4-(1-methylethyl)phenyl]-', 'AKOS000154166', 'MCULE-7877403845', 'H2796', 'NS00000259', 'Isoproturon-didemethyl (1-(4-Isoprophenyl)urea)', 'Isoproturon-didemethyl = 1-(4-Isoprophenyl)urea', 'Q27156903', '1-(4-Isopropylphenyl)urea 10 microg/mL in Acetonitrile', '[N-(4-isopropylphenyl)-urea, LS730334, didesmethyl-isoproturon']</t>
  </si>
  <si>
    <t>Compound(185831)</t>
  </si>
  <si>
    <t>C10H14N2O</t>
  </si>
  <si>
    <t>1,4-xylene</t>
  </si>
  <si>
    <t>['P-XYLENE', '1,4-Dimethylbenzene', 'Para-Xylene', '106-42-3', '1,4-Xylene', 'p-Methyltoluene', 'p-Dimethylbenzene', 'p-Xylol', 'Benzene, 1,4-dimethyl-', '4-Xylene', 'Chromar', '4-Methyltoluene', 'Scintillar', '1,4-Dimethylbenzol', 'Xylene, p-', 'Benzene, p-dimethyl-', 'Xylene, p-isomer', 'UNII-6WAC1O477V', 'NSC 72419', 'CCRIS 910', 'HSDB 136', 'PARA XYLENE', 'EINECS 203-396-5', 'CHEMBL31561', 'AI3-52255', '6WAC1O477V', 'CHEBI:27417', '1,4-Dimethylcyclohexane, mixture of cis and trans', 'MFCD00008556', '68650-36-2', 'p-Xylene, 99%, pure', 'p-Xylene, 99%, for HPLC', 'p-Xylene, 99+%, extra pure', 'paraxylene', 'Solvent xylene', 'p-Xylenes', 'PXY', 'Benzene, 1,4-dimethyl-, oxidized', 'Aromatic hydrocarbons, C8, o-xylene-lean', 'Xylene,coking b', 'MFCD00077264', '1,4-dimethyl benzene', '1,4-dimethyl-benzene', 'ACMC-1BROJ', 'DSSTox_CID_1868', 'bmse000834', 'EC 203-396-5', 'DSSTox_RID_76374', 'DSSTox_GSID_21868', '68411-39-2', 'KSC175S8L', 'p-Xylene, analytical standard', 'BENZENE,1,4-DIMETHYL', 'WLN: 1R D1', 'p-Xylene, anhydrous, &gt;=99%', 'DTXSID2021868', 'p-Xylene, for synthesis, 99%', 'CTK0H5985', '187l', 'Dimethylbenzene,coking by-products', 'p-Xylene, for HPLC, &gt;=99%', 'LABOTEST-BB LTBB002309', 'ZINC968254', 'p-Xylene, ReagentPlus(R), 99%', 'KS-00000WZ6', 'NSC72419', 'p-Xylene 10 microg/mL in Methanol', 'Tox21_201113', "(a,a,a,a',a',a'-2H6)p-xylene", 'ANW-15345', 'BDBM50008567', 'c0083', 'LS-397', 'NSC-72419', 'STL264212', 'AKOS000121124', 'AS00254', 'MCULE-3769448716', 'p-Xylene 5000 microg/mL in Methanol', 'p-Xylene, purum, &gt;=98.0% (GC)', 'NCGC00091661-01', 'NCGC00091661-02', 'NCGC00258665-01', 'p-Xylene [UN1307] [Flammable liquid]', 'CAS-106-42-3', 'p-Xylene, SAJ first grade, &gt;=99.0%', 'SC-65191', 'SC-79143', 'p-Xylene [UN1307]  [Flammable liquid]', 'p-Xylene, SAJ special grade, &gt;=99.0%', 'FT-0689271', 'S0649', 'p-Xylene, puriss. p.a., &gt;=99.0% (GC)', 'A18069', 'C06756', '28306-EP2270003A1', '28306-EP2277867A2', '28306-EP2280003A2', '28306-EP2289896A1', '28306-EP2301918A1', '28306-EP2305825A1', '28306-EP2309584A1', '28306-EP2314577A1', '28306-EP2380568A1', 'J-001588', 'J-524068', 'Q3314420', 'p-Xylene, 99%, for spectroscopy, scintillation grade', 'F0001-0120', 'UNII-D856J1047R component URLKBWYHVLBVBO-UHFFFAOYSA-N', '1,4-Xylene;p-xylene;Xylol, p-;Aromatic hydrocarbons, C8, o-xylene-lean', 'p-Xylene, Pharmaceutical Secondary Standard; Certified Reference Material']</t>
  </si>
  <si>
    <t>Compound(7809)</t>
  </si>
  <si>
    <t>1,5,9-cyclododecatriene</t>
  </si>
  <si>
    <t>cyclododeca-1,5,9-triene</t>
  </si>
  <si>
    <t>['cyclododeca-1,5,9-triene', 'trans,trans,cis-1,5,9-Cyclododecatriene', '1,5,9-CYCLODODECATRIENE', '706-31-0', 'cis,trans,trans-1,5,9-Cyclododecatriene', '4904-61-4', '676-22-2', 'trans,trans,trans-1,5,9-Cyclododecatriene', '1,5,9-Cyclododecatriene, (1E,5E,9Z)-', '(E,E,E)-1,5,9-Cyclododecatriene', 'trans,cis,cis-cyclododeca-1,5,9-triene', '4736-48-5', 'ACMC-1CP6G', 'NCIOpen2_000351', 'DTXSID8027581', 'CTK1D1757', '2765-29-9', 'KS-000012VA', 'ZINC1698518', 'ANW-35927', 'AKOS025243567', '(1Z,5Z,9Z)-cyclododeca-1,5,9-triene', 'DB-055050', 'FT-0606938', 'FT-0623870', 'FT-0632784']</t>
  </si>
  <si>
    <t>Compound(12668)</t>
  </si>
  <si>
    <t>1,5-pentanediamine</t>
  </si>
  <si>
    <t>pentane-1,5-diamine</t>
  </si>
  <si>
    <t>['Pentane-1,5-diamine', '1,5-Diaminopentane', 'cadaverine', '462-94-2', '1,5-pentanediamine', 'pentamethylenediamine', 'Cadaverin', '1,5-Pentamethylenediamine', 'Animal coniine', 'UNII-L90BEN6OLL', 'AI3-26937', 'BRN 1697256', 'EINECS 207-329-0', 'L90BEN6OLL', 'CHEMBL119296', 'CHEBI:18127', 'MFCD00008239', '1,5-Diaminopentane, 98%', 'N2P', 'Pentamethylenediamine dihydrochloride', 'HSDB 7866', 'Cadaverine, 95%', 'Pentane-1,5-damne', '1,5-diamino-pentane', 'BioDex 1-', '1,5-Amylene diamine', 'ACMC-1BNDU', '1,5-Diamino-n-pentane', 'alpha,omega-Pentanediamine', 'bmse000072', 'EC 207-329-0', 'SCHEMBL21367', '4-04-00-01310 (Beilstein Handbook Reference)', 'KSC236G7F', 'Cadaverine, analytical standard', 'H2N(CH2)5NH2', 'SCHEMBL5495920', 'DTXSID5075448', 'CTK1D6372', 'KS-00000X5R', 'ZINC1529253', 'ANW-30426', 'BBL027704', 'BDBM50323741', 'SBB079706', 'STL372961', 'AKOS005169829', 'AM61576', 'Cadaverine, purum, &gt;=97.0% (GC)', 'CCG-266036', 'DB03854', 'MCULE-3785554987', 'NCGC00166285-01', 'AS-30673', 'AB0062729', 'DB-051367', 'LS-101555', 'FT-0600435', 'NS00007504', 'ST51045499', 'Z4773', 'C01672', 'M-5203', '462D942', 'Q161555', 'Cadaverine;Pentamethylenediamine;pentamethylenediamine', 'J-523897', '1948270A-6D1B-4F40-BC13-9B680ED17B17']</t>
  </si>
  <si>
    <t>Compound(273)</t>
  </si>
  <si>
    <t>C5H14N2</t>
  </si>
  <si>
    <t>1,6-dimethylnaphthalene</t>
  </si>
  <si>
    <t>['1,6-DIMETHYLNAPHTHALENE', '575-43-9', 'Naphthalene, 1,6-dimethyl-', 'UNII-DXN13WI5EY', '1,6-Dimethyl-Naphthalene', 'HSDB 6024', '1,6-DMN', 'EINECS 209-385-1', 'NSC 52966', 'DXN13WI5EY', 'AI3-17608', 'MLS002667564', 'CHEMBL363803', 'CHEBI:34065', 'SMR001216530', 'ACMC-1AJSW', 'DSSTox_CID_2415', 'C14217', 'DSSTox_RID_76582', 'DSSTox_GSID_22415', 'MLS001050091', 'BIDD:ER0552', '1,6-Dimethylnaphthalene, 99%', 'DTXSID7022415', 'WLN: L66J B1 H1', 'ALBB-013849', 'NSC52966', 'ZINC1684247', 'ZX-AN012599', 'Tox21_200672', '5914AE', 'ANW-32745', 'BBL019900', 'BDBM50159275', 'MFCD00004039', 'Naphthalene, 1,6-dimethyl- (8CI)', 'NSC-52966', 'STL196685', 'AKOS005173948', 'FCH1115307', 'LS-1402', 'MCULE-1682432732', 'VZ20759', 'NCGC00091292-01', 'NCGC00091292-02', 'NCGC00258226-01', 'CAS-575-43-9', 'CC-03469', 'VS-07023', 'AB0113142', 'BB0266002', 'Naphthalene, 1,6-dimethyl- (8CI)(9CI)', '1,6-Dimethylnaphthalene, analytical standard', 'FT-0607007', 'NS00020005', 'ST45022256', 'Y-9547', 'C-03574', 'Q27115787']</t>
  </si>
  <si>
    <t>Compound(11328)</t>
  </si>
  <si>
    <t>C12H12</t>
  </si>
  <si>
    <t>(8R,9S,13S,14S,17R)-13-methyl-6,7,8,9,11,12,14,15,16,17-decahydrocyclopenta[a]phenanthrene-3,17-diol</t>
  </si>
  <si>
    <t>['17alpha-Estradiol', '57-91-0', 'alpha-Estradiol', 'Alfatradiol', 'Epiestradiol', '17-alpha-Estradiol', '17a-estradiol', 'Epiestrol', '3,17-Dihydroxyestratriene', 'Estradiol-17alpha', '17-Epiestradiol', 'Estra-1,3,5(10)-triene-3,17alpha-diol', '17|A-estradiol', '17alpha estradiol', 'Alfatradiol [INN]', 'UNII-3VQ38D63M7', '17.alpha.-Estradiol', '17.alpha.-Oestradiol', 'Oestradiol-17.alpha.', 'Estradiol, 17.alpha.-', '(8R,9S,13S,14S,17R)-13-methyl-6,7,8,9,11,12,14,15,16,17-decahydrocyclopenta[a]phenanthrene-3,17-diol', 'CHEBI:17160', '3VQ38D63M7', 'NSC 20293', '17-epi-Estradiol', 'Oestradiol-17alpha', '(17alpha)-estra-1,3,5(10)-triene-3,17-diol', 'Alfatradiol (INN)', 'Estra-1,3,5(10)-triene-3,17-diol, (17a)-', 'Oestradiol-17-alpha', 'Epiestradial', 'Estra-1,3,5(10)-triene-3,17a-diol', 'DSSTox_CID_2377', 'DSSTox_RID_76564', 'DSSTox_GSID_22377', 'CCRIS 7203', 'C18H24O2', 'a-Estradiol', 'EINECS 200-354-8', '1,3,5-Estratriene-3,17-alpha-diol', 'BRN 2698044', 'CAS-57-91-0', '(1S,10R,11S,14R,15S)-15-methyltetracyclo[8.7.0.0^{2,7}.0^{11,15}]heptadeca-2(7),3,5-triene-5,14-diol', '(8R,9S,13S,14S,17R)-13-methyl-7,8,9,11,12,13,14,15,16,17-decahydro-6H-cyclopenta[a]phenanthrene-3,17-diol', 'Oestra-1,3,5(10)-triene-3,17alpha-diol', '3,17alpha-Dihydroxyestra-1,3,5(10)-triene', '3,17alpha-Dihydroxyoestra-1,3,5(10)-triene', '3,17-alpha-Dihydroxyoestra-1,3,5(10)-triene', '3,3,5(10)-triene', 'NSC-20293', '17a-Oestradiol', '1,3,5-Estratriene-3,17.alpha.-diol', 'Estradiol-17|A', 'I+/--Astradiol', '17 alpha-estradiol', 'Estradiol, 17alpha-', 'Estra-1,3,5(10)-triene-3,17.alpha.-diol', 'Oestra-1,3,5(10)-triene-3,17.alpha.-diol', '3,17.alpha.-Dihydroxyestra-1,3,5(10)-triene', 'alpha-Estradiol, 98%', '(17?)-Estra-1,3,5(10)-triene-3,17-diol', '3,17.alpha.-Dihydroxyoestra-1,3,5(10)-triene', 'UPCMLD-DP131', 'Estra-1,3,5(10)-triene-3,17-diol, (17-alpha)-', 'KBioGR_002281', 'KBioSS_002282', '4-06-00-06611 (Beilstein Handbook Reference)', 'BIDD:ER0163', 'SCHEMBL121568', 'CHEMBL286452', 'DTXSID8022377', 'UPCMLD-DP131:001', 'BDBM20624', 'CTK8G3930', 'HY-B0141A', 'KBio2_002281', 'KBio2_004849', 'KBio2_007417', 'KBio3_002761', 'MITO-4509', 'ABP-150', 'cMAP_000011', '1,3,5-Estratriene-3,17a-diol', 'NSC20293', 'ZINC3815415', 'Tox21_201262', 'Tox21_303644', 'LMST02010029', '1,5-Estratriene-3,17.alpha.-diol', 'AKOS024457306', 'AC-2168', 'GS-5672', 'MX-4509', 'NCGC00161666-01', 'NCGC00161666-02', 'NCGC00161666-03', 'NCGC00161666-04', 'NCGC00256569-01', 'NCGC00258814-01', 'alpha-Estradiol, powder, &gt;=98% (TLC)', 'SC-81163', 'Oestra-1,3,5(10)-triene-3,17a-diol', '3,17a-Dihydroxyestra-1,3,5(10)-triene', '3,17a-Dihydroxyoestra-1,3,5(10)-triene', 'B7201', 'CS-0014231', 'E0919', 'Estra-1,5(10)-triene-3,17.alpha.-diol', 'Oestra-1,5(10)-triene-3,17.alpha.-diol', 'C02537', 'D07121', '064E144', '13b-Methyl-1,3,5(10)-gonatriene-3,17a-diol', '17-alpha-Estradiol 100 microg/mL in Acetonitrile', 'alpha-Estradiol, VETRANAL(TM), analytical standard', 'Q4721888', 'WLN: L E5 B666TTT&amp;J E1 FQ OQ 17-ALPHA', '13beta-methyl-1,3,5(10)-gonatrien-3,17alpha-diol', 'Estra-1,5(10)-triene-3,17-diol, (17.alpha.)-', '23E54080-77C2-4457-A388-FCBCE0B68C38', '17alpha-Estradiol (17-epi-Estradiol; Estra-1,3,5(10)-triene-3,17alpha-diol)', '17alpha-Estradiol;estra-1,3,5(10)-triene-3,17?-diol;Estra-1,3,5(10)-triene-3,17a-diol', 'Estra-1,3,5(10)-triene-3,17alpha-diol (17alpha-Estradiol; 17-epi-Estradiol)']</t>
  </si>
  <si>
    <t>Compound(68570)</t>
  </si>
  <si>
    <t>C18H24O2</t>
  </si>
  <si>
    <t>(8R,9S,13S,14S,17S)-13-methyl-6,7,8,9,11,12,14,15,16,17-decahydrocyclopenta[a]phenanthrene-3,17-diol</t>
  </si>
  <si>
    <t>['estradiol', 'beta-Estradiol', '17beta-Estradiol', '50-28-2', 'Oestradiol', 'Dihydrofolliculin', 'Estrace', 'Ovocyclin', 'progynon', 'Dihydrotheelin', 'Dihydroxyestrin', 'Aquadiol', 'Diogynets', 'Gynergon', 'Gynoestryl', 'Vivelle', 'Diogyn', 'Oestroglandol', 'Aerodiol', 'Corpagen', 'Dimenformon', 'Estrovite', 'Femestral', 'Follicyclin', 'Ginosedol', 'Macrodiol', 'Oestergon', 'Ovahormon', 'Ovasterol', 'Ovastevol', 'Perlatanol', 'Primofol', 'Profoliol', 'Altrad', 'Bardiol', 'Climara', 'Divigel', 'Evorel', 'Femogen', 'Lamdiol', 'Syndiol', 'Vagifem', 'Dihydromenformon', 'estradiol-17beta', 'cis-Estradiol', 'Estraderm TTS', 'Estraderm', 'Estraldine', 'Estroclim', 'Trocosone', 'Estrogel', 'Menorest', 'Nordicol', 'Zumenon', 'Systen', 'D-Oestradiol', 'D-Estradiol', 'Progynon DH', 'Climaderm', 'Compudose', 'Dermestril', 'Estrasorb', 'Ovocycline', 'Encore', 'Estring', 'Menest', 'Oesclim', 'Dihydroxyoestrin', 'SK-Estrogens', 'Progynon-DH', 'Gynestrel', 'Microdiol', 'Oestrogynal', 'Ovociclina', 'Ovocylin', 'Tradelia', 'Estroclim 50', 'Innofem', 'Macrol', 'Zerella', '17beta-Oestradiol', 'Alora', 'Oestradiol R', 'Estring vaginal ring', 'Dihydrofollicular hormone', 'Trial SAT', 'Theelin, dihydro-', 'Elestrin', 'Estreva', 'Estrifam', 'Extrasorb', 'Fempatch', 'Femtran', 'Ginedisc', 'Gynodiol', 'Oestrogel', '17-beta-estradiol', 'Esclim', 'Compudose 200', 'Compudose 365', 'GynPolar', 'Estrofem Forte', 'Profoliol B', 'Sandrena Gel', 'Sisare Gel', 'Estrofem 2', 'Oestradiolum', 'Estradiol-17-beta', 'Estradot', 'Gelestra', '3,17-Epidihydroxyestratriene', 'Zesteem', 'Dihydroxyesterin', 'cis-Oestradiol', 'Estraderm TTS 50', 'Climara Forte', 'Estrogens, esterified', 'Oestradiol Berco', 'Estraderm MX', 'VIVELLE-DOT', 'Epiestriol 50', '17beta oestradiol', 'Oestradiol-17beta', 'Estrapak 50', 'NSC-9895', '17 beta-Estradiol', 'Estradiol-17 beta', 'Evamist', 'Estradiolum [INN]', 'Estradiolo [DCIT]', 'Oestradiol-17-beta', 'Femanest', 'Estra-1,3,5(10)-triene-3,17beta-diol', 'Estradiol-3,17beta', 'B-Estradiol', '17-beta-OH-estradiol', '3,17-beta-Estradiol', '3,17-beta-Oestradiol', '3,17-Epidihydroxyoestratriene', 'D-3,17beta-Estradiol', '17b-Oestradiol', 'Sandrena 1', '(17beta)-Estra-1,3,5(10)-triene-3,17-diol', 'E(sub 2)', 'Estraderm (TN)', '[3H]-estradiol', '17|A-Oestradiol', 'Estrogel (TN)', 'Climara (TN)', 'Divigel (TN)', 'Estrace (TN)', 'Estring (TN)', 'Innofem (TN)', 'Vagifem (TN)', 'Vivelle (TN)', '17.beta.-Estradiol', '17.beta.-Oestradiol', '17-beta-OH-oestradiol', '3,17.beta.-Estradiol', 'D-3,17beta-Oestradiol', 'Estrodiolum [INN-Latin]', 'D-3,17-beta-Estradiol', '17|A-estradiol', 'D-3,17-beta-Oestradiol', '.beta.-Estradiol', '.beta.-Oestradiol', '[3H]]estradiol', 'CCRIS 280', 'UNII-4TI98Z838E', 'Estradiol, .beta.-', 'Estradiol-17.beta.', 'CHEBI:16469', 'Estra-1,3,5(10)-triene-3,17-diol (17beta)-', 'Oestradiol-17.beta.', 'HSDB 3589', 'Oestra-1,3,5(10)-triene-3,17beta-diol', 'Estrasorb (TN)', '17.beta.-OH-estradiol', '17.beta.-OH-oestradiol', '17beta estradiol (E2)', 'EINECS 200-023-8', '17beta-Estra-1,3,5(10)-triene-3,17-diol', '(8R,9S,13S,14S,17S)-13-methyl-6,7,8,9,11,12,14,15,16,17-decahydrocyclopenta[a]phenanthrene-3,17-diol', '1,3,5-Estratriene-3,17-beta-diol', 'CHEMBL135', '(17beta)-estra-1(10),2,4-triene-3,17-diol', 'D-3,17.beta.-Estradiol', 'D-3,17.beta.-Oestradiol', '3,17beta-Dihydroxyestra-1,3,5-triene', 'Estra-1,3,5(10)-triene-3,17-diol, (17beta)-', '3,17beta-Dihydroxyoestra-1,3,5-triene', '3,17-beta-Dihydroxyoestra-1,3,5-triene', 'MLS000069494', 'Estra-1,3,5(10)-triene-3,17-beta-diol', 'Oestra-1,3,5(10)-triene-3,17-beta-diol', '3,17-beta-Dihydroxyestra-1,3,5(10)-triene', '3,17-beta-Dihydroxy-1,3,5(10)-oestratriene', '17-beta-Estra-1,3,5(10)-triene-3,17-diol', '17beta-Oestra-1,3,5(10)-triene-3,17-diol', '4TI98Z838E', '17-beta-Oestra-1,3,5(10)-triene-3,17-diol', '1,3,5-Estratriene-3,17beta-diol', '[3H]E2', 'MFCD00003693', 'NCGC00091544-04', 'beta-Estradiol, 98%', 'Estradiolum', 'Estrodiolum', 'Polyestradiol', 'Estradiolo', 'Femestrol', 'SMR000059126', 'C18H24O2', '17-beta estradiol', '3,17b-Dihydroxyestra-1,3,5(10)-triene', 'DSSTox_CID_573', '3,17beta-Dihydroxy-1,3,5(10)-estratriene', '3,17beta-Dihydroxyestra-1,3,5(10)-triene', 'DSSTox_RID_75666', 'Benzogynestry', 'DSSTox_GSID_20573', 'Estropause', 'Estasorb', '(8R,9S,13S,14S,17S)-13-Methyl-7,8,9,11,12,13,14,15,16,17-decahydro-6H-cyclopenta[a]phenanthrene-3,17-diol', '[2,4,6,7-3H]-E2', 'E 2', 'Oestradiol-17beta and esters [Steroidal oestrogens]', 'Destradiol', 'Minivelle', 'Yuvvexy', 'Zesteen', 'Estradiol [USAN:INN]', 'NSC-20293', '17b-Estradiol', 'Activella (Salt/Mix)', 'Combipatch (Salt/Mix)', '(1S,10R,11S,14S,15S)-15-methyltetracyclo[8.7.0.0^{2,7}.0^{11,15}]heptadeca-2(7),3,5-triene-5,14-diol', 'component of Menrium', 'Estradiol-17 alpha', 'Climara Pro (Salt/Mix)', '3,17beta-Estradiol', '3,17-.beta.-Oestradiol', 'Estraderm TTS 100', '3,3,5(10)-triene', 'SR-01000075866', '17-.BETA.-Estradiol', 'Estra-1,3,5(10)-triene-3,17-diol (17.beta.)-', '(+)-3,17.beta.-Estradiol', 'oestrodiol', 'Estradiol [USP:INN:BAN]', 'Elestrim', 'delta-Estradiol', 'dihydro-Theelin', 'delta-Oestradiol', 'TX-004HR', 'Estradiol complex', 'UNII-125DP6010H', 'Estrogel HBF', '1jgl', '1lhu', '1qkt', '1qku', '[3H]estradiol', '1,3,5-Estratriene-3,17.beta.-diol', 'CAS-50-28-2', '.alpha.-Oestradiol', 'Estra-1,3,5(10)-triene-3,17-diol', 'Prestwick_207', '3,17b-Estradiol', 'Bio-E-Gel', 'Fem7', '[3H]-Estrogen', '17 ?-Estradiol', '3,17.beta.-Dihydroxyestra-1,3,5-triene', '3,17.beta.-Dihydroxyoestra-1,3,5-triene', 'CMC_11154', '1,3,5,(10)-Estratrien-3,17.beta.-diol', 'SL-1100', 'Estra-1,3,5(10)-triene-3,17.beta.-diol', 'Oestra-1,3,5(10)-triene-3,17.beta.-diol', '2j7x', '3,17.beta.-Dihydroxy-1,3,5(10)-estratriene', '3,17.beta.-Dihydroxy-1,3,5(10)-oestratriene', '3,17.beta.-Dihydroxyestra-1,3,5(10)-triene', '3,3,5-triene', '[3H]17beta-estradiol', '(17?)-Estra-1,3,5(10)-triene-3,17-diol', '17.beta.-Estra-1,3,5(10)-triene-3,17-diol', '17.beta.-Oestra-1,3,5(10)-triene-3,17-diol', '28014-46-2', 'Opera_ID_1688', 'Prestwick0_000441', 'Prestwick1_000441', 'Prestwick2_000441', 'Prestwick3_000441', 'Spectrum5_002055', '17beta-estradiol (E2)', 'E0025', 'alpha-estradiol (obsolete)', 'beta-Estradiol, &gt;=98%', 'bmse000642', 'Epitope ID:136018', '(+)-3,17b-Estradiol', 'E 8875', 'EC 200-023-8', 'SCHEMBL8049', '(+)-3,17beta-Estradiol', 'Estradiol (JAN/USP/INN)', 'Tritiated estradiol-17-beta', 'BIDD:PXR0065', 'Lopac0_000503', 'S-21400', 'BSPBio_000482', 'BSPBio_001065', 'KBioGR_000405', 'KBioGR_002269', 'KBioSS_000405', 'KBioSS_002270', 'Oestradiol-17beta and esters', 'MLS000758312', 'MLS001076331', 'MLS001424022', 'BIDD:ER0125', 'SPBio_002421', 'BPBio1_000532', 'GTPL1012', 'GTPL1013', 'DTXSID0020573', 'NIOSH/KG7030000', 'BDBM17292', 'KBio2_000405', 'KBio2_002269', 'KBio2_002973', 'KBio2_004837', 'KBio2_005541', 'KBio2_007405', 'KBio3_000769', 'KBio3_000770', 'KBio3_002749', 'AOB5963', 'NSC9895', '1a52', '1g50', '2d06', 'cMAP_000005', 'Bio1_000403', 'Bio1_000892', 'Bio1_001381', 'Bio2_000363', 'Bio2_000843', 'HMS1362E07', 'HMS1569I04', 'HMS1792E07', 'HMS1990E07', 'HMS2051C17', 'HMS2090E18', 'HMS2096I04', 'HMS2236H04', 'HMS3261F07', 'HMS3403E07', 'HMS3713I04', 'beta-Estradiol, analytical standard', 'ACN-S003579', 'BCP08579', 'HY-B0141', 'Tox21_111148', 'Tox21_202057', 'Tox21_300288', 'Tox21_500503', '1,5-Estratriene-3,17.beta.-diol', 'LMST02010001', 'LS-137', 's1709', 'WC3011', 'ZINC13520815', 'Estradiol-17-beta-6,7-(sup 3)H', '[2,4,6,7-3H]-17beta-estradiol', 'AKOS015896570', '125DP6010H', 'CCG-100808', 'CS-1938', 'DB00783', 'LP00503', 'NC00058', 'SDCCGSBI-0050487.P002', 'WC-3011', 'IDI1_002118', 'SMP1_000121', '1,3,5(10)-estratriene-3,17b-diol', 'NCGC00091544-00', 'NCGC00091544-01', 'NCGC00091544-02', 'NCGC00091544-05', 'NCGC00091544-06', 'NCGC00091544-07', 'NCGC00091544-09', 'NCGC00091544-10', 'NCGC00091544-11', 'NCGC00091544-12', 'NCGC00091544-13', 'NCGC00091544-14', 'NCGC00091544-15', 'NCGC00091544-16', 'NCGC00091544-18', 'NCGC00179321-01', 'NCGC00179321-02', 'NCGC00254177-01', 'NCGC00259606-01', 'NCGC00261188-01', '17-E', '73459-61-7', 'AC-22346', 'AS-13729', 'CPD000059126', 'SC-25771', 'Estra-1,3,5(10)-triene-3,17b-diol', 'Oestra-1,3,5(10)-triene-3,17b-diol', 'WLN: L E5 B666TTT&amp;J E1 FQ OQ', 'AB0012866', 'Estra-1,5(10)-triene-3,17.beta.-diol', 'Estradiol, meets USP testing specifications', '3,17beta-dihydroxyestra-1,3,5(10)-trien', 'Estra-1,3,5(10)-triene -3,17beta-diol', 'EU-0100503', 'KG70300000', 'Oestra-1,5(10)-triene-3,17.beta.-diol', '3,17-dihydroxy-delta(1,3,5-10)-estratriene', 'C00951', 'D00105', 'J10189', 'Z-4415', '(17b)-Estra-1,3,5(10)-triene-3,17-diol', '13b-Methyl-1,3,5(10)-gonatriene-3,17b-ol', '17-decahydrocyclopenta[a]phenanthrene-3,17-diol', '17.beta.-Estra-1,5(10)-triene-3,17-diol', '17.beta.-Oestra-1,5(10)-triene-3,17-diol', '003E693', '17-beta-Estradiol 100 microg/mL in Acetonitrile', 'Q422416', 'SR-01000721892', '13beta-Methyl-1,3,5(10)-gonatriene-3,17beta-ol', 'Estra-1,5(10)-triene-3,17-diol (17.beta.)-', 'Q-201503', 'SR-01000075866-1', 'SR-01000075866-4', 'SR-01000721892-3', 'BRD-K18910433-001-04-4', 'BRD-K18910433-001-43-2', 'estra-1(10),2,4-triene-3,17-diol, (17beta)-', 'Estra-1,5(10)-triene-3,17-diol, (17.beta.)-', 'Z1847670481', 'B8B5AEF5-4957-49EB-A14F-444A8212C482', 'beta-Estradiol, BioReagent, powder, suitable for cell culture', 'Estra-1,3,5(10)-triene-3,17-diol (17beta)-, homopolymer', 'Estradiol, United States Pharmacopeia (USP) Reference Standard', 'beta-Estradiol, powder, gamma-irradiated, suitable for cell culture', 'Estra-1,3,5(10)-triene-3,17-diol, (6,7-(sup 3)H,17-beta)-', '(9beta,13alpha,14beta,17alpha)-estra-1,3,5(10)-triene-3,17-diol', 'Estradiol, Pharmaceutical Secondary Standard; Certified Reference Material', '(13S,17S)-13-methyl-7,8,9,11,12,13,14,15,16,17-decahydro-6H-cyclopenta[a]phenanthrene-3,17-beta-diol', '(1S,10R,11S,14S,15S)-15-methyltetracyclo[8.7.0.0(2),.0(1)(1),(1)]heptadeca-2,4,6-triene-5,14-diol', '(1S,10R,11S,14S,15S)-15-methyltetracyclo[8.7.0.0;{2,7}.0;{11,15}]heptadeca-2,4,6-triene-5,14-diol', '(8S,9S,13S,14S,17S)-13-Methyl-6,7,8,9,11,12,14,15,16,17-decahydrocyclopenta[a]phenanthrene-3,17-diol', '17beta-Estradiol solution, 1.0 mg/mL in acetonitrile, ampule of 1 mL, certified reference material']</t>
  </si>
  <si>
    <t>Compound(5757)</t>
  </si>
  <si>
    <t>1,7-Naphthyridine</t>
  </si>
  <si>
    <t>1,7-naphthyridine</t>
  </si>
  <si>
    <t>['1,7-NAPHTHYRIDINE', '253-69-0', '1,7-Diazanaphthalene', '1,7-Pyridopyridine', 'UNII-NA3KH11MLA', 'NA3KH11MLA', 'CHEBI:36626', '[1,7]naphthyridine', 'SCHEMBL89126', 'CTK1A4060', 'DTXSID20179944', 'ZINC2040906', '2051AB', 'ACM253690', 'FCH894928', 'AKOS006322862', '1,7-Naphthyridine(6CI,7CI,8CI,9CI)', 'SC-43704', 'AX8218330', 'DB-067384', 'FT-0730011', '195706-EP2272972A1', '195706-EP2272973A1', '195706-EP2277872A1', 'Q27116906', 'Ethyl 4-hydroxy-2-[(4-methoxybenzyl)sulfanyl]-5-pyrimidinecarboxylate #']</t>
  </si>
  <si>
    <t>Compound(9209)</t>
  </si>
  <si>
    <t>C8H6N2</t>
  </si>
  <si>
    <t>1,3,3-trimethyl-2-oxabicyclo[2.2.2]octane</t>
  </si>
  <si>
    <t>['Eucalyptol', 'cineole', '1,8-Cineole', '470-82-6', '1,8-Cineol', 'Cajeputol', '1,8-Epoxy-p-menthane', 'Zineol', 'Eucalyptole', 'Eucapur', 'Terpan', 'p-Cineole', '1,3,3-Trimethyl-2-oxabicyclo[2.2.2]octane', '1,8-Oxido-p-menthane', 'Eukalyptol', 'CINEOL', 'Cucalyptol', 'Eukalyptol [Czech]', 'Eucalyptol (natural)', 'Zedoary oil', '2-Oxabicyclo[2.2.2]octane, 1,3,3-trimethyl-', 'EUCALYPTUS OIL', 'p-Menthane, 1,8-epoxy-', 'Cineole (VAN)', 'FEMA No. 2465', 'NCI-C56575', 'UNII-RV6J6604TK', '2-Oxabicyclo(2.2.2)octane, 1,3,3-trimethyl-', 'NSC 6171', '1,3,3-Trimethyl-2-oxabicyclo(2.2.2)octane', '2-Oxa-1,3,3-trimethylbicyclo(2.2.2)octane', 'CCRIS 3727', 'HSDB 991', 'Cineole (Eucalyptol)', 'NSC6171', '2,2,4-trimethyl-3-oxabicyclo[2.2.2]octane', '2-Oxa-1,3,3-trimethylbicyclo[2.2.2]octane', 'EINECS 207-431-5', 'MFCD00167977', 'AI3-00578', 'RV6J6604TK', 'CNL', 'Soledum', '4,7,7-trimethyl-8-oxabicyclo[2.2.2]octane', 'CHEBI:27961', 'NSC-6171', 'NCGC00091666-01', 'NCGC00091666-04', 'DSSTox_CID_616', '1,8-Cineole, 99%', 'DSSTox_RID_75692', 'DSSTox_GSID_20616', 'W-106080', 'Eucalyptol [USAN]', '(1s,4s)-1,3,3-trimethyl-2-oxabicyclo[2.2.2]octane', 'Eucalyptol 1000 microg/mL in Methanol', 'CAS-470-82-6', 'SMR000471853', 'Eucalyptol [USAN:USP]', 'BIDD:ER0481', 'Cineole;', '8000-48-4', 'Eucalyptol,(S)', 'Eucalyptol (USP)', '1.8-cineole', 'Eucalyptol, 99%', 'Eucalyptol, Ph Helv', 'p-Menthane,8-epoxy-', 'WLN: T66 A B AOTJ B1 B1 F1', 'Spectrum2_000221', 'Spectrum3_000683', 'Spectrum4_001747', 'Spectrum5_000704', 'bmse000523', 'EC 207-431-5', 'SCHEMBL19622', 'SCHEMBL41020', 'BSPBio_002405', 'KBioGR_002194', 'MLS001050089', 'MLS001066338', 'DivK1c_000333', 'SPECTRUM1500294', 'SPBio_000261', 'Eucalyptol, analytical standard', 'CHEMBL485259', 'GTPL2464', 'CHEMBL1231862', 'CHEMBL1397305', 'DTXSID4020616', 'SCHEMBL13554591', 'SCHEMBL17836873', 'CTK6B3326', 'HMS501A15', 'KBio1_000333', 'KBio3_001625', 'NINDS_000333', 'HMS2271P04', 'Pharmakon1600-01500294', 'ZINC967566', 'HY-N0066', 'Tox21_111161', 'Tox21_202090', 'Tox21_302902', '5750AF', 'CCG-36080', 'LS-128', 'NSC760388', 'SBB057535', 'Acylated oxime isatin derivative, 19', 'AKOS015903223', 'AKOS016034339', 'AKOS037514637', 'Tox21_111161_1', 'CCG-266254', 'CS-8146', 'DB03852', 'FCH1679459', 'LMPR0102090019', 'NSC-760388', 'IDI1_000333', 'Eucalyptol, tested according to Ph.Eur.', 'NCGC00091666-02', 'NCGC00091666-03', 'NCGC00091666-05', 'NCGC00095774-01', 'NCGC00178671-01', 'NCGC00256479-01', 'NCGC00259639-01', 'AC-20234', 'Eucalyptol, natural, &gt;=99%, FCC, FG', 'NCI60_005108', 'SC-47256', 'ST096004', '1,3-Trimethyl-2-oxabicyclo[2.2.2]octane', '2-Oxa-1,3-trimethylbicyclo[2.2.2]octane', 'DB-070775', '2-Oxabicyclo[2.2.2]octane,3,3-trimethyl-', 'FT-0607033', 'FT-0626369', 'NS00002794', '1,3,3-trimethyl-2-oxabicyclo[2,2,2]octane', '1,3,3-trimethyl-2-oxabicyclo[2.2.2]octan', 'A15662', 'A19469', 'C09844', 'D04115', 'AB01563262_01', 'Q161572', 'SR-01000763816', 'SR-01000763816-2', '1,8-Cineole, primary pharmaceutical reference standard', 'Cineole, European Pharmacopoeia (EP) Reference Standard', 'Eucalyptol, certified reference material, TraceCERT(R)', 'F0001-1260', 'Eucalyptol, United States Pharmacopeia (USP) Reference Standard', 'Eucalyptol (cineole), Pharmaceutical Secondary Standard; Certified Reference Material', '8024-53-1']</t>
  </si>
  <si>
    <t>Compound(2758)</t>
  </si>
  <si>
    <t>C10H18O</t>
  </si>
  <si>
    <t>1-amino-2-methylanthraquinone</t>
  </si>
  <si>
    <t>1-amino-2-methylanthracene-9,10-dione</t>
  </si>
  <si>
    <t>['1-AMINO-2-METHYLANTHRAQUINONE', '82-28-0', 'Disperse Orange 11', '1-amino-2-methylanthracene-9,10-dione', 'Disperse Orange', 'Cilla Orange R', 'Duranol Orange G', 'Celliton Orange R', 'Supracet Orange R', 'Serisol Orange YL', 'Perliton Orange 3R', 'Artisil Orange 3RP', 'Microsetile Orange RA', 'Nyloquinone Orange JR', 'Acetate Fast Orange R', 'C.I. Disperse Orange 11', '9,10-Anthracenedione, 1-amino-2-methyl-', 'Anthraquinone, 1-amino-2-methyl-', 'Acetoquinone Light Orange JL', '2-Methyl-1-anthraquinonylamine', 'NCI-C01901', 'Oranz disperzni 11', 'Disperse Orange (anthraquinone dye)', 'C.I. 60700', '1-Amino-2-methyl-9,10-anthraquinone', '1-Amino-2-methylanthra-9,10-quinone', 'Disperse Orange (VAN)', 'CI Disperse Orange 11', 'CCRIS 32', 'UNII-RHN157F30Q', 'NSC 39943', 'Oranz disperzni 11 [Czech]', 'NSC 667744', '1-Amino-2-methyl-9,10-anthracenedione', 'HSDB 4101', 'EINECS 201-408-3', 'BRN 0650595', 'CI 60700', 'MLS002152851', 'RHN157F30Q', '1-Amino-2-methyl-anthraquinone', 'CHEBI:82382', 'NSC667744', '1-amino-2-methyl-9,10-dihydroanthracene-9,10-dione', 'SMR001224475', 'DSSTox_CID_57', 'DSSTox_RID_75339', 'DSSTox_GSID_20057', 'CAS-82-28-0', 'Disperse', 'Fast Orange R', 'ACMC-1BKFW', 'C.I.Disperse Orange 11', '9, 1-amino-2-methyl-', 'cid_6702', '4-14-00-00496 (Beilstein Handbook Reference)', 'C.I. Dis perse Orange 11', 'BIDD:GT0778', 'SCHEMBL591041', '1-Amino-2-methyl anthraquinone', 'CHEMBL1413787', 'DTXSID7020057', 'BDBM76758', 'CTK3E8303', 's439', 'ALBB-013677', 'KS-000012RG', 'NSC39943', 'ZINC3873990', 'Tox21_201681', 'Tox21_302964', 'ANW-37537', 'BBL013160', 'NSC-39943', 'SBB003232', 'STK803591', 'AKOS000120131', 'LS-1815', 'MCULE-7925270945', 'NSC-667744', 'WLN: L C666 BV IVJ DZ E1', 'Disperse Orange 11, analytical standard', 'NCGC00091244-01', 'NCGC00091244-02', 'NCGC00091244-03', 'NCGC00256386-01', 'NCGC00259230-01', '1-amino-2-methyl-anthracene-9,10-dione', '1-Amino-2-methylanthra-9,10-quinone #', 'ST055353', 'VS-03694', '1-azanyl-2-methyl-anthracene-9,10-dione', 'DB-080712', 'A1255', 'EU-0047978', 'FT-0683766', 'NS00021370', 'R1015', 'C19320', 'Q27155911', 'Z57210133']</t>
  </si>
  <si>
    <t>Compound(6702)</t>
  </si>
  <si>
    <t>C15H11NO2</t>
  </si>
  <si>
    <t>1-aminodecane</t>
  </si>
  <si>
    <t>decan-1-amine</t>
  </si>
  <si>
    <t>['Decylamine', 'decan-1-amine', '2016-57-1', '1-Aminodecane', '1-Decanamine', 'N-DECYLAMINE', '1-Decylamine', 'Decanamine', 'Monodecylamine', 'Kemamine P 190D', 'Aminodecane', 'UNII-M9KKQ6ZZG9', 'Amine 10', 'HSDB 7324', 'EINECS 217-957-7', 'M9KKQ6ZZG9', 'BRN 1735220', 'AI3-52306', 'n-C10H21NH2', 'CHEMBL109819', 'n-Decylamine, 99%', 'Decylammonium acetate', 'DSSTox_CID_2171', 'DSSTox_RID_76512', 'DSSTox_GSID_22171', 'Decyl amine', 'CAS-2016-57-1', 'decyl-amine', 'n-decyl amine', 'Normal-decylamine', 'Decylamine, 95%', 'Amine-10', 'DECANE,1-AMINO', 'ACMC-209f6a', 'SCHEMBL20619', '4-04-00-00783 (Beilstein Handbook Reference)', 'KSC202C7P', 'Decylamine, analytical standard', 'DTXSID2022171', 'CTK1A2177', 'Decylamine, &gt;=99.0% (GC)', 'STR11665', 'ZINC1545436', 'Tox21_201303', 'Tox21_302938', '0346AB', '1-Decanamine;1-decylamine;Decylamine', 'ANW-23936', 'BDBM50147566', 'AKOS009159300', 'Decylamine, purum, &gt;=98.0% (GC)', 'NE10554', 'NCGC00249022-01', 'NCGC00256367-01', 'NCGC00258855-01', 'LS-59274', 'SC-83626', 'DB-045118', 'D0033', 'FT-0607343', 'NS00010843', 'A814298', 'Q-200932', 'Q5493262', 'UNII-6724Q5747W component MHZGKXUYDGKKIU-UHFFFAOYSA-N']</t>
  </si>
  <si>
    <t>Compound(8916)</t>
  </si>
  <si>
    <t>C10H23N</t>
  </si>
  <si>
    <t>1-aminopropane</t>
  </si>
  <si>
    <t>propan-1-amine</t>
  </si>
  <si>
    <t>['Propylamine', 'Propan-1-amine', '1-Propanamine', '107-10-8', '1-Propylamine', 'n-Propylamine', 'Propanamine', '1-AMINOPROPANE', 'Monopropylamine', 'Mono-n-propylamine', 'propyl amine', 'n-Propyl Amine', 'RCRA waste number U194', 'propyl amines', 'NSC 7490', 'n-C3H7NH2', 'UNII-I76F18D635', 'HSDB 5162', '(C6-C12)Alkylalkoxypropyleneamine', '1-Propanamine, 3-(C6-12-alkyloxy) derivs.', '(C10-C16)Alkylalkoxypropyleneamine', '(C14-C18)Alkylalkoxypropyleneamine', '(C6-C12) Alkylalkoxypropyleneamine', 'EINECS 203-462-3', '1-Propanamine, 3-(C10-16-alkyloxy) derivs.', '1-Propanamine, 3-(C12-18-alkyloxy) derivs.', '1-Propanamine, 3-(C14-18-alkyloxy) derivs.', '1-Propanamine, 3-(C16-22-alkyloxy) derivs.', 'UN1277', '(C10-C16) Alkylalkoxypropyleneamine', '(C12-C18) Alkylalkoxypropyleneamine', '(C16-C22)Alkyl alkoxypropyleneamine', 'RCRA waste no. U194', '(C12-C18)Alkyl alkoxypropylene amine', 'AI3-26456', 'CHEBI:39870', 'I76F18D635', 'Propylamine [UN1277] [Flammable liquid]', 'Propylamine, 98%, pure', 'Propylamine, 99+%, extra pure', 'MFCD00008205', 'AYE', '3-AMINOPROPYL', 'aminopropane', 'n-propyl-amine', '3-propylamine', 'N-n-propylamine', 'propane-1-amine', '2-methylethylamine', 'n-prop-1-ylamine', 'Propanamine, 9CI', 'EINECS 268-601-2', 'EINECS 268-602-8', 'EINECS 269-096-1', 'EINECS 269-097-7', 'EINECS 269-098-2', 'Propylamine, 98%', 'PrNH2', 'Propylamine, &gt;=99%', '3-Aminopropyl Silica Gel', 'ACMC-1BOF1', 'NH2CH2CH2CH3', 'EC 203-462-3', 'WLN: Z3', '68130-69-8', '68130-70-1', '68187-43-9', '68187-44-0', '68187-45-1', 'KSC124O2D', 'CHEMBL14409', 'Propylamine, analytical standard', 'DTXSID6021878', 'CTK0C4721', 'KS-00000VFU', 'NSC7490', 'BCP18818', 'NSC-7490', 'STR01427', 'ANW-15487', 'STL185558', 'ZINC16052656', 'AKOS000120278', 'MCULE-2885523792', 'UN 1277', 'Propylamine, purum, &gt;=99.0% (GC)', 'SC-76866', 'DB-002025', 'LS-125523', 'FT-0656405', 'NS00002355', 'P0520', 'Propylamine [UN1277]  [Flammable liquid]', '13839-EP2281563A1', '13839-EP2287141A1', '13839-EP2287165A2', '13839-EP2287166A2', '13839-EP2289894A2', '13839-EP2292620A2', '13839-EP2308812A2', '13839-EP2311802A1', '13839-EP2311803A1', '13839-EP2311804A2', '13839-EP2314582A1', '13839-EP2316836A1', '52735-EP2269999A1', '52735-EP2289894A2', '52735-EP2292597A1', '52735-EP2295432A1', '52735-EP2298728A1', '52735-EP2298742A1', '52735-EP2298761A1', '52735-EP2308838A1', '52735-EP2308841A2', '52735-EP2371814A1', '52735-EP2377849A2', '79539-EP2305695A2', '79539-EP2305696A2', '79539-EP2305697A2', '79539-EP2305698A2', '144227-EP2287165A2', '144227-EP2287166A2', '144227-EP2292620A2', 'A801584', 'Q417852', 'J-001703', 'F2190-0357', '117617-49-9']</t>
  </si>
  <si>
    <t>Compound(7852)</t>
  </si>
  <si>
    <t>C3H9N</t>
  </si>
  <si>
    <t>1-aminobutane</t>
  </si>
  <si>
    <t>butan-1-amine</t>
  </si>
  <si>
    <t>['Butylamine', 'N-BUTYLAMINE', 'butan-1-amine', '1-Butanamine', '109-73-9', '1-Aminobutane', '1-Butylamine', 'Monobutylamine', 'N-Butylamin', 'Mono-n-butylamine', 'Norvalamine', '1-Aminobutan', '1-Amino-butaan', 'Monobutilamina', 'Butanamine', 'butyl amine', 'n-Butilamina', 'n-butyl amine', 'n-Butylamin [German]', 'Norralamine', 'n-Butilamina [Italian]', '1-Aminobutan [German]', 'FEMA Number 3130', 'Monobutilamina [Romanian]', '1-Amino-butaan [Dutch]', 'UNII-N2QV60B4WR', 'NSC 8029', 'FEMA No. 3130', 'CCRIS 4756', 'HSDB 515', 'EINECS 203-699-2', 'UN1125', 'n-C4H9NH2', 'N2QV60B4WR', 'AI3-24197', 'CHEBI:43799', 'MFCD00011690', 'n-Butylamine, 99+%', 'Aminobutane', 'Butylarnine', 'n-butyiamine', 'n-butyl-amine', 'butane-1-amine', 'n-butan-1-amine', 'normal-butyl amine', 'N-Butylamine NBA', 'Butylamine, 99%', 'nBuNH2', '1-Butanamine, 9CI', 'BuNH2', 'Aminobutane (Related)', 'n-BuNH2', 'BUTYLAMINE, N', 'Butylamine, &gt;=99%', 'Butylamine, 99.5%', '1-AMINO-BUTANE', '1-Butanaminen-butilamina', 'DSSTox_CID_1904', 'EC 203-699-2', 'DSSTox_RID_76395', 'NCIOpen2_009229', 'DSSTox_GSID_21904', 'WLN: Z4', 'KSC175M4L', 'CHEMBL13968', 'Butylamine, puriss., 99.0%', 'DTXSID1021904', 'CTK0H5645', 'FEMA 3130', 'KS-00000UWE', 'NSC8029', 'ACMC-209948', 'NSC-8029', 'STR01992', 'ZINC1586365', 'Tox21_301131', 'ANW-16086', 'BBL027788', 'LS-485', 'STL308736', 'AKOS000118810', 'Butylamine, purum, &gt;=98.0% (GC)', 'Butylamine, purum, &gt;=99.0% (GC)', 'DB03659', 'MCULE-4233278050', 'UN 1125', 'Butylamine, analytical reference material', 'Butylamine, puriss., &gt;=99.5% (GC)', 'NCGC00248302-01', 'NCGC00255030-01', 'BP-30251', 'CAS-109-73-9', 'LYT', 'B0707', 'FT-0623326', 'n-Butylamine [UN1125] [Flammable liquid]', 'NS00007640', 'n-Butylamine [UN1125]  [Flammable liquid]', '4454-EP2281563A1', '4454-EP2287141A1', '4454-EP2289510A1', '4454-EP2289887A2', '4454-EP2289888A2', '4454-EP2289894A2', '4454-EP2298746A1', '4454-EP2305629A1', '4454-EP2308838A1', '4454-EP2308867A2', '4454-EP2308870A2', '4454-EP2311804A2', '12339-EP2270010A1', '12339-EP2272517A1', '12339-EP2289509A2', '12339-EP2292619A1', '12339-EP2295418A1', '12339-EP2298742A1', '12339-EP2298761A1', '12339-EP2305250A1', '12339-EP2305642A2', '12339-EP2308812A2', '12339-EP2314298A1', '12339-EP2314593A1', '12339-EP2316974A1', '12339-EP2377849A2', '56744-EP2298305A1', '56744-EP2298769A1', '56744-EP2308878A2', 'Q421035', 'J-002322', 'F2190-0358', 'N-BUTYLAMINE (SEE ALSO: SEC-BUTYLAMINE (CAS 13952-84-6) &amp;TERT-BUTYLAMINE (CAS 75-64-9))']</t>
  </si>
  <si>
    <t>Compound(8007)</t>
  </si>
  <si>
    <t>C4H11N</t>
  </si>
  <si>
    <t>1-amino octane</t>
  </si>
  <si>
    <t>octan-1-amine</t>
  </si>
  <si>
    <t>['Octylamine', 'N-OCTYLAMINE', 'octan-1-amine', '111-86-4', '1-Aminooctane', '1-Octanamine', '1-Octylamine', 'Caprylamine', 'Caprylylamine', 'Armeen 8', 'Octanamine', 'n-Octylamine, mono-', 'Armeen 8D', 'Monoctylamine', 'NSC 9824', 'UNII-SF0V8U4T67', 'EINECS 203-916-0', 'BRN 1679227', 'AI3-11522', 'CHEBI:7728', 'SF0V8U4T67', 'n-Octylamine, 99+%', 'Amines, C8-18 and C18-unsatd. alkyl', 'Monooctylamine', 'octyl amine', 'octyl-amine', 'Octyl-ammonium', 'n-octyl-amine', 'N-Octyl amine', '1-octyl amine', 'Amine 8D', 'EINECS 268-218-0', 'Octylamine, 99%', 'Octanamine (9CI)', 'MFCD00008247', '1-Octylamine, 99%', '(C8-C18) and C18 Unsaturated alkylamine', 'DSSTox_CID_1939', 'EC 203-916-0', 'Octylamine, &gt;=99.5%', 'ACMC-1C47L', 'DSSTox_RID_76415', 'DSSTox_GSID_21939', 'SCHEMBL25545', 'n-C8H17NH2', 'WLN: Z8', '4-04-00-00751 (Beilstein Handbook Reference)', '68037-94-5', 'KSC175Q8H', 'MLS002222344', 'Octylamine, analytical standard', 'CHEMBL1160509', 'DTXSID8021939', 'CTK0H5883', 'NSC9824', 'KS-00000V7Y', 'NSC-9824', 'STR03145', 'ZINC1529275', 'Tox21_200052', 'ANW-16332', 'SBB059986', 'STL484288', 'AKOS009075839', 'MCULE-6095227778', 'NCGC00090924-01', 'NCGC00090924-02', 'NCGC00257606-01', 'Octylamine, puriss., &gt;=99.0% (GC)', 'BP-21015', 'CAS-111-86-4', 'LS-97831', 'SMR001253809', 'CS-0076038', 'FT-0659326', 'NS00008237', 'O0045', 'ST45027490', 'C01740', 'A802426', 'Q-201486', 'Q2013954', 'F2190-0498', '6E6D539B-16BC-4721-9F9E-13E1C44995DE', 'UNII-6724Q5747W component IOQPZZOEVPZRBK-UHFFFAOYSA-N', '149698-79-3', 'FKZ']</t>
  </si>
  <si>
    <t>Compound(8143)</t>
  </si>
  <si>
    <t>C8H19N</t>
  </si>
  <si>
    <t>1-aminonaphthalene</t>
  </si>
  <si>
    <t>naphthalen-1-amine</t>
  </si>
  <si>
    <t>['1-NAPHTHYLAMINE', '1-Aminonaphthalene', 'naphthalen-1-amine', '134-32-7', '1-Naphthalenamine', 'alpha-Naphthylamine', 'Naphthalen-1-ylamine', 'Naphthalidine', 'Naphthalidam', 'Naphthylamine', '1-Naphthalamine', 'Naphthalenamine', 'Fast Garnet Base B', 'alpha-Aminonaphthalene', '1-Naphthylamin', '1-Naftilamina', 'Alfanaftilamina', 'Fast Garnet B Base', '1-Aminonaftalen', '1-Naftylamine', '1-Naftylamin', 'Alfa-naftyloamina', 'RCRA waste number U167', '1-Naftylamin [Czech]', '1-Naftylamine [Dutch]', '1-Aminonaftalen [Czech]', '1-Naftilamina [Spanish]', '1-Naphthylamin [German]', 'Alfanaftilamina [Italian]', 'alpha-Naftalamin [Czech]', 'alpha-Naftylamin [Czech]', 'C.I. Azoic Diazo Component 114', 'alfa-Naftyloamina [Polish]', 'CCRIS 423', 'CI Azoic Diazo Component 114', '1-Naphthylamine, technical grade', 'CHEBI:50450', 'HSDB 1080', '1-NAPHYLAMINE', 'UNII-9753I242R5', '1-Aminonaphthalene-d7', 'EINECS 205-138-7', 'UN2077', 'RCRA waste no. U167', 'BRN 0386133', 'CI 37265', 'CHEMBL57394', 'AI3-00085', 'DSSTox_CID_920', '9753I242R5', 'DSSTox_RID_75867', 'DSSTox_GSID_20920', 'Naphthaleneamine', '1-Naphthylamine, analytical standard', 'alpha-Naftalamin', 'alpha-Naftylamin', 'alpha Naphthylamine', 'Nitrate Reagent A', 'CAS-134-32-7', '.alpha.-Naphthylamine', '1-Naphthylamine solution', 'aminonaphthalene', 'naphthyl-amine', '1-napthylamine', '1-aminonaphthalen', '1-naphthyl amine', '1-naphthaleneamine', '1-amino napthalene', '1-naphthalenylamine', '.alpha.-Naftalamin', '.alpha.-Naftylamin', 'naphthalen-1-yl-amine', 'PubChem23886', 'ACMC-209buj', '.alpha.-Aminonaphthalene', 'ALPHA NAPTHYLAMINE', '1-AMINENAPHTHALENE', 'C.I. 37265', '1-Aminonaphthalene Solution', 'EC 205-138-7', 'SCHEMBL9029', '4-12-00-03009 (Beilstein Handbook Reference)', 'KSC174M7J', 'ALPHA-NAPHTHYLAMINE-D7', 'SCHEMBL7738276', 'SCHEMBL8059977', '1-Naphthylamine, &gt;=99.0%', 'DTXSID7020920', 'CTK0H4674', 'TIMTEC-BB SBB040451', 'OTAVA-BB 1507828', 'LABOTEST-BB LTBB002715', '1-Naphthylamine, p.a., 99.0%', 'KS-000000AE', 'ZINC1673028', 'AKOS BBS-00003569', 'Nitrate Reagent A, for microbiology', 'Tox21_201233', 'Tox21_302805', 'ANW-19625', 'BBL013044', 'BDBM50282489', 'LS-778', 'MFCD00004016', 'SBB040451', 'STK301604', 'AKOS000119159', 'AS02473', 'LS41003', 'MCULE-8686083679', 'MP-2157', 'UN 2077', 'NCGC00091092-01', 'NCGC00091092-02', 'NCGC00091092-03', 'NCGC00091092-04', 'NCGC00256472-01', 'NCGC00258785-01', '25168-10-9', 'AC-10635', 'alpha-Naphthylamine [UN2077] [Poison]', 'AS-13623', 'I974', 'SC-22678', 'ST088537', 'alpha-Naphthylamine [UN2077]  [Poison]', 'DB-063020', 'FT-0608132', 'FT-0622384', 'N0052', 'N0165', 'NS00010844', 'C14790', 'AB00443633-03', 'A806762', 'Q161655', 'W-108286', 'Z57127984', 'F2190-0453', '1-naphthylamine;1-naphthylammonium chloride;1-Naphthalenamine, hydrochloride;1-naphthylammonium acetate']</t>
  </si>
  <si>
    <t>Compound(8640)</t>
  </si>
  <si>
    <t>C10H9N</t>
  </si>
  <si>
    <t>1-decene</t>
  </si>
  <si>
    <t>dec-1-ene</t>
  </si>
  <si>
    <t>['1-DECENE', 'Dec-1-ene', '872-05-9', 'Decylene', 'n-1-Decene', '1-n-Decene', 'alpha-Decene', 'n-Decylene', '1-Decene, homopolymer', 'Gulftene 10', 'decene-1', 'Dialene 10', '1-Decene, homopolymer, hydrogenated', 'NSC 62122', 'Decene, n-', 'UNII-7O4U4C718P', 'CCRIS 5718', 'HSDB 1073', 'EINECS 212-819-2', 'MFCD00009577', '25189-70-2', 'CHEBI:87315', '7O4U4C718P', '68037-01-4', '1-Decene, ca. 95%', 'Decene, homopolymer', '1-Decene homopolymer', 'Polydecene', 'Poly(1-decene)', 'Hydrogenated polydecene', 'Polydecene, hydrogenated', 'UNII-U333RI6EB7', 'Hydrogenated decene homopolymer', 'Polydecene, hydrogenated [NF]', '.alpha.-Decene', 'Linealene 10', 'Neodene 10', 'AHec-1-ene', 'ACMC-1BMFN', '1-Decene, 94%', 'DSSTox_CID_7329', 'EC 212-819-2', 'EC 500-183-1', 'DSSTox_RID_78410', 'UNII-4U179ML4TJ', 'UNII-CQ4IKK1766', 'Alkenes, C10-16 alpha-', 'DSSTox_GSID_27329', '(C10-C16) alpha-Olefin', '37309-58-3', 'KSC204C7R', '1-Decene, analytical standard', 'UNII-75Y1X69O7I', '4U179ML4TJ', 'CQ4IKK1766', 'U333RI6EB7', 'CHEMBL3187990', 'DTXSID8027329', 'CTK1A4178', 'HYDROGENATED POLY- DECENE', '1-DECENE  MFC10 H20', '75Y1X69O7I', 'UNII-4YI0729529', 'KS-00000UG1', 'NSC62122', 'ZINC1691021', 'EINECS 272-492-7', 'Tox21_200195', '5760AF', 'ANW-38642', 'C10H20', 'LMFA11000311', 'NSC-62122', 'SBB058674', '1-Decene, &gt;=97.0% (GC)', 'AKOS015902910', 'Dec-1-ene, homopolymer, hydrogenated Dec-1-ene, oligomers, hydrogenated', 'MCULE-1391753135', '1-Decene, purum, &gt;=95.0% (GC)', 'NCGC00248557-01', 'NCGC00257749-01', '1-C10H20', 'CAS-872-05-9', 'LS-59413', 'DB-056981', '4YI0729529', 'D0028', 'FT-0607692', 'S0340', 'ST51037219', 'Q151410', 'W-107244', 'F8881-0779', 'UNII-2U283N3346 component AFFLGGQVNFXPEV-UHFFFAOYSA-N']</t>
  </si>
  <si>
    <t>Compound(13381)</t>
  </si>
  <si>
    <t>C10H20</t>
  </si>
  <si>
    <t>decan-1-ol</t>
  </si>
  <si>
    <t>['1-DECANOL', 'Decan-1-ol', 'Decyl alcohol', '112-30-1', 'n-Decyl alcohol', 'Decanol', 'n-Decanol', 'Capric alcohol', 'Nonylcarbinol', 'Antak', 'Caprinic alcohol', 'Royaltac', 'n-Decan-1-ol', 'Agent 504', 'Primary decyl alcohol', 'Alfol 10', 'n-Decatyl alcohol', 'Epal 10', 'Royaltac M-2', 'Royaltac-85', 'Alcohol C-10', 'Sipol L10', '1-Hydroxydecane', 'Lorol 22', 'Dytol S-91', 'Decanol (VAN)', 'Kalcohl 10H', 'C 10 alcohol', 'DECYL, N- ALCOHOL', 'Conol 10N', 'Decylic alcohol', 'n-Nonylcarbinol', 'Sprout-Off', 'Epal 810', 'C10 alcohol', 'Nacol 10-99', 'Alcohol C10', '1-Decanol (natural)', 'Alcohols, C8-10', 'Fatty alcohol(C10)', 'Kalcohl 1098', 'Alfol 810', 'Caswell No. 275A', 'Emtrol 1630B', 'Decanol (mixed isomers)', 'FEMA Number 2365', 'T-148', 'CCRIS 654', 'NSC 406313', 'UNII-89V4LX791F', 'Decanol-(1)', 'DECYLALCOHOL', 'FEMA No. 2365', 'Lorol C10', 'HSDB 1072', 'C10H22O', 'DECYL ALCOHOL (mixed isomers)', 'Tobacco sucker control agent 148', 'Tobacco sucker control agent 504', 'T-148 (VAN)', 'EINECS 203-956-9', 'EINECS 287-621-2', 'MFCD00004747', 'EPA Pesticide Chemical Code 079038', 'BRN 1735221', 'AI3-02173', 'T 148', 'CHEBI:28903', '2-octylethylether', '89V4LX791F', 'NSC406313', '36729-58-5', '66455-17-2', '85566-12-7', 'Decyl alcohol, 98+%', 'DSSTox_CID_1946', '1-Decanol, &gt;=98%', 'DSSTox_RID_76419', 'DSSTox_GSID_21946', 'C8-10 Alcohols', 'Alcohols, C9-11', 'Contak', 'Delete', 'CAS-112-30-1', 'Emtrol 1601', 'Alcohols, C10-terpenoidal', 'Nonylcacarbinol', 'Panorama', 'n-decylalcohol', 'Nonyl acarbinol', 'Decyl n- alcohol', 'EINECS 253-173-1', 'EC 203-956-9', 'ACMC-1C43K', 'SCHEMBL21645', '4-01-00-01815 (Beilstein Handbook Reference)', 'KSC175K8J', 'BIDD:ER0304', 'CHEMBL25363', '1-Decanol, analytical standard', 'WLN: Q10', '1-decanol (ACD/Name 4.0)', 'DTXSID7021946', 'BDBM36280', 'CTK0H5584', 'KS-00000UX6', 'ZINC1529247', 'Tox21_202186', 'Tox21_300078', 'ANW-16446', 'LMFA05000062', 'SBB059908', 'STL280520', '1-Decanol, &gt;=98%, FCC, FG', 'AKOS000120014', 'LS-2655', 'MCULE-7579570663', 'NSC-406313', 'ACM36729585', 'NCGC00163764-01', 'NCGC00163764-02', 'NCGC00163764-03', 'NCGC00163764-04', 'NCGC00254141-01', 'NCGC00259735-01', '70084-71-8', 'AK163971', 'AS-56505', 'LS-59425', 'M251', 'SC-19069', '1-Decanol, Selectophore(TM), &gt;=98.0%', 'D0031', 'FT-0607691', 'ST51046175', 'C01633', 'Q47118', 'A802549', 'C-58513', 'J-002747', 'F0001-0257', '476960DD-B0CE-4D91-B27C-A9490A89B065', 'UNII-13F4MW8Y9K component MWKFXSUHUHTGQN-UHFFFAOYSA-N', 'UNII-6X61I5U3A4 component MWKFXSUHUHTGQN-UHFFFAOYSA-N', 'Capric alcohol, United States Pharmacopeia (USP) Reference Standard', 'decan-1-ol, capric alcohol, decan-1-ol, decyl alcohol, alcohol C10, 1-decanol']</t>
  </si>
  <si>
    <t>Compound(8174)</t>
  </si>
  <si>
    <t>C10H22O</t>
  </si>
  <si>
    <t>1-hexadecene</t>
  </si>
  <si>
    <t>hexadec-1-ene</t>
  </si>
  <si>
    <t>['1-Hexadecene', '629-73-2', 'Hexadec-1-ene', 'Cetene', 'Hexadecene', '1-Cetene', 'Hexadecylene-1', '1-n-Hexadecene', 'Cetylene', 'N-HEXADEC-1-ENE', 'alpha-Hexadecene', 'alpha-Hexadecylene', 'Gulftene 16', '.alpha.-Hexadecene', 'Dialene 16', 'NSC 60602', 'UNII-97T015M2UX', 'HSDB 5730', 'EINECS 211-105-8', 'AI3-06556', 'Alkenes, C14-18 .alpha.-', 'CHEBI:77507', '97T015M2UX', 'MFCD00008991', '26952-14-7', '68855-59-4', '1-Hexadecene, analytical standard', 'Hexadecene (mixed isomers)', 'Hexadecene-1', 'Neodene 16', 'EINECS 248-131-4', 'Pentadecane, methylene-', 'DSSTox_CID_7269', 'EC 211-105-8', 'EC 248-131-4', 'Alkenes, C14-18 a-', 'ACMC-1CH85', 'DSSTox_RID_78380', 'DSSTox_GSID_27269', '1-Hexadecene, 92%, tech.', '1-Hexadecene, &gt;=98.5%', 'CHEMBL3182381', 'DTXSID1027269', 'CTK0D0541', 'KS-00000VB6', 'NSC60602', 'Tox21_202748', '6367AF', 'ANW-34483', 'NSC-60602', 'SBB008801', 'ZINC59511024', '1-Hexadecene, technical grade, 92%', 'AKOS015902424', 'MCULE-4969847612', 'ACM26952147', 'NCGC00260296-01', 'CAS-629-73-2', 'CC-04595', 'LS-74871', 'SC-52954', '1-Hexadecene 10 microg/mL in Cyclohexane', '1-Hexadecene, puriss., &gt;=99.0% (GC)', 'FT-0607883', 'S0346', 'ST51046154', 'C-28199', 'Q27147084', 'UNII-38H8547VP0 component GQEZCXVZFLOKMC-UHFFFAOYSA-N', 'UNII-2U283N3346 component GQEZCXVZFLOKMC-UHFFFAOYSA-N', 'HEXADECENE;1-Hexadecene;hexadec-1-ene;Alkenes, C14-18 .alpha.-;Alkenes, C14-18 ?-', '113032-42-1']</t>
  </si>
  <si>
    <t>Compound(12395)</t>
  </si>
  <si>
    <t>C16H32</t>
  </si>
  <si>
    <t>hexadecan-1-ol</t>
  </si>
  <si>
    <t>['1-Hexadecanol', 'cetyl alcohol', 'Hexadecan-1-ol', '36653-82-4', 'HEXADECANOL', 'Cetanol', 'Palmityl alcohol', 'Hexadecyl alcohol', 'n-Cetyl alcohol', 'Cetaffine', 'Cetylol', 'Cetal', 'Ethal', 'Ethol', 'Cetylic alcohol', 'N-Hexadecanol', 'n-Hexadecyl alcohol', 'n-1-Hexadecanol', 'Loxanwachs SK', 'Crodacol C', 'Loxanol K extra', '1-Hexadecyl alcohol', 'Elfacos C', 'Loxanol K', 'Crodacol-CAS', 'Crodacol-CAT', 'Siponol wax-A', 'Atalco C', 'Cetalol CA', 'Siponol CC', 'Lanol C', '1-Cetanol', 'Hyfatol 16', 'Cachalot C-50', 'Cachalot C-51', 'Cachalot C-52', 'Alcohol C-16', 'Product 308', 'Aldol 54', 'Dytol F-11', 'Adol', 'Cyclal cetyl alcohol', 'Alfol 16', 'Lorol 24', 'Adol 52', 'Adol 54', 'Adol 52 NF', 'Hyfatol', 'Epal 16NF', '1-Hexadecyl alc', '16-Hexadecanol', 'C16 alcohol', 'Adol 520', 'n-Hexadecan-1-ol', 'Cetylalkohol', 'Isocetyl alcohol', '1-Hexanedecanol', 'Isohexadecyl alcohol', 'Hexadecanol (VAN)', 'Fatty alcohol(C16)', 'cetylalcohol', 'Caswell No. 165D', 'SSD RP', 'Normal primary hexadecyl alcohol', 'Alcohols, C14-18', 'CO-1670', 'CO-1695', 'FEMA Number 2554', 'Hexadecyl alcohol, normal', 'Lipocol C', 'UNII-936JST6JCN', 'Fancol CA', 'Cetyl alcohol NF', 'Crodacol C70', 'Rita CA', '1-Hydroxyhexadecane', 'Cetanol (TN)', 'Lanette 16', 'FEMA No. 2554', 'Philcohol 1600', 'Cetyl alcohol (NF)', 'Cetyl alcohol [NF]', 'Lorol C16', 'LorolL 24', 'Cachalot C-50 NF', 'Adol 52NF', 'HSDB 2643', 'NSC 4194', 'EINECS 253-149-0', 'EPA Pesticide Chemical Code 001508', 'Cetyl alcohol (hexadecanol)', 'BRN 1748475', '936JST6JCN', 'AI3-00755', '29354-98-1', 'CHEBI:16125', 'NSC4194', 'NCGC00159368-02', 'NCGC00159368-05', '1-Hexadecanol, 96%', 'palmitic alcohol', 'DSSTox_CID_7991', 'DSSTox_RID_78633', 'DSSTox_GSID_27991', '124-29-8', 'CAS-36653-82-4', 'hexadecylalcohol', 'Hexadecanol NF', 'Ceraphyl ICA', 'Crodacol C95NF', 'Dehydag wax 16', 'Eutanol G16', 'Crodacol C95 NF', 'Laurex 16', 'MFCD00004760', 'Alfol 16RD', 'SSD (Salt/Mix)', 'Cetanol (JP17)', 'Epal 16', 'Hyfatol 16-95', 'Kalcol 6098', 'Loxiol VPG 1743', '1-Hexadecanol, 95%', 'ACMC-1AJXA', 'SSD RP (Salt/Mix)', 'bmse000487', 'CHEMBL706', 'Michel XO-150-16', 'EC 253-149-0', '1-Hexadecanol, &gt;=99%', 'SCHEMBL3381', '4-01-00-01876 (Beilstein Handbook Reference)', 'KSC206A8T', 'ARONIS25150', 'DTXSID4027991', 'CTK1A6089', 'Cetyl alcohol, analytical standard', 'Cetyl alcohol, puriss., 95.0%', 'HMS3652H05', 'CS-D1348', 'HY-B1465', 'KS-00000V9G', 'NSC-4194', 'ZINC8214519', 'EINECS 252-964-9', 'Tox21_111609', 'Tox21_300325', 'ANW-28459', 'LMFA05000061', 's4173', 'SBB060167', 'STL283943', 'AKOS005287456', 'Tox21_111609_1', '1-Hexadecanol, ReagentPlus(R), 99%', 'CCG-266894', 'DB09494', 'LS-2793', 'MCULE-9457426256', 'NE10353', 'KS-0000472A', 'NCGC00159368-03', 'NCGC00159368-04', 'NCGC00159368-06', 'NCGC00254286-01', 'SC-18656', 'ST075158', 'Cetyl alcohol, puriss., &gt;=99.0% (GC)', 'FT-0701357', 'FT-0707360', 'SW219201-1', 'Cetyl alcohol, SAJ special grade, &gt;=98.0%', 'Cetyl alcohol, Selectophore(TM), &gt;=99.0%', 'EN300-19351', '1-Hexadecanol, Vetec(TM) reagent grade, 94%', 'C00823', 'D00099', 'AB01566915_01', 'Q161632', 'SR-01000944409', 'SR-01000944409-1', '810F139F-C57E-4DF1-916A-A320AD0DAF4D', 'F0001-1047', 'UNII-13F4MW8Y9K component BXWNKGSJHAJOGX-UHFFFAOYSA-N', 'UNII-2DMT128M1S component BXWNKGSJHAJOGX-UHFFFAOYSA-N', 'UNII-B1K89384RJ component BXWNKGSJHAJOGX-UHFFFAOYSA-N', 'UNII-S4827SZE3L component BXWNKGSJHAJOGX-UHFFFAOYSA-N', 'UNII-U0T8J52I8B component BXWNKGSJHAJOGX-UHFFFAOYSA-N', 'Cetyl alcohol, European Pharmacopoeia (EP) Reference Standard', 'Cetyl alcohol, United States Pharmacopeia (USP) Reference Standard', 'Cetyl Alcohol, Pharmaceutical Secondary Standard; Certified Reference Material']</t>
  </si>
  <si>
    <t>Compound(2682)</t>
  </si>
  <si>
    <t>C16H34O</t>
  </si>
  <si>
    <t>1-methoxypropan-2-ol</t>
  </si>
  <si>
    <t>['1-Methoxy-2-propanol', '107-98-2', '1-Methoxypropan-2-ol', 'Methoxyisopropanol', 'PGME', '2-Propanol, 1-methoxy-', 'Closol', 'Propylene glycol monomethyl ether', 'Dowtherm 209', 'Poly-Solve MPM', 'Propasol solvent M', 'Dowanol 33B', 'PROPYLENE GLYCOL METHYL ETHER', '2-Methoxy-1-methylethanol', 'Methyl proxitol', '1-Methoxy-2-hydroxypropane', '2-Propanol, methoxy-', 'Propylene glycol 1-methyl ether', 'Ucar Solvent LM (Obs.)', 'NSC 2409', 'Dowanol-33B', 'HSDB 1016', '1-methoxy-propan-2-ol', 'EINECS 203-539-1', 'MFCD00004537', 'UN3092', 'BRN 1731270', 'propyleneglycol monomethylether', '.alpha.-Propylene glycol monomethyl ether', 'AI3-15573', 'DSSTox_CID_4284', 'DSSTox_RID_77354', 'DSSTox_GSID_24284', 'UNII-74Z7JO8V3U', 'CAS-107-98-2', '1-Methoxy-2-propanol, 98.5%, extra pure', 'Glycol ether pm', 'Ucar solvent lm', 'Solvent PM', 'Gylcol Ether PM', 'Icinol PM', 'Poly-solv MPM', '74Z7JO8V3U', 'Methoxy-2-propanol', 'PubChem1904', 'ACMC-209kij', '3-methoxy-propan-2-ol', '1-Methoxypropan-2-ol.', 'Propan-1-methoxy-2-ol', 'ACMC-1AN3A', 'rac-1-methoxy-2-propanol', 'ACMC-209gs6', 'EC 203-539-1', '2-methoxy-1-methyl ethanol', 'Propan-2-ol, 1-methoxy-', '3-01-00-02146 (Beilstein Handbook Reference)', 'KSC174Q2R', 'propylene glycol monomethylether', '[DID-no:2582]', '1-Methoxy-2-propanol, 98%', 'Methoxypropanol, .alpha. isomer', 'CHEMBL3186306', 'DTXSID8024284', 'CTK0H4828', 'KS-00000WVB', 'NSC2409', 'WLN: QY1 &amp; 1O1', 'propylene glycol mono methyl ether', '(+/-)2-methoxy-1-methylethanol', 'NSC-2409', 'Propylene Glycol 1-Monomethyl Ether', 'Tox21_201803', 'Tox21_303269', '7109AF', 'ANW-15879', 'LS-444', '1-Methoxy-2-propanol, &gt;=99.5%', 'AKOS009158246', 'MCULE-7513310960', 'NCGC00249123-01', 'NCGC00256978-01', 'NCGC00259352-01', 'AK-28437', 'SC-00293', '1-Methoxy-2-propanol, analytical standard', 'DB-016688', 'Propylene Glycol Methyl Ether Reagent Grade', 'FT-0608005', 'FT-0647598', 'FT-0654880', 'FT-0655258', 'M0126', 'NS00003122', 'PROPYLENE GLYCOL MONOMETHYL ETHER, ALPHA', '1,2-PROPYLENE GLYCOL 1-MONOMETHYL ETHER', '23059-EP2380568A1', '31275-EP2272849A1', '31275-EP2274983A1', '31275-EP2299326A1', '31275-EP2302003A1', '31275-EP2308857A1', '31275-EP2308858A1', '31275-EP2311815A1', '31275-EP2311816A1', '31275-EP2311817A1', '111873-EP2272849A1', '111873-EP2298761A1', '177652-EP2275423A1', '1-Methoxy-2-propanol [UN3092] [Flammable liquid]', 'Q1884806', '1-Methoxy-2-propanol [UN3092]  [Flammable liquid]', 'Z1262237356']</t>
  </si>
  <si>
    <t>Compound(7900)</t>
  </si>
  <si>
    <t>1-methoxybutane</t>
  </si>
  <si>
    <t>['1-Methoxybutane', 'BUTYL METHYL ETHER', 'Butane, 1-methoxy-', 'Methyl butyl ether', '628-28-4', 'Ether, butyl methyl', 'Methyl n-butyl ether', 'n-Butyl methyl ether', 'alpha-Methoxybutane', 'EINECS 211-033-7', 'UN2350', 'butylmethylether', 'methylbutyl ether', 'Butane, 1-methoxy- (9CI)', 'butylmethyl ether', 'BuOMe', 'buthyl methly ester', '.alpha.-Methoxybutane', 'Butyl methyl ether, 99%', 'n-C4H9OCH3', 'ACMC-1AV11', 'DTXSID5074559', 'CTK3J2218', 'ZINC2031625', 'ANW-34396', 'butyl methyl ether;Butyl methyl ether', 'MCULE-9814272675', 'UN 2350', 'LS-67781', 'M0504', 'NS00035184', '31877-EP2281813A1', '31877-EP2298734A2', '31877-EP2311816A1', '37261-EP2311802A1', '37261-EP2311803A1', '107683-EP2289879A1', '107683-EP2298746A1', 'Butyl methyl ether [UN2350]  [Flammable liquid]', 'Butyl methyl ether [UN2350] [Flammable liquid]', 'Q3333697']</t>
  </si>
  <si>
    <t>Compound(12338)</t>
  </si>
  <si>
    <t>C5H12O</t>
  </si>
  <si>
    <t>1-methyl-2-propylbenzene</t>
  </si>
  <si>
    <t>['1-METHYL-2-PROPYLBENZENE', '2-Propyltoluene', '1074-17-5', '2-n-Propyltoluene', 'o-Propyltoluene', '1-Methyl-2-n-propylbenzene', 'Benzene, 1-methyl-2-propyl-', 'Toluene, o-propyl-', 'Toluene, o-propyl- (8CI)', '2-METHYL-1-PROPYLBENZENE', 'Q63396360', 'O-Propyl-Toluene', 'NSC73977', 'EINECS 214-037-7', 'NSC 73977', 'O-Propyltoluene, 8CI', '1-Methyl-2-propyl-Benzene', '1-Methyl-2-n-propyl benzene', 'ACMC-2098w6', 'DTXSID4061466', 'CTK1A2291', 'ZINC1699440', 'ANW-15796', 'NSC-73977', 'AKOS016846217', 'FCH1116380', 'KS-000015Z7', 'AX8077834', 'FT-0650658', 'NS00021494', 'P0747', '135M988', 'C-46487']</t>
  </si>
  <si>
    <t>Compound(14091)</t>
  </si>
  <si>
    <t>1-methyl-2-pyrrolidinone</t>
  </si>
  <si>
    <t>1-methylpyrrolidin-2-one</t>
  </si>
  <si>
    <t>['1-METHYL-2-PYRROLIDINONE', '872-50-4', 'N-Methyl-2-pyrrolidone', 'N-Methylpyrrolidone', '1-methylpyrrolidin-2-one', 'Methylpyrrolidone', '1-Methyl-2-pyrrolidone', 'N-Methyl-2-pyrrolidinone', 'M-Pyrol', 'N-Methylpyrrolidinone', '1-Methylpyrrolidone', '2-Pyrrolidinone, 1-methyl-', '1-Methylpyrrolidinone', 'n-methyl-pyrrolidone', '1-Methylazacyclopentan-2-one', '1-Methyl-5-pyrrolidinone', 'N-methylpyrrolidin-2-one', 'NMP', 'N-Methyl-gamma-butyrolactam', 'Methyl pyrrolidone', 'N-methyl pyrrolidone', '1-methylpyrrolidine-2-one', 'N-methyl pyrrolidinone', 'Methyl-2-pyrrolidinone', '1-methyl-2-pyrrolidon', 'Methylpyrrolidinone', 'UNII-JR9CE63FPM', '2-Pyrrolidinone, methyl-', 'N-Methyl-alpha-pyrrolidone', 'N-Methylpyrrolidon', 'NSC 4594', 'Agsolex 1', 'N-Methyl-alpha-pyrrolidinone', 'CCRIS 1633', 'N-methyl-pyrrolidinone', 'Methylpyrrolidone, N-', 'HSDB 5022', 'N-Methyl-2-pyrrolidon', 'N-Methylpyrrolid-2-one', 'EINECS 212-828-1', 'JR9CE63FPM', '2687-44-7', 'N-methyl-pyrrolidin-2-one', '1-methyl-pyrrolidin-2-one', 'N-Methyl-.alpha.-pyrrolidone', 'CHEMBL12543', 'N-Methyl-.gamma.-butyrolactam', 'AI3-23116', 'CHEBI:7307', 'N-Methyl-.alpha.-pyrrolidinone', 'DTXSID6020856', 'NSC-4594', 'N-Methylpyrrolidinon', 'DSSTox_CID_856', 'N 0131', 'DSSTox_RID_75828', 'DSSTox_GSID_20856', '26138-58-9', '51013-18-4', 'pharmasolve', 'CAS-872-50-4', 'Pyrrolidinone, methyl-', '1-Methyl-2-pyrrolidinone, 99.5%, for HPLC', 'Methylpyrrolidone [NF]', '1-Methyl-2-pyrrolidinone, 99.5+%, ACS reagent', '1-Methyl-2-pyrrolidinone, 99+%, for spectroscopy', '1-Methyl-2-pyrrolidinone, 99.5%, Extra Dry, AcroSeal(R)', '1-Methyl-2-pyrrolidinone, puriss. p.a., &gt;=99.0% (GC)', 'Norleucine, 5-oxo-, DL-', 'Micropure ultra', 'N-methypyrrolidone', '1-Methyl-2-pyrrolidinone, 99.5%, Extra Dry over Molecular Sieve, AcroSeal(R)', 'Pyrol M', 'N-methylpirrolidone', '1methylpyrrolidinone', 'n-methyl pyrrolidon', 'n-methylbutyrolactam', 'N-methy pyrrolidone', 'N-methyl-pyrolidone', 'N-methyl-pyrrolidon', 'N-methylpyrolidinone', '1-methylpyrolidinone', 'Microposit 2001', 'n-methylpyrollidinone', 'N-methlypyrrolidinone', 'N-methyl pirrolidone', 'N-methyl pyrollidone', 'N-methyl-pyrollidone', 'N-methylpyrrolidone-', '1-methyl pyrrolidone', '1-methyl-pyrrolidone', 'methyl-2-pyrrolidone', 'MFCD00003193', 'N-methy pyrrolidinone', 'N-methyl pyrolidinone', 'N-methyl-pyrolidinone', 'N-methyl- pyrrolidone', 'N-methylpyrro-lidinone', 'N-methylpyrroli-dinone', 'N-methylpyrrolidin-one', '1-methyl-2pyrrolidone', '1-methyl2-pyrrolidone', '1methyl-2-pyrrolidone', '1-methyl pyrrolidinone', '1-methyl-pyrrolidinone', 'methylpyrrolidin-2-one', 'N-methy-2-pyrrolidone', 'N-methyl 2-pyrolidone', 'N-methyl-2-pyrolidone', '1-methyl-2-pyrolidone', 'PubChem17618', '3p1d', 'N-methyl 2-pyrrolidone', 'N-methyl-2-pyrollidone', '1-methyl-2-pirrolidone', '1-methyl-2-pyroldinone', '1-methylpyrrolid-2-one', '1methyl-2-pyrrolidinone', 'ACMC-1CKWA', 'n-methylpyrrolidine-2one', 'N-methyl-2-pyrolidinone', 'N-methyl-2-pyrrolidinon', 'N-methylpyrolidin-2-one', '1-methy-2-pyrrolidinone', '1-methyl-2-pyrolidinone', 'N-methyl 2-pyrrolidinone', 'N-methyl-2-pyrollidinone', 'N-methyl-pyrrolid-2-one', 'N-methylpyrollidin-2-one', '1 -methyl-2-pyrrolidone', '1-methyl 2-pyrrolidinone', '1-methyl-2-pyrollidinone', '1-methyl-pyrrolin-2-one', 'N-Methylpyrrolidone-(2)', 'NMP, N-Methylpyrrolidone', '1-Methyl-pyrrolidin-2one', 'N-methylpyrrolidine-2-one', 'WLN: T5NVTJ A', 'N-methyl -2-pyrrolidinone', '1 -methyl-2-pyrrolidinone', '1-methyl -2-pyrrolidinone', '1-methyl-2- pyrrolidinone', 'EC 212-828-1', '2-Pyrrolidone, 1-methyl-', '1-methyl-pyrrolidine-2-one', '1-N-methyl-2-pyrrolidinone', 'N-methyl-pyrrolidin -2-one', 'KSC201Q7R', '1-Methylazacyclopentane-2-one', '[DID-no:2595]', 'GTPL9520', '1-Methyl-2- pyrrolidin-2-one', 'CTK1A1878', 'NSC4594', 'KS-000002OB', 'ZINC3860621', 'Tox21_202350', 'Tox21_300097', '1-Methyl-2-pyrrolidinone, 99.5%', '2447AB', 'ANW-38658', 'BDBM50353587', 's6282', 'SBB060297', 'STL183295', 'N-Methyl-2-pyrrolidinone ACS reagent', 'AKOS000120930', 'DB12521', 'LS-1875', 'MCULE-1381506705', 'SL 1332', 'NCGC00247902-01', 'NCGC00247902-02', 'NCGC00253935-01', 'NCGC00259899-01', '30207-69-3', 'BR-30156', 'SC-18144', 'LS-138890', '1-Methyl-2-pyrrolidinone, 99%, extra pure', '1-Methyl-2-pyrrolidone (Low water content)', 'AM20110252', 'CS-0017258', 'FT-0608052', 'FT-0672137', 'FT-0698122', 'FT-0700571', 'M0418', 'M3055', 'NS00009178', 'ST51046511', '1-Methyl-2-pyrrolidinone, analytical standard', '1-Methyl-2-pyrrolidinone, anhydrous, 99.5%', '1-Methyl-2-pyrrolidinone, for HPLC, &gt;=99%', '1-Methyl-2-pyrrolidinone, for synthesis, 99%', 'C11118', 'M 0418', 'Q33103', '1-Methyl-2-pyrrolidinone, ReagentPlus(R), 99%', '17283-EP2272834A1', '17283-EP2272849A1', '17283-EP2275469A1', '17283-EP2287153A1', '17283-EP2287940A1', '17283-EP2289510A1', '17283-EP2289868A1', '17283-EP2289965A1', '17283-EP2295399A2', '17283-EP2298313A1', '17283-EP2298763A1', '17283-EP2298767A1', '17283-EP2298828A1', '17283-EP2301929A1', '17283-EP2301935A1', '17283-EP2301983A1', '17283-EP2305243A1', '17283-EP2305674A1', '17283-EP2308838A1', '17283-EP2308857A1', '17283-EP2308926A1', '17283-EP2309564A1', '17283-EP2309584A1', '17283-EP2311815A1', '17283-EP2311831A1', '17283-EP2314586A1', '17283-EP2314587A1', '32226-EP2301933A1', '32226-EP2311827A1', '32356-EP2298731A1', '32356-EP2301933A1', '32356-EP2311827A1', '33443-EP2287147A2', '33443-EP2292624A1', '33443-EP2295409A1', '33443-EP2301922A1', '33443-EP2308812A2', '33443-EP2311815A1', '34253-EP2269989A1', '34253-EP2270113A1', '34253-EP2272817A1', '34253-EP2272935A1', '34253-EP2277875A2', '34253-EP2292607A2', '34253-EP2298778A1', '34253-EP2305657A2', '34253-EP2308492A1', '34253-EP2311850A1', '47604-EP2269983A1', '47604-EP2269984A1', '47604-EP2269990A1', '47604-EP2277875A2', '47604-EP2292227A2', '47604-EP2298770A1', '47604-EP2298774A1', '47604-EP2301921A1', '47604-EP2301926A1', '47604-EP2305642A2', '47604-EP2305650A1', '47604-EP2305667A2', '47604-EP2308861A1', '47604-EP2308880A1', '47604-EP2311811A1', '49793-EP2272509A1', '49793-EP2272835A1', '49793-EP2272848A1', '49793-EP2274983A1', '49793-EP2277858A1', '49793-EP2283898A1', '49793-EP2292607A2', '49793-EP2295411A1', '49793-EP2298761A1', '49793-EP2305633A1', '49793-EP2305687A1', '49793-EP2308812A2', '49793-EP2308960A1', '49793-EP2311824A1', '49793-EP2311825A1', '49793-EP2380872A1', '72367-EP2279741A2', '72367-EP2287153A1', '72367-EP2287155A1', '72367-EP2292615A1', '72367-EP2295415A1', '72367-EP2298747A1', '72367-EP2308867A2', '72367-EP2308870A2', '77850-EP2272846A1', '77850-EP2277868A1', '77850-EP2277869A1', '77850-EP2277870A1', '77850-EP2284166A1', '77850-EP2292608A1', '77850-EP2292616A1', '77850-EP2298305A1', '77850-EP2298749A1', '77850-EP2305033A1', '77850-EP2308866A1', '78692-EP2277875A2', '78692-EP2292619A1', '78692-EP2305667A2', '78692-EP2305688A1', '78692-EP2375479A1', '85636-EP2292616A1', '85636-EP2298769A1', '85636-EP2305657A2', '107610-EP2272517A1', '107610-EP2298746A1', '108900-EP2281861A2', '108900-EP2298769A1', '139735-EP2269983A1', '139735-EP2269984A1', '139735-EP2292607A2', '153002-EP2280002A1', '153002-EP2287164A1', '153002-EP2289881A1', '2-PYRROLIDONE,1-METHYL  MFC5 H9 N1 O1', 'A842053', '1-Methyl-2-pyrrolidinone, ACS reagent, &gt;=99.0%', '2,5-Dichloro-4,6-dimethyl pyridine-3-carbonitrile', 'J-504921', 'J-803017', '1-Methyl-2-pyrrolidinone, biotech. grade, &gt;=99.7%', '1-Methyl-2-pyrrolidinone, p.a., ACS reagent, 99%', '1-Methyl-2-pyrrolidinone, SAJ first grade, &gt;=98.0%', 'F0001-2169', '1-Methyl-2-pyrrolidinone, spectrophotometric grade, &gt;=99%', '1-Methyl-2-pyrrolidinone, Vetec(TM) reagent grade, 98%', '1-Methyl-2-pyrrolidinone, for metal speciation analysis, &gt;=99.0% (GC)', 'Methylpyrrolidone, United States Pharmacopeia (USP) Reference Standard', '1-Methyl-2-pyrrolidinone solution, Aromatic hydrocarbon solvents mixture (80/20 ratio)', 'N-Methylpyrrolidone, Pharmaceutical Secondary Standard; Certified Reference Material', '2-Pyrrolidinone, 1-methyl-;1-methyl-2-pyrrolidone;1-Methyl-2-pyrrolidone (NMP);METHYL PYRROLIDONE;N-Methyl-2-pyrrolidone']</t>
  </si>
  <si>
    <t>Compound(13387)</t>
  </si>
  <si>
    <t>C5H9NO</t>
  </si>
  <si>
    <t>1-methyldodecylbenzene</t>
  </si>
  <si>
    <t>tridecan-2-ylbenzene</t>
  </si>
  <si>
    <t>['2-Phenyltridecane', 'Benzene, (1-methyldodecyl)-', 'Tridecane, 2-phenyl-', '4534-53-6', 'Benzene,(1-methyldodecyl)-', '2--phenyltridecane', '1-methyldodecyl-benzene', '(Tridecan-2-yl)benzene', '(1-Methyldodecyl)benzene #', 'CTK4I8752', 'DTXSID20863412', 'Q67879585']</t>
  </si>
  <si>
    <t>Compound(20636)</t>
  </si>
  <si>
    <t>C19H32</t>
  </si>
  <si>
    <t>1-methylnaphthalene</t>
  </si>
  <si>
    <t>['1-METHYLNAPHTHALENE', '90-12-0', 'alpha-Methylnaphthalene', 'METHYLNAPHTHALENE', 'Naphthalene, 1-methyl-', 'Naphthalene, methyl-', '1321-94-4', '1-methyl-naphthalene', 'Polymethylnaphthalene', 'alpha-methyl naphthalenes', 'Methyl naphthalene', 'FEMA Number 3193', '.alpha.-Methylnaphthalene', 'Naphthalene, alpha-methyl-', 'UNII-E7SK1Y1311', 'FEMA No. 3193', '1-Methyl naphthalene', 'CCRIS 6151', 'Methyl-1-naphthalene', 'HSDB 5268', 'Naphthalene, methyl-, homopolymer', 'NSC 3574', 'EINECS 201-966-8', 'AI3-15378', 'CHEMBL383808', 'CHEBI:50717', 'E7SK1Y1311', 'MFCD00004034', 'DSSTox_CID_877', '1(or2)-Methylnaphthalene', '1-Methylnaphthalene, 96%', 'DSSTox_RID_75841', 'DSSTox_GSID_20877', '1-Methylnaphthalene, analytical standard', 'CAS-90-12-0', 'methyl-naphthalene', '1-methylnaphtalene', 'naphthalene, 1-methyl', 'alpha-methyl-naphthalene', 'ACMC-209r4x', 'bmse000531', 'EC 201-966-8', '1-Methylnaphthalene, 95%', 'KSC177K9L', 'MLS001050152', 'BIDD:ER0662', '1-Methylnaphthalene, &gt;=95%', 'WLN: L66J B1', 'DTXSID9020877', 'CTK0H7595', 'FEMA 3193', 'NSC3574', 'KS-00000Z4I', 'NSC-3574', 'ZINC1666852', 'Tox21_201768', 'Tox21_300339', 'ANW-39439', 'BDBM50159279', 'SBB060401', 'STL283953', 'AKOS000120012', 'ZINC111457659', 'LS-1907', 'MCULE-4027275839', 'KS-00000V20', 'NCGC00091700-01', 'NCGC00091700-02', 'NCGC00091700-03', 'NCGC00254488-01', 'NCGC00259317-01', 'SC-18103', 'SMR001216533', 'DB-049234', 'DB-078596', 'FT-0608090', 'FT-0639430', 'FT-0658103', 'M0371', 'NS00002590', 'ST51046588', 'C14082', 'S-7900', '1-Methylnaphthalene 10 microg/mL in Cyclohexane', '1-Methylnaphthalene 10 microg/mL in Acetonitrile', 'A806392', 'A843450', 'Q161656', 'J-505002', 'UNII-E987XQ801Y component QPUYECUOLPXSFR-UHFFFAOYSA-N', '1-Methylnaphthalene, TraceCERT(R), certified reference material', 'Naphthalene, methyl-;Methylnaphthalene;1-Methylnaphthalene;1-methylnaphthalene', '78900-94-4']</t>
  </si>
  <si>
    <t>Compound(7002)</t>
  </si>
  <si>
    <t>C11H10</t>
  </si>
  <si>
    <t>1-ethoxypropan-2-ol</t>
  </si>
  <si>
    <t>['1-Ethoxy-2-propanol', '1-Ethoxypropan-2-ol', '1569-02-4', 'Propylene glycol monoethyl ether', 'Propylene glycol ethyl ether', '2-PROPANOL, 1-ETHOXY-', '1-ethoxy-propan-2-ol', 'NSC 2404', 'EINECS 216-374-5', 'BRN 1732213', '1-Ethoxy-2-propanol, 95%', 'NSC2404', 'MFCD00067050', '1-Ethoxy-2-propan', 'ACMC-1BYQK', 'DSSTox_CID_4283', 'EC 216-374-5', 'DSSTox_RID_79670', 'DSSTox_GSID_41267', 'SCHEMBL15671', 'KSC174Q2P', 'propyleneglycol monoethyl ether', 'WLN: QY1&amp;1O2', 'CHEMBL3188294', 'DTXSID1041267', 'CTK0H4827', '1-Ethoxy-2-propanol, &gt;=95%', '1-Ethoxy-2-propanol, AldrichCPR', 'KS-00000ZF2', 'NSC-2404', 'Tox21_301831', 'ANW-21661', 'SBB061006', 'AKOS006039439', 'MCULE-6224339526', 'NE11157', 'NCGC00255623-01', 'SC-80373', 'CAS-1569-02-4', 'LS-122289', '2-Propanol, 1-ethoxy-;1-ethoxypropan-2-ol', 'E0446', 'NS00009843', 'ST51047086', 'Z3515', '74454-EP2284165A1', '74454-EP2308857A1', 'Q27288224']</t>
  </si>
  <si>
    <t>Compound(15287)</t>
  </si>
  <si>
    <t>C5H12O2</t>
  </si>
  <si>
    <t>['1-Ethyl-1-nitrosourea', 'N-Ethyl-N-nitrosourea', '759-73-9', 'Ethylnitrosourea', 'N-NITROSO-N-ETHYLUREA', 'N-Ethylnitrosourea', 'Nitrosoethylurea', 'Urea, N-ethyl-N-nitroso-', 'Ethyl nitrosourea', 'Aethylnitroso-harnstoff', 'N-Ethyl-N-nitroso-urea', 'Aenh', 'Urea, 1-ethyl-1-nitroso-', 'N-Ethyl-N-nitroso carbamide', 'NSC 45403', 'N-Nitrosoethylurea', 'NE-Urea', 'RCRA waste number U176', 'AENH [German]', 'ANH [German]', 'N-Ethyl-N-nitosourea', 'Carbamide, N-ethyl-N-nitroso-', 'ENU', '1-Ethyl-1-nitrosomocovina', 'CCRIS 302', 'UNII-P8M1T4190R', 'Aethylnitroso-harnstoff [German]', 'HSDB 5111', '1-Ethyl-1-nitrosomocovina [Czech]', 'EINECS 212-072-2', 'RCRA waste no. U176', 'BRN 1761174', 'CHEBI:23995', 'P8M1T4190R', '1-(Aminocarbonyl)-1-ethyl-2-oxohydrazine', 'DSSTox_CID_593', 'DSSTox_RID_75678', 'DSSTox_GSID_20593', 'CAS-759-73-9', '1-ethyl-1-nitroso-urea', 'N-Nitroso -N-Ethylurea', 'Urea,N-ethyl-N-nitroso-', 'N-ethyl-N-nitrosocarbamide', 'WLN: ZVN2&amp;NO', 'SCHEMBL77485', '3-04-00-00233 (Beilstein Handbook Reference)', 'CHEMBL167667', 'DTXSID8020593', 'CTK5E2274', 'NSC45403', 'ZINC4804054', 'N-Nitroso-N-ethylurea, ISOPAC(R)', 'Tox21_202151', 'Tox21_302749', 'N-Nitroso-N-ethylurea, Bulk package', 'NSC-45403', 'AKOS006274354', 'LS-1685', 'NCGC00090828-01', 'NCGC00090828-02', 'NCGC00256468-01', 'NCGC00259700-01', '1-(Aminocarbonyl)-1-ethyl-2-oxohydrazine #', 'FT-0607735', 'NS00022760', 'C19178', 'Q287629', '1-Ethyl-1-Nitrosourea, Stabilized With Dilute Acetic Acid Soln. - Carc']</t>
  </si>
  <si>
    <t>Compound(12967)</t>
  </si>
  <si>
    <t>C3H7N3O2</t>
  </si>
  <si>
    <t>(1-ethyldecyl) benzene</t>
  </si>
  <si>
    <t>dodecan-3-ylbenzene</t>
  </si>
  <si>
    <t>['3-PHENYLDODECANE', 'Benzene, (1-ethyldecyl)-', 'dodecan-3-ylbenzene', '2400-00-2', 'Dodecane, 3-phenyl-', 'EINECS 219-272-9', '(1-Ethyldecyl)benzene', '(Dodecan-3-yl)benzene', '(1-Ethyldecyl)benzene #', 'Benzene,(1-ethyldecyl)-', 'CTK4F2732', 'DTXSID40862922', 'AKOS028108393', 'KS-0000016T', 'NS00048647']</t>
  </si>
  <si>
    <t>Compound(16979)</t>
  </si>
  <si>
    <t>C18H30</t>
  </si>
  <si>
    <t>(1-ethylnonyl) benzene</t>
  </si>
  <si>
    <t>undecan-3-ylbenzene</t>
  </si>
  <si>
    <t>['3-Phenylundecane', 'Benzene, (1-ethylnonyl)-', '4536-87-2', 'Undecane, 3-phenyl-', '(Undecan-3-yl)benzene', '(1-Ethylnonyl)benzene #', '(1-ETHYLNONYL)BENZENE', 'CTK1D6306', 'DTXSID20874982']</t>
  </si>
  <si>
    <t>Compound(20655)</t>
  </si>
  <si>
    <t>C17H28</t>
  </si>
  <si>
    <t>1-ethylidene indene</t>
  </si>
  <si>
    <t>1-ethylideneindene</t>
  </si>
  <si>
    <t>['1-Ethylidene-1H-indene', '(Z)-1-Ethylidene-1H-indene', 'CTK2B0604', 'DTXSID60873232', '2471-83-2', '62933-90-8', '1H-Indene, 1-ethylidene-, (Z)-']</t>
  </si>
  <si>
    <t>Compound(588163)</t>
  </si>
  <si>
    <t>1-propanethiol</t>
  </si>
  <si>
    <t>propane-1-thiol</t>
  </si>
  <si>
    <t>['1-Propanethiol', 'Propane-1-thiol', 'Propanethiol', 'PROPYL MERCAPTAN', '107-03-9', 'n-Propylmercaptan', 'n-Propyl mercaptan', 'n-Propylthiol', '1-Propylmercaptan', 'Propylthiol', '1-Mercaptopropane', '1-Propyl mercaptan', 'Thiopropyl alcohol', 'n-Thiopropyl alcohol', '1-propylthiol', 'Mercaptan C3', 'propylmercaptan', 'Propanethiols', 'UNII-4AB0N08V2H', 'FEMA No. 3521', 'CCRIS 1246', 'HSDB 1037', 'EINECS 203-455-5', 'n-C3H7SH', 'BRN 1696860', '4AB0N08V2H', 'CHEBI:8473', 'MFCD00004900', '79869-58-2', 'n-propanethiol', 'propan-1-thiol', 'propanethiol, sodium salt', 'propanthiol', 'propane thiol', 'propyl thiol', '1-propanthiol', '1-Propanethoil', '1-propane thiol', '1-propyl thiol', 'n-PrSH', 'UN2402', '1-Propanethiol, 99%', '51285-52-0', 'Propyl mercaptan, &gt;=97%', '3-Mercaptopropyl Silica Gel', '4-01-00-01449 (Beilstein Handbook Reference)', 'KSC176I9H', 'ACMC-2098n6', 'CHEMBL1236818', 'DTXSID5026750', 'CTK0H6493', 'FEMA 3521', 'ZINC897490', 'ANW-15472', 'Propyl mercaptan, analytical standard', 'AKOS000121933', 'LS-3076', 'MCULE-8267649092', '1-Propanethiol, natural, &gt;=98%, FG', 'KS-00000W31', 'SC-91751', 'FT-0608279', 'FT-0625298', 'M1979', 'NS00020137', 'P0488', 'Propanethiols [UN2402] [Flammable liquid]', 'Propanethiols [UN2402]  [Flammable liquid]', 'C08390', '135120-EP2280000A1', '135120-EP2292228A1', '135302-EP2274983A1', '135302-EP2292228A1', '146588-EP2292597A1', '146588-EP2377849A2', 'A801560', 'Q161679', 'J-001693', 'propane-1-thiol;Propane-1-thiol;1-Propane-1-thiol', 'F8880-8482']</t>
  </si>
  <si>
    <t>Compound(7848)</t>
  </si>
  <si>
    <t>C3H8S</t>
  </si>
  <si>
    <t>1-propylene</t>
  </si>
  <si>
    <t>prop-1-ene</t>
  </si>
  <si>
    <t>['PROPYLENE', 'Propene', '1-Propene', 'Methylethylene', 'Methylethene', '1-Propylene', 'prop-1-ene', '115-07-1', 'Propene, pure', 'NCI-C50077', 'UNII-AUG1H506LY', 'Hydrocarbons, C3', 'CCRIS 1356', 'HSDB 175', 'EINECS 204-062-1', 'R 1270', 'UN1077', 'CH3CH=CH2', 'AUG1H506LY', 'CH2=CH-CH3', 'n-propylene', '1-methylethylene', '2-methylethylene', 'CHEBI:16052', '2,2-propylene', 'propan-1,2-diyl', '25085-53-4', '68606-26-8', 'Polipropene 25', '1-Propene, homopolymer, isotactic', 'EINECS 292-050-7', 'propane-1,2-diyl', 'Propene, ammoxidized, by-products from', 'Polypropylene, isotatic', '1-Propene, homopolymer', 'Propylene, &gt;=99%', 'ACMC-1BBRS', 'propylene, various grades', '90530-12-4', 'CHEMBL117213', 'DTXSID5021205', 'CTK0H6486', 'c0067', 'LS-571', 'AKOS009156831', 'UN 1077', 'Propylene, 99.5%, Messer(R) CANGas', 'NS00001068', 'Propylene see also Petroleum gases, liquefied', '8241-EP2316824A1', 'C11505', 'R-1270', '10949-EP2269610A2', '10949-EP2270010A1', '10949-EP2270113A1', '10949-EP2272822A1', '10949-EP2272935A1', '10949-EP2272972A1', '10949-EP2272973A1', '10949-EP2275413A1', '10949-EP2275417A2', '10949-EP2275420A1', '10949-EP2277848A1', '10949-EP2277867A2', '10949-EP2277872A1', '10949-EP2277945A1', '10949-EP2280003A2', '10949-EP2281823A2', '10949-EP2284162A2', '10949-EP2284163A2', '10949-EP2286812A1', '10949-EP2287156A1', '10949-EP2289510A1', '10949-EP2289868A1', '10949-EP2289876A1', '10949-EP2289890A1', '10949-EP2292589A1', '10949-EP2292593A2', '10949-EP2292597A1', '10949-EP2292604A2', '10949-EP2295399A2', '10949-EP2295407A1', '10949-EP2295414A1', '10949-EP2298736A1', '10949-EP2298743A1', '10949-EP2298744A2', '10949-EP2298747A1', '10949-EP2298770A1', '10949-EP2298778A1', '10949-EP2298828A1', '10949-EP2299326A1', '10949-EP2301922A1', '10949-EP2301937A1', '10949-EP2305641A1', '10949-EP2305642A2', '10949-EP2305653A1', '10949-EP2305654A1', '10949-EP2305662A1', '10949-EP2305683A1', '10949-EP2308510A1', '10949-EP2308828A2', '10949-EP2308843A1', '10949-EP2308862A1', '10949-EP2308877A1', '10949-EP2311815A1', '10949-EP2311824A1', '10949-EP2311839A1', '10949-EP2314579A1', '10949-EP2314584A1', '10949-EP2314589A1', '10949-EP2316457A1', '10949-EP2316458A1', '10949-EP2316825A1', '10949-EP2316826A1', '10949-EP2316827A1', '10949-EP2316828A1', '10949-EP2316837A1', '10949-EP2370380A2', '10949-EP2371810A1', '10949-EP2372017A1', '10949-EP2374780A1', '10949-EP2374781A1', '10949-EP2374788A1', '10949-EP2377842A1', '10949-EP2380661A2', '10949-EP2380867A1', '16128-EP2281563A1', '16128-EP2308848A1', '16128-EP2316459A1', '17194-EP2272835A1', '17194-EP2272843A1', '17194-EP2272844A1', '17194-EP2281817A1', '17194-EP2314586A1', '27387-EP2275412A1', '27387-EP2275420A1', '27387-EP2292589A1', '27387-EP2295414A1', '27387-EP2295416A2', '27387-EP2295426A1', '27387-EP2295427A1', '27387-EP2298748A2', '27387-EP2298767A1', '27387-EP2305685A1', '27387-EP2305686A1', '27387-EP2308960A1', '27387-EP2311825A1', '27387-EP2311841A1', '27387-EP2314587A1', '92645-EP2277881A1', '92645-EP2289518A1', '92645-EP2292231A1', '92645-EP2305653A1', '92645-EP2305654A1', '92646-EP2292231A1', '92646-EP2305653A1', '100787-EP2301927A1', '100787-EP2374780A1', '147432-EP2289891A2', '147432-EP2292589A1', 'Q151324', 'Propylene see also Petroleum gases, liquefied [UN1077]  [Flammable gas]', 'Propylene see also Petroleum gases, liquefied [UN1077] [Flammable gas]']</t>
  </si>
  <si>
    <t>Compound(8252)</t>
  </si>
  <si>
    <t>C3H6</t>
  </si>
  <si>
    <t>1-propanol-2-chlorophosphate</t>
  </si>
  <si>
    <t>tris(2-chloropropyl) phosphate</t>
  </si>
  <si>
    <t>['Tris(2-chloropropyl) phosphate', 'Fyrol pcf', '6145-73-9', 'Antiblaze 80', '1-Propanol, 2-chloro-, phosphate (3:1)', 'UNII-N90B627VHY', 'Tris(beta-chloropropyl) phosphate', 'AP 33', 'EINECS 228-150-4', 'NSC 524664', '2-Chloro-1-propanol phosphate (3:1)', 'N90B627VHY', "1-Propanol, 2-chloro-, 1,1',1''-phosphate", 'W-110086', 'DSSTox_CID_7615', 'DSSTox_RID_78529', 'DSSTox_GSID_27615', 'SCHEMBL25060', 'Tri(2-chloropropyl)phosphate', 'Tris(b-Chloropropyl)phosphate', 'Tris(2-chloropropyl)phosphate', '1-Propanol, phosphate (3:1)', 'CHEMBL3182409', 'DTXSID3027615', 'CTK5B3259', 'GTRSAMFYSUBAGN-UHFFFAOYSA-', 'Tris(.beta.-chloropropyl)phosphate', 'Tox21_302421', 'NSC524664', 'NSC-524664', 'NCGC00255270-01', 'CAS-6145-73-9', 'LS-121943', "1-Propanol, 2-chloro-,1,1',1''-phosphate", '145T739', 'Q27284721', '1-[bis(2-chloropropoxy)phosphoryloxy]-2-chloro-propane', '101551-02-4', 'tris ( 2-chloro-1-methylethyl ) phosphate;tris(2-chloro-1-methylethyl) phosphate;Tris(2-chloroisopropyl)phosphate;2-Propanol, 1-chloro-, phosphate(3:1);Tris(2-chloropropyl) phosphate;tris(2-chloropropyl) phosphate']</t>
  </si>
  <si>
    <t>Compound(22522)</t>
  </si>
  <si>
    <t>C9H18Cl3O4P</t>
  </si>
  <si>
    <t>1-propylbenzene</t>
  </si>
  <si>
    <t>propylbenzene</t>
  </si>
  <si>
    <t>['Propylbenzene', 'N-PROPYLBENZENE', '1-Phenylpropane', '103-65-1', 'Benzene, propyl-', 'Phenylpropane', 'Isocumene', '1-Propylbenzene', 'propyl benzene', 'n-Propyl benzene', 'Propyl-benzene', 'UNII-0WR86ZHG2Z', 'Propylbenzene, n-', 'NSC 16941', 'Propylbenzene, 98%', 'HSDB 5353', 'EINECS 203-132-9', 'UN2364', 'Propylbenzene (all isomers)', '0WR86ZHG2Z', 'AI3-23862', 'CHEMBL286062', 'CHEBI:42630', 'Propylbenzene, analytical standard', 'propylbenzol', 'Benzene, n-propyl-', 'PRPH', 'BENZENE,PROPYL', 'PubChem10852', 'ACMC-1BYYI', 'DSSTox_CID_22219', 'DSSTox_RID_79963', 'DSSTox_GSID_42219', 'WLN: 3R', 'KSC181O1P', 'DTXSID3042219', 'KS-00000XFC', 'Propylbenzene, &gt;=99.0% (GC)', 'NSC16941', 'ZINC1747837', 'Tox21_300567', '7657AH', 'ANW-14948', 'BDBM50167945', 'MFCD00009377', 'NSC-16941', 'SBB061210', 'AKOS000120950', 'ZINC100032913', 'MCULE-1436126757', 'UN 2364', 'NCGC00248093-01', 'NCGC00254532-01', 'CAS-103-65-1', 'LS-31177', 'SC-46265', 'n-Propylbenzene 100 microg/mL in Methanol', 'FT-0631559', 'NS00006753', 'P0523', 'S0656', 'ST50409514', '28309-EP2289965A1', '28309-EP2314577A1', 'n-Propyl benzene [UN2364]  [Flammable liquid]', 'n-Propyl benzene [UN2364] [Flammable liquid]', 'A800778', 'Q288806', 'J-001016', 'J-523764', 'Propylbenzol;propylbenzene;Benzene, propyl-;PHENYLPROPANE', '3H0']</t>
  </si>
  <si>
    <t>Compound(7668)</t>
  </si>
  <si>
    <t>(1-propyl-nonyl) benzene</t>
  </si>
  <si>
    <t>dodecan-4-ylbenzene</t>
  </si>
  <si>
    <t>['4-Phenyldodecane', 'Benzene, (1-propylnonyl)-', '2719-64-4', 'Dodecane, 4-phenyl-', '(1-PROPYLNONYL)BENZENE', 'Benzene,(1-propylnonyl)-', 'EINECS 220-327-4', '(Dodecan-4-yl)benzene', '(1-Propylnonyl)benzene #', 'CTK4F9255', 'DTXSID10875105', 'NS00048876']</t>
  </si>
  <si>
    <t>Compound(17631)</t>
  </si>
  <si>
    <t>1-butanethiol</t>
  </si>
  <si>
    <t>butane-1-thiol</t>
  </si>
  <si>
    <t>['1-Butanethiol', 'Butanethiol', 'butane-1-thiol', '109-79-5', 'BUTYL MERCAPTAN', 'n-Butyl mercaptan', 'n-Butanethiol', 'Butylthiol', 'Thiobutyl alcohol', 'n-Butylmercaptan', '1-Mercaptobutane', '1-Butyl mercaptan', 'n-Butyl thioalcohol', 'n-Butylthiol', 'Bear skunk', 'butylmercaptan', 'Normal butyl thioalcohol', 'Caswell No. 119D', 'NCI-C60866', 'FEMA No. 3478', 'HSDB 290', 'UNII-77OY909F30', 'EINECS 203-705-3', 'n-C4H9SH', 'EPA Pesticide Chemical Code 125001', 'BRN 1730908', 'AI3-22954', '77OY909F30', '1-Butanethiol, 98%', 'n-butyl mercaptan, tin (+2) salt', '1-Butanethiol, 99+%', '1-Butanethiol, 98%, AcroSeal(R)', 'Mercaptan C4', 'n-butane-1-thiol', 'butane thiol', 'n-butanthiol', 'n-butyl mercaptan, sodium salt', '4-butanethiol', '1-butylthiol', 'butyl thioalcohol', '1-butylmercaptan', 'n-butyl mercaptan, lithium salt', 'n-butyl mercaptan, Ag(+1) salt', 'n-butyl mercaptan, potassium salt', 'n-BuSH', 'n-butyl mercaptan, lead (+2) salt', 'MFCD00004905', 'BUSH', 'n-butyl mercaptan, copper (+1) salt', 'n-butyl mercaptan, silver (+2) salt', 'n-butyl mercaptan, geranium (+2) salt', 'n-butyl mercaptan, molybdenum (+3) salt', '1-Butanethiol, 99%', '32812-85-4', 'ACMC-1BQE3', 'DSSTox_CID_6824', 'UN 2347 (Related)', 'n-butyl mercaptan, 14C,1-(35)S-labeled cpd', '1-Butanethiol, &gt;=98%', 'DSSTox_RID_78221', 'DSSTox_GSID_26824', '4-01-00-01555 (Beilstein Handbook Reference)', 'KSC177I2P', 'n-butyl mercaptan, 2-(14)C,2-(35)s-labeled cpd', 'Butane-1-thiol;butane-1-thiol', 'CHEMBL3188256', 'DTXSID6026824', 'n-butyl mercaptan, 1,2-(14)C,2-(35) S-labeled cpd', 'CTK0H7427', 'FEMA 3478', '1-Butanethiol, analytical standard', 'KS-00000UM0', 'ZINC4706588', 'Tox21_200811', 'ANW-16091', 'AKOS009031443', 'LS-2589', 'NCGC00248839-01', 'NCGC00258365-01', 'CAS-109-79-5', 'SC-78824', '1-Butanethiol, purum, &gt;=97.0% (GC)', 'DB-003605', 'B0685', 'FT-0607554', 'NS00020726', '146589-EP2292597A1', '146589-EP2377849A2', 'A802088', 'Q195823', 'J-002332']</t>
  </si>
  <si>
    <t>Compound(8012)</t>
  </si>
  <si>
    <t>C4H10S</t>
  </si>
  <si>
    <t>1- (butyl-heptyl) benzene</t>
  </si>
  <si>
    <t>undecan-5-ylbenzene</t>
  </si>
  <si>
    <t>['5-Phenylundecane', 'Benzene, (1-butylheptyl)-', '4537-15-9', 'undecan-5-ylbenzene', 'Undecane, 5-phenyl-', '(1-BUTYLHEPTYL)BENZENE', '1-Butylheptylbenzene', 'alpha-butylheptylbenzene', '(Undecan-5-yl)benzene', '(1-Butylheptyl)benzene #', 'CHEBI:77513', 'DTXSID40874984', 'Q27147092']</t>
  </si>
  <si>
    <t>Compound(20661)</t>
  </si>
  <si>
    <t>(1-butyloctyl) benzene</t>
  </si>
  <si>
    <t>dodecan-5-ylbenzene</t>
  </si>
  <si>
    <t>['5-Phenyldodecane', 'Benzene, (1-butyloctyl)-', '2719-63-3', 'Dodecane, 5-phenyl-', '(1-BUTYLOCTYL)BENZENE', 'dodecan-5-ylbenzene', 'Benzene,(1-butyloctyl)-', 'EINECS 220-326-9', 'alpha-butyloctylbenzene', '(Dodecan-5-yl)benzene', '(1-Butyloctyl)benzene #', 'CHEBI:77515', 'CTK4F9254', 'DTXSID30875107', 'NS00049473', 'Q27147100']</t>
  </si>
  <si>
    <t>Compound(17630)</t>
  </si>
  <si>
    <t>1-pentanethiol</t>
  </si>
  <si>
    <t>pentane-1-thiol</t>
  </si>
  <si>
    <t>['1-Pentanethiol', 'Pentane-1-thiol', '110-66-7', 'Pentyl mercaptan', 'AMYL MERCAPTAN', 'n-Amyl mercaptan', 'Pentanethiol', 'Amyl thioalcohol', 'Pentalarm', 'Amyl sulfhydrate', 'Amyl hydrosulfide', 'Pentylmercaptan', 'Thioamyl alcohol', 'n-Pentylmercaptan', '1-Mercaptopentane', 'Mercaptan amylique', 'n-Pentyl mercaptan', 'n-Thioamyl alcohol', 'Amyl mercaptans', '1-pentylthiol', '1-Pentanthiol', 'Mercaptan amilique', 'Caswell No. 642A', 'Mercaptan amilique [French]', 'Mercaptan amylique [French]', 'UNII-9A3YK965F3', 'HSDB 468', 'EINECS 203-789-1', 'EPA Pesticide Chemical Code 100701', 'BRN 1730979', '9A3YK965F3', '1-Pentanethiol, 98%', 'thiopentane', '1-pentane thiol', '1-pentane-thiol', 'ACMC-1BP8S', 'SCHEMBL37855', '4-01-00-01653 (Beilstein Handbook Reference)', 'UN 1111 (Salt/Mix)', 'CH3(CH2)4SH', 'DTXSID9041605', 'CTK0H5304', 'KS-00000XAR', 'pentane-1-thiol;Pentyl mercaptan', 'ZINC3860664', 'ANW-16177', 'MFCD00004907', 'AKOS015897629', 'MCULE-5476379340', 'DB-021330', 'LS-101769', 'FT-0608200', 'NS00021516', 'P0053', 'A802231', 'J-505046', 'Q3824464']</t>
  </si>
  <si>
    <t>Compound(8067)</t>
  </si>
  <si>
    <t>C5H12S</t>
  </si>
  <si>
    <t>1- (pentyloctyl) benzene</t>
  </si>
  <si>
    <t>tridecan-6-ylbenzene</t>
  </si>
  <si>
    <t>['6-Phenyltridecane', 'Benzene, (1-pentyloctyl)-', 'Tridecane, 6-phenyl-', '4534-49-0', '6--phenyltridecane', '(1-Pentyloctyl)benzene #', 'DTXSID30875203']</t>
  </si>
  <si>
    <t>Compound(20632)</t>
  </si>
  <si>
    <t>hexan-1-ol</t>
  </si>
  <si>
    <t>['1-Hexanol', 'Hexan-1-ol', 'Hexyl alcohol', 'HEXANOL', '111-27-3', 'n-Hexanol', 'n-Hexyl alcohol', '1-Hexyl alcohol', '1-Hydroxyhexane', 'Amylcarbinol', 'Caproyl alcohol', 'Pentylcarbinol', 'Caproic alcohol', 'n-Hexan-1-ol', 'C6 alcohol', 'Alcohol(C6)', 'Hexanol (VAN)', 'Fatty alcohol(C6)', 'EPAL 6', 'Hexyl alcohol (natural)', 'Alcohol C-6', 'Caswell No. 482E', 'FEMA Number 2567', 'UNII-6CP2QER8GS', 'NSC 9254', 'FEMA No. 2567', 'Hexanol-(1)', 'HSDB 565', 'EINECS 203-852-3', 'MFCD00002982', '6CP2QER8GS', 'EPA Pesticide Chemical Code 079047', 'BRN 0969167', 'AI3-08157', 'C6H14O', '25917-35-5', 'CHEBI:87393', 'DSSTox_CID_1931', 'DSSTox_RID_76410', 'Hexyl alcohol, 98%, pure', 'DSSTox_GSID_21931', 'Magnesium di(hexanolate)', 'Hexanols', 'CAS-111-27-3', 'HE2', 'Hexyl alcohol, 99%, anhydrous, AcroSeal(R)', 'hexylalcohol', 'Caproalcohol', 'Hexalcohol', 'Hydroxyhexane', 'HEXYL ALCOHOL, ACTIVE', 'n-hexylalcohol', 'hexanol;', 'N-hexenol', 'Nat.Hexanol', 'Exxal 6', 'EINECS 247-346-0', 'Hexan-1-ol.', 'HEXANOL-CMPD', 'Exxal 6 (Salt/Mix)', 'BDBM9', '1-Hexanol, 98%', 'Hexyl alcohol, FCC, FG', 'EC 203-852-3', 'n-C6H13OH', 'SCHEMBL1877', 'ACMC-1C26M', 'NATURAL HEXYL ALCOHOL', 'C6H13OH', 'WLN: Q6', '4-01-00-01694 (Beilstein Handbook Reference)', 'KSC178E1L', 'MLS001055374', 'UN 2282 (Salt/Mix)', 'BIDD:ER0298', 'CHEMBL14085', '1-Hexanol, analytical standard', 'DTXSID8021931', 'CTK0H8215', '1-Hexanol, anhydrous, &gt;=99%', 'NSC9254', '1-Hexanol, reagent grade, 98%', 'HMS3039L08', 'BCP29486', 'KS-00000W9Z', 'NSC-9254', 'ZINC1699882', 'Tox21_201335', 'Tox21_302953', 'ANW-16262', 'LMFA05000117', 'SBB059899', 'STL282713', 'UN2282', 'AKOS009031422', 'EBD2203383', 'LS-2366', 'MCULE-4299150163', 'NE10250', 'Alcohol C-6, Natural, Natural Hexanol', '1-Hexanol, purum, &gt;=98.0% (GC)', '1-Hexyl alcohol  pound&gt;&gt;1-Hexylalcohol', 'NCGC00090949-01', 'NCGC00090949-02', 'NCGC00256385-01', 'NCGC00258887-01', 'Hexanols [UN2282]  [Flammable liquid]', 'SC-22734', 'SMR000677945', '1-Hexanol, SAJ special grade, &gt;=99.0%', '1-Hexanol, Vetec(TM) reagent grade, 98%', 'FT-0607887', 'Hexyl alcohol, natural, &gt;=98%, FCC, FG', 'NS00009706', 'ST51046167', 'EN300-19338', 'Q76933', '1-Hexanol, ReagentPlus(R), &gt;=99.5% (GC)', '81323-EP2269986A1', '81323-EP2272817A1', '81323-EP2301919A1', '81323-EP2305687A1', '81323-EP2371805A1', '81323-EP2380568A1', '89674-EP2272842A1', '89674-EP2292613A1', '89674-EP2305033A1', 'J-002549', 'F0001-0237', 'Z955123546']</t>
  </si>
  <si>
    <t>Compound(8103)</t>
  </si>
  <si>
    <t>heptanal</t>
  </si>
  <si>
    <t>['Heptanal', 'Heptaldehyde', '111-71-7', 'Enanthaldehyde', 'n-Heptaldehyde', 'Enanthal', 'N-HEPTANAL', 'Heptyl aldehyde', 'Heptanaldehyde', 'Heptylaldehyde', 'Oenanthaldehyde', 'Oenanthal', 'Oenanthol', 'n-Heptylaldehyde', 'Enanthic aldehyde', 'Oenanthic aldehyde', 'Enanthole', 'Aldehyde C-7', '1-Heptanal', 'Heptanal (natural)', 'FEMA Number 2541', '1-Heptaldehyde', 'n-C6H13CHO', 'NSC 2190', 'heptan-1-al', 'UNII-92N104S3HF', 'FEMA No. 2540', 'CCRIS 6041', 'HSDB 6026', 'EINECS 203-898-4', 'UN3056', 'BRN 1560236', 'CHEMBL18104', 'AI3-02066', 'CHEBI:34787', '92N104S3HF', 'DSSTox_CID_1597', 'n-Heptaldehyde [UN3056] [Flammable liquid]', 'DSSTox_RID_76224', 'DSSTox_GSID_21597', 'Heptaldehyde, 95%, stabilized', 'CAS-111-71-7', 'Oenanthole', 'MFCD00007028', 'Heptaldehyde, 95%', 'ACMC-2099ah', 'EC 203-898-4', 'WLN: VH6', 'SCHEMBL22542', 'BIDD:ER0302', 'DTXSID0021597', 'CTK8A9248', 'FEMA 2540', 'Heptaldehyde, analytical standard', 'KS-00000WZH', 'NSC2190', 'Heptanal, &gt;=95%, FCC, FG', 'NSC-2190', 'STR02180', 'ZINC1577197', 'Tox21_202173', 'Tox21_302779', '7790AF', 'ANW-16311', 'BDBM50028829', 'LMFA06000001', 'LS-538', 'STL453624', 'AKOS000121137', 'MCULE-5251820425', 'Heptaldehyde, technical, &gt;=95% (GC)', 'NCGC00091807-01', 'NCGC00091807-02', 'NCGC00256491-01', 'NCGC00259722-01', 'SC-79363', 'DB-041000', 'NS00008989', 'C14390', 'n-Heptaldehyde [UN3056]  [Flammable liquid]', 'A802402', 'Q425827', 'J-002620', 'J-521429', 'F2190-0613', '2-Furancarboxaldehyde, reaction products with heptanal, hydrogenated.', 'heptanal;HEPTANAL;2-FURANCARBALDEHYDE/HEPTANAL HYDROGENATED;Heptanal, oligomeric reaction products with aniline']</t>
  </si>
  <si>
    <t>Compound(8130)</t>
  </si>
  <si>
    <t>C7H14O</t>
  </si>
  <si>
    <t>1-heptene</t>
  </si>
  <si>
    <t>hept-1-ene</t>
  </si>
  <si>
    <t>['1-HEPTENE', 'Hept-1-ene', '592-76-7', 'Heptylene', 'n-Hept-1-ene', '1-n-Heptene', 'NSC 74130', 'UNII-O748KJ11V7', 'HSDB 1078', 'EINECS 209-767-8', 'UN2278', 'O748KJ11V7', '1-C7H14', '1-Heptene, 98%', '1-Heptene, analytical standard', 'n-Heptene', '.alpha.-Heptylene', 'EINECS 246-871-2', 'Heptene (petroleum)', '1 - Heptene', '1-Heptene, 97%', '1-Heptene, &gt;=99%', 'Heptene (mixed cis and trans)', 'ACMC-1B032', 'DTXSID2060466', 'CTK1H3107', '1-Heptene[StandardMaterialforGC]', 'NSC74130', 'STR07011', 'ZINC1699515', 'EINECS 271-209-4', 'ANW-42069', 'LMFA11000319', 'MFCD00009531', 'NSC-74130', 'SBB059882', 'AKOS009031489', 'MCULE-5868303078', 'NE10660', 'KS-0000167E', 'LS-74578', 'n-Heptene [UN2278] [Flammable liquid]', 'DB-053357', 'n-Heptene [UN2278]  [Flammable liquid]', 'FT-0632465', 'NS00021940', 'S0337', 'ST51046147', '79604-EP2270113A1', '79604-EP2272935A1', '79604-EP2295418A1', '79604-EP2305696A2', '79604-EP2305698A2', 'Q15687131', 'heptene;1-Heptene;Hept-1-ene;Alkenes, C6-8, C7-rich']</t>
  </si>
  <si>
    <t>Compound(11610)</t>
  </si>
  <si>
    <t>C7H14</t>
  </si>
  <si>
    <t>1-heptyl-2-methyl-cyclopropane</t>
  </si>
  <si>
    <t>1-heptyl-2-methylcyclopropane</t>
  </si>
  <si>
    <t>['1-Heptyl-2-methylcyclopropane', 'Cyclopropane, 1-heptyl-2-methyl-', '74663-91-5', '1-heptyl-2-methyl-cyclopropane', '1-Heptyl-2-methylcyclopropane #', 'DTXSID20880785']</t>
  </si>
  <si>
    <t>Compound(544716)</t>
  </si>
  <si>
    <t>C11H22</t>
  </si>
  <si>
    <t>1-octene</t>
  </si>
  <si>
    <t>oct-1-ene</t>
  </si>
  <si>
    <t>['1-OCTENE', 'Oct-1-ene', '111-66-0', 'Caprylene', 'n-1-Octene', '1-Octylene', 'Octylene', 'Octene', 'alpha-Octene', 'OCTENE-1', '1-Caprylene', 'alpha-Octylene', '.alpha.-Octene', 'UNII-E5VK21B9RC', '.alpha.-Octylene', 'NSC 8457', 'Neodene 8', 'Octene (petroleum)', 'HSDB 1084', 'EINECS 203-893-7', 'MFCD00009548', 'E5VK21B9RC', 'alpha olefins (petroleum), (C8-C9) cut', 'AI3-28403', 'CHEBI:46708', '1-C8H16', '1-Octene, 98%', '1-Octene, 99+%', '1-Octene, analytical standard', '1-n-octene', 'Alkenes, C8-9 alpha-', 'EINECS 271-245-0', 'C8-9 alpha-Alkenes', 'ACMC-1BOJN', '173994-67-7', 'SHOP C8', 'DSSTox_CID_5804', 'EC 203-893-7', 'DSSTox_RID_77927', 'DSSTox_GSID_25804', '68527-00-4', 'CHEMBL1376677', 'DTXSID6025804', 'CTK0H5242', 'NSC8457', 'KS-00000UY5', 'NSC-8457', 'ZINC1586749', 'EINECS 271-211-5', 'Tox21_200652', '7954AF', 'ANW-42076', 'BBL027759', 'LS-536', 'SBB059884', 'STL372709', 'AKOS009031490', 'MCULE-6867393536', 'NE10663', '1-Octene (High Purity, 99% minimum)', '1-Octene, purum, &gt;=97.0% (GC)', 'NCGC00091537-01', 'NCGC00091537-02', 'NCGC00258206-01', 'CAS-111-66-0', 'VS-08589', 'DB-040996', 'FT-0608183', 'NS00007609', 'O0041', 'O0251', 'S0338', 'ST51046148', '97564-EP2305662A1', '97564-EP2380568A1', 'Q161664', 'J-002614', 'UNII-BY37UED16B component KWKAKUADMBZCLK-UHFFFAOYSA-N']</t>
  </si>
  <si>
    <t>Compound(8125)</t>
  </si>
  <si>
    <t>C8H16</t>
  </si>
  <si>
    <t>octan-1-ol</t>
  </si>
  <si>
    <t>['1-octanol', 'Octan-1-ol', 'octanol', 'N-octanol', '111-87-5', 'Octyl alcohol', 'Capryl alcohol', 'caprylic alcohol', 'n-Octyl alcohol', 'Heptyl carbinol', '1-Hydroxyoctane', 'Primary octyl alcohol', 'Alcohol C-8', 'n-Octan-1-ol', 'Octilin', 'Alfol 8', 'Sipol L8', 'Lorol 20', 'Dytol M-83', 'n-Caprylic alcohol', 'Alcohols, C6-12', '1-Octyl alcohol', 'n-Heptyl carbinol', 'EPAL 8', 'octyl-alcohol', 'N-octyl-alcohol', 'Octyl alcohol, normal-primary', 'C8 alcohol', 'Fatty alcohol(C8)', 'Octyl alcohol, primary', 'Caswell No. 611A', 'Octyl alcohol (natural)', 'FEMA Number 2800', 'Lorol C 8-98', 'n-Capryl alcohol', 'NSC 9823', '1-Oktanol', 'Alcohol C8', 'FEMA No. 2800', 'CCRIS 9099', 'HSDB 700', 'Prim-n-octyl alcohol', 'UNII-NV1779205D', 'Octanol (all isomers)', 'Emery 3322', 'Emery 3324', 'EINECS 203-917-6', '68603-15-6', 'EPA Pesticide Chemical Code 079037', 'AI3-02169', 'CHEBI:16188', 'MFCD00002988', 'NV1779205D', 'DSSTox_CID_1940', '1-Octanol, 99%, pure', 'DSSTox_RID_76416', 'DSSTox_GSID_21940', 'C6-12 Alcohols', 'Off-shoot-T', 'CAS-111-87-5', 'OC9', '1-Octanol, 99%, anhydrous, AcroSeal(R)', 'Caswell No. 456E', 'Fair 85', 'C6-C12 Alkyl alcohol', '(C6-C12) Alkyl alcohol', 'caprylalcohol', 'octylalcohol', '2-Capryl alcohol', 'Off-Shoot T', 'EINECS 271-642-9', 'Lorol C8', 'octan-1-ol;', 'Alcohols, C8-18 and C18-unsatd.', 'Octanol-(1)', 'EPA Pesticide Chemical Code 079029', '2-Octanol ~99%', 'SDA 13-060-00', 'bmse000970', 'bmse000980', 'EC 203-917-6', 'Octan-2-ol 98+ %', 'SCHEMBL8822', 'Octyl alcohol normal-primary', 'WLN: Q8', 'KSC176Q9D', 'MLS001055318', 'CHEMBL26215', '1-Octanol, analytical standard', 'ACMC-2099b5', 'GTPL4278', 'DTXSID7021940', 'BDBM22606', 'CTK0H6891', '1-Octanol, anhydrous, &gt;=99%', 'Mixed fatty alcohols (C6-C12)', 'NSC9823', 'HMS3039O07', '1-Octanol, for HPLC, &gt;=99%', 'KS-00000UM6', 'NSC-9823', 'ZINC1532735', '1-Octanol, ACS reagent, &gt;=99%', '1-Octanol, ReagentPlus(R), 99%', 'EINECS 266-920-1', 'Tox21_201373', 'Tox21_300096', 'ANW-16335', 'c0045', 'LMFA05000130', 'SBB059902', 'STL264193', '1-Octanol, &gt;=98%, FCC, FG', '1-Octanol, natural, &gt;=98%, FCC', 'AKOS000120100', 'DB12452', 'EBD2203381', 'HY-W032013', 'LS-2996', 'MCULE-2656577895', 'NCGC00091003-01', 'NCGC00091003-02', 'NCGC00091003-03', 'NCGC00091003-04', 'NCGC00091003-05', 'NCGC00254099-01', 'NCGC00258924-01', '67700-96-3', 'BP-21329', 'SMR000673567', '1-Octanol, puriss., &gt;=99.5% (GC)', '1-Octanol, SAJ first grade, &gt;=75.0%', '1-Octanol, JIS special grade, &gt;=98.0%', '1-Octanol, Vetec(TM) reagent grade, 98%', 'CS-0076037', 'FT-0608179', 'O0036', 'O0212', 'ST51046170', '(C8-C18) and (C18) Unsaturatedalkyl alcohol', 'C00756', '81301-EP2270018A1', '81301-EP2272817A1', '81301-EP2289891A2', '81301-EP2305687A1', '81301-EP2305825A1', '81301-EP2380568A1', '1-Octanol, ACS spectrophotometric grade, &gt;=99%', '103517-EP2270018A1', '103517-EP2275416A1', '103517-EP2287158A1', '103517-EP2298313A1', '103517-EP2301924A1', 'Q161666', 'J-002650', 'F0001-0248', 'Z1262253001', '958E4752-AAC3-4F72-A0BF-02D95F9E8071', 'UNII-13F4MW8Y9K component KBPLFHHGFOOTCA-UHFFFAOYSA-N', 'UNII-6X61I5U3A4 component KBPLFHHGFOOTCA-UHFFFAOYSA-N', '220713-26-8']</t>
  </si>
  <si>
    <t>Compound(957)</t>
  </si>
  <si>
    <t>C8H18O</t>
  </si>
  <si>
    <t>1-nonene</t>
  </si>
  <si>
    <t>non-1-ene</t>
  </si>
  <si>
    <t>['1-NONENE', 'non-1-ene', '124-11-8', 'n-Non-1-ene', 'NONENE', 'NONYLENE', 'alpha-Nonene', 'Propylene trimer', 'UNII-YPK83LUD6G', 'Nonene (petroleum)', 'Nonene-(1)', 'NSC 73961', 'YPK83LUD6G', 'EINECS 271-212-0', '1-N-None', 'Alkenes, C6-12 alpha-', '(C6-C12) alpha-Olefin', 'HSDB 1081', 'NSC73961', 'EINECS 204-681-7', 'EINECS 272-491-1', 'ACMC-209aqo', 'Nonylene, isomer mixture', '1-Nonene, 96%', 'NCIOpen2_000424', '68855-57-2', '1-Nonene, analytical standard', 'Alkenes, C8-1O, C9-rich', '1-Nonene[StandardMaterialforGC]', 'DTXSID2059562', 'CHEBI:77443', 'CTK0H7275', 'ZINC1699425', '8130AF', 'ANW-18190', 'LMFA11000323', 'NSC-73961', 'SBB060474', 'AKOS009157987', '1-C9H18', 'MCULE-8103203416', 'VZ34252', 'KS-0000155P', '31387-92-5', 'DB-041765', 'LS-195626', 'FT-0608167', 'N0295', 'N0613', 'NS00020969', 'S0339', 'ST51046651', 'EC 271-212-0', '76368-EP2292589A1', '76368-EP2308960A1', 'J-005044', 'Q15687205', 'UNII-M0TB9RXK4B component JRZJOMJEPLMPRA-UHFFFAOYSA-N', 'non-1-ene;Non-1-ene;Alkenes, C8-10, C9-rich;Alkenes, C6-12 ?-']</t>
  </si>
  <si>
    <t>Compound(31285)</t>
  </si>
  <si>
    <t>C9H18</t>
  </si>
  <si>
    <t>nonan-1-ol</t>
  </si>
  <si>
    <t>['1-Nonanol', 'Nonan-1-ol', 'Nonanol', '143-08-8', 'NONYL ALCOHOL', 'n-Nonyl alcohol', 'Pelargonic alcohol', 'Octyl carbinol', '1-Hydroxynonane', 'Nonalol', 'n-Nonanol', 'n-Nonan-1-ol', 'Alcohol C-9', 'C9 alcohol', 'Alcohol C9', 'Fatty alcohol(C9)', 'Nonylalkohol', 'Pelargonalkohol', 'UNII-NGK73Q6XMC', 'NSC 5521', 'FEMA No. 2789', 'HSDB 5145', 'EINECS 205-583-7', 'MFCD00002990', 'NGK73Q6XMC', '28473-21-4', 'BRN 0969213', 'AI3-03962', 'CHEBI:35986', '1-Nonanol, 97%', 'nonanols', 'EINECS 249-048-6', 'Nonan-1-ol.', 'Nonanol-(1)', 'Nonyl alcohol, 8CI', 'ACMC-209cpi', '1-Nonanol, 98%', '6167-42-6', 'DSSTox_CID_2008', 'EC 205-583-7', 'DSSTox_RID_76457', 'DSSTox_GSID_22008', 'SCHEMBL19807', 'WLN: Q9', '4-01-00-01798 (Beilstein Handbook Reference)', 'KSC175S7J', 'BIDD:ER0370', 'CHEMBL24563', 'Pelargonic alcohol (1-nonanol)', 'DTXSID6022008', 'Nonyl alcohol, &gt;=98%, FCC', 'BDBM22607', 'CTK0H5974', 'FEMA 2789', 'KS-00000WCZ', 'Nonyl alcohol, Pelargonic alcohol', 'NSC5521', 'NSC-5521', 'ZINC1686993', 'Tox21_300869', '8145AF', 'ANW-20740', 'LMFA05000092', 'SBB059907', 'STL283956', 'AKOS009031412', 'DB03143', 'LS-2991', 'MCULE-4020281400', '1-Nonanol, purum, &gt;=98.0% (GC)', 'NCGC00248194-01', 'NCGC00254773-01', 'CAS-143-08-8', 'FT-0608164', 'N0292', 'NS00002633', 'NS00044154', 'ST51046174', 'C14696', '81307-EP2272817A1', '81307-EP2305687A1', '81307-EP2380568A1', '89678-EP2305033A1', '89678-EP2377844A2', '218917-EP2377844A2', 'A808013', 'Q161662', 'J-007741', 'F0001-0508', '2E051A08-F94E-40C2-88CA-7030E15C76BF', 'nonan-1-ol;Nonan-1-ol;NONYL ALCOHOL;Nonanol;Nonan-1-Ol;Phosphoric acid, decyl ester']</t>
  </si>
  <si>
    <t>Compound(8914)</t>
  </si>
  <si>
    <t>C9H20O</t>
  </si>
  <si>
    <t>1-chloro-2,4-dinitrobenzene</t>
  </si>
  <si>
    <t>['1-chloro-2,4-dinitrobenzene', '2,4-Dinitrochlorobenzene', '97-00-7', 'Dinitrochlorobenzene', 'DNCB', 'CDNB', 'Benzene, 1-chloro-2,4-dinitro-', '4-Chloro-1,3-dinitrobenzene', '2,4-Dinitrophenyl chloride', 'Dinitrochlorobenzol', '1,3-Dinitro-4-chlorobenzene', '2,4-Dinitro-1-chlorobenzene', '6-Chloro-1,3-dinitrobenzene', '1-Chloro-2,4-dinitrobenzol', 'ClDNB', 'DNPCl', '1-Chlor-2,4-dinitrobenzol', '1-Chlor-2,4-dinitrobenzene', '1-Cloro-2,4-dinitrobenzene', '1-Chloor-2,4-dinitrobenzeen', 'Caswell No. 389C', '1-chloro-2,4-dinitro-benzene', 'UNII-GE3IBT7BMN', 'Dinitrochlorobenzene (VAN)', 'NSC 6292', 'CCRIS 1799', 'CHEBI:34718', 'HSDB 5306', 'GE3IBT7BMN', 'EINECS 202-551-4', '2,4-dinitro chlorobenzene', 'C6H3ClN2O4', '1-Chloor-2,4-dinitrobenzeen [Dutch]', '1-Chloro-2,4-dinitrobenzeen [Dutch]', '1-Chloro-2,4-dinitrobenzol [German]', 'EPA Pesticide Chemical Code 055102', '1-Cloro-2,4-dinitrobenzene [Italian]', 'AI3-01053', 'NSC6292', 'NSC-6292', 'DSSTox_CID_278', 'DSSTox_RID_75481', 'DSSTox_GSID_20278', '1-Chloro-2,4-dinitrobenzene, 99%', 'CAS-97-00-7', 'SMR000857169', '1-Chloro-2,4-dinitrobenzeen', '2,4-dinitrochlorbenzene', 'WLN: WNR BG ENW', '2,4-dinitro-chlorobenzene', 'chloro-2,4-dinitrobenzene', 'Epitope ID:110163', 'EC 202-551-4', '2,4-dinitro-chloro-benzene', '2,4dinitro-1-chlorobenzene', 'SCHEMBL39251', '2-chloro-1,5-dinitrobenzene', 'MLS001332459', 'MLS001332460', 'ARONIS27043', 'BIDD:ER0694', 'ACMC-209s83', '1-chloro-2,4-dinitro benzene', 'CHEMBL292687', 'DTXSID6020278', 'CTK3I6861', 'HMS2233O04', 'BCP27853', 'KS-000048JI', 'STR01511', 'ZINC1540301', 'Tox21_201956', 'Tox21_302802', 'ANW-40849', 'BBL009322', 'MFCD00007075', 'SBB060419', 'STK387094', '1-Chloro-2,4-dinitrobenzene, 97%', 'AKOS000118946', '1 - Chloro - 2,4 - dinitrobenzene', '1-Chloro-2,4-dinitrobenzene, ~95%', 'DB11831', 'LS-2020', 'MCULE-9671248933', '1-Chloro-2,4-dinitrobenzene, &gt;=99%', 'KS-000017P6', 'NCGC00164061-01', 'NCGC00164061-02', 'NCGC00164061-03', 'NCGC00256396-01', 'NCGC00259505-01', 'SC-46724', 'DB-057658', 'AM20050502', 'NS00003347', 'ST50826821', 'AZ0001-0018', 'B-1264', 'C14397', 'Q209216', '1-Chloro-2,4-dinitrobenzene, technical grade, 95%', 'W-100123', '1-Chloro-2,4-dinitrobenzene 100 microg/mL in Methanol', '3-(3-hydroxy-2-methyl-4-oxo-1-pyridyl)propanoic acid', 'F1908-0126', '1-chloro-2,4-dinitrobenzene;Benzene, 1-chloro-2,4-dinitro-;1-Chlor-2,4-dinitrobenzol']</t>
  </si>
  <si>
    <t>Compound(6)</t>
  </si>
  <si>
    <t>C6H3ClN2O4</t>
  </si>
  <si>
    <t>1-chloro-2-nitrobenzene</t>
  </si>
  <si>
    <t>['2-Chloronitrobenzene', '1-CHLORO-2-NITROBENZENE', '88-73-3', 'o-Chloronitrobenzene', '2-Nitrochlorobenzene', 'Chloronitrobenzene', 'o-Nitrochlorobenzene', '2-Chloro-1-nitrobenzene', 'ONCB', 'Benzene, 1-chloro-2-nitro-', 'Benzene, chloronitro-', 'Nitrochlorobenzene', '1-Nitro-2-chlorobenzene', 'Altitran', 'ortho-chloronitrobenzene', 'Mononitrochlorobenzene', 'UNII-D1YI9R2K8O', 'NSC 36934', 'CCRIS 141', 'Chloro-o-nitrobenzene', 'HSDB 1322', 'EINECS 201-854-9', 'EINECS 246-695-6', '25167-93-5', 'Benzene, chloronitro- (mixed isomers)', 'D1YI9R2K8O', 'AI3-15385', 'DTXSID0020280', 'CHEBI:34270', '1-Chloro-2-nitrobenzene, 99+%', '1-chloro-2-nitrobenzene;chloro-2-nitrobenzene, 1-;2-chloro-1-nitrobenzene;benzene, 1-chloro-2-nitro-;o-chloronitrobenzene;1-chloro-2-nitrobenzene chloro-2-nitrobenzene, 1- 2-chloro-1-nitrobenzene benzene, 1-chloro-2-nitro- o-chloronitrobenzene', '1-Chloro-2-nitro-benzene', '2-chlornitrobenzol', 'Chloronitrobenzene (mixed isomers)', 'Benzene,chloronitro-', 'o-chloro-nitrobenzene', '2-chloro nitrobenzene', '2-chloro-nitrobenzene', '2-nitro chlorobenzene', '2-nitro-chlorobenzene', 'Nitrochlorobenzene, o-', 'ortho-nitrochlorobenzene', 'PubChem18481', 'ortho-nitro-chlorobenzene', '1-chloro,2-nitrobenzene', '4-chloro-3-nitrobenzene', 'Nitrochlorobenzene, ortho', '2-Nitro-1-chlorobenzene', 'DSSTox_CID_280', 'Nitrochlorobenzene, liquid', 'WLN: WNR BG', 'EC 201-854-9', '2-CNB', 'ACMC-1BM38', 'DSSTox_RID_75483', 'DSSTox_GSID_20280', 'SCHEMBL78743', 'ghl.PD_Mitscher_leg0.936', 'KSC203S8J', 'MLS001055388', 'BIDD:ER0655', 'CHEMBL53330', 'Chloronitrobenzene (2 isomers)', '1-Chloro-2-nitrobenzene, 99%', 'CTK1A3984', 'KS-00000WLY', 'Chloronitrobenzene, ortho, liquid', 'HMS3039K15', 'ZINC331636', 'NSC36934', 'Tox21_200791', 'ANW-39150', 'MFCD00007061', 'NSC-36934', 'STL283954', 'AKOS000118963', 'AM87358', 'LS-1883', 'MCULE-5325741920', 'CAS-88-73-3', 'NCGC00090715-01', 'NCGC00090715-02', 'NCGC00090715-03', 'NCGC00258345-01', 'LS-29508', 'SC-18125', 'SMR000677934', 'DB-057100', '1-Chloro-2-nitrobenzene, analytical standard', 'NS00002910', 'C14407', '1-Chloro-2-nitrobenzene 10 microg/mL in Methanol', 'AC-907/25014094', '1-Chloro-2-nitrobenzene 100 microg/mL in Methanol', '1-Chloro-2-nitrobenzene, purum, &gt;=99.0% (GC)', 'J-510174', 'Q2803418', 'Chloronitrobenzene, ortho, liquid [UN1578] [Poison]', 'Chloronitrobenzene, ortho, liquid [UN1578]  [Poison]', 'F1908-0107', 'UNII-846GSP547V component BFCFYVKQTRLZHA-UHFFFAOYSA-N', '1-Chloro-2-nitrobenzene;2-Chlornitrobenzol;Benzene, 1-chloro-2-nitro-;1-chloro-2-nitrobenzene']</t>
  </si>
  <si>
    <t>Compound(6945)</t>
  </si>
  <si>
    <t>C6H4ClNO2</t>
  </si>
  <si>
    <t>1-chloro-3-nitrobenzene</t>
  </si>
  <si>
    <t>['1-Chloro-3-nitrobenzene', '121-73-3', 'm-Chloronitrobenzene', '3-Nitrochlorobenzene', 'm-Nitrochlorobenzene', '3-Chloronitrobenzene', 'BENZENE, 1-CHLORO-3-NITRO-', 'Chloro-m-nitrobenzene', 'Metachloronitrobenzene', '3-Chloro-1-nitrobenzene', '1-Chloronitrobenzene', '1-Nitro-3-chlorobenzene', '1-Chloro-3-nitro-benzene', 'UNII-8XSA3GF8O1', 'NSC 5502', 'CCRIS 3094', 'meta-chloronitrobenzene', 'HSDB 1323', 'EINECS 204-496-1', '8XSA3GF8O1', 'AI3-15386', 'CHEBI:82420', 'DSSTox_CID_1971', 'DSSTox_RID_76434', 'DSSTox_GSID_21971', 'CAS-121-73-3', '1-chlor-3-nitrobenzol', '3-chloro-nitro-benzene', 'ACMC-209aey', 'Nitrochlorobenzene, meta-', 'WLN: WNR CG', 'ghl.PD_Mitscher_leg0.940', 'KSC490M5T', 'SCHEMBL249999', 'CHEMBL166812', 'DTXSID4021971', '1-Chloro-3-nitrobenzene, 95%', '1-Chloro-3-nitrobenzene, 98%', 'CTK3J0659', 'KS-00000VZO', 'NSC5502', 'NSC-5502', 'ZINC1686983', 'Tox21_201330', 'Tox21_302825', 'ANW-17768', 'LS-653', 'MFCD00007202', 'AKOS000120747', 'Chloronitrobenzenes meta or para, solid', 'MCULE-3444165814', 'MP-2187', 'NCGC00091171-01', 'NCGC00091171-02', 'NCGC00256340-01', 'NCGC00258882-01', '1-Chloro-3-nitrobenzene, analytical standard', 'NS00008526', 'C19364', '1-Chloro-3-nitrobenzene 100 microg/mL in Methanol', 'J-004606', 'J-512973', 'Q15298267', 'Chloronitrobenzenes meta or para, solid [UN1578] [Poison]', 'UNII-846GSP547V component KMAQZIILEGKYQZ-UHFFFAOYSA-N', 'Chloronitrobenzenes meta or para, solid [UN1578]  [Poison]', '1-Chlor-3-nitrobenzol;Benzene, 1-chloro-3-nitro-;1-chloro-3-nitrobenzene']</t>
  </si>
  <si>
    <t>Compound(8489)</t>
  </si>
  <si>
    <t>1-chloro-4-nitrobenzene</t>
  </si>
  <si>
    <t>['4-Chloronitrobenzene', '1-CHLORO-4-NITROBENZENE', '100-00-5', 'p-Chloronitrobenzene', 'Benzene, 1-chloro-4-nitro-', 'p-Nitrochlorobenzene', '4-Nitrochlorobenzene', 'PNCB', '4-Chloro-1-nitrobenzene', 'p-Nitrophenyl chloride', 'p-Nitrochlorobenzol', 'p-Nitroclorobenzene', '1-Nitro-4-chlorobenzene', '4-Nitro-1-chlorobenzene', 'p-Nitrochloorbenzeen', '1-Chlor-4-nitrobenzol', '1-Cloro-4-nitrobenzene', '1-Chloor-4-nitrobenzeen', '1-Chloro-4-nitro-benzene', 'NSC 9792', 'UNII-CVL66U249D', 'p-Nitrochloorbenzeen [Dutch]', 'p-Nitrochlorobenzol [German]', 'CCRIS 142', 'p-Nitroclorobenzene [Italian]', 'HSDB 1666', '1-Chlor-4-nitrobenzol [German]', '1-Chloor-4-nitrobenzeen [Dutch]', '1-Cloro-4-nitrobenzene [Italian]', 'EINECS 202-809-6', '1-Chloro-4-nitro benzene', 'AI3-15387', 'CVL66U249D', 'CHEBI:34399', '1-Chloro-4-nitrobenzene, 99%', '4-chlorophenyl nitrate', 'DSSTox_CID_281', 'DSSTox_RID_75484', 'DSSTox_GSID_20281', 'CAS-100-00-5', 'Benzene-1,2,4,5-d4, 3-chloro-6-nitro-', 'CNB', 'parachloronitrobenzene', 'paranitrochlorobenzene', 'MFCD00007285', '4-nitrochlorobenezene', 'p-chloro nitrobenzene', 'p-chloro-nitrobenzene', 'p-nitro-chlorobenzene', 'p-Nitrochloro benzene', '4-chloro-nitrobenzene', '4-chloronitro benzene', '4-nitro chlorobenzene', 'para-chloronitrobenzene', 'para-nitrochlorobenzene', 'Nitrochlorobenzene, p-', '1chloro-4-nitrobenzene', '1,4-Chloronitrobenzene', 'Nitrochlorobenzene, para', '1-chloro-4-nitrobenzen', '1 Chloro-4-nitrobenzene', 'WLN: WNR DG', 'EC 202-809-6', 'ACMC-1BP17', 'SCHEMBL29242', 'ghl.PD_Mitscher_leg0.919', 'KSC492E6N', 'MLS001055334', 'UN 1578 (Salt/Mix)', 'BIDD:ER0244', 'CHEMBL56970', 'Chloronitrobenzene, para, solid', 'DTXSID5020281', 'SCHEMBL13815839', 'CTK3J2266', 'KS-00000UJY', 'NSC9792', 'p-chloronitrobenzene radical anion', 'BENZENE,1-CHLORO,4-NITRO', 'HMS3039H08', 'p-Nitrochlorobenzene radical anion;', '4-chloronitrobenzene anion radical;', '4-chloronitrobenzene radical anion;', 'NSC-9792', 'ZINC3860273', 'Tox21_202291', 'Tox21_300033', 'ANW-14125', 'BBL013182', 'EBD932404', 'LS-291', 'STL163961', '1-chloro-4-nitrobenzene radical anion', 'AKOS000119953', 'LS10621', 'MCULE-9531704416', 'NE10480', '1-chloro-4-nitrobenzene radical anion;', 'NCGC00090707-01', 'NCGC00090707-02', 'NCGC00090707-03', 'NCGC00090707-04', 'NCGC00253995-01', 'NCGC00259840-01', 'BP-13397', 'I478', 'PS-10611', 'SC-27991', 'SMR000674577', 'DB-038035', '1-Chloro-4-nitrobenzene, analytical standard', 'NS00009240', 'C14456', 'AR-360/40217802', '1-Chloro-4-nitrobenzene 100 microg/mL in Methanol', 'Chloronitrobenzene, para, solid [UN1578] [Poison]', 'J-000002', 'J-515172', 'Q4637187', '1-chloro-4-nitrobenzene;Benzene, 1-chloro-4-nitro-', 'Chloronitrobenzene, para, solid [UN1578]  [Poison]', 'F0001-0006', 'para-NITROCHLOROBENZENE (1-CHLORO-4-NITROBENZENE)', 'UNII-846GSP547V component CZGCEKJOLUNIFY-UHFFFAOYSA-N']</t>
  </si>
  <si>
    <t>Compound(7474)</t>
  </si>
  <si>
    <t>1-chlorhexadecane</t>
  </si>
  <si>
    <t>1-chlorohexadecane</t>
  </si>
  <si>
    <t>['1-CHLOROHEXADECANE', 'Cetyl chloride', '4860-03-1', 'Hexadecyl chloride', 'Hexadecane, 1-chloro-', 'n-Hexadecyl chloride', 'CHLOROHEXADECANE', '1-chloro-hexadecane', 'UNII-WQ5ZKS3EK3', 'WQ5ZKS3EK3', 'chloro hexadecane', '1-hexadecyl chloride', '1-chloranylhexadecane', 'DSSTox_CID_7580', '1-Chlorohexadecane, 95%', 'ACMC-2097gg', 'DSSTox_RID_78511', 'NCIOpen2_002284', 'C16H33Cl', 'DSSTox_GSID_27580', 'KSC222M6F', 'SCHEMBL437217', 'CHEMBL3184566', 'DTXSID3027580', 'CTK1C2662', 'KS-00000VXL', 'NSC43727', 'NSC57106', 'EINECS 225-461-7', 'Tox21_202749', 'ANW-13934', 'NSC 57106', 'NSC-43727', 'NSC-57106', 'SBB059962', 'ZINC60117143', 'AKOS009031446', 'IMED104556141', 'MCULE-6806630762', 'NCGC00260297-01', 'AK110804', 'CAS-4860-03-1', 'AX8057914', 'DB-050393', 'FT-0623575', 'NS00045636', 'ST51046226', '1-Chlorohexadecane, purum, &gt;=97.0% (GC)', 'A827568', 'J-520013', 'Q27292774']</t>
  </si>
  <si>
    <t>Compound(20993)</t>
  </si>
  <si>
    <t>C16H33Cl</t>
  </si>
  <si>
    <t>1-chloropropane</t>
  </si>
  <si>
    <t>['1-CHLOROPROPANE', 'Propyl chloride', '540-54-5', 'N-Propyl chloride', 'Propane, 1-chloro-', 'Chloropropane', '1-CHLORO-PROPANE', 'UNII-TUV7462NWK', 'HSDB 5681', 'EINECS 208-749-7', 'UN1278', 'BRN 1730771', 'TUV7462NWK', 'AI3-28788', '1-Chloropropane, 99%', 'n-propylchloride', 'Propane, chloro-', 'CCRIS 9257', 'PrCl', '1-chloranylpropane', '1-Chloro propane', 'ACMC-209lcn', 'n-C3H7Cl', '1-Chloropropane, 98%', '4-01-00-00189 (Beilstein Handbook Reference)', 'KSC271I4T', 'CHEMBL15697', 'DTXSID3051462', 'CTK1H1449', 'KS-00000WC2', 'ZINC2034871', 'ANW-31941', 'STL282357', 'AKOS000261559', 'MCULE-3496412829', 'UN 1278', '26446-76-4', 'DB-052467', 'LS-119655', 'FT-0602979', 'FT-0632347', 'NS00019674', 'Propyl chloride [UN1278] [Flammable liquid]', 'Propyl chloride [UN1278]  [Flammable liquid]', '104175-EP2301925A1', 'A829932', 'Q161612']</t>
  </si>
  <si>
    <t>Compound(10899)</t>
  </si>
  <si>
    <t>C3H7Cl</t>
  </si>
  <si>
    <t>1-chlorobutane</t>
  </si>
  <si>
    <t>['1-Chlorobutane', 'Butyl chloride', '109-69-3', 'N-BUTYL CHLORIDE', 'Butane, 1-chloro-', 'Chlorure de butyle', 'N-Propylcarbinyl chloride', 'Butane, chloro-', 'NBC wormer', 'Sure Shot', 'chlorobutane', 'NCI-C06155', '1-CHLORO-BUTANE', 'n-Chlorobutane', '1-chlorbutane', 'UNII-ZP7R667SGD', 'NSC 8419', 'Chlorure de butyle [French]', 'Chlorobutane, 1-', 'CCRIS 1389', 'HSDB 4167', 'EINECS 203-696-6', 'MFCD00001009', 'BRN 1730909', 'ZP7R667SGD', 'AI3-15309', 'NCGC00091059-01', 'DSSTox_CID_206', 'DSSTox_RID_75432', 'DSSTox_GSID_20206', '25154-42-1', '1-Chlorobutane, 99+%, pure', '1-Chlorobutane, 99.8%, for HPLC', 'CAS-109-69-3', 'Butyl chloride [NF]', '1-Chlorobutane, 99.5%, anhydrous, AcroSeal(R)', 'n-butylchloride', 'n-chlorbutane', 'chloro-n-butane', 'n-butyl-chloride', '1-chloranylbutane', 'chloromethylpropane', 'n-BuCl', 'normal butyl chloride', 'n-C4H9Cl', 'ACMC-1CDT6', 'UN 1127 (Related)', 'EC 203-696-6', 'WLN: G4', '4-01-00-00246 (Beilstein Handbook Reference)', 'KSC179K4H', 'CHEMBL47259', '1-Chlorobutane, p.a., 99%', 'DTXSID8020206', 'CTK0H9543', 'NSC8419', '1-Chlorobutane, sequenation grade', 'Butane, 1-chloro-;1-chlorobutane', 'EBD19662', 'NSC-8419', 'ZINC1586730', 'Tox21_111072', 'Tox21_200865', '1-Chlorobutane, anhydrous, 99.5%', '7270AF', 'ANW-16082', 'BBL012221', 'LS-484', 'STL163562', 'AKOS000118759', 'DB11534', 'MCULE-5329900290', '1-Chlorobutane, 99.5%, for analysis', '1-Chlorobutane, ReagentPlus(R), 99%', '1-Chlorobutane, for HPLC, &gt;=99.8%', 'NCGC00091059-02', 'NCGC00258419-01', 'SC-19099', '1-Chlorobutane, HPLC grade, &gt;=99.5%', '1-Chlorobutane, purum, &gt;=99.0% (GC)', 'FT-0607645', 'NS00007880', 'n-Chlorobutane [UN1127] [Flammable liquid]', 'n-Chlorobutane [UN1127]  [Flammable liquid]', '23159-EP2270004A1', '23159-EP2270006A1', '23159-EP2275412A1', '23159-EP2305662A1', '23159-EP2308844A2', '23159-EP2308845A2', '23159-EP2308846A2', '23159-EP2308857A1', '23159-EP2311808A1', '23159-EP2311829A1', '23159-EP2314584A1', '119344-EP2289965A1', '119344-EP2295425A1', '119344-EP2298828A1', 'A802074', 'Q161608', 'J-002316', 'J-504525', 'F0001-0200', '1-Chlorobutane, biotech. grade, for protein sequence analysis, &gt;=99.8%']</t>
  </si>
  <si>
    <t>Compound(8005)</t>
  </si>
  <si>
    <t>C4H9Cl</t>
  </si>
  <si>
    <t>1-chloronaphthalene</t>
  </si>
  <si>
    <t>['1-CHLORONAPHTHALENE', '90-13-1', 'Chloronaphthalene', 'Naphthalene, 1-chloro-', 'alpha-Chloronaphthalene', '1-Chloro-naphthalene', '1-Naphthyl chloride', 'alpha-Naphthyl chloride', '1-Chlornaftalen', 'alpha-Chlornaphthalene', '.alpha.-Chloronaphthalene', '1-Chlornaftalen [Czech]', 'UNII-K4OIF2EC56', 'NSC 6166', 'CCRIS 5546', 'HSDB 5269', '.alpha.-Chlornaphthalene', 'EINECS 201-967-3', 'K4OIF2EC56', 'AI3-00035', 'CHEMBL195338', 'MFCD00003874', '25586-43-0', '1-Chloro Naphthalene', '1-Chloronaphthalene, technical grade', 'Naphthalene, chloro-', '1-Chloronaphthalene, 85%, technical, remainder 2-Chloronaphthalene', '1-Chlornaphthalin', '1-chloronaphthalin', '5-chloronaphthalene', 'PubChem9388', '1-Naphthalenyl chloride', '.alpha.-naphthyl chloride', 'DSSTox_CID_4791', 'ACMC-209r4z', 'DSSTox_RID_77533', 'DSSTox_GSID_24791', 'SCHEMBL19854', 'WLN: L66J BG', 'KSC176E3P', 'PARAGOS 540012', 'DTXSID2024791', 'Monochloro naphthalene (Related)', 'NSC6166', 'LABOTEST-BB LTBB001584', 'KS-00000W2O', 'NSC-6166', 'ZINC1693310', 'Tox21_200823', 'ANW-39441', 'BDBM50159260', 'SBB060227', 'AKOS000121237', 'AS02472', 'LS-1908', 'MCULE-1375856711', 'CAS-90-13-1', 'NCGC00091252-01', 'NCGC00091252-02', 'NCGC00258377-01', 'K947', 'SC-65666', 'DB-057184', 'DS-002655', 'FT-0607652', 'NS00005259', 'ST50406693', '1-Chloronaphthalene 10 microg/mL in Isooctane', '1-Chloronaphthalene, technical, &gt;=85% (GC)', '1-Chloronaphthalene 10 microg/mL in Acetonitrile', 'Q161607', '1-Chlornaphthalin;1-chloronaphthalene;1-monochloronaphthalene']</t>
  </si>
  <si>
    <t>Compound(7003)</t>
  </si>
  <si>
    <t>C10H7Cl</t>
  </si>
  <si>
    <t>1-phenyl-1-penten-3-one</t>
  </si>
  <si>
    <t>(E)-1-phenylpent-1-en-3-one</t>
  </si>
  <si>
    <t>['1-Phenyl-1-penten-3-one', '1-Phenylpent-1-en-3-one', 'Benzylidenemethyl ethyl ketone', '1-Penten-3-one, 1-phenyl-', '3152-68-9', 'Ethyl styryl ketone', 'Styryl ethyl ketone', 'NSC148201', 'Ethyl 2-phenylvinyl ketone', 'Aethylstyrylketon', '(E)-1-phenylpent-1-en-3-one', '1-phenyl-pent-1-en-3-one', 'SCHEMBL565436', 'CHEMBL1988604', '(E)-1-Phenyl-1-penten-3-one', '(1E)-1-Phenyl-1-penten-3-one', 'NSC11842', 'ZINC1639878', 'NSC-11842', 'ACM3152689', 'FCH1166998', 'FCH3746596', 'NSC-148201', '2-ethyl-4-phenyl-1-oxabuta-1,3-diene', '18402-88-5']</t>
  </si>
  <si>
    <t>Compound(5354490)</t>
  </si>
  <si>
    <t>C11H12O</t>
  </si>
  <si>
    <t>1-phenyl-2-ethanol</t>
  </si>
  <si>
    <t>2-phenylethanol</t>
  </si>
  <si>
    <t>['2-PHENYLETHANOL', 'Phenethyl alcohol', 'Benzeneethanol', '60-12-8', 'Phenylethyl alcohol', 'Phenylethanol', 'Benzyl carbinol', 'Phenethanol', '2-Phenylethyl alcohol', '2-PHENYL-ETHANOL', '2-Phenylethan-1-Ol', 'beta-Phenylethanol', '2-Phenethyl alcohol', 'Benzylmethanol', 'Methanol, benzyl-', 'Benzenethanol', 'Benzylcarbinol', 'Phenethylalcohol', '2-Hydroxyethylbenzene', '1-Phenyl-2-ethanol', 'Ethanol, 2-phenyl-', '2-PEA', 'beta-Phenylethyl alcohol', 'Phenyl ethyl alcohol', 'FEMA No. 2858', 'beta-PEA', 'Caswell No. 655C', 'FEMA Number 2858', '2-Phenethanol', 'beta-Fenylethanol [Czech]', '2-phenyl ethanol', 'Hydroxyethylbenzene', 'Phenethyl alcohol (natural)', 'UNII-ML9LGA7468', 'beta-Fenethylalkohol [Czech]', '.beta.-Phenylethanol', '.beta.-PEA', 'HSDB 5002', '.beta.-Phenethyl alcohol', 'EINECS 200-456-2', 'MFCD00002886', '.beta.-Hydroxyethylbenzene', '.beta.-Phenylethyl alcohol', 'Phenylethyl alcohol [USP]', 'EPA Pesticide Chemical Code 001503', 'NSC 406252', 'BRN 1905732', 'AI3-00744', 'ML9LGA7468', 'CHEBI:49000', '1321-27-3', 'NCGC00166215-02', 'Phenethyl alcohol, 99%', 'DSSTox_CID_6342', 'Phenylethyl alcohol (USP)', 'DSSTox_RID_78104', 'DSSTox_GSID_26342', 'Phenyl Ethanol(Natural)', 'beta-Fenylethanol', 'CAS-60-12-8', 'beta-Fenethylalkohol', 'PEL', 'SMR000059156', 'benzene-ethanol', 'Mellol', 'phenyl-ethanol', 'Benzyl-Methanol', '2-PhenyIethanol', '2-Phenylethanol.', '.beta.-Phenethanol', '.beta.-Fenylethanol', 'b-Hydroxyethylbenzene', 'Benzyl ethyl alcohol', '2-phenyl-1-ethanol', 'Benzeneethanol, 9CI', 'betaphenylethyl alcohol', '.beta.-Fenethylalkohol', '2-Phenylethanol, USP', 'Rose oil (Salt/Mix)', 'A-PEA', 'ACMC-1AZIH', '(2-Hydroxyethyl)benzene', 'beta -hydroxyethylbenzene', '2-Phenylethanol, 99%', '.beta.-P.E.A.', 'Phenylethyl alcohol, USAN', 'bmse000659', 'Phenylethyl, beta- alcohol', 'EC 200-456-2', '2-(2-Hydroxyethyl)benzene', 'SCHEMBL1838', 'WLN: Q2R', '4-06-00-03067 (Beilstein Handbook Reference)', 'KSC237A2B', 'MLS001066349', 'MLS001336026', 'Phenethyl alcohol, 8CI, BAN', 'CHEMBL448500', 'PHENYLETHYL, B- ALCOHOL', 'DTXSID9026342', 'BDBM85807', 'FEMA 2858', 'KS-00000WSD', 'HMS2093H05', 'HMS2233H06', 'HMS3374P04', 'Pharmakon1600-01505398', 'ZINC895934', 'BCP32115', 'CS-B1821', 'HY-B1290', 'NSC_6054', 'Tox21_113544', 'Tox21_201322', 'Tox21_303383', 'ANW-13578', 'BBL036905', 'NSC406252', 'NSC759116', 's3703', 'SBB040879', 'STL281950', '2-Phenylethanol, &gt;=99.0% (GC)', 'AKOS000249688', 'Tox21_113544_1', 'AS00558', 'CCG-213419', 'DB02192', 'EBD2219942', 'LS-2335', 'MCULE-8439044075', 'NE10237', 'NSC-406252', 'NSC-759116', 'CAS_60-12-8', 'Phenethyl alcohol, &gt;=99%, FCC, FG', 'NCGC00166215-01', 'NCGC00166215-03', 'NCGC00166215-05', 'NCGC00257347-01', 'NCGC00258874-01', 'AC-18484', 'S992', 'SC-46713', 'SBI-0206858.P001', 'FT-0613332', 'FT-0673679', 'NS00004212', 'P0084', 'ST50214476', 'W6811', 'EN300-19347', 'C05853', 'D00192', 'Phenethyl alcohol, natural, &gt;=99%, FCC, FG', '12472-EP2287158A1', '12472-EP2311801A1', '12472-EP2316826A1', '12472-EP2372017A1', '37330-EP2284157A1', '37330-EP2311802A1', '37330-EP2311803A1', '37330-EP2371814A1', '47427-EP2295426A1', '47427-EP2295427A1', '47427-EP2305673A1', '47427-EP2308877A1', '47427-EP2311834A1', '47427-EP2374783A1', '66877-EP2270505A1', '66877-EP2281823A2', '66877-EP2292612A2', '66877-EP2295406A1', '66877-EP2298731A1', '66877-EP2298772A1', '66877-EP2308839A1', 'AB00698274_05', '196135-EP2272972A1', '196135-EP2272973A1', '196135-EP2277872A1', 'A832606', 'Q209463', 'SR-01000763553', 'Phenylethyl alcohol;Phenethyl alcohol;Benzeneethanol', 'Q-200318', 'SR-01000763553-2', '0DE4CADC-AB8A-4038-BD6F-EBD009885652', 'F0001-1575', 'Z234896351', 'Phenylethyl alcohol, United States Pharmacopeia (USP) Reference Standard', '2-Phenylethanol;2-phenylethanol;2-Phenyl-Ethanol;Phenethyl alcohol;PHENETHYL ALCOHOL', 'Phenylethyl Alcohol, Pharmaceutical Secondary Standard; Certified Reference Material']</t>
  </si>
  <si>
    <t>Compound(6054)</t>
  </si>
  <si>
    <t>C8H10O</t>
  </si>
  <si>
    <t>α-phenylethylamine</t>
  </si>
  <si>
    <t>1-phenylethanamine</t>
  </si>
  <si>
    <t>['1-Phenylethanamine', '1-Phenylethylamine', '618-36-0', 'ALPHA-METHYLBENZYLAMINE', 'alpha-Phenylethylamine', 'DL-alpha-Methylbenzylamine', '1-Phenethylamine', 'alpha-Aminoethylbenzene', '98-84-0', '1-Amino-1-phenylethane', '1-phenylethan-1-amine', 'a-methylbenzylamine', 'alpha-Methylbenzenemethanamine', 'alpha-Phenethylamine', '1-Phenyl-ethylamine', '1-Fenylethylamin', 'Benzenemethanamine, .alpha.-methyl-', 'a-phenylethylamine', 'DL-1-Phenylethylamine', 'Sumine 2079', 'Ethanamine, 1-phenyl-', 'Ethylamine, 1-phenyl-', 'DL-1-phenethylamine', 'a-methylbenzenemethanamine', 'CHEBI:670', 'Benzylamine, .alpha.-methyl-', 'CHEMBL278059', '(+/-)-alpha-Methylbenzylamine', '(S)-.alpha.-Methylbenzenemethanamine', 'Benzenemethanamine, .alpha.-methyl-, (S)-', 'UNII-HZ9DM6B2MT', 'DL-alpha-Methylbenzylamine, 99%', 'r-(+)-alpha-phenylethylamine', '1-Fenylethylamin [Czech]', 'Benzylamine, alpha-methyl-', '(S)-(-)-a-methyl-benzylamine', 'Benzene, (1-amino-ethyl)-', 'HZ9DM6B2MT', 'Benzenemethanamine, a-methyl-', 'a-phenethylamine', 'HSDB 2742', 'l-phenylethylamine', 'Benzenemethanamine, alpha-methyl-', 'a-aminoethylbenzene', 'Benzenemethaneamine, alpha-methyl-', 'NSC 8391', '1-phenylethyl amine', 'EINECS 202-706-6', 'EINECS 210-545-8', 'phenylethan-1-amine', '1-Phenyl ethylamine', 'alpha-methylbezylamine', 'APHEA', '(1-phenylethyl)amine', '1-phenyl-ethyl-amine', '1-Phenylethanamine #', 'rac-1-phenylethanamine', '(1-Aminoethyl)benzene', '.alpha.-Phenethylamine', 'dl-1-phenylethyl amine', 'PubChem21079', '1-Phenyl-1-ethanamine', 'alpha-methyl benzylamine', 'alpha-methyl-benzylamine', 'alpha-methylbenzyl amine', 'DL-|A-Phenylethylamine', '.alpha.-Phenylethylamine', 'DL-|A-Methylbenzylamine', '1(r,s)-phenylethylamine', 'AI3-03116', '(+)-1-phenylethylamine', '(-)-1-phenylethylamine', 'alpha-methyl benzyl amine', '.alpha.-Methylbenzylamine', '(-)alpha-phenylethylamine', 'racemic 1-phenylethanamine', 'racemic 1-phenylethylamine', 'SCHEMBL830', 'ACMC-209j2b', 'ACMC-20aj38', '(-)-alpha-phenylethylamine', 'EC 210-545-8', '(+) alpha-methylbenzylamine', '(+)-alpha-methylbenzylamine', '(+)1-phenylethan-1-amine', '(+/-)-1-phenylethanamine', '(-)-alpha-methylbenzylamine', 'Benzenemethanamine, .alpha.-methyl-, (.+-.)-', '(+/-)-1-Phenylethylamine', '(RS)-alpha-methylbenzylamine', '(-)-.alpha.-Phenethylamine', '(+)-alpha-methyl-benzylamine', '(-) alpha-methyl-benzylamine', '(-)-alpha-methyl-benzylamine', 'WLN: 1M1R', '(+/-)-1-phenyl-ethanamine', '(+/-)-1-Phenyl-ethylamine', 'alpha-Methylbenzylamine, 99%', 'racemic alpha-methylbenzylamine', '(+)-alpha-methyl benzyl amine', '(+/-)-1-(phenyl)ethylamine', '(-) alpha methyl benzyl amine', 'SCHEMBL4701869', 'L(-)-.alpha.-Methylbenzylamine', 'DTXSID40862301', 'L-(-)-.alpha.-Phenylethylamine', 'NSC8391', '(-)-alpha-methylbenzenemethanamine', 'ALBB-032928', 'BCP32849', 'KS-00000G3I', 'NSC-8391', '(^+)-1-Phenylethylamine, 98+%', '(R)-.alpha.-Methylbenzenemethanamine', '(S)-(-)-.alpha.-Methylbenzylamine', 'ANW-53664', 'BBL027673', 'BDBM50023171', 'Benzenemethaneamine, .alpha.-methyl-', 'MFCD00008069', 'SBB040514', 'STK397443', 'AKOS000119070', 'AKOS016039387', 'racemic alpha-methyl-benzenemethanamine', 'CS-W013564', 'MCULE-6637542099', 'PS-4601', 'SC-18396', 'Benzenemethanamine, .alpha.-methyl-, (R)-', 'DB-015888', 'DB-054000', 'A6546', 'AM20060838', 'Benzylamine, .alpha.-methyl-, (.+/-.)-', 'FT-0601072', 'FT-0604486', 'FT-0658781', 'M0165', 'ST45255353', 'C02455', '(S)-1-phenylethanamine;(1S)-1-phenylethanamine', '83288-EP2270009A1', '83288-EP2272822A1', '83288-EP2284174A1', '83288-EP2298779A1', '83288-EP2305655A2', 'Benzenemethanamine, .alpha.-methyl-, (.+/-.)-', 'Benzenemethanamine, .alpha.-methyl-, (.alpha.R)-', 'Benzenemethanamine, .alpha.-methyl-, (.alpha.S)-', 'Q3560549', 'W-105090', 'F0798-0597']</t>
  </si>
  <si>
    <t>Compound(7408)</t>
  </si>
  <si>
    <t>C8H11N</t>
  </si>
  <si>
    <t>1-hydroxynaphthalene</t>
  </si>
  <si>
    <t>naphthalen-1-ol</t>
  </si>
  <si>
    <t>['1-NAPHTHOL', 'naphthalen-1-ol', '90-15-3', '1-Naphthalenol', 'alpha-naphthol', '1-Hydroxynaphthalene', 'NAPHTHOL', 'Fouramine ERN', 'Fourrine ERN', 'Tertral ERN', 'Furro ER', 'Basf Ursol ERN', 'Ursol ERN', 'Fourrine 99', 'Nako TRB', 'Zoba ERN', 'Durafur developer D', 'alpha-Hydroxynaphthalene', 'Naphthalenol', 'C.I. Oxidation Base 33', '.alpha.-Naphthol', '1-Naphthyl alcohol', 'NSC 9586', 'C.I. 76605', 'CCRIS 1172', 'CI Oxidation Base 33', 'HSDB 2650', '.alpha.-Hydroxynaphthalene', '1-napthol', 'EINECS 201-969-4', 'UNII-2A71EAQ389', '1321-67-1', 'CI 76605', 'CHEBI:10319', 'AI3-00106', 'WLN: L66J BQ', 'CHEMBL122617', 'SGCUT00118', 'NSC9586', '2A71EAQ389', 'to_000072', 'MFCD00003930', 'LS-95401', '1-Naphthol, 99+%', 'DSSTox_CID_1793', 'C11714', 'DSSTox_RID_76330', 'DSSTox_GSID_21793', 'AB-131/40232333', 'Naphthol-1', 'Naphthyl-1-ol', 'CAS-90-15-3', 'alpha-Naphthyl alcohol', 'napthalenol', 'alpha naphthol', 'alpha-napthol', 'napthyl alcohol', 'hydroxynaphthalene', 'naphthalene-1-ol', 'Naphthol 1', '1-Naphtol', '8 -naphthol', 'hydroxy naphthalene', '(+)-naphthol', '1NP', 'nchembio791-comp4', 'Naphth-1-ol, 9', 'PubChem16938', 'ACMC-20ait6', 'SCHEMBL3416', 'alpha-Naphthol, 1-Naphthol', 'KSC179K6D', '33420_RIEDEL', '35825_RIEDEL', 'N1000_SIAL', 'N2780_SIAL', '1-Naphthol, Pure PA, 99%', '1-Naphthol, LR, &gt;=99%', 'DTXSID6021793', '70438_FLUKA', '70442_FLUKA', 'BDBM23450', 'CTK0H9561', '1-Naphthol, BioXtra, &gt;=99%', '4b33', '1-Naphthol, p.a., 99.0%', 'ACT07473', 'HY-Y1309', 'NSC-9586', 'ZINC4292977', 'Tox21_202120', 'Tox21_302768', '1-Naphthol, &gt;=98.0% (GC)', 'ANW-75304', 'BBL011611', 'SBB040845', 'STL163337', 'ZINC00967929', 'AKOS000118822', 'CS-W020125', 'EBD2205191', 'GS-6917', 'MCULE-2825050946', 'QC-1267', '1-Naphthol, ReagentPlus(R), &gt;=99%', 'Duloxetine EP Impurity D (1-Naphthol)', 'NCGC00249169-01', 'NCGC00256563-01', 'NCGC00259669-01', 'AK-44442', 'ST5214429', '1-Naphthol, SAJ special grade, &gt;=99.0%', '1-Naphthol, Vetec(TM) reagent grade, 98%', 'FT-0608111', 'N0026', 'N0864', 'NS00005331', 'ST50214429', '1-Naphthol, PESTANAL(R), analytical standard', 'M-5886', 'A843458', 'Q408876', 'J-610055', '1-Naphthol, certified reference material, TraceCERT(R)', '1-Naphthol, puriss., for fluorescence, &gt;=99.0% (GC)', 'F1908-0108', 'Z1262254359', '1-Naphthol, puriss. p.a., Reag. Ph. Eur., &gt;=99% (GC)', '1-Naphthol; 1-Naphthalenol; 1-Hydroxynaphthalene; 1-Naphthyl Alcohol; Hydroxynaphthalene', '50356-21-3']</t>
  </si>
  <si>
    <t>Compound(7005)</t>
  </si>
  <si>
    <t>C10H8O</t>
  </si>
  <si>
    <t>1-hydroxypyrene</t>
  </si>
  <si>
    <t>pyren-1-ol</t>
  </si>
  <si>
    <t>['1-HYDROXYPYRENE', '5315-79-7', 'Pyren-1-ol', '1-Pyrenol', 'pyrenol', '3-Hydroxypyrene', 'NSC 30968', 'UNII-N2H6O5V707', 'CHEBI:34093', 'N2H6O5V707', 'AK-48313', '1-Hydroxypyrene, 99+%', 'hydroxypyrene', '3-Oxypyren', '1-Pyrenol (8CI)', '1-Hydroxypyrene, 98%', 'DSSTox_CID_18298', 'DSSTox_RID_79380', 'DSSTox_GSID_38298', '1-Pyrenol (8CI)(9CI)', 'BIDD:ER0523', 'BIDD:GT0133', 'SCHEMBL218996', 'CHEMBL3184813', 'DTXSID1038298', 'CTK1H2981', 'KS-00000NI1', 'NSC30968', 'ZINC1661473', 'Tox21_300617', '7535AB', 'ANW-31645', 'MFCD00044543', 'NSC-30968', 'Pyren-1-ol;1-Hydroxypyrene1-Pyrenol', 'AKOS015905692', 'CS-W014791', 'HY-W014075', 'NCGC00248108-01', 'NCGC00254432-01', '63021-84-1', 'CC-04647', 'DS-14633', 'SY045995', 'CAS-5315-79-7', 'AX8008494', 'LS-184258', 'AM20040642', 'FT-0607935', 'FT-0670072', 'NS00014602', 'ST50825689', 'A24650', 'C14519', 'C-11924', 'Q21099650', '1-Hydroxypyrene, certified reference material, TraceCERT(R)']</t>
  </si>
  <si>
    <t>Compound(21387)</t>
  </si>
  <si>
    <t>C16H10O</t>
  </si>
  <si>
    <t>1-nitronaphthalene</t>
  </si>
  <si>
    <t>['1-NITRONAPHTHALENE', '86-57-7', 'Nitrol', 'Naphthalene, 1-nitro-', 'alpha-Nitronaphthalene', 'Nitrol (pesticide)', 'Naphthalene, nitro-', 'Mononitronaphthalene', 'NITRONAPHTHALENE', '1-Nitronaftalen', '1-Nitronaphthaline', 'NCI-C01956', 'Nitrol (VAN)', '1-Nitro-Naphthalene', 'Naphthalene, mononitro-', '.alpha.-Nitronaphthalene', '1-Nitronaftalen [Czech]', 'Naphthalene, alpha-nitro-', 'UNII-A51NP1DL2T', 'CCRIS 450', 'CHEBI:34104', 'HSDB 2887', 'NSC 9584', 'EINECS 201-684-5', 'UN2538', 'BRN 1867714', 'A51NP1DL2T', 'AI3-00477', 'CHEMBL165373', '27254-36-0', 'DSSTox_CID_978', 'DSSTox_RID_75901', 'DSSTox_GSID_20978', 'CAS-86-57-7', 'Nitronaphthalin', 'nitro-naphthalene', '1-nitronapthalene', 'alpha-nitro-naphthalene', '1-Nitronaphthalene, 99%', 'WLN: L66J BNW', 'ACMC-1CJ12', 'SCHEMBL57184', 'KSC204Q5R', 'DTXSID7020978', 'CTK1A4858', 'NSC9584', 'NSC-9584', 'STR03423', 'ZINC1700069', 'Tox21_201407', 'Tox21_302759', 'BDBM50282618', 'MFCD00003913', 'SBB057510', 'AKOS000120000', 'LS-1855', 'MCULE-5592798733', 'NE10285', 'KS-000011H3', 'NCGC00091715-01', 'NCGC00091715-02', 'NCGC00091715-03', 'NCGC00256373-01', 'NCGC00258958-01', '1-nitronaphthalene;Naphthalene, 1-nitro-', 'AC-29181', 'LS-94800', 'SC-74516', 'DB-056461', 'DB-056938', 'FT-0608156', 'FT-0641778', 'N0212', 'NS00039134', 'ST50406229', '1-Nitronaphthalene, purum, &gt;=98.0% (GC)', 'Nitronaphthalene [UN2538] [Flammable solid]', '1-Nitronaphthalene 10 microg/mL in Cyclohexane', 'A24106', 'C14040', 'Nitronaphthalene [UN2538]  [Flammable solid]', 'AE-562/40180003', 'Q14848739', '1-Nitronaphthalene, BCR(R) certified Reference Material', '1-Nitro-4-phenylbenzene;4-nitro-1-biphenyl;4-nitro-bipheny']</t>
  </si>
  <si>
    <t>Compound(6849)</t>
  </si>
  <si>
    <t>C10H7NO2</t>
  </si>
  <si>
    <t>1-nitropyrene</t>
  </si>
  <si>
    <t>['1-NITROPYRENE', '5522-43-0', '3-Nitropyrene', 'Pyrene, 1-nitro-', 'Pyrene, nitro-', 'NITROPYRENE', 'CCRIS 455', '1-Nitro-pyrene', 'UNII-TD1665I8Q4', 'HSDB 6980', 'EINECS 226-868-2', 'NSC 81340', 'BRN 1882811', '1-Nitropyrene [Nitroarenes]', 'CHEBI:34107', 'TD1665I8Q4', '1-Nitropyrene [Polycyclic aromatic compounds]', 'l-nitropyrene', '1-Nitropyrene, 99%', 'DSSTox_CID_983', 'ACMC-1B96I', 'DSSTox_RID_75905', 'NCIOpen2_004479', 'DSSTox_GSID_20983', '63021-86-3', 'BIDD:ER0532', 'SCHEMBL339725', 'CHEMBL167395', 'DTXSID6020983', 'CTK1H0615', 'ZINC157143', 'NSC81340', 'Tox21_200066', 'ANW-32263', 'NSC-81340', 'SBB058388', 'AKOS002384330', 'LS-1361', 'MCULE-1661621362', 'NCGC00164217-01', 'NCGC00164217-02', 'NCGC00257620-01', 'AK-86325', 'CC-04910', 'CAS-5522-43-0', 'AX8059897', 'DB-019312', 'LS-129450', 'FT-0658253', 'N0419', 'NS00014599', 'ST45023843', 'W6924', 'C14421', 'Y-9043', '522N430', 'C-30171', '1-Nitropyrene, BCR(R) certified Reference Material', 'Q4545799']</t>
  </si>
  <si>
    <t>Compound(21694)</t>
  </si>
  <si>
    <t>C16H9NO2</t>
  </si>
  <si>
    <t>1- Naphthaleneacetonitrile</t>
  </si>
  <si>
    <t>2-naphthalen-1-ylacetonitrile</t>
  </si>
  <si>
    <t>['132-75-2', '1-Naphthylacetonitrile', '2-(Naphthalen-1-yl)acetonitrile', '1-NAPHTHALENEACETONITRILE', '1-Naphthyl acetonitrile', 'Acetonitrile, (1-naphthyl)-', 'alpha-Naphthylacetonitrile', 'alpha-Naphthyl acetonitrile', 'Naphthaleneacetonitrile', '1-Naphthylmethylcyanide', '.alpha.-Naphthylacetonitrile', '2-(1-naphthyl)acetonitrile', '2-naphthalen-1-ylacetonitrile', 'alpha-(1-Naphthyl)acetonitrile', 'NSC 9844', 'EINECS 205-078-1', 'MFCD00004041', 'BRN 1101012', 'UNII-OV0P82P2R0', 'AI3-26061', 'OV0P82P2R0', '.alpha.-(1-naphthyl)acetonitrile', '2-naphthylethanenitrile', 'naphthylacetonitrile', '1-naphtylacetonitrile', 'PubChem9364', 'Naphazoline Impurity C', '1-naphthyl-acetonitrile', '1-naphthylaceto-nitrile', 'naphth-1-ylacetonitrile', 'ACMC-209bpy', 'naphthalenyl-acetonitrile', '(1-naphthyl)acetonitrile', 'Naphthalene-1-acetonitrile', 'naphthalen-1-ylacetonitrile', 'naphthalen-1-yl-acetonitrile', '.alpha.-naphthyl acetonitrile', 'WLN: L66J B1CN', '4-09-00-02428 (Beilstein Handbook Reference)', 'KSC180K2J', '1-Naphthylacetonitrile, 97%', 'SCHEMBL182660', 'DTXSID3059630', 'CTK0I0524', 'KS-00000IRO', 'NSC9844', 'ACN-S004011', 'NSC-9844', 'ZINC1700216', 'ANW-19460', 'SBB056313', 'STL182770', 'AKOS000155895', 'AC-5788', 'CS-W021449', 'FS-2653', 'MCULE-6881410875', 'AK-57921', 'L321', 'LS-13296', 'SC-00810', 'DB-038067', 'FT-0608130', 'N0366', 'NS00024236', 'ST50406143', 'EN300-37277', '32N752', 'M-6896', 'W-108309', '(Naphthalen-1-yl)acetonitrile (1-Naphthylacetonitrile)', 'Z1217910530']</t>
  </si>
  <si>
    <t>Compound(8596)</t>
  </si>
  <si>
    <t>C12H9N</t>
  </si>
  <si>
    <t>1-naphthalene sulfonic acid</t>
  </si>
  <si>
    <t>naphthalene-1-sulfonic acid</t>
  </si>
  <si>
    <t>['1-NAPHTHALENESULFONIC ACID', '85-47-2', 'naphthalene-1-sulfonic acid', 'Naphthalene-1-sulphonic acid', 'naphthalenesulfonic acid', 'Naphthalenesulphonic acid', 'alpha-Naphthalenesulfonic acid', 'UNII-0SJH61WM2J', '0SJH61WM2J', '25155-19-5', '.alpha.-Naphthalenesulfonic acid', 'CHEBI:30895', '68153-01-5', 'Naphthalenesulfonic acids', 'MFCD00003987', '1-Naphthalenesulfonicacid', 'Naphthalenesulfonic acid, di-C5-6-alkyl derivs.', 'EINECS 201-610-1', 'EINECS 246-676-2', 'EINECS 270-177-9', 'naphtalenesulfonic acid', 'Naphthalenesulfonicacid', 'Di(C5-C6)alkylnaphthalenesulfonic acid', 'Naphthalenesulfonic acid (mixed isomers)', 'naphthalene sulfonic acid', '1-Naphthyl sulfonic acid', 'SCHEMBL4323', '68412-23-7', 'naphthalene-alpha-sulphonic acid', 'CHEMBL1160029', 'DTXSID7048033', 'CTK1A5224', 'PSZYNBSKGUBXEH-UHFFFAOYSA-', 'Naphthalene-1-Sulfonic Acid Anion', '1-Naphthalenesulfonic acid, &gt;50%', 'KS-00000W3Q', 'ZINC1651920', 'AKOS009031607', 'MCULE-3229319496', 'NE10290', 'AC-18225', 'DB-019281', 'FT-0631399', 'NS00006554', 'ST50825567', 'EN300-19780', 'C16201', 'W-109309', 'Q10395591', 'UNII-VZW67VII75 component PSZYNBSKGUBXEH-UHFFFAOYSA-N']</t>
  </si>
  <si>
    <t>Compound(6812)</t>
  </si>
  <si>
    <t>C10H8O3S</t>
  </si>
  <si>
    <t>1-heneicosyl format</t>
  </si>
  <si>
    <t>henicosyl formate</t>
  </si>
  <si>
    <t>['Henicosyl formate', '1-Heneicosyl formate', '77899-03-7', 'Henicosyl formate #', '1-Henicosanol formate', '1-Heneicosanol,1-formate', 'SCHEMBL2855749', 'CTK5E5136', 'DTXSID90337953']</t>
  </si>
  <si>
    <t>Compound(545651)</t>
  </si>
  <si>
    <t>C22H44O2</t>
  </si>
  <si>
    <t>1-isopropyl-3-methyl-benzene (m-cymene)</t>
  </si>
  <si>
    <t>1-methyl-3-propan-2-ylbenzene</t>
  </si>
  <si>
    <t>['M-CYMENE', '1-Isopropyl-3-methylbenzene', '535-77-3', '3-Isopropyltoluene', 'm-Isopropyltoluene', 'm-Cymol', 'Benzene, 1-methyl-3-(1-methylethyl)-', 'm-Methylisopropylbenzene', 'beta-Cymene', '1-Methyl-3-isopropylbenzene', '1-Methyl-3-(1-methylethyl)benzene', '3-Methyl-1-isopropylbenzene', 'meta-cymene', '.beta.-Cymene', 'NSC 73975', 'UNII-10ZH8R921S', 'HSDB 3428', 'EINECS 208-617-9', 'BRN 1851357', '10ZH8R921S', '1-methyl-3-(propan-2-yl)benzene', '1-Methyl-3-(1-methylethyl)-benzene', 'm-cymene [UN2046] [Flammable liquid]', '3-methyl-1-(methylethyl)benzene', '1-methyl-3-propan-2-ylbenzene', 'm-Cymene, 99%', '3-Methylisopropylbenzene', 'ACMC-1BMPS', 'm-cymene [UN2046]  [Flammable liquid]', 'm-Mentha-1,3,5-triene', '4-05-00-01058 (Beilstein Handbook Reference)', 'm-Cymene, analytical standard', '1-Methyl-3-isopropyl benzene', 'ARONIS24108', 'DTXSID2060206', 'CTK8B1847', 'NSC73975', 'ZINC1699438', 'ZX-AS004458', '5135AE', 'ANW-31802', 'NSC-73975', 'SBB061535', '1-methyl-3-(1-methylethyl) benzene', 'AKOS005110997', 'FCH1115287', 'MCULE-5480201967', 'CC-30175', 'LS-30888', '1-Methyl-3-(1-methylethyl)benzene, 9CI', 'C0798', 'FT-0682671', 'NS00020834', 'ST51047540', 'Z-0808', 'C-34791', 'Q27251197', 'UNII-830CI19HHD component XCYJPXQACVEIOS-UHFFFAOYSA-N']</t>
  </si>
  <si>
    <t>Compound(10812)</t>
  </si>
  <si>
    <t>1-isopropyl-4-methyl-benzene</t>
  </si>
  <si>
    <t>1-methyl-4-propan-2-ylbenzene</t>
  </si>
  <si>
    <t>['P-CYMENE', '4-Isopropyltoluene', '99-87-6', 'p-Isopropyltoluene', 'Para-cymene', 'Dolcymene', 'p-Cymol', 'Paracymene', '1-Isopropyl-4-methylbenzene', 'CYMENE', 'Benzene, 1-methyl-4-(1-methylethyl)-', 'Camphogen', 'Cymol', '4-Cymene', 'p-Methylcumene', '2-p-Tolylpropane', 'Paracymol', 'p-Methylisopropylbenzene', 'p-Cimene', '1-Methyl-4-isopropylbenzene', 'Cumene, p-methyl-', '4-Isopropyl-1-methylbenzene', '1-Methyl-4-(1-methylethyl)benzene', '4-Methylisopropylbenzene', 'p-methyl cumene', 'p-Isopropylmethylbenzene', '4-Methyl-1-isopropylbenzene', 'Benzene, 1-isopropyl-4-methyl-', '1-methyl-4-(propan-2-yl)benzene', '4-Isopropylbenzyl radical', 'Cymene, p-', 'para cymene', '4-methyl isopropylbenzene', 'NSC 4162', 'UNII-1G1C8T1N7Q', '1-isopropyl-4-methyl-Benzene', 'FEMA No. 2356', '1-methyl-4-propan-2-ylbenzene', 'HSDB 5128', 'Methyl-4-(1-methylethyl)benzene', '4-methyl-1-(propan-2-yl)benzene', 'EINECS 202-796-7', 'p-Mentha-1,3,5-triene', 'AI3-02272', '1G1C8T1N7Q', 'CHEBI:28768', '1-Methyl-4-(1-methylethyl)-benzene', 'MFCD00008893', '25155-15-1', 'p-Cymene [UN2046] [Flammable liquid]', 'p-Cymene, 99+%', 'DSSTox_CID_6645', 'DSSTox_RID_78172', 'BENZENE,1-ISOPROPYL,4-METHYL   P-CYMENE', 'DSSTox_GSID_26645', '4-methyl-1-(methylethyl)benzene', '4-Isopropyltoluol', 'CAS-99-87-6', '4-Cymol', 'p-methyl-Cumene', 'MML', '4-iso-Propyltoluene', 'PARACYMENE PF', 'p-Cymene, 99%', 'ACMC-209sea', 'p-Cymene [UN2046]  [Flammable liquid]', 'Carvacrol derivative, 8', 'P- Isopropylmethylbenzene', '4-methyl isopropyl benzene', 'bmse000503', 'EC 202-796-7', 'Paramethyl-isopropyl-benzene', 'KSC555A9F', 'p-Cymene, analytical standard', '1-Methyl-4-isopropyl benzene', 'p-Cymene, &gt;=97%, FG', 'CHEMBL442915', 'Benzene,methyl(1-methylethyl)-', 'DTXSID3026645', 'CTK4F5092', 'NSC4162', 'BDBM248165', 'benzene, 1-methyl-4-methylethyl-', 'WLN: 1Y1 &amp; R D1', 'ZINC968246', '1-(1-methylethyl)-4-methylbenzene', 'NSC-4162', 'Tox21_201932', 'Tox21_300338', 'ANW-41072', 's5598', 'SBB060399', 'AKOS000121521', '1-Methyl-4-(1-methylethyl)-benzene.', 'Benzene, 1-methyl-4(1-methylethyl)-', 'CCG-266123', 'LMPR0102090014', 'LS-2649', 'MCULE-1794861612', 'p-Isopropyltoluene, analytical standard', 'NCGC00247998-01', 'NCGC00247998-02', 'NCGC00254425-01', 'NCGC00259481-01', '4939-75-7', 'AS-11012', 'FT-0689324', 'S0664', 'ST51046586', 'C06575', 'Q284072', 'W-100013', 'p-Cymene, certified reference material, TraceCERT(R)', '1-Isopropyl-4-methylbenzene;p-Cymene;p-cymene;P-CYMENE', 'F8889-6466', 'UNII-830CI19HHD component HFPZCAJZSCWRBC-UHFFFAOYSA-N']</t>
  </si>
  <si>
    <t>Compound(7463)</t>
  </si>
  <si>
    <t>1-isocyanate octadecane</t>
  </si>
  <si>
    <t>1-isocyanatooctadecane</t>
  </si>
  <si>
    <t>['Octadecyl isocyanate', '112-96-9', 'Octadecane, 1-isocyanato-', '1-Isocyanatooctadecane', 'Mondur O', 'Stearyl isocyanate', '1-Octadecyl isocyanate', 'Baykanol OI', 'Bykanol OI', 'n-Octadecyl isocyanate', 'Millionate O', 'Tonco-70', 'Octadecylisocyanate', 'Isocyanic acid, octadecyl ester', 'Isocyanic Acid n-Octadecyl Ester', 'NSC 66466', 'EINECS 204-019-7', 'BRN 1791451', 'GEO-02054', 'Q-201497', 'octadecanisocyanate', 'n-octadecylisocyanate', 'ACMC-1BZWC', 'EC 204-019-7', 'Octadecyl isocyanate, 98%', 'Isocyanic Acid Stearyl Ester', 'SCHEMBL26135', '4-04-00-00834 (Beilstein Handbook Reference)', 'KSC492K3F', 'Isocyanic Acid Octadecyl Ester', 'CH3-(CH2)17-NCO', 'DTXSID3038727', 'CTK3J2532', 'KS-00000YW0', 'NSC66466', 'ANW-16553', 'MFCD00002041', 'NSC-66466', 'Octadecyl isocyanate, technical grade', 'SBB068619', 'ZINC60044735', 'AKOS005258261', 'CC-33262', 'LS-84458', 'P754', 'DB-060264', 'FT-0627400', 'I0130', 'NS00002208', 'X-4435', '112O969', 'C-34206', 'Octadecyl isocyanate;POLY(VINYL ACETATE VINYL N- OCTADECYLCARBAMATE)', 'OCTADECYL ISOCYANATE, ISOCYANIC ACID STEARYL ESTER, 1-isocyanato-octadecane']</t>
  </si>
  <si>
    <t>Compound(66988)</t>
  </si>
  <si>
    <t>C19H37NO</t>
  </si>
  <si>
    <t>1-indanone</t>
  </si>
  <si>
    <t>2,3-dihydroinden-1-one</t>
  </si>
  <si>
    <t>['1-Indanone', '83-33-0', 'Indan-1-one', '2,3-Dihydro-1H-inden-1-one', 'INDANONE', 'alpha-Indanone', '1H-Inden-1-one, 2,3-dihydro-', 'alpha-Hydrindone', '1-Indone', 'Hydrindone', '2,3-dihydroinden-1-one', '.alpha.-Indanone', '.alpha.-Hydrindone', 'Indenone, dihydro-', 'MFCD00003785', 'UNII-V7021Y717I', 'V7021Y717I', '1-Indanone, 99+%', '30286-23-8', '1-Hydroindone', 'Indanone (VAN)', '1-HYDRINDONE', '1-oxohydrindene', '1-Ketohydrindene', 'indane-1-one', 'indanone (1)', 'indanone(1-)', 'NSC 2581', 'EINECS 201-470-1', 'Indanone-(1)', 'dihydro-inden-1-one', 'PubChem5339', 'AI3-11798', '2,3-Dihydro-1-indenone', 'ACMC-1BLM6', 'bmse000496', '2,3-dihydro-inden-1-one', 'SCHEMBL24746', 'KSC224M3L', 'SCHEMBL3694431', 'DTXSID1058892', 'CHEBI:17404', 'CTK1C4635', 'NSC2581', 'ZINC897152', 'ACT07634', 'BCP19847', 'NSC-2581', 'ANW-37673', 's9346', 'SBB056339', 'STK290968', 'AKOS000119606', 'AC-2464', 'CCG-321650', 'CS-W004333', 'MCULE-5376167819', 'PS-5770', '1-Indanone, ReagentPlus(R), &gt;=99%', '1-Indanone, purum, &gt;=98.0% (GC)', 'AK-44115', 'BP-12824', 'BR-44115', 'SC-06902', 'SY001380', 'DB-019218', '1-Indanone, Vetec(TM) reagent grade, 98%', 'FT-0607937', 'I0013', 'NS00038249', 'ST50996034', 'KS-00000179', 'C01504', 'I-0700', 'M-5320', '91520-EP2272849A1', '91520-EP2292586A2', '91520-EP2305668A1', '003I785', '138995-EP2272849A1', '138995-EP2275404A1', '138995-EP2292586A2', 'AH-034/32845037', 'Q15906439', 'F0001-2126', 'Z1250132257', '1ON']</t>
  </si>
  <si>
    <t>Compound(6735)</t>
  </si>
  <si>
    <t>C9H8O</t>
  </si>
  <si>
    <t>(1S) camphor</t>
  </si>
  <si>
    <t>(1S,4S)-1,7,7-trimethylbicyclo[2.2.1]heptan-2-one</t>
  </si>
  <si>
    <t>['(-)-Camphor', '464-48-2', '(1S,4S)-1,7,7-trimethylbicyclo[2.2.1]heptan-2-one', '(1S)-(-)-Camphor', '(S)-camphor', 'l-Camphor', '(-)-Bornan-2-one', 'L(-)-Camphor', '(1S,4S)-camphor', 'UNII-213N3S8275', 'MFCD00064148', 'Bicyclo[2.2.1]heptan-2-one, 1,7,7-trimethyl-, (1S,4S)-', 'CHEBI:15397', '(-)-Alcanfor', 'l-(-)-Camphor', 'Camphor, (-)-', '213N3S8275', 'L(-)-Camphor, 98%', 'Camphor, (1S,4S)-(-)-', 'Bicyclo(2.2.1)heptan-2-one, 1,7,7-trimethyl-, (1S,4S)-', 'EINECS 207-354-7', 'NSC 26351', '1S-Camphor', 'L-2-Bornanone', '()-bornan-2-one', 'Spectrum_001303', 'Spectrum4_001936', 'Spectrum5_000815', '(1S)-1,7,7-Trimethylbicyclo[2.2.1]heptan-2-one', 'DSSTox_CID_2036', '(1S,4S)-4,7,7-trimethylbicyclo[2.2.1]heptan-3-one', 'DSSTox_GSID_22036', 'KBioGR_002313', 'KBioSS_001783', 'SCHEMBL1701376', 'CHEMBL2252949', 'DTXSID8022036', 'BDBM36264', 'KBio2_001783', 'KBio2_004351', 'KBio2_006919', '(-)-Camphor, analytical standard', 'ZINC967521', '(1S)-(-)-Camphor, 95%', '(1S)-(-)-Camphor, 99%', 'Tox21_303988', 'AKOS005259217', 'DB11345', 'EBD2217008', 'NCGC00356974-01', 'CAS-464-48-2', 'MS-20527', '(1S,4S)-1,7,7-trimethylnorbornan-2-one', 'Z-3718', 'Q27095844', '(-)-Camphor, purum, &gt;=95.0% (sum of enantiomers, GC)', 'UNII-5TJD82A1ET component DSSYKIVIOFKYAU-OIBJUYFYSA-N']</t>
  </si>
  <si>
    <t>Compound(444294)</t>
  </si>
  <si>
    <t>C10H16O</t>
  </si>
  <si>
    <t>1-tert-butoxy-2-ethoxyethane</t>
  </si>
  <si>
    <t>2-(2-ethoxyethoxy)-2-methylpropane</t>
  </si>
  <si>
    <t>['2-(2-Ethoxyethoxy)-2-methylpropane', '1-tert-Butoxy-2-ethoxyethane', '51422-54-9', 'Propane, 2-(2-ethoxyethoxy)-2-methyl-', '1-(1,1-dimethylethoxy)-2-ethoxyethane', 'EINECS 257-196-8', 'EC 257-196-8', '1-Ethoxy-2-tert-butoxyethane', 'SCHEMBL239710', 'DTXSID7068637', 'NUNQKTCKURIZQX-UHFFFAOYSA-', 'ZINC2005403', 'FCH831497', 'AKOS006228266', '2-(2-Ethoxyethoxy)-2-methylpropane #', 'ACM51422549', 'CC-05021', 'DB-051962', 'FT-0639995', 'NS00001591', 'C-24758']</t>
  </si>
  <si>
    <t>Compound(40007)</t>
  </si>
  <si>
    <t>C8H18O2</t>
  </si>
  <si>
    <t>2- (2- ( 2-butoxyethoxy) ethoxy) ethanol</t>
  </si>
  <si>
    <t>2-[2-(2-butoxyethoxy)ethoxy]ethanol</t>
  </si>
  <si>
    <t>['TRIETHYLENE GLYCOL MONOBUTYL ETHER', '143-22-6', 'Butoxytriglycol', 'Dowanol tbat', 'Butoxytriethylene glycol', 'Ethanol, 2-[2-(2-butoxyethoxy)ethoxy]-', '2-[2-(2-Butoxyethoxy)ethoxy]ethanol', 'Poly-Solv TB', 'Triglycol monobutyl ether', 'Triethylene glycol n-butyl ether', 'Triethylene glycol butyl ether', 'Triethylene glycol mono-n-butyl ether', '2-[2-(2-butoxyethoxy)ethoxy]ethan-1-ol', '3,6,9-Trioxa-1-tridecanol', '2-(2-(2-Butoxyethoxy)ethoxy)ethanol', 'UNII-OC116GRO69', 'NSC 164915', 'Triethyleneglycol monobutyl ether', 'HSDB 5645', 'EINECS 205-592-6', 'BRN 1750600', 'triethyleneglycolmonobutylether', 'AI3-30236', 'OC116GRO69', 'Ethanol, 2-(2-(2-butoxyethoxy)ethoxy)-', 'DSSTox_CID_1520', 'DSSTox_RID_76197', 'DSSTox_GSID_21520', 'CAS-143-22-6', 'Butoxytriglykol', 'Butyl Triglycol', 'UNII-T1J4684X95', '3,9-Trioxatridecan-1-ol', 'ACMC-209cq0', 'EC 205-592-6', 'SCHEMBL15523', '3,6,9-Trioxatridecan-1-ol', 'WLN: Q2O2O2O4', 'triethyleneglycol monobutylether', 'CHEMBL3184092', 'DTXSID7021520', 'CTK3J2552', 'ZINC1644613', 'Tox21_201885', 'Tox21_302836', '5779AF', 'ANW-20758', 'MFCD00020606', 'NSC164915', 'SBB059923', 'AKOS024390783', 'MCULE-9824573117', 'NE10811', 'NSC-164915', 'T1J4684X95', '2-(2-(2-butoxyethoxy)-ethoxy)-ethanol', 'NCGC00164337-01', 'NCGC00164337-02', 'NCGC00256567-01', 'NCGC00259434-01', 'LS-66524', 'SC-98087', 'FT-0623339', 'NS00001775', 'ST51046190', 'J-007775', 'Q1815673', 'Triethylene glycol monobutyl ether, technical, ~70% (GC)', 'Triethyleneglycol, monobutylether;2-(2-(2-butoxyethoxy)ethoxy)ethanol']</t>
  </si>
  <si>
    <t>Compound(8923)</t>
  </si>
  <si>
    <t>C10H22O4</t>
  </si>
  <si>
    <t>2- (2- ( 4-nonylphenoxy) ethoxy) ethanol</t>
  </si>
  <si>
    <t>2-[2-(4-nonylphenoxy)ethoxy]ethanol</t>
  </si>
  <si>
    <t>['2-[2-(4-Nonylphenoxy)ethoxy]ethanol', '20427-84-3', 'Ethoxylated nonylphenol', 'Igepal CO-630', 'Alfenol', 'Agral', '9016-45-9', 'Synperonic NX', 'Agral Plus', 'Adekatol NP', 'Alcosist PN', 'Alkasurf NP', 'Lissapol NX', 'Tergetol NP', 'Antarox CO', 'Nonoxynol-4', 'Tergitol NPX', 'Afilan CVH', 'Agral R', 'Chemax NP series', 'Agral LN', 'Alfenol 8', 'Nonoxynol-30', 'Nonoxynol-44', 'Carsonon N-9', 'NPEOx', 'Alkasurf NP 8', 'Alfenol 10', 'Alfenol 18', 'Alfenol 22', 'Alfenol 28', 'Alfenol N 8', 'Neutronyx 600', 'Protachem 630', 'Rewopol HV-9', 'Akyporox NP 95', 'Alkasurf NP 11', 'Alkasurf NP 15', 'Prevocel #12', 'Tergitol NP-10', 'Tergitol NP-14', 'Tergitol NP-27', 'UNII-U4A966MO25', 'Trycol NP-1', 'Alfenol 710', 'Antarox 897', 'Adekatol NP 638', 'Adekatol NP 650', 'Adekatol NP 660', 'Adekatol NP 675', 'Adekatol NP 683', 'Adekatol NP 686', 'Adekatol NP 690', 'Adekatol NP 700', 'Adekatol NP 710', 'Adekatol NP 720', 'Adekatol NP 760', 'Adekatol NP 900', 'Akyporox NP 105', 'Agral 90', 'Antarox CO 430', 'Antarox CO 530', 'Antarox CO 630', 'Antarox CO 730', 'Antarox CO 850', 'Arkopal N-090', 'Dowfax 9N20', 'Caswell No. 605', 'Conco NI-90', 'Adekatol NP 1000', 'Adekatol NP 1100', 'Triton N-100', 'Agral 600', 'Emulgen - 913', 'A 730 (surfactant)', 'Nonyl phenol, ethoxylated', 'Nonoxinolum [INN-Latin]', 'Polyoxyethylene nonylphenol', '2-(2-(4-Nonylphenoxy)ethoxy)ethanol', 'PEG-3 Nonyl phenyl ether', 'PEG-4 Nonyl phenyl ether', 'Tergitol TP-9 (nonionic)', 'PEG-13 Nonyl phenyl ether', 'PEG-15 Nonyl phenyl ether', 'PEG-30 Nonyl phenyl ether', 'PEG-44 Nonyl phenyl ether', 'Tergitol NP-33 (nonionic)', 'Tergitol NP-35 (nonionic)', 'Tergitol NP-40 (nonionic)', 'Ethanol, 2-[2-(4-nonylphenoxy)ethoxy]-', 'Polyethylene glycol (3) nonyl phenyl ether', 'CHEMBL194034', '(Nonylphenoxy)polyethylene oxide', 'Nonyl phenyl polyethylene glycol', 'HSDB 6825', 'Nonylphenol, polyoxyethylene ether', 'U4A966MO25', 'Nonyl phenyl polyethylene glycol ether', 'Polyoxyethylene(30) nonylphenyl ether', 'EPA Pesticide Chemical Code 079005', 'Polyoxyethylene (3) nonyl phenyl ether', 'Polyoxyethylene (4) nonyl phenyl ether', 'Polyoxyethylene (13) nonyl phenyl ether', 'Polyoxyethylene (15) nonyl phenyl ether', 'Polyoxyethylene (30) nonyl phenyl ether', 'Polyoxyethylene (44) nonyl phenyl ether', 'Ethanol, 2-(2-(4-nonylphenoxy)ethoxy)-', 'Polyethylene glycol 200 nonyl phenyl ether', 'Polyethylene glycol 450 nonyl phenyl ether', 'Glycols, polyethylene, monononylphenyl ether', 'POLYETHYLENE GLYCOL NONYLPHENYL ETHER', 'A 730', 'Polyethylene glycol (13) nonyl phenyl ether', 'Polyethylene glycol (15) nonyl phenyl ether', 'Polyethylene glycol (30) nonyl phenyl ether', 'Polyethylene glycol (44) nonyl phenyl ether', 'Nonylphenoxypoly(ethyleneoxy)ethanol, branched', 'Glycols, polyethylene, mono(nonylphenyl) ether', 'alpha-(Nonylphenyl)-omega-hydroxypolyoxyethylene', 'DSSTox_CID_16588', 'DSSTox_RID_79288', 'DSSTox_GSID_36588', 'Q63392135', 'Glycols, polyethylene mono(nonylphenyl) ether (nonionic)', 'alpha-(Nonylphenyl)-omega-hydroxypoly(oxy-1,2-ethanediyl)', 'omega-Hydroxy-alpha-(nonylphenyl)poly(oxy-1,2-ethanediyl)', 'Poly(oxy-1,2-ethanediyl), alpha-(nonylphenyl)-omega-hydroxy-', '4-Nonyl Phenol Diethoxylate', 'EON 2', 'CAS-26027-38-3', '4-Nonylphenol diethoxylate', 'Nonoxinolum', 'EINECS 243-816-4', 'Igepal CO-210', 'NPEO2', 'Nonylphenol polyethoxylates', 'SCHEMBL285443', 'DTXSID9058600', 'Tox21_111536', 'Tox21_302133', 'BDBM50410502', 'ZINC38141475', 'ACM20427843', '2-[2-(4-Nonylphenoxy)ethoxy]ethanol #', 'NCGC00164410-02', 'NCGC00255429-01', 'LS-15337', 'SC-98494', 'LS-118796', 'FT-0673036', 'FT-0774757', 'Polyethylene Glycol Mono-4-nonylphenyl Ether', 'EC 500-024-6', '2-(2-(4-Nonylphenoxy)ethoxy)ethanol (example)', 'SR-01000944802', 'SR-01000944802-1', 'Nonidet??P 40 Substitute BioXtra, mixture of 15 ho', '4-Nonylphenol di-ethoxylate / 2-(2-(4-Nonylphenoxy)ethoxy)ethanol', 'Poly(oxy-1,2-ethanediyl), .alpha.-(4-nonylphenyl)-.omega.-hydroxy-', '4-nonylphenol di-ethoxylate / 2-(2-(4-Nonylphenoxy)ethoxy)ethanol (NPE2O group)']</t>
  </si>
  <si>
    <t>Compound(24773)</t>
  </si>
  <si>
    <t>C19H32O3</t>
  </si>
  <si>
    <t>2,2,4-trimethyl-1,3-pentanediol diisobutyrate</t>
  </si>
  <si>
    <t>[2,2,4-trimethyl-3-(2-methylpropanoyloxy)pentyl] 2-methylpropanoate</t>
  </si>
  <si>
    <t>['6846-50-0', '2,2,4-Trimethyl-1,3-pentanediol diisobutyrate', '2,2,4-trimethylpentane-1,3-diyl bis(2-methylpropanoate)', 'Kodaflex txib', 'TXIB', 'Propanoic acid, 2-methyl-, 2,2-dimethyl-1-(1-methylethyl)-1,3-propanediyl ester', '2,2,4-Trimethylpentanediol-1,3-diisobutyrate', 'EINECS 229-934-9', '1-Isopropyl-2,2-dimethyltrimethylene diisobutyrate', 'BRN 1878083', 'Isobutyric acid, 1-isopropyl-2,2-dimethyltrimethylene ester', 'CHEBI:89871', 'TRIMETHYL PENTANYL DIISOBUTYRATE', '2,2,4-Trimethyl-1,3-pentanediol ester', 'AK116054', 'DSSTox_CID_7635', '2,2,4-Trimethyl-1,3-pentadienol diisobutyrate', 'DSSTox_RID_78535', "Propanoic acid, 2-methyl-, 1,1'-[2,2-dimethyl-1-(1-methylethyl)-1,3-propanediyl] ester", 'DSSTox_GSID_27635', 'W-104669', '2,2,4-TRIMETHYLPENTANE-1,3-DIOL DIISOBUTYRATE', '1,3-Pentanediol, 2,2,4-trimethyl-, diisobutyrate (ester)', 'CAS-6846-50-0', '2,2,4-Trimethyl-1,3-pentanediol diisobutyrate, 98%', 'HSDB 8097', "Propanoic acid, 2-methyl-, 1,1'-(2,2-dimethyl-1-(1-methylethyl)-1,3-propanediyl) ester", 'EC 229-934-9', 'SCHEMBL43993', 'CHEMBL3183335', 'DTXSID1027635', 'KS-00000MIJ', 'Tox21_202454', 'Tox21_300316', '[2,2,4-trimethyl-3-(2-methylpropanoyloxy)pentyl] 2-methylpropanoate', '0569AC', 'AKOS015900127', 'trimethyl-1,3-pentanediol diisobutyrate', 'NCGC00164194-01', 'NCGC00164194-02', 'NCGC00164194-03', 'NCGC00254147-01', 'NCGC00260003-01', 'LS-101673', 'FT-0609109', 'NS00010306', '2,2,4-trimethyl-1,3,-pentanedioldiisobutyrate', '2-2-4-trimethylpentane-1-3-diol diisobutyrate', '1,3-Pentanediol, 2,2,4-trimethyl-, diisobutyrate', 'Q27162056', '2,2,4-Trimethyl-1,3-pentandiyl-bis(2-methylpropanoat)', '2,2,4-Trimethyl-1,3-pentanediol diisobutyrate (TXIB)', '2,2,4-Trimethyl-1,3-pentanediol diisobutyrate, &gt;=98.5%', '2,2,4-Trimethyl-1,3-pentanediol diisobutyrate, analytical standard', '3-(Isobutyryloxy)-1-isopropyl-2,2-dimethylpropyl 2-methylpropanoate #', '2-2-4-trimethylpentane-1-3-diol diisobutyrate;2,2,4-Trimethyl-1,3-pentadienol diisobutyrate;TRIMETHYL PENTANYL DIISOBUTYRATE;Propanoic acid, 2-methyl-, 2,2-dimethyl-1-(1-methy;1-isopropyl-2,2-dimethyltrimethylene diisobutyrate;2 , 2 , 4-trimetyl-1 , 3-pentanediol diisobutyrate']</t>
  </si>
  <si>
    <t>Compound(23284)</t>
  </si>
  <si>
    <t>C16H30O4</t>
  </si>
  <si>
    <t>2,2,4-trimethyl-1,3-pentanediol</t>
  </si>
  <si>
    <t>2,2,4-trimethylpentane-1,3-diol</t>
  </si>
  <si>
    <t>['2,2,4-TRIMETHYL-1,3-PENTANEDIOL', '144-19-4', '2,2,4-Trimethylpentane-1,3-diol', '1,3-Pentanediol, 2,2,4-trimethyl-', 'TMPD', 'TMPD (alcohol)', 'Caswell No. 893', 'TMPD Glycol', 'HSDB 1136', 'NSC 6368', 'EINECS 205-619-1', 'Trimethyl-1,3-Pentanediol', 'EPA Pesticide Chemical Code 041002', 'BRN 1698098', 'AI3-02706', 'W-108160', '2,2,4-Trimethyl pentanediol-1,3', 'ACMC-1BRGN', 'DSSTox_CID_7113', 'EC 205-619-1', 'DSSTox_RID_78314', 'DSSTox_GSID_27113', 'SCHEMBL19645', '4-01-00-02604 (Beilstein Handbook Reference)', 'KSC489M4D', 'CHEMBL3184961', 'DTXSID8027113', '2,4-Trimethyl-1,3-pentanediol', 'CTK3I9641', 'NSC6368', '2,2,4-trimethylpentan-1,3-diol', 'NSC-6368', 'Tox21_200443', 'ACM144194', 'ANW-20836', 'MFCD00004681', 'AKOS002313503', 'AKOS016051412', 'FCH1112892', 'MCULE-8458650598', '2,2,4-trimethyl-1,3-dihydroxypentane', '1,3-Dihydroxy-2,2,4-trimethyl pentane', 'NCGC00248618-01', 'NCGC00257997-01', 'AK114226', 'CAS-144-19-4', 'CC-06372', '2,2,4-Trimethyl-1,3-pentanediol, 97%', 'AX8064124', 'LS-101672', 'FT-0609108', 'NS00005828', 'ST50759404', 'WLN: Q1X1 &amp; 1 &amp; YQY1 &amp; 1', 'C-33953', 'Q24817446', '2,2,4-trimethylpentane-1,3-diol;1,3-Pentanediol, 2,2,4-trimethyl-;TRIMETHYL-1,3-PENTANEDIOL;2,2,4-TRIMETHYL-1,3-PENTANEDIOL']</t>
  </si>
  <si>
    <t>Compound(8946)</t>
  </si>
  <si>
    <t>2,2,4-trimethylpentane</t>
  </si>
  <si>
    <t>['2,2,4-Trimethylpentane', 'Isooctane', '540-84-1', 'Pentane, 2,2,4-trimethyl-', 'Isobutyltrimethylmethane', 'ISO-OCTANE', '2,4,4-Trimethylpentane', 'i-octane', 'UNII-QAB8F5669O', 'HSDB 5682', '(CH3)2CHCH2C(CH3)3', 'EINECS 208-759-1', 'NSC 39117', 'BRN 1696876', 'AI3-23976', 'QAB8F5669O', 'CHEBI:62805', '2, 2, 4-Trimethylpentane', 'MFCD00008943', '2,2,4-Trimethylpentane, 99+%, pure', '2,2,4-Trimethylpentane, 99.5%, for HPLC', '2,2,4-Trimethylpentane, 99+%, ACS reagent', '2,2,4-Trimethylpentane, 99%, for spectroscopy', '2,2,4-Trimethylpentane, 99.5%, for analysis', '2,2,4-Trimethylpentane, 99+%, for spectroscopy ACS', '2,2,4-Trimethylpentane, 99.5%, Extra Dry, AcroSeal(R)', '2,2,4-Trimethylpentane, 99.5%, Extra Dry over Molecular Sieve, AcroSeal(R)', '2,2,4-Trimethylpentane, 99.5%, for residue analysis, ECD tested for pesticide analysis', 'Isobutyltrimethylethane', 'ACMC-209lcv', 'Pentane,2,4-trimethyl-', 'DSSTox_CID_4370', '2,2,4-trimethyl pentane', '2,2,4-trimethyl-pentane', 'EC 208-759-1', 'DSSTox_RID_77383', 'DSSTox_GSID_24370', '4-01-00-00439 (Beilstein Handbook Reference)', 'KSC492A4P', 'CHEMBL1797261', 'DTXSID7024370', 'CTK3J2047', 'KS-00000VHU', 'NSC39117', 'ZINC1671132', '2,2,4-Trimethylpentane, for HPLC', 'Tox21_201127', '7981AF', 'ANW-31949', 'NSC-39117', 'STL280330', 'AKOS009159117', 'MCULE-3330030399', 'WLN: 1Y1&amp;1X1&amp;1&amp;1', '2,2,4-Trimethylpentane, LR, &gt;=99%', 'NCGC00248930-01', 'NCGC00258679-01', 'CAS-540-84-1', 'SC-81426', '2,2,4-Trimethylpentane, ASTM, 99.8%', '2,2,4-Trimethylpentane, AR, &gt;=99.5%', '2,2,4-Trimethylpentane, JIS special grade', '2,2,4-Trimethylpentane, p.a., 99.5%', 'DB-052475', 'LS-101778', '2,2,4-Trimethylpentane, analytical standard', '2,2,4-Trimethylpentane, anhydrous, 99.8%', 'FT-0609110', 'I0276', 'NS00001389', 'T0715', '2,2,4, Trimethyl Pentane Reagent Grade ACS', '2,2,4-Trimethylpentane, for HPLC, &gt;=99%', '2,2,4-Trimethylpentane, Pesticide, 99.5%', '2,2,4-Trimethylpentane, ACS reagent, 99.5%', '2,2,4-Trimethylpentane, for HPLC, &gt;=99.8%', '2,2,4-Trimethylpentane, ACS reagent, &gt;=99.0%', '2,2,4-Trimethylpentane, HPLC grade, &gt;=99.7%', '2,2,4-Trimethylpentane, ReagentPlus(R), &gt;=99%', 'Q209130', 'W-109087', '2,2,4-Trimethylpentane, puriss. p.a., ACS reagent', '2,2,4-Trimethylpentane, SAJ first grade, &gt;=98.0%', '2,2,4-Trimethylpentane, UV HPLC spectroscopic, 99.5%', '2,2,4-Trimethylpentane, puriss. p.a., &gt;=99.5% (GC)', 'Density Standard 692 kg/m3, H&amp;D Fitzgerald Ltd. Quality', '2,2,4-Trimethylpentane, ACS spectrophotometric grade, &gt;=99%', '2,2,4-Trimethylpentane;ISOOCTANE;Pentane, 2,2,4-trimethyl-', '2,2,4-Trimethylpentane, &gt;=99.5%, suitable for absorption spectrum analysis', '2,2,4-Trimethylpentane, puriss. p.a., ACS reagent, &gt;=99.5% (GC)', '2,2,4-Trimethylpentane, HPLC Plus, for HPLC, GC, and residue analysis, &gt;=99.5%', '2,2,4-Trimethylpentane (Isooctane), Pharmaceutical Secondary Standard; Certified Reference Material']</t>
  </si>
  <si>
    <t>Compound(10907)</t>
  </si>
  <si>
    <t>C8H18</t>
  </si>
  <si>
    <t>2,2, 5,5,-tetramethyl-tetrahydrofuran</t>
  </si>
  <si>
    <t>2,2,5,5-tetramethyloxolane</t>
  </si>
  <si>
    <t>['2,2,5,5-TETRAMETHYLTETRAHYDROFURAN', '15045-43-9', 'Furan, tetrahydro-2,2,5,5-tetramethyl-', 'Tetrahydro-2,2,5,5-tetramethylfuran', 'UNII-83Z08D4U0T', 'EINECS 239-117-9', 'AI3-25141', '83Z08D4U0T', 'Furan,tetrahydro-2,2,5,5-tetramethyl-', '2,2,5,5-tetramethyloxolane', 'SCHEMBL380315', 'DTXSID1022263', 'CTK4C6651', 'ZINC2018946', 'GEO-03959', '2,2,5,5-Tetramethyl tetrahydrofuran', 'AKOS015912795', '2,2,5,5-Tetramethyl-tetrahydro-furan', 'FCH1115178', 'AS-63484', 'CC-06378', 'DB-043055', 'LS-184965', 'FT-0609118', 'NS00021680', 'C-30256', 'Q25323734']</t>
  </si>
  <si>
    <t>Compound(27010)</t>
  </si>
  <si>
    <t>C8H16O</t>
  </si>
  <si>
    <t>2,2, 6,6-tetrachlorocyclohexanone</t>
  </si>
  <si>
    <t>2,2,6,6-tetrachlorocyclohexan-1-one</t>
  </si>
  <si>
    <t>['2,2,6,6-tetrachlorocyclohexanone', '3776-30-5', '2,2,6,6-Tetrachlorocyclohexan-1-one', '2,2,6,6-Tetrachloro-cyclohexanone', '2,2,6,6,-Tetrachlorocyclohexanone', 'C6H6Cl4O', 'EINECS 223-231-0', 'NSC238934', 'SCHEMBL186373', 'CTK4H8794', 'DTXSID20191207', '2,2,6,6-tetrachloro cyclohexanone', 'ZINC4582813', 'BBL101453', 'STL555249', 'AKOS005259264', 'cyclohexanone, 2,2,6,6-tetrachloro-', 'ACM3776305', 'FCH1329111', 'MCULE-1053393782', 'NSC-238934', 'AS-19404', 'NS00030291', 'X7623', 'X-4051']</t>
  </si>
  <si>
    <t>Compound(77407)</t>
  </si>
  <si>
    <t>C6H6Cl4O</t>
  </si>
  <si>
    <t>2- (2-methoxyethoxy) ethanol</t>
  </si>
  <si>
    <t>['2-(2-Methoxyethoxy)ethanol', '111-77-3', 'DIETHYLENE GLYCOL MONOMETHYL ETHER', 'Methyl carbitol', 'Methyl digol', 'Ethanol, 2-(2-methoxyethoxy)-', 'Methoxydiglycol', 'Methyl dioxitol', 'Diethylene glycol methyl ether', 'Dowanol DM', 'Poly-Solv DM', 'Diglycol monomethyl ether', 'DEGME', 'MECB', 'Ektasolve DM', '2-(2-Methoxyethoxy)-Ethanol', '3,6-Dioxa-1-heptanol', 'Diethyleneglycol monomethyl ether', 'Methyl karbitol', 'Jeffersol DM', 'Dowanol 16', 'Ethylene diglycol monomethyl ether', 'Caswell No. 338B', 'EGME, di-', 'Methyl karbitol [Czech]', 'NSC 2261', 'UNII-465DDJ8G8K', '2-(2-methoxyethoxy) ethanol', 'HSDB 96', '2-(2-methoxyethoxy)ethan-1-ol', "Ethanol, 2,2'-oxybis-, monomethyl ether", 'EINECS 203-906-6', 'EPA Pesticide Chemical Code 042204', "beta-Methoxy-beta'-hydroxydiethyl ether", 'BRN 1697812', 'AI3-18364', '465DDJ8G8K', ".beta.-Methoxy-.beta.'-hydroxydiethyl ether", 'DTXSID3025049', 'CHEBI:44836', 'NCGC00163771-03', 'Poly(oxy-1,2-ethanediyl), a-methyl-w-hydroxy-', 'Methyldiglycol', '2-(2-Methoxyethoxy)ethanol, 99%', 'diethylene glycol monome methylether', 'PG0', 'methylcarbitol', '2-(2-methoxy-ethoxy)ethanol', 'Hicotol CAR', 'diethylene glycol-monomethyl ether', '2-(Methoxyethoxy)ethanol', 'DSSTox_CID_5049', '2-(methoxyethoxy)-ethanol', 'ACMC-2099aq', 'EC 203-906-6', 'DSSTox_RID_77640', '2-(2-methoxyethoxyl)ethanol', 'DSSTox_GSID_25049', 'SCHEMBL15778', '4-01-00-02392 (Beilstein Handbook Reference)', 'KSC496Q5H', '2-(2-Methoxyethoxy)ethanol.', 'WLN: Q2O2O1', 'diethyleneglycol monomethylether', 'Glycol Ether DM Reagent Grade', '[DID-no:2577]', "2-(2'-methoxyethoxy) ethanol", '2-(2-methoxy-ethoxy)-ethanol', 'diethylene glycol monomethylether', 'CHEMBL1235250', 'CTK3J6853', 'KS-00000MEG', 'NSC2261', 'NSC-2261', 'ZINC1577245', 'Tox21_400009', 'ANW-16320', 'Diethylene glycol methyl ether, 99%', 'LS-540', 'MFCD00002871', 'SBB059920', 'STL280434', 'AKOS009156476', "Ethanol,2'-oxybis-, monomethyl ether", 'CS-W013578', 'MCULE-4230242952', 'NCGC00163771-01', 'NCGC00163771-02', 'NCGC00163771-04', 'AK-47723', 'AS-12944', 'BP-13446', 'CAS-111-77-3', 'FT-0624900', 'M0537', 'NS00007314', 'ST51046188', '31274-EP2269986A1', '31274-EP2272849A1', '31274-EP2274983A1', '31274-EP2308858A1', '31274-EP2311815A1', '31274-EP2311816A1', '31274-EP2311817A1', '31274-EP2371809A1', '31274-EP2380568A1', '31274-EP2380873A1', 'Q1925579', 'W-109062', 'Diethylene glycol monomethyl ether (stabilized with BHT)', 'Z1251171284', 'Diethylene glycol methyl ether, ReagentPlus(R), &gt;=99.0%', 'Diethylene glycol methyl ether, SAJ first grade, &gt;=99.0%', 'Diethylene glycol monomethyl ether, purum, &gt;=99.0% (GC)', 'Diethylene glycol methyl ether, Vetec(TM) reagent grade, 98%', '2-(2-Methoxyethoxy)ethanol stabilized with ~100ppm 2,6-Di-tert-butyl-4-methylphenol', 'DIETHYLENE GLYCOL MONOMETHYL ETHER;Ethanol, 2-(2-methoxyethoxy)-;diethylene glycol monomethyl ether']</t>
  </si>
  <si>
    <t>Compound(8134)</t>
  </si>
  <si>
    <t>C5H12O3</t>
  </si>
  <si>
    <t>2- (2-butoxyethoxy) ethyl acetate</t>
  </si>
  <si>
    <t>2-(2-butoxyethoxy)ethyl acetate</t>
  </si>
  <si>
    <t>['2-(2-Butoxyethoxy)ethyl acetate', '124-17-4', 'Diethylene glycol monobutyl ether acetate', 'Butoxyethoxyethyl acetate', 'Butyl diglycol acetate', 'BUTYL CARBITOL ACETATE', 'Ektasolve DB acetate', '2-(2-Butoxyethoxy)ethanol acetate', 'Butyl diethylene glycol acetate', 'Butylkarbitolacetat', 'Diglycol monobutyl ether acetate', 'Glycol ether DB aceatate', 'Ethanol, 2-(2-butoxyethoxy)-, acetate', 'Diethylene glycol butyl ether acetate', 'UNII-U6UTS77LXB', 'Butylkarbitolacetat [Czech]', 'NSC 5175', 'Diethyleneglycol monobutyl ether acetate', 'HSDB 334', 'Acetic acid 2-(2-butoxyethoxy)ethyl ester', 'Ethanol, 2-(2-butoxyethoxy)-, 1-acetate', '2-(2-Butoxyethoxy)ethylester kyseliny octove', 'EINECS 204-685-9', 'U6UTS77LXB', 'BRN 1771533', 'AI3-00170', 'Diethylene glycol, monobutyl ether, acetate', 'Diethylene glycol mono-n-butyl ether acetate', '2-(2-Butoxyethoxy) ethyl acetate', 'diethyleneglycolmonobutyletheracetate', 'Diethylene glycol butylether acetate', '2-(2-Butoxyethoxy)ethylester kyseliny octove [Czech]', 'DSSTox_CID_7021', 'DSSTox_RID_78282', 'DSSTox_GSID_27021', 'WLN: 4O2O2OV1', 'CAS-124-17-4', 'DE Acetate', 'Butyldiglykolacetat', 'Sta-Way', 'C10H20O4', 'Butyldiglycol acetate', '1-Butoxy-2-(2-acetoxyethoxy)-ethane', 'ACMC-209aqs', 'Glycol Ether DB Acetate', 'EC 204-685-9', 'SCHEMBL48354', '2-(2-butoxyethoxy)ethylacetate', 'CHEMBL1892052', 'DTXSID9027021', 'CTK3I9871', 'NSC5175', 'NSC6570', 'NSC-5175', 'NSC-6570', 'ZINC1680748', 'Tox21_201957', 'Tox21_303055', 'ANW-18194', 'MFCD00009458', 'AKOS015901615', 'KS-00000V15', 'Diethylene glycol-monobutyl ether acetate', 'NCGC00164259-01', 'NCGC00164259-02', 'NCGC00257140-01', 'NCGC00259506-01', 'Ethanol, 2-(2-butoxy-ethoxy)-, acetate', 'LS-66523', 'SC-16433', 'D0499', 'FT-0624896', 'NS00008036', '2-(2-Butoxyethoxy)ethyl acetate, &gt;=99.2%', 'acetic acid 2-(2-butoxy-ethoxy)-ethyl ester', 'Diethylene glycol monobuthyl ether acetate(DBAC)', 'J-505564', 'Q11856099', 'Diethylene Glycol Monobutyl Ether Acetate (Reagent Grade)', 'Diethylene glycol monobutyl ether acetate, SAJ first grade, &gt;=98.0%', '2-(2-butoxyethoxy)ethyl acetate;BUTETH-2 ACETATE;DIETHYLENE GLYCOL MONOBUTYL ETHER ACETATE;Ethanol, 2-(2-butoxyethoxy)-, acetate']</t>
  </si>
  <si>
    <t>Compound(31288)</t>
  </si>
  <si>
    <t>C10H20O4</t>
  </si>
  <si>
    <t>2- (2-butoxyethoxy) ethanol</t>
  </si>
  <si>
    <t>['2-(2-Butoxyethoxy)ethanol', '112-34-5', 'DIETHYLENE GLYCOL MONOBUTYL ETHER', 'Butyldiglycol', 'Butyl carbitol', 'Diethylene glycol butyl ether', 'Ethanol, 2-(2-butoxyethoxy)-', 'Butyl diglycol', 'Butyl digol', 'Butoxyethoxyethanol', 'Butoxydiglycol', 'Butyl dioxitol', 'BUCB', 'Dowanol DB', 'Glycol ether DB', 'Poly-Solv DB', 'Jeffersol db', 'Ektasolve DB', 'Butoxydiethylene glycol', 'Diglycol monobutyl ether', 'O-Butyl diethylene glycol', 'Butoxy diethylene glycol', 'Diethylene glycol n-butyl ether', 'Diethylene gylcol monobutyl ether', 'Diethylene glycol mono-n-butyl ether', 'Caswell No. 121B', 'Caswell No. 125H', 'UNII-9TB90IYC0E', 'NSC 407762', 'CCRIS 5321', 'HSDB 333', "Ethanol, 2,2'-oxybis-, monobutyl ether", 'EINECS 203-961-6', 'EPA Pesticide Chemical Code 011502', 'BRN 1739225', '9TB90IYC0E', '2-(2-butoxyethoxy)-ethanol', '2-(2-n-Butoxyethoxy)ethanol', 'AI3-01954', '2-(2-butoxyethoxy)ethan-1-ol', 'Monobutyl diethylene glycol ether', 'DSSTox_CID_1519', 'DSSTox_RID_76196', 'DSSTox_GSID_21519', '2-(2-Butoxyethoxy)ethanol, 99+%', 'n-Butyl carbitol', 'Diethylene glycol butyl ether, &gt;=99%', '3,6-Dioxadecanol', 'CAS-112-34-5', '3,6-Dioxa-1-decanol', 'Butadigol', 'Butyl di-icinol', 'Diethylene DB', 'DEGBE', 'Ethanol 2-butoxyethoxy', 'PubChem12838', 'Butyl Oxitol glycol ether', '2-(n-Butoxyethoxy)ethanol', 'ACMC-2099ee', 'EC 203-961-6', 'SCHEMBL15619', '2-(2-Butoxyethoxy);ethanol', '2-(2-Butoxyethoxy)ethanol.', 'Diethylene glycol butyl ester', 'diethyleneglycol monobutylether', 'diethyleneglycol n-butyl ether', 'WLN: Q2O2O4', 'diethylene glycol monobutylether', 'diethyleneglycol monobutyl ether', 'CHEMBL1904721', 'diethylene glycol-monobutyl ether', 'DTXSID8021519', 'CTK6E3632', 'KS-00000V6Y', 'ZINC1600070', 'Tox21_202404', 'Tox21_300084', 'ANW-16452', "Ethanol,2'-oxybis-, monobutyl ether", 'LS-551', 'MFCD00002881', 'NSC407762', 'SBB059921', 'AKOS009156535', 'MCULE-9776383171', 'NSC-407762', 'Diethylene glycol monobutyl ether, 98%', 'NCGC00164235-01', 'NCGC00164235-02', 'NCGC00164235-03', 'NCGC00253937-01', 'NCGC00259953-01', 'DI-ETHYLENE GLYCOL MONOBUTYL ETHER', 'AX8124872', 'B0699', 'FT-0624889', 'NS00007962', 'ST50824825', 'Diethylene Glycol Monobutyl Ether Reagent Grade', '74525-EP2269986A1', '74525-EP2272849A1', '74525-EP2284165A1', '74525-EP2308857A1', '74525-EP2371809A1', '74525-EP2372017A1', '97860-EP2305685A1', '97860-EP2305686A1', '103519-EP2301924A1', 'Diethylene glycol monobutyl ether, &gt;=98.0% (GC)', 'J-002756', 'J-519970', 'Q1018210', 'Diethylene glycol butyl ether, SAJ special grade, &gt;=99.0%', 'Diethylene glycol monobutyl ether, for surfactant analysis, &gt;=99.0%']</t>
  </si>
  <si>
    <t>Compound(8177)</t>
  </si>
  <si>
    <t>2,2-dibromo-2-cyanoacetamide</t>
  </si>
  <si>
    <t>['2,2-DIBROMO-2-CYANOACETAMIDE', '10222-01-2', 'Dibromocyanoacetamide', '2,2-Dibromo-3-nitrilopropionamide', 'Dbnpa', 'Acetamide, 2,2-dibromo-2-cyano-', '2-Cyano-2,2-dibromoacetamide', 'XD-7287l Antimicrobial', '2,2-Dibromo-2-carbamoylacetonitrile', 'Caswell No. 287AA', 'UNII-7N51QGL6MJ', 'NSC 98283', 'Dibromocyano acetic acid amide', 'XD-1603', 'HSDB 6982', 'XD 7287L', 'EINECS 233-539-7', 'EPA Pesticide Chemical Code 101801', 'BRN 1761192', '7N51QGL6MJ', 'Acetamide, 2-cyano-2,2-dibromo-', 'Q-102771', 'Dibromonitrilopropionamide', '2,2-dibromo-2-cyano-acetamide', 'DBNP', 'FR-2220', 'DSSTox_CID_12361', 'DSSTox_RID_78926', 'NCIOpen2_006184', 'DSSTox_GSID_32361', 'SCHEMBL23129', '3-02-00-01641 (Beilstein Handbook Reference)', 'KSC174K7F', 'Acetamide,2-dibromo-2-cyano-', 'ACMC-20980y', '2-Cyano-2,2-dibromo-Acetamide', 'CHEMBL1878278', 'DTXSID5032361', 'CTK0H4572', 'KS-00000WZN', 'NSC98283', 'ZINC1638458', '2,2, Dibromo 3-Nitrilopropionamide', '2,2-dibromo-3-nitrilopropion amide', 'Tox21_300089', 'ANW-14672', 'NSC-98283', 'SBB008529', '2,2-Dibromo-2-cyanoacetamide, 9CI', '2, 2-Dibromo-2-carbamoylacetonitrile', '2,2-Dibromo-2-cyanoacetamide, 96%', 'AKOS015833850', '2,2-bis(bromanyl)-2-cyano-ethanamide', 'FCH1326228', 'LS-3155', 'MCULE-9977107579', 'NCGC00164203-01', 'NCGC00164203-02', 'NCGC00253921-01', 'AK-32680', 'AS-12928', 'CC-06436', 'SC-22750', 'AX8002054', 'CAS-10222-01-2', 'DB-027512', 'D2902', 'FT-0612090', 'NS00009357', '22D012', 'A800546', 'C-14531', 'Q5204411', 'DIBROMOCYANOACETAMIDE;2,2-DIBROMO-3-NITRILOPROPIONAMIDE;2,2-dibromo-2-cyanoacetamide;2 , 2-dibromo-3-nitrilopropionamide']</t>
  </si>
  <si>
    <t>Compound(25059)</t>
  </si>
  <si>
    <t>C3H2Br2N2O</t>
  </si>
  <si>
    <t>2,2-dimethoxypropane</t>
  </si>
  <si>
    <t>['2,2-DIMETHOXYPROPANE', '77-76-9', 'Acetone dimethyl acetal', 'Propane, 2,2-dimethoxy-', 'Acetone dimethyl ketal', 'Acetone-dimethyl acetal', 'Acetone, dimethyl acetal', '2,2-dimethoxy propane', '2,2-dimethoxy-propane', 'acetone dimethylacetal', '2,2-Dimethyoxypropane', 'UNII-66P41R0030', 'EINECS 201-056-0', 'NSC 62085', 'AI3-26275', '66P41R0030', '2,2-Dimethoxypropane, 98+%', 'dimethoxypropan', 'dimethoxy propane', '2,2dimethoxypropane', 'acetone dimethylketal', '2,2-dimethoxypropan', '2,2-dimetoxypropane', '2 2-dimethoxypropane', '2,2 dimethoxypropane', '2.2-dimethoxypropane', 'PubChem9768', 'Propane,2-dimethoxy-', '2, 2-dimethoxypropan', '2,2 dimethoxy propane', '2,2,-dimethoxypropane', '2,2-di-methoxypropane', '2,2-dimethyloxypropane', '2, 2-Dimethoxypropane', '2,2-dimethoxyl propane', 'ACMC-1BIT3', 'DSSTox_CID_6441', '2,2-bis(methyloxy)propane', 'EC 201-056-0', 'DSSTox_RID_78113', 'DSSTox_GSID_26441', 'SCHEMBL49039', 'KSC377K6T', 'CHEMBL3184215', 'DTXSID7026441', 'Acetone, dimethyl acetal (8CI)', 'CTK2H7569', 'dimethylformaldehyde dimethylacetal', 'ZINC402867', 'KS-000002NC', 'NSC62085', 'STR01454', 'Tox21_200627', 'ANW-37087', 'MFCD00008479', 'NSC-62085', 'AKOS000121900', 'MCULE-2997403120', 'CAS-77-76-9', 'NCGC00248770-01', 'NCGC00258181-01', '2,2-Dimethoxypropane, analytical standard', 'BP-20658', 'SC-06763', '2,2-Dimethoxypropane, reagent grade, 98%', 'LS-170583', '2,2-Dimethoxypropane, for GC derivatization', 'A0057', 'FT-0609249', 'NS00005196', '2,2-Dimethoxypropane, purum, &gt;=96.0% (GC)', '32601-EP2280009A1', '32601-EP2281821A1', '32601-EP2286812A1', '32601-EP2292622A1', '32601-EP2301933A1', '32601-EP2308861A1', '32601-EP2311827A1', '32601-EP2311841A1', 'acetone-dimethyl acetal;Propane, 2,2-dimethoxy-', 'J-506803', 'Q4596749', 'F0001-1976', 'Z1245735177']</t>
  </si>
  <si>
    <t>Compound(6495)</t>
  </si>
  <si>
    <t>2,2-dichloropropane</t>
  </si>
  <si>
    <t>['2,2-DICHLOROPROPANE', '594-20-7', 'Propane, 2,2-dichloro-', 'Dimethyldichloromethane', 'Dichlorodimethylmethane', 'R 270aa', 'UNII-C5V432N6XB', 'CCRIS 9221', '2,2-Dichloro-propane', 'EINECS 209-832-0', 'C5V432N6XB', 'DSSTox_CID_10060', 'DSSTox_RID_78836', 'DSSTox_GSID_30060', 'CAS-594-20-7', 'Acetone Dichloride', 'Isopropylidene Chloride', 'ACMC-1AM00', 'SCHEMBL90709', '2,2-Dichloropropane, 98%', 'CHEMBL349587', 'DTXSID7030060', 'CTK1H0772', 'ZINC2037955', 'Tox21_202311', 'Tox21_303540', 'ANW-33258', 'AKOS025295511', 'FCH1117283', 'LS-2160', '2,2-Dichloropropane, analytical standard', 'NCGC00091723-01', 'NCGC00091723-02', 'NCGC00257301-01', 'NCGC00259860-01', 'CC-06455', 'OR460063', 'D0400', 'FT-0609218', 'NS00022466', 'S0624', '2,2-Dichloropropane 100 microg/mL in Methanol', 'C-00491', 'Q25384673', 'UNII-B8X7551QF3 component ZEOVXNVKXIPWMS-UHFFFAOYSA-N']</t>
  </si>
  <si>
    <t>Compound(11660)</t>
  </si>
  <si>
    <t>2,2-dichlorodiethyl ether</t>
  </si>
  <si>
    <t>1-chloro-2-(2-chloroethoxy)ethane</t>
  </si>
  <si>
    <t>['111-44-4', '2-Chloroethyl ether', "2,2'-Dichlorodiethyl ether", 'BIS(2-CHLOROETHYL) ETHER', 'Bis(2-chloroethyl)ether', 'Chlorex', 'Chloroethyl ether', 'DCEE', 'Dichloroether', 'Khloreks', '1-Chloro-2-(2-chloroethoxy)ethane', 'Dichloroethyl ether', 'Clorex', "2,2'-Dichloroethyl ether", 'Dichloroethyl oxide', '1,5-Dichloro-3-oxapentane', 'Ether dichlore', 'BCEE', "2,2'-Dichlorethyl ether", 'sym-Dichloroethyl ether', "Ethane, 1,1'-oxybis[2-chloro-", 'Di(2-chloroethyl) ether', 'Oxyde de chlorethyle', 'Bis(chloro-2-ethyl) oxide', 'Ether, bis(2-chloroethyl)', 'Dwuchlorodwuetylowy eter', "2,2'-Dicloroetiletere", "2,2'-Dichloorethylether", 'Rcra waste number U025', "2,2'-dichlorodiethylether", 'Bis(chloroethyl)ether', "2,2'-Dichlor-diaethylaether", 'Caswell No. 309', 'ENT 4,504', 'Ether dichlore [French]', 'Di(beta-chloroethyl)ether', 'bis-(2-Chloroethyl)ether', 'bis (2-chloroethyl) ether', 'Bis(beta-chloroethyl) ether', 'CCRIS 88', 'UNII-6K7D1G5M5N', 'Dicholoroethyl ether', 'Dichlorodiethyl ether', 'NSC 406647', 'Oxyde de chlorethyle [French]', 'beta,beta-Dichlorodiethyl ether', 'HSDB 502', 's-Dichloroethyl ether', "1,1'-Oxybis(2-chloro)ethane", "1,1'-Oxybis(2-chloroethane)", 'Bis-2-chloroethylether', 'Dwuchlorodwuetylowy eter [Polish]', "2,2'-Dichloorethylether [Dutch]", "2,2'-Dicloroetiletere [Italian]", "Ethane, 1,1'-oxybis(2-chloro-", '2,2-dichlorodiethylether', 'EINECS 203-870-1', 'UN1916', '1-Chloro-2-(beta-chloroethoxy)ethane', 'RCRA waste no. U025', "2,2'-Dichlor-diaethylaether [German]", 'bis-(2-chloroethyl) ether', 'EPA Pesticide Chemical Code 029501', 'Diethylene glycol dichloride', 'BRN 0605317', 'Di(.beta.-chloroethyl) ether', "beta,beta'-Dichloroethyl ether", 'AI3-04504', 'Bis(.beta.-chloroethyl) ether', '6K7D1G5M5N', "beta,beta'-Dichlorodiethyl ether", 'CHEBI:34573', '2-chloro-1-(2-chloroethoxy)ethane', ".beta.,.beta.'-Dichloroethyl ether", ".beta.,.beta.'-Dichlorodiethyl ether", '1-Chloro-2-(.beta.-chloroethoxy)ethane', 'DSSTox_CID_168', 'DSSTox_RID_75415', 'DSSTox_GSID_20168', "1,1'-Oxybis[2-chloroethane]", 'CAS-111-44-4', '2-dichlorodiethyl ether', 'bis-2-chloroethyl ether', 'beta-CHLOROETHYL ETHER', 'Bis(chloroethyl)ether (BCEE)', '2-chloroethylether', 'di(chloroethyl) ether', 'Di(chloroethyl) oxide', 'dichloro diethyl ether', 'Bis(chloroethyl) ether', 'PubChem18689', 'Oxybis(2-chloroethane)', 'bis-(2chloroethyl)ether', '1-chloromethylmethylether', 'Ether, bis(chloroethyl)', 'bis-(2-choroethyl)ether', 'bis (2-chloroethyl)ether', '1-chloromethylmethyl ether', 'bis(beta-chloroethyl)ether', 'EC 203-870-1', '2,2;-Dichlordiethyl ether', "2,4'-dichlorodiethyl ether", "2,2'-Dichlorodiethyl oxide", '2-Chloroethyl ether, 99%', 'WLN: G2O2G', 'SCHEMBL58439', '1,1-oxybis[2-chloroethane]', 'dichlorodiethyl(2,2-) ether', 'KSC491C5H', 'MLS002454390', 'BIDD:ER0300', "Ethane,1'-oxybis[2-chloro-", 'ACMC-20999m', 'CHEMBL1613350', 'DTXSID9020168', 'CTK3J1153', 'KS-00000UGY', "beta ,beta'-dichlorodiethyl ether", 'HMS3039G11', '1-(2-chloroethoxy)-2-chloroethane', 'BCP22801', 'ZINC1599332', 'Tox21_202074', 'Tox21_300514', 'ANW-16280', 'LS-533', 'MFCD00000975', 'NSC406647', 'SBB059969', 'STL282719', '1-chloro-2-(2-chloroethoxy) ethane', '1-chloro-2-(2-chloro-ethoxy)-ethane', 'AKOS000118954', '1-Chloro-2-(2-chloroethoxy)ethane #', 'BCP9000069', 'MCULE-2189904184', 'NSC-406647', 'UN 1916', 'NCGC00090856-01', 'NCGC00090856-02', 'NCGC00090856-03', 'NCGC00254256-01', 'NCGC00259623-01', 'AS-11884', 'SC-19085', 'SMR001372006', 'DB-011916', 'B0472', 'NS00003159', 'ST51046233', 'C14688', '141739-EP2281817A1', '141739-EP2292630A1', "2,2'-Dichlorodiethyl ether [UN1916]  [Poison]", "2,2'-Dichlorodiethyl ether [UN1916] [Poison]", 'Q-200159', 'Q2509768', 'bis(2-Chloroethyl) ether 1000 microg/mL in Methanol', 'Bis(2-chloroethyl) ether, puriss., &gt;=99.0% (GC)', 'bis(2-chloroethyl) ether;Ether, bis(2-chloroethyl)-', 'F0001-0241', 'bis(2-Chloroethyl) ether 1000 microg/mL in Methanol, Second Source']</t>
  </si>
  <si>
    <t>Compound(8115)</t>
  </si>
  <si>
    <t>C4H8Cl2O</t>
  </si>
  <si>
    <t>2,2'-dichlorobenzidine</t>
  </si>
  <si>
    <t>4-(4-amino-2-chlorophenyl)-3-chloroaniline</t>
  </si>
  <si>
    <t>['84-68-4', "2,2'-Dichlorobenzidine", "4,4'-Diamino-2,2'-dichlorobiphenyl", "2,2'-dichloro-1,1'-biphenyl-4,4'-diamine", 'o-Dichlorobenzidine', 'CCRIS 944', 'UNII-1BZE6L344R', "Benzidine, 2,2'-dichloro-", "[1,1'-Biphenyl]-4,4'-diamine, 2,2'-dichloro-", 'EINECS 201-552-7', "2,2'-dichloro[1,1'-biphenyl]-4,4'-diamine", "2,2'-dichlorobiphenyl-4,4'-diamine", 'BRN 2807611', '1BZE6L344R', '4-(4-amino-2-chlorophenyl)-3-chloroaniline', "2,2'-Dichloro-(1,1'-biphenyl)-4,4'-diamine", "2,2'-Dichloro(1,1'-biphenyl)-4,4'-diamine", 'AE-562/43461436', "(1,1'-Biphenyl)-4,4'-diamine, 2,2'-dichloro-", 'SCHEMBL302092', 'CTK5F2920', 'DTXSID10232890', 'ZINC157926', 'ALBB-005285', 'KS-000009XQ', 'ZX-AN005221', 'ZX-AT023579', '0495AF', 'MFCD00209459', 'STK503329', "2,2'-Dichlor-4,4'-diaminobiphenyl", "2,2'-Dichloro-4,4'-biphenyldiamine", 'AKOS005171555', 'MCULE-7554510364', "4,4''-Diamino-2,2''-Dichlorobiphenyl", 'AS-31320', 'LS-32416', 'SY025243', 'AB0062073', 'FT-0679092', 'NS00038613', 'Z-3571', "[1,1'-Biphenyl]-4,4'-diamine,2,2'-dichloro-", 'Q27252204', "(1,1'-Biphenyl)-4,4'-diamine, 2,2'-dichloro- (9CI)", '4,4 inverted exclamation mark -Diamino-2,2 inverted exclamation mark -dichlorobiphenyl', "[2,2-dichloro[1,1-biphenyl]-4,4-diyl]diammonium sulphate;2,2'-Dichlorobenzidine;2,2'-dichloro[1,1'-biphenyl]-4,4'-diamine"]</t>
  </si>
  <si>
    <t>Compound(66538)</t>
  </si>
  <si>
    <t>C12H10Cl2N2</t>
  </si>
  <si>
    <t>2,2-dichloropropionic acid</t>
  </si>
  <si>
    <t>2,2-dichloropropanoic acid</t>
  </si>
  <si>
    <t>['DALAPON', '2,2-Dichloropropionic acid', '2,2-Dichloropropanoic acid', '75-99-0', 'Kenapon', 'Liropon', 'Proprop', 'Alatex', 'Unipon', 'Sys-Omnidel', 'D-Granulat', 'Dawpon-Rae', 'Basinex P', 'Dowpon M', 'Crisapon', 'Dalascam', 'Revenge', 'Tripon', 'Basfapon B', 'BH dalapon', 'Propanoic acid, 2,2-dichloro-', 'Dalapon 85', '2,2-DPA', 'S 95 (herbicide)', 'Dowpon NF', 'Basfapon/basfapon N', 'Caswell No. 273', 'Dalapon [ANSI:BSI]', 'Propionic acid, 2,2-dichloro-', 'UNII-VO6PY8ZMRW', 'alpha,alpha-Dichloropropionic acid', 'NSC 56352', 'CCRIS 7752', 'Kyselina 2,2-dichlorpropionova', 'HSDB 4010', 'VO6PY8ZMRW', 'EINECS 200-923-0', 'S 1315', 'EPA Pesticide Chemical Code 028901', 'BRN 1750149', 'Kyselina 2,2-dichlorpropionova [Czech]', '.alpha.-Dichloropropionic acid', 'AI3-28206', 'CHEBI:81859', '.alpha.,.alpha.-Dichloropropionic acid', 'DSSTox_CID_1575', 'DSSTox_RID_76215', 'DSSTox_GSID_21575', 'CAS-75-99-0', 'Basinex', 'Davpon', 'Uropon', 'Dowpon proprop', 'Dalapon-acid', 'Basfapon N', 'Basfapon/N', 'Basinex (Salt/Mix)', 'Radapon (Salt/Mix)', 'Tafapon (Salt/Mix)', 'Basfapon (Salt/Mix)', 'Dowpon S (Salt/Mix)', 'WLN: QVXGG', 'Propanoic acid, dichloro-', 'Propanoic acid,2-dichloro-', 'Propionic acid,2-dichloro-', 'Dalapon, analytical standard', '2,2-dichloro-propionic acid', 'SCHEMBL45164', '4-02-00-00753 (Beilstein Handbook Reference)', 'ACMC-209p15', 'CHEMBL445525', 'DTXSID2021575', 'CTK0J3277', 'NDUPDOJHUQKPAG-UHFFFAOYSA-', 'NSC56352', 'ZINC1686875', 'Tox21_201510', 'Tox21_300364', 'ANW-36711', 'NSC-56352', 'AKOS006221247', 'CCG-231758', 'CS-W001096', 'MCULE-8201912740', 'NE10299', 'NCGC00248007-01', 'NCGC00248007-02', 'NCGC00248007-03', 'NCGC00254469-01', 'NCGC00259061-01', '26445-02-3', 'Dalapon, PESTANAL(R), analytical standard', 'DB-056010', 'LS-124614', 'D1334', 'D1712', 'FT-0609219', 'NS00003579', 'C18600', 'Dalapon 1000 microg/mL in Methyl-tert-butyl ether', 'Q3012266', 'W-104379', 'Dalapon, certified reference material, 1000 mug/mL in methyl tert-butyl ether', 'S95', 'Sodium 2,2-dichloropropionate;sodium 2,2-dichloropropionate;dalapon-magnesium;2,2-dichloropropionic acid;Dalapon']</t>
  </si>
  <si>
    <t>Compound(6418)</t>
  </si>
  <si>
    <t>C3H4Cl2O2</t>
  </si>
  <si>
    <t>2,2-dibenzothiazyl disulfide</t>
  </si>
  <si>
    <t>2-(1,3-benzothiazol-2-yldisulfanyl)-1,3-benzothiazole</t>
  </si>
  <si>
    <t>['120-78-5', "2,2'-Dithiobis(benzothiazole)", 'Thiofide', "2,2'-Dithiobisbenzothiazole", 'Altax', 'Dibenzothiazyl disulfide', 'Benzothiazyl disulfide', 'Benzothiazole disulfide', 'Dibenzothiazolyl disulfide', 'Benzothiazolyl disulfide', 'MBTS', 'Pneumax DM', 'Vulcafor MBTS', 'Dibenzoylthiazyl disulfide', "2,2'-DIBENZOTHIAZYL DISULFIDE", 'Bis(benzothiazolyl) disulfide', "2,2'-Benzothiazyl disulfide", '2-Mercaptobenzothiazole disulfide', 'Dibenzothiazolyl disulphide', 'Bis(2-benzothiazyl) disulfide', 'Bis(2-benzothiazolyl) disulfide', 'Vulkacit DM', 'Ekagom GS', "Benzothiazole, 2,2'-dithiobis-", 'Accel TM', '2-Benzothiazolyl disulfide', 'Vulkacit DM/C', 'Royal MBTS', 'Dibenzthiazyl disulfide', '1,2-bis(benzo[d]thiazol-2-yl)disulfane', 'MBTS rubber accelerator', 'Benzothiazole, dithiobis-', 'Vulkacit dm/mgc', '2-Benzothiazyl disulfide', "2,2'-Bis(benzothiazolyl) disulfide", '2-Mercaptobenzothiazyl disulfide', "2,2'-Dibenzothiazolyl disulfide", 'dibenzothiazol-2-yl disulfide', 'BTS-SBT', 'Di-2-benzothiazolyl disulfide', 'Dithiobis(benzothiazole)', 'Mercaptobenzthiazyl ether', 'Naugex MBT', 'USAF CY-5', '2,2-dithiobis(benzothiazole)', "2,2'-Dithiobis(1,3-benzothiazole)", 'Caswell No. 408A', 'USAF EK-5432', 'CHEBI:53239', 'Di(benzothiazol-2-yl) disulphide', 'Dwusiarczek dwubenzotiazylu', 'Benzothiazol-2-yl disulfide', 'NSC 2', 'di(1,3-benzothiazol-2-yl) disulfide', "2,2'-Dibenzothiazyldisulfide", "2,2'-Dithiobis-benzothiazole", 'CCRIS 4637', "2,2'-Dithiobis[benzothiazole]", 'Benzthiazole disulfide', 'UNII-6OK753033Z', 'C14H8N2S4', 'HSDB 1137', 'Dwusiarczek dwubenzotiazylu [Polish]', 'EINECS 204-424-9', 'EPA Pesticide Chemical Code 009202', 'BRN 0285796', 'AI3-07662', "2,2'-Dithio(bis)benzothiazole", 'BI-87F4', '6OK753033Z', 'NCGC00091238-02', "2,2'-disulfanediylbis(1,3-benzothiazole)", 'DSSTox_CID_146', 'DSSTox_RID_75399', 'DSSTox_GSID_20146', '2-(1,3-benzothiazol-2-yldithio)-1,3-benzothiazole', 'W-200947', '2,2 -Dithiobis(benzothiazole)', 'dibenzthiazyl disulphide', 'MBTS disulfide', 'CAS-120-78-5', '2,2-dithio-bis-benzothiazole', 'Mercaptobenzothiazole disulfide', "Benzothiazole, 2,2'-dithiobis", 'Sanceler DM', 'Perkacit MBTS', 'DBTD', '2-(1,3-Benzothiazol-2-yldisulfanyl)-1,3-benzothiazole', 'PubChem23811', 'Dibenzothiazole disulfide', 'dibenzo thiazyl disulfide', 'NSC2', '22405-83-0', 'Epitope ID:138947', 'Mercaptobenzothiazolyl ether', "2,2'-dithiobisbenzthiazole", 'EC 204-424-9', "Benzothiazole,2'-dithiobis-", 'NSC-2', 'Mercaptobenzothiazyl disulfide', 'SCHEMBL23527', '4-27-00-01862 (Beilstein Handbook Reference)', '(benzothiazol-2-yl) disulfide', '(benzothiazol-2-yl) disulphide', "2,2'-Dithio-bis-benzothiazole", 'CHEMBL508112', "2,2'-Dibenzothiazoyl disulfide", 'di(benzothiazol-2-yl) disulfide', 'DTXSID1020146', 'bis(benzothiazol-2-yl)disulphide', 'bis(benzothiazole-2-yl)disulfide', 'CTK5J7089', 'bis-(benzothiazol-2-yl)disulphide', 'Di-(benzothiazol-2-yl)-disulfide', 'Bis(benzothiazole-2-yl) disulfide', 'bis-(benzothiazol-2-yl) disulfide', 'bis-(benzothiazol-2-yl) disulphide', 'ZINC1555224', 'Tox21_111106', 'ANW-17530', 'BDBM50444458', 'LS-636', 'SBB006534', 'STK171119', 'AKOS001022311', 'Tox21_111106_1', "2,2'-Dithiobis(benzothiazole), 99%", 'ACN-028578', 'AM91095', 'CS-W009852', 'DB14201', 'MCULE-7679734602', 'NSC-677459', 'OR70127', '1,2-di(benzo[d]thiazol-2-yl)disulfane', 'NCGC00091238-01', 'NCGC00091238-03', 'AC-11588', 'AK157732', 'CC-06551', 'N070', 'WLN: T56 BN DSJ CSS-CT56 BN DSJ', 'D0538', 'FT-0609300', 'NS00005023', 'ST50925639', 'C-34476', 'SR-01000944767', 'Q2795423', 'SR-01000944767-1', '2-(1,3-Benzothiazol-2-yldisulfanyl)-1,3-benzothiazole #', 'di(benzothiazol-2-yl) disulphide;Benzothiazole disulfide;dichloro[2,2-dithiobis[benzothiazole]]zinc']</t>
  </si>
  <si>
    <t>Compound(8447)</t>
  </si>
  <si>
    <t>C14H8N2S4</t>
  </si>
  <si>
    <t>2,3, 4,5, 6-pentabromo ethylbenzene</t>
  </si>
  <si>
    <t>1,2,3,4,5-pentabromo-6-ethylbenzene</t>
  </si>
  <si>
    <t>['2,3,4,5,6-Pentabromoethylbenzene', '85-22-3', 'PENTABROMOETHYLBENZENE', '1,2,3,4,5-Pentabromo-6-ethylbenzene', 'Benzene, pentabromoethyl-', 'EB 80', 'UNII-697LYO57KP', 'CCRIS 4852', 'EINECS 201-593-0', 'BRN 3133073', '697LYO57KP', 'Benzene,1,2,3,4,5-pentabromo-6-ethyl-', 'Benzene, 1,2,3,4,5-pentabromo-6-ethyl-', 'W-109308', '(Pentabromophenyl)ethane', 'DSSTox_CID_1782', 'DSSTox_GSID_21782', '3-05-00-00801 (Beilstein Handbook Reference)', 'SCHEMBL3683190', 'CHEMBL3560446', 'DTXSID7021782', 'CTK5F4579', 'ZINC2242571', 'Tox21_303981', 'FCH1325461', 'LS-1847', 'VZ22068', 'CAS-85-22-3', 'NCGC00357205-01', '1,2,3,4,5-Pentabromo-6-ethylbenzene #', 'DB-056859', 'FT-0631396', 'NS00006624', 'Q3899218', '2,3,4,5,6-Pentabromoethylbenzene, analytical standard', '2,3,4,5,6-pentabromoethylbenzene;Pentabromoethylbenzene']</t>
  </si>
  <si>
    <t>Compound(6800)</t>
  </si>
  <si>
    <t>C8H5Br5</t>
  </si>
  <si>
    <t>2,3,4,5-tetrachloroaniline</t>
  </si>
  <si>
    <t>['2,3,4,5-TETRACHLOROANILINE', '634-83-3', 'Benzenamine, 2,3,4,5-tetrachloro-', 'Aniline, 2,3,4,5-tetrachloro-', '2,3,4,5-tetrachloro-aniline', '2,3,4,5-tetrachlorophenylamine', '2,3,4,5-Tetrachlorobenzenamine', 'EINECS 211-216-1', 'SCHEMBL3911038', 'CTK4H3072', 'GBKZRUCVLTWAML-UHFFFAOYSA-', 'DTXSID70212810', 'ZINC158342', 'Benzenamine,2,3,5,6-tetrachloro-', 'SBB061472', 'AKOS024390999', 'MCULE-8828686976', 'DB-054494', 'FT-0632692', 'NS00035474', 'ST51047480', '2,3,4,5-Tetrachloroaniline 10 microg/mL in Cyclohexane', '2,3,4,5-Tetrachloroaniline solution, 100 mug/mL in acetonitrile, analytical standard']</t>
  </si>
  <si>
    <t>Compound(12466)</t>
  </si>
  <si>
    <t>C6H3Cl4N</t>
  </si>
  <si>
    <t>2,3,4,5-tetrachlorophenol</t>
  </si>
  <si>
    <t>['2,3,4,5-TETRACHLOROPHENOL', '4901-51-3', 'Tetrachlorophenol', 'Phenol, 2,3,4,5-tetrachloro-', 'Phenol, tetrachloro-', '2,3,4,5-Tetrachlorophenate', 'UNII-D2UW5NHW9J', 'CCRIS 4722', '25167-83-3', 'HSDB 6765', '2,?3,?4,?5-?tetrachlorophenol', 'EINECS 225-531-7', 'D2UW5NHW9J', 'BRN 2049590', 'MLS002415677', '2,3,4,5-tetrakis(chloranyl)phenol', 'SMR000312345', 'Caswell No. 832', 'Tetrachlorophenol, isomer', 'EPA Pesticide Chemical Code 063004', 'NSC 406124', 'AI3-01682', 'DSSTox_CID_2220', '2,3,4,5-tetrachlorphenol', 'DSSTox_RID_76525', 'DSSTox_GSID_22220', '4-06-00-01020 (Beilstein Handbook Reference)', 'cid_21013', 'SCHEMBL202648', 'CHEMBL1528479', 'DTXSID0022220', 'BDBM96279', 'CTK1A3458', 'RULKYXXCCZZKDZ-UHFFFAOYSA-', 'CHEBI:132357', 'ZINC158340', '2,3,4,5-TeCP', 'ZX-AT024116', 'Tetrachlorophenol, isomer unspecified', 'Tox21_200105', 'AKOS015888369', 'ACM4901513', 'FCH1322723', 'LS-1296', 'OR22841', '1-hydroxy-2,3,4,5-tetrachlorobenzene', 'NCGC00091833-01', 'NCGC00091833-02', 'NCGC00091833-03', 'NCGC00257659-01', 'CAS-4901-51-3', 'LS-105128', 'NS00009965', '2,3,4,5-Tetrachlorophenol, analytical standard', 'Q26840906', '2,3,4,5-Tetrachlorophenol 10 microg/mL in Cyclohexane', '2,3,4,5-Tetrachlorophenol 100 microg/mL in Methanol', 'UNII-8SD098QNAH component RULKYXXCCZZKDZ-UHFFFAOYSA-N', 'UNII-AZ1041M258 component RULKYXXCCZZKDZ-UHFFFAOYSA-N', '2,3,4,5-Tetrachlorophenol solution, certified reference material, 2000 mug/mL in methanol', 'tetrachlorophenol;2 , 3 , 4 , 5-tetrachlorophenol;2,3,4,5-tetrachlorophenol;Tetrachlorphenol, 2,3,4,5-']</t>
  </si>
  <si>
    <t>Compound(21013)</t>
  </si>
  <si>
    <t>C6H2Cl4O</t>
  </si>
  <si>
    <t>2,3, 4,6-tetrachloro-aniline</t>
  </si>
  <si>
    <t>2,3,4,6-tetrachloroaniline</t>
  </si>
  <si>
    <t>['2,3,4,6-Tetrachloroaniline', '654-36-4', 'UNII-8RZO887M83', 'Benzenamine, 2,3,4,6-tetrachloro-', '2,3,4,6-Tetrachlorophenylamine', '8RZO887M83', '2,3,4,6-Tetrachloranilin', '2,4,5,6-Tetrachloroaniline', 'SCHEMBL7289940', 'DTXSID10215709', '2,3,4,6-Tetrachloro-phenylamine', 'ZINC33505646', 'AKOS026730760', 'Q27270942']</t>
  </si>
  <si>
    <t>Compound(3013925)</t>
  </si>
  <si>
    <t>2,3, 4,6-tetrachlorophenol</t>
  </si>
  <si>
    <t>2,3,4,6-tetrachlorophenol</t>
  </si>
  <si>
    <t>['2,3,4,6-TETRACHLOROPHENOL', '58-90-2', 'Dowicide 6', 'Phenol, 2,3,4,6-tetrachloro-', '2,4,5,6-Tetrachlorophenol', 'Chlorophenols', '1-Hydroxy-2,3,4,6-tetrachlorobenzene', 'RCRA waste number U212', 'NSC 2428', 'CCRIS 2512', 'UNII-2442S914FX', 'HSDB 1338', 'EINECS 200-402-8', 'RCRA waste no. U212', 'BRN 0779754', 'AI3-00073', '2442S914FX', 'DSSTox_CID_1716', 'DSSTox_RID_76290', 'DSSTox_GSID_21716', '2,3,4,6-Tetrachlorophenol [Polychlorophenols and their sodium salts]', 'CAS-58-90-2', '2,3,4,6-Tetrachloro-phenol', 'KY 5', 'ACMC-1ALND', '2,4,6-Tetrachlorophenol', 'SCHEMBL54380', 'Phenol,3,4,6-tetrachloro-', 'Tetrachlorophenol-2.3.4.6', '4-06-00-01021 (Beilstein Handbook Reference)', 'WLN: QR BG CG DG FG', 'CHEMBL320361', 'DTXSID9021716', 'CTK3I9286', 'NSC2428', 'CHEBI:132359', 'ZINC394419', '2,3,4,6-TeCP', 'NSC-2428', '2,3,4,6-tetrakis(chloranyl)phenol', 'Tox21_201931', 'Tox21_302932', '1-Hydroxy-2,4,6-tetrachlorobenzene', 'ANW-43816', 'AKOS015888275', 'LS-1408', 'MCULE-4918273055', '1-Hydroxy-2,3,4, 6-tetrachlorobenzene', 'NCGC00091890-01', 'NCGC00091890-02', 'NCGC00091890-03', 'NCGC00256521-01', 'NCGC00259480-01', 'FT-0609359', 'NS00010239', 'ST50409671', '2,3,4,6-Tetrachlorophenol, analytical standard', 'Q22051085', '2,3,4,6-Tetrachlorophenol 10 microg/mL in Cyclohexane', '2,3,4,6-Tetrachlorophenol 100 microg/mL in Methanol', 'Tetrachlorophenols (2,3,5,6-/2,3,4,5-/2,3,4,6-)', 'UNII-8SD098QNAH component VGVRPFIJEJYOFN-UHFFFAOYSA-N', 'UNII-AZ1041M258 component VGVRPFIJEJYOFN-UHFFFAOYSA-N', '2,3,4,6-Tetrachlorophenol, vial of 1 g, analytical standard', '2,3,4,6-Tetrachlorophenol solution, certified reference material, 5000 mug/mL in methanol', '2,3,4,6-Tetrachlorophenol solution, 100 mug/mL in methanol, PESTANAL(R), analytical standard']</t>
  </si>
  <si>
    <t>Compound(6028)</t>
  </si>
  <si>
    <t>2,3,4-Trimethyl-2-pentene</t>
  </si>
  <si>
    <t>2,3,4-trimethylpent-2-ene</t>
  </si>
  <si>
    <t>['2,3,4-TRIMETHYL-2-PENTENE', '565-77-5', '2-Pentene, 2,3,4-trimethyl-', '2,3,4-trimethylpent-2-ene', 'Pentene, trimethyl-', 'ACMC-1ASQS', '2,4-Trimethyl-2-pentene', '2-Pentene,3,4-trimethyl-', '2,3,4-trimethyl-pent-2-ene', '2-Pentene,2,3,4-trimethyl-', 'CTK5A5369', 'NSC73943', 'ZINC1699405', 'ANW-32549', 'NSC-73943', '2,3,4-Trimethyl-2-pentene, 96%', 'AKOS015912719', 'FCH1114721', '(CH3)2CHC(CH3)=C(CH3)2', 'FT-0738696', 'C-46464']</t>
  </si>
  <si>
    <t>Compound(11270)</t>
  </si>
  <si>
    <t>from column E</t>
  </si>
  <si>
    <t>['2,3,4-Trimethylaniline', '1467-35-2', 'Benzenamine, 2,3,4-trimethyl-', 'Benzenamine, trimethyl-', '2,3,4-trimethylphenylamine', 'EINECS 215-989-6', '2,3,4-trimethylbenzenamine', 'SCHEMBL33509', 'Benzenamine,2,3,4-trimethyl-', 'CTK4C5078', 'DTXSID10163453', 'ZINC2003997', 'SBB085902', 'AKOS006344003', 'AS-59880', 'NS00024802']</t>
  </si>
  <si>
    <t>Compound(73844)</t>
  </si>
  <si>
    <t>C9H13N</t>
  </si>
  <si>
    <t>2,3,4-trichloroaniline</t>
  </si>
  <si>
    <t>['2,3,4-TRICHLOROANILINE', '634-67-3', 'Aniline, 2,3,4-trichloro-', 'Benzenamine, trichloro-', 'Benzenamine, 2,3,4-trichloro-', 'UNII-84PW2M8B8C', 'CCRIS 2397', 'EINECS 211-215-6', 'NSC 89297', '84PW2M8B8C', '2,3,4-trichlorophenylamine', '54686-91-8', 'NSC89297', '2,4-Trichloroaniline', 'Aniline,3,4-trichloro-', 'ACMC-1AX1H', '2,3,4-trichlorobenzenamine', 'Benzenamine,3,4-trichloro-', 'KSC258G9H', 'SCHEMBL174757', 'DTXSID2022098', 'CTK1F8393', 'ZINC155633', 'ACT00175', 'KS-000010ZO', 'ANW-34649', 'NSC-89297', 'SBB003586', 'AKOS015912718', 'Aniline, 2,3,4-trichloro- (8CI)', 'FCH1115967', 'MCULE-6034710462', 'Benzenamine, 2,3,4-trichloro- (9CI)', 'AK-86359', 'AS-18463', 'AX8064953', 'LS-184893', 'FT-0609372', 'NS00010161', 'ST51005216', 'W7540', 'C-48136', 'Q27269540', 'F8889-9284']</t>
  </si>
  <si>
    <t>Compound(12464)</t>
  </si>
  <si>
    <t>C6H4Cl3N</t>
  </si>
  <si>
    <t>2,3,4-trichlorophenol</t>
  </si>
  <si>
    <t>['2,3,4-TRICHLOROPHENOL', '15950-66-0', 'Phenol, 2,3,4-trichloro-', 'TRICHLOROPHENOL', 'Phenol, trichloro-', 'CCRIS 6108', 'UNII-8JWE1AV71F', 'EINECS 240-083-2', '8JWE1AV71F', 'PHENOL,2,3,4-TRICHLORO-', '25167-82-2', '2,3,4-Trichlorophenol 100 microg/mL in Methanol', '2,3,4-trichlorphenol', 'DSSTox_CID_6207', 'DSSTox_RID_78058', 'DSSTox_GSID_26207', 'MLS002415679', 'SCHEMBL136940', 'ACMC-1C526', 'CHEMBL1341844', 'DTXSID5026207', '2,3,4-Trichlorophenol, 99%', 'CTK1A3444', 'HMS3039N08', 'ZINC388324', 'Tox21_200297', 'LS-907', 'AKOS015850025', 'MCULE-1275714530', 'NCGC00091874-01', 'NCGC00091874-02', 'NCGC00257851-01', 'SMR001370874', '2,3,4-Trichlorophenol, analytical standard', 'CAS-15950-66-0', 'FT-0648413', 'NS00002552', 'ST51047488', '2,3,4-Trichlorophenol 10 microg/mL in Cyclohexane', 'J-009614', 'Q2024329', '2,3,4-Trichlorophenol, PESTANAL(R), analytical standard', 'UNII-8Z4R9J59DL component HSQFVBWFPBKHEB-UHFFFAOYSA-N', 'UNII-AZ1041M258 component HSQFVBWFPBKHEB-UHFFFAOYSA-N', '2,3,4-trichlorophenol;2,3,4-Trichlorphenol;2 , 3 , 4-trichlorophenol;zinc trichlorophenoxide;Sodium 2,3,4-trichlorophenolate']</t>
  </si>
  <si>
    <t>Compound(27582)</t>
  </si>
  <si>
    <t>C6H3Cl3O</t>
  </si>
  <si>
    <t>2,3, 5,6-tetra-chloroaniline</t>
  </si>
  <si>
    <t>2,3,5,6-tetrachloroaniline</t>
  </si>
  <si>
    <t>['2,3,5,6-TETRACHLOROANILINE', '3481-20-7', 'Benzenamine, 2,3,5,6-tetrachloro-', 'Aniline, 2,3,5,6-tetrachloro-', 'UNII-48A7XFF90T', 'EINECS 222-461-9', 'NSC 29028', '48A7XFF90T', '2,3,5,6-tetrachlorophenylamine', 'NSC29028', '2,5,6-Tetrachloroaniline', '2,3,5,6-Tetrachloranilin', 'Aniline,3,5,6-tetrachloro-', 'SCHEMBL1639902', 'DTXSID2022208', 'Benzenamine,3,5,6-tetrachloro-', 'CTK6G6716', 'YTDHEFNWWHSXSU-UHFFFAOYSA-', 'ZINC152558', '4239AB', 'NSC-29028', 'SBB058781', 'AKOS000119827', 'MCULE-4564160405', 'Aniline, 2,3,5,6-tetrachloro- (8CI)', 'DB-015791', 'LS-184935', 'Benzenamine, 2,3,5,6-tetrachloro- (9CI)', 'FT-0609405', 'NS00007995', 'ST51037975', 'Q27259128', '2,3,5,6-Tetrachloranilin;2,3,5,6-tetrachloroaniline', '2,3,5,6-Tetrachloroaniline 10 microg/mL in Cyclohexane']</t>
  </si>
  <si>
    <t>Compound(18998)</t>
  </si>
  <si>
    <t>2,3, 5,6-tetrachlorophenol</t>
  </si>
  <si>
    <t>2,3,5,6-tetrachlorophenol</t>
  </si>
  <si>
    <t>['2,3,5,6-TETRACHLOROPHENOL', '935-95-5', 'Phenol, 2,3,5,6-tetrachloro-', '2,3,5,6-Tetrachlorophenate', 'UNII-SW5F2W8SDJ', 'CCRIS 4723', 'HSDB 6766', 'EINECS 213-310-8', 'SW5F2W8SDJ', 'NSC 407823', 'BRN 2049586', '2,3,5,6-Tetrachloro phenol', 'AI3-22331', 'CHEBI:52048', 'DSSTox_CID_6101', 'C15505', '2,3,5,6-Tetrachlorphenol', 'DSSTox_RID_78017', 'DSSTox_GSID_26101', 'Phenol,3,5,6-tetrachloro-', 'SCHEMBL827930', 'WLN: QR BG CG EG FG', 'CHEMBL1606550', 'DTXSID2026101', 'BDBM92750', 'CTK5H2691', 'KEWNKZNZRIAIAK-UHFFFAOYSA-', '2,3,5,6-TeCP', 'ZINC1504178', '2,3,5,6-tetrakis(chloranyl)phenol', 'Tox21_200910', '2,3,4,6-Tetrachlorophenol (TCP)', 'NSC407823', 'AKOS015850364', 'FCH1321010', 'LS-1956', 'NSC-407823', 'NCGC00091853-01', 'NCGC00091853-02', 'NCGC00258464-01', 'CAS-935-95-5', 'DB-057414', 'FT-0633145', 'NS00006149', '2,3,5,6-Tetrachlorophenol, analytical standard', 'C-49929', 'Q2224522', '2,3,5,6-Tetrachlorophenol 10 microg/mL in Cyclohexane', '2,3,5,6-Tetrachlorophenol 100 microg/mL in Cyclohexane', 'UNII-8SD098QNAH component KEWNKZNZRIAIAK-UHFFFAOYSA-N', 'UNII-AZ1041M258 component KEWNKZNZRIAIAK-UHFFFAOYSA-N', '2,3,5,6-Tetrachlorophenol, PESTANAL(R), analytical standard', '2,3,5,6-Tetrachlorophenol solution, certified reference material, 2000 mug/mL in methanol', 'Sodium 2,3,5,6-tetrachlorophenolate;2,3,5,6-Tetrachlorophenol;2,3,5,6-tetrachlorophenol;2,3,5,6-Tetrachlorphenol;2 , 3 , 5 , 6-tetrachlorophenol']</t>
  </si>
  <si>
    <t>Compound(13636)</t>
  </si>
  <si>
    <t>2,3,5-trimethylphenol</t>
  </si>
  <si>
    <t>['2,3,5-TRIMETHYLPHENOL', '697-82-5', 'Isopseudocumenol', 'Phenol, 2,3,5-trimethyl-', '1-Hydroxy-2,3,5-trimethylbenzene', 'UNII-1S1061ZBQ1', 'Phenol, 2,3,5(or 3,4,5)-trimethyl-', 'CHEBI:38570', '1S1061ZBQ1', 'MFCD00002228', '70969-66-3', 'NSC5296', 'NSC 5296', 'EINECS 211-806-9', 'PubChem2249', '2,3,5-Trimethyphenol', 'Phenol,3,5-trimethyl-', '2,3,5-trimethyl-phenol', 'ACMC-1AV91', 'DSSTox_CID_27184', 'DSSTox_RID_82180', 'DSSTox_GSID_47184', 'KSC353O9P', 'SCHEMBL205747', 'CHEMBL3182604', 'DTXSID3047184', '2,3,5-Trimethylphenol, 99%', 'CTK2F3797', 'KS-00000MJS', 'NSC-5296', 'STR04504', 'ZINC1235982', 'Tox21_302716', 'ANW-35770', 'SBB043757', 'AKOS000274544', 'CCG-302509', 'CS-W016528', 'MCULE-2192690980', 'MP-2104', 'NCGC00256639-01', 'AC-10653', 'AK105181', 'CAS-697-82-5', 'H602', 'SC-06357', 'DB-025388', 'AM20061097', 'FT-0609460', 'NS00006029', 'ST50754465', 'EN300-22345', '2,3,5-Trimethylphenol 100 microg/mL in Methanol', 'A836645', 'W-104590', 'Q27117905', 'F0001-1811', 'Z1262254378', '2,3,5-Trimethylphenol, PESTANAL(R), analytical standard']</t>
  </si>
  <si>
    <t>Compound(12769)</t>
  </si>
  <si>
    <t>C9H12O</t>
  </si>
  <si>
    <t>2,3,5-trichloroaniline</t>
  </si>
  <si>
    <t>['2,3,5-Trichloroaniline', '18487-39-3', 'Benzenamine, 2,3,5-trichloro-', 'AK201277', 'EINECS 242-373-4', '2,3,5-Trichlorobenzenamine', 'ACMC-1BO9Q', 'Benzenamine,2,3,5-trichloro-', 'SCHEMBL3161558', 'CTK4D8837', 'DTXSID40171667', 'KS-000000TD', 'ZINC2598931', 'FCH848817', 'WT1559', 'AKOS006294647', '18487-39-3 2,3,5-trichloroaniline', 'DS-10256', 'CS-0060180', 'NS00026062']</t>
  </si>
  <si>
    <t>Compound(87676)</t>
  </si>
  <si>
    <t>2,3,5-trichlorophenol</t>
  </si>
  <si>
    <t>['2,3,5-TRICHLOROPHENOL', '933-78-8', 'Phenol, 2,3,5-trichloro-', '2,3,5-trichlorphenol', 'UNII-6T7DUC2C8B', 'CCRIS 6109', 'EINECS 213-272-2', '6T7DUC2C8B', 'AK167087', 'Phenol,2,3,5-trichloro-', 'PubChem12940', 'DSSTox_CID_6208', 'DSSTox_RID_78059', 'DSSTox_GSID_26208', 'KSC672I4B', 'MLS002415681', 'SCHEMBL591469', 'CHEMBL1569358', 'DTXSID0026208', 'CTK5H2440', 'HMS3039J12', 'ZINC405270', 'Tox21_200624', 'CL8455', 'FCH831591', 'AKOS006228272', 'AM84112', 'DS-9219', 'LS-1954', 'MCULE-7815177230', 'NCGC00091770-01', 'NCGC00091770-02', 'NCGC00091770-03', 'NCGC00258178-01', 'CAS-933-78-8', 'CC-06726', 'SMR001370875', '2,3,5-Trichlorophenol, analytical standard', 'DB-010879', 'FT-0609447', 'NS00002389', 'ST50411509', '2,3,5-Trichlorophenol 10 microg/mL in Isooctane', '2,3,5-Trichlorophenol 100 microg/mL in Methanol', 'C-33378', 'Q2682869', 'UNII-8Z4R9J59DL component WWGQHTJIFOQAOC-UHFFFAOYSA-N', '2,3,5-Trichlorophenol;2,3,5-trichlorophenol;2,3,5-Trichlorphenol', '2,3,5-Trichlorophenol solution, 100 mug/mL in acetonitrile, PESTANAL(R), analytical standard']</t>
  </si>
  <si>
    <t>Compound(13619)</t>
  </si>
  <si>
    <t>2,3, 5-trimethacarb</t>
  </si>
  <si>
    <t>(2,3,5-trimethylphenyl) N-methylcarbamate</t>
  </si>
  <si>
    <t>['2,3,5-Trimethacarb', '2,3,5-Trimethylphenyl methylcarbamate', '2655-15-4', 'Landrin B', '2,3,5-Landrin', '2,3,5-Trimethylphenol methylcarbamate', 'Shell SD 8786', 'UNII-KQN4BOS2C6', 'Phenol, 2,3,5-trimethyl-, methylcarbamate', 'SD 8786', 'LANDRIN', 'Trimethacarb [ISO]', '2,3,5-Trimethylphenyl N-methylcarbamate', 'HSDB 6978', 'KQN4BOS2C6', 'ENT 27,096', 'BRN 2331082', 'Trimethylphenyl methylcarbamate', '(2,3,5-trimethylphenyl) N-methylcarbamate', 'AI3-27096', 'CARBAMIC ACID, METHYL-, 2,3,5-TRIMETHYLPHENYL ESTER', '2,3,5(or 3,4,5)-Trimethylphenol methylcarbamate', 'EPA Pesticide Chemical Code 102400', 'EPA Pesticide Chemical Code 102402', 'Phenol, 2,3,5(or 3,4,5)-trimethyl-, methylcarbamate', 'UC 27867', 'methylcarbamic acid 2,3,5-trimethylphenyl ester', '12407-86-2', 'Carbamic acid, methyl-, 2,3,5(or 3,4,5)-trimethylphenyl ester', '4-06-00-03249 (Beilstein Handbook Reference)', 'SCHEMBL4315998', '2,3,5-Trimethacarb (Landrin)', 'DTXSID9041318', 'CHEBI:38893', 'ZINC1849935', 'AKOS006281856', 'SD-8786', 'LS-50406', 'LS-50407', 'NS00004893', '2,3,5-Trimethacarb 100 microg/mL in Methanol', 'J-016471', 'Phenol, 2,3,5-trimethyl-, methylcarbamate (9CI)', 'Q27118022', 'UNII-R97FQQ0N7W component NYOKZHDTNBDPOB-UHFFFAOYSA-N', 'Phenol, 2,3,5(or 3,4,5)-trimethyl-, methylcarbamate (9CI)', '2,3,5-Trimethacarb solution, 10 mug/mL in cyclohexane, PESTANAL(R), analytical standard', 'trimethacarb;2,3,5-Trimethacarb;2,3,5-Trimethylphenyl methylcarbamate;Trimethacarb, (2,3,5)- component of']</t>
  </si>
  <si>
    <t>Compound(25550)</t>
  </si>
  <si>
    <t>C11H15NO2</t>
  </si>
  <si>
    <t>2,3,6-trimethylheptane</t>
  </si>
  <si>
    <t>['2,3,6-TRIMETHYLHEPTANE', 'Heptane, 2,3,6-trimethyl-', '4032-93-3', '2,3,6-trimethyl-heptane', 'CTK1D7392', 'DTXSID00871050', 'Q5651197']</t>
  </si>
  <si>
    <t>Compound(19944)</t>
  </si>
  <si>
    <t>C10H22</t>
  </si>
  <si>
    <t>2,3,6-trichloroaniline</t>
  </si>
  <si>
    <t>['2,3,6-trichloroaniline', '88963-39-7', 'Benzamine, 2,3,6-trichloro-', 'Benzenamine,2,3,6-trichloro-', 'Benzenamine, 2,3,6-trichloro-', '65510-46-5', '2,3,6-Trichloro-phenylamine', 'ACMC-20lfk0', 'SCHEMBL9365624', 'CTK5G2036', 'DTXSID20237437', 'ZINC2583748', 'AKOS006279978', 'SB38147', 'KS-00000H20', 'AK210147', 'DS-10204', 'CS-0060319', 'Benzenamine, 2,3,6-trichloro-, labeled with carbon-14']</t>
  </si>
  <si>
    <t>Compound(184908)</t>
  </si>
  <si>
    <t>2,3,6-trichlorophenol</t>
  </si>
  <si>
    <t>['2,3,6-TRICHLOROPHENOL', '933-75-5', 'Phenol, 2,3,6-trichloro-', 'HSDB 5773', 'UNII-AE2CMR564U', 'CCRIS 1937', 'EINECS 213-271-7', 'BRN 1867596', 'AE2CMR564U', 'DSSTox_CID_6209', 'DSSTox_RID_78060', 'DSSTox_GSID_26209', 'CAS-933-75-5', '2,3,6-Trichlorophenol , 98%', 'PubChem12938', '2,3,6-trichlorphenol', 'ACMC-209rle', '2,3,6-trichloro-phenol', 'Phenol,2,3,6-trichloro-', 'SCHEMBL581831', '2,3,6-tris(chloranyl)phenol', 'CHEMBL1458681', 'DTXSID5026209', 'CTK3J4298', 'ZINC388308', 'Tox21_201763', 'Tox21_303116', 'ANW-40032', 'AKOS015849950', 'FCH1118627', 'LS-1953', 'MCULE-8108733746', 'NCGC00090811-01', 'NCGC00090811-02', 'NCGC00256933-01', 'NCGC00259312-01', 'CC-06752', '2,3,6-Trichlorophenol, analytical standard', 'AX8065234', 'FT-0609472', 'NS00003756', 'ST51047482', '2,3,6-Trichlorophenol 10 microg/mL in Methanol', 'A844571', 'C-33379', 'Q4537756', '2,3,6-Trichlorophenol, PESTANAL(R), analytical standard', 'UNII-8Z4R9J59DL component XGCHAIDDPMFRLJ-UHFFFAOYSA-N', '2,3,6-Trichlorophenol;2,3,6-trichlorophenol;2 , 3 , 6-trichlorophenol;2,3,6-Trichlorphenol']</t>
  </si>
  <si>
    <t>Compound(13618)</t>
  </si>
  <si>
    <t>dimethyl glycol</t>
  </si>
  <si>
    <t>butane-2,3-diol</t>
  </si>
  <si>
    <t>['2,3-butanediol', 'Butane-2,3-diol', '513-85-9', '2,3-butylene glycol', '2,3-Dihydroxybutane', 'Dimethylethylene glycol', 'Dimethylene glycol', 'Pseudobutylene glycol', 'Sym-dimethylethylene glycol', '2,3-Butandiol', 'CCRIS 5501', 'DL-2,3-Butanediol', 'HSDB 1505', 'EINECS 208-173-6', 'BRN 0969165', 'CHEBI:62064', '2,3-Butanediol, (R*,R*)-(.+/-.)-', '123513-85-9', '2,3-butanodiol', '2,3-Butanediol, 98%, mixture of racemic and meso forms, techn.', 'MFCD00064267', '(R,R)-(-)-2,3-Butylene Glycol', '2,3-Butanediol, [R-(R*,R*)]-', '2.3-butanediol', '2,3- butanediol', '2,3-butane diol', 'butane 2,3-diol', 'a 2,3-butanediol', 'MFCD00004523', '2d-Pharmalyte(9ci)', 'a butane-2,3-diol', 'dimethyl ethyleneglycol', '2,3-dihydroxy butane', '2,3-dihydroxy-butane', 'D-2,3-Butane diol', 'dimethyl ethylene glycol', 'levo-butane-2,3-diol', 'ACMC-209euy', 'a 2,3-butylene glycol', '2,3-Butanediol (DL)', 'ACMC-1BUD7', 'ACMC-209gb6', '2,3-Butanediol, 98%', 'DL-2,3-BUTANDIOL', 'EC 208-173-6', 'DSSTox_CID_21321', 'DSSTox_RID_79687', 'DSSTox_GSID_41321', '4-01-00-02524 (Beilstein Handbook Reference)', 'KSC270E6J', '2D-PHARMALYTE (9CI)', 'CHEMBL2312529', 'DTXSID8041321', 'CTK1H0264', 'Tox21_300789', '7110AF', 'ANW-41590', 'MFCD00063648', 'NSC249246', '2,3-Butanediol (mixture of isomers)', 'AKOS009031391', 'NSC-249246', 'KS-0000002E', 'NCGC00248169-01', 'NCGC00254693-01', 'AK-84476', 'AK-84477', 'CAS-513-85-9', 'LS-45795', 'SC-08971', 'SC-08972', 'SC-81338', 'SY047189', 'SY057405', 'DB-027533', 'HY-128387', 'B0681', 'CS-0099502', 'FT-0604653', 'FT-0605350', 'FT-0656644', 'FT-0696715', 'FT-0720882', 'NS00006879', 'S6040', 'A18844', '2,3-Butanediol, Vetec(TM) reagent grade, 98%', 'Q209157', '( inverted exclamation markA)-2,3-Butanediol, 98%', 'F0001-1337', 'Z966690926', '2,3-Butanediol, analytical standard, mixture of racemic and meso forms', '2,3-Butanediol, puriss., mixture of racemic and meso forms, &gt;=99.0% (GC)', '2,3-Butanediol, purum, mixture of racemic and meso forms, &gt;=98.0% (GC)', '(R,R)-2,3-Butanediol;2,3-BUTANEDIOL;butane-2,3-diol;Butane-2,3-diol;2,3-Butanediol', '35007-63-7']</t>
  </si>
  <si>
    <t>Compound(262)</t>
  </si>
  <si>
    <t>2,3-butadione</t>
  </si>
  <si>
    <t>butane-2,3-dione</t>
  </si>
  <si>
    <t>['2,3-butanedione', 'diacetyl', 'biacetyl', 'Butane-2,3-dione', '431-03-8', 'dimethylglyoxal', 'Butanedione', '2,3-diketobutane', 'Dimethyl glyoxal', 'dimethyl diketone', '2,3-Butadione', '2,3-dioxobutane', 'butadione', 'Glyoxal, dimethyl-', '2,3-butandione', 'Diacetyl (natural)', 'Butan-2,3-dione', 'CCRIS 827', 'FEMA No. 2370', 'HSDB 297', 'NSC 8750', '2.3-butanedione', 'UNII-K324J5K4HM', 'UN2346', 'AI3-03313', 'EINECS 207-069-8', 'MFCD00008756', 'BRN 0605398', 'K324J5K4HM', 'CHEBI:16583', 'Butanedione [UN2346] [Flammable liquid]', '2,3-Butanedione, 99%', '2,3-Butanedione-13C2', '2,3 Butanedione', 'Butanedione.', 'butane 2', 'butane-2', 'Biacetyl; BDM', '2,3 butandione', 'Buta-2,3-dione', 'Lopac-D-3634', 'Butanedione [UN2346]', 'ACMC-1AE2K', 'DSSTox_CID_1583', '2,3-Butanedione, 97%', 'DSSTox_RID_76219', 'DSSTox_GSID_21583', 'Lopac0_000387', '4-01-00-03644 (Beilstein Handbook Reference)', 'Diacetyl, natural, &gt;=95%', 'KSC235Q7P', 'WLN: 1VV1', '(CH3CO)2', 'CHEMBL365809', 'SGCUT00113', 'DTXSID6021583', '2,3-Butanedione (8CI,9CI)', 'BDBM22725', 'CTK1D5877', 'KS-00000VRZ', 'NSC8750', 'HMS3261M15', 'NSC-8750', 'to_000005', 'ZINC1532732', 'Tox21_201218', 'Tox21_500387', 'ANW-41516', 'BBL027725', 'LMFA12000012', 'LS-116', '2,3-Butanedione, analytical standard', 'AKOS000118816', 'CCG-204481', 'LP00387', 'MCULE-5742661187', 'SDCCGSBI-0050374.P002', 'NCGC00015336-01', 'NCGC00015336-02', 'NCGC00015336-03', 'NCGC00015336-04', 'NCGC00015336-05', 'NCGC00015336-06', 'NCGC00090746-01', 'NCGC00090746-02', 'NCGC00090746-03', 'NCGC00258770-01', 'NCGC00261072-01', 'CAS-431-03-8', 'R557', 'DB-003226', 'B0682', 'Butanedione [UN2346]  [Flammable liquid]', 'EU-0100387', 'FT-0609502', 'FT-0663924', 'C00741', 'D 3634', '57419-EP2275409A1', '57419-EP2275422A1', '57419-EP2289483A1', '57419-EP2298755A1', '57419-EP2308878A2', '157009-EP2283898A1', 'A826155', 'Q408916', 'SR-01000075811', 'SR-01000075811-1', 'DEE64962-0BD5-454C-8BDA-FDBD33C47181', 'F0001-1188', '2,3-Butanedione;2,3 Butanedione;Butanedione;DIACETYL;butanedione;Diacetyl', 'BUO']</t>
  </si>
  <si>
    <t>Compound(650)</t>
  </si>
  <si>
    <t>C4H6O2</t>
  </si>
  <si>
    <t>2,3-dimethylbutane</t>
  </si>
  <si>
    <t>['2,3-DIMETHYLBUTANE', 'Diisopropyl', '79-29-8', 'Biisopropyl', 'Butane, 2,3-dimethyl-', '1,1,2,2-Tetramethylethane', 'HSDB 76', 'UNII-68ISQ7A432', 'CCRIS 6020', 'EINECS 201-193-6', 'NSC 24837', 'UN2457', '(CH3)2CHCH(CH3)2', '68ISQ7A432', '2,3-Dimethylbutane, 98+%', 'diisopropyl-', 'MFCD00008925', '2,3-dimethyl-butane', 'ACMC-1BMFQ', 'DSSTox_CID_5112', '23DMB', 'DSSTox_RID_77670', 'DSSTox_GSID_25112', '2,3-Dimethylbutane, 98%', 'CHEMBL1344453', 'DTXSID9025112', 'CTK2H7711', 'CHEBI:141560', 'WLN: 1Y1&amp;Y1&amp;1', 'KS-00000W8I', 'NSC24837', 'ZINC1615316', 'Tox21_200674', '7546AF', 'ANW-37280', 'NSC-24837', 'AKOS009155334', 'LS-1778', 'MCULE-7887644548', 'UN 2457', '2,3-Dimethylbutane, analytical standard', 'CAS-79-29-8', 'NCGC00091767-01', 'NCGC00091767-02', 'NCGC00258228-01', 'D0690', 'FT-0691394', 'NS00008608', '18728-EP2269990A1', '18728-EP2269992A1', '18728-EP2272835A1', '18728-EP2272846A1', '18728-EP2275404A1', '18728-EP2275412A1', '18728-EP2277868A1', '18728-EP2277869A1', '18728-EP2277870A1', '18728-EP2284157A1', '18728-EP2289882A1', '18728-EP2289883A1', '18728-EP2295429A1', '18728-EP2298776A1', '18728-EP2301939A1', '18728-EP2314576A1', '18728-EP2374791A1', '2,3-Dimethylbutane [UN2457] [Flammable liquid]', 'Q209178', '2,3-Dimethylbutane [UN2457]  [Flammable liquid]', 'UNII-1S70G88A39 component ZFFMLCVRJBZUDZ-UHFFFAOYSA-N']</t>
  </si>
  <si>
    <t>Compound(6589)</t>
  </si>
  <si>
    <t>C6H14</t>
  </si>
  <si>
    <t>2,3-dimethylphenol</t>
  </si>
  <si>
    <t>['2,3-DIMETHYLPHENOL', '526-75-0', '2,3-Xylenol', 'Dimethylphenol', '1-Hydroxy-2,3-dimethylbenzene', 'Phenol, 2,3-dimethyl-', 'o-Xylenol', 'Vic-o-Xylenol', 'o-3-Xylenol', '1300-71-6', 'Xyellenol 100', '2,3-Dimethyl phenol', 'UNII-RLF9YS3586', 'NSC 62011', '3-Hydroxyl-o-xylene', 'HSDB 5676', 'Benzene, 1,2-dimethyl-3-hydroxy-', 'EINECS 208-395-3', 'BRN 1906267', 'RLF9YS3586', 'DSSTox_CID_5143', 'DSSTox_RID_77685', 'DSSTox_GSID_25143', 'CAS-526-75-0', 'CCRIS 8897', '3-Hydroxy-O-xylene', '2,3-dimethyl-phenol', '2,3-Xylenol.', '1,2,3-Xylenol', 'ACMC-1AZIL', 'SCHEMBL3498', '2,3-Dimethylphenol, 99%', 'DIMETHYLPHENOL,2,3-', '4-06-00-03096 (Beilstein Handbook Reference)', 'KSC177E9H', 'MLS002415685', 'UN 2261 (Salt/Mix)', 'WLN: QR B1 C1', '1,2-Dimethyl-3-hydroxybenzene', 'CHEMBL1490403', 'DTXSID6025143', 'CTK0H7293', 'HMS2267B21', 'LABOTEST-BB LTBB002374', 'KS-00000UF6', 'NSC62011', 'STR02184', 'ZINC1085207', 'Tox21_201831', 'Tox21_303513', 'ANW-31518', 'LS-179', 'MFCD00002227', 'NSC-62011', 'SBB060656', 'STL194290', 'AKOS000120730', 'AS00199', 'MCULE-9434748426', 'NE10157', '2,3-Dimethylphenol, analytical standard', 'KS-00000Z31', 'NCGC00090804-01', 'NCGC00090804-02', 'NCGC00257319-01', 'NCGC00259380-01', 'AC-10665', 'SC-80766', 'SMR000112054', 'ST029302', 'D0773', 'FT-0609719', 'FT-0656660', 'NS00002360', '2,3-Dimethylphenol 100 microg/mL in Methanol', 'A829199', '2,3-xylenol;2,3-XYLENOL;Phenol, 2,3-dimethyl-', 'W-105805', '2,3-Dimethylphenol, PESTANAL(R), analytical standard', 'Q26841194', 'F0001-1358', 'UNII-I4C43Y9C7V component QWBBPBRQALCEIZ-UHFFFAOYSA-N']</t>
  </si>
  <si>
    <t>Compound(10687)</t>
  </si>
  <si>
    <t>['2,3-Lutidine', '2,3-DIMETHYLPYRIDINE', '583-61-9', 'Pyridine, 2,3-dimethyl-', 'DIMETHYLPYRIDINE', 'Pyridine, dimethyl-', '2,3-dimethyl-pyridine', 'UNII-5Q0F649H6G', '27175-64-0', '5Q0F649H6G', 'MFCD00009605', '2,3-Lutidine, 98+%', 'NSC 2157', 'EINECS 209-514-1', 'EINECS 248-287-3', '2-3-Lutidine', 'Pyridine,3-dimethyl-', '2,3-d1methylpyridine', 'PubChem20520', 'AI3-24280', 'ACMC-1ARS9', '2,3-Lutidine (8CI)', '2,3-Lutidine, 99%', 'SCHEMBL65397', 'KSC204E4F', 'CHEMBL3303914', 'DTXSID6060395', 'CTK1A4242', 'KS-00000DSH', 'NSC2157', 'BCP26360', 'NSC-2157', 'ZINC8294963', 'ANW-32925', 'SBB060735', 'AKOS009028879', 'CS-W011290', 'MCULE-2317966331', 'BP-21057', 'CS-17343', 'SC-25611', 'DB-024146', 'FT-0609747', 'FT-0693465', 'L0063', 'NS00022423', 'ST51046861', 'A831849', 'W-105397', 'Q27262718', 'Z1250132514', '2,3-Dimethylpyridine;Dimethylpyridine;Pyridine, 2,3-dimethyl-']</t>
  </si>
  <si>
    <t>Compound(11420)</t>
  </si>
  <si>
    <t>C7H9N</t>
  </si>
  <si>
    <t>2,3-dichloroaniline</t>
  </si>
  <si>
    <t>['2,3-DICHLOROANILINE', '608-27-5', 'Benzenamine, 2,3-dichloro-', '2,3-Dichlorobenzenamine', 'Aniline, 2,3-dichloro-', 'UNII-2BL4F1DXVN', '2,3-Dichloranilin', '2,3 dichloraniline', 'HSDB 5433', 'EINECS 210-157-9', '2,3-Dichloro-phenylamine', 'NSC 60683', '2BL4F1DXVN', 'Aniline, 2,3-dichloro- (7CI,8CI)', 'Benzenamine, ar,ar-dichloro-', 'CHEBI:46636', 'MFCD00007657', '2,3-dichlorophenylamine', '27134-27-6', 'Dichloroanilines', '2 3-dichloroaniline', '2,3 dichloroaniline', '2,3-dichioroaniline', 'Aniline,3-dichloro-', 'Dichloroaniline-2,3', '2,3-dichloro-aniline', 'Dichloroanilines, solid', 'PubChem10752', 'Dichloroanilines, liquid', 'Benzenamine,3-dichloro-', 'Ar,ar-dichlorobenzenamine', '2,3-bis(chloranyl)aniline', 'EC 210-157-9', 'ACMC-1B14Z', 'SCHEMBL18811', '2,3-Dichloroaniline, 99%', 'KSC493E5P', '1,2-Dichloro-3-aminobenzene', 'Dichloroaniline, mixed isomers', '(2,3-dichloro-phenyl)-amine', 'CHEMBL1889723', 'DTXSID8040696', 'CTK3J3257', 'KS-00000UUK', 'ZINC388504', 'ACT00096', 'EBD41831', 'NSC60683', 'STR00688', 'ANW-33592', 'NSC-60683', 'SBB073003', 'STK397444', 'UN1590', 'AKOS000119478', 'AS01518', 'MCULE-6958603792', 'PS-4077', '2,3-Dichloroaniline;2,3-dichloroaniline', 'NCGC00163985-01', 'AC-10658', 'BR-53708', 'L029', 'LS-28226', 'SC-18404', 'DB-030759', 'D0320', 'FT-0609548', 'NS00008299', 'ST45255291', 'Dichloroanilines, solid [UN1590]  [Poison]', 'Dichloroanilines, liquid [UN1590]  [Poison]', '2,3-Dichloroaniline 100 microg/mL in Methanol', 'A832911', 'Q-200167', 'Q5204876', 'Z57127893', '2,3-Dichloroaniline, PESTANAL(R), analytical standard', 'F2190-0454']</t>
  </si>
  <si>
    <t>Compound(11844)</t>
  </si>
  <si>
    <t>C6H5Cl2N</t>
  </si>
  <si>
    <t>2,3-dichlorobenzenecarboxylic acid</t>
  </si>
  <si>
    <t>2,3-dichlorobenzoic acid</t>
  </si>
  <si>
    <t>['2,3-DICHLOROBENZOIC ACID', '50-45-3', 'Benzoic acid, 2,3-dichloro-', '2,3-Dichorobenzoic acid', '2,3-Dichloro benzoic acid', 'Lamotrigine Impurity E', 'Benzoic acid, dichloro-', 'UNII-CGP39QV5WF', 'BRN 1946217', 'EINECS 200-039-5', 'CGP39QV5WF', 'DICHLOROBENZOIC ACID', 'AI3-33364', 'MFCD00002413', 'PubChem8198', 'ACMC-209kmq', '2,3 dichlorobenzoic acid', 'DSSTox_CID_4976', '2,3-dichloro-benzoic acid', 'EC 200-039-5', 'DSSTox_RID_77605', 'DSSTox_GSID_24976', 'SCHEMBL97298', 'KSC273G4J', 'RARECHEM AL BO 0323', 'CHEMBL1353833', 'DTXSID5024976', 'CTK1H3344', 'TIMTEC-BB SBB003641', '2,3-Dichlorobenzoic acid, 97%', 'ZINC157872', 'ACT04678', 'BCP34351', 'KS-00000L3I', 'STR00916', 'Tox21_201189', 'ANW-31008', 'SBB003641', 'STL195584', 'AKOS000119479', 'AM81265', 'AS00737', 'CM12640', 'CS-W013224', 'LS-1305', 'LS11460', 'MCULE-9359043479', 'CAS-50-45-3', 'NCGC00091187-01', 'NCGC00091187-02', 'NCGC00258741-01', 'AC-12726', 'AK-48292', 'SC-04874', 'ST088105', 'SY023164', 'AB0011183', 'DB-019712', 'D3319', 'FT-0609556', 'FT-0666544', 'NS00002589', '50D453', 'K-9340', 'W-105960', 'Q27275451', 'Z56899108', '2,3-Dichlorobenzoic acid, pharmaceutical impurity standard', 'Lamotrigine impurity E, European Pharmacopoeia (EP) Reference Standard', 'Lamotrigine Related Compound B, United States Pharmacopeia (USP) Reference Standard', '2,3-Dichlorobenzoic acid (Lamotrigine Related Compound B)(Lamotrigine Impurity E), Pharmaceutical Secondary Standard; Certified Reference Material']</t>
  </si>
  <si>
    <t>Compound(5765)</t>
  </si>
  <si>
    <t>C7H4Cl2O2</t>
  </si>
  <si>
    <t>2,3-dichloropropene</t>
  </si>
  <si>
    <t>2,3-dichloroprop-1-ene</t>
  </si>
  <si>
    <t>['2,3-DICHLORO-1-PROPENE', '2,3-Dichloropropene', '78-88-6', '2,3-dichloroprop-1-ene', '2-Chloroallyl chloride', '2,3-Dichloropropylene', '1-Propene, 2,3-dichloro-', 'Propene, 2,3-dichloro-', '1,2-Dichloro-2-propene', 'Propylene, 2,3-dichloro', 'CCRIS 956', 'UNII-370TNK5I41', '2,3-Dichloro-propene', 'HSDB 5222', 'EINECS 201-153-8', 'NSC 60520', 'BRN 1361491', 'AI3-14619', '2,3-Dichloro-1-propene, 98%', '370TNK5I41', 'NSC60520', '2,3-Dichorpropene', 'ACMC-209pfp', '1,2-dichloroprop-2-ene', 'DSSTox_CID_5012', 'EC 201-153-8', '2,3-dichloro-prop-1-ene', 'WLN: G1YGU1', '2,3-Dichloropropene-(1)', 'DSSTox_RID_77626', 'DSSTox_GSID_25012', 'SCHEMBL78819', 'KSC376S7F', 'CHEMBL156075', '2,3-bis(chloranyl)prop-1-ene', 'DTXSID6025012', 'CTK2H6972', 'ZINC1690275', 'Tox21_200640', 'ANW-37235', 'NSC-60520', 'AKOS000121539', 'LS-1759', 'CAS-78-88-6', '2,3-dichloropropene;2,3-Dichloropropene', 'NCGC00091735-01', 'NCGC00091735-02', 'NCGC00258194-01', 'SC-62204', 'DB-056341', 'D0406', 'FT-0609537', 'NS00005333', '162076-EP2284146A2', '162076-EP2284147A2', 'A839523', 'J-506935', 'Q27256607']</t>
  </si>
  <si>
    <t>Compound(6565)</t>
  </si>
  <si>
    <t>2,3-dichloropropanol</t>
  </si>
  <si>
    <t>2,3-dichloropropan-1-ol</t>
  </si>
  <si>
    <t>['2,3-Dichloro-1-propanol', '2,3-Dichloropropan-1-ol', '616-23-9', '1-Propanol, 2,3-dichloro-', '2,3-DICHLOROPROPANOL', 'alpha,beta-Dichlorohydrin', '1,2-Dichloro-3-propanol', 'Glycerol alpha,beta-dichlorohydrin', '2,3-Dichloropropyl alcohol', '2,3-Dichloropropane-1-ol', 'Glycerol 1,2-dichlorohydrin', 'CCRIS 954', 'HSDB 2743', 'EINECS 210-470-0', 'BRN 1732060', '.alpha.,.beta.-Dichlorohydrin', 'AI3-61542', 'GEO-01009', '2,3-dichloro-propane-1-ol', '2,3-Dichloro-1-propanol, 97%', '1-Propanol, 2,3-dichloro-, (S)-', 'MFCD00040446', 'ACMC-20lmhp', '.beta.-Dichlorohydrin', '1,2-Dichloropropanol-3', 'ACMC-1AXQ3', 'DSSTox_CID_4038', '1-Propanol,2,3-dichloro-', 'DSSTox_RID_77264', 'DSSTox_GSID_24038', 'SCHEMBL19653', '4-01-00-01442 (Beilstein Handbook Reference)', 'MLS002415683', 'CHEMBL1538584', 'DTXSID2024038', 'CTK5B3500', 'KS-00000XCP', 'ZXCYIJGIGSDJQQ-UHFFFAOYSA-', 'HMS3039G10', '89460-14-0', 'Tox21_200342', 'ANW-33888', 'FCH963853', 'STL453645', 'UN2750', 'AKOS005258351', 'Glycerol .alpha.,.beta.-dichlorohydrin', 'LS-1472', 'MCULE-2120585852', 'NCGC00090834-01', 'NCGC00090834-02', 'NCGC00257896-01', 'CAS-616-23-9', 'SMR001370877', 'ACM1189730344', 'AX8065402', 'CS-0128320', 'D0403', 'FT-0609536', 'FT-0666618', 'NS00019532', '1,3-Dichloropropanol-2 [UN2750] [Poison]', '2,3-Dichloro-1-propanol, &gt;=97.0% (GC)', '157425-EP2275417A2', '157425-EP2284146A2', '157425-EP2284147A2', '157425-EP2284162A2', '157425-EP2284163A2', '157433-EP2275417A2', '157433-EP2284162A2', '157433-EP2284163A2', '162088-EP2284146A2', '162088-EP2284147A2', 'C-54395', 'Q27269940']</t>
  </si>
  <si>
    <t>Compound(12018)</t>
  </si>
  <si>
    <t>2,3-dichlorophenol</t>
  </si>
  <si>
    <t>['2,3-DICHLOROPHENOL', '576-24-9', 'Phenol, 2,3-dichloro-', 'DICHLOROPHENOL', 'UNII-IZM39U444L', 'CCRIS 5902', '2,3-dichloro phenol', 'HSDB 4264', 'EINECS 209-399-8', 'NSC 60646', 'BRN 2043615', 'IZM39U444L', '25167-81-1', '2-Dichloro Phenol', '2,3 dichlorophenol', 'Phenol,3-dichloro-', 'PubChem3696', '2,3-Dichloro-phenol', 'ACMC-1AR0L', 'DSSTox_CID_5001', '2,3-bis(chloranyl)phenol', 'DSSTox_RID_77620', 'DSSTox_GSID_25001', '2,3-Dichlorophenol, 98%', '4-06-00-00883 (Beilstein Handbook Reference)', 'CHEMBL16656', 'SCHEMBL134755', 'DTXSID7025001', 'CTK1A2002', 'ZINC388511', 'BCP21197', 'NSC60646', 'Tox21_200909', 'ANW-32761', 'KM0128', 'MFCD00002160', 'NSC-60646', 'SBB058909', 'AKOS000120221', 'LS-1403', 'LS11389', 'MCULE-1439289610', 'VZ22214', '2,3-Dichlorophenol, analytical standard', 'KS-0000021P', 'NCGC00091161-01', 'NCGC00091161-02', 'NCGC00258463-01', 'AC-10660', 'AS-14412', 'CAS-576-24-9', 'L033', 'DB-030761', 'D0391', 'FT-0609574', 'NS00001865', 'ST50824837', '2,3-Dichlorophenol 10 microg/mL in Methanol', 'A831528', 'W-105454', 'Q27280968', 'F0001-1499', 'Z1262246133', 'UNII-AZ1041M258 component UMPSXRYVXUPCOS-UHFFFAOYSA-N', 'UNII-GP679I31BO component UMPSXRYVXUPCOS-UHFFFAOYSA-N', 'Dichlorophenol;2,3-Dichlorophenol;2,3-dichlorophenol;2 , 3-dichlorophenol', '5JF']</t>
  </si>
  <si>
    <t>Compound(11334)</t>
  </si>
  <si>
    <t>C6H4Cl2O</t>
  </si>
  <si>
    <t>2,3-dichlorophenyl isocyanate</t>
  </si>
  <si>
    <t>1,2-dichloro-3-isocyanatobenzene</t>
  </si>
  <si>
    <t>['2,3-Dichlorophenyl isocyanate', '41195-90-8', '1,2-Dichloro-3-isocyanatobenzene', '2,3-Dichlorophenylisocyanate', 'Benzene, 1,2-dichloro-3-isocyanato-', '1,2-dichloro-3-isocyanato-benzene', '25550-53-2', '2,3-dichlorobenzenisocyanate', 'Benzene, dichloroisocyanato-', 'EINECS 255-253-1', 'Dichlorphenylisocyanate', 'dichlorophenyl isocyanate', 'ACMC-1AP4F', '2,3dichlorophenylisocyanate', '2,3 dichlorophenylisocyanate', 'SCHEMBL93182', '2,3 dichlorophenyl isocyanate', '2,3-dichloro phenyl isocyanate', 'CTK4I4390', 'FYWJWWMKCARWQG-UHFFFAOYSA-', 'DTXSID50948448', 'ZINC164805', '1,2-Dichloro-3-isocyanatobenzene #', '2884AE', 'ANW-29585', 'BBL103409', 'Benzene,1,2-dichloro-3-isocyanato-', 'MFCD00002000', 'SBB090672', 'STL557219', '2,3-Dichlorophenyl isocyanate, 97%', 'AKOS000197358', 'VZ22215', 'Isocyanic Acid 2,3-Dichlorophenyl Ester', '1,2-bis(chloranyl)-3-isocyanato-benzene', 'BP-11192', 'DB-019722', 'DB-049724', 'FT-0609567', 'I0499', 'NS00057463', 'ST50825277', 'A825460', 'W-106316', 'F1945-0025']</t>
  </si>
  <si>
    <t>Compound(33050)</t>
  </si>
  <si>
    <t>C7H3Cl2NO</t>
  </si>
  <si>
    <t>2,3-dichloronitrobenzene</t>
  </si>
  <si>
    <t>1,2-dichloro-3-nitrobenzene</t>
  </si>
  <si>
    <t>['2,3-DICHLORONITROBENZENE', '1,2-Dichloro-3-nitrobenzene', '3209-22-1', 'Benzene, 1,2-dichloro-3-nitro-', '2,3-Dichloro-1-nitrobenzene', 'Benzene, dichloronitro-', 'UNII-985EWS35KG', 'CCRIS 5901', 'HSDB 4279', 'EINECS 221-717-7', 'NSC 60641', 'BRN 2048029', '985EWS35KG', '27900-75-0', 'NSC60641', 'PubChem10770', 'ACMC-1CCAW', 'AI3-15074', 'DICHLORONITROBENZENE', 'DSSTox_CID_4997', '2,3-dichloro-nitrobenzene', 'EC 221-717-7', 'DSSTox_RID_77617', 'DSSTox_GSID_24997', 'SCHEMBL58157', 'KSC205E8H', 'Benzene,2-dichloro-3-nitro-', '1,2-Dichloro-3-nitro-benzene', '2,3-dichloro- 1-nitrobenzene', 'CHEMBL168024', 'DTXSID8024997', 'CTK1A5283', '1,2 -Dichloro-3-Nitro-benzene', '1, 2 -Dichloro-3-Nitro-benzene', 'ZINC1690400', 'Tox21_200851', 'ANW-27268', 'NSC-60641', 'SBB061437', '1,2-bis(chloranyl)-3-nitro-benzene', 'AKOS000121058', 'LS-1190', 'MCULE-5127436164', 'VZ22212', 'KS-00000W43', 'NCGC00091860-01', 'NCGC00091860-02', 'NCGC00091860-03', 'NCGC00258405-01', 'L032', 'SC-18693', 'CAS-3209-22-1', 'D0386', 'FT-0609570', 'NS00002945', 'ST50827485', 'AZ0001-0242', 'A821127', 'Q2173513', 'W-106859', '1,2-Dichloro-3-nitrobenzene, PESTANAL(R), analytical standard']</t>
  </si>
  <si>
    <t>Compound(18555)</t>
  </si>
  <si>
    <t>2,3-dihydroindol-2-one</t>
  </si>
  <si>
    <t>1,3-dihydroindol-2-one</t>
  </si>
  <si>
    <t>['Oxindole', '59-48-3', 'Indolin-2-one', '2-Oxindole', '2-Indolinone', '1,3-Dihydro-2H-indol-2-one', '1,3-Dihydroindol-2-one', 'Oxindol', '2-Oxoindoline', 'Indol-2(3H)-one', '2H-Indol-2-one, 1,3-dihydro-', '2-Oxindoline', '2-OXOINDOLE', '2,3-dihydro-1H-indol-2-one', '1,3-dihydro-indol-2-one', 'MFCD00005711', 'UNII-0S9338U62H', 'NSC 274863', 'dihydroindolone', 'CHEBI:31697', '0S9338U62H', 'Oxindole, 97%, pure', 'Indoline-2-one', 'DICLOFENAC IMPURITY E', 'Dihydroindolon', '2Oxindole', '2-Ketoindoline', 'indolin 2-one', 'Indolone, dihydro-', 'INDOLINONE', 'zlchem 289', 'PubChem7177', 'indolin-2(1H)-one', '2(1H,3H)indolone', '2-Oxindole, 97%', 'ACMC-209mdq', '2(1H,3H)-indolone', '2,3-Dihydroindole-2-one', 'SCHEMBL19504', '5-21-08-00007 (Beilstein Handbook Reference)', 'KSC159M9T', 'ARONIS23976', 'CHEMBL40823', '1,3-dihydro-2H-indol-2-on', 'ARONIS023792', 'IND017', 'SCHEMBL4096312', 'SCHEMBL4787144', 'SCHEMBL4787148', 'SCHEMBL9305641', 'CTK0F9699', 'DTXSID80870389', 'ZLC0108', 'HMS1647D16', '1,3-dihydro-(2H)-indol-2-One', '1,3-Dihydro-2H-indol-2-one #', 'o-(Aminophenyl)-acetic acid lactam', 'ACT06984', 'BCP21784', 'CS-M2997', 'EBD53114', 'HY-Y0061', 'KS-000046EW', 'STR01316', 'ZINC2020050', 'ANW-33276', 'BBL010498', 'BDBM50434120', 'CX1001', 'NSC274863', 'RW3303', 's4861', 'SBB004215', 'STK336410', 'AKOS000119409', '1,3-DIHYDRO-INDOL-2-ONE-D4', 'AB00523', 'AC-3269', 'CCG-266121', 'CG-0513', 'MCULE-2638897351', 'NSC-274863', 'KS-0000019Q', '2-Oxindole pound&gt;&gt;Diclofenac Impurity E', 'AK-49964', 'AM807053', 'BP-12514', 'BR-49964', 'SC-05596', 'SY004718', '2-Oxindole, purum, &gt;=97.0% (HPLC)', '2H-Indol-2-one, 1,3-dihydro- (9CI)', 'AB0010842', 'DB-011627', 'BB 0257524', 'FT-0631265', 'NS00014928', 'O0272', 'ST45053125', 'AZ0001-0391', 'EN300-20422', 'C12312', 'M-3413', '28249-EP2313371A1', '71692-EP2308867A2', '71692-EP2308870A2', '72340-EP2292593A2', '72340-EP2295550A2', '72340-EP2298778A1', '72340-EP2305688A1', '72340-EP2307421A1', '72340-EP2308867A2', '72340-EP2308870A2', '005O711', '147141-EP2281822A1', '147141-EP2292613A1', '153189-EP2281822A1', '174512-EP2280953A1', 'AH-034/32845032', 'J-400304', 'Q2018788', 'F0918-7910', 'Z1245635865', '118914-78-6']</t>
  </si>
  <si>
    <t>Compound(321710)</t>
  </si>
  <si>
    <t>C8H7NO</t>
  </si>
  <si>
    <t>2,3-dinitrophenol</t>
  </si>
  <si>
    <t>['2,3-DINITROPHENOL', '66-56-8', 'Phenol, 2,3-dinitro-', '2,3-DNP', '2,3-Dinitrofenol [Czech]', 'CCRIS 3101', 'EINECS 200-628-7', 'NSC 156083', 'BRN 2213580', 'anti-dinitrophenol', 'CHEBI:39354', 'UNII-735M30625H', '735M30625H', '2,3-Dinitrofenol', '25550-58-7', 'Phenol,3-dinitro-', 'NSC156083', '2,3-Dinitro-phenol', 'ACMC-1BCZA', 'WLN: WNR CQ BNW', 'SCHEMBL16979', '4-06-00-01369 (Beilstein Handbook Reference)', 'CHEMBL3347393', 'DTXSID2075261', 'CTK1A2091', 'ZINC3875434', 'AKOS015912555', 'AKOS016013016', 'FCH1117582', 'NSC-156083', 'AC-24718', 'CC-07027', 'Phenol, 2,3-dinitro-;2,3-dinitrophenol', 'SC-25488', 'AB0071769', 'AX8003288', 'DB-019792', 'LS-104565', 'FT-0631292', 'NS00014392', '16617-EP2281563A1', '16617-EP2316459A1', '33147-EP2292630A1', '33147-EP2311815A1', 'C-07182', 'Q19949845', '2,3-Dinitrophenol, moistened with water, &gt;=98.0% (HPLC)']</t>
  </si>
  <si>
    <t>Compound(6191)</t>
  </si>
  <si>
    <t>C6H4N2O5</t>
  </si>
  <si>
    <t>2,3-dinitrotoluene</t>
  </si>
  <si>
    <t>1-methyl-2,3-dinitrobenzene</t>
  </si>
  <si>
    <t>['2,3-DINITROTOLUENE', '602-01-7', '1-Methyl-2,3-dinitrobenzene', 'Benzene, 1-methyl-2,3-dinitro-', 'Toluene, 2,3-dinitro-', 'DINITROTOLUENE', '2,3-Dinitrotoluol', '2,3-DNT', '2 3-Dinitrotoluene', 'UNII-BS660NHC83', 'CCRIS 2837', 'HSDB 5499', 'EINECS 210-013-5', 'BRN 2212428', 'BS660NHC83', 'NCGC00091205-03', 'dinitro-toluene', 'Methyl Dinitrobenzene', 'ACMC-1CBR3', 'DSSTox_CID_7236', 'DSSTox_RID_78362', 'DSSTox_GSID_27236', '2,3-Dinitrotoluene, 99%', '4-05-00-00865 (Beilstein Handbook Reference)', 'SCHEMBL146895', '1-Methyl-2,3-dinitro-benzene', 'SCHEMBL9850022', 'CHEMBL1531586', 'DTXSID4027236', 'Benzene,1-methyl-2,3-dinitro-', 'CTK1A5228', 'CHEBI:142287', 'BCP26765', 'ZINC4522865', 'Tox21_400034', 'AKOS015888983', 'AKOS015950739', 'FCH1117466', 'LS-2161', 'VZ22321', '2,3-Dinitrotoluene, analytical standard', 'NCGC00091205-01', 'NCGC00091205-02', 'NCGC00091205-04', 'CAS-602-01-7', 'CC-07028', '2,3-dinitrotoluene;2,3-DINITROTOLUENE', 'DB-053553', 'FT-0632495', 'NS00008195', 'A15676', 'C-06925', 'Q13427537', 'F9994-0667', 'UNII-R64H0N1X9C component DYSXLQBUUOPLBB-UHFFFAOYSA-N']</t>
  </si>
  <si>
    <t>Compound(11761)</t>
  </si>
  <si>
    <t>C7H6N2O4</t>
  </si>
  <si>
    <t>2,3-epoxypropyltrimethylammonium chloride</t>
  </si>
  <si>
    <t>trimethyl(oxiran-2-ylmethyl)azanium;chloride</t>
  </si>
  <si>
    <t>['3033-77-0', '2,3-Epoxypropyltrimethylammonium chloride', 'GLYCIDYLTRIMETHYLAMMONIUM CHLORIDE', '(2,3-Epoxypropyl)trimethylammonium chloride', 'Glytac A 100', 'G-MAC', 'Trimethylglycidylammonium chloride', 'Glycidyl trimethylammonium', 'Oxiranemethanaminium, N,N,N-trimethyl-, chloride', 'CCRIS 4128', 'Glycidyl trimethylammonium chloride', 'Glycidyl-trimethyl-ammonium chloride', 'EINECS 221-221-0', '1-(Trimethylammonio)-2,3-epoxypropane chloride', 'NSC 51213', 'glycidyltrimethylammoniumchloride', 'N,N,N-Trimethyloxiranemethanaminium chloride', 'N-Glycidyl-N,N,N-trimethylammonium chloride', 'beta,gamma-Epoxypropyltrimethylammonium chloride', 'Ammonium, (2,3-epoxypropyl)trimethyl-, chloride', 'Trimethyl[(oxiran-2-yl)methyl]azanium chloride', 'N,N,N-trimethyl(oxiran-2-yl)methanaminium chloride', '2-Oxiranemethanaminium, N,N,N-trimethyl-, chloride (1:1)', 'Epoxypropyltrimethylammonium chloride', 'Oxiranemethanaminium, N,N,N-trimethyl-, chloride, homopolymer', 'trimethyl(oxiran-2-ylmethyl)azanium chloride', '2-Oxiranemethanaminium, N,N,N-trimethyl-, chloride (1:1), homopolymer', 'EC 221-221-0', 'Polyepichlorohydrin, trimethyl amine quaternized', 'DSSTox_CID_24643', 'DSSTox_RID_80371', 'DSSTox_GSID_44643', 'SCHEMBL42703', '51838-31-4', 'KSC495Q0L', 'CHEMBL3187272', 'DTXSID1044643', 'CTK3J5805', 'NSC51213', 'Tox21_300176', 'NSC-51213', 'AKOS024437790', 'NCGC00254128-01', 'AS-15436', 'LS-17918', 'N-Glycidyl-N,N-trimethylammonium chloride', 'P324', 'SC-80796', 'CAS-3033-77-0', 'Ammonium,3-epoxypropyl)trimethyl-, chloride', 'DB-047761', 'FT-0634612', 'KS-00001037', 'Oxiranemethanaminium,N,N-trimethyl-, chloride', '2-Oxiranemethanaminium,N,N,N-trimethyl chloride', '.beta.,.gamma.-Epoxypropyltrimethylammonium chloride', 'Q2939557', 'W-109139', 'N,N,N-trimethyl-1-(oxiran-2-yl)methanaminium chloride']</t>
  </si>
  <si>
    <t>Compound(18205)</t>
  </si>
  <si>
    <t>C6H14ClNO</t>
  </si>
  <si>
    <t>['2,3-Dimethylaniline', '87-59-2', '2,3-XYLIDINE', 'Benzenamine, 2,3-dimethyl-', '3-Amino-o-xylene', '2,3-Dimethylbenzenamine', '2,3-Dimethylphenylamine', '2,3-Xylylamine', 'ortho-Xylidine', 'vic-o-Xylidine', 'UNII-ZD450ABI9X', 'CCRIS 4739', '2,3-dimethyl-aniline', 'HSDB 2091', 'Benzene, 1-amino-2,3-dimethyl-', 'EINECS 201-755-0', 'BRN 0742174', 'ZD450ABI9X', '2,3-Dimethylaniline, 99%', '1-Amino-2,3-dimethylbenzene', 'MFCD00007732', '2,3-Xylidene (2,3-Dimethylaniline)', 'DSSTox_CID_6304', 'xylidin', 'dimethylbenzenamine', '2,3 Dimethylaniline', '2,3-dimethyl aniline', 'ACMC-209qom', '2,3-Dimethylbenzeneamine', '2,3-Dimethyl-phenylamine', '2,3-XYLIDENE', 'UN 1711 (Related)', 'EC 201-755-0', 'DSSTox_RID_78094', 'DSSTox_RID_78429', 'DSSTox_GSID_26304', 'DSSTox_GSID_27377', 'SCHEMBL15024', '4-12-00-02497 (Beilstein Handbook Reference)', 'KSC272K8L', 'BIDD:GT0208', 'CHEMBL1578983', 'DTXSID3026304', 'CTK1H2585', 'TIMTEC-BB SBB040449', 'AKOS 91128', 'KS-00000X6S', 'ZINC3860406', 'AKOS BBS-00003566', 'Tox21_200158', 'Tox21_301836', 'ANW-38852', 'BBL027655', 'SBB040449', 'STL168890', 'AKOS000119111', 'AS01547', 'LS-1866', 'MCULE-5516550895', 'CAS-87-59-2', 'NCGC00091760-01', 'NCGC00091760-02', 'NCGC00255325-01', 'NCGC00257712-01', 'AS-11829', 'SC-18141', 'CAS-1300-73-8', 'DB-024273', 'xylidine;2,3-Dimethylaniline;2,3-xylidine', 'D0666', 'FT-0609766', 'FT-0667310', 'NS00001055', 'ST45255331', 'J-507033', 'Q39045423', 'F2190-0462', 'UNII-0V872Q19HT component VVAKEQGKZNKUSU-UHFFFAOYSA-N', '2,3-Dimethylaniline, United States Pharmacopeia (USP) Reference Standard', 'Mefenamic acid impurity A, European Pharmacopoeia (EP) Reference Standard']</t>
  </si>
  <si>
    <t>Compound(6893)</t>
  </si>
  <si>
    <t>2,4,4-trimethyl-1,3-pentanediol-1-isobutyrate</t>
  </si>
  <si>
    <t>(3-hydroxy-2,4,4-trimethylpentyl) 2-methylpropanoate</t>
  </si>
  <si>
    <t>['74367-34-3', 'Propanoic acid, 2-methyl-, 3-hydroxy-2,4,4-trimethylpentyl ester', '3-Hydroxy-2,4,4-trimethylpentyl 2-methylpropanoate', '2,4,4-Trimethyl-1,3-pentanediol 1-isobutyrate', 'Texanol B', 'SCHEMBL4671992', '3-Hydroxy-2,2,4-trimethylpentyl ester of isobutanoic acid', 'DTXSID70881202', 'CHEBI:145718', '2-methylpropanoic acid 3-hydroxy-2,4,4-trimethylpentyl ester']</t>
  </si>
  <si>
    <t>Compound(551387)</t>
  </si>
  <si>
    <t>C12H24O3</t>
  </si>
  <si>
    <t>2,4,5-trichlorophenoxyacetic acid</t>
  </si>
  <si>
    <t>2-(2,4,5-trichlorophenoxy)acetic acid</t>
  </si>
  <si>
    <t>['2,4,5-trichlorophenoxyacetic acid', '93-76-5', '2,4,5-T', 'Fortex', '2-(2,4,5-trichlorophenoxy)acetic acid', '(2,4,5-Trichlorophenoxy)acetic acid', 'Trioxon', 'Fence rider', 'BCF-Bushkiller', 'Tippontormona', 'Arbokan', 'Phortox', 'Spontox', 'Verton 2T', 'Forron', 'Reddon', 'Reddox', 'Trioxone', 'Line rider', 'Fruitone A', 'Envert-T', 'Decamine 4T', 'Forst U 46', 'Brush RHAP', 'Brushtox', 'Crossbow', 'Tippon', 'Inverton 245', 'VEON', 'Brush Killer', 'Ded-weed brush killer', 'Acetic acid, (2,4,5-trichlorophenoxy)-', 'Farmco fence rider', 'Veon 245', 'Esteron 245', 'Super D weedone', 'Estercide t-2 and t-245', 'Visko Rhap', 'Debroussaillant concentre', 'Lo-vol', 'Rcra waste number U232', 'T-Nox', 'Caswell No. 881', 'Visko rhap low volatile ester', 'Debroussaillant super concentre', 'Brush-off 445 low volatile brush killer', 'NSC 430', '2,4,5-T acid', 'Ded-weed lv-6 brush kil and t-5 brush kil', 'UNII-9Q963S4YMX', 'Verton 2-T', 'CCRIS 1466', 'HSDB 1145', '2,4,5-Trichlorphenoxyessigsaeure', 'Kwas 2,4,5-trojchlorofenoksyoctowy', '(2,4,5-Trichlorphenoxy)essigsaeure', '2,4,5-T [BSI:ISO]', 'EINECS 202-273-3', '(2,4,5-Trichloor-fenoxy)-azijnzuur', 'RCRA waste no. U232', 'Acide 2,4,5-trichloro phenoxyacetique', 'EPA Pesticide Chemical Code 082001', '(2,4,5-Trichlor-phenoxy)-essigsaeure', 'BRN 2055620', 'Acido (2,4,5-tricloro-fenossi)-acetico', 'AI3-14656', '9Q963S4YMX', 'CHEMBL194458', 'NSC430', 'Kwas 2,4,5-trojchlorofenoksyoctowy [Polish]', '(2,4,5-Trichloor-fenoxy)-azijnzuur [Dutch]', 'CHEBI:27903', '(2,4,5-Trichlor-phenoxy)-essigsaeure [German]', 'Acide 2,4,5-trichloro phenoxyacetique [French]', 'Cido (2,4,5-tricloro-fenossi)-acetico [Italian]', 'Acido (2,4,5-tricloro-fenossi)-acetico [Italian]', '2,4,5-T [Chlorophenoxy herbicides]', '2,4,5-trichlorophenoxyacetate', 'Acetic acid, 2-(2,4,5-trichlorophenoxy)-', 'DSSTox_CID_1388', '2-[2,4,5-tris(chloranyl)phenoxy]ethanoic acid', 'DSSTox_RID_76130', 'DSSTox_GSID_21388', 'CAS-93-76-5', '2,4,5-trichloro-phenoxyacetic acid', '2,4,5-Trichlorophenoxyaceticacid', '2,4,5-T solution', '2,4,5-t ((2,4,5-trichlorophenoxy)acetic acid)', 'U 46', 'C8H5Cl3O3', 'Brush Tox', 'F52', 'Weedone 2,5-T', 'Cido (2,4,5-tricloro-fenossi)-acetico', 'Spectrum_001857', '(2,4,5-Trichloro-Phenoxy)-Acetic Acid', 'SpecPlus_000468', '2,4,5-Trichlorophenoxyacetic acid solution', 'Spectrum2_001224', 'Spectrum3_000834', 'Spectrum4_000674', 'Spectrum5_001982', 'bmse000640', 'Oprea1_711288', 'BSPBio_002387', 'KBioGR_001107', 'KBioSS_002374', 'SPECTRUM330042', '(2,4,5(or 2,4,6)-Trichlorophenoxy)acetic acid', '4-06-00-00973 (Beilstein Handbook Reference)', 'MLS002207208', 'BIDD:ER0673', 'DivK1c_006564', 'SCHEMBL117704', 'SPBio_001068', 'WLN: QV1OR BG DG EG', 'Acetic acid, (2,4,5(or 2,4,6)-trichlorophenoxy)-', '2,5-Trichlorophenoxyacetic acid', 'DTXSID5021388', 'CTK5H2952', 'Esteron brush killer (Salt/Mix)', 'KBio1_001508', 'KBio2_002370', 'KBio2_004938', 'KBio2_007506', 'KBio3_001887', 'ZINC56520', 'NSC-430', '(2,5-Trichloor-fenoxy)-azijnzuur', '(2,5-Trichlorophenoxy)acetic acid', '(2,5-Trichlor-phenoxy)-essigsaeure', 'Acetic acid,4,5-trichlorophenoxy)-', 'Acide 2,5-trichloro phenoxyacetique', 'Tox21_201605', 'Tox21_302882', '5983AC', 'BBL009513', 'BDBM50410519', 'CCG-39137', 'MFCD00004301', 'STL119782', '2,4,5-(Trichlorophenoxy)acetic acid', '2,4,5-trichloro-phenoxy acetic acid', 'Acido (2,5-tricloro-fenossi)-acetico', 'AKOS000120113', '(2,4,5-trichlorophenoxy)ethanoic acid', 'Acetic acid, 2,4,5-trichlorophenoxy-', 'LS-1946', 'MCULE-5451577697', 'NA 2765', 'NCGC00094533-01', 'NCGC00094533-02', 'NCGC00094533-03', 'NCGC00094533-04', 'NCGC00094533-05', 'NCGC00256364-01', 'NCGC00259154-01', '2,4,5-T 10 microg/mL in Acetonitrile', '35915-18-5', 'SMR001294708', 'VS-02095', '2,4,5-T 100 microg/mL in Acetonitrile', '2.4.5-t', '2,5-T', 'FT-0675447', 'H3008', 'NS00005731', '2,4,5-T, PESTANAL(R), analytical standard', 'C07100', 'AJ-087/13205219', 'Q209188', 'SR-01000060853', 'SR-01000060853-1', 'BRD-K92860374-001-02-5', 'BRD-K92860374-001-03-3', 'Z57048946', "(2,4,5-trichlorophenoxy)acetic acid - 2,2',2''-nitrilotriethanol (1:1)", '2,4,5-T solution, 100 mug/mL in acetonitrile, PESTANAL(R), analytical standard', '2,4,5-Trichlorophenoxyacetic acid, plant cell culture tested, BioReagent, &gt;=95%, crystalline']</t>
  </si>
  <si>
    <t>Compound(1480)</t>
  </si>
  <si>
    <t>C8H5Cl3O3</t>
  </si>
  <si>
    <t>['2,4,5-TRIMETHYLANILINE', '137-17-7', 'Pseudocumidine', 'Benzenamine, 2,4,5-trimethyl-', 'Psi-cumidine', 'Pseudokumidin', 'NCI-C02299', '2,4,5-trimethylphenylamine', '2,4,5-Trimethylbenzenamine', 'Pseudokumidin [Czech]', 'Aniline, 2,4,5-trimethyl-', '2,4,5-Trimethylanilin', '1,2,4-Trimethyl-5-aminobenzene', '1-Amino-2,4,5-trimethylbenzene', '.psi.-Cumidine', 'NSC 37004', 'CCRIS 608', 'UNII-00KUO98F97', 'HSDB 2908', '2,4,5-Trimethylanilin [Czech]', 'EINECS 205-282-0', 'CHEBI:82544', '00KUO98F97', '2,5-Trimethylanilin', '2,5-Trimethylaniline', 'Aniline,4,5-trimethyl-', 'Benzenamine,4,5-trimethyl-', 'WLN: ZR B1 D1 E1', 'Pseudocumidin', 'DSSTox_CID_1398', 'DSSTox_RID_76139', 'DSSTox_GSID_21398', 'MLS002454358', 'SCHEMBL113803', 'CHEMBL541229', 'DTXSID9021398', 'CTK6B5513', 'NSC5297', 'HMS3039D09', 'NSC-5297', 'NSC37004', 'ZINC1680827', 'Tox21_201118', '8105AF', 'LS-802', 'NSC-37004', 'SBB008592', 'AKOS006227784', 'MCULE-2248226285', 'PS-4511', 'Benzenamine, 2,4,5-trimethyl- (9CI)', 'NCGC00091899-01', 'NCGC00091899-02', 'NCGC00258670-01', 'CAS-137-17-7', 'SMR001371984', 'DB-042378', 'FT-0631798', 'NS00003519', 'ST50828328', 'C19539', 'K-4409', '137T177', 'AE-562/43286991', 'J-006970', '2,4,5-Trimethylaniline 10 microg/mL in Acetonitrile', 'Q27156056', '2,4,5-trimethylaniline;pseudocumidine;2,4,5-trimethylaniline hydrochloride', '2,4,5-Trimethylaniline solution, 100 mug/mL in acetonitrile, PESTANAL(R), analytical standard']</t>
  </si>
  <si>
    <t>Compound(8717)</t>
  </si>
  <si>
    <t>2,4,5-trichloroaniline</t>
  </si>
  <si>
    <t>['2,4,5-TRICHLOROANILINE', '636-30-6', 'Benzenamine, 2,4,5-trichloro-', 'UNII-7XKK8S8WO0', 'Aniline, 2,4,5-trichloro-', '7XKK8S8WO0', '2,4,5-trichlorophenylamine', 'CCRIS 2882', 'NSC64139', 'EINECS 211-254-9', 'NSC 64139', 'PubChem3213', '2,5-Trichloroaniline', 'Aniline,4,5-trichloro-', '2,4,5-Trichloro aniline', 'ACMC-209nh1', 'EC 211-254-9', '2,4,5-trichlorobenzenamine', 'Benzenamine,4,5-trichloro-', 'KSC490G7T', 'SCHEMBL204719', '2,4,5-tris(chloranyl)aniline', 'PARAGOS 500028', 'DTXSID5044152', 'CTK3J0379', 'TIMTEC-BB SBB003585', '2,4,5-Trichloroaniline, 95%', 'ZINC391971', 'KS-00000VD2', 'AKOS BBS-00003553', '2,4,5-TRICHLORO-BENZENAMINE', 'ANW-34691', 'MFCD00007662', 'NSC-64139', 'SBB003585', 'STL197479', 'AKOS000120401', 'Aniline, 2,4,5-trichloro- (8CI)', 'AS02945', 'MCULE-2140347860', 'AC-24275', 'P327', '1-AMINO-2,4,5-TRICHLORO-BENZENE', 'DB-030777', 'FT-0609822', 'NS00006767', 'ST50213714', 'A834445', 'W-104891', '2,4,5-Trichloroaniline 10 microg/mL in Cyclohexane', 'Q27268985', 'F1995-0208', 'Z1245635728', '2,4,5-Trichloroaniline, PESTANAL(R), analytical standard']</t>
  </si>
  <si>
    <t>Compound(12487)</t>
  </si>
  <si>
    <t>2,4,5-trichlorophenol</t>
  </si>
  <si>
    <t>['2,4,5-TRICHLOROPHENOL', '95-95-4', 'Dowicide 2', 'Phenol, 2,4,5-trichloro-', 'Collunosol', 'Preventol I', '2,4,5-TCP', '2,4,5-Trichloro phenol', '2,4,5-Trichloro-phenol', 'RCRA waste number U230', 'NCI-C61187', 'NSC 2266', 'CCRIS 718', 'HSDB 4067', 'UNII-32526637PN', 'EINECS 202-467-8', 'RCRA waste no. U230', 'BRN 0607569', 'CHEBI:28520', 'NSC2266', 'NCGC00091196-01', '32526637PN', 'DSSTox_CID_4359', 'DSSTox_RID_77378', 'DSSTox_GSID_24359', '2,4,5-Trichlorophenol [Polychlorophenols and their sodium salts]', 'CAS-95-95-4', 'SMR001252270', '2,4,5-Trichlorophenol 100 microg/mL in Methanol', 'Dowcide 2', '2,5-Trichlorophenol', 'PubChem12933', '2,4,5-trichlorphenol', 'Dowicide B (Salt/Mix)', 'DOWICIDE 2(R)', 'WLN: QR BG CG EG', 'SCHEMBL1338', '2,4,5-Trichlorophenic Acid', 'KSC490K5D', 'MLS002415687', 'MLS006011479', 'BIDD:ER0686', 'ACMC-209s64', 'CHEMBL109095', 'ZINC2215', 'DTXSID4024359', '2,4,5-Trichlorophenol, 95%', 'CTK3J0551', 'KS-00000WXM', 'ATTERCOP-CHM AT113603', 'ACT06927', 'NSC-2266', 'STR03605', 'Tox21_111100', 'Tox21_201545', 'Tox21_300186', 'ANW-40778', 'ZB0022', 'AKOS000120147', 'AS05511', 'BRN0607569', 'CM11803', 'LS-1997', 'MCULE-2465514202', 'NCGC00091196-02', 'NCGC00091196-03', 'NCGC00091196-04', 'NCGC00254185-01', 'NCGC00259095-01', 'BR-48623', 'SC-15220', '2,4,5-TRICHLORO-1-HYDROXY-BENZENE', 'DB-025353', 'FT-0609793', 'NS00007529', 'ST50826929', 'W9798', 'C07101', 'S-1347', '2,4,5-Trichlorophenol, purum, &gt;=95.0% (GC)', 'Q209173', '2,4,5-Trichlorophenol 10 microg/mL in Cyclohexane', 'W-100148', '2,4,5-Trichlorophenol 10 microg/mL in Acetonitrile', 'Z1262254250', '2,4,5-Trichlorophenol, PESTANAL(R), analytical standard', 'UNII-8Z4R9J59DL component LHJGJYXLEPZJPM-UHFFFAOYSA-N', 'UNII-AZ1041M258 component LHJGJYXLEPZJPM-UHFFFAOYSA-N']</t>
  </si>
  <si>
    <t>Compound(7271)</t>
  </si>
  <si>
    <t>2,4,5-trichlorophenoxypropionic acid</t>
  </si>
  <si>
    <t>2-(2,4,5-trichlorophenoxy)propanoic acid</t>
  </si>
  <si>
    <t>['Fenoprop', '93-72-1', 'SILVEX', '2-(2,4,5-Trichlorophenoxy)propionic acid', 'Double strength', 'Fenormone', 'Propon', '2-(2,4,5-Trichlorophenoxy)propanoic acid', 'Color-set', 'Aqua-vex', 'Sta-fast', 'Fruitone T', 'Miller nu set', 'Silvi-Rhap', 'Kurosal G', 'Herbicides, silvex', '2,4,5-TP', 'Propanoic acid, 2-(2,4,5-trichlorophenoxy)-', 'Amchem 2,4,5-TP', 'Rcra waste number U233', 'Silvex [ANSI]', '(+-)-Fenoprop', 'Caswell No. 739', '(+-)-Silvex', 'Fenoprop [BSI:ISO]', '2,4,5-TCPPA', 'Amchem 2,4,5 TP', '2,4,5-TP acid', 'CCRIS 1467', 'HSDB 686', 'alpha-(2,4,5-Trichlorophenoxy)propionic acid', 'EINECS 202-271-2', 'RCRA waste no. U233', 'EPA Pesticide Chemical Code 082501', 'Kwas 2,4,5-trojchlorofenoksypropionowy', 'BRN 1985768', '2-(2,4,5-Trichloor-fenoxy)-propionzuur', '2-(2,4,5-Trichlor-phenoxy)-propionsaeure', 'CHEBI:34758', 'Kyselina 2-(2,4,5-trichlorfenoxy)propionova', 'Acido 2-(2,4,5-tricloro-fenossi)-propionico', 'Propionic acid, 2-(2,4,5-trichlorophenoxy)-', 'Acide 2-(2,4,5-trichloro-phenoxy) propionique', 'Kwas 2,4,5-trojchlorofenoksypropionowy [Polish]', '2-(2,4,5-Trichloor-fenoxy)-propionzuur [Dutch]', '2-(2,4,5-Trichlor-phenoxy)-propionsaeure [German]', 'Kyselina 2-(2,4,5-trichlorfenoxy)propionova [Czech]', 'Acido 2-(2,4,5-tricloro-fenossi)-propionico [Italian]', 'Acide 2-(2,4,5-trichloro-phenoxy) propionique [French]', 'Kuran', '2-[(2,4,5-trichlorophenyl)oxy]propanoic acid', "2-(2',4',5'-trichloro-phenoxy)-propionic acid", 'Kurosal', 'Silvex acid', '(+)-2-(2,4,5-Trichlorophenoxy)propionic acid', 'Kurosal sl (Salt/Mix)', '(.+/-.)-Fenoprop', 'DSSTox_CID_1387', '(.+/-.)-Silvex', 'DSSTox_RID_76129', '2,4,5-TP / Fenoprop', 'DSSTox_GSID_21387', 'Oprea1_461596', 'SCHEMBL55790', '3-06-00-00721 (Beilstein Handbook Reference)', 'CHEMBL460296', 'Silvex(R), analytical standard', '(+-)-2-(2,4,5-Trichlorophenoxy)propanoic acid (9CI)', 'DTXSID0021387', 'CTK3J6642', 'Fenoprop (Silvex.2.4.5-TP)', 'Tox21_200761', 'MFCD00002646', 'AKOS000130274', 'AKOS016194382', 'Fenoprop 10 microg/mL in Acetonitrile', 'LS-7734', 'MCULE-1681471418', 'CAS-93-72-1', 'Fenoprop 100 microg/mL in Acetonitrile', 'NCGC00160550-01', 'NCGC00160550-02', 'NCGC00160550-03', 'NCGC00258315-01', '2,4,5-TC', '2-(2,4,5-Trichlorophenoxy)propionicacid', 'FT-0626403', 'NS00006711', '2-(2,4,5-Trichlorophenoxy)propanoic acid #', '2,4,5-Trichlorophenoxy-.alpha.-propionic acid', 'C14532', '.alpha.-(2,4,5-Trichlorophenoxy)propionic acid', '(+-)-2-(2,4,5-Trichlorophenoxy)propanoic acid', 'AJ-087/41885650', 'Q3092689', '(.+/-.)-2-(2,4,5-Trichlorophenoxy)propanoic acid', '2-(2,4,5-Trichlorophenoxy)propionic acid, PESTANAL(R), analytical standard']</t>
  </si>
  <si>
    <t>Compound(7158)</t>
  </si>
  <si>
    <t>C9H7Cl3O3</t>
  </si>
  <si>
    <t>2,4,6-tribromophenol</t>
  </si>
  <si>
    <t>['2,4,6-tribromophenol', '118-79-6', 'Tribromophenol', 'Phenol, 2,4,6-tribromo-', 'Bromol', 'Bromkal pur 3', 'Xeroform', 'Flammex 3BP', 'C6H3Br3O', 'TA 10', 'NSC 2136', 'UNII-YS6K3EU393', 'CCRIS 1658', 'Great lakes PH-73', 'HSDB 5584', 'EINECS 204-278-6', 'AI3-14896', 'YS6K3EU393', 'CHEBI:47696', 'NCGC00091183-02', 'DSSTox_CID_1959', 'DSSTox_RID_76428', 'DSSTox_GSID_21959', '2,4,6-Tribromophenol, 98%', 'CAS-118-79-6', '2,4,6-TBP', '2,6-Tribromophenol', '2,4,6-tribromphenol', '1e5a', 'Phenol,4,6-tribromo-', 'ACMC-1BTAO', 'Emery 9332', 'Tribromophenol (Related)', '2,4,6--tribromophenol', '2,4,6-tribromo-phenol', '2,4,6-tribromophenol, bismuth (3+) salt', 'EC 204-278-6', 'WLN: QR BE DE FE', 'SCHEMBL18224', '2,4,6-tris(bromanyl)phenol', 'KSC490K6J', 'MLS002152858', 'BIDD:ER0321', 'CHEMBL220087', '2,4,6-Tribromophenol, 99%', 'DTXSID6021959', 'CTK3J0564', 'NSC2136', '1,3,5-Tribromo-2-hydroxybenzene', 'HMS3039E12', 'PH 73', 'ZINC388234', 'NSC-2136', 'Tox21_111098', 'Tox21_201273', 'Tox21_302972', 'ANW-17235', 'BR1213', 'FR-613', 'MFCD00002150', 'SBB060102', 'AKOS000118987', 'Tox21_111098_1', 'DB02417', 'DS-5785', 'LS11449', 'MCULE-9995204022', 'NE10147', '5175-83-7 (bismuth(3+) salt)', 'NCGC00091183-01', 'NCGC00091183-03', 'NCGC00091183-04', 'NCGC00256540-01', 'NCGC00258825-01', 'AC-11252', 'AK112778', 'H249', 'SC-19041', 'SMR001224482', '2,4,6-Tribromophenol, analytical standard', 'DB-023704', 'FT-0609841', 'NS00004395', 'ST51046342', 'C14454', '2,4,6-Tribromophenol 10 microg/mL in Methanol', 'AB00935055-03', '2,4,6-Tribromophenol 100 microg/mL in Methanol', 'A804101', 'AB-131/40896981', 'Q209180', '2,4,6-Tribromophenol 10 microg/mL in Cyclohexane', 'Q-200176', 'F8880-6205', 'Z425389504', '2,4,6-Tribromophenol, certified reference material, TraceCERT(R)', '2,4,6-Tribromophenol;Phenol, 2,4,6-tribromo-;2 , 4 , 6-tribromophenol;bismuth tris(2,4,6-tribromophenoxide);Carbonic dichloride, polymer with 4,4-(1-methylethylidene)bis[2,6-dibromophenol], bis(2,4,6-tribromophenyl) ester']</t>
  </si>
  <si>
    <t>Compound(1483)</t>
  </si>
  <si>
    <t>C6H3Br3O</t>
  </si>
  <si>
    <t>['2,4,6-TRIMETHYLANILINE', '88-05-1', 'Mesidine', 'Mesitylamine', 'Aminomesitylene', 'Benzenamine, 2,4,6-trimethyl-', 'Mesidin', '2,4,6-Trimethylbenzenamine', '2-Aminomesitylene', '2-Amino-1,3,5-trimethylbenzene', '2,4,6-Trimethyl aniline', 'Mesitylene, 2-amino-', 'Aniline, 2,4,6-trimethyl-', 'Mesidin [Czech]', 'UNII-YIR5CRL5BG', '2,4,6-Trimethylphenylamine', 'CCRIS 2871', 'HSDB 2694', 'YIR5CRL5BG', 'EINECS 201-794-3', '2,4,6-trimethyl-aniline', '1-Amino-2,4,6-trimethylbenzen [Czech]', '2,4,6-Trimethylaniline, 97%', '2,4,6-trimethylanilin', 'mesityl amine', '1-Amino-2,4,6-trimethylbenzen', '1-Amino-2,4,6-trimethylbenzene', 'MFCD00007740', '6334-11-8', '2,4,6-trimethyl-phenylamine', 'KSC490G3R', 'BIDD:GT0806', 'SCHEMBL139002', 'ACMC-20977x', 'DTXSID5043847', 'CHEBI:82545', 'CTK3J0338', '2,4,6-Trimethylaniline, 98%', 'Benzeneamine, 2,4,6-trimethyl-', '(2,4,6-trimethyl-phenyl)-amine', 'KS-000009XB', 'STR00896', 'ZINC1555241', 'ANW-13627', 'SBB040446', 'STL164356', 'AKOS000119132', 'AS00416', 'AS05406', 'CCG-302506', 'CM11540', 'CS-W007785', 'MCULE-7962867731', 'AK-45529', 'LS-20005', 'SC-74978', 'U042', 'AB0019069', 'DB-030783', 'FT-0609896', 'NS00004534', 'ST50213721', '2,4,6-Trimethylaniline;2,4,6-Trimethylanilin', 'C19540', '70938-EP2308833A2', '2,4,6-Trimethylaniline, purum, &gt;=98.0% (GC)', 'Q4596776', 'W-100422', '2,4,6-Trimethylaniline (Mesidine), ND25=1,4959', 'F2190-0482', 'Z1245633218']</t>
  </si>
  <si>
    <t>Compound(6913)</t>
  </si>
  <si>
    <t>2,4,6-trimethylphenol</t>
  </si>
  <si>
    <t>['2,4,6-TRIMETHYLPHENOL', '527-60-6', 'Mesitol', 'Phenol, 2,4,6-trimethyl-', 'Mesityl alcohol', '2-Hydroxymesitylene', '2,4,6-Trimetylofenol', '1,3,5-Trimethylphenol', '2,4,6-Trimethyl-phenol', '1-Hydroxy-2,4,6-trimethylbenzene', '2,4,6-Trimethylofenol', 'UNII-FPZ32614N6', 'HSDB 5677', '2,4,6-Trimetylofenol [Polish]', '2,4,6-Trimethylofenol [Polish]', 'NSC 5353', 'EINECS 208-419-2', '2,4,6-trimethyl phenol', 'Benzene, 2-hydroxy-1,3,5-trimethyl-', 'BRN 1859675', 'DTXSID7022049', 'FPZ32614N6', 'MFCD00002235', '2,6-Trimethylphenol', 'Phenol,4,6-trimethyl-', 'BENZENE,1-HYDROXY,2,4,6-TRIMETHYL', 'DSSTox_CID_2049', 'DSSTox_RID_76468', 'DSSTox_GSID_22049', 'F3308-0308', '1-Hydroxy-2,6-trimethylbenzene', '2,4,6-Trimethylphenol, 99%', 'CAS-527-60-6', 'Hydroxymesitylene', 'PubChem21744', '2,4, 6-Trimethylphenol', 'ACMC-1B1EE', '2, 4, 6-trimethylphenol', 'SCHEMBL36529', '4-06-00-03253 (Beilstein Handbook Reference)', 'CHEMBL108930', '2,4,6-Trimethylphenol, 97%', 'CTK3J8090', 'NSC5353', 'ZINC967332', 'BCP11227', 'NSC-5353', 'NSC68321', 'Tox21_202252', 'Tox21_300348', '2-Hydroxy-1,3,5-trimethyl-Benzene', 'ANW-31540', 'NSC-68321', 'SBB085943', '2,4,6-Trimethylphenol, 99%, FG', 'AKOS000121003', 'ZINC113015994', 'AS04588', 'CM11813', 'FS-4819', 'MCULE-3207067322', 'NE10159', 'KS-00000W22', 'NCGC00248001-01', 'NCGC00248001-02', 'NCGC00254453-01', 'NCGC00259801-01', 'AK153077', 'BP-10776', 'L057', 'LS-89873', 'SY049486', '2,4,6-Trimethylphenol, analytical standard', 'CS-0096301', 'FT-0628232', 'NS00002161', 'ST50456257', '2,4,6-trimethylphenol;Phenol, 2,4,6-teimethyl-', 'A829237', 'AC-907/25014259', 'W-105800', 'Q15725609', '2,4,6-Trimethylphenol, PESTANAL(R), analytical standard', '2,4,6-Trimethylphenol, certified reference material, TraceCERT(R)']</t>
  </si>
  <si>
    <t>Compound(10698)</t>
  </si>
  <si>
    <t>['2,4,6-Trimethylpyridine', '108-75-8', '2,4,6-COLLIDINE', 'Pyridine, 2,4,6-trimethyl-', 'gamma-Collidine', 's-Collidine', 'COLLIDINE', 'sym-Collidine', '2,4,6-Kollidin', 'NSC 460', 'UNII-7IE4BK5J5V', '2,4,6-trimethyl-pyridine', '.gamma.-Collidine', "alpha,gamma,alpha'-Collidine", '2,4,6-Kollidin [Czech]', 'HSDB 57', 'EINECS 203-613-3', 'MFCD00006338', '2,4,6-trimethyl pyridine', 'BRN 0107283', '7IE4BK5J5V', 'AI3-10050', 'CHEMBL1209580', ".alpha.,.gamma.,.alpha.'-Collidine", '2,4,6-Collidine (2,4,6-Trimethylpyridine)', '2,4,6-Collidine, 99%', '2,4,6-Trimethylpyridinium', '2,4,6 Trimethylpyridine', 'collidin', '2,4,6 COLLIDINE', 'Collidine (Related)', '2,4,6-collidin', '2,4,6-Collinine', '2,4,6- collidine', 'PubChem15898', 'ACMC-1BTAS', '2,4,6-trimethylpyridin', '2,4,6-trimethypyridine', 'Pyridine,4,6-trimethyl-', '2,4,6-tri-methylpyridine', 'SCHEMBL7489', 'NCIOpen2_009389', ".alpha.,.alpha.'-Collidine", '5-20-06-00093 (Beilstein Handbook Reference)', 'KSC490Q7P', 'NSC460', 'DTXSID1051561', 'CTK3J0877', 'NSC-460', 'STR03652', 'ANW-15977', 'BBL027576', 'BDBM50416505', 'SBB060376', 'STL146741', 'ZINC15858174', 'AKOS000119121', 'CS-W018506', 'MCULE-3564511532', 'PS-5252', 'AK140112', 'BP-30156', 'H604', 'SC-25605', 'DB-015912', 'LS-132120', 'FT-0609910', 'NS00014381', 'ST51046565', 'T0716', '2,4,6-Trimethylpyridine, &gt;=98.0% (GC)', '2,4,6-Trimethylpyridine, ReagentPlus(R), 99%', '50757-EP2292615A1', '50757-EP2295415A1', '50757-EP2311824A1', '66301-EP2277878A1', '66301-EP2281819A1', '66301-EP2295441A2', '66301-EP2308851A1', '133907-EP2295430A2', '133907-EP2295431A2', 'Q409155', 'Q-200178', '2,4,6-Trimethylpyridine, Vetec(TM) reagent grade, 98%', 'F0001-0178', 'Z1250132535', '2,4,6-Trimethylpyridine, puriss. p.a., &gt;=99.0% (GC)', 'UNII-S396YQ63EL component BWZVCCNYKMEVEX-UHFFFAOYSA-N', '2,4,6-trimethylpyridin;2,4,6-trimethylpyridine;2,4,6-TRIMETHYLPYRIDINE']</t>
  </si>
  <si>
    <t>Compound(7953)</t>
  </si>
  <si>
    <t>2,4,6-trichloroaniline</t>
  </si>
  <si>
    <t>['2,4,6-TRICHLOROANILINE', '634-93-5', 's-Trichloroaniline', 'Benzenamine, 2,4,6-trichloro-', 'Aniline, 2,4,6-trichloro-', 'sym-Trichloroaniline', '2,4,6-Trichlorobenzenamine', '2,4,6-Trichlorophenylamine', '1-Amino-2,4,6-trichlorobenzene', 'UNII-J7IC72N9B0', 'CCRIS 601', 'HSDB 2654', 'NSC 2114', 'EINECS 211-219-8', '2,4,6-TCA', 'BRN 0879568', 'J7IC72N9B0', 'DTXSID6021379', '2,3,6-trichloroaniline;2,4,6-trichloroaniline;benzenamine, 2,4,6-trichloro-;aniline, 2,4,6-trichloro-;2,3,6-trichloroaniline 2,4,6-trichloroaniline benzenamine, 2,4,6-trichloro- aniline, 2,4,6-trichloro-', '2,4,6-Trichloroanilinium chloride', 'PubChem9974', '2,6-Trichloroaniline', 'ACMC-209nfz', '2,4,6-trichloraniline', '2,6-Trichlorophenylamine', 'Aniline,4,6-trichloro-', 'DSSTox_CID_1379', 'EC 211-219-8', 'WLN: ZR BG DG FG', 'Benzenamine,4,6-trichloro-', 'DSSTox_RID_76122', 'DSSTox_GSID_21379', '4-12-00-01281 (Beilstein Handbook Reference)', 'KSC490E8J', 'SCHEMBL657760', '1-Amino-2,6-trichlorobenzene', 'CHEMBL1894620', 'CTK3J0284', 'NSC2114', 'ZINC164529', 'KS-000010ZQ', 'NSC-2114', 'Tox21_201063', '2,4,6-TRICHLORO-PHENYLAMINE', 'ANW-34653', 'MFCD00007663', 'SBB058994', 'AKOS000119904', 'LS-1527', 'MCULE-3398356973', 'PS-6295', 'TF10593', 'NCGC00090846-01', 'NCGC00090846-02', 'NCGC00258616-01', 'AC-10672', 'CAS-634-93-5', 'SC-05975', 'DB-030779', 'A1751', 'FT-0609847', 'NS00006667', 'ST50406571', 'T0375', 'X-4431', 'AC-907/25014096', '2,4,6-Trichloroaniline 1000 microg/mL in Toluene', 'W-104909', 'Q27281312', '2,4,6-Trichloroaniline, technical, &gt;=98.0% (HPLC)', 'F0001-1722', '2,4,6-Trichloroaniline, PESTANAL(R), analytical standard']</t>
  </si>
  <si>
    <t>Compound(12471)</t>
  </si>
  <si>
    <t>2,4,6-trichlorophenol</t>
  </si>
  <si>
    <t>['2,4,6-TRICHLOROPHENOL', '88-06-2', 'Phenol, 2,4,6-trichloro-', 'Dowicide 2S', 'Phenachlor', 'OMAL', 'Phenaclor', 'RCRA waste number U231', '2,4,6-TCP', 'Dowcide 2S', '2,4,6-trichloro-phenol', 'NCI-C02904', '1,3,5-Trichloro-2-hydroxybenzene', '2,4,6-Trichlorfenol', 'UNII-MHS8C5BAUZ', 'NSC 2165', 'CCRIS 605', '2,4,6-Trichlorfenol [Czech]', 'HSDB 4013', 'MHS8C5BAUZ', 'EINECS 201-795-9', 'RCRA waste no. U231', 'BRN 0776729', 'AI3-00142', '2,4,6-Trichlorophenol, 98%', 'CHEBI:28755', '2,4,6 T', 'DSSTox_CID_1386', 'DSSTox_RID_76128', 'DSSTox_GSID_21386', '2,4,6-Trichlorophenol [Polychlorophenols and their sodium salts]', 'CAS-88-06-2', 'Trichlorophenol, 2,4,6-', '2,4,6-Trichlorophenol 100 microg/mL in Methanol', '4rpo', 'T6C', '2,6-Trichlorfenol', '1,5-Trichlorophenol', '2,6-Trichlorophenol', 'PubChem20578', '2,4,6-trichlorphenol', '2,4,6 trichlorophenol', '2,4,6,-trichlorophenol', '2,4,6-:trichlorophenol', 'ACMC-1BM3R', 'Trichloro-2-hydroxybenzene', 'bmse000678', 'WLN: QR BG DG FG', '4-06-00-01005 (Beilstein Handbook Reference)', 'KSC490K4T', 'MLS002415689', 'BIDD:ER0652', 'SCHEMBL184648', 'CHEMBL309917', 'DTXSID5021386', 'BDBM92752', 'CTK3J0549', 'NSC2165', 'ZINC391974', '2,4,6-Trichloro-2-hydroxybenzene', 'KS-00000V9J', 'NSC-2165', 'Tox21_202037', 'Tox21_300189', 'ANW-13628', 'MFCD00002172', 'SBB060649', 'AKOS000118986', 'AS04490', 'LS-1878', 'LS11505', 'MCULE-3223249747', 'NCGC00090873-01', 'NCGC00090873-02', 'NCGC00090873-03', 'NCGC00090873-04', 'NCGC00254078-01', 'NCGC00259586-01', '2,4,6-TCP / 2,4,6-Trichlorophenol', '2,4,6-Trichlorophenol (2,4,6-TCP)', 'AC-10673', 'SC-65113', 'SMR001252243', '2,4,6-Trichlorophenol (2,4,6-TriCP)', 'BTS 45 186 (2,4,6-trichlorophenol)', 'DB-023637', 'AM20050247', 'FT-0609852', 'NS00007769', 'ST50827732', 'C07098', 'M-6070', '21558-EP2305648A1', '21558-EP2311830A1', '21558-EP2314295A1', '2,4,6-Trichlorophenol 10 microg/mL in Methanol', 'Q209189', '2,4,6-Trichlorophenol 10 microg/mL in Cyclohexane', '2,4,6-Trichlorophenol 5000 microg/mL in Methanol', 'Trichloro-2-hydroxybenzene, 2,4,6-Trichlorophenol', 'W-100420', '2,4,6-Trichlorophenol (sum of 2,4,6 + 2,3,4)', 'F0001-2184', 'Z1262246113', '2,4,6-Trichlorophenol, PESTANAL(R), analytical standard', 'UNII-8Z4R9J59DL component LINPIYWFGCPVIE-UHFFFAOYSA-N', 'UNII-AZ1041M258 component LINPIYWFGCPVIE-UHFFFAOYSA-N', '2,4,6-Trichlorophenol, certified reference material, TraceCERT(R)', '2,4,6-Trichlorophenol, purum, &gt;=97.0% (GC), white to slightly brown']</t>
  </si>
  <si>
    <t>Compound(6914)</t>
  </si>
  <si>
    <t>2,4,6-trinitrophenol</t>
  </si>
  <si>
    <t>['PICRIC ACID', '2,4,6-Trinitrophenol', 'Trinitrophenol', '88-89-1', 'Acide picrique', 'Carbazotic acid', 'Picronitric acid', 'Melinite', 'Phenol trinitrate', 'Picral', 'Phenol, 2,4,6-trinitro-', 'Nitroxanthic acid', 'Pikrinsaeure', 'Pikrinezuur', 'Acido picrico', 'Pikrynowy kwas', '2-Hydroxy-1,3,5-trinitrobenzene', 'Phenoltrinitrate', 'Kyselina pikrova', 'Acidum picrinicum', '1,3,5-Trinitrophenol', 'Pikrinezuur [Dutch]', 'Pikrinsaeure [German]', 'C.I. 10305', '2,4,6-Trinitrofenol', '2,4,6-Trinitrofenolo', '2,4,6-Trinitrophenyl', 'Acide picrique [French]', 'Acido picrico [Italian]', 'Pikrynowy kwas [Polish]', 'Kyselina pikrova [Czech]', 'UNII-A49OS0F91S', 'NSC 36947', 'CCRIS 3106', '2,4,6-Trinitrofenol [Dutch]', 'CI 10305', 'HSDB 2040', '2,4,6-Trinitrofenolo [Italian]', 'EINECS 201-865-9', 'NA1344', 'UN0154', 'UN1344', 'picric', 'AI3-15403', 'A49OS0F91S', 'CHEBI:46149', 'Picric acid, dry', 'Picric acid, wet', '2,6-Trinitrofenol', 'Pertite', 'Picric acid (dry)', 'Picric acid (wet)', '1,5-Trinitrophenol', '2,6-Trinitrofenolo', '2,6-Trinitrophenol', 'Phenol,4,6-trinitro-', 'WLN: WNR BQ CNW ENW', '2-Hydroxy-1,5-trinitrobenzene', 'Picric acid, dry or wetted with &lt; 30% water, by mass', 'Trinitrophenol, dry or wetted with &lt; 30% water, by mass', 'Picricum acidum', '2,4,6-Trinitrophenol (Picric Acid)', 'Trinitrophenol [NF]', 'Reflorit', "Hager's reagent", 'Picric acid solution', 'Picric acid, p.a.', 'Lyddite (Salt/Mix)', 'Ecrasite (Salt/Mix)', 'Schimose (Salt/Mix)', 'SCHEMBL8745', 'NA 1344 (Salt/Mix)', 'UN 1344 (Salt/Mix)', 'CHEMBL108541', 'DTXSID4025909', 'SCHEMBL14419782', 'BDBM34612', 'cid_3241713', 'CTK3E8533', 'NSC36947', 'NSC56147', 'ZINC1883067', '3-Hydroxy-2,4,6-trinitrobenzenide', 'BBL020094', 'NSC-36947', 'NSC-56147', 'STL199171', 'ZINC71129432', 'AKOS008966816', 'API0003844', 'DB03651', 'LS-1888', 'MCULE-8917344355', 'UN 0154', 'Picric acid, wet, with not &lt;10% water', 'BC4124115', 'DB-057108', 'Picric acid, moistened with water, &gt;=98%', 'FT-0609916', 'H2982', 'NS00010581', 'NS00060326', 'Picric acid, SAJ special grade, &gt;=99.5%', '2-methylbenzo[g][1,3]benzoxazole;picric acid', '1769-EP2269978A2', '1769-EP2269985A2', '1769-EP2269990A1', '1769-EP2269991A2', '1769-EP2272832A1', '1769-EP2277865A1', '1769-EP2277876A1', '1769-EP2280006A1', '1769-EP2280010A2', '1769-EP2281813A1', '1769-EP2281815A1', '1769-EP2284150A2', '1769-EP2284151A2', '1769-EP2284152A2', '1769-EP2284153A2', '1769-EP2284155A2', '1769-EP2284156A2', '1769-EP2284164A2', '1769-EP2287140A2', '1769-EP2287148A2', '1769-EP2287150A2', '1769-EP2289886A1', '1769-EP2289894A2', '1769-EP2292590A2', '1769-EP2292614A1', '1769-EP2295412A1', '1769-EP2295413A1', '1769-EP2295419A2', '1769-EP2295423A1', '1769-EP2298731A1', '1769-EP2298742A1', '1769-EP2298743A1', '1769-EP2301534A1', '1769-EP2301912A2', '1769-EP2301916A2', '1769-EP2301922A1', '1769-EP2301933A1', '1769-EP2305637A2', '1769-EP2305640A2', '1769-EP2305648A1', '1769-EP2305695A2', '1769-EP2305696A2', '1769-EP2305697A2', '1769-EP2305698A2', '1769-EP2308833A2', '1769-EP2308861A1', '1769-EP2308875A1', '1769-EP2311451A1', '1769-EP2311796A1', '1769-EP2311797A1', '1769-EP2311798A1', '1769-EP2311799A1', '1769-EP2311808A1', '1769-EP2311827A1', '1769-EP2311829A1', '1769-EP2311837A1', '1769-EP2314575A1', '1769-EP2316450A1', '1769-EP2316459A1', '1769-EP2316834A1', '1769-EP2316836A1', '1769-EP2374454A1', '42218-EP2298742A1', '42218-EP2298766A1', '42218-EP2298770A1', '42218-EP2311808A1', '42218-EP2311829A1', '50414-EP2295421A1', '50414-EP2311809A1', '50414-EP2371810A1', '50414-EP2371812A1', 'Picric acid solution, 0.9-1.1% (alkalimetric)', 'Picric acid solution, 1.3% in H2O (saturated)', 'A842990', 'C-42378', 'Q189298', 'SR-01000944524', '1-methyl-3,4-dihydro-2H-beta-carboline;picric acid', '2,4,6-Trinitrophenol 10 microg/mL in Acetonitrile', 'SR-01000944524-1', '2,4,6-Trinitrophenol 100 microg/mL in Acetonitrile', 'Trinitrophenol, wetted with not &lt;30% water, by mass', '2-methylbenzo[g][1,3]benzoxazole;2,4,6-trinitrophenol', 'F0001-2190', 'Picric acid solution, ~1.3% in H2O, solution (saturated aqueous)', 'Picric acid, wet, with not &lt;10% water [NA1344] [Flammable solid]', 'Picric acid, wet, with not &lt;10% water [NA1344]  [Flammable solid]', 'Trinitrophenol or picric acid, dry or wetted with &lt;30% water, by mass', 'Picric acid solution, 100 mug/mL in acetonitrile, PESTANAL(R), analytical standard', 'Picric acid, purum, moistened with &gt;=40% water, &gt;=98.0% (calc. on dry substance, T)', 'Trinitrophenol, wetted with not &lt;30% water, by mass [UN1344]  [Flammable solid]', 'Trinitrophenol, wetted with not &lt;30% water, by mass [UN1344] [Flammable solid]', 'Trinitrophenol or picric acid, dry or wetted with &lt;30% water, by mass [UN0154]  [Explosive 1.1D]', 'Trinitrophenol or picric acid, dry or wetted with &lt;30% water, by mass [UN0154] [Explosive 1.1D]']</t>
  </si>
  <si>
    <t>Compound(6954)</t>
  </si>
  <si>
    <t>C6H3N3O7</t>
  </si>
  <si>
    <t>2,4,6-tri-tert-butylphenol</t>
  </si>
  <si>
    <t>2,4,6-tritert-butylphenol</t>
  </si>
  <si>
    <t>['2,4,6-Tri-tert-butylphenol', '732-26-3', 'Voidox', '2,4,6-Tris(tert-butyl)phenol', 'Alkofen B', 'Phenol, 2,4,6-tris(1,1-dimethylethyl)-', '2,4,6-Tri-t-butylphenol', '2,4,6-Tris(1,1-dimethylethyl)phenol', 'Phenol, 2,4,6-tri-tert-butyl-', '2,4,6-tritert-butylphenol', 'P 23', 'NSC 14459', 'UNII-99J2VIC675', 'Tris(1,1-dimethylethyl)phenol', 'CCRIS 5845', 'TM02', '2,4,6-Tri-tert-butyl phenol', '2,4,6-Tri-tert-butyl-1-hydroxybenzene', 'Phenol, tris(1,1-dimethylethyl)-', 'EINECS 211-989-5', '2,4,6-TRI(TERT-BUTYL)PHENOL', 'DTXSID2021311', '99J2VIC675', 'GEO-02350', 'DSSTox_CID_1311', 'DSSTox_RID_76072', 'DSSTox_GSID_21311', 'AB-131/40895185', 'Phenol, 2,4,6-tri-tert-butyl- (6CI,7CI,8CI)', 'W-104462', '2,4,6-Tri-tert-butylphenol, 97%', 'CAS-732-26-3', 'HSDB 7727', 'ACMC-1BCWT', '2,6-Tri-t-butylphenol', '2,6-Tri-tert-butylphenol', 'EC 211-989-5', 'SCHEMBL35141', '2,4,6-tri-t-butyl phenol', 'Phenol,4,6-tri-tert-butyl-', 'Butylphenol-2-4-6 Tri-tert', '2, 4, 6-tri-t-butylphenol', 'CHEMBL387905', '2,4,6-Tris(tert-Butylphenol)', 'CTK3J0548', 'TM 02', 'KS-00000VU0', 'NSC14459', 'ZINC1653034', '2,4,6-Tri-tert-butylhydroxybenzene', 'Tox21_202374', 'Tox21_300121', 'ANW-36309', 'NSC-14459', '2,4,6-Tri-tert-butylphenol, 98%', '2,6-Tri-tert-butyl-1-hydroxybenzene', 'AKOS002268919', 'EBD2209630', 'LS-7245', 'MCULE-7929720338', '2,4,6 - Tris - (tertbutyl) phenol', 'Phenol,4,6-tris(1,1-dimethylethyl)-', '2,4,6-tris(1,1-dimethylethyl)-phenol', 'NCGC00164230-01', 'NCGC00164230-02', 'NCGC00164230-03', 'NCGC00254020-01', 'NCGC00259923-01', 'AK114270', 'CC-07229', 'P329', 'ST033356', 'FT-0609933', 'NS00005383', 'C-34752', 'Q27272216', '2 , 4 , 6-tri-t-butylphenol;2,3,6-TRI-T-BUTYLPHENOL;Phenol, 2,4,6-tri-tert-butyl-;2,4,6-tri-tert-butylphenol']</t>
  </si>
  <si>
    <t>Compound(12902)</t>
  </si>
  <si>
    <t>C18H30O</t>
  </si>
  <si>
    <t>2,4, 7,9-tetramethyl-5-decyne-4,7-diol</t>
  </si>
  <si>
    <t>2,4,7,9-tetramethyldec-5-yne-4,7-diol</t>
  </si>
  <si>
    <t>['2,4,7,9-TETRAMETHYL-5-DECYNE-4,7-DIOL', '126-86-3', 'Surfynol 104', '5-Decyne-4,7-diol, 2,4,7,9-tetramethyl-', '2,4,7,9-Tetramethyldec-5-yne-4,7-diol', 'TETRAMETHYL DECYNEDIOL', 'Surfynol 104A', 'Surfynol 104E', 'Syrfynol 104', 'Surfynol 104PA', '2,4,7,9-Tetramethyl-5-decyn-4,7-diol', '1,4-Diisobutyl-1,4-dimethylbutynediol', 'NSC 5630', 'UNII-B9Y126NY8K', 'B9Y126NY8K', 'Surfynol TG', 'AK-29802', 'DSSTox_CID_7041', 'DSSTox_RID_78288', 'DSSTox_GSID_27041', 'J-660011', 'Q-200179', 'CAS-126-86-3', 'Surfynol 104BC', 'Surfynol 104H', 'Olfine AK 02', '5-decyne-4,7-diol-2,4,7,9-tetramethyl', 'HSDB 5612', 'EINECS 204-809-1', 'Surfinol-104', '1,4-dimethylbutynediol', 'ACMC-1BYOL', 'AI3-07159', 'Surfynol PC (Salt/Mix)', '4,7-Dihydroxy-2,4,7,9-tetramethyl-5-decyne', 'EC 204-809-1', 'Acetylenic glycol (Related)', 'Surfynol TG-E (Salt/Mix)', 'SCHEMBL57923', 'LXOFYPKXCSULTL-UHFFFAOYA', 'Surfynol 104PG (Salt/Mix)', 'Surfynol PG-50 (Salt/Mix)', 'CHEMBL2143891', 'DTXSID7027041', 'CTK4B5390', 'NSC5630', 'KS-000002BG', 'NSC-5630', 'Tox21_201648', 'Tox21_300559', 'ANW-18952', 'SBB008941', 'AKOS015841724', 'MCULE-3048128106', '5-Decyne-4, 2,4,7,9-tetramethyl-', '2,7,9-Tetramethyl-5-decyne-4,7-diol', 'NCGC00164119-01', 'NCGC00164119-02', 'NCGC00164119-03', 'NCGC00254519-01', 'NCGC00259197-01', 'AC-16744', 'CC-07231', '2,4,7,9-Tetremathyl-5-decyne-4,7-diol', 'DB-041844', '5-Decyne-4,7-diol,2,4,7,9-tetramethyl-', 'CS-0077080', 'FT-0609935', 'NS00010677', 'S-104', 'ST50825770', 'C-28160', '2,4,7,2,4,7,9-Tetramethyl-5-decyne-4,7-diol', 'Q2384542', '2,4,7,9-tetramethyldec-5-yne-4,7-diol;Surfynol 104', '2,4,7,9-Tetramethyl-5-decyne-4,7-diol, mixture of (+/-)&amp;meso', '2,4,7,9-Tetramethyl-5-decyne-4,7-diol, mixture of (+/-) and meso, 98%']</t>
  </si>
  <si>
    <t>Compound(31362)</t>
  </si>
  <si>
    <t>C14H26O2</t>
  </si>
  <si>
    <t>2,4, 8,10-tetraoxaspiro (5.5) undecane</t>
  </si>
  <si>
    <t>2,4,8,10-tetraoxaspiro[5.5]undecane</t>
  </si>
  <si>
    <t>['2,4,8,10-Tetraoxaspiro[5.5]undecane', 'Pentaerythritol diformal', '126-54-5', 'Pentaerythritol bisformal', "5,5'-Spirobi-m-dioxane", '2,4,8,10-Tetraoxaspiro(5.5)undecane', 'Pentaerythritol, dimethylene-', 'Pentaerythritol cyclic diformal', "5,5'-Spirobi-1,3-dioxane", 'Formaldehyde, cyclic diacetal with pentaerythritol', 'NSC 139455', 'Pentaerythritol, bis(cyclic acetal) with formaldehyde-', '2,8,10-Tetraoxaspiro[5.5]undecane', 'EINECS 204-792-0', 'Pentaerythritol, bis(cyclic acetal) with formaldehyde', 'TOSU', 'AI3-23521', 'SCHEMBL577018', 'DTXSID2059566', 'CTK0H6778', 'ZINC405322', 'NSC49146', 'NSC-49146', 'NSC139455', 'AKOS024319562', 'FCH1116121', 'MCULE-9201850238', 'NSC-139455', '2,4,8,10-tetraoxaspiro[5,5]undecane', '2,4,8,10-tetraoxa-spiro[5.5]undecane', 'CC-07233', '2,4,8,10-tetra-oxospiro(5,5)-undecan', 'DB-041831', 'FT-0631734', 'NS00010224', 'C-30702', 'Q209192', '2,4,8,10-tetraoxaspiro[5.5]undecane;2,4,8,10-Tetraoxaspiro[5.5]undecane']</t>
  </si>
  <si>
    <t>Compound(78951)</t>
  </si>
  <si>
    <t>C7H12O4</t>
  </si>
  <si>
    <t>2,4-dichlorophenoxyacetic acid</t>
  </si>
  <si>
    <t>2-(2,4-dichlorophenoxy)acetic acid</t>
  </si>
  <si>
    <t>['2,4-dichlorophenoxyacetic acid', '94-75-7', '2-(2,4-dichlorophenoxy)acetic acid', '2,4-D', '(2,4-Dichlorophenoxy)acetic acid', 'Hedonal', 'Agrotect', 'Fernesta', 'Fernimine', 'Netagrone', 'Tributon', 'Vergemaster', 'Amoxone', 'Dicopur', 'Dormone', 'Estone', 'Ipaner', 'Moxone', 'Phenox', 'Pielik', 'Rhodia', 'Weedone', '2,4-D acid', 'Crop rider', 'B-Selektonon', 'Pennamine D', 'Weed-Rhap', 'Weed-ag-bar', 'Weedone lv4', 'Weedez wonder bar', 'Chloroxone', 'Herbidal', 'Planotox', 'Weed-B-gon', 'Weedatul', 'Weedtrol', 'Ferxone', 'Verton 2D', 'Emulsamine bk', 'Foredex 75', 'Brush-rhap', 'Mota Maskros', 'Envert dt', 'Lawn-keep', 'Weed tox', 'Esteron 76 BE', 'Emulsamine E-3', 'Ded-Weed LV-69', 'Macrondray', 'Miracle', 'Monosan', 'Plantgard', 'Acetic acid, (2,4-dichlorophenoxy)-', 'Vidon 638', 'Netagrone 600', 'Esteron 44 weed killer', 'Superormone concentre', 'Debroussaillant 600', 'Acme LV 4', 'Croprider', 'Crotilin', 'Deherban', 'Emulsamine', 'Pennamine', 'Barrage', 'Dormon', 'Moxon', 'Rcra waste number U240', 'Citrus fix', 'Agricorn D', 'Silvaprop 1', 'Visko-rhap low volatile 4l', 'Hedonal (the herbicide)', 'U 46DP', 'Visko-rhap low drift herbicides', 'Verton 38', 'Dacamine', 'Desormone', 'Diclordon', 'Esteron', 'Esterone', 'Fernoxone', 'Macondray', 'Weed-Rhap A-4', 'Weed-Rhap B-4', 'Weedar', 'Hivol-44', 'Caswell No. 315', 'Acme LV 6', 'Weed-Rhap B-266', 'Acide 2,4-dichloro phenoxyacetique', '(2,4-Dichlorophenyloxy)acetic acid', 'R-H Weed Rhap 20', 'Weed-Rhap LV-4-0', 'Tiller S', 'Verton D', 'Dichlorophenoxyacetic acid', 'Weed-Rhap I-3.34', 'Vertron 2D', '2,4-Dwuchlorofenoksyoctowy kwas', 'Hedonal, herbicide', 'Aminopielik 50SL', 'Esteron 99', 'Formula 40', '(2,4-Dichloor-fenoxy)-azijnzuur', 'Red Devil Dry Weed Killer', 'Weedar-64', '2,4-D, salts and esters', 'De-Pester Ded-Weed LV-2', 'BH 2,4-D', '(2,4-Dichlor-phenoxy)-essigsaeure', "Scott's 4-XD Weed Control", 'Acido(2,4-dicloro-fenossi)-acetico', 'CCRIS 949', 'ENT 8,538', 'Dezormon', 'HSDB 202', 'Huragan', 'Chipco turf herbicide D', 'Farmco', 'Uniso', 'Esterone four', 'Kwas 2,4-dwuchlorofenoksyoctowy', 'U-5043', '2,4-Dichlorophenoxyethanoic acid', 'Kyselina 2,4-dichlorfenoxyoctova', 'Visko-rhap', 'Barrage HF', 'Kwasu 2,4-dwuchlorofenoksyoctowego', 'Atlas D', 'NSC 2925', 'Phenoxyacetic acid, 2,4-dichloro-', 'Weedone 100 Emulsifiable [Canada]', '(Dichlorophenoxy)acetic acid', 'Acme amine 4', '2,4-PA', 'EPA Pesticide Chemical Code 030001', 'Esteron brush killer', 'Acme butyl ester 4', 'Verton 2-D', '2,4-D Mecoprop', '2,4-D [BSI:ISO]', '(2,4-Dichlorphenoxy)acetic acid', 'AI3-08538', 'Esteron 99 Concentrate', 'Green Cross Weed-No-More "80"', 'Spritz-hormin/2,4-D', 'Spritz-hormit/2,4-D', 'UNII-2577AQ9262', 'DMA-4', 'EINECS 202-361-1', 'RCRA waste no. U240', 'BRN 1214242', '2,4-D (2,4-dichlorophenoxyacetic acid)', '2,4-Dwuchlorofenoksyoctowy kwas [Polish]', 'Kwas 2,4-dwuchlorofenoksyoctowy [Polish]', 'Kyselina 2,4-dichlorfenoxyoctova [Czech]', '(2,4-Dichloor-fenoxy)-azijnzuur [Dutch]', 'Kwasu 2,4-dwuchlorofenoksyoctowego [Polish]', '(2,4-Dichlor-phenoxy)-essigsaeure [German]', 'Acide 2,4-dichloro phenoxyacetique [French]', 'Butoxy-D 3: 1 Liquid emulsifiable Brushkiller LV96 [Canada]', 'CHEBI:28854', '2,4-Dichlorophenoxy Acetic Acid', 'Acido(2,4-dicloro-fenossi)-acetico [Italian]', '2,4-D [Chlorophenoxy herbicides]', 'MFCD00004300', 'Acetic acid, (2,4-dichlorophenoxy)-, salts and esters', 'Acetic acid, 2-(2,4-dichlorophenoxy)-', 'DSSTox_CID_442', '2577AQ9262', 'DSSTox_RID_75591', 'DSSTox_GSID_20442', '2,4-D isopropylamine salt', 'CAS-94-75-7', 'SMR000135639', '2,4-Dwuchlorofenoksyoctowy kwas (POLISH)', '(2,4-Dichloor-fenoxy)-azijnzuur (DUTCH)', '2,4-d ((2,4-dichlorophenoxy)acetic acid)', '(2,4-Dichlor-phenoxy)-essigsaeure (GERMAN)', 'Acide 2,4-dichloro phenoxyacetique (FRENCH)', 'Acido(2,4-dicloro-fenossi)-acetico (ITALIAN)', '2702-72-9', 'Chipco turf herbicide "D"', 'Isadiamineyeom', 'Basalcoat', 'Monosan herbi', 'Green Cross Weed-No-More 80', 'MCP amine', 'Planotox Plantgard', 'Hedonal (herbicide)', 'Weedar 64A', 'Formula 40 4L', 'Weed ar 64', 'Weedone-2,4-DP', 'Acetic acid, (2,4-dichlorophenoxy)-, compd. with 2-propanamine (1:1)', 'Debro ussaillant 600', 'Helena 2,4-D', 'PubChem22239', 'Spectrum_001853', 'SpecPlus_000464', 'Standard 2,4-D Amine', '5742-17-6', 'Spectrum2_001855', 'Spectrum3_000832', 'Spectrum4_000672', 'Spectrum5_001978', 'Asgrow 2,4-D amine 4', "Chipco turf herbicide 'd'", 'WLN: QV1OR BG DG', 'Macondray Macrondray Miracle', 'ACMC-1B47W', '2,4-Dichlorphenoxyessigsaure', 'SCHEMBL27783', '2,4-D, analytical standard', 'BSPBio_002383', 'KBioGR_001103', 'KBioSS_002370', 'SPECTRUM330040', '2,4-Dichlorphenoxyessigsaeure', '4-06-00-00908 (Beilstein Handbook Reference)', 'KSC490S9L', 'MLS001055481', 'MLS001066378', 'BIDD:ER0676', "Chipco turf herbicide ''D''", 'DivK1c_006560', 'Butoxy-D 3: 1 Liquid emulsifiable Brushkiller LV96', 'Low Vol 4 Ester Weed Killer', 'SPBio_001670', '2,4-dichlorphenoxy acetic acid', 'Amine 4 2,4-D Weed Killer', 'CHEMBL367623', '(2,4-Dichlorphenoxy)essigsaure', '2,4-dichloro-phenoxyacetic acid', '2,4-dichlorophenoxy-acetic acid', 'DTXSID0020442', '(2,4-Dichlorphenoxy)essigsaeure', '2,4-?Dichlorophenoxyacetic acid', 'Chipco turf herbicide quot DQuot', 'CTK3J0995', 'KBio1_001504', 'KBio2_002366', 'KBio2_004934', 'KBio2_007502', 'KBio3_001883', 'KS-00000WXR', 'ZINC57143', '2,4-Dichlorophenyloxyacetic Acid', 'NSC2925', 'HMS2749P17', '(2,4-dichloro-phenoxy)acetic acid', '(2,4-dichlorophenoxy)-acetic acid', '2,4-dichlorophenoxy-1-acetic acid', '(2, 4-Dichlorophenoxy)acetic acid', 'ALBB-000811', 'NSC-2925', 'Tox21_201751', 'Tox21_300890', '(2,4-dichloro-phenoxy)-acetic acid', 'ANW-40334', 'BBL007778', 'CCG-39393', 'SBB040531', 'STK386452', 'Chipco turf herbicide "D" Chloroxone', '2,4-D 10 microg/mL in Acetonitrile', '2,4-Dichlorophenoxyacetic acid, 97%', 'AKOS000103940', 'AC-3256', 'BS-4286', 'LS-1967', 'MCULE-7323613760', 'MP-2209', 'NSC 190751', '2,4-D 100 microg/mL in Acetonitrile', 'NCGC00090713-01', 'NCGC00090713-03', 'NCGC00090713-04', 'NCGC00090713-05', 'NCGC00090713-06', 'NCGC00090713-07', 'NCGC00090713-08', 'NCGC00090713-09', 'NCGC00254794-01', 'NCGC00259300-01', 'HY-18572', '2,4-D / 2,4-Dichlorophenoxyacetic acid', '2.4-D (2.4-Dichlorophenoxyacetic acid)', 'DB-057528', '2,4-D, PESTANAL(R), analytical standard', 'CS-0008188', 'D0396', 'FT-0610063', 'NS00000247', 'ST45161430', 'X6795', '94D757', 'C03664', '16661-EP2289892A1', '16661-EP2308848A1', '16661-EP2316459A1', '33202-EP2305655A2', '33202-EP2305658A1', '33202-EP2305662A1', '33202-EP2311815A1', '33202-EP2371823A1', '33202-EP2374786A1', '33438-EP2311815A1', '33438-EP2374786A1', 'Q209222', 'SR-01000596969', '(2,4-dichlorophenoxy)acetic acid (ACD/Name 4.0)', '2,4-D, certified reference material, TraceCERT(R)', '2,4-Dichlorophenoxyacetic acid, analytical standard', 'SR-01000596969-1', 'W-100185', 'BRD-K01473791-001-02-2', 'BRD-K01473791-001-06-3', 'Acetic acid, (2,4-dichlorophenoxy)- (7CI,8CI,9CI)', 'F0850-6564', 'Visko-rhap low drift herbicides Visko-rhap low volatile 4l', '2,4-Dichlorophenoxyacetic acid, plant cell culture tested, &gt;=98%, crystalline', '2,4-DICHLOROPHENOXYACETIC ACID (SEE ALSO PEROXISOME PROJECT (2,4-DICHLOROPHENOXYACETIC ACID))', 'PEROXISOME PROJECT (2,4-DICHLOROPHENOXYACETIC ACID) (SEE ALSO 2,4-DICHLOROPHENOXYACETIC ACID)']</t>
  </si>
  <si>
    <t>Compound(1486)</t>
  </si>
  <si>
    <t>C8H6Cl2O3</t>
  </si>
  <si>
    <t>(2-ethyl-4-methylpentyl) 2-(2,4-dichlorophenoxy)acetate</t>
  </si>
  <si>
    <t>['Caswell No. 315AT', '2,4-D 2-ethyl-4-methylpentyl ester', '53404-37-8', '2,4-D 2 ethyl-4-methylpentyl ester', 'EPA Pesticide Chemical Code 030064', '2-ETHYL-4-METHYLPENTYL (2,4-DICHLOROPHENOXY)ACETATE', 'Isooctyl(2-ethyl-4-methylpentyl) 2,4-dichlorophenoxyacetate', 'Acetic acid, (2,4-dichlorophenoxy)-, 2-ethyl-4-methylpentyl ester', '2,4-Dichlorophenoxyacetic acid isooctyl(2-ethyl-4-methylpentyl) ester', '2-Ethyl-4-methylpentyl 2,4-dichlorophenoxyacetate', '2,4-d, isooctyl ester', 'DTXSID2034679', '2,4-d,2-Ethyl-4-methylpentyl ester.', '2,4-D, 2-ethyl-4-methylpentyl ester.', 'LS-11631', 'Q27265094', '2,4-Dichlorophenoxyacetic acid 2-ethyl-4-methylpentyl ester']</t>
  </si>
  <si>
    <t>Compound(62039)</t>
  </si>
  <si>
    <t>C16H22Cl2O3</t>
  </si>
  <si>
    <t>2,4-D 2-ethylhexyl ester</t>
  </si>
  <si>
    <t>2-ethylhexyl 2-(2,4-dichlorophenoxy)acetate</t>
  </si>
  <si>
    <t>['2,4-D 2-Ethylhexyl ester', '1928-43-4', '2,4-D-2-ethylhexyl', 'Caswell No. 315AS', '2-Ethylhexyl 2,4-dichlorophenoxyacetate', '2-ethylhexyl 2-(2,4-dichlorophenoxy)acetate', '2,4-D-2-ethylhexyl [ISO]', '2-ethylhexyl-2,4-dichlorophenoxy acetate', '2-Ethylhexyl (2,4-dichlorophenoxy)acetate', 'HSDB 7309', 'Acetic acid, (2,4-dichlorophenoxy)-, 2-ethylhexyl ester', 'EINECS 217-673-3', 'EPA Pesticide Chemical Code 030063', 'BRN 2293059', '2,4-D 2-EHE', '(2,4-Dichlorophenoxy)acetic acid 2-ethylhexyl ester', 'W-109127', 'CCRIS 8567', '2,4-D 2-Ethylhexyl', 'DSSTox_CID_444', '2,4-D-2-ethylhexyl ester', 'DSSTox_RID_75593', 'DSSTox_GSID_20444', 'SCHEMBL5933385', 'CHEMBL1489206', 'DTXSID4034235', '2,4-D Isooctyl ester, 67%', 'CTK4E1102', '2,4-D, Isooctyl ester, 67%', 'LV-69', 'Tox21_200926', 'ACM1928434', '2-Ethylhexyl-2,4-dichlorophenoxyacetate', 'NCGC00091102-01', 'NCGC00091102-02', 'NCGC00091102-03', 'NCGC00258480-01', 'LS-11629', '(2-ethylhexyl)2,4-dichloro-phenoxyacetate', 'CAS-25168-26-7', 'DB-044813', 'FT-0603579', 'NS00020762', 'C-20111', '2,4-DICHLOROPHENOXYACETIC ACID ETHYLHEXYL ESTER', 'Q22329336', '2,4-DICHLOROPHENOXYACETIC ACID 2-ETHYLHEXYL ESTER', 'Acetic acid,2-(2,4-dichlorophenoxy)-, 2-ethylhexyl ester', '2-Ethylhexyl 2,4-dichlorophenoxyacetate;2-ethylhexyl 2,4-dichlorophenoxyacetate;2,4-D isooctyl ester;isooctyl (2,4-dichlorophenoxy)acetate;Isooctyl (2,4-dichlorophenoxy)acetate']</t>
  </si>
  <si>
    <t>Compound(61286)</t>
  </si>
  <si>
    <t>2,4-diamino-6-nitrotoluene</t>
  </si>
  <si>
    <t>4-methyl-5-nitrobenzene-1,3-diamine</t>
  </si>
  <si>
    <t>['4-methyl-5-nitrobenzene-1,3-diamine', '2,4-Diamino-6-nitrotoluene', '6629-29-4', '2-Nitro-4,6-diaminotoluene', '1,3-Benzenediamine, 4-methyl-5-nitro-', 'CCRIS 5189', 'NSC 58082', 'NSC 58161', 'AI3-23209', 'AK128823', '1, 4-methyl-5-nitro-', 'Toluene-2,4-diamine, 6-nitro-', 'SCHEMBL629679', 'CHEBI:19342', 'CTK5C4066', 'KS-00000MMQ', 'DTXSID10216498', 'NSC58082', 'NSC58161', 'ZINC1688891', 'FCH839335', 'NSC-58082', 'NSC-58161', '2,4-Diamino-1-methyl-6-nitrobenzene', 'AKOS004121742', 'DS-2960', 'MP-1132', '1,3-Benzenediamine,4-methyl-5-nitro-', '4-methyl-5-nitro-benzene-1,3-diamine', '4-Methyl-5-nitro-1,3-benzenediamine #', 'AC-10513', 'LS-29619', 'AB0062031', 'AX8066529', 'DB-008127', 'FT-0609971', 'Z5005', 'C16396', 'C-55630', 'Q27109172']</t>
  </si>
  <si>
    <t>Compound(96177)</t>
  </si>
  <si>
    <t>C7H9N3O2</t>
  </si>
  <si>
    <t>2,4-diamino toluene</t>
  </si>
  <si>
    <t>4-methylbenzene-1,3-diamine</t>
  </si>
  <si>
    <t>['2,4-Diaminotoluene', '95-80-7', '4-methylbenzene-1,3-diamine', '2,4-Toluenediamine', 'TOLUENE-2,4-DIAMINE', '1,3-Benzenediamine, 4-methyl-', 'Developer mtd', 'm-Toluenediamine', 'Developer T', 'Fourrine M', 'm-Tolylenediamine', 'Benzofur MT', 'Developer DBJ', 'Eucanine GB', 'Pelagol J', 'Tertral G', 'Pelagol Grey J', '2,4-Toluene diamine', 'Developer MT-CF', 'Zogen developer H', 'Brown for Fur T', 'Fourrine 94', 'Tolylene-2,4-diamine', 'Nako TMT', 'Zoba GKE', '2,4-Diaminotoluol', '4-Methyl-m-phenylenediamine', '2,4-Tolamine', '4-m-Tolylenediamine', 'Developer B', 'Fouramine J', '2,4-Diamino-1-toluene', '3-Amino-p-toluidine', '5-Amino-o-toluidine', 'Developer DB', 'Developer MC', 'Developer MT', 'Pontamine Developer TN', 'Renal MD', 'Developer 14', 'Toluenediamine', '2,4-Diaminotoluen', '4-Methyl-1,3-benzenediamine', 'm-Toluylendiamin', '2,4-Diamino-1-methylbenzene', 'meta-Tolylenediamine', 'Toluenediamine, o-', 'RCRA waste number U221', 'C.I. Oxidation Base 35', '1,3-Diamino-4-methylbenzene', 'CI Oxidation Base 35', 'm-Toluylendiamin [Czech]', '2,4-Tolylenediamine', 'Fouramine', 'UNII-IS1AKN4HYB', 'NCI-C02302', 'm-Toluylenediamine', '2,4-Diaminotoluen [Czech]', 'Azogen developer H', 'C.I. Oxidation base 200', 'CCRIS 202', 'NCI-C023O2', '1-Methyl-2,4-phenylenediamine', '4-Methyl-1,3-phenylenediamine', '3-amino-p-tolui dine', 'C.I. Oxidation Base', 'HSDB 2849', 'C.I. oxidation ba se', 'IS1AKN4HYB', 'EINECS 202-453-1', 'UN1709', 'BRN 2205839', '2,4-Diaminotoluene, 98%', 'AI3-03717', 'TDA', 'CHEBI:34237', '2,4-Diaminotoluene (2,4-toluene diamine)', 'DSSTox_CID_402', 'DSSTox_RID_75565', 'DSSTox_GSID_20402', 'CAS-95-80-7', '3-amino-4-methylaniline', 'toluylendiamin', 'Four amine', '1,3-Benzenediamine, 4-methyl-, hydrochloride (1:2)', '2,4-diamino toluene', '2,4-diamino-toluene', 'pontamine  developer tn', 'PubChem21656', 'Diaminotoluene, 2,4-', '3-amino-4-methyl-aniline', 'ACMC-209s5b', 'C.I. Oxidation base 20', 'EC 202-453-1', '4-Methyl-1,3-benzenediamine labeled with tritium', 'SCHEMBL15010', '4-13-00-00235 (Beilstein Handbook Reference)', 'KSC486Q1D', 'MLS001055347', 'BIDD:ER0683', '1,3-Benzenediamine, 4-methyl-, labeled with tritium', '4-methyl-benzene-1,3-diamine', '4-Methylphenylene-1,3-diamine', 'ARONIS008340', 'CHEMBL541230', 'DTXSID4020402', 'CTK3I6811', '(5-amino-2-methyl-phenyl)-amine', 'ZINC388039', 'EBD24781', 'KS-00000WR0', 'Tox21_201411', 'Tox21_300143', 'ANW-40749', 'BBL011285', 'MFCD00007804', 'SBB007556', 'STK941128', 'AKOS000119800', 'LS-1990', 'MCULE-7032087157', 'NE10513', 'UN 1709', '2,4-Diaminotoluene, analytical standard', 'KS-0000407C', 'NCGC00090717-01', 'NCGC00090717-02', 'NCGC00090717-03', 'NCGC00090717-04', 'NCGC00254214-01', 'NCGC00258962-01', '71111-07-4', 'AC-14889', 'SMR000673562', 'VS-02912', 'DB-027585', '2,4-Toluylenediamine or 2,4-toluenediamine', 'C.I. 76035', 'D0123', 'FT-0609976', 'FT-0666393', 'NS00007515', 'ST45045087', 'C14401', '4-Methyl-m-phenylenediamine, analytical standard', 'Q209195', 'W-100157', 'Z57825344', 'F3034-0052', 'TRANSGENIC MODEL EVALUATION (2,4-DIAMINOTOLUENE)', 'UNII-NJX12DY6BY component VOZKAJLKRJDJLL-UHFFFAOYSA-N', '2,4-Toluylenediamine or 2,4-toluenediamine [UN1709]  [Poison]', '2,4-Toluylenediamine or 2,4-toluenediamine [UN1709] [Poison]', 'Toluenes (2,4-diaminotoluene, p-nitrotoluene, 4-chloro-o-phenylenediamine', '2,4-DIAMINOTOLUENE (2,4-TOLUENE DIAMINE) (SEE ALSO TRANSGENIC MODEL EVALUATION (2,4-DIAMINOTOLUENE))', '2,4-Diaminotoluene;2,4-Toluenediamine;Toluene, 2,4-diamine;4-methyl-m-phenylenediamine;4-methyl-m-phenylenediamine (toluene-2,4-diamine)', '2,4-Toluenediamine; Toluene-2,4-diamine; 4-Methyl-m-phenylenediamine; 4-Methyl-1,3-phenylenediamine; C.I. 76035; C.I. Oxidation base']</t>
  </si>
  <si>
    <t>Compound(7261)</t>
  </si>
  <si>
    <t>C7H10N2</t>
  </si>
  <si>
    <t>2,4-diaminoanisole sulfate</t>
  </si>
  <si>
    <t>4-methoxybenzene-1,3-diamine;sulfuric acid</t>
  </si>
  <si>
    <t>['2,4-DIAMINOANISOLE SULFATE', '39156-41-7', '4-Methoxybenzene-1,3-diamine sulfate', 'Pelagol Grey', 'Fouramine BA', 'Fourrine SLA', 'Pelagol BA', 'Pelagol SLA', 'Durafur Brown MN', 'Furro SLA', 'Renal SLA', 'Ursol SLA', 'Pelagol Grey SLA', 'Fourrine 76', 'Nako TSA', 'Zoba SLE', 'BASF Ursol SLA', '2,4-DAA sulfate', 'Oxidation Base 12A', '4-Methoxy-1,3-benzenediamine sulphate', 'CI Oxidation Base 12A', '2,4-Diaminosole sulphate', 'UNII-N4U4U64VRF', '2,4-Diaminoanisile sulfate', '2,4-Diaminoanisole sulphate', 'C.I. Oxidation Base 12A', '2,4-Diamino-anisol sulphate', 'CCRIS 3513', '4-Methoxy-m-phenylenediammonium sulphate', 'HSDB 5076', 'Anisole, 2,4-diamino-, sulfate', 'NCI-C01989', 'C.I. 76051', '4-Methoxy-m-phenylenediamine sulfate', 'EINECS 254-323-9', 'p-Methoxy-m-phenylenediamine sulphate', '4-Methoxy-m-phenylenediamine sulphate', '2,4-Diaminoanisole sulfate trihydrate', '4-Methoxy-1,3-benzenediamine sulfate', '1,3-Diamino-4-methoxybenzene sulphate', '2,4-Diamino-1-methoxybenzene sulphate', '4-Methoxybenzene-1,3-diamine sulphate', '1,3-Benzenediamine, 4-methoxy-, sulfate (1:1)', 'N4U4U64VRF', 'CI 76051', 'CCRIS 201', '1,3-Benzenediamine, 4-methoxy-, sulfate', 'Anisole, 2,4-diamino-, hydrogen sulfate', '4-methoxybenzene-1,3-diamine; sulfuric acid', '4-Methoxy-1,3-benzenediamine sulfate (1:1)', 'EINECS 228-290-6', '1,3-Benzenediamine, 4-methoxy, sulfate', 'm-Phenylenediamine, 4-methoxy-, sulfate', '4-(methyloxy)benzene-1,3-diamine sulfate', '1,3-Benzenediamine, 4-methoxy-, sulfate (1:?)', 'PubChem1905', 'DSSTox_CID_398', 'ACMC-1B3KK', 'DSSTox_RID_75561', 'DSSTox_GSID_20398', 'KSC222G4P', 'SCHEMBL479725', 'CHEMBL3186170', 'DTXSID7020398', 'CTK1C2347', 'KS-00000MMR', 'LABOTEST-BB LTBB004787', 'ACT07290', '2,4-DIAMINO ANISOLE SULFATE', 'Tox21_200494', 'UKRORGSYN-BB BBR-009182', '4-Methoxybenzene-13-diamine sulfate', 'ANW-44485', 'SBB061625', 'AKOS015897358', 'AS04137', 'DS-2059', 'LS-1249', 'MCULE-3566831931', 'MP-0962', '2,4-Diaminoanisole sulfate salt hydrate', '2,4-Diaminoanisole sulfate, AldrichCPR', '4-Methoxy-1,3-phenylenediamine Sulfate', '4-methoxybenzene-1,3-diaminium sulfate', 'ACM39156417', 'NCGC00258048-01', 'AC-11639', 'AK-93491', 'SC-62925', '4-methoxybenzene-1,3-diaminesulfuric acid', '2,4-DIAMINOANISOLE SULFATE (1:1)', 'AX8066535', 'CAS-39156-41-7', 'LS-190762', '4-Methoxy-m-phenylenediamine sulfate hydrate', 'D1309', 'FT-0654932', 'ST51047632', 'A824429', 'Q26840983', '4-METHOXY-M-PHENYLENEDIAMINE SULFATE SALT HYDRATE']</t>
  </si>
  <si>
    <t>Compound(38221)</t>
  </si>
  <si>
    <t>C7H12N2O5S</t>
  </si>
  <si>
    <t>2,4-diaminoanisole</t>
  </si>
  <si>
    <t>4-methoxybenzene-1,3-diamine</t>
  </si>
  <si>
    <t>['2,4-DIAMINOANISOLE', '615-05-4', '4-methoxybenzene-1,3-diamine', '1,3-Benzenediamine, 4-methoxy-', '4-Methoxy-m-phenylenediamine', '2,4-Diaminoanisol', 'm-Diaminoanisole', 'Pelagol L', 'Pelagol DA', 'Pelagol Grey L', 'Furro L', '2,4-Diamineanisole', '2,4-Diaminoanisole base', 'm-Phenylenediamine, 4-methoxy-', 'Anisole, 2,4-diamino-', 'C.I. Oxidation Base 12', 'p-Methoxy-m-phenylenediamine', '4-Methoxy-3-phenylenediamine', '1,3-Diamino-4-methoxybenzene', '2,4-Diamino-1-methoxybenzene', '4-Methoxy-1,3-benzenediamine', '4-Methoxy-1,3-phenylenediamine', 'CI Oxidation Base 12', 'm-Phenylenediamine, 4-methoxy- (8CI)', 'UNII-86SSM2N1X7', '4-Mmpd', 'CCRIS 5226', 'CI 76050', 'HSDB 4130', 'Benzene, 2,4-diamino-1-methoxy-', 'C.I. 76050', '2,4-Diaminoanisole 2-hydrochloride', 'm-Diaminoanisole 1,3-diamino-4-methoxybenzene', 'EINECS 210-406-1', 'BRN 2085522', '86SSM2N1X7', 'CHEBI:82309', '1-methoxy-2,4-diamino-benzene', '3-AMINO-4-METHOXYANILINE', '2,4-diamino anisole', 'PubChem4107', '5-amino-p-methoxyaniline', '4-methoxy-m-phenylendiamine', '2,4-Diaminoanisole, 90%', 'KSC353K9D', 'SCHEMBL212391', '4 Methoxy meta phenylenediamine', '4-Methoxy-1.3-phenylenediamine', '4-Methoxy-benzene-1,3-diamine', 'CHEMBL3302060', 'DTXSID5041358', 'CTK2F3591', '2,4 DAA', '2,4-DAA', 'ZINC406912', 'KS-000010WF', 'AKOS005357492', '4-METHOXY-1,3-PHENYLENDIAMINE', 'AS04209', 'MCULE-3945194306', '2,4-Diaminoanisole, analytical standard', 'NCGC00248658-01', 'LS-20210', 'DB-053910', 'FT-0632567', 'X6229', 'C19218', '615D054', 'W-106455', 'Q20983436', '4-Methoxy-1,3-phenylendiamine. Short expiry date due to chemical nature of component(s)', '2,4-Diaminoanisole sulfate;2,4-Diaminoanisole;4-methoxy-m-phenylenediamine;4-methoxybenzene-1,3-diamine;4-methoxybenzene-1,3-diamine sulphate']</t>
  </si>
  <si>
    <t>Compound(11976)</t>
  </si>
  <si>
    <t>C7H10N2O</t>
  </si>
  <si>
    <t>2,4-dichlorophenoxybutyric acid</t>
  </si>
  <si>
    <t>4-(2,4-dichlorophenoxy)butanoic acid</t>
  </si>
  <si>
    <t>['4-(2,4-Dichlorophenoxy)butanoic acid', '94-82-6', '2,4-DB', 'Butoxone', '4-(2,4-DICHLOROPHENOXY)BUTYRIC ACID', '2,4-dichlorophenoxybutyric acid', 'Butyrac', '2,4-D butyric acid', 'Legumex D', 'Butormone', 'Buratal', 'Butirex', 'Butoxon', 'Butoxone ester', 'Butyrac ester', 'Butyrac 118', 'Butyrac 200', 'Sys 67 Buratal', 'Butanoic acid, 4-(2,4-dichlorophenoxy)-', 'Butoxone amine', 'Caswell No. 316', '2,4-DM', 'gamma-(2,4-Dichlorophenoxy)butyric acid', 'NSC 70337', 'UNII-SL314DW868', 'CCRIS 1021', '2,4-DB [BSI:ISO]', 'Butyric acid, 4-(2,4-dichlorophenoxy)-', 'HSDB 6603', '2,4-(Dichlorophenoxy)butyric acid', '4-(2,4-DB)', 'EINECS 202-366-9', 'EPA Pesticide Chemical Code 030801', 'Kyselina 4-(2,4-dichlorfenoxy)maselna', 'BRN 1976809', 'CHEBI:73173', 'Kyselina 4-(2,4-dichlorfenoxy)maselna [Czech]', 'SL314DW868', '(2,4-Dichlorophenoxy)butyric acid', 'NCGC00094532-06', 'gamma-(2,4-dichlorophenoxy)butanoic acid', 'gamma-(2,4-dichlorophenoxy)-butyric acid', '.gamma.-(2,4-Dichlorophenoxy)butyric acid', 'gamma-(2,4-dichlorophenoxy)-butanoic acid', '2,4-DB (4-(2,4-Dichlorophenoxy)butanoic Acid)', 'Venceweed', 'Embutox klean-up', 'Embutox (Salt/Mix)', '2,4-D Butyric', 'Embutone (Salt/Mix)', "Campbell's db straight", 'Spectrum_001855', 'Embutox E (Salt/Mix)', 'SpecPlus_000466', 'Spectrum2_001854', 'Spectrum3_000833', 'Spectrum4_000673', 'Spectrum5_001980', 'DSSTox_CID_4035', 'Dichlorophenoxy)butyric acid', 'WLN: QV3OR BG DG', 'DSSTox_RID_77263', 'DSSTox_GSID_24035', 'BSPBio_002385', 'KBioGR_001105', 'KBioSS_002372', 'SPECTRUM330041', '4-06-00-00927 (Beilstein Handbook Reference)', 'MB 2878 (Salt/Mix)', 'MLS002207204', 'DivK1c_006562', 'SCHEMBL116448', 'SPBio_001668', 'CHEMBL1892377', 'DTXSID7024035', 'CTK7J3913', 'KBio1_001506', 'KBio2_002368', 'KBio2_004936', 'KBio2_007504', 'KBio3_001885', 'Butyric acid,4-dichlorophenoxy)-', 'Butanoic acid,4-dichlorophenoxy)-', 'NSC70337', 'ZINC1696211', 'Tox21_400080', '2.4-DB', '5654AF', 'BBL015279', 'CCG-39392', 'GEO-04121', 'NSC-70337', 'SBB003160', 'STK107020', '2,4-dichloro-4-phenoxy-butanoic acid', 'AKOS000104014', 'MCULE-5266190327', '2,4-DB 10 microg/mL in Acetonitrile', 'CAS-94-82-6', '2,4-DB 100 microg/mL in Acetonitrile', '4-(2,4-Dichloro-phenoxy)-butyric acid', 'NCGC00094532-01', 'NCGC00094532-02', 'NCGC00094532-03', 'NCGC00094532-04', 'NCGC00094532-05', 'NCGC00094532-07', 'LS-47946', 'SMR000777852', 'VS-04882', '2,4-DB, PESTANAL(R), analytical standard', 'FT-0616499', 'H3012', 'NS00006429', 'ST50051678', 'C14404', 'Butanoic acid, 4-(2,4-dichlorophenoxy)- (9CI)', 'Q229887', 'W-100182', '2,4-DB, certified reference material, TraceCERT(R)', 'BRD-K69188402-001-04-2', 'Z57252704', '4-(2,4-Dichlorophenoxy)butyric acid, analytical standard']</t>
  </si>
  <si>
    <t>Compound(1489)</t>
  </si>
  <si>
    <t>C10H10Cl2O3</t>
  </si>
  <si>
    <t>2,4-dimethylhexan-3-ol</t>
  </si>
  <si>
    <t>['2,4-Dimethyl-3-hexanol', '2,4-Dimethylhexan-3-ol', '13432-25-2', '3-Hexanol, 2,4-dimethyl-', '2,4-dimethyl-hexan-3-ol', 'NSC93914', 'EINECS 236-554-7', '3-Hexanol,2,4-dimethyl-', 'SCHEMBL2743778', 'CTK4B9098', 'DTXSID20880705', '7990AF', 'NSC-93914', 'AKOS013028748', 'MCULE-1108508487', 'DB-042230', 'FT-0636890', 'NS00054342']</t>
  </si>
  <si>
    <t>Compound(98257)</t>
  </si>
  <si>
    <t>['2,4-Dimethylbenzaldehyde', '15764-16-6', 'Benzaldehyde, 2,4-dimethyl-', '2,4-dimethyl benzaldehyde', '2,4-Xylylaldehyde', '2,4-Dimethylbenzenecarboxaldehyde', '2,4-dimethyl-benzaldehyde', 'UNII-I06YU18H4A', '1-Formyl-2,4-dimethylbenzene', 'MFCD00003340', 'I06YU18H4A', '2,4-Dimethylbenzaldehyde, 99%', 'm-Xylylaldehyde', 'FEMA No. 3427', '2,4-TRIMETHYL BENZALDEHYDE', 'EINECS 239-856-7', 'PubChem3070', 'ACMC-209dgj', '2,3-Dimethybenzaldehyde', 'm-Xylene-4-carboxaldehyde', 'SCHEMBL95501', 'KSC138M4D', 'FEMA 3427', 'DTXSID60166297', '2,4-Dimethylbenzaldehyde, &gt;=90%', 'KS-00000MO0', 'ZINC1850617', 'ANW-21713', 'SBB058778', 'STL185603', 'WT1693', 'AKOS000120288', 'AC-3324', 'MCULE-1493561781', 'VZ22643', '15764-16-6 2,4-dimethylbenzaldehyde', 'AK-51228', 'BR-51228', 'DS-15791', 'L074', 'SC-01394', 'SY004505', 'AB0014519', 'DB-023755', 'D2392', 'FT-0637272', 'FT-0652948', 'NS00018667', 'ST51037962', 'M-8208', '2,4-Dimethylbenzaldehyde, technical grade, 90%', '2,4-dimethylbenzaldehyde;2,4-Dimethylbenzaldehyde', 'A809861', 'W-108000', 'Q27280189', '2,4-Dimethylbenzaldehyde, Vetec(TM) reagent grade, 95%']</t>
  </si>
  <si>
    <t>Compound(61814)</t>
  </si>
  <si>
    <t>C9H10O</t>
  </si>
  <si>
    <t>2,4-dimethylpentane</t>
  </si>
  <si>
    <t>['2,4-DIMETHYLPENTANE', '108-08-7', 'Pentane, 2,4-dimethyl-', 'Diisopropylmethane', 'UNII-4JT8Q9QOHI', '4JT8Q9QOHI', '2,4-dimethylpentane, standard for gc', 'NSC61989', 'EINECS 203-548-0', 'NSC 61989', 'FR-2352', '2,4-dimethyl-pentane', 'ACMC-1C2G6', '2,4-Dimethylpentane, 99%', 'DTXSID2059358', 'CTK0I0849', 'ZINC1690950', '7809AF', 'ANW-15890', 'MFCD00008945', 'NSC-61989', 'AKOS015841725', 'ZINC103621946', 'FCH1114874', '2,4-Dimethylpentane, analytical standard', 'CC-07566', 'DB-040810', 'D0769', 'FT-0610179', 'NS00019864', 'C-28163', 'J-002056', 'Q2813787']</t>
  </si>
  <si>
    <t>Compound(7907)</t>
  </si>
  <si>
    <t>C7H16</t>
  </si>
  <si>
    <t>2,4-dimethyl-3-pentanone</t>
  </si>
  <si>
    <t>2,4-dimethylpentan-3-one</t>
  </si>
  <si>
    <t>['2,4-DIMETHYL-3-PENTANONE', 'Diisopropyl ketone', '2,4-Dimethylpentan-3-one', '565-80-0', 'Isobutyrone', '3-Pentanone, 2,4-dimethyl-', 'Isopropyl ketone', 'DIISOPROPYLKETONE', 'UNII-7AAP3A50IG', '2,4-dimethyl-pentan-3-one', 'EINECS 209-294-7', 'MFCD00008918', 'NSC 14662', '(iso-C3H7)2CO', 'PM 2763', '7AAP3A50IG', '3-PENTANONE,2,4-DIMETHYL', '2,4-Dimethyl-3-pentanone, 98%', 'Diisopropyl ketone (2,4-Dimethyl-3-pentanone)', 'isopropylketone', 'diisopropylketon', 'di-iso-propyl ketone', 'ACMC-1AJSR', '3-Pentanone,4-dimethyl-', 'DSSTox_CID_18771', 'DSSTox_GSID_38771', 'SCHEMBL25173', '2, 4-Dimethyl-3-pentanone', 'KSC490C7J', 'CHEMBL3560924', 'DTXSID3038771', 'CHEBI:87754', 'CTK3J0174', 'KS-000010RD', 'NSC14662', 'ZINC1653137', 'Tox21_303876', 'ANW-32552', 'NSC-14662', 'AKOS005206866', 'MCULE-2525492530', 'NCGC00357269-01', 'CAS-565-80-0', 'LS-101945', 'D0770', 'FT-0610158', 'NS00020097', '2,4-Dimethyl-3-pentanone (diisopropyl ketone)', 'A831104', 'Q27159900']</t>
  </si>
  <si>
    <t>Compound(11271)</t>
  </si>
  <si>
    <t>2,4-dimethylhexane</t>
  </si>
  <si>
    <t>['2,4-DIMETHYLHEXANE', '589-43-5', 'Hexane, 2,4-dimethyl-', 'Alkanes, C7-10-iso-', '2,4-dimethyl-hexane', '90622-56-3', 'NSC74171', 'EINECS 209-649-6', 'EINECS 292-458-5', 'NSC 74171', 'FR-2132', '2,4-Dimethyl hexane', 'ACMC-1AZFZ', '2-methyl-4-ethyl-pentane', '2,4-Dimethylhexane, 99%', 'KSC269M2T', 'CTK1G9629', 'DTXSID60873237', 'CHEBI:141561', 'ANW-33086', 'NSC-74171', 'AKOS015841728', 'FCH1114982', 'OR52416', 'KS-000010T8', 'Hexane, 2,4-dimethyl- (8CI)(9CI)', '2,4-dimethylhexane;Alkanes, C7-10-iso-', 'DB-053290', 'D1110', 'FT-0610176', 'NS00021231', 'C-51253', 'Q2813785']</t>
  </si>
  <si>
    <t>Compound(11511)</t>
  </si>
  <si>
    <t>2,4-dimethylphenol</t>
  </si>
  <si>
    <t>['2,4-DIMETHYLPHENOL', '105-67-9', '2,4-Xylenol', 'Phenol, 2,4-dimethyl-', '4,6-Dimethylphenol', '1-Hydroxy-2,4-dimethylbenzene', '4-Hydroxy-1,3-dimethylbenzene', 'RCRA waste number U101', '2,4-Dimethyl phenol', 'Caswell No. 907A', 'Lysol Brand disinfectant', 'NSC 3829', 'Bulk Lysol Brand Disinfectant', 'CCRIS 721', 'UNII-5OD803C081', '2,4-Dimethyl-phenol', 'HSDB 4253', '2,4-DMP', 'Gable-Tite Dark Creosote (Creola)', 'Benzene, 2,4-dimethyl-1-hydroxy-', 'Du Cor Concentrated Fly Insecticide', 'Gable-Tite Light Creosote (Creola)', 'EINECS 203-321-6', 'RCRA waste no. U101', 'EPA Pesticide Chemical Code 086804', 'BRN 0636244', 'AI3-17612', 'CHEBI:34241', '5OD803C081', 'DSSTox_CID_1864', 'DSSTox_RID_76371', 'DSSTox_GSID_21864', 'CAS-105-67-9', '2,4dimethylphenol', '2.4-dimethylphenol', 'Dimethylphenol-2,4', '2,4-Xylenol.', 'Dimethylphenol,2,4-', 'PubChem21747', 'ACMC-1BSNQ', 'EC 203-321-6', 'SCHEMBL92167', '2,4-Dimethylphenol, 98%', '4-06-00-03126 (Beilstein Handbook Reference)', 'KSC175Q0B', 'MLS002152861', 'BIDD:ER0275', 'CHEMBL29878', 'WLN: QR B1 D1', '1,3-Dimethyl-4-hydroxybenzene', '2,4-Xylenol, &gt;=98%', 'DTXSID2021864', 'CTK0H5800', 'KS-00000WUH', 'NSC3829', 'HMS3039J10', 'ACT00460', 'NSC-3829', 'ZINC1672873', 'Tox21_201787', 'Tox21_300051', '2,4-Dimethylphenol (2,4-Xylenol)', 'ANW-15264', 'BBL011443', 'LS-391', 'MFCD00002233', 'SBB060657', 'STL146554', 'AKOS000121556', 'AM62796', 'MCULE-2639440236', '2,4-Dimethylphenol, analytical standard', 'NCGC00091611-01', 'NCGC00091611-02', 'NCGC00091611-03', 'NCGC00091611-04', 'NCGC00091611-05', 'NCGC00253938-01', 'NCGC00259336-01', 'L077', 'PS-11923', 'SC-19129', 'SMR001224485', 'DB-010714', 'D0774', 'FT-0610239', 'NS00010821', 'ST51046795', '2,4-Dimethylphenol 100 microg/mL in Methanol', 'C14582', 'Q2437536', 'W-108780', '2,4-Dimethylphenol, PESTANAL(R), analytical standard', 'F0001-0111', 'Dimethylphenol-2,4;2,4-xylenol;2,4-Xylenol;2,4-XYLENOL', 'UNII-I4C43Y9C7V component KUFFULVDNCHOFZ-UHFFFAOYSA-N', 'N0D']</t>
  </si>
  <si>
    <t>Compound(7771)</t>
  </si>
  <si>
    <t>['2,4-Lutidine', '2,4-DIMETHYLPYRIDINE', '108-47-4', 'Pyridine, 2,4-dimethyl-', 'alpha,gamma-Dimethylpyridine', '2,4-dimethyl-pyridine', '2,4-Lutidene', 'UNII-83903UJ0WW', 'NSC 2156', 'EINECS 203-586-8', 'BRN 0001506', 'AI3-24281', '.alpha.,.gamma.-Dimethylpyridine', '83903UJ0WW', 'MFCD00006337', '2,4-dimethyl pyridine', '2,4-Lutidine, 98+%', 'NSC2156', '2.4-lutidine', '2,4 Lutidine', '4,6-dimethyl-pyridine', 'PubChem20508', '2,4-Dimethylpyridine.', 'ACMC-1BQPD', '2,4-Lutidine, 99%', 'SCHEMBL44068', '5-20-06-00019 (Beilstein Handbook Reference)', 'KSC179G5T', 'DTXSID2051556', 'CTK0H9359', 'KS-00000UDO', '2,4-Lutidine, analytical standard', 'NSC-2156', 'STR07571', 'ZINC8294954', 'ANW-15945', 'BBL027575', 'SBB060369', 'STL280318', 'AKOS005258307', 'CS-W020592', 'MCULE-4424416466', 'NE10436', 'alpha,Laquo gammaRaquo -dimethylpyridine', 'AC-26213', 'BP-30083', 'H607', 'LS-88368', 'SC-25798', 'DB-023691', 'AM20050655', 'FT-0610233', 'L0085', 'NS00012337', 'ST51046558', 'EN300-19112', 'W-200785', 'Q22266828', '2,4-DIMETHYLPYRIDINE;2,4-dimethylpyridine;2,4-Dimethylpyridine.']</t>
  </si>
  <si>
    <t>Compound(7936)</t>
  </si>
  <si>
    <t>['2,4-DIMETHYLQUINOLINE', '1198-37-4', 'Quinoline, 2,4-dimethyl-', '4-Methylquinaldine', '2,4-Dimethyl-quinoline', 'UNII-7JL3KN3WTD', '7JL3KN3WTD', 'CHEMBL192418', 'AK-54599', 'Q63396589', 'NSC62132', 'EINECS 214-832-9', 'NSC 62132', 'PubChem5875', 'Quinoline,4-dimethyl-', 'AI3-08881', 'ACMC-1BQ9J', '24-DIMETHYLQUINOLINE', 'SCHEMBL89010', 'DTXSID0061610', 'ZINC1691032', 'ANW-17386', 'BDBM50159255', 'MFCD00006760', 'NSC-62132', 'STK052042', 'AKOS003234826', 'FCH1114481', 'MCULE-2106069182', 'KS-000013L4', 'NCGC00188146-01', 'NCGC00188146-02', 'CC-07581', 'DS-14571', 'SC-58100', 'AX8000480', 'DB-020000', 'AM20050707', 'D1237', 'FT-0610188', 'NS00023886', 'ST50824638', 'Y3188', '198D374', 'A804370', 'C-03702']</t>
  </si>
  <si>
    <t>Compound(14536)</t>
  </si>
  <si>
    <t>C11H11N</t>
  </si>
  <si>
    <t>2,4-D propylene glycol butyl ether ester</t>
  </si>
  <si>
    <t>2-butoxypropyl 2-(2,4-dichlorophenoxy)acetate</t>
  </si>
  <si>
    <t>['2,4-D-2-butoxypropyl', '10463-14-6', 'Acetic acid, (2,4-dichlorophenoxy)-, 2-butoxypropyl ester', '1320-18-9', 'Acetic acid, (2,4-dichlorophenoxy)-, 2-butoxymethylethyl ester', '2,4-D-2-butoxypropyl [ISO]', '2-Butoxypropyl (2,4-dichlorophenoxy)acetate', '2,4-D 2-butoxypropyl ester', 'SCHEMBL19371480', 'DTXSID80880625', '2,4-Dichlorophenoxyacetic acid propyleneglycolbutyl-ether ester', '2-Butoxypropyl (2,4-dichlorophenoxy)acetate #', '2,4-Dichlorophenoxyacetic acid 2-butoxypropyl ester', 'Q27278992']</t>
  </si>
  <si>
    <t>Compound(14840)</t>
  </si>
  <si>
    <t>C15H20Cl2O4</t>
  </si>
  <si>
    <t>2,4-D butoxyethyl ester</t>
  </si>
  <si>
    <t>2-butoxyethyl 2-(2,4-dichlorophenoxy)acetate</t>
  </si>
  <si>
    <t>['2,4-D-butotyl', '2,4-D butoxyethyl ester', '1929-73-3', 'Aqua-Kleen', 'Bladex-B', 'Brush killer 64', '2-Butoxyethyl 2,4-dichlorophenoxyacetate', 'Weedone LV 4', '2,4-D 2-Butoxyethyl ester', 'Lo-Estasol', 'Weedone LV-6', '2,4-D butoxyethanol ester', 'Butoxy-D 3', '2,4-D-Bee', 'Weed-Rhap LV-4D', 'Weedone 638', '2,4-D butoxyethanol', '2,4-DBEE', 'Caswell No. 315AI', 'Weedone 100 Emulsifiable', 'UNII-Y4OL636NHU', '2,4-D-butotyl [ISO]', '2,4-D-(2-Butoxyethyl)', 'Acetic acid, (2,4-dichlorophenoxy)-, 2-butoxyethyl ester', 'Butoxyethyl (2,4-dichlorophenoxy)acetate', 'HSDB 6307', '2-butoxyethyl 2-(2,4-dichlorophenoxy)acetate', 'EINECS 217-680-1', 'Butoxyethyl 2,4-dichlorophenoxyacetate', 'EPA Pesticide Chemical Code 030053', '(2,4-Dichlorophenoxy)acetic acid butoxyethyl ester', '2,4-Dichlorophenoxyacetic acid butoxyethanol ester', 'BRN 1996617', 'Y4OL636NHU', 'Butoxyethanol ester of 2,4-dichlorophenoxyacetic acid', '2,4-Dichlorophenoxyacetic acid 2-Butoxyethyl ester', 'Acetic acid, (2,4-dichlorophenoxy)-, butoxyethyl ester', 'Butoxyethanol ester of (2,4-dichlorophenoxy)acetic acid', '2,4-Dichlorophenoxyacetic acid ethylene glycol butyl ether ester', '(2,4-Dichlorophenoxy)acetic acid butoxyethanol ester', 'Acetic acid, (2,4-dichlorophenoxy)-, 2-butoxyethyl ester (8CI,9CI)', 'CCRIS 8562', '2,4-D Butoxyethyl', '2,4-D-butylglycol ester', 'DSSTox_CID_12309', 'DSSTox_RID_78911', 'DSSTox_GSID_32309', '4-06-00-00911 (Beilstein Handbook Reference)', 'Butoxyethanol ester of 2,4-D', 'SCHEMBL2464242', 'CHEMBL3186113', 'DTXSID1032309', 'ZINC2039104', 'Tox21_301559', 'AKOS015913890', 'NCGC00255339-01', 'LS-11615', 'CAS-1929-73-3', 'NS00009740', '2,4-Dichlorophenoxyacetic acid Butoxyethyl Ester', '2,4-dichloro-phenoxyacetic acid butoxyethyl ester', '929D733', 'W-109728', '(2,4-Dichlorophenoxy)acetic acid 2-butoxyethyl ester', 'Q22329266', '2,4-D butylglycol ester, PESTANAL(R), analytical standard', '2,4-D 2-Butoxyethyl Ester ((2,4-Dichlorophenoxy)acetic Acid 2-Butoxyethyl Ester)', '2-butoxyethyl 2,4-dichlorophenoxyacetate;2 , 4-dichlorophenoxyacetic acid , butoxyethanol ester;2,4-D butoxyethyl ester']</t>
  </si>
  <si>
    <t>Compound(16002)</t>
  </si>
  <si>
    <t>C14H18Cl2O4</t>
  </si>
  <si>
    <t>butyl 2-(2,4-dichlorophenoxy)acetate</t>
  </si>
  <si>
    <t>['94-80-4', 'Butyl 2,4-dichlorophenoxyacetate', 'butyl 2-(2,4-dichlorophenoxy)acetate', '2,4-D BUTYL ESTER', 'Lironox', '2,4-D-butyl', 'Butyl ester 2,4-D', '2,4-D n-butyl ester', 'Butyl 2,4-D', 'Butapon', 'Esso Herbicide 10', 'Shell 40', 'Butyl (2,4-dichlorophenoxy)acetate', 'Butyl ester of 2,4-D', '2,4-D 1-butyl ester', 'Butyl dichlorophenoxyacetate', 'Component Orange', 'Purple Component', 'Hi-Ester 2,4-D', 'The Crop Rider', 'Acetic acid, (2,4-dichlorophenoxy)-, butyl ester', 'Line Rider 4T', 'Orange II Component', 'Lironox 326', 'Weed-Rhap B-4D', 'Weed-Rhap B-6D', 'Butyl(2,4-dichlorophenoxy) acetate', "Miller's 4# Ester", "Miller's 6# Ester", '2,4-Dichlorophenoxyacetic acid n-butyl ester', 'Butyl 400', 'Crop Rider 2.67D', 'Caswell No. 315AL', 'Felco HV2 Weed Killer', 'Felco HV4 Weed Killer', 'Weedone Aero Concentrate', '2,4-DBE', 'T-H Ded-Weed ME-6', 'T-H Ded-Weed ME-9', 'Weed-Rhap B-2.67D', '2,4-Dichlorophenoxyacetic acid butyl ester', 'Green Cross Weed-No-More', 'MFA No. 4 Weed Killer', 'MFA No. 6 Weed Killer', 'UNII-6GO3LVR34R', 'Diamond Shamrock Butyl 4D', 'Weedone Aero-Concentrate E', '2,4-D-butyl [ISO]', 'De-Pester Ded-Weed ME-4', 'De-Pester Ded-Weed ME-5', 'De-Pester Ded-Weed ME-6', 'De-Pester Ded-Weed ME-9', 'Weedone Aero-Concentrate 96', 'FS Ester 400 Weed Killer', 'Monsanto 2,4-D Butyl Ester', 'NSC 409767', 'HSDB 1633', 'Rhodia 2,4-D Butyl Ester 6L', 'Chipman 2,4-D Butyl Ester 4E', 'Chipman 2,4-D Butyl Ester 6E', 'Unico 2,4-D Ester Weed Killer', 'Olin Butyl Ester D4 Weed Killer', 'Olin Butyl Ester D6 Weed Killer', 'MFA 40% Butyl Ester Weed Killer', "Barber's 2,4-D Ester Weed Killer", 'Chipman 2,4-D Butyl Ester 334E', 'EINECS 202-364-8', 'Olin Butyl Ester D267 Weed Killer', 'Abco W.K-67 2,4-D Weed Killer', 'Amoco 2,4-D Weed Killer No. 6B', 'General Chemical 2,4-D Butyl Ester Weed Killer', 'Barco Weed Killer (ester Formulation)', 'Diamond Shamrock Butyl 6D Weed Killer', 'EPA Pesticide Chemical Code 030056', 'Techne Butyl Ester Weed Killer No. 4', 'Techne Butyl Ester Weed Killer No. 6', 'BRN 2056085', '6GO3LVR34R', 'Monsanto 2,4-D Butyl Ester Concentrate', 'Parsons 2,4-D Weed Killer Butyl Ester', 'Techne 40% Butyl Ester Type Weed Killer', 'AI3-08686', 'MLS002152860', 'Sure Death No. 4 Butyl Ester Weed Killer', 'Sure Death No. 6 Butyl Ester Weed Killer', 'Felco Butyl Ester 600 2,4-D Weed Killer', 'Sure Death 40% Butyl Ester Type Weedkiller', 'n-Butylester kyseliny 2,4-dichlorfenoxyoctove', '(2,4-Dichlorophenoxy)acetic acid, butyl ester', 'Floratox 428 4-Pound 2,4-D Ester Weed Killer', 'Associated Sales 4-Pound 2,4-D Ester Weed Killer', 'General Chemical 2,4-D 4-Butyl Ester Weed Killer', "Patterson's Hi-Test Butyl Ester 2,4-D Weed Killer", 'General Chemical 2,4-D 3.34 Butyl Ester Weed Killer', 'General Chemical 2,4-D 6.00 Butyl Ester Weed Killer', 'n-Butylester kyseliny 2,4-dichlorfenoxyoctove [Czech]', 'butyl [(2,4-dichlorophenyl)oxy]acetate', 'SMR001224484', 'DSSTox_CID_443', '2,4-Dichlorophenoxyacetic acid, n-butyl ester', 'DSSTox_RID_75592', 'DSSTox_GSID_20443', 'CAS-94-80-4', 'C12H14Cl2O3', '2,4-D Butyl Ester ((2,4-Dichlorophenoxy)acetic Acid Butyl Ester)', 'Butyl  2,4-dichlorophenoxyacetate', '(2, butyl ester', '2,4-d butylate', '2.4-D-butylester', '2,4-d, n-butyl ester', '2,4-D-1-butyl ester', 'cid_7206', 'WLN: GR CG DO1VO4', 'SCHEMBL1226040', 'CHEMBL1446511', 'DTXSID5020443', 'BDBM74250', 'CTK5H7136', 'butyl 2,4-dichloro-phenoxyacetate', 'ZINC1602247', 'Tox21_201237', 'Tox21_302757', '2,4-Dichlorophenoxyacetic acid butyl', 'NSC409767', 'STL301520', '2,4-dichlorophenoxyacetic butyl ester', 'AKOS005943535', 'LS-1968', 'MCULE-3481562552', 'NE19588', 'NSC-409767', 'Butyl 2-(2,4-dichlorophenoxy)ethanoate', 'NCGC00090826-01', 'NCGC00090826-02', 'NCGC00090826-03', 'NCGC00256335-01', 'NCGC00258789-01', 'AC-12695', 'P331', 'FT-0710757', 'NS00021405', '(2,4-Dichlorophenoxy)acetic acid butyl ester', 'Acetic acid,4-dichlorophenoxy)-, butyl ester', 'butyl 2-[2,4-bis(chloranyl)phenoxy]ethanoate', '2-(2,4-dichlorophenoxy)acetic acid butyl ester', '126B845', '2,4-D-1-butyl ester 100 microg/mL in Cyclohexane', 'W-100183', 'Q27264880', 'Z54191175', '2,4-D 1-butyl ester, PESTANAL(R), analytical standard', '2,4-D 1-butyl ester;2 , 4-dichlorophenoxyacetic acid , butyl ester;Butyl 2,4-dichlorophenoxyacetate;butyl 2,4-dichlorophenoxyacetate']</t>
  </si>
  <si>
    <t>Compound(7206)</t>
  </si>
  <si>
    <t>C12H14Cl2O3</t>
  </si>
  <si>
    <t>2,4-dichloro-6-nitroaniline</t>
  </si>
  <si>
    <t>['2,4-Dichloro-6-nitroaniline', '2683-43-4', '4,6-Dichloro-2-nitroaniline', 'Benzenamine, 2,4-dichloro-6-nitro-', 'UNII-7S7EH59H1X', '7S7EH59H1X', '4,6-dichloro-2-nitrophenylamine', '2,4-Dichloro-6-nitrophenylamine', 'NSC28582', 'Benzenamine,2,4-dichloro-6-nitro-', 'EINECS 220-241-7', 'ACMC-209gtd', 'Cambridge id 5182236', 'DSSTox_CID_21361', 'DSSTox_RID_79698', '2,4-dichloro-6-nitroanilin', 'DSSTox_GSID_41361', 'SCHEMBL204939', '2,4-dichloro-6-nitro-aniline', '4,6-dichloro-2-nitro-aniline', 'CHEMBL3187155', 'DTXSID4041361', 'CTK4F8589', 'STR03810', 'ZINC3860989', 'Tox21_300652', 'ANW-26063', 'NSC-28582', 'SBB003479', 'STL282265', '2,4-Dichloro-6-nitroaniline, 98%', 'AKOS001062137', 'AKOS015912995', 'MCULE-6712874675', 'VZ22527', 'NCGC00248128-01', 'NCGC00254560-01', 'AC-15873', 'CAS-2683-43-4', 'DB-047030', 'FT-0610030', 'NS00021967', 'ST50319419', 'V4813', 'Z-2579', 'SR-01000197816', 'J-016568', 'SR-01000197816-1', 'W-202090', 'Q27268785', 'Z56924550']</t>
  </si>
  <si>
    <t>Compound(75893)</t>
  </si>
  <si>
    <t>C6H4Cl2N2O2</t>
  </si>
  <si>
    <t>2,4-dichloroaniline</t>
  </si>
  <si>
    <t>['2,4-DICHLOROANILINE', '554-00-7', 'Benzenamine, 2,4-dichloro-', '2,4-Dichlorobenzenamine', '2,4-Dichloranilin', 'o,p-Dichloroaniline', 'Aniline, 2,4-dichloro-', '2,4-Dichloro Aniline', '2,4-DCA', '2,4-Dichlorophenylamine', '2,4-Dichloro-phenylamine', 'UNII-19AE42M6WS', '2,4-Dichloranilin [German]', '1-Amino-2,4-dichlorobenzene', 'CCRIS 6012', 'HSDB 5428', 'NSC 8756', 'EINECS 209-057-8', '2,4-dichlorobenzene aniline', '2,4DICHLORO ANILINE', 'BRN 0386422', '19AE42M6WS', 'CHEBI:46635', 'MFCD00007661', 'DSSTox_CID_4966', 'DSSTox_RID_77601', 'DSSTox_GSID_24966', '2,4-Dichloroaniline, 98%', 'CAS-554-00-7', '2,4-Dichlorobenzeneamine', '2,4-dichloraniline', '2,4-dichloroanilin', '2,4 Dichloroaniline', '2,4-di-chloroaniline', '2,4-dichloro-aniline', 'PubChem20789', 'ACMC-209lmr', 'WLN: ZR BG DG', '2,4-bis(chloranyl)aniline', 'EC 209-057-8', 'AURORA KA-688', '2,4-Dichloroaniline, 99%', '4-12-00-01241 (Beilstein Handbook Reference)', 'KSC490E8F', 'BIDD:ER0533', 'SCHEMBL158279', 'CHEMBL1528820', 'DTXSID1024966', 'CTK3J0282', 'NSC8756', 'OTAVA-BB 1506256', 'LABOTEST-BB LTBB000651', 'ZINC157569', 'NSC-8756', 'AKOS BBS-00003655', 'Tox21_201522', 'Tox21_303206', 'ANW-32305', 'BBL019771', 'LABOTEST-BB LT03329688', 'LABOTEST-BB LT03330750', 'SBB007569', 'STL168887', 'AKOS000118881', '1-AMINO-2,4-DICHLORO-BENZENE', 'AM87064', 'AS01519', 'CCG-302558', 'LS-1362', 'MCULE-8829275836', 'PS-6249', 'KS-0000024I', '2,4-Dichloroaniline;2,4-dichloroaniline', 'NCGC00091375-01', 'NCGC00091375-02', 'NCGC00091375-03', 'NCGC00257110-01', 'NCGC00259072-01', '2,4-Dichloroaniline, &gt;=97.0% (GC)', 'AC-10180', 'SC-26930', 'DB-030787', 'D0321', 'FT-0610035', 'H2791', 'NS00009494', 'ST45255273', 'C14419', '2,4-Dichloroaniline 100 microg/mL in Methanol', '70955-EP2275404A1', '70955-EP2298731A1', '70955-EP2308833A2', 'A830623', 'Q3102438', 'W-105564', 'Z57127562', '2,4-Dichloroaniline, PESTANAL(R), analytical standard', 'F2190-0455']</t>
  </si>
  <si>
    <t>Compound(11123)</t>
  </si>
  <si>
    <t>2,4-dichlorophenol</t>
  </si>
  <si>
    <t>['2,4-DICHLOROPHENOL', '120-83-2', 'Phenol, 2,4-dichloro-', '4,6-Dichlorophenol', '2,4-DCP', '2,4-dichloro-Phenol', '1-Hydroxy-2,4-dichlorobenzene', 'RCRA waste number U081', 'NCI-C55345', '2,4-Dichlorohydroxybenzene', 'NSC 2879', 'CCRIS 657', 'UNII-R669TG1950', 'HSDB 1139', 'EINECS 204-429-6', 'RCRA waste no. U081', 'BRN 0742467', '2,4-Dichlorophenol, 99%', 'AI3-00078', '1,3-Dichloro-4-hydroxybenzene', 'CHEBI:16738', '2,4-Dichlorphenol', 'R669TG1950', 'DSSTox_CID_439', 'DSSTox_RID_75588', 'DSSTox_GSID_20439', '2,4-Dichlorophenol [Polychlorophenols and their sodium salts]', 'CAS-120-83-2', 'Dichlorophenol, 2,4-', '5JC', '2,4-Dichlorophenate', '2,4,-dichlorophenol', '2,4-dichloro phenol', 'PubChem22008', 'ACMC-1BQVG', '2,4-Dichlorophenic acid', '24-DICHLOROPHENOL', 'WLN: QR BG DG', 'bmse000691', 'EC 204-429-6', 'CHEMBL1143', 'SCHEMBL77936', '4-06-00-00885 (Beilstein Handbook Reference)', 'KSC176M2P', 'BIDD:ER0024', 'DTXSID1020439', 'CTK0H6627', 'KS-00000VNE', 'NSC2879', 'HMS3740M09', 'LS-66', 'ZINC388057', 'NSC-2879', 'STR00302', 'Tox21_201589', 'Tox21_300040', 'ANW-17537', 'MFCD00002169', 'SBB058675', 'AKOS000118751', 'CCG-272501', 'MCULE-7727906285', '2,4-Dichlorophenol, analytical standard', '2,4-Dichlorophenol;4,6-Dichlorophenol', 'NCGC00091273-01', 'NCGC00091273-02', 'NCGC00091273-03', 'NCGC00091273-04', 'NCGC00253953-01', 'NCGC00259138-01', 'AC-11247', 'SC-26490', 'D0392', 'D3865', 'FT-0610062', 'FT-0666601', 'NS00004912', 'ST50824839', '2,4-Dichlorophenol 10 microg/mL in Methanol', '2,4-Dichlorophenol 100 microg/mL in Methanol', 'C02625', '2,4-Dichlorophenol, purum, &gt;=97.0% (HPLC)', '88206-EP2298731A1', '88206-EP2305648A1', 'Q209205', 'J-507182', '2,4-Dichlorophenol, PESTANAL(R), analytical standard', 'F1995-0250', 'Z1262246098', 'UNII-AZ1041M258 component HFZWRUODUSTPEG-UHFFFAOYSA-N', 'UNII-GP679I31BO component HFZWRUODUSTPEG-UHFFFAOYSA-N', '2,4-Dichlorophenol, certified reference material, TraceCERT(R)', '2,4-Dichlorophenol, United States Pharmacopeia (USP) Reference Standard']</t>
  </si>
  <si>
    <t>Compound(8449)</t>
  </si>
  <si>
    <t>2,4-dichloronitrobenzene</t>
  </si>
  <si>
    <t>2,4-dichloro-1-nitrobenzene</t>
  </si>
  <si>
    <t>['2,4-DICHLORONITROBENZENE', '2,4-Dichloro-1-nitrobenzene', '611-06-3', 'Benzene, 2,4-dichloro-1-nitro-', '1,3-Dichloro-4-nitrobenzene', 'UNII-85P1A896RR', 'CCRIS 3095', 'HSDB 4267', 'EINECS 210-248-3', 'NSC 43196', 'BRN 1451655', 'Benzene, 1,3-dichloro-4-nitro', '85P1A896RR', '2,4-Dichloronitrobenzene, 97%', '1-Nitro-2,4-dichlorobenzene', 'Nitro-m-dichlorobenzene', 'PubChem15890', '2,4-dichloronitrobenzen', '4-Nitro-m-dichlorobenzene', 'DSSTox_CID_4998', '2,4-dichloro-nitrobenzene', '2, 4-Dichloronitrobenzene', 'ACMC-209mp5', 'EC 210-248-3', '2,4-Dichloro nitro benzene', 'DSSTox_RID_77618', 'DSSTox_GSID_24998', 'ghl.PD_Mitscher_leg0.937', 'KSC355E8H', 'Benzene,4-dichloro-1-nitro-', 'SCHEMBL487215', '2,4-dichloro-1-nitro-benzen', 'CHEMBL166050', 'DTXSID3024998', 'CTK2F5283', 'ASYM-NITRO-M-DICHLOROBENZENE', 'KS-00000X8N', 'NSC43196', 'ZINC1675935', 'Tox21_200204', 'ANW-33687', 'NSC-43196', 'SBB061648', '2,4-bis(chloranyl)-1-nitro-benzene', '2,4-Dichloro-1-nitrobenzene, 97%', 'AKOS009156373', 'AC-2533', 'AS06943', 'GS-3043', 'LS-1460', 'MCULE-9616866216', 'NCGC00091267-01', 'NCGC00091267-02', 'NCGC00257758-01', 'BR-54894', 'CAS-611-06-3', 'SC-27101', 'D0982', 'FT-0610061', 'NS00002924', 'ST50826500', 'M-7244', '137047-EP2292606A1', 'A833046', 'Q2705544', 'W-105195', '2,4-Dichloro-1-nitrobenzene, purum, &gt;=98.0% (GC)', '1,3-dichloro-4-nitrobenzene;Benzene, 2,4-dichloro-1-nitro-']</t>
  </si>
  <si>
    <t>Compound(11899)</t>
  </si>
  <si>
    <t>2,4-D chlorocrotyl ester</t>
  </si>
  <si>
    <t>4-chlorobut-2-enyl 2-(2,4-dichlorophenoxy)acetate</t>
  </si>
  <si>
    <t>['2,4-D chlorocrotyl ester', '2971-38-2', 'DTXSID6041345']</t>
  </si>
  <si>
    <t>Compound(18086)</t>
  </si>
  <si>
    <t>C12H11Cl3O3</t>
  </si>
  <si>
    <t>2,4'-dichlorodiphenyldichloroethane</t>
  </si>
  <si>
    <t>1-chloro-2-[2,2-dichloro-1-(4-chlorophenyl)ethyl]benzene</t>
  </si>
  <si>
    <t>['mitotane', '53-19-0', 'Mitotan', 'Lysodren', "o,p'-DDD", 'Chlodithane', 'Chloditan', 'Khlodithan', 'Chlodithan', '1-(2-Chlorophenyl)-1-(4-chlorophenyl)-2,2-dichloroethane', "2,4'-Ddd", 'Mitotano', '1-Chloro-2-[2,2-dichloro-1-(4-chlorophenyl)ethyl]benzene', 'NCI-C04933', 'Mitotanum [INN-Latin]', "o,p'-TDE", "2,4'-Dichlorodiphenyldichloroethane", 'o,p-Tde', "o,p'-Dichlorodiphenyldichloroethane", 'Benzene, 1-chloro-2-[2,2-dichloro-1-(4-chlorophenyl)ethyl]-', 'Mitotano [INN-Spanish]', "2,4'-Dichlorophenyldichlorethane", '1-Chloro-2-(2,2-dichloro-1-(4-chlorophenyl)ethyl)benzene', 'CB313', "DDD, o,p'-", 'CB 313', 'NSC 38721', '1,1-Dichloro-2-(o-chlorophenyl)-2-(p-chlorophenyl)ethane', '2-(2-Chlorophenyl)-2-(4-chlorophenyl)-1,1-dichloroethane', '2-(o-Chlorophenyl)-2-(p-chlorophenyl)-1,1-dichloroethane', 'C14H10Cl4', 'CCRIS 4397', "1,1-Dichloro-2,2-bis(2,4'-dichlorophenyl)ethane", 'HSDB 3240', 'NSC38721', '1,1-Dichloro-2-(p-chlorophenyl)-2-(o-chlorophenyl)ethane', '2,2-Bis(2-chlorophenyl-4-chlorophenyl)-1,1-dichloroethane', 'EINECS 200-166-6', 'CB-313', 'NSC-38721', 'BRN 2056007', 'AI3-07575', '1-chloro-4-[2,2-dichloro-1-(2-chlorophenyl)ethyl]benzene', 'Ethane, 1,1-dichloro-2-(o-chlorophenyl)-2-(p-chlorophenyl)-', 'Ethane, 2-(o-chlorophenyl)-2-(p-chlorophenyl)-1,1-dichloro-', 'Benzene, 1-chloro-2-(2,2-dichloro-1-(4-chlorophenyl)ethyl)-', 'NCGC00015226-07', 'Khloditan', 'Mitotanum', 'Mytotan', '(+-)-1,1-Dichloro-2-(o-chlorophenyl)-2-(p-chlorophenyl)ethane', 'DSSTox_CID_372', 'ortho,para-DDD', 'DSSTox_RID_75548', 'DSSTox_GSID_20372', 'o,p-DDD', 'Opeprim', '2,4 -Dichlorodiphenyldichloroethane', 'Mitotane (Lsodren)', 'Benzene, 1-chloro-2-(2,2-dichloro-1-(4-chlorophenyl)ethyl)-, (+-)-', 'CAS-53-19-0', 'Lysodren (TN)', 'Mitotane [USAN:INN:JAN]', 'SMR000326696', 'SR-01000075751', '(o,p)-DDD', 'Mitotane (JAN/USP/INN)', 'Prestwick_75', 'Ethane,1-dichloro-', 'Mitotane (Lysodren)', 'Mitotane [USAN:USP:INN:BAN:JAN]', "(2,4'-Dichlorodiphenyl)dichloroethane", 'PubChem14974', 'Spectrum_001959', "DDD-o,p'", "o,p'-DDD (Mitotane)", 'Spectrum2_000916', 'Spectrum3_000869', 'Spectrum4_000709', 'Spectrum5_002060', 'C 3010', "(o,p')-DDD", 'SCHEMBL4040', 'CHEMBL1670', 'Lopac0_000251', 'WLN: GYGYR BG&amp;R DG', 'BSPBio_002517', 'KBioGR_001237', 'KBioSS_002513', 'SPECTRUM330082', 'MLS001335899', 'MLS001335900', 'MLS002152914', 'MLS002153233', 'DivK1c_000703', 'SPBio_000792', 'CHEBI:6954', 'GTPL6957', "2,4'-DDD;o,p'-DDD", 'Mitotane, &gt;=98% (HPLC)', 'DTXSID9020372', "2,4'-DDD, analytical standard", 'CTK8E2992', 'HMS502D05', 'KBio1_000703', 'KBio2_002505', 'KBio2_005073', 'KBio2_007641', 'KBio3_002017', 'NINDS_000703', 'HMS1923K19', 'HMS2091E07', 'HMS2232C16', 'HMS3260D04', 'HMS3369H10', 'HMS3655G06', 'HMS3715H07', 'HMS3869F13', 'Pharmakon1600-00330082', 'BCP11663', '2,4 inverted exclamation marka-DDD', 'Tox21_110103', 'Tox21_302804', 'Tox21_500251', 'CCG-40014', 'LS-185', 'MFCD00000850', 'NSC755849', 's1732', "1,2-bis(2,4'-dichlorophenyl)ethane", 'AKOS006028802', 'Tox21_110103_1', 'CS-1500', 'DB00648', 'LP00251', 'MCULE-2068358149', 'NSC-755849', 'SDCCGSBI-0050239.P006', 'IDI1_000703', 'Dichlorodiphenyldichloroethane (Mitotane)', 'NCGC00015226-02', 'NCGC00015226-03', 'NCGC00015226-04', 'NCGC00015226-05', 'NCGC00015226-06', 'NCGC00015226-08', 'NCGC00015226-09', 'NCGC00015226-10', 'NCGC00015226-11', 'NCGC00015226-12', 'NCGC00091374-01', 'NCGC00091374-02', 'NCGC00091374-03', 'NCGC00091374-04', 'NCGC00091374-05', 'NCGC00091374-06', 'NCGC00256452-01', 'NCGC00260936-01', "2,4'-DDD 10 microg/mL in Cyclohexane", 'AK546750', 'AS-11690', 'HY-13690', 'NCI60_003688', 'SC-18530', "2,4'-DDD 100 microg/mL in Cyclohexane", 'SBI-0050239.P004', 'AB0010565', 'EU-0100251', 'FT-0605518', 'NS00009562', 'NS00068552', 'ST51016017', 'SW199619-3', 'EN300-37268', "2,4 inverted exclamation marka-DDD;o,p'-DDD", "2,4'-DDD, PESTANAL(R), analytical standard", 'D00420', 'W-5031', 'AB00052337-09', 'AB00052337_10', '000M850', 'Q417465', "o,p'-DDD;O,P'-DDD;mitotane;o , p'-DDD;Mitotane", 'SR-01000075751-1', 'SR-01000075751-3', 'SR-01000075751-6', "2,4'-(2,2-dichloroethane-1,1-diyl)bis(chlorobenzene)", 'Z425389592', '1,1-Dichloro-2-(o-chlorophenyl)- 2-(p-chlorophenyl)ethane', '1-(o-Chlorophenyl)-1-(p-chlorophenyl)-2,2-dichloroethane', '1-[2,2-dichloro-1-(4-chlorophenyl)ethyl]-2-chlorobenzene', 'Ethane,1-dichloro-2-(o-chlorophenyl)-2-(p-chlorophenyl)-', '1-Chloro-2-[2,2-dichloro-1-(4-chlorophenyl)ethyl]benzene #', 'Mitotane, United States Pharmacopeia (USP) Reference Standard', 'Ethane, 1,1-dichloro-2-(o-chlorophenyl)-2-(p-chlorophenyl)- (8CI)', '1-(2-Chlorophenyl)-1-(4-chlorophenyl)-2,2-dichloroethane, analytical standard', "o,p'-DDD|||1-(2-Chlorophenyl)-1-(4-chlorophenyl)-2,2-dichloroethane|||Mitotane", '1-(2-Chlorophenyl)-1-(4-chlorophenyl)-2,2-dichloroethane for diagnostic uses (cancer investigation), &gt;=98% (HPLC)', '1-(2-Chlorophenyl)-1-(4-chlorophenyl)-2,2-dichloroethane, for diagnostic uses (cancer investigation), &gt;=98% (HPLC)']</t>
  </si>
  <si>
    <t>Compound(4211)</t>
  </si>
  <si>
    <t>C14H10Cl4</t>
  </si>
  <si>
    <t>2,4'-dichlorodiphenyldichloroethylene</t>
  </si>
  <si>
    <t>1-chloro-2-[2,2-dichloro-1-(4-chlorophenyl)ethenyl]benzene</t>
  </si>
  <si>
    <t>["O,P'-DDE", '3424-82-6', "2,4'-DDE", "2,2-(2-Chlorophenyl-4'-chlorophenyl)-1,1-dichloroethene", '1,1-Dichloro-2-(o-chlorophenyl)-2-(p-chlorophenyl)ethylene', 'UNII-DM084YLQ1L', 'CHEMBL1391', 'NSC 59908', "2,2,o,p'-Tetrachlorovinylidenebisbenzene", 'o,p-DDE', '1,1-Dichloro-2-(o-chlorophenyl)-2-(p-chlorophenyl)ethene', 'EINECS 222-318-0', '2-(2-Chlorophenyl)-2-(4-chlorophenyl)-1,1-dichloroethylene', 'BRN 1977640', 'DM084YLQ1L', 'CHEBI:34211', 'Benzene, 1-chloro-2-(2,2-dichloro-1-(4-chlorophenyl)ethenyl)-', 'Benzene, 1-chloro-2-[2,2-dichloro-1-(4-chlorophenyl)ethenyl]-', 'Ethylene, 1,1-dichloro-2-(o-chlorophenyl)-2-(p-chlorophenyl)-', 'Ethylene, 1-(o-chlorophenyl)-1-(p-chlorophenyl)-2,2-dichloro-', '2,4 inverted exclamation mark -DDE', '1-chloro-2-[2,2-dichloro-1-(4-chlorophenyl)ethenyl]benzene', '1-Chloro-2-[2,2-dichloro-1-(4-chlorophenyl)vinyl]benzene', "2,4'-DDE (1,1-Dichloro-2-(p-chlorophenyl)-2-(o-chlorophenyl)ethene)", '(o,p)-DDE', 'DSSTox_CID_2313', 'C14133', 'NCIOpen2_007858', 'DSSTox_GSID_22313', 'BIDD:ER0459', 'SCHEMBL4906413', 'DTXSID4022313', '2,4-DDE', 'NSC59908', 'ZINC1689872', "o,p'-dichlorodiphenyldichloroethylene", 'Tox21_304022', 'BDBM50410515', 'NSC-59908', "2,4'-Dichlorodiphenyldichloroethylene", 'AKOS015903090', 'ACM3424826', 'NCGC00357281-01', "2,4'-DDE 10 microg/mL in Cyclohexane", 'LS-68508', "2,4'-DDE 100 microg/mL in Cyclohexane", 'CAS-3424-82-6', 'FT-0704726', 'NS00001717', 'Benzene,2-dichloro-1-(4-chlorophenyl)ethenyl]-', 'C-51971', 'J-019521', 'Q27115908', "2,4'-(2,2-dichloroethene-1,1-diyl)bis(chlorobenzene)", '1,1-Dichloro-2-(o-chlorophenyl)- 2-(p-chlorophenyl)ethylene', '1-Chloro-2-[2,2-dichloro-1-(4-chlorophenyl)vinyl]benzene #', 'Ethylene,1-dichloro-2-(o-chlorophenyl)-2-(p-chlorophenyl)-', "O,P''-Dde (1,1-(O,P''-Dichlorodiphenyl)-2,2 Dichloroethene)", 'Benzene, 1-chloro-2-(2,2-dichloro-1-(4-chlorophenyl)ethenyl)- (9CI)', "2,4'-DDE solution, 100 mug/mL in methanol, PESTANAL(R), analytical standard", "o,p'-DDE;2,4-DDE;2,2,o,p'-tetrachlorovinylidenebisbenzene;2,2,o,p-tetrachlorovinylidenebisbenzene;o , p'-DDE"]</t>
  </si>
  <si>
    <t>Compound(246598)</t>
  </si>
  <si>
    <t>C14H8Cl4</t>
  </si>
  <si>
    <t>2,4'-dichlorodiphenyltrichloroethane</t>
  </si>
  <si>
    <t>1-chloro-2-[2,2,2-trichloro-1-(4-chlorophenyl)ethyl]benzene</t>
  </si>
  <si>
    <t>["O,P'-DDT", '789-02-6', "2,4'-DDT", "ortho,para'-DDT", 'NSC 57644', "DDT, o,p'-", 'Benzene, 1-chloro-2-[2,2,2-trichloro-1-(4-chlorophenyl)ethyl]-', 'NSC 33446', 'CCRIS 9077', '1,1,1-Trichloro-2-(o-chlorophenyl)-2-(p-chlorophenyl)ethane', '1-Chloro-2-[2,2,2-trichloro-1-(4-chlorophenyl)ethyl]benzene', "2,2,2,o,p'-Pentachloroethylidenebisbenzene", 'EINECS 212-332-5', '2-(2-Chlorophenyl)-2-(4-chlorophenyl)-1,1,1-trichloroethane', '2,2-Bis(o,p-chlorophenyl)-1,1,1-trichloroethane', 'BRN 1984770', 'AI3-03983', 'CHEMBL364900', 'CHEBI:34027', 'Ethane, 2-(o-chlorophenyl)-2-(p-chlorophenyl)-1,1,1-trichloro-', '1-Chloro-2-(2,2,2-trichloro-1-(4-chlorophenyl)ethyl)benzene', '(-)-1-(o-Chlorophenyl)-1-(p-chlorophenyl)-2,2,2-trichloroethane', 'Benzene, 1-chloro-2-(2,2,2-trichloro-1-(4-chlorophenyl)ethyl)-', 'Ethane, 1,1,1-trichloro-2-(o-chlorophenyl)-2-(p-chlorophenyl)-', 'DSSTox_CID_2345', 'DSSTox_RID_76554', 'DSSTox_GSID_22345', 'WLN: GXGGYR BG&amp;R DG', '2,p-chlorophenyl)-1,1,1-trichloroethane', 'CAS-789-02-6', 'o,p-Ddt', 'Benzene,2,2-trichloro-1-(4-chlorophenyl)ethyl]-', '1,1-Trichloro-2-(o-chlorophenyl)-2-(p-chlorophenyl)ethane', 'C14H9Cl5', '2-(2-Chlorophenyl)-2-(4-chlorophenyl)-1,1-trichloroethane', 'Ethane,1,1-trichloro-2-(o-chlorophenyl)-2-(p-chlorophenyl)-', '(-)-1-(o-Chlorophenyl)-1-(p-chlorophenyl)-2,2-trichloroethane', "2,4'-DDT (1,1,1-Trichloro-2-(p-chlorophenyl)-2-(o-chlorophenyl)ethane)", "DDT-o,p'", 'SCHEMBL708196', 'DTXSID6022345', '2.4-DDT', '1,1,1-trichloro-2-(2-chlorophenyl)-2-(4-chlorophenyl)ethane', 'NSC33446', 'NSC57644', "2,4'-dichlorodiphenyltrichloroethane", 'Tox21_202239', 'Tox21_300622', 'BDBM50410497', 'NSC-33446', 'NSC-57644', 'AKOS015902904', 'NCGC00091035-01', 'NCGC00091035-02', 'NCGC00091035-03', 'NCGC00091035-04', 'NCGC00091035-05', 'NCGC00091035-06', 'NCGC00254388-01', 'NCGC00259788-01', "2,4'-DDT 10 microg/mL in Cyclohexane", "2,4'-DDT 1000 microg/mL in Toluene", 'LS-65249', "2,4'-DDT 100 microg/mL in Cyclohexane", 'FT-0608457', 'FT-0666572', 'NS00002496', 'C14187', 'C-51970', 'Q27115760', "2,4'-(2,2,2-trichloroethane-1,1-diyl)bis(chlorobenzene)", '1-(o-Chlorophenyl)-1-(p-chlorophenyl)-2,2,2-trichloro ethane', "NSC 33446; NSC 57644; o,p'-Chlorophenothane; o,p'-DDT", '1,1,1-trichloro-2-(2-chloro phenyl)-2-(4-chlorophenyl)ethane', '1,1,1-Trichloro-2-(o-chlorophenyl)- 2-(p-chlorophenyl) ethane', '1-Chloro-2-[2,2,2-trichloro-1-(4-chlorophenyl)ethyl]benzene #', '(.+/-.)-1-(o-Chlorophenyl)-1-(p-chlorophenyl)-2,2,2-trichloroethane', 'Benzene, 1-chloro-2-(2,2,2-trichloro-1-(4-chlorophenyl)ethyl)- (9CI)', 'Ethane, 1,1,1-trichloro-2-(o-chlorophenyl)-2-(p-chlorophenyl)- (8CI)', "2,4'-DDT solution, 100 mug/mL in methanol, PESTANAL(R), analytical standard", "o,p'-DDT;O,P'-DDT;2,2,2,o,p'-pentachloroethylidenebisbenzene;2,2,2,o,p-pentachloroethylidenebisbenzene;o , p'-DDT;DDT-TECHNICAL"]</t>
  </si>
  <si>
    <t>Compound(13089)</t>
  </si>
  <si>
    <t>C14H9Cl5</t>
  </si>
  <si>
    <t>['2,4-DINITROANILINE', '97-02-9', 'Benzenamine, 2,4-dinitro-', '1-Amino-2,4-dinitrobenzene', '2,4-Dinitroanilin', '2,4-Dinitrobenzenamine', '2,4-Dinitroanilina', '2,4-Dinitraniline', '2,4-Dinitrophenylamine', 'Aniline, 2,4-dinitro-', '2,4-dinitroaminobenzene', 'NSC 8731', '2,4-Nitroaniline', '2,4-Dinitroanilin [German]', 'UNII-5BI780R6W6', '2,4-Dinitroanilina [Italian]', 'CCRIS 2872', 'HSDB 1142', '2,4-dinitrobenzeneamine', '2,4-Dinitro-phenylamine', 'EINECS 202-553-5', 'BRN 0982999', 'AI3-02920', 'CHEBI:34242', '5BI780R6W6', 'MFCD00007151', '2,4-Dinitroaniline, 99%', '2,4-dinitro-aniline', '2,4 Dinitro Aniline', 'WLN: WNR BZ ENW', 'DSSTox_CID_1823', '(2,4-dinitrophenyl)amine', '(2,4-dinitrophenyl)-amine', 'DSSTox_RID_76350', 'DSSTox_GSID_21823', 'SCHEMBL33520', '2,4-Dinitroaniline, 98%', 'ghl.PD_Mitscher_leg0.930', '4-12-00-01689 (Beilstein Handbook Reference)', 'BIDD:ER0695', 'ACMC-20978s', 'CHEMBL354318', 'DTXSID1021823', 'SCHEMBL18218196', 'CTK3J3877', 'NSC8731', 'NSC-8731', 'ZINC3860429', 'Tox21_200126', 'ANW-13658', 'BBL013156', 'SBB028154', 'STK260865', 'AKOS000119930', 'LS-2021', 'MCULE-2781562696', 'NE10473', '2,4-Dinitroaniline, analytical standard', 'CAS-97-02-9', 'NCGC00091599-01', 'NCGC00091599-02', 'NCGC00257680-01', 'AC-11794', 'L079', 'VS-03692', '2,4-dinitroaniline;Aniline, 2,4-dinitro-', 'DB-057659', 'D0814', 'D2703', 'FT-0610198', 'NS00040505', 'ST45255270', 'C14713', 'A845675', 'AE-641/01959064', 'W-100122', 'Q18785054', 'F0001-2303']</t>
  </si>
  <si>
    <t>Compound(7321)</t>
  </si>
  <si>
    <t>C6H5N3O4</t>
  </si>
  <si>
    <t>2,4-dinitrophenol</t>
  </si>
  <si>
    <t>['2,4-dinitrophenol', '51-28-5', 'Phenol, 2,4-dinitro-', 'Aldifen', 'Solfo Black B', 'Tertrosulphur PBR', 'Solfo Black G', 'alpha-Dinitrophenol', '2,4-Dnp', 'Nitro kleenup', '1-Hydroxy-2,4-dinitrobenzene', 'Fenoxyl carbon N', 'Chemox PE', 'Solfo Black BB', 'Solfo Black SB', 'Dinitrofenolo', 'Dinofan', 'Tertrosulphur Black PB', 'Solfo Black 2B Supra', '2,4-Dinitrofenol', 'Maroxol-50', 'Osmoplastic-R', 'Osmotox-Plus', 'Sulphur Black 1', 'Nitrophen (VAN)', 'Nitrophene (VAN)', 'RCRA waste number P048', 'NSC 1532', '.alpha.-Dinitrophenol', 'Camello mosquito coils', 'Caswell No. 392', 'EK 102', 'Dinitrofenolo [Italian]', 'Phenol, alpha-dinitro-', 'Tertrosulfur pbr', 'X 32', 'UNII-Q13SKS21MN', '2,4-Dinitrofenol [Dutch]', "1'alpha-2,4-Dinitrophenol", 'Cobra salts (Impregna salts)', 'Shirakiku brand mosquito coils', '2,4-dinitro-phenol', 'CCRIS 3102', 'HSDB 529', 'CHEBI:42017', 'EINECS 200-087-7', 'Phenol, .alpha.-dinitro-', 'RCRA waste no. P048', 'EPA Pesticide Chemical Code 037509', 'Q13SKS21MN', 'AI3-01535', 'Fenoxyl', 'DSSTox_CID_523', 'Tertrosulfur black pb', 'DSSTox_RID_75640', 'DSSTox_GSID_20523', '1326-82-5', 'DNF', 'CAS-51-28-5', 'PubChem11250', 'Spectrum_001934', 'SpecPlus_000938', 'Spectrum2_000673', 'Spectrum3_001694', 'Spectrum4_000913', 'Spectrum5_001670', 'WLN: WNR BQ ENW', '2,4-dinitrophenol (dnp)', 'Epitope ID:112424', 'EC 200-087-7', 'SCHEMBL77643', 'BSPBio_003248', 'KBioGR_001406', 'KBioSS_002480', 'SPECTRUM330008', 'Dinitrophenol-2-4- (DNP)', 'MLS001066358', 'BIDD:ER0505', 'DivK1c_007034', 'SPBio_000765', 'ARONIS010084', 'CHEMBL273386', 'SR-1C5', 'DTXSID0020523', 'SCHEMBL13973810', 'CTK1G9509', 'KBio1_001978', 'KBio2_002473', 'KBio2_005041', 'KBio2_007609', 'KBio3_002468', 'NSC1532', 'HMS1923K21', 'HMS2233H07', 'HMS3372P06', 'HMS3867N13', 'KS-000041JJ', 'NSC-1532', 'Tox21_201462', 'Tox21_300030', 'ANW-46655', 'BBL023448', 'CCG-39730', 'LS-154', 'MFCD00007115', 'STK397797', 'ZINC12358776', 'AKOS000118988', 'AKOS015912556', 'DB04528', 'MCULE-6678680789', 'NE10472', 'NCGC00091778-01', 'NCGC00091778-02', 'NCGC00091778-03', 'NCGC00091778-04', 'NCGC00091778-05', 'NCGC00091778-06', 'NCGC00254114-01', 'NCGC00259013-01', '2,4-dinitrophenol (h2o w/w 18% max)', 'AS-39888', 'SC-81242', 'SMR000471854', 'D0109', 'NS00010496', '2,4-Dinitrophenol (wetted with 15 % water)', '9456-EP2284174A1', '9456-EP2316829A1', 'C02496', 'AB00053210_08', '2,4-Dinitrophenol, SAJ special grade, &gt;=98.0%', 'AF-936/31262030', 'Q209226', '2,4-Dinitrophenol, moistened with water, &gt;=98.0%', 'W-105909', '2,4-Dinitrophenol, PESTANAL(R), analytical standard', 'BRD-K21910317-001-02-4', 'BRD-K21910317-001-06-5', 'BRD-K21910317-001-12-3', 'F0850-6525', 'odium 2,4-dinitrophenoxide;2,4-Dinitrophenol;2 , 4-dinitrophenol', '2,4-Dinitrophenol, technical, moistened with water, &gt;=97.0% (HPLC)']</t>
  </si>
  <si>
    <t>Compound(1493)</t>
  </si>
  <si>
    <t>2,4-dinitrotoluene</t>
  </si>
  <si>
    <t>1-methyl-2,4-dinitrobenzene</t>
  </si>
  <si>
    <t>['2,4-DINITROTOLUENE', '1-Methyl-2,4-dinitrobenzene', '121-14-2', '2,4-Dinitrotoluol', 'Benzene, 1-methyl-2,4-dinitro-', '2,4-DNT', '2,4-Dinitromethylbenzene', 'RCRA waste number U105', '2,4-Dinitro-1-methylbenzene', 'Toluene, 2,4-dinitro-', 'NCI-C01865', '4-Methyl-1,3-dinitrobenzene', 'Dinitrotoluol', 'NSC 7194', 'CCRIS 268', 'UNII-6741D310ED', 'HSDB 1144', '2,4-Dinitrotoluene, practical grade', 'EINECS 204-450-0', 'RCRA waste no. U105', 'CHEBI:920', 'AI3-15342', '6741D310ED', 'DNT', 'DSSTox_CID_529', 'DSSTox_RID_75643', '2,-Dinitrotoluene', 'DSSTox_GSID_20529', '2,4-Dinitrotoluene (containing 0.5% 2,6-dinitrotoluene)', '2,4-Dinitrotoluene (containing 1.0-1.5% 2,6-dinitrotoluene)', 'CAS-121-14-2', 'DNT (Related)', 'EINECS 281-716-2', 'Dinitrotoluene-2,4', '2,4-dinitro-toluene', 'Benzene,methyldinitro-', 'D.N.T (Related)', 'Dinitrotoluene, 2,4-', 'ACMC-1BOER', 'Dinitrotoluene (Related)', 'WLN: WNR B1 ENW', 'SCHEMBL48806', '2,4-Dinitrotoluene, 97%', '84029-42-5', 'KSC176O2N', '6-Methyl-1,3-dinitrobenzene', 'Ex100', 'CHEMBL259865', 'SGCUT00009', 'DTXSID0020529', 'CTK0H6726', 'KS-00000YZD', 'NSC7194', 'NSC-7194', 'to_000001', 'ZINC1532112', 'EINECS 215-422-2', 'Tox21_201784', 'Tox21_300493', 'LS-641', 'STL199167', 'AKOS003273098', 'MCULE-8221741719', '2,4-Dinitrotoluene, analytical standard', 'NCGC00091755-01', 'NCGC00091755-02', 'NCGC00091755-03', 'NCGC00091755-04', 'NCGC00254317-01', 'NCGC00259333-01', 'I911', 'Benzene, 1-methyl-2,4-dinitro-, sulfurized', 'D0856', 'FT-0608046', 'FT-0610215', 'NS00009261', 'C11006', '2,4-Dinitrotoluene 1000 microg/mL in Methanol', '2,4-Dinitrotoluene 100 microg/mL in Acetonitrile', 'AE-562/40879347', 'Q416626', 'Q-200190', 'UNII-R64H0N1X9C component RMBFBMJGBANMMK-UHFFFAOYSA-N', '2,4-Dinitrotoluene, certified reference material, TraceCERT(R)', 'Dinitrotoluene, technical grade (2,4 (77%)- and 2,6 (19%)-)', '1326-41-6', '2,4-Dinitrotoluene solution, 10 mg/mL in acetonitrile, ampule of 5 mL, certified reference material', '2,4-Dinitrotoluene solution, 1000 mug/mL in acetonitrile, ampule of 1.2 mL, certified reference material']</t>
  </si>
  <si>
    <t>Compound(8461)</t>
  </si>
  <si>
    <t>2,4-D sodium salt</t>
  </si>
  <si>
    <t>sodium;2-(2,4-dichlorophenoxy)acetate</t>
  </si>
  <si>
    <t>['2,4-D sodium salt', '2702-72-9', 'Sodium 2,4-dichlorophenoxyacetate', '2,4-D-sodium', '2,4-Dichlorophenoxyacetic Acid Sodium Salt', '2,4-D (sodium salt)', 'UNII-2H005922RS', 'Acetic acid, (2,4-dichlorophenoxy)-, sodium salt', 'sodium (2,4-dichlorophenoxy)acetate', '2H005922RS', '2,4-DICHLOROPHENOXYACETIC ACID SODIUM', 'DSSTox_CID_7496', 'DSSTox_RID_78472', 'DSSTox_GSID_27496', 'Acetic acid, 2-(2,4-dichlorophenoxy)-, sodium salt (1:1)', 'Pielika', 'CAS-2702-72-9', '2-(2,4-dichlorophenoxy)acetic acid, sodium salt', 'ACMC-20ajpl', 'Sodium 2-(2,4-dichlorophenoxy)acetate', 'C8H5Cl2NaO3', 'EC 220-290-4', 'SCHEMBL583961', 'CHEMBL2271245', 'DTXSID4027496', 'Na-2,4-D', 'odium 2,4-dichlorophenoxyacetate', 'Tox21_201377', 'Tox21_303248', 'HY-18572A', 'SBB061709', 'AKOS003052574', 'AKOS015890805', 'MCULE-5459302647', 'NCGC00257113-01', 'NCGC00258928-01', 'L064', 'CS-0012881', 'D1319', 'ST51047694', 'W-107135', 'Q27254729']</t>
  </si>
  <si>
    <t>Compound(23676704)</t>
  </si>
  <si>
    <t>C8H5Cl2NaO3</t>
  </si>
  <si>
    <t>2,4-dichlorophenoxypropionic acid</t>
  </si>
  <si>
    <t>2-(2,4-dichlorophenoxy)propanoic acid</t>
  </si>
  <si>
    <t>['Dichlorprop', '120-36-5', '2-(2,4-Dichlorophenoxy)propanoic acid', '2-(2,4-Dichlorophenoxy)propionic acid', 'DICHLOROPROP', 'Hormatox', 'Polymone', 'Polytox', 'Kildip', 'Celatox-dp', 'Herbizid DP', 'Hedonal DP', 'Cornox RK', 'Polyclene', 'Seritox 50', 'Weedone dp', 'Canapur DP', '2,4-DP', 'Cornoxynil', 'Mayclene', 'Weedone 170', '2-(2,4-Dichlorophenoxy)propionicacid', 'Propanoic acid, 2-(2,4-dichlorophenoxy)-', 'Cornox rd', 'Textrone M', 'Oxytril P', 'Dikofag DP', 'Tri-cornox sprcial', 'U46 DP-FLUID', 'Ustilan NK25', '(+-)-Dichlorprop', 'Cornox RK 64', 'Caswell No. 320', 'U 46 dp Fluid', 'Weedone 2,4-DP', 'RD 406', '2-(2,4-Dp)', 'BH 2,4-DP', 'Dichlorprop [BSI:ISO]', 'Cornox RK extra concentrate', 'AF 302', 'NSC 39624', '2-(2,4-Dichloor-fenoxy)-propionzuur', '2-(2,4-Dichlor-phenoxy)-propionsaeure', 'CCRIS 1468', 'Acido 2-(2,4-dicloro-fenossi)-propionico', 'HSDB 1575', 'Propionic acid, 2-(2,4-dichlorophenoxy)-', 'Kwas 2,4-dwuchlorofenoksypropionowy', 'EINECS 204-390-5', 'EPA Pesticide Chemical Code 031401', 'BRN 2213812', '2-(2,4-Dichlorophenoxy) propionic acid', 'Propanoic acid, (2,4-dichlorophenoxy)-', '2,4-Dichlorophenoxy-alpha-propionic acid', 'Kyselina 2-(2,4-dichlorfenoxy)propionova', 'alpha-(2,4-Dichlorophenoxy)propionic acid', 'alpha-(2,4-Dichlorophenoxy) propionic acid', 'Kwas 2,4-dwuchlorofenoksypropionowy [Polish]', '(+-)-2,4-DP', '(+-)-2-(2,4-Dichlorophenoxy)propanoic acid', '(+-)-2-(2,4-Dichlorophenoxy)propionic acid', 'CHEBI:75370', '2-(2,4-Dichloor-fenoxy)-propionzuur [Dutch]', '2,4-dichlorophenoxypropionic acid', '2-(2,4-Dichlor-phenoxy)-propionsaeure [German]', '(+ or -)-2-(2,4-Dichlorophenoxy)propanoic acid', '(+ or -)-2-(2,4-Dichlorophenoxy)propionic acid', 'Kyselina 2-(2,4-dichlorfenoxy)propionova [Czech]', 'Acido 2-(2,4-dicloro-fenossi)-propionico [Italian]', 'Acide 2-(2,4-dichloro-phenoxy) propionique [French]', '2-(2,4-(Dichlorophenoxy))propionic acid', 'Acide 2-(2,4-dichloro-phenoxy)propionique', '2,4-Dichlorophenoxy-.alpha.-propionic acid', 'DSSTox_CID_440', '.alpha.-(2,4-Dichlorophenoxy)propionic acid', 'DSSTox_RID_75589', 'DSSTox_GSID_20440', 'Dichloprop', 'D(+)-Dichlorprop', 'CAS-120-36-5', 'Celatox DP', 'Dichloroprop solution', 'Weedone CB 1.3', '(.+/-.)-Dichlorprop', 'Acide 2-(2,4-dichloro-phenoxy) propionique', 'Oprea1_074381', 'Oprea1_814579', 'SCHEMBL54510', '3-06-00-00707 (Beilstein Handbook Reference)', 'ARONIS008921', 'CHEMBL573221', 'MSS 2,4-DP', '2,4-D + dichlorprop (ester)', 'DTXSID0020440', 'CTK4C7153', 'KS-00000YYK', 'CCG-830', 'WLN: QVY1 &amp; OR BG DG', 'Propanoic acid,4-dichlorophenoxy)-', 'Propionic acid,4-dichlorophenoxy)-', 'ALBB-000840', 'DNDI1249371', 'KS-000040NE', 'NSC39624', 'Tox21_201847', 'Tox21_301143', 'ANW-52075', 'BBL023008', 'MFCD00002645', 'NSC-39624', 'SBB079958', 'STK109691', 'AKOS000103941', 'AKOS016353296', 'DS-1072', 'LS-7322', 'MCULE-9665038741', 'VZ23069', 'NCGC00160666-01', 'NCGC00160666-02', 'NCGC00160666-03', 'NCGC00160666-04', 'NCGC00160666-05', 'NCGC00255041-01', 'NCGC00259396-01', 'BR-41300', 'Dichlorprop 10 microg/mL in Acetonitrile', '2-(2,4-Dichlorophenoxy)propanoic acid #', 'Dichlorprop 100 microg/mL in Acetonitrile', 'AM20060495', 'D1942', 'FT-0772094', 'NS00000250', 'ST45045664', 'X9422', 'C11020', 'Dichlorprop, PESTANAL(R), analytical standard', 'S-1685', '(.+/-.)-2,4-DP', '(.+/-.)-2-(2,4-Dichlorophenoxy)propanoic acid', '(.+/-.)-2-(2,4-Dichlorophenoxy)propionic acid', '(2R)-2-[(2,4-dichlorophenyl)oxy]propanoic acid', 'AJ-087/13102024', 'Q148946', 'J-008832', 'Propanoic acid,2-(2,4-dichlorophenoxy)-, (2R)-', 'Q-200185', 'F3034-0122', 'Dichloroprop solution, 100 ng/muL in acetonitrile, PESTANAL(R), analytical standard']</t>
  </si>
  <si>
    <t>Compound(8427)</t>
  </si>
  <si>
    <t>C9H8Cl2O3</t>
  </si>
  <si>
    <t>propan-2-yl 2-(2,4-dichlorophenoxy)acetate</t>
  </si>
  <si>
    <t>['2,4-D ISOPROPYL ESTER', '2,4-D-Isopropyl', 'Esteron 44', '94-11-1', 'Weedone 128', 'Isopropyl 2,4-dichlorophenoxyacetate', 'Isopropyl 2,4-D ester', 'Niagara Estasol', 'Crop Rider 3.34D', 'Caswell No. 315AV', 'Isopropyl (2,4-dichlorophenoxy)acetate', '2,4-D, isopropyl ester', 'Amchem Weed Killer 650', 'Crop Rider 3-34D-2', 'Bridgeport Spot Weed Killer', '2,4-D-isopropyl [ISO]', 'Acetic acid, (2,4-dichlorophenoxy)-, 1-methylethyl ester', "Swift's Gold Bear 44 Ester", 'HSDB 1634', 'Monsanto 2,4-D Isopropyl Ester', 'Acetic acid, (2,4-dichlorophenoxy)-, isopropyl ester', 'Parsons 2,4-D Weed Killer Isopropyl Ester', 'UNII-S198602E40', 'EINECS 202-305-6', '2,4-Dichlorophenoxyacetic acid, isopropyl ester', 'NSC 521749', 'BRN 2333761', "Barber's Weed Killer (Ester Formulation)", 'AI3-16667', '2,4-dichlorophenoxyacetic acid isopropyl ester', 'Isopropylester kyseliny 2,4-dichlorfenoxyoctove', 'Isopropylester kyseliny 2,4-dichlorfenoxyoctove [Czech]', "Chemical Insecticide's Isopropyl Ester of 2,4-D Liquid Concentrate", 'DSSTox_CID_445', 'propan-2-yl 2-(2,4-dichlorophenoxy)acetate', 'S198602E40', '1-methylethyl [(2,4-dichlorophenyl)oxy]acetate', 'DSSTox_RID_75594', '(2,4-Dichlorophenoxy)acetic acid isopropyl ester', 'DSSTox_GSID_20445', 'CAS-94-11-1', 'CCRIS 8560', 'Alco citrus fix', '2,4-D Isopropyl Ester ((2,4-Dichlorophenoxy)acetic Acid Isopropyl Ester)', '(2, isopropyl ester', '2,4-D-isopropyl ester', 'SCHEMBL158457', 'CHEMBL3182247', 'DTXSID5020445', 'CTK5H5111', 'WLN: GR CG DO1VOY1&amp;1', 'ZINC1605034', 'Tox21_201563', 'Tox21_302786', 'NSC521749', 'isopropyl 2,4-dichloro-phenoxyacetate', 'AKOS008947933', 'LS-7324', 'NSC-521749', 'NCGC00249071-01', 'NCGC00256337-01', 'NCGC00259112-01', 'NS00021401', '2,4-Dichlorophenoxyacetic acid,isopropyl ester', 'Acetic acid,4-dichlorophenoxy)-, isopropyl ester', '094D111', '2,4-D-isopropyl ester 100 microg/mL in Cyclohexane', 'Acetic acid,4-dichlorophenoxy)-, 1-methylethyl ester', 'Q27288441', 'Acetic acid, (2,4-dichlorophenoxy)-, 1-methylethyl ester (9CI)', 'isopropyl 2,4-dichlorophenoxyacetate;Isopropyl 2,4-dichlorophenoxyacetate']</t>
  </si>
  <si>
    <t>Compound(7173)</t>
  </si>
  <si>
    <t>C11H12Cl2O3</t>
  </si>
  <si>
    <t>2,4-di-tertiary-butylphenol</t>
  </si>
  <si>
    <t>2,4-ditert-butylphenol</t>
  </si>
  <si>
    <t>['2,4-Di-tert-butylphenol', '96-76-4', 'Phenol, 2,4-bis(1,1-dimethylethyl)-', '2,4-DI-T-BUTYLPHENOL', 'Antioxidant No. 33', '1-Hydroxy-2,4-di-tert-butylbenzene', 'Phenol, 2,4-di-tert-butyl-', '2,4-bis(tert-butyl)phenol', 'Prodox 146', '2,4-ditert-butylphenol', 'Prodox 146A-85X', 'UNII-FOB94G6HZT', '2,4-Bis(1,1-dimethylethyl)phenol', 'NSC 174502', '2,4-ditert-butyl-phenol', 'EINECS 202-532-0', 'MFCD00008828', 'FOB94G6HZT', '2,4-di-tert-butyl phenol', 'Phenol, 2,4-di(1,1-dimethylethyl)-', 'BRN 1910383', 'CHEMBL29873', 'DSSTox_CID_6602', 'DSSTox_RID_78158', 'DSSTox_GSID_26602', '2,4-Di-tert-butylphenol, 97%', 'CAS-96-76-4', '2,4-DTBP', '2,4-ditertbutylphenol', 'PubChem16035', '2,4-di-tertbutylphenol', '2,4di-tert-butylphenol', '24-Ditert-Butyl-Phenol', '2,4-di-t-butyl-phenol', '2,4-di-tert.butylphenol', '2,4-di-tertbutyl phenol', '2,4-ditert-butyl phenol', '2,4-ditertiarybutylphenol', '2,4-Di-tertbutyl-phenol', 'Phenol,4-di-tert-butyl-', 'ACMC-209s7n', 'EC 202-532-0', '2,4-Di-tert.-butylphenol', '2,4-ditertiary-butyl phenol', 'KSC490K4N', 'SCHEMBL109921', 'DTXSID2026602', '2,4-Di-tert-butylhydroxybenzene', 'CHEBI:89188', 'CTK3J0546', 'HSDB 8453', '2,4-Di-tert-butylphenol, 99%', 'BCP24012', 'KS-00000MO8', 'ZINC1081075', 'Phenol,4-bis(1,1-dimethylethyl)-', 'Tox21_202320', 'Tox21_300114', 'ANW-40833', 'BDBM50409544', 'NSC174502', 'SBB060741', 'Phenol,2,4-Bis(1,1-dimethylethyl)', 'AKOS003669719', 'CS-W015305', 'HY-W014589', 'MCULE-6010467095', 'NE10618', 'NSC-174502', 'NCGC00164059-01', 'NCGC00164059-02', 'NCGC00164059-03', 'NCGC00254167-01', 'NCGC00259869-01', 'AS-13983', 'K743', 'WLN: 1X1&amp;1&amp;R BQ CX1&amp;1&amp;1', 'LS-104318', 'D0229', 'FT-0610222', 'NS00010683', 'ST50308551', 'Q-200191', 'Q26840829', 'F0001-2302', '(2S)-N-[(1S)-2-[[(1S)-2-[[(1S)-2-[[(1S)-2-[[2-[[(1S)-1-[[(1S)-4-amino-1-[(2S)-2-[(2-amino-2-oxo-ethyl)carbamoyl]pyrrolidine-1-carbonyl]-4-oxo-butyl]carbamoyl]-3-methyl-butyl]amino]-2-oxo-ethyl]amino]-1-[(4-hydroxyphenyl)methyl]-2-oxo-ethyl]amino]-1-(hydro']</t>
  </si>
  <si>
    <t>Compound(7311)</t>
  </si>
  <si>
    <t>C14H22O</t>
  </si>
  <si>
    <t>2,4-toluene diisocyanate</t>
  </si>
  <si>
    <t>2,4-diisocyanato-1-methylbenzene</t>
  </si>
  <si>
    <t>['2,4-Toluene diisocyanate', '2,4-Diisocyanato-1-methylbenzene', '584-84-9', 'Tolylene-2,4-diisocyanate', '2,4-Diisocyanatotoluene', 'Toluene-2,4-diisocyanate', 'TOLUENE 2,4-DIISOCYANATE', '2,4-Tolylene diisocyanate', '4-Methyl-m-phenylene diisocyanate', 'Tolylene diisocyanate', '2,4-TDI', 'Toluylene-2,4-diisocyanate', 'Hylene tlc', 'Benzene, 2,4-diisocyanato-1-methyl-', 'Di-iso-cyanatoluene', 'TDI', 'Hylene T', 'Diisocyanat-toluol', 'Mondur TD', 'Toluen-disocianato', 'Mondur TDS', 'Tuluylendiisocyanat', '2,4-Toluenediisocyanate', 'Desmodur T80', 'Tolueen-diisocyanaat', 'Toluilenodwuizocyjanian', 'Mondur TD-80', 'Cresorcinol diisocyanate', 'Nacconate IOO', 'Isocyanic acid, 4-methyl-m-phenylene ester', 'Tolyene 2,4-diisocyanate', 'Di-isocyanate de toluylene', 'RCRA waste number U223', 'Tolylene 2,4-diisocyanate', 'NCI-C50533', 'NSC 4791', 'TDI-80', 'Benzene, 1,3-diisocyanatomethyl-', 'UNII-17X7AFZ1GH', 'Diisocyanat-toluol [German]', 'Tuluylendiisocyanat [German]', 'NSC 56759', 'Tolueen-diisocyanaat [Dutch]', 'Toluen-disocianato [Italian]', 'Toluene, 2,4-diisocyanato-', 'toluene-2,4-diyl diisocyanate', 'CCRIS 3742', 'HSDB 874', '4-Methyl-m-phenylene isocyanate', 'Toluilenodwuizocyjanian [Polish]', 'CHEBI:53556', 'Di-isocyanate de toluylene [French]', 'EINECS 209-544-5', '4-Methyl-1,3-phenylene diisocyanate', 'BRN 0744602', '17X7AFZ1GH', 'AI3-15101', 'CHEMBL1086446', 'DTXSID7026156', 'diisocyanato-toluene', 'Isocyanic acid, methylphenylene ester', '26006-20-2', 'DSSTox_CID_1361', 'WLN: OCNR B1 ENCO', 'DSSTox_RID_78038', 'DSSTox_GSID_26156', '2,4-Diisocyanato-1-methylbenzene [Toluenediisocyanates]', '4-methylbenzene-1,3-diisocyanate', 'Benzene,4-diisocyanato-1-methyl-', 'CAS-584-84-9', 'Tolylene 2,4-diisocyanate, 80%, tech.', 'Hylene tcpa', 'Hylene trf', 'Hylene tm', 'tolylenediisocyanate', '2,4-diisocyanato-1-methyl-benzene', '7373-19-5', 'Benzene, 2,4-diisocyanato-1-methyl-, homopolymer', 'Nacconate 100', 'benzene, 2,4-diisocyanato-1-methyl', 'Hylene tm-65', 'MFCD00002011', '2,4-Toluene diisocyanate, homopolymer', 'TDI, Diisocyanatoluene', 'TDI, Diisocyanotoluene', '2,4-tolylenediisocyanate', 'Epitope ID:115138', '4-methyl-m-phenylene ester', 'EC 209-544-5', 'Benzene, diisocyanatomethyl-', 'DSSTox_RID_77374', 'DSSTox_GSID_24341', 'SCHEMBL15384', 'Toluene Diisocyanate 80/20', '2,4-TDI, analytical standard', '4-Methyl-m-phenylene diisocyante', 'NSC4791', 'Tolylene-2,4-diisocyanate, 95%', 'NSC-4791', 'NSC56759', 'ZINC1680402', 'Tox21_200144', 'Tox21_202058', 'Tox21_300160', 'BDBM50318488', 'LS-247', 'NSC-56759', 'SBB064237', 'STL301891', 'AKOS000119430', 'MCULE-5260171166', 'NCGC00091095-01', 'NCGC00091095-02', 'NCGC00091095-03', 'NCGC00091095-04', 'NCGC00091095-05', 'NCGC00253965-01', 'NCGC00257698-01', 'NCGC00259607-01', '2,4-Diisocyanato-1-methylbenzene (9CI)', '86-91-9', 'CAS-26471-62-5', 'ST50825051', '5609-EP2270113A1', '5609-EP2272935A1', '5609-EP2295399A2', '5609-EP2308865A1', '133034-EP2371806A1', '133034-EP2371807A1', 'A831895', 'Isocyanic acid, 4-methyl-m-phenylene ester (8CI)', 'Q415183', 'Tolylene-2,4-diisocyanate, technical grade, 80%', 'F2191-0304', 'UNII-9MTX1PK3QO component DVKJHBMWWAPEIU-UHFFFAOYSA-N', 'Toluene 2,4-diisocyanate, purum, for electron microscopy, &gt;=98.0% (GC)']</t>
  </si>
  <si>
    <t>Compound(11443)</t>
  </si>
  <si>
    <t>C9H6N2O2</t>
  </si>
  <si>
    <t>['2,4-Dimethylaniline', '95-68-1', '2,4-XYLIDINE', '2,4-Dimethyl aniline', 'm-Xylidine', 'Benzenamine, 2,4-dimethyl-', 'm-4-Xylidine', '1-Amino-2,4-dimethylbenzene', '2,4-Dimethylphenylamine', '2-Methyl-p-toluidine', '4-Methyl-o-toluidine', '4-Amino-1,3-xylene', '2,4-Dimethylbenzenamine', '4-Amino-3-methyltoluene', '4-Amino-1,3-dimethylbenzene', 'meta-Xylidine', '2,4-Xylylamine', 'Aniline, 2,4-dimethyl-', 'm-Xylidine (VAN)', 'asym-m-xylidene', '2,4-Dimethylbenzeneamine', '2,4-dimethyl-phenylamine', 'NSC 7640', '4-Amino-m-xylene', 'CCRIS 254', 'UNII-367R1L22C9', '2,4-dimethyl-aniline', 'HSDB 2092', 'EINECS 202-440-0', 'BRN 0636243', '2,4-dimethylbenzene-1-amine', 'AI3-16558', 'MLS002302982', 'CHEBI:27840', '2,4-DMA', '367R1L22C9', 'SMR001307301', '2,4-Dimethylaniline, 99%', '2,4-dimethyl-Benzenamine', '2,4 xylidine', 'Aniline,4-dimethyl-', 'ASYM-M-XYLIDINE', 'PubChem15152', 'ACMC-209rzs', '2,4-dimethylphenyl amine', '2,4-Dimethylphenyl-amine', 'DSSTox_CID_6305', '(2,4-dimethylphenyl)amine', 'EC 202-440-0', 'cid_7250', 'DSSTox_RID_78095', 'DSSTox_GSID_26305', 'SCHEMBL33980', '2,4-Dimethylaniline, 98%', '4-12-00-02545 (Beilstein Handbook Reference)', 'KSC486Q0L', 'WLN: ZR B1 D1', 'CHEMBL1490826', 'DTXSID8026305', '2,4-Dimethylaniline, &gt;=99%', 'BDBM74411', 'CTK3I6805', 'KS-00000WFD', 'TIMTEC-BB SBB040487', 'NSC7640', 'OTAVA-BB 1506500', 'HMS3039A03', 'LABOTEST-BB LTBB000473', 'ZINC900690', 'ACT00097', 'NSC-7640', 'STR00897', 'AKOS BBS-00003656', 'Tox21_200380', 'ANW-40550', 'BBL002472', 'LABOTEST-BB LT03331708', 'MFCD00007738', 'SBB040487', 'STK387111', '2,4-Dimethylaniline (2,4-Xylidine)', 'AKOS000119112', 'AS01548', 'LS-1984', 'MCULE-3376745916', 'CAS-95-68-1', '2,4-Dimethylaniline, analytical standard', 'NCGC00091885-01', 'NCGC00091885-02', 'NCGC00091885-03', 'NCGC00257934-01', 'AC-10693', 'BR-54447', 'SC-25612', 'ST088469', 'DB-024294', 'D0667', 'FT-0610166', 'NS00001078', 'Dimethylaniline (2.4-) (Metabolite Amitraz)', 'C11003', 'M-6017', '2,4-Dimethylaniline 10 microg/mL in Cyclohexane', '[2,4,5-tris(acetoxymethyl)cyclohexyl]methyl acetate', '2,4-Dimethylaniline 100 microg/mL in Acetonitrile', 'J-507242', 'W-109655', 'F2190-0463', 'UNII-0V872Q19HT component CZZZABOKJQXEBO-UHFFFAOYSA-N', '2,4-xylidinium acetate;2,4-Dimethylaniline;2,4-xylidine;2,4-Xylidine', '51S']</t>
  </si>
  <si>
    <t>Compound(7250)</t>
  </si>
  <si>
    <t>2,5, 8,11-tetraoxadodecaan</t>
  </si>
  <si>
    <t>1-methoxy-2-[2-(2-methoxyethoxy)ethoxy]ethane</t>
  </si>
  <si>
    <t>['Triglyme', '2,5,8,11-TETRAOXADODECANE', '112-49-2', 'Triethylene glycol dimethyl ether', '1,2-Bis(2-methoxyethoxy)ethane', 'Glyme 4', 'Ansul ether 161', 'Glyme-3', '1-methoxy-2-[2-(2-methoxyethoxy)ethoxy]ethane', 'TEGDIME', 'TEGDME', 'Dimethyl ether of triethylene glycol', 'UNII-32YXG88KK0', 'Ethane, 1,2-bis(2-methoxyethoxy)-', 'NSC 66400', 'triethyleneglycol dimethyl ether', '1-METHOXY-2-[2-(2-METHOXY-ETHOXY]-ETHANE', 'EINECS 203-977-3', 'Glycol, triethylene-, dimethyl ether', 'BRN 1700630', 'AI3-28582', '32YXG88KK0', 'DTXSID8026224', 'CHEBI:44842', '2,5,8,11-tetraoxadodecane;1,2-bis(2-methoxyethoxy)ethane;triethylene glycol dimethyl ether;1,2bis(2methoxyethoxy)ethane;triethylene glycoldimethylether (tegdme);2,5,8,11-tetraoxadodecane 1,2-bis(2-methoxyethoxy)ethane triethylene glycol dimethyl ether 1,2bis(2methoxyethoxy)ethane triethylene glycoldimethylether (tegdme)', 'Triethylene glycol dimethyl ether, 99%, stabilized', 'Glyme-4', 'DSSTox_CID_6224', '2,8,11-Tetraoxadodecane', 'EC 203-977-3', 'ACMC-1C6S6', 'DSSTox_RID_78066', 'DSSTox_GSID_26224', 'SCHEMBL16126', 'KSC178A6F', '1,2-Bis(methoxyethoxy)ethane', 'triethylene glycol dimethylether', 'CHEMBL1235255', 'CTK0H8062', 'Ethane,2-bis(2-methoxyethoxy)-', '(CH3O(CH2)2OCH2)2', 'NSC66400', 'ZINC1693863', 'Tox21_300509', '2186AA', 'ANW-16480', 'LS-553', 'MFCD00008504', 'NSC-66400', 'SBB060897', 'AKOS009158244', 'DB02078', 'MCULE-9670046114', 'KS-0000006K', 'triglyme (2,5,8,11-tetraoxadodecane)', 'NCGC00164017-01', 'NCGC00164017-02', 'NCGC00254323-01', 'CAS-112-49-2', 'CC-35336', '1,2-Bis(2-methoxyethoxy) Ethane, Reagent', 'DB-060211', 'B0496', 'FT-0659858', 'FT-0755020', 'NS00010633', 'ST50825121', '23265-EP2289897A1', '23265-EP2314584A1', '23265-EP2371797A1', '23265-EP2371798A1', '23265-EP2371800A1', '23265-EP2371804A1', 'C-34604', 'Q2453066', 'Triethylene glycol dimethyl ether, ReagentPlus(R), 99%', 'Z1245664652', 'Triethylene glycol dimethyl ether, analytical reference material', 'Triethylene glycol dimethyl ether, Vetec(TM) reagent grade, 98%', 'triglyme;1,2-bis(2-methoxyethoxy)ethane (TEGDME,triglyme);Triethylene glycol dimethyl ether']</t>
  </si>
  <si>
    <t>Compound(8189)</t>
  </si>
  <si>
    <t>C8H18O4</t>
  </si>
  <si>
    <t>2,5-dimethylhexane</t>
  </si>
  <si>
    <t>['2,5-DIMETHYLHEXANE', '592-13-2', 'Biisobutyl', 'Hexane, 2,5-dimethyl-', 'UNII-PCS13D63P8', 'PCS13D63P8', 'Diisobutyl', '2,5-DIMETHYL HEXANE', 'NSC74172', 'EINECS 209-745-8', 'Hexane,5-dimethyl-', 'NSC 74172', '2,5-dimethyl-hexane', 'FR-0446', 'ACMC-209mbd', '2,5-Dimethylhexane, 99%', 'DTXSID4073201', 'CTK1H0071', 'ZINC1699553', 'ANW-33191', 'MFCD00008951', 'NSC-74172', 'AKOS015841746', 'FCH1117889', 'Hexane, 2,5-dimethyl- (8CI)(9CI)', 'CC-07876', 'DB-053340', 'D1226', 'FT-0624981', 'NS00034107', 'C-28167', 'Q2813798']</t>
  </si>
  <si>
    <t>Compound(11592)</t>
  </si>
  <si>
    <t>2,5-dimethylphenol</t>
  </si>
  <si>
    <t>['2,5-DIMETHYLPHENOL', '95-87-4', '2,5-Xylenol', 'p-Xylenol', 'Phenol, 2,5-dimethyl-', '3,6-Dimethylphenol', '6-Methyl-m-cresol', '3,6-Xylenol', '2,5-Dimethyl phenol', '2,5-Dmp', '1,2,5-Xylenol', '1-Hydroxy-2,5-dimethylbenzene', '1,4-Dimethyl-2-hydroxybenzene', '2-Hydroxy-p-xylene', '2,5-Dimethyl-phenol', 'NSC 2599', 'UNII-XH3E3564KX', 'CCRIS 722', 'FEMA No. 3595', 'HSDB 5296', 'EINECS 202-461-5', 'BRN 1099260', 'AI3-01551', 'XH3E3564KX', 'FEMA 3595', 'DSSTox_CID_5145', 'DSSTox_RID_77686', 'DSSTox_GSID_25145', '2,5-Dimethylphenol, 99+%', 'CAS-95-87-4', 'Hydroxy-p-xylene', 'p-2-Xylenol', "2,5'-Xylenol", 'PubChem21763', '2,5-Dimethyl-phenol.', '2,5-Xylenol, 8CI', 'ACMC-209s5o', 'EC 202-461-5', 'SCHEMBL92202', '4-06-00-03164 (Beilstein Handbook Reference)', 'KSC490K4J', 'WLN: QR B1 E1', 'XYLENOL(2,5-)', 'CHEMBL192591', '2,5-Dimethylphenol, &gt;=99%', 'DTXSID6025145', 'CTK3J0544', '2,5-Dimethylphenol (p-Xylenol)', 'NSC2599', 'OTAVA-BB 1506537', 'LABOTEST-BB LTBB001939', '2,5-Xylenol, &gt;=99%, FG', 'BCP25858', 'KS-00000VJ8', 'NSC-2599', 'ZINC1641024', 'Tox21_201275', 'Tox21_300326', 'ANW-40762', 'MFCD00002237', 'SBB060426', 'STK358774', 'AKOS000119348', 'AC-2517', 'AS00223', 'CCG-302495', 'LS-1995', 'MCULE-5717907162', '2,5-Dimethylphenol, analytical standard', 'NCGC00091587-01', 'NCGC00091587-02', 'NCGC00091587-03', 'NCGC00254281-01', 'NCGC00258827-01', 'BR-36984', 'H612', 'SC-22387', 'DB-027652', 'AM20050203', 'D0775', 'FT-0610471', 'NS00001298', 'ST51046606', '2,5-Dimethylphenol 100 microg/mL in Methanol', '6102-EP2284157A1', '6102-EP2305625A1', 'A25190', 'M-7228', 'J-507373', 'Phenol, 2,5-dimethyl-;2,5-XYLENOL;2,5-xylenol', '2,5-Dimethylphenol, PESTANAL(R), analytical standard', 'Q26840762', 'F0001-2283', 'Z955123682', 'UNII-I4C43Y9C7V component NKTOLZVEWDHZMU-UHFFFAOYSA-N', 'XYLENOL(2,5-)                        1,2,5-Xylenol                        1,4-Dimethyl-2-hydroxybenzene                        1-Hydroxy-2,5-dimethylbenzene                        2,5-dimethyl-pheno']</t>
  </si>
  <si>
    <t>Compound(7267)</t>
  </si>
  <si>
    <t>['2,5-Diethoxyaniline', '94-85-9', 'Benzenamine, 2,5-diethoxy-', 'Aminohydroquinone diethyl ether', '2,5-Diethoxy aniline', '(2,5-diethoxyphenyl)amine', '2,5-diethoxyphenylamine', 'Aniline, 2,5-diethoxy-', 'NSC7486', 'NSC 7486', 'EINECS 202-369-5', '2.5-Diethoxyaniline', 'Aniline,5-diethoxy-', '2,5-Diathoxy-anilin', 'Benzenamine,5-diethoxy-', 'AI3-16638', 'ACMC-209ru9', '2,5-Diethoxyaniline, 97%', 'SCHEMBL113307', 'DTXSID0059110', 'CTK3J0402', 'Aniline, 2,5-diethoxy- (8CI)', 'ZINC157614', 'ALBB-023310', 'NSC-7486', 'ANW-40351', 'BBL003536', 'MFCD00015144', 'SBB058898', 'STK803106', '2-Amino-1,4-diA currencythoxybenzol', 'AKOS000121450', 'MCULE-4305058945', 'VZ34407', 'KS-000015S5', 'NCGC00327476-01', 'AC-11323', 'AS-57158', 'P355', 'SC-77686', 'DB-030795', 'D0450', 'FT-0610343', 'NS00040422', 'R1315', 'ST45026568', 'AB00443978-03', 'A845114', 'W-100181']</t>
  </si>
  <si>
    <t>Compound(66756)</t>
  </si>
  <si>
    <t>C10H15NO2</t>
  </si>
  <si>
    <t>2,5-dichloro-4-nitroaniline</t>
  </si>
  <si>
    <t>['2,5-Dichloro-4-nitroaniline', '6627-34-5', 'Benzenamine, 2,5-dichloro-4-nitro-', 'ANILINE, 2,5-DICHLORO-4-NITRO-', 'EINECS 229-591-5', 'NSC 60645', 'BRN 2211952', '1-amino-2,5-dichloro-4-nitrobenzene', 'AK-89804', 'W-110169', '2,5-dichloro-4-nitrophenylamine', '2,5-Dichloro-4-nitro aniline', '2,5-Dichloro-4-nitrobenzenamine', '2,5-Dichloro-4-nitrobenzenenamine', 'NSC60645', 'ACMC-1B7U0', '2,5-dichloro-p-nitroaniline', '2-12-00-00400 (Beilstein Handbook Reference)', '2.5-dichloro-4-nitroaniline', 'Aniline,5-dichloro-4-nitro-', 'SCHEMBL1725673', 'DTXSID9064425', 'CTK5C3969', 'Benzenamine,5-dichloro-4-nitro-', '2,5-dichloro-4-aminonitrobenzene', '2.5-dichloro-4-nitro-phenylamine', 'ACT07522', 'ZINC4283592', 'ZX-AT023229', 'Benzenamine,2,5-dichloro-4-nitro-', 'ANW-35176', 'BBL023588', 'MFCD00025157', 'NSC-60645', 'SBB003478', 'STL169037', '2,5-bis(chloranyl)-4-nitro-aniline', '2,5-Dichloro-4-nitroaniline, 97%', 'AKOS005149639', 'CS-W015294', 'FCH1320045', 'MCULE-5565227906', 'VZ22713', 'KS-0000029Q', 'AC-13247', 'AS-40341', 'CC-07707', 'LS-19696', 'AX8009826', 'DB-020043', 'D2722', 'FT-0610294', 'NS00035993', 'ST45029115', 'T8088', 'A835397', 'C-10366']</t>
  </si>
  <si>
    <t>Compound(23108)</t>
  </si>
  <si>
    <t>3,6-dichloro-2-nitroaniline</t>
  </si>
  <si>
    <t>['3,6-dichloro-2-nitroaniline', '15944-74-8', 'Benzenamine, 3,6-dichloro-2-nitro-', '3,6-dichloro-2-nitro-aniline', 'SCHEMBL11881928', 'CTK0E6912', 'DTXSID60393804', '3,6-Dichloro-2-nitro-phenylamine', 'ZINC5426614', 'BBL034280', 'STL195605', 'AKOS005149640', 'MCULE-9540338198']</t>
  </si>
  <si>
    <t>Compound(3576459)</t>
  </si>
  <si>
    <t>2,5-dichloroaniline</t>
  </si>
  <si>
    <t>['2,5-DICHLOROANILINE', '95-82-9', '1-Amino-2,5-dichlorobenzene', 'Azoic Diazo Component 3', 'Scarlet 2g base', 'Fast Scarlet GG Base', '2,5-Dichloranilin', 'Benzenamine, 2,5-dichloro-', 'Azobase DCA', 'Scarlet Base GG', 'Fast Scarlet 2G', 'Scarlet Base NGG', '2,5-Dichlorobenzenamine', 'Diazol Scarlet 2Zh', '2,5-Dichloro-1-aminobenzene', 'Fast Red SGG Base', 'Hindamine Scarlet GG', 'Stabamine Scarlet GG', 'Scarlet Base Ciba I', 'Scarlet Salt Ciba I', 'Fast scarlet 2g base', 'Fast Scarlet DS Base', 'Lake Scarlet GG Base', 'Daito Scarlet Base GG', 'Diazo Fast Scarlet GG', 'Fast Scarlet Base 2J', 'Fast Scarlet Base GGT', 'Fast Scarlet GGS Base', 'Fast Scarlet MDC Base', 'Spectrolene Scarlet 2G', 'Kayaku Scarlet GG Base', 'Mitsui Scarlet GG Base', 'Fast Scarlet Base 2JS', 'Natasol Scarlet GG Salt', '2,5-Dichlorobenzeneamine', 'Devol Scarlet 2GS Base', 'Amarthol Fast Scarlet GG Base', 'Symulon Scarlet 2G Base', 'Azogene Fast Scarlet GGC', 'Kambamine Scarlet GG Base', '2,5-DCA', 'Naphthanil Scarlet 2G Base', 'Sanyo Fast Scarlet GG Base', 'Azoene Fast Scarlet 2G Base', 'Devol Scarlet A (free base)', 'Hiltonil Fast Scarlet 2G Base', 'Amarthol Fast Scarlet GGS Base', 'C.I. Azoic Diazo Component 3', 'Hiltonil Fast Scarlet 2GS Base', 'Naphtoelan Fast Scarlet GG Base', 'Aniline, 2,5-dichloro-', 'Scarlet base irga I (free base)', '2-Amino-1,4-dichlorobenzene', 'Azogene Fast Scarlet GG (free base)', 'C.I. 37010', 'Scarlet salt ngg', 'Scarlet 2g salt', 'UNII-7U61VY7POL', '2,5-Dichloranilin [Czech]', 'CI Azoic Diazo Component 3', 'Scarlet salt irga I', 'CCRIS 2881', 'Fast scarlet ds salt', 'Devol scarlet salt A', 'CI 37010', 'Fast scarlet 2g salt', 'Fast scarlet 2j salt', 'Fast scarlet GG salt', 'Fast scarlet ggs salt', 'Fast scarlet salt GG', 'Fast scarlet salt ggn', 'Kako scarlet GG salt', 'Daito scarlet salt GG', '2,5-Dichloroaniline (NH2=1)', 'HSDB 5295', 'Azofix scarlet GG salt', 'Meisei scarlet GG salt', 'Mitsui scarlet GG salt', '2,5-dichlorophenylamine', 'Devol scarlet 2GS salt', 'Symulon scarlet 2g salt', 'NSC 1492', 'Durgasol scarlet GG salt', 'EINECS 202-455-2', 'Sanyo fast scarlet salt GG', 'BRN 1447438', '7U61VY7POL', 'Azoene fast scarlet 2g salt', 'Amarthol fast scarlet GG salt', 'Hindasol fast scarlet GG salt', 'Hiltosal fast scarlet 2g salt', 'AI3-01563', 'Naphtoelan fast scarlet GG salt', 'CHEBI:34245', 'MFCD00007667', '2,5-Dichloroaniline [NH2=1]', 'fast scarlet base 2g', 'p-Dichloroaniline', '2,5 dichloraniline', '3,6-dichloroaniline', '2,5 Dichloroaniline', 'Aniline,5-dichloro-', '2,5 dichloro aniline', '2,5-di-chloroaniline', '2,5-dichloro aniline', 'PubChem10755', 'Azogene fast scarlet gg', 'ci azoic diazo component', '2,5-dichloro-benzenamine', '2,5-dichloro-phenylamine', 'ACMC-1BYZ1', 'DSSTox_CID_4967', 'WLN: ZR BG EG', '(2,5-dichlorophenyl)amine', '2,5-bis(chloranyl)aniline', 'EC 202-455-2', 'DSSTox_RID_77602', 'DSSTox_GSID_24967', 'SCHEMBL75775', '2,5-Dichloroaniline, 99%', '4-12-00-01250 (Beilstein Handbook Reference)', 'KSC486M3H', '1,4-Dichloro-2-aminobenzene', '2,5-DICHLORO-ANILINE', 'BIDD:ER0684', '(2,5-dichloro-phenyl)-amine', 'CHEMBL1406206', 'DTXSID6024967', 'Benzene, 1-amino-2,5-dichloro', 'CTK3I6633', 'KS-00000VRL', 'NSC1492', 'HMS1721J11', 'ZINC154585', 'NSC-1492', 'Tox21_200381', 'ANW-40752', 'BBL037329', 'SBB040443', 'STK301589', 'AKOS000119144', 'CCG-326256', 'LS-1991', 'MCULE-3303654117', 'NE10502', 'PS-5377', 'CAS-95-82-9', 'NCGC00091852-01', 'NCGC00091852-02', 'NCGC00257935-01', 'AC-10587', 'BR-45556', 'K732', 'T261', 'DB-030794', 'D0322', 'FT-0610296', 'NS00006054', 'ST45061308', 'C14712', 'A845477', '2,5-Dichloroaniline, technical, &gt;=98.0% (HPLC)', 'Q2104833', 'W-100155', 'Z56951217', '2,5-Dichloroaniline, PESTANAL(R), analytical standard', 'F2190-0457']</t>
  </si>
  <si>
    <t>Compound(7262)</t>
  </si>
  <si>
    <t>2,5-dichlorophenol</t>
  </si>
  <si>
    <t>['2,5-dichlorophenol', '583-78-8', 'Phenol, 2,5-dichloro-', '2,5-DCP', '2,5-dichloro-phenol', 'UNII-3B11G9AKBA', '3,6-dichlorophenol', 'CCRIS 5903', 'HSDB 4287', 'NSC 6296', 'EINECS 209-520-4', 'BRN 1907692', '3B11G9AKBA', '2,5-Dichlorophenol, 98%', 'CHEBI:27929', 'DSSTox_CID_5003', 'DSSTox_RID_77621', 'DSSTox_GSID_25003', 'CAS-583-78-8', '2,5-dichlorphenol', 'PubChem3697', 'ACMC-1ARY1', 'bmse000673', 'EC 209-520-4', 'DICHLOROPHENOL-2,5', 'odium 2,5-dichlorophenolate', '4-06-00-00942 (Beilstein Handbook Reference)', 'BIDD:ER0560', 'SCHEMBL177878', 'CHEMBL1565192', 'DTXSID7025003', 'CTK3J0559', 'NSC6296', 'OTAVA-BB 1506103', 'LABOTEST-BB LTBB004366', 'ZINC388512', '2,5-DICHLOROPHENOL PESTANAL', 'KS-000001MR', 'NSC-6296', 'Tox21_201889', 'Tox21_303053', '2,5-DICHLO-1-HYDROXYBENZENE', 'ANW-32932', 'MFCD00002174', 'SBB061453', 'STL283946', 'AKOS000120929', '2,5-Dichlorophenol (ACD/Name 4.0)', '6-HYDROXY-1,4-DICHLOROBENZENE', 'AS02889', 'CS-W004071', 'LS-1409', 'MCULE-4265765893', 'NE10148', '2,5-Dichlorophenol, analytical standard', '2,5-DICHLORO-1-HYDROXY-BENZENE', 'NCGC00091138-01', 'NCGC00091138-02', 'NCGC00091138-03', 'NCGC00257078-01', 'NCGC00259438-01', 'AC-10424', 'S791', 'SC-81549', 'DB-053197', 'D0393', 'FT-0610322', 'NS00008731', 'ST50824836', '2,5-Dichlorophenol 10 microg/mL in Methanol', '2,5-Dichlorophenol 100 microg/mL in Methanol', 'C06602', '2,5-Dichlorophenol, purum, &gt;=98.0% (HPLC)', 'W-105392', '2,5-Dichlorophenol, PESTANAL(R), analytical standard', 'Q13427538', 'F0001-1524', 'UNII-AZ1041M258 component RANCECPPZPIPNO-UHFFFAOYSA-N', 'UNII-GP679I31BO component RANCECPPZPIPNO-UHFFFAOYSA-N']</t>
  </si>
  <si>
    <t>Compound(66)</t>
  </si>
  <si>
    <t>2,5-dichloronitrobenzene</t>
  </si>
  <si>
    <t>1,4-dichloro-2-nitrobenzene</t>
  </si>
  <si>
    <t>['1,4-Dichloro-2-nitrobenzene', '2,5-DICHLORONITROBENZENE', '89-61-2', 'Nitro-p-dichlorobenzene', 'Benzene, 1,4-dichloro-2-nitro-', '1-Nitro-2,5-dichlorobenzene', '2,5-Dichlornitrobenzen', '2,5-Dichloro-1-nitrobenzene', 'Benzene, 2,5-dichloronitro-', '2,5-Dichloronitrobenzol', 'UNII-IY18G50FF4', 'NSC 406125', 'CCRIS 3096', '1,4-Dichloro-2-nitro-benzene', '2,5-Dichlornitrobenzen [Czech]', 'EINECS 201-923-3', 'BRN 0778109', 'AI3-01523', 'IY18G50FF4', 'Benzene,5-dichloronitro-', 'WLN: WNR CG EG', 'Benzene,4-dichloro-2-nitro-', 'HSDB 8024', 'PubChem10760', '2,5-dichloronitrobezene', '1,4-dichloronitrobenzene', '2, 5-dichloronitrobenzene', '2,5-dichloro-nitrobenzene', '1,4-dichloro-2nitrobenzene', '1,4-Dichlor-2-nitrobenzol', 'DSSTox_CID_31175', 'DSSTox_GSID_52602', 'KSC448I0F', '1,4-Dichloro-3-nitrobenzene', 'SCHEMBL358730', 'ACMC-209r21', 'CHEMBL354761', 'DTXSID7052602', 'CTK3E8402', 'KS-00000XBY', 'NSC6294', 'Benzene, 1-nitro-2,5-dichloro-', 'NSC-6294', 'ZINC1693389', 'Tox21_303735', 'ANW-39335', 'MFCD00007074', 'NSC406125', 'SBB064241', '1,4-Dichloro-2-nitrobenzene, 99%', 'AKOS000118944', 'AS07065', 'MCULE-7128505095', 'NSC-406125', 'CAS-89-61-2', 'NCGC00357044-01', 'AC-11511', 'AS-14111', 'L086', 'LS-29810', 'SC-26699', 'D0387', 'FT-0610319', 'NS00007644', 'ST50826761', 'M-6431', 'W-100368', 'Q18818937', 'F0001-2196', '1,4-Dichloro-2-nitrobenzene, PESTANAL(R), analytical standard', '1,4-dichloro-2-nitrobenzene;Benzene, 1,4-dichloro-2-nitro-;1,4-Dichlor-2-nitrobenzol']</t>
  </si>
  <si>
    <t>Compound(6977)</t>
  </si>
  <si>
    <t>2,5-dinitrophenol</t>
  </si>
  <si>
    <t>['2,5-DINITROPHENOL', '329-71-5', 'Phenol, 2,5-dinitro-', 'gamma-Dinitrophenol', '2,5-DNP', '2,5-Dinitrofenol', 'Phenol, gamma-dinitro-', 'Phenol, .gamma.-dinitro-', '2,5-Dinitrofenol [Czech]', 'UNII-HSD25Q268Z', 'CCRIS 3103', '.gamma.-Dinitrophenol', 'HSDB 6304', 'EINECS 206-348-1', 'NSC 90441', 'BRN 1913411', 'HSD25Q268Z', 'CHEBI:40810', '2,5-Dinitro-Phenol', '2,5-Dinitrophenol ( betta )', 'WLN: WNR BQ DNW', 'ACMC-1CP8T', '2,5-Dinitrophenol, 97%', 'SCHEMBL547995', 'CHEMBL107513', 'DTXSID9022021', 'SCHEMBL17347349', 'CTK1C2465', 'NSC90441', 'ZINC3876088', '7606AF', 'ACM329715', 'NSC-90441', 'STK399770', 'AKOS003247471', 'FCH1115757', 'MCULE-7627258699', 'VZ22822', 'CC-07896', 'SC-21395', 'DB-020135', 'LS-104566', 'D0841', 'FT-0631965', 'NS00029395', 'A821536', 'C-07181', 'Q15726130', 'F0001-0975']</t>
  </si>
  <si>
    <t>Compound(9492)</t>
  </si>
  <si>
    <t>2,5-dinitrotoluene</t>
  </si>
  <si>
    <t>2-methyl-1,4-dinitrobenzene</t>
  </si>
  <si>
    <t>['2,5-DINITROTOLUENE', '2-Methyl-1,4-dinitrobenzene', '619-15-8', 'Benzene, 2-methyl-1,4-dinitro-', 'Toluene, 2,5-dinitro-', 'HSDB 5504', '2,5-DNT', 'UNII-870KS1U6JB', 'CCRIS 2838', 'EINECS 210-581-4', 'NSC 159120', 'BRN 2213718', '870KS1U6JB', 'Benzene,2-methyl-1,4-dinitro-', '2,5-dinitrotoluol', 'WLN: WNR C1 DNW', 'SCHEMBL2948384', 'DTXSID8027248', '2-Methyl-1,4-dinitrobenzene #', 'CTK5B4023', 'ZINC5159593', 'NSC159120', 'AKOS006272629', 'MCULE-4048641225', 'NSC-159120', '2,5-dinitrotoluene;2,5-DINITROTOLUENE', 'DS-006782', 'LS-154061', 'NS00002668', 'Q22083659', 'UNII-R64H0N1X9C component KZBOXYKTSUUBTO-UHFFFAOYSA-N']</t>
  </si>
  <si>
    <t>Compound(12075)</t>
  </si>
  <si>
    <t>2,5-furanedione</t>
  </si>
  <si>
    <t>furan-2,5-dione</t>
  </si>
  <si>
    <t>['MALEIC ANHYDRIDE', '2,5-Furandione', '108-31-6', 'furan-2,5-dione', 'Maleic acid anhydride', 'Toxilic anhydride', 'cis-Butenedioic anhydride', 'Dihydro-2,5-dioxofuran', '2,5-dihydrofuran-2,5-dione', 'Polymaleic anhydride', 'Maleinanhydrid', 'RCRA waste number U147', '2,5-Furandione, homopolymer', 'Poly(maleic anhydride)', 'Maleinanhydrid [Czech]', 'Maleic anhydride polymer', 'NSC 137651', 'Maleic anhydride oligomer', 'Anhydrid kyseliny maleinove', 'Poly(maleic acid anhydride)', 'Maleic anhydride, homopolymer', 'UNII-V5877ZJZ25', 'MALEICANHYDRIDE', 'CCRIS 2941', 'HSDB 183', 'Maleic acid anhydride homopolymer', 'CHEBI:474859', 'Anhydrid kyseliny maleinove [Czech]', 'EINECS 203-571-6', 'UN2215', 'Maleic anhydride, polymers', 'RCRA waste no. U147', 'BRN 0106909', 'AI3-24283', 'Maleic anhydride polymer, phenyl-terminated', 'V5877ZJZ25', 'Maleic anhydride, homopolymer, diphenyl terminated', 'MFCD00005518', 'Maleic Anhydrides', 'Maleic anhydride, 99%, pellets', '2,5-Furanedione', 'fumaric anhydride', 'furan-2,5-quinone', 'Sodium n-amylxanthate', 'PubChem16845', 'ACMC-1CROF', 'Maleic anhydride, 99%', 'Maleic Anhydride (MAN)', 'DSSTox_CID_4166', 'Epitope ID:122673', 'EC 203-571-6', 'Lytron 810 (Salt/Mix)', 'Lytron 820 (Salt/Mix)', 'Maleic anhydride, briquettes', 'DSSTox_RID_77313', 'DSSTox_GSID_24166', 'Maleic anhydride (briquette)', 'Maleic anhydride treated BSA', '24937-72-2', '5-17-11-00055 (Beilstein Handbook Reference)', 'KSC177I6H', '(Z)-butanedioic acid anhydride', 'Maleimide-Related Compound 11', 'BDBM7812', 'CHEMBL374159', 'ETHYLENE/MA COPOLY- MER', 'DTXSID7024166', 'Maleic anhydride, powder, 95%', 'CTK0H7463', 'NSC9568', 'CS-Z0016', 'NSC-9568', 'ZINC8100874', 'Tox21_200406', 'ANW-15923', 'LS-458', 'NSC137651', 'NSC137652', 'NSC137653', 'SBB060268', 'STL197476', 'AKOS000121041', 'MCULE-5322674641', 'NE10402', 'NSC-137651', 'NSC-137652', 'NSC-137653', 'UN 2215', 'NCGC00248595-01', 'NCGC00257960-01', '184288-31-1', 'BP-20394', 'CAS-108-31-6', 'LS-88667', 'Maleic anhydride [UN2215] [Corrosive]', 'Maleic anhydride, for synthesis, 99.0%', 'SC-79370', 'Maleic anhydride [UN2215]  [Corrosive]', 'FT-0628122', 'FT-0670909', 'FT-0693473', 'M 188', 'M0005', 'Maleic anhydride treated bovine serum albumin', 'NS00007158', 'ST51046487', 'Maleic anhydride, puriss., &gt;=99.0% (NT)', '9607-EP2270113A1', '9607-EP2272935A1', '9607-EP2275418A1', '9607-EP2277565A2', '9607-EP2277566A2', '9607-EP2277567A1', '9607-EP2277568A2', '9607-EP2277569A2', '9607-EP2277570A2', '9607-EP2277878A1', '9607-EP2289894A2', '9607-EP2289896A1', '9607-EP2292280A1', '9607-EP2292593A2', '9607-EP2295407A1', '9607-EP2298736A1', '9607-EP2298743A1', '9607-EP2301924A1', '9607-EP2305808A1', '9607-EP2308828A2', '9607-EP2308833A2', '9607-EP2308857A1', '9607-EP2308872A1', '9607-EP2311804A2', '9607-EP2316829A1', '9607-EP2371805A1', '9607-EP2371831A1', '9607-EP2377610A2', '9607-EP2377611A2', 'Maleic anhydride, SAJ first grade, &gt;=98.0%', 'Maleic anhydride treated non-fat dry milk powder', 'A801842', 'Q412377', 'J-002092', 'J-521668', 'F0001-0164', 'Maleic anhydride, 95% (may contain up to 5% maleic acid)']</t>
  </si>
  <si>
    <t>Compound(7923)</t>
  </si>
  <si>
    <t>C4H2O3</t>
  </si>
  <si>
    <t>['2,5-Dimethylaniline', '2,5-XYLIDINE', '95-78-3', 'p-Xylidine', 'Benzenamine, 2,5-dimethyl-', '2,5-Dimethylphenylamine', '2-Amino-1,4-xylene', '2,5-Dimethylbenzenamine', '5-Methyl-o-toluidine', '6-Methyl-m-toluidine', 'p-Dimethylaniline', '1-Amino-2,5-dimethylbenzene', '2,5-Xylidene', '2-Amino-p-xylene', 'para-Xylidine', '3-Amino-1,4-dimethylbenzene', '5-Amino-1,4-dimethylbenzene', '2,5-Dimethylbenzeneamine', 'Aniline, 2,5-dimethyl-', '2-Amino-1,4-dimethylbenzene', '2,5-Dimethyl-benzenamine', 'UNII-XWK0W8DA04', 'NSC 7639', 'CCRIS 4740', '2,5-dimethyl-aniline', 'HSDB 2093', 'Benzene, 2-amino-1,4-dimethyl-', 'EINECS 202-451-0', 'XWK0W8DA04', '2,5-Dimethylaniline, 99%', 'AI3-16559', 'CHEBI:518305', 'XYD', '2,5 xylidine', 'Aniline,5-dimethyl-', '2,5-dimethyl aniline', 'DSSTox_CID_6306', 'EC 202-451-0', 'DSSTox_RID_78096', 'DSSTox_GSID_26306', 'SCHEMBL70824', 'KSC486M9L', 'MLS002302984', 'BIDD:GT0848', 'WLN: ZR B1 E1', 'ACMC-209s58', 'CHEMBL249120', 'DTXSID3026306', 'CTK3I6695', 'NSC7639', 'HMS3039E07', 'ACT07535', 'NSC-7639', 'ZINC3860836', 'Tox21_201025', 'ANW-40746', 'MFCD00007743', 'SBB040497', 'STL168884', 'AKOS000119303', 'DB02163', 'LS-1988', 'MCULE-6517901524', 'VZ22809', '2-phenyl-6-[(E)-styryl]pyran-4-one', 'CAS-95-78-3', 'KS-00000W81', 'NCGC00091359-01', 'NCGC00091359-02', 'NCGC00258578-01', 'AC-10701', 'SC-26251', 'SMR001307302', 'TS-03565', '2,5 Xylidine;2,5-xylidine;2,5-Xylidine', 'DB-020122', 'BB 0259343', 'D0668', 'FT-0610451', 'NS00004477', 'ST45255299', 'C18993', 'J-507386', 'Q4596795', 'F2190-0464', 'UNII-0V872Q19HT component VOWZNBNDMFLQGM-UHFFFAOYSA-N']</t>
  </si>
  <si>
    <t>Compound(7259)</t>
  </si>
  <si>
    <t>2,6, 10,14-tetramethylhexadecane</t>
  </si>
  <si>
    <t>2,6,10,14-tetramethylhexadecane</t>
  </si>
  <si>
    <t>['Phytane', '2,6,10,14-TETRAMETHYLHEXADECANE', '638-36-8', 'Phytan', 'Hexadecane, 2,6,10,14-tetramethyl-', '2,6,10,14-tetramethyl-hexadecane', 'UNII-27UZX1Q8TR', '27UZX1Q8TR', '2,6,10,14-Tetramethylhexdecane', 'EINECS 211-332-2', 'Phytane, analytical standard', 'CHEBI:48937', 'CTK5B9971', 'HSDB 8346', 'DTXSID70862339', 'Phytane 10 microg/mL in Isooctane', 'Hexadecane,2,6,10,14-tetramethyl-', 'LMPR0104010019', 'FT-0739716', 'NS00042109', 'C-46915', 'Q171701']</t>
  </si>
  <si>
    <t>Compound(12523)</t>
  </si>
  <si>
    <t>C20H42</t>
  </si>
  <si>
    <t>2,6, 10,14-tetramethyl-pentadecane</t>
  </si>
  <si>
    <t>2,6,10,14-tetramethylpentadecane</t>
  </si>
  <si>
    <t>['PRISTANE', '2,6,10,14-Tetramethylpentadecane', '1921-70-6', 'Norphytane', 'Bute hydrocarbon', 'Norphytan', 'Pristan', 'Pentadecane, 2,6,10,14-tetramethyl-', 'meso-Pristane', 'UNII-26HZV48DT1', '2,6,10,10-Tetramethylpentadecane', 'EINECS 217-650-8', '2,6,10,14-tetramethyl-pentadecane', 'NSC 114852', 'BRN 1720538', '26HZV48DT1', 'W-201712', '2,6,10,14-Tetramethylpentadecane, 95%', 'Meso-form', 'Norphytane, robuoy', 'ACMC-209evn', '3-01-00-00570 (Beilstein Handbook Reference)', '2,10,14-Tetramethylpentadecane', 'CHEBI:53181', 'CTK3J0447', 'HSDB 8345', 'DTXSID70870919', '2,6,10,14 tetramethylpentadecane', 'KS-000016TV', 'Pentadecane,6,10,14-tetramethyl-', '6529AF', 'ANW-23553', 'MFCD00008952', 'NSC114852', 'Pristane, synthetic, &gt;=98% (GC)', 'AKOS025294812', 'ACM1921706', 'NSC-114852', 'VZ36859', 'CC-33922', 'DB-044784', 'LS-101400', 'FT-0610506', 'NS00014009', 'PRISTANE;2,6,10,10-tetramethylpentadecane', 'C-28168', 'Q425446', 'Pristane, synthetic, liquid, sterile-filtered, BioReagent']</t>
  </si>
  <si>
    <t>Compound(15979)</t>
  </si>
  <si>
    <t>C19H40</t>
  </si>
  <si>
    <t>2- (6-chloro-dodecafluorhexoxy)-tetrafluoroethane sulfonate , K salt</t>
  </si>
  <si>
    <t>potassium;2-(6-chloro-1,1,2,2,3,3,4,4,5,5,6,6-dodecafluorohexoxy)-1,1,2,2-tetrafluoroethanesulfonate</t>
  </si>
  <si>
    <t>['73606-19-6', 'Potassium 9-chlorohexadecafluoro-3-oxanonane-1-sulfonate', '2-(6-Chlorododecafluorohexyloxy)-1,1,2,2-tetrafluoroethanesulfonic acid potassium salt', 'DTXSID60881236', '2-[(6-Chloro-1,1,2,2,3,3,4,4,5,5,6,6-dodecafluorohexyl)oxyl]-1,1,2,2-tetrafluoroethanesulfonic acid potassium salt', 'Ethanesulfonic acid, 2-[(6-chloro-1,1,2,2,3,3,4,4,5,5,6,6-dodecafluorohexyl)oxy]-1,1,2,2-tetrafluoro-, potassium salt (1:1)', 'Potassium 2-[(6-chloro-1,1,2,2,3,3,4,4,5,5,6,6-dodecafluorohexyl)oxy]-1,1,2,2-tetrafluoroethane-1-sulfonate']</t>
  </si>
  <si>
    <t>Compound(25210512)</t>
  </si>
  <si>
    <t>C8ClF16KO4S</t>
  </si>
  <si>
    <t>2,6-diamino-4-nitrotoluene</t>
  </si>
  <si>
    <t>2-methyl-5-nitrobenzene-1,3-diamine</t>
  </si>
  <si>
    <t>['2,6-Diamino-4-nitrotoluene', '59229-75-3', '2-methyl-5-nitrobenzene-1,3-diamine', '4-Nitro-2,6-toluenediamine', 'CCRIS 5188', 'EINECS 261-669-4', '2,6-Diamino-1-methyl-4-nitrobenzene', 'SCHEMBL2056616', 'CHEBI:19389', 'CTK5A9632', 'DTXSID20207973', 'ZINC2567973', '8809AB', 'AKOS006282828', 'MCULE-2077121371', '1,3-Benzenediamine,2-methyl-5-nitro-', '1,3-Benzenediamine, 2-methyl-5-nitro-', '2-Methyl-5-nitro-1,3-benzenediamine #', 'AC-10514', 'LS-29618', 'DB-008140', 'FT-0640592', 'NS00034113', 'ST51047470', 'C16397', 'Q27109178', '2,6-Diamino-4-nitrotoluene 10 microg/mL in Acetonitrile']</t>
  </si>
  <si>
    <t>Compound(91671)</t>
  </si>
  <si>
    <t>2,6-dimethylheptan-4-ol</t>
  </si>
  <si>
    <t>['2,6-Dimethylheptan-4-ol', '2,6-Dimethyl-4-heptanol', '108-82-7', 'Diisobutylcarbinol', '4-Heptanol, 2,6-dimethyl-', 'sec-Nonyl alcohol', 'DIISOBUTYL CARBINOL', '2,6-Dimethyl heptanol-4', 'Nonyl alcohol, secondary', '4-Hydroxy-2,6-dimethyl heptane', '2,6-Dimethylheptanol-4', 'UNII-X5ATE41R0F', 'NSC 62683', 'FEMA No. 3140', 'HSDB 5140', 'EINECS 203-619-6', 'BRN 1733804', '4-Heptanol,2,6-dimethyl-', 'X5ATE41R0F', 'AI3-14496', '4-Heptanol,6-dimethyl-', 'DSSTox_CID_6802', '2,6-dimethyl-heptan-4-ol', '2, 6-Dimethyl-4-heptanol', '2,6-Dimethylheptan-4-ol.', 'ACMC-1B64J', 'DSSTox_RID_78219', 'DSSTox_GSID_26802', 'SCHEMBL22456', '4-01-00-01810 (Beilstein Handbook Reference)', 'KSC506E0L', '4-Heptanol, 2-6-dimethyl-', 'CHEMBL3187831', 'DTXSID8026802', 'CTK4A6205', 'FEMA 3140', '2,6-Dimethyl-4-heptanol, 80%', 'KS-00000X0F', 'NSC62683', 'ZINC1691303', 'Tox21_202737', 'ANW-15983', 'NSC-62683', 'SBB060165', '2,6-Dimethyl-4-heptanol, &gt;=82%', 'AKOS009157902', 'LS-2684', 'MCULE-5726175629', 'NCGC00260285-01', 'AK114199', 'CAS-108-82-7', 'DB-040847', 'WLN: 1Y1 &amp; 1YQ1Y1 &amp; 1', 'D0732', 'FT-0610688', 'NS00012301', 'ST50823945', 'W-109396', 'Q27293576', '2,6-dimethylheptan-4-ol;2,6-Dimethylheptan-4-ol.;2,6-DIMETHYL-4-HEPTANOL']</t>
  </si>
  <si>
    <t>Compound(7957)</t>
  </si>
  <si>
    <t>2,6-dimethyl-4-heptanone</t>
  </si>
  <si>
    <t>2,6-dimethylheptan-4-one</t>
  </si>
  <si>
    <t>['2,6-Dimethyl-4-heptanone', '2,6-Dimethylheptan-4-one', 'DIISOBUTYL KETONE', '108-83-8', 'Isovalerone', 'Isobutyl ketone', 'Valerone', 'Diisobutylketone', '4-Heptanone, 2,6-dimethyl-', 'Diisobutilchetone', 's-Diisopropylacetone', 'Di-isobutylcetone', 'DIBK', 'Diisobutylketon', 'sym-Diisopropylacetone', '2,6-Dimetil-eptan-4-one', '2,6-Dimethyl-heptan-4-on', '2,6-Dimethylheptanone', 'sec-Diisopropyl acetone', 'Ketones, C9-branched', 'Caswell No. 355B', 'Di-isobutylcetone [French]', 'Diisobutilchetone [Italian]', 'C9-Ketones', 'UNII-V52W30H1BU', 'NSC 15136', '2,6-dimethyl-heptan-4-one', 'FEMA No. 3537', 'CCRIS 6233', 'HSDB 527', 'Diisobutylketon [Dutch, German]', 'EINECS 203-620-1', 'UN1157', '(iso-C4H9)2CO', '2,6-Dimethyl-4-heptanone (natural)', '2,6-Dimetil-eptan-4-one [Italian]', 'BRN 1743163', '2,6-Dimethyl-heptan-4-on [Dutch,German]', 'AI3-11270', 'V52W30H1BU', '2,6-Dimethyl-heptan-4-on [Dutch, German]', 'CHEBI:89195', 'Heptanone, 2,6-dimethyl-, 4-', '4-Heptanone,6-dimethyl-', 'DSSTox_CID_5080', 'Diisobutyl ketone [UN1157] [Flammable liquid]', '2, GERMAN)', 'DSSTox_RID_77656', 'DSSTox_GSID_25080', 'Diisobutylketon(DUTCH, GERMAN)', 'CAS-108-83-8', 'WLN: 1Y1 &amp; 1V1Y1 &amp; 1', 'cognac heptanone', 'diisopropylacetone', '2,6-Dimethyl-4-heptanone, technical, remainder mainly 4,6-dimethyl-2-heptanone', 'di-isobutyl ketone', 'ACMC-1BSID', 'EC 203-620-1', '2,5-Dimethyl-4-heptanone', 'SCHEMBL36990', '2,6-Dimethylheptan-4-one.', '4-01-00-03360 (Beilstein Handbook Reference)', '2,6 -dimethyl-4 -heptanone', 'Diisobuyl Ketone Reagent Grade', 'ISOBUTYL n-PROPYL KETONE', 'CHEMBL3182186', 'DTXSID4025080', 'CTK3J4670', 'FEMA 3537', '2,6-Dimethyl-4-heptanone, 99%', 'KS-00000WI1', 'NSC15136', 'ZINC1706746', 'EINECS 271-042-7', 'Tox21_202406', 'Tox21_303091', 'ANW-15984', 'BBL012214', 'LS-471', 'MFCD00008940', 'NSC-15136', 'NSC406913', 'STL163555', '2,6-Dimethyl-4-heptanone, &gt;=99%', 'AKOS005207129', 'MCULE-1429853094', 'NSC-406913', 'UN 1157', 'NCGC00249221-01', 'NCGC00256951-01', 'NCGC00259955-01', 'VS-03235', '2,6-Dimethyl-4-heptanone, technical grade', 'D0733', 'FT-0610689', 'NS00009940', '2,6-Dimethyl-4-heptanone (diisobutyl ketone)', '2,6-Dimethyl-4-heptanone, technical grade, 80%', 'A801931', 'Diisobutyl ketone [UN1157]  [Flammable liquid]', '4-HEPTANONE,2,6-DIMETHYL DIISOBUTYL,KETONE', 'Q2416556', 'W-108711', '4-HEPTANONE,2,6-DIMETHYL   DIISOBUTYL,KETONE', 'Diisobutyl ketone;2,6-dimethylheptan-4-one;2,6-DIMETHYL-4-HEPTANONE', '2,6-Dimethylheptan-4-one (sum of 2,6-Dimethyl-4-heptanone &amp; 4,6-Dimethyl-2-heptanone)']</t>
  </si>
  <si>
    <t>Compound(7958)</t>
  </si>
  <si>
    <t>C9H18O</t>
  </si>
  <si>
    <t>2,6-dimethylphenol</t>
  </si>
  <si>
    <t>['2,6-DIMETHYLPHENOL', '576-26-1', '2,6-Xylenol', 'Phenol, 2,6-dimethyl-', '2,6-Dimethyl phenol', '2-Hydroxy-m-xylene', '1-Hydroxy-2,6-dimethylbenzene', 'Vic-m-xylenol', '2,6-Dmp', '2,6-Dimethyl-phenol', 'Xylenol 235', '2-Hydroxy-1,3-dimethylbenzene', 'UNII-I8N0RO87OV', 'NSC 2123', 'FEMA No. 3249', 'HSDB 5697', 'Dimethylphenol, 2,6-', 'EINECS 209-400-1', 'I8N0RO87OV', '2,6-Dimethylphenol, 99%', 'CHEMBL30106', 'AI3-08524', '1,3-Dimethyl-2-hydroxybenzene', '25134-01-4', 'FEMA 3249', 'MFCD00002240', 'DSSTox_CID_4063', 'DSSTox_RID_77275', 'DSSTox_GSID_24063', 'Phenol, 2,6-dimethyl-, homopolymer', 'CAS-576-26-1', 'vic.-m-Xylenol', 'm-2-Xylenol', '2MY', '2-6-dimethylphenol', '2.6-xylenol', '2,6 Dimethylphenol', '2,6-di-methylphenol', '1,2,6-Xylenol', '1,3,2-Xylenol', 'PubChem21746', '2,6-Dimethyl-phenol.', 'ACMC-209lzh', 'Dimethylphenol (Related)', '2,6-Xylenol, 8CI', '2,6-Dimethylphenol,(S)', 'EC 209-400-1', 'SCHEMBL64141', 'WLN: QR B1 F1', '2,6-Xylenol, &gt;=99%', '26XY', 'DTXSID9024063', '1-Hydroxy-2, 6-dimethylbenzene', 'CTK1A4499', 'KS-00000UEA', 'NSC2123', '3f37', '3f38', 'LABOTEST-BB LTBB002376', '2,6-Dimethylphenol, &gt;=99.5%', 'NSC-2123', 'ZINC1577167', 'Tox21_201274', 'Tox21_300157', 'ANW-32763', 'BBL011609', 'BDBM50240430', 'SBB060658', 'STL163336', 'AKOS000118743', 'ZINC113177718', 'AS00179', 'CM11741', 'LS-1404', 'MCULE-7812557858', '2,6-Dimethylphenol, analytical standard', 'NCGC00091680-01', 'NCGC00091680-02', 'NCGC00091680-03', 'NCGC00254005-01', 'NCGC00258826-01', 'AC-10727', 'BR-47504', 'SC-81536', 'VS-02985', '5,6-dimethyl-2-(methylamino)pyrimidin-4-ol', 'AM20050062', 'D0776', 'FT-0610682', 'ST51046796', '2,6-Dimethylphenol 100 microg/mL in Methanol', 'A806014', 'A831530', 'AB-131/40171179', 'J-525163', 'Q-200216', 'Q1055852', '2,6-Dimethylphenol, PESTANAL(R), analytical standard', 'BENZENE,1,3-DIMETHYL,2-HYDROXY  MFC8 H10 O1', 'F0001-1500', 'Z955123496', 'UNII-I4C43Y9C7V component NXXYKOUNUYWIHA-UHFFFAOYSA-N']</t>
  </si>
  <si>
    <t>Compound(11335)</t>
  </si>
  <si>
    <t>['2,6-Dimethylpyridine', '2,6-LUTIDINE', '108-48-5', 'Pyridine, 2,6-dimethyl-', 'Lutidine', '2,6-Dimethypyridine', "alpha,alpha'-Lutidine", '2,6-dimethyl-pyridine', "alpha,alpha'-Dimethylpyridine", 'HSDB 79', 'NSC 2155', 'UNII-15FQ5D0T3P', '2,6-Lutidene', 'FEMA No. 3540', ".alpha.,.alpha.'-Dimethylpyridine", 'EINECS 203-587-3', 'MFCD00006345', ".alpha.,.alpha.'-Lutidine", 'AI3-24282', '15FQ5D0T3P', 'CHEBI:32548', '2,6-Lutidine, 99%', 'LUT', "alpha,alpha'-Lutidin", 'lutidin', '2,6Lutidine', '2,6 lutidine', '2-6-lutidine', '2.6-lutidine', '2,6-Lutdcine', '2,6 -lutidine', '2,6- lutidine', '2,6-dimethylpiridine', '2.6-dimethylpyridine', '2,6-dimethyl pyridin', '2,6-dimethyl pyridine', 'PubChem15897', 'ACMC-1BTAI', '2,6-Lutidine, 8CI', ".alpha.,.alpha.'-Lutidin", 'SCHEMBL9611', 'DSSTox_CID_30109', 'DSSTox_GSID_51557', 'KSC176G8L', 'CHEMBL22976', 'DIMETHYLPYRIDINE(2,6-)', 'DTXSID7051557', 'CTK0H6385', 'FEMA 3540', 'KS-00000WNY', '2,6-Dimethylpyridine, &gt;=99%', 'NSC2155', 'ZINC967330', '2,6-Lutidine, analytical standard', 'EBD19521', 'NSC-2155', 'Tox21_303862', 'ANW-15949', 'BBL013176', 'SBB060371', 'STL163956', 'AKOS005716680', 'AC-5116', 'AS04947', 'LS-2696', 'MCULE-7437303122', '2,6-Lutidine, ReagentPlus(R), 98%', 'NCGC00357127-01', 'BP-30085', 'BR-44463', 'CAS-108-48-5', 'SC-46364', 'DB-013994', 'FT-0610735', 'L0067', 'NS00010862', 'ST51046560', 'X8109', 'EN300-19113', '9313-EP2270010A1', '9313-EP2270014A1', '9313-EP2270113A1', '9313-EP2272825A2', '9313-EP2272838A1', '9313-EP2272935A1', '9313-EP2275404A1', '9313-EP2277565A2', '9313-EP2277566A2', '9313-EP2277567A1', '9313-EP2277568A2', '9313-EP2277569A2', '9313-EP2277570A2', '9313-EP2277878A1', '9313-EP2281822A1', '9313-EP2284157A1', '9313-EP2284174A1', '9313-EP2286811A1', '9313-EP2289868A1', '9313-EP2289890A1', '9313-EP2292280A1', '9313-EP2292615A1', '9313-EP2295414A1', '9313-EP2295415A1', '9313-EP2298731A1', '9313-EP2298747A1', '9313-EP2298767A1', '9313-EP2298768A1', '9313-EP2298778A1', '9313-EP2301911A1', '9313-EP2301928A1', '9313-EP2301934A1', '9313-EP2301940A1', '9313-EP2308562A2', '9313-EP2308851A1', '9313-EP2308861A1', '9313-EP2308872A1', '9313-EP2308873A1', '9313-EP2309584A1', '9313-EP2311810A1', '9313-EP2311830A1', '9313-EP2314576A1', '9313-EP2314583A1', '9313-EP2314586A1', '9313-EP2316829A1', 'M-5889', '17269-EP2272825A2', '17269-EP2275411A2', '17269-EP2280005A1', '17269-EP2284159A1', '17269-EP2287155A1', '17269-EP2289884A1', '17269-EP2295402A2', '17269-EP2295414A1', '17269-EP2298731A1', '17269-EP2298734A2', '17269-EP2298750A1', '17269-EP2311801A1', '17269-EP2311802A1', '17269-EP2311803A1', '17269-EP2311811A1', '17269-EP2314586A1', '17269-EP2371814A1', '17269-EP2377813A1', '17269-EP2380869A1', '17269-EP2380870A1', '2,6-Lutidine, purified by redistillation, &gt;=99%', 'A801883', 'Q209284', 'Q-100049', 'F0001-0171', 'Z1201023029']</t>
  </si>
  <si>
    <t>Compound(7937)</t>
  </si>
  <si>
    <t>['2,6-DIMETHYLQUINOLINE', '877-43-0', 'Quinoline, 2,6-dimethyl-', '6-Methylquinaldine', 'p-Toluquinaldine', '2,6-Dimethyl-quinoline', 'UNII-KST0M1T4MB', 'MFCD00006762', 'KST0M1T4MB', 'CHEMBL194502', 'NSC 1782', 'EINECS 212-891-5', 'PubChem5876', 'Quinoline,6-dimethyl-', 'ACMC-209qpt', '2,6-dimethylquinoline;', 'AI3-03277', 'Quinoline, 2,6-dimethyl', 'Quinoline,2,6-dimethyl-', 'BIDD:GT0805', 'SCHEMBL161703', '2,6-Dimethylquinoline, 98%', 'DTXSID0044153', 'CTK5F8958', 'NSC1782', 'ACN-S003357', 'ACT10239', 'EBD21300', 'NSC-1782', '3958AC', 'ANW-38895', 'BBL034645', 'BDBM50159273', 'STL420576', 'ZINC11535689', 'AKOS000121619', 'CS-W010911', 'MCULE-3519758935', 'VQ10072', 'KS-00000E20', 'NCGC00334900-01', '2,6-dimethyl-quinolin;6-Methylquinaldine', 'AS-48061', 'SC-54373', 'SY016998', 'DB-057018', 'D1236', 'EU-0000308', 'FT-0633059', 'NS00039217', 'ST45022288', 'A26313', 'AB01326686-02', 'Q27282416']</t>
  </si>
  <si>
    <t>Compound(13414)</t>
  </si>
  <si>
    <t>['2,6-DIETHYLANILINE', '579-66-8', 'Benzenamine, 2,6-diethyl-', '2,6-Diethylbenzenamine', 'Aniline, 2,6-diethyl-', '2,6-Diethyl aniline', '2,6-Diethyl-aniline', '2-Amino-1,3-diethylbenzene', 'CCRIS 2688', 'UNII-VT2234594H', 'HSDB 5699', 'EINECS 209-445-7', 'Benzamine, 2,6-diethyl-', 'BRN 1423626', '2,6-Diethylaniline, 98%', 'AI3-26297', 'VT2234594H', '2,6-diethylphenylamine', 'DSSTox_CID_7218', 'DSSTox_RID_78353', 'DSSTox_GSID_27218', 'CAS-579-66-8', '2,6 DIETHYLANILINE', 'Diethylaminobenzene', '2,6-diethylanilin', '2.6-diethylaniline', '2,6-Diethyl-Benzamine', '2,6-Diethyl-phenylamine', '2,6-Diethyl-Benzenamine', 'ACMC-1AZ3X', '2,6-DIETHYLANALINE', '(2,6-diethyl-phenyl)-amine', '4-12-00-02841 (Beilstein Handbook Reference)', 'KSC176S3D', 'SCHEMBL262868', '2,6-Diethylbenzenamine, 9CI', 'CHEMBL3184218', 'DTXSID6027218', 'KS-00000MPS', 'TIMTEC-BB SBB040469', 'ATTERCOP-CHM AT130487', 'ZINC967715', '2,6-Diethylaniline, &gt;=99.5%', 'AKOS BBS-00003623', 'Tox21_202010', 'Tox21_300333', 'ANW-32844', 'SBB040469', 'STL570693', 'AKOS000120339', 'AS01551', 'CS-W018171', 'MCULE-2107772054', 'MP-2243', 'NCGC00247995-01', 'NCGC00247995-02', 'NCGC00254454-01', 'NCGC00259559-01', 'AC-10108', 'AK-45578', 'DS-13621', 'LS-19701', 'SC-81526', 'Aniline, 2,6-diethyl-;2,6-diethylaniline', 'D0476', 'FT-0610638', 'NS00014202', 'ST50213780', 'C11001', 'A831688', 'Q209276', 'W-105426', '2,6-Diethylaniline, PESTANAL(R), analytical standard', 'F0001-1508', 'Z1251171248']</t>
  </si>
  <si>
    <t>Compound(11369)</t>
  </si>
  <si>
    <t>C10H15N</t>
  </si>
  <si>
    <t>2,6-dichloro-3-methylaniline</t>
  </si>
  <si>
    <t>['2,6-Dichloro-3-methylaniline', '64063-37-2', 'Benzenamine, 2,6-dichloro-3-methyl-', '2,6-Dichloro-m-toluidine', '2,6-dichloro-3-methylphenylamine', '2, 6-Dichloro-3-Methylaniline', 'UNII-T7QD52545O', 'T7QD52545O', '2,6-Dichloro-3-methylbenzenamine', 'EINECS 264-649-3', 'ACMC-1B8OL', 'DSSTox_CID_24710', 'DSSTox_RID_80412', 'DSSTox_GSID_44710', 'KSC620M1B', 'SCHEMBL1638904', 'CHEMBL3184053', 'DTXSID7044710', 'CTK5C0610', 'ZINC407039', 'ACN-S003767', 'ACT00078', 'BCP12674', 'KS-000009TD', 'Tox21_302255', 'ANW-34799', 'Benzenamine,2,6-dichloro-3-methyl-', 'MFCD00007676', 'SBB003783', '2,6-bis(chloranyl)-3-methyl-aniline', 'AKOS000120231', 'DS-1645', 'MCULE-7701217038', 'PS-3506', 'NCGC00256029-01', 'AC-18002', 'AK-35963', 'BR-35963', 'SC-22391', 'SY005706', 'CAS-64063-37-2', 'DB-054603', 'FT-0610617', 'NS00035629', 'ST50406528', 'B-8251', 'A834627', 'W-104862', 'Q27289778']</t>
  </si>
  <si>
    <t>Compound(116529)</t>
  </si>
  <si>
    <t>C7H7Cl2N</t>
  </si>
  <si>
    <t>2,6-dichloro-4-methylphenol</t>
  </si>
  <si>
    <t>['2,6-Dichloro-4-methylphenol', '2,6-Dichloro-p-cresol', '2432-12-4', 'Phenol, 2,6-dichloro-4-methyl-', '4-METHYL-2,6-DICHLOROPHENOL', 'UNII-MIP3UF5E7V', 'MIP3UF5E7V', 'p-Cresol, 2,6-dichloro-', '2,6-DICHLORO-4-METHYL PHENOL', 'NSC 407750', '194-64-9', '2,6-Dichlorocresol', 'NSC407750', 'ph-CH3', 'p-Cresol,6-dichloro-', 'ACMC-1BUWR', '2,6-dichloro-para-cresol', 'SCHEMBL64932', 'Phenol,6-dichloro-4-methyl-', '2,6-dichloro-4-methyl-phenol', 'DTXSID1062415', 'CTK4E1579', 'YXEOEPYIBGTLML-UHFFFAOYSA-', 'KS-00003RA6', 'ZINC1600060', 'ZX-AT007539', 'EINECS 219-402-4', 'p-Cresol, 2,6-dichloro- (8CI)', 'ACM194649', 'ANW-13733', 'FCH917668', 'OR6709', 'AKOS005288325', 'AS00402', 'NSC-407750', 'PS-8575', 'VZ34436', 'KS-000015X1', 'AC-24725', 'BP-10703', 'CC-08042', 'S771', 'SC-50471', 'AI3-24009', 'AX8036855', 'DB-020182', 'D2173', 'FT-0634269', 'NS00027615', 'K-0011', '432D124', 'C-06219']</t>
  </si>
  <si>
    <t>Compound(17077)</t>
  </si>
  <si>
    <t>C7H6Cl2O</t>
  </si>
  <si>
    <t>2,6-dichloro-4-nitroaniline</t>
  </si>
  <si>
    <t>['2,6-DICHLORO-4-NITROANILINE', 'Dichloran', '99-30-9', 'Dicloran', 'Botran', 'Allisan', 'DCNA', 'Ditranil', 'Bortran', 'Resisan', 'Batran', 'Benzenamine, 2,6-dichloro-4-nitro-', 'DCNA (fungicide)', '2,6-Dichloro-4-nitrobenzenamine', 'CDNA', 'Dichloran (amine fungicide)', '4-Nitro-2,6-dichloroaniline', 'Dicloran [BSI]', 'AL-50', 'Botran 45W', '2,6-Dichlor-4-nitroanilin', 'Caswell No. 311', 'RD-6584', '4-Nitroaniline, 2,6-dichloro-', 'NSC 218', 'UNII-F0BE9UC5J7', 'U-2069', 'CCRIS 3111', 'CNA', 'HSDB 1570', 'Aniline, 2,6-dichloro-4-nitro-', 'AI3-08870 (USDA)', 'EINECS 202-746-4', '2,6-Dichlor-4-nitroanilin [Czech]', 'EPA Pesticide Chemical Code 031301', 'BRN 1459581', 'F0BE9UC5J7', 'AI3-08870', '2,6-dichloro-4-nitro-aniline', 'CHEBI:27864', 'MFCD00007677', '1-Amino-2,6-dichloro-4-nitrobenzene', 'DSSTox_CID_426', 'DSSTox_RID_75578', 'DSSTox_GSID_20426', 'CAS-99-30-9', 'Dicloron', 'Botran 75b', 'Botran 75w', 'DICLORA', 'Dichloran (Dicloran)', '2,6-Dichloro-4-nitroaniline (Dicloran)', 'DCNA(R)', 'ACMC-209sc8', '2,6-dichloro-4nitroaniline', 'WLN: ZR BG FG DNW', '4-Nitroaniline,6-dichloro-', '2,6-dichloro-4-nitroanilin', '2,6-Dichloro-p-nitroaniline', '4-12-00-01681 (Beilstein Handbook Reference)', 'KSC495M3H', 'MLS002152899', 'Aniline,6-dichloro-4-nitro-', 'BIDD:ER0704', 'Dichloran, analytical standard', 'SCHEMBL229362', 'CHEMBL504381', 'NSC218', '2,6-Dichloro 4 Nitro Aniline', 'DTXSID2020426', '2,6-dichloro-4-nitrophenylamine', 'CTK3J5633', 'KS-00000UNH', 'Benzenamine,6-dichloro-4-nitro-', 'NSC-218', '2,6-Dichloro-4-nitrobenzeneamine', 'STR00347', 'ZINC3860353', 'Tox21_202341', 'Tox21_300838', 'ANW-40998', 'STK391975', '2,6-Dichloro-4-nitroaniline, 96%', 'Dicloran 10 microg/mL in Cyclohexane', 'AKOS000120531', 'AS05349', 'CM11414', 'LS-2059', 'MCULE-6716999854', 'NE10504', 'DICHLORO(2,6-)-4-NITROANILINE', 'NCGC00091358-01', 'NCGC00091358-02', 'NCGC00091358-03', 'NCGC00091358-04', 'NCGC00091358-05', 'NCGC00254742-01', 'NCGC00259890-01', '2,6 - Dichloro - 4 - nitrobenzenamine', 'AC-11325', 'AK-54899', 'SMR000777926', 'ST082238', 'DB-057776', 'D0385', 'FT-0610583', 'NS00006107', 'V0505', 'Dichloran, PESTANAL(R), analytical standard', '2901-EP2269989A1', '2901-EP2269990A1', '2901-EP2270505A1', '2901-EP2272517A1', '2901-EP2272972A1', '2901-EP2272973A1', '2901-EP2275414A1', '2901-EP2275420A1', '2901-EP2277872A1', '2901-EP2280008A2', '2901-EP2287165A2', '2901-EP2287166A2', '2901-EP2292088A1', '2901-EP2292615A1', '2901-EP2292620A2', '2901-EP2295406A1', '2901-EP2295434A2', '2901-EP2295550A2', '2901-EP2298750A1', '2901-EP2298767A1', '2901-EP2301922A1', '2901-EP2301933A1', '2901-EP2301936A1', '2901-EP2301937A1', '2901-EP2305250A1', '2901-EP2305651A1', '2901-EP2305684A1', '2901-EP2305808A1', '2901-EP2308849A1', '2901-EP2308850A1', '2901-EP2308854A1', '2901-EP2308883A1', '2901-EP2311494A1', '2901-EP2311827A1', '2901-EP2314576A1', '2901-EP2314587A1', '2901-EP2314590A1', '2901-EP2316830A2', '2901-EP2316937A1', 'C11000', 'Dichloran;Dicloran;2,6-dichloro-4-nitroaniline', '26779-EP2275422A1', '26779-EP2292608A1', '26779-EP2305662A1', '26779-EP2308857A1', '26779-EP2314583A1', 'Q2217808', 'W-100043', 'Dichloran, certified reference material, TraceCERT(R)']</t>
  </si>
  <si>
    <t>Compound(7430)</t>
  </si>
  <si>
    <t>2,6-dichloroaniline</t>
  </si>
  <si>
    <t>['2,6-DICHLOROANILINE', '608-31-1', 'Benzenamine, 2,6-dichloro-', '2,6-dichlorobenzenamine', '2,6-Dichloranilin', '2,6 dichloraniline', '2,6-dichloro aniline', 'EINECS 210-160-5', '2,6-Dichloro-Phenylamine', 'CHEBI:46630', 'MFCD00007675', '2,6-dichlorophenylamine', '2,6-Dichloroaniline, 98%', '2,5-Dichlorobenzoic Acid Pestanal', '2,6-dichloro-aniline', '(2,6-dichlorophenyl)amine', '2,6-bis(chloranyl)aniline', 'AURORA KA-687', 'ACMC-1B21F', 'SCHEMBL71630', 'CHEMBL28368', '(2,6-dichloro-phenyl)-amine', 'PARAGOS 390043', 'DTXSID5044449', '2,6-Dichloroaniline, &gt;=98%', 'CTK3J3258', 'KS-00000UUI', 'LABOTEST-BB LTBB001602', 'ACT00066', 'STR01943', 'ZINC2567970', 'ANW-33595', 'BBL034651', 'LABOTEST-BB LT03329690', 'LABOTEST-BB LT03333490', 'LABOTEST-BB LT03379341', 'SBB058727', 'STL264184', 'AKOS000119117', '2,6-dichloroaniline;2,6-Dichloranilin', 'AS01523', 'MCULE-4453158858', 'PS-3007', 'AC-10710', 'BR-44659', 'LS-28227', 'SC-17402', 'DB-024161', 'AM20060286', 'D0323', 'FT-0610591', 'NS00009798', 'ST45255314', 'M-5895', '2,6-Dichloroaniline 100 microg/mL in Methanol', '71064-EP2272817A1', '71064-EP2308833A2', 'A832913', 'Q-200207', 'Q2145677', '2,6-Dichloroaniline, PESTANAL(R), analytical standard', 'F0001-1593']</t>
  </si>
  <si>
    <t>Compound(11846)</t>
  </si>
  <si>
    <t>2,6-dichlorobenzamide</t>
  </si>
  <si>
    <t>['2,6-DICHLOROBENZAMIDE', '2008-58-4', 'Benzamide, 2,6-dichloro-', '2,6-BAM', 'HSDB 2728', 'UNII-E9JWF529EB', '2,6-dichlorobenzoic acid amide', 'EINECS 217-918-4', 'NSC 53137', 'BAM', 'E9JWF529EB', 'CHEBI:28435', '2,6-Dichlorobenzamide, 97%', 'Dichlobenil metabolite', 'Benzamide,6-dichloro-', 'BAM / Dichlorbenzamide', 'DSSTox_CID_2170', 'ACMC-209f5j', 'DSSTox_RID_76511', '2,6-bis(chloranyl)benzamide', 'DSSTox_GSID_22170', 'SCHEMBL320037', '2,6-Dichlorobenzamide (BAM)', 'CHEMBL3184754', 'DTXSID7022170', 'CTK3J7449', 'ZINC156529', 'NSC53137', 'Tox21_301922', 'ANW-23909', 'MFCD00007975', 'NSC-53137', 'SBB008056', 'AKOS009139303', 'AE C653711', 'MCULE-3690540095', 'PS-4563', 'VZ22888', 'AE C653711 (2,6-Dichlorbenzamid)', 'NCGC00255282-01', 'CAS-2008-58-4', 'DB-045081', 'LS-184915', 'FT-0610595', 'NS00008260', 'ST50406617', 'V0556', 'C10934', 'A814228', 'AC-907/25014155', '2,6-Dichlorobenzamide 10 microg/mL in Acetonitrile', 'J-013002', '2,6-Dichlorobenzamide 100 microg/mL in Acetonitrile', 'Q27103696', '2,6-Dichlorobenzamide, PESTANAL(R), analytical standard']</t>
  </si>
  <si>
    <t>Compound(16183)</t>
  </si>
  <si>
    <t>C7H5Cl2NO</t>
  </si>
  <si>
    <t>2,6-dichlorophenol</t>
  </si>
  <si>
    <t>['2,6-DICHLOROPHENOL', '87-65-0', 'Phenol, 2,6-dichloro-', '2,6-Dichlorfenol', '2,6-dichlorphenol', 'RCRA waste number U082', '2,6-dichloro-phenol', '2,6-Dichlorfenol [Czech]', 'UNII-Q7E9K52W7E', '2,6 dichlorophenol', 'CCRIS 2511', 'HSDB 4240', '2,6-Dichlorophenol (2,6-DCP)', 'EINECS 201-761-3', 'NSC 60647', 'RCRA waste no. U082', 'BRN 1447806', '2,6-Dichlorophenol, 99%', '2,6-dichloro-1-hydroxybenzene', 'Q7E9K52W7E', 'CHEBI:28457', '2,6-DCP, 2,6-Dichlorophenol', '2,6-DCP', '2.6-dichlorophenol', 'dichlorophenol(2,6)', 'Ethyl2-chloronicotinate', 'PubChem17274', 'DSSTox_CID_5004', 'WLN: QR BG FG', 'ACMC-209qp2', 'bmse000674', 'DSSTox_RID_77622', 'DSSTox_GSID_25004', 'SCHEMBL65234', '2,6-Dichlorophenol, 98%', '4-06-00-00949 (Beilstein Handbook Reference)', 'KSC449I6P', 'CHEMBL282597', 'DTXSID2025004', 'BDBM92753', 'CTK3E9467', 'ZINC164836', 'CS-D1414', 'KS-00000WZ9', 'NSC60647', 'STR01713', 'Tox21_200775', 'ANW-38868', 'KM2537', 'MFCD00002176', 'NSC-60647', 'SBB058908', 'STL264123', 'AKOS000120721', 'AS04577', 'LS-1869', 'LS10077', 'MCULE-3357384687', 'CAS-87-65-0', 'NCGC00091304-01', 'NCGC00091304-02', 'NCGC00258329-01', 'AC-10717', 'SC-25757', 'A3157', 'D0394', 'FT-0610621', 'NS00010666', 'ST50824838', '2,6-Dichlorophenol 10 microg/mL in Methanol', '2,6-Dichlorophenol 100 microg/mL in Methanol', 'C07096', 'Q4596801', 'W-104010', '2,6-Dichlorophenol, PESTANAL(R), analytical standard', 'UNII-AZ1041M258 component HOLHYSJJBXSLMV-UHFFFAOYSA-N', 'UNII-GP679I31BO component HOLHYSJJBXSLMV-UHFFFAOYSA-N', 'Phenol, 2,6-dichloro-;2,6-Dichlorophenol;2 , 6-dichlorophenol;2,6-dichlorophenol', 'DUB']</t>
  </si>
  <si>
    <t>Compound(6899)</t>
  </si>
  <si>
    <t>2,6-dichlorobenzoic acid</t>
  </si>
  <si>
    <t>['2,6-DICHLOROBENZOIC ACID', '50-30-6', 'Benzoic acid, 2,6-dichloro-', '2,6-dichloro-benzoic acid', 'UNII-634RI764QT', '2,6 dichlorobenzoic acid', 'EINECS 200-025-9', 'NSC 76599', 'BRN 0973858', 'AI3-33337', 'MLS002454359', 'CHEBI:48623', '634RI764QT', 'MFCD00002418', 'SMR001371985', '2,6-Dichlorobenzoic acid, 98+%', '2,6-Dichlorobenzoicacid', '2,6-Dichloro-benzoicacid', 'CCRIS 8610', 'PubChem20028', 'ACMC-1AUOP', '2.6-dichlorobenzoic acid', 'Benzoic acid,6-dichloro-', 'WLN: QVR BG FG', 'DSSTox_CID_4979', 'cid_5758', 'DSSTox_RID_77608', 'DSSTox_GSID_24979', 'SCHEMBL80183', 'KSC269I7R', 'BENZOIC ACID,2,6-DICHLORO  MFC7 H4 O2 CL2', 'CHEMBL114828', 'PARAGOS 460026', 'RARECHEM AL BO 0023', '2,6-bis(chloranyl)benzoic acid', 'DTXSID0024979', 'BDBM74415', 'CTK1G9478', 'KS-00000CBI', 'TIMTEC-BB SBB007694', '2,6-Dichlorobenzoic acid, 98%', 'ZINC388505', 'NSC76599', 'Tox21_200320', 'ANW-30953', 'BBL011978', 'LABOTEST-BB LT00454823', 'LABOTEST-BB LT03329692', 'LABOTEST-BB LT03333497', 'NSC-76599', 'SBB007694', 'STK802695', 'AKOS000119481', 'AC-2693', 'AM81266', 'AS00751', 'CS-W013223', 'LS-1303', 'LS11437', 'MCULE-4873545049', 'PS-5305', 'CAS-50-30-6', 'NCGC00091649-01', 'NCGC00091649-02', 'NCGC00257874-01', 'AK-57133', 'SC-22600', 'SY002588', 'AB0008268', 'DB-020170', 'D0339', 'FT-0610597', 'NS00022245', 'ST45026822', 'M-4264', '002D418', '2,6-Dichlorobenzoic acid;2,6-dichlorobenzoic acid', 'W-105975', 'Q27121293', '2,6-Dichlorobenzoic acid, PESTANAL(R), analytical standard']</t>
  </si>
  <si>
    <t>Compound(5758)</t>
  </si>
  <si>
    <t>2,6-difluorobenzamide</t>
  </si>
  <si>
    <t>['2,6-Difluorobenzamide', '18063-03-1', 'Benzamide, 2,6-difluoro-', '2,6-dfam', 'UNII-SJ2RN214MK', 'EINECS 241-972-8', 'MFCD00007972', 'SJ2RN214MK', '2,6-DIFLUOROBENZOYLAMIDE', '2,6 difluorobenzamide', '2.6-difluorobenzamide', 'PubChem10766', '2, 6 difluorobenzamide', '2,6 difluorobenzamide;', '2,6-difluoro benzamide', '2,6-difluoro-benzamide', '2,6-Difluorobenzamide;', '2,6-difluorobenzoic amide', 'EC 241-972-8', 'KSC490G9R', '2,6-DIFLUOROBERZAMIDE', 'SCHEMBL203321', '2,6-Difluorobenzamide, 97%', '2,6-difluorobenzoic acid amide', 'ACMC-1C795', 'DTXSID4073417', 'SCHEMBL11008706', 'CTK3J0398', 'ZINC152949', 'KS-00000B5L', 'ANW-23022', 'BBL018129', 'CK1202', 'EBD955547', 'SBB058357', 'STL183292', 'AKOS000119514', 'AS05891', 'CGA 149772', 'CM13172', 'MCULE-1286677446', 'PF10530', 'PS-8830', 'AC-10721', 'AK-72781', 'BR-72781', 'LS-26492', 'SC-17505', 'SY003317', 'AB0012065', 'DB-023784', 'CS-0017808', 'D1907', 'FT-0610646', 'NS00004416', 'ST50824627', 'A25252', 'M-5159', 'Benzamide, 2,6-difluoro-;2,6-difluorobenzamide', 'W-107808', 'Q15632832', 'Z296759976']</t>
  </si>
  <si>
    <t>Compound(87439)</t>
  </si>
  <si>
    <t>C7H5F2NO</t>
  </si>
  <si>
    <t>['2,6-Dinitroaniline', '606-22-4', 'Benzenamine, 2,6-dinitro-', '2,6-Dinitrobenzenamine', 'Aniline, 2,6-dinitro-', 'NCI-C60753', 'UNII-8W27G0QBD7', 'CCRIS 3108', 'EINECS 210-108-1', 'NSC 93399', 'BRN 2214886', '2,6-Dinitroaniline, 95%', 'AI3-52363', '8W27G0QBD7', 'MFCD00007148', 'NSC93399', 'PubChem22911', 'WLN: WNR BZ CNW', 'ACMC-209ml1', 'SCHEMBL65199', '(2,6-dinitro-phenyl)-amine', 'KSC490E8H', 'SCHEMBL15630446', 'CTK3J0283', 'DTXSID70209402', 'ACN-S003671', 'ACT08460', 'EBD52758', 'KS-00000X1W', 'STR03602', 'ZINC3861215', 'Benzenamine, 2,6-dinitro- (9CI)', 'ANW-33539', 'NSC-93399', 'STL199159', 'AKOS003588999', 'AC-2794', 'MCULE-6839728062', 'VZ22992', 'BR-44705', 'LS-19779', 'SC-26886', 'AB0012310', 'DB-027697', 'AM20050053', 'D0815', 'FT-0610711', 'NS00034406', 'EN300-39942', '06D224', 'A23808', 'M-4764', 'AE-641/30106013', 'W-111703', 'Q27271104']</t>
  </si>
  <si>
    <t>Compound(69070)</t>
  </si>
  <si>
    <t>2,6-dinitrophenol</t>
  </si>
  <si>
    <t>['2,6-DINITROPHENOL', '573-56-8', 'o-Dinitrophenol', 'Phenol, 2,6-dinitro-', 'beta-Dinitrophenol', 'Dinitro-2,6-phenol', '2,6-DNP', '2,6-Dinitrofenol', 'Phenol, beta-dinitro-', 'UNII-F4QM4I92KC', '2,6-Dinitrofenol [Czech]', '.beta.-Dinitrophenol', 'CCRIS 3104', 'CHEBI:39357', 'HSDB 6306', 'NSC 6215', 'EINECS 209-357-9', 'Phenol, .beta.-dinitro-', 'BRN 1913410', 'F4QM4I92KC', '2,6-dinitro phenol', 'PubChem4116', 'WLN: WNR BQ CNW', 'ACMC-1AS9I', 'Epitope ID:161741', '2,6-Dinitrophenol, 95%', 'ARONIS023625', 'SCHEMBL1077970', 'CHEMBL3278560', 'DTXSID5022063', 'CTK1G9589', 'NSC6215', 'NSC-6215', '7607AF', 'ANW-43815', 'BBL023507', 'STL355968', 'ZINC12358884', 'AKOS000274520', 'MCULE-2956373196', 'AS-40741', 'SC-65246', 'AB0115099', 'DB-020252', 'LS-104567', 'BB 0259250', 'FT-0610716', 'NS00033697', 'T7993', '2,6-Dinitrophenol 10 microg/mL in Acetonitrile', 'Q20856130']</t>
  </si>
  <si>
    <t>Compound(11312)</t>
  </si>
  <si>
    <t>2,6-dinitrotoluene</t>
  </si>
  <si>
    <t>2-methyl-1,3-dinitrobenzene</t>
  </si>
  <si>
    <t>['2,6-DINITROTOLUENE', '606-20-2', '2-Methyl-1,3-dinitrobenzene', 'Benzene, 2-methyl-1,3-dinitro-', '2,6-DNT', '2,6-Dinitromethylbenzene', '1-Methyl-2,6-dinitrobenzene', 'Toluene, 2,6-dinitro-', 'RCRA waste number U106', '2-Methyl-1,3-dinitro-benzene', 'UNII-GG7FAV92MK', 'CCRIS 1006', 'HSDB 2931', 'EINECS 210-106-0', 'GG7FAV92MK', 'RCRA waste no. U106', 'BRN 2052046', 'CHEBI:957', 'DSSTox_CID_528', 'DSSTox_RID_75642', 'DSSTox_GSID_20528', 'CAS-606-20-2', 'Dinitrotoluene-2,6', '2,6-Dinitro toluene', 'ACMC-1BBLJ', 'Epitope ID:161173', '2,6-Dinitrotoluene, 98%', 'KSC355C7D', 'SCHEMBL472112', '1,3-Dinitro 2-methyl benzene', 'SGCUT00101', 'CHEMBL1328508', 'DTXSID5020528', 'CHEBI:63756', 'CTK2F5171', 'KS-00000VWG', '2,4-/2,6-Dinitrotoluene mixture', 'ACT00504', 'EBD42390', 'to_000039', 'ZINC1532113', 'Tox21_201855', 'Tox21_300479', 'ANW-46167', 'MFCD00007158', 'SBB058894', 'AKOS005254581', 'LS-1444', 'MCULE-2448599777', '2,6-Dinitrotoluene, analytical standard', 'NCGC00091312-01', 'NCGC00091312-02', 'NCGC00091312-03', 'NCGC00091312-04', 'NCGC00254319-01', 'NCGC00259404-01', 'AS-12673', 'SC-15398', '2,6-dinitrotoluene;2,6-dinitromethylbenzene', 'D1151', 'FT-0610717', 'NS00005295', 'ST45021463', 'AZ0001-0069', 'C11008', 'M-6475', '2,6-Dinitrotoluene 10 microg/mL in Acetonitrile', '606D202', 'A832811', 'Q2286646', 'F1091-0006', 'UNII-R64H0N1X9C component XTRDKALNCIHHNI-UHFFFAOYSA-N', '2,6-Dinitrotoluene solution, 1000 mug/mL in acetonitrile, ampule of 1.2 mL, certified reference material']</t>
  </si>
  <si>
    <t>Compound(11813)</t>
  </si>
  <si>
    <t>2,6-di-tert-butyl-1,4-benzoquinone</t>
  </si>
  <si>
    <t>2,6-ditert-butylcyclohexa-2,5-diene-1,4-dione</t>
  </si>
  <si>
    <t>['719-22-2', '2,6-Di-tert-butyl-P-benzoquinone', '2,6-Di-tert-butylcyclohexa-2,5-diene-1,4-dione', '2,6-Di-tert-butyl-1,4-benzoquinone', '2,6-Di-tert-butylbenzoquinone', '2,6-Di-tert-butylquinone', '2,5-Cyclohexadiene-1,4-dione, 2,6-bis(1,1-dimethylethyl)-', '2,6-DI-T-BUTYL-P-BENZOQUINONE', 'p-Benzoquinone, 2,6-di-tert-butyl-', '2,6-Bis(1,1-dimethylethyl)-2,5-cyclohexadiene-1,4-dione', 'UNII-4C9D8L0Y0T', 'NSC 14448', 'CCRIS 7070', 'DBQ', 'HSDB 2775', '2,6-Di-t-butyl-1,4-benzoquinone', 'EINECS 211-946-0', '2,6-ditert-butylcyclohexa-2,5-diene-1,4-dione', '2,6-di(tert-butyl)benzo-1,4-quinone', 'AI3-61049', '4C9D8L0Y0T', '2,6-bis-tert-Butylbenzoquinone', 'CHEBI:89187', '2,6-di-tert-Butyl-para-benzoquinone', '2,6-di-tert-butylbenzo-1,4-quinone', '2,6-bis-(1,1-dimethylethyl)-2,5-cyclohexadiene-1,4-dione', 'Benzoquinone, 2,6-di-(1,1-dimethylethyl)', 'p-Benzoquinone, 2,6-bis-(1,1-dimethylethyl)', '2,5-Cyclohexadien-1,4-dione, 2,6-bis(1,1-dimethylethyl)-', '2,6-Di-tert-butyl-p-benzoquinone, 98%', 'PubChem14595', 'Di-t-butyl benzoquinone', 'ACMC-209okp', 'Maybridge1_002204', 'CBMicro_047944', 'DSSTox_CID_1493', '2, 6-Di-tert-butylquinone', 'DSSTox_RID_76185', 'DSSTox_GSID_21493', 'KSC494C8R', '2,6-Di-tert-butylbenzoquinon', 'SCHEMBL853674', '2,6-ditert.butyl-benzoquinone', '2,6-Di-tert-butyl-p-quinone', 'CHEMBL3185121', 'DTXSID7021493', 'CTK3J4188', 'HMS547M04', 'KS-00000XDN', '2,6-Di-tertbutyl-p-benzoquinone', 'p-Benzoquinone,6-di-tert-butyl-', 'ZINC132915', 'ACT02911', 'NSC14448', 'ZX-AT023462', '2, 6-Di-tert-butyl-p-benzoquinone', 'Tox21_200521', 'ANW-36119', 'BTB 09891', 'CCG-49871', 'MFCD00001601', 'NSC-14448', '2,6-di(tertiarybutyl)-p-benzoquinone', '2,6-di-tertiary-butyl-p-benzoquinone', '2,6-ditert-butyl-[1,4]benzoquinone', '3,5-di-tertiary-butyl-p-benzoquinone', 'AKOS015841128', '2,6-di(tertiary-butyl)-p-benzoquinone', 'CS-W013138', 'MCULE-5214801115', 'VZ22837', '2,6-Di-tert-butyl-[1,4]benzoquinone', '2,6-Di-tert.-butyl-1,4-benzoquinone', '2,6-Ditert-butylbenzo-1,4-quinone #', 'NCGC00248670-01', 'NCGC00258075-01', 'AK-76932', 'AS-18524', 'CAS-719-22-2', 'CC-08214', 'LS-40333', 'SC-65501', 'BIM-0047946.P001', 'DB-020256', '2,4-dione, 2,6-bis(1,1-dimethylethyl)-', '2,6-bis(1,1-dimethylethyl)-p-benzoquinone', '2,6-Di-tert-butyl-1,4-benzoquinone, 98%', 'D2256', 'FT-0610728', 'NS00010801', 'W8078', '2,1-dimethylethyl)-2,5-cyclohexadiene-1,4-dione', '719D222', 'A837359', 'C-12205', 'J-507389', 'SR-01000639296-1', '2,6-Ditert-butylbenzo-1,4-quinone (ACD/Name 4.0)', 'Q27161373', '2,6-Bis-(1,1-Dimethylethyl)-2,5-cycloxehadien-1,4-dione', '2,6-Bis(1, 1-dimethylethyl)-2,5-cyclohexadiene-1,4-dione', '2,6-di-tert-butyl-p-benzoquinone;2,5-Cyclohexadiene-1,4-dione, 2,6-bis(1,1-dimethylethyl)-']</t>
  </si>
  <si>
    <t>Compound(12867)</t>
  </si>
  <si>
    <t>C14H20O2</t>
  </si>
  <si>
    <t>2,6-di-tert-butylphenol</t>
  </si>
  <si>
    <t>2,6-ditert-butylphenol</t>
  </si>
  <si>
    <t>['2,6-DI-TERT-BUTYLPHENOL', '128-39-2', '2,6-Di-t-butylphenol', '2,6-Bis(tert-butyl)phenol', 'Phenol, 2,6-bis(1,1-dimethylethyl)-', '2,6-ditert-butylphenol', '2,6-Bis(1,1-dimethylethyl)phenol', '2,6 Di-tert-butylphenol', 'Ethanox 701', 'Isonox 103', 'Ethyl 701', 'Ethyl AN 701', 'Hitec 4701', 'Phenol, 2,6-di-tert-butyl-', '2,6-Bis(t-butyl)phenol', '2,6-Di-tert-butyl-phenol', 'AN 701', 'NSC 49175', 'CCRIS 5828', 'UNII-21294V58PF', 'HSDB 5616', '2,6-(1,1-Dimethylethyl)phenol', 'EINECS 204-884-0', 'MFCD00008820', 'AI3-26293', 'CHEMBL281071', '2,6-Di-tert-butylphenol, 99%', '21294V58PF', 'DSSTox_CID_7052', 'DSSTox_RID_78295', 'DSSTox_GSID_27052', 'CAS-128-39-2', '2,6-di-tert-butyl phenol', '2,6-ditertbutylphenol', '2,6-di-t butylphenol', '2,6 ditert-butylphenol', '2,6-di-tertbutylphenol', '2,6-ditert.butylphenol', '2,6Di-tert-butylphenol', '2,6-di(t-butyl)phenol', '2,6-di-t-butyl phenol', '2,1-dimethylethyl)phenol', '2,6-Di- t-butylphenol', '2,6-ditert.-butylphenol', '2-6-di-tert-butylphenol', 'ACMC-1BU9F', '2,6-di- tert-butylphenol', '2,6-di-tert.-butylphenol', '2,6-di-tert.butyl-phenol', 'EC 204-884-0', '2,6-di-tert-butyl- phenol', '2,6-di-tert.-butyl phenol', '2,6-di-tert.-butyl-phenol', '2,6-di-tertiary butylphenol', 'SCHEMBL38598', 'KSC490K4P', 'Phenol, 2,6-bis(t-butyl)', 'BIDD:ER0032', '2,6 -di-tert.-butyl phenol', '2,6-di-tertiary-butyl phenol', '2,6-Di-tert-butyl-4-phenol', '2,6-DTBP', 'DTXSID6027052', '2,6-Di-tert-butylhydroxybenzene', 'CTK3J0547', 'KS-00000VGS', 'CHEBI:131421', 'BCP25862', 'NSC49175', 'ZINC1681254', '2,6-di-(1,1-dimethylethyl)phenol', 'Tox21_200442', 'Tox21_300091', '2,6-bis (1,1-dimethylethyl)phenol', 'ANW-19066', 'BDBM50240431', 'NSC-49175', 'SBB060428', 'STL280177', 'AKOS009031587', 'CM14385', 'MCULE-2011063202', 'NE10615', 'NCGC00164272-01', 'NCGC00164272-02', 'NCGC00164272-03', 'NCGC00254067-01', 'NCGC00257996-01', 'AC-14913', 'I174', 'LS-104319', 'SK8265000', '1,3-DITERT.BUTYL,2-HYDROXY-BENZENE', 'D0941', 'FT-0610732', 'NS00010301', 'ST50214492', 'A805816', 'Q2218184', 'W-108375', 'Z256708854', '2,6-(1,1-Dimethylethyl)phenol                        2,6-bis(1,1-dimethylethyl)-pheno', '2,6-Di-tert-butylphenol;2,6-di-tert-butylphenol;Phenol, 2,6-bis(1,1-dimethylethyl)-;Phenol, 2,6-bis(1,1-dimethylethyl)-, potassium salt;Potassium 2,6-di-tert-butylphenolate']</t>
  </si>
  <si>
    <t>Compound(31405)</t>
  </si>
  <si>
    <t>2,6-toluene diamine</t>
  </si>
  <si>
    <t>2-methylbenzene-1,3-diamine</t>
  </si>
  <si>
    <t>['2,6-DIAMINOTOLUENE', '823-40-5', '2-methylbenzene-1,3-diamine', '1,3-Benzenediamine, 2-methyl-', '2,6-Toluenediamine', 'Toluene-2,6-diamine', '2,6-Tolylenediamine', '2,6-Toluylenediamine', '2-Methyl-m-phenylenediamine', '2,6-Diamino-1-methylbenzene', '2-Methyl-1,3-benzenediamine', '2-Methyl-1,3-phenylenediamine', 'o-Toluene diamine', 'Toluene, 2,6-diamino-', 'EINECS 212-513-9', 'NSC 147490', 'CCRIS 3031', 'HSDB 4131', 'UNII-H838Q10551', 'BRN 2079476', 'NCI-C50317', 'MLS002174248', 'CHEBI:76288', 'SMR001261423', 'H838Q10551', '2,6-Diaminotoluene, 98%', '2,6-Diamino toluene', '2,6-DAT', '2, 6-Diaminotoluene', '2, 6-Tolylenediamine', 'Tolylene-2,6-diamine', 'ACMC-209pob', 'DSSTox_CID_7319', 'DSSTox_RID_78404', 'DSSTox_GSID_27319', 'SCHEMBL30289', '2,6-Diaminotoluene, 97%', '3-13-00-00291 (Beilstein Handbook Reference)', 'cid_13205', 'KSC449C1J', 'CHEMBL1489438', 'DTXSID4027319', '(3-amino-2-methyl-phenyl)amine', 'BDBM74255', 'CTK3E9114', 'ZINC388289', 'ACT07296', 'KS-00000X7U', 'STR07388', 'Tox21_200125', 'ANW-37545', 'MFCD00007800', 'NSC147490', 'SBB061338', 'AKOS004910550', 'LS-1820', 'MCULE-3706030536', 'NSC-147490', 'VZ22842', 'NCGC00090710-01', 'NCGC00090710-02', 'NCGC00257679-01', 'AC-11513', 'CAS-823-40-5', 'SC-13648', 'DB-027657', 'D0124', 'FT-0610534', 'FT-0666394', 'NS00002714', 'ST51047362', '2-Methyl-1,3-benzenediamine (ACD/Name 4.0)', '2-Methyl-m-phenylenediamine, analytical standard', '823D405', 'A840303', 'Q1987204', 'UNII-NJX12DY6BY component RLYCRLGLCUXUPO-UHFFFAOYSA-N', '71K', 'Toluene-2,6-diamine monohydrochloride;2-methylbenzene-1,3-diamine dihydrochloride;2,6-Toluenediamine;2-methyl-m-phenylenediamine;2,6-Diaminotoluene;Toluene-2,6-diamine']</t>
  </si>
  <si>
    <t>Compound(13205)</t>
  </si>
  <si>
    <t>2,6-toluene diisocyanate</t>
  </si>
  <si>
    <t>1,3-diisocyanato-2-methylbenzene</t>
  </si>
  <si>
    <t>['2,6-Diisocyanatotoluene', 'Toluene-2,6-diisocyanate', '91-08-7', '2-Methyl-m-phenylene diisocyanate', '2,6-TOLUENE DIISOCYANATE', '1,3-Diisocyanato-2-methylbenzene', 'Toluene 2,6-diisocyanate', '2,6-TDI', 'Benzene, 1,3-diisocyanato-2-methyl-', 'm-Tolylene diisocyanate', 'meta-Tolylene diisocyanate', '2,6-Diisocyanato-1-methylbenzene', '2-Methyl-meta-phenylene isocyanate', 'Tolylene 2,6-diisocyanate', 'Isocyanic acid, 2-methyl-meta-phenylene ester', 'Benzene, 2,6-diisocyanato-1-methyl-', 'UNII-78243HXH5O', 'CCRIS 3741', 'CHEBI:53557', 'HSDB 5272', 'm-Tolylidene diisocyanate', 'EINECS 202-039-0', 'RCRA waste no. U223', 'UN 2078', 'BRN 2211546', 'Isocyanic acid, 2-methyl-m-phenylene ester', '78243HXH5O', 'GEO-02330', 'W-200524', '1,3-Diisocyanato-2-methylbenzene [Toluenediisocyanates]', 'Tolylene 2,6-diisocyanate, 97%', '2,6-toluenediisocyanate', '1,3-diisocyanato-2-methyl-benzene', 'Benzene, 1,3-diisocyanatomethyl-, homopolymer', 'Tolylene-2,6-diisocyanate', 'Toluene diisocyanate polymer', 'mondur-td', 'hylene-t', 'Rubinate TDI', 'Tolylene diisocyanate, homopolymer', 'Tolylene isocyanate', 'toluone diisocyanate', 'mondur-td-80', 'Nacconate-100', 'Desmodur T 80', 'Desmodur T100', 'Toluene diisocyanates', 'Niax isocyanate TDI', 'UN2078', '9017-01-0', 'Toluene diisocy anates', 'Methylphenylene isocyanate', 'Hylene TRF (Salt/Mix)', 'DSSTox_CID_6157', '2,6-Tolylene diisocyanate', 'Epitope ID:120367', 'EC 500-299-2', 'Toluene diisocyanate mixture', 'Cosmonate TDI (Salt/Mix)', 'DSSTox_RID_78039', 'DSSTox_GSID_26157', 'SCHEMBL15092', 'Toluene diisocyanate (mixed)', '2,4-/2,6-Toluene diis', 'Methyl-m-phenylene isocyanate', '1,3-Diisocyanatomethylbenzene', '4-13-00-00259 (Beilstein Handbook Reference)', 'CCRIS 596', 'tdi-80-20', '2-methyl-meta-phenylene ester', 'Toluene diisocyantes (mixture)', '2,6-TDI, analytical standard', '2-Methyl-m-phenylene isocyanate', 'CHEMBL1443390', 'DTXSID2026157', 'CTK3J4599', 'HSDB 6003', 'Niax isocyanate TDI (Salt/Mix)', '2,4 + 2,6-Toluenediisocyanate', '2-methylbenzene-1,3-diisocyanate', 'Methyl-meta-phenylene diisocyanate', 'Toluene diisocyanate, oligomeric reaction products with water', 'Tolylene-2,6-diisocyanate, 97%', 'Toluenediisocyanate (mixed isomers)', 'ZINC2012912', '2-Methyl-meta-phenylene diisocyanate', 'EINECS 247-722-4', 'Toluene diisocyanate (mixed isomers)', 'Tox21_201661', '1,3-Diisocyanato-2-methylbenzene #', 'ANW-43425', 'MFCD00002010', 'TDI 80-20', '2,4- and 2,6-Toluene diisocyanate', 'AKOS015842352', 'FCH1116464', 'LS-1105', 'LS-1915', 'CAS-91-08-7', 'Isocyanic acid, methyl-m-phenylene ester', 'NCGC00091052-01', 'NCGC00091052-02', 'NCGC00091052-03', 'NCGC00259210-01', 'Toluene diisocyanate (unspecified isomer)', 'SC-80361', 'Toluene diisocyanate [UN2078] [Poison]', 'NS00008174', 'ST50825052', '2,4/2,6-Toluene diisocyanate isomeric mixture', '091M087', '2,4 (80)-and 2,6 (20)-Toluene Diisocyanate', '1,3-Diisocyanatomethylbenzene [Toluenediisocyanates]', 'Q1688256', '2,4 (80%)- and 2,6 (20%)- Toluene  Diisocyanate', '2,4 (80%)- and 2,6 (20%)- Toluene Diisocyanate', 'UNII-9MTX1PK3QO component RUELTTOHQODFPA-UHFFFAOYSA-N', 'TOLUENE DIISOCYANATE, COMMERCIAL GRADE (2,4 (80%)-', 'TOLUENE DIISOCYANATE, MONOMER (2,4-80%, 2,6-20%)', 'Toluene-2,4-diisocyanate (mixt. with Toluene-2,6-diisocyanate)']</t>
  </si>
  <si>
    <t>Compound(7040)</t>
  </si>
  <si>
    <t>['2,6-Dimethylaniline', '87-62-7', '2,6-XYLIDINE', '2-Amino-m-xylene', 'o-Xylidine', 'Benzenamine, 2,6-dimethyl-', '2,6-Dimethylbenzenamine', '2-Amino-1,3-dimethylbenzene', '2,6-Dimethylphenylamine', '2,6-Xylylamine', '2-Amino-1,3-xylene', '1-Amino-2,6-dimethylbenzene', 'vic-m-xylidine', 'Aniline, 2,6-dimethyl-', 'NCI-C56188', 'o-Xylidine (VAN)', 'NSC 7098', 'UNII-4FT62OX08D', 'CCRIS 2373', '2,6-Dimethyl-aniline', 'HSDB 2094', 'Benzene, 2-amino-1,3-dimethyl-', 'EINECS 201-758-7', 'BRN 0636332', '2,6-Dimethylaniline, 99%', 'AI3-52358', '4FT62OX08D', 'DTXSID8026307', 'CHEBI:28738', '2,6-DMA', 'DSSTox_CID_6307', '2,6-dimethyl benzeneamine', 'DSSTox_RID_78097', 'DSSTox_GSID_26307', '2,6-DIMETHYLANILINE HCL', 'CAS-87-62-7', 'Xylylamine', '2,6 dimethylaniline', '2.6-dimethylaniline', 'Aniline,6-dimethyl-', '2,6 dimethyl aniline', '2,6-dimethyl aniline', 'dimethylaniline,2,6-', 'PubChem17593', 'ACMC-209qow', 'Benzenamine,6-dimethyl-', '2,6-dimethylbenzeneamine', '2,6-dimethyl-phenylamine', '(2,6-dimethylphenyl)amine', 'EC 201-758-7', '4-12-00-02521 (Beilstein Handbook Reference)', 'KSC490E9R', 'SCHEMBL106244', 'WLN: ZR B1 F1', '(2,6-dimethyl-phenyl)-amine', 'CHEMBL1340793', 'CTK3J0298', 'TIMTEC-BB SBB008136', 'NSC7098', 'LABOTEST-BB LTBB000551', 'LS-79', 'ZINC900692', 'KS-00000W6W', 'NSC-7098', 'STR00521', 'AKOS BBS-00003564', 'Tox21_201426', 'Tox21_300055', 'ANW-38862', 'LABOTEST-BB LT03333426', 'MFCD00007747', 'SBB008136', 'STL281861', 'AKOS000120115', 'AS01550', 'MCULE-6337132025', 'PS-3428', '2,6-Dimethylaniline, analytical standard', 'NCGC00091576-01', 'NCGC00091576-02', 'NCGC00091576-03', 'NCGC00254105-01', 'NCGC00258977-01', 'AC-11240', 'BR-36666', 'SC-22547', 'DB-027693', 'AM20050570', 'CS-0012942', 'D0669', 'FT-0610696', 'FT-0667311', 'NS00008896', 'ST45255300', '2,6-Dimethylaniline, purum, &gt;=98.0% (GC)', 'C11004', 'M-5847', '2,6-Dimethylaniline 100 microg/mL in Isooctane', 'A842302', 'J-507530', 'Q4353533', 'Z57127391', '2,6-Dimethylaniline, PESTANAL(R), analytical standard', 'F2190-0466', '2,6-Dimethylaniline;2,6-xylidine;Aniline, 2,6-dimethyl-', 'UNII-0V872Q19HT component UFFBMTHBGFGIHF-UHFFFAOYSA-N', 'Bupivacaine impurity F, European Pharmacopoeia (EP) Reference Standard', '2,6-Dimethylaniline (Lidocaine Related Compound A), Pharmaceutical Secondary Standard; Certified Reference Material']</t>
  </si>
  <si>
    <t>Compound(6896)</t>
  </si>
  <si>
    <t>2- (8-chloro-hexadecafluorooctoxy)-tetrafluoroethanesulfonic acid , Kz</t>
  </si>
  <si>
    <t>potassium;2-(8-chloro-1,1,2,2,3,3,4,4,5,5,6,6,7,7,8,8-hexadecafluorooctoxy)-1,1,2,2-tetrafluoroethanesulfonate</t>
  </si>
  <si>
    <t>['83329-89-9', 'DTXSID00892447', 'Potassium 11-chloroeicosafluoro-3-oxaundecane-1-sulfonate', '2-[(8-chloro-1,1,2,2,3,3,4,4,5,5,6,6,7,7,8,8-hexadecafluoroctyl)oxyl]-1,1,2,2-tetrafluoro-ethanesulfonic acid,potassium salt']</t>
  </si>
  <si>
    <t>Compound(50851128)</t>
  </si>
  <si>
    <t>C10ClF20KO4S</t>
  </si>
  <si>
    <t>2-amino-4,6-dinitrotoluene</t>
  </si>
  <si>
    <t>2-methyl-3,5-dinitroaniline</t>
  </si>
  <si>
    <t>['2-Methyl-3,5-dinitroaniline', '35572-78-2', '2-AMINO-4,6-DINITROTOLUENE', '3,5-Dinitro-o-toluidine', '2-Methyl-3,5-dinitrobenzenamine', '2-Methyl-3,5-dinitro-phenylamine', '2-Adnt', 'Benzenamine, 2-methyl-3,5-dinitro-', '2,4-Dinitro-6-aminotoluene', 'o-Toluidine, 3,5-dinitro-', 'UNII-189OOM840S', 'CCRIS 5187', 'BRN 2377515', '189OOM840S', 'Benzenamine,2-methyl-3,5-dinitro-', '2-methyl-3,5-dinitrophenylamine', '2-Amino-4,6-dinitrotoluol', '3,5-dinitro-2-methylaniline', 'SCHEMBL938651', '2-methyl-3,5-dinitro-aniline', 'DTXSID6044068', 'CHEBI:19452', 'CTK4H4807', 'KS-00000LMW', 'ZINC2008675', 'FCH837678', 'SBB007344', 'STK761210', 'Benzenamine, 3,5-dinitro-2-methyl-', '2-Amino-1-methyl-4,6-dinitrobenzene', 'AKOS000560910', 'DS-4857', 'MCULE-2896301221', 'MP-0448', 'VZ23603', 'AC-10511', 'AK134907', 'CC-08801', 'ST002207', 'AB0050817', 'AX8004820', 'DB-020416', 'LS-154367', 'BB 0254315', 'Benzenamine, 3,5-dinitro-2-methyl- (9CI)', 'FT-0639265', 'NS00008400', 'Z4644', 'C16395', 'A822876', 'C-09063', 'Q27109181', '2-Amino-4,6-dinitrotoluene, vial of 100 mg, analytical standard']</t>
  </si>
  <si>
    <t>Compound(37182)</t>
  </si>
  <si>
    <t>C7H7N3O4</t>
  </si>
  <si>
    <t>2-amino-4-chlorophenol</t>
  </si>
  <si>
    <t>['2-Amino-4-chlorophenol', '95-85-2', '5-CHLORO-2-HYDROXYANILINE', '4-Chloro-2-aminophenol', 'Phenol, 2-amino-4-chloro-', 'Fouramine PY', '2-Hydroxy-5-chloroaniline', 'p-Chloro-o-aminophenol', '2-amino-4-chloro-phenol', 'C.I. Oxidation Base 18', '2-amino-4-chlorphenol', '4-chloro-2-amino phenol', 'UNII-2Z43LEA3DX', 'C.I. 76525', 'CCRIS 4579', 'EINECS 202-458-9', 'UN2673', 'NSC 247814', 'BRN 0774859', '2Z43LEA3DX', 'amino-4-chlorophenol', '2-amino4-chlorphenol', '4-chloro-o-aminophenol', '2-amino 4-chlorophenol', '2-Amino-4-Chloro phenol', 'DSSTox_CID_4473', 'ACMC-209s5j', '2-amino -4-chloro-phenol', 'EC 202-458-9', '5-chloro-2-hydroxy-aniline', '5-Chloro-2-hydroxy aniline', 'DSSTox_RID_77415', '2-azanyl-4-chloranyl-phenol', 'DSSTox_GSID_24473', 'SCHEMBL93885', '4-13-00-00878 (Beilstein Handbook Reference)', 'KSC490K7F', 'CHEMBL251389', '2-Amino-4-chlorophenol, 97%', 'DTXSID5024473', 'CTK3J0572', 'ZINC404323', '4-chloro-2-amino-1-hydroxybenzene', '4-CHLORO-2-AMINOPHE- NOL', '1-Hydroxy-2-amino-4-chlorobenzene', 'KS-00000X5B', 'STR04156', 'Tox21_201047', 'ANW-40757', 'BBL012067', 'MFCD00007694', 'NSC247814', 'SBB007588', 'STK082036', 'AKOS000119832', 'AS04639', 'CCG-302529', 'LS-1994', 'LS10668', 'MCULE-6574605871', 'NSC-247814', 'UN 2673', 'CAS-95-85-2', 'NCGC00091565-01', 'NCGC00091565-02', 'NCGC00091565-03', 'NCGC00258600-01', 'AC-10586', 'DB-057609', 'A0284', 'A6624', 'FT-0611109', 'NS00007438', 'ST45255333', 'T8321', '2-Amino-4-chlorophenol [UN2673] [Poison]', '2-Amino-4-chlorophenol [UN2673]  [Poison]', 'A845483', 'J-512235', 'W-100152', 'Q27255828', 'F1995-0244', 'Z1262246148', 'Chlorzoxazone Related Compound A, United States Pharmacopeia (USP) Reference Standard', '[5-chloro-2-hydroxyphenyl]ammonium hydrogen sulphate;2-Amino-4-chlorophenol;2-Amino-4-Chlorphenol;2-amino-4-chlorophenol']</t>
  </si>
  <si>
    <t>Compound(7265)</t>
  </si>
  <si>
    <t>C6H6ClNO</t>
  </si>
  <si>
    <t>2-amino-6-nitrotoluene</t>
  </si>
  <si>
    <t>2-methyl-3-nitroaniline</t>
  </si>
  <si>
    <t>['2-Methyl-3-nitroaniline', '603-83-8', '2-Amino-6-nitrotoluene', '3-NITRO-O-TOLUIDINE', 'Benzenamine, 2-methyl-3-nitro-', '2-methyl-3-nitro-aniline', 'o-Toluidine, 3-nitro-', '(2-methyl-3-nitrophenyl)amine', '1-Amino-2-methyl-3-nitrobenzene', 'EINECS 210-059-6', 'NSC 227939', '2-methyl-3-nitrobenzenamine', 'BRN 0388393', '2-methyl-3-nitro-phenylamine', '2-Methyl-3-nitroaniline, 97%', 'MFCD00007731', '2-methyl-3-nitrophenylamine', '2-METHYL-3-NITROANILINE (2-AMINO-6-NITROTOLUENE)', 'x-Nitro-o-toluidine', 'PubChem4480', '2-Amino-6-nitrotoluol', '2-nitro-6-aminotoluene', 'ACMC-1AXFY', '2-Methy-3-nitroaniline', '2-amino-6-nitro-toluene', '2-Nitro-6-amino toluene', 'DSSTox_CID_5628', '2-methyl-3-nitro aniline', 'DSSTox_RID_77857', 'NCIOpen2_002635', 'DSSTox_GSID_25628', '4-12-00-01811 (Beilstein Handbook Reference)', 'KSC352Q9P', 'MLS002454365', 'SCHEMBL190550', 'ARONIS023421', 'BEN348', 'CHEMBL1882292', 'DTXSID8025628', 'SCHEMBL15630321', 'CTK2F2897', 'HMS3039H05', 'ZINC157564', 'ACT00113', 'CS-M0044', 'Tox21_200773', 'ANW-33490', 'NSC227939', 'SBB063268', 'STL069425', 'AKOS000120322', 'AKOS015831346', 'AKOS024268502', 'AC-2973', 'AS06853', 'LS-1440', 'MCULE-8639493659', 'NSC-227939', 'PS-6293', '3-(cyclohexylsulfonyl)phenylboronic acid', 'KS-000009R4', 'Benzenamine, 2-methyl-3-nitro- (9CI)', 'NCGC00091779-01', 'NCGC00091779-02', 'NCGC00258327-01', 'AK-35808', 'BR-35808', 'CAS-603-83-8', 'SC-05650', 'SMR001371989', '2-Amino-6-nitrotoluol;3-nitro-o-toluidine', 'AB0012308', 'DB-032260', 'AM20050227', 'FT-0602349', 'N0455', 'NS00005127', 'ST45052913', 'KS-00004693', 'M-6259', 'AC-907/25014174', 'J-509954', 'F8880-4835']</t>
  </si>
  <si>
    <t>Compound(11783)</t>
  </si>
  <si>
    <t>C7H8N2O2</t>
  </si>
  <si>
    <t>2-piperazin-1-ylethanamine</t>
  </si>
  <si>
    <t>['140-31-8', 'N-Aminoethylpiperazine', '2-(piperazin-1-yl)ethanamine', 'N-(2-Aminoethyl)piperazine', '1-Piperazineethanamine', '1-(2-Aminoethyl)piperazine', 'Aminoethylpiperazine', '1-Piperazineethylamine', '2-piperazin-1-ylethanamine', 'Piperazineethanamine', '1-AMINOETHYLPIPERAZINE', 'Piperazine, 1-(2-aminoethyl)-', '2-Piperazin-1-ylethylamine', 'USAF DO-46', '2-Piperazinylethylamine', '2-(piperazin-1-yl)ethan-1-amine', 'NSC 38968', 'N-(beta-Aminoethyl)piperazine', 'CCRIS 6678', 'UNII-I86052F9F6', 'HSDB 5630', 'N-(Aminoethyl)piperazine', 'EINECS 205-411-0', 'UN2815', 'BRN 0104363', 'AI3-52274', 'MLS000736991', 'N-(.beta.-Aminoethyl)piperazine', '1-(2-Aminoethyl)piperazine, 99%', 'I86052F9F6', 'DSSTox_CID_1997', '1-[2-Aminoethyl]piperazine', 'DSSTox_RID_76450', 'DSSTox_GSID_21997', '2-(1-Piperazinyl)ethylamine', 'CAS-140-31-8', '4-(2-aminoethyl)piperazine', 'aminoethyl piperazine', '2-aminoethylpiperazine', 'PubChem8568', 'n-aminoethyl piperazine', 'ACMC-209ckj', 'N-2-aminoethylpiperazine', 'EC 205-411-0', '2-piperazin-1-yl-ethylamine', 'n-(2-aminoethyl) piperazine', 'SCHEMBL17210', 'N-(2-amino ethyl)piperazine', 'N-(2-aminoethyl)-piperazine', 'WLN: T6M DNTJ D2Z', '1-(2-aminoethyl) piperazine', '1-(2-aminoethyl)-piperazine', '5-23-01-00257 (Beilstein Handbook Reference)', 'N-(beta-aminoethyl)-piperazine', '1-(2-aminoethyl)- piperazine', 'CHEMBL209790', 'D.E.H. 39 (Salt/Mix)', '2-(1-Piperazinyl)ethanamine #', 'DTXSID2021997', 'CTK0H5822', 'N-(2-AMINOETHYL)PYPERAZINE', 'ALBB-021351', 'KS-00000V9F', 'NSC38968', 'Tox21_202230', 'Tox21_302922', 'ANW-20561', 'BBL011596', 'MFCD00005971', 'NSC-38968', 'SBB004229', 'STL163329', 'ZINC19230120', 'AKOS000118842', 'AM81364', 'LF-0556', 'MCULE-5452598420', 'UN 2815', 'NCGC00249192-01', 'NCGC00256327-01', 'NCGC00259779-01', '28631-79-0', 'BR-59134', 'SC-46366', 'SMR000393948', 'DB-016170', 'LS-110237', 'A0304', 'FT-0629105', 'NS00004675', 'ST45255378', 'N-Aminoethylpiperazine [UN2815] [Corrosive]', 'M-6025', 'N-Aminoethylpiperazine [UN2815]  [Corrosive]', 'Q3887815', 'W-109074', 'Z57127897', 'F2191-0297', '1-(2-aminoethyl)piperazine; N-(2-Aminoethyl)piperazine; 4-(2-Aminoethyl)piperazine', '2-piperazin-1-ylethylamine;Piperazine, 1-(2-aminoethyl)-;1-(2-AMINOETHYL)PIPERAZINE;Piperazine-1-ethylamine monoacetate;4,4-Isopropylidenediphenol, oligomeric reaction products with 1-chloro-2,3-epoxypropane, reaction products with 2-piperazin-1-ylethylamine;Phenol, nonyl-, compd. with 1-piperazineethanamine (1:1)']</t>
  </si>
  <si>
    <t>Compound(8795)</t>
  </si>
  <si>
    <t>C6H15N3</t>
  </si>
  <si>
    <t>2-aminonaphthalene</t>
  </si>
  <si>
    <t>naphthalen-2-amine</t>
  </si>
  <si>
    <t>['2-Aminonaphthalene', '2-NAPHTHYLAMINE', '2-Naphthalenamine', 'naphthalen-2-amine', '91-59-8', 'beta-Naphthylamine', '6-Naphthylamine', '2-Naphthalamine', '2-Naphthylamin', '2-Naphtylamine', 'beta-Naftilamina', 'Fast Scarlet Base B', '2-Aminonaftalen', '2-Naftylamine', '2-Naftylamin', 'beta-Naphthylamin', 'RCRA waste number U168', 'beta-Naftalamin', 'beta-Naftylamin', 'USAF CB-22', '2-naftilamina', 'beta-naftyloamina', 'Naphthalen-2-ylamine', '2-Naftylamin [Czech]', '2-Naphthylamine mustard', '2-Naftylamine [Dutch]', 'beta-Naftalamin [Czech]', 'beta-Naftylamin [Czech]', '2-Aminonaftalen [Czech]', '2-Naphthylamin [German]', 'UNII-CKR7XL41N4', 'beta-Naftilamina [Italian]', 'beta-Naftyloamina [Polish]', 'beta-Naphthylamin [German]', 'C.I. 37270', 'CCRIS 424', 'C10H9N', 'HSDB 1131', 'EINECS 202-080-4', 'UN1650', 'RCRA waste no. U168', 'CKR7XL41N4', 'CI 37270', 'AI3-02912', 'BNA', 'CHEBI:27878', 'DSSTox_CID_921', 'DSSTox_RID_75868', 'DSSTox_GSID_20921', '2-Naphthylammonium acetate', '2-Naphthylamine, analytical standard', 'CAS-91-59-8', '.beta.-Naphthylamine', '612-52-2', 'napthylamine', '2-napthylamine', '2-aminonapthalene', '2-naphthyl amine', '2-naphthaleneamine', '.beta.-Naftalamin', '.beta.-Naftylamin', 'Fast Scarlet Base', '.beta.-Naftilamina', '.beta.-naftyloamina', '2-aminonaphthylamine', '.beta.-Naphthylamin', '2-Amino-naphthalene', 'zlchem 967', 'beta-amino-naphthalene', 'PubChem23236', '2-Naphthylamine, powder', 'SCHEMBL76713', 'KSC487G4T', 'MLS002302990', 'ARONIS24272', 'BZLD0433', 'CHEMBL278164', '2-Naphthylamine, Purity &gt;97%', 'DTXSID2020921', 'CTK3I7349', 'HMS3091M06', 'ZINC968125', 'BCP25782', 'CS-M0912', 'KS-000001RU', 'Tox21_202091', 'Tox21_300048', 'BBL011619', 'SBB057506', 'STL163340', 'AKOS000119160', 'GS-3283', 'LS-1924', 'MCULE-8740822011', 'UN 1650', 'beta-Naphthylamine [UN1650] [Poison]', 'NCGC00091131-01', 'NCGC00091131-02', 'NCGC00091131-03', 'NCGC00254076-01', 'NCGC00259640-01', 'beta-Naphthylamine [UN1650]  [Poison]', 'BR-48899', 'SC-21231', 'SMR001252278', 'U022', 'AB0019060', 'DB-005971', 'AM20060753', 'FT-0600737', 'FT-0672641', 'NS00020126', 'ST45255280', 'C02227', 'M-3282', '2-Aminonaphthalene 10 microg/mL in Acetonitrile', '004A112', 'Q209450', 'W-100303', '2-Aminonaphthalene 1000 microg/mL in Dichloromethane', 'F0701-0038', 'Z802671454', '2-naphthylammonium chloride;2-Naphthylamine;2-Aminonaphthalene;2-naphthylamine']</t>
  </si>
  <si>
    <t>Compound(7057)</t>
  </si>
  <si>
    <t>2-aminoacetophenone</t>
  </si>
  <si>
    <t>1-(2-aminophenyl)ethanone</t>
  </si>
  <si>
    <t>["2'-Aminoacetophenone", '551-93-9', '1-(2-Aminophenyl)ethanone', 'O-AMINOACETOPHENONE', '2-Acetylaniline', 'o-Acetylaniline', 'o-Aminoacetylbenzene', '1-Acetyl-2-aminobenzene', '1-(2-Aminophenyl)Ethan-1-One', "Acetophenone, 2'-amino-", 'Ethanone, 1-(2-aminophenyl)-', 'ortho-aminoacetophenone', '1-(2-aminophenyl)-ethanone', "2'-Amonioacetophenone", '2-acetylphenylamine', 'UNII-69Y77091BC', 'NSC 8820', 'MFCD00007717', 'o-Aminophenyl methyl ketone', '1-(2-amino-phenyl)-ethanone', '69Y77091BC', "2'-Aminoacetophenone, 97%", "2'-Aminoacetophenone, &gt;=98%", 'Ethanone, 1-(aminophenyl)-', 'HSDB 5494', '6-acetyl-aniline', "2'aminoacetophenone", '5 kaal', 'EINECS 209-002-8', 'o-Amino acetophenone', 'orthoaminoacetophenone', '2`-Aminoacetophenone', '1-acetyl-aminobenzene', "2'-Amino acetophenone", 'PubChem21792', 'ACMC-209zid', 'AI3-04095', '1-(Aminophenyl)-Ethanone', 'DSSTox_CID_30784', "1-(2'-aminophenyl)ethanone", 'DSSTox_GSID_52213', "2'-Aminoacetophenone, 98%", 'KSC270G2N', 'SCHEMBL309044', '2-(methylcarbonyl)benzeneamine', '1-(2-Aminophenyl)ethanone #', '1-(2-aminophenyl)-1-ethanone', 'CHEMBL2251601', 'DTXSID4052213', '1-(2-aminophenyl)ethane-1-one', 'CHEBI:91110', 'CTK1H0326', 'FEMA 3906', 'GTDQGKWDWVUKTI-UHFFFAOYSA-', 'NSC8820', '1-(2-Aminophenyl)ethanone, 9CI', "Acetophenone, 2'-amino- (8CI)", 'ZINC164490', 'CS-D1191', 'HY-I0501', 'NSC-8820', 'STR00923', 'Tox21_304027', 'ANW-50291', 'BBL011560', 'SBB058825', 'STL146696', 'AKOS000120944', 'LS10731', 'MCULE-8977994715', 'PS-4579', 'KS-000000Q4', 'NCGC00357236-01', "2'-Aminoacetophenone, analytical standard", '27941-88-4', 'AC-25881', 'AK-27106', 'BP-21338', 'BR-27106', 'CAS-551-93-9', 'SC-25871', 'SY001368', 'DB-014028', 'A0250', 'AM20060473', 'FT-0611221', 'NS00022361', 'ST51038535', '2 inverted exclamation mark -Aminoacetophenone', '51A939', 'M-5202', 'J-507741', 'W-105581', 'Q27163057', "2'-Aminoacetophenone;2'-aminoacetophenone;2-aminoacetophenone;2-Aminoacetophenone", 'VNJ']</t>
  </si>
  <si>
    <t>Compound(11086)</t>
  </si>
  <si>
    <t>C8H9NO</t>
  </si>
  <si>
    <t>2-aminoanthraquinone</t>
  </si>
  <si>
    <t>2-aminoanthracene-9,10-dione</t>
  </si>
  <si>
    <t>['2-AMINOANTHRAQUINONE', '117-79-3', '2-aminoanthracene-9,10-dione', '9,10-Anthracenedione, 2-amino-', '2-Amino-9,10-anthraquinone', 'Anthraquinone, 2-amino-', '2-Amino-9,10-anthracenedione', '2-Amino-anthraquinone', 'NCI-C01876', 'NSC 5', '2-Aminoanthra-9,10-quinone', 'beta-Aminoanthraquinone', 'beta-Anthraquinonylamine', '.beta.-Aminoanthraquinone', 'CCRIS 23', '2-AAQ', 'UNII-65Z03V2Z09', 'HSDB 4088', 'EINECS 204-208-4', 'AI3-09063', 'CHEBI:34258', '65Z03V2Z09', 'DSSTox_CID_68', 'DSSTox_RID_75345', 'DSSTox_GSID_20068', 'AAQ', 'CAS-117-79-3', '2-Aminoquinone', '2-amino anthraquinone', '9, 2-amino-', 'NSC5', '2-amino-9,10-dihydroanthracene-9,10-dione', '.beta.-Anthraquinonylamine', 'CBMicro_011266', 'ACMC-1BO48', 'Aminoanthraquinone (Related)', 'NSC-5', 'SCHEMBL40960', 'KSC492K3L', 'MLS002152869', 'BIDD:ER0316', 'CHEMBL84685', 'DTXSID6020068', '2-Aminoanthra-9,10-quinone #', 'CTK3J2535', 'HMS3034D13', 'WLN: L C666 BV IVJ EZ', 'KS-00000W6Q', 'SMSF0003869', 'ZINC3874029', 'Tox21_201521', 'Tox21_300101', 'ANW-17045', 'BBL008612', 'LS-591', 'MFCD00001233', 'SBB000619', 'STK396687', '2-Aminoanthraquinone, technical grade', 'AKOS000119069', 'CB14717', 'MCULE-1564113866', 'NCGC00091610-01', 'NCGC00091610-02', 'NCGC00091610-03', 'NCGC00091610-04', 'NCGC00091610-05', 'NCGC00253972-01', 'NCGC00259071-01', 'AC-10747', 'SMR000765637', 'U252', 'BIM-0011444.P001', 'A0255', 'AM20020256', 'Anthraquinone, 2-amino-;2-aminoanthraquinone', 'FT-0611225', 'NS00003496', 'ST45245356', 'T7331', 'C14444', '2-Aminoanthraquinone, technical, 85-90% (HPLC)', 'AO-801/41077416', 'W-108558', 'Q27115949', 'F1908-0138', 'UNII-U3XG95BNI4 component XOGPDSATLSAZEK-UHFFFAOYSA-N']</t>
  </si>
  <si>
    <t>Compound(8341)</t>
  </si>
  <si>
    <t>C14H9NO2</t>
  </si>
  <si>
    <t>2-aminobenzothiazole</t>
  </si>
  <si>
    <t>1,3-benzothiazol-2-amine</t>
  </si>
  <si>
    <t>['2-AMINOBENZOTHIAZOLE', '136-95-8', 'benzo[d]thiazol-2-amine', '2-Benzothiazolamine', '1,3-Benzothiazol-2-amine', 'Benzothiazol-2-ylamine', '2-Amino-benzothiazole', '2-Aminobenzthiazole', 'Benzothiazole-2-ylamine', '2-Iminobenzothiazoline', 'o-Aminobenzothiazole', 'Benzothiazole, 2-amino-', 'benzothiazolamine', '2-Benzothiazolylamine', '2(3H)-Benzothiazolimine', 'USAF XR-27', '2-amino-1,3-benzothiazol', 'NSC 4670', 'USAF EK-3941', 'UNII-08K5TLY3EQ', '2-aminobenzothiazol', 'HSDB 2741', 'EINECS 205-268-4', '2-Amino-1,3-benzothiazole', '2-Aminobenzothiazole, 97%', '08K5TLY3EQ', 'AI3-52249', 'CHEMBL329785', 'MFCD00005785', 'aminobenzothiazole', '3mhw', 'iminobenzothiazoline', 'benzothiazolyl-amine', 'ABV', '2-amino benzthiazole', '2-amino-benzothiazol', 'PubChem13382', 'Benzothiazole- 2-Amino', '2-Aminobenzothiazole, 6', 'ACMC-1C8TV', 'DSSTox_CID_4467', '2-amino-1,3-benzthiazole', 'Cambridge id 5108799', 'DSSTox_RID_77412', '1,3-benzothiazol-2-ylamine', 'DSSTox_GSID_24467', 'SCHEMBL75245', '102337-98-4', 'KSC178I9N', 'MLS002415693', 'BIDD:GT0339', '1,3-Benzothiazol-2-amine #', 'SCHEMBL4511001', 'WLN: T56 BN DSJ CZ', 'DTXSID1024467', '1,3-benzothiazol-2(3H)-imine', 'CTK0H8496', 'NSC4670', '4b34', 'HMS1577K04', 'HMS3039J05', 'BCP26554', 'NSC-4670', 'STR00404', 'ZINC6476824', 'Tox21_200818', 'ANW-20195', 'BBL009589', 'BDBM50335100', 'CL4537', 'LS-795', 'SBB004071', 'STL139201', 'STL186134', 'AKOS000119893', 'AKOS016368231', 'CS-W018140', 'FS-3142', 'MCULE-2707577485', 'SB18592', 'KS-00000A08', 'NCGC00091895-01', 'NCGC00091895-02', 'NCGC00258372-01', '84293-42-5', 'AK-41354', 'BP-21206', 'BR-41354', 'CAS-136-95-8', 'H617', 'SC-64617', 'SMR001370883', '2-Aminobenzothiazole;Benzothiazol-2-ylamine', 'DB-027802', 'A0277', 'AM20060503', 'BB 0240617', 'ST50308085', 'Y6822', 'M-6117', '97305-EP2272832A1', '97305-EP2305688A1', 'AE-848/01007013', 'W-108245', 'W-204451', 'Q27236407', 'Z56912586', 'F1386-0409', 'Cerium(III) Ionophore, Selectophore(TM), function tested', '27157-93-3', '35858-53-8']</t>
  </si>
  <si>
    <t>Compound(8706)</t>
  </si>
  <si>
    <t>C7H6N2S</t>
  </si>
  <si>
    <t>(2-amino-3H-benzimidazol-5-yl)-(4-fluorophenyl)methanone</t>
  </si>
  <si>
    <t>['2-Aminoflubendazole', '82050-13-3', 'Methanone, (2-amino-1H-benzimidazol-5-yl)(4-fluorophenyl)-', '(2-Amino-1H-benzimidazol-6-yl)(4-fluorophenyl)methanone', '(2-Amino-1H-benzimidazol-5-yl)(4-fluorophenyl)methanone', '(2-amino-1H-benzimidazol-5-yl)-(4-fluorophenyl)methanone', 'Aminoflubendazol', '2-Aminoflubendazol', 'CTK2I6800', 'DTXSID00724234', '(2-Amino-1H-benzoimidazol-5-yl)-(4-fluoro-phenyl)-methanone', 'BCP28096', 'ZINC43465288', 'NS00017226', '2-Aminoflubendazole 10 microg/mL in Methanol', '5-(4-Fluorobenzoyl)-1H-benzoimidazole-2-amine', '2-Aminoflubendazole, VETRANAL(TM), analytical standard']</t>
  </si>
  <si>
    <t>Compound(57358774)</t>
  </si>
  <si>
    <t>C14H10FN3O</t>
  </si>
  <si>
    <t>2-bromo-1- (4-hydroxyphenyl) ethan-1-one</t>
  </si>
  <si>
    <t>2-bromo-1-(4-hydroxyphenyl)ethanone</t>
  </si>
  <si>
    <t>["2-BROMO-4'-HYDROXYACETOPHENONE", '2491-38-5', '2-bromo-1-(4-hydroxyphenyl)ethanone', '2-Bromo-1-(4-hydroxyphenyl)ethan-1-one', 'Ethanone, 2-bromo-1-(4-hydroxyphenyl)-', '4-Hydroxyphenacyl bromide', 'ptp inhibitor i', 'Busan 90', 'Caswell No. 115', 'UNII-6H0QU4I6BA', 'alpha-Bromo-4-hydroxyacetophenone', "Acetophenone, 2-bromo-4'-hydroxy-", 'EINECS 219-655-0', '1-(4-Hydroxyphenyl)-2-bromoethanone', 'EPA Pesticide Chemical Code 008707', 'BRN 1865388', '6H0QU4I6BA', 'CHEMBL102952', "4'-HYDROXYPHENACYL BROMIDE", '2-Bromo-1-(4-hydroxy-phenyl)-ethanone', 'AK-34343', 'Q-101201', '4-Hydroxyphenacyl Br', '4-bromoacetylphenol', 'zlchem 386', 'PubChem3320', 'protein tyrosine phosphatase inhibitor i', '4-(Bromoacetyl)phenol', 'ACMC-1CIOL', 'p-hydroxyphenacyl bromide', 'DSSTox_CID_14576', 'DSSTox_RID_79168', 'DSSTox_GSID_34576', 'SCHEMBL79354', '168693-83-2', '4-08-00-00351 (Beilstein Handbook Reference)', '2-Bromo-4`-Hydroxyacetophenone', 'alpha-bromo-p-hydroxyacetophenone', 'DTXSID4034576', 'alpha bromo-4-hydroxyacetophenone', 'CTK4D3064', 'KS-00000BZS', "2-Bromo-4\\'-hydroxyacetophenone", 'ZLC0232', 'AM875', 'ZINC1849944', 'ZX-AT006249', 'Tox21_301941', 'ANW-25567', 'BDBM50119687', 'HSCI1_000019', 's3696', 'SBB063974', 'STL387803', 'AKOS015836074', 'CCG-266683', 'CS-W002314', 'FCH1322483', 'GS-3432', 'HY-W002314', 'MCULE-3039597251', 'OR11266', 'NCGC00255298-01', 'BC002455', 'LS-13395', 'SC-08805', '2-bromo-1-(4-hydroxyphenyl)-ethan-1-one', 'CAS-2491-38-5', "2-bromo-4'-hydroxyacetophenone, AldrichCPR", 'AB0011942', 'AX8011007', 'B4115', 'FT-0601647', 'NS00008843', 'M-2030', '491B385', "2-Bromo-4'-hydroxyacetophenone, analytical standard", 'Q27264894']</t>
  </si>
  <si>
    <t>Compound(4964)</t>
  </si>
  <si>
    <t>C8H7BrO2</t>
  </si>
  <si>
    <t>undecan-2-one</t>
  </si>
  <si>
    <t>['2-Undecanone', 'Undecan-2-one', 'Methyl nonyl ketone', '112-12-9', '2-Hendecanone', 'UNDECANONE', 'Rue ketone', 'Ketone, methyl nonyl', 'Nonyl methyl ketone', 'METHYL N-NONYL KETONE', '2-Oxoundecane', 'Methylnonylketone', 'MGK Dog and Cat Repellent', 'Caswell No. 573O', '2-Undecanone (natural)', 'UNII-YV5DSO8CY9', 'Undecanone-(2)', 'FEMA No. 3093', 'HSDB 7431', 'NSC 4028', 'Mgk dog &amp; cat repellent', 'EINECS 203-937-5', 'MFCD00009583', 'YV5DSO8CY9', 'EPA Pesticide Chemical Code 044102', 'BRN 1749573', 'AI3-03081', 'CHEBI:17700', 'NSC4028', '2-Undecanone, 98%', 'Q-201393', 'Luparone', 'Enodyl', 'Undecan-2-one.', 'methyl n-nonylketone', 'Methyl-n-nonylketone', 'MGK dog AMP MNK', '2-Undecanone, 99%', '2-Methylundecanone,(S)', 'Methyl Nonyl Ketone FCC', 'DSSTox_CID_1943', 'ACMC-1C77Q', 'DSSTox_RID_76418', 'DSSTox_GSID_21943', 'KSC176M2T', 'SCHEMBL117635', 'SCHEMBL249443', 'WLN: 9V1', 'CHEMBL1236582', 'DTXSID2021943', 'CTK0H6629', 'FEMA 3093', 'KS-00000YHI', '2-Undecanone, analytical standard', '2-Undecanone, natural, FCC, FG', 'BB_SC-06944', 'NSC-4028', 'ZINC1529305', 'Tox21_301385', 'ANW-16393', 'BBL011441', 'LMFA12000002', 's3762', 'SBB060389', 'STL146552', '2-Undecanone, &gt;=98%, FCC, FG', 'AKOS005720838', 'CCG-266363', 'CS-W017685', 'DB08688', 'HY-W016969', 'LS-3143', 'MCULE-6858373499', 'NCGC00164003-01', 'NCGC00255160-01', 'CAS-112-12-9', 'L352', 'VS-02950', 'FT-0613466', 'NS00008362', 'ST51046579', 'U0006', 'C01875', 'A802493', 'Q2024187', 'Undecan-2-one;METHYL NONYL KETONE;undecan-2-one']</t>
  </si>
  <si>
    <t>Compound(8163)</t>
  </si>
  <si>
    <t>C11H22O</t>
  </si>
  <si>
    <t>nonadecan-2-one</t>
  </si>
  <si>
    <t>['2-Nonadecanone', 'Nonadecan-2-one', '629-66-3', 'nonadeca-2-one', 'Methyl heptadecyl ketone', 'n-HEPTADECYL METHYL KETONE', 'EINECS 211-102-1', 'ACMC-20anop', 'AI3-36474', 'SCHEMBL162684', 'CHEBI:88668', 'CTK2F7247', 'DTXSID70212077', 'LMFA12000051', 'MFCD00026671', 'ZINC62234010', 'MCULE-4728028088', 'CC-11712', 'DB-054352', 'FT-0632669', 'NS00043228', '629N663', 'C-17791', 'Q27160551']</t>
  </si>
  <si>
    <t>Compound(69423)</t>
  </si>
  <si>
    <t>C19H38O</t>
  </si>
  <si>
    <t>2-methoxypropan-1-ol</t>
  </si>
  <si>
    <t>['2-methoxypropan-1-ol', '2-METHOXY-1-PROPANOL', '1-Propanol, 2-methoxy-', '1589-47-5', '2-Methoxypropanol', 'EINECS 216-455-5', '2-Methyl propanol-2', '2-methoxy-propan-1-ol', 'HSDB 7722', 'ACMC-20mmee', '(R)-(-)-2-Methoxypropanol', 'DTXSID5049441', 'CTK0I0202', 'KS-000000KF', 'AKOS006229658', 'CS-W011348', 'MCULE-7173093332', 'AK-35851', 'AK158678', 'SC-97662', 'LS-122442', 'BB 0262966', 'FT-0604665', 'FT-0650238', 'FT-0696246', 'NS00002012', 'W-6511', 'W-109118', 'Q27251991', 'Z1456185814', '2-methoxypropanol;2-methoxy-1-propanol;2-Methoxy-1-propanol;Methoxy-1-propanol']</t>
  </si>
  <si>
    <t>Compound(14846)</t>
  </si>
  <si>
    <t>2-methoxy-2-methylbutane</t>
  </si>
  <si>
    <t>['tert-Amyl methyl ether', '994-05-8', 'Butane, 2-methoxy-2-methyl-', '2-Methoxy-2-methylbutane', 'Methyl tert-pentyl ether', 'Ether, methyl tert-pentyl', 't-Amyl methyl ether', '1,1-Dimethylpropyl methyl ether', 'tert-Pentyl methyl ether', '2-Methyl-2-methoxybutane', 'tertiary-Amyl methyl ether', 'TAME (ether)', 'METHYL TERT-AMYL ETHER', 'Tertiary amyl methyl ether', 'tert-amylmethylether', 'CCRIS 7266', 'UNII-94525J1AP8', 'Methyl 1,1-dimethylpropyl ether', 'Tertiary amyl methyl ether (TAME)', 'EINECS 213-611-4', 'AI3-04349', 'Methyl-t-Amylether', '94525J1AP8', 'Ether, methyl tert-pentyl (6CI,7CI,8CI)', '2-methoxy-2-methyl-butane', 'Methyl 2-methyl-2-butyl ether', 'HSDB 7869', 'methyl t-amyl ether', 'ACMC-20ajln', 'tert-amyl-methyl ether', 'tert. amyl methyl ether', 'DSSTox_CID_4521', 'EC 213-611-4', 'DSSTox_RID_77441', 'DSSTox_GSID_24521', 'SCHEMBL67637', '2-Methoxy-2-methylbutane #', 'tert-Amyl methyl ether, 97%', 'CHEMBL1359297', 'DTXSID8024521', 'CTK3J0480', 'ZINC1850912', 'Tox21_201154', 'AKOS015915748', 'FCH1117942', 'LS-2073', 'KS-000018C7', 'NCGC00091829-01', 'NCGC00091829-02', 'NCGC00258706-01', 'CAS-994-05-8', 'tert-Amyl methyl ether, analytical standard', 'FT-0699292', 'NS00007000', '135578-EP2277868A1', '135578-EP2277869A1', '135578-EP2277870A1', '135578-EP2292608A1', 'Q4346419', 'tert-Amyl methyl ether, produced by INEOS Oligomers, &gt;=99.0% (GC)', 'tert-Amyl methyl ether, purum, absolute, over molecular sieve (H2O &lt;=0.005%), &gt;=97.0% (GC)']</t>
  </si>
  <si>
    <t>Compound(61247)</t>
  </si>
  <si>
    <t>2-methoxy-4-nitrophenol</t>
  </si>
  <si>
    <t>['2-Methoxy-4-nitrophenol', '3251-56-7', '4-Nitroguaiacol', 'Phenol, 2-methoxy-4-nitro-', 'Guaiacol, 4-nitro-', '2-hydroxy-5-nitroanisole', '3-Nitro-6-hydroxyanisole', '4-Hydroxy-3-methoxynitrobenzene', 'Phenol, o-methoxy-p-nitro-', 'o-Methoxy-p-nitrophenol', '2-methoxy-4-nitro-phenol', 'UNII-41ITO2N6UT', 'Mononitro guaiacol', '4-nitro-2-methoxyphenol', '4-Nitroguaiacol, 97%', 'EINECS 221-839-0', 'NSC 26149', 'BRN 1868796', '41ITO2N6UT', 'AI3-19856', 'MFCD00012143', '4-Nitrogualacol', 'NSC26149', 'PubChem16519', 'ACMC-209htq', 'WLN: WNR DQ CO1', '4-06-00-05627 (Beilstein Handbook Reference)', 'KSC493C3R', '2-(Methyloxy)-4-nitrophenol', 'SCHEMBL221924', 'DTXSID4062935', 'CHEBI:81050', 'CTK3J3138', 'ACN-S003451', 'ACT09326', 'BCP17330', 'ANW-27372', 'BBL104219', 'GEO-02006', 'NSC-26149', 'SBB008019', 'STL412107', 'ZINC36072255', 'AKOS000282908', 'CS-W005249', 'DS-2084', 'MCULE-7241123894', 'VZ24851', 'KS-0000099W', 'AC-10540', 'AK-29154', 'AM808244', 'Q242', 'SC-19550', 'SY004543', '2-methoxy-4-nitrophenol;4-NITROGUAIACOL', 'DB-006178', 'LS-104776', 'FT-0600609', 'FT-0619233', 'N0892', 'NS00013889', 'ST45027538', 'EN300-49148', 'C17386', 'M-7535', '71551-EP2298776A1', '71551-EP2308833A2', '251M567', 'W-106838', 'Q27155008', 'Z1245633345']</t>
  </si>
  <si>
    <t>Compound(76738)</t>
  </si>
  <si>
    <t>C7H7NO4</t>
  </si>
  <si>
    <t>['O-ANISIDINE', '2-Methoxyaniline', '90-04-0', '2-Anisidine', '2-Aminoanisole', 'Ortho-anisidine', 'o-Methoxyaniline', 'Benzenamine, 2-methoxy-', 'o-Aminoanisole', '2-Methoxybenzenamine', 'o-Methoxyphenylamine', 'o-Anisylamine', '1-Amino-2-methoxybenzene', '2-Methoxy-1-aminobenzene', 'ortho-Aminoanisole', 'ortho-Methoxyaniline', '2-Methoxy-phenylamine', '2-methoxyphenylamine', 'ortho-Methoxyphenylamine', 'NSC 3122', 'CCRIS 768', 'UNII-NUX042F201', 'ORTHO ANISIDINE', 'HSDB 2073', 'EINECS 201-963-1', '2-METHOXY-ANILINE', 'BRN 0386210', '2-METHOXY-BENZENAMINE', 'AI3-08584', 'CHEBI:82288', 'NUX042F201', 'o-Anisidine, 99+%', 'DSSTox_CID_3877', 'DSSTox_RID_77215', 'DSSTox_GSID_23877', 'CAS-90-04-0', 'o-anisidin', '2-methoxylaniline', '2-methyloxyaniline', '2-methoxy aniline', '2-methyoxy-aniline', '2-methoxybenzeneamine', '2-Aminomethoxybenzene', '2-(methyloxy)aniline', '2-methoxyphenyl amine', '2-amino-methoxybenzene', '(2-methoxyphenyl)amine', '2-(methyloxy) aniline', '(2-methoxyphenyl)-amine', 'Benzenamine, ar-methoxy-', 'o-Anisidine, &gt;=99%', 'o-Aminophenol methyl ether', 'ACMC-209r4m', 'EC 201-963-1', 'SCHEMBL14598', '4-13-00-00806 (Beilstein Handbook Reference)', 'KSC228C0L', 'MLS001050112', 'UN 2431 (Salt/Mix)', 'A-ESTER VINYL SULPHONE', 'BIDD:GT0815', 'CHEMBL1612004', 'DTXSID5023877', 'o-Anisidine, analytical standard', 'TIMTEC-BB SBB028142', 'NSC3122', 'OTAVA-BB 1314580', '2-AMINOPHENYL METHYL ETHER', 'LABOTEST-BB LTBB000467', 'ZINC404293', 'KS-00000X3B', 'NSC-3122', 'AKOS BBS-00003674', 'Tox21_201460', 'Tox21_300053', 'ANW-39428', 'LABOTEST-BB LT03333241', 'MFCD00007688', 'SBB028142', 'STL169147', 'AKOS000102650', 'AM87394', 'AS01503', 'LS-1905', 'MCULE-3688072774', 'NCGC00091248-01', 'NCGC00091248-02', 'NCGC00091248-03', 'NCGC00091248-04', 'NCGC00254164-01', 'NCGC00259011-01', 'AC-11739', 'AS-10980', 'BP-21350', 'BR-48173', 'SC-18110', 'SMR001216591', '2-Anisidine 100 microg/mL in Acetonitrile', 'DB-057180', 'A0486', 'FT-0631430', 'NS00002777', 'ST45255319', 'AZ0001-0084', 'C19191', 'M-5968', '79528-EP2305695A2', '79528-EP2305696A2', '79528-EP2305697A2', '79528-EP2305698A2', 'Q3295808', 'W-100344', 'F2190-0439', 'UNII-6DE9L863GO component VMPITZXILSNTON-UHFFFAOYSA-N', 'O-ANISIDINE (SEE ALSO: O-ANISIDINE HCL (134-29-2))']</t>
  </si>
  <si>
    <t>Compound(7000)</t>
  </si>
  <si>
    <t>C7H9NO</t>
  </si>
  <si>
    <t>['2-METHOXYETHANOL', '109-86-4', 'Methyl cellosolve', 'Ethylene glycol monomethyl ether', 'Ethanol, 2-methoxy-', 'Methyl oxitol', 'Methoxyethanol', '2-Methoxy-1-ethanol', 'Methylglykol', '3-Oxa-1-butanol', 'Monomethyl glycol', 'EGME', 'Glycol ether EM', 'Dowanol EM', 'Methoxyhydroxyethane', 'Poly-Solv EM', '1-Hydroxy-2-methoxyethane', 'Glycol monomethyl ether', 'Prist', 'MECS', 'MPEG', 'Metil cellosolve', 'Polyethylene glycol monomethyl ether', 'Jeffersol EM', '2-Metossietanolo', 'Amsco-Solv EE', '2-Methoxy-aethanol', 'Methoxy polyethylene glycol', 'Methylcelosolv', 'methylcellosolve', 'Metoksyetylowy alkohol', 'Ethylene glycol methyl ether', 'monomethoxypolyethylene glycol', '2-Methoxyethan-1-Ol', '2-Methoxyethyl alcohol', 'Dowanol 7', '2-methoxy ethanol', 'HOCH2CH2OCH3', 'beta-Methoxyethanol', 'Monomethyl ether of ethylene glycol', '.beta.-Methoxyethanol', 'PEG-6 Methyl ether', 'Aethylenglykol-monomethylaether', 'Caswell No. 551', 'Methylglykol [German]', 'Ethyleneglycol monomethyl ether', 'Methylcelosolv [Czech]', 'Monoethylene glycol methyl ether', 'Monomethyl ethylene glycol ether', 'Polyethylene glycol methyl ether', 'UNII-EK1L6XWI56', 'Glycolmethyl ether', 'Metil cellosolve [Italian]', 'NSC 1258', '2-Hydroxyethyl methyl ether', '2-methoxy-ethanol', '2-Metossietanolo [Italian]', '2-Methoxy-aethanol [German]', 'HSDB 97', 'Methoxy PEG-16', 'Methoxy PEG-40', 'CCRIS 5826', 'Metoksyetylowy alkohol [Polish]', "Ether monomethylique de l'ethylene-glycol", 'Methoxy PEG-100', 'EINECS 203-713-7', 'Polyethylene glycol, monomethyl ether', 'UN1188', 'EPA Pesticide Chemical Code 042202', 'Aethylenglykol-monomethylaether [German]', 'BRN 1731074', 'EK1L6XWI56', 'Carbowax Sentry Methoxypolyethylene Glycol', 'ethylene glycol monomethylether', 'AI3-18363', 'DTXSID5024182', 'CHEBI:46790', 'Methoxy polyethylene glycol 350', 'Methoxy polyethylene glycol 550', 'Methoxy polyethylene glycol 750', 'Polyoxyethylene (6) methyl ether', "Ether monomethylique de l'ethylene-glycol [French]", 'Karl Fischer Reagent', 'MFCD00002867', 'Polyethylene glycol 300 methyl ether', 'Poly(oxy-1,2-ethanediyl), alpha-methyl-omega-hydroxy', 'Polyoxyethylene (10) monomethyl ether', 'Polyoxyethylene (16) monomethyl ether', 'Polyoxyethylene (40) monomethyl ether', 'Polyoxyethylene (100) monomethyl ether', 'Ethylene oxide adduct of diethylene glycol monomethyl ether', 'Polyethylene glycol 500 monomethyl ether', 'Polyethylene glycol (16) monomethyl ether', 'Polyethylene glycol 2000 monomethyl ether', 'Polyethylene glycol (100) monomethyl ether', 'Methyl-cellosolve', '2-Methoxyethanol, for HPLC', 'Karl Fischer Reagent Diluent', '2-Methoxyethanol, ACS reagent', 'C3H8O2', 'Poly(oxy-1,2-ethanediyl), alpha-methyl-omega-hydroxy-', '2-Methoxyethanol, 99+%, extra pure', '2-Methoxyethanol, 99+%, for spectroscopy', '2-Methoxyethanol, 99.5+%, for analysis', '2-Methoxyethanol, 99+%, Extra Dry, AcroSeal(R)', 'UNII-6AXS45P1QU', 'UNII-ENK4Y6S66X', 'UNII-P3R1BUP13I', 'UNII-UQE3488NAI', 'UNII-WXH089JZ5E', 'Poly(ethylene glycol methyl ether), average M.W. 350', 'Poly(ethylene glycol methyl ether), average M.W. 500', 'Poly(ethylene glycol methyl ether), average M.W. 750', '2methoxyethanol', 'Methyl ethoxol', 'Methyl icinol', 'UNII-H0S96329MO', 'ethylene glycol-monomethyl ether', 'methylcello-solve', 'Ektasolve EM', 'UNII-89ES36762B', 'O-Methyl Glycol', '2-methoxylethanol', '2 -methoxyethanol', 'Poly(ethylene glycol methyl ether)', '2-(methoxy)ethanol', 'EINECS 251-174-1', '2-(methyloxy)ethanol', 'Methyl Cellosolve(R)', 'Polyethylene glycol monomethyl ether [NF]', 'MOE', 'DSSTox_CID_4182', 'UNII-SUM33ZW82J', 'EC 203-713-7', '2-Methoxyethanol ACS grade', 'methoxypoly(ethylene glycol)', '6AXS45P1QU', 'DSSTox_RID_77319', 'ENK4Y6S66X', 'P3R1BUP13I', 'SUM33ZW82J', 'UNII-3S6PWQ487V', 'UQE3488NAI', 'WXH089JZ5E', 'DSSTox_GSID_24182', 'ethyleneglycol monomethylether', '4-01-00-02375 (Beilstein Handbook Reference)', 'KSC175E5D', 'WLN: Q2O1', 'UNII-77U9H6E11K', 'ACMC-20994l', '3S6PWQ487V', 'CHEMBL444144', 'dimethyleneglycol monomethylether', 'CHEBI:53449', 'CTK0H5251', 'KS-00000VHH', 'NSC1258', '77U9H6E11K', 'H0S96329MO', 'NSC-1258', 'Polyethylene glycol monomethyl ester', 'ZINC1591817', 'Tox21_301080', 'ANW-16099', 'LS-490', 'STK399974', '2-Methoxyethanol, analytical standard', '2-Methoxyethanol, anhydrous, 99.8%', 'AKOS000119041', '89ES36762B', 'DB02806', 'MCULE-4751927883', 'UN 1188', 'NCGC00163767-01', 'NCGC00163767-02', 'NCGC00163767-03', 'NCGC00163767-04', 'NCGC00254981-01', '2-Methoxyethanol, for synthesis, 99.0%', 'alpha-hydro-omega-methoxypoly(oxyethylene)', 'BP-13395', 'CAS-109-86-4', 'Ethylene glycol monomethyl ether (EGMEE)', 'LS-91399', 'NCI60_000597', 'Polyethylene glycol monomethyl ester (NF)', 'S682', 'SC-47176', '2-Methoxyethanol, for HPLC, &gt;=99.9%', '2-Methoxyethanol 500 microg/mL in Methanol', 'FT-0626334', 'FT-0689213', 'FT-0700869', 'M0111', '2-Methoxyethanol, SAJ first grade, &gt;=99.0%', 'Carbowax sentry methoxypolyethylene glycol (TN)', 'D05554', '15251-EP2274983A1', '15251-EP2275102A1', '15251-EP2275413A1', '15251-EP2275427A1', '15251-EP2280011A1', '15251-EP2281821A1', '15251-EP2287156A1', '15251-EP2289892A1', '15251-EP2295426A1', '15251-EP2295427A1', '15251-EP2298743A1', '15251-EP2301928A1', '15251-EP2305652A2', '15251-EP2305667A2', '15251-EP2305825A1', '15251-EP2308857A1', '15251-EP2308864A1', '15251-EP2314586A1', '15251-EP2316832A1', '15251-EP2316833A1', '15251-EP2371823A1', '15251-EP2380568A1', '2-Methoxyethanol, JIS special grade, &gt;=99.0%', '73916-EP2269986A1', '73916-EP2272849A1', '73916-EP2274983A1', '73916-EP2275469A1', '73916-EP2284165A1', '73916-EP2287940A1', '73916-EP2289965A1', '73916-EP2292597A1', '73916-EP2298753A1', '73916-EP2298828A1', '73916-EP2301983A1', '73916-EP2302003A1', '73916-EP2308926A1', '73916-EP2309564A1', '73916-EP2371809A1', '73916-EP2380568A1', '73916-EP2380873A1', '73983-EP2269978A2', '73983-EP2269985A2', '73983-EP2269991A2', '73983-EP2284150A2', '73983-EP2284151A2', '73983-EP2284152A2', '73983-EP2284153A2', '73983-EP2284155A2', '73983-EP2284156A2', '73983-EP2284164A2', '73983-EP2287140A2', '73983-EP2287148A2', '73983-EP2287150A2', '73983-EP2295419A2', '73983-EP2301928A1', '73983-EP2305637A2', '73983-EP2309505A1', '73983-EP2380568A1', '97288-EP2295426A1', '97288-EP2295427A1', '97288-EP2305688A1', 'ETHYLENE GLYCOL MONOMETHYL ETHER (EGMME)', '2-METHOXY-ETHANOL  (GLYCOLMONOETHYLETHER)', 'Q903362', 'Ethylene Glycol Monomethyl Ether Reagent Grade ACS', 'J-509861', 'F1908-0118', '2-Methoxyethanol, for amino acid analysis, &gt;=99.5% (GC)', '2-Methoxyethanol, suitable for amino acid analysis, &gt;=99.0%', 'Ethylene glycol monomethyl ether [UN1188]  [Flammable liquid]', 'Ethylene glycol monomethyl ether [UN1188] [Flammable liquid]', '2-Methoxyethanol, contains 50 ppm BHT as stabilizer, ACS reagent, &gt;=99.3%', '2-Methoxyethanol, Pharmaceutical Secondary Standard; Certified Reference Material', '2-Methoxyethanol, puriss. p.a., ACS reagent, reag. Ph. Eur., &gt;=99.5% (GC)', '2-Methoxyethanol, ReagentPlus(R), &gt;=99.0%, contains 50 ppm BHT as stabilizer']</t>
  </si>
  <si>
    <t>Compound(8019)</t>
  </si>
  <si>
    <t>2-methoxyethyl acetate</t>
  </si>
  <si>
    <t>['2-Methoxyethyl acetate', '110-49-6', 'Methyl glycol acetate', 'MeCsac', 'Acetic acid 2-methoxyethyl ester', 'Ethanol, 2-methoxy-, acetate', 'METHYL CELLOSOLVE ACETATE', 'Methylglykolacetat', '2-Methoxyethanol acetate', 'Ethylene glycol monomethyl ether acetate', 'Acetyl methyl cellosolve', 'Methyl glycol monoacetate', 'Methylglycolacetate', '2-Methoxyethanol, acetate', 'Methylcelosolvacetat', '2-Metossietilacetato', 'EGMEA', 'methoxyethanol acetate', '2-Methoxyaethylacetat', 'Methylcellosolveacetate', '2-Methyoxyethylacetate', 'Glycol monomethyl ether acetate', '2-Methoxy-ethyl acetaat', 'beta-Methoxyethyl acetate', 'Methyl cellosolye acetaat', 'Acetate de methyle glycol', 'Acetato di metil cellosolve', 'Ethanol, methoxy-, acetate', 'Methylglykolacetat [German]', 'Ethylene glycol methyl ether acetate', '2-Methoxyethyle, acetate de', 'Methylcelosolvacetat [Czech]', 'Ethylene glycol methyl acetate', 'Aethylenglykolmethylaetheracetat', 'Ethylene glycol acetate monomethyl ether', '2-Methoxyaethylacetat [German]', '2-Metossietilacetato [Italian]', 'CCRIS 5832', 'HSDB 156', 'UNII-I62493E04O', '2-Methoxy-ethyl acetaat [Dutch]', 'Ethanol, 2-methoxy-, 1-acetate', 'Methyl cellosolye acetaat [Dutch]', '2-Methoxyethylester kyseliny octove', 'Acetate de methyle glycol [French]', 'EINECS 203-772-9', 'UN1189', '2-Methoxyethyle, acetate de [French]', 'Acetato di metil cellosolve [Italian]', '.beta.-Methoxyethyl acetate', 'BRN 1700761', 'Aethylenglykolmethylaetheracetat [German]', 'AI3-11272', 'Ethylene glycol monomethyl ether monoacetate', '2-Methoxyethylester kyseliny octove [Czech]', 'Diethylene glycol methyl ether acetate', "Acetate de L'ether monomethylique de L'ethylene-glycol", 'I62493E04O', "Acetate de l'ether monomethylique de l'ethylene-glycol [French]", 'W-109406', '1-Acetoxy-2-methoxyethane', 'methoxyethyl acetate', 'Glycol ether em acetate', 'Methoxyethylacetat, 2-', 'ACMC-1BUZZ', 'Acetic acid 2-methoxyethyl', 'SCHEMBL24200', 'KSC493I1R', 'SCHEMBL8999584', 'DTXSID2025553', 'CH3C(O)O(CH2)2OCH3', 'CTK3J3418', 'KS-00000YUJ', 'acetic acid 2-methoxy-ethyl ester', 'Acetic acid, 2-methoxyethyl ester', 'ZINC2041072', '2-Methoxyethyl ester of acetic acid', 'ANW-16158', 'LS-506', 'SBB060999', 'AKOS006229757', 'FCH2084030', 'MCULE-3221264060', 'UN 1189', '32718-56-2', 'CC-11233', 'SC-17535', 'DB-040924', '2-Methoxyethyl acetate, for HPLC, &gt;=99%', '2-Methoxyethyl acetate, reagent grade, 98%', 'FT-0626335', 'M0113', 'NS00002059', 'ST51047081', 'Z3195', '2-methoxyethyl acetate;Methoxyethylacetat, 2-', 'C-00693', 'Q2415195', 'Ethylene glycol monomethyl ether acetate [UN1189]  [Flammable liquid]', 'Ethylene glycol monomethyl ether acetate [UN1189] [Flammable liquid]']</t>
  </si>
  <si>
    <t>Compound(8054)</t>
  </si>
  <si>
    <t>C5H10O3</t>
  </si>
  <si>
    <t>2-methoxy-naphthalene</t>
  </si>
  <si>
    <t>2-methoxynaphthalene</t>
  </si>
  <si>
    <t>['2-METHOXYNAPHTHALENE', '93-04-9', 'Naphthalene, 2-methoxy-', 'Yara yara', 'Methyl 2-naphthyl ether', '2-Naphthyl methyl ether', 'Yura yara', 'Yara-Yara', 'beta-Naphthyl methyl ether', '2-Naphthol methyl ether', 'Nerolin (old)', '2-Methoxy-naphthalene', 'beta-Methoxynaphthalene', '2-methoxy naphthalene', 'beta-Naphthol mether ether', 'beta-Naphthol methyl ether', 'Methyl beta-naphthyl ether', '.beta.-Methoxynaphthalene', 'NSC 4171', 'UNII-VX2T1Z50C4', 'Naproxen EP Impurity M', 'EINECS 202-213-6', '.beta.-Naphthol methyl ether', '.beta.-Naphthyl methyl ether', 'Methyl .beta.-naphthyl ether', 'AI3-21213', 'CHEMBL195857', 'VX2T1Z50C4', 'MFCD00004061', '2-Methoxynaphthalene, 98%', '2-NAPHTHOL METHYL ETHER;2-NAPHTHYL METHYL ETHER', 'Jara jara', 'Nerolin Yara Yara', '2-methoxynaphtalene', '2-methoxynapthalene', 'Neroline Yara Yara', '6-methoxynaphthalene', 'b-naphthyl methyl ether', 'beta -Methoxynaphthalene', 'Methyl 2-naphthyl ether.', '2-Methoxynaphthalene-1-D', '2-Methoxynaphthalene-6-D', 'EC 202-213-6', 'beta -Naphthol methyl ether', 'beta -Naphthyl methyl ether', 'Methyl beta -naphthyl ether', '2-Methoxynaphthalene, 99%', 'DSSTox_CID_24392', 'DSSTox_RID_80193', 'DSSTox_GSID_44392', 'KSC486M8L', '2-Methoxynaphthalene(Nerolin)', 'SCHEMBL112792', 'Nerolin Yara Yara, &gt;=99%', 'ACMC-20978e', '2-Methoxynaphthalene, &gt;=99%', 'DTXSID7044392', 'SCHEMBL10250691', 'CTK3I6685', 'NSC4171', 'ZINC967412', 'KS-00000N4L', 'NSC-4171', 'Tox21_302143', 'ANW-13644', 'BDBM50159258', 'MFCD31699956', 'MFCD31699957', 'SBB060603', 'AKOS008947868', 'AC-4741', 'CS-W010895', 'DS-4954', 'LS-2976', 'MCULE-8210517299', 'NE10294', 'CAS-93-04-9', 'NCGC00255953-01', 'AK110812', 'L295', 'SC-46738', 'SY246288', 'SY246289', 'DB-014139', 'FT-0612855', 'M0117', 'NS00001155', 'ST50824686', 'A844431', 'AF-676/00077048', 'J-509867', 'Q2240068', '2-Methoxynaphthalene, pharmaceutical impurity standard', 'METHYL BETA-NAPHTHYL ETHER;methyl 2-naphthyl ether', 'Z53835290', '68251-83-2', '68251-84-3', 'Methyl 2-naphthyl ether; 2-Methoxynaphthalene; 2-Naphthol Methyl Ether;  6-Methoxy-2-naphthalene;  ?-Methoxynaphthalene']</t>
  </si>
  <si>
    <t>Compound(7119)</t>
  </si>
  <si>
    <t>C11H10O</t>
  </si>
  <si>
    <t>2-methylpropanal</t>
  </si>
  <si>
    <t>['ISOBUTYRALDEHYDE', '2-Methylpropanal', '78-84-2', 'Propanal, 2-methyl-', 'Isobutanal', 'Isobutylaldehyde', '2-Methylpropionaldehyde', 'Isobutyric aldehyde', 'Valine aldehyde', 'Isopropylaldehyde', '2-Methyl-1-propanal', 'Isobutaldehyde', 'Isobutyral', 'Isobutyraldehyd', 'Methylpropanal', 'Methyl propanal', 'Isopropylformaldehyde', 'Isobutyryl aldehyde', 'Isopropyl aldehyde', 'alpha-Methylpropionaldehyde', 'Isopropyl formaldehyde', 'Propionaldehyde, 2-methyl-', 'ISO-BUTYRALDEHYDE', 'Isobutyraldehyd [Czech]', 'isobutyl aldehyde', 'Isobutyraldehyde (natural)', 'NCI-C60968', 'NSC 6739', 'isobutyl aldehy de', 'Butyric iso aldehyde', 'FEMA No. 2220', 'CCRIS 1101', 'HSDB 614', 'UNII-C42E28168L', 'iso-C3H7CHO', '2-methyl-propionaldehyde', 'EINECS 201-149-6', '2-METHYL-PROPANAL', 'UN2045', '.alpha.-Methylpropionaldehyde', 'AI3-15311', 'CHEBI:48943', 'C42E28168L', 'Isobutyraldehyde, 98%', 'Isobutyraldehyde, 99+%', 'isobutyraldehye', 'i-butyraldehyde', 'iso-butanal', 'i-butanal', '2-methypropanal', 'Isobutyraldehyde.', 'so-Butyl aldehyde', 'iso-butyl aldehyde', 'MFCD00006980', 'ACMC-209pfi', '2-methyl-propan-1-one', 'DSSTox_CID_1635', 'Isobutyraldehyde, &gt;=99%', 'alpha -methylpropionaldehyde', 'EC 201-149-6', 'DSSTox_RID_76249', 'DSSTox_GSID_21635', 'Isobutyraldehyde, dry, 98%', 'KSC377C6J', '2-methylpropanal (isobutanal)', 'WLN: VHY1&amp;1', 'CHEMBL1404017', 'DTXSID9021635', 'Isobutyraldehyde, &gt;=98%, FG', 'CTK2H7164', 'FEMA 2220', 'Isobutyraldehyde, &gt;=98%, FCC', 'NSC6739', 'NSC-6739', 'ZINC1866952', 'Isobutyraldehyde or isobutyl aldehyde', 'Isobutyraldehyde, analytical standard', 'Tox21_200024', 'ANW-37228', 'BBL034648', 'STL264210', 'Isobutyraldehyde, natural, 96%, FG', 'AKOS000119887', 'LS-1757', 'MCULE-3575731904', 'UN 2045', 'CAS-78-84-2', 'KS-000011C4', 'NCGC00091788-01', 'NCGC00091788-02', 'NCGC00257578-01', 'BP-20619', 'Isobutyraldehyde, redistilled, &gt;=99.5%', 'SC-23019', 'FT-0627379', 'I0101', 'NS00004602', 'V2117', '86316-EP2269978A2', '86316-EP2269985A2', '86316-EP2269991A2', '86316-EP2277848A1', '86316-EP2284150A2', '86316-EP2284151A2', '86316-EP2284152A2', '86316-EP2284153A2', '86316-EP2284155A2', '86316-EP2284156A2', '86316-EP2284164A2', '86316-EP2286811A1', '86316-EP2287140A2', '86316-EP2287148A2', '86316-EP2287150A2', '86316-EP2287159A1', '86316-EP2292621A1', '86316-EP2295419A2', '86316-EP2305637A2', '86316-EP2374780A1', '86316-EP2374781A1', '180059-EP2275412A1', '180059-EP2374538A1', 'A839508', 'Q418164', 'F2190-0633', 'Propanal, 2-methyl-;2-METHYLPROPANAL;isobutyraldehyde', 'Isobutyraldehyde or isobutyl aldehyde [UN2045]  [Flammable liquid]', 'Isobutyraldehyde or isobutyl aldehyde [UN2045] [Flammable liquid]']</t>
  </si>
  <si>
    <t>Compound(6561)</t>
  </si>
  <si>
    <t>2-methyl-1-propanethiol</t>
  </si>
  <si>
    <t>2-methylpropane-1-thiol</t>
  </si>
  <si>
    <t>['Isobutyl mercaptan', '2-METHYL-1-PROPANETHIOL', '2-Methylpropane-1-thiol', '513-44-0', 'Isobutanethiol', 'Isobutylmercaptan', '1-Propanethiol, 2-methyl-', 'Isobutyl thiol', '1-Isobutanethiol', 'UNII-9H070UFP2X', '2-Methyl propanethiol', 'iso-C4H9SH', '2-Methyl-1-propylthiol', 'EINECS 208-162-6', 'BRN 1730890', '9H070UFP2X', 'iso-butyl thiol', '1-Mercaptoisobutane', 'Thioisobutyl alcohol', '2-methylpropanethiol', '2-methyl-propanethiol', 'ACMC-1AOZD', '2-methyl-propane-1-thiol', '1-Mercapto-2-methylpropane', '4-01-00-01605 (Beilstein Handbook Reference)', 'KSC491I1B', 'DTXSID9060156', 'BDFAOUQQXJIZDG-UHFFFAOYSA-', 'CTK3J1410', 'FEMA 3874', 'KS-000010KW', 'ZINC5008005', 'ANW-31242', 'AKOS000120213', 'MCULE-7978911055', '2-Methyl-1-propanethiol, &gt;=95%, FG', 'SC-18555', 'LS-121038', 'FT-0612909', 'M0404', 'NS00021184', '2-Methyl-1-propanethiol, 92%, technical grade', '2-Methylpropane-1-thiol;2-methylpropane-1-thiol', 'A828544', 'Q27272544', 'F0001-1336']</t>
  </si>
  <si>
    <t>Compound(10558)</t>
  </si>
  <si>
    <t>2-methyl-1-phenyl-2-propanol</t>
  </si>
  <si>
    <t>2-methyl-1-phenylpropan-2-ol</t>
  </si>
  <si>
    <t>['2-Methyl-1-phenyl-2-propanol', '2-Methyl-1-phenylpropan-2-ol', '100-86-7', 'Benzyldimethylcarbinol', 'Dimethylbenzylcarbinol', '2-Benzyl-2-propanol', 'dimethyl benzyl carbinol', 'Phenyl-tert-butanol', 'DMBC', '1,1-Dimethylphenylethanol', '1,1-Dimethyl-2-phenylethanol', 'Benzylpropyl alcohol', 'DMBC (VAN)', '2-Hydroxy-2-methyl-1-phenylpropane', 'alpha,alpha-Dimethylphenethyl alcohol', 'alpha,alpha-Dimethylphenethanol', 'beta-Phenyl-tert-butyl alcohol', 'Benzyl dimethyl carbinol', '2-methyl-1-phenyl-propan-2-ol', 'alpha,alpha-Dimethylbenzeneethanol', 'UNII-N95NCI59MI', 'NSC 27228', 'FEMA No. 2393', '1-phenyl-2-methyl-2-propanol', 'Benzeneethanol, .alpha.,.alpha.-dimethyl-', '1,1-Dimethyl-2-phenylethyl alcohol', 'EINECS 202-896-0', 'Benzeneethanol, alpha,alpha-dimethyl-', 'BRN 1855608', 'N95NCI59MI', 'AI3-02949', '2-Methyl-3-phenyl-2-propanol', 'PHENETHYL ALCOHOL, alpha,alpha-DIMETHYL-', '.beta.-Phenyl-tert-butyl alcohol', '.alpha., tech.', '.alpha.,.alpha.-Dimethylphenethanol', 'MFCD00004465', '.alpha.,.alpha.-Dimethylphenethyl alcohol', 'Phenethyl alcohol, .alpha.,.alpha.-dimethyl-', 'Benzeneethanol,.alpha.-dimethyl-', 'Phenethyl alcohol,.alpha.-dimethyl-', 'WLN: QX1 &amp; 1 &amp; 1R', '2-Methyl-1-phenyl-2-propanol, 98%', 'alpha-Dimethyl-alpha', '.alpha.,.alpha.-Dimethylbenzeneethanol', 'Darocur 1173', 'ACMC-1C3GZ', 'DSSTox_CID_27601', 'DSSTox_RID_82445', 'DSSTox_GSID_47601', 'SCHEMBL21353', '4-06-00-03290 (Beilstein Handbook Reference)', 'KSC489M3J', 'Benzeneethanol, a,a-dimethyl-', '2-Methyl-3-phenylpropan-2-ol', '1,1-dimethyl-2-phenyl-ethanol', '2-phenyl-1,1-dimethyl ethanol', 'a,a-Dimethylbenzeneethanol, 9CI', 'CHEMBL3183743', 'DTXSID1047601', '2-Methyl-1-phenylpropan-2-ol.', 'CTK3I9634', 'FEMA 2393', 'KS-00000WOQ', 'RIWRBSMFKVOJMN-UHFFFAOYSA-', 'NSC5236', 'alpha,alpha-Dimethyl-Benzeneethanol', 'Ethanol, 1,1-dimethyl-2-phenyl-', 'a,a-Dimethylphenethyl alcohol, 8CI', 'NSC-5236', 'NSC27228', 'NSC46103', 'ZINC1680788', '1,1 -dimethyl-2-phenylethylalcohol', '1-phenyl-2-hydroxy-2-methylpropane', 'Tox21_302533', 'Alphaalpha-dimethyl-Phenethyl alcohol', 'ANW-14384', 'NSC-27228', 'NSC-46103', 'SBB071444', 'alpha, alpha-Dimethylphenethyl alcohol', 'AKOS009156717', 'alpha,alpha dimethyl phenyethyl alcohol', 'alpha,alpha-Dimethyl-Phenethyl alcohol', 'alpha,alpha-dimethylphenylethyl alcohol', 'LS-2691', 'MCULE-3145013113', 'NCGC00256627-01', 'CAS-100-86-7', 'ST092853', 'SY047029', '.alpha.,.alpha.-Dimethylphenylethyl alcohol', 'alpha,alpha-Dimethyl-beta-phenylethyl alcohol', 'BB 0220510', 'D0783', 'FT-0611300', 'NS00008845', '.alpha.,.alpha.-Dimethyl-.beta.-phenylethyl alcohol', 'W-108935', 'Q27284729', 'DIMETHYLBENZYL CARBINOL;2-methyl-1-phenylpropan-2-ol', 'F0001-0030']</t>
  </si>
  <si>
    <t>Compound(7531)</t>
  </si>
  <si>
    <t>C10H14O</t>
  </si>
  <si>
    <t>2-methyl-2-propanethiol</t>
  </si>
  <si>
    <t>2-methylpropane-2-thiol</t>
  </si>
  <si>
    <t>['2-Methyl-2-propanethiol', 'tert-Butyl mercaptan', '75-66-1', '2-Methylpropane-2-thiol', 'tert-Butanethiol', 'tert-Butylthiol', '2-Propanethiol, 2-methyl-', 'T-BUTYL MERCAPTAN', 'tert-Butylmercaptan', 't-Butylmercaptan', '2-Isobutanethiol', 'tertiary-Butyl mercaptan', '1,1-Dimethylethanethiol', 'tert-butyl thiol', 'UNII-489PW92WIV', 'HSDB 1611', 'EINECS 200-890-2', '2-methyl-propane-2-thiol', 'BRN 0505947', '489PW92WIV', '2-Methyl-2-propanethiol, 99%', 'TBM', 't-BuSH', 'tertbutanethiol', 't-butanethiol', 'terbutyl mercaptan', 'tBuSH', 'tert.-butylmercaptan', 'tert-C4H9SH', 'tert. butyl mercaptan', 'tert.-butyl mercaptan', 'HS-t-Bu', 'tert-Butyl hydrosulfide', '2-methyl-2propanethiol', '2-methylpropan-2-thiol', '2-Methyl-2-propylthiol', '3374-16-1', 'DSSTox_CID_6418', 'EC 200-890-2', 'DSSTox_RID_78108', 'DSSTox_GSID_26418', '4-01-00-01634 (Beilstein Handbook Reference)', 'KSC491G7T', 'CHEMBL3182458', 'DTXSID0026418', 'CTK3J1379', 'KS-00000V2X', 'ZINC4706566', 'Tox21_200874', 'NSC229569', 'STL264247', 'AKOS000121277', 'MCULE-6147507012', 'NSC-229569', 'CAS-75-66-1', 'NCGC00248858-01', 'NCGC00258428-01', 'SC-52851', 'DB-000158', 'LS-121039', 'FT-0612928', 'M0405', 'NS00002616', 'X7332', 'Q973473', 'W-109267', 'F0001-1902', '2-Propanethiol, 2-methyl-;2-methylpropane-2-thiol;2-Methylpropane-2-thiol', '16528-55-5']</t>
  </si>
  <si>
    <t>Compound(6387)</t>
  </si>
  <si>
    <t>2-methylbutan-2-ol</t>
  </si>
  <si>
    <t>['2-METHYL-2-BUTANOL', 'tert-Amyl alcohol', '2-Methylbutan-2-ol', 'Amylene hydrate', '75-85-4', 'tert-Pentyl alcohol', 'tert-Pentanol', 't-Amyl alcohol', '2-Butanol, 2-methyl-', 'Dimethylethylcarbinol', 'Ethyldimethylcarbinol', 'tert-Isoamyl alcohol', 't-Pentyl alcohol', '3-Methylbutan-3-ol', 'Dimethyl ethyl carbinol', 'Ethyl dimethyl carbinol', '2-Methyl butanol-2', '1,1-Dimethyl-1-propanol', 'tert-n-Amyl alcohol', 'tert-amylalcohol', 'Amylenum hydratum', 'Amylalkohol, tertiaerer', '3-Methyl-butanol-(3)', 'Amylene hydrate [USAN]', 'NSC 25498', 'tertiary amyl alcohol', 'C5H12O', 'Methyl-2 butanol-2', 'Methyl-3 butanol-3', 'UNII-69C393R11Z', 'Amylene hydrate (NF)', 'Amylene hydrate [NF]', 'HSDB 5005', '2-Methyl-butan-2-ol', '3-Methyl-butanol-(3) [German]', 'EINECS 200-908-9', 'BRN 1361351', '2-BUTANOL,2-METHYL', '2-ETHYL-2-PROPANOL', 'C2H5C(CH3)2OH', 'AI3-24191', '69C393R11Z', '2-Methyl-2-butanol, 99%, pure', '2-Butanol, 2-methyl-, sodium salt', 'tertpentanol', 'Amylenhydrat', 'tertamyl alcohol', 'tert-amyl-alcohol', 'tert. amylalcohol', 'tert.-amylalcohol', 'tert.-amyl alcohol', 'tertiary amylalcohol', '2-methyl-2butanol', 't-AmOH', 'MFCD00004478', '1,1-dimethylpropanol', 'Amylene hydrate, USAN', 'PubChem21405', 'ACMC-1BKTB', 'methyl-tert-butyl alcohol', 'EC 200-908-9', '3-Hydroxy-3-methyl butane', 'DSSTox_CID_21436', 'DSSTox_RID_79732', 'DSSTox_GSID_41436', '4-01-00-01668 (Beilstein Handbook Reference)', 'KSC377E5N', 'CHEMBL44658', '2M2B', 'DTXSID0041436', 'CTK2H7256', 'KS-00000XEQ', 'CHEBI:132750', 'WLN: QX2&amp;1&amp;1', 'HMS3264I17', 'Pharmakon1600-01301017', 'NSC25498', 'ZINC1481970', 'Tox21_302356', '7338AF', 'ANW-36689', 'NSC-25498', 'NSC760354', 'AKOS000119037', 'CCG-213670', 'MCULE-7894262803', 'NSC-760354', 'CAS-75-85-4', '2-methyl-2-butanol (tert-amyl alcohol)', '2-Methyl-2-butanol, analytical standard', 'NCGC00166208-01', 'NCGC00255665-01', '2-Methyl-2-butanol, anhydrous, &gt;=99%', 'SC-62305', 'LS-102252', '2-Methyl-2-butanol, ReagentPlus(R), 99%', 'FT-0612915', 'NS00007184', 'NS00053969', 'P0059', '2-Methyl-2-butanol, ReagentPlus(R), &gt;=99%', 'C21401', 'D02931', '28290-EP2380568A1', 'AB01563165_01', 'A838528', 'Q209428', 'J-510046', 'F0001-1906', '5A800302-5F41-4E10-9197-D3B0BD85C237', 't-Amyl Alchohol, Pharmaceutical Secondary Standard; Certified Reference Material', '25-85-4', 'odium 2-methylbutan-2-olate;Sodium 2-methylbutan-2-olate;2-Butanol, 2-methyl-;2-methylbutan-2-ol;2-Methyl-2-butanol;2-Methylbutan-2-ol']</t>
  </si>
  <si>
    <t>Compound(6405)</t>
  </si>
  <si>
    <t>2-methyl-2H-isothiazol-3-one</t>
  </si>
  <si>
    <t>2-methyl-1,2-thiazol-3-one</t>
  </si>
  <si>
    <t>['2-Methyl-4-isothiazolin-3-one', '2682-20-4', 'Methylisothiazolinone', '2-methylisothiazol-3(2h)-one', '2-Methyl-4-isothiazoline-3-one', '2-Methyl-3(2H)-isothiazolone', '3(2H)-Isothiazolone, 2-methyl-', 'N-methylisothiazolone', 'Caswell No. 572A', 'N-Methyl-3-oxodihydroisothiazole', '2-methyl-3-isothiazolone', 'C4H5NOS', '2-methyl-1,2-thiazol-3(2H)-one', 'UNII-229D0E1QFA', '2-METHYL-2H-ISOTHIAZOL-3-ONE', 'EINECS 220-239-6', '229D0E1QFA', '2-methyl-1,2-thiazol-3-one', '3(2H)-Isothiazolone, methyl-', 'CHEBI:53620', 'W-107150', '2-Methyl-4-isothiazolin-3-one, 50% aqueous solution', 'Neolone', 'Microcare MT', 'Kordek MLX', 'MIT (biocide)', '125794-71-0', 'Acticide M 10', 'Acticide M 20', 'Bestcide 600', 'Kordek 50', 'Kordek 50C', 'Neolone 950', 'methyl-isothiazolinone', 'Kordek 573F', 'Kathon CG 243', 'n-methylisothiazolin-3-one', 'N-METHYL-3-OXODIHYDRO ISOTHIAZOLE', '243-K-Cg', 'HSDB 8200', 'MIT 950', 'MT 10', '2-Methyl-4-isothiazoline-3-ketone', 'KB 838', 'ACMC-1CJ8U', '2-methyl-4-isothiazolinone', 'DSSTox_CID_14259', 'DSSTox_GSID_34259', 'SCHEMBL17863', 'SCHEMBL113898', '2-methyl-3(2H)-isothiazoline', 'CHEMBL1620780', 'DTXSID2034259', 'CTK0F6815', '2-Methyl 4-Isothiazoline 3-one', '2-Methyl-3(2H)-isothiazolone #', 'ZINC1849933', 'Tox21_303814', 'ANW-56607', 'BBL104136', 'MFCD01742315', 'STL557951', '2-Methyl-4-isothiazolin-3-one (MI)', 'AKOS007930246', 'AM84857', 'CS-W011236', 'FCH1119869', 'HY-W010520', '2-Methyl-4-isothiazolin-3-one, 95%', 'KS-000018Y9', 'NCGC00357093-01', 'AK-25686', 'CC-11387', 'LS-86324', 'SC-16032', 'CAS-2682-20-4', 'AB0011560', 'AX8002292', 'DB-005250', 'FT-0601044', 'X5929', 'K-6885', '682M204', 'C-00606', 'Q423870', '2-Methyl-4-isothiazolin-3-one, analytical standard', 'UNII-15O9QS218W component BEGLCMHJXHIJLR-UHFFFAOYSA-N']</t>
  </si>
  <si>
    <t>Compound(39800)</t>
  </si>
  <si>
    <t>C4H5NOS</t>
  </si>
  <si>
    <t>2-methyl-2-benzotriazole</t>
  </si>
  <si>
    <t>2-methylbenzotriazole</t>
  </si>
  <si>
    <t>['2-Methylbenzotriazole', '2-Methyl-2H-benzotriazole', '16584-00-2', '2H-Benzotriazole, 2-methyl-', '2-Methyl-2H-benzo[d][1,2,3]triazole', '2-Methyl-2H-1,2,3-benzotriazole', 'CHEMBL4068558', 'NSC11744', '2-N-methyl benzotriazole', '2H-Benzotriazole,2-methyl-', 'SCHEMBL822547', '2METHYL-2H-BENZOTRIAZOLE', 'SCHEMBL11938122', 'CTK4D2185', 'DTXSID80168031', 'ALBB-032316', 'ZINC1718550', 'BDBM50234608', 'NSC-11744', 'AKOS006272796', '2-Methyl-2H-1,2,3-benzotriazole #', '2H-1,2,3-benzotriazole, 2-methyl-', 'FT-0691796']</t>
  </si>
  <si>
    <t>Compound(85498)</t>
  </si>
  <si>
    <t>C7H7N3</t>
  </si>
  <si>
    <t>2-methyl-4,5-dihydro-1,3-thiazole</t>
  </si>
  <si>
    <t>['2-Methyl-2-thiazoline', '2346-00-1', '2-Methylthiazoline', '2-methyl-4,5-dihydrothiazole', 'Thiazole, 4,5-dihydro-2-methyl-', '2-Methyl-4,5-dihydro-1,3-thiazole', '4,5-Dihydro-2-methylthiazole', 'Methyl-2-thiazoline', '2-THIAZOLINE, 2-METHYL-', 'UNII-8Z6UA8V7WN', 'Methyl-2 delta-2 thiazoline', 'EINECS 219-071-6', 'Methyl-2 delta-2 thiazoline [French]', 'BRN 0104274', '8Z6UA8V7WN', '2-Methyl-2-thiazoline, 98%', '4-27-00-00921 (Beilstein Handbook Reference)', 'KSC490S7R', 'SCHEMBL208968', '2-Methyl-2-thiazoline, 8CI', '2-Methyl-.delta.2-thiazoline', '2-Methyl-4,5-dihydro-thiazole', '4,5-Dihydro-2-methyl-Thiazole', 'DTXSID1062336', 'CTK3J0978', 'KS-00000X6D', 'ZINC2038687', 'ANW-25132', 'MFCD00005314', 'AKOS000120137', 'AKOS025243234', 'MCULE-1701303405', 'NE10394', '2-Methyl-laquo deltaRaquo 2-Thiazoline', '2-Methyl-4,5-dihydro-1,3-thiazole #', 'AK307069', '2-Methyl-2-thiazoline, analytical standard', 'DB-046155', 'LS-150956', 'FT-0613088', 'M0285', 'NS00021894', 'A816733', 'W-107400', 'Q27271229', '2-methyl-2-thiazoline;Thiazole, 4,5-dihydro-2-methyl-', 'F0001-0813', 'Z1250132606']</t>
  </si>
  <si>
    <t>Compound(16867)</t>
  </si>
  <si>
    <t>C4H7NS</t>
  </si>
  <si>
    <t>2-methyl-5-nitroimidazole</t>
  </si>
  <si>
    <t>2-methyl-5-nitro-1H-imidazole</t>
  </si>
  <si>
    <t>['2-Methyl-5-nitroimidazole', '696-23-1', '2-Methyl-5-nitro-1H-imidazole', '88054-22-2', '2-Methyl-4-nitroimidazole', '2-METHYL-4-NITRO-1H-IMIDAZOLE', '1H-Imidazole, 2-methyl-4-nitro-', 'Menidazole', '1H-Imidazole, 2-methyl-5-nitro-', '2-Methyl-4(5)-nitroimidazole', 'Imidazole, 2-methyl-4-nitro-', 'RP 8532', 'UNII-24AG2WW15W', 'EINECS 211-790-3', '24AG2WW15W', 'Imidazole, 2-methyl-5-nitro-', '2-Methyl-5-nitroimidazole, 99%', 'MFCD00005191', 'Ornidazole Impurity B', 'PubChem15969', '5-nitro-2-methylimidazole', 'EC 211-790-3', '2-methyl -5-nitroimidazole', '2-Methyl-5-nitro imidazole', 'SCHEMBL63215', 'KSC353Q5T', 'MLS006011386', 'ARONIS27191', 'CHEMBL134454', '2-methyl-4-nitro-3H-imidazole', 'DTXSID2061010', 'CTK2F3859', 'FFYTTYVSDVWNMY-UHFFFAOYSA-', 'KS-00000XBO', 'ALBB-020792', 'BCP32909', 'BCP32918', 'EBD19990', 'KS-00000W6X', 'KS-000048OA', 'ANW-38939', 'ANW-60466', 'BBL008370', 'HTS028115', 'MFCD00151322', 'SBB056839', 'STK320516', 'ZINC18172810', '2-Methyl-4(5)-nitroimidazole,99%', 'AKOS000266160', 'AKOS000294748', 'AKOS015912419', 'AKOS025394814', '2-Methyl-4(5)-nitroimidazole, 99%', '2-Methyl-4-nitro-1H-imidazole-1-ide', 'AC-8195', 'CS-W011149', 'Imidazole, 2-methyl-4(or 5)-nitro-', 'MCULE-6435900786', 'SB38360', '2-Methyl-5-nitro-1H-imidazole (9CI)', 'AC-10807', 'AK-30346', 'AK-98967', 'AS-10894', 'LS-78792', 'SMR004703227', 'DB-025909', 'AM20120266', 'FT-0612958', 'FT-0612982', 'M0922', 'NS00007865', 'ST50331253', '54M222', 'Menidazole, VETRANAL(TM), analytical standard', 'W-6544', 'Z-4800', 'SR-01000945053', 'Q-200303', 'SR-01000945053-1', 'W-109594', 'Q27253838', 'F1905-7036', 'Z1245636358', '1H-Imidazole, 2-methyl-4-nitro-;2-Methyl-5-nitroimidazole', '2-Methyl-5-nitroimidazole, British Pharmacopoeia (BP) Reference Standard', 'Metronidazole impurity A, European Pharmacopoeia (EP) Reference Standard', 'Tinidazole EP Impurity A;Ornidazole Impurity B;2-Methyl-5-nitroimidazole', 'Tinidazole impurity A, European Pharmacopoeia (EP) Reference Standard', 'N-(2,4-difluorobenzyl)-7-(4-ethoxyphenyl)pyrazolo[1,5-a]pyrimidine-3-carboxamide', 'Tinidazole Related Compound A, United States Pharmacopeia (USP) Reference Standard', '2-METHYL-5-NITROIMIDAZOLE(Tinidazole Related Compound A)(Metronidazole Impurity A), Pharmaceutical Secondary Standard; Certified Reference Material', 'N-Fmoc-trans-4-hydroxy-L-proline; (2S,4R)-1-(9H-Fluoren-9-ylmethoxycarbonyl)-4-hydroxypyrrolidine-2-carboxylic acid']</t>
  </si>
  <si>
    <t>Compound(12760)</t>
  </si>
  <si>
    <t>C4H5N3O2</t>
  </si>
  <si>
    <t>['o-Toluidine', '2-Methylaniline', '95-53-4', '2-Toluidine', 'o-Tolylamine', '2-Methylbenzenamine', 'ortho-toluidine', 'o-Methylaniline', '2-AMINOTOLUENE', 'Benzenamine, 2-methyl-', 'o-Aminotoluene', 'o-Methylbenzenamine', '2-Methyl-1-aminobenzene', '1-Amino-2-methylbenzene', '2-Amino-1-methylbenzene', 'o-Toluidyna', 'o-Toluidin', '1-Methyl-2-aminobenzene', 'ortho Toluidine', 'Aniline, 2-methyl-', '2-Methylbenzamine', 'RCRA waste number U328', 'o-Toluidin [Czech]', 'o-Toluidyna [Polish]', 'o-Toluide', '2-methyl-aniline', 'UNII-B635MZ0ZLU', 'NSC 15348', 'CCRIS 597', 'HSDB 2042', 'C.I. 37077', 'EINECS 202-429-0', 'RCRA waste no. U328', 'B635MZ0ZLU', 'AI3-24383', 'DTXSID1026164', 'CHEBI:66892', '2-methylphenylamine', 'MFCD00007730', 'o-Toluidine, 99%', 'O-Toluidin (CZECH)', 'O-Toluidyna (POLISH)', 'DSSTox_CID_6164', 'DSSTox_RID_78041', 'DSSTox_GSID_26164', 'CAS-95-53-4', 'Benzenamine, 2-methyl-, hydrochloride (1:1)', 'ortho-tolylamine', 'o-tolyl-amine', '2-amino toluene', 'ortho-aminotoluene', '2 -methylaniline', '2-methyl aniline', 'O-Toluidine Pure', '2-(methyl)aniline', '51V', 'o-Toluidine, liquid', '2-methyl-benzenamine', 'Benzenamine, methyl-', 'o-Toluidine, 98%', 'PubChem20202', 'o-Toluidine, &gt;=99%', 'ACMC-209rz8', 'O-TOLUIDINE(1%)', 'UN 1708 (Related)', 'EC 202-429-0', 'CHEMBL1381', 'WLN: ZR B1', 'SCHEMBL15789', 'o-Toluidine, liquid or solid', 'KSC158G2H', 'MLS002415766', '2-Aminotoluene (o-toluidine)', 'BIDD:ER0679', 'o-Toluidine, analytical standard', 'CTK0F8323', 'O-Toluidine (ACD/Name 4.0)', 'o-Toluidine, p.a., 99.5%', 'TIMTEC-BB SBB028141', '2-Methylbenzenamine (o-Toluidine)', 'HMS3039B11', 'LABOTEST-BB LTBB000469', 'BCP17522', 'NSC15348', 'STR00213', 'ZINC1706910', 'AKOS BBS-00004267', 'Tox21_201256', 'Tox21_300179', 'ANW-40530', 'BBL011598', 'NSC-15348', 'SBB028141', 'STL163331', '2-Methylphenylamine (ACD/Name 4.0)', 'AKOS000119109', 'AM87484', 'AS01510', 'LS-1979', 'MCULE-2695214373', 'KS-00000V06', 'o-Toluidine 500 microg/mL in Methanol', 'NCGC00091368-01', 'NCGC00091368-02', 'NCGC00091368-03', 'NCGC00091368-04', 'NCGC00253986-01', 'NCGC00258808-01', 'o-Toluidine 10 microg/mL in Cyclohexane', 'BP-21341', 'SMR001370921', 'o-Toluidine 100 microg/mL in Cyclohexane', 'FT-0675282', 'NS00008265', 'o-Toluidine, SAJ special grade, &gt;=99.0%', 'ST45255278', 'o-Toluidine, purum p.a., &gt;=99.5% (GC)', '3720-EP2272972A1', '3720-EP2272973A1', '3720-EP2275416A1', '3720-EP2277872A1', '3720-EP2289897A1', '3720-EP2292589A1', '3720-EP2295418A1', '3720-EP2298753A1', '3720-EP2311804A2', '9747-EP2275404A1', '9747-EP2287155A1', '9747-EP2308872A1', '9747-EP2316829A1', 'C14403', 'M-6093', '139416-EP2270008A1', '139416-EP2292617A1', 'o-Toluidine, liquid or solid [UN1708] [Poison]', 'Q311695', 'o-Toluidine, liquid or solid [UN1708]  [Poison]', 'Z57127943', 'F2190-0418', 'O-TOLUIDINE (SEE ALSO O-TOLUIDINE HYDROCHLORIDE 636-21-5)', 'o-Toluidine solution, 2000 mug/mL in methanol, analytical standard', 'o-Toluidine solution, 0.6 M in glacial acetic acid, contains thiourea as stabilizer', '121536-13-8', '2-Methylaniline hydrochloride;Formaldehyde, reaction products with o-toluidine;2-Methylaniline;O-Toluidine;o-toluidine;Aniline, 2-methyl-']</t>
  </si>
  <si>
    <t>Compound(7242)</t>
  </si>
  <si>
    <t>2-methylpropan-1-ol</t>
  </si>
  <si>
    <t>['2-Methyl-1-propanol', 'ISOBUTYL ALCOHOL', 'Isobutanol', '2-Methylpropan-1-ol', '78-83-1', '1-Propanol, 2-methyl-', 'Iso-butyl alcohol', '1-Hydroxymethylpropane', 'Isopropylcarbinol', 'i-Butyl alcohol', '2-Methylpropyl alcohol', 'Isobutylalkohol', '2-Methylpropanol', 'Alcool isobutylique', '2-Methyl propanol', 'i-Butanol', 'Fermentation butyl alcohol', 'RCRA waste number U140', '2-Methylpropanol-1', 'Isobutylalkohol [Czech]', 'iso-butanol', 'FEMA Number 2179', 'Isobutyl alcohol (natural)', 'NSC 5708', 'UNII-56F9Z98TEM', 'Alcool isobutylique [French]', 'HSDB 49', 'FEMA No. 2179', 'CCRIS 2300', 'Methyl-2 propanol-1', 'iso-C4H9OH', 'EINECS 201-148-0', 'UN1212', 'RCRA waste no. U140', 'BRN 1730878', '2-methyl-1-propanyl alcohol', 'AI3-01777', '56F9Z98TEM', 'CHEBI:46645', 'MFCD00004740', 'Alcohols, C8-13-iso-', '2-Methyl-1-propanol, 99+%, extra pure', '2-Methyl-1-propanol, 99+%, ACS reagent', '2-Methyl-1-propanol, 99+%, Extra Dry, AcroSeal(R)', '2-Methyl-1-propanol, 99+%, spectrophotometric grade', 'isobutylalcohol', 'iso butanol', 'Butanol-iso', '2-methylpropanoI', 'iBuOH', '2-methyl-propanol', 'iso-BuOH', 'EINECS 273-552-5', 'i-BuOH', '2-methyl-l-propanol', '2-methyl-n-propanol', 'Isobutanol ACS grade', 'Propanol, 2-methyl-', '2-methyl-propan-1-ol', '2-Methylpropan-1-ol.', 'ACMC-209pff', 'DSSTox_CID_1759', 'EC 201-148-0', 'DSSTox_RID_76310', 'DSSTox_GSID_21759', 'Isobutyl Alcohol Reagent ACS', '4-01-00-01588 (Beilstein Handbook Reference)', '68989-27-5', 'KSC377G2F', 'BIDD:ER0628', 'Isobutanol or isobutyl alcohol', '2-Methyl-1-propanol, 99%', 'NATURAL ISOBUTYL ALCOHOL', 'CHEMBL269630', 'DTXSID0021759', 'CTK2H7322', 'WLN: Q1Y1&amp;1', '2-Methyl-1-propanol, for HPLC', 'NSC5708', '2-Methyl-1-propanol, 99.5%', 'Isobutyl Alcohol (Fragrance Grade)', '2-Methyl-1-propanol, AR, 99%', 'ACT03408', 'KS-00000W7E', 'NSC-5708', 'ZINC1687155', 'Tox21_201214', 'ANW-37225', 'LMFA05000100', 'STL185664', '2-Methyl-1-propanol, LR, &gt;=99%', 'AKOS000118740', 'Isobutyl alcohol, &gt;=99%, FCC, FG', 'LS-1756', 'MCULE-6294327194', 'UN 1212', 'CAS-78-83-1', 'NCGC00091851-01', 'NCGC00091851-02', 'NCGC00258766-01', '2-Methyl-1-propanol, analytical standard', '2-Methyl-1-propanol, anhydrous, 99.5%', '2-Methyl-1-propanol, for HPLC, 99.5%', 'Isobutyl alcohol, ACS reagent, &gt;=99.0%', '821-EP2269986A1', '821-EP2274983A1', '821-EP2284157A1', '821-EP2287152A2', '821-EP2305825A1', '821-EP2308857A1', '821-EP2380568A1', 'FT-0627343', 'I0094', 'Z1849', 'Isobutyl alcohol 5000 microg/mL in Methanol', '2-Methyl-1-propanol 10 microg/mL in Methanol', 'C14710', 'Isobutyl alcohol, natural, &gt;=99%, FCC, FG', '2-Methyl-1-propanol, ACS reagent, &gt;=99.0%', '28287-EP2270012A1', '28287-EP2270013A1', '28287-EP2272849A1', '28287-EP2275423A1', '28287-EP2280005A1', '28287-EP2289509A2', '28287-EP2289884A1', '28287-EP2289892A1', '28287-EP2292576A2', '28287-EP2292613A1', '28287-EP2295424A1', '28287-EP2298313A1', '28287-EP2298751A2', '28287-EP2301919A1', '28287-EP2305033A1', '28287-EP2305254A1', '28287-EP2305625A1', '28287-EP2305647A1', '28287-EP2305681A1', '28287-EP2305825A1', '28287-EP2308849A1', '28287-EP2308850A1', '28287-EP2308864A1', '28287-EP2311801A1', '28287-EP2311802A1', '28287-EP2311803A1', '28287-EP2311821A1', '28287-EP2311838A1', '28287-EP2314577A1', '28287-EP2371814A1', '28287-EP2374780A1', '28287-EP2374781A1', '28287-EP2377844A2', '45218-EP2292616A1', '45218-EP2311821A1', '74956-EP2275411A2', '74956-EP2275414A1', '74956-EP2281821A1', '74956-EP2298763A1', '74956-EP2305254A1', '74956-EP2305667A2', '74956-EP2308838A1', '74956-EP2374780A1', '74956-EP2374781A1', 'Q151797', '2-Methyl-1-propanol, p.a., ACS reagent, 99.0%', '2-Methyl-1-propanol, SAJ first grade, &gt;=99.0%', 'J-509912', '2-Methyl-1-propanol, JIS special grade, &gt;=99.0%', 'F0001-2058', 'Z955123524', 'UNII-WB09NY83YA component ZXEKIIBDNHEJCQ-UHFFFAOYSA-N', '2-Methyl-1-propanol, ACS spectrophotometric grade, &gt;=99.0%', '2-Methyl-1-propanol, reag. ISO, 99%, UV HPLC spectroscopic', 'Isobutanol or isobutyl alcohol [UN1212]  [Flammable liquid]', 'Isobutanol or isobutyl alcohol [UN1212] [Flammable liquid]', '2-Methyl-1-propanol, puriss. p.a., ACS reagent, &gt;=99.5% (GC)', '2-Methyl-1-propanol, BioUltra, for molecular biology, &gt;=99.5% (GC)', '2-Methyl-1-propanol, United States Pharmacopeia (USP) Reference Standard', '2-Methyl-1-propanol, puriss. p.a., ACS reagent, reag. Ph. Eur., &gt;=99% (GC)', '5OZ']</t>
  </si>
  <si>
    <t>Compound(6560)</t>
  </si>
  <si>
    <t>C4H10O</t>
  </si>
  <si>
    <t>2-methylbutane</t>
  </si>
  <si>
    <t>['ISOPENTANE', '2-Methylbutane', '78-78-4', 'Isoamylhydride', 'Butane, 2-methyl-', 'iso-Pentane', '1,1,2-Trimethylethane', 'Dimethylethylmethane', 'Ethyldimethylmethane', '1,1-dimethylpropane', 'ISO PENTANE', 'Butanes', 'iso-C5H12', 'NSC 119476', 'UNII-ZH67814I0O', 'HSDB 618', 'EINECS 201-142-8', 'AI3-28787', '(CH3)2CH-CH2-CH3', 'CHEBI:30362', 'ZH67814I0O', '2-Methylbutane, for HPLC', 'Q-200305', '2-Methylbutane, 99+%, for spectroscopy', '2-Methylbutane, ReagentPlus(R), &gt;=99%', '2-Methylbutane, 99+%, Extra Dry, AcroSeal(R)', 'Mixed butanes', 'Field butane', '2-methyl-butane', 'solvent isopentane', '95% isopentane', '99% isopentane', 'C7-8 isoparaffin', 'Butane (petroleum)', 'Propane, dimethyl-', 'Exxsol isopentane S', '1,2-Trimethylethane', 'Butane (field grade)', 'blowing agent isopentane', 'ACMC-209pfa', 'foaming agent Isopentane', 'C3-C4 Splitter bottoms', 'Mixed butanes (petroleum)', 'isopentane(2-methylbutane)', 'EC 201-142-8', 'KSC155C9N', 'UNII-53X7V89P1E', 'CHEMBL1797287', 'DTXSID8025468', 'CTK0F5196', 'R-601a', '53X7V89P1E', 'WLN: 2Y1&amp;1', '2-Methylbutane, SAJ special grade', '2-Methylbutane, analytical standard', 'Butane-isobutane stream (petroleum)', 'ZINC1709041', 'EINECS 271-009-7', 'EINECS 274-273-1', '2-Methylbutane, 99+%, extra pure', '2-Methylbutane, anhydrous, &gt;=99%', 'ANW-37220', 'MFCD00009338', 'NSC119476', 'AKOS015841718', 'FCH1112917', 'LS-1753', 'MCULE-5376105936', 'NSC-119476', 'KS-00000X66', '2-Methylbutane, for HPLC, &gt;=99.5%', '2-Methylbutane, purum, &gt;=95.0% (GC)', 'M0167', 'NS00003083', '2-Methylbutane, SAJ first grade, &gt;=99.0%', '15415-EP2270008A1', '15415-EP2287153A1', '15415-EP2292589A1', '15415-EP2292617A1', '15415-EP2305683A1', '15415-EP2311808A1', '15415-EP2311829A1', '15415-EP2311839A1', '15415-EP2314574A1', '15415-EP2314589A1', '15415-EP2316837A1', '15415-EP2372804A1', '15415-EP2378585A1', '92812-EP2295417A1', '92812-EP2305649A1', '92812-EP2380568A1', '2-Methylbutane, puriss. p.a., &gt;=99.5% (GC)', '2-Methylbutane, spectrophotometric grade, &gt;=99%', '212698-EP2374780A1', '212698-EP2374781A1', 'Q422703', 'Isopentane Solution, Pharmaceutical Secondary Standard; Certified Reference Material', '1320-76-9', '61G']</t>
  </si>
  <si>
    <t>Compound(6556)</t>
  </si>
  <si>
    <t>C5H12</t>
  </si>
  <si>
    <t>2-methylpentane</t>
  </si>
  <si>
    <t>['2-METHYLPENTANE', 'Isohexane', '107-83-5', 'Pentane, 2-methyl-', '2-Methylpentan', '2-Methyl pentane', '2-Methyl-pentane', 'Dimethylpropylmethane', '1,1-Dimethylbutane', '73513-42-5', 'iso-hexane', 'Methyl pentane', 'UNII-49IB0U6MLD', 'HSDB 1125', 'EINECS 203-523-4', 'NSC 66496', '49IB0U6MLD', 'AI3-28851', 'iso-Hexan', 'CHEBI:88374', '43133-95-5', '64742-49-0', '2-Methylpentane, 99+%, pure', '2-Methylpentane, analytical standard', 'Pentane, methyl-', 'Isohexane, for HPLC, contains &lt;5% n-Hexane', 'Petroleum ether, ACS reagent, boiling range 35-60 degrees C', 'Petroleum ether, ACS reagent, boiling range 40-60 degrees C', 'Petroleum ether, extra pure, boiling range 40-60 degrees C', 'Petroleum ether, extra pure, boiling range 60-95 degrees C', 'Petroleum ether, for analysis, boiling range 60-95 degrees C', 'Petroleum ether, for analysis, boiling range 80-110 degrees C', 'i-hexane', 'Isohexane, for pesticide residue analysis, contains &lt;5% n-Hexane', 'Petroleum ether, Extra Dry, boiling range 40-60 degrees C, water &lt;50ppm, AcroSeal(R)', 'Petroleum ether, for residue analysis, 40-60 degrees C, for trace anal. of polyarom. hydrocarbons', 'Petroleum ether, for residue analysis, 40-60 degrees C,ECD tested lindane/DDT&lt;5ng/l, res &lt;0.0003%', 'Petroleum ether, for residue analysis, boiling range 40-60 degrees C, ECD tested halocarbons free', 'MFCD00009406', 'DSSTox_CID_9143', '2-Methylpentane, 5.0%', '2-Methylpentane, &gt;=99%', 'ACMC-1C05Z', 'DSSTox_RID_78680', 'DSSTox_GSID_29143', 'KSC175K7T', 'CHEMBL30909', 'DTXSID4029143', 'CTK0H5579', 'KS-00000WYX', '(CH3)2CH(CH2)2CH3', 'NSC66496', 'ZINC1693924', 'Tox21_200470', 'ANW-15852', 'NSC-66496', 'WLN: 3Y1 &amp; 1', '2-Methylpentane, &gt;=95.0% (GC)', 'AKOS015907782', 'FCH1112919', 'MCULE-9604552974', 'ACM43133955', 'NCGC00248641-01', 'NCGC00258024-01', 'CAS-107-83-5', '2-Methylpentane;Pentane, 2-methyl-;hexanes', 'LS-101732', 'FT-0645102', 'M0382', 'NS00005206', '32368-EP2272842A1', '32368-EP2280006A1', '32368-EP2281815A1', '32368-EP2292615A1', '32368-EP2292619A1', '32368-EP2301928A1', '32368-EP2301929A1', '32368-EP2301933A1', '32368-EP2301935A1', '32368-EP2305640A2', '32368-EP2305652A2', '32368-EP2305659A1', '32368-EP2305671A1', '32368-EP2305674A1', '32368-EP2311818A1', '32368-EP2311827A1', '32412-EP2269986A1', '32412-EP2272834A1', '32412-EP2281815A1', '32412-EP2281819A1', '32412-EP2292228A1', '32412-EP2292615A1', '32412-EP2292619A1', '32412-EP2292622A1', '32412-EP2301928A1', '32412-EP2301929A1', '32412-EP2301933A1', '32412-EP2301935A1', '32412-EP2305640A2', '32412-EP2305674A1', '32412-EP2308840A1', '32412-EP2311818A1', '32412-EP2311827A1', '77844-EP2298773A1', '77844-EP2308866A1', '92813-EP2305649A1', '92813-EP2380568A1', 'A801767', 'Q209445', 'Isohexanes (mixture of isomeric branched chain hexanes)', 'Petroleum ether, technical, boiling range 40-65 degrees C', 'UNII-1S70G88A39 component AFABGHUZZDYHJO-UHFFFAOYSA-N', 'UNII-RQA19361ZA component AFABGHUZZDYHJO-UHFFFAOYSA-N', 'Petroleum ether, extra pure, boiling range 35-60 degrees C']</t>
  </si>
  <si>
    <t>Compound(7892)</t>
  </si>
  <si>
    <t>2-methylhexane</t>
  </si>
  <si>
    <t>['2-METHYLHEXANE', '591-76-4', 'Hexane, 2-methyl-', 'ISOHEPTANE', 'UNII-YI4679P2SP', 'D 726', '2-Methylhexane, 99%', 'EINECS 209-730-6', 'NSC 24840', 'YI4679P2SP', '31394-54-4', 'Pentane, dimethyl-', 'Isoheptanes', '2-methyl hexane', '2-methyl-hexane', 'EINECS 250-610-8', 'FR-2384', 'EC 250-610-8', 'ACMC-1B07E', 'CHEMBL1797267', 'DTXSID5052256', 'CTK1C1231', 'NSC24840', 'ZINC1615319', 'ANW-33184', 'NSC-24840', 'AKOS015841662', 'FCH1117850', '38815-29-1', 'CC-11505', 'LS-75137', 'DB-053334', 'FT-0613049', 'M0231', 'NS00002780', '92814-EP2305649A1', '92814-EP2380568A1', 'C-00231', 'Q183300', 'isoheptane;2-Methylhexane;2-methylhexane;2-METHYLHEXANE']</t>
  </si>
  <si>
    <t>Compound(11582)</t>
  </si>
  <si>
    <t>2-methylhexanoic acid</t>
  </si>
  <si>
    <t>['2-METHYLHEXANOIC ACID', '4536-23-6', '2-Methylcaproic acid', 'Hexanoic acid, 2-methyl-', '2-methyl hexanoic acid', 'Methylhexanoic acid', '2-Hexanecarboxylic acid', 'alpha-Methylcaproic acid', '2-Methylhexanoicacid', '2-methyl-hexanoic acid', 'FEMA No. 3191', '2-?Methylhexanoic acid', 'EINECS 224-883-9', '.alpha.-Methylcaproic acid', 'BRN 1721227', 'Hexanoic acid, methyl-', 'alpha-methylhexanoic acid', 'hexane-2-carboxylic acid', 'alpha -Methylcaproic acid', '(-)-2-methylhexanoic acid', 'DSSTox_CID_24241', 'DSSTox_RID_80132', 'DSSTox_GSID_44241', 'SCHEMBL22555', 'KSC492M7R', '2-Methylhexanoic acid, 99%', 'ACMC-209k28', 'CHEMBL1789229', 'DTXSID9044241', 'CTK3J2678', 'CVKMFSAVYPAZTQ-UHFFFAOYSA-', 'FEMA 3191', 'CHEBI:138489', 'ACN-S004135', 'ALBB-031667', 'KS-000010HV', 'Tox21_302640', 'ANW-30270', 'LMFA01020080', 'MFCD00002674', 's6079', 'SBB072714', '2-Methylhexanoic acid, &gt;=99%, FG', 'AKOS009158603', 'EK-0701', 'MCULE-7933263354', 'NCGC00256711-01', '104490-70-2', 'LS-75337', 'CAS-4536-23-6', 'DB-070642', 'HY-128371', 'CS-0099247', 'FT-0613050', 'M0947', 'NS00019815', 'ST45029001', 'Q27283189']</t>
  </si>
  <si>
    <t>Compound(20653)</t>
  </si>
  <si>
    <t>C7H14O2</t>
  </si>
  <si>
    <t>2-methylheptane</t>
  </si>
  <si>
    <t>['2-METHYLHEPTANE', '592-27-8', 'Heptane, 2-methyl-', '2-methyl-heptane', 'Methylheptane', 'UNII-YU6SU8CCVB', 'YU6SU8CCVB', '26635-64-3', '2-Methylheptane, 99%', 'Hexane, dimethyl-', 'DIMETHYLHEXANE', 'NSC24844', 'EINECS 209-747-9', 'MFCD00009518', 'NSC 24844', 'FR-2143', 'ACMC-1AVKM', '2-Methylheptane, 98%', 'DTXSID2060460', 'CHEBI:88849', 'CTK1A4406', '(CH3)2CH(CH2)4CH3', 'ZINC1615323', 'EINECS 247-861-0', 'ANW-33193', 'LMFA11000604', 'NSC-24844', 'AKOS015841664', 'FCH1114860', 'KS-0000136R', '28777-67-5', 'CC-11504', 'Isooctane;2-methylheptane;2-Methylheptane', 'DB-053342', 'FT-0613048', 'M0519', 'NS00022455', '92565-EP2269986A1', '92565-EP2281821A1', '92565-EP2289509A2', '92565-EP2292622A1', '92565-EP2302015A1', '92565-EP2305642A2', '92565-EP2374780A1', '92565-EP2375479A1', '92565-EP2380568A1', 'C-00582', 'Q2493733']</t>
  </si>
  <si>
    <t>Compound(11594)</t>
  </si>
  <si>
    <t>2-methylnaphthalene</t>
  </si>
  <si>
    <t>['2-METHYLNAPHTHALENE', '91-57-6', 'Naphthalene, 2-methyl-', 'beta-Methylnaphthalene', '.beta.-Methylnaphthalene', 'Naphthalene, beta-methyl-', '2-methyl-naphthalene', 'HSDB 5274', 'UNII-S8MCX3C16H', 'beta-methyl naphthalenes', 'NSC 3575', 'EINECS 202-078-3', 'S8MCX3C16H', 'AI3-17554', 'CHEMBL195895', 'CHEBI:50720', 'MFCD00004118', 'NAPHTALENE,2-METHYL  MFC11 H10', '2-Methylnaphthalene, 96%', '2-Methylnaphthalene, analytical standard', '2-Naphthylmethyl radical', '2-methyInaphthalene', '2-methyl naphthalene', 'Methyl-2-Naphtalene', '2-Methylnaphthalene.', 'Methyl-2-naphthalene', 'naphthalene, 2-methyl', 'beta-methyl-naphthalene', 'ACMC-209rcf', 'DSSTox_CID_878', 'bmse000537', 'EC 202-078-3', 'DSSTox_RID_75842', 'DSSTox_GSID_20878', 'KSC486M7D', 'WLN: L66J C1', 'DTXSID4020878', 'CTK3I6671', 'NSC3575', '2-Methylnaphthalene (beta), 97%', 'NSC-3575', 'ZINC1666853', 'Tox21_200839', 'AC-615', 'ANW-39709', 'BDBM50159241', 'SBB060085', 'STL283950', 'AKOS000120035', 'ZINC112980287', 'LS-1922', 'MCULE-4388510802', 'NE10298', 'CAS-91-57-6', 'NCGC00091415-01', 'NCGC00091415-02', 'NCGC00258393-01', '7419-61-6', 'DB-002463', 'FT-0613065', 'M0372', 'NS00002503', 'ST51046326', 'KS-00000268', 'C14098', '2-Methylnaphthalene 10 microg/mL in Cyclohexane', '2-Methylnaphthalene 10 microg/mL in Acetonitrile', 'Q2813819', 'W-100305', '2-Methylnaphthalene 1000 microg/mL in Dichloromethane', '2-methylnaphthalene;2-METHYLNAPHTHALENE;Methylnaphthalene', 'UNII-E987XQ801Y component QIMMUPPBPVKWKM-UHFFFAOYSA-N']</t>
  </si>
  <si>
    <t>Compound(7055)</t>
  </si>
  <si>
    <t>2-methylbenzothiazole</t>
  </si>
  <si>
    <t>2-methyl-1,3-benzothiazole</t>
  </si>
  <si>
    <t>['2-Methylbenzothiazole', '120-75-2', '2-Methyl-1,3-benzothiazole', 'Benzothiazole, 2-methyl-', '2-methyl-benzothiazole', 'Benzothiazole, methyl-', '2-METHYBENZOTHIAZOLE', 'USAF EK-1853', '2-METHYLBENZO[D]THIAZOLE', 'UNII-7LX1XE6H8W', '2-Methyl benzothiazole', 'NSC 3825', 'EINECS 204-423-3', 'BRN 0112427', '7LX1XE6H8W', '2-Methylbenzothiazole, 99%', 'methylbenzthiazole', '55299-16-6', 'CCRIS 8096', 'methylbenzothiazole', 'benzothiazole,methyl-', '2-methylbenzothiazoline', 'PubChem10877', '874-45-3', 'ACMC-1BT2L', 'DSSTox_CID_29064', 'DSSTox_RID_83283', 'DSSTox_GSID_49208', 'SCHEMBL55837', '4-27-00-01080 (Beilstein Handbook Reference)', 'KSC257A4J', '2-Methyl-1,3-benzothiazole #', 'CHEMBL2393325', 'DTXSID8049208', 'SCHEMBL10600002', 'CTK1F7044', 'WLN: T56 BN DSJ C1', 'NSC3825', 'ZINC388076', 'KS-00000EB2', 'NSC-3825', 'Tox21_202975', 'ANW-17529', 'MFCD00005794', 'SBB059092', 'AKOS000507502', 'CS-W009170', 'MCULE-2370272830', 'NCGC00260521-01', 'AC-19506', 'AK-45781', 'AS-12908', 'CAS-120-75-2', 'LS-40795', 'SY001190', 'DB-028158', 'FT-0613010', 'M0516', 'NS00010908', 'ST50824167', 'M-6408', '196092-EP2272972A1', '196092-EP2272973A1', '196092-EP2277872A1', '2-Methyl-4,5-benzothiazole;2-methylbenzothiazole', 'A804586', 'AA-504/31983006', 'W-108472', 'Q27268542', 'F0001-0331']</t>
  </si>
  <si>
    <t>Compound(8446)</t>
  </si>
  <si>
    <t>C8H7NS</t>
  </si>
  <si>
    <t>2-methylindole</t>
  </si>
  <si>
    <t>2-methyl-1H-indole</t>
  </si>
  <si>
    <t>['2-METHYLINDOLE', '2-Methyl-1H-indole', '95-20-5', '1H-Indole, 2-methyl-', 'Indole, 2-methyl-', '2-METHYL INDOLE', 'UNII-I7CN58827I', '2-Methylindole, 98%', 'NSC 7514', 'EINECS 202-398-3', 'MFCD00005616', 'AI3-03945', 'CHEBI:49402', 'I7CN58827I', 'F0290-0682', '2-methylindol', 'Methylketole', 'methyl indole', '2-methyl-indole', '2-methyl-1h-indol', 'PubChem7504', '2-methyl-1-H-indole', 'ACMC-209rxz', 'SCHEMBL12420', 'KSC486Q8R', 'Indole, 2-methyl- (8CI)', 'SCHEMBL377807', 'ARONIS020142', 'CHEMBL259419', 'DTXSID5059117', 'CTK3I6888', 'KS-00004BXK', 'NSC7514', 'KUC106612N', '2-Methylindole, analytical standard', 'ACT07545', 'KSC-09-215A', 'NSC-7514', 'STR01200', 'ZINC1088076', 'AC-611', 'ANW-40485', 'SBB058480', 'STK044221', 'AKOS000119568', '1H-Indole, 2-methyl-;2-Methylindole', 'CG-0500', 'CS-W007556', 'MCULE-9033876547', 'SB14955', 'VI30173', 'KS-000005V9', 'NCGC00342152-01', 'AK-44448', 'BR-44448', 'LS-83246', 'LS-83247', 'SC-07430', 'SC-25318', 'ST040425', 'DB-031753', '2-Methylindole, purum, &gt;=97.5% (HPLC)', 'FT-0612877', 'FT-0613057', 'M0346', 'NS00010851', 'M-3895', 'M-5887', 'AB00375786-04', 'Q4596907', 'Z57200682', '2MI']</t>
  </si>
  <si>
    <t>Compound(7224)</t>
  </si>
  <si>
    <t>C9H9N</t>
  </si>
  <si>
    <t>2- methyl lactonitrile</t>
  </si>
  <si>
    <t>2-hydroxy-2-methylpropanenitrile</t>
  </si>
  <si>
    <t>['ACETONE CYANOHYDRIN', '2-Hydroxy-2-methylpropanenitrile', '75-86-5', 'Acetone cyanhydrin', '2-Methyllactonitrile', '2-Hydroxyisobutyronitrile', 'alpha-Hydroxyisobutyronitrile', 'Acetoncyanhydrin', '2-Cyano-2-propanol', 'Propanenitrile, 2-hydroxy-2-methyl-', 'Acetoncianidrina', 'Acetonkyanhydrin', '2-Hydroxy-2-methylpropionitrile', 'Acetoncianhidrinei', 'Acetoncyaanhydrine', 'Acetonecyanhydrine', '2-Propanone, cyanohydrin', 'Lactonitrile, 2-methyl-', '2-Cyano-2-hydroxypropane', "Cyanhydrine d'acetone", 'USAF RH-8', 'RCRA waste number P069', 'UNII-CO1YOV1KFI', 'Acetonkyanhydrin [Czech]', 'Acetoncyanhydrin [German]', 'Acetoncianidrina [Italian]', 'Acetoncyaanhydrine [Dutch]', 'Acetonecyanhydrine [French]', 'Acetoncianhidrinei [Romanian]', 'NSC 131093', '.alpha.-Hydroxyisobutyronitrile', 'Acetone cyanohydrin, stabilized', 'CCRIS 4657', "Cyanhydrine d'acetone [French]", 'HSDB 971', '2-hydroxy-2-methyl-propionitrile', 'CO1YOV1KFI', 'EINECS 200-909-4', 'UN1541', 'RCRA waste no. P069', 'BRN 0605391', 'AI3-04257', 'CHEBI:15348', 'DSSTox_CID_5427', 'DSSTox_RID_77782', 'DSSTox_GSID_25427', 'WLN: QX1&amp;1&amp;CN', 'Acetonecyanohydrin', 'Acetone cyanohydrin, 99%, stabilized', 'CAS-75-86-5', 'aceton cyanohydrin', '2-hydroxy-2-methyl-propanenitrile', 'acetone cyanhydrine', 'acetone-cyanohydrin', 'acetone cyanohydrine', 'acetone-cyanohydrine', 'acetone cyano-hydrin', '2-Cyanopropan-2-ol', 'PubChem22297', 'a-hydroxyisobutyronitrile', 'Acetone cyanohydrin, 99%', 'EC 200-909-4', '4-03-00-00785 (Beilstein Handbook Reference)', '2-methyl-2-hydroxypropanitrile', 'NSC977', 'CHEMBL1231861', 'DIMETHYLKETONE CYANOHYDRIN', 'DTXSID7025427', 'NSC-977', 'NSC7080', '2-hydroxy-2-methylpropane nitrile', '2-methyl-2-oxidanyl-propanenitrile', '2-Hydroxy-2-methylpropanenitrile #', 'NSC-7080', 'ZINC8217842', 'Tox21_201490', 'Tox21_303256', 'BBL011349', 'NSC131093', 'SBB004397', 'STL146439', 'AKOS000118890', 'DB02203', 'LS-1677', 'MCULE-7494613383', 'NSC-131093', 'UN 1541', 'NCGC00249054-01', 'NCGC00257016-01', 'NCGC00259041-01', 'SC-16412', 'FT-0665317', 'M0361', 'NS00001430', 'C02659', 'A838531', 'Q222936', 'Acetone cyanohydrin, stabilized [UN1541] [Poison]', 'W-109043', 'Acetone cyanohydrin, stabilized [UN1541]  [Poison]', 'F1908-0094', 'Z1203163251', 'Acetone cyanohydrin;Acetone Cyanohydrin;Propanenitrile, 2-hydroxy-2-methyl-;2-hydroxy-2-methylpropionitrile']</t>
  </si>
  <si>
    <t>Compound(6406)</t>
  </si>
  <si>
    <t>C4H7NO</t>
  </si>
  <si>
    <t>['2-METHYLPYRIDINE', '2-Picoline', '109-06-8', 'alpha-Picoline', 'o-Picoline', 'Picoline', 'Pyridine, 2-methyl-', 'Pyridine, methyl-', 'a-picoline', 'METHYLPYRIDINE', '2-METHYL-PYRIDINE', 'o-Methylpyridine', 'PICOLINE, ALPHA', 'alpha-Methylpyridine', 'RCRA waste number U191', '.alpha.-Picoline', 'NSC 3409', '2-Mepy', 'CCRIS 1721', 'HSDB 101', 'UNII-3716Q16Q6A', '.alpha.-Methylpyridine', 'EINECS 203-643-7', 'RCRA waste no. U191', 'AI3-2409', 'AI3-24109', '1333-41-1', 'CHEBI:50415', '3716Q16Q6A', 'NCGC00160644-01', '2-Picoline, 98%', 'DSSTox_CID_1899', 'DSSTox_RID_76392', 'DSSTox_GSID_21899', 'CAS-109-06-8', 'Alpha picoline', '2-methylpridine', '2--picoline', '2-Methyl pyridine', 'Picoline (Related)', 'Picoline, .alpha.', 'MFCD00006332', 'PubChem15899', 'ACMC-20aj4x', '2-Pyridylmethyl radica1', '2-Methylpyridine, 98%', 'EC 203-643-7', 'NCIOpen2_007826', 'NCIOpen2_007919', 'WLN: T6NJ B1', 'BIDD:ER0295', 'CHEMBL15732', '2-Picoline, analytical standard', 'DTXSID9021899', 'CTK0H6378', 'NSC3409', '2-Picoline,(S);2-Methylpyridine', 'BCP26524', 'NSC-3409', 'Tox21_111951', 'Tox21_201693', 'STL268873', 'ZINC38192546', 'AKOS000119190', 'ZINC328578702', 'AM81276', 'MCULE-3857746542', 'KS-0000006I', 'NCGC00160644-02', 'NCGC00259242-01', 'SC-16377', 'o-Picoline [UN2313] [Flammable liquid]', 'DB-023694', 'LS-109608', 'o-Picoline [UN2313]  [Flammable liquid]', 'FT-0613358', 'NS00005757', 'P0415', 'C14447', '68007-EP2277864A1', '68007-EP2308874A1', '72795-EP2277878A1', '72795-EP2305652A2', '72795-EP2309584A1', '2-Methylpyridine, Lonza quality, &gt;=99.0% (GC)', '2-Picoline;2-methylpyridine;2-picoline;Picoplatin', 'J-510091', 'Q2216745', 'F0001-0192', '2-Methylpyridine pound&gt;&gt;o-Picoline pound&gt;&gt;Pyridine, 2-methyl-']</t>
  </si>
  <si>
    <t>Compound(7975)</t>
  </si>
  <si>
    <t>C6H7N</t>
  </si>
  <si>
    <t>['2-METHYLQUINOLINE', 'Quinaldine', '91-63-4', 'Chinaldine', 'Khinaldin', 'Quinoline, 2-methyl-', 'Methylquinoline', '2-Methyl-quinoline', '2-Methylchinolin', 'CCRIS 1155', '2-Methylchinolin [Czech]', 'NSC 3397', 'EINECS 202-085-1', 'UNII-DVG30M0M87', 'BRN 0110309', 'AI3-11528', 'WLN: T66 BNJ C1', 'CHEMBL194931', 'DVG30M0M87', 'NSC3397', '5-20-07-00375 (Beilstein Handbook Reference)', 'MFCD00006756', 'SBB008939', 'Quinaldine, 95+%', 'LS-139877', '27601-00-9', '2-Methylquinolinium chloride', 'Quinoline, methyl-', '2-Methylquionoline', 'alpha-Methylquinoline', 'ACMC-20aiug', 'PubChem5809', '.alpha.-Methylquinoline', 'DIMETHYLQUINOLINES', 'Quinaldine, &gt;=95%', '2-METHYLCHINOLINE', 'DSSTox_CID_20271', 'DSSTox_RID_79464', 'DSSTox_GSID_40271', 'SCHEMBL56360', 'KSC174K5P', 'Q2125_SIGMA', 'SCHEMBL7411349', 'DTXSID3040271', '22550_FLUKA', 'CHEBI:132813', 'Quinaldine, &gt;=95.0% (GC)', 'AIDS020531', 'HMS1783C21', 'ACT10326', 'AIDS-020531', 'BCP21021', 'KS-000000XV', 'NSC-3397', 'ZINC1081286', 'Tox21_302026', '2-Methylquinoline (ACD/Name 4.0)', 'ANW-75350', 'BDBM50159277', 'STL268892', 'ZINC01081286', '2-Methylquinoline;Khinaldin;Chinaldine', 'AKOS000119149', 'AKOS016371196', 'FS-4097', 'LS20882', 'MCULE-7892906832', '2-METHYL-QUINOLINE (QUINALDINE)', 'CAS-91-63-4', 'NCGC00188127-01', 'NCGC00255440-01', 'BR-45053', 'SC-07320', 'DB-057266', 'FT-0631440', 'NS00021384', 'Q0005', 'ST50307925', 'Quinaldine;2-methylquinoline;2-Methylquinoline', 'A26316', 'M-6891', 'Quinaldine, analytical standard, &gt;=90% (GC)', 'Q415376', 'J-510102', 'F0001-2219', '2-Methylchinolin;2-Methylpuinoiline;2-methyl-quinolin;alpha-Methylquinoline']</t>
  </si>
  <si>
    <t>Compound(7060)</t>
  </si>
  <si>
    <t>2-methylthiobenzothiazole</t>
  </si>
  <si>
    <t>2-methylsulfanyl-1,3-benzothiazole</t>
  </si>
  <si>
    <t>['2-(Methylthio)benzothiazole', '615-22-5', '2-Methylmercaptobenzothiazole', '2-(Methylthio)benzo[d]thiazole', '2-METHYLTHIOBENZOTHIAZOLE', '2-(Methylmercapto)benzothiazole', 'Benzothiazole, 2-(methylthio)-', 'MTBT', '2-methylsulfanyl-1,3-benzothiazole', '2-(Methylsulfanyl)-1,3-benzothiazole', '2-(methylthio)-1,3-benzothiazole', '2-Methyl mercaptobenzothiazole', 'CHEBI:1217', 'USAF EK-4008', '2-methylthio-1,3-benzothiazole', 'UNII-2748L341KY', 'Benzothiazole, mercapto-2-methyl-', 'BENZOTHIAZOLETHIOL, 2-METHYL-', '2748L341KY', '31621-01-9', '64036-43-7', 'Methylcaptax', 'Benzothiazole, (methylthio)-', 'F0909-0423', 'NSC 5352', 'EINECS 210-417-1', 'NSC 41046', 'PubChem21828', 'ACMC-209mtj', 'AI3-51102', '2-Methyl-S-benzothiazole', '2-methylthio benzothiazole', '2-methylthio-benzothiazole', '2-(Methylthio)benzothiazol', 'Epitope ID:138945', '2-methylmercaptobenzthiazole', '2-(Methylthio)benzothiozole', 'benzothiazole,(methylthio)-', '2-Methyl-thio-Benzotriazole', '2-methylsulfanyl-benzothiazole', 'KSC493O5H', 'MLS000541593', 'SCHEMBL316415', 'IFLab1_004499', 'CHEMBL1303065', 'CTK3J3753', 'DTXSID70274236', 'NSC5352', 'HMS2267P24', 'ZINC156707', '2-(Methylthio)benzothiazole, 97%', 'ACT12100', 'EBD53691', 'KS-000001VU', 'NSC-5352', 'NSC41046', '2-Mercaptobenzothiazole Methyl Ether', 'ANW-33845', 'MFCD00005784', 'NSC-41046', 'SBB058062', 'AKOS002235202', 'CS-W023165', 'MCULE-2534878471', 'MS-1432', 'IDI1_010254', 'NCGC00246570-01', '2-(Methylsulfanyl)-1,3-benzothiazole #', 'AC-19507', 'AK111081', 'LS-40835', 'SC-81220', 'SMR000112274', 'SY037966', 'DB-028160', 'FT-0608859', 'M0439', 'ST45024813', 'C10910', 'A833277', 'W-105142', '2-(Methylthio)benzothiazol;2-(methylthio)benzothiazole', 'Q15999703']</t>
  </si>
  <si>
    <t>Compound(11989)</t>
  </si>
  <si>
    <t>C8H7NS2</t>
  </si>
  <si>
    <t>2-ethoxy-2-methylbutane</t>
  </si>
  <si>
    <t>['2-Ethoxy-2-methylbutane', '919-94-8', 'tert-Amyl Ethyl Ether', 'Butane, 2-ethoxy-2-methyl-', 'Ethyl tert-amyl ether', '1,1-Dimethylpropyl Ethyl Ether', 'Ethyl tert-pentyl ether', 'Ether, ethyl tert-pentyl', 'BRN 1731673', '2-ETHOXY-2-METHYL-BUTANE', 'Trimethylather', 'tert-amylethylether', 'tert-Amyl-ethyl ether', 'ACMC-209ref', '2-Ethyl-2-ethoxypropane', 'EC 618-804-0', '2-Ethoxy-2-methylbutane #', '3-01-00-01626 (Beilstein Handbook Reference)', 'SCHEMBL208586', 'Ethyl 1,1-dimethylpropyl ether', 'DTXSID7061279', 'CTK5H0769', 'ZINC2040192', 'ANW-39781', 'AKOS015838721', 'KS-000012F2', 'LS-67841', 'NS00006706', 'Q28941824']</t>
  </si>
  <si>
    <t>Compound(13527)</t>
  </si>
  <si>
    <t>C7H16O</t>
  </si>
  <si>
    <t>['2-Ethoxyethanol', 'Cellosolve', '110-80-5', 'Oxitol', 'Ethanol, 2-ethoxy-', 'ETHYLENE GLYCOL MONOETHYL ETHER', 'Ethyl cellosolve', 'Ethyl glycol', 'Ethylene glycol ethyl ether', 'Emkanol', 'Hydroxy ether', 'Dowanol EE', 'Cellosolve solvent', '2-Ethoxyethyl alcohol', 'Plastiazan 60', 'Poly-Solv EE', 'Solvid', 'Ethylethylene glycol', 'EGEE', 'Jeffersol EE', 'Glycol monoethyl ether', '2-Ethoxyethan-1-Ol', 'beta-Ethoxyethanol', 'Bikanol E 1', 'Solvulose', 'Etoksyetylowy alkohol', 'Ektasolve EE', 'Dowanol 8', 'Celosolv', 'Ethyl ethylene glycol', 'Glycol ether EE', 'Celosolv [Czech]', 'Ethoxyethanol, 2-', 'NCI-C54853', '.beta.-Ethoxyethanol', 'HSDB 54', 'Ethyl icinol', "Ether monoethylique de l'ethylene-glycol", 'EE solvent', 'HOCH2CH2OC2H5', '2-ethoxy-ethanol', 'Athylenglykol-monoathylather', 'UNII-IDK7C2HS09', '2-Ethoxy ethanol', 'NSC 8837', 'Etoksyetylowy alkohol [Polish]', 'CCRIS 2294', 'Ethylene glycol monoethyl ether (EGMEE)', 'Eter monoetilico del etilenglicol', 'EINECS 203-804-1', 'Athylenglykol-monoathylather [German]', 'UN1171', 'Ethyl-2-hydroxyethyl ether', 'RCRA waste no. U359', 'IDK7C2HS09', 'AI3-01236', 'Eter monoetilico del etilenglicol [Spanish]', 'DTXSID7024087', 'CHEBI:46788', "Ether monoethylique de l'ethylene-glycol [French]", 'DSSTox_CID_4087', 'DSSTox_RID_77284', 'DSSTox_GSID_24087', 'ETX', '2-Ethoxyethanol, for analysis', 'Ethylene glycol monoethyl ether [UN1171] [Flammable liquid]', '2-Ethoxyethanol, 99%, extra pure', '2EE', 'CAS-110-80-5', '2-Ethoxyethanol (cellosolve)', '2ethoxyethanol', 'ethylene glycol-monoethyl ether', '2-ethoxyetanol', '2-Ehoxyethanol', '2-ethyoxyethanol', 'Cellosolve(R)', 'Bikanol E1', 'ethoxyethyl alcohol', '1-ethoxy-2-ethanol', 'EtOCH2CH2OH', 'ethyl 2-hydroxyethyl ether', 'EC 203-804-1', 'ethyleneglycol monoethylether', 'ethylene glycol monoethylether', 'ethyleneglycol monoethyl ether', 'KSC177I6P', 'WLN: Q2O2', 'BIDD:ER0296', 'ACMC-20997c', 'CHEMBL119596', 'ethylene glycol mono ethyl ether', 'CTK0H7467', '2-Ethoxyethanol, ~99% (GC)', '2-Ethoxyethanol, LR, &gt;=99%', 'dimethylene glycol monoethyl ether', 'NSC8837', 'KS-00000WI8', 'NSC-8837', 'ZINC1648262', '2-Ethoxyethanol, analytical standard', 'Tox21_201697', 'Tox21_300031', 'ANW-16198', 'LS-515', 'MFCD00002869', 'STL282734', 'AKOS000119042', 'DB02249', 'MCULE-4311513289', '2-Ethoxyethanol, for synthesis, 99.0%', '2-Ethoxyethanol, ReagentPlus(R), 99%', 'NCGC00091522-01', 'NCGC00091522-02', 'NCGC00091522-03', 'NCGC00254064-01', 'NCGC00259246-01', 'BP-31042', 'SC-57903', 'E0047', 'FT-0626330', 'NS00007272', 'NS00052127', 'Ethylene Glycol Monoethyl Ether Reagent Grade', '2-Ethoxyethanol, SAJ first grade, &gt;=97.0%', 'C14687', '2-Ethoxyethanol, SAJ special grade, &gt;=99.0%', '73915-EP2269986A1', '73915-EP2272849A1', '73915-EP2275469A1', '73915-EP2287940A1', '73915-EP2289965A1', '73915-EP2298828A1', '73915-EP2301983A1', '73915-EP2302003A1', '73915-EP2308926A1', '73915-EP2309564A1', '73915-EP2371809A1', '73915-EP2380568A1', '73915-EP2380873A1', '74375-EP2270895A2', '74375-EP2278637A1', '74375-EP2281821A1', '74375-EP2298828A1', '74375-EP2299785A1', '74375-EP2305667A2', '74375-EP2305825A1', '74375-EP2306788A1', '74375-EP2306789A1', '74375-EP2308857A1', '74375-EP2380568A1', '2-Ethoxyethanol, spectrophotometric grade, &gt;=99%', 'Q209381', 'J-509307', 'F1908-0123', 'Z940713552', 'Ethylene glycol monoethyl ether [UN1171]  [Flammable liquid]', '2-ethoxyethanol;Ethanol, 2-ethoxy-;ethylene glycol monoethyl ether', '2-Ethoxyethanol, Pharmaceutical Secondary Standard; Certified Reference Material']</t>
  </si>
  <si>
    <t>Compound(8076)</t>
  </si>
  <si>
    <t>2-ethoxybutane</t>
  </si>
  <si>
    <t>['sec-Butyl ethyl ether', '2-ETHOXYBUTANE', 'Butane, 2-ethoxy-', '2679-87-0', 'Ethyl sec-butyl ether', 'Ether, sec-butyl ethyl', 'FEMA No. 3131', 'sec-C4H9OC2H5', 'EINECS 220-234-9', 'BRN 1731313', 'Aethylather', '2-Ethoxy-Butane', 'sec-butylethyl ether', '2-butyl ethyl ether', 'ACMC-209gt4', '4-01-00-01572 (Beilstein Handbook Reference)', 'SCHEMBL157863', 'CTK1A3322', 'FEMA 3131', 'DTXSID30863009', 'sec-Butyl ethyl ether, AldrichCPR', 'ANW-26054', 'ACM2679870', 'FCH1122006', 'LS-67779', 'B2399', 'NS00048743', 'Q27272785']</t>
  </si>
  <si>
    <t>Compound(17586)</t>
  </si>
  <si>
    <t>2-ethylhexan-1-ol</t>
  </si>
  <si>
    <t>['2-Ethylhexan-1-ol', '2-Ethylhexanol', '2-ETHYL-1-HEXANOL', '104-76-7', '1-Hexanol, 2-ethyl-', '2-Ethylhexyl alcohol', 'Ethylhexanol', 'Alcohol, 2-ethylhexyl', 'xi-2-Ethyl-1-hexanol', '2-Aethylhexanol [German]', 'Ethylhexanol, 2-', 'FEMA No. 3151', 'CCRIS 2292', 'HSDB 1118', 'NSC 9300', 'EINECS 203-234-3', 'BRN 1719280', 'AI3-00940', 'CHEBI:16011', 'DSSTox_CID_605', 'DSSTox_RID_75686', 'DSSTox_GSID_20605', '2-Ethyl-1-hexanol, 99%', '2-Aethylhexanol', '2-Ethyl-hexan-1-ol', 'CAS-104-76-7', 'Exxal 8N', '2-ETHYL HEXANOL', '1-Hexanol, 2-ethyl-, (S)-', '2-ethyhexanol', '2 Ethylhexanol', '2-ethyl-hexanol', '2-ethylhexylalcohol', 'EINECS 295-250-2', 'Alcohols, C7-9-branched, C8-rich', '2-ethyl 1-hexanol', 'MFCD00004746', '2-ethyl hexyl alcohol', '2-Ethylhexan-1-ol.', 'ACMC-20msz8', '1070-10-6', 'EC 203-234-3', 'ACMC-1B65F', 'SCHEMBL16324', '4-01-00-01783 (Beilstein Handbook Reference)', 'KSC175S7B', 'MLS002415694', 'CHEMBL31637', 'DTXSID5020605', '2-Ethyl-1-hexanol, &gt;=99%', 'CTK0H5970', 'FEMA 3151', 'Alcohols, C7-9-iso-,C8-rich', 'NSC9300', 'HMS2268N10', 'WLN: Q1Y4 &amp; 2', '128821-84-1', 'NSC-9300', '2-Ethyl-1-hexanol, &gt;=99.6%', 'Tox21_202071', 'Tox21_300019', 'ANW-15107', 'LMFA05000703', 'LS-380', 'SBB059906', 'STL453673', '2-Ethyl-1-hexanol, &gt;=99%, FG', 'AKOS000120105', 'AKOS016843836', 'MCULE-1768780358', '2-Ethyl-1-hexanol, analytical standard', 'NCGC00091294-01', 'NCGC00091294-02', 'NCGC00091294-03', 'NCGC00254215-01', 'NCGC00259620-01', 'L260', 'SMR000112222', 'CS-0016002', 'E0122', 'FT-0612231', 'FT-0627437', 'NS00001645', 'NS00041907', 'ST51046173', 'C02498', '2-Ethyl-1-hexanol, puriss., &gt;=99.0% (GC)', '33017-EP2305033A1', '33017-EP2311815A1', '33017-EP2371805A1', '33017-EP2377844A2', '2-Ethyl-1-hexanol, SAJ first grade, &gt;=99.0%', 'Q209388', 'W-109057', '2-Ethylhexan-1-ol, United States Pharmacopeia (USP) Reference Standard']</t>
  </si>
  <si>
    <t>Compound(7720)</t>
  </si>
  <si>
    <t>2-ethylhexanoic acid</t>
  </si>
  <si>
    <t>['2-ETHYLHEXANOIC ACID', '149-57-5', '2-Ethylcaproic acid', 'Hexanoic acid, 2-ethyl-', 'Ethylhexanoic acid', 'Ethylhexoic acid', '2-Ethylhexoic acid', 'Butylethylacetic acid', '2-Butylbutanoic acid', '3-Heptanecarboxylic acid', 'Ethyl hexanoic acid', '2-ethyl hexanoic acid', 'alpha-Ethylcaproic acid', '2-Ethylhexansaeure', '2-ethyl-hexoic acid', '2-ethyl-hexanoic acid', '2 ETHYL HEXANOIC ACID', 'CCRIS 3348', 'HSDB 5649', 'alpha-ethyl caproic acid', 'Kyselina 2-ethylkapronova [Czech]', 'NSC 8881', 'EINECS 205-743-6', '.alpha.-Ethylcaproic acid', 'Ethyl hexanoic acid, 2-', '(+/-)-2-ETHYLHEXANOIC ACID', 'Kyselina heptan-3-karboxylova [Czech]', 'BRN 1750468', '2-EHA', '2-Ethylhexanoic acid, 99%', 'AI3-01371', '125804-07-1', 'CHEBI:89058', 'MFCD00002675', 'DSSTox_CID_5293', 'DSSTox_RID_77730', 'DSSTox_GSID_25293', '2-Ethylhexanoic acid, &gt;=99%', '2-Ethylhexanoic acid, analytical standard', 'CAS-149-57-5', 'Kyselina 2-ethylkapronova', '2-Ethylhexanoic acid rare earth salts', 'Rare earth 2-ethylhexanoate', 'Kyselina heptan-3-karboxylova', 'Hexanoic acid, 2-ethyl-, rare earth salts', '2-ethylhexanoicacid', 'Hexanoic acid, 2-ethyl-, (-)-', 'EINECS 262-971-9', '2-Ethyl-Hexonic acid', 'alpha-Ethylhexanoic acid', '2-Ethyl-1-hexanoic acid', '.alpha.-Ethylhexanoic acid', 'ACMC-209d2x', 'EC 205-743-6', 'SCHEMBL25800', '61788-37-2', 'MLS002415695', 'CHEMBL1162485', 'DTXSID9025293', 'WLN: QVY4 &amp; 2', 'CTK0H3542', 'KS-00000WJD', 'NSC8881', 'HMS2267F21', 'NSC-8881', 'STR05759', 'Tox21_201406', 'Tox21_300108', 'ANW-21223', 'LMFA01020087', 'LS-869', 'SBB060021', 'AKOS009031416', 'CS-W016381', 'MCULE-5686478683', 'NE10211', 'Hexanoic acid,2-ethyl-, tridecyl ester', 'NCGC00091324-01', 'NCGC00091324-02', 'NCGC00091324-03', 'NCGC00253985-01', 'NCGC00258957-01', 'SMR001252268', 'E0120', 'FT-0612273', 'FT-0654390', 'NS00010660', 'ST50823933', 'EN300-20410', '27648-EP2298767A1', '27648-EP2314587A1', '54213-EP2272832A1', '54213-EP2292592A1', '54213-EP2295438A1', '54213-EP2308510A1', '54213-EP2308562A2', '54213-EP2374787A1', '2-ethylhexanoate (isobar with 2-propylpentanoate)', 'Q209384', 'W-109079', 'F0001-0703', '18FEB650-7573-4EA0-B0CD-9D8BED766547', '2-Ethylhexanoic acid, Pharmaceutical Secondary Standard; Certified Reference Material']</t>
  </si>
  <si>
    <t>Compound(8697)</t>
  </si>
  <si>
    <t>C8H16O2</t>
  </si>
  <si>
    <t>2-ethylhexyl-4-methoxycinnamate</t>
  </si>
  <si>
    <t>2-ethylhexyl (E)-3-(4-methoxyphenyl)prop-2-enoate</t>
  </si>
  <si>
    <t>['Octinoxate', '2-Ethylhexyl 4-methoxycinnamate', '83834-59-7', '5466-77-3', '2-Ethylhexyl-p-methoxycinnamate', 'Parsol MCX', 'Parsol MOX', '2-Ethylhexyl-4-methoxycinnamate', '2-Ethylhexyl trans-4-methoxycinnamate', 'Octyl methoxycinnamate', 'Parsol', '4-Methoxycinnamic Acid 2-Ethylhexyl Ester', 'octyl-methoxycinnamate', 'Escalol', 'Neo Heliopan', '2-Ethylhexyl 3-(4-methoxyphenyl)acrylate', '2-Ethylhexyl p-methoxycinnamate', '(E)-2-Ethylhexyl 3-(4-methoxyphenyl)acrylate', 'NSC 26466', 'Octyl 4-methoxycinnamic acid', 'Sunscreen AV', 'CHEBI:88667', '2-Propenoic acid, 3-(4-methoxyphenyl)-, 2-ethylhexyl ester', '2-Propenoic acid, 3-(4-methoxyphenyl)-, 2-ethylhexyl ester, (2E)-', 'Ethylhexyl p-methoxycinnamate', '2-Ethylhexyl methoxycinnamate', '2-ethylhexyl (2E)-3-(4-methoxyphenyl)prop-2-enoate', 'CCRIS 6200', 'EINECS 226-775-7', 'AI3-05710', 'Octinoxate [USAN]', 'Escalol 557', 'Neo heliopan AV', 'NCGC00160623-01', '2-ethylhexyl (E)-3-(4-methoxyphenyl)prop-2-enoate', 'Parsol (TN)', 'Uvinul MC 80', 'UvinulT MC 80 N', '2-ethylhexyl 3-(4-methoxyphenyl)-2-propenoate', 'Neo heliopan, type AV', 'Octinoxate (USP/INN)', 'EC 629-661-9', '3-(4-Methoxyphenyl)-2-propenoic acid, 2-ethylhexyl ester', 'DSSTox_CID_28119', 'DSSTox_RID_82199', 'DSSTox_GSID_47205', 'SCHEMBL15609', 'MLS004773966', 'CHEMBL1200608', 'DTXSID9047205', '3-(4-Methoxyphenyl)-2-propenoic acid 2-ethylhexyl ester', '4-Methoxycinnamic Acid Octyl Ester', 'HY-B1234', 'NSC26466', 'ETHYLHEXYL METHOXY- CINNAMATE', 'p-Methoxyzimtsaure-2-ethylhexylester', 'Tox21_302576', 'LS-212', 'NSC-26466', 's5320', 'SBB008472', 'AKOS015838519', '2-Ethylhexyl 4-methoxycinnamate, 98%', 'CCG-267384', 'CS-4732', 'DB09496', '2-Ethylhexyl |trans|-4-methoxycinnamate', 'NCGC00160623-02', 'NCGC00160623-03', 'NCGC00181309-01', 'NCGC00256897-01', 'AS-11708', 'SC-19282', 'SMR001550370', 'ST075156', 'CAS-83834-59-7', 'M1082', 'NS00013675', 'Z3587', 'D05225', 'Q739648', 'SR-01000883955', '2-Ethylhexyl 4-methoxycinnamate, analytical standard', 'SR-01000883955-1', 'C118580000', 'Octinoxate, pharmaceutical secondary standard; traceable to USP', 'Octinoxate, United States Pharmacopeia (USP) Reference Standard', 'Octinoxate, Pharmaceutical Secondary Standard; Certified Reference Material', '2-Ethylhexyl trans-4-methoxycinnamate, 98%, contains 500-1000 ppm BHT as stabilizer', '155867-04-2', 'OCTYL METHOXYCINNAMATE 7.5%, OCTINOXATE, Octyl Methoxycinnamate, Octyl Methoxycinnamate (2-ethylhexyl trans-4-methoxycinnamate)']</t>
  </si>
  <si>
    <t>Compound(5355130)</t>
  </si>
  <si>
    <t>C18H26O3</t>
  </si>
  <si>
    <t>2-ethylhexyl diphenyl phosphate</t>
  </si>
  <si>
    <t>['2-Ethylhexyl diphenyl phosphate', '1241-94-7', 'Octicizer', 'Phosphoric acid, 2-ethylhexyl diphenyl ester', 'Santicizer 141', 'Octicizer [USAN]', '2-Ethylhexyldiphenylphosphate', '(2-Ethylhexyl)-difenylfosfat', 'Diphenyl 2-ethylhexyl phosphate', '2-Ethylhexyl diphenylphosphate', 'DIPHENYL-2-ETHYLHEXYL PHOSPHATE', 'CCRIS 6199', 'HSDB 370', '1-Hexanol, 2-ethyl-, ester with diphenyl phosphate', 'Phosphoric acid diphenyl 2-ethylhexyl ester', 'Phosphoric Acid 2-Ethylhexyl Diphenyl Ester', 'EINECS 214-987-2', '(2-Ethylhexyl)-difenylfosfat [Czech]', 'BRN 2568983', 'AI3-16360', 'Ethylhexyl diphenyl phosphate, 2-', 'Octicizer (USAN)', 'Phosphoric aciddiphenyl ethylhexyl ester', 'W-108410', 'Phosflex 362', 'Phosphoric Acid Octyl Diphenyl Ester', 'ACMC-1BZ8M', 'DSSTox_CID_5300', 'EC 214-987-2', 'DSSTox_RID_77735', 'DSSTox_GSID_25300', 'SCHEMBL93483', '4-06-00-00718 (Beilstein Handbook Reference)', 'KSC490A5J', 'CHEMBL2105213', 'DTXSID1025300', 'C20H27O4P', 'CGSLYBDCEGBZCG-UHFFFAOYSA-', 'CTK3J0054', 'Tox21_303313', 'ANW-18195', 'LS-699', 'AKOS015889797', '2-Ethylhexyl diphenyl phosphate (EHDP)', 'KS-00000Z15', '2-Ethylhexyl diphenyl phosphate - EHDPP', 'NCGC00257002-01', 'AK139988', 'AS-15838', 'DA-16836', '2-Ethylhexyl diphenylphosphate (Octicizer)', 'CAS-1241-94-7', '2-Ethylhexyl diphenyl ester phosphoric acid', '2-Ethylhexyl diphenyl phosphate (technical)', 'AX8017849', 'FT-0645669', 'NS00010020', 'P1021', '2-Ethylhexyl diphenyl ester of phosphoric acid', 'D05224', '2-Ethyl-1-hexanol ester with diphenyl phosphate', 'A805209', 'C-44651', 'Q27259513', '2-ethylhexyl diphenyl phosphate;2-Ethylhexyl diphenyl phosphate', '2-Ethylhexyl diphenyl phosphate, PESTANAL(R), analytical standard']</t>
  </si>
  <si>
    <t>Compound(14716)</t>
  </si>
  <si>
    <t>C20H27O4P</t>
  </si>
  <si>
    <t>2-ethylhexyl nitrate</t>
  </si>
  <si>
    <t>['2-Ethylhexyl nitrate', '27247-96-7', 'NITRIC ACID, 2-ETHYLHEXYL ESTER', '2-Ethylhexylnitrate', 'Ethylhexyl nitrate', 'EINECS 248-363-6', '2-ethyl hexyl nitrate', '2-ethylhexanol nitrate', '3-nitrooxymethyl-heptane', '2-Ethyl-1-hexyl nitrate', 'ACMC-1CQ8I', 'DSSTox_CID_7928', '2-EHN', 'AC1L1XUM', '(2-ethylhexyl) nitrate', 'EC 248-363-6', 'DSSTox_RID_78616', 'DSSTox_GSID_27928', 'SCHEMBL151219', 'Nitric acid,2-ethylhexyl ester', 'CHEMBL401411', 'DTXSID1027928', 'CTK4F9343', 'KS-000018RD', 'Tox21_303382', 'MFCD00011582', 'AKOS015833451', 'NCGC00164130-01', 'NCGC00257327-01', 'LS-96721', 'CAS-27247-96-7', 'FT-0612283', 'NS00005685', 'J-016712', 'Q26840820']</t>
  </si>
  <si>
    <t>Compound(62823)</t>
  </si>
  <si>
    <t>C8H17NO3</t>
  </si>
  <si>
    <t>2-ethylhexyl acrylate</t>
  </si>
  <si>
    <t>2-ethylhexyl prop-2-enoate</t>
  </si>
  <si>
    <t>['2-ETHYLHEXYL ACRYLATE', '103-11-7', '2-ethylhexyl prop-2-enoate', '2-Propenoic acid, 2-ethylhexyl ester', '2-Ethyl-1-hexyl acrylate', '2-Ethylhexyl 2-propenoate', 'Acrylic acid, 2-ethylhexyl ester', '2-ETHYLHEXYLACRYLATE', 'acrylic acid 2-ethylhexyl ester', '1-Hexanol, 2-ethyl-, acrylate', 'NSC 4803', 'Mono(2-ethylhexyl) acrylate', 'CCRIS 3430', 'HSDB 1121', '2-Ethylhexylester kyseliny akrylove', 'EINECS 203-080-7', 'BRN 1765828', 'AI3-03833', '2-Ethylhexylester kyseliny akrylove [Czech]', '9003-77-4', 'CHEBI:82465', 'EINECS 215-330-2', 'DSSTox_CID_5297', 'DSSTox_RID_77732', 'DSSTox_GSID_25297', 'Q-200277', 'CAS-103-11-7', '2-Ethylhexyl acrylate, 99+%, stabilized', '2-ethylexyl acrylate', '2-Propenoic acid, 2-ethylhexyl ester, homopolymer', '2-Ethylhexyl acrylate, homopolymer', '1-Hexanol, acrylate', 'Octyl Acrylate Monomer', '2-ethylhexyl propenoate', '2-Ethylhexanol acrylate', '2EHA', 'Octyl acrylate (Related)', 'Acrylic acid 2-ethylhexyl', 'ACMC-209t5l', 'EC 203-080-7', 'SCHEMBL14869', 'KSC175O1R', '2-Ethylhexyl Acrylate Monomer', 'Ethyl hexyl acrylate (Related)', 'Acrylic acid-2-ethylhexyl ester', 'ACRYLATES/VA COPOLY- MER', 'CHEMBL1574328', 'DTXSID9025297', 'CTK0H5718', 'Acrylic Acid Octyl Ester Monomer', 'NSC4803', 'LS-89', '2-Ethylhexyl ester of acrylic acid', 'KS-00000V3D', 'NSC-4803', '2-Propenoic acid,octylester,branched', 'Tox21_202053', 'Tox21_303227', 'WLN: 4Y2 &amp; 1OV1U1', '5896AF', 'ANW-42055', 'MFCD00009495', 'AKOS015894409', 'MCULE-8917913993', 'Acrylic Acid 2-Ethylhexyl Ester Monomer', 'NCGC00091115-01', 'NCGC00091115-02', 'NCGC00091115-03', 'NCGC00256960-01', 'NCGC00259602-01', 'SC-16431', '2-Ethylhexyl acrylate, analytical standard', 'DB-030721', 'LS-123641', 'A0144', 'FT-0612226', 'NS00007111', 'C19420', 'Q209383', '2EHA; EHA; JR 910; NSC 4803; Norsocryl 2-EHA', '2-Ethylhexyl acrylate, 98%, contains &gt;=0.001-&lt;=0.11% monomethyl ether hydroquinone as stabilizer', '93460-77-6']</t>
  </si>
  <si>
    <t>Compound(7636)</t>
  </si>
  <si>
    <t>C11H20O2</t>
  </si>
  <si>
    <t>2-ethylphenol</t>
  </si>
  <si>
    <t>['2-ETHYLPHENOL', '90-00-6', 'o-Ethylphenol', 'Phenol, 2-ethyl-', 'Phlorol', 'Phenol, o-ethyl-', 'ETHYLPHENOL', '1-Ethyl-2-hydroxybenzene', '1-Hydroxy-2-ethylbenzene', 'Phenol, ethyl-', 'Florol', 'o-Ethyl phenol', 'ortho-ethylphenol', '2-Ethyl-phenol', 'Florol [Czech]', 'NSC 10112', 'UNII-355O0P4JU7', 'Benzene, 1-ethyl-2-hydroxy-', 'CCRIS 6038', 'HSDB 5267', 'EINECS 201-958-4', '25429-37-2', 'BRN 1099397', 'CHEBI:34275', '355O0P4JU7', 'MFCD00002249', 'DSSTox_CID_2479', 'DSSTox_RID_76599', 'DSSTox_GSID_22479', 'CAS-90-00-6', '2-ethyl phenol', 'o-Hydroxyethylbenzene', 'PubChem3871', '2-Ethylphenol, 99%', 'ACMC-1CHE2', 'SCHEMBL51108', '4-06-00-03011 (Beilstein Handbook Reference)', 'KSC205O9N', 'BIDD:ER0661', 'CHEMBL321029', 'SGCUT00114', 'DTXSID1022479', 'CTK1A5796', 'NSC10112', 'STR06133', 'to_000008', 'ZINC1706027', 'Tox21_202327', 'Tox21_302885', 'ANW-39417', 'NSC-10112', 'AKOS000119353', 'LS-1904', 'MCULE-1491819809', 'KS-00000X95', 'NCGC00091780-01', 'NCGC00091780-02', 'NCGC00256439-01', 'NCGC00259876-01', '2-Ethylphenol 100 microg/mL in Methanol', 'SC-46756', 'U021', 'DB-021047', 'E0160', 'FT-0612290', 'NS00020546', 'C14385', '47721-EP2305625A1', '47721-EP2311811A1', '2-Ethylphenol, PESTANAL(R), analytical standard', 'J-509333', 'Q27115959', 'Z1262253000', 'UNII-3JYG22FD73 component IXQGCWUGDFDQMF-UHFFFAOYSA-N', 'UNII-C27Y543KVA component IXQGCWUGDFDQMF-UHFFFAOYSA-N', 'JZ1']</t>
  </si>
  <si>
    <t>Compound(6997)</t>
  </si>
  <si>
    <t>2-ethyl toluene</t>
  </si>
  <si>
    <t>1-ethyl-2-methylbenzene</t>
  </si>
  <si>
    <t>['1-Ethyl-2-methylbenzene', '2-Ethyltoluene', '611-14-3', 'O-ETHYLTOLUENE', 'o-Methylethylbenzene', '1-Methyl-2-ethylbenzene', 'Toluene, o-ethyl-', 'Benzene, 1-ethyl-2-methyl-', 'ortho-Ethyltoluene', '1,2-methylethylbenzene', 'Ethyltoluene', 'o-Ethyl methylbenzene', 'o-Ethyl methyl benzene', 'UNII-DBX00873SV', 'o-Ethylmethylbenzene', 'NSC 405731', '2-ethyl-1-methylbenzene', 'EINECS 210-255-1', 'BRN 1851237', 'AI3-28773', 'CHEMBL364233', 'DBX00873SV', 'CHEBI:34276', '25550-14-5', 'AK-49977', 'J-504600', 'Toluene, ethyl-', 'Ethyltoluol, 2-', '2-ethylmethylbenzene', '2-Methylethylbenzene', 'Toluene, 2-ethyl-', '2-Ethyltoluene, 99%', '2-Methyl-1-ethylbenzene', 'ACMC-1AZ6D', 'DSSTox_CID_29477', 'DSSTox_GSID_50403', '4-05-00-00999 (Beilstein Handbook Reference)', 'KSC202O8L', 'BIDD:ER0573', 'WLN: 2R B1', 'DTXSID2050403', 'CTK1A2785', 'ACT08587', 'ZINC1598717', 'Tox21_303797', 'ANW-75613', 'BDBM50167949', 'MFCD00009257', 'NSC405731', 'SBB061450', 'AKOS015842902', 'AC-6953', 'CS-W009542', 'DS-2369', 'FCH1115636', 'MCULE-7161910991', 'NSC-405731', 'VZ36658', 'NCGC00356979-01', 'CAS-611-14-3', 'CC-10546', 'SC-85189', '2-Ethyltoluene 100 microg/mL in Methanol', 'AX8074745', 'DB-024735', 'LS-154071', 'AM20040851', 'E0184', 'FT-0603747', 'NS00002055', 'ST51047463', 'Z4941', 'C14572', 'M-3915', '15402-EP2305683A1', '15402-EP2311839A1', '15402-EP2314589A1', '15402-EP2316837A1', 'C-24754', 'Q27115961', '2-Ethyltoluene, certified reference material, TraceCERT(R)']</t>
  </si>
  <si>
    <t>Compound(11903)</t>
  </si>
  <si>
    <t>2-ethyl anthraquinone</t>
  </si>
  <si>
    <t>2-ethylanthracene-9,10-dione</t>
  </si>
  <si>
    <t>['2-Ethylanthraquinone', '84-51-5', '2-ethylanthracene-9,10-dione', '2-Ethyl anthraquinone', '2-Ethyl-9,10-anthraquinone', 'Anthraquinone, 2-ethyl-', '9,10-Anthracenedione, 2-ethyl-', 'USAF SO-1', 'beta-Ethylanthraquinone', 'UNII-59YJ81QZKD', 'EINECS 201-535-4', '59YJ81QZKD', '2-Ethylanthra-9,10-quinone', '2-ETHYL-9,10-ANTHRACENEDIONE', 'BRN 1969873', '2-Ethyl-anthraquinone', 'AI3-17614', 'NSC7216', 'NSC 7216', '9, 2-ethyl-', 'MFCD00001237', 'ACMC-209pv3', 'DSSTox_CID_24994', 'DTXSID5044994', 'EC 201-535-4', 'W-109047', '2-ethylanthraquinone;9,10-anthracenedione, 2-ethyl-;2-ethylanthracene-9,10-dione;anthraquinone, 2-ethyl-;2-ethyl-9,10-anthraquinone;2-ethylanthraquinone 9,10-anthracenedione, 2-ethyl- 2-ethylanthracene-9,10-dione anthraquinone, 2-ethyl- 2-ethyl-9,10-anthraquinone', 'AC1Q6JAR', 'AC1L1N9S', 'DSSTox_RID_80639', 'DSSTox_GSID_44994', 'SCHEMBL36840', '4-07-00-02583 (Beilstein Handbook Reference)', 'KSC490O2D', 'MLS000584203', 'CHEMBL42355', '2-Ethylanthraquinone, &gt;=97%', '2-Ethylanthra-9,10-quinone #', 'CTK3J0721', 'KS-00000IJO', 'SJEBAWHUJDUKQK-UHFFFAOYSA-', 'Anthraquinone, 2-ethyl- (8CI)', 'HMS2615I06', 'BCP28247', 'NSC-7216', 'ZINC3860444', 'Tox21_301694', 'WLN: L C666 BV IVJ E2', 'ANW-37789', 'SBB008818', 'STK396693', 'AKOS001579536', 'MCULE-8589400073', 'VZ34661', 'CAS-84-51-5', 'NCGC00245819-01', 'NCGC00256285-01', 'AK307695', 'AS-14259', 'K508', 'LS-20329', 'SC-75000', 'SMR000203366', 'DB-056796', '2-ethyl-9,10-dihydroanthracene-9,10-dione', 'Anthraquinone, 2-ethyl-;2-ethylanthraquinone', 'E0063', 'EU-0034302', 'FT-0612225', 'NS00003835', 'ST45024683', 'C-27996', 'Q4596880', '2-Ethylanthraquinone, certified reference material, TraceCERT(R)']</t>
  </si>
  <si>
    <t>Compound(6772)</t>
  </si>
  <si>
    <t>C16H12O2</t>
  </si>
  <si>
    <t>2-ethylidene-1,5-dimethyl-3,3-diphenylpyrrolidine</t>
  </si>
  <si>
    <t>(2Z)-2-ethylidene-1,5-dimethyl-3,3-diphenylpyrrolidine</t>
  </si>
  <si>
    <t>['2-Ethylidene-1,5-dimethyl-3,3-diphenylpyrrolidine', '30223-73-5', '(2Z)-2-Ethylidene-1,5-dimethyl-3,3-diphenylpyrrolidine', '1,5-Dimethyl-3,3-diphenyl-2-ethylidenepyrrolidine', 'Pyrrolidine, 1,5-dimethyl-3,3-diphenyl-2-ethylidene-', '2-Ethylidene-1,5-dimethyl-3,3-diphenylpyrrolidine (EDDP)', 'SCHEMBL2120092', '106293-55-4', 'AM20040134', '(2Z)-2-ethylidene-1,5-dimethyl-3,3-diphenyl-pyrrolidine', '(2Z)-2-Ethylidene-1,5-dimethyl-3,3-diphenylpyrrolidine #']</t>
  </si>
  <si>
    <t>Compound(5378015)</t>
  </si>
  <si>
    <t>C20H23N</t>
  </si>
  <si>
    <t>2-propanethiol</t>
  </si>
  <si>
    <t>propane-2-thiol</t>
  </si>
  <si>
    <t>['2-Propanethiol', 'ISOPROPYL MERCAPTAN', 'Propane-2-thiol', '75-33-2', 'Isopropanethiol', 'Isopropylthiol', '2-Mercaptopropane', '2-Propylmercaptan', '1-Methylethanethiol', 'Isopropylmercaptan', '2-Propylthiol', 'UNII-E52LR62ETC', 'NSC 87537', 'Propanethiol-(2)', 'HSDB 625', 'iso-C3H7SH', 'EINECS 200-861-4', 'E52LR62ETC', 'AI3-22988', 'CHEBI:8474', '2-Propanethiol, 98%', 'propan-2-thiol', 'isopropyl thiol', '2mercaptopropane', 'isopropane thiol', '2-propanthiol', '2-propane thiol', 'iPrSH', '2 -propylmercaptan', 'MFCD00004863', '32812-84-3', 'DSSTox_CID_5481', 'ACMC-209oy1', 'EC 200-861-4', '2-Propanethiol, &gt;=97%', '2-Propanethiol, &gt;=98%', 'DSSTox_RID_77804', 'DSSTox_GSID_25481', 'KSC225O2L', 'CHEMBL1897156', 'DTXSID1025481', 'CTK1C5725', 'KS-00000USB', 'ZINC897493', '2-Propanethiol, analytical standard', 'NSC87537', 'Tox21_201170', 'ANW-36599', 'NSC-87537', '2-Propanethiol, &gt;=97.0% (GC)', 'AKOS000121903', 'LS-1661', 'CAS-75-33-2', 'NCGC00091817-01', 'NCGC00091817-02', 'NCGC00258722-01', 'BP-21263', 'SC-92041', 'U039', 'DB-003328', 'FT-0613370', 'NS00009826', 'P0489', 'C08391', '65133-EP2274983A1', '65133-EP2308812A2', 'Q209470', 'propane-2-thiol;Propane-2-thiol;Isopropyl mercaptan', 'F0001-1899']</t>
  </si>
  <si>
    <t>Compound(6364)</t>
  </si>
  <si>
    <t>2-propenoic acid</t>
  </si>
  <si>
    <t>prop-2-enoic acid</t>
  </si>
  <si>
    <t>['ACRYLIC ACID', '2-Propenoic acid', '79-10-7', 'Propenoic acid', 'prop-2-enoic acid', 'Vinylformic acid', 'Acroleic acid', 'Propene acid', 'Ethylenecarboxylic acid', 'Carbomer', 'Polyacrylate', 'POLYACRYLIC ACID', 'Propenoate', 'ACRYLATE', 'Glacial acrylic acid', 'Acrylic acid, glacial', 'Kyselina akrylova', 'Carbopol 934p', 'RCRA waste number U008', 'Acrylic polymer', 'Carbopol 940', '9003-01-4', 'Acrylic acid, polymer', 'Caswell No. 009A', 'Carbopol', 'Acrylic resin', 'Aron', 'Acido acrilio [Spanish]', 'Acide acrylique [French]', 'Antiprex A', 'Kyselina akrylova [Czech]', 'UNII-J94PBK7X8S', 'NSC 4765', 'Versicol E9', 'Acrylic acid resin', 'Acrysol ase-75', 'Acrysol lmw-20X', 'Versicol E 7', 'Versicol E15', 'Acrysol A 1', 'Acrysol A 3', 'Acrysol A 5', 'Acrysol AC 5', 'CCRIS 737', '2-Propenoic acid, homopolymer', 'Carbopol 960', 'Carboset 515', 'Primal Ase 60', 'Versicol K 11', 'Versicol S 25', 'Viscalex HV 30', 'Dispex C40', 'Acrysol WS-24', 'Cyguard 266', 'Joncryl 678', 'Jurimer AC 10H', 'Jurimer AC 10P', 'Nalfloc 636', 'Rohagit SD 15', 'Carboxy vinyl polymer', 'Good-rite K 37', 'Revacryl A 191', 'Dow Latex 354', 'Junlon 110', 'Propenoic acid polymer', 'Viscon 103', 'Good-rite K 702', 'Good-rite K 732', 'Polyacrylate elastomers', 'Acrylic acid, polymers', 'HSDB 1421', 'Good-rite WS 801', 'Acrylic acid homopolymer', 'Polymerized acrylic acid', 'Synthemul 90-588', 'Aron A 10H', 'EINECS 201-177-9', 'UN2218', 'Atactic poly(acrylic acid)', 'Carboset Resin No. 515', 'RCRA waste no. U008', 'BRN 0635743', 'J94PBK7X8S', 'AI3-15717', 'OLD 01', 'PA 11M', 'PAA-25', 'CHEBI:18308', 'NSC4765', 'P 11H', 'P-11H', 'WS 24', 'Acrysol A-1', 'Revacryl A191', 'WS 801', '29862-29-1', 'NCGC00166246-01', 'R968', 'Acrylicacid', 'Acide acrylique', 'Acido acrilio', 'Phytogel base', 'MFCD00004367', 'Synthalen K', 'Calcium polyacrylate', 'XPA', 'Acritamer 940', 'Acrylic acid, 98%, extra pure, stabilized', 'Carbopol CV 940', 'Acrylic acid homopolymer calcium salt', 'allenediol', 'UNII-4Q93RCW27E', 'Carbomerum', 'Acrylates', 'Carbomere', 'Carbomero', 'Carbomer 940 [USAN:NF]', 'Acrylic polymers', '2-Propenoic acid, homopolymer, calcium salt', 'Poly(acrylamide), granular, non-ionic, approx. M.W. 5 to 6.000.000', 'Poly(acrylic acid), 25 wt% solution in water; approx. M.W. 240,000', 'Poly(acrylic acid), 50 wt% solution in water, approx. M.W. 5,000', 'Poly(acrylic acid), 63 wt% solution in water; approx. M.W. 2,000', 'Poly(acrylic acid), sec. stand., aver. MW 1,080,000, aver. MN 135,000', 'Carbopol(R) 940', 'PubChem21090', 'Acrylic acid, inhibited', 'ACMC-1CHHZ', 'CH2=CHCOOH', 'DSSTox_CID_28', 'Carbomer 934 (NF)', 'Carbomer 940 (NF)', 'Carbomer 941 (NF)', 'Carbomere [INN-French]', 'Carbomerum [INN-Latin]', 'Carbopol 910 (TN)', 'Carbopol 934 (TN)', 'Carbopol 940 (TN)', 'Carbopol 941 (TN)', 'Carboxypolymethylene resin', 'UNII-K6MOM3T5YL', 'Carbomero [INN-Spanish]', 'Carbomer 934P (NF)', 'Carbopol 934P (TN)', '2-Hydroxyethyl methacrylate vinyl acetate 2-ethylhexyl acrylate polymer', 'K6MOM3T5YL', 'Carbomer 1342 (NF)', 'Carbopol 1342 (TN)', 'UNII-59TL3WG5CO', 'UNII-9G2MAD7J6W', 'UNII-D0I6NSZ87U', 'UNII-F68VH75CJC', 'UNII-HHT01ZNK31', 'UNII-U990QE4LKP', 'EC 201-177-9', '59TL3WG5CO', '9G2MAD7J6W', 'D0I6NSZ87U', 'DSSTox_RID_79425', 'F68VH75CJC', 'HHT01ZNK31', 'U990QE4LKP', 'UNII-0A5MM307FC', 'UNII-1N11AG4X4L', 'UNII-KD3S7H73D3', 'WLN: QV1U1', 'DSSTox_GSID_39229', '2-Propenic acid, homopolymer', '2-Propenoic acid, 2-methyl-, 2-hydroxyethyl ester, polymer with ethenyl acetate and 2-ethylhexyl 2-propenoate', '25987-55-7', '4-02-00-01455 (Beilstein Handbook Reference)', '76050-42-5', 'UN 2218 (Salt/Mix)', 'Acrylic acid, p.a., 99%', 'UNII-132584PQMO', 'UNII-71DD5V995L', 'UNII-A8371R0U5J', 'Carbomer 910 [USAN:NF]', '[DID-no:2507]', '0A5MM307FC', '1N11AG4X4L', '4Q93RCW27E', 'KD3S7H73D3', 'CHEMBL1213529', 'DTXSID0039229', 'UNII-73861X4K5F', 'UNII-809Y72KV36', 'UNII-Z135WT9208', 'CTK1A2288', 'HSDB 7826', 'KS-00000UGI', '132584PQMO', '71DD5V995L', 'A8371R0U5J', 'ZINC895281', 'C3:1n-1', 'NSC-4765', 'STR00040', 'Tox21_112372', '7023AF', 'ANW-43674', 'LMFA01030193', 'NSC106034', 'NSC106035', 'NSC106036', 'NSC106037', 'NSC112122', 'NSC112123', 'NSC114472', 'NSC165257', 'NSC226569', 'STL281870', 'AKOS000118799', '73861X4K5F', '809Y72KV36', 'DB02579', 'LS-1772', 'MCULE-9352227082', 'NSC-106034', 'NSC-106035', 'NSC-106036', 'NSC-106037', 'NSC-112122', 'NSC-112123', 'NSC-114472', 'NSC-165257', 'NSC-226569', 'Z135WT9208', 'CAS-79-10-7', 'BP-30259', 'SC-46753', 'SC-46797', 'Polycarboxylates homopolymer of acrylic acid', 'A0141', 'FT-0621875', 'FT-0660730', 'NS00001146', '1312-EP2270113A1', '1312-EP2272935A1', '1312-EP2275469A1', '1312-EP2287940A1', '1312-EP2289965A1', '1312-EP2298753A1', '1312-EP2305033A1', '1312-EP2308857A1', '1312-EP2308861A1', '1312-EP2308865A1', '1312-EP2308882A1', '1312-EP2374784A1', '1312-EP2374785A1', '1313-EP2272537A2', '1313-EP2289894A2', '1313-EP2298743A1', '1313-EP2308833A2', '1313-EP2311840A1', '1313-EP2371811A2', '1313-EP2374787A1', '2186-EP2277879A1', '2186-EP2305636A1', '2186-EP2311821A1', '2186-EP2374787A1', '3854-EP2270113A1', '3854-EP2272849A1', '3854-EP2272935A1', '3854-EP2275414A1', '3854-EP2275418A1', '3854-EP2277565A2', '3854-EP2277566A2', '3854-EP2277567A1', '3854-EP2277568A2', '3854-EP2277569A2', '3854-EP2277570A2', '3854-EP2289879A1', '3854-EP2292280A1', '3854-EP2298753A1', '3854-EP2302003A1', '3854-EP2305219A1', '3854-EP2305683A1', '3854-EP2305684A1', '3854-EP2308857A1', '3854-EP2308858A1', '3854-EP2309584A1', '3854-EP2311816A1', '3854-EP2311817A1', '3854-EP2311831A1', '3854-EP2311839A1', '3854-EP2311840A1', '3854-EP2314589A1', '3854-EP2315303A1', '3854-EP2316837A1', '3854-EP2371803A1', '3854-EP2372017A1', '3854-EP2374538A1', '3854-EP2374786A1', '3854-EP2377842A1', '3854-EP2377843A1', '3854-EP2377847A1', 'C00511', 'C19501', 'D03392', 'D03393', 'D03394', 'D03395', 'D03396', 'D03397', 'Acrylic Acid contains 200ppm MEHQ as inhibitor', 'Acrylic acid, inhibited [UN2218]  [Corrosive]', 'Acrylic acid, inhibited [UN2218] [Corrosive]', 'A830860', 'Q324628', 'Z57127944', 'F0001-2070', '2-Propenoic acid, block polymer with sulfonated ethenylbenzene', 'Acrylic acid, anhydrous, contains 200 ppm MEHQ as inhibitor, 99%', 'Acrylic acid, SAJ first grade, &gt;=97.0%, contains 190-210 ppm MEHQ as stabilizer', 'Block copolymer of sulfonated polystyrene and polyacrylic acid (MW 250,000)', '55927-87-2']</t>
  </si>
  <si>
    <t>Compound(6581)</t>
  </si>
  <si>
    <t>C3H4O2</t>
  </si>
  <si>
    <t>propan-2-ol</t>
  </si>
  <si>
    <t>['2-Propanol', 'isopropanol', 'Isopropyl alcohol', 'Propan-2-ol', '67-63-0', '2-Hydroxypropane', 'Alkolave', 'Avantine', 'Hartosol', 'Dimethylcarbinol', 'sec-Propyl alcohol', 'i-Propanol', 'Petrohol', 'Takineocol', 'Alcojel', 'Avantin', '1-Methylethanol', '2-Propyl alcohol', 'Alcolo', 'Isohol', 'Lavacol', 'Lutosol', 'Propol', 'Alcosolve 2', '1-Methylethyl alcohol', 'Imsol A', 'Arquad DMCB', 'Alcosolve', 'Spectrar', 'i-Propylalkohol', 'n-Propan-2-ol', 'Combi-schutz', 'i-Propyl alcohol', 'Isopropyl alcohol, rubbing', 'ISO-PROPANOL', 'Iso-propylalkohol', 'Alcool isopropilico', 'Iso-propyl alcohol', 'Visco 1152', 'Alcool isopropylique', 'Sterisol hand disinfectant', 'i-Propanol [German]', 'sec-Propanol', 'iPrOH', 'i-Propylalkohol [German]', 'Iso-propylalkohol [German]', 'Alcool isopropilico [Italian]', 'Alcool isopropylique [French]', 'Caswell No. 507', 'FEMA No. 2929', 'isopropylalcohol', 'FEMA Number 2929', 'iso-propylalcohol', 'propanol-2', 'CCRIS 2308', 'HSDB 116', 'UNII-ND2M416302', 'Isopropyl alcohol [USP]', 'EINECS 200-661-7', 'MFCD00011674', 'UN1219', 'NSC 135801', 'BRN 0635639', 'AI3-01636', 'CHEBI:17824', 'ND2M416302', 'NSC-135801', 'NCGC00090917-01', 'Rubbing alcohol', 'DSSTox_CID_762', 'Isopropyl alcohol (USP)', 'DSSTox_RID_75777', 'DSSTox_GSID_20762', 'Isopropyl alcohol (manufacture strong-acid process)', 'Isopropanol, 99.5+%, pure', '2-Propanol, USP, 99.0%', 'Isopropyl alcohol (manufacturing-strong acid process only)', 'Isopropanol, 99.5%, for HPLC', 'Isopropanol, 99.5+%, extra pure', 'Isopropanol, 99.5%, for analysis', '2-Propanol, ACS reagent, &gt;=99.5%', 'CAS-67-63-0', 'Isopropyl alcohol (only persons who manufacture by the strong acid process are subject, supplier notification not required)', 'Isopropanol, 99.5%, for spectroscopy ACS', 'Isopropanol, 99.5%, for HPLC gradient grade', 'Isopropanol, 99.8%, Extra Dry, AcroSeal(R)', 'Isopropyl alcohol [USAN]', 'isoproylalcohol', 'Virahol', 'i-propylalcohol', 'Isopropanol, 99%, for biochemistry and histology, AcroSeal(R)', 'Isopropanol, 99.8%, for electronic use (MOS), residue free', 'Lavaco', 'Isopropylalkohol', '2propanol', '2-propylalcohol', 'isopropy alcohol', 'isoproyl alcohol', 'Isopropanol, 99.5%, Extra Dry over Molecular Sieve, AcroSeal(R)', 'Isopropyl-alcohol', 'propane-2ol', 'Isopropanol, 99+%, specified according to the requirements of Ph.Eur.', 'propan-2ol', '2-propano', 'Isopropryl alcohol', 'propane-2-ol', '2 -propanol', '2- propanol', 'propan 2-ol', 'iso-PrOH', 'Isopropyl  Alcohol', 'i-PrOH', '(propan-2-ol)', 'Isopro (TN)', 'Recovered Isopropanol', 'Tissue Dry Dehydrant', 'Isopropyl Alcohol C+', 'Hibistat (Salt/Mix)', 'Isopropanol, technical', 'i-Pr-OH', 'Propane, 2-hydroxy-', '2-Propanol, Ph Eur', 'iso-C3H7OH', 'Isopropanol (JP17)', 'Isopropanol (Recovered)', 'Isopropanol ACS reagent', '2-Propanol, for HPLC', 'Isopropyl Alcohol - GMP', '2-Propanol, ACS reagent', 'ACMC-1BI1R', 'CHEMBL582', 'Isopropyl alcohol HPLC/UV', '2-Propanol, 99.5%', 'EC 200-661-7', 'IPS 1', 'Isopropanol, 70% in water', 'Isopropanol, 70% in H2O', '4-01-00-01461 (Beilstein Handbook Reference)', 'KSC353M9P', 'Ethyl, 1-hydroxy-1-methyl-', 'Isopropanol, Isopropyl Alcohol', 'Isopropanol, 99.5% anhydrous', 'WLN: QY1&amp;1', '2-Propanol, analytical standard', 'Isopropanol or isopropyl alcohol', '2-Propanol, LR, &gt;=99%', 'DTXSID7020762', 'BDBM36154', 'CTK2F3697', '2-Propanol, anhydrous, 99.5%', 'ZINC901159', '2-Propanol, AR, &gt;=99.5%', 'KS-00000VM0', '2-Propanol, 99.9%, PRA grade', '2-Propanol, for HPLC, 99.5%', '2-Propanol, for HPLC, 99.9%', '2-Propanol, technical grade, 95%', 'Isopropanol, 99.6%, ACS reagent', 'Isopropyl Alcohol Reagent Grade ACS', 'Tox21_111039', 'Tox21_202475', '2-Propanol, 99.5%, HPLC grade', 'ANW-35384', 'NSC135801', 'Isopropanol, 99+%, for spectroscopy', '2-Propanol, histological grade, 99%', 'AKOS000121012', '2-Propanol, for HPLC, &gt;=99.8%', 'DB02325', 'LS-1565', 'MCULE-6646752234', 'UN 1219', 'NCGC00260024-01', '2-Propanol, UV HPLC gradient, 99.8%', 'Isopropyl alcohol, natural, &gt;=98%, FG', 'Phenolphthalein Solution, Alcoholic 0.5%', 'Isopropyl alcohol, &gt;=99.7%, FCC, FG', '2-Propanol, SAJ first grade, &gt;=99.0%', '140-EP2269975A2', '140-EP2269977A2', '140-EP2269989A1', '140-EP2269993A1', '140-EP2269994A1', '140-EP2269997A2', '140-EP2270000A1', '140-EP2270003A1', '140-EP2270008A1', '140-EP2270009A1', '140-EP2270011A1', '140-EP2270012A1', '140-EP2270013A1', '140-EP2270014A1', '140-EP2270113A1', '140-EP2272516A2', '140-EP2272517A1', '140-EP2272537A2', '140-EP2272813A2', '140-EP2272826A1', '140-EP2272827A1', '140-EP2272830A1', '140-EP2272832A1', '140-EP2272837A1', '140-EP2272839A1', '140-EP2272840A1', '140-EP2272841A1', '140-EP2272849A1', '140-EP2272935A1', '140-EP2274983A1', '140-EP2275398A1', '140-EP2275401A1', '140-EP2275404A1', '140-EP2275410A1', '140-EP2275415A2', '140-EP2275419A2', '140-EP2275423A1', '140-EP2275424A1', '140-EP2275425A1', '140-EP2275427A1', '140-EP2275469A1', '140-EP2277507A1', '140-EP2277848A1', '140-EP2277865A1', '140-EP2277866A1', '140-EP2277867A2', '140-EP2277868A1', '140-EP2277869A1', '140-EP2277870A1', '140-EP2277875A2', '140-EP2277876A1', '140-EP2277877A1', '140-EP2277878A1', '140-EP2277881A1', '140-EP2280003A2', '140-EP2280005A1', '140-EP2280006A1', '140-EP2280007A1', '140-EP2280014A2', '140-EP2281559A1', '140-EP2281817A1', '140-EP2281818A1', '140-EP2281821A1', '140-EP2281824A1', '140-EP2281899A2', '140-EP2283811A1', '140-EP2284158A1', '140-EP2284165A1', '140-EP2284166A1', '140-EP2284167A2', '140-EP2284168A2', '140-EP2284169A1', '140-EP2284170A1', '140-EP2284174A1', '140-EP2284178A2', '140-EP2284179A2', '140-EP2286795A1', '140-EP2286811A1', '140-EP2286812A1', '140-EP2286915A2', '140-EP2287152A2', '140-EP2287153A1', '140-EP2287154A1', '140-EP2287155A1', '140-EP2287158A1', '140-EP2287161A1', '140-EP2287162A1', '140-EP2287165A2', '140-EP2287166A2', '140-EP2287167A1', '140-EP2287168A2', '140-EP2287940A1', '140-EP2289509A2', '140-EP2289868A1', '140-EP2289879A1', '140-EP2289881A1', '140-EP2289884A1', '140-EP2289885A1', '140-EP2289890A1', '140-EP2289892A1', '140-EP2289897A1', '140-EP2289965A1', '140-EP2292222A1', '140-EP2292233A2', '140-EP2292234A1', '140-EP2292593A2', '140-EP2292597A1', '140-EP2292609A1', '140-EP2292612A2', '140-EP2292613A1', '140-EP2292614A1', '140-EP2292617A1', '140-EP2292620A2', '140-EP2292621A1', '140-EP2292622A1', '140-EP2292625A1', '140-EP2292628A2', '140-EP2295055A2', '140-EP2295401A2', '140-EP2295402A2', '140-EP2295406A1', '140-EP2295411A1', '140-EP2295415A1', '140-EP2295417A1', '140-EP2295422A2', '140-EP2295423A1', '140-EP2295424A1', '140-EP2295426A1', '140-EP2295427A1', '140-EP2295429A1', '140-EP2295432A1', '140-EP2295435A1', '140-EP2295436A1', '140-EP2295437A1', '140-EP2298305A1', '140-EP2298313A1', '140-EP2298729A1', '140-EP2298732A1', '140-EP2298735A1', '140-EP2298742A1', '140-EP2298746A1', '140-EP2298747A1', '140-EP2298749A1', '140-EP2298752A1', '140-EP2298755A1', '140-EP2298760A1', '140-EP2298761A1', '140-EP2298763A1', '140-EP2298767A1', '140-EP2298768A1', '140-EP2298769A1', '140-EP2298770A1', '140-EP2298773A1', '140-EP2298775A1', '140-EP2298776A1', '140-EP2298778A1', '140-EP2298828A1', '140-EP2299785A1', '140-EP2301627A1', '140-EP2301912A2', '140-EP2301913A1', '140-EP2301914A1', '140-EP2301916A2', '140-EP2301925A1', '140-EP2301931A1', '140-EP2301934A1', '140-EP2301940A1', '140-EP2301983A1', '140-EP2302003A1', '140-EP2305033A1', '140-EP2305625A1', '140-EP2305629A1', '140-EP2305633A1', '140-EP2305641A1', '140-EP2305643A1', '140-EP2305647A1', '140-EP2305649A1', '140-EP2305651A1', '140-EP2305658A1', '140-EP2305660A1', '140-EP2305662A1', '140-EP2305663A1', '140-EP2305666A1', '140-EP2305668A1', '140-EP2305670A1', '140-EP2305671A1', '140-EP2305679A1', '140-EP2305681A1', '140-EP2305682A1', '140-EP2305683A1', '140-EP2305684A1', '140-EP2305687A1', '140-EP2305688A1', '140-EP2305695A2', '140-EP2305696A2', '140-EP2305697A2', '140-EP2305698A2', '140-EP2305825A1', '140-EP2306788A1', '140-EP2306789A1', '140-EP2308471A1', '140-EP2308492A1', '140-EP2308562A2', '140-EP2308812A2', '140-EP2308828A2', '140-EP2308839A1', '140-EP2308849A1', '140-EP2308850A1', '140-EP2308851A1', '140-EP2308854A1', '140-EP2308855A1', '140-EP2308857A1', '140-EP2308867A2', '140-EP2308869A1', '140-EP2308870A2', '140-EP2308873A1', '140-EP2308877A1', '140-EP2308878A2', '140-EP2308879A1', '140-EP2308926A1', '140-EP2309564A1', '140-EP2311453A1', '140-EP2311464A1', '140-EP2311494A1', '140-EP2311796A1', '140-EP2311797A1', '140-EP2311798A1', '140-EP2311799A1', '140-EP2311801A1', '140-EP2311802A1', '140-EP2311803A1', '140-EP2311806A2', '140-EP2311808A1', '140-EP2311811A1', '140-EP2311812A1', '140-EP2311813A1', '140-EP2311814A1', '140-EP2311815A1', '140-EP2311820A1', '140-EP2311821A1', '140-EP2311823A1', '140-EP2311824A1', '140-EP2311825A1', '140-EP2311829A1', '140-EP2311830A1', '140-EP2311831A1', '140-EP2311832A1', '140-EP2311833A1', '140-EP2311838A1', '140-EP2311839A1', '140-EP2311842A2', '140-EP2314558A1', '140-EP2314576A1', '140-EP2314577A1', '140-EP2314578A1', '140-EP2314585A1', '140-EP2314587A1', '140-EP2314589A1', '140-EP2314591A1', '140-EP2316837A1', '140-EP2371808A1', '140-EP2371814A1', '140-EP2372017A1', '140-EP2374454A1', '140-EP2374790A1', '140-EP2374791A1', '140-EP2380874A2', '141-EP2269977A2', '141-EP2269989A1', '141-EP2270007A1', '141-EP2270017A1', '141-EP2270113A1', '141-EP2270114A1', '141-EP2272537A2', '141-EP2272848A1', '141-EP2272849A1', '141-EP2272935A1', '141-EP2272972A1', '141-EP2272973A1', '141-EP2274983A1', '141-EP2275409A1', '141-EP2275411A2', '141-EP2275469A1', '141-EP2277565A2', '141-EP2277566A2', '141-EP2277567A1', '141-EP2277568A2', '141-EP2277569A2', '141-EP2277570A2', '141-EP2277866A1', '141-EP2277867A2', '141-EP2277872A1', '141-EP2277879A1', '141-EP2277945A1', '141-EP2280003A2', '141-EP2280010A2', '141-EP2280014A2', '141-EP2284159A1', '141-EP2284160A1', '141-EP2284165A1', '141-EP2284167A2', '141-EP2284168A2', '141-EP2284169A1', '141-EP2286811A1', '141-EP2287152A2', '141-EP2287161A1', '141-EP2287162A1', '141-EP2287165A2', '141-EP2287166A2', '141-EP2287168A2', '141-EP2289877A1', '141-EP2289890A1', '141-EP2289892A1', '141-EP2292227A2', '141-EP2292280A1', '141-EP2292590A2', '141-EP2292601A1', '141-EP2292602A1', '141-EP2292603A1', '141-EP2292606A1', '141-EP2292612A2', '141-EP2292618A1', '141-EP2292619A1', '141-EP2292620A2', '141-EP2292622A1', '141-EP2293650A1', '141-EP2295402A2', '141-EP2295409A1', '141-EP2295415A1', '141-EP2295417A1', '141-EP2295421A1', '141-EP2295430A2', '141-EP2295431A2', '141-EP2295437A1', '141-EP2298734A2', '141-EP2298735A1', '141-EP2298737A1', '141-EP2298739A1', '141-EP2298740A1', '141-EP2298741A1', '141-EP2298747A1', '141-EP2298750A1', '141-EP2298758A1', '141-EP2298759A1', '141-EP2298767A1', '141-EP2298768A1', '141-EP2298770A1', '141-EP2298771A2', '141-EP2298774A1', '141-EP2298775A1', '141-EP2298778A1', '141-EP2298828A1', '141-EP2299509A1', '141-EP2299510A1', '141-EP2301534A1', '141-EP2301920A1', '141-EP2301921A1', '141-EP2301926A1', '141-EP2301929A1', '141-EP2301935A1', '141-EP2301936A1', '141-EP2301941A1', '141-EP2305219A1', '141-EP2305243A1', '141-EP2305644A1', '141-EP2305649A1', '141-EP2305652A2', '141-EP2305664A1', '141-EP2305667A2', '141-EP2305668A1', '141-EP2305670A1', '141-EP2305672A1', '141-EP2305674A1', '141-EP2305680A2', '141-EP2305682A1', '141-EP2305683A1', '141-EP2305684A1', '141-EP2305769A2', '141-EP2308562A2', '141-EP2308812A2', '141-EP2308843A1', '141-EP2308857A1', '141-EP2308858A1', '141-EP2308861A1', '141-EP2308867A2', '141-EP2308870A2', '141-EP2308872A1', '141-EP2308873A1', '141-EP2308875A1', '141-EP2308879A1', '141-EP2309584A1', '141-EP2311451A1', '141-EP2311815A1', '141-EP2311816A1', '141-EP2311817A1', '141-EP2311824A1', '141-EP2311826A2', '141-EP2311831A1', '141-EP2311837A1', '141-EP2311839A1', '141-EP2311840A1', '141-EP2314558A1', '141-EP2314587A1', '141-EP2314589A1', '141-EP2316450A1', '141-EP2316470A2', '141-EP2316828A1', '141-EP2316829A1', '141-EP2316831A1', '141-EP2316834A1', '141-EP2316835A1', '141-EP2316836A1', '141-EP2316837A1', '141-EP2316905A1', '141-EP2316906A2', '141-EP2371810A1', '141-EP2371812A1', '141-EP2372017A1', '141-EP2372804A1', '141-EP2374454A1', '141-EP2374526A1', '141-EP2374783A1', '141-EP2378585A1', '2-Propanol, JIS special grade, &gt;=99.5%', '2-Propanol, Laboratory Reagent, &gt;=99.5%', '2-Propanol, meets USP testing specifications', 'FT-0613371', 'FT-0670483', 'I0163', 'I0164', 'I0277', '5051-EP2269975A2', '5051-EP2269977A2', '5051-EP2269986A1', '5051-EP2269997A2', '5051-EP2269999A1', '5051-EP2270008A1', '5051-EP2270015A1', '5051-EP2272817A1', '5051-EP2272825A2', '5051-EP2272829A2', '5051-EP2272835A1', '5051-EP2272844A1', '5051-EP2274983A1', '5051-EP2275403A1', '5051-EP2275411A2', '5051-EP2275413A1', '5051-EP2275414A1', '5051-EP2275415A2', '5051-EP2275423A1', '5051-EP2277858A1', '5051-EP2277871A1', '5051-EP2280001A1', '5051-EP2281821A1', '5051-EP2284148A1', '5051-EP2284157A1', '5051-EP2284167A2', '5051-EP2284168A2', '5051-EP2284169A1', '5051-EP2286811A1', '5051-EP2287153A1', '5051-EP2287155A1', '5051-EP2287156A1', '5051-EP2287161A1', '5051-EP2287162A1', '5051-EP2289509A2', '5051-EP2289510A1', '5051-EP2289879A1', '5051-EP2289890A1', '5051-EP2289894A2', '5051-EP2292589A1', '5051-EP2292592A1', '5051-EP2292607A2', '5051-EP2292617A1', '5051-EP2295401A2', '5051-EP2295406A1', '5051-EP2295409A1', '5051-EP2295414A1', '5051-EP2295423A1', '5051-EP2295437A1', '5051-EP2298735A1', '5051-EP2298747A1', '5051-EP2298753A1', '5051-EP2298755A1', '5051-EP2298761A1', '5051-EP2298763A1', '5051-EP2298768A1', '5051-EP2298770A1', '5051-EP2298772A1', '5051-EP2298775A1', '5051-EP2301544A1', '5051-EP2301627A1', '5051-EP2301911A1', '5051-EP2301919A1', '5051-EP2305254A1', '5051-EP2305625A1', '5051-EP2305642A2', '5051-EP2305647A1', '5051-EP2305655A2', '5051-EP2305662A1', '5051-EP2305667A2', '5051-EP2305671A1', '5051-EP2305672A1', '5051-EP2305676A1', '5051-EP2305682A1', '5051-EP2305684A1', '5051-EP2305687A1', '5051-EP2305769A2', '5051-EP2305808A1', '5051-EP2308492A1', '5051-EP2308838A1', '5051-EP2308839A1', '5051-EP2308857A1', '5051-EP2308864A1', '5051-EP2308866A1', '5051-EP2308877A1', '5051-EP2308879A1', '5051-EP2311805A1', '5051-EP2311807A1', '5051-EP2311830A1', '5051-EP2314581A1', '5051-EP2314586A1', '5051-EP2314591A1', '5051-EP2316827A1', '5051-EP2371805A1', '5051-EP2371811A2', '5051-EP2374783A1', '5051-EP2377841A1', '5051-EP2377848A1', '5051-EP2380568A1', 'C01845', 'D00137', 'Q16392', '11948-EP2270006A1', '11948-EP2270011A1', '11948-EP2272537A2', '11948-EP2275423A1', '11948-EP2277866A1', '11948-EP2280014A2', '11948-EP2281559A1', '11948-EP2284148A1', '11948-EP2284174A1', '11948-EP2287168A2', '11948-EP2289509A2', '11948-EP2292590A2', '11948-EP2292612A2', '11948-EP2292622A1', '11948-EP2292628A2', '11948-EP2295401A2', '11948-EP2295409A1', '11948-EP2298729A1', '11948-EP2298734A2', '11948-EP2301534A1', '11948-EP2301939A1', '11948-EP2305250A1', '11948-EP2305652A2', '11948-EP2305663A1', '11948-EP2305667A2', '11948-EP2305682A1', '11948-EP2305695A2', '11948-EP2305696A2', '11948-EP2305697A2', '11948-EP2305698A2', '11948-EP2308812A2', '11948-EP2308873A1', '11948-EP2308879A1', '11948-EP2311451A1', '11948-EP2311824A1', '11948-EP2311831A1', '11948-EP2316450A1', '32837-EP2284167A2', '32837-EP2284168A2', '32837-EP2295411A1', '32837-EP2301933A1', '32837-EP2308812A2', '32837-EP2308855A1', '32837-EP2311820A1', '32837-EP2311827A1', '32837-EP2311850A1', '40330-EP2269977A2', '40330-EP2269979A1', '40330-EP2270003A1', '40330-EP2289881A1', '40330-EP2289886A1', '40330-EP2292222A1', '40330-EP2295402A2', '40330-EP2295423A1', '40330-EP2298761A1', '40330-EP2301544A1', '40330-EP2305682A1', '40330-EP2305684A1', '40330-EP2305687A1', '40330-EP2308848A1', '40330-EP2308867A2', '40330-EP2308870A2', '40330-EP2308879A1', '40330-EP2311830A1', '40330-EP2371805A1', '40330-EP2380871A1', '45166-EP2272813A2', '45166-EP2272849A1', '45166-EP2289509A2', '45166-EP2289879A1', '45166-EP2292593A2', '45166-EP2292616A1', '45166-EP2292619A1', '45166-EP2292622A1', '45166-EP2298773A1', '45166-EP2305250A1', '45166-EP2305659A1', '45166-EP2311821A1', '45166-EP2380873A1', '45166-EP2380874A2', '51765-EP2270114A1', '51765-EP2277866A1', '51765-EP2292628A2', '51765-EP2308510A1', '51765-EP2308867A2', '51765-EP2308870A2', '51765-EP2311824A1', '97840-EP2269992A1', '97840-EP2289885A1', '97840-EP2289896A1', '97840-EP2292608A1', '97840-EP2298749A1', '97840-EP2305685A1', '97840-EP2305686A1', '97840-EP2380874A2', 'SR-01000944474', 'J-510285', 'SR-01000944474-1', '2-Propanol, ACS spectrophotometric grade, &gt;=99.5%', '2-Propanol, p.a., ACS reagent, reag. ISO, 99.8%', '2-Propanol, reag. ISO, UV HPLC spectroscopic, 99.7%', '2-Propanol, BioReagent, for molecular biology, &gt;=99.5%', '2-Propanol, electronic grade, 99.999% trace metals basis', '2-Propanol, puriss. p.a., ACS reagent, &gt;=99.8% (GC)', '2-Propanol, Vetec(TM) reagent grade, anhydrous, &gt;=99.5%', '2-Propanol, BioUltra, for molecular biology, &gt;=99.5% (GC)', 'Isopropanol or isopropyl alcohol [UN1219]  [Flammable liquid]', 'Isopropanol or isopropyl alcohol [UN1219] [Flammable liquid]', 'Isopropyl alcohol, EuropePharmacopoeia (EP) Reference Standard', 'Isopropyl alcohol, meets EP, BP, USP testing specifications', '2-Propanol, &gt;=99.7%, suitable for absorption spectrum analysis', '2-Propanol, semiconductor grade PURANAL(TM) (Honeywell 17829)', '2-Propanol, United States Pharmacopeia (USP) Reference Standard', '2-Propanol, &gt;=99.7%, for residue analysis, suitable for 1000 per JIS', '2-Propanol, HPLC Plus, for HPLC, GC, and residue analysis, 99.9%', '2-Propanol, Pharmaceutical Secondary Standard; Certified Reference Material', '2-Propanol, semiconductor grade MOS PURANAL(TM) (Honeywell 17930)', '2-Propanol, semiconductor grade SLSI PURANAL(TM) (Honeywell 17030)', '2-Propanol, semiconductor grade ULSI PURANAL(TM) (Honeywell 17022)', '2-Propanol, semiconductor grade VLSI PURANAL(TM) (Honeywell 17604)', '2-Propanol, HPLC Plus, for HPLC, GC, and residue analysis, 99.9%, poly coated bottles', '2-Propanol, puriss. p.a., ACS reagent, reag. ISO, reag. Ph. Eur., &gt;=99.8% (GC)', '2-Propanol, puriss., meets analytical specification of Ph. Eur., BP, USP, &gt;=99.5% (GC)']</t>
  </si>
  <si>
    <t>Compound(3776)</t>
  </si>
  <si>
    <t>C3H8O</t>
  </si>
  <si>
    <t>2-propylheptan-1-ol</t>
  </si>
  <si>
    <t>['2-Propylheptan-1-ol', '2-PROPYL-1-HEPTANOL', '10042-59-8', '1-Heptanol, 2-propyl-', '2-Propylheptanol', '2-n-Propyl-1-Heptanol', 'EINECS 233-126-1', 'BRN 1361442', 'AI3-25311', '2-Propylheptyl Alcohol', '2-propyl heptanol', '2-propyl-heptan-1-ol', 'ACMC-20ann4', '2-Propyl-1-heptanol #', 'DSSTox_CID_9302', 'EC 233-126-1', 'DSSTox_RID_78756', 'DSSTox_GSID_29302', 'SCHEMBL21366', '4-01-00-01827 (Beilstein Handbook Reference)', 'CHEMBL3186950', 'DTXSID9029302', 'CTK0H6835', 'KS-000000GH', 'Tox21_300903', 'MFCD00046768', 'SBB043960', 'AKOS000274315', 'AKOS016037548', 'MCULE-6284162552', 'NCGC00248205-01', 'NCGC00254807-01', 'AK144207', 'AS-40646', 'LS-74457', 'SC-49492', 'CAS-10042-59-8', '2-propylheptan-1-ol;1-Heptanol, 2-propyl-', 'CS-0061487', 'FT-0674101', 'NS00001370', 'ST50179475', '086P588', 'C-52817', 'Q7250471']</t>
  </si>
  <si>
    <t>Compound(24847)</t>
  </si>
  <si>
    <t>2-propylhept-2-enal</t>
  </si>
  <si>
    <t>['2-Heptenal, 2-propyl-', '2-Propyl-2-heptenal', '34880-43-8', '2-Propylheptenal', '2-n-propyl-2-heptenal', 'CTK1C3141', 'CTK5C1888', '2-Heptenal, 2-propyl-,(2E)-', '(2Z)-2-PROPYLHEPT-2-ENAL', 'AKOS030239842']</t>
  </si>
  <si>
    <t>Compound(118745)</t>
  </si>
  <si>
    <t>2-propylheptanoic acid methyl ester</t>
  </si>
  <si>
    <t>methyl 2-propylheptanoate</t>
  </si>
  <si>
    <t>['Heptanoic acid, 2-propyl-, methyl ester', 'Methyl 2-propylheptanoate', 'Methyl 2-propylheptanoate #', 'SCHEMBL3679625', '2-Propylheptanoic acid methyl ester', '56247-53-1']</t>
  </si>
  <si>
    <t>Compound(521721)</t>
  </si>
  <si>
    <t>C11H22O2</t>
  </si>
  <si>
    <t>2-propylphenol</t>
  </si>
  <si>
    <t>['2-PROPYLPHENOL', '2-n-Propylphenol', '644-35-9', 'o-Propylphenol', 'Phenol, 2-propyl-', 'Phenol, o-propyl-', '1-Hydroxy-2-n-propylbenzene', '1-(2-Hydroxyphenyl)propane', 'propylphenol', '2-propyl-phenol', 'o-n-Propylphenol', '1-Hydroxy-2-propylbenzene', 'UNII-333R6F6T3N', 'FEMA No. 3522', 'EINECS 211-415-3', 'NSC 65646', 'BRN 1363932', '333R6F6T3N', 'MFCD00002251', 'Phenol, propyl-', 'n-propylphenol', 'o-propyl-phenol', '2-propyl phenol', '2-n-propyl phenol', '4i7m', '2-Propylphenol, 98%', 'ACMC-209nm2', 'DSSTox_CID_27700', 'DSSTox_RID_82508', 'NCIOpen2_000115', 'DSSTox_GSID_47702', 'SCHEMBL51747', '4-06-00-03176 (Beilstein Handbook Reference)', 'CHEMBL225569', 'SCHEMBL3040615', 'SGCUT00119', 'DTXSID9047702', 'CTK1C4732', 'FEMA 3522', '2-Propylphenol, &gt;=97%, FG', 'CHEBI:147331', 'NSC65646', 'to_000076', 'ZINC1692499', 'Tox21_302552', '7332AE', 'ANW-34872', 'NSC-65646', 'AKOS009158523', 'LS-3078', 'NCGC00256723-01', '31019-46-2', 'CAS-644-35-9', 'TS-01757', 'FT-0613237', 'NS00022618', 'P0530', 'Q27256223', 'UNII-7F857DG5LP component LCHYEKKJCUJAKN-UHFFFAOYSA-N', 'JZ4']</t>
  </si>
  <si>
    <t>Compound(12570)</t>
  </si>
  <si>
    <t>2-propenylbenzene</t>
  </si>
  <si>
    <t>prop-2-enylbenzene</t>
  </si>
  <si>
    <t>['ALLYLBENZENE', '300-57-2', '3-Phenyl-1-propene', '2-Propenylbenzene', 'Benzene, 2-propenyl-', 'Benzene, allyl-', '1-Phenyl-2-propene', '3-Phenylpropene', '1-Propene, 3-phenyl-', 'Prop-2-enylbenzene', 'Allyl benzene', '1-Benzylethene', 'Benzene, 2-propen-1-yl-', 'Allylbenzene, 98%', 'prop-2-en-1-ylbenzene', 'EINECS 206-095-7', 'NSC 18609', '(prop-2-en-1-yl)benzene', 'BRN 1098501', 'allyl-benzene', 'MFCD00008651', '2-Propen-1-yl-benzene', 'ACMC-20aj31', '4-05-00-01362 (Beilstein Handbook Reference)', 'KSC490I5T', 'CHEMBL501879', 'CTK3J0459', 'KS-00000EWU', 'DTXSID00861855', 'NSC18609', 'ZINC1561526', 'ANW-75659', 'NSC-18609', 'STL268883', 'AKOS000121504', 'OL10164', 'AK601296', 'AS-48898', 'H251', 'LS-29053', 'SC-15679', 'DB-029432', 'FT-0622040', 'NS00041568', 'P0609', 'X-4401', 'A820164', 'J-017751', 'Q56435819', 'F0001-0925']</t>
  </si>
  <si>
    <t>Compound(9309)</t>
  </si>
  <si>
    <t>C9H10</t>
  </si>
  <si>
    <t>2-butanethiol</t>
  </si>
  <si>
    <t>butane-2-thiol</t>
  </si>
  <si>
    <t>['2-Butanethiol', '513-53-1', 'butane-2-thiol', 'SEC-BUTYL MERCAPTAN', '2-Butyl mercaptan', 'sec-Butanethiol', 'sec-Butyl thiol', '2-Mercaptobutane', '1-Methyl-1-propanethiol', 'sec-Butyl thioalcohol', 'secondary Butylmercaptan', 'NSC 78417', '2-Butylmercaptan', '2-Butylthiol', 'HSDB 1610', 'sec-butylmercaptan', '1-methylpropanethiol', 'EINECS 208-165-2', 'sec-C4H9SH', 'sec.-Butyl thioalcohol', '(+-)-2-Butanethiol', '2-Butanethiol, 98%', 'sec-Butyl hydrosulfide #', '2-Butanethiol, &gt;=98%', 'DSSTox_CID_21396', 'DSSTox_RID_79712', '1-methyl-1-propyl mercaptan', 'DSSTox_GSID_41396', 'KSC269S1F', 'Butane-2-thiol;butane-2-thiol', 'CHEMBL3183438', 'DTXSID1041396', 'CTK1G9912', 'KS-000010KX', 'NSC78417', 'Tox21_301086', 'NSC-78417', 'AKOS000120417', 'AKOS017278348', 'NCGC00248283-01', 'NCGC00254987-01', '(+/-)-1-METHYL-1-PROPANETHIOL', 'CAS-513-53-1', 'SC-70144', 'U540', 'DB-021135', 'B0686', 'FT-0657876', 'NS00021185', 'Q27294175', '91840-99-2']</t>
  </si>
  <si>
    <t>Compound(10560)</t>
  </si>
  <si>
    <t>butan-2-ol</t>
  </si>
  <si>
    <t>['2-Butanol', 'sec-Butanol', 'Butan-2-ol', 'SEC-BUTYL ALCOHOL', '78-92-2', '2-Hydroxybutane', '2-Butyl alcohol', 'Butylene hydrate', 's-Butyl alcohol', '1-Methyl-1-propanol', '1-Methylpropyl alcohol', 's-Butanol', 'Methyl ethyl carbinol', 'Ethyl methyl carbinol', 'Butanol secondaire', 'Butanol-2', '1-Methyl propanol', 'Methylethylcarbinol', 'Ethylmethyl carbinol', 'Alcool butylique secondaire', 'Methylethyl carbinol', 'CCS 301', 'Butyl alcohol, sec-', '2-Butanol (natural)', 'Caswell No. 119C', 'R-(-)-2-Butanol', 'Butanol secondaire [French]', 'NSC 25499', 'n-Butan-2-ol', 'HSDB 674', 'sec-C4H9OH', '(1)-Butan-2-ol', 'Alcool butylique secondaire [French]', 'EINECS 201-158-5', 'EINECS 240-029-8', 'MFCD00004569', 'EPA Pesticide Chemical Code 001502', 'BRN 0773649', 'AI3-24189', 'S.B.A.', '15892-23-6', 'CHEBI:35687', 'Butanol secondaire (French)', 'sec-Butanol, 99%, extra pure', 'sec-Butanol, 99+%, for analysis', 'UNII-0TUL3ENK62', '(+/-)-2-Butanol', 'Alcool butylique secondaire (French)', 'sec-Butyl hydroxide', '2-Butanol, (R)-', 'sec-Butanol, 99+%, Extra Dry, AcroSeal(R)', '13020-06-9', 'sec-Butyl Alcohol, (R)-(-)-', 'ethyl ethanol', 's-Butylalkohol', '0TUL3ENK62', 'sec.-butanol', 'secondary butanol', 'D-sec-Butanol', 'L-sec-Butanol', 'DL-sec-Butanol', 'rac-2-butanol', 'butane-2-ol', 'methylpropan-2-ol', 'sec-BuOH', 'rac-butan-2-ol', '2-deuteriooxybutane', 'sec. butyl alcohol', 'sec.-butyl alcohol', 'DL-2-Butanol', 's-BuOH', 'Butane, 2-hydroxy-', 'S(+)-2-butanol', 'secondary butyl alcohol', '2-Butanol, CP grade', 'Secondary Buryl Alcohol', 'ACMC-209joc', '2-Butanol, (S)-', '2-Butanol, 99%', '(+/-)butan-2-ol', '3-BUTANOL', '.+/-.-2-Butanol', '2269-22-9', 'ACMC-1BLM4', 'DSSTox_CID_1762', '(+/-)-butan-2-ol', 'ACMC-209d1k', '2-Butanol, &gt;=99%', 'EC 201-158-5', 'DSSTox_RID_76312', 'DSSTox_GSID_21762', '2-01-00-00400 (Beilstein Handbook Reference)', 'KSC377M2L', 'CHEMBL45462', '2-Butanol, analytical standard', 'WLN: QY2&amp;1', 'ASTM D3606 2-Butanol IS', 'DTXSID9021762', '2-Butanol, (.+/-.)-', 'BDBM36157', 'CTK2H7625', 'KS-00000WPX', '2-Butanol, anhydrous, 99.5%', '2-Butanol, p.a., 99.0%', 'NSC25499', 'Tox21_201092', 'ANW-37245', 'BBL011463', 'NSC-25499', 'STL146575', 'AKOS000249480', 'AKOS016352938', '2-Butanol, ReagentPlus(R), &gt;=99%', 'LS-2590', 'MCULE-5005120003', 'VC30223', 'CAS-78-92-2', 'Butyl Alcohol (sec)- Reagent Grade ACS', 'NCGC00090743-01', 'NCGC00090743-02', 'NCGC00258644-01', 'SC-01234', 'SC-75239', '2-Butanol, SAJ first grade, &gt;=98.0%', '2-Butanol, JIS special grade, &gt;=99.0%', 'DB-016763', 'B0705', 'FT-0605046', 'FT-0605252', 'FT-0605313', '28288-EP2272849A1', '28288-EP2292616A1', '28288-EP2314577A1', '28288-EP2374780A1', '28288-EP2374781A1', '36684-EP2270000A1', '36684-EP2275411A2', '36684-EP2275414A1', '36684-EP2275423A1', '36684-EP2281821A1', '36684-EP2287152A2', '36684-EP2295414A1', '36684-EP2298313A1', '36684-EP2298755A1', '36684-EP2298763A1', '36684-EP2301919A1', '36684-EP2305033A1', '36684-EP2305254A1', '36684-EP2305625A1', '36684-EP2305676A1', '36684-EP2308838A1', '36684-EP2308857A1', '36684-EP2308866A1', '36684-EP2311801A1', '36684-EP2311802A1', '36684-EP2311803A1', '36684-EP2371814A1', '36684-EP2374783A1', '36684-EP2377841A1', '36684-EP2380568A1', '92815-EP2305649A1', '153529-EP2284157A1', '153529-EP2287152A2', 'Q209332', '2DD92146-ED3E-446F-8B14-A7DB1F14EF8C', '2-Butanol, puriss. p.a., Reag. Ph. Eur., &gt;=99.5% (GC)', '2-Butanol, United States Pharmacopeia (USP) Reference Standard', '2-Butanol, Pharmaceutical Secondary Standard; Certified Reference Material']</t>
  </si>
  <si>
    <t>Compound(6568)</t>
  </si>
  <si>
    <t>2-butanone (MEK)</t>
  </si>
  <si>
    <t>butan-2-one</t>
  </si>
  <si>
    <t>['2-Butanone', 'METHYL ETHYL KETONE', 'Butan-2-one', 'Butanone', 'Ethyl methyl ketone', '78-93-3', 'Methylethyl ketone', 'Meetco', 'Methyl acetone', 'Methylethylketone', '3-Butanone', 'Ethylmethylketon', 'ethylmethylketone', 'Aethylmethylketon', 'Butanone 2', 'Acetone, methyl-', 'Ethyl methyl cetone', 'MEK', 'Ketone, ethyl methyl', 'Metiletilchetone', 'Metyloetyloketon', 'ethylmethyl ketone', 'Metyl ethyl ketone', 'RCRA waste number U159', 'Caswell No. 569', 'Butanone 2 [French]', 'Butanon', 'Oxobutane', 'Methylethylketon', 'Ethylmethylketon [Dutch]', 'Metiletilcetona [Spanish]', 'Metyloetyloketon [Polish]', 'UNII-6PT9KLV9IO', '2-butanon', 'Aethylmethylketon [German]', 'Ethylmethylcetone [French]', 'Metiletilchetone [Italian]', 'methyl ethylketone', 'methyl-ethyl ketone', 'Ethyl methyl cetone [French]', 'HSDB 99', 'FEMA No. 2170', 'CCRIS 2051', 'AI3-07540 (USDA)', 'EINECS 201-159-0', 'UN1193', '6PT9KLV9IO', 'C2H5COCH3', 'RCRA waste no. U159', 'EPA Pesticide Chemical Code 044103', 'AI3-07540', 'CHEBI:28398', 'MFCD00011648', '2-Butanone, ACS reagent', 'methylacetone', 'Metiletilcetona', '2-Butanone, 99+%, extra pure', '2-Butanone, 99.7%, for HPLC', 'Ethylmethylcetone', '2-Butanone, 99+%, for spectroscopy', '2-Butanone, ACS reagent, &gt;=99.0%', 'methyl(ethyl) ketone', '2-Butanone, 99.5%, Extra Dry, AcroSeal(R)', '2-Butanone, 99+%, for electronic use (MOS), residue free', 'n-butanone', 'Butanone;', '2-butanal', '2-Oxobutane', 'ethyl methylketone', 'ethylmathyl ketone', 'methyl-ethylketone', 'methylethyl-ketone', 'butane-2-one', '2 -butanone', '2- butanone', 'butan-3-one', 'methyl etyl ketone', 'ethyl-methyl ketone', 'methyl ethyl cetone', 'methyl-ethyl-ketone', 'ethyl(methyl) ketone', 'Ketone, methyl ethyl', 'But-2-one (MEK)', '2-Butanone, ACS grade', '2-Butanone, HPLC Grade', 'DSSTox_CID_1516', 'EC 201-159-0', 'DSSTox_RID_76193', 'DSSTox_GSID_21516', 'ghl.PD_Mitscher_leg0.417', 'ASTM-D740', 'KSC377S9D', 'CHEMBL15849', '[DID-no:2548]', '2-Butanone, analytical standard', '2-Butanone, LR, &gt;=99%', 'DTXSID3021516', 'CTK2H7991', 'Methyl Ethyl Ketone - Mil Spec', 'Methyl ethyl ketone, ACS reagent', 'ZINC901514', '2-Butanone, AR, &gt;=99.5%', '2-Butanone, technical grade, 99%', 'Tox21_200041', 'BBL011450', 'LMFA12000043', 'STL146562', '2-Butanone, natural, &gt;=99%, FG', 'AKOS000118991', '2-Butanone, for HPLC, &gt;=99.7%', 'LS-1761', 'MCULE-8276670748', 'Methyl Ethyl Ketone Reagent Grade ACS', 'UN 1193', '2-Butanone, puriss., &gt;=99% (GC)', '2-Butanone, ReagentPlus(R), &gt;=99%', 'CAS-78-93-3', 'KS-000011C7', '2-Butanone, &gt;=99.5%, FCC, FG', 'NCGC00090973-01', 'NCGC00090973-02', 'NCGC00257595-01', 'BP-30009', 'Ethyl methyl ketone or methyl ethyl ketone', '2-Butanone, SAJ first grade, &gt;=99.0%', '2-Butanone, JIS special grade, &gt;=99.0%', 'E0140', 'FT-0628728', 'NS00003885', '5793-EP2270114A1', '5793-EP2280005A1', '5793-EP2281817A1', '5793-EP2289879A1', '5793-EP2289884A1', '5793-EP2289897A1', '5793-EP2292601A1', '5793-EP2292602A1', '5793-EP2293650A1', '5793-EP2298739A1', '5793-EP2298746A1', '5793-EP2298771A2', '5793-EP2298772A1', '5793-EP2301922A1', '5793-EP2305658A1', '5793-EP2305667A2', '5793-EP2308839A1', '5793-EP2371805A1', 'C02845', '15136-EP2270004A1', '15136-EP2270114A1', '15136-EP2272813A2', '15136-EP2272817A1', '15136-EP2272832A1', '15136-EP2272841A1', '15136-EP2275395A2', '15136-EP2275401A1', '15136-EP2277874A1', '15136-EP2289879A1', '15136-EP2289893A1', '15136-EP2295407A1', '15136-EP2295425A1', '15136-EP2295426A1', '15136-EP2295427A1', '15136-EP2298735A1', '15136-EP2298736A1', '15136-EP2298761A1', '15136-EP2305642A2', '15136-EP2305652A2', '15136-EP2305687A1', '15136-EP2308864A1', '15136-EP2308877A1', '15136-EP2311830A1', '15136-EP2314590A1', '15136-EP2316832A1', '15136-EP2316833A1', '15136-EP2371808A1', '15136-EP2371831A1', '15136-EP2374454A1', '15136-EP2377842A1', '15249-EP2270000A1', '15249-EP2281810A1', '15249-EP2286811A1', '15249-EP2289897A1', '15249-EP2298735A1', '15249-EP2305647A1', '15249-EP2305688A1', '15249-EP2311830A1', '15249-EP2316832A1', '15249-EP2316833A1', '18726-EP2289879A1', '18726-EP2314576A1', '23079-EP2275424A1', '23079-EP2311832A1', '23079-EP2311833A1', '23079-EP2314591A1', '26070-EP2269986A1', '26070-EP2269995A1', '26070-EP2270000A1', '26070-EP2270009A1', '26070-EP2270113A1', '26070-EP2272822A1', '26070-EP2272827A1', '26070-EP2272832A1', '26070-EP2272849A1', '26070-EP2272935A1', '26070-EP2274983A1', '26070-EP2275407A1', '26070-EP2275411A2', '26070-EP2275423A1', '26070-EP2275469A1', '26070-EP2277866A1', '26070-EP2277878A1', '26070-EP2281812A1', '26070-EP2281821A1', '26070-EP2284146A2', '26070-EP2284147A2', '26070-EP2284149A1', '26070-EP2284165A1', '26070-EP2284174A1', '26070-EP2286811A1', '26070-EP2287154A1', '26070-EP2287940A1', '26070-EP2289868A1', '26070-EP2289879A1', '26070-EP2289885A1', '26070-EP2289965A1', '26070-EP2292592A1', '26070-EP2292593A2', '26070-EP2292597A1', '26070-EP2292609A1', '26070-EP2295423A1', '26070-EP2295430A2', '26070-EP2295431A2', '26070-EP2295438A1', '26070-EP2298729A1', '26070-EP2298753A1', '26070-EP2298763A1', '26070-EP2298767A1', '26070-EP2298828A1', '26070-EP2299326A1', '26070-EP2301918A1', '26070-EP2301920A1', '26070-EP2301924A1', '26070-EP2301983A1', '26070-EP2302003A1', '26070-EP2305636A1', '26070-EP2305642A2', '26070-EP2305649A1', '26070-EP2305650A1', '26070-EP2305667A2', '26070-EP2305676A1', '26070-EP2305685A1', '26070-EP2305686A1', '26070-EP2308510A1', '26070-EP2308562A2', '26070-EP2308828A2', '26070-EP2308838A1', '26070-EP2308857A1', '26070-EP2308858A1', '26070-EP2308865A1', '26070-EP2308926A1', '26070-EP2309564A1', '26070-EP2309584A1', '26070-EP2311801A1', '26070-EP2311802A1', '26070-EP2311803A1', '26070-EP2311815A1', '26070-EP2311816A1', '26070-EP2311817A1', '26070-EP2314558A1', '26070-EP2314577A1', '26070-EP2314587A1', '26070-EP2371797A1', '26070-EP2371798A1', '26070-EP2371800A1', '26070-EP2371804A1', '26070-EP2371808A1', '26070-EP2371811A2', '26070-EP2371814A1', '26070-EP2374533A1', '26070-EP2374538A1', '26070-EP2374895A1', '26070-EP2377845A1', '26070-EP2380568A1', '26070-EP2380873A1', '28325-EP2270000A1', '28325-EP2270008A1', '28325-EP2275102A1', '28325-EP2275423A1', '28325-EP2277877A1', '28325-EP2289879A1', '28325-EP2289885A1', '28325-EP2289897A1', '28325-EP2292593A2', '28325-EP2292617A1', '28325-EP2298768A1', '28325-EP2307364A1', '28325-EP2308861A1', '28325-EP2308865A1', '28325-EP2310373A1', '28325-EP2311808A1', '28325-EP2311829A1', '28325-EP2311840A1', '28325-EP2314577A1', '28325-EP2371797A1', '28325-EP2371798A1', '28325-EP2371800A1', '28325-EP2371804A1', '28325-EP2371808A1', '89669-EP2277868A1', '89669-EP2277869A1', '89669-EP2277870A1', '89669-EP2281861A2', '89669-EP2292608A1', '89669-EP2305033A1', '113739-EP2270000A1', '113739-EP2272843A1', '113739-EP2272849A1', '113739-EP2281817A1', '113739-EP2284169A1', '113739-EP2287161A1', '113739-EP2287162A1', '113739-EP2289877A1', '113739-EP2292618A1', '113739-EP2295406A1', '113739-EP2298772A1', '138199-EP2292592A1', '138199-EP2292595A1', '2-Butanone, HPLC grade, for HPLC, &gt;=99.5%', 'A839534', 'Q372291', '2-Butanone, puriss., ACS reagent, reag. Ph. Eur., 99.5%', '2-Butanone, 5000 mug/mL in methanol: water (9:1), analytical standard', '2-Butanone, puriss. p.a., ACS reagent, reag. Ph. Eur., &gt;=99.5% (GC)', 'Ethyl methyl ketone or methyl ethyl ketone [UN1193]  [Flammable liquid]', 'Ethyl methyl ketone or methyl ethyl ketone [UN1193] [Flammable liquid]', 'Methyl ethyl ketone, United States Pharmacopeia (USP) Reference Standard', '2-Butanone solution, certified reference material, 2000 mug/mL in methanol: water (9:1)', 'Methyl Ethyl Ketone, Pharmaceutical Secondary Standard; Certified Reference Material']</t>
  </si>
  <si>
    <t>Compound(6569)</t>
  </si>
  <si>
    <t>['2-Butoxyethanol', '111-76-2', 'Butyl cellosolve', 'ETHYLENE GLYCOL MONOBUTYL ETHER', 'Butoxyethanol', 'Butyl glycol', 'Ethanol, 2-butoxy-', 'n-Butoxyethanol', 'Butyl oxitol', 'Ethylene glycol butyl ether', '2-butoxyethan-1-ol', 'Glycol butyl ether', 'Glycol ether eb', '3-Oxa-1-heptanol', 'EGBE', 'Dowanol EB', '2-Butoxy-1-ethanol', 'Gafcol EB', 'Poly-Solv EB', 'O-Butyl ethylene glycol', 'Jeffersol eb', 'Butyl cellu-sol', 'BUCS', 'Ektasolve EB', 'Glycol monobutyl ether', 'Chimec NR', '2-Butoxy ethanol', '2-Butossi-etanolo', '2-Butoxy-aethanol', 'Butylcelosolv', 'Butylglycol', 'Butoksyetylowy alkohol', '2-Butoxy-ethanol', '2-n-Butoxyethanol', 'Ethylene glycol n-butyl ether', 'EGMBE', 'Monobutyl glycol ether', 'Monobutyl ether of ethylene glycol', 'Ethylene glycol mono-n-butyl ether', 'n-Butyl Cellosolve', '.beta.-Butoxyethanol', 'ethyleneglycol monobutyl ether', 'Butylcelosolv [Czech]', 'Caswell No. 121', 'Butyglycol', 'Monobutyl ethylene glycol ether', '2-n-Butoxy-1-ethanol', 'Ether alcohol', 'Ethylene glycol, monobutyl ether', 'Butyl icinol', 'UNII-I0P9XEZ9WV', 'g lycol ether eb', 'beta-Butoxyethanol', 'Minex BDH', 'Butylglycol [French,German]', '2-Butoxy-aethanol [German]', 'NSC 60759', '2-Butossi-etanolo [Italian]', '2-Hydroxyethyl n-butyl ether', 'Butoxyethanol, 2-', 'Ektasolve EB solvent', 'CCRIS 5985', 'HSDB 538', '2-Butoxyethanol (ethylene glycol monobutyl ether)', 'Butoksyetylowy alkohol [Polish]', 'Butyl monoether glycol', 'Ek tasolve EB solvent', 'Eter monobutilico del etilenglicol', 'Glycol ether eb acetate', 'EINECS 203-905-0', 'UN2369', 'I0P9XEZ9WV', 'Butyl 2-hydroxyethyl ether', 'EPA Pesticide Chemical Code 011501', "Ether monobutylique de l'ethyleneglycol", 'BRN 1732511', 'AI3-0993', 'AI3-09903', 'Eter monobutilico del etilenglicol [Spanish]', 'Ethylene glycol mono butyl ether', 'CHEBI:63921', "Ether monobutylique de l'ethyleneglycol [French]", '9004-77-7', 'DSSTox_CID_4097', 'DSSTox_RID_77286', 'DSSTox_GSID_24097', 'Ethylene glycol monobutyl ether (EGBE)(2-Butoxyet)', '2-BUTOXY ETHANOL (ETHYLENE GLYCOL MONOBUTYL ETHER)', 'butylcellosolve', '2-Butoxyethanol, 99%, extra pure', '2 -Butoxyethanol', 'CAS-111-76-2', 'SMR001253761', 'n-butoxyethanol sodium salt', 'Butyloxitol', 'butoxy-ethanol', 'Polyethylene glycol butyl ether', 'Butyl Glycolether', 'EB Solvent', '3-oxaheptan-1-ol', 'Polyethylene glycol, monobutyl ester', '2-(n-Butoxy)ethanol', 'BuOCH2CH2OH', 'ACMC-1BYYD', '2-(1-Butyloxy) ethanol', 'EC 203-905-0', 'EC 500-012-0', 'Aethylenglycolmonobuthylaether', '2-Butoxy-aethanol(GERMAN)', 'SCHEMBL15712', 'KSC492Q6N', 'MLS002174253', 'MLS002454362', 'WLN: Q2O4', 'Butyglycol(FRENCH, GERMAN)', 'ethylene glycol-monobutyl ether', 'Polyoxyethylene monobutyl ether', 'CHEMBL284588', 'Poly(oxy-1,2-ethanediyl), alpha-butyl-omega-hydroxy-', 'QSPL 003', 'DTXSID1024097', 'CTK3J2866', 'Ethylene glycol butyl ether, 99%', '2-butoxyethanol (butyl cellosolve)', 'KS-00000YV1', 'NSC60759', 'ZINC1690437', 'Tox21_202399', 'Tox21_300123', 'ANW-16316', 'LS-539', 'MFCD00002884', 'NSC-60759', 'SBB059918', 'Ethylene glycol butyl ether, &gt;=99%', 'AKOS009028760', 'MCULE-4417721312', 'NE10236', 'NCGC00090683-01', 'NCGC00090683-02', 'NCGC00090683-03', 'NCGC00090683-04', 'NCGC00090683-05', 'NCGC00254083-01', 'NCGC00259948-01', 'B0698', 'FT-0626297', 'ST51046186', 'EN300-19317', 'Ethylene Glycol Monobutyl Ether Reagent Grade', 'C19355', '73914-EP2269986A1', '73914-EP2272849A1', '73914-EP2275469A1', '73914-EP2287940A1', '73914-EP2289965A1', '73914-EP2298828A1', '73914-EP2301983A1', '73914-EP2308926A1', '73914-EP2309564A1', '73914-EP2371809A1', '73914-EP2380873A1', 'Ethylene glycol butyl ether, analytical standard', 'Q421557', 'Ethylene glycol butyl ether, for synthesis, 99.0%', 'J-508565', 'Ethylene glycol butyl ether, SAJ first grade, &gt;=99.0%', 'Z1259086991', 'Ethylene glycol butyl ether, spectrophotometric grade, &gt;=99.0%', 'Ethylene glycol monobutyl ether [UN2369]  [Keep away from food]', 'Ethylene glycol monobutyl ether [UN2369] [Keep away from food]']</t>
  </si>
  <si>
    <t>Compound(8133)</t>
  </si>
  <si>
    <t>2-butoxyethyl acetate</t>
  </si>
  <si>
    <t>['2-Butoxyethyl acetate', '112-07-2', 'ETHYLENE GLYCOL MONOBUTYL ETHER ACETATE', 'Butoxyethyl acetate', 'Butyl glycol acetate', 'Butylglycol acetate', 'Butyl cellosolve acetate', 'Ektasolve EB acetate', 'Ethylene glycol butyl ether acetate', '2-Butoxyethanol acetate', 'Ethanol, 2-butoxy-, acetate', 'Butylcelosolvacetat', 'EGBEA', 'Glycol monobutyl ether acetate', 'n-Butoxyethanol acetate', 'Acetic acid, 2-butoxyethyl ester', 'Butylcelosolvacetat [Czech]', 'Butoxyethanol acetate', 'UNII-WK5367RE39', 'HSDB 435', 'Acetic Acid 2-Butoxyethyl Ester', 'Ethanol, 2-butoxy-, 1-acetate', '2-Butoxyethylester kyseliny octove', 'EINECS 203-933-3', 'BRN 1756960', '2-Butoxyethylester kyseliny octove [Czech]', 'WK5367RE39', 'DSSTox_CID_6904', 'DSSTox_RID_78245', 'DSSTox_GSID_26904', '2-Butoxyethyl acetate, 98%', '2-Butoxyethyl acetate, 99%', '1-Acetoxy-2-butoxyethane', 'CAS-112-07-2', 'Butylcellosolve acetate', '2-Butoxyethylacetate', 'Ethylene glycol mono-n-butyl ether acetate', 'Acetic acid 2-butoxyethyl', 'n-Butyl cellosolve acetate', 'ACMC-2099cj', 'EC 203-933-3', 'Ethylene glylol butylether a', 'SCHEMBL22372', 'KSC489Q7R', 'CHEMBL2141776', 'DTXSID1026904', 'CTK3I9878', 'KS-00000YV9', 'ZINC2041057', 'Tox21_201583', 'Tox21_303230', 'ANW-16385', 'LS-548', 'MFCD00009457', 'SBB061001', 'AKOS015901539', 'MCULE-4906127008', 'NCGC00163968-01', 'NCGC00163968-02', 'NCGC00257034-01', 'NCGC00259132-01', 'S089', 'SC-19073', 'B0700', 'FT-0626329', 'NS00008743', 'ST50824781', 'Q122791', 'J-508566', 'Ethylene Glycol Monobutyl Ether Acetate Reagent Grade', '2-butoxyethyl acetate;BUTOXYETHYL ACETATE;ETHYLENE GLYCOL MONOBUTYL ETHER ACETATE']</t>
  </si>
  <si>
    <t>Compound(8160)</t>
  </si>
  <si>
    <t>C8H16O3</t>
  </si>
  <si>
    <t>2-pentanone</t>
  </si>
  <si>
    <t>pentan-2-one</t>
  </si>
  <si>
    <t>['2-Pentanone', 'PENTAN-2-ONE', '107-87-9', 'METHYL PROPYL KETONE', 'Ethyl acetone', 'Pentanone', 'Ethylacetone', 'Methyl n-propyl ketone', 'Propyl methyl ketone', 'Metylopropyloketon', 'Methylpropyl ketone', 'Methyl-propyl-cetone', '2-Pentanone (natural)', 'FEMA Number 2842', 'pentanone-2', 'Metylopropyloketon [Polish]', 'NSC 5350', 'Methyl-propyl-cetone [French]', 'FEMA No. 2842', 'HSDB 158', 'UNII-I97392I10V', 'n-propyl methyl ketone', 'Methyl-n-propyl ketone', 'EINECS 203-528-1', 'UN1249', 'n-C3H7COCH3', 'BRN 0506058', 'AI3-32118', 'CHEBI:16472', 'I97392I10V', 'DSSTox_CID_1888', '2-Pentanone, 99%, pure', 'DSSTox_RID_76386', 'DSSTox_GSID_21888', 'Methyl propyl ketone [UN1249] [Flammable liquid]', 'Pentan-2-on', 'CAS-107-87-9', '2-Pentanone, 99+%, purified by redistillation, AcroSeal(R)', '2-pentanal', 'Pentan-2-one.', '4-methyl-2-butanone', '2-Pentanone, 90%', '3bh3', 'Methyl Propyl Ketone FCC', 'EC 203-528-1', 'ACMC-1C29M', '4-01-00-03271 (Beilstein Handbook Reference)', 'KSC176A8R', 'CHEMBL45345', 'WLN: 3V1', 'DTXSID0021888', '2-Pentanone, analytical standard', 'CTK0H6088', 'FEMA 2842', 'NSC5350', 'ZINC901192', 'KS-00000WG3', 'NSC-5350', '2-Pentanone, for HPLC, 99.5%', 'Tox21_201670', 'Tox21_303016', 'ANW-15861', 'LMFA12000003', 'LS-442', 'MFCD00009400', '2-Pentanone, &gt;=98%, FCC, FG', '2-Pentanone, reagent grade, &gt;=90%', 'AKOS000121554', 'MCULE-7174095676', 'UN 1249', '2-Pentanone, &gt;=99.0%, natural, FG', 'NCGC00249095-01', 'NCGC00256617-01', 'NCGC00259219-01', 'SC-22796', '2-Pentanone, ultrapure grade, &gt;=99.5%', 'FT-0613263', 'NS00009081', 'P0060', 'C01949', '92819-EP2269986A1', '92819-EP2287154A1', '92819-EP2289879A1', '92819-EP2305649A1', '161716-EP2287158A1', 'A801775', 'Q209460', 'Methyl propyl ketone [UN1249]  [Flammable liquid]', 'F0001-0145', 'UNII-Y4Y2BRI5UL component XNLICIUVMPYHGG-UHFFFAOYSA-N', '2-Pentanone, ReagentPlus(R), &gt;=99%, purified by redistillation']</t>
  </si>
  <si>
    <t>Compound(7895)</t>
  </si>
  <si>
    <t>C5H10O</t>
  </si>
  <si>
    <t>hexan-2-ol</t>
  </si>
  <si>
    <t>['2-HEXANOL', 'hexan-2-ol', '626-93-7', 'sec-Hexyl alcohol', '2-Hydroxyhexane', '2-Hexyl Alcohol', '1-Pentanol, methyl-', '2-aHexanol', '2-Hexanol, (R)-', '2-Hexanol, (S)-', '2-Hexanol, 99%', 'NSC 3706', 'EINECS 210-971-4', 'n-C4H9CH(OH)CH3', 'BRN 1718996', 'CHEBI:88370', 'Methylamyl alcohol', 'MFCD00004585', '54972-97-3', '37769-60-1', 'sec-Hexanol', 'Pentanol, methyl-', 'n-Butylmethylcarbinol', 'n-Hexan-2-ol', 'Hexan-2-ol.', 'Hexanol-(2)', 'Butyl methyl carbinol', '(RS)-2-hexanol', 'ACMC-20apgv', '(+/-)-2-Hexanol', 'ACMC-1AX1F', '2-Hexanol, &gt;=98%', 'SCHEMBL15074', '4-01-00-01708 (Beilstein Handbook Reference)', 'CHEMBL45425', '2-Hexanol, analytical standard', '2-Hexanol, (.+/-.)-', 'CTK1C5301', 'KS-00000WEN', 'DTXSID30893088', 'NSC3706', 'NSC-3706', 'ANW-34333', 'LMFA05000467', 'SBB061290', 'AKOS009156480', 'MCULE-6558228722', 'NE10337', '69203-06-1', 'LS-75377', 'DB-016694', 'FT-0605145', 'FT-0605317', 'FT-0612491', 'NS00012563', 'ST51047320', 'Q77003', 'Hexan-2-ol.;Hexan-2-ol;2-HEXANOL;hexan-2-ol']</t>
  </si>
  <si>
    <t>Compound(12297)</t>
  </si>
  <si>
    <t>2-hexanone</t>
  </si>
  <si>
    <t>hexan-2-one</t>
  </si>
  <si>
    <t>['2-HEXANONE', 'Hexan-2-one', '591-78-6', 'Hexanone', 'Methyl butyl ketone', '2-Oxohexane', 'Propylacetone', 'n-Butyl methyl ketone', 'Butyl methyl ketone', 'Methyl N-butyl ketone', 'Hexanone-2', 'Ketone, butyl methyl', 'MNBK', 'UNII-6QDY60NH6N', 'HSDB 543', '2-Hexanone Methyl n-butyl ketone', 'EINECS 209-731-1', 'n-C4H9COCH3', 'BRN 1737676', '6QDY60NH6N', '30637-87-7', 'CHEBI:89206', '2-Hexanone, 98%', 'Q63399049', '2-Hexanone, analytical standard', 'methylbutyl ketone', 'CCRIS 8810', '2-hexanal', 'hexane-2-one', '2 -hexanone', 'methyl-4-pentanone', '2 - Hexanone', 'ACMC-209mb7', 'SCHEMBL43282', '4-01-00-03298 (Beilstein Handbook Reference)', 'KSC223M0P', '2-hexanone_GurudeebanSatyavani', 'CHEMBL195861', 'DTXSID0022068', 'CTK1C3607', '2-Hexanone, reagent grade, 98%', 'STR04219', 'ZINC2034597', '7510AF', 'ANW-33185', 'BBL011434', 'LMFA12000048', 'MFCD00009482', 'SBB061262', 'STL146542', 'AKOS000118992', 'MCULE-3554390184', '2-Hexanone, purum, &gt;=96.0% (GC)', 'LS-75436', 'DB-003271', 'FT-0612492', 'NS00008836', 'ST51047300', '26072-EP2287159A1', '26072-EP2314558A1', '74377-EP2269986A1', '74377-EP2281821A1', '74377-EP2308857A1', '74377-EP2380568A1', '74378-EP2308857A1', '2-Hexanone;2-Oxohexane;hexan-2-one;Hexan-2-one', 'A801945', 'A832195', 'Q209404', 'J-509559', 'F0001-1552']</t>
  </si>
  <si>
    <t>Compound(11583)</t>
  </si>
  <si>
    <t>C6H12O</t>
  </si>
  <si>
    <t>octan-2-ol</t>
  </si>
  <si>
    <t>['2-OCTANOL', 'Octan-2-ol', '123-96-6', '2-Octyl alcohol', 'Hexylmethylcarbinol', '2-Hydroxyoctane', 'sec-Caprylic alcohol', '1-Methylheptanol', 'Methylhexylcarbinol', '1-Methylheptyl alcohol', 'DL-2-Octanol', 'n-Octan-2-ol', 's-Octyl alcohol', '1-Methyl-1-heptanol', 'sec-OCTYL ALCOHOL', '(+/-)-2-Octanol', 'Hexyl methyl carbinol', '4128-31-8', 'beta-Octyl alcohol', 'secondary Caprylic alcohol', '2-Hydroxy-n-octane', 'Methyl hexyl carbinol', 'sec-Octanol', 'Heptanol, methyl-', '.beta.-Octyl alcohol', '2-Octanol (natural)', 'Secondary octyl alcohol', 'FEMA Number 2801', 'OCTANOL-2', '2-Octanol, (2R)-', 'Caprylic alcohol, secondary', 'NSC 14759', 'FEMA No. 2801', 'HSDB 5601', 'r-(-)-2-octanol', '(1)-Octan-2-ol', 'EINECS 204-667-0', 'EINECS 223-938-4', 'MFCD00004591', '(+/-)-Octan-2-ol', 'AI3-05598', '2-Octanol, (.+/-.)-', 'CHEBI:37869', '2-Octanol, (R)-', 'DSSTox_CID_7014', 'DL-2-Octanol, 97%', 'DSSTox_RID_78280', 'DSSTox_GSID_27014', 'd-2-octanol', 'l-2-octanol', 'CAS-123-96-6', 'sec-Octanol (9CI)', '1-Heptanol, methyl-', '2-Octanol (+-)', 'Ethylpentylcarbinol', 'AK115983', '(rs)-2-octanol', '(racemic)-2-octanol', '(+)-2 octanol', 'PubChem21480', 'n-Hexyl methyl carbinol', 'ACMC-209aqc', 'ACMC-209mfq', '(??)-2-Octanol', '2-Octanol, 97%', 'Methylheptanol (Related)', 'ACMC-2097iv', '2-Octanol, &gt;=97%', 'EC 204-667-0', 'SCHEMBL23502', 'KSC154M8L', 'CHEMBL510068', 'DTXSID0027014', 'CTK0F4685', '2-Octanol, for synthesis, 99%', 'NSC14759', 'Tox21_201625', 'Tox21_303347', '2-Octanol, natural, &gt;=97%, FG', '5683AB', 'ANW-18178', 'BBL100094', 'LMFA05000620', 'NSC-14759', 'SBB059903', 'STL280339', 'AKOS009031442', 'LS-2997', 'MCULE-5095200181', 'NE10338', 'VC30529', 'VC30989', '(+/-)-2-Octanol, analytical standard', 'NCGC00249087-01', 'NCGC00257394-01', 'NCGC00259174-01', '25339-16-6', 'AK113715', 'I931', 'LS-98140', 'SC-47133', 'SY038272', '2-Octanol, Vetec(TM) reagent grade, 97%', 'DB-053462', 'DB-053968', 'FT-0604459', 'FT-0605149', 'FT-0605256', 'FT-0613242', 'O0037', 'Z6063', 'EN300-19344', '(+/-)-2-Octanol, &gt;=96.0% (GC)', 'A833372', 'J-005013', 'J-520411', 'W-109952', 'Q10844270', '(+/-)-2-Octanol, ReagentPlus(R), &gt;=99.5% (GC)', '123-96-6 pound&gt;&gt;4128-31-8 pound&gt;&gt;113244-40-9', '1336-11-4', '4128-32-9']</t>
  </si>
  <si>
    <t>Compound(20083)</t>
  </si>
  <si>
    <t>2-octyl-2H-isothiazol-3-one</t>
  </si>
  <si>
    <t>2-octyl-1,2-thiazol-3-one</t>
  </si>
  <si>
    <t>['Octhilinone', '26530-20-1', '2-octylisothiazol-3(2H)-one', '2-n-Octyl-4-isothiazolin-3-one', '2-Octyl-4-isothiazolin-3-one', '2-Octyl-3-isothiazolone', 'Pancil', '2-Octyl-2H-isothiazol-3-one', '3(2H)-Isothiazolone, 2-octyl-', '2-Octyl-3(2H)-isothiazolone', 'Kathon 893', 'Skane 8', 'Skane M-8', 'Kathon 893F', 'Micro-chek skane', 'Kathon LM', 'Microbicide M-8', 'Micro-chek 11', 'Micro-chek 11D', 'Kathon SP 70', 'Kathon LP preservative', 'Kathon 4200', 'Pancil-T', 'Skane M8', '2-octyl-1,2-thiazol-3-one', 'Caswell No. 613C', '4-Isothiazolin-3-one, 2-octyl-', 'UNII-4LFS24GD0V', 'Vinylzene IT 3000DIDP', 'Octyl-3(2H)-isothiazolone', 'RH 893', 'Octhilinone [ANSI:BSI:ISO]', 'CCRIS 6082', 'EINECS 247-761-7', '2-Octyl-3-isothioazolone', '2-Octyl-3-isothiazolinone', 'Octyl-4-isothiazol-3-one', 'EPA Pesticide Chemical Code 099901', '2-n-Octyl-3-isothiazolone', 'BRN 1211137', '4LFS24GD0V', 'MLS002415697', 'CHEBI:81936', '2-octyl-1,2-thiazol-3(2H)-one', 'SMR001370885', 'DSSTox_CID_5805', 'DSSTox_RID_77928', 'DSSTox_GSID_25805', 'W-107168', 'Kathon', 'CAS-26530-20-1', 'C11H19NOS', 'Pancil T', 'Skane M 8', 'ACMC-1CDE4', 'Vinyzene IT 3000DIDP', 'SCHEMBL15648', 'cid_33528', 'KSC163A4D', 'SCHEMBL396433', 'CHEMBL1562104', 'DTXSID1025805', 'BDBM66023', 'HSDB 6713', 'KS-00000ZYZ', 'ZINC2012904', 'Tox21_201459', 'Tox21_300566', 'ANW-26014', 'RH-893', 'AKOS015897428', 'LS-1106', 'ACM25339531', 'ACM26530201', 'NCGC00091875-01', 'NCGC00091875-02', 'NCGC00091875-03', 'NCGC00091875-04', 'NCGC00091875-05', 'NCGC00254466-01', 'NCGC00259010-01', 'AK109069', 'AS-11894', 'CC-11727', 'Octhilinone 10 microg/mL in Acetonitrile', 'AX8013468', 'DB-028182', 'FT-0613248', 'NS00000270', 'O0343', 'O0378', 'C18752', 'K-6861', '530O201', 'C-24530', 'Q2013949', '2-Octyl-4-isothiazolin-3-one, PESTANAL(R), analytical standard', 'OCTYLISOTHIAZOLINONE;Octhilinone;2-Octyl-3(2H)-isothiazolone;2-octyl-2H-isothiazol-3-one hydrochloride']</t>
  </si>
  <si>
    <t>Compound(33528)</t>
  </si>
  <si>
    <t>C11H19NOS</t>
  </si>
  <si>
    <t>2-chloro-1,1-dimethylethylbenzene</t>
  </si>
  <si>
    <t>(1-chloro-2-methylpropan-2-yl)benzene</t>
  </si>
  <si>
    <t>['Neophyl chloride', '515-40-2', '1-Chloro-2-methyl-2-phenylpropane', '(1-chloro-2-methylpropan-2-yl)benzene', '(2-Chloro-1,1-dimethylethyl)benzene', 'Benzene, (2-chloro-1,1-dimethylethyl)-', '2-Chloromethyl-2-phenylpropane', '2-Methyl-2-phenylpropyl chloride', 'neophylchloride', 'UNII-OF6E0410NF', 'NSC 54159', 'OF6E0410NF', '.beta.-Chloro-tert-butylbenzene', '(.beta.-Chloro-tert-butyl)benzene', '(2-chloro-1,1-dimethyl-ethyl)-benzene', '.beta.,.beta.-Dimethylphenethyl chloride', '(.beta.-Chloro-.alpha.,.alpha.-dimethyl)ethylbenzene', '1-Chloro-2-methyl-2-phenylpropane, 98%', '(beta-Chloro-tert-butyl)benzene', 'beta,beta-Dimethylphenethyl chloride', 'EINECS 208-197-7', '(2-chloro-1,1-dimethyl-ethyl)benzene', 'ACMC-209kuc', 'DSSTox_CID_7167', '(beta-Chloro-alpha,alpha-dimethyl)ethylbenzene', 'DSSTox_RID_78331', 'DSSTox_GSID_27167', '(2-chloro-tert-butyl)benzene', 'KSC491M2F', 'NSC923', 'SCHEMBL1502452', 'CHEMBL3185006', 'DTXSID8027167', 'CTK3J1622', 'DNXXUUPUQXSUFH-UHFFFAOYSA-', 'KS-00000WHN', 'NSC-923', 'NSC54159', 'ZINC1587706', 'Tox21_200949', '1-chloro-2-methyl-2-phenyl-propane', 'ANW-31282', 'NSC-54159', '2-Chloromethyl-2-phenylpropane, 99%', 'AKOS009157078', 'MCULE-5897242597', 'NE10065', 'NCGC00248883-01', 'NCGC00258502-01', 'AS-11669', 'CAS-515-40-2', 'SC-50834', '(1-chloranyl-2-methyl-propan-2-yl)benzene', 'DB-051982', 'FT-0608752', 'FT-0660427', 'NS00032299', 'ST50826954', 'A828650', 'Q3867229', 'W-109547', '(2-chloro-1,1-dimethylethyl)benzene;Benzene, (2-chloro-1,1-dimethylethyl)-']</t>
  </si>
  <si>
    <t>Compound(68191)</t>
  </si>
  <si>
    <t>C10H13Cl</t>
  </si>
  <si>
    <t>2-chloro-1,4-dimethylbenzene</t>
  </si>
  <si>
    <t>['2-Chloro-p-xylene', '2-Chloro-1,4-dimethylbenzene', '95-72-7', '2,5-Dimethylchlorobenzene', 'Benzene, 2-chloro-1,4-dimethyl-', '1-Chloro-2,5-dimethylbenzene', 'Chloro-p-xylene', 'p-Xylene, 2-chloro-', '2-chloro-1,4-dimethyl-benzene', 'UNII-3Y9K758WLV', '3Y9K758WLV', 'Chloro-p-xylene (VAN)', '2-chlor-p-xylol', 'NSC60148', 'EINECS 202-444-2', 'NSC 60148', 'PubChem3640', '2-chloro-1,4-xylene', 'ACMC-209s4v', 'SCHEMBL89325', 'p-Xylene, 2-chloro- (8CI)', 'DTXSID9059125', 'CTK8B2762', '2-CHLORO-4-METHYLTOLUENE', '2-chloranyl-1,4-dimethyl-benzene', 'ZINC1690023', 'ANW-40733', 'NSC-60148', 'AKOS005255110', 'AS02703', 'FS-4295', 'LS11676', 'KS-000016R3', 'AK129023', 'SC-95107', '2-Chloro-1,4-dimethylbenzene, &gt;=99.0%', 'FT-0612017', 'NS00040458', 'A845443', 'W-109361', 'Q27894523', 'F0001-2278']</t>
  </si>
  <si>
    <t>Compound(32883)</t>
  </si>
  <si>
    <t>C8H9Cl</t>
  </si>
  <si>
    <t>2-chloro-2-propen-ol</t>
  </si>
  <si>
    <t>2-chloroprop-2-en-1-ol</t>
  </si>
  <si>
    <t>['2-Chloro-2-propen-1-ol', '2-Chloroallyl alcohol', '5976-47-6', '2-Propen-1-ol, 2-chloro-', '2-Chloro-2-propenol', '2-Chloropropenol', 'beta-Chloroallyl alcohol', '.beta.-Chloroallyl alcohol', 'NSC 87536', 'NSC 508743', 'BRN 1361492', 'AI3-28603', 'WLN: Q1YGU1', 'ACMC-1AZP8', '2-Chloro-3-hydroxypropene', '2-chloro-prop-2-en-1-ol', '4-01-00-02091 (Beilstein Handbook Reference)', 'DTXSID2073984', 'CTK5B0467', 'NSC87536', 'ZINC1562139', 'NSC-87536', 'NSC508743', 'AKOS009158604', 'NSC-508743', 'LS-123782', 'FT-0611697', 'NS00020212', '2-Chloro-2-propen-1-ol, technical grade, 90%', '2-Propen-1-ol,2-chloro- (6CI,7CI,8CI,9CI)']</t>
  </si>
  <si>
    <t>Compound(80076)</t>
  </si>
  <si>
    <t>C3H5ClO</t>
  </si>
  <si>
    <t>2-chloro-4-methylaniline</t>
  </si>
  <si>
    <t>['2-Chloro-4-methylaniline', '615-65-6', '2-CHLORO-P-TOLUIDINE', 'Benzenamine, 2-chloro-4-methyl-', '4-Amino-3-chlorotoluene', 'p-Toluidine, 2-chloro-', '2-Chlor-4-toluidin', '4-Methyl-2-chloroaniline', 'UNII-K59ISJ2KO1', '2-chloro-4-methyl-aniline', 'NSC 60120', '2-Chlor-4-toluidin [Czech]', '2-Chlor-p-toluidin', 'CCRIS 2887', 'HSDB 2059', '3-Chloro-4-aminotoluene', 'EINECS 210-440-7', 'BRN 0774514', 'K59ISJ2KO1', '2-chloro-4-methylphenylamine', '2-Chloro-4-methylaniline, 98%', '1-amino-2-chloro-4-methylbenzene', 'MFCD00007666', '2-chloro-4-methyl aniline', '2-Chloro-4-methyl-phenylamine', 'NSC60120', 'PubChem2472', 'ACMC-1BEIC', '2-choro-4-methylaniline', '4-amino-3-chloro-toluene', '2-Chloro-4-methylbenzamine', 'WLN: ZR BG D1', '2-chloro-4-methylbenzenamine', '2-chloranyl-4-methyl-aniline', '3-12-00-02152 (Beilstein Handbook Reference)', 'KSC268I5D', 'SCHEMBL172051', 'DTXSID3022083', 'CTK1G8451', 'ZINC388156', 'KS-000009UY', 'ANW-33868', 'BBL011850', 'NSC-60120', 'STL163411', 'AKOS000113146', 'AM62515', 'AS05330', 'CCG-302526', 'CM11376', 'CS-W018296', 'MCULE-3883467501', 'PS-3795', '2-chloro-p-toluidine;2-Chlor-p-toluidin', 'NCGC00166060-01', 'AC-23555', 'AK-35861', 'BR-35861', 'SC-05770', 'U109', 'DB-024170', 'LS-154333', 'A5457', 'FT-0612015', 'NS00005065', 'ST50823757', 'A833307', 'W-105130', 'Q27281976', 'F0001-1625', 'Z1245633212']</t>
  </si>
  <si>
    <t>Compound(12007)</t>
  </si>
  <si>
    <t>C7H8ClN</t>
  </si>
  <si>
    <t>2-chloro-4-nitroaniline</t>
  </si>
  <si>
    <t>['2-Chloro-4-nitroaniline', '121-87-9', 'Ocpna', '2-Chloro-4-nitrobenzenamine', 'o-Chloro-p-nitroaniline', 'Benzenamine, 2-chloro-4-nitro-', '4-Nitro-2-chloroaniline', '1-AMINO-2-CHLORO-4-NITROBENZENE', 'Aniline, 2-chloro-4-nitro-', '2-Chloro-4-nitro-phenylamine', 'UNII-XSA3ZX337B', 'ortho-Chloro-para-nitroaniline', 'CCRIS 2648', 'HSDB 5405', 'NSC 3548', 'EINECS 204-502-2', '2-chloro-4-nitrophenylamine', 'BRN 0638657', 'XSA3ZX337B', 'AI3-09084', '2-chloro-4-nitro-aniline', '2-chlor-4-nitroanilin', 'ACMC-209ahv', 'WLN: ZR BG DNW', 'DSSTox_CID_1973', '2-chloranyl-4-nitro-aniline', 'DSSTox_GSID_21973', '4-12-00-01675 (Beilstein Handbook Reference)', 'KSC490E8D', 'SCHEMBL532698', '(2-chloro-4-nitrophenyl)amine', '2-Chloro-4-Nitroaniline,(S)', 'CHEMBL1893710', 'DTXSID4021973', 'SCHEMBL15630259', '2-Chloro-4-nitroaniline, 99%', 'CTK3J0281', 'NSC3548', '(2-chloro-4-nitro-phenyl)-amine', 'ACT00091', 'KS-00000UR4', 'NSC-3548', 'ZINC3860833', 'Tox21_303921', '4-AMINO-3-CHLORONITROBENZENE', 'ANW-17873', 'MFCD00007665', 'SBB028370', 'SBB056667', 'STK358782', 'AKOS000120340', 'AC-7419', 'AS05333', 'BS-3940', 'CM11379', 'CS-W020588', 'MCULE-2347118282', 'NCGC00164027-01', 'NCGC00357167-01', 'BR-46762', 'CAS-121-87-9', 'LS-19665', 'SC-79910', 'ST010158', 'AM20060498', 'FT-0611787', 'NS00010131', 'M-5936', 'A804801', 'AE-562/40244765', 'J-508775', 'Q2597946', 'Z57126995', 'F0001-0350', 'Aniline, 2-chloro-4-nitro-;2-chloro-4-nitroaniline;Benzenamine, 2-chloro-4-nitro-, monohydrochloride']</t>
  </si>
  <si>
    <t>Compound(8492)</t>
  </si>
  <si>
    <t>C6H5ClN2O2</t>
  </si>
  <si>
    <t>2-chloro-4-nitrotoluene</t>
  </si>
  <si>
    <t>2-chloro-1-methyl-4-nitrobenzene</t>
  </si>
  <si>
    <t>['2-CHLORO-4-NITROTOLUENE', '121-86-8', '2-Chloro-1-methyl-4-nitrobenzene', 'Benzene, 2-chloro-1-methyl-4-nitro-', 'o-Chloro-p-nitrotoluol', 'Toluene, 2-chloro-4-nitro-', '3-Chloro-4-methylnitrobenzene', '2,4-Chloronitrotoluene', '2-Chlor-4-nitrotoluen', '2-Chloro-4-nitro-1-methylbenzene', 'UNII-9T26LNR6T8', 'HSDB 5592', '2-Chloro-4-nitrotoluen [Czech]', '2-chloro-1-methyl-4-nitro-benzene', 'EINECS 204-501-7', 'NSC 60111', 'BRN 1817924', '9T26LNR6T8', 'CNT', '2-Chloro-4-nitrotoluen', '2-chlor-4-nitrotoluol', 'o-chloro-p-nitrotoluene', 'PubChem15208', 'ACMC-209aht', 'DSSTox_CID_6984', '2-chloro-4-nitro-toluene', 'EC 204-501-7', 'WLN: WNR CG D1', 'DSSTox_RID_78274', 'DSSTox_GSID_26984', '4-05-00-00855 (Beilstein Handbook Reference)', 'SCHEMBL431298', 'CHEMBL3184617', 'DTXSID3026984', '2-Chloro-4-nitrotoluene, 97%', 'CTK0H6943', 'KS-00000WZX', 'CHEBI:142283', 'ZINC331675', 'NSC60111', 'Tox21_200875', 'ANW-17871', 'BBL023013', 'MFCD00007210', 'NSC-60111', 'SBB061490', 'STL289920', '2-Chloro-1-methyl-4-nitrobenzene #', '2-chloranyl-1-methyl-4-nitro-benzene', 'AKOS000121346', 'Benzene, 1-chloro-2-methyl-5-nitro-', 'MCULE-2313421289', 'NCGC00248859-01', 'NCGC00258429-01', 'AC-22503', 'CAS-121-86-8', 'VS-07305', 'DB-023711', 'LS-154034', '2-Chloro-4-nitrotoluene, analytical standard', 'FT-0611798', 'NS00008709', 'ST50406220', 'T7350', 'Benzene, 1-chloro-2-methyl-5-nitro- (9CI)', 'A804797', 'AC-907/25014164', 'W-108449', 'Q27273149', 'Toluene, 2-chloro-4-nitro-;2-chloro-4-nitrotoluene']</t>
  </si>
  <si>
    <t>Compound(8491)</t>
  </si>
  <si>
    <t>C7H6ClNO2</t>
  </si>
  <si>
    <t>2-chloro-5-methylaniline</t>
  </si>
  <si>
    <t>['2-Chloro-5-methylaniline', '95-81-8', '6-Chloro-m-toluidine', 'Benzenamine, 2-chloro-5-methyl-', '3-AMINO-4-CHLOROTOLUENE', 'MFCD00007674', '2-chloro-5-methylbenzenamine', '2-chloro-5-methylphenylamine', 'CCRIS 2888', '2-chloro-5-methyl aniline', 'EINECS 202-454-7', '6-Chlor-meta-toluidin', 'PubChem18921', '2-chlor-5-methylanilin', '4-chloro-3-amino-toluene', 'ACMC-209s5c', 'KSC494G0H', 'SCHEMBL753599', '2-chloro-5-methyl-phenylamine', '(2-chloro-5-methylphenyl)amine', 'DTXSID0074554', 'CTK3J4303', '2-Chloro-5-methylaniline, 99%', 'ZINC407045', 'ALBB-022600', 'ANW-40750', 'SBB069932', 'AKOS005177454', 'AS04682', 'AS06932', 'CCG-302525', 'CS-W002031', 'MCULE-6258547173', 'PS-4451', '2-chloro-5-methyl-aniline hydrochloride', 'AC-26391', 'AK-36982', 'BR-36982', 'S986', 'SC-50112', 'SY018334', 'AB0018878', 'DB-024300', '2-Chlor-5-methylanilin;6-chloro-m-toluidine', 'AM20060248', 'FT-0631490', 'NS00006397', 'ST51065512', 'M-3306', '095C818', 'Z1431002635']</t>
  </si>
  <si>
    <t>Compound(66770)</t>
  </si>
  <si>
    <t>2-chloro-5-methylphenol</t>
  </si>
  <si>
    <t>['2-CHLORO-5-METHYLPHENOL', '615-74-7', '6-Chloro-m-cresol', 'Phenol, 2-chloro-5-methyl-', 'm-Cresol, 6-chloro-', '3-Methyl-6-chlorophenol', '4-Chloro-3-hydroxytoluene', '5-Methyl-2-chlorophenol', '6-Chloro-3-methylphenol', 'HSDB 7107', 'UNII-16Z94994Z4', 'EINECS 210-444-9', 'BRN 2041487', '2-Chloro-5-methylphenol, 99%', 'MFCD00002175', 'NCGC00166212-01', '16Z94994Z4', '2-Chloro-5-methylphenol (6-Chloro-m-cresol)', 'DSSTox_CID_26558', 'DSSTox_RID_81718', 'DSSTox_GSID_46558', 'CAS-615-74-7', '3-Methylphenol monochloro deriv.', '6-Chlor-m-kresol', 'PubChem3668', 'ACMC-1BFG3', '2-chloro-5-methyl-phenol', '3-hydroxy-4-chlorotoluene', 'Phenol,2-chloro-5-methyl-', '2-chloranyl-5-methyl-phenol', 'SCHEMBL12002', 'Chloro-m-cresol, all isomers', '3-06-00-01315 (Beilstein Handbook Reference)', 'Chloro-m-toluidine, all isomers', 'CHEMBL3186024', 'DTXSID1046558', 'CTK5B3440', 'OTAVA-BB 1506305', 'ZINC388375', 'Tox21_112350', 'ANW-33871', 'CL9105', 'AKOS000120824', 'Tox21_112350_1', 'AS02820', 'NE10149', 'NCGC00166212-02', 'SC-05771', 'LS-104247', 'FT-0621078', 'NS00034732', 'ST50823839', 'X2070', '22393-EP2305640A2', '22393-EP2314593A1', 'A833312', 'W-105127', 'Q27251848', 'F0001-1627']</t>
  </si>
  <si>
    <t>Compound(12008)</t>
  </si>
  <si>
    <t>C7H7ClO</t>
  </si>
  <si>
    <t>2-chloro-5-nitroaniline</t>
  </si>
  <si>
    <t>['2-CHLORO-5-NITROANILINE', '6283-25-6', 'Benzenamine, 2-chloro-5-nitro-', '6-Chloro-3-nitroaniline', '2-chloro-5-nitro aniline', 'Aniline, 2-chloro-5-nitro-', '2-chloro-5-nitro-benzamine', '2-Chloro-5-nitrobenzenamine', 'Aniline, 6-chloro-3-nitro-', 'UNII-PO198891S5', 'HSDB 6086', 'NSC 7791', 'EINECS 228-498-7', '2-chloro-5-nitrophenylamine', 'BRN 2208878', 'NSC-7791', 'MFCD00007668', 'PO198891S5', 'NSC7791', 'PubChem21904', '3-Nitro-6-chloroaniline', 'WLN: ZR BG ENW', '2- chloro-5-nitroaniline', 'ACMC-209n8y', 'DSSTox_CID_18827', '2-chloranyl-5-nitro-aniline', 'DSSTox_GSID_38827', '3-12-00-01661 (Beilstein Handbook Reference)', 'KSC352Q9F', '2-Chloro-5-nitro-phenylamine', 'SCHEMBL113099', 'CHEMBL325115', 'DTXSID6038827', '2-Chloro-5-nitroaniline, 98%', 'CTK2F2892', 'KS-00000JKF', '2-Amino-1-chloro-4-nitrobenzene', 'ZINC1688375', 'Tox21_303861', 'ANW-34400', 'BBL019356', 'SBB003829', 'STL164344', 'AKOS000119518', 'AC-5962', 'CS-W020076', 'LS10712', 'MCULE-5455479944', 'NE10503', 'VZ24303', 'NCGC00357126-01', 'AK-35910', 'AS-11831', 'BP-13317', 'BR-35910', 'LS-19666', 'SC-62255', 'CAS-6283-25-6', 'DB-027979', 'AM20060700', 'FT-0611826', 'NS00035188', 'ST50406279', '116807-EP2275412A1', '116807-EP2298776A1', 'A834030', 'AG-205/01772033', 'W-104955', 'Q27286657', 'Z57163404', 'F1294-0086']</t>
  </si>
  <si>
    <t>Compound(22691)</t>
  </si>
  <si>
    <t>2-chloro-5-nitrotoluene</t>
  </si>
  <si>
    <t>1-chloro-2-methyl-4-nitrobenzene</t>
  </si>
  <si>
    <t>['2-Chloro-5-nitrotoluene', '13290-74-9', '1-Chloro-2-methyl-4-nitrobenzene', 'Benzene, 1-chloro-2-methyl-4-nitro-', '4-Chloro-3-methylnitrobenzene', '1-chloro-2-methyl-4-nitro-benzene', 'EINECS 236-306-8', 'MFCD00041430', '3-Nitro-6-chlorotoluene', '2-Methyl-4-nitrochlorobenzene', 'PubChem2137', 'ACMC-209bqf', '5-Nitro-2-chlorotoluene', '2-chloro-5-nitro-toluene', 'KSC178G2R', 'SCHEMBL305393', 'DTXSID8065402', 'CTK0H8328', 'KS-00000IRQ', 'ZINC2168543', 'ANW-19477', 'SBB063177', '1-chloranyl-2-methyl-4-nitro-benzene', 'AKOS005134013', 'AS02830', 'MCULE-3196175524', 'AK-54903', 'AS-11892', 'BR-54903', 'SC-54585', 'SY020693', 'DB-023723', '2-Chloro-5-nitrotoluene, &gt;=99.0% (GC)', 'C1233', 'FT-0611839', 'NS00024249', 'ST50408087', 'EN300-39500', 'S-5456', 'A806523', 'AE-562/40182212', 'W-108306']</t>
  </si>
  <si>
    <t>Compound(83315)</t>
  </si>
  <si>
    <t>2-chloro-6-methylaniline</t>
  </si>
  <si>
    <t>['2-Chloro-6-methylaniline', '87-63-8', '6-CHLORO-2-METHYLANILINE', '6-Chloro-o-toluidine', '2-Amino-3-chlorotoluene', 'Benzenamine, 2-chloro-6-methyl-', '3-Chloro-2-aminotoluene', '6-Chloro-2-toluidine', '2-Methyl-6-chloroaniline', 'o-Toluidine, 6-chloro-', '2-Chloro-6-Methylaninile', '6-Chloro-o-toluidine (NH2=1)', '2-methyl-6-chloro aniline', 'UNII-76F11RQ7TB', 'EINECS 201-759-2', 'NSC 60121', '2-chloro-6-methyl aniline', 'BRN 0774624', '2-chloro-6-methylbenzenamine', '2-chloro-6-methylphenylamine', '76F11RQ7TB', 'MFCD00007679', '6-Chloro-o-toluidine [NH2=1]', '6-chloro-2-methyl aniline', 'NSC60121', 'PubChem22391', '6-Chlor-ortho-toluidin', '2-Amino-4-chluorotoluene', 'ACMC-209qp0', 'WLN: ZR BG F1', 'SCHEMBL94065', '6-chloro-2-methylbenzenamine', '2-chloranyl-6-methyl-aniline', '4-12-00-01789 (Beilstein Handbook Reference)', 'KSC448A5B', '2-chloro-6-methyl-phenylamine', 'AMBZ0028', '(2-Chloro-6-methylphenyl)amine', 'DTXSID8058956', 'CTK3E8050', '2-Chloro-6-methylaniline, 98%', 'Benzenamine, 6-chloro-2-methyl-', 'ZINC404327', 'ACN-S003620', 'CS-D1492', 'KS-000009QK', 'ANW-38866', 'GEO-00703', 'NSC-60121', 'SBB004153', 'STL164360', 'AKOS005254415', 'AC-4800', 'AS04751', 'AS06940', 'GS-3024', 'LS10715', 'MCULE-4849483236', 'AK-36668', 'Benzenamine, 6-chloro-2-methyl- (9CI)', 'BP-13318', 'BR-36668', 'SC-15448', 'LS-154332', 'AM20060325', 'FT-0611875', 'NS00039208', 'ST50823752', '87C638', 'M-5472', 'A842321', 'W-200515', 'Q27266484', '2CM']</t>
  </si>
  <si>
    <t>Compound(6897)</t>
  </si>
  <si>
    <t>2-chloro-6-methylphenol</t>
  </si>
  <si>
    <t>['2-Chloro-6-methylphenol', '87-64-9', '6-Chloro-o-cresol', 'Phenol, 2-chloro-6-methyl-', 'o-Cresol, 6-chloro-', '2-METHYL-6-CHLOROPHENOL', 'NSC 2878', 'EINECS 201-760-8', 'BRN 0774623', 'MFCD00020000', '2-chloro-6-methyl-phenol', '6-chloro cresol', 'NSC2878', '6-Chlor-o-kresol', 'PubChem3669', '6-chloro-2-methylphenol', '2-chloro-6-methyl phenol', '2-hydroxy-3-chlorotoluene', 'Phenol,2-chloro-6-methyl-', '2-chloranyl-6-methyl-phenol', 'SCHEMBL34484', '4-06-00-01984 (Beilstein Handbook Reference)', 'DTXSID0075362', 'CTK5F8816', 'ZINC164375', 'KS-000001PJ', 'NSC-2878', '1305AF', 'AKOS006228763', 'Phenol, 2-chloro-6-methyl- (9CI)', 'AS04496', 'DS-5136', 'LS10669', 'MCULE-4829448986', 'VZ24357', 'AK135681', 'LS-55346', 'SC-62347', 'DB-020894', 'FT-0621085', 'NS00039209', 'ST50823830', 'A842323']</t>
  </si>
  <si>
    <t>Compound(6898)</t>
  </si>
  <si>
    <t>2-chloro-6-fluorobenzamide</t>
  </si>
  <si>
    <t>['2-Chloro-6-fluorobenzamide', '66073-54-9', '2-Fluoro-6-chlorobenzamide', 'Benzamide, 2-chloro-6-fluoro-', '2-chloro-6-fluoro-benzamide', 'EINECS 266-123-9', 'NSC148353', 'ACMC-209nth', '6-chloro-2-fluorobenzamide', '2-fluoro-6-chlorobenzoylaMino', 'Benzamide,2-chloro-6-fluoro-', 'SCHEMBL2867748', 'CTK5C3469', 'DTXSID50216275', '2-chloranyl-6-fluoranyl-benzamide', 'ZINC2516080', 'ANW-35139', 'MFCD00055436', 'SBB088813', 'STL508039', 'AKOS009139281', 'JS-4184', 'MCULE-3781868096', 'NSC-148353', 'QC-7099', 'VZ24334', 'KS-0000111W', 'AC-10775', 'R427', 'SC-78482', 'AB0018153', 'DB-020877', 'FT-0641045', 'NS00054932', 'ST50407230', 'A844913', 'W-104773']</t>
  </si>
  <si>
    <t>Compound(98564)</t>
  </si>
  <si>
    <t>C7H5ClFNO</t>
  </si>
  <si>
    <t>2-chloro-6-nitroaniline</t>
  </si>
  <si>
    <t>['2-Chloro-6-nitroaniline', '769-11-9', '6-Chloro-2-nitroaniline', 'Benzenamine, 2-chloro-6-nitro-', '2-Chloro-6-nitro aniline', '2-Chloro-6-nitro-phenylamine', 'Benzenamine,2-chloro-6-nitro-', 'Aniline, 2-chloro-6-nitro-', 'NSC37398', 'EINECS 212-204-9', '2-nitro-6-chloroaniline', '6-chloro-2-nitro-aniline', 'KSC494E2D', 'SCHEMBL213882', 'CTK3J4221', 'DTXSID60227690', 'KS-000009VR', 'ZINC4783201', 'ANW-51724', 'CL8396', 'MFCD00179568', 'NSC-37398', 'STL119729', 'AKOS000113873', 'AB04408', 'CM10244', 'DS-0495', 'MCULE-6503927709', 'PS-4459', 'VZ24359', 'AC-11899', 'AK-26323', 'BR-26323', 'SC-47501', 'SY015647', '2-Chloro-6-nitro-phenylamine, AldrichCPR', 'AB0029901', 'DB-005229', 'AM20050590', 'BB 0244112', 'CS-0027051', 'FT-0600705', 'NS00037857', 'X2055', 'EN300-53473', 'S-3590', 'W-203758']</t>
  </si>
  <si>
    <t>Compound(69855)</t>
  </si>
  <si>
    <t>2-chloro-6-nitrotoluene</t>
  </si>
  <si>
    <t>1-chloro-2-methyl-3-nitrobenzene</t>
  </si>
  <si>
    <t>['2-CHLORO-6-NITROTOLUENE', '83-42-1', '1-Chloro-2-methyl-3-nitrobenzene', '6-Chloro-2-nitrotoluene', 'Benzene, 1-chloro-2-methyl-3-nitro-', '3-Chloro-2-methylnitrobenzene', 'Toluene, 2-chloro-6-nitro-', 'Caswell No. 202', 'UNII-WEZ013857X', '6,2-Chloronitrotoluene', 'EINECS 201-475-9', 'NSC 49147', '2-chloro-6-nitro-toluene', 'EPA Pesticide Chemical Code 019001', 'BRN 1239924', 'AI3-00485', 'WEZ013857X', 'NSC49147', 'PubChem14277', 'ACMC-1BLTA', '2-chloro-6-nitro toluene', 'EC 201-475-9', 'DSSTox_CID_21263', 'DSSTox_RID_79668', 'DSSTox_GSID_41263', 'KSC490M8L', 'SCHEMBL700473', 'CHEMBL3182075', 'DTXSID1041263', '2-Chloro-6-nitrotoluene, 99%', 'CTK3J0685', 'CHEBI:142281', '3-chloro-2-methyl-1-nitrobenzene', 'ZINC1681234', 'Tox21_300660', 'ANW-37685', 'GEO-00762', 'MFCD00007205', 'NSC-49147', 'SBB054172', 'STL453546', 'AKOS009031519', 'MCULE-3241639734', 'CAS-83-42-1', 'KS-000011F8', 'NCGC00248131-01', 'NCGC00254568-01', 'AC-11283', 'AK-48527', 'L243', 'DB-023124', 'LS-154035', 'AM20080939', 'FT-0611891', 'NS00007401', 'ST50406247', 'EN300-20451', 'M-5974', 'AE-562/40225990', 'Q27292597', 'F8889-5202', 'Z1262327552']</t>
  </si>
  <si>
    <t>Compound(6740)</t>
  </si>
  <si>
    <t>2-chloro-6- (trichloromethyl) pyridine</t>
  </si>
  <si>
    <t>2-chloro-6-(trichloromethyl)pyridine</t>
  </si>
  <si>
    <t>['NITRAPYRIN', '2-Chloro-6-(trichloromethyl)pyridine', '1929-82-4', 'N-Serve', 'Pyridine, 2-chloro-6-(trichloromethyl)-', 'Dowco-163', '2-chloro-6-trichloromethylpyridine', 'N-Serve nitrogen stabilizer', 'Caswell No. 217', 'Nitrapyrine [ISO-French]', 'UNII-8PCE86U01W', 'Nitrapyrin [ANSI:BSI:ISO]', 'CCRIS 4599', '2-Chloro-6-trichloromethyl pyridine', 'EINECS 217-682-2', 'EPA Pesticide Chemical Code 069203', 'BRN 1618997', 'alpha,alpha,alpha,6-tetrachloro-2-picoline', '8PCE86U01W', '2-CHLORO-6-(TRICHLOROMETHYL) PYRIDINE', 'CHEBI:81935', 'MFCD00072500', 'DSSTox_CID_4216', 'DSSTox_RID_77330', 'DSSTox_GSID_24216', 'Nitrapyrine', '6-chloro-2-(trichloromethyl)pyridine', 'CAS-1929-82-4', 'ACMC-1AP8Q', 'EC 217-682-2', 'SCHEMBL41442', '5-20-05-00500 (Beilstein Handbook Reference)', 'KSC924E3B', 'MLS002152872', 'CHEMBL1557091', 'DTXSID0024216', 'CTK8C4230', '2-chloro-6-trichloromethylpyridin', 'ZINC139440', '2-chloro-6(trichloromethyl)pyridine', '6-chloro-2-trichloromethyl pyridine', 'KS-000001QW', 'Tox21_202036', 'Tox21_300916', 'ANW-71320', 'LS-968', 'SBB038064', 'STK843145', '2 -chloro-6-(trichloromethyl)pyridine', 'AKOS000267961', 'AM84664', 'CS-W019363', 'MCULE-1915209467', 'NCGC00091152-01', 'NCGC00091152-02', 'NCGC00091152-03', 'NCGC00091152-04', 'NCGC00091152-05', 'NCGC00254819-01', 'NCGC00259585-01', 'AC-23339', 'AK-98722', 'AS-15459', 'P464', 'SC-74903', 'SMR000777845', 'A4252', 'FT-0633921', 'NS00005534', 'ST50036731', 'EN300-93027', 'Nitrapyrin, PESTANAL(R), analytical standard', '2-Chloro-6-(trichloromethyl)pyridine, &gt;=98%', '29N824', 'C-5071', 'C18751', '135739-EP2275422A1', '135739-EP2292608A1', 'Q-101453', 'Q1993935', '2-Picoline, .alpha.,.alpha.,.alpha.,6-tetrachloro-', '2-Chloro-6-(trichloromethyl)pyridine, analytical reference material']</t>
  </si>
  <si>
    <t>Compound(16004)</t>
  </si>
  <si>
    <t>2-chloroaniline</t>
  </si>
  <si>
    <t>['2-CHLOROANILINE', 'o-Chloroaniline', '95-51-2', '2-Chlorobenzenamine', 'Benzenamine, 2-chloro-', '2-Chlorophenylamine', '1-Amino-2-chlorobenzene', 'o-Aminochlorobenzene', 'o-Chloroaminobenzene', 'Aniline, o-chloro-', 'o-Chloraniline', 'Fast Yellow GC Base', 'Benzenamine, chloro-', 'NSC 6183', '2-Chloro aniline', 'UNII-G14I494T2F', 'CCRIS 2880', 'HSDB 2045', '2-CHLORO-ANILINE', 'EINECS 202-426-4', 'AI3-16321', 'Azoic diazo component 44, base', 'G14I494T2F', 'MFCD00007656', '2-Chloroaniline, 98+%', '27134-26-5', '2-Chloroanilinium chloride', '6-chloroaniline', 'o-chloro-aniline', 'Codeine TMS', '2-aminochlorobenzene', '2-Chloro-phenylamine', '(2-chlorophenyl)amine', '1,2-aminochlorobenzene', 'PubChem10836', 'PubChem19107', '(2-chlorophenyl)-amine', '2-Amino-1-chlorobenzene', 'Benzeneamine, 2-chloro-', 'DSSTox_CID_1810', 'WLN: ZR BG', 'ACMC-209rz5', 'UN 2018 (Related)', 'UN 2019 (Related)', 'EC 202-426-4', 'DSSTox_RID_76342', 'DSSTox_GSID_21810', 'SCHEMBL25495', 'KSC203M7L', 'MLS002454424', 'BIDD:GT0224', 'CHEMBL389885', 'DTXSID2021810', 'CTK1A3675', 'NSC6183', '(2-Chlorophenylamine)radical anion', 'HMS3039D15', 'ZINC164914', 'KS-000002LY', 'NSC-6183', 'STR00033', 'Tox21_200802', 'ANW-40527', 'CC0074', 'SBB040494', 'STL168885', '2-Chloroaniline, &gt;=99.5% (GC)', 'AKOS000119118', 'AM87482', 'LS-1978', 'LS11568', 'MCULE-8604040668', 'CAS-95-51-2', 'NCGC00091121-01', 'NCGC00091121-02', 'NCGC00258356-01', 'SC-22931', 'SMR001372017', 'DB-020908', 'DS-009850', 'FT-0611903', 'NS00010859', 'ST45255279', '2-Chloroaniline, technical, &gt;=98.0% (GC)', 'AZ0001-0090', '2-Chloroaniline 100 microg/mL in Acetonitrile', 'M-6083', '79520-EP2305695A2', '79520-EP2305696A2', '79520-EP2305697A2', '79520-EP2305698A2', '139415-EP2270008A1', '139415-EP2275404A1', '139415-EP2280001A1', '139415-EP2284157A1', '139415-EP2292617A1', '2-Chloroaniline, PESTANAL(R), analytical standard', 'J-509009', 'Q2294431', 'Z57127444', 'F2190-0428', 'Benzenamine, 2-chloro-, hydrochloride;Benzenamine, chloro-;2-Chloroaniline;Aniline, 2-chloro-', 'O-CHLOROANILINE (SEE ALSO: M-CHLOROANILINE (CAS 108-42-9) &amp; P-CHLOROANILINE (CAS 106-47-8))']</t>
  </si>
  <si>
    <t>Compound(7240)</t>
  </si>
  <si>
    <t>C6H6ClN</t>
  </si>
  <si>
    <t>2-chloroethanol</t>
  </si>
  <si>
    <t>['2-chloroethanol', 'Ethylene chlorohydrin', '107-07-3', 'Ethanol, 2-chloro-', 'Glycol chlorohydrin', '2-Chloroethyl alcohol', 'Glycol monochlorohydrin', '2-Monochloroethanol', 'Ethylchlorohydrin', '2-Chlorethanol', '2-Chloro-1-ethanol', '2-Hydroxyethyl chloride', 'Glycomonochlorhydrin', 'beta-Chloroethyl alcohol', 'Ethylene chlorhydrin', 'Ethene, chlorohydrin', '2-Chloorethanol', '2-Chloraethanol', '2-Cloroetanolo', 'beta-Chloroethanol', 'Aethylenechlorhydrin', '2-Chloro-1-hydroxyethane', 'Glicol monocloridrina', 'Ethyleen-chloorhydrine', 'Glycolmonochloorhydrine', 'Ethylene glycol, chlorohydrin', 'beta-Hydroxyethyl chloride', 'delta-Chloroethanol', 'NCI-C50135', 'Chloroalcohol', 'Z-Chloroethanol', '2-CHLORO-ETHANOL', '2-Chloorethanol [Dutch]', '2-Chlorethanol [German]', 'Monochlorhydrine du glycol', '2-Chloraethanol [German]', '2-Cloroetanolo [Italian]', 'Ethanol, chloro-', '2-Chloro Ethanol', 'UNII-753N66IHAN', 'Aethylenechlorhydrin [German]', 'CCRIS 859', 'NSC 122289', 'Ethyleen-chloorhydrine [Dutch]', '.beta.-Chloroethanol', '2-chloroethan-1-ol', 'Glycolmonochloorhydrine [Dutch]', 'HSDB 426', 'Chloroethylowy alkohol [Polish]', 'Glicol monocloridrina [Italian]', 'Monochlorhydrine du glycol [French]', 'EINECS 203-459-7', 'UN1135', '.beta.-Chloroethyl alcohol', 'BRN 0878139', '.beta.-Hydroxyethyl chloride', 'AI3-52326', '753N66IHAN', 'CHEBI:28200', 'delta-Chloroethanolchloroethylowy alkohol [Polish]', 'MFCD00002829', '2-Chloroethanol (ethylene chlorohydrin)', '2-Chloroethanol, 99+%', 'Titanium(4+) 2-chloroethanolate', 'Chloroethylowy alkohol', '2- Chloroethanol', '2-chloranylethanol', 'ethylenechlorohydrin', 'ethylenechlorohydrine', 'glycomonochlorohydrin', '2-choroethan-1-ol', 'ethylene chlorohydrine', 'delta-Chloroethanolchloroethylowy alkohol', '2-chloro-ethan-1-ol', 'CH2ClCH2OH', 'glycol monochlorohydri n', '2-Chloroethanol, 99%', '1-chloro-2-hydroxyethane', 'DSSTox_CID_1877', 'bmse000360', 'EC 203-459-7', 'WLN: Q2G', 'DSSTox_RID_76380', 'DSSTox_GSID_21877', '4-01-00-01372 (Beilstein Handbook Reference)', 'CHEMBL191244', 'DTXSID1021877', 'CTK0H6464', 'ACT07200', 'ZINC8220697', 'Tox21_300043', 'ArgoGel(TM)-Cl, 1 % cross-linked', 'BBL011477', 'LS-426', 'NSC122289', 'STL146589', 'AKOS000119040', 'MCULE-5139580173', 'NSC-122289', 'UN 1135', 'NCGC00247890-01', 'NCGC00254022-01', 'CAS-107-07-3', '.delta.-Chloroethanolchloroethylowy alkohol', 'Ethylene chlorohydrin [UN1135] [Poison]', '2-Chloroethanol 1000 microg/mL in Methanol', 'Ethylene chlorohydrin [UN1135]  [Poison]', 'NS00003567', 'NS00047535', 'X4831', 'AZ0001-0066', '5788-EP2275417A2', '5788-EP2284162A2', '5788-EP2284163A2', '5788-EP2314295A1', '5788-EP2372017A1', 'C06753', '2-Chloroethanol, SAJ special grade, &gt;=99.0%', 'A801572', 'Q209354', '2-Chloroethanol, PESTANAL(R), analytical standard', '2-Chloroethanol, puriss. p.a., &gt;=99.0% (GC)', 'J-509022', 'F1908-0073']</t>
  </si>
  <si>
    <t>Compound(34)</t>
  </si>
  <si>
    <t>C2H5ClO</t>
  </si>
  <si>
    <t>2-chloropropane</t>
  </si>
  <si>
    <t>['2-CHLOROPROPANE', 'Isopropyl chloride', '75-29-6', 'Propane, 2-chloro-', 'Isopropylchloride', '2-Propyl chloride', 'sec-Propyl chloride', 'Chlorodimethylmethane', 'Narcosop', 'Isoprid', '2-CHLORO-PROPANE', 'UNII-VU39J8AJ2N', 'CCRIS 874', 'HSDB 5204', 'EINECS 200-858-8', 'UN2356', 'BRN 1730782', 'VU39J8AJ2N', 'AI3-18025', 'MFCD00000867', '2-chloro-propan', 'iso-propyl chloride', 'iso-C3H7Cl', 'ACMC-209oxu', '2-Chloropropane, 99%', 'EC 200-858-8', '2-Chloropropane, &gt;=99%', '4-01-00-00191 (Beilstein Handbook Reference)', 'KSC377I8B', '[2-2H2]-propionyl chloride', 'DTXSID6047739', 'CTK2H7480', 'KS-00000UDE', 'ZINC2041292', '2-Chloropropane, analytical standard', 'Propane, 2-chloro-;2-chloropropane', 'ANW-36592', 'STL480907', 'AKOS009156966', 'MCULE-3190141598', 'UN 2356', 'DB-021181', 'LS-119656', 'FT-0612007', 'NS00003474', '2-Chloropropane [UN2356] [Flammable liquid]', '2-Chloropropane [UN2356]  [Flammable liquid]', 'Q209360', 'J-504537', 'Q-200264', 'F0001-1898', '37610-04-1']</t>
  </si>
  <si>
    <t>Compound(6361)</t>
  </si>
  <si>
    <t>2-chloroethyl ether</t>
  </si>
  <si>
    <t>1-chloro-2-ethoxyethane</t>
  </si>
  <si>
    <t>['2-Chloroethyl ethyl ether', '628-34-2', '1-CHLORO-2-ETHOXYETHANE', '2-Ethoxyethyl chloride', '2-Chloroethoxyethane', '2-Chloroethylethylether', '1-chloro-2-ethoxy-ethane', 'Ether, 2-chloroethyl ethyl', 'beta-Chloroethyl ethyl ether', 'Ethyl beta-chloroethyl ether', 'Ethane, 1-chloro-2-ethoxy- (9CI)', 'Ethane, 1-chloro-2-ethoxy-', 'CCRIS 9095', '2-Chlorodiethyl ether', 'EINECS 211-037-9', 'BRN 1731361', '2-chloro-1-ethoxyethane', 'chloroethylethyl ether', 'PubChem1932', 'chloroethyl ethyl ether', '(2-chloroethoxy)ethane', 'beta-Chlorodiethyl ether', '2-chloroethylethyl ether', 'ACMC-1AXDY', '2-chloroethyl-ethyl ether', '1-chloranyl-2-ethoxy-ethane', 'KSC498A2J', 'SCHEMBL115596', '.beta.-Chloroethyl ethyl ether', 'Ethyl .beta.-chloroethyl ether', 'CTK3J8024', 'DTXSID10211882', '2-Chloroethyl ethyl ether, 99%', 'BCP15316', 'KS-00000D2B', 'ZINC2031622', 'ANW-34402', 'MFCD00000974', 'SBB061015', 'AKOS009157288', 'MCULE-1290576729', 'VZ34632', 'LS-67793', 'AB0057554', 'DB-054301', 'C1172', 'FT-0632655', 'NS00035189', 'ST51047095', 'A834031', 'F0001-1693']</t>
  </si>
  <si>
    <t>Compound(12341)</t>
  </si>
  <si>
    <t>C4H9ClO</t>
  </si>
  <si>
    <t>2-chlorophenol</t>
  </si>
  <si>
    <t>['2-CHLOROPHENOL', 'o-Chlorophenol', '95-57-8', 'Phenol, 2-chloro-', '2-Hydroxychlorobenzene', 'o-Chlorphenol', '2-Chloro-1-hydroxybenzene', 'o-Chlorophenic acid', 'Phenol, o-chloro-', 'CHLOROPHENOL', 'Septi-Kleen', '2-chloro-phenol', 'RCRA waste number U048', 'Pine-O Disinfectant', 'Caswell No. 203', 'o-Chlorphenol [German]', 'UNII-K9KAV4K6BN', 'Phenol, chloro-', 'NSC 2870', 'CCRIS 640', 'HSDB 1415', 'EINECS 202-433-2', 'K9KAV4K6BN', '1-Chloro-2-hydroxybenzene', 'RCRA waste no. U048', 'EPA Pesticide Chemical Code 062204', 'AI3-09060', 'CHEBI:47083', 'MFCD00002159', '2-Chlorophenol, 98+%', 'DSSTox_CID_1544', '2-Chlorophenol, &gt;=99%', 'DSSTox_RID_76202', 'DSSTox_GSID_21544', 'ortho-chlorophenol', 'CAS-95-57-8', '25167-80-0', '2CH', 'orthochlorophenol', '2-chloro phenol', '1wbo', 'Chlorophenols, solid', 'Chlorophenols, liquid', 'o-Chlorophenol, solid', 'o-Chlorophenol, liquid', 'Chlorophenol (Related)', 'PubChem12600', 'PHENOL,2-CHLORO', '2-Chlorophenol, 98%', 'WLN: QR BG', '2-Chlorophenol (2-CP)', 'ACMC-20aj05', 'EC 202-433-2', 'SCHEMBL12279', 'KSC180C6P', 'MLS002454425', 'BIDD:ER0681', 'CHEMBL108877', 'DTXSID5021544', 'BDBM36301', 'KS-00000VPN', 'NSC2870', 'HMS2267F05', 'ZINC402767', 'CS-D1478', 'NSC-2870', 'EINECS 246-691-4', 'Tox21_201410', 'Tox21_300340', 'ANW-75555', 'STL281867', 'AKOS000118966', 'DB03110', 'LS-1982', 'MCULE-3004295061', 'NCGC00091286-01', 'NCGC00091286-02', 'NCGC00091286-03', 'NCGC00254422-01', 'NCGC00258961-01', '2-Chlorophenol 10 microg/mL in Methanol', 'PS-11957', 'SC-18063', 'SMR000112048', '2-Chlorophenol 100 microg/mL in Methanol', 'p-Phenylenediamine-o-chlorophenol copolymer', 'DB-057591', 'LS-104187', 'FT-0611987', 'NS00002157', '2-Chlorophenol, SAJ first grade, &gt;=99.0%', 'C14219', '93918-EP2269977A2', '93918-EP2305625A1', '2-Chlorophenol, PESTANAL(R), analytical standard', 'Q176486', 'J-509162', 'F0001-2274', 'o-Chlorophenol, liquid [UN2021] [Keep away from food]', 'o-Chlorophenol, solid [UN2020]  [Keep away from food]', 'o-Chlorophenol, solid [UN2020] [Keep away from food]', '2-Chlorophenol, certified reference material, TraceCERT(R)', 'o-Chlorophenol, liquid [UN2021]  [Keep away from food]', 'UNII-AZ1041M258 component ISPYQTSUDJAMAB-UHFFFAOYSA-N', 'UNII-E9JIO40PSX component ISPYQTSUDJAMAB-UHFFFAOYSA-N']</t>
  </si>
  <si>
    <t>Compound(7245)</t>
  </si>
  <si>
    <t>C6H5ClO</t>
  </si>
  <si>
    <t>2-chloronaphthalene</t>
  </si>
  <si>
    <t>['2-CHLORONAPHTHALENE', '91-58-7', 'Naphthalene, 2-chloro-', '2-Chloro naphthalene', 'beta-Chloronaphthalene', '2-Chloro-naphthalene', 'Halowax', '2-Chlornaftalen', 'RCRA waste number U047', '.beta.-Chloronaphthalene', '2-Chlornaftalen [Czech]', 'UNII-49O81U3ITI', 'CCRIS 5995', 'HSDB 4014', 'EINECS 202-079-9', 'RCRA waste no. U047', 'AI3-01537', '49O81U3ITI', 'CHEMBL372646', '2-Chloronaphthalene, 99%', '7-chloronaphthalene', '2-naphthyl chloride', 'PubChem9464', 'ACMC-209rch', 'DSSTox_CID_3971', 'DSSTox_RID_77243', 'DSSTox_GSID_23971', 'KSC486M6J', 'SCHEMBL152521', 'DTXSID8023971', 'CTK3I6664', 'KS-000011LC', 'ZINC2041199', 'Tox21_200981', 'ANW-39711', 'BDBM50159243', 'MFCD00035731', 'AKOS015851128', 'GS-6188', 'LS-1923', 'QC-1324', 'VZ24429', 'CAS-91-58-7', 'NCGC00091876-01', 'NCGC00091876-02', 'NCGC00258534-01', 'AC-13048', 'AK111099', 'L250', 'SC-58006', 'SY055345', 'DB-020948', 'FT-0631439', 'NS00039402', 'ST50405534', '2-Chloronaphthalene 10 microg/mL in Isooctane', '2-Chloronaphthalene 10 microg/mL in Acetonitrile', 'W-100304', 'Q18923298', '2-chloronaphthalene;/ 1321-65-9 / 1335-88-2 2-monochloronaphthalene']</t>
  </si>
  <si>
    <t>Compound(7056)</t>
  </si>
  <si>
    <t>2-chlorotoluene</t>
  </si>
  <si>
    <t>1-chloro-2-methylbenzene</t>
  </si>
  <si>
    <t>['2-Chlorotoluene', '1-Chloro-2-methylbenzene', '95-49-8', 'o-Chlorotoluene', 'Benzene, 1-chloro-2-methyl-', 'ortho-Chlorotoluene', 'o-Tolyl chloride', 'Toluene, o-chloro-', '2-Methylchlorobenzene', 'Halso 99', '2-Chloro-1-methylbenzene', '1-METHYL-2-CHLOROBENZENE', 'UNII-2G7D0YDV9H', 'NSC 8766', 'CCRIS 7785', 'HSDB 5291', 'EINECS 202-424-3', 'ORTHO CHLOROTOLUENE', 'BRN 1904175', '2G7D0YDV9H', 'AI3-15912', '2-Chlorotoluene, 98%', 'DSSTox_CID_3977', 'DSSTox_RID_77246', 'DSSTox_GSID_23977', 'CAS-95-49-8', '1-chloro-2-methyl-benzene', 'o-tolylchloride', '2 -chlorotoluene', 'ortho-tolyl chloride', 'PubChem19748', '2-Chlorotoluene, 99%', 'TOLUENE,2-CHLORO', 'ACMC-209rz3', 'EC 202-424-3', 'SCHEMBL12792', '4-05-00-00805 (Beilstein Handbook Reference)', 'KSC486M8P', 'CHEMBL1797265', 'DTXSID8023977', 'SCHEMBL10738408', 'CTK3I6687', 'NSC8766', 'NSC-8766', 'ZINC1648221', '2-Chlorotoluene, analytical standard', '2-chlorotoluene;Toluene, 2-chloro-', 'Tox21_201251', 'Tox21_300329', 'ANW-40525', 'MFCD00000562', 'STL280355', 'AKOS000120015', 'LS11417', 'MCULE-2832835864', 'MP-2125', 'KS-00000V72', 'NCGC00247992-01', 'NCGC00247992-02', 'NCGC00254384-01', 'NCGC00258803-01', 'AS-12438', 'LS-154030', 'FT-0612029', 'NS00004805', 'S0659', 'o-Chlorotoluene [UN2238] [Flammable liquid]', 'o-Chlorotoluene [UN2238]  [Flammable liquid]', '2-Chlorotoluene, PESTANAL(R), analytical standard', 'J-509184', 'Q17276347', 'F0001-2272']</t>
  </si>
  <si>
    <t>Compound(7238)</t>
  </si>
  <si>
    <t>C7H7Cl</t>
  </si>
  <si>
    <t>2-chloroacetamide</t>
  </si>
  <si>
    <t>['Chloroacetamide', '2-Chloroacetamide', '79-07-2', 'Acetamide, 2-chloro-', 'CHLORACETAMIDE', '2-Chloroethanamide', 'Microcide', 'Mergal AF', 'Chloracetamid', '2-Chloro-acetamide', 'USAF DO-29', '2-Chloracetamide', 'alpha-Chloroacetamide', 'Chloracetamid [German]', '.alpha.-Chloroacetamide', 'NSC 54286', 'UNII-2R97846T1L', 'HSDB 7449', 'EINECS 201-174-2', 'BRN 0878191', 'AI3-60133', 'CHEMBL346368', '2-chloro-acetamid', 'MFCD00008027', '2R97846T1L', '2-Chloroacetamide, 98%', 'WLN: ZV1G', 'a-chloroacetamide', 'monochloroacetamide', '2--Chloroacetamide', '.alpha.-Chloracetamide', 'ClCH2CONH2', '2-chloroacetic acid amide', 'EC 201-174-2', 'Acetamide, .alpha.-chloro-', 'DSSTox_CID_21570', 'DSSTox_GSID_41570', '2-Chloroacetamide, &gt;=98%', 'KSC378A5D', '[DID-no:2405]', 'ACETIC ACID,CHLORO,AMIDE', 'DTXSID9041570', 'CTK2H8051', 'KS-00000MZD', 'NSC8408', 'NSC-8408', 'NSC54286', 'STR00268', 'ZINC4722803', 'Tox21_304037', 'ANW-13603', 'BBL005600', 'BDBM50226182', 'NSC-54286', 'STK298897', 'AKOS000104694', 'CS-W011345', 'HY-W010629', 'LS-8434', 'MCULE-3241549842', 'CAS-79-07-2', '2-Chloroacetamide, &gt;=98.0% (HPLC)', 'NCGC00357244-01', 'BR-65239', 'FT-0611896', 'FT-0664531', 'NS00007551', 'M-6026', '15256-EP2277875A2', '15256-EP2289882A1', '15256-EP2301627A1', '15256-EP2316832A1', '15256-EP2316833A1', 'Q209345', 'J-509001', 'CHLOROACETAMIDE;2-Chloroacetamide;2-chloroacetamide', 'F2190-0195']</t>
  </si>
  <si>
    <t>Compound(6580)</t>
  </si>
  <si>
    <t>C2H4ClNO</t>
  </si>
  <si>
    <t>2-chloroacetophenone</t>
  </si>
  <si>
    <t>2-chloro-1-phenylethanone</t>
  </si>
  <si>
    <t>['2-CHLOROACETOPHENONE', '532-27-4', 'Phenacyl chloride', '2-Chloro-1-phenylethanone', 'CHLOROACETOPHENONE', 'Tear Gas', 'alpha-Chloroacetophenone', 'omega-Chloroacetophenone', 'Mace (lacrimator)', 'Ethanone, 2-chloro-1-phenyl-', 'Acetophenone, 2-chloro-', 'Phenacylchloride', 'Mace', '1-Chloroacetophenone', 'Chloromethyl phenyl ketone', 'Chemical mace', 'CN (lacrimator)', '2-Chloro-1-phenylethan-1-one', 'Chloracetophenone', 'Phenyl chloromethyl ketone', 'a-Chloroacetophenone', 'NCI-C55107', 'Phenylchloromethylketone', 'Caswell No. 179C', '.alpha.-Chloroacetophenone', '2-Chloroacetophenone (CN)', '2-Chloro-1-phenyl-ethanone', 'NSC 41666', 'UNII-88B5039IQG', 'CCRIS 2370', 'HSDB 972', 'EINECS 208-531-1', 'MFCD00000933', 'UN1697', '.alpha.-Phenacyl chloride', '.omega.-Chloroacetophenone', 'CN', 'EPA Pesticide Chemical Code 018001', 'BRN 0507950', 'AI3-52322', 'CHEMBL105712', '88B5039IQG', 'DSSTox_CID_293', 'DSSTox_RID_75493', 'DSSTox_GSID_20293', 'Chloroacetophenone (CN), solid [UN1697] [Poison]', 'CAS-532-27-4', '2-chloroacetophenon', 'Chloroacetyl benzene', 'Benzoylmethyl chloride', '2-chloro acetophenone', '2-chloro-acetophenone', 'PubChem3264', '2-Chloroacetonephenone', 'alpha-Phenacyl chloride', 'Chloroacetophenone, 2-', 'I+/--chloroacetophenone', 'W-CHLOROACETOPHENONE', 'WLN: G1VR', 'Phenyl chloromethy l ketone', '2-Chloroacetophenone, 98%', 'SCHEMBL55444', '4-07-00-00641 (Beilstein Handbook Reference)', 'BETA-CHLOROACETOPHENONE', 'KSC103C9B', 'Benzeneacetaldehyde, a-chloro-', '(2-Chloro-1-oxoethyl)benzene', '1-Phenyl-2-chloro-1-ethanone', 'BDBM7873', 'Chloroacetophenone (CN), solid', 'GTPL6285', 'PARAGOS 530514', 'Chloroacetophenone (CN), liquid', 'DTXSID9020293', 'ATTERCOP-CHM AT113381', 'OTAVA-BB 1366928', 'LABOTEST-BB LTBB002807', 'NSC41666', 'STR01480', 'ZINC1673519', 'Halomethyl Phenyl Ketone deriv. 21', 'Tox21_202075', 'Tox21_300045', 'ANW-64249', 'LABOTEST-BB LT03333320', 'LS-192', 'NSC-41666', '2-Chloroacetophenone(phenacylchloride)', 'AKOS000200777', 'AS01163', 'LS11677', 'MCULE-1687900460', 'UN 1697', 'a-Chloroacetophenone;2-chloroacetophenone', 'NCGC00091207-01', 'NCGC00091207-02', 'NCGC00091207-03', 'NCGC00091207-04', 'NCGC00091207-05', 'NCGC00254035-01', 'NCGC00259624-01', '8007-12-3', 'DB-013352', 'NS00020661', 'EN300-18309', '2-Chloroacetophenone, purum, &gt;=98.0% (GC)', '4636-EP2269992A1', '4636-EP2269994A1', '4636-EP2270001A1', '4636-EP2270004A1', '4636-EP2270014A1', '4636-EP2270018A1', '4636-EP2272510A1', '4636-EP2272517A1', '4636-EP2272825A2', '4636-EP2272837A1', '4636-EP2272848A1', '4636-EP2272972A1', '4636-EP2272973A1', '4636-EP2274983A1', '4636-EP2275105A1', '4636-EP2275395A2', '4636-EP2275416A1', '4636-EP2275422A1', '4636-EP2277848A1', '4636-EP2277858A1', '4636-EP2277862A2', '4636-EP2277865A1', '4636-EP2277866A1', '4636-EP2277869A1', '4636-EP2277870A1', '4636-EP2277871A1', '4636-EP2277872A1', '4636-EP2277876A1', '4636-EP2277877A1', '4636-EP2277882A1', '4636-EP2277898A2', '4636-EP2280005A1', '4636-EP2280008A2', '4636-EP2280282A1', '4636-EP2281810A1', '4636-EP2281815A1', '4636-EP2281823A2', '4636-EP2281861A2', '4636-EP2284148A1', '4636-EP2284149A1', '4636-EP2284157A1', '4636-EP2284178A2', '4636-EP2284179A2', '4636-EP2286915A2', '4636-EP2287154A1', '4636-EP2287165A2', '4636-EP2287166A2', '4636-EP2287167A1', '4636-EP2289509A2', '4636-EP2289868A1', '4636-EP2289871A1', '4636-EP2289876A1', '4636-EP2289884A1', '4636-EP2289891A2', '4636-EP2292088A1', '4636-EP2292227A2', '4636-EP2292234A1', '4636-EP2292595A1', '4636-EP2292607A2', '4636-EP2292608A1', '4636-EP2292614A1', '4636-EP2292620A2', '4636-EP2292621A1', '4636-EP2292625A1', '4636-EP2295402A2', '4636-EP2295408A1', '4636-EP2295412A1', '4636-EP2295413A1', '4636-EP2295415A1', '4636-EP2295422A2', '4636-EP2295429A1', '4636-EP2295433A2', '4636-EP2298305A1', '4636-EP2298761A1', '4636-EP2298776A1', '4636-EP2298780A1', '4636-EP2301544A1', '4636-EP2301932A1', '4636-EP2305627A1', '4636-EP2305636A1', '4636-EP2305640A2', '4636-EP2305652A2', '4636-EP2305655A2', '4636-EP2305668A1', '4636-EP2305675A1', '4636-EP2305677A1', '4636-EP2305688A1', '4636-EP2305689A1', '4636-EP2305695A2', '4636-EP2305696A2', '4636-EP2305697A2', '4636-EP2305698A2', '4636-EP2308812A2', '4636-EP2308828A2', '4636-EP2308840A1', '4636-EP2308844A2', '4636-EP2308845A2', '4636-EP2308846A2', '4636-EP2308849A1', '4636-EP2308850A1', '4636-EP2308852A1', '4636-EP2308866A1', '4636-EP2308872A1', '4636-EP2308876A1', '4636-EP2311464A1', '4636-EP2311801A1', '4636-EP2311802A1', '4636-EP2311803A1', '4636-EP2311820A1', '4636-EP2311823A1', '4636-EP2311825A1', '4636-EP2311836A1', '4636-EP2311837A1', '4636-EP2311840A1', '4636-EP2314574A1', '4636-EP2314576A1', '4636-EP2314580A1', '4636-EP2314584A1', '4636-EP2314588A1', '4636-EP2314590A1', '4636-EP2314593A1', '4636-EP2315502A1', '4636-EP2316829A1', '4636-EP2316832A1', '4636-EP2316833A1', '4636-EP2316834A1', '4636-EP2316835A1', '4636-EP2316974A1', '4636-EP2371795A1', '4636-EP2371814A1', '4636-EP2371823A1', '4636-EP2374790A1', '4636-EP2374791A1', '4636-EP2374792A1', '4636-EP2377845A1', '4636-EP2380869A1', '4636-EP2380870A1', 'Y-8606', 'Q284209', 'Q-200259', 'Chloroacetophenone (CN), liquid [UN1697]  [Poison]', 'Chloroacetophenone (CN), liquid [UN1697] [Poison]']</t>
  </si>
  <si>
    <t>Compound(10757)</t>
  </si>
  <si>
    <t>C8H7ClO</t>
  </si>
  <si>
    <t>2-methyl-2-propenal</t>
  </si>
  <si>
    <t>2-methylprop-2-enal</t>
  </si>
  <si>
    <t>['METHACROLEIN', 'Methacrylaldehyde', '78-85-3', '2-Propenal, 2-methyl-', '2-Methyl-2-propenal', 'Isobutenal', '2-Methylacrolein', '2-Methylpropenal', '2-Methylprop-2-enal', 'Methylacrylaldehyde', '2-Methylenepropanal', 'Methacrylic aldehyde', 'Acrolein, 2-methyl-', 'Methakrylaldehyd', 'alpha-Methylacrolein', 'HSDB 182', 'Methakrylaldehyd [Czech]', '2-Methylpropenal [Czech]', 'NSC 8260', 'UNII-9HRB24892H', '.alpha.-Methacrolein', 'CCRIS 1153', '.alpha.-Methylacrolein', 'EINECS 201-150-1', 'UN2396', 'BRN 1209258', 'AI3-37779', '9HRB24892H', 'Methacrolein-13C', 'Methacrolein, 90%, stabilized', 'methacroleine', 'Methacraldehyde', 'methyl propenal', '2-methyl-propenal', '2-Methylacrylaldehyde', 'Methacrolein, 95%', '1119514-41-8', '2-Methylacrylaldehyde #', 'Methacrylaldehyde, inhibited', 'CH2=C(CH3)CHO', 'WLN: VHY1&amp;U1', '4-01-00-03455 (Beilstein Handbook Reference)', 'UN 2396 (Salt/Mix)', 'CHEMBL4063095', 'DTXSID0052540', 'CHEBI:88384', 'CTK2H7214', 'KS-00000WKB', 'NSC8260', 'Methacrolein (stabilized with HQ)', 'NSC-8260', 'ZINC1586526', '7213AF', 'ANW-41500', 'MFCD00006974', 'AKOS000119839', 'LS-89902', 'FT-0628270', 'FT-0671115', 'M0078', 'NS00022801', 'Methacrolein, 90%, stabilized, AcroSeal(R)', 'A839511', 'Q420234', 'F2191-0163', 'Methacrylaldehyde, inhibited [UN2396]  [Flammable liquid]', 'Methacrylaldehyde, inhibited [UN2396] [Flammable liquid]']</t>
  </si>
  <si>
    <t>Compound(6562)</t>
  </si>
  <si>
    <t>C4H6O</t>
  </si>
  <si>
    <t>2-phenylaminoethanol</t>
  </si>
  <si>
    <t>2-anilinoethanol</t>
  </si>
  <si>
    <t>['2-ANILINOETHANOL', '2-(Phenylamino)ethanol', '122-98-5', 'N-Phenylethanolamine', 'Ethanol, 2-(phenylamino)-', 'N-(2-Hydroxyethyl)aniline', '2-(phenylamino)ethan-1-ol', 'Ethanol, 2-anilino-', 'beta-Anilinoethanol', 'phenylglycinol', 'Aniline, N-(2-hydroxyethyl)-', 'N-(2-Hydroxyethyl)phenylamine', 'Emery 5700', 'Phenyl ethanolamine', 'Benzenamine, N-(2-hydroxyethyl)-', 'N-Hydroxyethyl aniline', '(beta-Hydroxyethyl)aniline', 'NSC 8393', 'N-(beta-Hydroxyethyl)aniline', 'UNII-630DL2N96B', '.beta.-Anilinoethanol', 'Aniline, N-(beta-hydroxyethyl)-', 'EINECS 204-588-1', 'BRN 0774672', '(.beta.-Hydroxyethyl)aniline', 'AI3-02009', 'N-(.beta.-Hydroxyethyl)aniline', '630DL2N96B', 'Aniline, N-(.beta.-hydroxyethyl)-', 'N-Hydroxyethylaniline', 'phenyl glycinol', '2-anilino ethanol', '2-anilino-ethanol', '2-phenylaminoethanol', 'NPEA', '2-Anilinoethan-1-ol', 'ACMC-209ant', '2-(phenylamino) ethanol', 'N-beta-Hydroxyethylaniline', 'WLN: Q2MR', 'EC 204-588-1', 'SCHEMBL8115', 'n-(2-hydroxyethyl) aniline', '2-HYDROXYETHYLANILINE', 'N-(2 hydroxy ethyl)aniline', 'N-(2-hydroxyethyl)-aniline', 'Oprea1_280517', '4-12-00-00277 (Beilstein Handbook Reference)', 'KSC492Q8L', 'BIDD:GT0313', 'N-(2 hydroxy ethyl) aniline', 'BETA-HYDROXYETHYLANILINE', 'N-PHENYL-2-AMINOETHANOL', 'CHEMBL1908069', 'DTXSID8059550', 'CTK3J2885', 'NSC8393', 'OTAVA-BB 1866520', 'N-(2-Hydroxyethyl)aniline, 98%', 'ALBB-020698', 'NSC-8393', 'STR06691', 'ZINC4806325', 'ANW-18087', 'BBL011612', 'MFCD00002832', 'STK943765', 'AKOS000120292', 'AS00460', 'CS-W016519', 'MCULE-8468662163', 'NE10231', 'AK114216', 'L199', 'LS-66449', 'SC-47141', 'DB-000301', 'A0466', 'FT-0743890', 'NS00007518', 'ST51023434', 'V7623', 'AZ0001-0091', 'W-108418', 'N-(2-Hydroxyethyl)aniline, technical, &gt;=98.0% (T)', 'Q15632814', 'F2190-0412', 'EOA']</t>
  </si>
  <si>
    <t>Compound(31235)</t>
  </si>
  <si>
    <t>C8H11NO</t>
  </si>
  <si>
    <t>b-phenylethylamine</t>
  </si>
  <si>
    <t>2-phenylethanamine</t>
  </si>
  <si>
    <t>['Phenethylamine', '2-phenylethylamine', '2-Phenylethanamine', '64-04-0', 'Benzeneethanamine', 'phenylethylamine', '2-Phenethylamine', 'beta-phenylethylamine', 'beta-Phenethylamine', '1-Amino-2-phenylethane', '2-Phenylethan-1-Amine', 'beta-Aminoethylbenzene', '(2-Aminoethyl)benzene', '1-Phenyl-2-aminoethane', '2-Amino-1-phenylethane', 'Ethanamine, 2-phenyl-', 'Ethylamine, 2-phenyl-', '1-Phenyl-2-amino-athan', '2-Fenylethylamin', '2-Amino-fenylethan', '2-Fenylethylamin [Czech]', 'PHENETHYLAMINE, BETA', '2-Amino-fenylethan [Czech]', 'beta-Phenylaethylamin [German]', '2-Aminoethylbenzene', 'beta-Phenylaethylamin', '1-Phenyl-2-amino-athan [German]', '.beta.-Phenethylamine', '.beta.-Phenylethylamine', 'phenethyl amine', 'phenethyl-amine', '.beta.-Aminoethylbenzene', 'b-phenylethylamine', '1tnj', '1utm', '1uto', 'UNII-327C7L2BXQ', 'NSC 10811', 'FEMA No. 3220', 'PHEA', 'C8H11N', 'Phenethylamine, 99%', 'HSDB 3526', '.beta.-Phenylaethylamin', '.omega.-Phenylethylamine', 'EINECS 200-574-4', 'MFCD00008184', 'CHEMBL610', 'BRN 0507488', 'AI3-03117', '327C7L2BXQ', 'CHEBI:18397', 'PHENETHYLAMINE, HYDROCHLORIDE', 'beta-phenylaethylamin (german)', '1-Phenyl-2-amino-athan (GERMAN)', '.beta.-Phenylathylaminhydrochlorid', 'SMR000471837', '.beta.-Phenethylamine hydrochloride', 'Polystyrene A-NH2', '.beta.-Phenylethylamine hydrochloride', '(2-Aminoethyl)polystyrene', '3-AMINOETHYLBENZENE', 'phenethylamin', 'phenethylarnine', 'b-phenethylamine', 'N-phenethylamine', 'Phenylethyl amine', 'b-phenylaethylamin', 'benzene-ethanamine', '2-penylethylamine', 'b-aminoethylbenzene', 'beta Phenethylamine', '2-phenylethaneamine', '2-phenylethariamine', '2-phenyl-ethylamine', '2-phenyl-Ethanamine', '2-Phenylethyl amine', 'N-Benzylmethyl-amine', '14C-phenylethylamine', 'omega-Phenylethylamine', '(2-phenylethyl)amine', '2-(phenyl)ethylamine', '2-Phenylethanamine #', '2-(aminoethyl)benzene', 'PubChem21080', 'Phenethylamine, .beta.', '2-Phenethylamine, liquid', 'Phenethylamine, &gt;=99%', 'ACMC-1ATT1', 'SCHEMBL968', 'bmse000377', 'EC 200-574-4', 'b-phenylaethylamin (german)', 'WLN: Z2R', 'DL-BENZEDRINE SULFATE', 'AURORA KA-7805', 'Dextroamphetamine sulfate salt', 'KSC353A6F', 'MLS001066395', 'MLS001075768', 'SCHEMBL330324', 'GTPL2144', 'PARAGOS 510015', 'RARECHEM AL BW 0047', 'DTXSID5058773', 'BDBM10758', 'CTK2F3062', 'FEMA 3220', 'Dextroamphetamine hemisulfate salt', 'OTAVA-BB 1038619', 'HMS2267J14', 'LABOTEST-BB LTBB000487', 'ACT01135', 'EBD27214', 'KS-000002OD', 'NSC10811', 'STR01455', 'ZINC6579654', 'ANW-34793', 'LABOTEST-BB LT03331710', 'NSC-10811', 's5347', 'SBB058801', 'STL264196', '2-Phenethylamine, analytical standard', '2-phenylethanamine (ACD/Name 4.0)', '2-phenylethylamine (ACD/Name 4.0)', 'AKOS000119084', 'AS00484', 'CCG-266078', 'CS-W011199', 'DB04325', 'HY-W010483', 'LS-3025', 'LS10634', 'MCULE-5305816256', 'NCGC00163366-01', 'AK-44044', 'BR-44044', 'SC-18356', '(+)-alpha-Methylphenethylamine sulfate salt', 'DB-002852', '843-EP2272972A1', '843-EP2272973A1', '843-EP2277872A1', '843-EP2281818A1', '843-EP2284157A1', '843-EP2284174A1', '843-EP2292619A1', '843-EP2295439A1', '843-EP2305260A1', '843-EP2308510A1', '843-EP2308562A2', '843-EP2371811A2', 'NS00010853', 'P0085', 'ST45255355', 'AZ0001-0092', '(+)-alpha-Methylphenethylamine hemisulfate salt', 'C05332', '12463-EP2280001A1', '12463-EP2314571A2', '12463-EP2316826A1', '21691-EP2284174A1', '21691-EP2314571A2', '79541-EP2305695A2', '79541-EP2305696A2', '79541-EP2305697A2', '79541-EP2305698A2', 'Q407411', '(+)-A-METHYLPHENETHYLAMINE HEMISULFATE SALT', 'Q-201553', '(+/-)-ALPHA-METHYLPHENETHYLAMINE SULFATE SALT', 'Phenethylamine, purified by redistillation, &gt;=99.5%', '60BC7032-7CEC-4B97-B365-EA6E475E6E3C', 'F2190-0396', 'Polystyrene A-NH2, extent of labeling: 0.8-1.2 mmol/g loading']</t>
  </si>
  <si>
    <t>Compound(1001)</t>
  </si>
  <si>
    <t>2-phenylphenol</t>
  </si>
  <si>
    <t>['2-Phenylphenol', '2-Hydroxybiphenyl', '90-43-7', 'Biphenyl-2-ol', 'O-PHENYLPHENOL', '2-Biphenylol', 'o-Hydroxybiphenyl', '2-Hydroxydiphenyl', 'o-Hydroxydiphenyl', 'o-Phenyl phenol', 'Phenylphenol', 'Biphenylol', "[1,1'-Biphenyl]-2-ol", 'Orthoxenol', 'o-Diphenylol', 'Orthophenylphenol', 'Torsite', 'o-Xenol', 'Dowicide 1', 'o-Biphenylol', 'Orthohydroxydiphenyl', 'Nectryl', 'Tumescal OPE', 'ortho-Phenylphenol', 'Preventol O extra', 'Remol TRF', 'Phenol, o-phenyl-', 'Tetrosin oe', '1-Hydroxy-2-phenylbenzene', '2-Fenylfenol', '2-Hydroxybifenyl', 'o-Xonal', '2-Phenyl phenol', 'Biphenyl, 2-hydroxy-', 'Invalon OP', 'Anthrapole 73', '2-hydroxy biphenyl', 'Usaf ek-2219', "1,1'-Biphenyl-2-ol", 'Dowicide', 'Kiwi lustr 277', 'Hydroxdiphenyl', '(1,1-Biphenyl)-2-ol', 'o-phenylphenate', "(1,1'-Biphenyl)-2-ol", '2-phenyl-phenol', 'o-Phenylphenol, cosmetic grade', 'Phenyl-2 phenol', 'Dowicide 1 antimicrobial', 'Orthophenyl phenol', 'ortho-phenylphenate', 'orthohydroxydipbenyl', 'Biphenyl-2-o1', 'NCI-C50351', 'Hydroxybiphenyl', '2-Fenylfenol [Czech]', 'Hydroxy-2-phenylbenzene', 'Caswell No. 623AA', '2-Hydroxybifenyl [Czech]', 'Nipacide OPP', 'NSC 1548', "2-Hydroxy-1,1'-biphenyl", '2-Phenylphenol [BSI:ISO]', 'UNII-D343Z75HT8', 'CCRIS 1388', 'Phenyl-2 phenol [ISO-French]', 'HSDB 1753', 'C12H10O', 'EINECS 201-993-5', 'EPA Pesticide Chemical Code 064103', 'BRN 0606907', 'AI3-00062', 'CHEMBL108829', 'CHEBI:17043', 'D343Z75HT8', 'MFCD00002208', 'Dowicide A', 'E231', '2-HYDROXYBIPHENYL (2-PHENYLPHENOL)', '2-Phenylphenol, 99+%', 'DSSTox_CID_1151', 'DSSTox_RID_75978', 'DSSTox_GSID_21151', 'Lyorthol', 'Tumescal 0PE', 'CAS-90-43-7', 'OPP [pesticide]', 'sodium o-phenylphenoate', 'sodium ortho-phenylphenol', 'Stellisept', 'Manusept', 'Rotoline', 'Xenol', 'o-phenyl-phenol', '2-Hyroxybiphenyl', 'Tetrosin OE-N', 'EINECS 262-974-5', 'Amocid (TN)', 'Preventol 3041', "(1,1'-Biphenyl)-2-ol, chlorinated", 'PubChem8909', '2-Phenylphenol; OPP', 'Phenylphenol (ortho-)', '2-Phenylphenol, 99%', 'OPP?', 'Hydroxy-2-ph enylbenzene', 'ACMC-1BW0D', 'WLN: QR BR', 'EC 201-993-5', '2-Phenylphenol, BSI, ISO', 'SCHEMBL29811', '4-06-00-04579 (Beilstein Handbook Reference)', 'KSC175S4N', 'MLS002415765', 'BIDD:ER0664', "[1,1''-biphenyl]-2-ol", 'DTXSID2021151', 'FEMA 3959', 'KS-00000UUP', '2-Phenylphenol, &gt;=99%, FG', 'NSC1548', 'ZINC968134', 'NSC-1548', 'STR07240', 'Tox21_202415', 'Tox21_300674', 'ANW-75569', 'BBL022484', 'BDBM50308551', 'SBB060430', 'STK177354', 'AKOS000118750', 'LS-1912', 'LS10222', 'MCULE-6514278919', 'PS-8698', 'NCGC00091595-01', 'NCGC00091595-02', 'NCGC00091595-03', 'NCGC00091595-04', 'NCGC00091595-05', 'NCGC00091595-06', 'NCGC00254582-01', 'NCGC00259964-01', '2-Phenylphenol 100 microg/mL in Acetone', '61788-42-9', 'AC-10362', 'SMR000778031', '2-Phenylphenol 10 microg/mL in Cyclohexane', '2-Phenylphenol 1000 microg/mL in Acetone', '2-Phenylphenol 10 microg/mL in Acetonitrile', 'BB 0223993', 'FT-0654846', 'H2987', 'NS00010901', 'P0200', 'ST50406167', "1,1'-BIPHENYL-2-OL; 2-PHENYLPHENOL", 'C02499', 'D08367', '2-Phenylphenol, PESTANAL(R), analytical standard', 'Q209467', 'SR-01000944520', 'SR-01000944520-1', 'W-100332', 'F0001-2206', 'Z1262254253', 'UNII-9P55LV4O0G component LLEMOWNGBBNAJR-UHFFFAOYSA-N', 'CH9']</t>
  </si>
  <si>
    <t>Compound(7017)</t>
  </si>
  <si>
    <t>C12H10O</t>
  </si>
  <si>
    <t>2- (phenylsulfonyl) aniline</t>
  </si>
  <si>
    <t>2-(benzenesulfonyl)aniline</t>
  </si>
  <si>
    <t>['2-(Phenylsulfonyl)aniline', '4273-98-7', '2-Amino diphenyl sulfone', '2-Aminophenyl phenyl sulfone', '2-Aminodiphenylsulfone', 'Benzenamine, 2-(phenylsulfonyl)-', 'aminodiphenylsulfone', '2-(benzenesulfonyl)aniline', 'o-Aminodiphenyl sulfone', '2-Aminodiphenyl sulfone', 'UNII-6VU39ID7LU', '2-Aminophenyl phenyl sulphone', '6VU39ID7LU', 'AK110734', '2-(phenylsulfonyl)phenylamine', 'W-106264', 'NSC624235', '2-(Phenylsulfonyl)aniline hydrochloride', '2-(Phenylsulphonyl)aniline', 'EINECS 224-271-1', '2-Aminodiphenylsulfon', '2-phenylsulfonylaniline', 'PubChem10857', 'ACMC-209jqv', '2NHPh-SO2-Ph', '2-benzenesulfonylphenylamine', 'DSSTox_CID_24941', 'DSSTox_RID_80605', 'DSSTox_GSID_44941', '2-(phenylsulfonyl)benzenamine', 'KSC497S4D', 'BIDD:GT0551', 'SCHEMBL395274', 'CHEMBL2009408', 'DTXSID0044941', 'Benzenamine,2-(phenylsulfonyl)-', 'CTK3J7941', 'JBCUKQQIWSWEOK-UHFFFAOYSA-', 'KS-00000UUF', '2-(Phenylsulfonyl)aniline, 97%', 'ZINC119995', 'ZX-AT007422', 'Tox21_301626', 'ANW-29861', 'OR9876', 'SBB000718', 'AKOS003272966', 'ACM4273987', 'MCULE-6747622716', 'PS-6279', 'VZ23505', 'NCGC00256301-01', 'AC-10749', 'NCI60_007288', 'CAS-4273-98-7', 'AX8013830', 'DB-050963', 'FT-0610999', 'NS00009252', 'ST50984721', '2-aminophenyl phenyl sulphone;Aminodiphenylsulfone', 'C-13700', 'Q27265602']</t>
  </si>
  <si>
    <t>Compound(77956)</t>
  </si>
  <si>
    <t>C12H11NO2S</t>
  </si>
  <si>
    <t>2-hydrazinylethanol</t>
  </si>
  <si>
    <t>['2-Hydrazinoethanol', '2-Hydroxyethylhydrazine', '109-84-2', '2-hydrazinylethanol', 'Omaflora', 'Ethanolhydrazine', '(2-Hydroxyethyl)hydrazine', 'ETHANOL, 2-HYDRAZINO-', 'Hydrazineethanol', '2-Hydrazinoethyl alcohol', 'N-(2-Hydroxyethyl)hydrazine', 'beta-Hydroxyethylhydrazine', '2-Hydrazineethanol', '1-(2-Hydroxyethyl)hydrazine', 'Brombloom', '2-hydrazinylethan-1-ol', 'Hydroxyethylhydrazine', 'Ethanol, 2-hydrazinyl-', 'Ethanol, 2-hydrazino', 'Caswell No. 488A', 'beta-Hydroxyethyl hydrazine', 'C2H8N2O', 'NSC 189820', 'UNII-8T2Z8Z231F', 'CCRIS 1077', 'EINECS 203-711-6', 'HEH', 'EPA Pesticide Chemical Code 055502', '.beta.-Hydroxyethylhydrazine', 'BRN 1731669', 'AI3-23609', 'BOH', 'CHEBI:50098', '8T2Z8Z231F', 'MFCD00007623', '2-Hydrazino-1-ethanol', 'ethanol hydrazine', '2-hydrazino ethanol', 'Ethanol-2-hydrazine', 'hydroxylethylhydrazine', 'hydroxyethyl hydrazine', '2-hydoxyethylhydrazine', '2-hydroxyethylhyrazine', 'hydroxy ethyl hydrazine', '2-hydroxyethyl hydrazine', 'DSSTox_CID_728', '2-hydroxy-ethyl hydrazine', 'WLN: ZM2Q', 'DSSTox_RID_75757', 'DSSTox_GSID_20728', '.beta.-Hydroxyethyl hydrazine', '4-04-00-03348 (Beilstein Handbook Reference)', '(.beta.-Hydroxyethyl)hydrazine', 'ACMC-20994j', 'CHEMBL3183346', 'DTXSID1020728', 'CTK0H5380', 'BCP26604', 'EBD19462', 'STR01124', 'Tox21_301204', 'ANW-16097', 'BBL027648', 'GEO-01516', 'NSC189820', 'STL298634', 'ZINC19166957', 'AKOS000119275', 'CS-W007663', 'LS-7133', 'MCULE-1290652744', 'NSC-189820', '2-Hydroxyethylhydrazine, &gt;=97% (GC)', 'NCGC00248335-01', 'NCGC00255101-01', 'BR-41264', 'CAS-109-84-2', 'SC-15469', 'DB-011044', 'AM20080045', 'FT-0612604', 'NS00023530', 'X8927', '2-Hydroxyethylhydrazine, technical grade, 90%', 'J-509591', 'J-660067', 'Q27121903', 'F0001-0206']</t>
  </si>
  <si>
    <t>Compound(8017)</t>
  </si>
  <si>
    <t>C2H8N2O</t>
  </si>
  <si>
    <t>2-naphthol</t>
  </si>
  <si>
    <t>naphthalen-2-ol</t>
  </si>
  <si>
    <t>['2-NAPHTHOL', 'naphthalen-2-ol', '135-19-3', '2-Naphthalenol', 'beta-naphthol', '2-Hydroxynaphthalene', 'Betanaphthol', 'Isonaphthol', 'Developer BN', 'Naphthol B', '2-Naphtol', 'Azogen developer A', 'beta-Naphtol', 'beta-Napthol', 'Developer A', 'Developer AMS', 'beta-Hydroxynaphthalene', '2-Naftolo', '2-Naftol', 'Developer sodium', 'C.I. Developer 5', 'beta-Naphthyl alcohol', 'beta-Monoxynaphthalene', 'beta-Naftol', 'beta-Naftolo', 'beta-Naphthyl hydroxide', 'NAPHTHOL, BETA', '.beta.-Naphthol', 'C.I. Azoic Coupling Component 1', '2-Naftol [Dutch]', 'beta-Naftol [Dutch]', '2-Naphtol [French]', 'Caswell No. 590', '2-Naftolo [Italian]', 'beta-Naphtol [German]', 'beta-Naftolo [Italian]', 'Antioxygene BN', '2-Napththol', 'UNII-P2Z71CIK5H', '.beta.-Naftolo', '.beta.-Naphtol', '.beta.-Napthol', '.beta.-Naftol', 'NSC 2044', 'C.I. 37500', 'HSDB 6812', '2-Naphthol, 98%', '.beta.-Naphthyl alcohol', '.beta.-Monoxynaphthalene', '.beta.-Hydroxynaphthalene', 'EINECS 205-182-7', 'MFCD00004067', '.beta.-Naphthyl hydroxide', 'EPA Pesticide Chemical Code 010301', 'P2Z71CIK5H', 'CHEMBL14126', 'AI3-00081', 'C10H8O', 'CHEBI:10432', 'EINECS 215-322-9', 'BRN 1817321', '2-Naphthol, 99+%', 'DSSTox_CID_7061', 'DSSTox_RID_78296', 'DSSTox_GSID_27061', 'CAS-135-19-3', 'Betanaphthol [NF]', 'Hydronaphthol', '2-napthol', 'napthalen-2-ol', '2-naphthylalcohol', 'naphth-2-ol', 'Naphthol AS-PTR', 'Naphthol, .beta.', '03V', '2-hydroxy naphthalene', 'Tolnaflate Impurity A', '2-Naphthol, 99%', 'Naphth-2-ol, 10', 'beta.-hydroxynaphthalene', 'Microcidin (Salt/Mix)', 'ACMC-1CUIO', '2-Naphthol, 98.5%', 'EC 205-182-7', 'SCHEMBL28781', 'WLN: L66J CQ', 'KSC174M7N', 'SGCUT00131', '2-Naphthol, LR, &gt;=98%', 'DTXSID5027061', 'CTK0H4676', 'Naphthalen-2-ol (beta-Naphthol)', 'NSC2044', '4b32', 'Sodium 2-naphthoxide (Salt/Mix)', 'HMS3264N15', 'Pharmakon1600-01504501', 'ZINC967928', 'HY-Y0110', 'KS-00000N6H', 'NSC-2044', 'to_000010', 'Tox21_201884', 'Tox21_303038', 'ANW-75298', 'BDBM50159250', 'NSC758883', 's6035', 'SBB040896', 'STL281866', 'AKOS000119842', 'AM86551', 'CCG-213932', 'HR-0304', 'MCULE-2675031485', 'MP-2123', 'NSC-758883', '2-Naphthol, purum, &gt;=98.0% (GC)', 'NCGC00249132-01', 'NCGC00257077-01', 'NCGC00259433-01', 'AC-10464', 'AK109022', 'I980', 'LS-95400', 'LS-95402', 'SC-18950', '2-Naphthol, BioXtra, &gt;=99.0% (GC)', 'SBI-0207084.P001', '2-Naphthol, SAJ first grade, &gt;=98.0%', 'CS-0008403', 'FT-0613121', 'N0027', 'NS00003415', 'ST50214496', '2-Naphthol, fluorescence indicator, &gt;=99.0%', 'C11713', 'AB01314260_03', '4-06-00-04208 (Beilstein Handbook Reference)', 'A806896', 'AB-131/40299865', 'Q949232', 'SR-01000872753', 'Q-200736', 'SR-01000872753-1', 'BRD-K21164796-001-01-0', 'Z57127515', 'F0001-0455', 'naphthol;2-Naphthalenol;2-Naphthol;2-naphthol;Sodium 2-naphtholate']</t>
  </si>
  <si>
    <t>Compound(8663)</t>
  </si>
  <si>
    <t>2-hydroxyatrazin</t>
  </si>
  <si>
    <t>4-(ethylamino)-6-(propan-2-ylamino)-1H-1,3,5-triazin-2-one</t>
  </si>
  <si>
    <t>['Hydroxyatrazine', '2-Hydroxyatrazine', 'Atrazine-2-hydroxy', '2163-68-0', 'hydroxydechloroatrazine', '4-(Ethylamino)-2-hydroxy-6-(isopropylamino)-1,3,5-triazine', '4-(ethylamino)-6-(isopropylamino)-s-triazin-2-ol', 'UNII-D9Y04ELA63', '4-(ethylamino)-6-(isopropylamino)-1,3,5-triazin-2-ol', 'CCRIS 3556', 'D9Y04ELA63', '4-(ethylamino)-6-[(propan-2-yl)amino]-1,3,5-triazin-2-ol', 'G 34048', '4-ethylamino-6-isopropylamino-1,3,5-triazin-2-ol', '2-hydroxy-4-(ethylamino)-6-(isopropylamino)-s-triazine', '1,3,5-Triazin-2(1H)-one, 4-(ethylamino)-6-[(1-methylethyl)amino]-', 's-Triazin-2-ol, 4-(ethylamino)-6-(isopropylamino)- (7CI,8CI)', '1,3,5-Triazin-2(1H)-one, 4-(ethylamino)-6-((1-methylethyl)amino)-', '4-(Ethylamino)-6-((1-methylethyl)amino)-1,3,5-triazin-2(1H)-one', 'Hydroxy Atrazine', '4-(ethylamino)-6-(propan-2-ylamino)-1,3,5-triazin-2-ol', 'Atrazin-2-hydroxy', 'atrazine, 2-hydroxy', '2-Hydroxy-4-ethylamino-6-isopropylamino-s-triazine', 'Atrazin-2-Hydroxy_279_ p', 'SCHEMBL637767', '2-Hydroxy-4-ethylamino-6-isopropylamino-1,3,5-triazine', 'DTXSID6037807', 'CHEBI:18316', 'CTK8F7862', '2-(ethylamino)-6-(propan-2-ylamino)-1H-1,3,5-triazin-4-one', '2-hydroxyatrazine;2-Hydroxyatrazine', 'CID 16553', 'ZINC13540805', 'AKOS006227661', 'AKOS015894689', 'Atrazine-2-hydroxy, analytical standard', 'LS-155692', 'FT-0651063', 'NS00000255', 'Atrazine-2-hydroxy 10 microg/mL in Methanol', 'Atrazine-2-hydroxy 100 microg/mL in Methanol', 'C06552', 'J-014195', 'Atrazine-2-hydroxy, PESTANAL(R), analytical standard', 'Q27102992', 's-Triazin-2-ol, 4-(ethylamino)-6-(isopropylamino)-', '2-ethylamino-4-hydroxy-6-isopropylamino-1,3,5-triazine', '4-(Ethylamino)-6-(isopropylamino)-1,3,5-triazin-2(1H)-one #', 'OKM']</t>
  </si>
  <si>
    <t>Compound(135398733)</t>
  </si>
  <si>
    <t>C8H15N5O</t>
  </si>
  <si>
    <t>2-hydroxybenzothiazole</t>
  </si>
  <si>
    <t>3H-1,3-benzothiazol-2-one</t>
  </si>
  <si>
    <t>['Benzothiazolone', '934-34-9', '2-HYDROXYBENZOTHIAZOLE', '2-Benzothiazolol', '2(3H)-Benzothiazolone', '1,3-Benzothiazol-2-ol', '2-Benzothiazolone', '2-Benzothiazolinone', '3H-Benzothiazol-2-one', 'benzothiazolol', 'benzo[d]thiazol-2(3H)-one', '3H-1,3-benzothiazol-2-one', 'Benzothiazol-2(3H)-one', '1,3-Benzothiazol-2(3H)-one', 'benzothiazol-2-ol', '2-hydroxy-1,3-benzothiazole', 'UNII-7T26K7NG46', 'MLS000737673', '2-hydroxy-benzothiazole', 'CHEBI:115196', 'MFCD00022868', '2,3-dihydro-1,3-benzothiazol-2-one', '7T26K7NG46', 'NSC-7706', 'SMR000112468', '(2-mercatophenyl)carbamothioic acid gamma-lactone', '74343-69-4', 'Carbamothioic acid, .gamma.-lactone', 'NSC 7706', 'hydroxybenzothiazol', '2-oxobenzothiazole', 'OBT', 'benzthiazolin-2-one', 'EINECS 213-281-1', 'NSC 26422', 'NSC 33823', '2-Hydroxybenzothiazol', 'Benzothiazolin-2-one', 'Benzothiazole -2-OH', 'Benzo[d]thiazol-2-ol', 'PubChem21831', 'ACMC-209rls', 'ACMC-20ao3v', 'AI3-24484', 'Benzothiazol, 2-hydroxy-', 'HYDROXYBENZOTHIAZOLE', '3-hydrobenzothiazol-2-one', 'Epitope ID:138948', 'S-Orthophenylenethiocarbamate', '2-Benzothiazolinone (8CI)', 'BENZTHIAZOLINE,2-ONE', 'SCHEMBL54329', 'cid_13625', 'MLS000697050', '2-Benzothiazolol (keto form)', '2-Hydroxybenzothiazole, 98%', 'Carbamothioic acid, (2-mercatophenyl)-, gamma-lactone', 'CHEMBL276936', 'DTXSID6061315', 'BDBM93696', 'CTK2G1454', 'NSC7706', 'HMS1652A15', 'HMS1661I01', 'HMS2269D03', 'ZINC395576', '1,3-Benzothiazol-2(3H)-one #', 'KS-00000EB1', 'NSC26422', 'NSC33823', 'STR06157', 'ANW-40046', 'CCG-51664', 'GEO-01505', 'NSC-26422', 'NSC-33823', 'SBB005792', 'STK089714', 'STK894866', 'AKOS000296755', 'AKOS000638434', 'CS-W019496', 'FS-1222', 'FS-3774', 'MCULE-7146680823', 'NE53495', 'NCGC00246613-01', 'NCGC00246794-01', 'AK-49174', 'BR-49174', 'S648', 'SC-13471', 'ST081353', 'SY003005', 'AB0018720', 'DB-027812', 'B2344', 'FT-0612585', 'NS00008199', 'EN300-88615', 'A19331', 'AE-018/31855052', 'J-640182', 'J-800183', 'SR-01000640954-1', 'W-200528', 'Q27197041', 'Z57728688', 'Carbamothioic acid, (2-mercatophenyl)-, .gamma.-lactone', 'F0918-5160', 'CGD']</t>
  </si>
  <si>
    <t>Compound(13625)</t>
  </si>
  <si>
    <t>C7H5NOS</t>
  </si>
  <si>
    <t>2-[4-(2-hydroxy-2-methylpropyl)phenyl]propanoic acid</t>
  </si>
  <si>
    <t>['2-Hydroxyibuprofen', 'Hydroxyibuprofen', '51146-55-5', '2-Hydroxy Ibuprofen', 'Ibuprofen OH', 'rac 2-Hydroxy Ibuprofen', '2-(4-(2-Hydroxy-2-methylpropyl)phenyl)propanoic acid', 'Hydroxy Ibuprofen', '2-[4-(2-hydroxy-2-methylpropyl)phenyl]Propanoic acid', "2,4'-(2-Hydroxy-2-methylpropyl)phenylpropionic acid", 'Ibuprofen-2-hydroxy', '2-[4-(2-Hydroxy-2-methylpropyl)phenyl]propionic acid', 'Ibuprofen- 2-Hydroxy', '(+/-)-2-Hydroxy Ibuprofen', 'SCHEMBL5157269', 'CHEMBL3544495', 'CTK8G2742', 'DTXSID30873789', 'CHEBI:133197', 'Benzeneacetic acid, 4-(2-hydroxy-2-methylpropyl)-alpha-methyl-', 'AKOS022654558', 'DB-103578', 'HY-126121', 'CS-0090586', 'FT-0669666', 'NS00010626', 'Q27254872', '2-Hydroxyibuprofen, VETRANAL(TM), analytical standard', '2-[4-(2-Hydroxy-2-methylpropyl)phenyl]propanoic Acid (2-Hydroxyibuprofen)']</t>
  </si>
  <si>
    <t>Compound(10443535)</t>
  </si>
  <si>
    <t>C13H18O3</t>
  </si>
  <si>
    <t>2-hydroxypropionic acid tetradecyl ester</t>
  </si>
  <si>
    <t>tetradecyl 2-hydroxypropanoate</t>
  </si>
  <si>
    <t>['Tetradecyl lactate', 'Myristyl lactate', '1323-03-1', 'Propanoic acid, 2-hydroxy-, tetradecyl ester', 'W-109659', 'UNII-1D822OC34X', 'Tetradecyl 2-hydroxypropanoate', 'Lactic Acid Tetradecyl Ester', 'Tetradecyl 2-Hydroxypropionate', 'TetradecylLactate', 'EINECS 215-350-1', '1D822OC34X', '2-Hydroxypropanoic acid, tetradecyl ester', 'ACMC-1BVPP', 'AI3-14482', 'SCHEMBL15277', 'Lactic acid, N-tetradecyl ester', 'CTK4B7858', 'DTXSID50862630', 'KS-000017AM', 'ANW-19424', 'MCULE-2532326235', 'NS00013879', 'Propanoic acid,2-hydroxy-, tetradecyl ester', 'Q27252270', 'tetradecyl lactate;MYRISTYL LACTATE;Tetradecyl lactate']</t>
  </si>
  <si>
    <t>Compound(64676)</t>
  </si>
  <si>
    <t>C17H34O3</t>
  </si>
  <si>
    <t>['2-NITROANILINE', 'o-Nitroaniline', '88-74-4', 'Benzenamine, 2-nitro-', '2-Nitrobenzenamine', 'o-Nitraniline', '1-Amino-2-nitrobenzene', 'Devol Orange B', 'Orange GRS Salt', 'o-Aminonitrobenzene', '2-Aminonitrobenzene', 'Aniline, o-nitro-', 'Azoic Diazo Component 6', 'Fast Orange O Base', 'Fast Orange O Salt', 'Devol Orange Salt B', 'Orthonitroaniline', 'Fast Orange Base GR', 'Fast Orange Base JR', 'Fast Orange GR Base', 'Fast Orange GR Salt', 'Fast Orange Salt GR', 'Fast Orange Salt JR', 'Orange Base Ciba II', 'Orange Base Irga II', 'Orange Salt Ciba II', 'Orange Salt Irga II', 'Diazo Fast Orange GR', 'Azoene Fast Orange GR Salt', 'Azofix Orange GR Salt', 'Azogene Fast Orange GR', 'Hindasol Orange GR Salt', 'Azoene Fast Orange GR Base', 'o-nitro aniline', 'Natasol Fast Orange GR Salt', 'Hiltonil Fast Orange GR Base', 'Hiltosal Fast Orange GR Salt', 'ortho-nitroaniline', 'Brentamine Fast Orange GR Base', 'Brentamine Fast Orange GR Salt', 'C.I. Azoic Diazo Component 6', '2-Nitro-phenylamine', 'NSC 9796', 'C.I. 37025', 'CI Azoic Diazo Component 6', 'CCRIS 2317', 'HSDB 1132', 'UNII-2519U0541L', '2-NITRO-ANILINE', '2-Nitroaniline, 98%', 'EINECS 201-855-4', 'ORTHO NITRO ANILINE', 'CI 37025', 'AI3-02916', 'ONA', 'DTXSID1025726', '2-nitrophenylamine', '2519U0541L', 'DSSTox_CID_5726', 'DSSTox_RID_77895', 'DSSTox_GSID_25726', 'Devol Orange B Diazo Fast Orange Gr', 'CAS-88-74-4', '2nitroaniline', 'o-Nitranilin', 'o-nitro-aniline', '2-nitro aniline', '2-nitro-anilin', '2-Nitro-benzeneamine', '(2-nitrophenyl)-amine', '1-Nitro-2-aminobenzene', '2-Nitroaniline, 99%', '(2-nitro-phenyl)-amine', 'WLN: ZR BNW', 'EC 201-855-4', 'SCHEMBL6000', 'KSC448I8H', 'CHEMBL274009', 'SCHEMBL11911292', 'CTK3E8483', 'KS-00000VNT', 'TIMTEC-BB SBB040877', 'NSC9796', '2-nitroaniline;Aniline, 2-nitro-', 'LABOTEST-BB LTBB000464', '2-Nitroaniline, analytical standard', 'BCP05324', 'EBD27017', 'NSC-9796', 'STR00840', 'ZINC3860642', 'AKOS BBS-00004353', 'Tox21_202371', 'Tox21_303292', 'ANW-58055', 'BBL016375', 'LABOTEST-BB LT03333712', 'MFCD00007687', 'SBB040877', 'STL140693', 'o-Nitroaniline [UN1661] [Poison]', 'AKOS000119116', 'AM87359', 'AS01504', 'LS-1884', 'LS11572', 'MCULE-6119865345', 'NE10505', 'o-Nitroaniline [UN1661]  [Poison]', 'NCGC00091373-01', 'NCGC00091373-02', 'NCGC00257171-01', 'NCGC00259920-01', 'BP-21264', 'H442', 'DB-057102', '2-Iminocyclohexa-3,5-diene-1-nitronic acid', 'FT-0613173', 'N0118', 'NS00003098', 'ST45255269', '71045-EP2275412A1', '71045-EP2308833A2', 'Q-201516', 'Q2590230', 'F2190-0432']</t>
  </si>
  <si>
    <t>Compound(6946)</t>
  </si>
  <si>
    <t>C6H6N2O2</t>
  </si>
  <si>
    <t>2-nitropropane</t>
  </si>
  <si>
    <t>['2-nitropropane', '79-46-9', 'Propane, 2-nitro-', 'Isonitropropane', 'Dimethylnitromethane', 'Nitroisopropane', 'sec-Nitropropane', 'Nipar S-20', 'beta-Nitropropane', '2-Nitro-propane', '2-NP', 'Nipar S-20 solvent', 'Nipar S-30 solvent', 'RCRA waste number U171', 'Isonitro propane', 'UNII-GKV234L2QH', 'NSC 5369', 'CCRIS 453', 'HSDB 1134', 'EINECS 201-209-1', 'RCRA waste no. U171', 'i-C3H7NO2', 'GKV234L2QH', 'AI3-00109', 'CHEBI:16037', '2-nitro propane', '.beta.-Nitropropane', 'nipar s-30', 'ACMC-209phj', 'DSSTox_CID_981', 'EC 201-209-1', '2-Nitropropane, &gt;=96%', 'DSSTox_RID_75903', 'DSSTox_GSID_20981', 'Ex173', 'WLN: WNY1&amp;1', 'CHEMBL261886', 'DTXSID6020981', 'CTK2H8431', 'KS-00000VLS', 'NSC5369', 'Propane, 2-nitro-;2-nitropropane', 'NSC-5369', 'ZINC5167659', 'Tox21_200365', 'ANW-37301', 'BBL011484', 'c0555', 'STL146596', 'AKOS000119973', 'LS-1785', 'MCULE-8418443353', 'CAS-79-46-9', 'NCGC00091337-01', 'NCGC00091337-02', 'NCGC00257919-01', 'FT-0613216', 'N0249', 'NS00006722', 'AZ0001-0079', 'C02116', 'L001273', 'Q209453', 'J-510180', 'F0001-2080']</t>
  </si>
  <si>
    <t>Compound(398)</t>
  </si>
  <si>
    <t>C3H7NO2</t>
  </si>
  <si>
    <t>2-nitrodiphenylamine</t>
  </si>
  <si>
    <t>2-nitro-N-phenylaniline</t>
  </si>
  <si>
    <t>['2-Nitrodiphenylamine', '119-75-5', '2-Nitro-N-phenylaniline', 'o-Nitrodiphenylamine', 'Benzenamine, 2-nitro-N-phenyl-', 'Nitrodiphenylamine', 'Sudan Yellow 1339', 'N-Phenyl-o-nitroaniline', 'o-Nitro-N-phenylaniline', 'Diphenylamine, 2-nitro-', 'C.I. 10335', '(2-nitrophenyl)phenylamine', 'NSC 105613', 'CCRIS 6075', 'EINECS 204-348-6', 'AI3-08882', '(2-NITRO-PHENYL)-ANILINE', 'NSC629274', 'ST044502', 'SMR000348018', '2-nitro-N-phenyl-aniline', '2-Nitro-phenyl)-phenyl-amine', 'NSC4754', '2-Nitrodophenylamine', 'PubChem13077', 'DSSTox_CID_5749', 'o-(Phenylamino)nitrobenzene', 'N-Phenyl-2-nitrobenzenamine', '2-Nitrodiphenylamine, 98%', 'DSSTox_RID_77908', 'Nitrodiphenylamine (Related)', 'DSSTox_GSID_25749', 'KSC909I0N', 'MLS001004443', 'MLS002152876', 'SCHEMBL230292', 'ACMC-209a42', '(2-nitro-phenyl)-phenyl-amine', '2-(N-phenylamino) nitrobenzene', 'CHEMBL1450018', 'DTXSID4025749', 'SCHEMBL11121128', 'CTK8A9406', 'Diphenylamine, 2-nitro- (8CI)', 'N-(2-Nitrophenyl)-N-phenylamine', 'HMS2702H15', 'ACT07026', 'NSC-4754', 'ZINC3874032', 'Tox21_200720', 'ANW-17376', 'LS-621', 'N-(2-Nitrophenyl)-N-phenylamine #', 'NSC105613', 'SBB000544', '(2-Anilinophenyl)(hydroxy)azane oxide', 'AKOS001044887', 'AKOS015965866', 'AM86377', 'CS-W014937', 'MCULE-7437671615', 'NSC-105613', 'NSC-629274', 'KS-000001T8', 'NCGC00091169-01', 'NCGC00091169-02', 'NCGC00258274-01', 'AC-20804', 'CAS-119-75-5', 'DS-13298', 'SC-18003', 'U273', 'EU-0000259', 'FT-0613194', 'N0196', 'NS00019935', 'B-6604', 'Q209448', 'SR-01000390730', 'Q-200312', 'SR-01000390730-1']</t>
  </si>
  <si>
    <t>Compound(8407)</t>
  </si>
  <si>
    <t>C12H10N2O2</t>
  </si>
  <si>
    <t>2-nitrophenol</t>
  </si>
  <si>
    <t>['2-NITROPHENOL', 'o-Nitrophenol', '88-75-5', 'Phenol, 2-nitro-', '2-Hydroxynitrobenzene', 'o-Hydroxynitrobenzene', 'NITROPHENOL', 'Phenol, o-nitro-', 'o-Nitrofenol', '2-nitro-phenol', 'Phenol, Nitro-', 'o-Nitrofenol [Czech]', 'UNII-BD148E95KD', 'CCRIS 2314', 'HSDB 1133', 'o-Nitrophenol (molten)', 'NSC 1552', 'EINECS 201-857-5', 'nitro phenol', 'AI3-14893', 'BD148E95KD', '25154-55-6', 'CHEBI:16260', 'Hydroxy(2-Hydroxyphenyl)oxoammonium', 'MFCD00011688', 'ortho-nitrophenol', '2-Hydroxynitrobenzene[Qr]', 'DSSTox_CID_1790', 'DSSTox_RID_76328', 'DSSTox_GSID_21790', '2-Nitrophenol, 99%', 'CAS-88-75-5', 'o-nitro-phenol', '0-nitrophenol', '2-nitro phenol', 'hydroxynitrobenzene', 'CG3', 'NITROPHENOLATE', '2-nitrophenyl alcohol', 'o-Nitrophenol [UN1663]  [Poison]', 'odium o-nitrophenolate', '2-Nitrophenol, 98%', 'WLN: WNR BQ', 'EC 201-857-5', '2-Nitrophenol, 99.0%', 'SCHEMBL26026', 'KSC202Q1L', 'BIDD:ER0656', 'CHEMBL14205', '1-OH', 'ARONIS020854', 'SR-1C4', 'DTXSID1021790', 'SCHEMBL11524557', 'SCHEMBL16254545', 'CTK1A2815', 'NSC1552', 'BCP25852', 'KS-00000WE7', 'KS-00004CH5', 'NSC-1552', 'STR00905', 'Tox21_201442', 'Tox21_302758', 'ANW-58978', 'o-Nitrophenol [UN1663] [Poison]', 'SBB060648', 'STK011520', 'ZINC34719541', 'AKOS000118749', 'CCG-321789', 'LS-1885', 'MCULE-1415513135', 'NE10695', 'UN 1663', 'NCGC00090898-01', 'NCGC00090898-02', 'NCGC00256357-01', 'NCGC00258993-01', '2-Nitrophenol 100 microg/mL in Methanol', 'H443', 'SC-18124', '2-Nitrophenol, purum, &gt;=98.0% (HPLC)', 'FT-0613201', 'FT-0693760', 'N0153', 'N0219', 'NS00010607', 'ST45034568', 'C01988', 'N-3590', '82634-EP2298758A1', '82634-EP2298759A1', '82634-EP2298770A1', '82634-EP2305664A1', '82734-EP2295432A1', '82734-EP2298758A1', '82734-EP2298759A1', '82734-EP2298776A1', '82734-EP2305633A1', '82734-EP2305664A1', '2-Nitrophenol, PESTANAL(R), analytical standard', 'AB-131/40228446', 'Q18907378', 'Z57201355', 'F3146-3482', 'UNII-UV7XKM40LO component IQUPABOKLQSFBK-UHFFFAOYSA-N', '26498-36-2', 'OPO', 'Sodium 2-nitrophenolate;sodium 2-nitrophenolate;Sodium o-nitrophenolate;2-Nitrophenol;2-nitrophenol;Phenol, 2-nitro-']</t>
  </si>
  <si>
    <t>Compound(6947)</t>
  </si>
  <si>
    <t>C6H5NO3</t>
  </si>
  <si>
    <t>2-nitrotoluene</t>
  </si>
  <si>
    <t>1-methyl-2-nitrobenzene</t>
  </si>
  <si>
    <t>['2-Nitrotoluene', '1-Methyl-2-nitrobenzene', 'O-NITROTOLUENE', '88-72-2', 'o-Nitrotoluol', 'Benzene, 1-methyl-2-nitro-', 'o-Methylnitrobenzene', 'Toluene, o-nitro-', '2-Methyl-1-nitrobenzene', 'NITROTOLUENE', '2-Nitrotoluol', 'ortho-Nitrotoluol', '2-Methylnitrobenzene', 'Nitrotoluene, o-', '1-methyl-2-nitro-benzene', 'UNII-6Q9N88YIAY', 'NSC 9577', 'CCRIS 1224', 'ONT', 'HSDB 2189', 'Nitrotoluene, o-isomer', 'alpha-Methylnitrobenzene', 'ORTHO NITROTOLUENE', 'EINECS 201-853-3', '6Q9N88YIAY', 'AI3-16311', 'MLS001055384', 'CHEBI:33098', '1321-12-6', 'o-NT', 'SMR000677946', '2-Nitrotoluene, 99+%', 'DSSTox_CID_5791', 'ortho-nitrotoluene', '2-Nitrotoluene, &gt;=99%', 'DSSTox_RID_77923', 'DSSTox_GSID_25791', 'Methylnitrobenzene', 'CAS-88-72-2', '2-nitro toluene', '2-nitro-toluene', 'Nitrotoluol, 2-', 'o-nitrophenylmethane', 'Benzene,methylnitro-', 'o-methyl nitrobenzene', '2-methyl-nitrobenzene', 'o-Nitrotoluene, liquid', 'ACMC-1BKHO', 'TOLUENE,2-NITRO', 'EC 201-853-3', 'cid_6944', 'WLN: WNR B1', 'SCHEMBL26788', 'KSC179I8T', 'CHEMBL47047', 'PARAGOS 530089', 'SCHEMBL8008054', 'DTXSID4025791', 'BDBM91068', 'CTK0H9489', 'KS-00000VJB', 'NSC9577', 'HMS3039E06', 'LABOTEST-BB LTBB002340', '2-Nitrotoluene, analytical standard', 'NSC-9577', 'ZINC1700065', 'Tox21_202393', 'Tox21_300032', 'ANW-39144', 'MFCD00007157', 'STL283955', 'AKOS000120143', 'AS00108', 'LS-1882', 'MCULE-5319832795', 'NCGC00090723-01', 'NCGC00090723-02', 'NCGC00090723-03', 'NCGC00254124-01', 'NCGC00259942-01', 'SC-18126', '2-Nitrotoluene 10 microg/mL in Acetonitrile', 'FT-0613226', 'FT-0673016', 'N0275', 'NS00005656', 'o-Nitrotoluene, liquid [UN1664] [Poison]', '2-Nitrotoluene 100 microg/mL in Acetonitrile', 'o-Nitrotoluene, liquid [UN1664]  [Poison]', 'C19597', 'Toluene, 2-nitro-;2-nitrotoluene;Nitrotoluol, 2-', 'Q2533785', 'F9995-1659', 'Z1262252922', 'UNII-7JOW0J679F component PLAZTCDQAHEYBI-UHFFFAOYSA-N']</t>
  </si>
  <si>
    <t>Compound(6944)</t>
  </si>
  <si>
    <t>C7H7NO2</t>
  </si>
  <si>
    <t>4-methyl-2-nitrophenol</t>
  </si>
  <si>
    <t>['4-Methyl-2-nitrophenol', '119-33-5', '2-NITRO-P-CRESOL', 'Phenol, 4-methyl-2-nitro-', 'o-Nitro-p-cresol', '2-Nitro-4-methylphenol', '4-Hydroxy-3-nitrotoluene', '2-Nitro-4-cresol', 'p-Cresol, 2-nitro-', '4-METHYL-2-NITRO-PHENOL', 'UNII-P92KPK2NL3', 'NSC 5387', 'EINECS 204-315-6', 'MFCD00007120', 'BRN 1868022', 'P92KPK2NL3', 'AI3-15389', '4-Methyl-2-nitrophenol, 99%', '12167-20-3', 'WLN: WNR BQ E1', 'Methylnitrophenol', '2-nitro p-cresol', '3(OR 4)-METHYL-2-NITROPHENOL', 'PubChem12745', '4-methyl-2-nitro phenol', 'ACMC-1B7GH', 'DSSTox_CID_6961', 'DSSTox_RID_78268', 'DSSTox_GSID_26961', '4-06-00-02149 (Beilstein Handbook Reference)', 'KSC490K8H', 'SCHEMBL306096', 'CHEMBL1234658', 'DTXSID0026961', 'CTK3J0583', 'NSC5387', 'KS-00000VR2', 'NSC-5387', 'NSC66511', 'STR03111', 'Tox21_200933', 'ANW-17316', 'NSC-66511', 'SBB058864', 'STK399771', 'ZINC20230664', 'AKOS001094378', 'DB04110', 'MCULE-4558023540', 'PS-4598', 'NCGC00248879-01', 'NCGC00258487-01', '68137-08-6', 'AC-11583', 'CAS-119-33-5', 'LS-55428', 'P640', 'DB-041464', '4-Methyl-2-nitrophenol (2-Nitro-p-cresol)', 'FT-0619011', 'N0186', 'NS00014600', 'ST50585953', 'W-108517', 'Q27094955', '4-methyl-2-nitrophenol;2-nitro-p-cresol;Nitrocresols and their alkali metal salts']</t>
  </si>
  <si>
    <t>Compound(8391)</t>
  </si>
  <si>
    <t>C7H7NO3</t>
  </si>
  <si>
    <t>2-naphthalene sulfonic acid</t>
  </si>
  <si>
    <t>naphthalene-2-sulfonic acid</t>
  </si>
  <si>
    <t>['Naphthalene-2-sulfonic acid', '2-NAPHTHALENESULFONIC ACID', '120-18-3', 'beta-Naphthylsulfonic acid', 'beta-Naphthalenesulfonic acid', 'Naphthalene-2-sulphonic acid', 'Kyselina 2-naftalensulfonova', '2-Naphthalene Sulfonic Acid', 'UNII-O9S4K2S25E', '2-Naphthylsulfonic acid', 'EINECS 204-375-3', 'Kyselina 2-naftalensulfonova [Czech]', 'BRN 1955756', 'AI3-18435', 'O9S4K2S25E', 'CHEBI:44229', 'MFCD00004089', '2-Naphthalenesulfonic acid, monohydrate', 'W-109067', '2-Sulfonaphthalene', '2-Naphthalenesulfonic', 'PubChem19963', '2-Naphthalinsulfonsaeure', '2-naphtalenesulfonic acid', '2-napthalenesulfonic acid', 'naphthalene sulphonic acid', '2-naphthalenesulphonic acid', '2-Naphthalin sulfonic acid', 'EC 204-375-3', 'SCHEMBL1556', 'DSSTox_CID_24788', 'DSSTox_RID_80477', '.beta.-Naphthylsulfonic acid', 'DSSTox_GSID_44788', 'Dehscofix 918 (Salt/Mix)', '4-11-00-00527 (Beilstein Handbook Reference)', 'beta-naphthalene sulfonic acid', '.beta.-Naphthalenesulfonic acid', 'CHEMBL1234624', 'DTXSID5044788', 'CTK0H6223', 'KS-00000YYB', 'I(2)-NaphthalinsulfosA currencyure', 'ZINC1554037', 'ZX-AT010266', 'Tox21_301657', 'ANW-17466', 'SBB061349', 'AKOS015897326', 'AC-2569', 'DB08254', 'FCH1321857', 'MCULE-6230732789', 'OR30529', 'VZ33468', 'NCGC00256154-01', 'AK157719', 'AS-17822', 'CAS-120-18-3', 'LS-94867', 'SC-26801', 'AX8017754', 'DB-061709', 'B0258', 'FT-0600019', 'N0437', 'NS00000299', 'ST50214421', 'V1968', 'C16202', 'Naphthalene-2-sulfonic acid hydrate (Salt/Mix)', '2-Naphthalenesulfonic acid monohydrate (Salt/Mix)', '2-Naphthalenesulfonic acid, technical grade, 70%', 'L022029', 'Q10395590', 'UNII-VZW67VII75 component KVBGVZZKJNLNJU-UHFFFAOYSA-N']</t>
  </si>
  <si>
    <t>Compound(8420)</t>
  </si>
  <si>
    <t>2-oxepanone</t>
  </si>
  <si>
    <t>oxepan-2-one</t>
  </si>
  <si>
    <t>['oxepan-2-one', '6-Hexanolactone', 'Epsilon-caprolactone', '2-Oxepanone', 'CAPROLACTONE', '502-44-3', 'Hexan-6-olide', 'hexano-6-lactone', '6-Hexanolide', 'E-Caprolactone', '1-Oxa-2-oxocycloheptane', '1,6-Hexanolide', '6-Hydroxyhexanoic acid lactone', '2-Oxacycloheptanone', 'epsilon-Caprolactone monomer', 'Placcel M', 'Hexanoic acid, epsilon-lactone', 'POLYCAPROLACTONE', '.epsilon.-Caprolactone', '24980-41-4', 'Hexamethylene oxide, 2-oxo-', '6-Caprolactone monomer', '2-oxohexamethylene oxide', 'epsilon-Kaprolakton [Czech]', 'UNII-56RE988L1R', 'HSDB 5670', 'EINECS 207-938-1', '6-hydroxyhexanoic acid, epsilon-lactone', 'BRN 0106919', 'CHEMBL373123', 'Hexanoic acid, 6-hydroxy-, epsilon-lactone', 'CHEBI:17915', '56RE988L1R', 'AK164169', 'W-109083', 'epsilon-Caprolactone monomer, 99%', '2-Oxepanone, homopolymer', 'epsilon-Kaprolakton', 'Caprolactam homopolymer', '6-Hexanalactone', 'epsilon-Hexalactone', 'epsilon caprolactone', 'ECE', '.epsilon.-Kaprolakton', 'PubChem15924', '2-OXepanone(homopolymer)', 'ACMC-1B0GI', 'DSSTox_CID_7159', 'bmse000493', 'EC 207-938-1', 'epsilon-Caprolactone, 97%', 'DSSTox_RID_78329', 'DSSTox_GSID_27159', 'SCHEMBL10850', '5-17-09-00034 (Beilstein Handbook Reference)', '.epsilon.-Caprolactone monomer', '2-OXEPANONE, HOMOPOYLMER', 'DTXSID4027159', 'CTK5E7505', 'Hexanoic acid, .epsilon.-lactone', 'ZINC388417', 'BB_SC-06787', 'Oxepan-2-one; Epsilon-Caprolactone', 'Hexanoic acid, 6-hydroxy-, lactone', 'Tox21_200445', 'BBL011394', 'BDBM50167993', 'c0059', 'MFCD00003267', 'STL146497', 'AKOS005721108', 'CS-W016607', 'FCH1117904', 'MCULE-3051096014', 'NCGC00248619-01', 'NCGC00257999-01', '80137-66-2', 'AS-14738', 'CAS-502-44-3', 'CC-27497', 'LS-75330', 'M374', 'SC-93827', 'DB-051739', 'FT-0625678', 'NS00008481', 'Hexanoic acid, 6-hydroxy-, .epsilon.-lactone', '2198-EP2277565A2', '2198-EP2277566A2', '2198-EP2277567A1', '2198-EP2277568A2', '2198-EP2277569A2', '2198-EP2277570A2', '2198-EP2292280A1', '2198-EP2292630A1', '2198-EP2295399A2', '2198-EP2295412A1', '2198-EP2295413A1', '2198-EP2308872A1', '2198-EP2311837A1', '2198-EP2316829A1', '2198-EP2316834A1', 'C01880', '24112-EP2295439A1', '24112-EP2308865A1', '24112-EP2311825A1', '24112-EP2314590A1', '24112-EP2374895A1', 'A828019', 'C-29926', 'Q288104', 'SR-01000944724', 'SR-01000944724-1', 'F0001-1311', '2-oxepanone, homopolymer, minimum number average molecular weight (in amu) 52,000']</t>
  </si>
  <si>
    <t>Compound(10401)</t>
  </si>
  <si>
    <t>C6H10O2</t>
  </si>
  <si>
    <t>2- (perfluorohexyl) ethane-1-sulfonic acid</t>
  </si>
  <si>
    <t>3,3,4,4,5,5,6,6,7,7,8,8,8-tridecafluorooctane-1-sulfonic acid</t>
  </si>
  <si>
    <t>['27619-97-2', '3,3,4,4,5,5,6,6,7,7,8,8,8-tridecafluorooctane-1-sulfonic acid', '1h,1h,2h,2h-perfluorooctanesulfonic acid', '6:2 Fluorotelomer sulfonic acid', '1-Octanesulfonic acid, 3,3,4,4,5,5,6,6,7,7,8,8,8-tridecafluoro-', '3,3,4,4,5,5,6,6,7,7,8,8,8-Tridecafluorooctanesulphonic acid', '6:2 Fluorotelomer sulfonate', '1H,1H,2H,2H-Perfluorooctanesulphonic acid', '1H,1H,2H,2H-Perfluorooctanesulfonic acid (25% aqueous solution)', 'THPFOS', '3,3,4,4,5,5,6,6,7,7,8,8,8-tridecafluoro-1-octanesulfonic acid', '3,3,4,4,5,5,6,6,7,7,8,8,8-tridecakis(fluoranyl)octane-1-sulfonic acid', 'EINECS 248-580-6', 'SCHEMBL158885', 'DTXSID6067331', 'ZX-AP000062', '3,3,4,4,5,5,6,6,7,7,8,8,8-Tridecafluorooctane-1-sulphonic acid', '6:2 Fluorotelomer sulfonate (anion)', 'PC6143', 'ZINC95681694', 'AKOS025311182', '2-(Perfluorohexyl)ethane-1-sulfonic acid', '1H,1H,2H,2H-Perfluorooctane sulfonic acid', 'FT-0607822', '1H,1H,2H,2H-Perfluoroctansulfonat (H4PFOS)', 'A819140', 'A819456', 'C-47592', '1H,1H,2H,2H-Tridecafluorooctane-1-sulphonic acid', 'J-016827', 'Q27063662', '3,3,4,4,5,5,6,6,7,7,8,8,8-Tridecafluorooctanesulphonic acid;3,3,4,4,5,5,6,6,7,7,8,8,8-Tridecafluorooctane-1-sulfonate;Potassium 3,3,4,4,5,5,6,6,7,7,8,8,8-tridecafluorooctanesulphonate;Ammonium 3,3,4,4,5,5,6,6,7,7,8,8,8-tridecafluoro-1-octanesulfonate;6:2FTS']</t>
  </si>
  <si>
    <t>Compound(119688)</t>
  </si>
  <si>
    <t>C8H5F13O3S</t>
  </si>
  <si>
    <t>2-trifluoromethylaniline</t>
  </si>
  <si>
    <t>2-(trifluoromethyl)aniline</t>
  </si>
  <si>
    <t>['2-(TRIFLUOROMETHYL)ANILINE', '2-Aminobenzotrifluoride', '88-17-5', 'o-Aminobenzotrifluoride', '2-Trifluoromethylaniline', 'o-(Trifluoromethyl)aniline', 'Benzenamine, 2-(trifluoromethyl)-', 'o-Trifluoromethylaniline', '2-(Trifluoromethyl)benzenamine', 'alpha,alpha,alpha-Trifluoro-o-toluidine', '2-aminotrifluorotoluene', '2-Trifluoromethyl-phenylamine', 'a,a,a-Trifluoro-O-toluidine', '2-aminotrifluoromethylbenzene', 'NSC 10336', 'CCRIS 2811', '1-amino-2-(trifluoromethyl)benzene', 'EINECS 201-806-7', 'MFCD00007718', 'UN2942', 'UNII-I1R59842CE', 'AI3-26182', 'I1R59842CE', 'o-Toluidine, .alpha.,.alpha.,.alpha.-trifluoro-', '2-(trifluoromethyl)phenylamine', '2-Aminobenzotrifluoride, 99%', '2-(trifluoromethyl) aniline', 'PubChem2777', '2-trifluoromethylanilin', '2-Trifluromethylaniline', '2-Aminobenzotrifluoroide', '2-amino-benzotrifluoride', 'o-trifluoromethyl aniline', '2-trifluoromethyl aniline', '2-trifluoromethyl-aniline', 'ortho trifluoromethylaniline', '2-trifluoromethylphenylamine', 'EC 201-806-7', '2-(Trisfluoromethyl)aniline', '2-(trifluoromethyl)-aniline', '2-trifluoromethyl phenylamine', 'SCHEMBL70554', 'KSC267S8N', 'BIDD:GT0808', 'o-(Trifluoromethyl)phenylamine', '2-amino-a,a,a-trifluorotoluene', 'CHEMBL249549', '2-(trifluoromethyl)-Benzenamine', 'DTXSID7058961', 'TIMTEC-BB SBB003955', '[2-(trifluoromethyl)phenyl]amine', '2-(Trifluoromethyl)aniline, 99%', 'AKOS 91135', 'LABOTEST-BB LTBB000692', 'KS-000001LS', 'NSC10336', 'ZINC6567864', 'AKOS BBS-00004462', 'ANW-43093', 'BBL011621', 'LABOTEST-BB LT03333188', 'NSC-10336', 'PC1020', 'SBB003955', 'STL163342', 'AKOS000119176', '.alpha.,.alpha.-Trifluoro-o-toluidine', 'AM87357', 'AS00464', 'CS-W004108', 'MCULE-2091595982', 'PF10128', 'PS-8764', 'UN 2942', 'AC-10748', 'BR-53810', 'o-Toluidine, alpha,alpha,alpha-trifluoro-', 'SC-07145', 'BETA,BETA,BETA-TRIFLUORO-O-TOLUIDINE', 'LS-188096', 'A0433', 'FT-0656621', 'NS00004341', 'ST45255289', '2-Trifluoromethylaniline [UN2942] [Poison]', '.alpha.,.alpha.,.alpha.-Trifluoro-o-toluidine', '2-Trifluoromethylaniline [UN2942]  [Poison]', 'S-2115', '139417-EP2270008A1', '139417-EP2272843A1', '139417-EP2292617A1', 'o-Toluidine, alpha,alpha,alpha-trifluoro- (8CI)', 'W-100414', 'Q27280261', 'F2190-0434', 'Z234894943']</t>
  </si>
  <si>
    <t>Compound(6922)</t>
  </si>
  <si>
    <t>C7H6F3N</t>
  </si>
  <si>
    <t>2-(trifluoromethyl)benzamide</t>
  </si>
  <si>
    <t>['2-(Trifluoromethyl)benzamide', '360-64-5', '2-Trifluoromethylbenzamide', 'o-Trifluoromethylbenzamide', 'Benzamide, 2-(trifluoromethyl)-', 'o-(Trifluoromethyl)benzamide', '2-(Trifluoromehtyl)benzamide', 'UNII-5U8Y7E6AIO', 'o-trifluoromethyl-benzamide', '5U8Y7E6AIO', '2-(trifluoromethyl) benzamide', 'ALPHA,ALPHA,ALPHA-TRIFLUORO-O-TOLUAMIDE', 'SYNQUEST 4848-3-12', 'Fluopyram-benzamide', 'EINECS 206-637-2', 'PubChem2746', 'ACMC-209wgw', '2-trifiuoromethylbenzamide', '2-Trifluoromethyl-benzamide', 'EC 206-637-2', 'SCHEMBL118007', 'CTK1C5456', 'KS-00000MBP', 'DTXSID40189560', 'ZINC156507', '2-(Trifluoromethyl)benzamide, 97%', 'ANW-46350', 'MFCD00014798', 'SBB057960', 'STL382175', 'AKOS008977333', 'AS04747', 'LF10165', 'MCULE-7858001646', 'PS-8415', 'AK-86317', 'N483', 'SC-65496', 'DB-019560', 'A6263', 'FT-0608953', 'NS00009377', 'ST50406929', 'C-4884', 'Q27262883', 'Z68590139', 'o-(Trifluoromethyl)benzamide;o-(trifluoromethyl)benzamide']</t>
  </si>
  <si>
    <t>Compound(67759)</t>
  </si>
  <si>
    <t>C8H6F3NO</t>
  </si>
  <si>
    <t>2-acetylaminofluorene</t>
  </si>
  <si>
    <t>N-(9H-fluoren-2-yl)acetamide</t>
  </si>
  <si>
    <t>['2-Acetamidofluorene', '2-Acetylaminofluorene', '53-96-3', 'N-(9H-Fluoren-2-yl)acetamide', 'N-2-Fluorenylacetamide', '2-AAF', 'Acetamide, N-9H-fluoren-2-yl-', 'N-Fluoren-2-ylacetamide', '2-(Acetylamino)fluorene', 'N-acetyl-2-aminofluorene', '2-Acetaminofluorene', '2-FAA', '2-Fluorenylacetamide', 'N-(2-Fluorenyl)acetamide', '2-Acetoaminofluorene', 'Acetoaminofluorene', 'Azetylaminofluoren', 'N-9H-Fluoren-2-ylacetamide', '2-Acetylamino-fluoren', 'ACETYLAMINOFLUORENE', 'RCRA waste number U005', '2-Acetylaminfluorene', '2-Aminoacetylfluorene', '2-Fluorenil acetamide', 'Acetamide, N-fluoren-2-yl-', 'Fluorene, 2-acetamido-', 'CCRIS 1', 'UNII-9M98QLJ2DL', 'Azetylaminofluoren [German]', 'NSC 12279', '2-Acetylamino-fluoren [German]', 'HSDB 4077', '2-ACETYLAMINOFLUORENE-3-YL', 'EINECS 200-188-6', 'RCRA waste no. U005', 'BRN 2807677', '9M98QLJ2DL', 'AI3-52433', 'CHEBI:17356', 'AAF', 'Fluorenylacetamide', '2-acetylaminoflourene', '2-Acetylaminofluorine', 'ACMC-209lbc', 'DSSTox_CID_18', 'N-2-Fluorenyl Acetamide', 'N-Fluoren-2-yl acetamide', '2-Acetamidofluorene, 95%', 'DSSTox_RID_79424', 'DSSTox_GSID_39227', 'Oprea1_431359', 'SCHEMBL75140', 'N-9H-fluoren-2-yl-Acetamide', 'CHEMBL311469', 'DTXSID0039227', 'CTK3J0353', 'WLN: L B656 HHJ EMV1', 'ZINC154557', 'BCP30181', 'KS-000017GW', 'NSC12279', 'Tox21_200830', '5024AF', 'ANW-31894', 'BBL001828', 'LS-188', 'NSC-12279', 'SBB056657', 'STK386197', 'AKOS004006242', 'CCG-231696', 'MCULE-6066498727', 'CAS-53-96-3', 'SEL11071160', 'NCGC00188968-01', 'NCGC00188968-02', 'NCGC00258384-01', 'AFF', 'CC-08502', 'DB-020315', 'A0076', 'FT-0631234', 'N-(2-Fluorenyl)acetamide, &gt;=98% (HPLC)', 'NS00006314', 'ST50308153', 'T7962', 'C02778', 'n-2-fluorenylacetamide;N-fluoren-2-ylacetamide', 'C-12543', 'SR-01000394055', 'Q4382200', 'SR-01000394055-1', 'BRD-K63993117-001-01-3', '2-Acetylaminofluorene;2-AAF;2 Fluorenylacetamide;Fluoren-2-ylacetamide']</t>
  </si>
  <si>
    <t>Compound(5897)</t>
  </si>
  <si>
    <t>C15H13NO</t>
  </si>
  <si>
    <t>2-acetyl furan</t>
  </si>
  <si>
    <t>1-(furan-2-yl)ethanone</t>
  </si>
  <si>
    <t>['2-Acetylfuran', '1192-62-7', '1-(furan-2-yl)ethanone', 'Acetylfuran', '2-Furyl methyl ketone', 'Methyl 2-furyl ketone', '1-(2-Furyl)ethanone', 'Ethanone, 1-(2-furanyl)-', '2-Furylethanone', '2-Acetyl furan', '1-Furan-2-yl-ethanone', 'Ketone, 2-furyl methyl', '1-(2-FURANYL)ETHANONE', 'Furyl methyl ketone', 'Furan, 2-acetyl-', '2-acetylfurane', '1-(Furan-2-yl)ethan-1-one', '(2-furanyl)-1-ethanone', '1-(2-Furanyl)-ethanone', 'Ethanone, 1-(furanyl)-', '2-acetyl-furan', 'UNII-Q5ZRP80K02', 'FEMA No. 3163', 'CCRIS 3161', '2-Furyl methyl ketone (natural)', 'NSC 4665', 'EINECS 214-757-1', 'NSC 49133', 'BRN 0107909', 'AI3-23586', 'Q5ZRP80K02', 'CHEBI:59983', 'MFCD00003242', 'acetyl furan', '2-Acetofurone', 'a-Furyl methyl ketone', 'PubChem6939', 'methyl-2-furyl ketone', '2-Furyl methyl ketone.', 'ACMC-1BPS0', '1-(2-Furyl)ethanone #', 'Epitope ID:136039', '1-(furan-2-yl)-ethanone', 'SCHEMBL43960', '5-17-09-00381 (Beilstein Handbook Reference)', 'KSC175C9R', '2-Furyl methyl ketone, 99%', '1-(2-Furanyl)ethanone, 9CI', 'DTXSID0051601', 'CTK0H5198', 'FEMA 3163', 'NSC4665', 'ZINC157401', 'KS-000001QA', 'NSC-4665', 'NSC49133', 'STR05504', 'ANW-17304', 'BBL027427', 'NSC-49133', 'SBB040248', 'STK400329', '1-(2-furanyl)ethanone (acetylfuran)', 'AKOS000119584', '2-Furyl methyl ketone, &gt;=99%, FG', 'AM91073', 'CS-W016628', 'MCULE-6389695813', 'PS-4586', '1-(2-Furanyl)-ethanone (2-acetylfuran)', 'AC-11853', 'AK-53418', 'I896', 'LS-87211', 'SC-00529', '2-Furyl methyl ketone, analytical standard', 'DB-003253', 'A0091', 'FT-0610977', 'NS00012490', 'ST50213408', '2-Furyl methyl ketone, purum, &gt;=99.0% (GC)', 'A804234', '2-Furyl methyl ketone, natural (US), &gt;=97%, FG', 'Q-100089', 'Q15634156', 'F0001-0316', '2-Aminomethyl-azetidine-1-carboxylic acid tert-butylester', '2-Furyl methyl ketone.;2-FURYL METHYL KETONE;2-furyl methyl ketone']</t>
  </si>
  <si>
    <t>Compound(14505)</t>
  </si>
  <si>
    <t>2-acetylpyrrole</t>
  </si>
  <si>
    <t>1-(1H-pyrrol-2-yl)ethanone</t>
  </si>
  <si>
    <t>['2-ACETYLPYRROLE', '1072-83-9', '1-(1H-Pyrrol-2-yl)ethanone', '1-(1H-Pyrrol-2-yl)ethan-1-one', '2-acetyl pyrrole', '2-Pyrrolylethanone', '2-Acetyl-1H-pyrrole', 'Methyl pyrrol-2-yl ketone', 'Ethanone, 1-(1H-pyrrol-2-yl)-', 'Methyl 2-pyrrolyl ketone', '1-(1h-pyrrol-2-yl)-ethanone', 'Ketone, methyl pyrrol-2-yl', '2-Pyrrolyl methyl ketone', '1-(2-Pyrrolyl)-1-ethanone', 'PYRROLE-B-METHYL KETONE', '1-(1H-pyrrole-2-yl)-ethanone', '1-(1H-pyrrol-2-yl)1-ethanone', 'Pyrrole-alpha-methyl ketone', 'UNII-9K28W7PM6N', 'Pyrrole, 2-acetyl', 'FEMA No. 3202', 'CCRIS 6778', 'CHEBI:59981', 'Methyl 2-pyrryl ketone', '1H-Pyrrole, 2-acetyl', 'EINECS 214-016-2', 'MFCD00005220', 'NSC 42861', 'BRN 0001882', '9K28W7PM6N', '2-Acetylpyrrole, 99%', '2-Acetopyrrole', '2-acetyl-pyrrole', 'Pseudoacetylpyrrole', 'PubChem20915', 'Spectrum2_001956', 'Spectrum3_001993', 'Pyrryl-alpha-methyl ketone', 'Epitope ID:136036', 'ACMC-1C1H0', 'DSSTox_CID_27084', 'DSSTox_RID_82096', 'DSSTox_GSID_47084', 'BSPBio_003593', 'SPECTRUM240422', '5-21-07-00204 (Beilstein Handbook Reference)', 'KSC491I9B', 'Pyrrole-.alpha.-methyl ketone', 'SCHEMBL150349', 'SPBio_002051', 'SCHEMBL8153085', 'CHEMBL1414126', 'DTXSID0047084', 'CTK3J1490', 'FEMA 3202', 'KBio3_003031', 'KS-00000MRH', '1-(1H-Pyrrol-2-yl)ethanone #', 'ZINC153027', 'NSC42861', '2-Acetylpyrrole, analytical standard', 'Ethanone, 1-(1H-pyrrole-2-yl)-', 'Tox21_300952', 'ANW-15507', 'BBL010104', 'CCG-39485', 'NSC-42861', 'SBB066752', 'STK801458', '1-(1H-Pyrrol-2-yl)ethanone, 9CI', 'AKOS000120308', 'AM90575', 'BS-3734', 'CS-W013672', 'MCULE-8111376055', 'SDCCGMLS-0066967.P001', '2-Acetylpyrrole, ReagentPlus(R), 99%', 'Methyl 2-pyrrolyl ketone, &gt;=98%, FG', 'NCGC00095914-01', 'NCGC00095914-02', 'NCGC00095914-03', 'NCGC00254854-01', '1-(1H-Pyrrol-2-yl)ethan-1-one, tech', 'AK-53458', 'L153', 'LS-87323', 'SC-25927', 'SY011279', 'CAS-1072-83-9', '1-(1H-pyrrol-2-yl)ethanone (acetylpyrrole)', 'A0894', 'FT-0610982', 'NS00020922', '72A839', 'K-0562', '2-Acetylpyrrole, Vetec(TM) reagent grade, 98%', 'AI-942/25034253', 'SR-05000002372', 'Q-200225', 'SR-05000002372-1', 'Q27127005', 'Z56899162', 'F8889-9291']</t>
  </si>
  <si>
    <t>Compound(14079)</t>
  </si>
  <si>
    <t>C6H7NO</t>
  </si>
  <si>
    <t>2-methoxyaniline;hydrochloride</t>
  </si>
  <si>
    <t>['O-ANISIDINE HYDROCHLORIDE', '134-29-2', '2-Methoxyaniline hydrochloride', 'o-Anisidine.HCl', 'Benzenamine, 2-methoxy-, hydrochloride', 'Fast Red BB Base', '2-Aminoanisole hydrochloride', '2-Methoxyaniline HCl', '2-Anisidine hydrochloride', 'o-Anisidine, hydrochloride', 'o-Anisylamine hydrochloride', 'o-Aminoanisole hydrochloride', 'CCRIS 46', 'o-Methoxyaniline hydrochloride', 'o-Methoxyphenylamine hydrochloride', '2-Methoxybenzenamine hydrochloride', 'NCI-C03747', '2-Methoxybenzeneamine hydrochloride', '2-Methoxy-1-aminobenzene hydrochloride', 'C.I. 37115', 'DSSTox_CID_92', 'DSSTox_RID_75361', 'DSSTox_GSID_20092', 'CAS-134-29-2', '2-methoxyaniline-hydrochloride', 'O-Anisidine HCl', 'ACMC-209bue', '2-methoxyaniline;hydrochloride', 'SCHEMBL892262', 'CHEMBL3183318', 'DTXSID8020092', 'CTK4B9080', 'o-methoxyphenylamine hyd rochloride', '2-Methoxybenzenamine, Hydrochloride', 'Tox21_201358', 'Tox21_302807', 'ANW-19620', 'LS-776', 'AKOS024272193', '1-Amino-2-Methoxybenzene Hydrochloride', 'MCULE-4666231474', 'NCGC00256514-01', 'NCGC00258910-01', '2-Methoxyaniline hydrochloride AldrichCPR', 'AS-11121', '2-Methoxyaniline hydrochloride, AldrichCPR', 'A0489', 'Benzenamine,2-methoxy-, hydrochloride (1:1)', 'M-3018', 'F8881-5656', 'O-ANISIDINE HYDROCHLORIDE (SEE ALSO: O-ANISIDINE (90-04-0))']</t>
  </si>
  <si>
    <t>Compound(8638)</t>
  </si>
  <si>
    <t>C7H10ClNO</t>
  </si>
  <si>
    <t>3H-1,3-benzothiazole-2-thione</t>
  </si>
  <si>
    <t>['2-Mercaptobenzothiazole', '149-30-4', '2-Benzothiazolethiol', 'Captax', 'Benzothiazolethiol', 'Benzo[d]thiazole-2-thiol', '1,3-Benzothiazole-2-thiol', 'Benzothiazole-2-thiol', 'Benzo[d]thiazole-2(3H)-thione', '2(3H)-Benzothiazolethione', 'MERCAPTOBENZOTHIAZOLE', 'Rotax', 'Accelerator M', 'Dermacid', 'Sulfadene', 'Kaptax', 'Mertax', 'Thiotax', 'Rokon', '2-MBT', 'Vulkacit M', 'Ekagom G', 'Accel M', 'Mebetizole', 'Mebithizol', 'Kaptaks', 'Nuodeb 84', 'Soxinol M', 'Vulkacit Mercapto', 'Pneumax MBT', '2-Mercaptobenzthiazole', 'Royal MBT', 'Mercaptobenzothiazol', 'Mercaptobenzthiazole', 'Vulkacit Mercapto/C', '2-Mercptobenzothiazole', 'Pennac mbt powder', 'Benzothiazole-2-thione', '118090-09-8', '2-Benzothiazolinethione', 'mebetizol', 'Nuodex 84', 'Usaf gy-3', 'MBT', 'Nocceler M', 'Usaf xr-29', 'Benzothiazole, mercapto-', '1,3-Benzothiazol-2-yl hydrosulfide', '2-Benzothiazolyl mercaptan', '2-Merkaptobenzotiazol', '2-Merkaptobenzthiazol', 'AG 63', 'benzothiazolyl mercaptan', 'Perkacit MBT', 'Kaptax [Czech]', '2-thiobenzothiazole', 'Mercaptobenzothiazole (VAN)', 'Caswell No. 541', '2-sulfanyl-1,3-benzothiazole', '2-Mercapto benzothiazole', '2-mercapto-benzothiazole', 'pennac mbt', 'CHEBI:34292', '3H-1,3-benzothiazole-2-thione', 'Thiot ax', 'NCI-C56519', 'UNII-5RLR54Z22K', '2-benzothiazolthiol', 'Accelerator mercapto', 'C7H5NS2', 'CCRIS 891', '2-Merkaptobenzthiazol [Czech]', '2-Merkaptobenzotiazol [Polish]', 'HSDB 4025', '2-Mercaptobenzothioazole', 'captax, zinc salt', 'NSC 2041', 'EINECS 205-736-8', 'captax, sodium salt', 'EPA Pesticide Chemical Code 051701', '2-Mercaptobenzothiazole, 97%', 'AI3-00985', '5RLR54Z22K', '2-Mercaptobenzothiazole (in liquid mixtures)', 'DTXSID1020807', 'NSC2041', 'NCGC00091643-07', 'NCGC00091643-08', 'DSSTox_CID_807', 'DSSTox_RID_75799', 'DSSTox_GSID_20807', '3-hydrobenzothiazole-2-thione', '2-Mercaptobenzothiazole, 95%', '2(3H)-Benzothiazolethione, potassium salt', 'CAS-149-30-4', 'captax, potassium salt', '2-Sulfanylbenzothiazole', 'captax, lead(+2) salt', 'captax, cobalt(+2) salt', 'captax, copper(+2) salt', 'captax, silver(+1) salt', 'captax, bismuth(+3) salt', 'captax, mercury (+2) salt', 'Drmacid', 'thiotax(tm)', 'rokon(r)', 'MBT, captax', 'mercapto-benzothiazole', 'mercaptobenzothiazole;', '2-Benzothiazolethione', '2-mercaptobenzothiazol', 'Benzothiazole-Mercapto', '2-mercapto-benzthiazole', 'PubChem20577', 'Spectrum_001669', 'SpecPlus_000728', '2-thiocarbamidothiophenol', '57948-09-1', 'Spectrum2_001666', 'Spectrum3_001665', 'Spectrum4_000628', 'Spectrum5_001400', 'mercapto(2-)benzothiazole', '2(3H)-Benzothiazoletione', 'benzo[d]thiazole-2-thione', 'Epitope ID:116044', 'EC 205-736-8', 'Benzothiazole, 2-mercapto-', 'ACMC-1C6V5', 'SCHEMBL23237', '1,3-Benzothiazole-2-thione', 'BSPBio_003449', 'KBioGR_001216', 'KBioSS_002149', 'KSC159S8T', 'BIDD:ER0373', 'DivK1c_006824', 'SPECTRUM1504225', 'SPBio_001851', '2-Sulphanyl-1,3-benzothiazole', 'CHEMBL111654', '155-04-4 (zinc salt)', 'WLN: T56 BN DSJ CSH', 'Vulkacit M, vulkacit merkapto/c', 'CTK0F9989', 'KBio1_001768', 'KBio2_002149', 'KBio2_004717', 'KBio2_007285', 'KBio3_002669', '2-Mercaptobenzothiazole (2-MBT)', '1,3-benzothiazol-2-ylhydrosulfide', '7778-70-3 (potassium salt)', 'LS-61', 'EBD46479', 'NSC-2041', 'Tox21_113450', 'Tox21_400016', '1,3-Benzothiazol-2-yl hydrosulphide', '2953AA', 'ANW-21199', 'BBL003621', 'BDBM50444459', 'c1019', 'CCG-39092', 'MFCD00005781', 'SBB037840', 'STK499589', 'ZINC18098783', 'AKOS000119128', 'AKOS002337495', '1,3-Benzothiazol-2-yl hydrosulfide #', 'CS-W017829', 'DB11496', 'FS-1801', 'HY-W017113', 'MCULE-4331370211', '4162-43-0 (copper(+2) salt)', 'KS-000001D2', 'NCGC00091643-01', 'NCGC00091643-02', 'NCGC00091643-04', 'NCGC00091643-05', 'NCGC00091643-06', 'NCGC00091643-09', 'NCGC00091643-10', 'NCGC00091643-12', 'AC-11606', 'AK-47877', 'L287', 'SC-18901', 'ST023801', 'AB0003265', 'DB-042988', 'FT-0612758', 'FT-0699702', 'M0055', 'M0247', 'NS00000568', 'T7418', '49M304', 'C14437', '2-Mercaptobenzothiazole, technical, &gt;=90% (T)', 'AB00053232-04', 'A808877', 'AE-641/31369054', 'Q904160', 'Q-200294', 'BRD-K55160477-001-02-1', 'BRD-K55160477-001-03-9', 'F3066-0005', 'Z1250100728', '27157-85-3']</t>
  </si>
  <si>
    <t>Compound(697993)</t>
  </si>
  <si>
    <t>C7H5NS2</t>
  </si>
  <si>
    <t>2-benzothiazole sulfonamide</t>
  </si>
  <si>
    <t>N,N-bis(1,3-benzothiazol-2-ylsulfanyl)-2-methylpropan-2-amine</t>
  </si>
  <si>
    <t>['3741-80-8', 'UNII-W472RVB1NU', 'n-(1,1-dimethylethyl)bis(2-benzothiazolesulfen)amide', 'TBSI', 'N-tert-Butyl-di(2-benzothiazolesulfen)amide', 'W472RVB1NU', '2-Benzothiazolesulfenamide, N-(2-benzothiazolylthio)-N-(1,1-dimethylethyl)-', 'N-Benzothiazol-2-ylsulfanyl-N-tert-butyl-benzothiazole-2-sulfenamide', 'EC 407-430-1', 'SCHEMBL5075489', 'DTXSID1041394', 'CTK8I4685', 'N,N-bis(1,3-benzothiazol-2-ylsulfanyl)-2-methylpropan-2-amine', 'ZINC5439441', 'N-tert-Butyl-2-benzothiazolesulfenimide', 'NS00004984', "2,2'-(tert-Butyliminobisthio)bisbenzothiazole", '741B808', 'Q27292282', 'N,N-Bis[(1,3-benzothiazol-2-yl)sulfanyl]-2-methylpropan-2-amine']</t>
  </si>
  <si>
    <t>Compound(77344)</t>
  </si>
  <si>
    <t>C18H17N3S4</t>
  </si>
  <si>
    <t>2- (cyclohexylaminothio) benzothiazole</t>
  </si>
  <si>
    <t>N-(1,3-benzothiazol-2-ylsulfanyl)cyclohexanamine</t>
  </si>
  <si>
    <t>['95-33-0', 'N-Cyclohexyl-2-benzothiazolesulfenamide', 'Thiohexam', 'Accelerator CZ', 'Santocure', 'Sulfenax', 'Curax', 'Durax', 'Sulfenamide Ts', 'Santocure Powder', 'Sulfenax TsB', 'Vulkacite CZ', 'Sulfenax CB', 'Vulkacit CZ', 'Santocure Pellets', 'Vulcafor CBS', 'Conac A', 'Conac S', 'Delac S', 'Ekagom CBS', 'Royal CBTS', 'Rhodifax 16', 'Sulfenax CB 30', 'Vulcafor hbs', 'N-Cyclohexyl-2-benzothiazolylsulfenamide', 'Soxinol cz', 'Vulkacit c', 'Sulfenax cb/k', 'Vulkacit cz/c', 'Vulkacit cz/k', 'Nocceler CZ', 'Accicure HBS', 'N-Cyclohexyl-2-benzothiazylsulfenamide', 'Pennac CBS', 'Sanceler CM-PO', '2-Benzothiazolesulfenamide, N-cyclohexyl-', 'N-Cyclohexylbenzothiazole-2-sulfenamide', 'Benzothiazyl-2-cyclohexylsulfenamide', '2-(Cyclohexylaminothio)benzothiazole', 'Conac H', 'N-Cyclohexyl-2-benzothiazosulfenamide', 'Sufenax cb', 'Cyclohexyl benzothiazolesulfenamide', 'Santocure vulcanization accelerator', 'UNII-UCA53G94EV', 'CCRIS 4910', 'HSDB 2868', '2-Benzenethiazolesulfenamide, N-cyclohexyl-', 'NSC 4809', 'EINECS 202-411-2', 'BRN 0192376', 'N-Cyclohexylbenzothiazole-2-sulphenamide', 'UCA53G94EV', 'N-Cyclohexyl-2-benzothiazole sulfenamide', 'AI3-16782', 'NCGC00159502-02', 'DSSTox_CID_360', 'CBS, N-Cyclohexyl-2-benzothiazolesulfenamide', 'N-(1,3-benzothiazol-2-ylthio)cyclohexanamine', 'DSSTox_RID_75538', 'DSSTox_GSID_20360', 'S-(Benzo[d]thiazol-2-yl)-N-cyclohexylthiohydroxylamine', 'CAS-95-33-0', 'SMR001798878', 'Vulkacit cz/eg', 'Perkacit CBS', 'Akrochem CBTS', 'Ekaland CBS', 'Sanceler CM-G', 'Banac CBS', 'Vulkacit CZ/EG-C', 'CBTS', 'ACMC-209ryh', 'EC 202-411-2', 'N-Cyclohexyl-2-benzothiazolylsulfenamide , 95%', 'SCHEMBL80270', '4-27-00-01867 (Beilstein Handbook Reference)', 'MLS004773968', 'MLS006010082', 'CHEMBL1591074', 'DTXSID5020360', 'CTK8B2754', 'DEQZTKGFXNUBJL-UHFFFAOYSA-', 'NSC4809', 'Cyclohexylbenzothiazyl sulphenamide', 'Cyclohexylbenzothiazolylsulphenamide', 'Cyclohexyl benzothiazole sulfenamide', 'N-Cyclohexylbenzothiazoylsulfenamide', 'NSC-4809', 'ZINC1680410', 'N-Cyclohexylbenzothiazyl sulphenamide', 'Tox21_111721', 'Tox21_202436', 'Tox21_302924', 'ANW-40503', 'AKOS003658709', 'N-Cyclohexy-2-benzothiazolesulfenamide', 'N-Cyclohexyl-2-benzthiazyl sulfenamide', 'N-Cyclohexyl-2-benzthiazyl sulfonamide', 'DB14200', 'LS-7292', 'MCULE-6406245882', 'WLN: T56 BN DSJ CSM- AL6TJ', 'N-cyclohexyl-2-benzothiazole-sulfenamide', 'N-Cyclohexyl-2-benzothiazolylsulfonamide', 'N-Cyclohexyl-2-benzothiazyl sulphenamide', 'NCGC00159502-03', 'NCGC00159502-04', 'NCGC00256366-01', 'NCGC00259985-01', 'AS-15575', 'P933', 'DB-057577', 'CS-0040170', 'FT-0631486', 'NS00006793', 'N-[(1,3-Benzothiazol-2-yl)sulfanyl]cyclohexanamine', 'Q4445828', 'W-100165', 'BRD-K64191834-001-03-1', 'NSC 4809; Nocceler CZ; Accelerator CZ; Accicure HBS', 'S-(1,3-Benzothiazol-2-yl)-N-cyclohexylthiohydroxylamine', 'S-(1,3-Benzothiazol-2-yl)-N-cyclohexylthiohydroxylamine #', 'N-cyclohexylbenzothiazole-2-sulfenamide;2-Benzothiazolesulfenamide, N-cyclohexyl-', '[(3aS,4R,9S,10aS)-2-amino-5,10,10-trihydroxy-6-imino-9-sulfooxy-3a,4,8,9-tetrahydro-1H-pyrrolo[1,2-c]purin-4-yl]methoxycarbonylsulfamic acid']</t>
  </si>
  <si>
    <t>Compound(7232)</t>
  </si>
  <si>
    <t>C13H16N2S2</t>
  </si>
  <si>
    <t>2-phenoxy-1-propanol</t>
  </si>
  <si>
    <t>2-phenoxypropan-1-ol</t>
  </si>
  <si>
    <t>['2-Phenoxypropanol', '2-Phenoxy-1-propanol', '4169-04-4', '1-PROPANOL, 2-PHENOXY-', '2-phenoxypropan-1-ol', '2-Phenoxypropyl alcohol', 'Dowanol PPH glycol ether', 'EINECS 224-027-4', 'BRN 2085744', '(R)-2-PHENOXYPROPAN-1-OL', '(S)-2-PHENOXYPROPAN-1-OL', '(-)-2-Phenoxypropanol', 'ACMC-1ANO7', 'DSSTox_CID_9665', 'DSSTox_RID_78801', 'DSSTox_GSID_29665', 'SCHEMBL120055', 'CHEMBL3186734', 'DTXSID7029665', 'CTK1D6194', 'Propylene Glycol 2-Monophenyl Ether', 'Tox21_200782', 'ANW-13875', 'ACN-049183', 'NCGC00248831-01', 'NCGC00258336-01', 'AS-47960', 'CAS-4169-04-4', 'LS-122617', 'FT-0613296', 'NS00019723', 'P1111', '4-06-00-00582 (Beilstein Handbook Reference)']</t>
  </si>
  <si>
    <t>Compound(20129)</t>
  </si>
  <si>
    <t>C9H12O2</t>
  </si>
  <si>
    <t>2-phenoxyethanol</t>
  </si>
  <si>
    <t>['2-PHENOXYETHANOL', '122-99-6', 'Phenoxyethanol', 'Ethylene glycol monophenyl ether', 'Ethanol, 2-phenoxy-', 'Phenyl cellosolve', 'Phenoxytol', 'Phenoxethol', 'Phenoxetol', 'Ethylene glycol phenyl ether', 'Phenoxyethyl alcohol', '2-Phenoxyethan-1-Ol', '1-Hydroxy-2-phenoxyethane', 'Rose ether', 'Phenylmonoglycol ether', 'Arosol', 'Dowanol EP', '2-Phenoxyethyl alcohol', 'Glycol monophenyl ether', '2-Hydroxyethyl phenyl ether', 'Phenylglycol', 'Fenyl-cellosolve', '2-Fenoxyethanol', 'Dowanol EPH', '2-Phenoxy-ethanol', 'Emery 6705', 'Emeressence 1160', 'Fenylcelosolv', 'Marlophen P', 'beta-Hydroxyethyl phenyl ether', '2-phenoxy ethanol', 'Marlophen P 7', 'Spermicide 741', 'Tritonyl 45', 'Ethylan HB 4', 'EGMPE', 'Fenylcelosolv [Czech]', '2-Fenoxyethanol [Czech]', 'Fenyl-cellosolve [Czech]', 'Plastiazan-41 [Russian]', 'UNII-HIE492ZZ3T', 'NSC 1864', 'Polyoxyethylene phenol ether', 'Polyoxyethylene phenyl ether', 'Phenol-ethylene oxide adduct', 'MFCD00002857', 'Glycols, polyethylene, monophenyl ether', 'Phenoxyethanol [NF]', 'Polyethylene glycol phenyl ether', '.beta.-Hydroxyethyl phenyl ether', 'HSDB 5595', 'PHE-G', 'PHE-S', '2-Phenoxyethanol, 99%', 'EINECS 204-589-7', 'FR 214', '9004-78-8', '.beta.-Phenoxyethyl alcohol', 'alpha-Phenyl-omega-hydroxypoly(oxy-1,2-ethanediyl)', 'BRN 1364011', 'HIE492ZZ3T', 'AI3-00752()C', 'ethyleneglycol monophenyl ether', 'CHEBI:64275', 'Phenoxyethanol (NF)', 'Poly(oxy-1,2-ethanediyl), alpha-phenyl-omega-hydroxy-', 'NCGC00090731-01', 'NCGC00090731-05', 'DSSTox_CID_1976', 'DSSTox_RID_76437', 'DSSTox_GSID_21976', 'Erisept', 'Plastiazan-41', 'CAS-122-99-6', 'Phenol, ethoxylated', 'PHG', '.beta.-Phenoxyethanol', 'phenoxy-ethanol', 'phenylcellosolve', 'Phenoxyethanolum', 'CCRIS 9481', 'Ethylene glycol-monophenyl ether', 'Dalpad A', '2-phenyloxyethanol', 'Newpol EFP', '2-Phenoxyethanol.', '2-(phenoxy)ethanol', 'beta-Hydroxyphenetole', '2-phenoxy-1-ethanol', 'beta-phenoxyethylalcohol', 'ACMC-1BVYG', '2-Phenoxyethanol, 9CI', 'WLN: Q2OR', 'EC 204-589-7', 'SCHEMBL15708', '2-Phenoxyethanol, &gt;=99%', '4-06-00-00571 (Beilstein Handbook Reference)', 'KSC174Q0P', 'MLS002174254', 'Euxyl K 400 (Salt/Mix)', '2-PHENOXYETHANOL 500ML', 'CHEMBL1229846', 'DTXSID9021976', 'CTK0H4807', 'Ethylene glycol mono phenyl ether', 'NSC1864', 'HMS2268A20', 'HY-B1729', 'NSC-1864', 'STR04582', 'ZINC1577061', 'Tox21_111002', 'Tox21_113532', 'Tox21_202111', 'Tox21_300842', 'ANW-18088', 'BBL027410', 'LS-672', 'SBB060485', 'STK802556', '2-Phenoxyethanol, analytical standard', 'Fungal Terminator [veterinary] (TN)', 'AKOS000118741', 'Tox21_111002_1', 'DB11304', 'MCULE-1828011376', 'NCGC00090731-02', 'NCGC00090731-03', 'NCGC00090731-04', 'NCGC00090731-06', 'NCGC00090731-07', 'NCGC00090731-08', 'NCGC00254745-01', 'NCGC00259660-01', 'Ethylene glycol monophenyl ether, &gt;=90%', 'LS-72941', 'SC-47140', 'SMR000112131', 'ETHANOL,2-PHENOXY  MFC8 H10 O2', 'CS-0013737', 'FT-0613280', 'NS00002984', 'P0115', 'P1953', 'ST51046662', '2-Phenoxyethanol, tested according to Ph.Eur.', 'D08359', '97692-EP2287158A1', '97692-EP2305662A1', '97692-EP2372017A1', 'A805003', 'Q418038', 'SR-01000838345', 'J-510235', 'SR-01000838345-2', 'F1905-6997', 'Z426194440', 'Ethylene glycol monophenyl ether, SAJ first grade, &gt;=95.0%', 'Phenoxyethanol, European Pharmacopoeia (EP) Reference Standard', 'Phenoxyethanol, United States Pharmacopeia (USP) Reference Standard', '2-Phenoxyethanol, Pharmaceutical Secondary Standard; Certified Reference Material']</t>
  </si>
  <si>
    <t>Compound(31236)</t>
  </si>
  <si>
    <t>2-furan methanol</t>
  </si>
  <si>
    <t>furan-2-ylmethanol</t>
  </si>
  <si>
    <t>['FURFURYL ALCOHOL', '2-Furanmethanol', '98-00-0', '2-Furylmethanol', 'furan-2-ylmethanol', '2-Furancarbinol', '2-Furylcarbinol', 'Furfural alcohol', '2-Furanylmethanol', 'Furfuranol', '2-Furfuryl alcohol', 'Furfurylalcohol', '5-Hydroxymethylfuran', 'Furfuralcohol', 'Furyl alcohol', '2-(Hydroxymethyl)furan', '2-Hydroxymethylfuran', 'alpha-Furylcarbinol', 'Furylcarbinol', 'Furan-2-yl-methanol', '2-Furfurylalkohol', 'Furfurylcarb', '2-Furanmethanol, homopolymer', 'Methanol, (2-furyl)-', '(2-furyl)methanol', '2-hydroxymethylfurane', 'Furylcarbinol (VAN)', 'Furan-2-methanol', '2-Furane-methanol', 'NCI-C56224', 'Furanmethanol', '2-furanemethanol', '2-Furfurylalkohol [Czech]', 'NSC 8843', 'Qo furfuryl alcohol', 'UNII-D582054MUH', 'FEMA No. 2491', 'CCRIS 2922', 'HSDB 711', '.alpha.-Furylcarbinol', '(furan-2-yl)methanol', 'CHEBI:207496', 'Furfuryl alcohol, 98%', '.alpha.-Furfuryl alcohol', 'EINECS 202-626-1', 'UN2874', 'BRN 0106291', 'AI3-01171', 'DTXSID2025347', 'D582054MUH', '2-furylmethan-1-ol', 'Furfuryl alcohol [UN2874] [Poison]', 'DSSTox_CID_5347', '(2-FURYL)-METHANOL (FURFURYLALCOHOL)', 'DSSTox_RID_77760', 'DSSTox_GSID_25347', 'CAS-98-00-0', 'furylmethanol', '25212-86-6', '2-furan carbinol', '2-Furfurylalcohol', 'Furfuryl Alcohol.', 'polyfurfuryl alcohol', 'FU2', 'alpha -Furylcarbinol', 'MFCD00003252', 'formaldehyde copolymer', 'PFFA', 'poly(furfurylalcohol)', 'poly-furfuryl alcohol', 'ACMC-20aiwg', '(2-furyl)-Methanol', 'alpha-Furfuryl alcohol', '2-Hydroxymethyl-Furan', 'poly(furfuryl alcohol)', 'PubChem19996', 'alpha -Furfuryl alcohol', 'Furfuryl alcohol, 8CI', '2-Furfurylalkohol(CZECH)', 'Epitope ID:136037', 'EC 202-626-1', 'furfuryl alcohol (furfurol)', 'WLN: T5OJ B1Q', '5-17-03-00338 (Beilstein Handbook Reference)', 'KSC234E7N', '2-Furane-methanol (furfurol)', 'CHEMBL308187', 'CHEBI:53371', 'CTK1D4276', 'FEMA 2491', 'Furfuryl alcohol, &gt;=97%, FG', 'NSC8843', '2-Furanmethanol (furfuryl alcohol)', '2-Furylmethanol (ACD/Name 4.0)', 'KS-00000X7F', 'NSC-8843', 'STR01021', 'ZINC1648266', 'Tox21_202102', 'Tox21_303093', 'ANW-75422', 'Furfuryl alcohol, analytical standard', 'SBB004373', 'AKOS000119178', 'AM81811', 'LS-2036', 'MCULE-4977977402', 'UN 2874', 'Furfuryl alcohol [UN2874]  [Poison]', 'Furfuryl alcohol, natural, &gt;=95%, FG', 'NCGC00249166-01', 'NCGC00256987-01', 'NCGC00259651-01', 'BR-72801', 'DB-016149', 'omega-hydroxypoly(furan-2,5-diylmethylene)', '767-EP2305688A1', '767-EP2377610A2', '767-EP2377611A2', '767-EP2377849A2', 'F0076', 'FT-0626576', 'FT-0668910', 'NS00003728', 'ST50214441', 'C20441', 'Q27335', 'A845784', 'J-521401', 'F0001-2310', 'omega-hydroxypoly(furan-2,5-diylmethylene) macromolecule', 'Z940713500', 'TRANSGENIC LECM (FURFURYL ALCOHOL) (SEE ALSO FURFURYL ALCOHOL)', '40795-25-3']</t>
  </si>
  <si>
    <t>Compound(7361)</t>
  </si>
  <si>
    <t>C5H6O2</t>
  </si>
  <si>
    <t>2-isopropylphenol</t>
  </si>
  <si>
    <t>2-propan-2-ylphenol</t>
  </si>
  <si>
    <t>['2-Isopropylphenol', '88-69-7', 'O-ISOPROPYLPHENOL', 'o-Hydroxycumene', 'o-Cumenol', 'ISOPROPYLPHENOL', '2-(1-Methylethyl)phenol', '1-Hydroxy-2-isopropylbenzene', 'Phenol, o-isopropyl-', 'Phenol, 2-(1-methylethyl)-', 'ortho-isopropylphenol', '2-(propan-2-yl)phenol', 'Prodox 131', 'ISOPROPYLPHENOL, ORTHO', '1-Hydroxy-3-isopropylbenzene', 'Cumenol, o-', '2-Isopropyl phenol', '2-Isopropyl-Phenol', '2-propan-2-ylphenol', 'NSC 5103', 'Isopropylphenol, o-', 'UNII-B2899Z0Q2U', 'FEMA No. 3461', 'EINECS 201-852-8', 'BRN 1363322', 'CHEMBL30018', 'AI3-18550', '25168-06-3', 'CHEBI:38506', 'B2899Z0Q2U', '2-Isopropylphenol, 97%', 'cumenol', 'isopropyl phenol', 'isopropyl-phenol', '2-Hydroxycumene', 'o-isopropyl-phenol', '0-isopropyl phenol', '2-iso-propylphenol', 'Phenol, isopropyl-', 'ortho-isopropyl phenol', 'Ortho Iso Propylphenol', 'ACMC-1BMFP', '2-Isopropylphenol, 98%', '2-(1-Methylethyl)-Phenol', 'DSSTox_CID_24391', 'DSSTox_RID_80192', 'DSSTox_GSID_44391', 'SCHEMBL43297', '4-06-00-03210 (Beilstein Handbook Reference)', 'KSC492S1P', 'SCHEMBL8988162', 'DTXSID2044391', '2-(1-Methylethyl)phenol, 9CI', 'CTK3J2917', 'FEMA 3461', 'NSC5103', '3f36', '2-Isopropylphenol, &gt;=98%, FG', 'ACT00742', 'KS-00000V2Q', 'NSC-5103', 'ZINC1680692', 'EINECS 246-699-8', 'Tox21_302062', 'ANW-39139', 'BDBM50409533', 'STL453618', 'AKOS000120752', 'MCULE-1601888573', 'CAS-88-69-7', 'NCGC00255940-01', 'BP-10159', 'P678', 'SC-23337', 'LS-104752', 'FT-0612721', 'FT-0627494', 'I0173', 'NS00021381', 'AZ0001-0123', 'Q-7164', '179663-EP2272813A2', '179663-EP2275395A2', '179663-EP2277861A1', 'W-100389', 'Q27117882', 'F0001-2189', 'UNII-7UD6MUG48S component CRBJBYGJVIBWIY-UHFFFAOYSA-N', 'IP0', 'Phosphoric acid, (1-methylethyl)phenyl phenyl ester;2-Isopropylphenol;o-isopropylphenol;2-isopropylphenol;Phenol, 2-(1-methylethyl)-']</t>
  </si>
  <si>
    <t>Compound(6943)</t>
  </si>
  <si>
    <t>2-morpholine (thio) benzothiazole</t>
  </si>
  <si>
    <t>4-(1,3-benzothiazol-2-ylsulfanyl)morpholine</t>
  </si>
  <si>
    <t>['102-77-2', '2-(Morpholinothio)benzothiazole', '4-(Benzo[d]thiazol-2-ylthio)morpholine', 'Sulfenamide M', 'Morpholinylmercaptobenzothiazole', 'Santocure MOR', 'Sulfenax MOR', 'Vulcafor BSM', 'Vulkacit MOZ', 'NOBS Special', 'Usaf cy-7', 'AMAX', 'Meramide M', 'Accel NS', '2-(4-Morpholinothio)benzothiazole', 'Delac MOR', 'Morpholine, 4-(2-benzothiazolylthio)-', '2-(4-Morpholinylthio)benzothiazole', '2-(4-Morpholinylmercapto)benzothiazole', '2-Morpholinothiobenzothiazole', '4-(2-Benzothiazolylthio)morpholine', 'Vulcafor SSM', '2-Benzothiazolesulfenemorpholide', 'Cure-rite OBTS', '4-(1,3-benzothiazol-2-ylsulfanyl)morpholine', 'Benzothiazolyl-2-sulfenmorpholide', 'Benzothiazole, 2-(4-morpholinylthio)-', '2-Benzothiazolylsulfenyl morpholine', 'N-Oxydiethylenebenzothiazole-2-sulfenamide', 'BENZOTHIAZOLE, 2-(MORPHOLINOTHIO)-', '2-Benzothiazolyl N-morpholino sulfide', 'N-(Oxydiethylene)benzothiazole-2-sulfenamide', 'N-(Oxydiethylene)benzothiazylsulfenamide', '2-Benzothiazolylsulfenylmorpholine', '2-(4-Morpholino)thiobenzothiazole', '2-Benzothiazolesulfenamide, N-morpholinyl-', 'N-Oxydiethylene-2-benzothiazole sulfenamide', 'N-(Oxodiethylene)-2-benzothiazolesulfenamide', 'UNII-VCD7623F3K', 'N,N-(Oxydiethylene)-2-benzothiazylsulfenamide', 'NSC 70078', 'N,N-(Oxydiethylene)benzothiazole-2-sulfenamide', 'CCRIS 4911', 'N-Oxydiethylene-2-benzothiazylsulfenamide', 'HSDB 2867', 'EINECS 203-052-4', 'BRN 0191684', 'AI3-27134', 'VCD7623F3K', '(2-Morpholinothio)benzothiazole', 'MBS', 'NSC70078', 'NCGC00042523-02', 'NCGC00042523-03', '2-(morpholin-4-ylthio)-1,3-benzothiazole', 'N-(Oxydiethylene)-2-benzothiazolesulfenamide', 'DSSTox_CID_1096', 'N,N-(Oxydiethylene)-2-benzothiazolesulfenamide', 'DSSTox_RID_75938', 'DSSTox_GSID_21096', 'Q-200146', 'CAS-102-77-2', 'Accelerator NC', '2-(Morpholinthio)-benzothiazole', '4-(2-Benzothiazolylthio)-morpholine', 'NSC-70078', 'OBTS', 'NOBS, MBS', 'EC 203-052-4', 'ACMC-1C0G6', 'NCIOpen2_003384', 'SCHEMBL79658', '4-27-00-01868 (Beilstein Handbook Reference)', 'MLS000055410', 'CHEMBL1530581', 'DTXSID0021096', 'MHKLKWCYGIBEQF-UHFFFAOYSA-', '2-morpholin-4-ylthiobenzothiazole', 'Morpholinylmercapto-benzo-thiazole', '2-morpholinosulphenyl-benzothiazole', 'HMS1760H22', 'HMS2163A20', 'HMS3323A19', 'ZINC393947', '2-(4-morpholinothio)-benzothiazole', '4-(2-benzothiazolylthio)-morpholin', 'Tox21_110976', '2-morpholin-4-ylsulfanylbenzothiazole', 'ANW-14743', '2-Benzothiazolesulfenamide, N-morphol', 'AKOS001025507', 'Tox21_110976_1', 'DB14202', 'LS-7640', 'MCULE-7254591591', '2-(MORPHOLINOTHIO)-BENZOTHIAZOLE', 'KS-000015A7', 'WLN: T56 BN DSJ CS-AT6N DOTJ', 'CC-09243', 'N-Oxydiethylene-2-benzothiazolesulfenamide', 'P894', 'SMR000066103', '2-(4-Morpholinylthio)-1,3-benzothiazole', 'AX8017320', 'N-Oxydienthylene-2-benzothiazole sulfenamide', 'FT-0608683', 'M0532', 'NS00004147', 'ST50545741', '2-(morpholin-4-ylsulfanyl)-1,3-benzothiazole', '2-(4-Morpholinylsulfanyl)-1,3-benzothiazole #', '2-[(Morpholin-4-yl)sulfanyl]-1,3-benzothiazole', 'BRD-K97360717-001-07-6', 'Q27291760', 'Z56821717', '2-(morpholinothio)benzothiazole;Benzothiazole, 2-(morpholinothio)-']</t>
  </si>
  <si>
    <t>Compound(7619)</t>
  </si>
  <si>
    <t>C11H12N2OS2</t>
  </si>
  <si>
    <t>2-pyrrolidone</t>
  </si>
  <si>
    <t>pyrrolidin-2-one</t>
  </si>
  <si>
    <t>['2-Pyrrolidinone', 'pyrrolidin-2-one', '2-PYRROLIDONE', 'Pyrrolidone', '616-45-5', 'Butyrolactam', '2-Oxopyrrolidine', 'Pyrrolidon', 'PYRROLIDINONE', '2-Ketopyrrolidine', '2-Pyrol', 'gamma-Butyrolactam', 'alpha-Pyrrolidinone', '4-Aminobutyric acid lactam', 'gamma-Aminobutyric lactam', 'Pyrrolidon [German]', 'gamma-Aminobutyric acid lactam', 'gamma-Aminobutyrolactam', '.gamma.-Aminobutyrolactam', 'Butanoic acid, 4-amino-, lactam', 'UNII-KKL5D39EOL', 'Pyrrolidone-2', 'alpha-Pyrrolidone', 'NSC 4593', 'NSC 8413', 'pyrrolidine-2-one', '.alpha.-Pyrrolidone', 'azacyclopentan-2-one', '.gamma.-Butyrolactam', '2-Tetrahydropyrrolone', '.alpha.-Pyrrolidinone', 'HSDB 2652', '2-Pyrrolidinone, 99%', 'EINECS 210-483-1', 'MFCD00005270', 'KKL5D39EOL', '.gamma.-Aminobutyric lactam', 'LAM', 'CHEBI:36592', 'Butanoic acid, lactam', 'WLN: T5MVTJ', 'DSSTox_CID_7246', 'DSSTox_RID_78367', 'DSSTox_GSID_27246', 'Pyrrolidone (Pyrrolidin-2-one)', 'CAS-616-45-5', 'butyrolactim', 'pyrollidone', '2pyrrolidinone', 'a-pyrrolidone', '2-pyrollidinone', '2-pyrolidinone', '2-pyrrolidinon', 'Aminobutyrolactam', 'Soluphor P', 'pyrrolidin-2-on', 'pyrrolid-2-one', '2-pyrrolidin-one', 'pyrolidine-2-one', 'pyrollidin-2-one', 'Tetrahydropyrrolone', '2-oxo-pyrrolidine', 'Aminobutyric lactam', '2-Azacyclopentanone', '2-Oxo-4-butyrolactam', 'Aminobutyric acid lactam', '1-azacyclopentan-2-one', '2-Pyrrolidone-Butyrolactam', 'EC 210-483-1', '2-pyrrolidone for synthesis', '2-Pyrrolidinone, &gt;=99%', 'NCIOpen2_000687', 'CHEMBL276849', 'DTXSID8027246', '.gamma.-Aminobutyric acid lactam', 'CTK1A1182', 'NSC4593', 'NSC8413', '2-Pyrol4-aminobutyric acid lactam', 'Pyrrolidin-2-one (2-Pyrrolidone)', 'BCP26683', 'HY-Y1831', 'KS-000010WS', 'NSC-4593', 'NSC-8413', 'EINECS 245-100-7', 'Tox21_201630', 'Tox21_303259', 'ANW-56372', 'SBB060296', 'STL197473', 'ZINC14684428', 'AKOS000119138', 'FG-0424', 'MCULE-3061780794', '2-PYRROLIDONE  MFC4 H7 N1 O1', 'NCGC00249089-01', 'NCGC00257072-01', 'NCGC00259179-01', '28261-54-3', 'H644', '2-Pyrrolidinone, purum, &gt;=98.0% (GC)', 'LS-138586', 'Pyrrolidin-2-one (1-aza-2-cyclopentanone)', 'CS-0019427', 'NS00007032', 'P0575', 'ST51046510', '9726-EP2272841A1', '9726-EP2281822A1', '9726-EP2295402A2', '9726-EP2308872A1', '9726-EP2316452A1', '9726-EP2316829A1', '9726-EP2316831A1', 'A15700', '27214-EP2269983A1', '27214-EP2269984A1', '27214-EP2269993A1', '27214-EP2270008A1', '27214-EP2272841A1', '27214-EP2272849A1', '27214-EP2275404A1', '27214-EP2284169A1', '27214-EP2287161A1', '27214-EP2287162A1', '27214-EP2287167A1', '27214-EP2292593A2', '27214-EP2292611A1', '27214-EP2292617A1', '27214-EP2298313A1', '27214-EP2301928A1', '27214-EP2305243A1', '27214-EP2314575A1', '53107-EP2305651A1', '53107-EP2308854A1', '71684-EP2269983A1', '71684-EP2269984A1', '71684-EP2274297A1', '71684-EP2289893A1', '71684-EP2292593A2', '71684-EP2308867A2', '71684-EP2308870A2', '150159-EP2269983A1', '150159-EP2269984A1', '150159-EP2272537A2', '150159-EP2277881A1', '150159-EP2289894A2', 'Q285640', 'F0001-1634', 'Z940713508', 'Hydrogen tribromide, compound with pyrrolidin-2-one (1:3)', 'Pyrrolidone, European Pharmacopoeia (EP) Reference Standard']</t>
  </si>
  <si>
    <t>Compound(12025)</t>
  </si>
  <si>
    <t>2-trans-4-trans decadienal</t>
  </si>
  <si>
    <t>(2E,4E)-deca-2,4-dienal</t>
  </si>
  <si>
    <t>['(2E,4E)-deca-2,4-dienal', '25152-84-5', '2,4-DECADIENAL', 'trans,trans-2,4-Decadienal', '(E,E)-2,4-Decadienal', '2,4-Decadienal, (2E,4E)-', 'trans,trans-2,4-Decadien-1-al', '(2E,4E)-2,4-Decadienal', '(2E,4E)-Decadienal', '2363-88-4', '2,4-Decadienal, (E,E)-', '2-trans-4-trans-Decadienal', 'CCRIS 4029', 'UNII-3G88X2RK09', 'FEMA No. 3135', 'EINECS 246-668-9', '2,4-trans,trans-Decadienal', 'BRN 1704897', 'decadienal', 'trans-2, trans-4-Decadienal', '2,4-Decadienal, trans,trans-', 'trans-2-trans-4-DECADIENAL', '(E,E)-2,4-decadien-1-al', '3G88X2RK09', 'DSSTox_CID_4911', 'DSSTox_RID_77575', 'DSSTox_GSID_24911', '(2E,4E)deca-2,4-dienal', '2e,4e-decadienal', '2,4-Decadien-1-al', 'CAS-25152-84-5', 'trans,trans-2,4-Decadienal, 95%, tech.', '(E,E)-2,4-Decanedienal', '(E,E)-deca-2,4-dienal', 'Deca-2(E),4(E)-dienal', '(E)-2,(E)-4-decadienal', '2,4-Decadienal (natural)', 'MFCD00007007', 'EINECS 219-114-9', 'trans,trans-2.4-Decadienal', 'Trans,Trans,2,4-Decadienal', '4-01-00-03566 (Beilstein Handbook Reference)', 'SCHEMBL229020', 'SCHEMBL229021', '(E),(E)-2,4-decacienal', '(2E,4Z)-2,4-Decadienal', '(2Z,4Z)-2,4-Decadienal', 'CHEMBL443949', 'DTXSID6024911', 'EBD6162', 'CHEBI:149547', 'trans,trans-2,4-Decadien-1-al.', 'ZINC2014252', 'Tox21_201894', 'Tox21_303165', 'LMFA06000057', 'SBB066368', 'AKOS015897366', '2,4-Decadien-1-al, (trans,trans)-', 'CS-W014343', 'LS-1068', 'NCGC00090687-01', 'NCGC00090687-02', 'NCGC00090687-03', 'NCGC00090687-04', 'NCGC00257107-01', 'NCGC00259443-01', '2,4-decadien-1-al FCC, No Antioxidant', 'CS-17367', 'R574', 'SC-19439', 'U837', 'DB-003789', 'trans,trans-2,4-Decadienal, &gt;=89%, FG', 'trans,trans-2,4-Decadienal, natural, 89%', 'D1934', 'NS00012178', 'ST51039872', 'trans,trans-2,4-Decadienal, analytical standard', 'A816818', 'A817667', 'C-30884', 'J-015839', 'Q4544759', 'trans,trans-2,4-Decadienal, technical grade, 85%', '2,4-DECADIENAL (2,4-HEXADIENAL (142-83-6))', '30551-18-9']</t>
  </si>
  <si>
    <t>Compound(5283349)</t>
  </si>
  <si>
    <t>2-tert-butyl-4-methoxyphenol</t>
  </si>
  <si>
    <t>['3-tert-Butyl-4-hydroxyanisole', '2-tert-Butyl-4-methoxyphenol', '121-00-6', '25013-16-5', '4-Hydroxy-3-tert-butylanisole', '2-(tert-butyl)-4-methoxyphenol', '3-BHA', '3-T-BUTYL-4-HYDROXYANISOLE', '4-Methoxy-2-tert-butylphenol', '2-(1,1-dimethylethyl)-4-methoxyphenol', 'Phenol, 2-(1,1-dimethylethyl)-4-methoxy-', 'Phenol, (1,1-dimethylethyl)-4-methoxy-', '2-Butyl-4-hydroxyanisole', 'Phenol, 2-tert-butyl-4-methoxy-', 'CCRIS 3746', 'Butylated hydroxyanisole I (D)', 'UNII-62RAC24292', 'HSDB 2750', '2(3)-tert-Butyl-4-hydroxyanisole', 'EINECS 204-442-7', 'BRN 1867499', 'o-tert-Butyl-p-methoxyphenol', '2-(1,1-Dimethylethyl)-4-methoxy-phenol', '4-Methoxy-6-tert-butylphenol', '3-tert-Butyl-p-hydroxyanisole', 'DTXSID7040788', 'CHEBI:76358', '62RAC24292', '3-(1,1-Dimethylethyl)-4-hydroxyanisole', 'DSSTox_CID_215', 'Butylated hydroxyanisole, 96%', 'butylhydroxyanisol', '3-tert-Butyl-4-hydroxyanisole, 98%', '2-tert-Butyl-4-methoxy-phenol', '2-tert-Bha', 'Bha-33', 'ACMC-209a8y', '2-t-butyl-4-methoxyphenol', 'DSSTox_RID_75439', 'DSSTox_RID_79600', 'p-methoxy-o-tert-butylphenol', '2-tert-butyl-4-metoxyphenol', 'DSSTox_GSID_20215', 'DSSTox_GSID_40788', 'SCHEMBL35535', '2-tert-Butyl-4-methoxphenol', '3-tert-butyl-4-hydroxyanisol', 'MLS000069623', 'BIDD:ER0078', '2-tert-Butyl-4-methoxyphenol.', 'CHEMBL192451', 'ZINC1080', '2(3)-t-Butyl-4-hydroxyanisole', 'CTK3J0489', 'HMS1610G14', 'HMS2233F16', 'HMS3370C01', 'ALBB-023610', 'Tox21_201822', 'Tox21_300082', '3670AA', 'ANW-17552', 'BBL027948', 'MFCD01779059', 'SBB043781', 'STL377914', 'AKOS000120777', 'CCG-107062', 'MCULE-8962607460', 'Tertiary butyl hydroxyanisole (Related)', 'NCGC00159405-02', 'NCGC00159405-03', 'NCGC00159405-04', 'NCGC00159405-05', 'NCGC00254068-01', 'NCGC00259371-01', 'AS-63590', 'CAS-121-00-6', 'M136', 'SMR000058171', 'CAS-25013-16-5', 'LS-104168', 'Phenol,2-(1,1-dimethylethyl)-4-methoxy-', 'B0723', 'EU-0072133', 'FT-0616393', 'FT-0689268', 'R1687', 'ST45022092', 'AB00514297_09', 'BENZENE,1-TERT.BUTYL,2-HYDROXY,5-METHOXY', 'Q-200395', 'Q27145913', '3-tert-Butyl-4-hydroxyanisole, tested according to Ph.Eur.', 'UNII-REK4960K2U component MRBKEAMVRSLQPH-UHFFFAOYSA-N', '3-tert-Butyl-4-hydroxyanisole, &gt;=98% (sum of isomers, GC), &lt;=10% 2-BHA basis (GC)', '3-tert-Butyl-4-hydroxyanisole, United States Pharmacopeia (USP) Reference Standard', '3-tert-Butyl-4-hydroxyanisole, Pharmaceutical Secondary Standard; Certified Reference Material', '921-00-6']</t>
  </si>
  <si>
    <t>Compound(8456)</t>
  </si>
  <si>
    <t>2-tert-butylphenol</t>
  </si>
  <si>
    <t>['2-TERT-BUTYLPHENOL', '88-18-6', '2-(tert-butyl)phenol', '2-t-Butylphenol', 'Phenol, 2-(1,1-dimethylethyl)-', 'Phenol, o-tert-butyl-', 'o-t-Butylphenol', 'TERT-BUTYLPHENOL', 'o-tert-Butylphenol', '2-(1,1-Dimethylethyl)phenol', 'ortho-tert-butylphenol', '2-tert-Butyl-1-hydroxybenzene', 't-Butylphenol', 'UNII-NL2FPV3N0Z', 'Phenol, o-(tert-butyl)-', 'CCRIS 5825', '2-tert-Butyl-phenol', 'HSDB 5255', 'Benzene, 1-tert-butyl-2-hydroxy-', 'EINECS 201-807-2', 'NL2FPV3N0Z', 'BRN 1907120', 'AI3-26292', '27178-34-3', 'CHEBI:34305', 'MFCD00002223', 'DSSTox_CID_6525', 'DSSTox_RID_78136', 'DSSTox_GSID_26525', 'CAS-88-18-6', 't-butyl phenol', '2-tertbutylphenol', 'tert-butyl phenol', 'tert.-butylphenol', 'tertiarybutylphenol', '2-t-butyl phenol', '2-t-butyl-phenol', '2-tert butylphenol', 'ortho-t-butylphenol', 'tertiary butylphenol', 'EINECS 248-300-2', 'o-tert-butyl phenol', 'Ortho-tertbutylphenol', '2-tert-butyl phenol', 'o-(t-butyl)-phenol', 'o-tert.-butyl-phenol', '2-tertiary-butylphenol', 'ACMC-209qrm', 'Phenol, 2-tert-butyl-', '2-t-butyl-hydroxybenzene', 'ortho-tertiary-butyl phenol', 'EC 201-807-2', '2-tert-Butylphenol, 99%', 'SCHEMBL51803', '4-06-00-03292 (Beilstein Handbook Reference)', 'KSC490K6T', 'MLS001055450', 'BIDD:ER0653', 'CHEMBL108851', '2-(1,1-dimethylethyl)-phenol', 'DTXSID2026525', 'CTK3J0569', 'KS-00000UFJ', 'HMS3039I16', 'ZINC2012739', 'Tox21_202041', 'Tox21_300011', 'ANW-38960', 'SBB061124', 'AKOS000120754', 'MCULE-7534044065', 'MP-2121', 'NCGC00090990-01', 'NCGC00090990-02', 'NCGC00090990-03', 'NCGC00090990-04', 'NCGC00254125-01', 'NCGC00259590-01', 'L341', 'SMR000686063', 'LS-104122', 'B0734', 'FT-0613430', 'NS00010034', 'ST50824237', 'C14130', 'J-510332', 'Q27115979', '1-TERT.BUTYL,2-HYDRXY-BENZENE  (1-TERT.BUTYL-PHENOL)']</t>
  </si>
  <si>
    <t>Compound(6923)</t>
  </si>
  <si>
    <t>4-(4-amino-3-methoxyphenyl)-2-methoxyaniline;dihydrochloride</t>
  </si>
  <si>
    <t>['20325-40-0', "3,3'-DIMETHOXYBENZIDINE DIHYDROCHLORIDE", 'o-Dianisidine dihydrochloride', 'o-Dianisidine (dihydrochloride)', 'UNII-QV96QA6UKK', 'CCRIS 998', 'o-Dianisidine HCl', 'EINECS 243-737-5', 'MFCD00012488', 'QV96QA6UKK', 'C.I. Disperse Black 6 dihydrochloride', "3,3'-Dimethoxybenzidine.2HCl", "Benzidine, 3,3'-dimethoxy-, dihydrochloride", "[1,1'-Biphenyl]-4,4'-diamine, 3,3'-dimethoxy-, dihydrochloride", "3,3'-Dimethoxy-4,4'-diaminobiphenyl dihydrochloride", "3,3'-dimethoxybiphenyl-4,4'-diamine dihydrochloride", 'Fast Blue B.2HCl', "3,3'-Dimethoxybiphenyl-4,4'-ylenediammonium dichloride", "3,3'-Dimethoxy-(1,1-biphenyl)-4,4'-diamine dihydrochloride", 'DSSTox_CID_485', 'DSSTox_RID_75619', 'DSSTox_GSID_20485', "4,4'-Diamino-3,3'-dimethoxybiphenyl Dihydrochloride", 'W-107631', "(1,1'-Biphenyl)-4,4'-diamine, 3,3'-dimethoxy-, dihydrochloride", 'CAS-20325-40-0', "3,3'-Dimethoxybenzidine dihydrochloride, 98%", 'dianisidine dihydrochloride', "(1,1'-Biphenyl)-4,4'-diamine, 3,3'-dimethoxy-, hydrochloride (1:2)", "[1,1'-Biphenyl]-4,4'-diamine, 3,3'-dimethoxy-, hydrochloride (1:2)", 'PubChem8972', 'ACMC-1CBXC', 'o-dianisidinedihydrochloride', 'EC 243-737-5', 'o-dianisidine-dihydrochloride', '2-Dianisidine dihydrochloride', 'KSC496G7D', 'SCHEMBL622811', "3,3'-Dimethoxybenzidine DiHCl", 'CHEMBL1868992', 'DTXSID1020485', 'ortho-Dianisidine dihydrochloride', 'CTK3J6371', 'KS-00000YEZ', 'ci disperse black 6 dihydrochloride', 'HY-D0255', 'Tox21_202152', 'Tox21_300315', 'ANW-42627', 'LS-987', 'AKOS016009792', 'o-Dianisidine dihydrochloride, &gt;=95%', 'CS-5864', 'LS40519', 'MCULE-9872251536', 'NCGC00090899-03', 'NCGC00254016-01', 'NCGC00259701-01', 'AC-29267', 'AS-16088', 'CC-12905', 'S305', 'ACM20325400|1', 'D1657', 'D3893', 'ST50308334', 'o-Dianisidine dihydrochloride, ~10 mg/tablet', 'C-19506', "3,3'-dimethoxybiphenyl-4,4'-diamine hydrochloride", 'Q27287518', "3,3'-Dimethoxybenzidine dihydrochloride, technical grade", "3,3'-bis(methyloxy)biphenyl-4,4'-diamine dihydrochloride", '4-(4-amino-3-methoxyphenyl)-2-methoxy-aniline dihydrochloride', "3,3'-dimethoxy-[1,1'-biphenyl]-4,4'-diamine, dihydrochloride", 'o-Dianisidine dihydrochloride, tablet, 10 mg substrate per tablet', '4-(4-amino-3-methoxyphenyl)-2-methoxyphenylamine, chloride, chloride', 'o-Dianisidine dihydrochloride, Suitable for use in glucose determination', "3,3'-Dimethoxybenzidine dihydrochloride;C.I. Disperse Black 6 dihydrochloride", "3,3'-DIMETHOXYBENZIDINE DIHYDROCHLORIDE (SEE ALSO 3, 3'-DIMETHOXYBENZIDINE 119-90-4)"]</t>
  </si>
  <si>
    <t>Compound(62311)</t>
  </si>
  <si>
    <t>C14H18Cl2N2O2</t>
  </si>
  <si>
    <t>3,3'-dimethoxybenzidine hydrochloride</t>
  </si>
  <si>
    <t>4-(4-amino-3-methoxyphenyl)-2-methoxyaniline;hydrochloride</t>
  </si>
  <si>
    <t>['o-Dianisidine hydrochloride', 'UNII-C260JGR81J', 'C260JGR81J', '111984-09-9', "3,3'-DIMETHOXYBENZIDINE HYDROCHLORIDE", "3,3'-Dimethoxybenzidine monohydrochloride", 'o-Dianisidine HCl', '28716-14-5', "(1,1'-Biphenyl)-4,4'-diamine, 3,3'-dimethoxy-, monohydrochloride", "[1,1'-Biphenyl]-4,4'-diamine, 3,3'-dimethoxy-, monohydrochloride", 'SCHEMBL3947578', 'DTXSID5036848', 'NSC210953', 'NSC-210953', "3,3'-(Dimethoxy)benzidine hydrochloride", 'LS-191209', "[1,4'-diamine, 3,3'-dimethoxy-, hydrochloride", 'Q27275090', "3,3'-Dimethoxy-[1,1'-biphenyl]-4,4'-diamine hydrochloride(1:x)"]</t>
  </si>
  <si>
    <t>Compound(12309823)</t>
  </si>
  <si>
    <t>C14H17ClN2O2</t>
  </si>
  <si>
    <t>4-(4-amino-3-methoxyphenyl)-2-methoxyaniline</t>
  </si>
  <si>
    <t>["3,3'-DIMETHOXYBENZIDINE", 'o-Dianisidine', '119-90-4', 'Dianisidine', 'Cellitazol B', "3,3'-Dimethoxybiphenyl-4,4'-diamine", 'Neutrosel navy bn', 'Diacel Navy DC', 'Disperse Black 6', 'Blue Base NB', 'Blue BN Base', 'Blue Base irga B', 'Fast Blue B Base', 'Fast Blue Base B', 'Lake Blue B Base', 'o-Dimethoxybenzidine', 'Spectrolene Blue B', 'Diato Blue Base B', 'Diazo Fast Blue B', 'o-Dianisidina', 'Azofix Blue B Salt', 'Kayaku Blue B Base', 'Mitsui Blue B Base', 'Azogene Fast Blue B', 'Fast Blue DSC Base', 'ortho-Dianisidine', 'Setacyl Diazo Navy R', 'Azoene Fast Blue Base', "4,4'-Diamino-3,3'-dimethoxybiphenyl", 'Diacelliton fast grey G', 'Naphthanil Blue B Base', "4,4'-Bi-o-anisidine", 'Acetamine Diazo Navy RD', "Benzidine, 3,3'-dimethoxy-", 'Acetamine Diazo Black RD', 'Amacel Developed Navy SD', 'C.I. Disperse Black 6', "3,3'-Dianisidine", 'Azogene Fast Blue B Salt', 'Hiltonil Fast Blue B Base', "3,3'-Dimethoxy-[1,1'-biphenyl]-4,4'-diamine", 'o-Dianisidin', 'Meisei Teryl Diazo Blue HR', 'Brentamine Fast Blue B Base', 'Cibacete Diazo Navy Blue 2B', "3,3'-Dimethoxybenzidin", "3,3'-Dimetossibenzodina", 'Rcra waste number U091', 'C.I. Azoic Diazo Component 48', '3,3-DIMETHOXYBENZIDINE', "3,3'-Dimethoxy-4,4'-diaminobiphenyl", 'Cellitazol bn', 'o-Dianisidina [Italian]', 'UNII-MJY508JZXV', "o,o'-Dianisidine", 'C.I. 24110', 'Blue BN Salt', 'Blue Salt NB', 'Kako Blue B Salt', 'CCRIS 249', "Benzidene, 3,3'-dimethoxy-", "3,3'-Dimethoxy-4,4'-diaminodiphenyl", "4,4'-Diamino-3,3'-dimethoxydiphenyl", 'Diato Blue Salt B', 'Di-p-aminodi-m-methoxydiphenyl', 'Fast Blue BN Salt', 'Fast Blue DS Salt', 'Fast Blue Salt BN', 'o-Dianisidin [Czech, German]', 'Kayaku Blue B Salt', 'Mitsui Blue B Salt', 'Natasol Blue B Salt', 'Hindasol Blue B Salt', 'Azoene Fast Blue Salt', 'HSDB 1627', "3,3'-Dimethoxybenzidin [Czech]", "3,3'-Dimetossibenzodina [Italian]", 'NSC 3168', 'Sanyo Fast Blue Salt B', '4-(4-amino-3-methoxyphenyl)-2-methoxyaniline', 'EINECS 204-355-4', 'MJY508JZXV', 'RCRA waste no. U091', "Biphenyl, 4,4'diamino-3,3'dimethoxy", 'Hiltosal Fast Blue B Salt', "(1,1'-Biphenyl)-4,4'-diamine, 3,3'-dimethoxy-", "[1,1'-Biphenyl]-4,4'-diamine, 3,3'-dimethoxy-", 'Brentamine Fast Blue B Salt', 'AI3-00864', 'CHEBI:82321', 'DSSTox_CID_5091', "3,3'-Dimethoxy[1,1'-biphenyl]-4,4'-diamine", 'DSSTox_RID_77661', 'DSSTox_GSID_25091', "3,3'-Dimethoxybenzidine, 97%, pract.", 'CAS-119-90-4', '4-(4-amino-3-methoxyphenyl)-2-methoxyphenylamine', 'PubChem8966', 'o-Dianisidine, puriss.', "4,3'-dimethoxybiphenyl", "4,3'-dimethoxydiphenyl", "3,3'-Dimethoxybenzidene", '3,3`-Dimethoxybenzidine', "Benzidine,3'-dimethoxy-", 'ACMC-1C8QP', 'Diacel navy dco-dianisidin', '4-(4-amino-3-methoxy-phenyl)-2-methoxy-aniline', 'Oprea1_359733', 'SCHEMBL48945', 'KBioGR_002519', 'KBioSS_002527', 'C.I. Azoic Diazo Component 48, Fast Blue B Salt', 'MLS002152879', 'CHEMBL398363', 'DTXSID3025091', 'CTK3J0286', 'KBio2_002519', 'KBio2_005087', 'KBio2_007655', 'KBio3_002997', 'KS-00000WSP', 'ZINC56395', 'NSC3168', 'cMAP_000073', 'WLN: 1OR BZ ER DZ CO1', 'HMS3039E14', 'o-Dianisidine, peroxidase substrate', 'NSC-3168', 'Tox21_202443', 'Tox21_300041', 'ANW-42626', 'BBL034655', 'LS-622', 'MFCD00008372', 'SBB056799', 'STK032932', "[1,4'-diamine, 3,3'-dimethoxy-", 'AKOS000119801', 'AM84350', 'MCULE-8032004109', 'NCGC00090899-01', 'NCGC00090899-02', 'NCGC00090899-04', 'NCGC00090899-05', 'NCGC00090899-06', 'NCGC00253924-01', 'NCGC00259992-01', 'L404', 'SMR001224493', 'VS-12629', 'DB-041511', 'D1344', 'D3864', 'ST50307410', "4,4'-diamino-3,3'-dimethoxy-1,1'-biphenyl", 'A-8647', 'C19231', "3,3'-dimethoxy-[1,1'-biphenyl]4,4'-diamine", '4-(4-Amino-3-methoxyphenyl)-2-methoxy-aniline', 'AB00935053-03', 'Q222968', "3,3'-Dimethoxy[1,1'-biphenyl]-4,4'-diamine #", 'W-108494', 'Z262221822', "3,3'-DIMETHOXYBENZIDINE (SEE ALSO 3,3'-DIMETHOXYBENZIDINE DIHYDROCHLORIDE 20325-40-0)", "3,3'-Dimethoxybenzidine;3,3'-dimethoxybenzidine;3,3-dimethoxybenzidine;3,3-dimethoxybiphenyl-4,4-ylenediammonium dichloride;3,3'-Dimethoxybenzidine dihydrochloride;O-Dianisidine", 'DDJ', 'o-Dianisidine, for spectrophotometric det. of Au, NO2-, Ce(IV), for the detection of Au, Co, Cu, SCN-, V, &gt;=97.0%']</t>
  </si>
  <si>
    <t>Compound(8411)</t>
  </si>
  <si>
    <t>C14H16N2O2</t>
  </si>
  <si>
    <t>4-(4-amino-3-methylphenyl)-2-methylaniline;dihydrofluoride</t>
  </si>
  <si>
    <t>['o-Tolidine dihydrofluoride', '41766-75-0', 'DTXSID40961969', 'ACM41766750', "3,3'-Dimethyl[1,1'-biphenyl]-4,4'-diamine--hydrogen fluoride (1/2)"]</t>
  </si>
  <si>
    <t>Compound(61994)</t>
  </si>
  <si>
    <t>C14H18F2N2</t>
  </si>
  <si>
    <t>4-(4-amino-3-methylphenyl)-2-methylaniline</t>
  </si>
  <si>
    <t>['o-Tolidine', '119-93-7', "3,3'-DIMETHYLBENZIDINE", 'Orthotolidine', '2-Tolidine', 'Diaminoditolyl', 'Diaminotolyl', "4,4'-Bi-o-toluidine", 'Bianisidine', "3,3'-Dimethylbiphenyl-4,4'-diamine", "[1,1'-Biphenyl]-4,4'-diamine, 3,3'-dimethyl-", "3,3'-Tolidine", "3,3'-Dimethyl-4,4'-biphenyldiamine", "3,3'-Dimethyl-4,4'-diaminobiphenyl", '4-(4-amino-3-methylphenyl)-2-methylaniline', 'Fast Dark Blue Base R', '2-Tolidina', "4,4'-Di-o-toluidine", '2-Tolidin', "4,4'-Diamino-3,3'-dimethylbiphenyl", 'RCRA waste number U095', "Benzidine, 3,3'-dimethyl-", '2-Tolidin [German]', 'C.I. 37230', '2-Tolidina [Italian]', "3,3'-dimethyl-[1,1'-biphenyl]-4,4'-diamine", 'o-Tolidin', 'C.I. Azoic Diazo Component 113', 'UNII-63HLO2IV6K', 'o-Tolidine solution', "3,3'-Dimethyl-4,4'-diphenyldiamine", "4,4'-Diamino-3,3'-dimethyldiphenyl", 'CCRIS 256', "4,4'-Bianisidine", 'CI Azoic diazo component 113', 'HSDB 1640', '3,3`-Dimethylbenzidine', 'EINECS 204-358-0', 'RCRA waste no. U095', 'BRN 2210640', '63HLO2IV6K', 'CI 37230', 'AI3-19499', 'CHEBI:34320', "3,3'-Dimethyl-(1,1'-biphenyl)-4,4'-diamine", "(1,1'-Biphenyl)-4,4'-diamine, 3,3'-dimethyl-", 'MFCD00014773', 'DSSTox_CID_4059', 'o-Tolidine, 95%, pract', 'DSSTox_RID_77273', '3,3 -Dimethyl-[1,1 -biphenyl]-4,4 -diamine', 'DSSTox_GSID_24059', 'CAS-119-93-7', '4-(4-amino-3-methylphenyl)-2-methylphenylamine', "o,o'-Tolidine", 'o-Tolidine, minimum', 'PubChem21024', '3,3;-Dimethylbenzidine', 'SCHEMBL49414', '4-13-00-00419 (Beilstein Handbook Reference)', 'MLS002302992', 'BIDD:ER0325', 'BIDD:GT0296', 'CHEMBL85109', 'o-Tolidine, &gt;=97%, powder', 'o-Tolidine, analytical standard', 'DTXSID5024059', 'CTK8D5903', 'o-Tolidine, p.a., 98.0%', 'ZINC56751', 'HMS3039P16', 'KS-00000WO3', 'Tox21_201292', 'Tox21_300278', 'BBL027811', 'LS-623', 'SBB008947', 'STL387858', "o-Tolidine (3,3'-dimethylbenzidine)", "3,3'-Dimethyldiphenyl-4,4'-diamine", 'AKOS004901441', 'MCULE-7764992616', 'NCGC00090865-01', 'NCGC00090865-02', 'NCGC00090865-04', 'NCGC00090865-05', 'NCGC00253962-01', 'NCGC00258844-01', 'AS-17225', 'SC-47158', 'SMR001307308', 'T960', 'C.I.37230', 'DB-028240', 'FT-0654569', 'NS00015707', 'ST45255326', 'T7341', "4,4'-Diamino-3,3'-dimethylbiphenyl Solution", '4-(4-amino-3-methylphenyl)-2-methyl-aniline', 'EN300-94759', "3,3'-Dimethyl[1,1'-biphenyl]-4,4'-diamine", 'C14443', '119T937', 'Q413500', 'W-108492', "4'-Amino-3,3'-dimethyl[1,1'-biphenyl]-4-ylamine #", 'F1908-0142', 'o-Tolidine, technical, &gt;=97.0% (calc. based on dry substance, NT)', "3,3'-DIMETHYLBENZIDINE (SEE ALSO 3,3'-DIMETHYLBENZIDINE DIHYDROCHLORIDE 612-82-8)"]</t>
  </si>
  <si>
    <t>Compound(8413)</t>
  </si>
  <si>
    <t>C14H16N2</t>
  </si>
  <si>
    <t>3,3'-dichlorobenzidine dihydrochloride</t>
  </si>
  <si>
    <t>4-(4-amino-3-chlorophenyl)-2-chloroaniline;dihydrochloride</t>
  </si>
  <si>
    <t>["3,3'-DICHLOROBENZIDINE DIHYDROCHLORIDE", '612-83-9', 'UNII-L161N5V81P', "3,3'-Dichlorobenzidine 2HCl", 'CCRIS 5899', 'HSDB 5715', 'NSC 3524', 'EINECS 210-323-0', "3,3'-Dichlorobenzidine.2HCl", 'AI3-22046', "Benzidine, 3,3'-dichloro-, dihydrochloride", "3,3'-Dichlorobenzidine hydrochloride", 'L161N5V81P', "3,3'-dichlorobiphenyl-4,4'-diamine dihydrochloride", "(1,1'-Biphenyl)-4,4'-diamine, 3,3'-dichloro-, dihydrochloride", 'DSSTox_CID_433', '3,3-Dichlorobenzidine dihydrochloride', 'DSSTox_RID_75584', 'DSSTox_GSID_20433', 'W-105168', "[1,1'-Biphenyl]-4,4'-diamine, 3,3'-dichloro-, dihydrochloride", 'CAS-612-83-9', "(1,1'-Biphenyl)-4,4'-diamine, 3,3'-dichloro-, hydrochloride (1:2)", "[1,1'-Biphenyl]-4,4'-diamine, 3,3'-dichloro-, hydrochloride (1:2)", 'PubChem9017', 'EC 210-323-0', 'SCHEMBL864592', 'C12H12Cl4N2', 'CHEMBL1611235', 'DTXSID1020433', 'KS-00000YBR', 'Tox21_201906', 'Tox21_302894', 'AKOS022177959', "3,3' Dichlorobenzidine Dihydrochloride", 'LS-1466', 'LS10737', 'NCGC00090883-01', 'NCGC00090883-02', 'NCGC00256608-01', 'NCGC00259455-01', 'CC-12887', '12D839', 'C-27508', 'Q26841223', "3,3'-Dichlorobenzidine dihydrochloride, analytical standard", '4-(4-amino-3-chlorophenyl)-2-chloroaniline;dihydrochloride']</t>
  </si>
  <si>
    <t>Compound(11933)</t>
  </si>
  <si>
    <t>C12H12Cl4N2</t>
  </si>
  <si>
    <t>3,3'-dichlorobenzidine sulfate</t>
  </si>
  <si>
    <t>4-(4-amino-3-chlorophenyl)-2-chloroaniline;sulfuric acid</t>
  </si>
  <si>
    <t>['64969-34-2', "3,3'-DICHLOROBENZIDINE SULFATE", "[1,1'-Biphenyl]-4,4'-diamine, 3,3'-dichloro-, sulfate (1:2)", "(1,1'-Biphenyl)-4,4'-diamine, 3,3'-dichloro-, sulfate (1:2)", 'EINECS 265-293-1', 'CTK8J8564', 'DTXSID80886703', "3,3'-Dichlorobenzidine dihydrogen bis(sulphate)"]</t>
  </si>
  <si>
    <t>Compound(62235)</t>
  </si>
  <si>
    <t>C12H14Cl2N2O8S2</t>
  </si>
  <si>
    <t>3,3'-dichlorobenzidine</t>
  </si>
  <si>
    <t>4-(4-amino-3-chlorophenyl)-2-chloroaniline</t>
  </si>
  <si>
    <t>["3,3'-DICHLOROBENZIDINE", '91-94-1', 'Dichlorobenzidine base', "3,3'-Dichlorobiphenyl-4,4'-diamine", '3,3-Dichlorobenzidine', "o,o'-Dichlorobenzidine", "3,3'-Dichlorbenzidin", "3,3'-Dichlorobenzidina", 'Curithane C126', 'RCRA waste number U073', "Benzidine, 3,3'-dichloro-", "3,3'-Dichloro-4,4'-biphenyldiamine", "3,3'-Dichloro-4,4'-diaminobiphenyl", "3,3'-Dichloro-p,p'-bianiline", "[1,1'-Biphenyl]-4,4'-diamine, 3,3'-dichloro-", 'C.I. 23060', 'UNII-1SDI2328UX', "3,3'-Dichloro-4,4'-diaminodiphenyl", "3,3'-Dichlorobenzidine base", "4,4'-Diamino-3,3'-dichlorobiphenyl", "4,4'-Diamino-3,3'-dichlorodiphenyl", 'CCRIS 220', "ortho,ortho'-Dichlorobenzidine", 'NSC 154073', "3,3'-Dichloro-[1,1'-biphenyl]-4,4'-diamine", 'Curithane C 126', "3,3'-Dichlorbenzidin [Czech]", "3,3'-Dichlorobenzidin [Czech]", 'HSDB 1632', "3,3'-Dichlorobenzidina [Spanish]", '4-(4-amino-3-chlorophenyl)-2-chloroaniline', "3,3'-Dichloro-4,4'-diamino(1,1-biphenyl)", 'EINECS 202-109-0', 'RCRA waste no. U073', "(1,1'-Biphenyl)-4,4'-diamine, 3,3'-dichloro-", 'BRN 2108022', 'CI 23060', '1SDI2328UX', 'CHEBI:82315', "3,3'-Dichloro-(1,1'-biphenyl)-4,4'-diamine", "4'-Amino-3,3'-dichloro(1,1'-biphenyl)-4-ylamine", 'W-109050', '3,3-Dichlorobenzidine dihydrochloride', "3,3'-Dichlorobenzidin", "3,4'-diamine", "4,3'-dichlorobiphenyl", "4,3'-dichlorodiphenyl", '3,3`-Dichlorobenzidine', "Benzidine,3'-dichloro-", 'DSSTox_CID_432', "Dichlorobenzidine, 3,3'-", '4-(4-amino-3-chloro-phenyl)-2-chloro-aniline', 'DSSTox_RID_75583', 'DSSTox_GSID_20432', 'SCHEMBL49382', 'WLN: ZR BG DR DZ CG', 'CHEMBL314470', 'DTXSID6020432', 'CTK5H0703', 'HUWXDEQWWKGHRV-UHFFFAOYSA-', 'ZINC57298', 'ALBB-014126', 'ZX-AN012866', 'Tox21_202224', "[1,4'-diamine, 3,3'-dichloro-", "3,3'-dichlor-4,4'-diaminobiphenyl", 'BBL034702', 'NSC154073', 'STL426665', "(1,1'-Biphenyl)-4,4'-diamine, 3,3'-dichloro-, labeled with carbon-14", 'AKOS005174428', "4 ,4'-diamino-3,3'-dichlorobiphenyl", 'LS-7124', 'MCULE-4500783353', 'NSC-154073', 'CAS-91-94-1', 'NCGC00090883-03', 'NCGC00090883-04', 'NCGC00090883-05', 'NCGC00259773-01', "3,3'-dichlorobiphenyl-4,4'-ylenediamine", '86349-58-8', 'CC-12886', 'K675', 'VS-12642', 'DB-057279', 'NS00008259', 'R1745', "3,3'-Dichloro-1,1'-biphenyl-4,4'-diamine", "3,3'-Dichloro[1,1'-biphenyl]-4,4'-diamine", 'C19225', '091D941', 'A804290', 'C-24240', 'Q222991', "3,3'-Dichlorobenzidine 10 microg/mL in Acetonitrile", '4-(4-azanyl-3-chloranyl-phenyl)-2-chloranyl-aniline', "4'-Amino-3,3'-dichloro[1,1'-biphenyl]-4-ylamine #"]</t>
  </si>
  <si>
    <t>Compound(7070)</t>
  </si>
  <si>
    <t>['3,4,5-Trimethylaniline', '1639-31-2', 'Benzenamine, 3,4,5-trimethyl-', '3,4,5-Trimethylbenzenamine', 'AK-60911', '3,4,5-trimethylbenzeneamine', 'EINECS 216-679-3', 'NSC403297', 'PubChem22360', '3.4.5-Trimethylanilin', '3,4,5-trimethylphenylamine', '3,4,5-Trimethyl-benzenamine', 'SCHEMBL112391', 'EOS529', 'CTK0I3930', 'KS-00000ZGN', 'DTXSID30167675', 'BCP04550', 'CS-D0179', 'ZINC1595570', 'ANW-47949', 'FCH839639', 'SBB085903', 'AKOS006275173', 'GS-3886', 'NSC-403297', 'AC-12729', 'SC-28550', 'AB0022660', 'AX8081606', 'NS00025355', 'W3573', 'M-7618']</t>
  </si>
  <si>
    <t>Compound(74227)</t>
  </si>
  <si>
    <t>3,4,5-trimethylphenol</t>
  </si>
  <si>
    <t>['3,4,5-TRIMETHYLPHENOL', '527-54-8', 'Phenol, 3,4,5-trimethyl-', '3,4,5-Hemimellitenol', '1-Hydroxy-3,4,5-trimethylbenzene', '5-Hydroxy-1,2,3-trimethylbenzene', 'UNII-8S1I71213X', '8S1I71213X', 'Phenol,3,4,5-trimethyl-', 'NSC65648', 'EINECS 208-418-7', '3,5-Hemimellitenol', 'NSC 65648', '3,5-Trimethylphenol', '3,4,5-trimethyl phenol', '3,4,5-trimethyl-phenol', 'ACMC-1BHM2', 'NCIOpen2_000155', 'SCHEMBL253926', '1-Hydroxy-3,5-trimethylbenzene', '5-Hydroxy-1,3-trimethylbenzene', 'DTXSID2060175', '3,4,5-Trimethylphenol, 97%', 'CHEBI:38896', 'CTK4J6433', 'ZINC1692501', 'ACM527548', 'MFCD00002305', 'NSC-65648', 'AKOS015888373', 'FCH1118749', 'CC-13038', 'BB0295684', 'FT-0614176', 'NS00005893', 'C-33436', 'Q27118025']</t>
  </si>
  <si>
    <t>Compound(10696)</t>
  </si>
  <si>
    <t>3,4,5-trichloroaniline</t>
  </si>
  <si>
    <t>['3,4,5-TRICHLOROANILINE', '634-91-3', 'Benzenamine, 3,4,5-trichloro-', 'CCRIS 2398', 'EINECS 211-218-2', 'NSC 115260', 'Aniline, 3,4,5-trichloro-', 'MFCD00007769', 'NSC115260', '3,4,5-Trichloranilin', '3,4,5 trichloroaniline', 'ACMC-1BAG0', '3,4,5-trichloro-aniline', '3,4,5-trichlorophenylamine', '3,4,5-Trichlorobenzenamine', 'SCHEMBL330561', '3,4,5-tris(chloranyl)aniline', 'CTK2F8452', 'KS-00000KEJ', '3,4,5-Trichloroaniline, 97%', 'DTXSID30212811', 'ZINC391972', 'ACT00128', 'ANW-46717', '3,4,5-TRICHLORO NITROANILINE', 'AKOS015995494', 'AS05403', 'CM11526', 'CS-W005766', 'MCULE-7888321423', 'NSC-115260', 'AK-81729', 'DS-16418', 'SC-13868', 'SY049434', 'DB-054497', 'LS-188186', 'FT-0632693', 'NS00008472', 'ST50406659', '3,4,5-trichloroaniline;3,4,5-Trichloranilin', 'A834400', 'Z1741979457']</t>
  </si>
  <si>
    <t>Compound(12469)</t>
  </si>
  <si>
    <t>3,4,5-trichlorophenol</t>
  </si>
  <si>
    <t>['3,4,5-TRICHLOROPHENOL', '609-19-8', 'Phenol, 3,4,5-trichloro-', 'HSDB 6292', 'UNII-2JF54EGE7O', 'CCRIS 6110', '3,4,5-trichlorphenol', 'EINECS 210-183-0', 'NSC 243667', '2JF54EGE7O', '3,4,5-tris(chloranyl)phenol', 'MLS002302993', 'AK135672', 'SMR001307309', '3,5-Trichlorophenol', 'PubChem12939', 'DSSTox_CID_6212', 'WLN: QR CG DG EG', 'Phenol,3,4,5-trichloro-', 'DSSTox_RID_78061', 'DSSTox_GSID_26212', 'cid_11859', 'SCHEMBL330705', 'CHEMBL1484480', 'DTXSID4026212', 'BDBM91350', 'CTK5B2439', 'GBNHEBQXJVDXSW-UHFFFAOYSA-', 'HMS3039M04', 'KS-000002GE', 'ZINC1764636', 'Tox21_200188', 'FCH839650', 'NSC243667', 'AKOS006275453', 'DS-5129', 'LS-1451', 'NSC-243667', 'NCGC00091866-01', 'NCGC00091866-02', 'NCGC00257742-01', 'BBV-38275671', 'CAS-609-19-8', 'SC-86364', 'AX8081521', 'FT-0648040', 'NS00008454', '3,4,5-Trichlorophenol 10 microg/mL in Isooctane', 'A832955', '3,4,5-Trichlorophenol 100 microg/mL in Acetonitrile', 'Q27254825', 'UNII-8Z4R9J59DL component GBNHEBQXJVDXSW-UHFFFAOYSA-N', '3,4,5-Trichlorphenol;3,4,5-trichlorophenol;Sodium 3,4,5-trichlorophenolate']</t>
  </si>
  <si>
    <t>Compound(11859)</t>
  </si>
  <si>
    <t>3,4-methylenedioxyamphetamine</t>
  </si>
  <si>
    <t>1-(1,3-benzodioxol-5-yl)propan-2-amine</t>
  </si>
  <si>
    <t>['Tenamfetamine', '3,4-methylenedioxyamphetamine', 'Methylenedioxyamphetamine', '4764-17-4', '3,4-Methylenedioxy-amphetamine', 'MDA (pharmaceutical)', '1-(1,3-benzodioxol-5-yl)propan-2-amine', 'Tenamfetamine [INN]', 'Tenamfetaminum [Latin]', 'Tenamfetamina [Spanish]', 'BRN 0150196', 'DEA No. 7400', 'AI3-24882', 'alpha-Methyl-1,3-benzodioxole-5-ethanamine', '1,3-Benzodioxole-5-ethanamine, alpha-methyl-', '3,4-Methylenedioxyamphetamine (MDA)', 'CHEMBL6731', '(+/-)-3,4-(Methylenedioxy)amphetamine', 'ALPHA-METHYL-3,4-(METHYLENEDIOXY)PHENETHYLAMINE', '1-(2H-1,3-benzodioxol-5-yl)propan-2-amine', '5-19-08-00417 (Beilstein Handbook Reference)', 'Phenethylamine, alpha-methyl-3,4-(methylenedioxy)-', 'alpha-Methyl-3,4-methylenedioxyphenethylamine', 'Phenethylamine, .alpha.-methyl-3,4-(methylenedioxy)-', 'Tenamfetamina', 'Tenamfetaminum', 'UNII-XJZ28FJ27W', 'NCGC00168264-01', 'MDA,R(-)', 'Love', 'XJZ28FJ27W', 'HSDB 7593', '3-(1,3-benzodioxol-5-yl)-1,1,1,2,3-pentadeuteriopropan-2-amine', 'EA-1299', '(+-)-beta-3,4-Methylenedioxyamphetamine', '51497-09-7', '1,3-Benzodioxole-5-ethanamine, .alpha.-methyl-', '(+-)-alpha-Methyl-1,3-benzodioxole-5-ethanamine', 'DivK1c_000964', 'SCHEMBL393456', '(+-)-alpha-Methyl-3,4-(methylenedioxy)phenethylamine', 'MDA, (R,S)', 'CTK4J0156', 'KBio1_000964', 'DTXSID40859958', 'NINDS_000964', 'rac-3,4-Methylenedioxyamphetamine', 'BDBM50005247', 'PDSP1_001410', 'PDSP2_001394', '(R,S)-3,4-Methylenedioxyamphetamine', '5-(2-Aminopropyl)-1,3-benzodioxole', 'AKOS002433952', 'DB01509', 'IDI1_000964', '1-(1,3-Benzodioxol-5-yl)-2-propanamine', 'DS-015925', 'LS-103643', 'LS-103644', '1-(3,4-Methylenedioxyphenyl)-2-propylamine', 'FT-0739487', '.alpha.-Methyl-3,4-methylenedioxyphenethylamine', '1-(benzo[d][1,3]dioxol-5-yl)propan-2-amine', '2-Benzo[1,3]dioxol-5-yl-1-methyl-ethylamine', '(-)2-Benzo[1,3]dioxol-5-yl-1-methyl-ethylamine', '.alpha.-Methyl-3,4-(methylenedioxy)phenethylamine', '3,4-(Methylenedioxy)-alpha-methylphenylethylamine', 'Q223020', '(+)-alpha-Methyl-1,3-benzodioxole-5-(ethanamine)', '(?)-alpha-Methyl-1,3-benzodioxole-5-(ethanamine)', '(+/-)2-Benzo[1,3]dioxol-5-yl-1-methyl-ethylamine', '1,3-Benzodioxole-5-ethanamine, alpha-methyl- (9CI)', '3,4-methylenedioxy-alpha-methyl-beta-phenylethylamine', 'DL-alpha-Methyl-3,4-(methylenedioxy)phenylethylamine', '(R)-(-)-2-Benzo[1,3]dioxol-5-yl-1-methyl-ethylamine', '(S)-(+)-2-Benzo[1,3]dioxol-5-yl-1-methyl-ethylamine', '1,3-Benzodioxole,5-ethanamine-.alpha.-methyl-(.+/-.)', '1,3-Benzodioxole-5-ethanamine, alpha-methyl-, (+-)-', '2-Benzo[1,3]dioxol-5-yl-1-methyl-ethylamine((R)-(-)-MDA)', 'PHENETHYLAMINE, alpha-METHYL-3,4-(METHYLENEDIOXY)-, (+-)-', 'rac-MDA (rac-3,4-Methylenedioxyamphetamine) 1.0 mg/ml in Methanol', '3,4-Methylenedioxyamphetamine;1-(1,3-benzodioxol-5-yl)propan-2-amine', '(+/-)-MDA solution, 1.0 mg/mL in methanol, ampule of 1 mL, certified reference material']</t>
  </si>
  <si>
    <t>Compound(1614)</t>
  </si>
  <si>
    <t>C10H13NO2</t>
  </si>
  <si>
    <t>3,4-methylenedioxymethamphetamine</t>
  </si>
  <si>
    <t>1-(1,3-benzodioxol-5-yl)-N-methylpropan-2-amine</t>
  </si>
  <si>
    <t>['MDMA', '3,4-methylenedioxymethamphetamine', 'Ecstasy', '42542-10-9', 'Methylenedioxymethamphetamine', 'Midomafetamine', 'N-METHYL-3,4-METHYLENEDIOXYAMPHETAMINE', 'DL-(3,4-Methylenedioxy)methamphetamine', '(RS)-3,4-(methylenedioxy)methamphetamine', 'MDMA (unspecified)', 'N,alpha-Dimethyl-1,3-benzodioxole-5-ethanamine', '1-(1,3-benzodioxol-5-yl)-N-methylpropan-2-amine', 'HSDB 6929', 'CHEBI:1391', 'DEA No. 7405', '1-(1,3-Benzodioxol-5-yl)-N-methyl-2-propanamine', '(+-)-(3,4-Methylenedioxy)methamphetamine', '(+-)-N-Methyl-3,4-(methylenedioxy)amphetamine', '1,3-Benzodioxole-5-ethanamine, N,alpha-dimethyl-', 'Phenethylamine, N,alpha-dimethyl-3,4-methylenedioxy-', 'CHEMBL43048', '3,4-Methylenedioxy-N,alpha-dimethyl-beta-phenylethylamine', '(+-)-N-Methyl-1-(3,4-methylenedioxyphenyl)-2-aminopropane', '3,4-Methylenedioxy-N-methylamphetamine (MDMA)', '69610-10-2', 'XTC', 'UNII-KE1SEN21RM', 'Ecstasy (Drug)', 'XTC [Street Name]', 'Mandy [Street Name]', 'NCGC00168266-02', 'KE1SEN21RM', 'CCRIS 9277', 'Midomafetamine [USAN]', 'Epitope ID:178091', 'Midomafetamine (USAN/INN)', '(+/-)-3,4-METHYLENEDIOXYMETHAMPHETAMINE', 'SCHEMBL44210', 'Methylenedioxy Methamphetamine', 'DivK1c_000962', '3,4-MDMA', 'GTPL4574', 'CTK5D0599', 'KBio1_000962', 'DTXSID90860791', 'NINDS_000962', '3,4-methylenedioxymethylamphetamine', '115654-61-0', 'BDBM50010588', 'PDSP1_001522', 'PDSP2_001506', 'rac-3,4-Methylenedioxymethamphetamine', '3,4-methylenedioxy-n-methylamphetamine', 'AKOS006283463', 'DB01454', 'IDI1_000962', 'NCGC00168266-01', 'LS-34695', 'LS-34696', '(+/-)-(3,4-Methylenedioxy)methamphetamine', '1,3-Benzodioxole-5-ethanamine,N,a-dimethyl-', 'C07577', 'D11172', 'Q69488', '1-(2H-1,3-Benzodioxol-5-yl)-N-methylpropan-2-amine', '[1-(2H-1,3-benzodioxol-5-yl)propan-2-yl](methyl)amine', 'rac-MDMA (rac-3,4-Methylenedioxymethamphetamine) 1.0 mg/ml in Methanol', '(+/-)-MDMA solution, 1.0 mg/mL in methanol, ampule of 1 mL, certified reference material', '3,4-Methylenedioxymethamphetamine;MDMA hydrochloride;MDMA / Methylendioxymethamphetamine;Methylenedioxymethamphetamine (MDMA)', '54946-52-0']</t>
  </si>
  <si>
    <t>Compound(1615)</t>
  </si>
  <si>
    <t>['3,4-Dimethylaniline', '95-64-7', '3,4-XYLIDINE', '4-Amino-o-xylene', '3,4-Xylylamine', 'Benzenamine, 3,4-dimethyl-', '3,4-Dimethylphenylamine', '3,4-Dimethylaminobenzene', '3,4-Dimethylbenzenamine', '1-Amino-3,4-dimethylbenzene', '4-Amino-1,2-dimethylbenzene', 'Aniline, 3,4-dimethyl', '3,4-Dimethylbenzeneamine', 'UNII-R27I33AIDT', 'NSC 41800', '3,4-dimethylbenzene-1-amine', 'CCRIS 4741', 'HSDB 2095', 'Benzene, 4-amino-1,2-dimethyl-', 'EINECS 202-437-4', 'BRN 0507414', 'R27I33AIDT', 'AI3-22779', 'DTXSID3026308', 'CHEBI:39901', 'Benzenamine,4-dimethyl-', 'WLN: ZR C1 D1', '3,4-Dimethylaniline, 99.5%', '3,4-dimetylaniline', '3,4-dimethyl aniline', 'ACMC-1BAUS', '3,4-dimethyl-phenylamine', 'Aniline, 3,4-dimethyl-', 'DSSTox_CID_6308', '(3,4-dimethylphenyl)amine', 'EC 202-437-4', 'DSSTox_RID_78098', 'DSSTox_GSID_26308', 'SCHEMBL33278', '3,4-Dimethylaniline, 98%', '4-12-00-02502 (Beilstein Handbook Reference)', 'KSC493Q7H', 'MLS002302996', 'BIDD:GT0847', '(3,4-dimethyl-phenyl)-amine', 'CHEMBL1230039', 'CTK3J3873', 'KS-00000WHP', 'NSC7099', 'HMS3039N06', 'NSC-7099', 'NSC41800', 'STR00577', 'ZINC3860992', 'Tox21_200058', 'ANW-40543', 'MFCD00007810', 'NSC-41800', 'SBB040496', 'STL169144', 'AKOS000119113', 'AS07069', 'DB03018', 'LS-1983', 'MCULE-3181938394', 'NE10515', 'PS-4095', 'CAS-95-64-7', 'NCGC00091393-01', 'NCGC00091393-02', 'NCGC00257612-01', '34A', 'AC-10833', 'K728', 'SMR001307311', 'DB-021935', 'D0670', 'FT-0614365', 'NS00006565', 'ST45255272', 'AZ0001-0113', '3-ethyl-4-hydroxy-pyrido[1,2-a]pyrimidin-2-one', 'Q4634078', 'W-100161', '3506D145-E251-4BEA-B1C2-57DE580CBCA1', 'F2190-0465', 'Z1245633942', 'UNII-0V872Q19HT component DOLQYFPDPKPQSS-UHFFFAOYSA-N']</t>
  </si>
  <si>
    <t>Compound(7248)</t>
  </si>
  <si>
    <t>3,4-dimethylphenol</t>
  </si>
  <si>
    <t>['3,4-DIMETHYLPHENOL', '95-65-8', '3,4-Xylenol', 'Phenol, 3,4-dimethyl-', '4,5-Dimethylphenol', '1,3,4-Xylenol', '3,4-Dimethyl phenol', '1-Hydroxy-3,4-dimethylbenzene', '4-Hydroxy-1,2-dimethylbenzene', '3,4-DMP', '3,4-dimethyl-phenol', 'NSC 1549', 'CCRIS 723', 'UNII-4L479F5JU6', 'FEMA No. 3596', '1,2-Dimethyl-4-hydroxybenzene', 'HSDB 5294', 'EINECS 202-439-5', 'BRN 1099267', 'AI3-01552', 'CHEBI:39839', '4L479F5JU6', 'DSSTox_CID_4062', 'DSSTox_RID_77274', 'DSSTox_GSID_24062', '3,4-Dimethylphenol, 99%', 'CAS-95-65-8', '2MP', 'Asym-O-Xylenol', '4-Hydroxy-o-xylene', '1,4-Xylenol', '3, 4-Xylenol', '3,4--Xylenol', '1,2,4-Xylenol', 'PubChem21761', 'ACMC-209rzo', '3,4-Xylenol, 8CI', '3,4-Dimethylphenol (1)', 'EC 202-439-5', '3,4-Dimethylphenol, 98%', '4-06-00-03099 (Beilstein Handbook Reference)', 'KSC490K4L', 'SCHEMBL125704', 'WLN: QR C1 D1', 'CHEMBL192008', 'DTXSID4024062', '1-Hydroxy-3, 4-dimethylbenzene', 'CTK3J0545', 'FEMA 3596', 'NSC1549', 'BDBM238309', '3,4-Xylenol, &gt;=98%, FG', 'NSC-1549', 'STR06236', 'ZINC1576886', 'Tox21_201523', 'Tox21_300185', 'ANW-40546', 'LS-286', 'MFCD00002304', 'SBB060427', 'STL570694', '3,4-xylenol;Phenol, 3,4-dimethyl-', 'AKOS000119349', 'DB04052', 'MCULE-1568356481', 'NE10167', 'KS-0000009R', 'NCGC00091845-01', 'NCGC00091845-02', 'NCGC00091845-03', 'NCGC00253983-01', 'NCGC00259073-01', 'AC-10834', 'SC-18062', 'DB-003356', 'D0777', 'FT-0614380', 'NS00003137', 'ST51046607', '3,4-Dimethylphenol 100 microg/mL in Methanol', 'Q-200346', 'Q4634081', '3,4-Dimethylphenol, PESTANAL(R), analytical standard', 'F0001-2276', 'Z955123648', 'UNII-I4C43Y9C7V component YCOXTKKNXUZSKD-UHFFFAOYSA-N']</t>
  </si>
  <si>
    <t>Compound(7249)</t>
  </si>
  <si>
    <t>3,4-dimethylacetophenone</t>
  </si>
  <si>
    <t>1-(3,4-dimethylphenyl)ethanone</t>
  </si>
  <si>
    <t>["3',4'-Dimethylacetophenone", '3637-01-2', '3,4-Dimethylacetophenone', '1-(3,4-Dimethylphenyl)ethanone', 'Ethanone, 1-(3,4-dimethylphenyl)-', '1-(3,4-Dimethylphenyl)ethan-1-one', 'UNII-PC1L145T5V', 'PC1L145T5V', '1-(3,4-dimethyl-phenyl)-ethanone', 'MFCD00008743', '1-acetyl-3,4-dimethylbenzene', 'F9995-0151', '3.4-Dimethylacetophenon', 'ACMC-1CMY2', '3,4-dimethyl-acetophenone', '(3,4-Dimethylphenyl)ethanone', 'SCHEMBL110321', "3\\',4\\'-Dimethylacetophenone", 'CHEMBL549898', 'DTXSID0063109', "Acetophenone, 3',4'-dimethyl-", 'CTK3J0178', '1-(3,4-DimethylphenyI)ethanone', "3',4'-Dimethylacetophenone, 98%", 'ALBB-004401', 'KS-00000YL1', 'ZINC2568010', '1-(3,4-Dimethylphenyl)ethanone #', 'EINECS 222-859-2', 'SBB063673', 'STK500750', 'AKOS000119377', '3,4-(CH3)2C6H3-COCH3', 'AS03873', 'MCULE-6718523434', 'AC-19782', 'AS-14424', 'BP-12707', 'L073', 'L433', 'SC-81074', 'SY061591', 'FT-0614364', 'NS00048345', 'R1205', 'ST50824129', 'AZ0001-0186', 'A823216', 'W-106622', 'Q27286469', '3 inverted exclamation mark ,4 inverted exclamation mark -Dimethylacetophenone']</t>
  </si>
  <si>
    <t>Compound(77193)</t>
  </si>
  <si>
    <t>C10H12O</t>
  </si>
  <si>
    <t>['3,4-Lutidine', '3,4-DIMETHYLPYRIDINE', '583-58-4', 'Pyridine, 3,4-dimethyl-', 'UNII-FCU895KJ7H', 'NSC 4675', 'Pyridine,3,4-dimethyl-', 'EINECS 209-511-5', 'BRN 0106583', 'FCU895KJ7H', 'MFCD00006403', 'NSC4675', '3,4-Lutidene', '3,4-dimethyl-pyridine', '3,4-Lutidine, 98%', 'SCHEMBL64272', '5-20-06-00054 (Beilstein Handbook Reference)', 'WLN: T6NJ C1 D1', 'DTXSID1052244', 'CTK5A8204', '3,4-Lutidine, analytical standard', 'NSC-4675', 'ZINC8294959', 'BBL027583', 'SBB040907', 'STL146456', 'AKOS000269033', 'MCULE-3228489734', 'NE10441', 'LS-88370', 'VS-08563', '3,4-Dimethylpyridine;3,4-dimethylpyridine', 'DB-053194', 'L0066', 'NS00021227', 'ST50214509', '24098-EP2308874A1', '24098-EP2314590A1', 'J-511223', 'Q23636064']</t>
  </si>
  <si>
    <t>Compound(11417)</t>
  </si>
  <si>
    <t>3,4-dimethylpyrazole</t>
  </si>
  <si>
    <t>4,5-dimethyl-1H-pyrazole</t>
  </si>
  <si>
    <t>['3,4-Dimethyl-1H-pyrazole', '2820-37-3', '3(5),4-Dimethylpyrazole', '3,4-DIMETHYLPYRAZOLE', '3,4-dimethyl pyrazole', '4,5-dimethyl-1H-pyrazole', '1H-Pyrazole, 3,4-dimethyl-', 'UNII-7LF1K5QUJ0', '88054-15-3', '7LF1K5QUJ0', 'AK117330', '1H-Pyrazole,4,5-dimethyl-', '1H-Pyrazole, 4,5-dimethyl-', 'Pyrazole, 3,4-dimethyl-', 'EC 429-130-1', '3,4-Dimethyl 1H-pyrazole', '3,4-Dimethyl-1H-pyrazole #', 'CTK1A2197', 'CTK3B9057', 'DTXSID90182465', 'CHEBI:148437', 'ZINC967493', 'ANW-26352', 'FCH835625', 'MFCD00462154', 'STK328049', 'AKOS005431123', 'CS-W005197', 'MCULE-2020565239', 'OR52685', 'SB16018', 'KS-0000060O', '3,4-Dimethyl-1H-pyrazole, &gt;=97.0%', 'AS-58092', 'DA-07368', 'SC-68905', 'AB0054075', 'AX8170875', 'FT-0667543', 'Z4543', '3,4-Dimethyl-1H-pyrazole, analytical standard', 'M-8278', '66995-EP2272510A1', '66995-EP2298772A1', '66995-EP2308839A1', 'J-016999', 'Q27268518']</t>
  </si>
  <si>
    <t>Compound(137735)</t>
  </si>
  <si>
    <t>C5H8N2</t>
  </si>
  <si>
    <t>3,4-dichloroaniline</t>
  </si>
  <si>
    <t>['3,4-DICHLOROANILINE', '95-76-1', '3,4-Dichlorobenzenamine', 'Benzenamine, 3,4-dichloro-', '3,4-Dichloraniline', '3,4-Dichloranilin', '4,5-Dichloroaniline', '1-Amino-3,4-dichlorobenzene', '3,4-DCA', '3,4-Dichlorophenylamine', 'Aniline, 3,4-dichloro-', 'm,p-dichloroaniline', 'm.p-Dichloroaniline', '4-Amino-1,2-dichlorobenzene', 'NSC 247', '3,4-Dichloro-phenylamine', 'UNII-20KR9WJ4NS', '3,4 dichloroaniline', 'CCRIS 2395', 'CHEBI:16767', 'HSDB 1319', 'LY 004892', 'EINECS 202-448-4', 'BRN 0636837', '20KR9WJ4NS', '3,4-Dichloroaniline, 98%', 'MFCD00007768', 'DSSTox_CID_1815', 'DSSTox_RID_76343', 'DSSTox_GSID_21815', 'CAS-95-76-1', '3,4-dichloro aniline', '3,4dichloroaniline', '3.4-Dichloroaniline', 'Dichloroaniline-3,4', 'PubChem2563', '3,4 -dichloroaniline', '3,4 dichloro aniline', '3,4-di-chloroaniline', '3,4-dichloro-aniline', 'WLN: ZR CG DG', 'Epitope ID:131788', 'EC 202-448-4', 'KSC490G2T', 'MLS002152880', '1,2-Dichloro-4-aminobenzene', 'ANILINE,3,4-DICHLORO', 'SCHEMBL203854', 'ACMC-209s55', 'NSC247', 'PARAGOS 400411', 'CHEMBL1319813', 'DTXSID7021815', 'CTK3J0329', 'KS-00000UKS', 'TIMTEC-BB SBB040495', 'NSC-247', 'OTAVA-BB 1506138', 'LABOTEST-BB LTBB000652', 'ZINC157572', '3,4-DCA / 3,4-Dichloroaniline', 'ACT00130', 'STR00826', 'AKOS BBS-00003672', 'Tox21_202115', 'Tox21_302839', 'ANW-40743', 'BBL002301', 'LABOTEST-BB LT03332667', 'SBB040495', 'STK387110', 'AKOS000119137', '1-AMINO-3,4-DICHLORO-BENZENE', 'AS01525', 'CS-W020574', 'LS-1986', 'LS11577', 'MCULE-2781338077', 'PS-5109', 'NCGC00091758-01', 'NCGC00091758-02', 'NCGC00256341-01', 'NCGC00259664-01', 'BR-45903', 'SC-07442', 'SMR000155324', 'DB-030884', 'AM20050198', 'D0324', 'FT-0614222', 'FT-0666538', 'FT-0666539', 'NS00000077', 'ST45255275', 'C02791', 'M-5906', '20905-EP2275404A1', '20905-EP2277867A2', '20905-EP2280003A2', '20905-EP2281563A1', '20905-EP2305648A1', '20905-EP2314585A1', '3,4-Dichloroaniline 100 microg/mL in Acetonitrile', 'W-100159', 'Q13427547', '3,4-Dichloroaniline, PESTANAL(R), analytical standard', 'F2190-0456', '3,4-dichloroaniline;Aniline, 3,4-dichloro-;3 , 4-dichloroaniline', 'disodium diisopropoxyphosphorylmethyl-dioxido-oxo-$l^{5}-phosphane']</t>
  </si>
  <si>
    <t>Compound(7257)</t>
  </si>
  <si>
    <t>3,4-dichlorobenzenecarboxylic acid</t>
  </si>
  <si>
    <t>3,4-dichlorobenzoic acid</t>
  </si>
  <si>
    <t>['3,4-DICHLOROBENZOIC ACID', '51-44-5', 'Benzoic acid, 3,4-dichloro-', 'UNII-YS4ZR9BXWX', '3,4-Dichloro-benzoic acid', 'YS4ZR9BXWX', 'EINECS 200-099-2', 'NSC 17583', 'BRN 2044777', 'AI3-04213', '3,4-DICHLOROBEZOIC ACID', 'CHEBI:49401', 'MFCD00002492', 'Benzoic acid,4-dichloro-', 'WLN: QVR CG DG', '34Z', 'NSC17583', 'PubChem3686', 'ACMC-209kts', 'DSSTox_CID_4980', 'DSSTox_RID_77609', 'DSSTox_GSID_24980', 'Benzoicacid, 3,4-dichloro-', 'KSC272C0B', 'AKOS AKM01129', 'CHEMBL21015', 'SCHEMBL371998', '3,4-DCBA', 'RARECHEM AL BO 0329', 'DTXSID9024980', 'CTK1H2100', 'KS-00000JFW', '3,4-Dichlorobenzoic acid, 99%', 'OTAVA-BB 1051719', 'ZINC388271', 'BENZOIC ACID,3,4-DICHLORO', 'NSC34414', 'Tox21_200322', 'ANW-31262', 'LS-157', 'NSC-17583', 'NSC-34414', 'SBB063116', 'STL168893', 'AKOS000119790', 'AC-2437', 'AS00789', 'CS-W015855', 'MCULE-8161439486', 'CAS-51-44-5', 'NCGC00091648-01', 'NCGC00091648-02', 'NCGC00257876-01', 'AK-46631', 'AS-13091', 'BR-46631', 'H296', 'SY001131', 'DB-051963', 'AM20050124', 'BB 0221129', 'D0340', 'FT-0614231', 'NS00032276', 'ST50406564', 'M-5924', 'AE-562/43459830', 'W-105891', 'Q27121626', 'F2191-0070', 'Z1258992440', '3,4-Dichlorobenzoic acid, PESTANAL(R), analytical standard']</t>
  </si>
  <si>
    <t>Compound(5817)</t>
  </si>
  <si>
    <t>3,4-dichlorophenol</t>
  </si>
  <si>
    <t>['3,4-DICHLOROPHENOL', '95-77-2', 'Phenol, 3,4-dichloro-', '4,5-Dichlorophenol', 'UNII-070FTM6DVF', '3,3-dichloro-hydroxybenzene', 'CCRIS 5904', 'HSDB 4247', 'EINECS 202-450-5', 'NSC 60648', 'BRN 1907693', '070FTM6DVF', '3,4-Dichlorophenol, 99%', 'CHEBI:34323', '3,4-dichlorphenol', '3,4-DCP', '3,4dichlorophenol', '3,4 dichlorophenol', '3, 4-dichlorophenol', '3,4-dichloro phenol', 'PubChem3698', '3,4-Dichloro-phenol', 'DSSTox_CID_5005', 'DSSTox_RID_77623', 'DSSTox_GSID_25005', '4-06-00-00952 (Beilstein Handbook Reference)', 'KSC490K6B', 'MLS002454371', 'BIDD:ER0233', 'SCHEMBL224868', 'ACMC-209s56', 'CHEMBL1549385', 'DTXSID7025005', 'CTK3J0560', 'KS-00000UDB', 'OTAVA-BB 1506140', 'HMS3039D07', 'LABOTEST-BB LTBB004367', 'ZINC388513', 'ACT00759', 'NSC60648', 'STR01808', 'Tox21_200675', 'ANW-40744', 'KM3375', 'LABOTEST-BB LT03379334', 'MFCD00002258', 'NSC-60648', 'SBB058866', 'AKOS000119482', 'AS00195', 'LS-1987', 'MCULE-5939283710', 'PS-3014', 'TF10056', '3,4-Dichlorophenol, analytical standard', 'CAS-95-77-2', 'NCGC00091625-01', 'NCGC00091625-02', 'NCGC00258229-01', 'AC-16396', 'S993', 'SC-57898', 'SMR001371993', 'DB-021867', 'D0395', 'FT-0614255', 'NS00009988', 'ST50824840', '3,4-Dichlorophenol 10 microg/mL in Methanol', '3,4-Dichlorophenol 100 microg/mL in Methanol', 'C14462', '002D258', 'Q-200339', '3,4-Dichlorophenol, PESTANAL(R), analytical standard', 'Q27115989', 'F0001-2280', 'Z1262254354', 'UNII-AZ1041M258 component WDNBURPWRNALGP-UHFFFAOYSA-N', '3,4-Dichlorophenol;3 , 4-dichlorophenol;3,4-dichlorophenol;Dichlorphenol, 3,4-', '5JD']</t>
  </si>
  <si>
    <t>Compound(7258)</t>
  </si>
  <si>
    <t>3,4-dichloronitrobenzene</t>
  </si>
  <si>
    <t>1,2-dichloro-4-nitrobenzene</t>
  </si>
  <si>
    <t>['3,4-DICHLORONITROBENZENE', '1,2-Dichloro-4-nitrobenzene', '99-54-7', 'Benzene, 1,2-dichloro-4-nitro-', '1-Nitro-3,4-dichlorobenzene', 'DCNB', '3,4-Dichlornitrobenzen', '1,2-Dichloro-4-nitro-benzene', 'UNII-IJT74JI7FS', 'CCRIS 3097', '3,4-Dichlornitrobenzen [Czech]', 'HSDB 4252', '3,4-Dichloronitrobenzen [Czech]', 'NSC 6295', 'AI3-03268 (USDA)', 'EINECS 202-764-2', 'IJT74JI7FS', 'BRN 1818163', 'AI3-03268', 'WLN: WNR CG DG', 'DSSTox_CID_4999', 'DSSTox_RID_77619', 'DSSTox_GSID_24999', 'Benzene,2-dichloro-4-nitro-', '3,4-Dichloronitrobenzene, 95%', 'CAS-99-54-7', '3,4-Dichloronitrobenzen', 'PubChem2562', '3, 4-dichloronitrobenzene', '3,4-dichloro-nitrobenzene', 'ACMC-209sd0', 'EC 202-764-2', '1,2-dichlor-4-nitrobenzol', '3,4-dichloro-nitro benzene', 'SCHEMBL85918', '3,4-dichloro-1-nitrobenzene', 'KSC487G2R', 'ARONIS24811', '3,4-dichloro- 1-nitrobenzene', 'CHEMBL167468', 'DTXSID8024999', 'CTK3I7328', 'KS-00000UOZ', 'NSC6295', 'ZINC155631', 'ACT06990', 'KS-000046QU', 'NSC-6295', 'NSC99806', 'STR01633', 'Tox21_201613', 'Tox21_300293', 'ANW-41026', 'MFCD00007207', 'NSC-99806', 'SBB057511', 'STL256829', '1,2-Dichloro-4-nitrobenzene, 99%', 'AKOS005157643', 'AS07064', 'LS-2063', 'LS11567', 'MCULE-8491722460', 'NE10475', 'NCGC00091637-01', 'NCGC00091637-02', 'NCGC00091637-03', 'NCGC00091637-04', 'NCGC00254103-01', 'NCGC00259162-01', 'DB-003354', 'D0388', 'FT-0606381', 'NS00010037', 'ST45053544', 'A19495', '139478-EP2270008A1', '139478-EP2292617A1', 'Q2469366', 'W-100033', '4-Nitrobenzene, 1,2-dichloro-;1,2-Dichlor-4-nitrobenzol', '1,2-Dichloro-4-nitrobenzene, PESTANAL(R), analytical standard']</t>
  </si>
  <si>
    <t>Compound(7443)</t>
  </si>
  <si>
    <t>3,4-Dinitrophenol</t>
  </si>
  <si>
    <t>3,4-dinitrophenol</t>
  </si>
  <si>
    <t>['3,4-DINITROPHENOL', '577-71-9', 'Phenol, 3,4-dinitro-', '3,4-Dinitrofenol', '3,4-DNP', '6,5-Dinitrophenol', 'CCRIS 3105', '3,4-Dinitrofenol [Czech]', 'UNII-I108F156M4', 'EINECS 209-415-3', 'BRN 1969398', 'CHEBI:39358', 'I108F156M4', 'DNX', 'zlchem 950', '3,4-dinitro phenol', 'ACMC-1AY8J', '4-06-00-01384 (Beilstein Handbook Reference)', 'SCHEMBL213758', 'CHEMBL3347427', 'CTK1H3308', 'DTXSID80206407', 'ZLD0416', 'BCP25455', 'ZINC4521448', '8530AB', 'AKOS015888235', 'FCH1118138', 'CC-13312', 'AX8082178', 'DB-021953', 'LS-104568', 'FT-0632424', 'NS00033785', 'A831591', 'C-07184', 'Q20856197', '3,4-Dinitrophenol, moistened with water, &gt;=97.0% (HPLC)']</t>
  </si>
  <si>
    <t>Compound(11348)</t>
  </si>
  <si>
    <t>3,4-dinitrotoluene</t>
  </si>
  <si>
    <t>4-methyl-1,2-dinitrobenzene</t>
  </si>
  <si>
    <t>['3,4-DINITROTOLUENE', '4-Methyl-1,2-dinitrobenzene', '610-39-9', 'Benzene, 4-methyl-1,2-dinitro-', '3,4-DNT', 'Toluene, 3,4-dinitro-', 'UNII-V6PS4L6ZHT', 'CCRIS 2839', 'HSDB 5501', 'EINECS 210-222-1', 'NSC 52216', 'V6PS4L6ZHT', 'DSSTox_CID_7240', 'DSSTox_RID_78364', 'DSSTox_GSID_27240', 'CAS-610-39-9', 'NSC52216', 'ACMC-1AY7D', 'WLN: WNR D1 FNW', '3,4-DINITRO TOLUENE', 'ghl.PD_Mitscher_leg0.941', '1-methyl-3,4-dinitrobenzene', 'SCHEMBL294724', 'CHEMBL1489568', 'DTXSID8027240', '4-Methyl-1,2-dinitrobenzene #', 'Benzene,4-methyl-1,2-dinitro-', 'CTK5B2618', 'CHEBI:142285', 'ZINC4522885', 'Tox21_202159', 'Tox21_303210', 'ANW-33661', 'NSC-52216', 'STL386600', 'AKOS015889580', 'AKOS015953311', 'AS04415', 'LS-2164', 'MCULE-1085067576', 'NCGC00091222-01', 'NCGC00091222-02', 'NCGC00091222-03', 'NCGC00091222-04', 'NCGC00257205-01', 'NCGC00259708-01', 'NS-01599', '3,4-dinitrotoluene;3,4-DINITROTOLUENE', 'DB-030889', 'FT-0632542', 'NS00009648', '3,4-Dinitrotoluene 100 microg/mL in Acetonitrile', 'AE-562/43458950', 'Q1992140', 'UNII-R64H0N1X9C component INYDMNPNDHRJQJ-UHFFFAOYSA-N']</t>
  </si>
  <si>
    <t>Compound(11883)</t>
  </si>
  <si>
    <t>['3,5-Dimethylaniline', '108-69-0', '3,5-XYLIDINE', 'Benzenamine, 3,5-dimethyl-', '3,5-Xylylamine', '3,5-Dimethylphenylamine', '3,5-Xylidene', '1-Amino-3,5-dimethylbenzene', '5-Amino-1,3-xylene', '3,5-Dimethylbenzenamine', '3,5-Dimethylbenzeneamine', '5-Amino-1,3-dimethylbenzene', 'NSC 26880', 'UNII-1418BR6T2H', 'CCRIS 4742', '3,5-dimethyl aniline', '3,5-dimethyl-aniline', 'HSDB 2096', 'Benzene, 1-amino-3,5-dimethyl-', 'EINECS 203-607-0', '3,5-Dimethylaniline, 98%', '1418BR6T2H', '5-Amino-m-xylene', 'm-xylidin', '3,5dimethylaniline', 'NSC26880', 'MFCD00007813', '3,5 dimethylaniline', '3.5-dimethylaniline', '3, 5-dimethylaniline', '3,5-dimethyl-phenylamine', 'DSSTox_CID_6309', 'EC 203-607-0', 'DSSTox_RID_78099', 'DSSTox_GSID_26309', 'SCHEMBL33318', 'KSC175G3B', 'MLS002302997', 'WLN: ZR C1 E1', 'CHEMBL1603782', 'DTXSID8026309', 'CTK0H5330', 'HMS3039G12', 'ACMC-209910', 'KS-000000RS', 'STR00834', 'ZINC3861068', 'Tox21_200232', 'ANW-15970', 'LS-467', 'NSC-26880', 'SBB040456', 'STL168889', 'AKOS000119347', 'AM61282', 'CS-W001076', 'MCULE-4075316196', 'PS-3011', 'NCGC00091402-01', 'NCGC00091402-02', 'NCGC00257786-01', 'AC-10848', 'CAS-108-69-0', 'SC-25734', 'SMR001307312', 'DB-022096', 'D0671', 'FT-0614685', 'NS00008073', 'ST50213734', '3,5-Dimethylaniline, technical, &gt;=97.0% (GC)', 'J-511355', 'Q27251562', 'F2190-0467', 'Z1245633146', 'UNII-0V872Q19HT component MKARNSWMMBGSHX-UHFFFAOYSA-N']</t>
  </si>
  <si>
    <t>Compound(7949)</t>
  </si>
  <si>
    <t>3,5-dimethylphenol</t>
  </si>
  <si>
    <t>['3,5-DIMETHYLPHENOL', '3,5-Xylenol', '108-68-9', 'Sym-m-xylenol', 'Phenol, 3,5-dimethyl-', '1,3,5-Xylenol', '3,5-Dmp', '1-Hydroxy-3,5-dimethylbenzene', '3,5-Dimethyl phenol', '5-Hydroxy-m-xylene', 'Xylenol 200', 'UNII-ONA760G0WA', 'NSC 9268', 'CCRIS 724', '3,5-Dimethyl-Phenol', 'HSDB 5385', 'Benzene, 1,3-dimethyl-5-hydroxy-', 'EINECS 203-606-5', 'ONA760G0WA', 'AI3-01553', '1,5-Dimethyl-3-hyperoxybenzene', 'CHEBI:38572', 'DSSTox_CID_5148', 'DSSTox_RID_77687', 'DSSTox_GSID_25148', 'CAS-108-68-9', 'DIMETHYLPHENOL(3,5-)', 'sym.-m-Xylenol', '3.5-dimethylphenol', '3, 5-dimethylphenol', '5-HYDROXY-1,3-DIMETHYLBENZENE', '3,5-Xylen-1-ol', 'ACMC-1AT6X', 'EC 203-606-5', 'SCHEMBL28714', '3,5-Dimethylphenol, 98%', '3,5-Xylenol;3,5-xylenol', 'KSC493I1N', 'WLN: QR C1 E1', '1,3-Dimethyl-5-hydroxybenzene', '1,5-Dimethyl-3-hydroxybenzene', 'CHEMBL191740', 'XYLENOL (3,5-)', '3,5-Dimethylphenol, &gt;=99%', 'DTXSID1025148', 'CTK3J3416', 'KS-00000UEL', 'NSC9268', 'ATTERCOP-CHM AT108431', 'LABOTEST-BB LTBB002377', 'NSC-9268', 'ZINC1699887', 'Tox21_202181', 'Tox21_303372', 'ANW-15969', 'LS-466', 'MFCD00002307', 'RW1897', 'SBB060659', 'STL194292', 'AKOS000119350', 'AC-7353', 'AS00190', 'MCULE-3110935696', 'NE10168', '3,5-Dimethylphenol, analytical standard', 'NCGC00091574-01', 'NCGC00091574-02', 'NCGC00257396-01', 'NCGC00259730-01', 'AS-13592', 'I833', 'SC-16109', 'DB-030898', 'D0778', 'D1829', 'FT-0614698', 'NS00008233', 'ST50409867', '3,5-Dimethylphenol 100 microg/mL in Methanol', '69302-EP2272817A1', '69302-EP2284166A1', '69302-EP2308861A1', 'Q-200352', '3,5-Dimethylphenol, PESTANAL(R), analytical standard', 'Q26841188', 'F0001-0176', 'Z955123752', 'UNII-I4C43Y9C7V component TUAMRELNJMMDMT-UHFFFAOYSA-N', 'ERH']</t>
  </si>
  <si>
    <t>Compound(7948)</t>
  </si>
  <si>
    <t>['3,5-DIMETHYLPYRIDINE', '3,5-Lutidine', '591-22-0', 'Pyridine, 3,5-dimethyl-', 'UNII-6Q4YPZ045V', '3,5-dimethyl-pyridine', '6Q4YPZ045V', 'MFCD00006404', '3,5-Lutidine, 98+%', '3,5-dimethyl pyridine', '3,5 lutidine', 'NSC60736', 'EINECS 209-708-6', '3,5-Lutdcine', 'NSC 60736', 'ACMC-1AXEV', 'EC 209-708-6', 'DSSTox_CID_30825', 'NCIOpen2_004681', 'DSSTox_GSID_52254', 'SCHEMBL24225', 'KSC272E6H', '3,5-Lutidine, &gt;=98%', 'DTXSID5052254', 'CTK1H2263', 'KS-00000VIV', '3,5-Lutidine, analytical standard', 'BCP26361', 'ZINC8294960', 'Tox21_303943', 'ANW-33164', 'NSC-60736', 'SBB060372', 'STL280373', 'AKOS015891741', 'AM81286', 'LS41253', 'MCULE-2931433741', 'NE10442', 'NCGC00357179-01', 'AC-15531', 'CAS-591-22-0', 'SC-16379', 'DB-024152', 'L0068', 'NS00006031', 'ST51046561', '3,5-DIMETHYLPYRIDINE;3,5-dimethylpyridine', 'EN300-82871', 'A832172', 'W-105339', 'Q23636070', 'F0001-1549']</t>
  </si>
  <si>
    <t>Compound(11565)</t>
  </si>
  <si>
    <t>3,5-diethyl- 1,2, 4-trithiolan</t>
  </si>
  <si>
    <t>3,5-diethyl-1,2,4-trithiolane</t>
  </si>
  <si>
    <t>['3,5-Diethyl-1,2,4-trithiolane', '54644-28-9', '1,2,4-Trithiolane, 3,5-diethyl-', '(+/-)-3,5-Diethyl-1,2,4-trithiolane', 'FEMA No. 4030', '3,5-Diethyl-1,2,4-trithiolane, (+/-)-', 'SCHEMBL4939277', 'CTK5A2050', 'DTXSID60969922', '(+/-)-cis-and trans-3,5-Diethyl-1,2,4-trithiolane [FIFH]', '3,5-Diethyl-1,2,4-trithiolane #']</t>
  </si>
  <si>
    <t>Compound(520895)</t>
  </si>
  <si>
    <t>C6H12S3</t>
  </si>
  <si>
    <t>3,5-dichloroaniline</t>
  </si>
  <si>
    <t>['3,5-DICHLOROANILINE', '626-43-7', 'Benzenamine, 3,5-dichloro-', 'm-Dichloroaniline', 'Aniline, 3,5-dichloro-', '3,5-dichloro aniline', '3,5-Dichlorobenzenamine', '3,5-dichloro benzenamine', 'UNII-OZ75ZM1S3G', '3,5-Dichloranilin', '3,5 dichloraniline', 'CCRIS 2396', 'dichloroaniline(3,5)', 'HSDB 5437', '3,5-dichlorophenylamine', 'EINECS 210-948-9', 'OZ75ZM1S3G', 'CHEBI:19904', 'MFCD00007774', 'DSSTox_CID_10307', 'DSSTox_RID_78842', 'DSSTox_GSID_30307', '3,5-Dichloroaniline, 98%', '(3,5-dichlorophenyl)-(7-methoxymethyl-[1,4]-dioxano[2,3-g]quinazolin-4-yl)-amine', 'CAS-626-43-7', '3.5-Dichloraniline', '3,5-dichloro-aniline', 'PubChem15383', 'ACMC-1CUJQ', '3,5-dichloro-phenylamine', 'EC 210-948-9', 'KSC177S4P', 'MLS002415699', 'SCHEMBL127074', 'AMBZ0107', 'CHEMBL1451208', 'DTXSID7030307', '3,5-Dichloroaniline, &gt;=98%', 'CTK0H7947', 'TIMTEC-BB SBB008349', 'HMS3039J09', 'LABOTEST-BB LTBB000733', 'ZINC157609', '3,5-DCA / 3,5-Dichloroaniline', 'STR00530', 'AKOS BBS-00003558', 'Tox21_200023', 'Tox21_303569', 'ANW-34314', 'BBL002966', 'LABOTEST-BB LT03329548', 'LABOTEST-BB LT03333491', 'SBB008349', 'STK379513', 'AKOS000118845', 'AM85854', 'AS01526', 'LS-2166', 'MCULE-9518503559', 'PS-4568', 'NCGC00091306-01', 'NCGC00091306-02', 'NCGC00257373-01', 'NCGC00257577-01', 'AC-10839', 'BP-11691', 'RP 32596', 'SMR001370887', 'DB-054233', 'D0325', 'FT-0614549', 'NS00003542', 'ST50213718', 'KS-00000124', 'A22102', 'M-6361', '3,5-Dichloroaniline 100 microg/mL in Methanol', 'W-104974', 'Q23034827', '3,5-Dichloroaniline, PESTANAL(R), analytical standard', 'F2190-0506', 'Z1245633369']</t>
  </si>
  <si>
    <t>Compound(12281)</t>
  </si>
  <si>
    <t>3,5-dichlorophenol</t>
  </si>
  <si>
    <t>['3,5-DICHLOROPHENOL', '591-35-5', 'Phenol, 3,5-dichloro-', '3,5-Dichloro-phenol', 'UNII-FG32L88KO9', '3,5 dichlorophenol', 'CCRIS 5905', 'HSDB 4265', 'EINECS 209-714-9', 'NSC 60649', 'FG32L88KO9', 'CHEBI:88214', '3,5-Dichlorophenol, 99%', '3,5-dichlorphenol', 'NSC60649', '3,5-dichloro phenol', 'PubChem3699', 'ACMC-209mar', 'DSSTox_CID_5006', 'DSSTox_RID_77624', 'DSSTox_GSID_25006', '3,5-Dichlorophenol, 97%', 'KSC270A8P', 'SCHEMBL330662', 'CHEMBL314566', 'DTXSID2025006', 'BDBM92754', 'CTK1H0087', 'KS-00000KNM', '3,5-Dichlorphenol (3,5-DCP)', 'LABOTEST-BB LTBB004368', 'ZINC404351', 'STR01646', 'Tox21_200931', 'ANW-33169', 'KM0285', 'LABOTEST-BB LT03497508', 'MFCD00002259', 'NSC-60649', 'SBB058910', 'STL497594', 'AKOS000121538', 'AS00184', 'CS-W004113', 'LS-1413', 'LS10337', 'MCULE-6915099558', 'PS-3015', '3,5-Dichlorophenol, analytical standard', 'NCGC00091417-01', 'NCGC00091417-02', 'NCGC00091417-03', 'NCGC00258485-01', 'AC-10840', 'AK-39494', 'BR-39494', 'CAS-591-35-5', 'SC-87048', 'AM20060193', 'D0365', 'FT-0614567', 'NS00001542', 'ST50824835', 'W7205', '3,5-Dichlorophenol 10 microg/mL in Methanol', 'EN300-16608', '3,5-Dichlorophenol 100 microg/mL in Methanol', 'AB01101842-03', 'Q2355160', 'W-105338', '3,5-Dichlorophenol, PESTANAL(R), analytical standard', '3,5-Dichlorophenol;Dichlorphenol, 3,5-;3,5-dichlorophenol', 'UNII-AZ1041M258 component VPOMSPZBQMDLTM-UHFFFAOYSA-N', 'UNII-GP679I31BO component VPOMSPZBQMDLTM-UHFFFAOYSA-N']</t>
  </si>
  <si>
    <t>Compound(11571)</t>
  </si>
  <si>
    <t>['3,5-DINITROANILINE', '618-87-1', 'Benzenamine, 3,5-dinitro-', 'Aniline, 3,5-dinitro-', '3,5-Dinitroanilin', 'UNII-0AHR6K1N73', 'CCRIS 3109', 'NSC 284', 'EINECS 210-567-8', 'BRN 0648811', '0AHR6K1N73', '3,5-dinitrophenylamine', '3-5-dinitro-phenylamine', '3,5-Dinitroaniline, 98%', 'NSC284', 'Aniline,5-dinitro-', 'ACMC-209mx8', 'Benzenamine,3,5-dinitro-', 'SCHEMBL65293', '3,5-Dinitroaniline, 97%', 'Benzeneamine, 3,5-dinitro-', 'Ex287', 'DTXSID0044151', 'CTK5B3972', 'NSC-284', 'KS-00000X7K', 'ZINC1555408', 'Benzenamine, 3,5-dinitro- (9CI)', 'ANW-33978', 'MFCD00007263', 'SBB003728', 'STL560140', '3,5-dinitroaniline;3,5-Dinitroanilin', 'AKOS001116893', 'MCULE-8929199449', 'VZ25860', 'AS-47691', 'LS-19780', 'D2458', 'FT-0632587', 'NS00002923', 'ST51038569', 'W7394', 'EN300-18766', 'W-2910', 'A833468', 'AO-800/41069722', 'J-200051', 'Q27236538']</t>
  </si>
  <si>
    <t>Compound(12068)</t>
  </si>
  <si>
    <t>3,5-dinitrophenol</t>
  </si>
  <si>
    <t>['3,5-DINITROPHENOL', 'Phenol, 3,5-dinitro-', '586-11-8', '3,5-Dinitrofenol', '3,5-Dinitrofenol [Czech]', 'BRN 1879348', 'AI3-28910', '4-06-00-01385 (Beilstein Handbook Reference)', 'SCHEMBL593064', 'ARONIS002960', 'CHEBI:39360', 'CTK1H3748', 'DTXSID80207318', 'STK096911', 'ZINC34797793', 'AKOS000493022', 'MCULE-3507077012', 'LS-104569', 'AE-848/01525002', 'Q20856200']</t>
  </si>
  <si>
    <t>Compound(11459)</t>
  </si>
  <si>
    <t>3,5-dinitrotoluene</t>
  </si>
  <si>
    <t>1-methyl-3,5-dinitrobenzene</t>
  </si>
  <si>
    <t>['3,5-DINITROTOLUENE', '1-Methyl-3,5-dinitrobenzene', '618-85-9', 'Benzene, 1-methyl-3,5-dinitro-', 'Toluene, 3,5-dinitro-', '3,5-DNT', 'UNII-B651857LG8', 'HSDB 6463', 'EINECS 210-566-2', 'NSC 87348', 'BRN 2052045', 'B651857LG8', 'NSC87348', 'NCIOpen2_001270', '4-05-00-00867 (Beilstein Handbook Reference)', 'SCHEMBL635130', 'Benzene,1-methyl-3,5-dinitro-', 'CHEBI:82458', 'CTK5B3961', 'DTXSID40210803', 'ACT04067', 'ZINC1562018', 'NSC-87348', 'AKOS006228842', 'AC-5208', 'AS-31333', 'Benzene, 1-methyl-3,5-dinitro- (9CI)', 'DB-073024', 'LS-154062', 'FT-0728627', 'NS00034824', '3,5-Dinitrotoluene 100 microg/mL in Acetonitrile', 'Q27155955', 'UNII-R64H0N1X9C component RUIFULUFLANOCI-UHFFFAOYSA-N']</t>
  </si>
  <si>
    <t>Compound(12067)</t>
  </si>
  <si>
    <t>3,7, 11,15-tetramethyl-1hexadecanol</t>
  </si>
  <si>
    <t>3,7,11,15-tetramethylhexadecan-1-ol</t>
  </si>
  <si>
    <t>['Dihydrophytol', '3,7,11,15-Tetramethylhexadecan-1-ol', 'Phytanol', '645-72-7', '3,7,11,15-Tetramethyl-1-hexadecanol', '1-Hexadecanol, 3,7,11,15-tetramethyl-', '3,7,11,15-Tetramethylhexadecanol', '3,7,11,15-TETRAMETHYL-HEXADECAN-1-OL', 'EINECS 211-453-0', 'AI3-36486', 'SCHEMBL95738', 'CHEMBL4206760', 'CTK5C1417', 'DTXSID00983061', 'LMPR0104010026', '1-Hexadecanol,3,7,11,15-tetramethyl-', '3,7,11,15-Tetramethyl-1-hexadecanol #', 'NS00041810', 'NS00099393']</t>
  </si>
  <si>
    <t>Compound(102459)</t>
  </si>
  <si>
    <t>C20H42O</t>
  </si>
  <si>
    <t>3,7-dimethyl-1,7-octanediol</t>
  </si>
  <si>
    <t>3,7-dimethyloctane-1,7-diol</t>
  </si>
  <si>
    <t>['3,7-Dimethyloctane-1,7-diol', '107-74-4', '1,7-Octanediol, 3,7-dimethyl-', 'Citronellol, hydroxy-', '3,7-Dimethyl-1,7-octanediol', '7-Hydroxy-3,7-dimethyloctan-1-ol', '1,2-Octandiol, 3,7-dimethyl-', '2,8-Octanediol, 2,6-dimethyl-', '1-Octanol, 3,7-dimethyl-7-hydroxy-', 'NSC 406140', '3,7-octanediol', 'W-109395', '1-Octanol,7-dimethyl-7-hydroxy-', 'WLN: QX1&amp;1&amp;3Y2Q&amp;1', 'NSC67886', '1,7-Octanediol, 3,7-dimethyl-, (S)-', '(+/-)-Hydroxycitronellol', 'DSSTox_CID_24513', 'DSSTox_RID_80281', 'NCIOpen2_000927', 'DSSTox_GSID_44513', 'SCHEMBL362466', 'ACMC-20m258', 'CHEMBL3187980', 'DTXSID6044513', '1,7-Octanediol,3,7-dimethyl-', '3,7-Dimethyloctane-1,7-diol.', 'CTK4A5694', 'Octane-1,7-diol, 3,7-dimethyl', '98206-63-4', 'BB_SC-00382', 'Tox21_300934', '5778AF', 'BBL028009', 'LMFA05000666', 'NSC-67886', 'NSC406140', 'STK802503', '3,7-dimethyl-7-hydroxy octyl alcohol', 'AKOS006346443', 'MCULE-7595393001', 'NSC-406140', 'NCGC00248216-01', 'NCGC00254836-01', 'AS-59645', 'CAS-107-74-4', 'DB-040782', 'FT-0631602', 'NS00012635', 'C-49218', 'Q27287607', 'HYDROXYCITRONELLOL;3,7-dimethyloctane-1,7-diol;3,7-Dimethyloctane-1,7-diol.']</t>
  </si>
  <si>
    <t>Compound(249494)</t>
  </si>
  <si>
    <t>C10H22O2</t>
  </si>
  <si>
    <t>3-amino-1-propylene</t>
  </si>
  <si>
    <t>prop-2-en-1-amine</t>
  </si>
  <si>
    <t>['ALLYLAMINE', '2-Propen-1-amine', '107-11-9', 'prop-2-en-1-amine', 'Monoallylamine', '3-Aminopropylene', '3-Amino-1-propene', '3-Aminopropene', 'Allyl Amine', '2-Propenamine', '2-Propenylamine', 'Polyallylamine', 'Poly(allylamine)', 'NSC 7600', 'Allylamine, 98%', 'CCRIS 4746', '2-Propen-1-ylamine', 'HSDB 2065', 'UNII-48G762T011', 'EINECS 203-463-9', 'UN2334', 'BRN 0635703', 'AI3-23214', '30551-89-4', '48G762T011', 'allylamin', 'Allylamine, polymers', 'Allylamine homopolymer', 'PAA-L', '2-Propenamine homopolymer', 'PAA 1LV', 'ailylamine', 'PAA 10C', 'PAA 10L', 'allyl-amine', 'N-allylarnine', 'N-allylamine', '2-propenyl amine', '(2-propenyl)amine', '1-amino-2-propene', 'PubChem19133', 'Allylamine, &gt;=99%', 'CH2=CHCH2NH2', 'EC 203-463-9', '4-04-00-01057 (Beilstein Handbook Reference)', 'WLN: Z2U1', 'Allylamine;3-amino-1-propene', 'CHEMBL57286', '2-Propen-1-amine, homopolymer', 'DTXSID8024440', 'CTK0H7866', 'NSC7600', 'Allylamine [UN2334] [Poison]', 'Allylamine [UN2334]  [Poison]', 'BCP27099', 'NSC-7600', 'STR00193', 'BDBM50225454', 'CP0091', 'LS-427', 'MFCD00008199', 'STL185583', 'ZINC17654097', 'AKOS000119634', 'Allylamine, purum, &gt;=98.0% (GC)', 'MCULE-2424616806', 'UN 2334', 'Allylamine, puriss., &gt;=99.5% (GC)', 'NCGC00159381-02', 'SC-16455', 'SC-53849', 'A0219', 'NS00006698', '15229-EP2272838A1', '15229-EP2281563A1', '15229-EP2295418A1', '15229-EP2311802A1', '15229-EP2311803A1', '15229-EP2311804A2', '15229-EP2316832A1', '15229-EP2316833A1', '15244-EP2316832A1', '15244-EP2316833A1', 'Q417414', 'F2190-0363']</t>
  </si>
  <si>
    <t>Compound(7853)</t>
  </si>
  <si>
    <t>C3H7N</t>
  </si>
  <si>
    <t>3-amino-2,5-dichloro-benzoic acid</t>
  </si>
  <si>
    <t>3-amino-2,5-dichlorobenzoic acid</t>
  </si>
  <si>
    <t>['Chloramben', '3-Amino-2,5-dichlorobenzoic acid', '133-90-4', 'Ambiben', 'AMIBEN', 'Benzoic acid, 3-amino-2,5-dichloro-', 'Amibin', 'Amoben', 'Vegiben', 'Ornamental weeder', 'Amiben DS', 'Ornamental weeder 4G', '2,5-Dichloro-3-aminobenzoic acid', 'Caswell No. 168A', 'Chlorambed', 'ACPM-629', 'ACP-M-728', 'NCI-C00055', 'UNII-EWG424FFB5', 'CCRIS 125', 'Chloramben [ANSI:BSI:ISO]', 'HSDB 564', 'EINECS 205-123-5', 'Kyselina 3-amino-2,5-dichlorbenzoova', 'EPA Pesticide Chemical Code 029901', 'BRN 2365906', 'EWG424FFB5', 'MLS002152892', 'CHEBI:82183', 'Kyselina 3-amino-2,5-dichlorbenzoova [Czech]', 'SMR001224504', 'DSSTox_CID_262', 'DSSTox_RID_75471', 'DSSTox_GSID_20262', 'CAS-133-90-4', 'Chlorambene', 'Vegaben', 'Amiben methyl', 'ACP M-629', '3-amino-2,5-dichloro-benzoic acid', 'ACMC-20anah', 'Weedone Garden Weeder', 'Weedone Gar den Weeder', 'Chloramben:3-amino-2,5-dichlorobenzoic acid', 'cid_8630', 'SCHEMBL55091', 'CHEMBL446021', 'DTXSID2020262', 'BDBM74246', 'CTK4B8857', 'HMS3039A11', 'ZINC388319', 'Tox21_201368', 'Tox21_300588', 'LS-766', 'SBB003492', 'Benzoic acid,3-amino-2,5-dichloro-', 'AKOS009159116', 'MCULE-6648852899', 'VA10566', 'NCGC00090839-01', 'NCGC00090839-02', 'NCGC00090839-03', 'NCGC00090839-04', 'NCGC00254377-01', 'NCGC00258920-01', '3-Amino-2,5-dichlorobenzoic acid, 95%', '3-azanyl-2,5-bis(chloranyl)benzoic acid', 'AC-19983', 'P547', 'DB-042206', 'HY-119417', 'CS-0068135', 'FT-0602996', 'NS00009318', 'ST50406042', 'Chloramben, PESTANAL(R), analytical standard', 'C19056', '33084-EP2371823A1', '133A904', 'Q5102912', 'W-108291', 'ammonium 3-amino-2,5-dichlorobenzoate;Chloramben;chloramben;Chloramben, sodium salt']</t>
  </si>
  <si>
    <t>Compound(8630)</t>
  </si>
  <si>
    <t>C7H5Cl2NO2</t>
  </si>
  <si>
    <t>3-bromo-1-chloropropene</t>
  </si>
  <si>
    <t>(E)-3-bromo-1-chloroprop-1-ene</t>
  </si>
  <si>
    <t>['3737-00-6', '3-bromo-1-chloroprop-1-ene', '1-Propene, 3-bromo-1-chloro-', '(E)-1-Chloro-3-bromo-1-propene', '1-CHLORO-3-BROMO-1-PROPENE', '67546-50-3', 'SCHEMBL500312', '3-Bromo-1-chloro-prop-1-ene', 'ZINC2038448', '(1E)-3-bromo-1-chloroprop-1-ene', 'AKOS006275955', 'NE35047', 'LS-123451', '546C503']</t>
  </si>
  <si>
    <t>Compound(6433386)</t>
  </si>
  <si>
    <t>C3H4BrCl</t>
  </si>
  <si>
    <t>3-decylacrolein</t>
  </si>
  <si>
    <t>(E)-tridec-2-enal</t>
  </si>
  <si>
    <t>['2-TRIDECENAL', 'trans-2-Tridecenal', '(E)-Tridec-2-enal', 'trans-2-tridecen-1-al', '7774-82-5', '3-Decylacrolein', '7069-41-2', '(2E)-2-Tridecenal', 'tridec-2-enal', 'UNII-C950P0MYML', '(e)-2-tridecenal', 'FEMA No. 3082', '2-Tridecenal, (E)-', 'EINECS 231-883-2', '(E)-Tridecen-2-al', 'C950P0MYML', 'W-104300', '2-TRIDECEN-1-AL', '2E-tridecenal', 'EINECS 230-362-7', 'NSC617616', '(E)-Tridecen-2-al.', '(e)-2-tridecen-1-al', 'CIS-TRIDECEN-2-AL', 'CHEMBL1995395', 'DTXSID8052518', 'FEMA 3082', '2-TRIDECENAL (HIGH TRANS)', 'BCP25477', 'ZINC1613339', 'LMFA06000075', 'LS-3131', 'NSC-617616', 'NS00013251', 'Q27275342', '2-Tridecenal, predominantly trans, &gt;=95%, stabilized, FCC, FG', 'trans-2-Tridecenal;(E)-Tridecen-2-al.;(E)-tridecen-2-al;tridec-2-enal;TRIDECENAL;Tridec-2-enal']</t>
  </si>
  <si>
    <t>Compound(5283363)</t>
  </si>
  <si>
    <t>C13H24O</t>
  </si>
  <si>
    <t>3-hexadecene</t>
  </si>
  <si>
    <t>(Z)-hexadec-3-ene</t>
  </si>
  <si>
    <t>['(3Z)-3-Hexadecene', '3-Hexadecene, (Z)-', 'cis-3-Hexadecene', 'UNII-U767201ISR', '(Z)-3-Hexadecene', 'U767201ISR', '3-Hexadecene, (3Z)-', '34303-81-6', 'Q27290783', 'UNII-38H8547VP0 component QIZDLUWRENVVJW-ALCCZGGFSA-N']</t>
  </si>
  <si>
    <t>Compound(5364494)</t>
  </si>
  <si>
    <t>3-methoxybutan-2-ol</t>
  </si>
  <si>
    <t>['3-Methoxybutan-2-ol', '3-Methoxy-2-butanol', '53778-72-6', '2-Butanol, 3-methoxy-', '3-Methoxy-2-butanol #', '2-hydroxy-3-methoxy butane', 'SCHEMBL38026', 'CTK1E3616', 'DTXSID40338233', 'AKOS011043395', 'AS-40759', 'FT-0698548', 'V6491', 'K-9724']</t>
  </si>
  <si>
    <t>Compound(547790)</t>
  </si>
  <si>
    <t>3-methyl-1,2-cyclopentanedione</t>
  </si>
  <si>
    <t>3-methylcyclopentane-1,2-dione</t>
  </si>
  <si>
    <t>['3-Methylcyclopentane-1,2-dione', '3-Methyl-1,2-cyclopentanedione', '765-70-8', 'Methylcyclopentenolone', '1,2-CYCLOPENTANEDIONE, 3-METHYL-', 'Methylcyclopentenolone (diketo form)', 'FEMA No. 2700', 'Methylcyclopentenolone (natural)', 'methyl-cyclopentenolone', 'EINECS 212-154-8', 'kentonarome', 'Benzil-related compound, 45', 'MFCD00001417', '3-Methyl-1,2-cyclopentanedione, 99%', '3-Methyl-1,2-cyclopentanedione (Maple lactone)', 'Maple Lactone(MCP)', 'ACMC-1BG7W', 'DSSTox_CID_27709', 'DSSTox_RID_82519', 'DSSTox_GSID_47716', 'SCHEMBL511158', 'CHEMBL371371', 'DTXSID3047716', 'BDBM22767', 'CTK3J0166', 'FEMA 2700', 'KS-00000WGS', 'STR04813', 'Tox21_302629', 'BBL004465', 'STK801987', 'AKOS000119750', 'AKOS016843942', 'LS-2920', 'MCULE-7649396652', '3-Methyl-1,2-cyclopentanedione, 98%', 'NCGC00256786-01', '2-Hydroxy-5-methyl-2-cyclopenten-1-one', 'AK116972', 'CAS-765-70-8', 'U062', 'DB-003407', 'FT-0616152', 'H2946', 'M2904', 'NS00020028', 'W-104356', '3-methylcyclopentane-1,2-dione;2-Hydroxy-3-methylcyclopent-2-en-1-one;2-Hydroxy-3-methylcyclopent-2-enone.;3-Methylcyclopentan-1,2-dione;METHYLCYCLOPENTENOLONE;2-hydroxy-3-methylcyclopent-2-enone']</t>
  </si>
  <si>
    <t>Compound(61209)</t>
  </si>
  <si>
    <t>C6H8O2</t>
  </si>
  <si>
    <t>['m-Toluidine', '3-Methylaniline', '108-44-1', '3-Toluidine', 'Benzenamine, 3-methyl-', '3-AMINOTOLUENE', 'm-Methylaniline', 'm-Toluidin', 'm-Tolylamine', 'm-Aminotoluene', '3-Methylbenzenamine', 'm-Methylbenzenamine', '3-Aminophenylmethane', '3-Amino-1-methylbenzene', '3-Aminotoluen', 'Aniline, 3-methyl-', '1-Amino-3-methylbenzene', 'meta-toluidine', 'm-Toluidin [Czech]', 'm-Toluidyna [Polish]', '3-Aminotoluen [Czech]', '3-methylphenylamine', 'NSC 15349', 'UNII-006FKQ96T3', 'CCRIS 4325', 'm-Toluidine, 99%', 'HSDB 2043', 'EINECS 203-583-1', 'BRN 0635944', 'AI3-19859', '006FKQ96T3', 'DSSTox_CID_6792', 'DSSTox_RID_78215', 'DSSTox_GSID_26792', 'm-Toluidyna', 'CAS-108-44-1', 'metatoluidine', 'meta toluidine', '3-methylalanine', 'm-tolyl-amine', 'meta-methylaniline', '3-methyl aniline', '3-methyl-aniline', '3-methyl-benzamine', '3-(methyl)aniline', '3-methyl-phenylamine', 'MFCD00007808', 'ACMC-1BRAW', 'EC 203-583-1', 'WLN: ZR C1', 'SCHEMBL11789', 'm-Toluidine, liquid or solid', '4-12-00-01813 (Beilstein Handbook Reference)', 'KSC177A8P', 'CHEMBL3182179', 'DTXSID1026792', 'm-Toluidine, analytical standard', 'CTK0H7087', 'KS-00000VJP', 'BCP15285', 'NSC15349', 'ZINC3861040', 'Tox21_201265', 'Tox21_300568', 'ANW-15942', 'BBL002474', 'NSC-15349', 'SBB040444', 'STK387127', 'AKOS000119100', 'AS06930', 'MCULE-1279166450', 'PS-9299', 'NCGC00091601-02', 'NCGC00091601-03', 'NCGC00254415-01', 'NCGC00258817-01', 'SC-19107', 'm-Toluidine 100 microg/mL in Cyclohexane', 'LS-154305', 'FT-0616412', 'NS00008859', 'ST45255308', 'T7303', 'm-Toluidine, liquid or solid [UN1708] [Poison]', 'm-Toluidine, liquid or solid [UN1708]  [Poison]', 'Q1880736', 'W-108717', 'Z57127904', 'F2190-0419', 'm-Toluidine;m-toluidine;m-toluidinium chloride;3-Methylaniline hydrochloride']</t>
  </si>
  <si>
    <t>Compound(7934)</t>
  </si>
  <si>
    <t>3-methylpentane</t>
  </si>
  <si>
    <t>['3-METHYLPENTANE', '96-14-0', 'Pentane, 3-methyl-', '3-Methyl-pentane', 'UNII-XD8O3ML76T', 'XD8O3ML76T', 'CHEBI:88373', '3-Methylpentane, 99+%', '3-Methylpentane, analytical standard', 'Diethylmethylmethane', 'HSDB 5300', '3-methyl pentane', 'EINECS 202-481-4', 'NSC 66497', 'AI3-28852', 'ACMC-209s6l', '3-Methylpentane, &gt;=99%', 'KSC487I1B', '(C2H5)2CHCH3', 'CHEMBL357767', 'DTXSID8052647', 'CTK3I7410', 'KS-00000VOO', 'NSC66497', 'ZINC1693925', 'ANW-40795', 'MFCD00009342', 'NSC-66497', 'AKOS015841880', 'FCH1112918', 'MCULE-2542807917', 'CC-15638', 'DB-057623', 'FT-0616168', 'M0383', 'NS00004041', 'C-24728', 'Q223107', 'J-002021', 'UNII-1S70G88A39 component PFEOZHBOMNWTJB-UHFFFAOYSA-N', 'UNII-RQA19361ZA component PFEOZHBOMNWTJB-UHFFFAOYSA-N']</t>
  </si>
  <si>
    <t>Compound(7282)</t>
  </si>
  <si>
    <t>3-methylpentanoic acid</t>
  </si>
  <si>
    <t>['3-Methylvaleric acid', '3-METHYLPENTANOIC ACID', '105-43-1', 'Pentanoic acid, 3-methyl-', '3-methyl-pentanoic acid', '3-methyl valeric acid', 'dl-3-methylvaleric acid', '3-Methyl pentanoic acid', 'sec-BUTYLACETIC ACID', 'Valeric acid, 3-methyl-', 'beta-Methylvaleric acid', '3-Methyl-n-valeric acid', '(+/-)-3-Methylvaleric acid', '2-Methylbutane-1-carboxylic acid', '(S)-3-Methylvaleric Acid', 'dl-3-methyl valeric acid', '3-Methyl-n-pentanoic acid', 'Butylacetic acid, sec-', '10347-93-0', '(R)-3-METHYL-PENTANOICACID', 'FEMA No. 3437', 'AK-60164', '3-MethylvalericAcid', 'EINECS 203-297-7', '3 methyl valeric acid', '3-methyl-valeric acid', 'PubChem11272', '.beta.-Methylvaleric acid', 'Pentanoic acid,3-methyl-', 'ACMC-1BR6Z', 'SCHEMBL50835', 'KSC503Q3D', 'Racemic 3-methylpentanoic acid', 'CHEMBL1789215', 'CTK4A3831', 'FEMA 3437', 'KS-00000CAN', 'DTXSID20861716', '3-Methylvaleric acid, 97% (GC)', 'ANW-15222', 'LMFA01020075', 'MFCD00002729', 'MFCD02262177', 's6089', 'SBB008180', '3-Methylpentanoic acid, &gt;=98%, FG', '3-Methylpentanoic acid, ~95% (GC)', 'AKOS009156837', 'CS-W011229', 'HY-W010513', 'NE10222', 'AS-38068', 'O069', 'SC-19132', 'SY007038', 'FT-0616169', 'FT-0653401', 'FT-0690410', 'FT-0694200', 'M0569', 'NS00041200', 'W-108786', 'Q27269640', 'F2191-0121']</t>
  </si>
  <si>
    <t>Compound(7755)</t>
  </si>
  <si>
    <t>C6H12O2</t>
  </si>
  <si>
    <t>3-methylhexane</t>
  </si>
  <si>
    <t>['3-METHYLHEXANE', '589-34-4', 'Hexane, 3-methyl-', '2-Ethylpentane', 'Alkanes, C7-8-iso-', '70024-92-9', '3-methyl hexane', '3-Methyl-hexane', 'NSC73937', 'EINECS 209-643-3', 'NSC 73937', 'FR-2319', '3-Methylhexane, 99%', 'DSSTox_CID_8974', 'ACMC-209m8a', '(S)-(+)-3-methylhexane', 'DSSTox_RID_80156', 'DSSTox_GSID_44334', 'CHEMBL31377', 'Hexane, 3-methyl-, (S)-', 'DTXSID3044334', 'CTK1G9910', 'CHEBI:143848', 'Tox21_202850', '7810AF', 'ANW-33080', 'NSC-73937', 'AKOS015841881', 'FCH1117851', 'NCGC00260396-01', 'CAS-589-34-4', 'CC-15627', '3-Methylhexane, purum, &gt;=98.0% (GC)', 'DB-053287', 'FT-0616164', 'M0340', 'NS00020434', 'C-00232', 'Q223103']</t>
  </si>
  <si>
    <t>Compound(11507)</t>
  </si>
  <si>
    <t>3-methylheptane</t>
  </si>
  <si>
    <t>['3-METHYLHEPTANE', '589-81-1', 'Heptane, 3-methyl-', '2-Ethylhexane', '3-methyl-heptane', '3-methyl-heptan', 'Heptane, 3-methyl-, (R)-', 'NSC24845', 'EINECS 209-660-6', 'NSC 24845', 'ACMC-20mdw0', '3-Methyl-(S)-Heptane', '3-Methylheptane, 98%', 'ACMC-1AXQ2', 'Heptane, 3-methyl-, (S)-', 'CHEBI:89985', 'CTK1H2016', 'DTXSID90862250', '111002-96-1', 'KS-000012ZX', 'ZX-AT008539', '6251AE', 'ANW-33105', 'LMFA11000606', 'MFCD00027244', 'NSC-24845', 'OR9114', 'SBB056442', 'AKOS015841882', 'FCH1117125', 'FR-2491', 'CC-15626', 'DB-053299', 'FT-0616163', 'M0334', 'NS00042590', 'C-00584', 'Q2816006']</t>
  </si>
  <si>
    <t>Compound(11519)</t>
  </si>
  <si>
    <t>3-methyl acetophenone</t>
  </si>
  <si>
    <t>1-(3-methylphenyl)ethanone</t>
  </si>
  <si>
    <t>["3'-Methylacetophenone", '585-74-0', '3-METHYLACETOPHENONE', '1-(m-Tolyl)ethanone', 'm-Methylacetophenone', 'Ethanone, 1-(3-methylphenyl)-', '1-(3-Methylphenyl)ethanone', 'Acetophenone, m-methyl-', '1-(3-methylphenyl)ethan-1-one', '3-Acetyltoluene', "Acetophenone, 3'-methyl-", '1-m-tolylethanone', 'UNII-V3KL17Y68N', '1-(3-methylphenyl)-Ethanone', '1-m-Tolyl-ethanone', 'META METHYL ACETOPHENONE', 'V3KL17Y68N', '1-METHYL-3-ACETYLBENXENE', 'MFCD00008742', '1-acetyl-3-methylbenzene', '1-[3-methylphenyl]ethanone', "3'-Methylacetophenone, 97%", 'Methyl m-tolyl ketone', 'EINECS 209-561-8', 'NSC 46632', 'm-methyl acetophenone', 'zlchem 864', 'PubChem4279', 'M-ACETYLTOLUENE', "3'-methyl acetophenone", 'Ethanone, 1-(3-methylphenyl)- (9CI)', "3\\'-Methylacetophenone", 'ACMC-1ANMJ', 'SCHEMBL76212', 'KSC608K4L', "3'-Methylacetophenone, 98%", '1-(3-Methylphenyl)ethanone #', 'Ethanone,1-(3-methylphenyl)-', 'DTXSID5074717', 'CTK5A8545', '1-METHYL-3-ACETYLBENZENE', 'ZLD0325', 'OTAVA-BB 1287350', 'LABOTEST-BB LTBB005584', 'ST018', "3'-METHYLACETOPHENONE(M-)", "Acetophenone, 3'-methyl- (8CI)", "585-74-0 3'-methylacetophenone", 'ACT05733', 'NSC46632', 'ZINC1678782', 'ANW-32983', 'NSC-46632', 'SBB061772', 'STL183829', 'AKOS009031466', 'AC-3644', 'AS04042', 'CM11223', 'CS-W013375', 'MCULE-9520106797', 'NE10605', 'VZ27095', '1-Methyl-3-acetylbenzene;3-Acetyltoluene', 'AK143347', 'L547', 'SC-17824', 'SY049547', 'AB0014766', 'DB-053228', 'AM20040783', 'FT-0616117', 'M0191', 'NS00033963', 'ST51047757', 'EN300-20807', '3 inverted exclamation mark -Methylacetophenone', 'A19719', 'W-105383', 'Q27291491', 'F0001-1527', 'Z234895729']</t>
  </si>
  <si>
    <t>Compound(11455)</t>
  </si>
  <si>
    <t>3-methylcholanthrene</t>
  </si>
  <si>
    <t>3-methyl-1,2-dihydrobenzo[j]aceanthrylene</t>
  </si>
  <si>
    <t>['3-methylcholanthrene', '56-49-5', 'Methylcholanthrene', '20-Methylcholanthrene', '3-MC', '3-MCA', '3-methyl-1,2-dihydrocyclopenta[ij]tetraphene', '20-MC', '3-Methylchloanthrene', '3-Methoxycholanthrene', '3-Methyl-1,2-dihydrobenzo[j]aceanthrylene', 'Cholanthrene, 3-methyl-', 'RCRA waste number U157', '1,2-Dihydro-3-methylbenz(j)aceanthrylene', 'Benz[j]aceanthrylene, 1,2-dihydro-3-methyl-', '3-MeCA', '3-Methylbenz(j)aceanthrene', 'MC', '3-MCH', 'NSC 21970', '3-Methylcholanthren [German]', 'CCRIS 386', 'UNII-214U33M1RL', 'CHEBI:34342', 'HSDB 2942', '3-Methylcyclopentabenzophenanthrene', 'Benz(j)aceanthrylene, 1,2-dihydro-3-methyl-', 'EINECS 200-276-4', 'RCRA waste no. U157', 'BRN 1913890', '3-Methyl-I,J-cyclopentabenz(a)anthracene', '1,2-dihydro-3-methylbenz[j]aceanthrylene', 'AI3-50462', '214U33M1RL', '3-Methylcholanthren', 'Spectrum_001938', 'Methylcholanthrene;3-MC', 'DSSTox_CID_862', 'Spectrum2_001094', 'Spectrum3_001202', 'Spectrum4_000915', 'Spectrum5_001844', 'Spectrum5_002063', 'Epitope ID:119713', '3-Methylcholanthrene (MC)', '3-Methylcholanthrene, 98%', '3-Methylcholanthrene-(20)', 'DSSTox_RID_75832', 'BIDD:PXR0170', 'DSSTox_GSID_20862', 'BSPBio_002584', 'KBioGR_001410', 'KBioSS_002488', '4-05-00-02648 (Beilstein Handbook Reference)', 'BIDD:ER0539', 'CHEMBL40583', 'Cholanthrene, 20(3)-methyl', 'SPBio_001168', 'DTXSID0020862', 'KBio2_002481', 'KBio2_005049', 'KBio2_007617', 'KBio3_002084', 'US9144538, Methylcholanthrene', 'BDBM181120', 'BCP26039', 'NSC21970', 'ZINC1589655', 'Tox21_202592', 'US9138393, Methyl- cholanthrene', '6597AF', 'CCG-39765', 'LS-219', 'NSC-21970', 'AKOS015842468', 'CAS-56-49-5', '3-Methylcholanthrene, analytical standard', 'NCGC00163126-01', 'NCGC00163126-02', 'NCGC00163126-03', 'NCGC00260140-01', 'Benz[j]aceanthrylene,2-dihydro-3-methyl-', 'NCI60_001826', 'FT-0616145', 'FT-0616146', 'NS00003136', 'ST45022244', '3-Methyl-1,2-dihydrobenzo[j]aceanthrylene #', 'C14470', 'WLN: L E6 D6656 1A T&amp;&amp;&amp;T&amp;J R1', '3-Methylcholanthrene 10 microg/mL in Cyclohexane', 'Q223099', 'BRD-K61463582-001-02-3', '3-Methylcholanthrene solution, 100 mug/mL in acetonitrile, analytical standard']</t>
  </si>
  <si>
    <t>Compound(1674)</t>
  </si>
  <si>
    <t>C21H16</t>
  </si>
  <si>
    <t>['3-METHYLPYRIDINE', '3-Picoline', '108-99-6', 'beta-Picoline', 'Pyridine, 3-methyl-', 'm-Picoline', 'm-Methylpyridine', 'B-Picoline', 'beta-Methylpyridine', '3-Methyl pyridine', '.beta.-Methylpyridine', 'NSC 18251', '.beta.-Picoline', 'UNII-B083J4KF7F', '3-Mepy', 'CCRIS 1722', 'HSDB 4254', 'EINECS 203-636-9', 'AI3-24110', '3-Methylpyridin', 'B083J4KF7F', 'CHEBI:39922', '3-Picoline, 99%', 'DSSTox_CID_1897', 'DSSTox_RID_76391', 'DSSTox_GSID_21897', 'meta-Methylpyridine', 'CAS-108-99-6', '3-methypyridine', '5-methylpyridine', '3-methyl pyridin', '3-methyl-pyridine', 'MFCD00006402', '3-Methylpyridine, 99%', 'BETA METHYL PYRIDINE', 'EC 203-636-9', '3-Picoline;3-methylpyridine', 'NCIOpen2_004641', 'KSC176I9F', 'MLS001065607', 'CHEMBL15722', 'ACMC-20991u', '3-Picoline, analytical standard', '3-Methylpyridine, &gt;=99.5%', 'DTXSID9021897', 'CTK0H6492', 'KS-00000WRJ', 'HMS3039L05', 'BCP22897', 'BCP26368', 'NSC18251', 'ZINC8294958', 'Tox21_201966', 'Tox21_303001', 'ANW-16000', 'LS-478', 'NSC-18251', 'STL282747', 'AKOS000119862', 'ZINC328577986', 'AM81278', 'DB01996', 'MCULE-7651055603', 'NCGC00091447-01', 'NCGC00091447-02', 'NCGC00256559-01', 'NCGC00259515-01', 'SC-15292', 'SMR000568465', 'm-Picoline [UN2313] [Flammable liquid]', 'DB-016018', 'm-Picoline [UN2313]  [Flammable liquid]', 'FT-0616178', 'NS00002252', 'P0416', '177484-EP2277864A1', '177484-EP2280002A1', '177485-EP2277878A1', '177485-EP2280002A1', '177486-EP2277864A1', '177486-EP2280002A1', 'Q2697560', 'W-108710', 'F0001-0187', '5HS']</t>
  </si>
  <si>
    <t>Compound(7970)</t>
  </si>
  <si>
    <t>3-methylpyrazole</t>
  </si>
  <si>
    <t>5-methyl-1H-pyrazole</t>
  </si>
  <si>
    <t>['3-Methylpyrazole', '5-methyl-1H-pyrazole', '1453-58-3', '3-Methyl-1H-pyrazole', '88054-14-2', '1H-Pyrazole, 3-methyl-', '1H-Pyrazole,5-methyl-', '5-Methylpyrazole', '1H-Pyrazole, 5-methyl-', '3(5)-Methylpyrazole', 'Pyrazole, 5-methyl-', 'PYRAZOLE, 3-METHYL-', 'UNII-W7KU1RRO6U', '3-methyl-pyrazole', 'EINECS 215-925-7', 'MFCD00005240', 'W7KU1RRO6U', 'BRN 0001454', '3{5}-methylpyrazole', '3-Methylpyrazole, 99%', '3- Methylpyrazole', '3-Methyl pyrazole', '3-methyl-pyrazole;', 'zlchem 293', '3MePz;', 'PubChem10442', 'PubChem13253', '3(5)-methylpyrazole;', '3-methyl-1-H-pyrazole', '3-methyl-1H-pyrazole;', '3-Methyl-1,2-diazole', '3-(5)-methylpyrazole;', '3-Methylpyrazole, 97%', 'ACMC-1BQB8', '3-Me-Pz;', 'EC 215-925-7', '3-methyl-1(2)H-pyrazole', '5-23-05-00004 (Beilstein Handbook Reference)', 'KSC490O8J', 'Pyrazole, 3(or 5)-methyl-', 'CHEMBL3275944', 'DTXSID3073260', 'CTK3J0784', 'CTK6C3062', 'KS-00000DQP', 'ZLC0112', '1453-58-3 3-Methylpyrazole', '5-Methyl-1H-pyrazole, AldrichCPR', 'ACT05681', 'ALBB-006081', 'BCP23867', 'CS-B0947', 'STR06996', 'ZINC4701702', 'ANW-20930', 'BBL022413', 'EBD216626', 'MFCD08685900', 's5146', 'SBB004404', 'STK263690', 'WT2131', 'AKOS000265788', 'AKOS000311487', 'AC-2646', 'ACN-000361', 'AM62623', 'CCG-266014', 'CM14373', 'LS20095', 'MCULE-3441401586', 'VP20086', 'AK-47298', 'AK164481', 'BR-47298', 'HY-66054', 'P809', 'SC-24946', 'SC-51462', 'AB0017225', 'DB-028555', 'LS-128523', 'AM20120265', 'BB 0253954', 'FT-0616176', 'FT-0679185', 'M0564', 'NS00001409', 'ST45134029', '3-Methylpyrazole, analytical reference material', 'M-3697', 'Y-9151', '77223-EP2272510A1', '77223-EP2298753A1', '77223-EP2308849A1', '77223-EP2308850A1', '453M583', 'J-512822', 'Q-101885', 'Q27292441', 'F9995-1460', 'Z1251171278']</t>
  </si>
  <si>
    <t>Compound(15073)</t>
  </si>
  <si>
    <t>C4H6N2</t>
  </si>
  <si>
    <t>3-ethyl-4-methylpyrrole-2,5-dione</t>
  </si>
  <si>
    <t>['20189-42-8', '3-ethyl-4-methylpyrrole-2,5-dione', '3-ETHYL-4-METHYL-1H-PYRROLE-2,5-DIONE', '1H-Pyrrole-2,5-dione, 3-ethyl-4-methyl-', 'Ethylmethylmaleimide', 'Methylethylmaleimide', 'UNII-S5G691PF96', '2-Ethyl-3-methylmaleimide', 'S5G691PF96', 'Maleimide, 2-ethyl-3-methyl-', '3-ETHYL-4-METHYL-PYRROLE-2,5-DIONE', '2-Methyl-3-ethylmaleimide', 'SCHEMBL6239729', 'CTK4E3508', 'DTXSID30174021', 'BCP06211', 'ZINC5509277', '0354AB', 'AKOS015951008', 'FCH1310574', 'ACM20189428', 'pyrrool-2,5-dion, 3-ethyl-4-methyl-', '3-Ethyl-4-methyl-2,5-pyrrolidine-dione', 'AK-67664', '1H-Pyrrole-2,5-dione,3-ethyl-4-methyl-', 'NS00010668', 'Q27288659']</t>
  </si>
  <si>
    <t>Compound(29995)</t>
  </si>
  <si>
    <t>C7H9NO2</t>
  </si>
  <si>
    <t>3-ethylphenol</t>
  </si>
  <si>
    <t>['3-ETHYLPHENOL', '620-17-7', 'm-Ethylphenol', 'Phenol, 3-ethyl-', 'meta-Ethylphenol', 'Phenol, m-ethyl-', '1-Ethyl-3-hydroxybenzene', '1-Hydroxy-3-ethylbenzene', '3-Ethyl-phenol', 'UNII-0G9ZK222JX', 'Benzene, 1-ethyl-3-hydroxy-', 'HSDB 5720', 'NSC 8873', 'EINECS 210-627-3', 'AI3-19938', '0G9ZK222JX', 'CHEBI:34332', 'DSSTox_CID_2480', 'DSSTox_RID_76600', 'DSSTox_GSID_22480', 'CAS-620-17-7', 'M-ElhylPhenol', 'm-Ethyl phenol', '3-Ethylphenol.', 'PubChem10772', 'ACMC-209myx', '3-Ethylphenol, 99%', '3-ETHYL PHENOL', 'C14386', 'Phenol, m-ethyl- (8CI)', 'SCHEMBL51757', 'KSC238O1R', 'BIDD:ER0180', 'CHEMBL58052', 'DTXSID0022480', 'NSC8873', 'ALBB-026446', 'NSC-8873', 'ZINC1648289', 'Tox21_201623', 'Tox21_302992', 'ANW-34039', 'MFCD00002311', 'STL481945', '3-Ethylphenol, &gt;=95.0% (GC)', '3-Ethylphenol, technical grade, 80%', 'AKOS000120810', 'AS04468', 'MCULE-6091136568', 'KS-000010X9', 'NCGC00249086-01', 'NCGC00256388-01', 'NCGC00259172-01', '3-Ethylphenol 100 microg/mL in Methanol', 'SC-27057', 'DB-030920', 'LS-179861', 'A8582', 'E0161', 'FT-0628787', 'NS00010664', '3-Ethylphenol, PESTANAL(R), analytical standard', 'Q-200377', 'Q4634135', 'UNII-C27Y543KVA component HMNKTRSOROOSPP-UHFFFAOYSA-N', '3-ETHYLPHENOL;Phenol, m-ethyl-;3-ethylphenol;Phenol, 3-ethyl-']</t>
  </si>
  <si>
    <t>Compound(12101)</t>
  </si>
  <si>
    <t>3-ethyl toluene</t>
  </si>
  <si>
    <t>1-ethyl-3-methylbenzene</t>
  </si>
  <si>
    <t>['3-Ethyltoluene', '1-Ethyl-3-methylbenzene', '620-14-4', 'M-ETHYLTOLUENE', 'Benzene, 1-ethyl-3-methyl-', '1-Methyl-3-ethylbenzene', 'm-Ethylmethylbenzene', 'm-Methylethylbenzene', 'Toluene, m-ethyl-', '3-Methylethylbenzene', 'NSC 74176', '1-Ethyl-3-methyl-benzene', 'UNII-737PTD7O7E', '3-ethyl-1-methylbenzene', 'EINECS 210-626-8', 'CHEMBL31274', '737PTD7O7E', 'CHEBI:77512', 'm-Ethyltoluene, 98%', 'm-Ethyl_toluene', 'meta-Ethyltoluene', '3-ethyl toluene', 'Ethyltoluol, 3-', '3-ethylmethylbenzene', '1,3-methylethylbenzene', 'ACMC-209myv', '3-Ethyltoluene, 99%', 'DSSTox_CID_7876', 'DSSTox_RID_83511', 'DSSTox_GSID_50386', 'Toluene, m-ethyl- (8CI)', 'KSC489I0L', 'Benzene, 3-ethyl-1-methyl-', 'BIDD:ER0585', 'DTXSID6050386', 'Ethyltoluol, 3-;3-ethyltoluene', 'CTK3I9405', 'ACT07964', 'KS-00000VD0', 'NSC74176', 'ZINC1699560', 'Tox21_202857', 'ANW-34037', 'BBL103656', 'BDBM50167946', 'MFCD00009259', 'NSC-74176', 'SBB061444', 'STL557466', 'AKOS009158576', 'Benzene, 1-ethyl-3-methyl- (9CI)', 'MCULE-5855615432', 'NE30723', '1-Ethyl-3-methylbenzene(3-ethyltoluene)', 'NCGC00260403-01', 'CAS-620-14-4', 'LS-30343', 'QC-10764', 'SC-90803', '3-Ethyltoluene 100 microg/mL in Methanol', 'AB0043746', 'DB-054039', 'E0185', 'FT-0615669', 'NS00002303', 'ST51047457', 'Z1676', 'C14522', '15403-EP2305683A1', '15403-EP2311839A1', '15403-EP2314589A1', '15403-EP2316837A1', 'Q27105073']</t>
  </si>
  <si>
    <t>Compound(12100)</t>
  </si>
  <si>
    <t>pentan-3-ol</t>
  </si>
  <si>
    <t>['3-PENTANOL', 'Pentan-3-ol', '584-02-1', 'Diethyl carbinol', 'sec-Pentanol', 'Pentanol-3', '3-Pentyl alcohol', 'NSC 8654', 'UNII-X4ELC182I5', '1-Ethyl-1-propanol', '3-Pentanol, 98%', 'EINECS 209-526-7', 'BRN 1730964', '(C2H5)2CHOH', 'AI3-24335', 'X4ELC182I5', 'CHEBI:77519', 'Isoamyl alcohol (primary/secondary)', '3-Hydroxypentane', 'Diethylcarbinol', 'ACMC-209m4b', 'pentan-3-ol;Pentan-3-ol', '4-01-00-01662 (Beilstein Handbook Reference)', 'KSC271C0N', 'CHEMBL47100', 'QSPL 143', 'WLN: QY2&amp;2', 'DTXSID8060400', 'CTK1H1106', 'NSC8654', 'KS-00000V9O', 'NSC-8654', 'ZINC1648159', 'ANW-32937', 'MFCD00004574', 'AKOS000248912', 'MCULE-5553645045', 'NE10334', 'UN 2706', '3-Pentanol, purum, &gt;=98.0% (GC)', 'SC-62307', 'LS-101868', 'CS-0128838', 'FT-0616298', 'NS00022425', 'P0057', '103702-EP2272817A1', '103702-EP2301911A1', '103702-EP2380568A1', '143971-EP2287165A2', '143971-EP2287166A2', '143971-EP2292620A2', 'Q590622']</t>
  </si>
  <si>
    <t>Compound(11428)</t>
  </si>
  <si>
    <t>3-chloro-2-methyl-1-propene</t>
  </si>
  <si>
    <t>3-chloro-2-methylprop-1-ene</t>
  </si>
  <si>
    <t>['3-Chloro-2-methylpropene', '563-47-3', 'Methallyl chloride', '3-Chloro-2-methylprop-1-ene', '1-Propene, 3-chloro-2-methyl-', '2-Methylallyl chloride', '3-CHLORO-2-METHYL-1-PROPENE', 'Isobutenyl chloride', '2-Methyl-2-propenyl chloride', 'Propene, 3-chloro-2-methyl-', 'Cloruro di metallile', '2-Methallyl chloride', '2-Methyl-allylchlorid', 'Chlorure de methallyle', 'beta-Methallyl chloride', '1-Chloro-2-methyl-2-propene', 'beta-Methylallyl chloride', '3-Chloroisobutylene', 'Methylallyl chloride', 'NCI-C54820', 'gamma-Chloroisobutylene', '3-Chlor-2-methyl-prop-1-en', '3-Cloro-2-metil-prop-1-ene', '3-chloroisobutene', 'NSC 7303', 'UNII-7A9X1C3I3O', 'CCRIS 869', 'Chlorue de methallyle [French]', 'Cloruro di metallile [Italian]', '2-Methyl-allylchlorid [German]', 'Chlorure de methallyle [French]', 'HSDB 1149', '.gamma.-Chloroisobutylene', '3-Chloro-2-methylpropene (IUPAC)', 'EINECS 209-251-2', 'UN2554', '.beta.-Methallyl chloride', '3-Chloro-2-methyl-propene', '.beta.-Methylallyl chloride', '3-Chlor-2-methyl-prop-1-en [German]', 'BRN 0878160', '3-Cloro-2-metil-prop-1-ene [Italian]', 'AI3-14901', '7A9X1C3I3O', 'CHEBI:82419', 'MFCD00000953', 'DSSTox_CID_279', 'DSSTox_RID_75482', 'DSSTox_GSID_20279', '3-Chloro-2-methylpropene, technical grade (containing 5% dimethylvinyl  chloride)', '3-Chloro-2-methylpropene, 90%, tech.', 'CAS-563-47-3', 'Chlorue de methallyle', '2-methyl-3-chloropropene', '2-Methyl-3-chloro-1-propene', 'methallylchloride', '3-chloro-2-methyl-prop-1-ene', 'Methyl-allyl-chloride', 'PubChem20429', 'ACMC-209lrx', 'beta-methyl-allyl chloride', 'beta-methylallyl chlorid e', "(2'-methylallyl) chloride", '3-chloro-2-methyl propene', '3-Chloro-2-methylpropene-1', '3-chloro-2-methyl-l-propene', 'KSC269O5J', '3-Chloro-2-methyl propene-1', 'CHEMBL157368', 'WLN: G1Y1&amp;U1', '3-chloro-2-methyl -1-propene', 'DTXSID1020279', 'CTK1G9754', 'KS-00000WHJ', 'NSC7303', '3-chloranyl-2-methyl-prop-1-ene', 'LS-55', 'NSC-7303', 'STR02074', 'ZINC1683469', 'Tox21_201640', 'Tox21_303609', 'ANW-32491', 'AKOS000120667', 'MCULE-5586406339', 'UN 2554', 'NCGC00091790-01', 'NCGC00091790-02', 'NCGC00257307-01', 'NCGC00259189-01', 'SC-26970', 'DB-002504', 'FT-0615349', 'NS00022385', 'C19363', '42320-EP2311808A1', '42320-EP2311829A1', '62132-EP2269990A1', '62132-EP2281817A1', '62132-EP2292592A1', '62132-EP2308828A2', 'A831010', 'J-512203', 'Methyl allyl chloride [UN2554] [Flammable liquid]', '3-Chloro-2-methyl-1-propene, technical grade, 90%', '3-chloro-2-methylpropene;Propene, 3-chloro-2-methyl-', 'Methyl allyl chloride [UN2554]  [Flammable liquid]', 'Q15632849', 'F0001-1476', '3-CHLORO-2-METHYLPROPENE, TECHNICAL GRADE (CONTAINING 5% DIMETHYLVINYL CHLORIDE)', '3-Chloro-2-methyl-1-propene, contains ~250 ppm Pentaerythritol tetrakis(3,5-di-tert-butyl-4-hydroxyhydrocinnamate) as stabilizer, 98%']</t>
  </si>
  <si>
    <t>Compound(11241)</t>
  </si>
  <si>
    <t>C4H7Cl</t>
  </si>
  <si>
    <t>3-chloro-2-methylaniline</t>
  </si>
  <si>
    <t>['3-Chloro-2-methylaniline', '87-60-5', '3-Chloro-o-toluidine', '2-Amino-6-chlorotoluene', 'Benzenamine, 3-chloro-2-methyl-', '3-Chloro-2-toluidine', 'Scarlet TR Base', 'Fast Scarlet TR Base', '6-Chloro-2-aminotoluene', 'o-Toluidine, 3-chloro-', '3-CHLORO-2-METHYLPHENYLAMINE', 'o-Methyl-m-chloroaniline', 'Azoic Diazo Component 46', '3-Chlor-2-toluidin', '2-Methyl-3-chloroaniline', '1-Amino-3-chloro-2-methylbenzene', '6-Chloro-ortho-toluidine', '3-chloro-2-methyl aniline', 'NSC 6184', 'Toluene, 2-amino-6-chloro-', '3-Chlor-2-toluidin [Czech]', 'UNII-QG8LP81715', '3-Chloro-2-toluidin [Czech]', 'HSDB 5252', 'EINECS 201-756-6', 'BRN 0471697', '3-chloro-2-methylbenzenamine', 'QG8LP81715', '3-Chloro-2-toluidin', '3-chloro-2-methyl-aniline', '3-Chlor-ortho-toluidin', 'ACMC-209qoo', '6-amino-2-chlorotoluene', 'DSSTox_CID_4815', '2-methyl-3-chloro-aniline', 'EC 201-756-6', 'WLN: ZR CG B1', 'DSSTox_RID_77541', 'DSSTox_GSID_24815', 'C.I.37080(base)', '4-12-00-01800 (Beilstein Handbook Reference)', 'KSC490G9P', 'MLS001056302', 'SCHEMBL171322', '3-Chloro-2-methyl-phenylamine', 'CHEMBL1570069', 'DTXSID3024815', 'CTK3J0397', 'NSC6184', '3-Chloro-2-methylaniline, 99%', '1-chloro-2-methyl-3-aminobenzene', '3-amino-1-chloro-2-methylbenzene', '6-Chloro-2-amino-1-methylbenzene', 'ZINC157621', 'CS-D1106', 'NSC-6184', 'Tox21_200370', 'ANW-38854', 'MFCD00007766', 'SBB007550', 'STL168888', 'AKOS000118880', 'AS05331', 'CM11377', 'LS-1867', 'LS11413', 'MCULE-5775641516', 'VZ34599', 'CAS-87-60-5', 'NCGC00091335-01', 'NCGC00091335-02', 'NCGC00091335-03', 'NCGC00257924-01', 'AC-11451', 'AK-47264', 'AS-44174', 'BR-47264', 'K564', 'SC-23070', 'SMR001216563', 'AM20060742', 'FT-0615498', 'NS00010644', 'ST45255309', 'M-5941', 'W-104012', '3-Chloro-2-methylaniline, technical, &gt;=98.0% (GC)', 'Q27287248', 'F2190-0472']</t>
  </si>
  <si>
    <t>Compound(6894)</t>
  </si>
  <si>
    <t>3-chloro-2-nitroaniline</t>
  </si>
  <si>
    <t>['3-Chloro-2-nitroaniline', '59483-54-4', '2-Nitro-3-chloroaniline', '3-chloro-2-nitro-phenylamine', '3-chloro-2-nitrophenylamine', '3-chloro-2-nitro-aniline', 'EINECS 261-782-9', 'salzsaure Nitroanilin', 'PubChem3117', 'ACMC-209mdr', '3-Chloro 2-nitroaniline', '3-Chloro-2-nitro aniline', 'KSC494C1B', 'SCHEMBL203912', 'Benzenamine, 3-chloro-2-nitro-', 'CTK3J4110', 'KS-00000KKW', 'TIMTEC-BB SBB008617', 'DTXSID80208183', 'WT233', 'ZINC4253196', 'ANW-33277', 'SBB008617', 'AKOS005259837', 'AC-3731', 'AS04123', 'CM11380', 'CS-W004730', 'LS10372', 'MCULE-1366951001', 'PS-5727', 'VZ26586', '59483-54-4 3-chloro-2-nitroaniline', 'AK-26161', 'BR-26161', 'SC-47301', 'AB0008744', 'DB-006394', 'AM20040804', 'FT-0640604', 'NS00034179', 'ST50828014', 'S-1425', '483C544', 'J-512205']</t>
  </si>
  <si>
    <t>Compound(101068)</t>
  </si>
  <si>
    <t>3-chloro-4-methoxyaniline</t>
  </si>
  <si>
    <t>['3-CHLORO-4-METHOXYANILINE', '5345-54-0', '3-Chloro-p-anisidine', 'Benzenamine, 3-chloro-4-methoxy-', '3-Chloroanisidine', '2-Chloro-4-aminoanisole', 'p-Anisidine, 3-chloro-', 'OCPA', 'Orthochloroparanisidine', '3-Chloro-4-methoxybenzenamine', '3-Chloro-para-anisidine (NH2=1)', 'NSC 1706', '3-Chloro-4-methoxy-phenylamine', 'EINECS 226-298-4', '3-Chloro-4-methoyaniline', 'BRN 0879162', '3-chloro-4-methoxyphenylamine', '3-Chloro-para-anisidine [NH2=1]', '3-chloro-4-methoxy-aniline', 'PubChem17270', 'ACMC-1AQZK', '3-chloro4-methoxyaniline', '3-chloro 4-methoxyaniline', '3-chlor-4-methoxy-aniline', '3-chloro-4-methoxy aniline', '4-methoxy-3-chloro-aniline', 'SCHEMBL77110', '3-13-00-01180 (Beilstein Handbook Reference)', 'KSC497O4N', '3-chloro-4-(methyloxy)aniline', 'CTK3J7746', 'XQVCBOLNTSUFGD-UHFFFAOYSA-', 'DTXSID00201616', 'NSC1706', '3-Chloro-4-methoxyaniline, 97%', 'ZINC162405', 'ACT04684', 'EBD38307', 'KS-00000X5K', 'NSC-1706', 'STR02109', 'ANW-31757', 'BBL019884', 'CL8418', 'SBB004001', 'STL169149', 'AKOS000101739', 'AC-5994', 'MCULE-4952751820', 'PS-4454', 'VZ35037', 'BR-59884', 'LS-20131', 'SC-15528', 'Benzenamine, 3-chloro-4-methoxy- (9CI)', 'AB0011067', 'DB-011166', 'AM20060381', 'BB 0254826', 'FT-0612054', 'NS00032764', 'ST45255302', 'B-8193', '3-Chloro-4-methoxyaniline;3-Chloro-p-anisidine', 'F2190-0507']</t>
  </si>
  <si>
    <t>Compound(21441)</t>
  </si>
  <si>
    <t>C7H8ClNO</t>
  </si>
  <si>
    <t>3-chloro-4-methylaniline</t>
  </si>
  <si>
    <t>['3-Chloro-4-methylaniline', '95-74-9', '3-CHLORO-P-TOLUIDINE', '2-Chloro-4-aminotoluene', '4-Amino-2-chlorotoluene', 'Benzenamine, 3-chloro-4-methyl-', '3-Chloro-4-methylbenzenamine', '3-Chloro-4-methylphenylamine', '1-Amino-3-chloro-4-methylbenzene', '4-Methyl-3-chloroaniline', 'p-Toluidine, 3-chloro-', 'NCI-C02040', 'DRC 1339', '3-chloro-4-methyl aniline', 'DRC 1347', 'NSC 96620', 'CCRIS 152', 'UNII-32Y306W7BQ', '3-chloro-4-methyl-phenylamine', '2-Chloro-4-toluidine', 'HSDB 2060', '3-Chloro-para-Toluidine', 'EINECS 202-446-3', 'ortho chloro para toluidine', 'BRN 0636511', 'CHEBI:37824', '32Y306W7BQ', 'DKC 1347', 'DSSTox_CID_286', 'DSSTox_RID_75488', 'DSSTox_GSID_20286', 'Gull Toxicant', 'CAS-95-74-9', 'Gull To xicant', 'o-chloro-p-toluidine', '3-chloro-4-toluidine', 'PubChem19746', 'Toluidine, 3-chloro-', '3-chloro 4-methylaniline', '2-chloro-4-amino-toluene', 'EC 202-446-3', 'WLN: ZR CG D1', '3-CPT', '3-chloranyl-4-methyl-aniline', '4-12-00-01985 (Beilstein Handbook Reference)', 'KSC486M7B', 'MLS002303000', 'SCHEMBL349538', 'ACMC-209s50', '3-Chloro-4-Methyl-Benzenamine', 'CHEMBL1374337', 'DTXSID0020286', '2-Chloro-4-aminotoluene, 98%', 'CTK3I6670', 'KS-00000WVR', 'TIMTEC-BB SBB004152', 'HMS3055G10', 'LABOTEST-BB LTBB004443', 'ZINC388037', 'CS-M1324', 'NSC96620', 'STR02553', 'AKOS BBS-00003549', 'Tox21_201871', 'Tox21_302755', 'ANW-40738', 'BBL011595', 'MFCD00007773', 'NSC-96620', 'SBB004152', 'STK943762', 'AKOS000119158', 'AS03227', 'LS-1985', 'MCULE-7253888656', 'NCGC00091083-01', 'NCGC00091083-02', 'NCGC00256599-01', 'NCGC00259420-01', '827571-80-2', 'AK-54907', 'K729', 'SC-57992', 'SMR001252231', 'TS-01846', 'DB-024297', 'FT-0615527', 'NS00005824', 'ST45255297', 'X-4407', 'A845453', 'Q7602061', 'W-100160', 'Z57127543', 'F2190-0474', '3-Chloro-4-methylaniline, PESTANAL(R), analytical standard', '3-Chloro-p-toluidine hydrochloride;3-Chloro-4-methylaniline;3-chloro-p-toluidine;Aniline, 3-chloro-4-methyl-']</t>
  </si>
  <si>
    <t>Compound(7255)</t>
  </si>
  <si>
    <t>(3-chloro-4-methylphenyl) urea</t>
  </si>
  <si>
    <t>(3-chloro-4-methylphenyl)urea</t>
  </si>
  <si>
    <t>['1-(3-chloro-4-methylphenyl)urea', '13142-64-8', 'N-(3-chloro-4-methylphenyl)urea', '(3-CHLORO-4-METHYLPHENYL)UREA', 'NSC211456', '3-chloro-4-methylphenylurea', 'SCHEMBL3183964', 'CTK4B7275', 'KS-00003HOJ', 'DTXSID10274795', 'ZINC160905', 'BBL004952', 'CGA-16340', 'HTS000730', 'STL124160', 'AKOS000158361', 'BS-4005', 'MCULE-9836578343', 'NSC-211456', '590393-14-9', 'H2435']</t>
  </si>
  <si>
    <t>Compound(25741)</t>
  </si>
  <si>
    <t>C8H9ClN2O</t>
  </si>
  <si>
    <t>3-chloro-4-nitrotoluene</t>
  </si>
  <si>
    <t>2-chloro-4-methyl-1-nitrobenzene</t>
  </si>
  <si>
    <t>['3-Chloro-4-nitrotoluene', '38939-88-7', '2-chloro-4-methyl-1-nitrobenzene', 'Benzene, 2-chloro-4-methyl-1-nitro-', '2-Chloro-4-methyl-1-nitro-benzene', 'EINECS 254-199-6', 'PubChem4534', '3-chlor-4-nitrotoluol', 'ACMC-1AFH8', 'KSC493S6J', 'SCHEMBL359179', '3-Chloro-4-nitrotoluene, 97%', '3-Chloro-4-nitrotoluene, 98%', 'CTK3J3964', 'DTXSID10192228', 'KS-00000F6F', 'ZINC2583415', 'ANW-28987', 'SBB064201', 'AKOS005145647', 'AS02916', 'CS-W002959', 'VZ26657', 'AK-53744', 'AS-14536', 'BP-12609', 'BR-53744', 'L516', 'SC-45852', 'AB0014748', 'DB-013228', 'AM20050164', 'FT-0602415', 'NS00010157', '3-Chlor-4-nitrotoluol;3-chloro-4-nitrotoluene', 'B-3235', '939C887', 'J-512251']</t>
  </si>
  <si>
    <t>Compound(123478)</t>
  </si>
  <si>
    <t>3-chloroaniline</t>
  </si>
  <si>
    <t>['3-CHLOROANILINE', 'm-Chloroaniline', '108-42-9', '3-Chlorobenzenamine', 'Benzenamine, 3-chloro-', 'm-Chloraniline', '3-Chlorophenylamine', 'Orange GC Base', 'm-Chlorophenylamine', 'm-Aminochlorobenzene', 'm-Chloroaminobenzene', 'Aniline, m-chloro-', '3-Cloroaniline', 'Fast Orange GC Base', '3-Chlooranilinen', '1-Amino-3-chlorobenzene', 'meta-Aminochlorobenzene', '3-chloroanaline', 'UNII-6GKR52SKIY', '3-Chlooranilinen [Dutch]', '3-Cloroaniline [Italian]', 'NSC 17581', '3-Chloro-phenylamine', 'CCRIS 3402', 'HSDB 2046', '3-CHLORO-ANILINE', '3-Chloroaniline, 99%', 'EINECS 203-581-0', '6GKR52SKIY', 'AI3-12126', 'Azoic diazo component 2, base', 'DTXSID0024761', 'DSSTox_CID_4761', 'DSSTox_RID_77521', 'DSSTox_GSID_24761', 'meta-chloroaniline', 'CAS-108-42-9', 'm-Chloro aniline', '3-chloro aniline', '3- Chloroaniline', '3-aminochlorobenzene', '3-chlorophenyl amine', 'amino 3 chlorobenzene', 'Aniline, 3-chloro-', '(3-chlorophenyl)amine', 'PubChem20239', '(3-chlorophenyl)-amine', 'Benzeneamine, 3-chloro-', 'ACMC-1C2VE', 'WLN: ZR CG', 'EC 203-581-0', 'SCHEMBL33289', 'KSC490E7T', 'BIDD:GT0269', 'CHEMBL325415', 'CTK3J0279', 'ZINC47986', '(3-Chlorophenylamine)radical anion', 'BCP27382', 'KS-00000X5H', 'NSC17581', 'STR00034', 'Tox21_202237', 'Tox21_303199', 'ANW-15940', 'CK1168', 'LS-461', 'MFCD00007765', 'NSC-17581', 'SBB040450', 'STL168886', 'AKOS000119145', 'AS04638', 'MCULE-7601884861', 'PS-5280', 'NCGC00091547-01', 'NCGC00091547-02', 'NCGC00256958-01', 'NCGC00259786-01', 'BP-21058', 'SC-57905', 'ST088221', '3-Chloroaniline 100 microg/mL in Methanol', 'DB-059756', 'FT-0615450', 'NS00001502', '3-Chloroaniline, puriss., &gt;=99.0% (GC)', '58859-EP2305682A1', '58859-EP2308879A1', '79535-EP2305695A2', '79535-EP2305696A2', '79535-EP2305697A2', '79535-EP2305698A2', '100196-EP2269990A1', '100196-EP2270008A1', '100196-EP2275404A1', '100196-EP2280001A1', '100196-EP2281563A1', '100196-EP2284157A1', '100196-EP2292617A1', '100196-EP2298746A1', '100196-EP2301923A1', '3-Chloroaniline, PESTANAL(R), analytical standard', 'Q2497496', 'W-108719', 'Z57127557', 'F2190-0429', '3-chloroaniline;3-chloroanilinium chloride;3-Chloroaniline hydrochloride;[(m-chlorophenyl)amine]trifluoroboron', 'M-CHLOROANILINE (SEE ALSO: O-CHLOROANILINE (CAS 95-51-2) &amp;P-CHLOROANILINE (CAS 106-47-8))']</t>
  </si>
  <si>
    <t>Compound(7932)</t>
  </si>
  <si>
    <t>3- chloropropanenitrile</t>
  </si>
  <si>
    <t>3-chloropropanenitrile</t>
  </si>
  <si>
    <t>['3-Chloropropionitrile', '3-Chloropropanenitrile', '542-76-7', '3-Chloropropiononitrile', 'Propanenitrile, 3-chloro-', '1-Chloro-2-cyanoethane', '3-CHLOROPROPANONITRILE', '3-Chlorpropannitril', 'Propionitrile, 3-chloro-', 'beta-Chloropropionitrile', 'USAF A-8798', 'RCRA waste number P027', '.beta.-Chloropropionitrile', 'NSC 2588', 'UNII-61N7S4SZ2Q', '3-Chlorpropannitril [Czech]', 'HSDB 6042', 'EINECS 208-827-0', 'RCRA waste no. P027', 'BRN 1098454', 'AI3-28526', '61N7S4SZ2Q', 'DSSTox_CID_10336', 'DSSTox_RID_78845', 'DSSTox_GSID_30336', 'CAS-542-76-7', 'C3H4ClN', '3-Chloropropanitrile', '3-chloro-propionitrile', 'CH2ClCH2CN', 'Cl(CH2)2CN', 'WLN: NC2G', '3-Chloropropionitrile, 98%', '4-02-00-00751 (Beilstein Handbook Reference)', 'BETA-CHLOROPROPIONTRILE', 'CHEMBL1451739', 'DTXSID4030336', 'CTK3J2413', 'NSC2588', 'NSC-2588', 'ZINC1641015', 'Tox21_202225', 'Tox21_303460', 'MFCD00001952', 'STL264202', 'AKOS001045367', 'LS-2151', 'MCULE-3511379481', 'VZ35822', 'KS-000017O7', 'NCGC00090983-01', 'NCGC00090983-02', 'NCGC00090983-03', 'NCGC00257316-01', 'NCGC00259774-01', 'L520', 'DB-015751', 'NS00033022', 'Q4634123', 'F8881-4925']</t>
  </si>
  <si>
    <t>Compound(10963)</t>
  </si>
  <si>
    <t>C3H4ClN</t>
  </si>
  <si>
    <t>3-chloropropene</t>
  </si>
  <si>
    <t>3-chloroprop-1-ene</t>
  </si>
  <si>
    <t>['ALLYL CHLORIDE', '107-05-1', '3-Chloro-1-propene', '3-chloroprop-1-ene', '1-Propene, 3-chloro-', '3-Chloropropene', '3-Chloropropylene', 'allylchloride', 'Allylchlorid', 'Chlorallylene', '2-Propenyl chloride', '1-Chloro-2-propene', 'Chloroallylene', '3-Chloropropene-1', 'Propene, 3-chloro-', '3-Chlorpropen', '3-Chloro-1-propylene', 'Chloro-2-propene', 'alpha-Chloropropylene', 'NCI-C04615', 'Allylchlorid [German]', '3-Chlorpropen [German]', 'UNII-V2RFT0R50S', 'p-Aminopropiofenon [Czech]', 'CCRIS 19', 'NSC 20939', 'Allile(cloruro di)', '1-Chloropropene-2', 'HSDB 178', "Allyle(chlorure d')", 'Allile (cloruro di) [Italian]', "Allyle (chlorure d') [French]", 'EINECS 203-457-6', 'UN1100', 'BRN 0635704', 'V2RFT0R50S', 'A-Chloropropylene', 'CHEBI:82379', 'Allyl chloride, 98%, stabilized', 'p-Aminopropiofenon', 'Allile (cloruro di)', "Allyle (chlorure d')", 'allyl-chloride', 'Chlo roallylene', '3-Chloroprene', '3-Chloro propene', '1-chloro propene-2', '.alpha.-Chloropropylene', 'Chloropropene (Related)', 'ACMC-1BTGY', 'DSSTox_CID_45', 'CH2=CHCH2Cl', 'EC 203-457-6', 'DSSTox_RID_79426', 'DSSTox_GSID_39231', '4-01-00-00738 (Beilstein Handbook Reference)', 'KSC175I0H', 'WLN: G2U1', 'CHEMBL451126', 'DTXSID4039231', 'CTK0H5403', 'KS-00000UZK', 'NSC20939', 'STR01272', 'ZINC1577258', 'Tox21_200824', 'Allyl chloride, reagent grade, 98%', 'ANW-15474', 'LS-424', 'MFCD00000984', 'NSC-20939', 'STL283938', 'AKOS000119803', 'Allyl chloride, ReagentPlus(R), 99%', 'UN 1100', '3-Chloro-1-propene, analytical standard', 'NCGC00091097-01', 'NCGC00091097-02', 'NCGC00258378-01', 'CAS-107-05-1', 'SC-47190', 'DB-029431', 'FT-0615299', 'NS00009093', 'Allyl chloride [UN1100] [Flammable liquid]', 'Allyl chloride [UN1100]  [Flammable liquid]', 'C19316', 'Q420473', 'J-512327', 'F1908-0072', '1-Propene, 3-chloro-;Allyl chloride;Formaldehyde, polymer with 3-chloro-1-propene and phenol']</t>
  </si>
  <si>
    <t>Compound(7850)</t>
  </si>
  <si>
    <t>C3H5Cl</t>
  </si>
  <si>
    <t>3-chlorophenol</t>
  </si>
  <si>
    <t>['3-Chlorophenol', '108-43-0', 'm-Chlorophenol', 'Phenol, 3-chloro-', 'Phenol, m-chloro-', '3-Hydroxychlorobenzene', 'm-Chlorophenic acid', 'meta-Chlorophenol', '3-Chloro-Phenol', 'NSC 59700', 'UNII-Z2Z7M2FTAD', '3-Chloro-1-hydroxybenzene', 'CCRIS 641', 'HSDB 1413', 'EINECS 203-582-6', 'Z2Z7M2FTAD', 'CHEMBL41172', 'AI3-23961', 'CHEBI:38855', 'MFCD00002256', '3-Chlorophenol, 99%', '3CH', 'm-chloro-phenol', '3-chlorphenol', '3-chloro phenol', 'm-Chlorophenol, solid', 'PubChem3677', 'm-Chlorophenol, liquid', '1li3', '3-Chlorophenol, 98%', 'CHLOROPHENOL(M-)', 'ACMC-1C1IQ', 'DSSTox_CID_4800', 'WLN: QR CG', 'DSSTox_RID_77538', 'DSSTox_GSID_24800', 'SCHEMBL49772', '3-chlorophenol;3-Chlorphenol', 'KSC490K4H', 'UN 2020 (Salt/Mix)', 'UN 2021 (Salt/Mix)', 'DTXSID4024800', 'CTK3J0543', 'KS-00000WOI', 'ZINC404329', 'NSC59700', 'Tox21_200833', 'ANW-15941', 'BDBM50167952', 'LS-462', 'NSC-59700', 'SBB061136', 'STL183823', 'AKOS000118748', 'AS02833', 'CS-W020573', 'DB01957', 'MCULE-4606705291', 'PS-6042', 'NCGC00091698-01', 'NCGC00091698-02', 'NCGC00258387-01', 'CAS-108-43-0', 'SC-00300', '3-Chlorophenol 100 microg/mL in Methanol', 'DB-040829', 'FT-0615504', 'NS00001752', 'ST51047192', 'C14270', 'M-6257', '3-Chlorophenol, PESTANAL(R), analytical standard', 'Q3973362', 'W-108718', 'F0001-0169', 'm-Chlorophenol, liquid [UN2021] [Keep away from food]', 'm-Chlorophenol, solid [UN2020]  [Keep away from food]', 'm-Chlorophenol, solid [UN2020] [Keep away from food]', 'Z1262246121', 'm-Chlorophenol, liquid [UN2021]  [Keep away from food]', 'UNII-AZ1041M258 component HORNXRXVQWOLPJ-UHFFFAOYSA-N', 'UNII-E9JIO40PSX component HORNXRXVQWOLPJ-UHFFFAOYSA-N']</t>
  </si>
  <si>
    <t>Compound(7933)</t>
  </si>
  <si>
    <t>3-chloro-N , N-dimethylaniline</t>
  </si>
  <si>
    <t>3-chloro-N,N-dimethylaniline</t>
  </si>
  <si>
    <t>['3-Chloro-N,N-dimethylaniline', '6848-13-1', 'N,N-Dimethyl-3-chloroaniline', 'Benzenamine, 3-chloro-N,N-dimethyl-', 'M-CHLORO-N,N-DIMETHYLANILINE', 'Benzenamine,3-chloro-N,N-dimethyl-', '(3-chlorophenyl)dimethylamine', 'EINECS 229-935-4', 'PubChem3637', 'FR-1150', 'SCHEMBL60096', 'DTXSID8064488', 'CTK5C8068', '3-chloranyl-N,N-dimethyl-aniline', 'ZINC165746', 'ZX-AT028646', '0572AC', 'FCH919199', 'MFCD00018456', 'SBB008273', '3-(N,N-Dimethylamino)phenyl chloride', 'AKOS006230243', 'MCULE-5989418167', 'AK111129', 'AS-59457', 'AX8086136', 'DB-055155', 'FT-0615496', 'NS00036613', 'ST50409692', 'A836158', 'C-57939']</t>
  </si>
  <si>
    <t>Compound(23285)</t>
  </si>
  <si>
    <t>C8H10ClN</t>
  </si>
  <si>
    <t>3-chlorotoluene</t>
  </si>
  <si>
    <t>1-chloro-3-methylbenzene</t>
  </si>
  <si>
    <t>['3-Chlorotoluene', '1-Chloro-3-methylbenzene', '108-41-8', 'M-CHLOROTOLUENE', 'Benzene, 1-chloro-3-methyl-', 'm-Tolyl chloride', '3-Chloro-1-methylbenzene', '1-Methyl-3-chlorobenzene', 'Toluene, m-chloro-', 'meta-Chlorotoluene', 'UNII-5K8172K9TT', 'META CHLOROTOLUENE', 'NSC 8767', '5K8172K9TT', '3-Chlorotoluene, 97%', 'CHLOROTOLUENE (3-)', 'm-Toluylchloride', '3-chlortoluol', 'EINECS 203-580-5', 'PubChem3678', 'ACMC-1BYRH', 'AI3-26486', '3-Chlorotoluene, 98%', 'TOLUENE,3-CHLORO', '1-Chloro-5-methylbenzene', 'DSSTox_CID_7852', '3-METHYLCHLOROBENZENE', 'DSSTox_RID_78590', 'DSSTox_GSID_27852', 'SCHEMBL12595', 'Toluene, m-chloro- (8CI)', '1-chloranyl-3-methyl-benzene', 'KSC491K8D', '3-Chlortoluol;3-chlorotoluene', 'PARAGOS 530095', 'SCHEMBL4699111', 'CHEMBL1797289', 'DTXSID4052841', 'CTK3J1581', 'KS-00000WKU', 'NSC8767', 'NSC-8767', 'ZINC1648222', 'Tox21_300922', 'ANW-15939', 'MFCD00000595', 'STL183249', 'AKOS000120610', 'AS02842', 'MCULE-9550807032', 'NCGC00248210-01', 'NCGC00257523-01', 'I829', '3-Chlorotoluene 100 microg/mL in Methanol', 'CAS-25168-05-2', 'FT-0615537', 'NS00004797', '28311-EP2287141A1', '28311-EP2314577A1', 'm-Chlorotoluene [UN2238]  [Flammable liquid]', 'A801874', '3-Chlorotoluene, PESTANAL(R), analytical standard', 'W-108720', 'Q22283423', 'F0001-0168']</t>
  </si>
  <si>
    <t>Compound(7931)</t>
  </si>
  <si>
    <t>3-phenyloxazolidine</t>
  </si>
  <si>
    <t>3-phenyl-1,3-oxazolidine</t>
  </si>
  <si>
    <t>['3-Phenyloxazolidine', 'Oxazolidine, 3-phenyl-', '20503-92-8', '3-Phenyl-1,3-oxazolidine #', 'SCHEMBL2218088', 'CTK0J8798', 'DTXSID10334141']</t>
  </si>
  <si>
    <t>Compound(519787)</t>
  </si>
  <si>
    <t>C9H11NO</t>
  </si>
  <si>
    <t>(3-hydroxy-2,2-dimethyl-3H-1-benzofuran-7-yl) N-methylcarbamate</t>
  </si>
  <si>
    <t>['3-HYDROXYCARBOFURAN', '16655-82-6', 'Carbofuran-3-hydroxy', '3-Hydroxy Carbofuran', 'Carbofuran 3-oh', 'BRN 1383873', '3-Hydroxy-carbofuran', 'CCRIS 9207', 'Carbofuran, 3-hydroxy', '3,7-Benzofurandiol, 2,3-dihydro-2,2-dimethyl-, 7-(methylcarbamate)', '(3-hydroxy-2,2-dimethyl-3H-1-benzofuran-7-yl) N-methylcarbamate', 'Carbamic acid, methyl-, 2,3-dihydro-2,2-dimethyl-3-hydroxy-7-benzofuranyl ester', '3,7-Benzofurandiol, 2,3-dihydro-2,2-dimethyl-, 7-(methylcarbamate) (9CI)', '3-OH-carbofuran', 'Carbofuran-3-OH', 'Carbosulfan3-hidroxi', '3-HYDROCARBOFURAN', '5-17-05-00204 (Beilstein Handbook Reference)', '36550_RIEDEL', '37896_RIEDEL', 'SCHEMBL3400466', 'CHEMBL1867082', 'DTXSID2037506', 'CTK8F5075', 'AKOS022181449', 'Carbamic acid, methyl-, 2,3-dihydro-3-hydroxy-2,2-dimethyl-7-benzofuranyl ester', '3-hydroxycarbofuran; MethylcarbaMic acid', 'NCGC00163948-01', 'LS-50113', 'SC-67412', 'FT-0669337', 'NS00010315', 'C-56326', 'J-010297', 'Carbofuran-3-hydroxy 100 microg/mL in Ethyl acetate', 'Q27268397', 'Carbofuran-3-hydroxy, PESTANAL(R), analytical standard', '3-Hydroxy-carbofuran;3-Hydroxycarbofuran;3-hydroxycarbofuran', '2,3-Dihydro-2,2-dimethyl-3,7-benzofurandiol 7-(methylcarbamate)', '3,7-Benzofurandiol, 2,3-dihydro-2,2-dimethyl- 7-(methylcarbamate)', '3-Hydroxy-2,2-dimethyl-2,3-dihydrobenzofuran-7-yl methylcarbamate', '3,7-Benzofurandiol, 2,3-dihydro-2,2-dimethyl-, 7-(N-methylcarbamate)', '3-Hydroxy-2,2-dimethyl-2,3-dihydro-1-benzofuran-7-yl methylcarbamate', '3-Hydroxy-2,2-dimethyl-2,3-dihydro-1-benzofuran-7-yl methylcarbamate #', '3-hydroxy-2,2-dimethyl-2,3-dihydro-1-benzofuran-7-yl N-methylcarbamate', 'Carbofuran-3-hydroxy solution, 10 ng/muL in ethyl acetate, PESTANAL(R), analytical standard', 'Pesticide3_3-Hydroxycarbofuran_C12H15NO4_3,7-Benzofurandiol, 2,3-dihydro-2,2-dimethyl-, 7-(methylcarbamate)']</t>
  </si>
  <si>
    <t>Compound(27975)</t>
  </si>
  <si>
    <t>C12H15NO4</t>
  </si>
  <si>
    <t>['3-Nitroaniline', 'M-NITROANILINE', '99-09-2', 'Benzenamine, 3-nitro-', '3-Nitrobenzenamine', '3-Nitrophenylamine', 'Nitranilin', '3-Aminonitrobenzene', 'Fast Orange Base R', 'Azobase MNA', 'Devol Orange R', 'm-Nitrophenylamine', 'm-Aminonitrobenzene', 'm-Nitroaminobenzene', '1-Amino-3-nitrobenzene', 'Aniline, m-nitro-', 'm-Nitraniline', 'Fast Orange M Base', 'Fast Orange R Base', 'Fast Orange R Salt', 'Orange Base Irga I', 'Daito Orange Base R', 'Diazo Fast Orange R', 'Fast Orange MM Base', 'Naphtoelan Orange R Base', 'Amarthol Fast Orange R Base', 'Hiltonil Fast Orange R Base', 'C.I. Azoic Diazo Component 7', '3-Nitro-phenylamine', 'NSC 9574', 'C.I. 37030', 'UNII-CM50SM561T', 'CI Azoic Diazo Component 7', 'Nitroaniline, 3-', 'CCRIS 2318', 'HSDB 2570', '3-NITRO-ANILINE', '3-Nitroaniline, 98%', 'EINECS 202-729-1', 'META NITRO ANILINE', 'CI 37030', 'AI3-52474', 'CM50SM561T', 'MFCD00007782', '3-Nitroaniline, analytical standard', 'meta-Nitroaniline', 'SMR000343223', 'm-nitro aniline', 'm-nitro-aniline', '3-nitroanilin', '3-nitro aniline', '3-Nitrobenzeneamine', '(3-nitrophenyl)-amine', '3-Nitroaniline, 99%', 'WLN: ZR CNW', 'DSSTox_CID_5725', 'SCHEMBL1487', 'DSSTox_RID_77894', 'DSSTox_GSID_25725', 'ghl.PD_Mitscher_leg0.915', 'KSC486M5J', 'MLS000517063', 'MLS002415745', 'UN 1661 (Salt/Mix)', 'CHEMBL14068', 'DTXSID6025725', 'SCHEMBL12707526', 'CTK3I6654', 'ZINC47987', 'NSC9574', 'HMS2666G03', 'NSC-9574', 'STR01954', 'Tox21_200386', 'ANW-13673', 'BBL009055', 'SBB058851', 'STL137655', 'm-Nitroaniline [UN1661] [Poison]', 'AKOS000119115', 'AS01505', 'LS-2057', 'm-Nitroaniline [UN1661]  [Poison]', 'MCULE-8885530793', 'MP-2175', 'CAS-99-09-2', 'NCGC00091126-01', 'NCGC00091126-02', 'NCGC00257940-01', 'SC-22889', 'T275', 'DB-057758', '3-Nitroaniline;3-nitroaniline;3-nitroanilin', 'FT-0616230', 'N0117', 'NS00006068', 'ST45255276', 'AZ0001-0094', '43337-EP2281563A1', '43337-EP2281815A1', '43337-EP2308833A2', '43337-EP2311829A1', 'AC-907/25014117', 'Q2668442', 'W-100051', 'F1565-0171']</t>
  </si>
  <si>
    <t>Compound(7423)</t>
  </si>
  <si>
    <t>3-nitrophenol</t>
  </si>
  <si>
    <t>['3-Nitrophenol', '554-84-7', 'M-NITROPHENOL', 'Phenol, 3-nitro-', '3-Hydroxynitrobenzene', 'm-Hydroxynitrobenzene', 'Phenol, m-nitro-', 'm-Nitrofenol', 'meta-Nitrophenol', '3-nitro-phenol', 'm-Nitrofenol [Czech]', '1-Hydroxy-3-nitrobenzene', 'NSC 1551', 'UNII-T6P4T52V9W', 'Crump leather-lasting dressing', 'CCRIS 2315', 'HSDB 1337', 'EINECS 209-073-5', 'AI3-08825', 'T6P4T52V9W', 'CHEBI:34346', 'MFCD00007240', '3-Nitrophenol, 99%', '5-nitrophenol', '3-nitro phenol', 'PubChem17999', 'ACMC-1AWKT', 'WLN: WNR CQ', 'DSSTox_CID_5765', 'DSSTox_RID_77916', 'DSSTox_GSID_25765', 'SCHEMBL50135', 'KSC270C2N', 'MLS002415747', 'BIDD:ER0534', 'CHEMBL13888', 'Nitrophenol, m-;3-nitrophenol', 'SR-1C3', '3-Nitrophenol, puriss., 99%', 'DTXSID2025765', 'SCHEMBL13815837', 'CTK1H0126', 'NSC1551', 'HMS3039H09', 'LABOTEST-BB LTBB003444', 'NSC-1551', 'STR00679', 'ZINC1576887', 'Tox21_200022', 'ANW-45127', 'm-Nitrophenol [UN1663] [Poison]', 'SBB061211', 'STK290830', 'AKOS000119831', 'AKOS015831340', 'AKOS024268500', 'm-Nitrophenol [UN1663]  [Poison]', '3-Nitrophenol, ReagentPlus(R), 99%', 'AC-3123', 'AS00219', 'EBD2210848', 'LS-1364', 'LS11800', 'MCULE-3385567100', 'KS-00000V31', 'NCGC00090900-01', 'NCGC00090900-02', 'NCGC00257576-01', 'BR-48914', 'CAS-554-84-7', 'SC-22385', 'SMR001370910', 'DB-024131', '3-Nitrophenol, purum, &gt;=98.0% (HPLC)', 'FT-0616257', 'N0217', 'NS00006762', 'ST51047258', 'C14418', 'M-5089', 'N-3595', '47165-EP2272822A1', '47165-EP2281563A1', '47165-EP2301939A1', '47165-EP2305687A1', '47165-EP2308833A2', '47165-EP2311822A1', 'A830666', 'AE-562/40296193', 'Q3598793', 'Z57160187', 'F0001-1455', 'UNII-UV7XKM40LO component RTZZCYNQPHTPPL-UHFFFAOYSA-N']</t>
  </si>
  <si>
    <t>Compound(11137)</t>
  </si>
  <si>
    <t>3-nitrotoluene</t>
  </si>
  <si>
    <t>1-methyl-3-nitrobenzene</t>
  </si>
  <si>
    <t>['3-Nitrotoluene', '1-Methyl-3-nitrobenzene', 'm-Nitrotoluene', '99-08-1', 'Benzene, 1-methyl-3-nitro-', '3-Nitrotoluol', 'm-Methylnitrobenzene', 'Toluene, m-nitro-', '3-Methylnitrobenzene', 'meta-Nitrotoluol', 'm-Nitrotoluol', 'Nitrotoluene, m-', '3-Nitrotoluene, 99%', '1-methyl-3-nitro-benzene', 'UNII-29A9W826KQ', 'CCRIS 2312', 'HSDB 2937', 'Nitrotoluene, m-isomer', 'META NITROTOLUENE', 'NSC 9578', 'EINECS 202-728-6', 'CHEMBL114059', 'CHEBI:39931', '29A9W826KQ', 'DSSTox_CID_1831', 'DSSTox_RID_76354', 'DSSTox_GSID_21831', '3-Nitrotoluene, analytical standard', 'CAS-99-08-1', '3NT', 'MNT', '3-Methyl-1-nitrobenzene', 'm-nitro toluene', 'EC 202-728-6', 'NSC 9578 (Related)', 'WLN: WNR C1', 'SCHEMBL92055', 'MLS001055494', 'm-Nitrotoluene, liquid or solid', 'DTXSID5021831', 'SCHEMBL10731554', 'SCHEMBL19334362', 'CTK3J2824', 'NSC9578', 'HMS3039H14', 'Toluene, 3-nitro-;3-nitrotoluene', 'ACMC-209796', 'NSC-9578', 'ZINC1700066', 'Tox21_202435', 'Tox21_300007', 'ANW-13672', 'BDBM50008563', 'STL283957', 'AKOS000121051', 'LS-2056', 'MCULE-6301985137', 'UN 1664', 'NCGC00090732-01', 'NCGC00090732-02', 'NCGC00090732-03', 'NCGC00090732-04', 'NCGC00254182-01', 'NCGC00259984-01', 'SMR000677943', 'FT-0616268', 'N0274', 'NS00002108', 'AZ0001-0007', 'C19486', 'A845960', 'Q2816005', 'W-100052', 'm-Nitrotoluene, liquid or solid [UN1664]  [Poison]', 'm-Nitrotoluene, liquid or solid [UN1664] [Poison]', 'F0001-2330', 'UNII-7JOW0J679F component QZYHIOPPLUPUJF-UHFFFAOYSA-N', '36-37-3']</t>
  </si>
  <si>
    <t>Compound(7422)</t>
  </si>
  <si>
    <t>3-isopropylphenol</t>
  </si>
  <si>
    <t>3-propan-2-ylphenol</t>
  </si>
  <si>
    <t>['3-Isopropylphenol', '618-45-1', 'M-ISOPROPYLPHENOL', 'm-Cumenol', 'Phenol, m-isopropyl-', 'Phenol, 3-(1-methylethyl)-', '3-Hydroxycumene', '3-propan-2-ylphenol', '3-(1-Methylethyl)phenol', 'Phenol, isopropylated', 'ISOPROPYLPHENOL, META', '3-Isopropylhydroxybenzene', '3-(propan-2-yl)phenol', 'NSC 2209', 'UNII-ERD00478GH', '3-isopropyl-phenol', 'EINECS 210-551-0', 'BRN 2040880', 'AI3-18885', 'ERD00478GH', '90480-88-9', 'Mixed isopropyl phenols', 'm-Isopropyl phenol', 'm-Isopropyl-phenol', '3-isopropyl phenol', 'meta-isopropylphenol', 'EINECS 291-826-2', 'ACMC-1CUEZ', 'Carvacrol derivative, 10', '3-Isopropylphenol, 97%', 'EC 291-826-2', 'DSSTox_CID_24571', 'DSSTox_RID_80320', 'DSSTox_GSID_44571', 'SCHEMBL51528', '4-06-00-03214 (Beilstein Handbook Reference)', 'CHEMBL449684', 'DTXSID0044571', 'CTK3J8017', 'NSC2209', 'BDBM248167', 'NSC-2209', 'ZINC1577204', 'Tox21_301558', '8102AF', 'ANW-33961', 'AKOS000121413', 'MCULE-4508758047', 'NE10166', 'NCGC00255721-01', 'AS-10581', 'CAS-618-45-1', 'SC-86937', 'LS-104751', 'FT-0615932', 'NS00002341', '3-isopropylhydroxybenzene;Phenol, isopropylated', 'Q27277323', 'UNII-7UD6MUG48S component VLJSLTNSFSOYQR-UHFFFAOYSA-N']</t>
  </si>
  <si>
    <t>Compound(12059)</t>
  </si>
  <si>
    <t>3-ketocarbofuran</t>
  </si>
  <si>
    <t>(2,2-dimethyl-3-oxo-1-benzofuran-7-yl) N-methylcarbamate</t>
  </si>
  <si>
    <t>['3-KETOCARBOFURAN', 'Carbofuran-3-keto', '3-Oxocarbofuran', '16709-30-1', '3-Oxo-carbofuran', 'Carbofuran 3-keto', 'CCRIS 9208', 'BRN 1581740', '(2,2-dimethyl-3-oxo-1-benzofuran-7-yl) N-methylcarbamate', '2,2-Dimethyl-3-oxo-2,3-dihydrobenzofuran-7-yl methylcarbamate', '5-18-01-00275 (Beilstein Handbook Reference)', 'Carbamic acid, methyl-, ester with 2,2-dimethyl-7-hydroxy-3(2H)-benzofuranone', 'LS-50182', '3(2H)-Benzofuranone, 2,2-dimethyl-7-(((methylamino)carbonyl)oxy)-', '3-keto-carbofuran', '37895_RIEDEL', 'SCHEMBL9004504', 'CTK8F8461', 'DTXSID10168226', 'ZINC2018324', 'AKOS022181490', 'Carbofuran-3-keto, analytical standard', '3-Ketocarbofuran 100 microg/mL in Acetone', '3-Ketocarbofuran;3-ketocarbofuran;Benfuracarb', 'J-010336', 'Carbofuran-3-keto, PESTANAL(R), analytical standard', '2,2-Dimethyl-3-oxo-2,3-dihydro-1-benzofuran-7-yl methylcarbamate #', '2,2-dimethyl-3-oxo-2,3-dihydro-1-benzofuran-7-yl N-methylcarbamate', '2,2-Dimethyl-7-[[(methylamino)carbonyl]oxy]-3(2H)-benzofuranone, 9CI', '3(2H)-Benzofuranone, 2,2-dimethyl-7-(((methylamino)carbonyl)oxy)- (9CI)', '3(2H)-Benzofuranone, 2,2-dimethyl-7-(((methylamino)carbonyl)oxy)-(9CI)']</t>
  </si>
  <si>
    <t>Compound(27999)</t>
  </si>
  <si>
    <t>C12H13NO4</t>
  </si>
  <si>
    <t>3-tertiary butyl phenol</t>
  </si>
  <si>
    <t>3-tert-butylphenol</t>
  </si>
  <si>
    <t>['3-tert-Butylphenol', '585-34-2', 'm-tert-Butylphenol', '3-(tert-butyl)phenol', 'Phenol, 3-(1,1-dimethylethyl)-', 'Phenol, m-tert-butyl-', '3-t-Butylphenol', '3-tert-butyl-phenol', 'meta-tert-butylphenol', 'UNII-2382U55WN2', 'MFCD00002300', '3-(1,1-dimethylethyl)-phenol', 'CHEBI:34348', '2382U55WN2', 'ST50824235', '3-tert-Butylphenol, 99+%', '3-tertbutylphenol', '3-tert.butylphenol', 'EINECS 209-553-4', 'm-tert.-butylphenol', '3-tert.-butylphenol', '3-tert-Butyl phenol', '3-tert-Butylphenol;', 'Phenol, 3-tert-butyl-', 'ACMC-1AL8K', 'C14188', '3-tert-butyl-hydroxybenzene', '3-tert-Butylphenol, 99%', 'DSSTox_CID_24825', 'DSSTox_RID_80506', 'DSSTox_GSID_44825', 'SCHEMBL50933', 'BIDD:ER0561', 'CHEMBL224899', 'DTXSID9044825', 'CTK1G9407', 'CYEKUDPFXBLGHH-UHFFFAOYSA-', '3-tert-butylphenol;3-t-butylphenol', 'KS-000009EC', 'ZINC2012740', 'Tox21_301686', 'ANW-32966', 'AKOS000120521', 'VZ27254', 'NCGC00256058-01', 'AC-26474', 'AK-46177', 'AS-14546', 'BR-46177', 'CAS-585-34-2', 'L563', 'SC-90889', 'B0731', 'CS-0015724', 'FT-0616395', 'NS00015220', 'S-2755', 'A831909', 'AE-562/43460593', 'Q-200396', 'Q27116004']</t>
  </si>
  <si>
    <t>Compound(11450)</t>
  </si>
  <si>
    <t>3-vinyl-4-methylpyrrole-2,5-dione</t>
  </si>
  <si>
    <t>3-ethenyl-4-methylpyrrole-2,5-dione</t>
  </si>
  <si>
    <t>['Methylvinylmaleimide', '3-Methyl-2-vinylmaleimide', '21494-90-6', 'methyl vinyl maleimide', '2-Methyl-2-vinylmaleimide', 'Methylvinylmaleimide-1-14C', '21494-57-5', 'Maleimide, 2-methyl-3-vinyl-', 'SCHEMBL10775878', 'CTK4E6973', 'DTXSID60175829', '3-Methyl-4-vinyl-1H-pyrrole-2,5-dione #', '1H-Pyrrole-2,5-dione, 3-ethenyl-4-methyl-', '1H-Pyrrole-2,5-dione-2-14C, 3-ethenyl-4-methyl-', '1H-Pyrrole-2,5-dione-2-14C,3-ethenyl-4-methyl- (9CI)']</t>
  </si>
  <si>
    <t>Compound(152426)</t>
  </si>
  <si>
    <t>4- (1-hydroxy-1-methylethyl)-acetophenone</t>
  </si>
  <si>
    <t>1-[4-(2-hydroxypropan-2-yl)phenyl]ethanone</t>
  </si>
  <si>
    <t>['54549-72-3', 'Ethanone, 1-[4-(1-hydroxy-1-methylethyl)phenyl]-', '1-[4-(2-hydroxypropan-2-yl)phenyl]ethanone', '1-(4-(2-hydroxypropan-2-yl)phenyl) ethanone', '1-[4-(2-hydroxypropan-2-yl)phenyl]ethan-1-one', '1-(4-(2-hydroxypropan-2-yl)phenyl)ethanone', '1-[4-(1-Hydroxy-1-methylethyl)phenyl]ethanone', 'Ethanone, 1-(4-(1-hydroxy-1-methylethyl)phenyl)-', 'SCHEMBL548546', 'DTXSID1021611', 'CTK5A1605', 'ZINC2003136', 'AKOS025438113', 'NE57853', 'KS-0000017H', 'AS-65674', "4'-(1-Hydroxy-1-methylethyl)acetophenone", 'DB-120922', 'NS00010681', '1-(4-(1-hydroxy-1-methylethyl)phenyl)-ethanone', '1-[4-(1-Hydroxy-1-methylethyl)phenyl]ethanone #', 'Ethanone,1-[4-(1-hydroxy-1-methylethyl)phenyl]-', 'Z1238572199', 'Ethanone. 1-[4-(1-hydroxy-1-methylethyl)phenyl]- *;1-[4-(1-Hydroxy-1-methylethyl)phenyl]ethanone']</t>
  </si>
  <si>
    <t>Compound(41122)</t>
  </si>
  <si>
    <t>C11H14O2</t>
  </si>
  <si>
    <t>4,4'-methylenedianiline</t>
  </si>
  <si>
    <t>4-[(4-aminophenyl)methyl]aniline</t>
  </si>
  <si>
    <t>["4,4'-Methylenedianiline", '101-77-9', "4,4'-DIAMINODIPHENYLMETHANE", 'Dadpm', 'Methylenedianiline', 'Dianilinomethane', 'Tonox', "Benzenamine, 4,4'-methylenebis-", "p,p'-Methylenedianiline", 'Dianilinemethane', 'Bis(4-aminophenyl)methane', '4,4-Methylenedianiline', "p,p'-Diaminodiphenylmethane", 'Bis(p-aminophenyl)methane', 'Epicure DDM', 'Epikure DDM', '4-(4-Aminobenzyl)aniline', 'Curithane', 'Jeffamine AP-20', "4,4'-Diphenylmethanediamine", 'Diaminodiphenylmethane', 'Sumicure M', 'Ancamine TL', '4-[(4-aminophenyl)methyl]aniline', 'Di-(4-aminophenyl)methane', "4,4'-Methylenebis(benzeneamine)", 'Methylenebis(aniline)', "4,4'-Methylene dianiline", 'Bis-p-aminofenylmethan', 'Araldite hardener 972', 'Di(4-aminophenyl)methane', "p,p'-Diaminodifenylmethan", "4,4'-Methylenebisaniline", "4,4'-Diaminodiphenylmethan", "4,4'-Methylenebisbenzenamine", "Aniline, 4,4'-methylenedi-", "4,4'-Dimethylenediamine", 'Methylenedianiline (VAN)', 'NCI-C54604', 'Avaldite HT 972', "4,4'-Methylenebis(aniline)", 'HT 972', 'UNII-GG5LL7OBZC', 'NSC 4709', 'Bis-p-aminofenylmethan [Czech]', 'CCRIS 1010', 'Methylenebis[aniline]', 'CHEBI:32506', 'Bis(aminophenyl)methane', 'HSDB 2541', 'alpha-(p-aminophenyl)-p-toluidine', 'bis-p-aminophenylmethane', "p,p'-Diaminodifenylmethan [Czech]", 'GG5LL7OBZC', 'EINECS 202-974-4', 'di-(p-aminophenyl)methane', 'p-Toluidine, alpha-(p-aminophenyl)-', 'UN2651', "4,4'-Diaminodiphenylmethan [German]", "4,4'-methanediyldianiline", "4,4'-methylene-dianiline", 'BRN 0474706', "4,4'-Methylenedibenzenamine", "4,4'-Methylene(bisaniline)", "4,4'-Methylenebis[aniline]", "4,4'-Diaminobiphenyl methane", "4,4'-Diaminodiphenyl methane", '4-(4-Aminobenzyl)phenylamine', 'AI3-02615', 'DTXSID6022422', '4,4-DIAMINODIPHENYLMETHANE', 'MFCD00007914', 'p-Toluidine, .alpha.-(p-aminophenyl)-', 'DSSTox_CID_2422', 'DSSTox_RID_76586', 'DSSTox_GSID_22422', '4-[(4-aminophenyl)methyl]phenylamine', 'CAS-101-77-9', "Benzenamine, 4,4'-methylenebis-, hydrochloride (1:2)", "Aniline,4'-methylenedi-", "p, p'-Methylenedianiline", 'Epitope ID:116050', "4,4'-Methylenedi-Aniline", 'Di(para-aminophenyl)methane', 'EC 202-974-4', 'p,p;-Diaminodiphenylmethane', 'WLN: ZR D1R DZ', "4,4'-diaminobiphenylmethane", 'methylenebis(4-aminobenzene)', 'Oprea1_406523', 'SCHEMBL28001', "Benzenamine,4'-methylenebis-", 'KSC174Q1B', 'MLS002303003', "4, 4'-Diphenylmethanediamine", 'BIDD:ER0255', 'CHEMBL85728', "Dianiline, 4,4'-methylene-", "4, 4'-Methylenebis(aniline)", "4,4'-Methylenebis-Benzenamine", 'Bis-p-aminofenylmethan(CZECH)', '4,4 -METHYLENEDIANILINE', "Benzenamine,4-4'-methylenebis-", '4-(4-Aminobenzyl)phenylamine #', 'CTK0H4810', 'KS-00000WIJ', 'NSC4709', 'HMS3091M08', 'ACT07434', 'NSC-4709', "p, p'-Diaminodifenylmethan(CZECH)", 'Tox21_201723', 'Tox21_300141', 'ANW-14529', 'BBL022928', 'LS-338', 'SBB058722', 'STK988515', 'ZINC19014778', "4, 4'-Diaminodiphenylmethan(GERMAN)", 'AKOS000118778', 'CCG-103567', 'MCULE-6272250876', 'SDCCGMLS-0066191.P001', 'UN 2651', 'NCGC00091159-01', 'NCGC00091159-02', 'NCGC00091159-03', 'NCGC00091159-04', 'NCGC00254163-01', 'NCGC00259272-01', 'AC-10921', 'SC-79347', 'SMR000019102', 'VS-07280', 'DB-058699', 'M0220', 'NS00003356', 'ST50406593', 'T7262', "4,4'-Diaminodiphenylmethane, &gt;=97.0% (GC)", 'C14288', "4,4'-Diaminodiphenylmethane, analytical standard", '4-(4-Aminobenzyl)phenylamine (ACD/Name 4.0)', 'Q229848', 'SR-01000394053', "4,4'-Diaminodiphenyl methane [UN2651]  [Poison]", "4,4'-Diaminodiphenyl methane [UN2651] [Poison]", 'SR-01000394053-1', 'W-108903', 'F0921-0063', 'Z1250100741', "4,4'-Diaminodiphenylmethane, certified reference material, TraceCERT(R)"]</t>
  </si>
  <si>
    <t>Compound(7577)</t>
  </si>
  <si>
    <t>C13H14N2</t>
  </si>
  <si>
    <t>4,4'-methylenediphenyl diisocyanate</t>
  </si>
  <si>
    <t>1-isocyanato-4-[(4-isocyanatophenyl)methyl]benzene</t>
  </si>
  <si>
    <t>["4,4'-Diphenylmethane diisocyanate", '101-68-8', 'Diphenylmethane diisocyanate', 'Bis(4-isocyanatophenyl)methane', 'Isonate', "p,p'-Diphenylmethane diisocyanate", "1,1'-Methylenebis(4-isocyanatobenzene)", 'Methylbisphenyl isocyanate', "4,4'-Methylenediphenyl diisocyanate", "4,4'-Diisocyanatodiphenylmethane", 'Methylene bisphenyl isocyanate', 'Methylene diphenyl diisocyanate', "4,4'-Methylenebis(phenyl isocyanate)", 'Bis(p-isocyanatophenyl)methane', 'Diphenylmethyl diisocyanate', 'Caradate 30', 'Desmodur 44', 'Bis(1,4-isocyanatophenyl)methane', 'Nacconate 300', "diphenylmethane-4,4'-diisocyanate", "Benzene, 1,1'-methylenebis[4-isocyanato-", 'Isonate 125M', 'Isonate 125 MF', "Diphenylmethan-4,4'-diisocyanat", 'Methylenebis(4-isocyanatobenzene)', 'Methylenebis(p-phenyl isocyanate)', 'Diphenyl methane diisocyanate', 'Methylenebis(4-phenyl isocyanate)', "4,4'-Methylenediphenyl isocyanate", 'Rubinate 44', 'Methylenebis(p-phenylene isocyanate)', 'Methylenedi-p-phenylene diisocyanate', 'Methylenebis(4-phenylene isocyanate)', "4,4'-Methylenedi-p-phenylene diisocyanate", "4,4'-Methylenediphenylene isocyanate", 'Hylene M50', "p,p'-Methylenebis(phenyl isocyanate)", 'MDI', 'Bis(para-isocyanatophenyl)methane', 'Polymeric mdi', 'Methylene di-p-phenylene isocyanate', 'Methylenebis(para-phenyl isocyanate)', "4,4'-Methylenedi(phenyl isocyanate)", "4-4'-Diisocyanate de diphenylmethane", 'Di-(4-isocyanatophenyl)methane', 'Difenil-metan-diisocianato', 'Methylenedi-para-phenylene diisocyanate', 'Methylenebis(para-phenylene isocyanate)', "para,para'-Diphenylmethane diisocyanate", 'NCI-C50668', 'PMDI', '26447-40-5', 'Methylenediphenyl diisocyanate', "para,para'-Methylenebis(phenyl isocyanate)", "4,4'-Methylenediphenylene diisocyanate", 'MDR', 'UNII-B0LO6BBS8C', 'Difenylmethaan-dissocyanaat', '1-isocyanato-4-[(4-isocyanatophenyl)methyl]benzene', 'Generic MDI', 'Crude MDI', 'Isocyanic acid, methylenedi-p-phenylene ester', "4,4'-methylene diphenyl diisocyanate", 'Methylenebis(phenylisocyanate)', 'methylenebis(phenyl isocyanate)', 'CCRIS 2303', "4,4'-Diphenylmethanediisocyante", 'CHEBI:53218', 'Isocyanic acid, ester with diphenylmethane', 'HSDB 2630', "Diphenylmethane 4,4'-diisocyanate", 'Difenylmethaan-dissocyanaat [Dutch]', 'NSC 9596', 'Difenil-metan-diisocianato [Italian]', 'EINECS 202-966-0', 'EINECS 247-714-0', 'B0LO6BBS8C', 'Non-isomeric-specific MDI', 'BRN 0797662', "Diphenylmethan-4,4'-diisocyanat [German]", 'Isocyanic acid, methylenediphenylene ester', 'Methylenebisphenyl diisocyanate', 'AI3-15256', "Benzene, 1,1'-methylenebis(4-isocyanato-", 'DTXSID7025180', 'Methylenedi(p-phenyl isocyanate)', 'Methylenedi-p-phenyl diisocyanate', "4-4'-Diisocyanate de diphenylmethane [French]", "Diphenylmethane p,p'-diisocyanate", "4,4'-,2,4'-,2,2'-Diisocyanatodiphenylmethane", "4,4'-methylenediphenyldiisocyanate", 'Methylenedi(p-phenylene isocyanate)', "4,4'-MDI", 'Methylenedi(p-phenylene diisocyanate)', "4,4'-Diisocyanate de diphenylmethane", "Methylenediphenyl diisocyanate, 4,4'-", "4,4'-Methylenedi(phenylene isocyanate)", 'Polymeric 4,4-methylenediphenyl diisocyanate', 'DSSTox_CID_4196', 'Methylenebis(phenylisocyanate) [Diisocyanates]', '65916-89-4', 'Methylenebis[4-isocyanatobenzene]', 'Methylenebis[p-phenyl isocyanate]', 'Methylenebis[4-phenyl isocyanate]', 'Methylenebis[4-phenylene isocyanate]', 'Methylenebis[p-phenylene isocyanate]', "p,p'-Methylenebis[phenyl isocyanate]", "4,4'-Methylenebis[phenyl isocyanate]", '4-[(4-isocyanatophenyl)methyl]benzenisocyanate', 'Methylene di-p-phenyl diisocyanate, 98%, flakes', 'CCRIS 8160', '4,4-methylenediphenyl diisocyanate', 'Nocconate 300', "4,4'-methylenebis(phenylisocyanate)", 'UN2489', 'Hylene M 50', 'Hylene M-50', 'Difenylmethaan-diisocyanaat', 'Epitope ID:113240', 'EC 202-966-0', 'DSSTox_RID_77697', 'DSSTox_RID_82371', 'diphenylmethylene diisocyanate', 'DSSTox_GSID_25180', 'DSSTox_GSID_47473', 'SCHEMBL19943', 'WLN: OCNR D1R DNCO', '4-13-00-00396 (Beilstein Handbook Reference)', "4,4'diisocyanatodiphenylmethane", 'CHEMBL1488467', 'methylenebisphenylene diisocyanate', "4,4'-Diphenylmethanediisocyanate", "4,4'-MDI, analytical standard", "4,4'diphenylmethane diisocyanate", 'CTK5C3260', 'Diphenylmethane 4,4-diisocyanate', '4,4-Diphenylmethane Diisocyanate', "diphenylmethan-4,4'-diisocyanate", 'NSC9596', 'Polymethylene polyphenyl isocynate', "4,4''-Diphenylmethane diisocyanate", "4,4'- diphenylmethane diisocyanate", 'NSC-9596', 'ZINC1700075', "Methylenediphenyl 4,4'-Diisocyanate", 'Tox21_200268', 'Tox21_302585', 'LS-334', 'MFCD00036131', 'SBB060784', 'AKOS000119302', "Methylenebis(4,4'-phenyl isocyanate)", "4,4'-Methylenedi(phenyl diisocyanate)", "Benzene,1'-methylenebis[4-isocyanato-", 'Isocyanic acid, diphenylmethylene ester', 'MCULE-4402925766', 'NE10917', 'UN 2489', 'METHYLENEBIS(4-PHENYLISOCYANATE)', 'NCGC00091061-01', 'NCGC00091061-02', 'NCGC00091061-03', 'NCGC00256765-01', 'NCGC00257822-01', 'CAS-101-68-8', "1,1'-methylenebis [4-isocyanoto benzene]", 'CAS-9016-87-9', 'LS-166061', "4,4'-Methylenebis(phenyl isocyanate), 98%", 'D0897', 'FT-0617061', 'FT-0625273', 'ST50825935', '1-Isocyanato-4-(4-isocyanatobenzyl)benzene #', 'C19453', 'Q417646', 'W-108905', 'UNII-6152ASV70I component UPMLOUAZCHDJJD-UHFFFAOYSA-N', "Diphenylmethane-4,4'-diisocyanate [UN2489]  [Keep away from food]", "Diphenylmethane-4,4'-diisocyanate [UN2489] [Keep away from food]", 'Methylene Diphenyl Diisocyanate   and polymeric Methylene Diphenyl Diisocyanate', '(S)-9,10-Difluro-3-methyl-7-oxo-2,3-dihydro-7H-pyrido[1,2,3-de][1,4]benzoxazine-6-carboxylic acid']</t>
  </si>
  <si>
    <t>Compound(7570)</t>
  </si>
  <si>
    <t>C15H10N2O2</t>
  </si>
  <si>
    <t>4,4'-methylenebis (2-chloroaniline)</t>
  </si>
  <si>
    <t>4-[(4-amino-3-chlorophenyl)methyl]-2-chloroaniline</t>
  </si>
  <si>
    <t>["4,4'-METHYLENEBIS(2-CHLOROANILINE)", '101-14-4', 'MOCA', 'Quodorole', 'Cyanaset', 'Methylenebis(chloroaniline)', 'Bisamine', 'Dacpm', 'MBOCA', 'Curalin M', 'Diamet Kh', 'CL-Mda', 'Millionate M', 'Bisamine S', 'Curene 442', 'Cuamine M', 'MOCA (curing agent)', 'Cuamine MT', "4,4'-Methylene bis(2-chloroaniline)", "Benzenamine, 4,4'-methylenebis[2-chloro-", 'Bis-amine A', 'Bis amine', 'Rcra waste number U158', 'Bis(3-chloro-4-aminophenyl)methane', 'Bis(4-amino-3-chlorophenyl)methane', "4,4'-Methylenebis(o-chloroaniline)", "3,3'-Dichloro-4,4'-diaminodiphenylmethane", "4,4'-Diamino-3,3'-dichlorodiphenylmethane", 'LD 813', "4,4'-Methylene-bis(2-chloroaniline)", 'Methylenebis(3-chloro-4-aminobenzene)', 'Methylene-bis-orthochloroaniline', "4,4'-Methylene-bis-(2-chloroaniline)", '4,4-Metilene-bis-o-cloroanilina', 'Di-(4-amino-3-clorofenil)metano', "p,p'-Methylenebis(o-chloroaniline)", 'UNII-3L2W5VTT2A', "4,4'-Methylenebis[2-chloroaniline]", 'CCRIS 389', 'HSDB 2629', 'Di(4-amino-3-chlorophenyl)methane', "4,4'-Diamino-3,3'-dichlorodiphenyl methane", "4,4'-Methylene(bis)-chloroaniline", 'Di(-4-amino-3-chlorophenyl)methane', 'EINECS 202-918-9', 'NSC 52954', "Methylene 4,4'-bis(o-chloroaniline)", 'RCRA waste no. U158', "4,4'-Methylenebis-2-chlorobenzenamine", "p,p'-Methylenebis(alpha-chloroaniline)", "p,p'-Methylenebis(ortho-chloroaniline)", "Aniline, 4,4'-methylenebis(2-chloro-", 'BRN 1882318', '3L2W5VTT2A', "4,4'-Methylenebis(2-chlorobenzenamine)", "3,3'-Dicloro-4,4'-diaminodifenilmetano", "3,3'-Dichlor-4,4'-diaminodiphenylmethan", "3,3'-Dichloro-4,4'-diaminodifenilmetano", '4,4-Metilene-bis-o-cloroanilina [Italian]', "Benzenamine, 4,4'-methylenebis(2-chloro-", 'Di-(4-amino-3-clorofenil)metano [Italian]', 'DTXSID5020865', 'CHEBI:28124', '4,4-Methylenebis(2-Chloroaniline)', "3,3'-Dichlor-4,4'-diaminodiphenylmethan [German]", "3,3'-Dicloro-4,4'-diaminodifenilmetano [Italian]", "4,4'-Methylenebis[o-chloroaniline]", "3,3'-Dichloro-4,4'-diaminodifenilmetano [Italian]", "4,4'-methylene bis(o-chloroaniline)", '4-[(4-amino-3-chlorophenyl)methyl]-2-chloroaniline', "Methylene-4,4'-bis(o-chloroaniline)", "4,4'-methanediylbis(2-chloroaniline)", "Aniline, 4,4'-methylenebis[2-chloro-", '4,4-methylenebis[2-chloroaniline]', "p,p'-Methylenebis[o-chloroaniline]", 'Methylenebis[3-Chloro-4-aminobenzene]', "4,4'-Methylenebis[2-chlorobenzenamine]", "p,p'-Methylenebis(.alpha.-chloroaniline)", "p,p'-Methylenebis[.alpha.-chloroaniline]", "4,4'-Methylene-bis(2-chloroaniline), analytical standard", '4,4-Methylene bis(2-chloroaniline)', 'BOCA', 'PubChem12853', "4,4'-Methylenebis-(2-Chlorobenzenamine)", 'DSSTox_CID_865', 'ACMC-1BE7Q', 'CBMicro_013250', "3,4'-diaminodifenilmetano", "3,4'-diaminodiphenylmethan", 'EC 202-918-9', 'Cambridge id 5180272', 'DSSTox_RID_75834', 'DSSTox_GSID_20865', 'Oprea1_093196', 'SCHEMBL43509', '1-13-00-00074 (Beilstein Handbook Reference)', 'KSC175Q8D', 'Methylenebis(2-chloroaniline)', 'MLS002303002', 'CHEMBL82846', "4,3'-(dichlorodiphenyl)methane", 'WLN: ZR CG D1R DZ CG', 'CTK0H5881', 'ZINC56414', 'HMS3039N14', "4,4'-Bis(2-chloroanilino)methane", "4,4'-Methylenebis[2-chloroaniline", 'ALBB-010577', "Aniline,4'-methylenebis[2-chloro-", 'KS-00000YP6', 'NSC52954', 'SMSF0004157', 'Tox21_200651', "4,4'-Methylene-bis-2-chloroaniline", 'ANW-14437', 'LS-326', 'MFCD00047829', 'NSC-52954', 'STK295634', 'AKOS000120884', "Benzenamine,4'-methylenebis[2-chloro-", 'CB03526', 'MCULE-3758655473', "2,2'-dichloro-4,4'-methylendianiline", "2,2'Dichloro-4,4'-methylene dianiline", "ar,ar'-Methylenebis(2-chlorobenzenamine)", "Methylene-bis(2-chloroaniline), 4,4'-", 'NCGC00090906-01', 'NCGC00090906-02', 'NCGC00258205-01', 'CAS-101-14-4', 'I770', 'SMR001307314', 'BIM-0013222.P001', "Met hylene-bis(2-chloroaniline), 4,4'-", "4,4'-Methylenebis-(2-Chlorobenzenamine )", "Benzenamine, ar,ar'-methylenebis(2-chloro-", "3,3'-Dichloro-4,4'-diaminodiphenyl methane", "4,4'-Methylene-bis(2-chloroaniline), 85%", 'M0609', 'NS00005883', 'ST50319834', "Aniline, 4,4'-methylenebis(2-chloro- (8CI)", 'C10999', 'W-6359', "BENZENAMINE,4,4'-METHYLENEBIS[2-CHLORO-", 'SR-01000197737', '[4-(4-Amino-3-chlorobenzyl)-2-chlorophenyl]amine', '4-(4-Amino-3-chlorobenzyl)-2-chlorophenylamine #', 'Q2257591', 'SR-01000197737-1', 'W-108926', '4-[(4-amino-3-chloro-phenyl)methyl]-2-chloro-aniline', '4-[(4-amino-3-chlorophenyl)methyl]-2-chlorophenylamine', "POLY(BISPHENOL A-CO-4,4'-DICHLORODIPHENYL SULFONE)", "2,2'-Methylenebis(4-Methyl-6-Tert-Butylphenol) Monoacrylate", "4,4'-Methylene-bis(2-chloroaniline) 10 microg/mL in Acetonitrile", 'POLY(ADIPIC ACID-CO-BUTYLENE GLYCOL-CO-ETHYLENE GLYCOL-CO-TOLUENE DIISOCYANATE)', "Poly9Benzoyl Chloride-3,4-Dicarboxylic Anhydride-Co-4,4'-Diphenylmethanediamine)", '25928-85-2', "4,4-methylenebis[2-chloroaniline];4,4'-methylenebis[2-chloroaniline];2,2'-dichloro-4,4'-methylenedianiline;4,4'-Methylenebis-(2-chlorobenzenamine)"]</t>
  </si>
  <si>
    <t>Compound(7543)</t>
  </si>
  <si>
    <t>C13H12Cl2N2</t>
  </si>
  <si>
    <t>4,4'-methylenebis (N , N-dimethylaniline )</t>
  </si>
  <si>
    <t>4-[[4-(dimethylamino)phenyl]methyl]-N,N-dimethylaniline</t>
  </si>
  <si>
    <t>['101-61-1', "4,4'-Methylenebis(N,N-dimethylaniline)", "Michler's base", 'Tetrabase', 'Tetra-base', 'Methane base', 'Methylene base', "Michler's hydride", "Michler's methane", "4,4'-Bis(dimethylamino)diphenylmethane", "Reduced michler'S ketone", 'Bis[4-(dimethylamino)phenyl]methane', 'Tetramethyldiaminodiphenylmethane', "4,4'-Tetramethyldiaminodiphenylmethane", 'Baze michlerova', "Arnold's base", "Benzenamine, 4,4'-methylenebis[N,N-dimethyl-", 'Bis(4-(N,N-dimethylamino)phenyl)methane', 'p,p-Dimethylaminodiphenylmethane', "4,4'-Methylenebis(N,N-dimethyl)benzenamine", 'NCI-C01990', 'Diphenylmethane, tetramethyldiamino-', 'p,p-Tetramethyldiaminodiphenylmethane', "4,4'-(Dimethylamino)diphenylmethane", "N,N'-Tetramethyldiaminodiphenylmethane", "p,p'-Bis(dimethylamino)diphenylmethane", 'Bis(p-dimethylaminophenyl)methane', "N,N,N',N'-Tetramethyl-4,4'-methylenedianiline", 'UNII-L6SPP9K4WQ', 'BAZE michlerova [Czech]', "Michler's ketone, reduced", "4,4'-Methylenebis(N,N-dimethylbenzenamine)", 'NSC 36782', 'CCRIS 390', 'Methane, bis(p-(dimethylamino)phenyl)-', "(4,4'-Tetramethyl)diaminodiphenylmethane", "p,p'-Bis(N,N-dimethylaminophenyl)methane", 'HSDB 2856', "Methanediamine, tetramethyl-N,N'-diphenyl-", 'Bis(p-dimethylamino)diphenylmethane', 'Bis(4-(dimethylamino)phenyl)methane', 'EINECS 202-959-2', 'L6SPP9K4WQ', 'Bis(p-(N,N-dimethylamino)phenyl)methane', 'AI3-09165', "Aniline, 4,4'-methylenebis(N,N-dimethyl-", 'CHEBI:34370', "Benzenamine, 4,4'-methylenebis(N,N-dimethyl-", 'Bis[p-(dimethylamino)phenyl]methane', "N,N,N'N'-Tetramethyl-4,4'-diaminodiphenylmethane", "N,N,N'N'-Tetramethyl-p,p'-diaminodiphenylmethane", "p,p'-Tetramethyldiamindiphenylmethane", "4,4'-Methylenebis[N,N-dimethylaniline]", 'Bis[p-(N,N-dimethylamino)phenyl]methane', 'Bis[4-(N,N-dimethylamino)phenyl]methane', "4,4'-Methanediylbis(N,N-dimethylaniline)", "4,4'-Methylenebis(N,N'-dimethylaniline)", "Aniline, 4,4'-methylenebis[N,N-dimethyl-", 'BIS(P-(DIMETHYLAMINO)PHENYL)METHANE', 'DSSTox_CID_869', "4,4'-Methylenebis(N,N-dimethylaniline), 98%", "Methanediamine,N'-diphenyl-", 'DSSTox_RID_75837', 'DSSTox_GSID_20869', '137198-51-7', "N,N,N',N'-Tetramethyl-p,p'-diaminodiphenylmethane", '4-(4-(dimethylamino)benzyl)-n,n-dimethylbenzenamine', "N,N,N',N'-Tetramethyl-4,4'-diaminodiphenylmethane", 'p,N-dimethylaminophenyl)methane', 'Bis[(p-dimethylamino)phenyl]methane', 'Bis[(4-dimethylamino)phenyl]methane', "Aniline,4'-methylenebis[N,N-dimethyl-", "(p,p'-Tetramethyl)diaminodiphenylmethane", 'Methane, bis[p-(dimethylamino)phenyl]-', 'CAS-101-61-1', "Benzenamine,4'-methylenebis[N,N-dimethyl-", "4,4'-Methylenebis[N,N-dimethylbenzenamine]", 'WLN: 1N1 &amp; R D1R DN1 &amp; 1', "N,N',N'-Tetramethyl-p,p'-diaminodiphenylmethane", "N,N',N'-Tetramethyl-4,4'-diaminodiphenylmethane", '30135-64-9', '(4-{[4-(dimethylamino)phenyl]methyl}phenyl)dimethylamine', '4-[[4-(dimethylamino)phenyl]methyl]-N,N-dimethylaniline', '4-{[4-(dimethylamino)phenyl]methyl}-N,N-dimethylaniline', 'Arnolds base', 'Tetra Base', 'MFCD00008317', "4,4'-bis-(Dimethylamino)diphenylmethane", 'Maybridge4_000543', "4,4'-Methylenebis(N,N-dimethyl) benzenamine", 'SCHEMBL76217', 'MLS002454376', 'BIDD:ER0254', 'ACMC-2097w1', "Methane base Michler's hydride", 'CHEMBL1613260', 'DTXSID5020869', "p,p'-dimethylaminodiphenylmethane", 'bis(4-dimethylaminophenyl)methane', 'KS-00000VQK', 'ZINC57164', 'NSC4892', 'NSC9029', 'Bis-(4-dimethylaminophenyl)methane', 'HMS1522I15', 'HMS3055O04', 'NSC-4892', 'NSC-9029', 'NSC36782', 'p,p[-Tetramethyldiamindiphenylmethane', 'Tox21_201389', 'Tox21_300130', 'ANW-14495', 'LS-332', 'NSC-36782', 'SBB056563', 'STL453594', "4,4'-Bis(dimethylaminophenyl)methane", "p,p'-Tetramethyldiaminodiphenylmethane", 'AKOS001574005', "4,4'-Methylenebis N,N-dimethylaniline", 'MCULE-6823168629', 'IDI1_031125', 'NCGC00091580-01', 'NCGC00091580-02', 'NCGC00091580-03', 'NCGC00091580-04', 'NCGC00091580-05', 'NCGC00253976-01', 'NCGC00258940-01', "4,4'-Methylene bis(N,N-dimethylaniline)", "4,4\\'-Methylenebis(N,N-dimethylaniline)", 'b is(p-(N,N-dimethylamino)phenyl)methane', "Methane, bis(4,4'-dimethylaminophenyl)-", 'N704', 'SC-79499', 'SMR001253703', "4,4'-Methylene bis(N,N'-dimethylaniline)", 'DB-002549', "4,4'-Methylene  bis(N,N'-dimethyl)aniline", 'B0483', 'FT-0617017', 'FT-0699810', 'N,N,N;,N;-Tetramethyl-4,4;-diamino diphe', 'NS00007952', 'ST50307972', "4,4'-Methylene bis(N,N-dimethylbenzenamine)", "Aniline, 4,4'-methylenebis-(N,N-dimethyl)-", "Methylene bis(N,N'-dimethyl)aniline, 4,4'-", "4,4'-Methylene bis(N,N-dimethylbenzenamine )", 'C14135', '4-[4-(dimethylamino)benzyl]-N,N-dimethylaniline', "Benzenamine, 4-4'-methylenebis(N,N-dimethyl)-", 'AC-907/25014337', 'SR-01000394054', 'SR-01000394054-1', 'W-108910', 'BRD-K62923262-001-01-4', 'Q27116024', '4-[(4-dimethylaminophenyl)methyl]-N,N-dimethyl-aniline', '[4-[(4-dimethylaminophenyl)-methyl]-phenyl]-dimethyl-amine', '4-[[4-(dimethylamino)phenyl]methyl]-N,N-dimethyl-aniline', 'N-(4-[4-(Dimethylamino)benzyl]phenyl)-N,N-dimethylamine #', "N,N,N',N'-tetramethyl-4,4'-methylenedianiline;tetramethyldiaminodiphenylmethane;N,N,N',N'-tetramethyl-4,4'-methylenedianiline (Michlers base);N,N,N,N-tetramethyl-4,4-methylenedianiline"]</t>
  </si>
  <si>
    <t>Compound(7567)</t>
  </si>
  <si>
    <t>C17H22N2</t>
  </si>
  <si>
    <t>4,4'-diamino diphenyl ether</t>
  </si>
  <si>
    <t>4-(4-aminophenoxy)aniline</t>
  </si>
  <si>
    <t>["4,4'-Oxydianiline", '101-80-4', "4,4'-Diaminodiphenyl ether", '4-Aminophenyl ether', '4,4-Oxydianiline', 'Diaminodiphenyl ether', "Benzenamine, 4,4'-oxybis-", '4-(4-aminophenoxy)aniline', 'Oxydianiline', "4,4'-Oxybisbenzenamine", "p,p'-Oxydianiline", 'Dadpe', 'Bis(4-aminophenyl) ether', '4,4-Diaminodiphenyl ether', 'p-Aminophenyl ether', "p,p'-Oxybis(aniline)", "4,4'-Diaminodiphenyl oxide", "4,4'-Oxydiphenylamine", 'Oxydi-p-phenylenediamine', 'Bis(p-aminophenyl) ether', "Aniline, 4,4'-oxydi-", "p,p'-Diaminodiphenyl ether", "4,4'-Diaminobiphenyl oxide", 'Oxybis(4-aminobenzene)', 'Bis(4-aminophenyl)ether', 'Di-(4-aminophenyl)ether', "4,4'-Diaminophenyl oxide", "4,4'-DIAMINOPHENYL ETHER", 'NCI-C50146', "4,4'-Oxybisaniline", '4,4-Dadpe', 'Bis(p-aminophenyl)ether', "4,4'-Diaminobiphenyloxide", 'UNII-28DLB4Z70T', 'NSC 37075', 'CCRIS 491', "Ether, 4,4'-diaminodiphenyl", '4-(4-Aminophenoxy)phenylamine', 'HSDB 1316', "4,4'-ODA", 'EINECS 202-977-0', "4,4'-diaminodiphenyloxide", 'BRN 0475735', 'AI3-18375', '28DLB4Z70T', 'DTXSID0021094', 'CHEBI:34384', "Aniline,4'-oxydi-", 'Oxybis[4-aminobenzene]', "Benzenamine,4'-oxybis-", "4,4'-Oxybis(aniline)", "4,4'-Oxybis[aniline]", 'WLN: ZR DOR DZ', 'DSSTox_CID_1094', "Ether,4'-diaminodiphenyl-", '4-Aminophenyl ether, 98%', 'DSSTox_RID_75937', 'DSSTox_GSID_21094', "4,4'-Oxydianiline, 97%", 'CAS-101-80-4', '4-aminophenylether', 'PubChem9034', "4,4\\'-Oxydianiline", "4,4'diaminodiphenylether", '4,4-diaminodiphenylether', 'di(4-Aminophenyl) ether', 'CBMicro_028442', 'bis (p-Aminophenyl) Ether', 'EC 202-977-0', 'Cambridge id 5493582', "4,4'-biaminodiphenyl ether", 'ACMC-1C4B6', 'bis (p-Aminoph enyl) Ether', 'Oprea1_332864', 'Oprea1_805797', 'SCHEMBL41849', 'KSC174Q0T', 'BIDD:ER0256', 'ARONIS016720', 'CHEMBL354663', "Ether, 4,4'-diaminodiphenyl-", 'CTK0H4809', 'KS-00000UHU', 'NSC6089', '4-(4-Aminophenoxy)phenylamine #', 'ZINC260472', 'ACT07422', 'KS-000049BA', 'NSC-6089', 'NSC37075', 'Tox21_202035', 'Tox21_300133', 'ANW-43067', 'BBL012119', 'CO0020', 'LS-339', 'MFCD00007863', 'NSC-37075', 'SBB003546', 'STK046240', 'AKOS000118817', 'CCG-105139', 'MCULE-1839823867', 'NE10523', 'PS-5282', "4,4'-Oxydianiline, analytical standard", "4-Aminophenylether (4,4'-Oxydianiline)", 'NCGC00091391-01', 'NCGC00091391-02', 'NCGC00091391-03', 'NCGC00091391-04', 'NCGC00253956-01', 'NCGC00259584-01', 'AC-11212', 'SC-26746', 'BIM-0028242.P001', 'FT-0617023', 'NS00002329', 'O0088', 'ST45031076', 'C14759', "4,4'-Oxydianiline, purified by sublimation, 99%", 'SR-01000414668', 'Q3704503', 'SR-01000414668-1', 'W-108902', 'Z56775415', "4,4'-Oxydianiline, zone-refined, purified by sublimation, &gt;=99%", "Aniline, 4,4'-oxydi-;4,4'-oxydianiline;P-DIAMINODIPHENYLETHER"]</t>
  </si>
  <si>
    <t>Compound(7579)</t>
  </si>
  <si>
    <t>C12H12N2O</t>
  </si>
  <si>
    <t>4,4'-dichlorobenzophenone</t>
  </si>
  <si>
    <t>bis(4-chlorophenyl)methanone</t>
  </si>
  <si>
    <t>["4,4'-Dichlorobenzophenone", '90-98-2', 'Bis(4-chlorophenyl)methanone', 'Methanone, bis(4-chlorophenyl)-', 'Bis(4-chlorophenyl) ketone', 'DCBP', 'Di(p-chlorophenyl)ketone', 'Di(4-chlorophenyl)ketone', 'Bis(p-chlorophenyl)ketone', "P,P'-DICHLOROBENZOPHENONE", 'USAF DO-4', 'p-Dichlorobenzophenone', "Benzophenone, 4,4'-dichloro-", 'Bis(4-chlorophenyl)ketone', 'DBP (degradation product)', '4,4-DICHLOROBENZOPHENONE', 'DBP (VAN)', 'UNII-3MTL0YC2Q5', 'NSC 8787', 'MFCD00000623', 'EINECS 202-030-1', 'BRN 0643345', '3MTL0YC2Q5', 'AI3-03064', "4,4'-Dichlorobenzophenone (DBP)", 'di4-chlorophenyl ketone', 'AK164450', 'EN300-31834', 'AE-641/00433006', 'W-100319', "4,4'-dichloro-benzophenone", 'PubChem3396', 'p,p-Dichlorobenzophenone', 'Benzophenone-p.p-Dichloro', 'WLN: GR DVR DG', '4,4;-dichlorobenzophenone', '4,4?-Dichlorobenzophenone', 'ACMC-209r7s', 'bmse000517', "4,4'-dichloro benzophenone", "4,4\\'-Dichlorobenzophenone", 'DSSTox_CID_17626', 'DSSTox_RID_79350', 'DSSTox_GSID_37626', 'SCHEMBL51827', '4,4 inverted exclamation mark -dichlorobenzophenone', '4-07-00-01376 (Beilstein Handbook Reference)', 'bis(4-chlorophenyl)-methanone', 'Bis(4-chlorophenyl)methanone #', 'CHEMBL1870191', 'DTXSID3037626', 'bis-(4-chloro-phenyl)-methanone', 'CTK3I7159', 'Benzophenone dichloride (Related)', 'NSC8787', "4,4'-Dichlorobenzophenone, 99%", 'ZINC388094', "4,4'-DBP", 'NSC-8787', 'ZX-AT010582', 'Tox21_302130', 'ANW-39542', 'OR5010', 'SBB058936', 'STK290986', 'AKOS000282714', 'MCULE-2735852760', 'CAS-90-98-2', 'KS-00000C26', "4,4'-Dichlorobenzophenone (p,p'-DBP)", 'NCGC00163933-01', 'NCGC00255637-01', 'AC-10278', 'AS-11851', 'CC-17139', 'LS-38896', 'SC-76909', 'SY009660', 'BC4157462', 'DB-057234', 'D1621', 'FT-0617037', 'NS00008814', 'ST50308023', "4,4'-DBP, PESTANAL(R), analytical standard", 'A-8339', 'C06643', 'C-15475', "4,4'-Dichlorobenzophenone, purum, &gt;=99.0% (GC)", 'Q4637048', "4,4'-Dichlorobenzophenone 10 microg/mL in Cyclohexane", 'Z336481680', "4,4?-Dichlorobenzophenone (p,p'-DBP);4,4'-dichlorobenzophenone;4,4-dichlorobenzophenone"]</t>
  </si>
  <si>
    <t>Compound(7034)</t>
  </si>
  <si>
    <t>C13H8Cl2O</t>
  </si>
  <si>
    <t>4,4'-dichlorodiphenyldichloroethane</t>
  </si>
  <si>
    <t>1-chloro-4-[2,2-dichloro-1-(4-chlorophenyl)ethyl]benzene</t>
  </si>
  <si>
    <t>["p,p'-DDD", '72-54-8', 'Rhothane', 'Dilene', 'Tetrachlorodiphenylethane', 'Dichlorodiphenyldichloroethane', "p,p'-TDE", 'Rothane', '1,1-Dichloro-2,2-bis(p-chlorophenyl)ethane', "4,4'-DDD", 'Rhothane d-3', '2,2-Bis(4-chlorophenyl)-1,1-dichloroethane', 'DDD', 'TDE', '1,1-Dichloro-2,2-bis(4-chlorophenyl)ethane', 'Rcra waste number U060', '1,1-Bis(4-chlorophenyl)-2,2-dichloroethane', "Benzene, 1,1'-(2,2-dichloroethylidene)bis[4-chloro-", 'NCI-C00475', "p,p'-Dichlorodiphenyldichloroethane", 'OMS 1078', 'Caswell No. 307', 'ENT 4,225', '2,2-Bis(p-chlorophenyl)-1,1-dichloroethane', "DDD, p,p'-", 'NSC 8941', '1,1-Bis(p-chlorophenyl)-2,2-dichloroethane', 'CCRIS 573', 'Dichlorodiphenyl dichloroethane', "1,1'-(2,2-dichloroethane-1,1-diyl)bis(4-chlorobenzene)", 'ME-1700', 'HSDB 285', 'UNII-V14159DF29', "1,1'-(2,2-dichloroethylidene)bis[4-chlorobenzene]", 'Me-700', '4,4-DDD', "p,p'-Dichlorodiphenyl-2,2-dichloroethylene", '1,1-Dichloro-2,2-di(4-chlorophenyl)ethane', "1,1-Dichloro-2,2-bis(4'-chlorophenyl)ethane", '1,1-Dichloro-2,2-bis(parachlorophenyl)ethane', 'EINECS 200-783-0', 'Ethane, 1,1-dichloro-2,2-bis(p-chlorophenyl)-', 'RCRA waste no. U060', 'EPA Pesticide Chemical Code 029101', 'BRN 1914072', 'AI3-04225', 'CHEMBL196590', '1,1-Dicloro-2,2-bis(4-cloro-fenil)-etano', 'CHEBI:27841', '1,1-Dichlor-2,2-bis(4-chlor-phenyl)-aethan', '1,1-Dichloor-2,2-bis(4-chloor fenyl)-ethaan', "p,p'-Dichlorodiphenyl dichloroethane", 'ME1700', "p,p'-(Dichlorodiphenyl)dichloroethane", '1,1-Dicloro-2,2-bis(4-cloro-fenil)-etano [Italian]', "Benzene, 1,1'-(2,2-dichloroethylidene)bis(4-chloro-", 'V14159DF29', '1,1-Dichloor-2,2-bis(4-chloor fenyl)-ethaan [Dutch]', '1,1-Dichlor-2,2-bis(4-chlor-phenyl)-aethan [German]', '1,1-Dichloro-2,2-bis(4-chlorophenyl)-ethane [French]', 'Dichloro-2,2-bis(p-chlorophenyl)ethane', '1-Chloro-4-[2,2-dichloro-1-(4-chlorophenyl)ethyl]benzene', 'DSSTox_CID_373', '2,2-bis-(4-chlorophenyl)-1,1-dichloroethane', 'DSSTox_RID_75549', 'DSSTox_GSID_20373', '1,1-DICHLORO-2,2-BIS(PARA-CHLOROPHENYL)ETHANE', 'CAS-72-54-8', '1,1-bis[p-chlorophenyl]-2,2-dichloroethane', 'TDE [ISO]', "4,4'-DDD (1,1-Dichloro-2,2-bis(p-chlorophenyl)ethane)", 'Rh othane', 'p,p[-DDD', "DDD(p,p')", 'ACMC-1BD9D', 'bmse000845', '1,1-Dichloro-2,2-bis(4-chlorophenyl)-ethane', 'WLN: GYGYR DG&amp;R DG', 'MLS002454447', 'BIDD:ER0614', 'SCHEMBL819163', '(Dichlorodiphenyl)dichloroethane', '1,2-bis(p-chlorophenyl)ethane', '1,2-di(4-chlorophenyl)ethane', 'DTXSID4020373', '1,2-bis(4-cloro-fenil)-etano', 'CTK6G5642', '1,2-bis(4-chlorophenyl)-ethane', '4.4-DDD', 'NSC8941', '1,2-bis(4-chloor fenyl)-ethaan', '1,2-bis(4-chlor-phenyl)-aethan', 'HY-B1984', 'NSC-8941', 'ZINC1530501', 'Tox21_201296', 'Tox21_300191', '6146AF', 'ANW-36221', 'BDBM50410537', 'MFCD00000851', "p,p'-Dichlorodip henyl dichloroethane", 'AKOS015902432', 'LS-1615', 'NCGC00091750-01', 'NCGC00091750-02', 'NCGC00091750-03', 'NCGC00091750-04', 'NCGC00254134-01', 'NCGC00258848-01', "4,4'-DDD 10 microg/mL in Cyclohexane", "4,4'-DDD 1000 microg/mL in Toluene", "p,p'-Dichlorodiphenyldichloroethane (DDD)", 'SMR001253876', "4,4'-DDD 100 microg/mL in Cyclohexane", 'B0132', 'CS-0014083', 'Ethane,1-dichloro-2,2-bis(p-chlorophenyl)-', 'FT-0609171', 'NS00007051', "4,4'-DDD, PESTANAL(R), analytical standard", 'C06636', 'Ethane, 1,1-dichloro-2,2-bis(4-chlorophenyl)-', 'Q417682', "Benzene,1'-(2,2-dichloroethylidene)bis[4-chloro-", "1,1-Dichloro-2,2-bis(4'-chlorophenyl)ethane (DDD)", "p,p'-DDD;P,P'-DDD;4,4?-DDD;TDE;p , p'-DDD", "Dilene; ME 1700; NSC 8941; Rhothane; TDE;4,4'-TDE", '1,1-Dichloro-2,2-bis(4-chlorophenyl)ethane, technical grade', '1-Chloro-4-[2,2-dichloro-1-(4-chlorophenyl)ethyl]benzene #', "Benzene, 1,1'-(2,2-dichloroethylidene)bis(4-chloro- (9CI)", "4,4'-DDD solution, certified reference material, 5000 mug/mL in methanol", "4,4'-DDD solution, PESTANAL(R), analytical standard, 100 ng/muL in methanol"]</t>
  </si>
  <si>
    <t>Compound(6294)</t>
  </si>
  <si>
    <t>4,4'-dichlorodiphenyldichloroethylene</t>
  </si>
  <si>
    <t>1-chloro-4-[2,2-dichloro-1-(4-chlorophenyl)ethenyl]benzene</t>
  </si>
  <si>
    <t>["p,p'-DDE", '72-55-9', "4,4'-DDE", 'dichlorodiphenyldichloroethylene', 'DDT dehydrochloride', '2,2-Bis(4-chlorophenyl)-1,1-dichloroethylene', '1,1-Dichloro-2,2-bis(4-chlorophenyl)ethene', 'DDE', 'NCI-C00555', "p,p'-Dichlorodiphenyldichloroethylene", "p,p'-Dichlorodiphenyl dichloroethylene", "p,p'-(Dichlorodiphenyl)-2,2-dichloroethylene", '1,1-Dichloro-2,2-bis(p-chlorophenyl)ethylene', 'Ethylene, 1,1-dichloro-2,2-bis(p-chlorophenyl)-', 'DDE (VAN)', "DDE, p,p'-", 'NSC 1153', "para,para'-DDE", '2,2-Bis(p-chlorophenyl)-1,1-dichloroethylene', 'CCRIS 193', '1,1-Dichloro-2,2-bis(4-chlorophenyl)ethylene', 'Dichlorodiphenyl dichloroethene', 'UNII-4M7FS82U08', '1-chloro-4-[2,2-dichloro-1-(4-chlorophenyl)ethenyl]benzene', 'HSDB 1625', '4,4-DDE', '1,1-Dichloro-2,2-bis(p-chlorophenyl)ethene', '1,1-Dichloro-2,2-di(p-chlorophenyl)ethylene', '2,2-Bis(4-chlorophenyl)-1,1-dichloroethene', '1,1-Bis(p-chlorophenyl)-2,2-dichloroethylene', 'EINECS 200-784-6', "1,1'-(Dichloroethenylidene)bis(4-chlorobenzene)", "Benzene, 1,1'-(dichloroethenylidene)bis[4-chloro-", 'BRN 1913355', 'AI3-01715', 'CHEMBL363207', 'CHEBI:16598', '4.4-DDE', "1,1-Dichloro-2,2-bis(4'-chlorophenyl)ethylene", '4M7FS82U08', '1,1-Dichloro-2,2-bis(para-chlorophenyl) ethylene', '1,1-BIS(CHLOROPHENYL)-2,2-DICHLOROETHYLENE', "Benzene, 1,1'-(dichloroethenylidene)bis(4-chloro-", "p,p'-Dichlorodiphenoldichloroethylene", '68679-99-2', "1,1'-(2,2-dichloroethene-1,1-diyl)bis(4-chlorobenzene)", 'DSSTox_CID_374', "p,p' -DDE", 'DSSTox_RID_75550', 'DSSTox_GSID_20374', "p,p'-DDE (p,p'-Dichlorodiphenyldichloroethylene)", "1,1'-(DICHLOROVINYLIDENE)BIS[CHLOROBENZENE]", "Benzene, 1,1'-(2,2-dichloroethenylidene)bis(chloro-", '1-[2,2-Bis(Chloranyl)-1-(4-Chlorophenyl)ethenyl]-4-Chloranyl-Benzene', 'CAS-72-55-9', 'SMR001224518', "1,1'-(Dichlorovinylidene)bis(chlorobenzene)", "1,1'-(Dichloroethenylidene)bis[4-chlorobenzene]", "Benzene, 1,1'-(2,2-dichloroethenylidene)bis[chloro-", "4,4'-DDE (1,1-Dichloro-2,2-bis(p-chlorophenyl)ethene)", 'Dichlorodiphenyl Dichloroethylene', 'p,p-Dde', 'EINECS 272-060-8', "p,p'-DDT mixture", 'p,2-dichloroethylene', "p,p'-:dde", 'Spectrum_001941', 'ACMC-209onl', 'SpecPlus_000582', 'p,p[-DDE', 'p,p`-DDE', "p,p'-Dichlorodiphenyldichloroethylene (DDE)", 'Spectrum2_001865', 'Spectrum3_000861', 'Spectrum4_000701', 'Spectrum5_002042', '2,2-Bis(chlorophenyl)-1,1-dichloroethylene', "DDE(p,p')", "1,1'-Bis(chlorophenyl)-2,2-dichloroethylene", "Benzene, 1,1'-(dichloroethenylidene)bis(chloro-", 'BIDD:PXR0109', 'BSPBio_002501', 'KBioGR_001221', 'KBioSS_002495', 'SPECTRUM330072', 'WLN: GYGUYR DG&amp;R DG', 'MLS001055473', 'MLS002152918', 'BIDD:ER0615', 'DivK1c_006678', 'SCHEMBL177472', 'SPBio_001710', '1,2-bis(p-chlorophenyl)ethene', '1,2-di(p-chlorophenyl)ethylene', 'DTXSID9020374', 'ETHYLENE, 2,2-BIS(CHLOROPHENYL)-1,1-DICHLORO-', '1,2-bis(p-chlorophenyl)ethylene', 'CTK8B2236', 'KBio1_001622', 'KBio2_002487', 'KBio2_005055', 'KBio2_007623', 'KBio3_002001', 'NSC1153', 'HMS2230C07', 'HMS3369G06', 'HY-B1986', 'KS-000017LU', 'NSC-1153', 'ZINC1530006', 'Tox21_201260', 'Tox21_300109', 'ANW-36223', 'BDBM50410512', 'CCG-39403', 's5437', 'AKOS015902433', "DDE; NSC 1153; p,p'-DDE", 'LS-1616', "p,p'-(Dichlorodiphenyl)dichloroethylene", 'NCGC00090888-01', 'NCGC00090888-02', 'NCGC00090888-03', 'NCGC00090888-04', 'NCGC00090888-05', 'NCGC00090888-06', 'NCGC00090888-07', 'NCGC00090888-08', 'NCGC00090888-09', 'NCGC00090888-10', 'NCGC00254155-01', 'NCGC00258812-01', "4,4'-DDE 10 microg/mL in Cyclohexane", "4,4'-DDE 1000 microg/mL in Toluene", 'LS-68298', "4,4'-DDE 10 microg/mL in Acetonitrile", "4,4'-DDE 100 microg/mL in Cyclohexane", '2,2-bis(p-chlorophenyl)-1,1-dichloroethene', 'B0133', 'CS-0014085', 'FT-0609172', 'NS00002973', "4,4'-DDE, PESTANAL(R), analytical standard", 'A19100', "Benzene,1'-(dichloroethenylidene)bis[4-chloro-", 'C04596', 'Ethylene,1-dichloro-2,2-bis(p-chlorophenyl)-', '1,1-Dichloro-2,2-bis(4-chlorophenyl)ethene 99%', 'Q409592', '1,1-Dichloro-2,2-bis(4-chlorophenyl)ethene, 99%', "P,P'-DICHLORODIPHENYLDIC HLOROETHYLENE (DDE)", "1,1-Dichloro-2,2-bis(4'-chlorophenyl)ethylene (DDE)", '1,1-DICHLORO-2,2-BIS(PARA-CHLOROPHENYL)ETYLENE', '1-Chloro-4-[2,2-dichloro-1-(4-chlorophenyl)vinyl]benzene', "Benzene, 1,1'-(dichloroethenylidene)bis(4-chloro- (9CI)", '1-Chloro-4-[2,2-dichloro-1-(4-chlorophenyl)vinyl]benzene #', "4,4'-DDE solution, 20 mug/mL in methanol, analytical standard", "4,4'-DDE solution, 200 mug/mL in isooctane, analytical standard", "4,4'-DDE solution, certified reference material, 5000 mug/mL in methanol", "1,1-Dichloro-2,2-bis(p-chlorophenyl) ethylene;p,p'-DDE;P,P'-DDE ;p , p'-DDE;2,2-bis(p-chlorophenyl)-1,1-dichloroethylene", '6WS']</t>
  </si>
  <si>
    <t>Compound(3035)</t>
  </si>
  <si>
    <t>4,4'-dichlorodiphenyltrichloroethane</t>
  </si>
  <si>
    <t>1-chloro-4-[2,2,2-trichloro-1-(4-chlorophenyl)ethyl]benzene</t>
  </si>
  <si>
    <t>['Clofenotane', "p,p'-DDT", 'Chlorophenothane', 'dichlorodiphenyltrichloroethane', '50-29-3', 'Dicophane', "4,4'-DDT", 'Chlorphenothan', 'Chlorphenotoxum', 'Parachlorocidum', 'Pentachlorin', 'Zerdane', 'DDT', 'Arkotine', 'Benzochloryl', 'Bovidermol', 'Estonate', 'Guesarol', 'Santobane', 'Agritan', 'Anofex', 'Deoval', 'Detoxan', 'Didigam', 'Didimac', 'Genitox', 'Gesafid', 'Gesarol', 'Ivoran', 'Ixodex', 'Kopsol', 'Neocid', 'Pentech', 'Rukseam', 'Chlorophenotoxum', 'Citox', 'Detox', 'Dykol', 'Gyron', 'Bosan Supra', 'Chlorophenothan', 'Penticidum', 'Dibovin', 'Mutoxan', 'Tafidex', 'Zeidane', 'Dodat', 'Hildit', 'Aavero-extra', 'PEB1', "p,p'-Dichlorodiphenyltrichloroethane", 'Chlorphenotane', 'Chlofenotan', 'Clofenotan', 'Ppzeidan', 'Azotox', '1,1,1-Trichloro-2,2-bis(4-chlorophenyl)ethane', 'Chlorophenothanum', "4,4'-Dichlorodiphenyltrichloroethane", 'Trichlorobis(4-chlorophenyl)ethane', 'Clofenotane technique', 'Dibovan', 'Gesapon', 'Gesarex', 'Geusapon', 'Guesapon', 'Mutoxin', 'Penticide', 'Dedelo', 'Havero-extra', 'Neocidol (solid)', 'OMS 16', 'Chlorophenothanum technicum', 'Detox (pesticide)', 'Rcra waste number U061', 'D.D.T. technique', 'NCI-C00464', 'Neocid (VAN)', '1,1,1-Trichloro-2,2-bis(p-chlorophenyl)ethane', '1,1-Bis(4-chlorophenyl)-2,2,2-trichloroethane', 'Azotox M 33', 'Caswell No. 308', "p'-Zeidane [France]", '2,2-Bis(p-chlorophenyl)-1,1,1-trichloroethane', 'Neocidol, solid', 'Tech ddt', 'DDT [BSI:ISO]', '1-Chloro-4-[2,2,2-trichloro-1-(4-chlorophenyl)ethyl]benzene', 'Clofenotanum [INN-Latin]', 'Clofenotano [INN-Spanish]', "DDT, p,p'-", 'NSC 8939', 'OMS 0016 [French]', "para,para'-DDT", 'ENT 1,506', 'CCRIS 194', 'DDT 50 WP', 'DDT and metabolites', 'Micro ddt 75', 'UNII-CIW5S16655', 'HSDB 200', 'Azotox M-33', 'Ethane, 1,1,1-trichloro-2,2-bis(p-chlorophenyl)-', "1,1'-(2,2,2-trichloroethylidene)bis[4-chlorobenzene]", "1,1,1-Trichloro-2,2-bis(4,4'-dichlorodiphenyl)ethane", 'Klorfenoton [Swedish Pharmacopoeia]', 'EINECS 200-024-3', "1,1'-(2,2,2-trichloroethane-1,1-diyl)bis(4-chlorobenzene)", '1,1,1-Trichloro-2,2-di(4-chlorophenyl)-ethane', '1,1-Bis-(p-chlorophenyl)-2,2,2-trichloroethane', 'RCRA waste no. U061', 'EPA Pesticide Chemical Code 029201', "1,1,1-Trichloro-2,2-bis-(4'-chlorophenyl)ethane", '1,1,1-Trichlorobis(chlorophenyl)ethane', 'BRN 1882657', 'Ethane, 1,1,1-trichloro-2,2-bis(4-chlorophenyl)-', 'AI3-01506', 'Bis(p-chlorophenyl)-2,2,2-trichloroethane', "Benzene, 1,1'-(2,2,2-trichloroethylidene)bis[4-chloro-", 'alpha,alpha-Bis(p-chlorophenyl)-beta,beta,beta-trichlorethane', 'CHEBI:16130', '1,1,1-Tricloro-2,2-bis(4-cloro-fenil)-etano', '2,2,2-Trichloro-1,1-bis(4-chlorophenyl)ethane', 'CIW5S16655', '1,1,1-Trichlor-2,2-bis(4-chlor-phenyl)-aethan', 'ENT-1506', "Trichlorobis(4'-chlorophenyl)ethane", '1,1,1-Trichloor-2,2-bis(4-chloor fenyl)-ethaan', 'Clofenotane (INN)', 'Clofenotane [INN]', 'Dichlorodiphenyltrichloroethane (DDT)', "1,1'-(2,2,2-Trichloroethylidene)bis(4-chlorobenzene)", '1,1,1-Trichloor-2,2-bis(4-chloor fenyl)-ethaan [Dutch]', '1,1,1-Trichlor-2,2-bis(4-chlor-phenyl)-aethan [German]', '1,1,1-Tricloro-2,2-bis(4-cloro-fenil)-etano [Italian]', '1,1,1-Tricloro-2,2-bis(4-cloro-fenyl)-etano [Italian]', 'NCGC00091071-01', 'Clofenotanum', '2,2,2-trichlorobis(4-chlorophenyl)ethane', 'alpha,alpha-Bis(p-chlorophenyl)-beta,beta,beta-trichloroethane', 'DSSTox_CID_375', '1,1-Bis(p-chlorophenyl)-2,2,2-trichloroethane', 'DSSTox_RID_75551', '1,1,1-trichloro-2-2-bis(4-chlorophenyl)ethane', '1,1-bis(p-Chlorophenyl)-2,2,2-trichIoroethane', 'DSSTox_GSID_20375', 'R50', '1,1,1-TRICHLORO-2,2-BIS(PARA-CHLOROPHNYL)ETHANE', "Benzene, 1,1'-(2,2,2-trichloroethylidene)bis(4-chloro-", 'Clofenotano', 'Klorfenoton', '1-Chloranyl-4-[2,2,2-Tris(Chloranyl)-1-(4-Chlorophenyl)ethyl]benzene', "p'-Zeidane", 'CAS-50-29-3', 'Dicophaner', "4,4'-DDT (1,1,1-Trichloro-2,2-bis(p-chlorophenyl)ethane)", '4-chloro-1-[2,2,2-trichloro-1-(4-chlorophenyl)ethyl]benzene', 'pe ntech', 'micro         ddt 75', '4,4-DDT', 'Dicophane, BAN', 'OMS 0016', 'p,p-DDT', 'Chlorophenothane [NF]', 'Spectrum_001927', "4,4'-DDT solution", 'SpecPlus_000558', "p,p'-Dichlorodiphenyltrichloroethane (DDT)", 'Spectrum2_001233', 'Spectrum3_000859', 'Spectrum4_000699', 'Spectrum5_002036', "p,p'-DDT, BSI", "DDT(p,p')", 'bmse000634', 'SCHEMBL7181', '1,1,1-Tricloro-2,2-bis(4-cloro-fenyl)-etano', 'BIDD:PXR0066', 'BSPBio_002477', 'Dichlorojiphinyltrichloroethane', 'KBioGR_001197', 'KBioSS_002469', 'SPECTRUM330070', 'WLN: GXGGYR DG&amp;R DG', 'BIDD:ER0496', 'DivK1c_006654', 'SPBio_001106', 'CHEMBL416898', '1,1,1-Trichloro-2,2-bis(4-chlorophenyl)ethane solution', 'DTXSID4020375', 'KBio1_001598', 'KBio2_002462', 'KBio2_005030', 'KBio2_007598', 'KBio3_001977', '4.4-DDT', 'NSC8939', 'ACM50293', 'NSC-8939', 'ZINC1530011', 'Tox21_111076', 'Tox21_201495', 'Tox21_300067', 'BDBM50410508', 'CCG-39114', 'LS-138', 'MFCD00000802', 'SBB061567', '.alpha.,.beta.,.beta.-trichlorethane', 'AKOS003235691', 'Tox21_111076_1', 'DB13424', 'MCULE-1446144401', "p,p'-DDT 100 microg/mL in Methanol", 'NCGC00091071-02', 'NCGC00091071-03', 'NCGC00091071-04', 'NCGC00091071-05', 'NCGC00091071-06', 'NCGC00091071-07', 'NCGC00091071-08', 'NCGC00254176-01', 'NCGC00259046-01', 'Trichloro-2,2-bis(p-chlorophenyl)ethane', "4,4'-DDT 10 microg/mL in Cyclohexane", "4,4'-DDT 1000 microg/mL in Toluene", 'AC-12071', 'CC-25919', "4,4'-DDT 100 microg/mL in Cyclohexane", "4,4'-DDT 5000 microg/mL in Methanol", "4,4'-DDT, 98%", "Dichlorodiphenyltrichloroethane (p,p'-DDT)", "p,p'-Dichlorodiphenyltrichloromethylmethane", '2,2,2-trichlorobis(4-chloroph enyl)ethane', 'DB-051751', 'Bis(p-chlorophenyl)-2,2,2-trichloroetha ne', 'FT-0603206', 'ST51047572', 'T0379', '1,1-Trichloro-2,2-bis(p-chlorophenyl)ethane', '1,1-Trichloro-2,2-di(4-chlorophenyl)ethane', '1,1-Tricloro-2,2-bis(4-cloro-fenil)-etano', "4,4'-DDT solution 100 ng/muL in methanol", '1,1-Trichlor-2,2-bis(4-chlor-phenyl)-aethan', "4,4'-DDT, PESTANAL(R), analytical standard", 'C04623', 'D07367', '1,1,1-Trichloro-2,2-di(4-chlorophenyl)ethane', '1,1-Trichloor-2,2-bis(4-chloor fenyl)-ethaan', 'Ethane,1,1-trichloro-2,2-bis(4-chlorophenyl)-', 'Ethane,1,1-trichloro-2,2-bis(p-chlorophenyl)-', '1,1,1-trichloro-2,2-bis(4-chlorophenyl)-ethane', '1,1,1-trichloro-2,2-bis(p-chlorophenyl)-ethane', '2,2,2-Trichloro-1,1-bis(p-chlorophenyl)-Ethane', 'C-20741', 'Q163648', 'SR-01000883717', '1,1,1-trichloro-2,2-bis (p-chlorophenyl) ethane', 'SR-01000883717-1', "1,1-Trichloro-2,2-bis(4,4'-dichlorodiphenyl)ethane", "Benzene,1'-(2,2,2-trichloroethylidene)bis[4-chloro-", 'BRD-K51799616-001-02-2', "1,1'-(2,2,2,-Trichloroethylidene)bis[4-chlorobenzene]", "1,1'-(2,2,2-Trichloroethylidene)bis(4-chloro)-Benzene", "4,4'-DDT, certified reference material, TraceCERT(R)", "Benzene, 1,1'(2,2,2-trichloroethylidene)bis[4-chloro-", "1,1,1-Trichloro-2,2-bis-(4'-chlorophenyl)ethane (DDT)", "4,4'-(2,2,2-Trichloroethane-1,1-diyl)bis(chlorobenzene)", "1,1'-(2,2,2-Trichloroethylidene)bis(4-chlorobenzene), 9CI", '1,1-Trichloro-2,2-bis(p-chlorophenyl)ethane chlorophenothane', "p,p'-DDT~p,p' -Dichloro-1,1-diphenyl-2,2,2-trichloroethane", "p,p'-DDT~p,p'-Dichloro-1,1-diphenyl-2,2,2-trichloroethane", '1-Chloro-4-[2,2,2-trichloro-1-(4-chlorophenyl)ethyl]benzene #', "4,4'-DDT solution, 200 mug/mL in isooctane, analytical standard", '.alpha.,.alpha.-Bis(p-chlorophenyl)-.beta.,.beta.,.beta.-trichlorethane', "4,4'-DDT solution, certified reference material, 5000 mug/mL in methanol", "4,4'-DDT solution, 100 ng/muL in methanol, PESTANAL(R), analytical standard", '6WT']</t>
  </si>
  <si>
    <t>Compound(3036)</t>
  </si>
  <si>
    <t>4,4'-sulfonyl diphenol</t>
  </si>
  <si>
    <t>4-(4-hydroxyphenyl)sulfonylphenol</t>
  </si>
  <si>
    <t>["4,4'-Sulfonyldiphenol", 'Bisphenol S', '80-09-1', "Phenol, 4,4'-sulfonylbis-", 'Bis(4-hydroxyphenyl) sulfone', "4,4'-Dihydroxydiphenyl sulfone", '4-(4-hydroxyphenyl)sulfonylphenol', '4-Hydroxyphenyl sulfone', 'Bis(p-hydroxyphenyl) sulfone', "4,4'-Sulfonylbisphenol", 'Diphone C', 'Bis(4-hydroxyphenyl)sulfone', "4,4'-Bisphenol S", "4,4'-Sulphonyldiphenol", 'Bis(p-hydroxyphenyl)sulfone', 'BPS 1', "1,1'-Sulfonylbis(4-hydroxybenzene)", '4,4-Sulfonyldiphenol', "P,P'-Dihydroxydiphenyl sulfone", 'NSC 8712', "PHENOL, 4,4'-SULFONYLDI-", 'UNII-3OX4RR782R', 'NSC 683541', 'CCRIS 2647', '4-(4-hydroxybenzenesulfonyl)phenol', 'EINECS 201-250-5', '4-[(4-hydroxyphenyl)sulfonyl]phenol', 'BRN 2052954', "4,4'-dihydroxydiphenylsulfone", 'AI3-08667', '3OX4RR782R', "4,4'-dihydroxy diphenyl sulfone", 'CHEBI:34372', 'NSC8712', '4-(4-hydroxyphenylsulfonyl)phenol', "1,1'-Sulfonylbis[4-hydroxybenzene]", 'MFCD00002350', 'NSC683541', 'DSSTox_CID_2409', 'DSSTox_RID_76579', 'DSSTox_GSID_22409', "4,4'-Sulfonyldiphenol (4,4'-Dihydroxydiphenylsulfone)", 'CAS-80-09-1', '170275-06-6', 'bisphenols', "4,4'-Dihydroxydiphenyl sulphone", 'HSDB 8087', 'DHDPhS', 'Bisphenol S (*)', '4,4`-Sulfonyldiphenol', "Phenol,4'-sulfonylbis-", "4,4\\'-sulfonyldiphenol", 'WLN: QR DSWR DQ', "Bisphenol S (4,4')", 'ChemDiv3_000253', 'EC 201-250-5', "4,4'-Sulfonylbis[phenol]", 'Cambridge id 5137133', 'di-(4-Hydroxyphenyl)sulfone', 'Oprea1_709121', 'SCHEMBL18838', '4-06-00-05809 (Beilstein Handbook Reference)', 'KSC448A6N', 'MLS001195068', '4,4;-Dihydroxydiphenylsulfone', 'BIDD:ER0209', 'bis(4-hydroxylphenyl) sulfone', "4,4'-Dihydroxydiphenylsulphone", 'ACMC-20977e', "4,4'-dihydroxy diphenylsulfone", 'CHEMBL384441', "4,4'-Sulfonyldiphenol, 98%", 'DTXSID3022409', 'BP_06 (BPS)', 'CTK3E8066', 'ZINC56964', 'Bisphenol??S, analytical standard', 'HMS2866C04', "4,4'-Sulfonyldiphenol, 99.7%", "PHENOL,3,3'-SULFONYLBIS-", 'KS-00000JP2', 'NSC-8712', 'EINECS 247-158-9', 'Tox21_201743', 'Tox21_302843', 'ANW-13608', 'BBL004108', 'SBB056786', 'STK267009', 'AKOS000119535', 'DS-5781', 'MCULE-1599233293', 'NSC-683541', 'IDI1_019571', 'NCGC00164029-01', 'NCGC00164029-02', 'NCGC00256437-01', 'NCGC00259292-01', 'AC-11720', 'AK112768', 'SC-74946', 'SMR000554491', 'AB0007499', 'LS-105122', 'B0495', 'EU-0066997', 'FT-0623040', 'ST50308058', 'T8193', 'C14216', "4,4'-Dihydroxydiphenyl sulfone (4,4'-DHDPS)", "4,4'-Dihydroxydiphenyl sulphone (4,4'-DHDPS)", 'AB00275288-05', 'A839834', 'Q418379', 'W-104249', 'Z57158549', 'F0266-0794', '4,4-Dihydroxydiphenyl Sulfone; Bis(4-hydroxyphenyl) Sulfone', '6JD']</t>
  </si>
  <si>
    <t>Compound(6626)</t>
  </si>
  <si>
    <t>C12H10O4S</t>
  </si>
  <si>
    <t>4,4'-thiobisbenzenamine</t>
  </si>
  <si>
    <t>4-(4-aminophenyl)sulfanylaniline</t>
  </si>
  <si>
    <t>["4,4'-Thiodianiline", '139-65-1', "4,4'-Diaminodiphenyl sulfide", "Benzenamine, 4,4'-thiobis-", 'Bis(4-aminophenyl) sulfide', "4,4'-Thioaniline", 'p,p-Thiodianiline', '4,4-thiodianiline', '4-(4-aminophenyl)sulfanylaniline', 'Bis(4-aminophenyl)sulfide', 'Thiodi-p-phenylenediamine', 'Bis(p-aminophenyl)sulfide', 'Di(p-aminophenyl) sulfide', 'Thioaniline', "4,4'-THIOBISBENZENAMINE", "Aniline, 4,4'-thiodi-", "4,4'-Diaminophenyl sulfide", "p,p'-Diaminodiphenyl sulfide", 'Sulfide, bis(p-aminophenyl)', 'Di(p-aminophenyl)sulphide', "4,4'-Thiobis(aniline)", 'Bis(p-aminophenyl)sulphide', 'Bis(4-aminophenyl)sulphide', 'Bis(p-aminophenyl) sulfide', 'NCI-C01707', "4,4'-Diaminodiphenylsulphide", '4,4-Diaminodiphenyl sulphide', "p,p'-Diaminodiphenyl sulphide", "para,para'-Thiodianiline", 'UNII-6GGU990BQF', 'NSC 6191', 'Thiodi-para-phenylenediamine', "4,4'-Diaminodiphenylsulfide", 'Bis(para-aminophenyl)sulphide', 'CCRIS 585', 'Di(para-aminophenyl) sulphide', '4-[(4-aminophenyl)thio]aniline', 'HSDB 5074', "para,para'-Diaminodiphenyl sulphide", "Sulfide, diphenyl, 4,4'-diamino-", 'EINECS 205-370-9', "4,4'-sulfanediyldianiline", 'BRN 1875513', '6GGU990BQF', 'AI3-52492', 'CHEBI:82374', '4,4 -Thiodianiline', 'NCGC00091380-04', "4,4'-Thiobis[aniline]", '4-(4-aminophenylthio)phenylamine', "4,4'-Diamino diphenyl sulfide", '4-Aminophenyl Sulfide', "p,p'-Thiodianiline", '4-[(4-aminophenyl)sulfanyl]aniline', '4-aminophenylsulfide', '4,4`-Thiodianiline', "Aniline,4'-thiodi-", '4-Aminophenylthioether', "4,4'-Thiobisaniline", "4,4'-thio-dianiline", 'PubChem15291', "Benzenamine,4'-thiobis-", 'WLN: ZR DSR DZ', 'ACMC-1BNW9', 'ChemDiv3_000187', 'DSSTox_CID_1344', 'DSSTox_RID_76098', 'DSSTox_GSID_21344', 'SCHEMBL49068', 'MLS002303004', "4,4\\'-THIODIANILINE", 'CHEMBL348856', 'DTXSID9021344', '3-[(4-aminophenyl)thio]aniline', 'CTK3J0496', 'ICNFHJVPAJKPHW-UHFFFAOYSA-', '4-(4-aminophenylthio)benzenamine', 'NSC6191', 'HMS1473I11', 'HMS3091M14', 'ZINC225617', 'ACT07465', 'ALBB-006286', 'KS-000011WC', 'NSC-6191', '4-[(4-aminophenyl)thio]phenylamine', 'Tox21_400005', 'ANW-20521', 'BBL019136', 'LS-812', 'SBB048127', 'STK502135', "4,4'-Diaminodiphenyl sulfide, 98%", 'AKOS000120259', "4,4-thiodianiline;4,4'-thiodianiline", 'MCULE-8747149875', 'IDI1_019505', 'NCGC00091380-01', 'NCGC00091380-02', 'NCGC00091380-03', 'NCGC00091380-05', 'AC-16457', 'AS-14556', 'CAS-139-65-1', 'L601', 'SMR001252212', '4-[(4-Aminophenyl)sulfanyl]phenylamine #', 'DB-042482', 'BB 0261090', 'EU-0033395', 'FT-0617024', 'NS00010896', 'R1545', 'ST50307641', 'C19303', "4,4'-Diaminodiphenyl sulfide, analytical standard", 'A807574', 'SR-01000389036', '4-Aminophenylthioether 10 microg/mL in Acetonitrile', 'J-007300', 'J-514036', 'SR-01000389036-1', 'BRD-K54288638-001-01-9', 'Q10859491']</t>
  </si>
  <si>
    <t>Compound(8765)</t>
  </si>
  <si>
    <t>C12H12N2S</t>
  </si>
  <si>
    <t>4,5-dichloro-2-octyl-2H-isothiazol-3-one</t>
  </si>
  <si>
    <t>4,5-dichloro-2-octyl-1,2-thiazol-3-one</t>
  </si>
  <si>
    <t>['64359-81-5', '4,5-Dichloro-2-octylisothiazol-3(2H)-one', 'Kathon 930', 'dcoit', '4,5-Dichloro-2-octyl-isothiazolone', '4,5-Dichloro-2-n-octyl-4-isothiazolin-3-one', '3(2H)-Isothiazolone, 4,5-dichloro-2-octyl-', '4,5-Dichloro-2-octyl-3(2H)-isothiazolone', '4,5-Dichloro-2-n-octyl-3(2H)-isothiazolone', 'Caswell No. 314B', '4,5-dichloro-2-n-octyl-3-isothiazolone', 'Anti-Foulant C-9211M', 'C11H17Cl2NOS', '4,5-Dichloro-2-octyl-2H-isothiazol-3-one', 'UNII-HCY9Q844W2', '4,5-dichloro-2-octyl-1,2-thiazol-3-one', 'EINECS 264-843-8', '4,5-dichloro-2-octyl-3-isothiazolone', 'EPA Pesticide Chemical Code 128101', 'HCY9Q844W2', 'CHEBI:83518', 'AK-35973', '4,5-Dichloro-N-octyl-3(2H)-isothiazolone', '4,5-dichloro-2-octyl-1,2-thiazol-3(2H)-one', 'W-111238', 'Sea-Nine 211', 'Dichloro-2-n-octyl-3(2H)-isothiazolone', 'ACMC-20a8aq', 'Sea Nine - 211', 'dichlorooctylisothiazolinone', 'DSSTox_CID_12315', 'DSSTox_RID_78912', 'DSSTox_GSID_32315', 'SCHEMBL204793', 'SCHEMBL726153', 'CHEMBL110764', 'DTXSID5032315', 'CTK8B8968', 'HSDB 8454', 'KS-00000GEP', 'Tox21_302409', 'ANW-61680', 'KM0850', 'ZINC43352139', 'AKOS015900625', 'AC-4553', 'CS-W022048', 'GS-3110', 'NCGC00255367-01', 'CC-17279', 'K033', 'LS-86323', 'AX8013411', 'CAS-64359-81-5', 'D4157', '4,5-dichloro-2-octyl-isothiazolone, AldrichCPR', '359D815', 'C-27543', 'Q1209407', '4,5-Dichloro-2-n-octyl-3(2H)-isothiazolone (DCOIT)', '4,5-dichloro-2-octyl-2,3-dihydro-1,2-thiazol-3-one', '4-5-Dichloro-2-n-octyl-isothiazol-3(2H)-on (DCOIT)', '4,5-dichloro-2-octyl-2H-isothiazol-3-one;4,5-DICHLORO-2-n-OCTYL-3(2H)-ISOTHIAZOLONE;4,5-Dichloro-2-octyl-3(2H)-isothiazolone;4,5-Dichloro-2-n-octyl-3(2H)-isothiazolone (DCOIT)']</t>
  </si>
  <si>
    <t>Compound(91688)</t>
  </si>
  <si>
    <t>C11H17Cl2NOS</t>
  </si>
  <si>
    <t>4,5-dichloro-2-nitroaniline</t>
  </si>
  <si>
    <t>['4,5-Dichloro-2-nitroaniline', '6641-64-1', '3,4-Dichloro-6-nitroaniline', 'Benzenamine, 4,5-dichloro-2-nitro-', 'UNII-3I0G2ADU1L', '2-nitro-4,5-dichloroaniline', '3I0G2ADU1L', 'MFCD00007770', '4,5-DICHLORO-2-NITROBENZENAMINE', '4,5-dichloro-2-nitro-aniline', 'NSC17012', 'EINECS 229-657-3', 'PubChem3466', 'ACMC-1B6PU', 'BEN071', 'SCHEMBL1193334', 'SCHEMBL9939970', 'DTXSID0073376', '4,5-dichloro-2-nitrophenylamine', 'CTK2F8582', 'EBD8513', '4,5-dichloro-2-nitro-phenylamine', 'ACN-S003692', 'ACT00121', 'KS-000009QY', 'ZINC4289464', 'ANW-35208', 'NSC-17012', 'SBB003477', '4,5-Dichloro-2-nitroaniline, 96%', '1-Amino-4,5-dichloro-2-nitrobenzene', 'AKOS000425466', 'AC-2969', 'AS02885', 'CM11415', 'CS-W015295', 'MCULE-1041535594', 'PS-5761', 'AK-36043', 'BR-36043', 'SC-06168', 'SY003445', 'AB0011702', 'DB-028651', 'AM20060383', 'D4041', 'FT-0614218', 'NS00036036', 'M-2152', 'A1-08017', 'W-104751', 'Q27257235']</t>
  </si>
  <si>
    <t>Compound(81149)</t>
  </si>
  <si>
    <t>4,5-dichloro-3H-1,2-dithiol-3-one</t>
  </si>
  <si>
    <t>4,5-dichlorodithiol-3-one</t>
  </si>
  <si>
    <t>['4,5-Dichloro-3H-1,2-dithiol-3-one', '1192-52-5', 'Dichloro-1,2-dithiacyclopentenone', '4,5-Dichloro-1,2-dithiol-3-one', '4,5-Dichloro-3-oxo-1,2-dithiole', '3H-1,2-Dithiol-3-one, 4,5-dichloro-', '4,5-Dichloro-1,2-dithiacyclopentenone', '4,5-Dichloro-3H-1,2-dithiole-3-one', 'UNII-N864R2B87O', 'EINECS 214-754-5', 'NSC135976', 'NSC 135976', '3H-1,2-DITHIOLE-3-ONE, 4,5-DICHLORO-', 'BRN 1342220', 'N864R2B87O', '4,5-Dichloro-3H-1,3-dithiol-2-one', '4,5-dichlorodithiol-3-one', 'C3Cl2OS2', 'Dichlorodithiolone', '1, dichloro-', '4,2-dithiol-3-one', 'PubChem20517', 'ACMC-20ams4', '4,2-dithiacyclopentenone', 'DSSTox_CID_12518', 'DSSTox_RID_78964', 'DSSTox_GSID_32518', '3H-1, 4,5-dichloro-', 'RYH-86-NA', 'SCHEMBL203646', 'CHEMBL1981277', 'DTXSID6032518', 'dichloro-3H-1,2-dithiol-3-one', 'ZINC1722340', '4,5-Dichloro-1,2-dithiol-2-one', 'Tox21_303406', 'DICHLORO-1,2-DITHIOL-3-ONE', 'STL344042', 'AKOS000120898', 'AC-6163', 'LS40234', 'MCULE-2404431234', 'NSC-135976', 'KS-0000011N', 'NCGC00257240-01', 'LS-63334', 'NCI60_000812', '4,5-Dichloro-3H-1,2-dithiol-3-one #', 'CAS-1192-52-5', 'AM20080132', 'FT-0602162', 'NS00008356', 'V2428', '3,4-Dichloro-1,2-dithiacyclopent-3-en-5-one', '4,5-Dichloro-1,2-dithia-4-cyclopenten-3-one', '4,5-Dichloro-3H-1,2-dithiol-3-one, 98%', '192D525', 'SR-01000479855', 'SR-01000479855-1', 'Q27284694', '4,5-DICHLORO-3H-1,2-DITHIOL-3-ONE;4,5-dichloro-3H-1,2-dithiol-3-one;4,5-Dichloro-3H-1,3-dithiol-2-one']</t>
  </si>
  <si>
    <t>Compound(14503)</t>
  </si>
  <si>
    <t>C3Cl2OS2</t>
  </si>
  <si>
    <t>4,6-dichloro-2-methylphenol</t>
  </si>
  <si>
    <t>2,4-dichloro-6-methylphenol</t>
  </si>
  <si>
    <t>['2,4-Dichloro-6-methylphenol', '1570-65-6', '4,6-DICHLORO-O-CRESOL', '4,6-Dichloro-2-methylphenol', 'Phenol, 2,4-dichloro-6-methyl-', 'o-Cresol, 4,6-dichloro-', 'Phenol,2,4-dichloro-6-methyl-', 'MFCD00019988', 'Q63395600', '4,6-Dichlorocresol', 'NSC21469', 'EINECS 216-382-9', 'NSC 21469', 'o-Cresol,6-dichloro-', '4,6-Dichlor-o-kresol', 'AI3-19024', 'ACMC-1C0MK', 'Phenol,4-dichloro-6-methyl-', 'SCHEMBL1893469', 'CHEMBL3988681', 'DTXSID5061790', 'CTK4C9260', 'ZINC394665', 'o-Cresol, 4,6-dichloro- (8CI)', 'ANW-21669', 'CK1183', 'NSC-21469', '2,4-bis(chloranyl)-6-methyl-phenol', 'AKOS006228611', 'MCULE-6620930423', 'PS-8574', 'VZ34368', 'AK-28830', 'SC-19931', 'SY036179', 'AB0034058', 'DB-043339', 'D0353', 'FT-0633672', 'NS00014382', 'X8150', 'K-4935', 'A809801', '2,4-Dichloro-6-Methylphenol;4,6-dichloro-o-cresol', 'J-009371']</t>
  </si>
  <si>
    <t>Compound(15292)</t>
  </si>
  <si>
    <t>4-amino-2,6-dinitrotoluene</t>
  </si>
  <si>
    <t>4-methyl-3,5-dinitroaniline</t>
  </si>
  <si>
    <t>['4-Amino-2,6-dinitrotoluene', '19406-51-0', '4-Methyl-3,5-dinitroaniline', '3,5-Dinitro-4-methylaniline', '3,5-Dinitro-p-toluidine', 'p-Toluidine, 3,5-dinitro-', 'Benzenamine, 4-methyl-3,5-dinitro-', '4-METHYL-3,5-DINITROBENZENAMINE', '2,6-Dinitro-4-aminotoluene', 'NSC 25010', '4-Adnt', 'CCRIS 5190', '4-Methyl-3,5-dinitrophenylamine', 'Benzenamine, 3,5-dinitro-4-methyl-', 'BRN 2462150', 'AI3-23207', '4-methyl-3,5-dinitro-phenylamine', 'Benzenamine,4-methyl-3,5-dinitro-', '4-Amino-1-methyl-2,6-dinitrobenzene', 'Benzenamine,5-dinitro-', 'p-Toluidine,5-dinitro-', '153919-64-3', '4-methyl-3,5-dinitro-aniline', '4-Toluenamine, 2,6-dinitro-', '4-Amino-2,6-dinitrotoluol', 'SCHEMBL314000', 'DTXSID8074312', '4-Methyl-3,5-dinitroaniline #', 'CHEBI:77424', 'CTK4E1428', '(4-methyl-3,5-dinitrophenyl)amine', 'NSC25010', 'NSC55353', 'ZINC4245385', 'BBL023069', 'FCH922191', 'NSC-25010', 'NSC-55353', 'RW1205', 'SBB002337', 'STK313330', 'AKOS000310028', 'MCULE-2983155484', 'QC-3956', '58449-89-1', 'AC-10512', 'VS-07320', 'AB0095588', 'DB-006623', 'LS-154364', 'ST4104985', 'Benzenamine, 4-methyl-3,5-dinitro- (9CI)', 'FT-0637844', 'NS00003369', 'C16394', 'EN300-183718', 'W-2424', 'A813697', 'C-09061', 'Q27105069', '4-Amino-2,6-dinitrotoluene, vial of 100 mg, analytical standard']</t>
  </si>
  <si>
    <t>Compound(29574)</t>
  </si>
  <si>
    <t>4-aminodiphenyl</t>
  </si>
  <si>
    <t>4-phenylaniline</t>
  </si>
  <si>
    <t>['4-Aminobiphenyl', '92-67-1', '4-Phenylaniline', '4-Aminodiphenyl', '4-BIPHENYLAMINE', "[1,1'-Biphenyl]-4-amine", 'biphenyl-4-amine', 'Biphenyl-4-ylamine', 'Xenylamine', '4-Biphenylylamine', 'p-Phenylaniline', 'p-Aminobiphenyl', 'p-Aminodiphenyl', 'p-Biphenylamine', 'p-Xenylamine', 'Biphenylamine', 'Paraaminodiphenyl', 'Xenylamin', '4-Aminodifenil', "4-Amino-1,1'-biphenyl", 'Aniline, p-phenyl-', '4-Aminobifenyl', '4-Bifenylamin', 'Xenylamin [Czech]', 'NSC 7660', '4-Bifenylamin [Czech]', '4-Aminobifenyl [Czech]', '4-Aminodifenil [Spanish]', "(1,1'-Biphenyl)-4-amine", 'CCRIS 26', 'HSDB 1325', 'UNII-16054949HJ', '(4-phenyl-phenyl)-amine', 'EINECS 202-177-1', 'BRN 0386533', '4-Aminobiphenyl min. 93%', 'AI3-00124', 'CHEBI:1784', 'Xenylamin (czech)', '4-phenylphenylamine', 'MFCD00007879', '16054949HJ', '4-Aminodifenil (spanish)', '2113-61-3', "(1,1'-Biphenyl-4-yl)amine", 'p-Amino diphenyl', 'para-aminobiphenyl', '4-amino-biphenyl', '4-phenyl aniline', 'PubChem23830', 'ACMC-20aiq1', 'DSSTox_CID_71', "1,1'-biphenyl-4-amine", 'WLN: ZR DR', '4-AMINODIPHENYL-D9', 'DSSTox_RID_75348', 'DSSTox_GSID_20071', 'SCHEMBL62469', '4-12-00-03241 (Beilstein Handbook Reference)', 'MLS002303005', 'CHEMBL44201', 'DTXSID5020071', "{[1,1'-Biphenyl]-4-amine}", 'Biphenyl-4-ylamine and its salts', 'NSC7660', 'HMS1722B15', 'HMS3091M12', 'ACT09206', 'ALBB-025794', 'BCP25781', 'CS-B0270', 'NSC-7660', '4-Aminobiphenyl, analytical standard', 'Tox21_200376', 'ANW-75191', 'BBL013082', 'SBB038604', 'STK315364', 'ZINC38338719', "(1,1'-DIPHENYL)-4-AMINE", 'AKOS000114495', 'EBD2223809', 'GS-3083', 'LS-1937', 'LS11515', 'MCULE-6526794731', 'CAS-92-67-1', 'KS-0000010J', 'NCGC00091372-01', 'NCGC00091372-02', 'NCGC00091372-03', 'NCGC00257930-01', 'BP-11958', 'L631', 'SC-23807', 'SMR000062444', 'DB-002657', '4-Aminobiphenyl 10 microg/mL in Cyclohexane', 'BB 0246764', 'NS00015359', 'ST45028940', "[1,1'-biphenyl]-4-amine (ACD/Name 4.0)", 'C10998', 'M-4634', "[1,1'-biphenyl]-4-ylamine (ACD/Name 4.0)", '092A671', 'A844308', 'AC-907/25014308', 'Q229922', 'J-519854', 'F0096-0021', "1,1'-Biphenyl-4-amine; 4-Biphenylylamine; 4-Phenylaniline", '4-BIPHENYLAMINE (SEE ALSO: 2-BIPHENYLAMINE (90-41-5) &amp; 2-BIPHENYLAMINE HCL (2185-92-4))', '4-Biphenylamine hydrochloride;4-Aminobiphenyl;4-Biphenylamine;Biphenyl-4-ylamine;biphenyl-4-ylamine']</t>
  </si>
  <si>
    <t>Compound(7102)</t>
  </si>
  <si>
    <t>C12H11N</t>
  </si>
  <si>
    <t>4-aminoantipyrin</t>
  </si>
  <si>
    <t>4-amino-1,5-dimethyl-2-phenylpyrazol-3-one</t>
  </si>
  <si>
    <t>['4-Aminoantipyrine', 'AMPYRONE', '83-07-8', 'Metapirazone', '4-Aminophenazone', 'Aminoantipyrin', 'Aminoantipyrine', 'Aminoazophene', '4-Aminoantipyrene', 'Solvapyrin-A', 'Solnapyrin-A', 'Aminoazophenazone', '4-AAP', '4-Amino-2,3-dimethyl-1-phenyl-3-pyrazolin-5-one', 'Antipyrine, 4-amino-', '3H-Pyrazol-3-one, 4-amino-1,2-dihydro-1,5-dimethyl-2-phenyl-', '4-Amminoantipirina', '4-Amminoantipirina [Italian]', 'NSC 60242', '4-Amino-1,5-dimethyl-2-phenyl-1,2-dihydro-3H-pyrazol-3-one', '4-amino-1,5-dimethyl-2-phenyl-1H-pyrazol-3(2H)-one', '1,5-Dimethyl-2-phenyl-4-aminopyrazoline', '4-amino-1,5-dimethyl-2-phenylpyrazol-3-one', 'UNII-0M0B7474RA', 'BRN 0181635', 'CCRIS 2906', 'CHEBI:59026', '3-Pyrazolin-5-one, 4-amino-2,3-dimethyl-1-phenyl-', 'AI3-14639', 'EINECS 201-452-3', 'MFCD00003145', '4-amino-1,5-dimethyl-2-phenyl-2,3-dihydro-1H-pyrazol-3-one', '4-AA', '0M0B7474RA', 'NSC60242', 'CAS-83-07-8', 'NCGC00016328-01', '4-Aminoantipyrine, 98%', '4-Amino-1-phenyl-2,3-dimethyl-5-pyrazolone', 'DSSTox_CID_28786', 'DSSTox_RID_83055', 'DSSTox_GSID_48860', '4-AMINO-2,3-DIMETHYL-1-PHENYL-3-PYRAZOLINE-5-ONE', 'NSC1740', 'SR-01000399288', 'Aminoantipyrene', 'Minoazophene', 'Aminoanti', '4-aminoantipyrin', '4-Aminopyrine', 'Prestwick_16', '4-amino-antipyrine', 'Spectrum_000758', 'Prestwick0_000181', 'Prestwick1_000181', 'Prestwick2_000181', 'Prestwick3_000181', 'Spectrum2_000934', 'Spectrum3_000604', 'Spectrum4_000386', 'Spectrum5_001583', 'bmse000147', 'Epitope ID:124938', '4-amino-1,5-dimethyl-2-phenyl-pyrazol-3-one', 'Ampyrone, NSC 60242', 'Oprea1_651348', 'BSPBio_000101', 'BSPBio_002108', 'KBioGR_000911', 'KBioSS_001238', '5-25-14-00096 (Beilstein Handbook Reference)', 'MLS002154229', 'DivK1c_000454', 'SCHEMBL128544', 'SPECTRUM1500621', 'SPBio_000868', 'SPBio_002022', 'Antipyrine, 4-amino- (8CI)', 'BPBio1_000113', 'CHEMBL1165011', 'DTXSID8048860', '4-Aminoantipyrine, reagent grade', 'BDBM85515', 'CTK7D5478', 'HMS501G16', 'KBio1_000454', 'KBio2_001238', 'KBio2_003806', 'KBio2_006374', 'KBio3_001608', 'ZINC61079', 'NINDS_000454', 'HMS1568F03', 'HMS1921K17', 'HMS2095F03', 'HMS2235D04', 'HMS3373A14', 'HMS3712F03', 'HY-B1398', 'KS-00000WU7', 'NSC_2151', 'STR05569', 'Tox21_113352', '4-Aminoantipyrine, p.a., 99.0%', 'BBL002303', 'CCG-39099', 'NSC-60242', 's4509', 'SBB003514', 'STK171821', 'AKOS000119290', 'Tox21_113352_1', 'CS-4903', 'MCULE-4331793421', 'ND-1774', 'VZ35314', '4-Aminopyrin (4-Aminoantipyrin 4-AA)', 'CAS_83-07-8', 'IDI1_000454', 'NCGC00016328-02', 'NCGC00016328-03', 'NCGC00016328-04', 'NCGC00016328-05', 'NCGC00016328-08', 'NCGC00094814-01', 'NCGC00094814-02', 'NCGC00178813-01', 'NCGC00178813-02', 'AK146242', 'L626', 'LS-21366', 'SMR001233503', 'ST009520', 'DB-056681', 'A0256', 'EU-0001364', 'FT-0622362', 'T8209', '4-Amino-1,5-dimethyl-2-phenyl-3-pyrazolone', 'A16007', '4-Aminoantipyrine, analytical reference material', '4-Aminoantipyrine, &gt;=99.0%, JIS special grade', 'Q3599043', 'SR-01000399288-1', 'SR-01000399288-3', 'BRD-K20484910-001-13-9', 'Z56869298', 'F0044-0041', '4-Aminoantipyrine, puriss. p.a., Reag. Ph. Eur., &gt;=99%', '4-Amino-1,5-dimethyl-2-phenyl-1,2-dihydro-3H-pyrazol-3-one #', '4-Amino-1,5-dimethyl-2-phenyl-1,2-dihydro-3H-pyrazol-3-one (Ampyrone)', '4-Aminoantipyrine, for spectrophotometric det. of H2O2 and phenols, &gt;=98.0%']</t>
  </si>
  <si>
    <t>Compound(2151)</t>
  </si>
  <si>
    <t>C11H13N3O</t>
  </si>
  <si>
    <t>4-aminoazobenzene</t>
  </si>
  <si>
    <t>4-phenyldiazenylaniline</t>
  </si>
  <si>
    <t>['4-Aminoazobenzene', 'p-Aminoazobenzene', '60-09-3', 'ANILINE YELLOW', '4-(Phenylazo)aniline', 'Cellitazol R', 'Benzenamine, 4-(phenylazo)-', 'Aminoazobenzene', '4-Phenylazoaniline', 'Solvent Yellow 1', 'Organol Yellow', 'Induline R', '4-(Phenylazo)benzenamine', 'Sudan Yellow R', 'Sudan Yellow RA', '4-(phenyldiazenyl)aniline', 'Oil Yellow B', 'Oil Yellow R', 'Oil Yellow AAB', 'Oil Yellow AN', 'Stearix Brown 4R', 'Fast Spirit Yellow', "4-Amino-1,1'-azobenzene", 'Organol Yellow 2A', 'Somalia Yellow 2G', 'p-Aminoazobenzol', '4-Aminoazobenzol', 'C.I. Solvent Yellow 1', 'Ceres Yellow R', 'Fat Yellow AAB', '4-Benzeneazoaniline', 'p-Aminodiphenylimide', 'C.I. Solvent Blue 7', 'Brasilazina Oil Yellow G', 'p-(Phenolazo)aniline', 'p-(Phenylazo)aniline', 'Azobenzene, 4-amino-', 'Fast Spirit Yellow AAB', 'Usaf ek-1375', 'Oil-Sol. Aniline Yellow', 'Aniline, p-(phenylazo)-', '4-[(E)-Phenyldiazenyl]aniline', 'Paraphenolazo aniline', 'Oil Soluble Aniline Yellow', 'Zlut anilinova', '4-Phenylazo-phenylamine', 'p-Phenylazonaniline', 'Aminoazobenzene (indicator)', '4-[(E)-2-phenyldiazenyl]aniline', 'p-Phenylazophenylamine', 'Zlut rozpoustedlova 1', '4-phenyldiazenylaniline', 'CI Solvent Yellow 1', 'C.I. 11000', 'Aniline Yellow (VAN)', 'Zlut anilinova [Czech]', '(E)-4-(phenyldiazenyl)aniline', 'p-Amimoazobenzene', 'CCRIS 24', 'UNII-57X2AH42T1', 'Zlut rozpoustedlova 1 [Czech]', '4-Phenylazophenylamine', 'p-AAZB', 'HSDB 2137', '4-(2-phenyldiazen-1-yl)aniline', 'CHEBI:233869', 'NSC 2032', 'p-(Phenylazo)phenylamine', 'EINECS 200-453-6', 'Benzenamine, 4-(2-phenyldiazenyl)-', '25548-34-9', '4-AAB', 'CI 11000', 'AI3-00793', 'AAB', '57X2AH42T1', '4-[(E)-2-phenyldiazen-1-yl]aniline', 'para-Aminoazobenzene', 'NCGC00164077-02', '4-(phenyldiazenyl)phenylamine', 'AC-907/25014309', 'W-105280', 'Solvent Yellow', 'p-Aminoazaobenzene', 'p-Phenylazoaniline', 'p-Amino Azobenzene', '4-Amino-azobenzene', 'p-Aminodiphenyldiimide', 'Benzenamine, 4-(phenylazo)-, (E)-', '(E)-4-Aminoazobenzene', '(Z)-4-Aminoazobenzene', 'ACMC-1CJPI', 'WLN: ZR DNUNR', '4-Aminoazobenzene, 98%', 'DSSTox_CID_4460', 'Epitope ID:116049', '4-[phenyldiazenyl] aniline', 'EC 200-453-6', '4-[(E)-phenylazo]aniline', 'DSSTox_RID_77407', 'DSSTox_GSID_24460', '4-(Phenyldiazenyl)aniline #', 'MLS000419131', 'CHEMBL83761', 'SCHEMBL208182', 'ARONIS023721', 'CHEMBL1429559', 'DTXSID6024460', 'CTK2F3201', 'CTK7D7049', 'BBB/659', 'NSC2032', 'Benzenamine,4-(phenylazo)-(E)-', 'C.I. Solvent Yellow 1 (8CI)', 'HMS2702P12', '4-Aminoazobenzene;4-aminoazobenzene', 'ACM22162', 'BB_SC-00020', 'NSC-2032', 'STR02191', 'ZX-AS003890', 'Tox21_400019', 'ANW-13577', 'BBL010329', 'LS-258', 'MFCD00007854', 'SBB051743', 'STK801547', 'ZINC18060741', 'ZINC98089001', '4-Aminoazobenzene, analytical standard', 'AKOS000319539', 'AKOS028110059', 'ZINC100004840', '4-[(E)-2-phenyl-1-diazenyl]aniline', 'MCULE-7759276279', 'NE10521', '4-[(1E)-2-phenyldiazen-1-yl]aniline', 'CAS-60-09-3', 'NCGC00164077-01', 'NCGC00164077-03', 'NCI60_001708', 'SMR000319771', 'T831', 'VS-02450', 'FT-0617546', 'NS00008368', 'P0141', 'ST45255288', 'EN300-18330', 'C19187', '4-Aminoazobenzene 100 microg/mL in Acetonitrile', 'Q546957', 'Z57902184', 'F0020-1827', '1256742-99-0', '22-16-2']</t>
  </si>
  <si>
    <t>Compound(6051)</t>
  </si>
  <si>
    <t>C12H11N3</t>
  </si>
  <si>
    <t>4-bromoaniline</t>
  </si>
  <si>
    <t>['4-Bromoaniline', '106-40-1', 'P-BROMOANILINE', '4-Bromobenzenamine', 'Benzenamine, 4-bromo-', 'p-Bromophenylamine', 'Aniline, p-bromo-', '4-Bromo-aniline', 'p-bromo aniline', '4-Bromobenzeneamine', '4-Bromanilinu', '4-Bromo-phenylamine', '4-Bromanilinu [Czech]', '4-bromobenzenamide', '4-bromophenylamine', 'para bromo aniline', 'bromoaniline(4-)', 'UNII-0RR61TC330', 'CCRIS 4591', 'HSDB 2194', 'NSC 7085', 'EINECS 203-393-9', 'BRN 0742031', 'AI3-17277', '0RR61TC330', 'MFCD00007822', '4-Bromoaniline, 99+%', 'DSSTox_CID_1867', 'DSSTox_RID_76373', 'DSSTox_GSID_21867', '4-Bromoaniline, 96%, pract.', 'CAS-106-40-1', 'parabromoaniline', '4-brornoaniline', 'p-bromo-aniline', '4 bromoaniline', '4-bromo aniline', 'Aniline, p-bromo', 'para- bromoaniline', '4-aminobromobenzene', 'R4 4-bromoaniline', '4-bromo-phenyl-amine', 'PubChem3724', '(4-bromophenyl)-amine', 'ACMC-1BVWU', 'ANILINE,4-BROMO', '4-Bromoaniline, 97%', 'SCHEMBL45481', '4-12-00-01497 (Beilstein Handbook Reference)', 'KSC176S7B', 'MLS002454431', 'BIDD:GT0258', 'CHEMBL57376', 'DTXSID7021867', 'CTK0H6970', 'TIMTEC-BB SBB040491', 'ZINC13614', '1-AMINO-4-BROMO-BENZENE', 'NSC7085', 'OTAVA-BB 1362074', 'HMS3050B09', 'NSC-7085', 'STR00728', 'AKOS BBS-00003662', 'Tox21_202459', 'Tox21_302910', 'ANW-15342', 'LABOTEST-BB LT01690218', 'LABOTEST-BB LT03329501', 'LABOTEST-BB LT03330662', 'LS-396', 'SBB040491', 'STK286019', '4-Bromoaniline, &gt;=99.0% (GC)', '4-Bromoaniline, for synthesis, 98%', 'AKOS000119091', 'AS00914', 'LS11446', 'MCULE-4303567759', 'PS-3352', 'KS-000002O0', 'NCGC00091730-01', 'NCGC00091730-02', 'NCGC00256346-01', 'NCGC00260008-01', 'AC-13468', 'SC-00248', 'SMR001252237', 'DB-023686', 'BB 0294809', 'FT-0617852', 'NS00021481', 'ST45255271', 'B-6367', '23007-EP2269988A2', '23007-EP2272817A1', '23007-EP2292593A2', '23007-EP2315502A1', 'AC-907/25014110', 'Q412773', 'J-001585', 'J-514801', 'F2190-0431', '4-bromoaniline;4-bromoanilinium chloride;4-bromoanilinium bromide']</t>
  </si>
  <si>
    <t>Compound(7807)</t>
  </si>
  <si>
    <t>C6H6BrN</t>
  </si>
  <si>
    <t>4-bromophenylphenyl ether</t>
  </si>
  <si>
    <t>1-bromo-4-phenoxybenzene</t>
  </si>
  <si>
    <t>['1-Bromo-4-phenoxybenzene', '101-55-3', '4-Bromodiphenyl ether', '4-Bromophenyl phenyl ether', '4-Bromophenoxybenzene', 'p-Bromodiphenyl ether', 'Benzene, 1-bromo-4-phenoxy-', 'p-Phenoxybromobenzene', 'P-BROMOPHENYL PHENYL ETHER', 'p-Bromophenoxybenzene', '4-Bromodiphenylether', 'Ether, p-bromophenyl phenyl', 'Phenyl ether, 4-bromo-', 'Diphenyl ether, 4-bromo-', 'Ether, 4-bromophenyl phenyl', 'p-(Phenoxy)bromobenzene', 'UNII-N19SE3QCFN', 'NSC 5619', '4-Bromodiphenyl ether, 99%', 'Phenyl (4-bromophenyl) ether', '4-Phenoxy-1-bromobenzene', 'N19SE3QCFN', '1-bromo-4-phenoxy-benzene', 'CHEBI:77421', '4-Bromophenoxybenzene;4-Bromodiphenyl ester', '4-bromo-1-phenoxybenzene', 'DSSTox_CID_3927', 'DSSTox_RID_77232', 'DSSTox_GSID_23927', 'PBDE 3 (4-Bromodiphenyl Ether)', 'CAS-101-55-3', '4-Bromophenyl phenylether', 'HSDB 2747', 'EINECS 202-952-4', '4-phenoxybromobenzene', '4-Bromodiphenyl ester', 'PubChem1903', 'p-Phenoxyphenyl bromide', 'AI3-23460', 'p-Bromphenyl phenyl ether', 'RCRA waste no. U030', 'ACMC-2097vt', 'PBDE No. 3', 'BDE-3', '1-bromanyl-4-phenoxy-benzene', 'SCHEMBL314422', 'CHEMBL1873236', 'DTXSID8023927', 'JDUYPUMQALQRCN-UHFFFAOYSA-', 'NSC5619', 'ZINC404311', 'CS-M1054', 'NSC-5619', 'Ether, p-bromophenyl phenyl (8CI)', 'Tox21_201269', 'Tox21_300512', 'ANW-14487', 'MFCD00000094', 'SBB061476', 'AKOS005207110', 'LS10419', 'MCULE-7788431437', 'PS-7501', 'KS-00000O06', 'NCGC00164213-01', 'NCGC00164213-02', 'NCGC00164213-03', 'NCGC00254405-01', 'NCGC00258821-01', 'AC-22960', 'AC-23584', 'AK116031', 'L663', 'PBDE No. 3 100 microg/mL in Methanol', 'SC-27865', 'B0637', 'FT-0617888', 'NS00021441', 'ST50408826', 'K-0237', 'p-Bromodiphenyl ether;4-bromophenyl phenyl ether', 'A800403', 'J-000428', 'Q27146950', 'UNII-54J1HY6KA8 component JDUYPUMQALQRCN-UHFFFAOYSA-N', 'BDE No 3 solution, 50 mug/mL in isooctane, analytical standard']</t>
  </si>
  <si>
    <t>Compound(7565)</t>
  </si>
  <si>
    <t>C12H9BrO</t>
  </si>
  <si>
    <t>['4-Methoxy-2-nitroaniline', '96-96-8', '2-Nitro-4-methoxyaniline', '4-Amino-3-nitroanisole', '2-Nitro-p-anisidine', 'Fast Bordeaux GP', 'Azobase NAS', 'Devol Bordeaux B', 'Bordeaux GP Base', 'Bordeaux GP Salt', 'Fast Bordeaux GP Base', 'Fast Bordeaux GP Salt', 'Bordeaux Base NGP', 'Bordeaux GPS Salt', 'Bordeaux Salt NGP', 'Fast Bordeaux GDN', '3-Nitro-4-aminoanisole', 'Azofix Bordeaux GP', 'Diabase Bordeaux GP', 'Diasalt Bordeaux GP', 'Lake Maroon B Base', 'Pharmasol Bordeaux GP', 'Fast Bordeaux Base J', 'Fast Bordeaux Salt J', 'Pharmazoid Bordeaux GP', 'Bordeaux Base Ciba IV', 'Bordeaux Base Irga IV', 'Bordeaux Salt Ciba IV', 'Fast Bordeaux Base GP', 'Fast Bordeaux Salt GP', 'Kako Bordeaux GP Base', 'Kako Bordeaux GP Salt', 'Benzenamine, 4-methoxy-2-nitro-', 'Sanyo Fast Bordeaux GP Base', 'Daito Bordeaux Base GP', 'Daito Bordeaux Salt GP', 'Devol Bordeaux GP Salt', 'Diazo Fast Bordeaux GP', 'Fast Bordeaux GPN Base', 'Fast Bordeaux Salt GPN', 'Azogene Fast Bordeaux G', 'Hansol Bordeaux GP Salt', 'Mitsui Bordeaux GP Base', 'Mitsui Bordeaux GP Salt', 'p-Anisidine, 2-nitro-', 'Fast Bordeaux 3NA Base', 'Natasol Bordeaux GP Salt', 'Symulon Bordeaux GP Base', 'Durgasol Bordeaux GP Salt', 'Hindasol Bordeaux GP Salt', 'Tulabase Fast Bordeaux GP', 'Acco Fast Bordeaux GP salt', 'Naphthanil Bordeaux GP Base', 'Atul Fast Bordeaux GP Base', '4-Methoxy-2-nitrobenzenamine', 'Naphthanil Diazo Bordeaux GP', 'Sanyo Fast Bordeaux Salt GP', 'Sugai Fast Bordeaux GP Base', 'Gp-amin', 'Azoene Fast Bordeaux GP Base', 'Azoene Fast Bordeaux GP Salt', 'Fast Bordeaux GDN base', 'Kayaku Fast Bordeaux GP Base', 'Kayaku Fast Bordeaux Salt GP', 'Aniline, 4-methoxy-2-nitro-', 'Amarthol Fast Bordeaux GP Base', 'Amarthol Fast Bordeaux GP Salt', 'Hiltonil Fast Bordeaux GP Base', 'Hiltosal Fast Bordeaux GP Salt', 'C.I. Azoic Diazo Component 1', 'Brentamine Fast Bordeaux GP Base', 'Naphthosol Fast Bordeaux GP Salt', 'Naphtoelan Fast Bordeaux GP Base', 'Naphtoelan Fast Bordeaux GP Salt', 'Shinnippon Fast Bordeaux GP Base', 'GP-Amin [Czech]', '4-Methoxy-2-nitroanilin', 'UNII-1UYX3YYQ1G', 'Fast Bordeaux GP-T Base', 'C.I. 37135', '4-methoxy-2-nitrophenylamine', 'Hansol Bordeaux Salt GP Salt', '4-methoxy-2-nitro-phenylamine', '4-Methoxy-2-nitroanilin [Czech]', '1-Amino-4-methoxy-2-nitrobenzene', 'NSC 5509', 'EINECS 202-547-2', '1UYX3YYQ1G', 'BRN 0880318', 'AI3-08857', 'DTXSID3044750', 'CHEBI:48973', '4-Methoxy-2-nitroaniline, 97%', '2-nitro-p-anisidine;benzenamine, 4-methoxy-2-nitro-;4-methoxy-2-nitroaniline;p-anisidine, 2-nitro-;2-nitro-p-anisidine benzenamine, 4-methoxy-2-nitro- 4-methoxy-2-nitroaniline p-anisidine, 2-nitro-', '4-methoxy-2-nitro-aniline', '(4-methoxy-2-nitrophenyl)amine', '1-Amino-2-nitro-4-methoxybenzene', 'o-nitro-p-anisidine', 'MFCD00007152', '2-Nitro-4-anisidine', '4-Methoxy-o-nitroaniline', '3-nitro-4-amino-anisole', '2-Nitro-p-anisidine; 4-Amino-3-nitroanisole', 'ACMC-209s7u', 'Probes2_000081', 'WLN: WNR BZ EO1', '2-nitro-4-methoxy-aniline', 'EC 202-547-2', 'DSSTox_CID_24750', 'DSSTox_RID_80443', 'DSSTox_GSID_44750', '2-Nitro-4-methoxybenzenamine', '4-13-00-01286 (Beilstein Handbook Reference)', 'KSC490G8T', '4-Methoxy-2-nitrohbenzenamine', 'ARONIS24277', 'SCHEMBL204041', 'CHEMBL3184419', 'CTK3J0389', 'NSC5509', 'p-Anisidine, 2-nitro- (8CI)', '4-Methoxy-2-nitroaniline, 98%', '(4-methoxy-2-nitro-phenyl)-amine', 'NSC-5509', 'STR02098', 'ZINC3860592', 'Tox21_301596', 'ANW-40840', 'BBL008113', 'CCG-55677', 'SBB043655', 'STK092194', 'AKOS000119075', 'AS05437', 'CM11602', 'MCULE-9140737830', 'CAS-96-96-8', 'KS-000000W9', 'KS-000046X7', 'NCGC00256102-01', 'BR-36996', 'LS-19861', 'Q201', 'AM20060467', 'FT-0671290', 'M0119', 'NS00006475', 'ST45053762', 'T8326', 'A19844', '4-Amino-3-nitroanisole[4-Methoxy-2-nitroaniline]', 'AH-034/32824050', 'SR-01000644692-1', 'W-100126', 'Q27121415', 'F3284-0897', 'Z1245537940']</t>
  </si>
  <si>
    <t>Compound(66793)</t>
  </si>
  <si>
    <t>C7H8N2O3</t>
  </si>
  <si>
    <t>['4-Methoxybenzaldehyde', '123-11-5', 'P-ANISALDEHYDE', 'Anisic aldehyde', 'Anisaldehyde', 'p-Methoxybenzaldehyde', '4-Anisaldehyde', 'Benzaldehyde, 4-methoxy-', 'Aubepine', 'p-Anisic aldehyde', 'p-Formylanisole', 'Crategine', 'Obepin', 'para-anisaldehyde', '4-Methoxy-benzaldehyde', 'Formylanisole, p-', '4-methoxy benzaldehyde', 'anisal', 'Caswell No. 051E', 'NSC 5590', 'MFCD00003385', 'CCRIS 821', 'UNII-9PA5V6656V', 'FEMA No. 2670', 'p-Methoxybenzaldehyde (natural)', 'p-methoxy benzaldehyde', 'HSDB 2641', 'EINECS 204-602-6', 'AI3-00223', 'CHEMBL161598', 'FEMA 2670', '9PA5V6656V', 'EINECS 256-891-3', 'BRN 0471382', 'p-Anisaldehyde, 99+%', 'DSSTox_CID_6997', 'DSSTox_RID_78277', 'DSSTox_GSID_26997', 'p-Anisaldehyde,p-Methoxybenzaldhyde', '50984-52-6', 'CAS-123-11-5', '4-Methoxybenzaldhyde', 'anisaldehyd', 'Anis aldehyde', '4-methoxybenzaldehye', '4-methoxybezaldehyde', 'Anisaldehyde (para)', 'Anisaldehyde solution', 'p-Methoxybenzafdehyde', 'P-Anisaldehyde,(S)', '4-methoxylbenzaldehyde', 'p-Anisaldehyde, 8CI', 'p-Methoxybenzaldehyde.', 'AN1SALDEHYDE', '4-methoxybenzylaldehyde', 'p-anisaldehyde solution', 'para-methoxybenzaldehyde', 'p-Anisaldehyde, 98%', 'PubChem22535', 'ACMC-1BAZN', 'para-methoxy benzaldehyde', '4-(methyloxy)benzaldehyde', 'bmse010130', 'WLN: VHR DO1', 'EC 204-602-6', 'SCHEMBL1100', 'Methoxybenzaldehyde (Related)', 'KSC174M6D', 'MLS002152921', 'NATURAL ANISIC ALDEHYDE', 'p-Methoxybenzylidenemalonitrile', '4-methoxybenzene carboxaldehyde', 'p-Methoxy Benzaldehyde, Natural', 'DTXSID2026997', 'CHEBI:28235', 'CTK0H4661', 'EBD1062', 'NSC5590', 'HMS3039F08', 'ZINC157146', 'p-Anisaldehyde, analytical standard', 'HY-Y0740', 'KS-000002NI', 'NSC-5590', 'p-Anisaldehyde, natural, 98%, FG', 'Tox21_201943', 'Tox21_303331', 'ANW-18100', 'BBL027436', 'BDBM50139370', 's5086', 'SBB040224', 'STL194068', 'AKOS000118814', 'AS02988', 'CCG-214805', 'CS-W020189', 'LS-2093', 'MCULE-9537754812', 'p-Anisaldehyde (4-Methoxybenzaldehyde)', 'p-Anisaldehyde, for synthesis, 98.0%', 'NCGC00090807-01', 'NCGC00090807-02', 'NCGC00257076-01', 'NCGC00259492-01', 'p-Anisaldehyde, &gt;=97.5%, FCC, FG', 'AC-10379', 'AK-72956', 'BR-72956', 'CS-11005', 'I922', 'LS-20018', 'SC-26765', 'SMR001224521', 'SY001689', 'DB-012818', 'A0480', 'BENZALDEHYDE,4-METHOXY  MFC8 H8 O2', 'FT-0617622', 'FT-0662227', 'FT-0662228', 'NS00003331', 'ST50213373', 'C10761', 'M-6033', '29578-EP2284160A1', '29578-EP2292628A2', '29578-EP2305695A2', '29578-EP2305696A2', '29578-EP2305697A2', '29578-EP2305698A2', '29578-EP2308838A1', '29578-EP2311825A1', '29578-EP2311842A2', '79582-EP2287153A1', '79582-EP2292628A2', '79582-EP2298755A1', '79582-EP2305695A2', '79582-EP2305696A2', '79582-EP2305697A2', '79582-EP2305698A2', '79582-EP2374783A1', '79582-EP2377841A1', '4-08-00-00252 (Beilstein Handbook Reference)', 'A805017', 'Q174937', 'Q-100105', 'p-Anisic aldehyde; p-Methoxybenzaldehyde; Anisaldehyde', 'F2190-0575', 'p-Anisaldehyde, primary pharmaceutical reference standard', 'p-Anisaldehyde, certified reference material, TraceCERT(R)', 'ANISALDEHYDE;anisaldehyde;Benzaldehyde, 4-methoxy-;Anisaldehyde', 'p-Anisaldehyde, United States Pharmacopeia (USP) Reference Standard']</t>
  </si>
  <si>
    <t>Compound(31244)</t>
  </si>
  <si>
    <t>C8H8O2</t>
  </si>
  <si>
    <t>4-methyl-1-pentene</t>
  </si>
  <si>
    <t>4-methylpent-1-ene</t>
  </si>
  <si>
    <t>['4-METHYL-1-PENTENE', '691-37-2', '4-Methylpent-1-ene', '1-Pentene, 4-methyl-', 'Poly(4-methyl-1-pentene)', 'UNII-X10HRJ2Y7W', '25068-26-2', 'X10HRJ2Y7W', 'poly(4-methylpentene)', 'Isobutylethene', 'Isohexene', '1-Pentene, 4-methyl-, homopolymer', '4-methylpentene', 'EINECS 211-720-1', 'NSC 15091', '4-methyl pent-1-ene', '4-Methy l-1-pentene', '4-Methylpentene-(1)', 'EC 211-720-1', 'ACMC-1B87A', '4-Methyl-1-pentene, 97%', '4-Methyl-1-pentene, 98%', '(CH3)2CHCH2CH=CH2', 'DTXSID3061001', 'CTK2F5514', 'NSC15091', 'ZINC1706701', 'ANW-35602', 'MFCD00008949', 'NSC-15091', 'AKOS009158728', '4-Methyl-1-pentene, analytical standard', 'FT-0618989', 'M0392', 'NS00003382', '186986-EP2270113A1', '186986-EP2272935A1', 'Q229999', 'W-109095', '4-Methyl-1-pentene;4-Methylpent-1-ene;4-methylpent-1-ene', '4-methylpent-1-ene, 4-METHYLPENTENE, 4-methyl-1-penten', 'UNII-D5X88K64VK component WSSSPWUEQFSQQG-UHFFFAOYSA-N']</t>
  </si>
  <si>
    <t>Compound(12724)</t>
  </si>
  <si>
    <t>C6H12</t>
  </si>
  <si>
    <t>4-methyl-1H-benzotriazole</t>
  </si>
  <si>
    <t>4-methyl-2H-benzotriazole</t>
  </si>
  <si>
    <t>['29878-31-7', '4-Methyl-1H-benzotriazole', '4-Methyl-1H-benzo[d][1,2,3]triazole', 'Tolytriazole', '4-methyl-1H-1,2,3-benzotriazole', '4-Tolyltriazole', '4-METHYLBENZOTRIAZOLE', '1H-Benzotriazole, 4-methyl-', 'UNII-QKK8999IZA', '1H-Benzotriazole,7-methyl-', 'QKK8999IZA', '7-methyl-1H-benzo[d][1,2,3]triazole', '4-methyl-1,2,3-benzotriazole', 'DSSTox_CID_6171', 'DSSTox_RID_78044', 'DSSTox_GSID_26171', 'CAS-29385-43-1', '4-methyl-2H-benzotriazole', 'Teltolytriazole', 'EINECS 249-921-1', '4-methyl-benzotriazole', 'Tolyltriazole (Granular)', '7-Methyl-1H-benzotriazole', 'Tolyltriazole 99.0% min', 'SCHEMBL107037', 'SCHEMBL446696', 'CHEMBL3184205', 'CTK4G3995', 'DTXSID50274037', 'ALBB-005409', 'ZINC5116315', 'ZX-AN005334', 'ZX-CM000479', 'Tox21_201321', 'Tox21_303186', 'ANW-26720', 'FCH832730', 'STK503394', 'AKOS023092909', '7-Methyl-1H-1,2,3-benzotriazole #', 'FS-5046', 'MCULE-4388838335', 'OR18853', 'ACM29878317', 'NCGC00249024-01', 'NCGC00249024-02', 'NCGC00256993-01', 'NCGC00258873-01', 'AX8171746', 'BB 0254273', 'FT-0638850', 'FT-0671521', '4-Methyl-1H-benzotriazole, analytical standard', 'Y-9657', 'AB01319782-02', 'Q27287307', 'UNII-5G7U316H8L component CMGDVUCDZOBDNL-UHFFFAOYSA-N']</t>
  </si>
  <si>
    <t>Compound(122499)</t>
  </si>
  <si>
    <t>4-methylpentan-2-ol</t>
  </si>
  <si>
    <t>['4-METHYL-2-PENTANOL', '4-Methylpentan-2-ol', '108-11-2', '2-Pentanol, 4-methyl-', 'Isobutylmethylcarbinol', '2-Methyl-4-pentanol', 'Methyl amyl alcohol', 'Methyl isobutyl carbinol', 'Methylisobutylcarbinol', 'MIBC', '1,3-Dimethylbutanol', '4-Methylpentanol-2', 'Isobutylmethylmethanol', 'MAOH', 'Metilamil alcohol', 'Alcool methyl amylique', '4-Metilpentan-2-olo', 'Methylisobutyl carbinol', '3-MIC', 'dl-Methylisobutylcarbinol', '4-Methyl-2-amyl alcohol', '4-Pentanol, 2-methyl-', '4-Methyl-2-pentyl alcohol', 'Methyl-isobutylkarbinol', '4-methyl-pentan-2-ol', 'NSC 9384', 'Metilamil alcohol [Italian]', '(+-)-4-Methyl-2-pentanol', 'CCRIS 2304', 'Methyl-isobutylkarbinol [Czech]', 'Alcool methyl amylique [French]', '4-Metilpentan-2-olo [Italian]', 'Alcohol methyl amylique [French]', 'HSDB 1154', 'EINECS 203-551-7', 'UN2053', 'BRN 1098268', 'DSSTox_CID_6781', 'DSSTox_RID_78212', 'DSSTox_GSID_26781', '4-Methyl-2-pentanol, 99+%', 'CAS-108-11-2', 'MIC [Alcohol]', 'Alcohol methyl amylique', 'Isobutyl methyl carbinol', '4-methyl2-pentanol', 'MFCD00004550', 'ACMC-20apge', 'ACMC-20apky', 'methyl-isobutylcarbinol', '1,3-dimethyl-butanol', '2-Methanol-4-pentanol', 'methyl-isobutyl-carbinol', '4-Methylpentan-2-ol.', 'ACMC-1BDBN', '1,3-Dimethyl-1-butanol', 'EC 203-551-7', '4-methyl-2-hydroxy-pentane', 'SCHEMBL15658', 'M.I.B.C', '4-01-00-01717 (Beilstein Handbook Reference)', 'KSC174Q5P', '(r/s)-4-methyl-2-pentanol', '4-Methyl-2-pentanol, 97%', '4-Methyl-2-pentanol, 98%', 'CHEMBL448896', 'SCHEMBL1507393', '(2R/S)-4-methyl-2-pentanol', 'DTXSID2026781', 'CTK0H4857', 'NSC9384', 'Methyl Amyl Alcohol Reagent Grade', '(.+/-.)-4-Methyl-2-pentanol', 'KS-00000UX2', 'NSC-9384', 'Tox21_200436', 'Tox21_300083', '1625AA', 'ANW-15893', 'SBB061337', 'AKOS000121379', 'AKOS016843909', 'MCULE-9223768698', 'UN 2053', 'WLN: QY1 &amp; 1Y1 &amp; 1', 'NCGC00247899-01', 'NCGC00247899-02', 'NCGC00253966-01', 'NCGC00257990-01', 'DB-016695', 'DB-064520', 'LS-101901', 'FT-0605059', 'FT-0605265', 'FT-0619016', 'M0386', 'NS00005475', 'ST51047361', '4-Methyl-2-pentanol, purum, &gt;=97.5% (GC)', '89676-EP2305033A1', '89676-EP2380568A1', 'J-002060', 'J-515714', 'Q2528979', 'Methyl isobutyl carbinol [UN2053] [Flammable liquid]', 'Methyl isobutyl carbinol [UN2053]  [Flammable liquid]', '4-methylpentan-2-ol;2-Pentanol, 4-methyl-;4-METHYLPENTAN-2-OL;4-Methylpentan-2-ol;2-Pentanol, 4-methyl-, phosphate']</t>
  </si>
  <si>
    <t>Compound(7910)</t>
  </si>
  <si>
    <t>4-methyl-2-pentanone (MIBK)</t>
  </si>
  <si>
    <t>4-methylpentan-2-one</t>
  </si>
  <si>
    <t>['4-Methyl-2-pentanone', 'METHYL ISOBUTYL KETONE', '4-Methylpentan-2-one', '108-10-1', 'Isopropylacetone', 'Isobutyl methyl ketone', 'Hexone', '2-Pentanone, 4-methyl-', 'MIBK', '2-Methyl-4-pentanone', '4-Methyl-2-oxopentane', 'Methylisobutylketon', 'Isohexanone', 'Hexon', 'Shell mibk', 'Metilisobutilchetone', 'Metyloizobutyloketon', '2-Methylpropyl methyl ketone', 'Isobutyl-methylketon', 'Methyl-isobutyl-cetone', '4-Methyl-2-pentanon', '4-Metilpentan-2-one', 'Isopropyl acetone', 'Ketone, isobutyl methyl', '4-Methyl-pentan-2-on', '4-Methyl-pentan-2-one', 'Hexon [Czech]', 'Rcra waste number U161', 'methylisobutyl ketone', 'Caswell No. 574AA', 'FEMA Number 2731', 'UNII-U5T7B88CNP', 'NSC 5712', 'methylisobutylketone', 'Isobutyl-methylketon [Czech]', 'Metyloizobutyloketon [Polish]', 'methyl isobutylketone', 'Metilisobutilchetone [Italian]', '4-Methyl-2-pentanon [Czech]', 'FEMA No. 2731', 'METHYL ISO-BUTYL KETONE', 'CCRIS 2052', 'HSDB 148', 'Methyl-isobutyl-cetone [French]', '2-Methyl-4-pentanal', '4-Metilpentan-2-one [Italian]', 'Methyl I-butyl ketone', 'ethyl iso-butyl ketone', '4-Methyl-2-pentanone (natural)', 'Methylisobutylketon [Dutch, German]', 'EINECS 203-550-1', 'UN1245', 'RCRA waste no. U161', 'EPA Pesticide Chemical Code 044105', 'BRN 0605399', 'U5T7B88CNP', '4-Methyl-pentan-2-on [Dutch, German]', 'Methyl isobutyl ketone [NF]', 'AI3-01229', 'CHEBI:82344', 'MFCD00008938', 'Methyl isobutyl ketone (NF)', 'MIK', '4-Methyl-2-pentanone, &gt;=99%', 'isobutylmethyl ketone', '4-Methyl-2-pentanone, 99.5%, for analysis', '4-Methyl-2-pentanone, 98.5+%, ACS reagent', '2-Pentanone,4-methyl-', '4-Methyl-2-pentanone, 99.5%, spectrophotometric grade', '4-Methyl-2-pentanone, 99+%, electronic use grade, residue free', 'Methyl isobutyl ketone [USAN]', 'methylisobutyketone', 'isobutylmethylketone', 'methylisobutlyketone', 'i-BuCOMe', 'methylisobutyl keton', 'methylisobutyl-keton', 'Methylpentan-2-one', 'iso-butylmethylketone', 'methyl-isobutylketone', '4-methyl-2pentanone', 'methy isobutyl ketone', 'methyl isobutyl keton', 'methyl iso-butylketone', 'methyl-iso-butylketone', 'methyl-isobutyl ketone', '4-methylpentane-2-one', 'iso-C4H9COCH3', 'Methyl-2-pentanon,4-', '4-methyl- 2-pentanone', '4-Methylpentan-2-one.', 'DSSTox_CID_1889', 'EC 203-550-1', 'DSSTox_RID_76387', 'DSSTox_GSID_21889', 'SCHEMBL15458', '4-01-00-03305 (Beilstein Handbook Reference)', 'KSC493I1J', '4-Methyl-2-pentanone(MIBK)', 'ACMC-1C282', 'CHEMBL285323', 'DTXSID5021889', 'SCHEMBL13341539', 'CTK3J3414', 'KS-00000WQF', 'NSC5712', 'Methyl isobutyl ketone, ACS grade', 'NSC-5712', 'ZINC1482107', 'Methylisobutylketon(DUTCH, GERMAN)', 'Tox21_201108', 'WLN: 1Y1 &amp; 1V1', 'ANW-15892', 'LMFA12000033', 'LS-453', 'SBB060384', 'AKOS000118793', '4-Methyl-2-pentanone, AR, &gt;=99%', '4-Methyl-2-pentanone, LR, &gt;=99%', 'MCULE-2172909634', 'UN 1245', '4-Methyl-2-pentanone, &gt;=99%, FCC', 'NCGC00091475-01', 'NCGC00091475-02', 'NCGC00258660-01', '4-Methyl-pentan-2-on(DUTCH, GERMAN)', 'BP-13453', 'CAS-108-10-1', 'Methyl Isobutyl Ketone Reagent Grade ACS', 'SC-65434', '4-Methyl-2-pentanone, analytical standard', '4-Methyl-2-pentanone, 99.5%, for HPLC', 'FT-0628744', 'M0389', 'NS00009293', 'ST51046575', '4-Methyl-2-pentanone, technical grade, 95%', '4-Methyl-2-pentanone, for HPLC, &gt;=99.5%', '5792-EP2270114A1', '5792-EP2280005A1', '5792-EP2289884A1', '5792-EP2289897A1', '5792-EP2292624A1', '5792-EP2314558A1', '7726-EP2272848A1', '7726-EP2275423A1', '7726-EP2289897A1', '7726-EP2371797A1', 'C19263', 'D04989', '26733-EP2269986A1', '26733-EP2270009A1', '26733-EP2272822A1', '26733-EP2272827A1', '26733-EP2274983A1', '26733-EP2275407A1', '26733-EP2280009A1', '26733-EP2281812A1', '26733-EP2281821A1', '26733-EP2287154A1', '26733-EP2289868A1', '26733-EP2292597A1', '26733-EP2295423A1', '26733-EP2295430A2', '26733-EP2295431A2', '26733-EP2295438A1', '26733-EP2298755A1', '26733-EP2298763A1', '26733-EP2299326A1', '26733-EP2301924A1', '26733-EP2302003A1', '26733-EP2305254A1', '26733-EP2305649A1', '26733-EP2305650A1', '26733-EP2308838A1', '26733-EP2308857A1', '26733-EP2309584A1', '26733-EP2314577A1', '26733-EP2314583A1', '26733-EP2371797A1', '26733-EP2371798A1', '26733-EP2371800A1', '26733-EP2371804A1', '26733-EP2377845A1', '26733-EP2380568A1', '26733-EP2380873A1', '28326-EP2314577A1', '4-Methyl-2-pentanone, ACS reagent, &gt;=98.5%', '78042-EP2272846A1', '78042-EP2275422A1', '78042-EP2277868A1', '78042-EP2277869A1', '78042-EP2277870A1', '78042-EP2292608A1', '78042-EP2298076A1', '78042-EP2298077A1', '78042-EP2301353A1', '78042-EP2305031A1', '78042-EP2305033A1', '78042-EP2305034A1', '78042-EP2305035A1', '78042-EP2308866A1', '78042-EP2374791A1', '128154-EP2269986A1', '128154-EP2295423A1', 'A801806', 'Q418104', '4-Methyl-2-pentanone, SAJ first grade, &gt;=99.0%', 'J-515799', 'Methyl isobutyl ketone, p.a., ACS reagent, 98.5%', 'Q-200495', '2-PENTANONE,4-METHYL   METHYL,ISOBUTYL,KETONE', '4-Methyl-2-pentanone, JIS special grade, &gt;=99.5%', 'Methyl isobutyl ketone [UN1245]  [Flammable liquid]', 'Methyl isobutyl ketone [UN1245] [Flammable liquid]', 'F1908-0087', '4-Methyl-2-pentanone, puriss. p.a., ACS reagent, &gt;=99.0% (GC)', '4-Methyl-2-pentanone, puriss., ACS reagent, reag. Ph. Eur., 99.0%', '4-Methyl-2-pentanone, suitable for atomic absorption spectrometry, &gt;=99.5%', 'Methyl isobutyl ketone, United States Pharmacopeia (USP) Reference Standard', 'Methyl Isobutyl Ketone, Pharmaceutical Secondary Standard; Certified Reference Material', '4-Methyl-2-pentanone;4-methylpentan-2-one;MIBK;Phenol, 4,4-(1-methylethylidene)bis-, polymer with (chloromethyl)oxirane, reaction products with diethylenetriamine and 4-methyl-2-pentanone']</t>
  </si>
  <si>
    <t>Compound(7909)</t>
  </si>
  <si>
    <t>['4-Methyl-2-nitroaniline', '89-62-3', '4-Amino-3-nitrotoluene', '2-NITRO-P-TOLUIDINE', '3-Nitro-4-toluidine', 'Fast Red GL', '3-Nitro-4-aminotoluene', '2-Nitro-4-methylaniline', 'Benzenamine, 4-methyl-2-nitro-', '4-Methyl-6-nitroaniline', 'MNPT', 'Azoamine Red A', 'Azobase NAT', 'Devol Red G', 'Fast Red G Base', 'Lake Red G Base', '4-Methyl-2-nitrobenzenamine', 'Red G Base', 'Red G Salt', 'Devol Red Salt G', 'Red Base NGL', '1-Amino-2-nitro-4-methylbenzene', 'Fast Red Base GL', 'Fast Red Base JL', 'Fast Red GL Base', 'Diazo Fast Red GL', 'Azofix Red GL Salt', 'Fast Red MGL Base', 'Mitsui Red GL Base', 'Red Base Ciba VII', 'Red Base Irga VII', 'Red Salt Ciba VII', 'Red Salt Irga VII', 'Fast Red 3NT Base', 'Fast Red 3NT Salt', 'Tulabase Fast Red GL', 'Naphthanil Red G Base', 'HD Fast Red GL Base', 'Lithosol Scarlet Base M', 'p-Toluidine, 2-nitro-', 'Toyo Fast Red GL Base', 'Azoene Fast Red Red GL Salt', 'Azoic Diazo Component 8', 'Sanyo Fast Red GL Base', 'Lithosol Scarlet Base MB', 'Lithosol Scarlet Base MW', 'Lithosol Scarlet Base MBW', 'Amarthol Fast Red GL Base', 'Amarthol Fast Red GL Salt', 'Hiltonil Fast Red GL Base', 'Hiltosal Fast Red GL Salt', 'Naphtoelan Fast Red GL Base', 'Shinnippon Fast Red GL Base', 'C.I. Azoic Diazo Component 8', 'C.I. 37110', '4-methyl-2-nitro-aniline', 'CCRIS 2773', 'm-nitro-p-aminotoluene', 'NSC 2759', 'EINECS 201-924-9', 'MFCD00007907', 'UNII-VA01LI60P4', 'AI3-09044', 'Azoic diazo component 8, base', 'VA01LI60P4', 'DTXSID2025632', 'CHEBI:66920', 'DSSTox_CID_5632', '4-methyl-2-nitrophenylamine', 'DSSTox_RID_77859', 'DSSTox_GSID_25632', '4-Methyl-2-nitroaniline, 99%', '4-METHYL-2-NITROANILINE (4-AMINO-3-NITROTOLUENE)', 'CAS-89-62-3', 'EC 201-924-9', 'SCHEMBL98492', '2-NITRO-4-TOLUIDINE', 'KSC490G4L', 'MLS002415703', 'ACMC-209r25', '(4-Methyl-2-nitrophenyl)amine', 'CHEMBL1496758', 'SCHEMBL12333480', '(4-methyl-2-nitro-phenyl)amine', '4-Methyl-2-nitroaniline, 98%', 'CTK3J0345', 'EBD7540', 'NSC2759', 'HMS3039L10', 'WT121', 'KS-00000V0Q', 'NSC-2759', 'ZINC3844700', 'Tox21_202055', 'Tox21_303189', '89-62-3 2-nitro-4-methylaniline', 'ANW-39339', 'BBL020084', 'SBB058849', 'STL199144', '4-METHYL-2-NITRO-PHENYLAMINE', 'AKOS000119668', 'AB00900', 'AS06934', 'LS-1896', 'MCULE-2967081222', 'PS-5792', 'VZ35517', 'NCGC00091299-01', 'NCGC00091299-02', 'NCGC00091299-03', 'NCGC00257051-01', 'NCGC00259604-01', 'BR-44137', 'SMR001370891', 'AM20050503', 'FT-0619007', 'N0114', 'NS00004030', 'ST51038612', 'W-3466', 'AC-907/25014175', 'W-100367', 'Q27135519', 'F0001-2197', 'Z1250132255']</t>
  </si>
  <si>
    <t>Compound(6978)</t>
  </si>
  <si>
    <t>['4-Methyl-3-nitroaniline', '119-32-4', '4-Amino-2-nitrotoluene', '3-Nitro-p-toluidine', '3-Nitro-4-methylaniline', 'm-Nitro-p-toluidine', '2-Nitro-4-aminotoluene', 'Benzenamine, 4-methyl-3-nitro-', '5-Nitro-4-toluidine', 'p-Toluidine, 3-nitro-', 'GL-Amin [Czech]', 'Gl-amin', 'NSC 7731', '3-Nitro-4-toluidin', '3-Nitro-4-toluidin [Czech]', 'CCRIS 3003', '4-methyl-3-nitro-aniline', 'UNII-SM8UZ1Q81F', 'EINECS 204-314-0', 'BRN 0638984', 'SM8UZ1Q81F', 'CHEBI:81670', '4-Methyl-3-nitroaniline, 97%', 'LS-614', 'MFCD00007910', '4-methyl-3-nitrophenylamine', '4-methyl-3-nitro aniline', 'META NITRO PARA TOLUIDINE', '3-Nitro-4-methylanilin', '4Am2NT', 'DSSTox_CID_5633', '3-nitro-4-methyl-aniline', '4-Methyl-3-nitroaniline;', 'ACMC-209a2c', 'WLN: ZR D1 CNW', '4-methyl-3-nitrobenzenamine', 'DSSTox_RID_77860', 'DSSTox_GSID_25633', '4-12-00-01997 (Beilstein Handbook Reference)', '4-methyl-3-nitro-phenylamine', 'KSC174O5J', 'SCHEMBL100616', '(4-methyl-3-nitrophenyl)amine', 'CHEMBL1350617', 'DTXSID7025633', 'SCHEMBL17347354', 'CTK0H4754', 'NSC7731', '1-Amino-3-nitro-4-methylbenzene', '4-Amino-1-methyl-2-nitrobenzene', '(4-methyl-3-nitro-phenyl)-amine', 'ZINC157566', 'BCP32906', 'EBD19508', 'KS-00000UJ5', 'NSC-7731', 'Tox21_200103', 'ANW-17314', 'BBL002361', 'SBB007596', 'STK387113', 'AKOS000119120', 'AC-1739', 'AS06938', 'MCULE-1521427788', 'PS-5957', 'NCGC00091307-01', 'NCGC00091307-02', 'NCGC00091307-03', 'NCGC00257657-01', 'BP-20389', 'BR-32960', 'CAS-119-32-4', '3-nitro-p-toluidine;4-amino-2-nitrotoluene', 'DB-041463', '4-Methyl-3-nitroaniline, analytical standard', 'AM20060491', 'FT-0619031', 'N0278', 'NS00008727', 'ST45255286', 'C18320', 'M-4200', 'M-6397', 'AB00514384-03', '125449-EP2281563A1', '125449-EP2289894A2', '125449-EP2295424A1', 'A804255', 'AC-907/25014173', 'Q27155550', 'F8880-0867', 'Z1245635775', '3-Nitro-p-toluidine;3-Nitro-4-methylaniline;4-Amino-2-nitrotoluene']</t>
  </si>
  <si>
    <t>Compound(8390)</t>
  </si>
  <si>
    <t>4-methyl-2,5-dihydro-1,3-thiazole</t>
  </si>
  <si>
    <t>['4-Methyl-3-thiazoline', 'UNII-3OA5TO72MI', '3OA5TO72MI', '52558-99-3', '4-methyl-2,5-dihydro-1,3-thiazole', '3-Thiazoline, 4-methyl-', 'FEMA No. 4644', 'Thiazole, 2,5-dihydro-4-methyl-', '3-Thiazoline, 4-methyl', 'SCHEMBL256996', 'DTXSID40200542', 'Q27257816']</t>
  </si>
  <si>
    <t>Compound(526661)</t>
  </si>
  <si>
    <t>['p-Toluidine', '4-Methylaniline', '106-49-0', '4-Toluidine', '4-Methylbenzenamine', 'p-Tolylamine', 'Benzenamine, 4-methyl-', '4-AMINOTOLUENE', 'p-Methylaniline', 'p-Toluidin', 'p-Aminotoluene', 'p-Methylbenzenamine', '1-Amino-4-methylbenzene', 'Naphtol AS-KG', 'Naphtol AS-KGLL', 'para-toluidine', 'Aniline, p-methyl-', '4-Aminotoluen', '4-Amino-1-methylbenzene', 'Toluidine, p-', '4-methylphenylamine', 'RCRA waste number U353', 'p-Toluidin [Czech]', 'C.I. Azoic Coupling Component 107', 'NSC 15350', 'p-Toluidyna [Polish]', '4-Aminotoluen [Czech]', 'UNII-I1D0KL7I4U', 'C.I. 37107', 'CCRIS 598', 'HSDB 2044', 'CI Azoic Coupling Component 107', 'EINECS 203-403-1', 'RCRA waste no. U353', 'I1D0KL7I4U', 'CI 37107', 'CHEMBL58521', 'AI3-19858', '26915-12-8', 'DTXSID6021872', 'CHEBI:37825', 'DSSTox_CID_1872', 'DSSTox_RID_76377', 'DSSTox_GSID_21872', 'p-Toluidyna', 'CAS-106-49-0', 'p-Toluidine, 99%, crystalline molten mass', 'Benzenamine, ar-methyl-', 'paratoluidine', 'Benzenamine, 4-methyl-, hydrochloride (1:1)', '4methylaniline', 'p-tolyl-amine', '4-tolylamine', '4-amino-toluene', '4-aminotoluene;', 'para-methylaniline', '4-methyl aniline', '4-methyl-aniline', '4-methyl-phenylamine', 'p-Toluidine, 99%', 'PARA-AMINOTOLUENE', 'ACMC-1BUTV', 'p-Toluidine, 99.6%', 'EC 203-403-1', 'WLN: ZR D1', 'SCHEMBL11887', 'p-Toluidine, liquid or solid', 'KSC174O3N', 'CTK0H4736', 'p-Toluidine, for synthesis, 99%', 'KS-000000DA', 'NSC15350', 'ZINC4774057', 'Tox21_202142', 'Tox21_300168', 'ANW-15355', 'BDBM50008562', 'MFCD00007906', 'NSC-15350', 'SBB040498', 'STL137776', 'AKOS000119134', 'AS06931', 'EBD2205419', 'GS-6708', 'MCULE-1635792225', 'MP-2215', 'p-Toluidine 100 microg/mL in Methanol', 'NCGC00247917-01', 'NCGC00247917-02', 'NCGC00247917-03', 'NCGC00254002-01', 'NCGC00259691-01', 'BP-11946', 'SC-22672', 'DB-024354', 'LS-154306', 'FT-0654835', 'FT-0675283', 'FT-0695721', 'NS00003075', 'p-Toluidine, SAJ special grade, &gt;=99.0%', 'ST45255282', 'AZ0001-0112', '79533-EP2272972A1', '79533-EP2272973A1', '79533-EP2275403A1', '79533-EP2277872A1', '79533-EP2284157A1', '79533-EP2305695A2', '79533-EP2305696A2', '79533-EP2305697A2', '79533-EP2305698A2', '142395-EP2280001A1', '142395-EP2281563A1', '142395-EP2292593A2', 'p-Toluidine, liquid or solid [UN1708] [Poison]', 'J-001600', 'p-Toluidine, liquid or solid [UN1708]  [Poison]', 'Q2043499', 'F2190-0420', 'P-TOLUIDINE, United States Pharmacopeia (USP) Reference Standard', 'p-Toluidine, for spectrophotometric det. of Au, Tl(III), W, &gt;=99.0%', '4MN']</t>
  </si>
  <si>
    <t>Compound(7813)</t>
  </si>
  <si>
    <t>4-methyl carbazole</t>
  </si>
  <si>
    <t>4-methyl-9H-carbazole</t>
  </si>
  <si>
    <t>['4-Methyl-9H-carbazole', '4-METHYLCARBAZOLE', '3770-48-7', '9H-Carbazole, 4-methyl-', 'UNII-VQ7R25H77L', 'VQ7R25H77L', 'Carbazole, 4-methyl', '4-Methyl-9H-carbazole #', 'SCHEMBL2991387', 'DTXSID9073967', 'CTK1C4692', 'ZINC2038414', 'FCH907935', 'AKOS006371243', 'OR340084', 'Q27291965']</t>
  </si>
  <si>
    <t>Compound(19591)</t>
  </si>
  <si>
    <t>C13H11N</t>
  </si>
  <si>
    <t>4-methylindole</t>
  </si>
  <si>
    <t>4-methyl-1H-indole</t>
  </si>
  <si>
    <t>['4-Methylindole', '16096-32-5', '4-Methyl-1H-indole', '1H-Indole, 4-methyl-', '4-Methyindole', '4-methyl-indole', 'Indole, 4-methyl-', '4-methyl indole', 'UNII-3338387XEA', '3338387XEA', '4-Methylindole, 99%', 'EINECS 240-262-5', 'MFCD00005668', 'PubChem7233', 'ACMC-1BPU3', 'SCHEMBL65514', 'KSC179O0L', 'SCHEMBL10266651', 'CTK0H9705', 'DTXSID20167043', 'ACN-S002859', 'ACT03552', 'ALBB-006050', 'BCP26932', 'ZINC2141018', 'ANW-21904', 'BBL027536', 'SBB048040', 'STK503688', 'AKOS000265516', 'AB00476', 'AC-1392', 'CS-W001971', 'MCULE-2053116755', 'PS-3408', 'VI30235', 'AK-45790', 'BP-10290', 'BR-45790', 'SC-01463', 'SY005776', 'AB0010863', 'DB-011384', 'AM20050546', 'FT-0602436', 'M1745', 'NS00025248', 'ST50946604', 'EN300-39431', 'B-3117', '096M325', 'Q27256216', 'Z1245664654']</t>
  </si>
  <si>
    <t>Compound(85282)</t>
  </si>
  <si>
    <t>['Lepidine', '4-METHYLQUINOLINE', '491-35-0', 'Quinoline, 4-methyl-', 'Cincholepidine', 'Lepidin', 'p-Methylquinoline', '4-Lepidine', 'gamma-Methylquinoline', '4-methyl-quinoline', 'CCRIS 2894', 'HSDB 7153', 'NSC 3412', 'AI3-24277', '.gamma.-Methylquinoline', 'UNII-116169T3O8', 'EINECS 207-734-2', 'MFCD00006784', 'BRN 0110926', 'Lepidine (4-Methylquinoline)', 'CHEBI:48983', '116169T3O8', '4-Methylquinoline, 99%', '4-methyl quinoline', '4-Methylquinoline.', 'Lepidine, 99%', 'methyl-4 isoquinoleine', 'ACMC-1AHYH', '3007-43-0', 'CHEMBL9734', 'DSSTox_CID_27067', 'DSSTox_RID_82083', 'DSSTox_GSID_47067', 'SCHEMBL31559', '4-Methylquinoline, &gt;=99%', '5-20-07-00389 (Beilstein Handbook Reference)', 'KSC235Q6N', 'DTXSID7047067', 'CTK1D5866', 'KS-00000WAB', 'NSC3412', 'BCP27150', 'NSC-3412', 'STR06140', 'ZINC1666750', 'Tox21_301829', 'ANW-30727', 'SBB058784', 'AKOS000119150', 'MCULE-8999201921', 'PS-3771', 'NCGC00184238-01', 'NCGC00184238-02', 'NCGC00184238-03', 'NCGC00184238-04', 'NCGC00184238-05', 'NCGC00184238-06', 'NCGC00184238-07', 'NCGC00184238-08', 'NCGC00184238-09', 'NCGC00184238-10', 'NCGC00256086-01', 'BR-49826', 'CAS-491-35-0', 'L758', 'LS-87752', 'SC-12713', 'SC-15612', 'DB-013319', 'FT-0627792', 'FT-0659357', 'L0024', 'NS00012990', 'ST50823863', 'A15593', 'A22510', 'M-5284', 'J-515822', 'Q6527408', 'F0001-1281', 'Z966690984', '4-Methylquinoline;Lepidine;4-methylquinoline;4-METHYLQUINOLINE;4-Methylquinoline.']</t>
  </si>
  <si>
    <t>Compound(10285)</t>
  </si>
  <si>
    <t>4-methylvaleric acid</t>
  </si>
  <si>
    <t>4-methylpentanoic acid</t>
  </si>
  <si>
    <t>['4-METHYLPENTANOIC ACID', '4-Methylvaleric acid', 'Isocaproic acid', '646-07-1', 'Pentanoic acid, 4-methyl-', 'Isohexanoic acid', 'Isobutylacetic acid', '4-methyl-pentanoic acid', 'Valeric acid, 4-methyl-', '4-METHYL VALERIC ACID', '4-Methyl-n-valeric acid', '4,4-Dimethylbutanoic acid', 'Isohexoic acid', 'Isocaproate', '3-Methylbutane-1-carboxylic acid', 'NSC 4126', 'UNII-4G4U8JA28T', 'FEMA No. 3463', '4-methyl-Valeric acid', '4-methyl pentanoic acid', 'EINECS 211-464-0', 'BRN 1741912', '4-Methylvaleric acid, 99%', 'AI3-04161', '4G4U8JA28T', 'Isohexanoic acid, mixed isomers', 'CHEBI:74903', 'Isohexanoic acid (mixed isomers)', 'Isohexanoate', 'Isohexoate', '4-Methylvalerate', '4-methyl-Valerate', '4-methyl-pentanoate', '4-methyl-n-valerate', 'ISOBUTYLACETATE', '4,4-Dimethylbutanoate', '4-Methylvalericacid', '4MV', 'iso-caproic acid', 'MFCD00002803', '4,4-dimethylbutyric acid', 'Pentanoicacid, 4-methyl-', 'ACMC-1B3NG', 'bmse000625', 'SCHEMBL25603', '4-02-00-00944 (Beilstein Handbook Reference)', 'KSC353A5H', 'WLN: QV2Y1&amp;1', 'CHEMBL1230308', 'DTXSID8060951', 'CTK2F3053', 'NSC4126', 'HMS1732H05', 'Valeric acid, 4-methyl- (8CI)', 'ZINC391113', 'KS-00000VK0', 'NSC-4126', '9893AB', 'ANW-41617', 'LMFA01020076', 'SBB065829', 'STL168053', 'AKOS000121502', 'CS-W016598', 'DB03993', 'HY-W015882', 'MCULE-7691755837', '4-Methylvaleric Acid (Isocaproic Acid)', 'LS-84480', 'SC-57917', 'DB-003511', '4-Methylpentanoic acid, &gt;=98%, FCC, FG', 'FT-0619146', 'M0457', 'M0750', 'NS00021311', 'S6278', 'ST45029000', 'C21399', 'Y-9848', '11226-EP2298766A1', '11226-EP2316827A1', 'J-515800', 'Q19597905', 'Z56347204']</t>
  </si>
  <si>
    <t>Compound(12587)</t>
  </si>
  <si>
    <t>4-ethyloct-1-yn-3-ol</t>
  </si>
  <si>
    <t>['4-Ethyl-1-octyn-3-ol', '4-Ethyloct-1-yn-3-ol', '5877-42-9', '1-Octyn-3-ol, 4-ethyl-', 'Ethyloctynol', '4-Ethyl-1-octyn-3-0l', '4-Ethyl-3-hydroxy-1-octyne', 'UNII-L1LYK1CE9P', '(2-Ethyl-1-hydroxyhexyl)acetylene', 'EINECS 227-545-9', 'NSC 62119', 'L1LYK1CE9P', '1-Octyne-3-ol, 4-ethyl-', 'NSC62119', 'DSSTox_CID_24697', 'DSSTox_RID_80404', 'DSSTox_GSID_44697', 'SCHEMBL179938', 'ACMC-209m74', 'DTXSID1044697', 'CTK1H2055', 'KS-000013RX', 'Tox21_301468', 'ANW-33038', 'NSC-62119', 'AKOS006229979', 'MCULE-2208627746', 'NCGC00256162-01', 'LS-98168', 'CAS-5877-42-9', 'CS-0077154', 'E0270', 'FT-0694708', 'NS00022432', 'C-52520', 'Q27282598']</t>
  </si>
  <si>
    <t>Compound(93012)</t>
  </si>
  <si>
    <t>4-ethyl-2,3-dimethylphenol</t>
  </si>
  <si>
    <t>['66142-72-1', '4-Ethyl-2,3-dimethylphenol', 'Phenol, 4-ethyl-2,3-dimethyl-', 'ethyldimethyl phenol', '2,3-Dimethyl-4-ethylphenol', 'SCHEMBL4888228', 'CTK1I0821', 'DTXSID80538619']</t>
  </si>
  <si>
    <t>Compound(13374048)</t>
  </si>
  <si>
    <t>4-ethyl-3,5-dimethylphenol</t>
  </si>
  <si>
    <t>['3,5-Dimethyl-4-ethylphenol', 'SCHEMBL12671647', '62126-77-6']</t>
  </si>
  <si>
    <t>Compound(54361374)</t>
  </si>
  <si>
    <t>4-ethyl-4-hexadecylmorpholinium ethyl sulfate</t>
  </si>
  <si>
    <t>4-ethyl-4-hexadecylmorpholin-4-ium;ethyl sulfate</t>
  </si>
  <si>
    <t>['Barquat cme-A', 'Cetethyl morpholinium ethosulfate', '78-21-7', 'Caswell No. 165F', 'Atlas G 263', 'CETYLETHYLMORPHOLINIUM ETHOSULFATE', 'Quaternium-25', 'UNII-FU19SYM476', 'N-Cetyl-N-ethylmorpholinium ethosulfate', 'N-Cetyl-N-ethylmorpholinium ethylsulfate', 'Ethyl-N-hexadecylmorpholinium ethosulfate', 'N-Cetyl-N-ethylmorpholinium ethyl sulfate', 'G 251', 'G 263', 'G-263', 'N-Hexadecyl-N-ethylmorpholinium ethyl sulfate', '4-Ethyl-4-hexadecylmorpholinium ethyl sulfate', '4-Ethyl-4-hexadecyl morpholinium ethyl sulfate', '4-Ethyl-4-hexadecylmorpholinium ethyl sulphate', 'G 251 (VAN)', 'EINECS 201-094-8', 'EPA Pesticide Chemical Code 069187', 'NSC 215231', 'Morpholinium, 4-ethyl-4-hexadecyl-, ethyl sulfate', 'FU19SYM476', 'Cetyl ethyl morpholinium ethosulfate', 'N-Cetyl-N-ethyl morpholinium ethyl sulfate', '4-Ethyl-4-hexadecylmorpholinium, ethyl sulfate', 'Sulfuric acid, monoethyl ester, ion(1-), 4-ethyl-4-hexadecylmorpholinium', 'Morpholinium, 4-ethyl-4-hexadecyl-, ethyl sulfate (1:1)', 'Atlas G-263', 'Morpholinium, ethyl sulfate', 'SCHEMBL1207771', 'DTXSID4051245', 'NSC215231', 'NSC-215231', 'LS-93588', 'Q27278199', 'UNII-J8C5W5HH18 component QDQHWKZZJJDBND-UHFFFAOYSA-M']</t>
  </si>
  <si>
    <t>Compound(60971)</t>
  </si>
  <si>
    <t>C24H51NO5S</t>
  </si>
  <si>
    <t>4-ethylphenol</t>
  </si>
  <si>
    <t>['4-ETHYLPHENOL', '123-07-9', 'p-Ethylphenol', 'Phenol, 4-ethyl-', '1-Ethyl-4-hydroxybenzene', 'Phenol, p-ethyl-', 'para-Ethylphenol', '1-Hydroxy-4-ethylbenzene', '4-Hydroxyphenylethane', '4-ethyl-phenol', '4-Hydroxyethylbenzene', 'Paraethylphenol', 'Hydroxyphenylethane, p-', 'UNII-AGG7E6G0ZC', '4-ethyl phenol', 'Phenol, 3(or 4)-ethyl-', 'FEMA No. 3156', 'HSDB 5598', 'EINECS 204-598-6', 'NSC 62012', 'AGG7E6G0ZC', 'BRN 1363317', 'AI3-26063', 'CHEBI:49584', 'BENZENE,1-ETHYL,4-HYDROXY', 'MFCD00002393', '4-Ethylphenol, 97%', 'DSSTox_CID_1977', 'DSSTox_RID_76438', 'DSSTox_GSID_21977', '29471-88-3', 'CAS-123-07-9', 'p-ethyl phenol', '4-Ethylphenol.', '4-ethyl- phenol', 'PubChem3874', '4-ethyl-phenyl alcohol', '2ra6', '4-Ethylphenol, 99%', 'ACMC-1BV6Q', 'bmse000681', 'SCHEMBL28713', '4-06-00-03020 (Beilstein Handbook Reference)', 'KSC238K7P', 'BIDD:ER0028', 'CHEMBL108475', 'SGCUT00257', 'DTXSID4021977', '4-Ethylphenol, &gt;=98%, FG', 'NSC62012', 'to_000047', 'ZINC1690956', 'Tox21_201533', 'Tox21_302986', 'ANW-18096', 'NSC-62012', 's6308', 'SBB057513', 'STL194291', '4-Ethylphenol, &gt;=97.0% (GC)', 'AKOS000120205', 'CCG-356389', 'CS-W013552', 'HY-W012836', 'MCULE-7755465629', 'NE10189', 'NCGC00249062-01', 'NCGC00256558-01', 'NCGC00259083-01', 'AK114308', 'L717', 'SC-47139', '4-Ethylphenol 10 microg/mL in Acetonitrile', 'DB-003481', 'LS-104619', 'E0159', 'FT-0618420', 'NS00010739', 'ST50331802', 'C13637', '4-Ethylphenol, PESTANAL(R), analytical standard', 'Q409853', 'W-108417', 'F1908-0166', 'Z1262254269', 'UNII-C27Y543KVA component HXDOZKJGKXYMEW-UHFFFAOYSA-N', '4-Ethylphenol;4-ethylphenol;4-ETHYLPHENOL;Phenol, 4-ethyl-, sodium salt;Sodium p-ethylphenolate', 'ETY']</t>
  </si>
  <si>
    <t>Compound(31242)</t>
  </si>
  <si>
    <t>4-ethyl toluene</t>
  </si>
  <si>
    <t>1-ethyl-4-methylbenzene</t>
  </si>
  <si>
    <t>['4-Ethyltoluene', '1-Ethyl-4-methylbenzene', '622-96-8', 'P-ETHYLTOLUENE', 'Benzene, 1-ethyl-4-methyl-', 'Toluene, p-ethyl-', '4-Methylethylbenzene', 'p-Ethylmethylbenzene', 'p-Methylethylbenzene', 'para-Ethyltoluene', '1-Methyl-4-ethylbenzene', '1-Ethyl-4-methyl-benzene', 'NSC 74177', 'EINECS 210-761-2', 'UNII-G6JY83VLB5', 'G6JY83VLB5', 'AI3-28772', 'CHEMBL195384', 'J-504608', 'p-ethyl toluene', 'CCRIS 8525', 'Ethyltoluol, 4-', '1,4-methylethylbenzene', 'PubChem21843', 'ACMC-1BDSI', '4-ethyl-1-methylbenzene', 'para-ethyl-methyl-benzene', 'DSSTox_CID_9194', 'DSSTox_RID_78704', 'DSSTox_GSID_29194', 'Benzene, 1-methyl-4-ethyl-', 'WLN: 2R D1', 'DTXSID9029194', 'CTK3J2753', 'KS-00000UVM', 'ACT08723', 'NSC74177', 'ZINC1699561', 'Tox21_200472', '9372AB', 'ANW-34142', 'BDBM50167943', 'MFCD00009263', 'NSC-74177', '2-(4-Methylphenyl)ethylidyne radical', '4-Ethyltoluene, &gt;=95.0% (GC)', 'AKOS015889277', '4-Ethyltoluene, technical grade, 90%', 'FCH1114676', 'MCULE-9537190030', 'VZ28975', 'ACM25550145', 'NCGC00248643-01', 'NCGC00258026-01', 'AC-22323', 'CAS-622-96-8', '4-Ethyltoluene 100 microg/mL in Methanol', 'AX8097042', 'DB-073085', 'LS-154072', 'AM20040885', 'E0186', 'FT-0618428', 'NS00002700', 'A26230', '15404-EP2305683A1', '15404-EP2311839A1', '15404-EP2314589A1', '15404-EP2316837A1', 'Q24300547', 'Benzene, 1-ethyl-4-methyl-;Ethyltoluol, 4-;4-ethyltoluene']</t>
  </si>
  <si>
    <t>Compound(12160)</t>
  </si>
  <si>
    <t>4-butoxybutanoic acid</t>
  </si>
  <si>
    <t>['4-BUTOXYBUTANOIC ACID', '55724-73-7', 'Butanoic acid, 4-butoxy-', '4-butoxy-butanoic acid', '4-Butoxybutanoic acid #', 'SCHEMBL379965', 'DTXSID90204272', 'ZINC2002627']</t>
  </si>
  <si>
    <t>Compound(41562)</t>
  </si>
  <si>
    <t>4-butoxyphenol</t>
  </si>
  <si>
    <t>['4-BUTOXYPHENOL', '122-94-1', 'Phenol, 4-butoxy-', 'p-Butoxyphenol', 'Phenol, p-butoxy-', '4-Butoxy-phenol', 'UNII-8188DBS68J', 'CHEBI:34392', '8188DBS68J', 'AK114215', 'W-108420', 'Hydroquinone Monobutyl Ether', '4-Normal-Butoxyphenol', 'NSC 60292', 'hydroquinone mono-n-butyl ether', '4-n-butyloxyphenol', 'EINECS 204-583-4', 'Pramoxine Impurity A', '4-Butoxyphenol, 98%', 'ACMC-1BS9D', 'Phenol, p-butoxy- (8CI)', 'SCHEMBL57167', 'KSC176G0F', 'CHEMBL224262', '4-butoxyphenol;4-n-butoxyphenol', 'DTXSID4059548', 'CTK0H6302', 'KS-00000IPZ', 'NSC60292', 'ZINC1690127', 'ANW-18084', 'BBL004099', 'MFCD00002336', 'NSC-60292', 'SBB058865', 'STK396632', 'AKOS005431312', 'DS-6426', 'MCULE-2788753406', 'VZ28647', 'BBV-2069294', 'CC-18534', 'I921', 'AX8017828', 'BB0295980', 'B0923', 'FT-0617936', 'NS00024003', 'ST50406330', 'T7358', '22B941', 'C14351', 'C-04801', 'Q27116038']</t>
  </si>
  <si>
    <t>Compound(31233)</t>
  </si>
  <si>
    <t>4-n-octylphenol</t>
  </si>
  <si>
    <t>4-octylphenol</t>
  </si>
  <si>
    <t>['4-OCTYLPHENOL', 'Phenol, 4-octyl-', '1806-26-4', '4-n-Octylphenol', 'p-Octylphenol', 'Phenol, p-octyl-', '1-(p-Hydroxyphenyl)octane', 'para-Octylphenol', 'UNII-7DF2B8LH3P', '4-Octyl-phenol', 'HSDB 5857', 'OP (TENTATIVE)', 'EINECS 217-302-5', '7DF2B8LH3P', 'MLS001055340', 'CHEBI:34432', 'MFCD00036134', 'Phenol, octenylated', 'NCGC00090986-03', 'SMR000677939', 'p-octyl phenol', '4-octyl phenol', '4-octylphenol*', 'EINECS 276-174-9', 'Phenol, reaction product with octene', '4-Octylphenol, 99%', 'DSSTox_CID_2312', 'DSSTox_RID_76545', 'DSSTox_GSID_22312', 'SCHEMBL18809', '71902-25-5', 'cid_15730', 'BIDD:ER0059', 'CHEMBL195437', 'DTXSID9022312', 'BDBM74109', 'CTK0I1232', '4-Octylphenol, analytical standard', 'KS-000018CH', 'ZINC2039235', 'Tox21_400015', 'QC-607', 'SBB059157', 'AKOS002685659', 'MCULE-2695490410', 'NCGC00090986-01', 'NCGC00090986-02', 'NCGC00090986-04', 'AS-40771', 'ST033354', 'CAS-1806-26-4', '4-n-Octylphenol 10 microg/mL in Isooctane', 'AX8018965', 'LS-105015', 'FT-0619333', 'NS00008748', 'C14132', 'A812553', 'C-42368', 'J-011534', 'Q27116060', '4-tert-Octylphenol; NSC 5427; NSC 7248;p-t-Octylphenol; p-tert-Octylphenol']</t>
  </si>
  <si>
    <t>Compound(15730)</t>
  </si>
  <si>
    <t>4-octyl-N- (4-octylphenyl) benzenamine</t>
  </si>
  <si>
    <t>4-octyl-N-(4-octylphenyl)aniline</t>
  </si>
  <si>
    <t>['Bis(4-octylphenyl)amine', '101-67-7', "4,4'-DIOCTYLDIPHENYLAMINE", 'Benzenamine, 4-octyl-N-(4-octylphenyl)-', 'p,p-Dioctyldiphenylamine', '4-Octyl-N-(4-octylphenyl)aniline', 'Bis(p-octylphenyl)amine', "4,4'-Dioctylphenylamine", "p,p'-Dioctyldiphenylamine", 'Vanlube-81', '4-Octyl-N-(4-octylphenyl)benzenamine', 'Dioctyldiphenylamine', "Diphenylamine, 4,4'-dioctyl-", 'Di-n-octyl diphenylamine', 'NSC 79268', 'UNII-28396EFO9I', 'CCRIS 6029', 'HSDB 5341', 'EINECS 202-965-5', 'AI3-17279', '28396EFO9I', 'Benzenamine, ar-octyl-N-(octylphenyl)-', 'AK117116', 'W-109378', 'Vanox ODP', 'NSC79268', 'Naugalube 438', "Ppp'-dioctyldiphenylamine", 'DSSTox_CID_5170', "Diphenylamine,4'-dioctyl-", 'DSSTox_GSID_25170', 'SCHEMBL60027', 'WLN: 8R DMR D8', 'EOS383', 'DTXSID3025170', 'CHEBI:88866', 'Dioctyldiphenylamine (mixed isomers)', 'EINECS 247-839-0', 'Tox21_303750', 'LS-333', 'NSC-79268', 'ZINC95866665', '4-Octyl-N-(4-octylphenyl)aniline #', 'AKOS016010569', "Diphenylamine, 4,4'-dioctyl- (8CI)", 'NCGC00356940-01', 'AS-13155', 'CAS-101-67-7', 'H477', 'AX8125768', 'FT-0652211', 'NS00019544', '101P677', 'Q27160878', 'UNII-7134CH29H0 component QAPVYZRWKDXNDK-UHFFFAOYSA-N', 'bis(4-octylphenyl)amine;Bis(4-octylphenyl)amine;Bis(octylphenyl)amine;bis(octylphenyl)amine']</t>
  </si>
  <si>
    <t>Compound(7569)</t>
  </si>
  <si>
    <t>C28H43N</t>
  </si>
  <si>
    <t>4-nonylphenol</t>
  </si>
  <si>
    <t>['4-nonylphenol', '4-n-Nonylphenol', 'p-Nonylphenol', '104-40-5', 'Phenol, 4-nonyl-', 'para-Nonylphenol', 'p-n-Nonylphenol', '4-nonyl phenol', 'Phenol, p-nonyl-', 'Phenol, nonyl derivs.', 'Nonylphenol (mixed)', 'p-nonyl phenol', 'para Nonyl phenol', 'p -n -Nonylphenol', '4-Nonyl-Phenol', '4-n-Nonyl phenol', 'CCRIS 1251', 'HSDB 5359', 'EINECS 203-199-4', 'BRN 2047450', '68081-86-7', 'DTXSID5033836', 'CHEBI:34440', 'MFCD00002396', 'P-NONYLPHENOL (ENDOCRINE DISRUPTER)', 'DSSTox_CID_1857', 'DSSTox_RID_79098', 'DSSTox_GSID_33836', '4-NP', 'CAS-104-40-5', 'C9-Alkylated phenol', '(C9)Alkylated phenol', 'UNII-I03GBV4WEL', '4-Nonylphenol (4-NP)', '1-(4-Hydroxyphenyl)nonane', 'nonyl-phenol', 'p-nonyl-phenol', 'Para-nonyl phenol', 'EINECS 268-359-8', '211947-56-7', 'Nonylphenol (4-NP)', 'Spectrum_001973', 'SpecPlus_000624', 'Spectrum2_001832', 'Spectrum3_000872', 'Spectrum4_000712', 'Spectrum5_002066', '4-Nonyl Phenol-13C6', '4-n-Nonylphenol, 85%', '4-n-Nonylphenol, 98%', 'I03GBV4WEL', 'BIDD:PXR0002', 'SCHEMBL15887', 'BSPBio_002543', 'KBioGR_001263', 'KBioSS_002539', 'SPECTRUM330085', '3-06-00-02067 (Beilstein Handbook Reference)', 'KSC180Q2T', 'BIDD:ER0006', 'DivK1c_006720', 'SPBio_001903', 'CHEMBL153062', 'CTK0I0829', 'KBio1_001664', 'KBio2_002530', 'KBio2_005098', 'KBio2_007666', 'KBio3_002043', '4-Nonylphenol, analytical standard', 'ZINC1850497', 'Tox21_201241', 'Tox21_303647', 'BDBM50410532', 'CCG-39613', 'LMPK15010001', 'LS-375', 'SBB059316', 'STL453644', 'AKOS015888197', 'MCULE-5930378829', 'NCGC00090918-01', 'NCGC00090918-02', 'NCGC00090918-03', 'NCGC00090918-05', 'NCGC00090918-06', 'NCGC00090918-07', 'NCGC00090918-08', 'NCGC00257420-01', 'NCGC00258793-01', 'CC-20192', 'FT-0619310', 'FT-0673035', 'NS00010283', 'ST50827096', '4-n-Nonylphenol 10 microg/mL in Acetonitrile', '4-n-Nonylphenol 10 microg/mL in Cyclohexane', '4-n-Nonylphenol 100 microg/mL in Cyclohexane', 'C14550', '4-Nonylphenol, PESTANAL(R), analytical standard', 'C-33468', 'SR-05000002459', 'J-001167', 'Q4545806', 'SR-05000002459-1', '4-Nonylphenol, certified reference material, TraceCERT(R)']</t>
  </si>
  <si>
    <t>Compound(1752)</t>
  </si>
  <si>
    <t>C15H24O</t>
  </si>
  <si>
    <t>4-chlorophenoxyacetic acid</t>
  </si>
  <si>
    <t>2-(4-chlorophenoxy)acetic acid</t>
  </si>
  <si>
    <t>['4-CHLOROPHENOXYACETIC ACID', '122-88-3', '2-(4-chlorophenoxy)acetic acid', '(4-Chlorophenoxy)acetic acid', '4-CPA', 'Tomatotone', 'Sure-Set', 'Acetic acid, (4-chlorophenoxy)-', 'Tomato Fix', 'Tomato hold', 'Marks 4-cpa', 'p-Chlorophenoxyacetic acid', '4-CP', 'Acetic acid, (p-chlorophenoxy)-', '4-Chlorophenoxyacetate', 'Tomato Fix concentrate', '(p-Chlorophenoxy)acetic acid', '4CPA', 'Acetic acid, 2-(4-chlorophenoxy)-', 'Caswell No. 204', 'BI 12', 'Parachlorophenoxyacetic acid', 'UNII-4EMM3U5P3K', 'Kyselina 4-chlorfenoxyoctova', 'para-Chlorophenoxyacetic acid', 'CCRIS 1465', 'p-chlorophenoxyacetate', 'HSDB 3944', '4-Chlorphenoxyessigsaeure', 'NSC 8769', 'EINECS 204-581-3', 'Kyselina 4-chlorfenoxyoctova [Czech]', 'EPA Pesticide Chemical Code 019401', 'BRN 1211804', '4EMM3U5P3K', 'AI3-30799', 'CHEBI:1808', '4-Chlorophenoxyacetic acid, 98%', 'ACMC-20amki', 'PubChem20127', '4-ChlorophenoxyaceticAcid', '4-chlorophenoxyactic acid', 'WLN: QV1OR DG', '4-chlorophenoxy acetic acid', 'Cambridge id 5511235', 'DSSTox_CID_14282', 'DSSTox_RID_79137', 'DSSTox_GSID_34282', 'SCHEMBL40485', '4-06-00-00845 (Beilstein Handbook Reference)', 'KSC174M4R', '(4-chlorophenoxy)-acetic acid', '(2-chlorophenoxy)ethanoic acid', 'CHEMBL178018', '(4-chloro-phenoxy)-acetic acid', 'DTXSID9034282', 'CTK0H4648', 'KS-00000CDF', 'NSC8769', '[(4-Chlorophenyl)oxy]acetic acid', 'NSC-8769', 'ZINC8403210', 'Tox21_300744', 'BBL007585', 'MFCD00004305', 'SBB004537', 'STK116608', 'AKOS000103793', 'AB00355', 'MCULE-9539789488', 'NCGC00164254-01', 'NCGC00164254-02', 'NCGC00254650-01', 'AC-10963', 'AK163273', 'AS-12913', 'CAS-122-88-3', 'LS-11336', 'SC-25724', 'DB-041694', '4-Chlorophenoxyacetic acid, &gt;=98.0% (T)', 'BB 0217920', 'FT-0618240', 'NS00015495', 'ST45161748', 'T7357', 'C07088', '26960-EP2274983A1', '26960-EP2311815A1', '26960-EP2314583A1', 'AE-641/30397036', 'L000201', 'Q-200459', 'Q4637113', 'Z57181989', 'F0777-0788', '4-Chlorophenoxyacetic acid, PESTANAL(R), analytical standard', '4-Chlorophenoxyacetic acid, BioReagent, plant cell culture tested, crystalline']</t>
  </si>
  <si>
    <t>Compound(26229)</t>
  </si>
  <si>
    <t>C8H7ClO3</t>
  </si>
  <si>
    <t>4-chloro-2,6-dinitroaniline</t>
  </si>
  <si>
    <t>['4-Chloro-2,6-dinitroaniline', '5388-62-5', '2,6-DINITRO-4-CHLOROANILINE', 'Benzenamine, 4-chloro-2,6-dinitro-', 'UNII-548PQG844S', 'HSDB 6082', 'Aniline, 4-chloro-2,6-dinitro-', 'NSC 8730', 'EINECS 226-381-5', 'AI3-62729', '4-chloro-2,6-dinitrophenylamine', '548PQG844S', 'Aniline, 2,6-dinitro-4-chloro-', 'NSC8730', 'SCHEMBL2912091', 'DTXSID4063822', 'CTK4J8928', 'NSC-8730', 'ZINC4343986', '7699AB', 'SBB003374', '4-Chloro-2,6-dinitroaniline, 98%', 'AKOS001034024', 'MCULE-7656806481', 'LS-19781', 'ST044485', 'Aniline, 4-chloro-2,6-dinitro- (8CI)', 'NS00032864', 'SR-01000025560', 'SR-01000025560-1', 'Q27261187']</t>
  </si>
  <si>
    <t>Compound(21484)</t>
  </si>
  <si>
    <t>C6H4ClN3O4</t>
  </si>
  <si>
    <t>4-chloro-2-methylaniline (p-chloro-o-toluidine)</t>
  </si>
  <si>
    <t>4-chloro-2-methylaniline</t>
  </si>
  <si>
    <t>['4-Chloro-2-methylaniline', '95-69-2', '4-CHLORO-O-TOLUIDINE', '2-Amino-5-chlorotoluene', 'Benzenamine, 4-chloro-2-methyl-', 'p-Chloro-o-toluidine', 'Fast Red TR Base', 'Kambamine Red TR', '4-Chloro-2-toluidine', '2-Methyl-4-chloroaniline', 'Deval Red K', 'Red TR base', 'Deval Red TR', 'Fast Red TR', 'Red Base NTR', 'Fast Red Base TR', 'Kako Red TR Base', 'Red Base Ciba IX', 'Red Base Irga IX', '5-Chloro-2-aminotoluene', 'Daito Red Base TR', 'o-Toluidine, 4-chloro-', 'Fast Red Tr11', '4-Chloro-6-methylaniline', 'Fast Red TRO Base', 'Mitsui Red TR Base', 'Diazo Fast Red TRA', 'Fast Red 5CT Base', 'Tulabase Fast Red TR', '3-Chloro-6-aminotoluene', 'Sanyo Fast Red TR Base', 'Azoene Fast Red TR Base', 'Amarthol Fast Red TR Base', 'Brentamine Fast Red TR Base', '4-Chloro-2-methylbenzeneamine', 'Azoic Diazo Component 11, base', 'Caswell No. 216H', '4-Chloro-ortho-toluidine', 'NSC 4979', '4-chloro-2-methylphenylamine', 'CCRIS 7518', 'HSDB 2061', 'UNII-95NB978426', '4-chloro-o-methylaniline', 'EINECS 202-441-6', '4-CHLORO-2-METHYL-PHENYLAMINE', 'Asymmetric meta-chloro-ortho-toluidine', 'BRN 0878505', '4-Chloro-2-methylbenzenamine', 'CHEBI:82276', '4-Chloro-2-methylaniline, 98%', 'p-Chloro-o-toluidine, strong acid salts of', '95NB978426', 'p-Chloro-o-toluidine [p-Chloro-o-toluidine and its strong acid salts]', '4-chloro-2-methyl aniline', 'Benzenamine, 4-chloro-2-methyl-, hydrochloride (1:1)', 'Fast Red TR-T Base', 'PubChem10759', 'ACMC-209rzv', '4-chlor-2-methylanilin', 'azoic diazo component 11', 'Benzenamine, 4-chloro-2-methyl-, labeled with carbon-14, hydrochloride', 'Devol Red K (Salt/Mix)', 'WLN: ZR DG B1', 'DSSTox_CID_21508', 'DSSTox_RID_79756', 'DSSTox_GSID_41508', 'Kromon Green B (Salt/Mix)', 'SCHEMBL92153', '4-12-00-01796 (Beilstein Handbook Reference)', '87999-30-2', 'KSC491S6R', 'NSC 7629 (Salt/Mix)', 'CHEMBL3181910', 'DTXSID1041508', 'NCI-C02368 (Salt/Mix)', 'CTK3J1968', 'Neutrosel Red TRVA (Salt/Mix)', 'TIMTEC-BB SBB040954', 'NSC4979', 'Azogene Fast Red TR (Salt/Mix)', 'LABOTEST-BB LTBB000666', 'ZINC157577', 'KS-000009RM', 'NSC-4979', 'STR01685', 'AKOS BBS-00004466', 'Tox21_300857', 'ANW-40553', 'BBL012233', 'SBB040954', 'STL163571', 'AKOS000118867', 'AS00413', 'CS-W007906', 'MCULE-1512071975', 'MP-2222', 'CAS-95-69-2', 'NCGC00248193-01', 'NCGC00248193-02', 'NCGC00254760-01', 'AK-36978', 'BP-11292', 'BR-36978', 'SC-16491', 'DB-024295', 'LS-154331', 'A0704', 'AM20060759', 'FT-0611165', 'NS00004103', 'ST50214581', '4-Chloro-2-methylaniline, analytical standard', 'C19169', '4-Chloro-2-methylaniline, purum, &gt;=98.0% (GC)', 'J-514967', '4-Chloro-2-methylaniline 100 microg/mL in Methanol', 'Q10859489', 'F1995-0194', 'Z1245735227', '4-Chloro-2-methylaniline hydrochloride;4-Chloro-2-methylaniline;4-Chlor-2-methylanilin;4-chloro-o-toluidine', '747365-22-6']</t>
  </si>
  <si>
    <t>Compound(7251)</t>
  </si>
  <si>
    <t>4-chloro-2-methylphenol</t>
  </si>
  <si>
    <t>['4-CHLORO-2-METHYLPHENOL', '1570-64-5', '4-Chloro-o-cresol', '2-Methyl-4-chlorophenol', '4-Chloro-2-cresol', 'Phenol, 4-chloro-2-methyl-', 'p-Chloro-o-cresol', 'o-Cresol, 4-chloro-', '4-chloro-2-methyl phenol', '4-chloro-2-methyl-phenol', '5-chloro-2-hydroxytoluene', 'UNII-297V63W9RI', 'CCRIS 1939', 'AI3-24520', 'HSDB 5841', 'NSC 2851', 'EINECS 216-381-3', 'BRN 1906684', 'CHEBI:1800', 'CHEMBL194121', '297V63W9RI', 'MFCD00002321', 'DSSTox_CID_2510', 'DSSTox_RID_76605', 'DSSTox_GSID_22510', 'CAS-1570-64-5', '4-chloroo-cresol', 'Mecoprop-P metabolite', 'PubChem3673', 'ACMC-209dfa', 'C03359', 'EC 216-381-3', 'WLN: QR DG B1', '4-06-00-01987 (Beilstein Handbook Reference)', 'KSC497G8H', 'BIDD:ER0055', 'SCHEMBL171059', 'DTXSID5022510', '4-Chloro-2-methylphenol, 97%', 'CTK3J7383', 'KS-00000LLY', 'NSC2851', 'LABOTEST-BB LTBB002364', 'ZINC404328', 'ACT07557', 'NSC-2851', 'STR00698', 'Tox21_202018', 'Tox21_302888', 'ANW-21668', 'BDBM50410499', 'LS-902', 'SBB060653', 'STK399791', 'AKOS000120241', 'AM84513', 'AS02822', 'CCG-302527', 'LS10662', 'MCULE-5116771906', 'PS-3359', 'NCGC00090904-01', 'NCGC00090904-02', 'NCGC00256499-01', 'NCGC00259567-01', 'AK-49177', 'BP-12082', 'BR-49177', 'SC-01379', '4-Chloro-2-methylphenol, analytical standard', 'A3455', 'FT-0618235', 'NS00007230', 'ST50586196', 'M-7122', 'W-108008', 'Q27105510', '4-Chloro-2-methylphenol 100 microg/mL in Acetonitrile', 'Z1262246169', '4-Chloro-2-methylphenol, PESTANAL(R), analytical standard', 'Phenol, 4-chloro-2-methyl-;4-chloro-o-cresol;4-chloro-2-methylphenol', 'MZG']</t>
  </si>
  <si>
    <t>Compound(14855)</t>
  </si>
  <si>
    <t>4-chloro-2-nitroaniline</t>
  </si>
  <si>
    <t>['4-CHLORO-2-NITROANILINE', '89-63-4', 'Benzenamine, 4-chloro-2-nitro-', '2-Nitro-4-chloroaniline', 'p-Chloro-o-nitroaniline', 'PCON', 'Red Salt Nbgl', 'Devol Red F', 'Devol Red Salt F', 'Red Base Ciba VI', 'Red Base Irga VI', 'Red Salt Ciba VI', 'Red Salt Irga VI', 'Red 3G Base', 'Red 3G Salt', 'Red 3GS Salt', 'Red Base 3GL', 'PCONA', 'Fast Red 2NC Base', 'Fast Red 2NC Salt', 'Fast Red 3GL Base', 'Fast Red 3GL Salt', 'Fast Red Base 3JL', 'Fast Red Salt 3GL', 'Fast Red Salt 3JL', 'Daito Red Base 3GL', 'Daito Red Salt 3GL', 'Diazo Fast Red 3GL', 'Azofix Red 3GL Salt', 'Kayaku Red Salt 3GL', 'Mitsui Red 3GL Base', 'Mitsui Red 3GL Salt', '4-Chloro-2-nitrobenzenamine', 'Symulon Red 3GL Salt', 'Aniline, 4-chloro-2-nitro-', 'Naphthanil Red 3G Base', 'Sanyo Fast Red Salt 3GL', 'Azoene Fast Red 3GL Base', 'Azoene Fast Red 3GL Salt', 'Kayaku Fast Red 3GL Base', 'Fast Red 3GL Special Base', 'Fast Red 3GL Special Salt', 'Fast Red Base 3GL Special', 'Hiltonil Fast Red 3GL Base', 'Hiltosal Fast Red 3GL Salt', 'Naphtoelan Fast Red 3GL Base', 'Naphtoelan Fast Red 3GL Salt', 'Shinnippon Fast Red 3GL Base', 'Azoic Diazo Component 9', 'C.I. Azoic Diazo Component 9', 'Kayaku Red Salt GL', 'Red Base 3 GL', 'Azofly Red 3GL Salt', 'NCI-C60355', 'C.I. 37040', 'Naptoelan Fast Red 3GL Salt', 'CCRIS 3110', 'UNII-1929LY233C', 'Benzenamide, 4-chloro-2-nitro-', 'HSDB 5182', 'o-nitro-p-chloroaniline', 'NSC 3546', 'EINECS 201-925-4', 'BRN 0512436', 'CI 37040', '4-Chloro-2-nitro-phenylamine', 'AI3-02918', 'Azoic diazo component 9, base', '4-Chloro-2-nitroaniline, 99%', '1929LY233C', '4-chloro-2-nitrophenylamine', '4-chloro-2-nitro-aniline', '2-Amino-5-chloronitrobenzene', '4-chlor-2-nitroanilin', 'PubChem12851', 'WLN: ZR DG BNW', '2-Nitro-4-chloro aniline', 'EC 201-925-4', 'DSSTox_CID_10384', 'DSSTox_RID_78846', '4-chloro-2-nitro-pheylamine', 'DSSTox_GSID_30384', 'KSC490G3J', 'ARONIS27113', 'SCHEMBL131251', 'ACMC-209r26', '(4-chloro-2-nitrophenyl)amine', 'CHEMBL166405', 'DTXSID4030384', 'CTK3J0334', 'KS-00000UYV', 'PBGKNXWGYQPUJK-UHFFFAOYSA-', '1-amino-2-nitro-4-chlorobenzene', 'NSC3546', 'PCONA: 4-Chloro-2-Nitroaniline', '(4-chloro-2-nitro-phenyl)-amine', 'ACT00153', 'KS-000048LM', 'NSC-3546', 'STR02491', 'ZINC3860834', 'Tox21_200807', 'ANW-39340', 'MFCD00007836', 'SBB028369', 'SBB064227', 'STK301777', 'AKOS000119119', 'AM61703', 'AS05334', 'CM11381', 'LS-1897', 'MCULE-7964921598', 'MP-2111', 'CAS-89-63-4', '1-?Amino-?4-?chloro-?2-?nitrobenzene', 'NCGC00091243-01', 'NCGC00091243-02', 'NCGC00258361-01', 'BR-72864', 'SC-23244', 'T277', 'DB-057150', 'ST4147830', '4-Chloro-2-nitroaniline, analytical standard', 'FT-0618121', 'NS00003462', 'AZ0001-0095', 'AE-848/33219050', 'W-100366', 'Q27252057', 'Z1245633944', 'Aniline, 4-chloro-2-nitro-;4-chloro-2-nitroaniline;4-Chlor-2-nitroanilin']</t>
  </si>
  <si>
    <t>Compound(6979)</t>
  </si>
  <si>
    <t>4-chloro-2-nitrotoluene</t>
  </si>
  <si>
    <t>4-chloro-1-methyl-2-nitrobenzene</t>
  </si>
  <si>
    <t>['4-CHLORO-2-NITROTOLUENE', '89-59-8', '4-Chloro-1-methyl-2-nitrobenzene', '2-Nitro-4-chlorotoluene', 'Benzene, 4-chloro-1-methyl-2-nitro-', '4,2-Chloronitrotoluene', 'p-Chloro-o-nitrotoluene', '4-chlor-2-nitrotoluol', 'Toluene, 4-chloro-2-nitro-', 'CCRIS 3116', 'NSC5386', '4-chloro-1-methyl-2-nitro-benzene', 'NSC 5386', 'EINECS 201-921-2', 'PubChem18919', 'AI3-00494', 'ACMC-209r1v', 'KSC490M8N', 'SCHEMBL400340', 'DTXSID4058994', '4-Chloro-2-nitrotoluene, 98%', 'CTK3J0686', '1-chloro-4-methyl-3-nitrobenzene', 'KS-000011JY', 'NSC-5386', 'ZINC1680885', 'ANW-39329', 'MFCD00007215', 'SBB063361', '4-Chloro-1-methyl-2-nitrobenzene #', 'AKOS004904712', 'Toluene, 4-chloro-2-nitro- (8CI)', 'AS06857', 'Benzene, 4-chloro-1-methyl-3-nitro-', 'LS10692', 'MCULE-4057674405', 'NE10476', 'AC-11284', 'SC-18119', 'DB-024280', 'FT-0618043', 'NS00003300', 'ST50405400', 'EN300-39010', '4-chloro-2-nitrotoluene;4-Chlor-2-nitrotoluol', '58808-EP2305682A1', '58808-EP2308879A1', 'Q19820040', 'Z1235963396']</t>
  </si>
  <si>
    <t>Compound(6975)</t>
  </si>
  <si>
    <t>4-chloro-2-nitroanisole</t>
  </si>
  <si>
    <t>4-chloro-1-methoxy-2-nitrobenzene</t>
  </si>
  <si>
    <t>['4-Chloro-2-nitroanisole', '89-21-4', '4-Chloro-1-methoxy-2-nitrobenzene', 'Benzene, 4-chloro-1-methoxy-2-nitro-', '2-NITRO-4-CHLOROANISOLE', 'Anisole, 4-chloro-2-nitro-', '4-CHLORO-2-NITRO-1-METHOXYBENZENE', 'LABOTEST-BB LTBB001192', 'LABOTEST-BB LT03381711', '4-METHOXY-3-NITROCHLOROBENZENE', '4-chlor-2-nitroanisol', '2-nitryl-4-chloroanisole', 'NSC8445', 'EINECS 201-887-9', 'PubChem2626', 'p-Chloro-o-nitroanisole', 'AI3-01524', 'ACMC-209qz7', 'KSC494K9F', 'SCHEMBL1119379', 'CTK3J4592', 'DTXSID90237469', 'KS-000011JS', 'NSC-8445', 'ZINC1586743', 'ANW-39233', 'MFCD00024327', 'SBB058888', '4-Chloro-1-methoxy-2-nitrobenzene #', 'AKOS005258425', '4-chloranyl-1-methoxy-2-nitro-benzene', 'AS00086', 'AS04153', 'MCULE-9096845712', 'VZ28727', 'AS-57943', 'U049', 'AB0019072', 'DB-024279', 'FT-0618038', 'NS00039313', 'ST50405431', 'A843092', '1-(5-chloro-2-methoxyphenyl)-3-methylpentan-3-ol', 'W-100381']</t>
  </si>
  <si>
    <t>Compound(66631)</t>
  </si>
  <si>
    <t>C7H6ClNO3</t>
  </si>
  <si>
    <t>4-chloro-3-methylaniline</t>
  </si>
  <si>
    <t>['4-Chloro-3-methylaniline', '7149-75-9', '5-Amino-2-chlorotoluene', 'Benzenamine, 4-chloro-3-methyl-', '4-Chloro-m-toluidine', 'm-Toluidine, 4-chloro-', '3-METHYL-4-CHLOROANILINE', 'UNII-6Q2W6L7BWZ', 'MFCD00066332', '6Q2W6L7BWZ', '4-chloro-3-methylphenylamine', '4-Chloro-3-methyl-phenylamine', '4-Chloro-3-methylaniline, 98+%', '(4-Chloro-3-methylphenyl)amine', 'NSC72329', '4-Chlor-m-toluidin', 'PubChem3439', 'ACMC-209oiw', '3-Amino-6-chlorotoluene', '4-Chloro-3-methylanilline', '4-chloro-3-methyl aniline', '4-chloro-3-methyl-aniline', 'NCIOpen2_000389', '4-chloranyl-3-methyl-aniline', 'KSC498A8F', 'SCHEMBL404331', 'DTXSID5073377', 'CTK3J8082', 'HIHCTGNZNHSZPP-UHFFFAOYSA-', '4-Chloro-3-methylaniline, 98%', 'OTAVA-BB 1506209', 'ZINC399225', 'ACT08114', 'KS-000009UN', 'ANW-36054', 'GEO-00704', 'NSC-72329', 'STL169112', 'TD1176', 'AKOS005259258', 'AM82816', 'AS02804', 'CS-W002307', 'MCULE-5517099178', 'AK-54911', 'AS-11595', 'SC-92869', 'SY011127', 'AB0010405', 'DB-024225', 'FT-0618226', 'NS00037223', 'ST50823755', 'M-3305', '149C759', 'A837210', 'Q27265310', 'F0001-1836']</t>
  </si>
  <si>
    <t>Compound(23536)</t>
  </si>
  <si>
    <t>4-chloro-3-methylphenol</t>
  </si>
  <si>
    <t>['4-Chloro-3-methylphenol', 'Chlorocresol', '59-50-7', '4-Chloro-m-cresol', 'p-Chloro-m-cresol', 'Phenol, 4-chloro-3-methyl-', 'Parol', 'Ottafact', 'Baktol', 'p-Chlorocresol', '4-Chloro-3-cresol', 'Candaseptic', 'Baktolan', 'Parmetol', 'Peritonan', 'Raschit', 'Aptal', 'Rasen-Anicon', '4-Chloro-5-methylphenol', 'PCMC', 'Preventol CMK', 'Raschit K', 'p-Chlor-m-cresol', '2-Chloro-5-hydroxytoluene', '6-Chloro-3-hydroxytoluene', '3-METHYL-4-CHLOROPHENOL', '2-Chloro-hydroxytoluene', 'Chlorcresolum', 'Chlorkresolum', 'Chlorocresolo', 'Chlorokresolum', 'Perol', 'm-Cresol, 4-chloro-', 'Chloro-3-cresol', 'Parachlorometacresol', 'Rcra waste number U039', '4-Chloro-3-methyl phenol', '4-chloro-meta-cresol', 'Clorocresolo [DCIT]', 'Clorocresol [Spanish]', 'Caswell No. 185A', 'Chlorocresolum [Latin]', 'para-Chloro-meta-cresol', 'Clorocresol [INN-Spanish]', 'NSC 4166', 'Chlorocresolum [INN-Latin]', 'CCRIS 1938', 'HSDB 5198', 'UNII-36W53O7109', '4-Chloro-1-hydroxy-3-methylbenzene', 'EINECS 200-431-6', 'RCRA waste no. U039', 'EPA Pesticide Chemical Code 064206', 'BRN 1237629', 'AI3-00075', 'CHEBI:34395', '1-Chloro-2-methyl-4-hydroxybenzene', 'MFCD00002323', 'NCGC00091338-01', '36W53O7109', 'DSSTox_CID_1717', 'DSSTox_RID_76291', 'DSSTox_GSID_21717', 'Chlorocresolum', 'Clorocresol', 'Clorocresolo', '4-Chloro-3-methylphenol, 99+%', 'CAS-59-50-7', '4-chloro-3-methyl-phenol', 'Chlorocresol [USAN:INN]', 'Lysochlor', 'Chlorocresol [USAN:INN:NF]', 'Chlorocresol, NF', 'Spectrum_000130', '2p7a', '4-chlor-3-methylphenol', 'Chlorocresol (NF/INN)', 'Spectrum2_000002', 'Spectrum4_000278', 'Spectrum5_000705', '4-chloro-5-methyl-phenol', 'WLN: QR DG C', 'EC 200-431-6', 'SCHEMBL12344', 'KBioGR_000776', 'KBioSS_000590', 'KSC490K6D', 'MLS002152924', 'BIDD:ER0169', 'DivK1c_000768', 'Phenol, 4-chloro-5-methyl-', 'SPECTRUM1500178', 'SPBio_000003', 'ZINC1124', 'CHEMBL1230222', 'DTXSID4021717', '4-Chloro-3-methylphenol, 99%', 'CTK3J0561', 'HMS502G10', 'KBio1_000768', 'KBio2_000590', 'KBio2_003158', 'KBio2_005726', 'EBD9810', 'NSC4166', 'NINDS_000768', 'HMS1920O03', 'HMS2091C14', 'HMS3652F13', 'Pharmakon1600-01500178', 'HY-B1284', 'KS-00000WI3', 'NSC-4166', 'Tox21_111116', 'Tox21_201293', 'Tox21_300054', 'ANW-33283', 'CCG-39979', 'HSCI1_000352', 'LS-252', 'NSC756680', 's4209', 'SBB060654', 'STL268900', 'AKOS000120242', 'Tox21_111116_1', 'CS-4678', 'MCULE-7719563630', 'NE10170', 'NSC-756680', 'Chlorocresol (4-Chloro-3-methylphenol)', 'IDI1_000768', 'NCGC00091338-02', 'NCGC00091338-03', 'NCGC00091338-04', 'NCGC00091338-06', 'NCGC00254021-01', 'NCGC00258845-01', '4-Chloro-3-methylphenol, technical grade', 'AC-14332', 'Q208', 'SC-16335', 'SMR001224524', 'SBI-0051308.P003', '4-Chloro-3-methylphenol, analytical standard', 'B1696', 'FT-0618220', 'NS00006064', 'ST50823834', 'SW219289-1', 'AZ0001-0105', '4-Chloro-3-methylphenol, &gt;=98.0% (HPLC)', 'A16444', 'C14331', 'D03468', 'AB00051939_02', 'AB00051939_03', 'Q302865', 'SR-05000002033', '4-Chloro-3-methylphenol 100 microg/mL in Methanol', 'Q-200453', 'SR-05000002033-1', 'BRD-K89056082-001-03-6', 'F0001-1543', 'Z955123738', '43M', '6-Chloro-3-hydroxytoluene; 2-Chloro-5-hydroxytoluene; 3-Methyl-4-chlorophenol; p-Chloro-m-cresol; 4-Chloro-m-cresol']</t>
  </si>
  <si>
    <t>Compound(1732)</t>
  </si>
  <si>
    <t>4-chloro-3-nitroaniline</t>
  </si>
  <si>
    <t>['4-Chloro-3-nitroaniline', '635-22-3', 'Benzenamine, 4-chloro-3-nitro-', '3-NITRO-4-CHLOROANILINE', 'Aniline, 4-chloro-3-nitro-', 'UNII-B13U77ZL3A', 'HSDB 5439', '4-Amino-1-chloro-2-nitrobenzene', 'EINECS 211-231-3', 'NSC 37397', 'BRN 1309394', 'B13U77ZL3A', '4-chloro-3-nitrophenylamine', '4-chloro-3-nitro aniline', 'PubChem21906', '3-Nitro-4-chloraniline', 'WLN: ZR DG CNW', 'ACMC-1B9HG', 'DSSTox_CID_30891', '4-chloranyl-3-nitro-aniline', 'DSSTox_GSID_52319', '2-chloro-5-aminonitrobenzene', '4-12-00-01674 (Beilstein Handbook Reference)', '4-chloro-3-nitro-phenylamine', 'KSC352Q9R', 'SCHEMBL403986', 'CHEMBL3560892', 'DTXSID7052319', '4-Chloro-3-nitroaniline, 97%', 'CTK2F2898', 'FOHHWGVAOVDVLP-UHFFFAOYSA-', '4-amino-1-chloro-2-nitro-benzene', 'BCP32972', 'NSC37397', 'STR02546', 'ZINC1670001', 'Tox21_303987', 'ANW-34660', 'BBL019366', 'NSC-37397', 'SBB028371', 'SBB058833', 'STL183314', 'AKOS000120243', 'CS-W017580', 'MCULE-3806316876', 'NE10518', 'VZ35402', 'NCGC00357209-01', 'CAS-635-22-3', 'LS-19667', 'U134', 'DB-028806', 'FT-0618078', 'NS00002990', 'ST45255322', 'A834405', 'AE-562/40153033', 'W-104906', 'Q27274238', 'F2190-0497', 'Benzenamine, 4-chloro-3-nitro-;Aniline, 4-chloro-3-nitro-']</t>
  </si>
  <si>
    <t>Compound(12477)</t>
  </si>
  <si>
    <t>4-chloro-3-nitrotoluene</t>
  </si>
  <si>
    <t>1-chloro-4-methyl-2-nitrobenzene</t>
  </si>
  <si>
    <t>['4-CHLORO-3-NITROTOLUENE', '89-60-1', '1-Chloro-4-methyl-2-nitrobenzene', '3-Nitro-4-chlorotoluene', 'Benzene, 1-chloro-4-methyl-2-nitro-', '2-Chloro-5-methylnitrobenzene', '1-chloro-4-methyl-2-nitro-benzene', 'Toluene, 4-chloro-3-nitro-', '3-nitro-4-chlorotoluol', 'NSC60721', 'EINECS 201-922-8', 'NSC 60721', '4-chlor-3-nitrotoluol', 'PubChem19752', '4,3-Chloronitrotoluene', '4-chloro-3-nitro-toluene', 'ACMC-209r1z', 'SCHEMBL84100', 'KSC494E8H', 'DTXSID9058995', 'CTK3J4283', 'KS-00000JR3', 'ZINC1690425', 'ANW-39333', 'MFCD00007085', 'NSC-60721', 'SBB064228', '1-chloranyl-4-methyl-2-nitro-benzene', 'AKOS009159380', 'Toluene, 4-chloro-3-nitro- (8CI)', 'AS01024', 'VZ28787', '4-Chloro-3-nitrotoluene, technical grade', 'AC-12204', 'AK-54912', 'DS-14605', 'SC-62541', 'U032', 'DB-057147', 'FT-0618098', 'NS00002026', 'ST50826438', 'EN300-39658', '4-Chlor-3-nitrotoluol;4-chloro-3-nitrotoluene', 'W-3465', 'A843245', 'W-100369', 'F0001-2195']</t>
  </si>
  <si>
    <t>Compound(6976)</t>
  </si>
  <si>
    <t>4-chloroaniline</t>
  </si>
  <si>
    <t>['4-CHLOROANILINE', '106-47-8', 'p-Chloroaniline', '4-Chlorobenzenamine', 'Benzenamine, 4-chloro-', 'p-Chloraniline', 'para-Chloroaniline', 'p-Chlorophenylamine', '4-Chlorophenylamine', '1-Amino-4-chlorobenzene', 'p-Aminochlorobenzene', '4-Aminochlorobenzene', '4-Amino-1-chlorobenzene', '4-Chloro-1-aminobenzene', 'Aniline, p-chloro-', '4-Chloro-phenylamine', '4-Chloranilin', 'p-CA', '4-Chlorobenzeneamine', 'Aniline, 4-chloro-', 'Benzeneamine, 4-chloro', '4-chloro aniline', '4-Chlorobenzamine', 'RCRA waste number P024', 'NCI-C02039', 'Caswell No. 182', '4-Chloranilin [Czech]', 'NSC 36941', 'CCRIS 131', 'UNII-Z553SGH315', 'CHEBI:20331', 'HSDB 2047', '4-CHLORO-ANILINE', '4-Chloroaniline, 98%', 'EINECS 203-401-0', 'RCRA waste no. P024', 'EPA Pesticide Chemical Code 017203', 'AI3-14908', 'Z553SGH315', 'MFCD00007835', 'NCGC00091468-02', '4chloroaniline', '4-chioroaniline', 'monochloroaniline', 'parachloroaniline', '4-chloraniline', 'para-choroaniline', '4-Choraniline', 'p-chloro-aniline', '4-chloro-anilin', 'para-chioroaniline', '4- chloroaniline', '4-chloranilin(czech)', '(4-chlorophenyl)amine', '4-Chloro-phenyl amine', '4-Chloro-phenyl-amine', '1,4-aminochlorobenzene', 'PubChem16666', '(4-chlorophenyl)-amine', 'DSSTox_CID_295', 'ACMC-1BUH0', 'WLN: ZR DG', 'EC 203-401-0', 'DSSTox_RID_75495', 'DSSTox_GSID_20295', 'SCHEMBL27544', 'KSC174O4F', 'MLS001065589', 'BIDD:ER0279', 'BIDD:GT0259', 'CHEMBL15888', '4-CA', '4-Chloroaniline,p-Chloroaniline', 'DTXSID9020295', 'CTK0H4742', 'Aniline, 4-chloro-4-chloranilin', '(4-Chlorophenylamine)radical anion', 'ZINC403225', 'NSC36941', '4-Chloroaniline, analytical standard', 'Tox21_400030', 'ANW-15353', 'BDBM50235880', 'LS-400', 'NSC-36941', 'SBB040490', 'STK301711', 'AKOS000119173', 'AS06958', 'MCULE-6515849225', 'PS-6272', 'NCGC00091468-01', 'NCGC00091468-03', 'BR-44461', 'CAS-106-47-8', 'L691', 'SC-11542', 'SMR000568489', 'FT-0618163', 'FT-0664865', 'NS00010861', 'ST45061506', '4-Chloroaniline, technical, &gt;=97.0% (GC)', 'AZ0001-0096', '4-Chloroaniline 100 microg/mL in Acetonitrile', 'C14450', 'M-5888', '11641-EP2272509A1', '11641-EP2281563A1', '11641-EP2284157A1', '11641-EP2292593A2', '11641-EP2298768A1', '11641-EP2305652A2', '11641-EP2311829A1', '11641-EP2314585A1', '11641-EP2316827A1', '89299-EP2286811A1', '89299-EP2305652A2', '4-Chloroaniline, purified by sublimation, &gt;=99%', 'Q413515', '4-Chloroaniline, PESTANAL(R), analytical standard', 'W-109393', 'F2190-0430', 'Z1245635719', '4-Chloroaniline, European Pharmacopoeia (EP) Reference Standard', 'p-Chloroaniline, United States Pharmacopeia (USP) Reference Standard', 'P-CHLOROANILINE (SEE ALSO: 20265-96-7, 108-42-9, &amp; 95-51-2)', 'p-Chloroaniline, Pharmaceutical Secondary Standard; Certified Reference Material', '4-chloroaniline;4-chloroanilinium chloride;4-Chloroaniline hydrochloride;[(p-chlorophenyl)amine]trifluoroboron;4-chloroanilinium hydrogen sulphate']</t>
  </si>
  <si>
    <t>Compound(7812)</t>
  </si>
  <si>
    <t>4-chlorophenol</t>
  </si>
  <si>
    <t>['4-CHLOROPHENOL', 'p-Chlorophenol', '106-48-9', 'parachlorophenol', 'Phenol, 4-chloro-', '4-Hydroxychlorobenzene', 'Phenol, p-chloro-', 'Applied 3-78', '4-Monochlorophenol', 'p-Chlorophenic acid', 'p-Chlorfenol', '4-Chloro-1-hydroxybenzene', 'p-Chlorfenol [Czech]', '4-Chlorphenol', '4-chloro-phenol', 'Parachlorophenol [USP]', 'NSC 2877', 'UNII-3DLC36A01X', 'CCRIS 642', 'HSDB 1414', 'C6H5ClO', 'EINECS 203-402-6', 'Parachlorophenol (JAN/USP)', 'AI3-19422', '3DLC36A01X', 'CHEBI:28078', 'MFCD00002318', 'NCGC00090814-01', '4-Chlorophenol, 99+%', 'DSSTox_CID_1871', 'DSSTox_RID_76376', 'DSSTox_GSID_21871', 'p-Chlorophenol, liquid [UN2021]  [Keep away from food]', 'p-Chlorophenol, solid [UN2020]  [Keep away from food]', 'CAS-106-48-9', '4chlorophenol', 'p-chloro phenol', 'p-chloro-phenol', 'chlorophenol-4', 'para-chlorophenol', 'parachloro phenol', '4-chloro phenol', '4-chloranylphenol', '4CH', 'Parachlorophenol,(S)', 'p-Chlorophenol, solid', 'p-Chlorophenol, liquid', 'PubChem22009', 'Spectrum_000939', 'Spectrum2_000968', 'Spectrum3_000539', 'Spectrum4_000468', 'Spectrum5_001228', 'PARA CHLORO PHENOL', 'CHLOROPHENOL(4-)', 'WLN: QR DG', '4-ClC6H4OH', 'ACMC-2098jw', 'bmse000461', 'EC 203-402-6', '4-Chlorophenol, &gt;=99%', 'SCHEMBL28864', 'BSPBio_002157', 'KBioGR_000916', 'KBioSS_001419', 'KSC174K7J', 'MLS002454432', 'BIDD:ER0011', 'CHEMBL57053', 'DivK1c_000310', 'SPECTRUM1500460', 'SPBio_000975', 'PARAGOS 390356', 'ZINC1885', 'DTXSID1021871', 'BDBM36299', 'CTK0H4574', 'HMS500P12', 'KBio1_000310', 'KBio2_001419', 'KBio2_003987', 'KBio2_006555', 'KBio3_001657', 'KS-00000VEZ', 'RARECHEM FH 2C 0018', 'TIMTEC-BB SBB040864', 'NSC2877', 'NINDS_000310', 'OTAVA-BB 1506172', 'HMS1920F08', 'HMS2091N08', 'HMS2230B13', 'HMS3373O02', 'LABOTEST-BB LTBB002362', 'Pharmakon1600-01500460', '1-CHLORO-4-HYDROXY-BENZENE', 'NSC-2877', 'AKOS BBS-00004332', 'Tox21_111028', 'Tox21_201704', 'Tox21_302860', 'ANW-15354', 'CCG-40184', 'LS-401', 'NSC757263', 'SBB040864', 'STL194293', '4-Chlorophenol, for synthesis, 98%', 'AKOS000118967', 'Tox21_111028_1', 'AS00215', 'DB13154', 'MCULE-4022476067', 'MP-2149', 'NSC-757263', 'IDI1_000310', 'NCGC00090814-02', 'NCGC00090814-03', 'NCGC00090814-04', 'NCGC00090814-05', 'NCGC00090814-07', 'NCGC00256497-01', 'NCGC00259253-01', '4-Chlorophenol 10 microg/mL in Methanol', 'SC-19124', 'SMR001252242', '4-Chlorophenol 100 microg/mL in Methanol', 'SBI-0051474.P003', 'DB-028832', '4-Chlorophenol, puriss., &gt;=99.0% (GC)', 'CS-0005709', 'FT-0618238', 'NS00010414', 'ST50214454', 'C02124', 'D00149', '93919-EP2269977A2', '93919-EP2272509A1', '93919-EP2277858A1', '93919-EP2284157A1', '93919-EP2298743A1', '93919-EP2298747A1', '93919-EP2298750A1', '93919-EP2305625A1', 'AB00052066_06', '148113-EP2269977A2', '148113-EP2280005A1', '148113-EP2289884A1', '4-Chlorophenol, PESTANAL(R), analytical standard', 'SR-05000001691', 'J-001599', 'Q2179668', 'SR-05000001691-1', 'BRD-K40992116-001-05-5', 'F0001-0124', 'p-Chlorophenol, liquid [UN2021] [Keep away from food]', 'p-Chlorophenol, solid [UN2020] [Keep away from food]', 'Z1262246118', '1-CHLORO-1-(4-CHLOROPHENOXY)-3,3-DIMETHYLBUTANONE', 'UNII-AZ1041M258 component WXNZTHHGJRFXKQ-UHFFFAOYSA-N', 'UNII-E9JIO40PSX component WXNZTHHGJRFXKQ-UHFFFAOYSA-N', '1-(4-CHLOROPHENOXY)-1-CHLORO-3,3-DIMETHYL-2-BUTANONE', 'P-CHLOROPHENOL;4-chlorophenol;Phenol, 4-chloro-;Sodium 4-chlorophenolate', 'Parachlorophenol, United States Pharmacopeia (USP) Reference Standard', '4-Chlorophenol solution, 725 mg/L in H2O, for AOX determination (according to DIN 38409-H14)']</t>
  </si>
  <si>
    <t>Compound(4684)</t>
  </si>
  <si>
    <t>4-chlorophenyl phenyl ether</t>
  </si>
  <si>
    <t>1-chloro-4-phenoxybenzene</t>
  </si>
  <si>
    <t>['4-Chlorodiphenyl ether', '1-Chloro-4-phenoxybenzene', '7005-72-3', '4-Chlorophenyl phenyl ether', 'Benzene, 1-chloro-4-phenoxy-', 'p-Chlorodiphenyl oxide', 'Ether, p-chlorophenyl phenyl', 'P-CHLOROPHENYL PHENYL ETHER', 'Benzene, chlorophenoxy-', 'UNII-5AY689Y3GH', 'Monochloro diphenyl ether', 'Monochloro diphenyl oxide', 'Phenyl ether mono-chloro', '1-chloro-4-phenoxy-benzene', 'ETHER, MONOCHLOROPHENYL', '5AY689Y3GH', 'AI3-01021', '55398-86-2', 'Chlorodiphenyl ether', 'Monochlorodiphenyl oxide', '4-Monochlorodiphenyl oxide', 'HSDB 6176', 'EINECS 230-281-7', 'NSC 61839', '4-chlorophenoxybenzene', 'PubChem1900', 'AI3-32895', '4-chlorophenyl-phenyl ether', 'DSSTox_CID_31019', 'DSSTox_GSID_52447', 'SCHEMBL196125', '4-Chlorodiphenyl ether, 99%', 'DTXSID2052447', 'CTK8C5197', 'KS-00002AUQ', 'ZINC389702', 'CS-M1172', 'NSC61839', 'Chlorodiphenyl ether (mixed isomers)', 'Tox21_304039', 'ANW-74581', 'Ether, p-chlorophenyl phenyl (8CI)', 'NSC-61839', 'AKOS015906217', 'MCULE-5077877710', 'PS-8132', 'NCGC00357246-01', 'L696', 'LS-67873', 'CAS-7005-72-3', 'DB-055372', 'FT-0602620', 'NS00036999', 'ST50405264', 'Y-8935', '005C723', 'W-104571', '4-Chlorophenyl-phenyl ether 10 microg/mL in Methanol', 'Q27261762', 'Z1741957186', 'UNII-HAA2AN1TJD component PGPNJCAMHOJTEF-UHFFFAOYSA-N']</t>
  </si>
  <si>
    <t>Compound(23436)</t>
  </si>
  <si>
    <t>C12H9ClO</t>
  </si>
  <si>
    <t>4-chloro-N-methylaniline</t>
  </si>
  <si>
    <t>['4-Chloro-N-methylaniline', '932-96-7', 'p-Chloro-N-methylaniline', 'Benzenamine, 4-chloro-N-methyl-', 'N-Methyl-4-chloroaniline', 'N-(p-Chlorobenzyl)methylamine', 'N-Methyl-p-chloroaniline', 'Aniline, p-chloro-N-methyl-', 'UNII-2IXY9JA2P8', '4-Chloro-N-methylbenzenamine', 'CCRIS 2889', 'N-(4-Chlorophenyl)-N-methylamine', 'EINECS 213-262-8', 'p-(Methylamino)chlorobenzene', 'BRN 2205846', '2IXY9JA2P8', 'Aniline, p-chloro-N-methyl- (7CI,8CI)', 'chloro-n-methylaniline', 'PubChem23344', '4-chloro-N-methyl aniline', 'ACMC-209rl1', 'N-methyl-4-chloro aniline', '4-12-00-01168 (Beilstein Handbook Reference)', 'BIDD:GT0836', 'n-(4-chlorophenyl)methylamine', 'SCHEMBL228690', 'SCHEMBL4758786', '(4-chloro-phenyl)-methyl amine', '(4-chloro-phenyl)-methyl-amine', 'CTK3J4296', '4-Chloro-N-methylaniline, 97%', 'DTXSID80239331', 'ZINC407013', 'KS-00000O2Q', 'ANW-40019', 'MFCD00000614', 'AKOS000254181', 'DS-6021', 'VZ28822', 'AK129065', 'LS-28178', 'SC-43753', 'DB-057391', 'C1620', 'FT-0618232', 'NS00000650', 'ST50823754', 'J-640269', 'J-800261', 'Q27254800']</t>
  </si>
  <si>
    <t>Compound(70272)</t>
  </si>
  <si>
    <t>4-chlorotoluene</t>
  </si>
  <si>
    <t>1-chloro-4-methylbenzene</t>
  </si>
  <si>
    <t>['4-Chlorotoluene', '106-43-4', '1-Chloro-4-methylbenzene', 'P-CHLOROTOLUENE', 'Benzene, 1-chloro-4-methyl-', 'p-Tolyl chloride', 'Toluene, p-chloro-', '1-Methyl-4-chlorobenzene', '4-Chloro-1-methylbenzene', 'Monochlorotoluene', 'para-Chlorotoluene', 'NSC 404114', 'UNII-Q8R236H42N', '4-methylchlorobenzene', 'CCRIS 6000', 'HSDB 1343', 'PARA CHLOROTOLUENE', '4-Chlorotoluene, 98%', 'EINECS 203-397-0', 'AI3-16045', 'CHEBI:34401', 'Q8R236H42N', 'DSSTox_CID_4814', 'DSSTox_RID_77540', 'DSSTox_GSID_24814', 'CAS-106-43-4', '4-methyl-chlorobenzene', 'p-chlortoluene', 'parachloro toluene', '4-tolyl chloride', 'Chloromethyl toluene', 'p-methyphenyl chloride', 'p-methylphenyl chloride', '4-methylphenyl chloride', 'PubChem19750', 'TOLUENE,4-CHLORO', '1-chloro-4-methyl-benzene', 'EC 203-397-0', 'WLN: GR D1', 'SCHEMBL12679', 'KSC175Q2D', 'BIDD:ER0277', 'CHEMBL1797268', 'DTXSID8024814', 'CTK0H5821', 'KS-00000UW1', 'ZINC1596323', '4-Chlorotoluene, analytical standard', 'Tox21_201408', 'Tox21_300346', 'ANW-15347', 'LS-398', 'MFCD00000631', 'NSC404114', 'SBB040887', 'STL280325', 'AKOS000120044', 'LS11416', 'MCULE-3493142781', 'NSC-404114', 'NCGC00090812-01', 'NCGC00090812-02', 'NCGC00090812-03', 'NCGC00254345-01', 'NCGC00258959-01', '3327-51-3', 'AC-14711', '4-Chlorotoluene 100 microg/mL in Methanol', '4-Chlorotoluene, purum, &gt;=99.0% (GC)', 'FT-0659662', 'NS00003921', 'S0660', 'ST50214482', 'C14451', 'p-Chlorotoluene [UN2238] [Flammable liquid]', '28312-EP2287141A1', '28312-EP2314577A1', 'p-Chlorotoluene [UN2238]  [Flammable liquid]', '4-Chlorotoluene, PESTANAL(R), analytical standard', 'J-515214', 'Q22328364', 'Z56924546', 'F0001-0121', '4-chlorotoluene;Benzene, 1-chloro-4-methyl-;Toluene, 4-chloro-']</t>
  </si>
  <si>
    <t>Compound(7810)</t>
  </si>
  <si>
    <t>4-methylcyclohexanone</t>
  </si>
  <si>
    <t>4-methylcyclohexan-1-one</t>
  </si>
  <si>
    <t>['4-METHYLCYCLOHEXANONE', '589-92-4', 'Cyclohexanone, 4-methyl-', '4-methylcyclohexan-1-one', '4-Methyl-1-cyclohexanone', 'METHYLCYCLOHEXANONE', 'Methyl-4 cyclohexanone-1', 'p-Methyl cyclohexanone', 'methycyclohexanone', 'Metylocykloheksanon', 'Tetrahydro-p-cresol', 'UNII-0L1R78K79S', '4-methyl cyclohexanone', 'Methyl-4 cyclohexanone-1 [French]', 'NSC 3816', 'EINECS 209-665-3', 'BRN 0506746', 'Metylocykloheksanon [Polish]', '4-METHYL-CYCLOHEXANONE', 'CYCLOHEXANONE,4-METHYL', 'AI3-15916', '0L1R78K79S', 'EINECS 215-556-1', 'UN2297', 'Methylcyclohexanone [UN2297] [Flammable liquid]', '4methylcyclohexanone', 'methyl-cyclohexanone', 'ACMC-1AVXU', '4-methylcyclohexane-1-one', '4-methyl-cyclohexan-1-one', '4-Methylcyclohexanone, 99%', '4-07-00-00044 (Beilstein Handbook Reference)', 'KSC271E7B', 'SCHEMBL104009', '4-Methylcyclohexanone, &gt;=99%', 'DTXSID5060435', 'CTK1H1270', 'FEMA 3948', 'NSC3816', 'ACN-S002653', 'BCP26110', 'KS-00000V7H', 'NSC-3816', 'ZINC3861284', 'ANW-33108', 'BBL013180', 'MFCD00001643', 'STL163959', 'AKOS000118729', 'ACN-036217', 'MCULE-5534475096', 'PS-5543', 'AK114311', 'LS-57333', 'LS-57336', 'SC-27685', 'FT-0619075', 'M0199', 'NS00022440', '4-methylcyclohexanone;Cyclohexanone, 4-methyl-', 'A832099', 'Methylcyclohexanone [UN2297]  [Flammable liquid]', 'Cyclohexanone, 4-methyl-;4-Methyl-1-cyclohexanone', 'J-515780', 'Q22138343', 'Z57073963', 'F0001-1540']</t>
  </si>
  <si>
    <t>Compound(11525)</t>
  </si>
  <si>
    <t>C7H12O</t>
  </si>
  <si>
    <t>4-dimethylaminoazobenzene</t>
  </si>
  <si>
    <t>N,N-dimethyl-4-phenyldiazenylaniline</t>
  </si>
  <si>
    <t>['Methyl yellow', 'Dimethyl Yellow', '60-11-7', 'Solvent Yellow 2', 'Butter Yellow', '4-(Dimethylamino)azobenzene', '4-Dimethylaminoazobenzene', 'p-Dimethylaminoazobenzene', 'Sudan Yellow', 'Fat Yellow', 'Stear Yellow JB', 'Sudan Yellow GG', 'Somalia Yellow A', 'Fat Yellow A', 'Fat Yellow R', 'Oil Yellow D', 'Oil Yellow G', 'Oil Yellow N', 'Enial Yellow 2G', 'Fat Yellow ES', 'Oil Yellow BB', 'Oil Yellow DN', 'Oil Yellow FF', 'Oil Yellow FN', 'Oil Yellow GG', 'Oil Yellow GR', 'Oil Yellow II', 'Oleal Yellow 2G', 'Petrol Yellow WT', 'Sudan GG', 'Oil Yellow PEL', 'Sudan Yellow GGA', 'DAB (carcinogen)', 'Oil Yellow 2G', 'Resinol Yellow GR', '4-(N,N-Dimethylamino)azobenzene', 'Cerasine Yellow GG', 'Waxoline Yellow AD', 'Fast Oil Yellow B', 'Organol Yellow ADM', 'Resoform Yellow Gga', 'Toyo Oil Yellow G', 'Benzenamine, N,N-dimethyl-4-(phenylazo)-', 'Oil Yellow 20', 'Oil Yellow G-2', 'Fat Yellow AD OO', 'Atul Fast Yellow R', 'C.I. Solvent Yellow 2', 'Waxoline Yellow ADS', 'Zlut maselna', 'Fat Yellow ES Extra', 'Jaune de beurre', 'N,N-Dimethyl-4-aminoazobenzene', 'Oil Yellow 2625', 'Oil Yellow 7463', 'Dimethyl Yellow Analar', 'Orient Oil Yellow GG', 'Usaf ek-338', 'Benzeneazodimethylaniline', 'Grasal Brilliant Yellow', '4-(Phenylazo)-N,N-dimethylaniline', 'Iketon yellow extra', 'Brilliant Fast Oil Yellow', 'N,N-Dimethyl-p-azoaniline', 'N,N-Dimethyl-4-phenylazoaniline', 'Dimethylaminoazobenzene', 'N,N-Dimethyl-4-(phenylazo)benzenamine', 'Silotras Yellow T2G', 'Yellow G Soluble in Grease', 'Fat Yellow R (8186)', 'Brilliant Fast Spirit Yellow', 'Dimethyl aminoazobenzene', 'N,N-dimethyl-4-(phenylazo)aniline', 'OIL YELLOW S', 'Fat Yellow Extra Conc.', 'N,N-Dimethyl-p-aminoazobenzene', 'p-Dimethylamino-azobenzol', 'C.I. 11020', 'Rcra waste number U093', 'N,N-dimethyl-4-(phenyldiazenyl)aniline', '4-(Dimethylamino)phenylazobenzene', 'Zlut rozpoustedlova 2', 'Fat Yellow extra conc', 'CI Solvent Yellow 2', 'N,N-Dimethyl-4-(phenylazo)benzamine', 'Zlut maselna [Czech]', '4-Dimethylaminophenylazobenzene', 'p-Dimethylaminoazobenzen', '4-Dimethylaminoazobenzol', 'Oil Yellow G (VAN)', 'Jaune de beurre [French]', 'p-(Dimethylamino)azobenzene', 'N,N-Dimethyl-4-[(E)-phenyldiazenyl]aniline', 'UNII-A49L8E13FD', 'Azobenzene, p-dimethylamino-', 'CCRIS 251', 'Aniline, N,N-dimethyl-p-(phenylazo)-', 'Dimethylaminoazobenzol', 'Zlut rozpoustedlova 2 [Czech]', 'Brilliant Fast Yellow', 'p-Dimethylaminoazobenzen [Czech]', 'HSDB 2692', 'p-Dimethylamino-azobenzol [German]', 'NSC 6236', 'P.d.a.b.', 'Aniline, N,N-dimethyl-p-phenylazo-', 'Dimethyl Yellow N,N-Dimethylaniline', 'EINECS 200-455-7', 'N,N-Dimethyl-4-phenylazo benzenamine', '4-(Dimethylamino)azobenzol', 'RCRA waste no. U093', 'N,N-DIMETHYL-P-PHENYLAZOANILINE', 'CI 11020', 'para-(Dimethylamino)azobenzene', 'Butyro flavine', 'AI3-08903', 'A49L8E13FD', 'Azobenzene, p-(dimethylamino)-', '(E)-N,N-dimethyl-4-(phenyldiazenyl)aniline', 'CHEBI:17903', 'N,N-Dimethyl-p-(phenylazo)aniline', 'Benzenamine, N,N-dimethyl-4-(2-phenyldiazenyl)-', 'Dimethyl Yellow (C.I. 11020)', 'MFCD00008308', 'Silotras Yellow T 2G', 'N,N-dimethyl-4-(2-phenyldiazen-1-yl)aniline', '(p-Dimethylaminophenyl)phenyldiazene', 'SolventYellow2', '(4-Dimethylaminophenyl)phenyldiazene', 'Methyl Yellow, pure, indicator grade', 'N,N-dimethyl-4-[phenyldiazenyl]aniline', 'dimethyl[4-(phenyldiazenyl)phenyl]amine', '25548-37-2', 'P-(Dimethylamino)azobenzene [methyl yellow]', 'methylyellow', 'Buttergelb', 'stear yello w jb', 'Methyl yellow (MY)', 'grasal brilliant yel low', 'benz eneazodimethylaniline', 'Butter OR Methyl Yellow', 'DSSTox_CID_491', 'DSSTox_RID_75620', 'DSSTox_GSID_20491', 'WLN: 1N1&amp;R DNUNR', 'CBDivE_002921', 'P.D.A.B', 'KSC611A0T', 'N,N-dimethyl-4-[(E)-2-phenyldiazen-1-yl]aniline', '(E)-p-Dimethylaminoazobenzene', '(Z)-p-Dimethylaminoazobenzene', 'SCHEMBL187589', 'CHEMBL263116', 'CHEMBL1090440', 'DTXSID5020491', 'CTK5B1009', 'CTK6H9596', 'KS-00000XCI', 'NSC6236', 'BDBM115181', 'Butter Yellow, analytical standard', 'C.I. Solvent Yellow 2 (8CI)', 'Aniline,N-dimethyl-p-(phenylazo)-', 'Dimethyl yellow, JIS special grade', 'NSC-6236', 'ZINC3852714', 'dimethyl-(4-phenylazo-phenyl)-amine', 'Tox21_200757', 'ANW-42427', 'dimeth yl yellow N,N-dimethylaniline', 'GT5992', 'LS-259', 'SBB058240', 'STL453577', 'ZINC12358939', 'AKOS004901449', 'AKOS024348859', 'IMED104553755', 'N,N-dimethy l-4-(phenylazo)benzamine', 'ZINC100028946', 'Benzenamine,N-dimethyl-4-(phenylazo)-', 'MCULE-1505080024', 'NE33145', 'CAS-60-11-7', 'N,N-Dimethyl-p-(phenylazo)aniline, 8CI', 'NCGC00090871-01', 'NCGC00090871-02', 'NCGC00090871-03', 'NCGC00090871-04', 'NCGC00258311-01', 'SC-53378', 'T851', 'CS-0064872', 'D0231', 'FT-0625105', 'M0036', 'M0048', 'N,N-Dimethyl-4-(phenylazo)benzenamine, 9CI', 'NS00003488', 'ST50825754', 'EN300-19062', 'C03764', 'Benzenamine,N,N-dimethyl-4-(2-phenyldiazenyl)-', 'Q416956', 'Butter Yellow;Methyl yellow;4-dimethylaminoazobenzene', 'F0001-1574', '25548-36-1']</t>
  </si>
  <si>
    <t>Compound(6053)</t>
  </si>
  <si>
    <t>C14H15N3</t>
  </si>
  <si>
    <t>4- (dimethylbutylamino)-diphenylamine</t>
  </si>
  <si>
    <t>4-N-(4-methylpentan-2-yl)-1-N-phenylbenzene-1,4-diamine</t>
  </si>
  <si>
    <t>['793-24-8', "N-(1,3-Dimethylbutyl)-N'-phenyl-p-phenylenediamine", 'N1-(4-Methylpentan-2-yl)-N4-phenylbenzene-1,4-diamine', 'Antioxidant cd', 'Santoflex 13', 'Flexzone 7L', 'Dusantox 6PPD', 'Permanax 120', 'Wingstay 300', 'Flexzone 7F', 'Santoflex 6PPD', '6PPD', 'Diafen FDMB', 'Nocrane 6C', 'Permanax 6PPD', 'Santoflex 13F', 'Antage 6C', 'Antozite 67', 'Antozite 67F', 'Nocrac 6C', 'Ozonon 6C', 'Forte 6C', 'Nocrane 7 L', 'Antioxidant 4020', 'Diafen 13', "1,4-Benzenediamine, N-(1,3-dimethylbutyl)-N'-phenyl-", 'Antioxidant CD 13', 'DBDA', 'DMBPD', "N-(1,3-Dimethylbutyl)-N'-phenyl-1,4-phenylenediamine", 'CCRIS 2352', 'CCRIS 4801', "N-1,3-Dimethylbutyl-N'-phenyl-p-phenylenediamine", 'HSDB 5755', 'UOP 562', 'UOP 588', 'CD 13', 'NCI-C56315', 'EINECS 212-344-0', 'BRN 2215491', "N-Phenyl-N'-(1,3-dimethylbutyl)-p-phenylenediamine", "N-1,3-Dimethylbutyl-N'-phenyl-p-phenylendiamine", "p-Phenylenediamine, N-(1,3-dimethylbutyl)-N'-phenyl-", "N-Phenyl-N'-(1,3-dimethyl butyl)-para-phenylenediamine", 'Q-201440', "N-(1,3-dimethylbutyl)-N'-phenylbenzene-1,4-diamine", '1,4-Benzenediamine, N1-(1,3-dimethylbutyl)-N4-phenyl-', 'Ozonone 6C', 'ACMC-1BLWD', 'Rubber Antioxidant 6PPD', 'Akrochem antiozonant pd-2', 'DSSTox_CID_5114', 'EC 212-344-0', 'DSSTox_RID_77672', 'DSSTox_GSID_25114', 'SCHEMBL39447', 'KSC498C8B', 'CHEMBL1558796', 'DTXSID9025114', 'CTK3J8180', 'KS-000011CB', 'Tox21_200890', '2405AC', 'ANW-37283', 'AKOS015901311', 'GG-0240', 'LS-1787', 'NCGC00091548-01', 'NCGC00091548-02', 'NCGC00091548-03', 'NCGC00258444-01', '4-(1,3-Dimethylbutyl)amino-diphenylamine', '76600-84-5', 'AK-94271', 'CAS-793-24-8', 'CC-31150', '4-[(4-Methyl-2-pentyl)amino]diphenylamine', 'AX8231618', 'D3331', 'Diphenylamin-4-(dimethylbutylamino) (6PPD)', 'FT-0709790', 'NS00003932', '(4-anilino-phenyl)-(1,3-dimethyl-butyl)-amine', 'N-1,3-dimethylbutyl-N-phenyl-p-phenylenediamine', 'C-34369', "n-(1,3-dimethyl butyl)-n'-phenyl-p-phenylenediamine", "N-(1,3-Dimethylbutyl)-N\\'-phenyl-p-phenylenediamine", 'Q27279957', '1,4-Benzenediamine,N1-(1,3-dimethylbutyl)-N1-phenyl-', 'N-(1,3-DIMETHLBUTYL)-N-PHENYL-P-PHENYLENEDIAMINE', "N-(4-Methyl-2-pentyl)-N'-phenyl-1,4-phenylenediamine", "N-(1,3-Dimethylbutyl)-N'-phenyl-p-phenylenediamine, AldrichCPR", '50809-58-0', "p-Phenylenediamine, N-(1,3-dimethylbutyl)-N'-pheny;N-1,3-dimethylbutyl-N-phenyl-p-phenylenediamine;N-1,3-dimethylbutyl-N'-phenyl-p-phenylenediamine;N(1,3-dimethylbutyl)-N'-phenyl-p-phenylenediamine (6PPD)"]</t>
  </si>
  <si>
    <t>Compound(13101)</t>
  </si>
  <si>
    <t>C18H24N2</t>
  </si>
  <si>
    <t>4H-cyclopenta [d, e , f ] phenanthrene-4-one</t>
  </si>
  <si>
    <t>tetracyclo[10.2.1.05,14.08,13]pentadeca-1,3,5(14),6,8(13),9,11-heptaen-15-one</t>
  </si>
  <si>
    <t>['4H-Cyclopenta[def]phenanthren-4-one', '5737-13-3', '4H-CYCLOPENTA(DEF)PHENANTHREN-4-ONE', 'CCRIS 5798', 'UNII-D32SLO7BUV', 'D32SLO7BUV', '4H-cyclopenta[def]phenanthrene-4-one', 'NSC 132541', 'Q63408820', 'NSC132541', 'SCHEMBL5400415', 'CTK1H4239', 'DTXSID50205967', 'NSC-132541', '4H-Cyclopenta[def]phenanthren-4-one #', 'DB-053043', 'LS-188359', 'FT-0635830', 'NS00014588', 'C-28713']</t>
  </si>
  <si>
    <t>Compound(21963)</t>
  </si>
  <si>
    <t>C15H8O</t>
  </si>
  <si>
    <t>4-hydroxy-4-methyl-2-pentanone</t>
  </si>
  <si>
    <t>4-hydroxy-4-methylpentan-2-one</t>
  </si>
  <si>
    <t>['Diacetone alcohol', '4-HYDROXY-4-METHYL-2-PENTANONE', '123-42-2', '4-Hydroxy-4-methylpentan-2-one', 'Diacetonalkohol', 'Diketone alcohol', 'Diacetonalcohol', 'Diacetone', 'Tyranton', 'Acetonyldimethylcarbinol', 'Diacetone-alcool', 'Pyranton A', '2-Pentanone, 4-hydroxy-4-methyl-', '2-Methyl-2-pentanol-4-one', 'Diacetonalcool', 'Pyranton', '4-Hydroxy-2-keto-4-methylpentane', 'Diacetonyl alcohol', '4-Idrossi-4-metil-pentan-2-one', 'Dimethyl acetonyl carbinol', '4-Hydroxy-4-methylpentanone-2', 'Caswell No. 280', 'Pyraton', 'Diacetonalcohol [Dutch]', 'Diacetonalcool [Italian]', 'Diacetonalkohol [German]', '2-Hydroxy-2-methyl-4-pentanone', '4-Hydroxy-4-methyl-pentan-2-on', '4-Hydroxy-4-methyl pentan-2-one', 'Diacetone-alcool [French]', 'UNII-Q7WP157PTD', 'NSC 9005', 'CCRIS 6177', 'HSDB 1152', 'Pentanone, 4-hydroxy-4-methyl-', 'EINECS 204-626-7', 'UN1148', 'EPA Pesticide Chemical Code 033901', 'BRN 1740440', '4-Hydroxy-4-methylpentanone', '4-Methyl-2-pentanon-4-ol', 'Q7WP157PTD', 'AI3-00045', '4-Idrossi-4-metil-pentan-2-one [Italian]', 'CHEBI:55381', '4-Methyl-4-hydroxy-2-pentanone', '4-Hydroxy-4-methyl-pentan-2-on [German, Dutch]', '(CH3)2C(OH)CH2C(O)CH3', '4-Hydroxy-4-methyl-2-pentanone, 99%', 'Diacetonealcool', 'DSSTox_CID_4917', 'Diacetone alcohol [UN1148] [Flammable liquid]', 'DSSTox_RID_77580', 'DSSTox_GSID_24917', 'CAS-123-42-2', 'Diaceton alcohol', '4-hydroxy-4-methyl-pentan-2-one', 'Diacetonalkohol(german)', 'ACMC-1BVXG', 'EC 204-626-7', 'SCHEMBL28494', '2-Methyl-3-pentanol-4-one', '4-01-00-04023 (Beilstein Handbook Reference)', 'KSC176O7D', 'Hydroxy-4-methyl-2-pentanone', '4-hydroxy4-methyl-2-pentanone', 'CHEMBL3182048', 'DTXSID6024917', 'CTK0H6771', 'NSC9005', '4-methyl-4-oxidanyl-pentan-2-one', 'KS-00000WT8', 'NSC-9005', 'ZINC1648359', 'Tox21_201266', 'Tox21_303479', '4474AA', 'ANW-61448', 'BBL027463', 'LMFA12000071', 'LS-681', 'MFCD00004471', 'SBB009084', 'STL146354', 'AKOS005721167', 'MCULE-2623560163', 'UN 1148', 'WLN: QX1 &amp; 1 &amp; 1V1', 'NCGC00249012-01', 'NCGC00257419-01', 'NCGC00258818-01', 'SC-80179', 'VS-08543', 'DB-062159', 'FT-0624587', 'NS00001204', 'ST51047025', '171962-EP2281810A1', '4-Hydroxy-4-methyl-pentan-2-on(GERMAN, DUTCH)', 'A805073', 'Diacetone alcohol [UN1148]  [Flammable liquid]', 'Q421486', '4-Hydroxy-4-methyl-2-pentanone, analytical standard', 'J-004939', 'J-515493', 'F0001-0366', '4-hydroxy-4-methylpentan-2-one;DIACETONE ALCOHOL;Diacetone alcohol', 'Diacetone Alcohol, Pharmaceutical Secondary Standard; Certified Reference Material']</t>
  </si>
  <si>
    <t>Compound(31256)</t>
  </si>
  <si>
    <t>2-[2-(2,6-dichloro-4-hydroxyanilino)phenyl]acetic acid</t>
  </si>
  <si>
    <t>["4'-Hydroxydiclofenac", "4'-Hydroxy Diclofenac", '64118-84-9', '4`-Hydroxy Diclofenac', '(o-(2,6-Dichloro-4-hydroxyanilino)phenyl)acetic acid', 'CHEBI:59613', 'UNII-NJF5O599EF', "4'-OH DCF", '{2-[(2,6-dichloro-4-hydroxyphenyl)amino]phenyl}acetic acid', 'BRN 4198042', 'NJF5O599EF', 'Benzeneacetic acid, 2-((2,6-dichloro-4-hydroxyphenyl)amino)-', '4-hydroxy diclofenac', 'Acetic acid, (o-(2,6-dichloro-4-hydroxyanilino)phenyl)-', '4&amp;prime;-OHD', '2-(2-((2,6-Dichloro-4-hydroxyphenyl)amino)phenyl)acetic acid', '2-{2-[(2,6-dichloro-4-hydroxyphenyl)amino]phenyl}acetic acid', 'Diclofenac, 4&amp;prime;-Hydroxy-', '4-Hydroxydiclofenac', '4`-hydroxydiclofenac', 'Epitope ID:131806', "4''''-Hydroxy-Diclofenac", 'CHEMBL1030', '4-Hydroxydiclofenac-dehydrate', "4'-HYDROXY-DICLOFENAC", 'SCHEMBL155743', "4''-HYDROXY-DICLOFENAC", '2-[2-(2,6-dichloro-4-hydroxyanilino)phenyl]acetic acid', 'CTK8D7304', '2-[(2,6-Dichloro-4-hydroxyphenyl)amino]benzeneacetic Acid', 'DTXSID40214326', 'BCP15192', 'ZINC2383046', '1412AH', 'BDBM50228767', '2-[((2&amp;prime;,6&amp;prime;-Dichloro-4&amp;prime;-hydroxy)phenyl)amino]benzeneacetic Acid', "4'-Hydroxydiclofenac, &gt;=98% (HPLC)", 'HY-15550', 'LS-11596', 'CS-0007019', 'FT-0669355', 'FT-0669356', 'NS00000631', '[2-(2,6-Dichloro-4-hydroxyanilino)phenyl]acetic acid', 'Q26690136', "4'-Hydroxydiclofenac, VETRANAL(TM), analytical standard", "2-[(2,6-Dichloro-4'-hydroxyphenyl)amino]benzeneacetic acid", '2-[(2,6-dichloro-4-hydroxyphenyl)amino]phenylacetic acid', '2-(2-(2,6-dichloro-4-hydroxyphenylamino)phenyl)acetic acid', "4'-Hydroxydiclofenac solution, 100 mug/mL in acetonitrile, ampule of 1 mL, certified reference material"]</t>
  </si>
  <si>
    <t>Compound(116545)</t>
  </si>
  <si>
    <t>C14H11Cl2NO3</t>
  </si>
  <si>
    <t>['4-NITROANILINE', 'p-Nitroaniline', '100-01-6', 'p-Nitraniline', 'p-Aminonitrobenzene', '4-Nitrobenzenamine', '4-Nitraniline', 'Benzenamine, 4-nitro-', 'p-Nitrophenylamine', '1-Amino-4-nitrobenzene', 'Aniline, p-nitro-', 'Developer P', 'Aniline, 4-nitro-', 'para-Nitroaniline', 'Azoamine Red ZH', 'Nitrazol CF extra', 'Devol Red GG', 'Fast Red P Base', 'Fast Red P Salt', 'Fast Red Base GG', 'Fast Red GG Base', 'Fast Red GG Salt', 'Fast Red MP Base', 'Fast Red Salt GG', 'Diazo Fast Red GG', 'Red 2G Base', 'Fast Red 2G Base', 'Fast Red 2G Salt', 'Fast Red Base 2J', 'Fast Red Salt 2J', 'Azofix Red GG Salt', 'C.I. Developer 17', 'Naphtoelan Red GG Base', 'Azoic Diazo Component 37', 'Paranitroaniline', 'p-Nitroanilina', 'Shinnippon Fast Red GG Base', 'Rcra waste number P077', 'C.I. Azoic Diazo Component 37', 'CI Developer 17', 'para-Aminonitrobenzene', 'p-Nitroanilina [Polish]', 'p-nitro aniline', 'PARA NITRO ANILINE', 'UNII-1MRQ0QZG7G', 'NCI-C60786', 'PNA (VAN)', '4-NITRO-PHENYLAMINE', 'NSC 9797', '4-nitrophenylamine', 'Azoamine Red 2H', 'C.I. 37035', 'PNA', 'CI Azoic Diazo Component 37', 'CCRIS 1184', 'HSDB 1156', '4-NITRO-ANILINE', '4-Nitroaniline, 99%', 'EINECS 202-810-1', 'MFCD00007858', '1MRQ0QZG7G', 'RCRA waste no. P077', 'CI 37035', 'AI3-08926', 'DTXSID8020961', 'CHEBI:17064', 'NCGC00091426-02', '4-Nitrobenzeneamine', '4-Aminonitrobenzene', 'Benzen-2,3,5,6-d4-amine-d2, 4-nitro-', 'p-nitro-aniline', 'para-nitroanilin', '4-nitroanilin', '4-Nitroanilene', '4-nitro aniline', 'fast red  p salt', 'azofix red gg sa lt', 'p-Nitroaniline, solid', 'PubChem2098', '(4-nitrophenyl)-amine', '4-Nitrobenzeneamine anion', 'DSSTox_CID_961', 'WLN: ZR DNW', 'EC 202-810-1', '4-Nitroaniline, crystalline', '4-Nitroaniline, &gt;=99%', 'ACMC-1B5R8', 'DSSTox_RID_75889', 'NCIOpen2_002864', 'DSSTox_GSID_20961', 'SCHEMBL16451', 'AURORA KA-7786', 'KSC174O4D', 'MLS002454441', 'CHEMBL14282', '4-Nitro-3-chloro benzoic acid', 'SCHEMBL10163408', 'CTK0H4741', 'KS-00000VXU', 'NSC9797', 'AKOS 92446', 'HMS3039B17', 'LABOTEST-BB LTBB000466', 'LS-39', '4-Nitroaniline, analytical standard', 'NSC-9797', 'STR00350', 'ZINC3860644', 'Tox21_400031', 'ANW-14126', 'SBB059787', 'STK301653', 'p-Nitroaniline [UN1661] [Poison]', 'AKOS000119131', 'AKOS025293369', 'AS00442', 'LS10622', 'MCULE-4310869465', 'p-Nitroaniline [UN1661]  [Poison]', 'NCGC00091426-01', 'NCGC00091426-03', 'CAS-100-01-6', 'I577', 'SC-00001', 'SMR001372024', 'FT-0650287', 'N0119', 'NS00005117', 'ST45061409', 'AZ0001-0085', '00N016', 'C02126', '78632-EP2270004A1', '78632-EP2305808A1', '78632-EP2308847A1', '78633-EP2272822A1', '78633-EP2272825A2', '78633-EP2308847A1', '78633-EP2380872A1', 'AE-641/01643038', 'Q419842', 'Q-200503', 'F2190-0433', 'Z275127984']</t>
  </si>
  <si>
    <t>Compound(7475)</t>
  </si>
  <si>
    <t>N,N-dimethyl-4-nitroaniline</t>
  </si>
  <si>
    <t>['N,N-Dimethyl-4-nitroaniline', '100-23-2', 'Benzenamine, N,N-dimethyl-4-nitro-', '4-Nitro-N,N-dimethylaniline', '4-Nitrodimethylaniline', 'p-Nitro-N,N-dimethylaniline', 'p-Nitrodimethylaniline', '1-(Dimethylamino)-4-nitrobenzene', '4-(Dimethylamino)nitrobenzene', 'p-(Dimethylamino)nitrobenzene', 'N,N-DIMETHYL-P-NITROANILINE', 'Aniline, N,N-dimethyl-p-nitro-', 'NSC 9815', 'EINECS 202-832-1', 'AI3-08886', 'Q63398957', 'NSC9815', 'MFCD00014712', 'PubChem21649', 'ACMC-1BVPR', 'dimethyl(4-nitrophenyl)amine', 'Aniline,N-dimethyl-p-nitro-', 'SCHEMBL218018', 'N,N-dimethyl-4-nitro-aniline', 'dimethyl-(4-nitrophenyl)-amine', 'CHEMBL3098161', 'DTXSID4059209', 'N,N-Dimethyl-4-nitrobenzenamine', '1-Dimethylamino-4-nitro-benzene', 'Benzenamine,N-dimethyl-4-nitro-', 'CTK0H5815', 'NSC-9815', 'ZINC3852228', 'ANW-14193', 'BBL000682', 'STK367079', 'AKOS003236433', 'MCULE-9184385846', 'NCGC00342065-01', 'LS-19760', 'DB-003081', 'D0760', 'FT-0629510', 'NS00022955', 'ST50405542', 'T7253', 'Z3701', 'AB01334117-02', 'J-000067']</t>
  </si>
  <si>
    <t>Compound(7491)</t>
  </si>
  <si>
    <t>C8H10N2O2</t>
  </si>
  <si>
    <t>4-nitrodiphenyl</t>
  </si>
  <si>
    <t>1-nitro-4-phenylbenzene</t>
  </si>
  <si>
    <t>['4-Nitrobiphenyl', '92-93-3', 'P-NITROBIPHENYL', "4-Nitro-1,1'-biphenyl", "1,1'-Biphenyl, 4-nitro-", '1-Nitro-4-phenylbenzene', 'p-Nitrodiphenyl', '4-Nitrodiphenyl', 'Biphenyl, 4-nitro-', 'p-Phenylnitrobenzene', '4-Phenylnitrobenzene', 'Ba 2794', 'p-Phenyl-nitrobenzene', '4-Phenyl-nitrobenzene', 'UNII-QM80NUW6WZ', '4-Nitro-biphenyl', 'NSC 1324', 'PNB', 'CCRIS 443', 'HSDB 2632', 'EINECS 202-204-7', 'QM80NUW6WZ', 'AI3-00635', 'CHEBI:82504', '4-nitrolbiphenyl', '1-nitro-4-phenyl-benzene', '4-Nitrobipheny', '4-nitro-1', 'WLN: WNR DR', "4-Nitro-1,1'-biphenyl #", 'SCHEMBL167524', 'CHEMBL352531', 'DTXSID9041522', 'BAJQRLZAPXASRD-UHFFFAOYSA-', 'CTK3I7201', 'NSC1324', 'CS-B0269', 'NSC-1324', 'ZINC1591846', 'ZX-AT019955', 'ANW-75032', 'BBL000538', 'SBB061458', 'STK364313', 'AKOS000121470', 'ACN-051084', 'DB12300', 'GS-3776', 'MCULE-1970846007', 'OR26189', 'KS-000011M8', 'AC-18837', 'CC-20110', 'LS-44447', 'DB-002577', '4-Nitrobiphenyl 10 microg/mL in Cyclohexane', 'FT-0631459', 'FT-0672778', 'NS00021392', 'ST51047469', 'X7237', 'C19473', 'M-8012', 'C-30991', 'J-002964', 'Q20966444']</t>
  </si>
  <si>
    <t>Compound(7114)</t>
  </si>
  <si>
    <t>C12H9NO2</t>
  </si>
  <si>
    <t>4-nitrodiphenylamine</t>
  </si>
  <si>
    <t>4-nitro-N-phenylaniline</t>
  </si>
  <si>
    <t>['4-NITRODIPHENYLAMINE', '4-Nitro-N-phenylaniline', '836-30-6', 'Benzenamine, 4-nitro-N-phenyl-', 'p-Nitrodiphenylamine', 'Diphenylamine, 4-nitro-', '4-Nitrodifenylamin', '4-Ndpa', 'p-Nitrophenylphenylamine', '4-Nitro-diphenylamine', '4-nitro-N-phenyl-aniline', '(4-nitrophenyl)phenylamine', '4-Nitrodifenylamin [Czech]', 'Amine, diphenyl, 4-nitro-', 'UNII-5ZOC179N5D', 'NSC 33836', 'N-(4-Nitrophenyl)benzenamine', 'CCRIS 5174', 'HSDB 5763', 'N-(4-Nitrophenyl)-N-phenylamine', 'EINECS 212-646-2', 'BRN 2051910', 'AI3-02915', 'MLS000584664', '5ZOC179N5D', 'SMR000203627', 'DSSTox_CID_7323', 'DSSTox_RID_78408', 'DSSTox_GSID_27323', 'CAS-836-30-6', 'N-Phenyl-4-nitroaniline', 'WLN: WNR DMR', '4-Nitrodiphenylamine, 99%', 'Oprea1_074824', '(4-nitrophenyl)-phenyl-amine', '4-12-00-01619 (Beilstein Handbook Reference)', 'cid_13271', 'SCHEMBL224794', '(4-nitro-phenyl)-phenyl-amine', 'CHEMBL1323785', 'DTXSID8027323', 'BDBM93782', 'N-phenyl-N-(4-nitrophenyl)amine', 'HMS2605G24', 'BCP32012', 'NSC33836', 'ZINC3860846', 'Tox21_202300', 'Tox21_303333', 'MFCD00007301', 'N-(4-Nitrophenyl)-N-phenylamine #', 'NSC-33836', 'SBB008055', 'STK182596', 'AKOS000286122', 'AKOS015960695', 'MCULE-7025763535', 'NCGC00164030-01', 'NCGC00164030-02', 'NCGC00257118-01', 'NCGC00259849-01', 'AC-12155', 'LS-62878', 'SC-65270', 'U044', 'DB-056727', 'FT-0619232', 'NS00008032', 'ST50308059', '836N306', 'A840617', 'Q230012', 'SR-01000421153', '4-nitro-N-phenylaniline;Aniline, 4-nitro-N-phenyl-', 'SR-01000421153-1', 'W-104137', '4-Nitro-N-phenylaniline;p-Nitrodiphenylamine;Benzenamine, 4-nitro-N-phenyl-']</t>
  </si>
  <si>
    <t>Compound(13271)</t>
  </si>
  <si>
    <t>4-nitrophenol</t>
  </si>
  <si>
    <t>['4-Nitrophenol', 'p-nitrophenol', '100-02-7', 'Phenol, 4-nitro-', 'Niphen', 'Paranitrophenol', '4-Hydroxynitrobenzene', 'p-Hydroxynitrobenzene', 'Phenol, p-nitro-', 'para-nitrophenol', 'Mononitrophenol', 'Paranitrofenol', 'Paranitrofenolo', 'p-Nitrofenol', '4-Nitrofenol', 'RCRA waste number U170', 'Caswell No. 603', 'NCI-C55992', 'p-Nitrofenol [Czech]', 'Paranitrofenol [Dutch]', '4-Nitrofenol [Dutch]', 'Paranitrofenolo [Italian]', 'PNP', 'Paranitrophenol [French,German]', '1-Hydroxy-4-nitrobenzene', '4-nitro-phenol', 'RCRA waste no. U170', 'NSC 1317', 'UNII-Y92ZL45L4R', 'UN1663', 'EPA Pesticide Chemical Code 056301', 'CCRIS 2316', 'CHEBI:16836', 'AI3-04856', 'HSDB 1157', 'EINECS 202-811-7', 'Y92ZL45L4R', 'MFCD00007331', 'p-Nitrophenol [UN1663]  [Poison]', '4-Nitrophenol, 99%', '4-Nitrophenol-15N', 'p-nitrophenolate ion', 'DSSTox_CID_1834', 'DSSTox_RID_76356', '4-nitrophenolate anion', 'DSSTox_GSID_21834', 'p-nitrophenolate(1-)', '4-nitrobenzen-1-olate', '4-nitrophenolate(1-)', 'CAS-100-02-7', 'NPO', 'p-nitro phenol', '4-Notrophenol', '4-nitryl phenol', '4- nitrophenol', '4-nitro phenol', '4-nitrophenol-', '4-Nitrophenol,', '3qvu', 'RPN', 'P-Nitrophenolic acid', 'HONP', '4-Nitrophenolic acid', '103427-15-2', 'p-Nitrophenol solution', 'PubChem19727', 'PHENOL,4-NITRO', 'P-Nitrophenolic acid ion', 'PARA NITRO PHENOL', 'WLN: WNR DQ', 'P-Nitrophenolic acid anion', '4-Nitrophenolic acid anion', 'bmse000223', 'Epitope ID:161303', 'O2NC6H4OH', 'EC 202-811-7', 'P-Nitrophenolic acid(1-)', '4-Nitrobenzen-1-olic acid', '4-Nitrophenolic acid(1-)', 'SCHEMBL1839', '4-NITROPHENOL IMP F', 'KSC177I3R', 'CHEMBL14130', 'PARAGOS 330264', 'SGCUT00249', 'SR-1C2', '1-HYDROXY-4-NITROBENZOL', '4-Nitrophenol solution, 10 mM', '4-Nitrophenol, puriss., 99%', 'DTXSID0021834', 'SCHEMBL13906248', 'SCHEMBL14501907', 'BDBM31678', 'CTK0H7438', 'TIMTEC-BB SBB040875', 'NSC1317', '4-Nitrophenol, Reference Material', 'LABOTEST-BB LTBB002356', 'KS-000001OG', 'NSC-1317', 'to_000002', 'AKOS BBS-00004351', 'Tox21_202444', 'Tox21_300117', '4-Nitrophenol, reagent grade, 98%', 'ANW-14127', 'LS-292', 'p-Nitrophenol [UN1663] [Poison]', 's6196', 'SBB040875', 'STL281865', 'ZINC34828682', 'AKOS000118985', '4-Nitrophenol, spectrophotometric grade', 'AS00220', 'DB04417', 'MCULE-5860903209', 'NE10482', 'NCGC00247904-01', 'NCGC00247904-02', 'NCGC00254220-01', 'NCGC00259993-01', '4-Nitrophenol 100 microg/mL in Methanol', '4-Nitrophenol, ReagentPlus(R), &gt;=99%', 'AS-13146', 'BP-20405', 'H447', '4-Nitrophenol 10 microg/mL in Acetonitrile', 'DS-005476', 'FT-0600022', 'FT-0672814', 'N0161', 'N0162', 'N0220', 'NS00010495', 'ST50214472', '1986-EP2275404A1', '1986-EP2280282A1', '1986-EP2289887A2', '1986-EP2289888A2', '1986-EP2298776A1', '1986-EP2301536A1', '1986-EP2301538A1', '1986-EP2302382A2', '1986-EP2302383A2', '1986-EP2305825A1', '1986-EP2311455A1', '1986-EP2314586A1', '4-Nitrophenol, JIS special grade, &gt;=99.0%', 'C00870', 'N-3600', 'N-3610', '47175-EP2281563A1', '47175-EP2298312A1', '47175-EP2308833A2', '47175-EP2311822A1', '197894-EP2269975A2', '197894-EP2269997A2', '197894-EP2275415A2', '4-Nitrophenol, PESTANAL(R), analytical standard', 'A800004', 'AE-562/40217722', 'Q656269', 'Z57127483', 'F9995-1636', '4-Nitrophenol, certified reference material, TraceCERT(R)', 'UNII-UV7XKM40LO component BTJIUGUIPKRLHP-UHFFFAOYSA-N', '4-Nitrophenol solution, stock solution, for mass spectrometry', '4-Nitrophenol solution, working solution, for mass spectrometry', '4-Nitrophenol solution, certified reference material, 5000 mug/mL in methanol', 'Acetaminophen Related Compound F, United States Pharmacopeia (USP) Reference Standard', '4-NITROPHENOL (Acetaminophen Related Compound F)(Paracetamol Impurity F), Pharmaceutical Secondary Standard; Certified Reference Material']</t>
  </si>
  <si>
    <t>Compound(980)</t>
  </si>
  <si>
    <t>4-nitrotoluene</t>
  </si>
  <si>
    <t>1-methyl-4-nitrobenzene</t>
  </si>
  <si>
    <t>['4-NITROTOLUENE', '1-Methyl-4-nitrobenzene', 'p-Nitrotoluene', '99-99-0', 'Benzene, 1-methyl-4-nitro-', '4-Methylnitrobenzene', '4-Nitrotoluol', 'Toluene, p-nitro-', 'p-Methylnitrobenzene', 'para-Nitrotoluol', 'Nitrotoluene, p-', 'NCI-C60537', 'Nitrotoluenos [Spanish]', 'UNII-E88IMG14EX', 'NSC 9579', 'CCRIS 2313', 'HSDB 1158', 'Nitrotoluene, p-isomer', 'PARA NITROTOLUENE', '4-Nitrotoluene, 99%', 'NCI 9579', 'EINECS 202-808-0', 'E88IMG14EX', 'AI3-15394', 'CHEMBL155320', 'DTXSID5023792', 'CHEBI:35227', 'Nitrotoluenos', 'DSSTox_CID_3792', 'DSSTox_RID_77192', 'DSSTox_GSID_23792', 'para-nitrotoluene', 'CAS-99-99-0', '1-methyl-4-nitro-benzene', 'Mononitrotoluene', '4-nitro toluene', 'p-nitrophenylmethane', 'ACMC-209sep', 'EC 202-808-0', 'WLN: WNR D1', 'SCHEMBL73252', 'MLS001055386', 'BIDD:ER0243', 'LS-5', 'SCHEMBL7147554', 'p-Nitrotoluene, liquid or solid', 'SCHEMBL14468668', 'CTK3J2825', 'KS-00000VHC', 'NSC9579', '2-METHYL-5-NITRO BENZENE', 'HMS3039N17', 'LABOTEST-BB LTBB002342', 'Toluene, 4-nitro-;4-nitrotoluene', '4-Nitrotoluene, analytical standard', 'BCP26111', 'CS-M3393', 'NSC-9579', 'ZINC1700067', 'Tox21_201464', 'Tox21_300017', 'ANW-41087', 'BDBM50008545', 'STL185581', 'AKOS000120058', '1-Methyl-4-nitrobenzene;p-Nitrotoluene', 'AS01013', 'MCULE-6534402473', 'NE10484', 'NCGC00090790-01', 'NCGC00090790-02', 'NCGC00090790-03', 'NCGC00254101-01', 'NCGC00259015-01', 'AC-14710', 'SC-18031', 'SMR000677947', '4-Nitrotoluene, purum, &gt;=98.0% (GC)', 'TOLUENE,4-NITRO  MFC7 H7 N1 O2', '4-Nitrotoluene 10 microg/mL in Acetonitrile', 'FT-0619304', 'FT-0673017', 'N0276', 'NS00001022', 'X8422', 'AZ0001-0004', 'C14394', 'J-515893', 'Q2048380', 'p-Nitrotoluene, liquid or solid [UN1664]  [Poison]', 'p-Nitrotoluene, liquid or solid [UN1664] [Poison]', 'F0001-2342', 'Z1262246130', 'UNII-7JOW0J679F component ZPTVNYMJQHSSEA-UHFFFAOYSA-N', '4NT']</t>
  </si>
  <si>
    <t>Compound(7473)</t>
  </si>
  <si>
    <t>4-nitrosodiphenylamine</t>
  </si>
  <si>
    <t>4-nitroso-N-phenylaniline</t>
  </si>
  <si>
    <t>['4-NITROSODIPHENYLAMINE', 'p-Nitrosodiphenylamine', '4-Nitroso-N-phenylaniline', '156-10-5', 'Benzenamine, 4-nitroso-N-phenyl-', 'p-Nitroso-N-phenylaniline', 'Diphenylamine, 4-nitroso-', 'Naugard TKB', '4-Nitroso-N-phenylbenzenamine', 'p-Nitrosodifenylamin', 'N-Phenyl-p-nitrosoaniline', 'p-Phenylaminonitrosobenzene', 'NCI-C02244', 'Nitrous diphenylamide', 'para-Nitroso-N-phenylaniline', 'para-Nitrosodiphenylamine', 'NSC 5041', 'N-Phenyl-para-nitrosoaniline', 'p-Nitrosodifenylamin [Czech]', 'CCRIS 465', 'Amine, diphenyl, 4-nitroso-', 'UNII-F7052989CV', 'HSDB 2876', 'EINECS 205-848-7', 'TKB', 'BRN 1952651', 'CHEBI:82509', 'N-(4-Nitrosophenyl)-N-phenylamine', 'F7052989CV', 'DSSTox_CID_1031', 'DSSTox_RID_75916', 'DSSTox_GSID_21031', 'CAS-156-10-5', 'nitroso-N-phenylaniline', 'WLN: ONR DMR', 'N-phenyl-4-nitrosoaniline', '(4-nitrosophenyl)phenylamine', 'phenyl 4-nitrosophenyl amine', '4-12-00-01560 (Beilstein Handbook Reference)', 'SCHEMBL655572', '4-Nitroso-N-phenyl-benzenamine', 'CHEMBL1600998', 'DTXSID1021031', 'SCHEMBL11273533', 'OIJHFHYPXWSVPF-UHFFFAOYSA-', 'NSC5041', 'NSC-5041', 'ZINC3861649', 'Tox21_201708', 'Tox21_302822', '5941AF', 'BBL000066', 'LS-893', 'STK378742', 'AKOS005448746', 'N-(4-Nitrosophenyl)-N-phenylamine #', 'MCULE-1027081132', 'NCGC00091332-01', 'NCGC00091332-02', 'NCGC00091332-03', 'NCGC00091332-04', 'NCGC00091332-05', 'NCGC00256585-01', 'NCGC00259257-01', 'AS-60940', 'FT-0619298', 'N0263', 'NS00005589', 'NS00054775', 'ST50406498', 'T6909', 'C19479', "N-Nitrosodiphenyl-2,2',4,4',6,6'-d6-amine", 'Q27156019', 'nitroso-N-phenylaniline;4-nitroso-N-phenylaniline;4-(phenylimino)cyclohexa-2,5-dien-1-one oxime, sodium salt;2,5-Cyclohexadiene-1-one, 4-phenylimino oxime Na s']</t>
  </si>
  <si>
    <t>Compound(9074)</t>
  </si>
  <si>
    <t>C12H10N2O</t>
  </si>
  <si>
    <t>4-oxoisophoron</t>
  </si>
  <si>
    <t>2,6,6-trimethylcyclohex-2-ene-1,4-dione</t>
  </si>
  <si>
    <t>['1125-21-9', 'Ketoisophorone', '4-Oxoisophorone', '2,6,6-Trimethyl-2-cyclohexene-1,4-dione', '2,6,6-Trimethylcyclohex-2-ene-1,4-dione', '4-Ketoisophorone', 'Oxopholone', 'keto-Isophorone', 'Oxophorone', '6-Oxoisophorone', '2-CYCLOHEXENE-1,4-DIONE, 2,6,6-TRIMETHYL-', '4-Oxo-alpha-isophorone', 'Oxoisophorone', 'UNII-72WY3KLB5R', '3,5,5-Trimethyl-2-cyclohexene-1,4-dione', 'FEMA No. 3421', 'EINECS 214-406-2', '72WY3KLB5R', '2,6,6-Trimethyl-2-cyclohexen-1,4-dione', '3,5,5-Trimethylcyclohex-2-en-1,4-dione', '3,5,5-trimethylcyclohex-2-ene-1,4-dione', '2-Cyclohexen-1,4-dione, 2,6,6-trimethyl', 'DSSTox_CID_1685', '4-Oxo-.alpha.-isophorone', 'EC 214-406-2', 'ACMC-1C8T2', 'DSSTox_RID_76283', 'DSSTox_GSID_21685', 'KSC496S7H', 'SCHEMBL444616', 'DTXSID9021685', 'CTK3J6973', 'FEMA 3421', 'KS-00000VNH', '4-Oxoisophorone, &gt;=98%, FG', 'ZINC3881445', 'Tox21_201193', 'ANW-43438', 'BBL027987', 'MFCD00043119', 's3991', 'STK801843', 'AKOS005622552', 'CCG-266233', 'NCGC00248952-01', 'NCGC00258745-01', 'AK164477', 'AS-14431', 'L106', 'SY049954', '2,2,6-trimethylcyclohex-2-en-1,4-dione', '2,6,6-trimethylcyclohex-2-en-1,4-dione', '2,6,6-trimethylcyclohex-2-ene-1,4-dion', 'CAS-1125-21-9', 'DB-003240', 'HY-107832', 'LS-178762', '2,2,6-Trimethyl-cyclohex-5-en-1,4-dione', '2,6,6-trimethyl-cyclohex-2-ene-1,4-dione', '2,6,6-Trimethylcyclohex-2-ene-1,4-dione.', '2-cyclohexene-1,4-dione, 2,6,6-trimethyl', '3,5,5-trimethyl-cyclohex-2-en-1,4-dione', 'CS-0030708', 'FT-0610509', 'K0034', 'NS00010663', 'ST50307762', '2,6,6-Trimethyl-2-cyclohexene-1,4-dione, 98%', 'Q1490748', 'W-108647', '2,2,6-Trimethyl-2-cyclohexene-1,4-dione (cetoisophorone)', '2,6,6-Trimethy-2-cyclohexene-1,4-dione (4-oxoisophorone)', '4-oxoisophoron (2,6,6-trimethyl-2-cyclohexene-1,4-dione)', '2,2,6-Trimethylcyclohex-2-en-1,4-dione (4-oxo-isophorone)', '2,6,6-Trimethyl-2-cyclohexene-1,4-dione, analytical standard', 'TRIMETHYL-2-CYCLOHEXENE-1,4-DIONE;2,6,6-trimethylcyclohex-2-ene-1,4-dione;KETOISOPHORONE;2,6,6-Trimethylcyclohex-2-en-1,4-dione']</t>
  </si>
  <si>
    <t>Compound(62374)</t>
  </si>
  <si>
    <t>4-cumylphenol</t>
  </si>
  <si>
    <t>4-(2-phenylpropan-2-yl)phenol</t>
  </si>
  <si>
    <t>['4-Cumylphenol', '599-64-4', 'p-Cumylphenol', '4-(2-phenylpropan-2-yl)phenol', '4-alpha-Cumylphenol', 'Phenol, 4-(1-methyl-1-phenylethyl)-', 'p-Cumyl phenol', '4-(1-Methyl-1-phenylethyl)phenol', '4-(Dimethylphenylmethyl)phenol', '4-(2-PHENYLISOPROPYL)PHENOL', '4-Hydroxydiphenyldimethylmethane', '2-Phenyl-2-(4-hydroxyphenyl)propane', '2-Phenyl-2-(p-hydroxyphenyl)propane', 'paracumylphenol', 'p-(alpha-Cumenyl)phenol', 'UNII-2RLA3OL3QT', 'NSC 6237', 'p-(alpha,alpha-Dimethylbenzyl)phenol', '4-(alpha,alpha-Dimethylbenzyl)phenol', 'Phenol, 4-(1-methyl-1-phenethyl)-', '4-(1-Methyl-1-phenethyl)phenol', 'EINECS 209-968-0', '2RLA3OL3QT', 'p-(.alpha.-Cumyl)phenol', 'BRN 1870517', 'AI3-08269', 'CHEBI:35092', 'Phenol, p-(.alpha.,.alpha.-dimethylbenzyl)-', 'MFCD00002365', "2-(4'-Hydroxyphenyl)-2-phenylpropane", 'Phenol, p-(alpha,alpha-dimethylbenzyl)-', '4-(.alpha.,.alpha.-Dimethylbenzyl)phenol', 'p-(.alpha.,.alpha.-Dimethylbenzyl)phenol', 'DSSTox_CID_2536', 'DSSTox_RID_76617', 'DSSTox_GSID_22536', '4-(1-Methyl-1-Phenethyl) Phenol', 'p-[alpha,alpha-dimethylbenzyl)phenol', 'CAS-599-64-4', '4-(a,a-dimethylbenzyl)phenol', 'p-Hydroxy-2,2-diphenylpropane', 'para-cumylphenol', 'CCRIS 8908', 'p--cumylphenol', 'HSDB 8089', '2zas', 'Cumyl phenol (Related)', '4-Cumylphenol, 99%', 'ACMC-1AOGA', '4-Isopropylphenyl phenol', 'C14258', 'EC 209-968-0', 'Cambridge id 5142949', 'p-(.alpha.-Cumenyl)phenol', 'TimTec1_002380', 'SCHEMBL51117', 'KSC492O3B', 'BIDD:ER0173', '4-(2-Phenylisopropyl) phenol', "[1, ar'-(1-methylethyl)-", 'CHEMBL194805', 'DTXSID3022536', 'BDBM29609', 'CTK3J2730', 'Phenol,.alpha.-dimethylbenzyl)-', 'NSC6237', 'HMS1540M04', 'HMS3604L17', 'KUC105982N', 'KS-000010UM', 'NSC-6237', 'ZINC1085204', 'Tox21_201297', 'Tox21_300056', '4-(1-Methyl-1-phenylethyl)-phenol', 'ANW-33399', 'SBB043700', 'STK831902', '4-(1-Methyl-1-phenyl-ethyl)-phenol', 'AKOS000120751', 'DB06902', 'KSC-19-030', 'MCULE-5968866162', 'NE10182', 'NCGC00090941-01', 'NCGC00090941-02', 'NCGC00090941-03', 'NCGC00090941-04', 'NCGC00090941-05', 'NCGC00253961-01', 'NCGC00258849-01', 'AS-57116', 'ST029283', 'DB-072734', 'LS-104498', 'LS-104913', 'FT-0616686', 'NS00009362', 'Phenol, 4-(1-methyl-1-phenethyl)- (9CI)', 'W-105293', 'BRD-K94049994-001-01-5', 'Q27095806', 'Z57068819', 'F0020-1559', 'UNII-E76192MWPA component QBDSZLJBMIMQRS-UHFFFAOYSA-N', '(alpha, alpha-dimethylbenzyl) phenol, p-; Cumylphenol, p-; Phenol, p-(alpha, alpha-dimethylbenzyl)-; Phenol, 4-(1-methyl-1-phenylethyl)-', '1OH', '4-(a,a-dimethylbenzyl)phenol;p-cumylphenol;Phenol, 4-(1-methyl-1-phenylethyl)-;4-(?,?-dimethylbenzyl)phenol']</t>
  </si>
  <si>
    <t>Compound(11742)</t>
  </si>
  <si>
    <t>C15H16O</t>
  </si>
  <si>
    <t>4-formylaminoantipyrin</t>
  </si>
  <si>
    <t>N-(1,5-dimethyl-3-oxo-2-phenylpyrazol-4-yl)formamide</t>
  </si>
  <si>
    <t>['4-Formylaminoantipyrine', '1672-58-8', 'N-(1,5-dimethyl-3-oxo-2-phenyl-2,3-dihydro-1H-pyrazol-4-yl)formamide', '4-Formamidoantipyrine', 'Formamide, N-antipyrinyl-', 'UNII-63DKU1M0XK', '(1,5-dimethyl-3-oxo-2-phenyl-2,3-dihydro-1H-pyrazol-4-yl)formamide', '63DKU1M0XK', 'N-(1,5-dimethyl-3-oxo-2-phenylpyrazol-4-yl)formamide', '4-Formylaminophenazone', '4-Formylamino Antipyrine', '1,5-dimethyl-3-oxo-2-phenyl-2,3-dihydro-1H-pyrazol-4-ylformamide', 'Formamide, N-(2,3-dihydro-1,5-dimethyl-3-oxo-2-phenyl-1H-pyrazol-4-yl)-', 'NSC 60565', 'N-(2,3-dimethyl-5-oxo-1-phenyl-3-pyrazolin-4-yl)carboxamide', 'EINECS 216-808-3', 'N-antipyrinyl formamide', '4-formylamino-Antipyrine', 'N-(2,3-Dihydro-1,5-dimethyl-3-oxo-2-phenyl-1H-pyrazol-4-yl)formamide', '4-Aminoantipyrine-N-formyl', '4-FAA', 'Oprea1_056999', 'Oprea1_347608', '4-Formylaminoantipyrine (FAA)', 'SCHEMBL6812409', 'CHEBI:83526', 'CTK7I1566', 'KS-00000IYT', 'DTXSID10168241', '4-formyl-amino-antipyrine (FAA)', 'HMS1673G16', 'ZINC301550', 'ALBB-021702', 'NSC60565', '5360AD', 'NSC-60565', 'SBB097764', 'STK993651', 'AKOS000633307', 'MCULE-4865850721', 'WLN: T5NNVJ A1 BR&amp; DMVH E1', 'AK-63291', 'DS-15213', '4-Formylaminoantipyrine (4-FAA)_1038_ p', 'FT-0648425', 'ST50244241', 'Z-0084', 'AG-690/12869770', 'W-109692', '4formylamino-2,3-dimethyl-1-phenyl-3-pyrazolin-5-one', 'Q27156916', '4-Formylaminoantipyrine, VETRANAL(TM), analytical standard', 'Formamide,3-dihydro-1,5-dimethyl-3-oxo-2-phenyl-1H-pyrazol-4-yl)-', 'N-(2,3-2H-1,5-dimethyl-3-oxo-2-phenyl-1H-pyrazol-4-yl)formamide', 'formamide, (2,3-dihydro-1,5-dimethyl-3-oxo-2-phenyl-1H-pyrazol-4-yl)-', 'Metamizole impurity A, European Pharmacopoeia (EP) Reference Standard', 'N-(1,5-Dimethyl-3-oxo-2-phenyl-2,3-dihydro-1H-pyrazol-4- yl)formamide', '4-Formylamino-1,5-dimethyl-2-phenyl-1,2-dihydro-3H-pyrazol-3-one (4-Formylaminophenazone)']</t>
  </si>
  <si>
    <t>Compound(72666)</t>
  </si>
  <si>
    <t>C12H13N3O2</t>
  </si>
  <si>
    <t>4-Isopropylaniline (Cumidine)</t>
  </si>
  <si>
    <t>4-propan-2-ylaniline</t>
  </si>
  <si>
    <t>['4-ISOPROPYLANILINE', '99-88-7', 'Cumidine', '4-Aminocumene', 'p-Isopropylaniline', 'p-Cumidine', '4-(Propan-2-Yl)Aniline', '4-Amino-1-isopropylbenzene', 'PARA-ISOPROPYLANILINE', 'Benzenamine, 4-(1-methylethyl)-', 'Cumene, p-amino-', '4-propan-2-ylaniline', 'Aniline, p-isopropyl-', '4-(1-methylethyl)aniline', 'UNII-0D54T7V7XL', '4-isopropyl-aniline', '4-(2-propyl)aniline', 'NSC 7198', '4-Isopropylaniline, 99%', '0D54T7V7XL', '.beta.-(4-Aminophenyl)propane', '4-(methylethyl)phenylamine', 'ss-(4-Aminophenyl)Propane', 'cumidin', 'beta-(4-Aminophenyl)propane', 'p-Aminocumene', '4isopropylaniline', 'iso-nLc8Cer', '4-i-propylaniline', '4-iso-propylaniline', '4-isopropanylaniline', 'EINECS 202-797-2', 'Cumidine (8CI)', '4-isopropyl-phenylamine', 'ACMC-209seb', 'AI3-04696', '4-(1-Methylethyl)a0ine', 'EC 202-797-2', '1-Amino-4-isopropylbenzene', 'SCHEMBL5955', '4-(1-Methylethyl)-aniline', 'KSC490G9D', 'CHEBI:43405', 'CTK3J0391', 'LRTFPLFDLJYEKT-UHFFFAOYSA-', 'DTXSID20243932', 'NSC7198', 'BCP22014', 'KS-00000VM3', 'NSC-7198', 'STR01136', 'ZINC1683362', 'ANW-41073', 'MFCD00007900', 'SBB040447', 'STL164349', 'AKOS000119635', 'AC-3325', 'CS-W020082', 'DB02114', 'MCULE-2931681430', 'PS-5289', 'AK-46452', 'BP-21269', 'BR-46452', 'SC-22374', 'AB0018088', 'DB-080640', 'AM20060471', 'FT-0618830', 'I0371', 'NS00010898', 'ST50213722', 'AZ0001-0103', 'A18199', 'M-5916', '43232-EP2280001A1', '43232-EP2281563A1', '43232-EP2281823A2', '43232-EP2311829A1', '83400-EP2270113A1', '83400-EP2272935A1', '83400-EP2284165A1', '83400-EP2289483A1', '83400-EP2305655A2', '83400-EP2305825A1', '83400-EP2371823A1', 'W-100012', '4-Isopropylaniline, PESTANAL(R), analytical standard', 'Q27093183', 'Cumidine;4-isopropylaniline;Aniline, 4-(1-methylethyl)-', 'F2190-0423', 'Z227830108']</t>
  </si>
  <si>
    <t>Compound(7464)</t>
  </si>
  <si>
    <t>4-isopropylphenol</t>
  </si>
  <si>
    <t>4-propan-2-ylphenol</t>
  </si>
  <si>
    <t>['4-Isopropylphenol', '99-89-8', 'P-ISOPROPYLPHENOL', 'p-Cumenol', 'Phenol, 4-(1-methylethyl)-', 'Australol', '4-(1-Methylethyl)phenol', 'para-isopropylphenol', '1-Hydroxy-4-isopropylbenzene', '4-(Propan-2-Yl)Phenol', 'Phenol, p-isopropyl-', '4-Isopropyl phenol', '4-Isopropyl-phenol', '4-propan-2-ylphenol', 'Prodox 133', '4-Hydroxycumene', '4-iso-Propylphenol', 'p-ISOPROPYL PHENOL', 'P-Cuminol', 'NSC 1888', 'UNII-9F59JOO816', 'EINECS 202-798-8', '4-Isopropylphenol, 98%', 'BRN 1363564', '9F59JOO816', 'paraisopropylphenol', 'p-Isopropylphenol.', 'MFCD00002372', 'PubChem10771', 'ACMC-209sec', 'DSSTox_CID_22299', 'DSSTox_RID_79991', 'DSSTox_GSID_42299', 'SCHEMBL28954', '4-06-00-03215 (Beilstein Handbook Reference)', 'KSC207E9F', 'CHEMBL29966', 'SCHEMBL8987962', 'DTXSID5042299', 'WLN: QR DY1 &amp; 1', 'NSC1888', 'HMS1789L08', 'ACT08496', 'NSC-1888', 'STR08167', 'ZINC1577074', 'Tox21_301323', '7016AC', 'ANW-41074', 'STL183327', 'AKOS000121483', 'MCULE-8334898113', 'NE10185', 'CAS-99-89-8', 'KS-00000V01', 'NCGC00255837-01', 'NCGC00337683-01', 'SC-22496', 'LS-104753', 'CS-0020286', 'FT-0618842', 'I0262', 'NS00012766', '88186-EP2272817A1', '88186-EP2274983A1', '88186-EP2305625A1', '88186-EP2305648A1', 'AB01329173-02', 'AE-562/43459027', 'W-100011', 'Q27272471', 'F0001-2340', 'UNII-7UD6MUG48S component YQUQWHNMBPIWGK-UHFFFAOYSA-N', '4-Isopropylphenol;p-Isopropylphenol.;P-ISOPROPYLPHENOL;p-isopropylphenol', 'H3Z']</t>
  </si>
  <si>
    <t>Compound(7465)</t>
  </si>
  <si>
    <t>4-isononylphenol</t>
  </si>
  <si>
    <t>4-(7-methyloctyl)phenol</t>
  </si>
  <si>
    <t>['Phenol, 4-isononyl-', '26543-97-5', '4-(7-methyloctyl)phenol', '4-Isononyl-phenol', '4-Nonylphenol, branched', 'Phenol, 4-nonyl-, branched', 'branched4-nonylphenol', 'DTXSID10274053', 'p-Isononylphenol', 'NCGC00090918-04', 'DSSTox_CID_9055', 'DSSTox_RID_78663', 'DSSTox_GSID_29055', '24518-48-7', 'CAS-84852-15-3', '4-isononylphenol', '4-i-nonylphenol', 'EINECS 247-770-6', 'NSC362474', 'UNII-JRW3Q994VG', 'JRW3Q994VG', 'Phenol,4-(7-methyloctyl)-', 'SCHEMBL573990', 'CHEMBL503990', '4-(7-methyloctyl)phenol, 10', 'BDBM34139', 'CTK1A6449', 'KS-000000CF', 'ZINC1585105', 'Tox21_111040', 'Tox21_201528', 'Tox21_300576', 'AKOS030228718', 'NSC-362474', 'NCGC00248095-01', 'NCGC00248095-02', 'NCGC00248095-03', 'NCGC00254520-01', 'NCGC00259078-01', 'AS-57096', 'DS-012203', 'FT-0688086', 'NS00001818', 'Q27893984', 'Phenol, 4-nonyl-, branched;4- ( branched ) -nonylphenol', '4-nonylphenol branched (4-(7-Methyloctyl)phenol, mixture of isomers 99&amp;#37)']</t>
  </si>
  <si>
    <t>Compound(338733)</t>
  </si>
  <si>
    <t>4-t-nonylphenol diethoxylate</t>
  </si>
  <si>
    <t>4'-tertiary-butyl-2 ' , 6'-dimethylacetophenone</t>
  </si>
  <si>
    <t>1-(4-tert-butyl-2,6-dimethylphenyl)ethanone</t>
  </si>
  <si>
    <t>["4'-tert-Butyl-2',6'-dimethylacetophenone", '2040-10-0', 'UNII-UN0DL0NR1U', "Acetophenone, 4'-tert-butyl-2',6'-dimethyl-", 'UN0DL0NR1U', '4-tert-butyl-2,6-dimethylacetophenone', 'Ethanone, 1-[4-(1,1-dimethylethyl)-2,6-dimethylphenyl]-', 'W-109743', 'Ethanone, 1-(4-(1,1-dimethylethyl)-2,6-dimethylphenyl)-', 'Ethanone,1-[4-(1,1-dimethylethyl)-2,6-dimethylphenyl]-', '1-acetyl-4-(tert-butyl)-2,6-dimethylbenzene', 'orinox', 'NSC15340', 'EINECS 218-037-8', 'NSC 15340', '1-(4-tert-butyl-2,6-dimethylphenyl)ethanone', "Acetophenone,6'-dimethyl-", 'DSSTox_CID_27120', 'DSSTox_RID_82128', 'DSSTox_GSID_47120', 'SCHEMBL112083', 'CHEMBL3184068', 'DTXSID9047120', 'CTK4E4124', 'ZINC1706899', '4-t-Butyl-2,6-dimethylacetophenone', 'Tox21_302639', '6211AF', 'NSC-15340', 'SBB007845', 'AKOS022538895', '2,6-Dimethyl-4-tert.butylacetophenone', 'ACM2040100', 'MCULE-4770123238', "4'-t-butyl-2',6'-dimethylacetophenone", '4-tert-Butyl-2,6-dimethylacetophenone.', 'NCGC00256692-01', "2',6'-Dimethyl-4'-tert-butylacetophenone", 'CAS-2040-10-0', 'FT-0619481', 'NS00010039', 'ST51038375', 'Ethanone,1-dimethylethyl)-2,6-dimethylphenyl]-', '1-(4-tert-butyl-2,6-dimethylphenyl)ethan-1-one', "4'-tert-Butyl-2',6'-dimethylacetophenone, 98%", "Acetophenone, 4'-tert-butyl-2',6'-dimethyl- (8CI)", 'Q27291152', "1-(4-tert-Butyl-2,6-dimethylphenyl)ethanone;4-tert-butyl-2,6-dimethylacetophenone;TERT-BUTYL DIMETHYL ACETOPHENONE;4'-tert-butyl-2',6'-dimethylacetophenone"]</t>
  </si>
  <si>
    <t>Compound(74879)</t>
  </si>
  <si>
    <t>C14H20O</t>
  </si>
  <si>
    <t>4-tertiary butyl phenol</t>
  </si>
  <si>
    <t>4-tert-butylphenol</t>
  </si>
  <si>
    <t>['4-tert-Butylphenol', '98-54-4', '4-(tert-Butyl)phenol', 'Butylphen', 'p-tert-Butylphenol', 'PTBP', '4-(1,1-Dimethylethyl)phenol', 'Phenol, 4-(1,1-dimethylethyl)-', '4-t-Butylphenol', 'p-t-Butyl phenol', 'Phenol, p-tert-butyl-', 'p-t-Butylphenol', 'p-terc.Butylfenol', '4-tert-butyl-phenol', '4-Tert-Butylpheno', '1-Hydroxy-4-tert-butylbenzene', 'Ucar butylphenol 4-T', 'para-tertiary-butylphenol', 'Phenol, p-(tert-butyl)-', '4-tert-butyl phenol', 'Ucar butylphenol 4-T flake', 'PARA-TERT-BUTYLPHENOL', 'Caswell No. 130E', 'UNII-O81VMW36CV', 'p-terc.Butylfenol [Czech]', 'NSC 3697', 'p-tert-butyl-phenol', 'CHEBI:34444', 'EINECS 202-679-0', 'EPA Pesticide Chemical Code 064113', 'O81VMW36CV', 'CHEMBL16217', 'AI3-00126', 'DTXSID1020221', 'FEMA 3918', 'MFCD00002367', 'NCGC00159377-02', 'NCGC00159377-04', 'DSSTox_CID_221', '4-tert-Butylphenol, 97%', 'DSSTox_RID_75442', 'DSSTox_GSID_20221', 'CAS-98-54-4', '4-tertiary-butylphenol', 'Phenol, 4-tert-butyl-', '4-TERTIARY BUTYL PHENOL', 'p-tertbutylphenol', '4-tertbutylphenol', '4tert-butylphenol', 'Lowinox PTBT', 'Lowinox TBMX', 'Phenol, 4-(1,1-dimethylethyl)-, homopolymer', 'p-tert butylphenol', 'para-t-butylphenol', '4- t-butylphenol', '4-t-butyl phenol', '4-tret-Butylphenol', 'p-tert-butyl phenol', 'p-tert.-butylphenol', '4-tert.-butylphenol', 'Lowinox 070', 'p-tert.-butyl phenol', 'p-tertiary butylphenol', '4-tert.-butyl phenol', '4-tert.-butyl-phenol', 'paratert.-butyl phenol', 'p-(Tert-butyl)-Phenol', 'para-tert. butyl phenol', 'para-tert.-butyl phenol', 'para-tertiary butylphenol', 'para-tertiary-butyl phenol', 'Epitope ID:119706', 'EC 202-679-0', '4-tert-Butylphenol, 99%', 'SCHEMBL19157', '30813-81-1', 'KSC486O7J', 'BIDD:ER0239', '4-(1, 1-Dimethylethyl)phenol', '4-(1,1-Dimethylethyl)-Phenol', 'CTK3I6774', 'HSDB 8434', 'KS-00000WCM', 'QHPQWRBYOIRBIT-UHFFFAOYSA-', 'NSC3697', 'LABOTEST-BB LTBB002519', 'CS-D1475', 'NSC-3697', 'ZINC1666982', '4-tert-Butylphenol, &gt;=99%, FG', 'Tox21_111617', 'Tox21_202326', 'Tox21_300103', '4-(1,1-Dimethylethyl)phenol, 9CI', 'ANW-50107', 'BBL018706', 'BDBM50410495', 'SBB060742', 'STK397447', '2-(4-Hydroxyphenyl)-2-methylpropane', 'AKOS000119700', 'Tox21_111617_1', 'AS00221', 'LS-7244', 'MCULE-9877285241', '4-tert-Butylphenol, analytical standard', 'WLN: QR DX1 &amp; 1 &amp; 1', 'NCGC00159377-03', 'NCGC00159377-05', 'NCGC00159377-06', 'NCGC00254213-01', 'NCGC00259875-01', 'AS-14327', 'BR-72998', 'K768', 'SC-22420', '4-(1,1-DIMETHYL-1-ETHYL)PHENOL', 'DB-080546', 'AM20050202', 'B0230', 'B0735', 'FT-0688077', 'NS00010303', 'ST50586213', 'C14200', 'M-6037', '4-tert-Butylphenol, puriss., &gt;=99.0% (GC)', '4-tert-Butylphenol, purified by sublimation, 99%', 'AE-562/40191182', 'SR-01000944715', 'Q2306557', 'SR-01000944715-1', 'Z57127886', 'F0001-2318']</t>
  </si>
  <si>
    <t>Compound(7393)</t>
  </si>
  <si>
    <t>4-tert-butylcyclohexanone</t>
  </si>
  <si>
    <t>4-tert-butylcyclohexan-1-one</t>
  </si>
  <si>
    <t>['4-tert-Butylcyclohexanone', '98-53-3', '4-(tert-Butyl)cyclohexanone', 'p-tert-Butylcyclohexanone', 'Cyclohexanone, 4-(1,1-dimethylethyl)-', 'Cyclohexanone, p-tert-butyl-', '4-tert-butylcyclohexan-1-one', 'C 64', 'Cyclohexanone, 4-tert-butyl-', '4-t-Butylcyclohexanone', 'NSC 73717', 'UNII-4M45G11K23', '4-(tert-butyl)cyclohexan-1-one', 'EINECS 202-678-5', 'BRN 0507309', 'AI3-04092', '.gamma.-tert-Butylcyclohexanone', '4-tert-Butylcyclohexanone, 99%', '4-(1,1-dimethylethyl)cyclohexanone', '4M45G11K23', 'Spiroxamine-ketone', 'MFCD00001642', 'PubChem20244', '4-tertbutylcyclohexanone', 'ACMC-209sal', '4-t-butyl cyclohexanone', '4-terbutyl-cyclohexanone', '4-tert butylcyclohexanone', '4tert-butyl cyclohexanone', '4-tert-butyl cyclohexanone', '4-tert-butyl-cyclohexanone', '4-tert-Butylcyclohexanone.', 'EC 202-678-5', 't - Butyl - cyclohexanone', '4-|tert|-Butylcyclohexanone', 'DSSTox_CID_24394', 'DSSTox_RID_80195', 'DSSTox_GSID_44394', 'para-tert-butyl cyclohexanone', 'SCHEMBL41691', '4-07-00-00082 (Beilstein Handbook Reference)', 'KSC493G8R', '4-tert-butyl cyclohexan-1-one', '4-tert-butyl-cyclohexan-1-one', 'CHEMBL3188541', 'DTXSID7044394', 'L6VTJ DX1&amp;1&amp;1', 'CTK3J3388', 'WLN: L6VTJ DX1&amp;1&amp;1', '4-TERT.BUTYL-CYCLOHEXANONE', 'HT242', 'BCP22018', 'KS-00000V6W', 'NSC73717', 'ZINC1081255', 'Tox21_302032', '6907AC', '98-53-3 4-tert-butylcyclohexanone', 'ANW-40939', 'BBL010727', 'NSC-73717', 'SBB007656', 'STK530988', '4-(1,1-dimethylethyl)-cyclohexanone', 'AKOS000119562', 'Cyclohexanone, 4-tert-butyl- (8CI)', '4-tert-Butylcyclohexanone (2 isomers)', 'FS-4254', 'MCULE-7473209514', 'CAS-98-53-3', 'NCGC00255976-01', 'LS-57283', 'SC-91867', 'AM20070522', 'FT-0619507', 'NS00003179', 'ST50211277', 'T8330', 'W-109371', '4-tert-butylcyclohexanone;4-TERT-BUTYLCYCLOHEXANONE', 'Q27260077', 'F0001-2317', 'Z1250100700']</t>
  </si>
  <si>
    <t>Compound(7392)</t>
  </si>
  <si>
    <t>4-tertiary octylphenol</t>
  </si>
  <si>
    <t>4-(2,4,4-trimethylpentan-2-yl)phenol</t>
  </si>
  <si>
    <t>['4-tert-Octylphenol', '140-66-9', '4-(2,4,4-trimethylpentan-2-yl)phenol', 'p-tert-Octylphenol', '4-(1,1,3,3-TETRAMETHYLBUTYL)PHENOL', '4-t-Octylphenol', 'Phenol, 4-(1,1,3,3-tetramethylbutyl)-', 'p-Terc.oktylfenol', 'para-tert-Octylphenol', 'p-(1,1,3,3-Tetramethylbutyl)phenol', 'Phenol, p-(tert-octyl)-', 'p-Octylphenol (VAN)', 'P-T-Octylphenol', 'Phenol, p-(1,1,3,3-tetramethylbutyl)-', 'UNII-IOY9FVU3J3', 'p-terc.Oktylfenol [Czech]', 'HSDB 5411', 'NSC 5427', 'tert-Octylphenol, flaked', 'EINECS 205-426-2', 'IOY9FVU3J3', 'BRN 0513992', '4-(TERT-OCTYL)PHENOL', 'AI3-10011', "p-(1',1',3',3'-Tetramethylbutyl)fenol", 'CHEMBL259327', 'CHEBI:34445', 'Tyloxapol', 'NCGC00164127-02', 'NCGC00164127-03', "p-(1',1',3',3'-Tetramethylbutyl)phenol", 'DSSTox_CID_2360', 'DSSTox_RID_76556', 'DSSTox_GSID_22360', 'p-(1,3,3-Tetramethylbutyl)phenol', '4-(1,3,3-Tetramethylbutyl)phenol', "p-(1',3',3'-Tetramethylbutyl)phenol", 'CAS-140-66-9', 'WLN: QR DX1 &amp; 1 &amp; 1X1 &amp; 1 &amp; 1', 'Octylphenol pt', 'CCRIS 8947', '4mga', '27L', 'p-tert.-octylphenol', '4-tert-octyl-phenol', '4-tert-octylphenol*', '4-tert.-octylphenol', 'p-(tert-octyl)phenol', 'p-(1,1,3,3-tetramethylbutyl)-phenol', '4-(1,1,3,3-TetraMethyl-Butyl)Phenol', 'p-(Tert-octyl)-Phenol', 'para-tert.-octyl phenol', '25301-02-4', 'p-Terc.oktylfenol(Czech)', 'ACMC-1C0TS', 'EC 205-426-2', '4-tert-Octylphenol, 97%', 'SCHEMBL10141', '4-06-00-03484 (Beilstein Handbook Reference)', 'KSC491S6L', 'BIDD:ER0044', '4-t-octyl-phenol (4-t-OP)', 'DTXSID9022360', 'Octylphenol-4-tert (4-t-OP)', 'CTK3J1965', 'NSC5427', 'NSC7248', 'KS-00000Z9J', 'NSC-5427', 'NSC-7248', 'ZINC1686938', 'Tox21_112084', 'Tox21_400011', '2025AB', 'ANW-20579', 'BBL027379', 'BDBM50423506', 'MFCD00002368', 'SBB008090', 'STK594853', 'AKOS005516422', 'Tox21_112084_1', 'CCG-275197', 'MCULE-1575585247', 'NE10184', '4-(1,1,3,3-tetramethylbutyl)-phenol', '4-tert-Octylphenol, analytical standard', 'NCGC00164127-01', 'NCGC00164127-04', 'NCGC00164127-05', 'NCGC00164127-06', 'NCGC00164127-07', 'NCGC00181157-01', '4-(1,1,3,3-tetramethyl-butyl)-phenol', 'VS-08533', 'DB-063344', 'LS-105148', 'FT-0616437', 'FT-0673243', 'NS00008649', "p-(1',1',3', 3'-Tetramethylbutyl)phenol", 'ST50828074', 'C14205', 'SR-01000944308', 'J-523827', 'SR-01000944308-2', 'W-108198', 'BRD-K64273664-001-01-6', 'Q15632771', '4-(1,1,3,3-Tetramethylbutyl)phenol (ACD/Name 4.0)', '4-tert-Octylphenol, certified reference material, TraceCERT(R)', '4-tert-Octylphenol solution, 1 mug/mL in acetone, analytical standard', '4-tert-Octylphenol solution, 10 mug/mL in acetone, analytical standard', '4-tert-Octylphenol solution, 1000 mug/mL in acetone, analytical standard']</t>
  </si>
  <si>
    <t>Compound(8814)</t>
  </si>
  <si>
    <t>4-vinyl-1-cyclohexene</t>
  </si>
  <si>
    <t>4-ethenylcyclohexene</t>
  </si>
  <si>
    <t>['4-Vinylcyclohexene', '4-VINYL-1-CYCLOHEXENE', '100-40-3', 'Cyclohexene, 4-ethenyl-', '4-Ethenylcyclohexene', '4-vinylcyclohex-1-ene', 'Butadiene dimer', '4-Vinylcyclohexene-1', 'Cyclohexene, 4-vinyl-', 'Cyclohexenylethylene', '4-Ethenyl-1-cyclohexene', '1-Vinylcyclohexene-3', '1-Cyclohexene, 4-vinyl-', '4-Vinyl cyclohexene', 'NCI-C54999', '1,2,3,4-Tetrahydrostyrene', 'Ethenyl-1-cyclohexene', '1-Vinylcyclohex-3-ene', 'NSC 15760', 'CCRIS 1422', 'Vinylcyclohexene, 4-', 'HSDB 2872', '1-Vinyl-3-cyclohexene', '4-ethenylcyclohex-1-ene', 'EINECS 202-848-9', 'BRN 1901553', 'AI3-08499', 'CHEBI:82377', '4-Vinyl-1-cyclohexene, 97%, stabilized', '4-vinylcylohexene', '4 vinyl cyclohexene', '4-vinyl-cyclohexene', '5-Ethenylcyclohexene', '4-v inylcyclohexene-1', 'ACMC-209smd', '(4S)-4-vinylcyclohexene', '1,3,4-Tetrahydrostyrene', 'DSSTox_CID_1437', 'EC 202-848-9', 'DSSTox_RID_76158', 'WLN: L6UTJ D1U1', 'DSSTox_GSID_21437', '4-05-00-00406 (Beilstein Handbook Reference)', 'KSC175G7T', '4-Vinyl-1-cyclohexene, 99%', 'CHEMBL1330194', 'Cyclohexene, 4-vinyl- (8CI)', 'DTXSID3021437', 'CTK0H5379', 'KS-00000VAX', 'NSC15760', 'Tox21_200388', 'ANW-41363', 'LS-302', 'NSC-15760', 'SBB059892', 'AKOS015903842', 'FCH1117556', 'MCULE-1027409234', 'NCGC00091539-01', 'NCGC00091539-02', 'NCGC00091539-03', 'NCGC00257942-01', 'CAS-100-40-3', '4-Vinyl-1-cyclohexene, analytical standard', 'DS-015484', 'FT-0619549', 'NS00008744', 'ST51046160', 'C19310', '4-Vinyl-1-cyclohexene 2000 microg/mL in Methanol', 'J-000127', 'Q4637205', '4-Vinyl-1-cyclohexene, stabilized with 50-200 ppm BHT', '4-vinylcyclohexene;Cyclohexene, 4-vinyl-;4-Vinylcyclohexene']</t>
  </si>
  <si>
    <t>Compound(7499)</t>
  </si>
  <si>
    <t>C8H12</t>
  </si>
  <si>
    <t>5,6,7,7a-tetrahydro- 4,4, 7a-trimethyl-2-benzofuranone</t>
  </si>
  <si>
    <t>4,4,7a-trimethyl-6,7-dihydro-5H-1-benzofuran-2-one</t>
  </si>
  <si>
    <t>['4,4,7a-Trimethyl-5,6,7,7a-tetrahydrobenzofuran-2(4H)-one', '17092-92-1', '15356-74-8', 'DIHYDROACTINIDIOLIDE', 'Dihydroactinolide', '2(4H)-Benzofuranone, 5,6,7,7a-tetrahydro-4,4,7a-trimethyl-', '(2,6,6-Trimethyl-2-hydroxycyclohexylidene)acetic acid lactone', '5,6,7,7a-Tetrahydro-4,4,7a-trimethyl-2(4H)-benzofuranone', '(+/-)-dihydroactinidiolide', '5,6,7,7a-Tetrahydro-4,4,7a-trimethylbenzofuran-2(4H)-one', 'AK-62444', '( inverted exclamation markA)dihydro actinidiolide', 'dihydroactinidolide', '4,4,7a-Trimethyl-5,6,7,7a-tetrahydro-4H-Benzofuran-2-one', '4,5,7,7a-Tetrahydro-4,4,7a-trimethyl-2(6H)benzofuranone', '4,4,7a-trimethyl-2,4,5,6,7,7a-hexahydro-1-benzofuran-2-one', 'Dihydroactindiolide', 'EINECS 239-390-4', '4,4,7a-trimethyl-6,7-dihydro-5H-1-benzofuran-2-one', 'R-(-)Dihydro actinidiolide', 'KSC914Q9N', 'SCHEMBL3503557', 'CHEMBL2271411', 'CTK8B4896', 'KS-00000EZU', 'DTXSID00864588', '2-Hydroxy-2,6,6-trimethylcyclohexylideneacetic acid gamma-lactone', 'ANW-46618', 'NSC357087', 'AKOS015902000', 'CS-W022041', 'FCH1121135', 'FS-3501', 'NSC-357087', 'M304', 'FT-0624949', 'NS00051943', 'M-8127', '092D921', 'Q27274663', '2(4H)-Benzofuranone,6,7,7a-tetrahydro-4,4,7a-trimethyl-', '2-Hydroxy-2,6,6-trimethylcyclohexylidene-1-acetic acid lactone', '2(4H)-Benzofuranone,6,7,7a-tetrahydro-4,4,7a-trimethyl-, (R)-', '2(4H)-Benzofuranone,6,7,7a-tetrahydro-4,4,7a-trimethyl-, (S)-', '4,4,7a-Trimethyl-5,6,7,7a-tetrahydro-1-benzofuran-2(4H)-one #', '4,4,7a-Trimethyl-5,6,7,7a-tetrahydrobenzo[b]furan-2(4H)-one', '5,6,7,7alpha-Tetrahydro-4,4,7alpha-trimethyl-2-(4H)-benzofuranone', '5,6,7,7a-tetrahydro-4,4,7a-trimethylbenzofuran-2(4H)-one;2-hydroxy-2,6,6-trimethylcyclohexylideneacetic acid gamma-lactone;2(4H)-Benzofuranone, 5,6,7,7a-tetrahydro-4,4,7a-trimethyl-;dihydroactinidiolide']</t>
  </si>
  <si>
    <t>Compound(27209)</t>
  </si>
  <si>
    <t>5-methyl-1H-benzotriazole</t>
  </si>
  <si>
    <t>5-methyl-2H-benzotriazole</t>
  </si>
  <si>
    <t>['5-Methyl-1H-benzotriazole', '136-85-6', '5-Methylbenzotriazole', 'Tolutriazole', '5-Tolyltriazole', '5-Methyl-1H-benzo[d][1,2,3]triazole', '1H-BENZOTRIAZOLE, 5-METHYL-', '6-Methylbenzotriazole', '5-Methyl-1,2,3-benzotriazole', '6-Methyl-1,2,3-benzotriazole', '5-methyl-2H-benzotriazole', '1H-Benzotriazole, 6-methyl-', 'CCRIS 6780', 'NSC 122012', 'UNII-O9DI72TU6U', '6-Methyl-1H-benzotriazole', 'EINECS 205-265-8', 'MFCD00005702', 'BRN 0116658', 'O9DI72TU6U', 'CHEBI:83455', '5-Methyl-1H-benzotriazole, 98%', 'AK-58651', '5-methyl-1h-benzotriazol', 'W-109487', 't56 bmnnj g1', 'NSC122012', 'FR-0211', 'Retrocure G (Salt/Mix)', '4/5-Methyl-Benzotriazole', 'ACMC-1C3OJ', 'Vulkalent TM (Salt/Mix)', 'DSSTox_CID_18743', 'DSSTox_GSID_38743', '5-Methyl-1,3-benzotriazole', '6-Methyl-1,3-benzotriazole', '4- and 5-methylbenzotriazole', '4-26-00-00144 (Beilstein Handbook Reference)', 'KSC494O0J', 'SCHEMBL103309', 'WLN: T56 BMNNJ G1', 'CHEMBL2148100', 'DTXSID1038743', 'CTK3J4704', 'ZINC406978', '6-methyl-1H-1,2,3-benzotriazole', '4&amp;5-Methyl-Benzotriazole_167_ p', '5-Methyl-1H-benzotriazole, Pract.', 'Tox21_303925', 'ANW-20189', 'SBB007732', '5-Methyl-1H-benzo-1,2,3-triazole', 'AKOS003234056', 'AKOS005061650', '5-Methyl-1H-1,2,3-benzotriazole #', 'CHM0027363', 'FCH1191636', 'MCULE-5513675173', 'NSC-122012', 'NCGC00356952-01', 'AC-16224', 'AS-12986', 'CAS-136-85-6', 'CC-21982', 'LS-41553', 'SC-79939', 'SY036766', 'AX8018171', 'BB 0243855', 'FT-0620587', 'M0249', 'ST50828254', '5-Methyl-1H-benzotriazole, analytical standard', 'C-30371', 'Q17493530', 'UNII-5G7U316H8L component LRUDIIUSNGCQKF-UHFFFAOYSA-N']</t>
  </si>
  <si>
    <t>Compound(8705)</t>
  </si>
  <si>
    <t>5-methyl-2-hexanone</t>
  </si>
  <si>
    <t>5-methylhexan-2-one</t>
  </si>
  <si>
    <t>['5-METHYL-2-HEXANONE', '5-Methylhexan-2-one', '110-12-3', '2-Hexanone, 5-methyl-', 'Isoamyl methyl ketone', 'Isopentyl methyl ketone', 'Methyl isoamyl ketone', 'MIAK', '2-Methyl-5-hexanone', 'Ketone, methyl isoamyl', 'Methyl isopentyl ketone', 'UNII-6O4A4A5F28', '(CH3)2CHCH2CH2COCH3', 'HSDB 2885', 'EINECS 203-737-8', 'UN2302', 'BRN 0506163', '5-Methyl-2-hexanone, 99%', 'CHEBI:88432', '6O4A4A5F28', 'MFCD00008950', 'DSSTox_CID_1914', 'DSSTox_RID_76398', 'DSSTox_GSID_21914', '5-Methylhexan-2-one [UN2302] [Flammable liquid]', 'Isobutylacetone', 'CAS-110-12-3', '5-Methyl-hexan-2-one', 'methylisoamyl ketone', '2-hexanone-5-methyl', 'methyl iso-amyl ketone', 'ACMC-1BSL1', 'EC 203-737-8', '3-Methylbutyl methyl ketone', 'SCHEMBL35996', '4-01-00-03329 (Beilstein Handbook Reference)', 'KSC178I1T', 'CHEMBL45354', 'DTXSID5021914', 'CTK0H8419', 'KS-00000UN5', 'Methyl Isoamyl Ketone Reagent Grade', 'ZINC2041073', 'Tox21_201346', 'Tox21_302906', '7789AF', 'ANW-16128', 'LMFA12000037', 'AKOS000119819', 'UN 2302', 'NCGC00249030-01', 'NCGC00256572-01', 'NCGC00258898-01', 'LS-75482', 'DB-040899', '5-methylhexan-2-one;2-Hexanone, 5-methyl-', 'FT-0620609', 'I0087', 'NS00010079', 'J-517759', 'Q2152381', '5-Methylhexan-2-one [UN2302]  [Flammable liquid]']</t>
  </si>
  <si>
    <t>Compound(8034)</t>
  </si>
  <si>
    <t>5-methylchrysene</t>
  </si>
  <si>
    <t>['5-METHYLCHRYSENE', '3697-24-3', 'Chrysene, 5-methyl-', '5-Methyl Chrysene', 'CCRIS 387', 'NSC 407620', 'UNII-O66195MC8L', 'HSDB 6979', 'BRN 2048519', 'CHEBI:82342', 'O66195MC8L', '5-Methylchrysene [Polycyclic aromatic compounds]', '5-Methylchrysene [Polycyclic aromatic hydrocarbons]', '5-Methylchrysene #', 'CHEMBL1797269', 'DTXSID6063143', 'CTK1C3190', 'WLN: L E6 B666J C1', 'ZINC1599943', 'NSC407620', 'AKOS025243240', 'NSC-407620', 'CC-22039', 'LS-53618', 'DB-049046', 'FT-0634977', '5-Methylchrysene 10 microg/mL in Cyclohexane', '5-Methylchrysene 10 microg/mL in Acetonitrile', 'C19259', 'C-28672', '5-Methylchrysene, BCR(R) certified Reference Material', 'Q27155887']</t>
  </si>
  <si>
    <t>Compound(19427)</t>
  </si>
  <si>
    <t>C19H14</t>
  </si>
  <si>
    <t>5-methyl-1,2,3,4-tetrahydronaphthalene</t>
  </si>
  <si>
    <t>['5-METHYLTETRALINE', '2809-64-5', '5-Methyl-1,2,3,4-tetrahydronaphthalene', '5-METHYLTETRALIN', 'Naphthalene, 1,2,3,4-tetrahydro-5-methyl-', 'UNII-888WK5BNU1', '1,2,3,4-Tetrahydro-5-methyl-naphthalene', '888WK5BNU1', 'DTXSID50182365', 'FCH840460', 'ZINC95891302', 'AKOS006273345', 'ACM2809645', '1-Methyl-5,6,7,8-tetrahydronaphthalene', 'AS-56833', 'CC-22069', 'FT-0705885', 'C-28831', 'Q27269900']</t>
  </si>
  <si>
    <t>Compound(17768)</t>
  </si>
  <si>
    <t>C11H14</t>
  </si>
  <si>
    <t>2-methoxy-5-methylaniline</t>
  </si>
  <si>
    <t>['2-Methoxy-5-methylaniline', '120-71-8', 'P-CRESIDINE', 'Cresidine', 'Benzenamine, 2-methoxy-5-methyl-', '5-Methyl-o-anisidine', 'para-Cresidine', 'Krezidin', '2-Amino-4-methylanisole', '3-Amino-4-methoxytoluene', '4-Methoxy-m-toluidine', '6-Methoxy-m-toluidine', 'Krezidine', '2-Methoxy-5-methylbenzenamine', '4-Methyl-2-aminoanisole', '1-Amino-2-methoxy-5-methylbenzene', '3-Amino-p-cresol methyl ether', 'Azoic Red 36', 'p-Kresidin', 'o-Anisidine, 5-methyl-', 'C.I. Azoic Red 83', 'NCI-C02982', 'p-Kresidin [Czech]', 'm-Amino-p-cresol, methyl ester', 'ortho-Anisidine, 5-methyl-', 'CCRIS 183', 'NSC 406904', 'UNII-4C11L78UR3', 'HSDB 4107', '3-Amino-para-cresol, methyl ether', 'EINECS 204-419-1', 'meta-Amino-para-cresol, methyl ether', 'BRN 0637071', '2-Amino-p-cresol methyl ether', 'CHEBI:82307', 'NSC6162', '4C11L78UR3', 'DSSTox_CID_350', 'DSSTox_RID_75531', 'DSSTox_GSID_20350', 'WLN: ZR C1 FO1', '2-methoxy-5-methylphenylamine', '2-Methoxy-5-methylaniline, 95%', 'CAS-120-71-8', '2-methoxy-5-methyl-aniline', 'para cresidine', '2-amino -4-methylanisole', '5-methyl-2-methoxyaniline', 'EC 204-419-1', 'SCHEMBL55544', '3-13-00-01577 (Beilstein Handbook Reference)', 'KSC909I2N', 'MLS002152926', 'BIDD:GT0303', 'ACMC-209a82', '2-methoxy-5-methyl-benzenamine', 'CHEMBL398755', 'm-amino-p-cresol, methyl ether', 'DTXSID1020350', 'CTK8A9426', '2-Methoxy-5-methylaniline, 99%', 'ZINC157578', '1-amino-3-methyl-6-methoxybenzene', 'KS-000001RB', 'NSC-6162', 'Tox21_201907', 'Tox21_300012', 'ANW-17520', 'LS-635', 'NSC406904', 'SBB040483', 'STL196541', 'AKOS000119398', 'MCULE-6829394548', 'MP-2192', 'NSC-406904', 'NCGC00090863-01', 'NCGC00090863-02', 'NCGC00090863-03', 'NCGC00254113-01', 'NCGC00259456-01', 'AC-23656', 'AS-30235', 'BR-47480', 'P453', 'SC-46351', 'SMR001224526', 'DB-041574', 'AM20050311', 'FT-0612802', 'M0115', 'NS00011442', 'ST50213804', '2-Methoxy-5-methylaniline, analytical standard', '20M718', 'C19216', 'para-CRESIDINE (2-METHOXY-5-METHYLANILINE)', 'Q309528', 'J-509828', 'para-CRESIDINE (2-METHOX Y-5-METHYLANILINE)', 'F2190-0481', 'Z1250132265', 'TRANSGENIC LEP (P-CRESIDINE) (SEE ALSO P-CRESIDINE)', 'P-CRESIDINE (SEE ALSO: M-CRESIDINE (CAS 102-50-1))', '6-methoxy-m-toluidine (p-cresidine);6-methoxy-m-toluidine;6-methoxy-m-toluidine', 'ZZT']</t>
  </si>
  <si>
    <t>Compound(8445)</t>
  </si>
  <si>
    <t>5-ethylidene-2-norbornene</t>
  </si>
  <si>
    <t>5-ethylidenebicyclo[2.2.1]hept-2-ene</t>
  </si>
  <si>
    <t>['16219-75-3', '5-ETHYLIDENE-2-NORBORNENE', 'ethylidene-norbornene', '5-Ethylidenebicyclo[2.2.1]hept-2-ene', 'DSSTox_CID_5306', 'DSSTox_RID_77740', 'DSSTox_GSID_25306', 'Ethylidene-2-norbornene', 'CAS-16219-75-3', 'ENB', 'ACMC-209dny', '5-ethylidene 2-norbornene', 'KSC531C3N', 'CHEMBL3188004', 'DTXSID1025306', 'CTK4D1136', 'KS-00000ZGB', '5-ETHYLIDINE-2-NORBORNENE', 'Tox21_201637', 'Tox21_303067', 'ANW-21980', 'AKOS028109999', 'NCGC00257062-01', 'NCGC00259186-01', '5-ethylidenebicy-clo[2.2.1]hept-2-ene', 'Bicyclo[2.2.1]hept-2-ene,5-ethylidene-', 'FT-0690475', '186929-EP2270113A1', '186929-EP2272935A1', '5-ETHYLIDINE-2-NORBORNENE;2-Norbornene, 5-ethylidene-;5-Ethylidene-2-norbornene']</t>
  </si>
  <si>
    <t>Compound(27756)</t>
  </si>
  <si>
    <t>5-chloro-2-methyl-2H-isothiazol-3-one</t>
  </si>
  <si>
    <t>5-chloro-2-methyl-1,2-thiazol-3-one</t>
  </si>
  <si>
    <t>['5-Chloro-2-methyl-4-isothiazolin-3-one', '26172-55-4', 'Methylchloroisothiazolinone', 'CMIT', '5-Chloro-2-methyl-3(2H)-isothiazolone', '3(2H)-Isothiazolone, 5-chloro-2-methyl-', 'Kathon CG 5243', '5-chloro-2-methylisothiazol-3(2h)-one', '5-Chloro-2-methyl-2H-isothiazol-3-one', '5-chloro-2-methylisothiazolin-3-one', '5-chloro-N-methylisothiazolone', 'C4H4ClNOS', 'UNII-DEL7T5QRPN', 'Chloromethylisothiazolinone', '5-Chloro-2-methyl-3-isothiazolone', '5-Chloro-2-methyl-4-isothiazolin-3-one (CMI)', '5-chloro-2-methyl-1,2-thiazol-3-one', 'DEL7T5QRPN', '5-chloro-n-methylisothiazolin-3-one', 'EINECS 247-500-7', '4-ISOTHIAZOLIN-3-ONE, 5-CHLORO-2-METHYL-', 'BRN 1210149', '5-chloro-2-methyl-4-isothiazoline-3-one', '5-chloro-2-methyl-1,2-thiazol-3(2H)-one', 'CHEBI:53621', '2,3-Dihydro-2-methyl-3-oxo-5-chloroisothiazole', 'NCGC00181041-01', 'Bioace', 'Kathon IXE', 'DSSTox_CID_14286', 'DSSTox_RID_79138', 'DSSTox_GSID_34286', 'W-107193', 'CAS-26172-55-4', 'A 33 (bactericide)', 'HS 818 (antiseptic)', 'HS 818', 'methylchloro-isothiazolinone', 'n-methyl-5-chloroisothiazolone', '5243-K-Cg', 'N-Methyl-5-chloroisothiazolin-3-one', '5-chloro-2-methyl-2h-isothiazolin-3-one', '5-chloro-2-methyl-3(2H)-isothiazolinone', 'T 360', 'SCHEMBL20686', 'SCHEMBL111860', 'CHEMBL1738962', 'DTXSID9034286', 'CTK1A1887', 'HSDB 8270', 'EBD15202', 'KS-000025XC', 'ZINC2002061', 'Tox21_112689', 'Tox21_300199', 'ANW-44440', 'FCH917348', 'AKOS006230760', 'CS-W022348', 'DB14197', 'GS-3223', 'NCGC00181041-02', 'NCGC00254127-01', '55965-84-9 CMIT, MIT', 'AK-34411', 'AM806586', 'LS-86318', 'SC-16430', '2682-20-4 MIT', '5-Chloro-2-methyl-isothiazol-3(2H)-one', 'AB0011549', 'AX8019787', 'DB-007017', 'FT-0620267', 'X5928', 'CMI (5-Chloro-2-methyl-4-isothiazolin-3-on)', 'Q-9256', 'C-36253', 'Q204121', 'SR-01000944864', '5-chloro-2-methyl-2,3-dihydro-1,2-thiazol-3-one', 'SR-01000944864-1', 'UNII-15O9QS218W component DHNRXBZYEKSXIM-UHFFFAOYSA-N', '5-Chloro-2-methyl-4-isothiazolin-3-one (&gt;14% solution in water)', 'N-Methyl-5-chloroisothiazolone (5-Chloro-2-methyl-4-isothiazolin-3-one)', '5-Chloro-2-methyl-3(2H)-isothiazolone; 5-Chloro-2-methyl-Isothiazolone; Kathon WT; MCI/MI', '5-Chloro-2-methyl-4-isothiazolin-3-one, tech grade, &gt;14% in water. CMI/MI &gt;2.0', '5-CHLORO-2-METHYL-4-ISOTHIAZOLIN-3-ONE (ACTIVE INGREDIENT &gt;14%, CMI/MI 2.5 - 4.0)']</t>
  </si>
  <si>
    <t>Compound(33344)</t>
  </si>
  <si>
    <t>C4H4ClNOS</t>
  </si>
  <si>
    <t>5-chloro-2-methylaniline</t>
  </si>
  <si>
    <t>['5-Chloro-2-methylaniline', '95-79-4', '5-CHLORO-O-TOLUIDINE', 'Benzenamine, 5-chloro-2-methyl-', '2-Amino-4-chlorotoluene', '2-Methyl-5-chloroaniline', 'Fast Red KB base', 'Ansibase Red KB', 'Red KB base', '4-Chloro-2-aminotoluene', '3-Chloro-6-methylaniline', 'Pharmazoid Red KB', 'Lake Red BK base', 'Spectrolene Red KB', '5-Chloro-2-methylbenzenamine', 'Fast Red KB amine', 'Fast Red KB Salt', 'o-Toluidine, 5-chloro-', 'Stable Red KB base', 'Fast Red KBS Salt', 'Genazo Red KB Soln', '5-Chloro-2-toluidine', 'Acco Fast Red KB Base', 'Fast Red KB Salt Supra', 'Azoene Fast Red KB Base', 'Azoic Diazo Component 32', 'Hiltonil Fast Red KB Base', 'Fast Red KB-T Base', 'Metrogen Red Former KB soln', 'Naphthosol Fast Red KB base', '5-Chloro-ortho-toluidine', 'C.I. Azoic Diazo Component 32', 'Lake Red KB Base', '5-chloro-2-methyl aniline', '5-Chloroaminotoluene', '1-Amino-3-chloro-6-methylbenzene', 'NCI-C02051', 'Caswell No. 216I', 'Ccris 151', 'UNII-LW5K546DTR', '5-chloro-2-methyl-aniline', 'NSC 7094', 'HSDB 2062', 'EINECS 202-452-6', 'BRN 0878504', 'LW5K546DTR', 'Azoic diazo component 32, base', 'CHEBI:82422', 'MFCD00007779', '5-chloro-2-methylphenylamine', '5-Chloro-2-methylaniline (2-Amino-4-chlorotoluene)', '5-Chloro-2-methylaniline, 98%', '5-chlor-o-toluidin', 'PubChem14280', '5-Chloro-orto-Toluidine', 'DSSTox_CID_287', 'EC 202-452-6', 'WLN: ZR CG F1', 'DSSTox_RID_75489', '5-chloro-2-methyl-benzamine', 'DSSTox_GSID_20287', 'SCHEMBL91986', 'metrogen red former kb so ln', '4-12-00-01794 (Beilstein Handbook Reference)', 'KSC490G3B', '5-Chloro-2-methylbenzeneamine', '5-chloro-2- methyl-benzamine', '5-Chloro-2-methyl-phenylamine', 'ACMC-209s59', 'CHEMBL553181', 'DTXSID5020287', 'CTK3J0330', 'NSC7094', 'ZINC157612', 'NSC-7094', 'Tox21_200075', 'ANW-40747', 'CC0114', 'SBB028133', 'STL194281', 'AKOS000120079', 'C.I. Azoic Diazo Component No. 32', 'CCG-302524', 'LS-1989', 'MCULE-6343499796', 'C.I. Azoic Diazo Compon ent No. 32', 'CAS-95-79-4', 'KS-000011O6', 'NCGC00091165-01', 'NCGC00091165-02', 'NCGC00257629-01', 'AS-15923', 'BR-36981', 'R357', 'SC-65174', 'DB-024299', 'C.I. 37090', 'C1876', 'FT-0620329', 'NS00008686', 'ST45255323', '5-Chloro-2-methylaniline;5-chloro-o-toluidine', 'B-1244', 'C19366', 'W-100158', 'Q27155930', 'F2190-0473', 'Z1245633202', '144204-02-4']</t>
  </si>
  <si>
    <t>Compound(7260)</t>
  </si>
  <si>
    <t>5-chloro-2-nitroaniline</t>
  </si>
  <si>
    <t>['5-Chloro-2-nitroaniline', '1635-61-6', 'Benzenamine, 5-chloro-2-nitro-', '2-Nitro-5-chloroaniline', '3-Chloro-6-nitroaniline', '5-Chloro-2-nitrobenzeneamine', '5-chloro-2-nitrobenzenamine', 'Aniline, 5-chloro-2-nitro-', '2-Amino-4-chloro-nitrobenzene', 'UNII-656XJM4CON', 'CCRIS 8934', 'EINECS 216-661-5', 'NSC 400866', '5-chloro-2-nitrophenylamine', '656XJM4CON', '5-Chloro-2-nitroaniline, 97%', '5-CHLORO-2-NITRO-PHENYLAMINE', '5-chloro-2-nitro-aniline', 'NSC400866', 'PubChem4369', '5-chloro-2nitroaniline', 'ACMC-1BNNE', '3-chloro-6-nitro-aniline', '5-chloro-2-nitro aniline', '2-amino4-chloronitrobenzene', 'KSC174Q8R', 'SCHEMBL112538', '3-amino-4-nitro-chlorobenzene', '4-chloro-2-amino-nitrobenzene', 'amino-4-chloro-1-nitrobenzene', 'CTK0H4888', 'TIMTEC-BB SBB003828', '2-amino-4-chloro-1-nitrobenzene', 'DTXSID20167604', '5-CHLORO,2-NITRO-ANILINE', 'ATTERCOP-CHM AT114567', 'ACT07515', 'EBD16917', 'STR03184', 'ZINC3852415', 'ANW-22053', 'BBL023086', 'MFCD00007776', 'SBB003828', 'STL183336', 'AKOS000120351', 'AKOS025395588', 'Aniline, 5-chloro-2-nitro- (8CI)', 'AC-2574', 'AM61791', 'AS04124', 'CCG-302569', 'CM11382', 'CS-W009030', 'MCULE-2629743886', 'NSC-400866', 'PS-4582', 'KS-000009Q5', 'Benzenamine, 5-chloro-2-nitro- (9CI)', 'AK-26977', 'BR-26977', 'SC-01514', 'AB0011131', 'DB-029124', 'LS-165037', 'FT-0612061', 'NS00025339', 'ST50405336', 'M-2764', 'AE-562/40245919', 'W-107952', 'Q27263839', '5-Chloro-2-nitroaniline, technical, &gt;=98.0% (HPLC)', 'F2190-0502', 'Z1245635730']</t>
  </si>
  <si>
    <t>Compound(74218)</t>
  </si>
  <si>
    <t>5-chloro-2-nitrotoluene</t>
  </si>
  <si>
    <t>4-chloro-2-methyl-1-nitrobenzene</t>
  </si>
  <si>
    <t>['5-Chloro-2-nitrotoluene', '5367-28-2', '4-chloro-2-methyl-1-nitrobenzene', '3-Chloro-6-nitrotoluene', 'Toluene, 5-chloro-2-nitro-', 'Benzene, 4-chloro-2-methyl-1-nitro-', 'BRN 2502585', '2-Nitro-5-chlorotoluene', 'Benzene, 1-chloro-3-methyl-4-nitro- (9CI)', 'EINECS 226-355-3', '5-chloro-2-nitro-toluene', '4-chloro-2-methyl-1-nitro-benzene', '5-Chlor-2-nitrotoluol', 'ACMC-1AM5R', 'KSC494A7D', 'SCHEMBL359844', '4-chloro-2-methyl-1-nitro-', '5-Chloro-2-nitrotoluene, 98%', 'CTK3J4071', 'KS-00000ENX', '5-chloro-2-nitro-toluen;Benzene', 'DTXSID80201912', '1-chloro-3-methyl-4-nitro-benzen', 'ACT01115', 'ZINC2571402', 'ANW-31826', 'MFCD00024579', 'SBB064889', 'AKOS009127740', 'AS06939', 'Benzene, 1-chloro-3-methyl-4-nitro-', 'CS-W002149', 'VZ30232', 'AK-44998', 'AS-17278', 'BR-44998', 'SC-44652', 'SY006512', 'U231', 'AB0019158', 'DB-024119', 'LS-154036', 'FT-0635647', 'NS00001165', 'ST50406129', '5-Chlor-2-nitrotoluol;3-chloro-6-nitrotoluene', 'M-2786', 'W-105715']</t>
  </si>
  <si>
    <t>Compound(79329)</t>
  </si>
  <si>
    <t>5H-dibenz [b , f ] azepine</t>
  </si>
  <si>
    <t>11H-benzo[b][1]benzazepine</t>
  </si>
  <si>
    <t>['Iminostilbene', '256-96-2', '5H-Dibenzo[b,f]azepine', '5H-Dibenz[b,f]azepine', "2,2'-Iminostilbene", 'Dibenz(b,f)azepine', '2,3,6,7-Dibenzazepine', '5H-Dibenz(b,f)azepine', 'Dibenz[b,f]azepine', '11H-benzo[b][1]benzazepine', '5H-Dibenzo(b,f)azepine', "Stilbene, 2,2'-imino-", 'UNII-J411KQJ8C2', "o,o'-Iminostilbene", 'NSC 123458', '5-AZADIBENZO(A,E)CYCLOHEPTATRIENE', '5H-Dibenz[b,f]azepin', 'EINECS 205-970-0', 'MFCD00005071', '(Z)-5H-Dibenzo[b,f]azepine', 'MLS000737549', 'J411KQJ8C2', 'CHEBI:47802', '5-Azadibenzo[a,e]cycloheptatriene', 'dibenzo[b,f]azepine', 'Iminostilbene, 97%', 'AK161832', '5H-dibenzo[b,f]azepine;Oxcarbazepine EP IMpurity E;', 'W-107225', '5H-dibenzazepine', "Stilbene,2'-imino-", '2,6,7-Dibenzazepine', 'Carbamazepine Related Co', 'EC 205-970-0', 'Oprea1_371695', 'SCHEMBL75288', 'CHEMBL243596', 'DIB008', '5H-Dibenz[b,f]azepine, 97%', 'SCHEMBL10434951', 'CTK1A1976', 'DTXSID90871625', 'HMS1664F10', 'HMS2769I10', 'HY-N7064', 'STR04241', 'ZINC1036792', 'ZX-AT007244', 'ACM256962', 'GK8864', 'NSC123458', 's4973', 'SBB057544', 'AKOS015894918', 'AM84843', 'CCG-266525', 'CS-W015765', 'MCULE-2671009616', 'NSC-123458', '5H-Dibenzo[b,f]azepine (Iminostilbene)', 'NCGC00246953-01', 'AC-11074', 'SC-18745', 'SMR000065475', 'DB-046759', 'LS-185848', 'FT-0627190', 'FT-0670315', 'I0414', 'NS00000328', 'ST50308476', '56I962', 'Q61388', '5H-Dibenz[b,f]azepine, purum, &gt;=97.0% (NT)', '2-azatricyclo[9.4.0.0^{3,8}]pentadeca-1(11),3(8),4,6,9,12,14-heptaene', 'Carbamazepine Related Compound B, United States Pharmacopeia (USP) Reference Standard', 'Iminostilbene(Carbamazepine Related Compound B), Pharmaceutical Secondary Standard; Certified Reference Material']</t>
  </si>
  <si>
    <t>Compound(9212)</t>
  </si>
  <si>
    <t>C14H11N</t>
  </si>
  <si>
    <t>2-(1,3-thiazol-4-yl)-3H-benzimidazol-5-ol</t>
  </si>
  <si>
    <t>['948-71-0', '5-Hydroxythiabendazole', '2-(4-Thiazolyl)-5-benzimidazolol', 'THIABENDAZOLE-5-HYDROXY', '5-Hydroxy-thiabendazole', '1H-Benzimidazol-5-ol, 2-(4-thiazolyl)-', '5-Hydroxytiabendazole', '2-(Thiazol-4-yl)-1H-benzo[d]imidazol-6-ol', '2-(1,3-thiazol-4-yl)-1H-1,3-benzodiazol-5-ol', '2-thiazol-4-yl-3H-benzoimidazol-5-ol', '2-(1,3-Thiazol-4-yl)-1H-benzimidazol-5-ol', '5-Benzimidazolol, 2-(4-thiazolyl)-', '5-Hydroxy-thiabendazol', '2-(4-Thiazolyl)-1H-benzimidazol-5-ol', '5-Hydroxy-2-(4-thiazolyl)benzimidazole', '5-Hydroxythiabenda- zole', '2-(thiazol-4-yl)-1H-benzo[d]imidazol-5-ol', '2-(1,3-thiazol-4-yl)-3H-benzimidazol-5-ol', 'SCHEMBL3398838', 'CTK8E3405', 'DTXSID90241627', 'KS-000018WT', 'ZINC2521490', 'AKOS015902875', 'AKOS027288714', 'SC-48945', '5(Or 6)-benzimidazolol, 2-(4-thiazolyl)-', '5-Hydroxy-thiabendazol;5-hydroxythiabendazole', 'FT-0670166', 'NS00006865', '2-(1,3-Thiazol-4-yl)-1H-benzimidazol-5-ol #', 'Thiabendazole-5-hydroxy 10 microg/mL in Methanol', 'Z2574360336', '5-Hydroxythiabendazole, PESTANAL(R), analytical standard']</t>
  </si>
  <si>
    <t>Compound(108227)</t>
  </si>
  <si>
    <t>C10H7N3OS</t>
  </si>
  <si>
    <t>2-methoxy-5-nitroaniline</t>
  </si>
  <si>
    <t>['2-Methoxy-5-nitroaniline', '99-59-2', '2-Amino-4-nitroanisole', '5-NITRO-O-ANISIDINE', 'Azoamine Scarlet K', 'Fast Scarlet R', '2-Methoxy-5-nitrobenzenamine', '2-Amino-1-methoxy-4-nitrobenzene', 'Azoamine Scarlet', '5-Nitro-2-methoxyaniline', 'o-Anisidine nitrate', 'Benzenamine, 2-methoxy-5-nitro-', 'o-Anisidine, 5-nitro-', 'Azogene ecarlate R', '3-Amino-4-methoxynitrobenzene', '3-Nitro-6-methoxyaniline', 'NCI-C01934', 'Aniline, 2-methoxy-5-nitro-', '5-Nitro-ortho-anisidine', 'Azoic Diazo Component 13, Base', 'C.I. Azoic Diazo Component 13', 'UNII-THY70UTM0O', 'NSC 5510', 'CCRIS 440', 'CI Azoic diazo component 13', 'Fast Scarlet R base', 'HSDB 4104', '4-Nitro-2-aminoanisole', 'C.I. 37130', 'EINECS 202-770-5', 'THY70UTM0O', 'BRN 0879620', '4-NITRO-2-ANISIDINE', 'AI3-08934', '(2-methoxy-5-nitrophenyl)amine', 'CHEBI:48977', '2-AMINO-4-NITRO ANISOLE', '2-METHOXY-5-NITRO-PHENYLAMINE', 'DSSTox_CID_943', 'DSSTox_RID_75880', 'DSSTox_GSID_20943', '2-methoxy-5-nitrophenylamine', 'CAS-99-59-2', '2-Methoxy-5-nitroanilinium chloride', '1-Amino-2-methoxy-5-nitrobenzene', '1-Methoxy-2-amino-4-nitrobenzene', '2-amino-4-nitroanisol', 'PubChem11610', 'SCARLET R SALT', 'ACMC-209sdc', '2Methoxy-5-nitroaniline', '4-Nitro-2-amino-anisole', '2-methoxyl-5-nitroaniline', 'WLN: WNR CZ DO1', '2-methoxy-5-nitro aniline', '5-nitr o-2-methoxyaniline', 'EC 202-770-5', 'FAST SCARLET SALT R', '2-Methoxy 5-nitro aniline', 'SCHEMBL269845', '2-(methyloxy)-5-nitroaniline', '2-methoxy-5-nitro phenylamine', 'ARONIS008417', 'CHEMBL319398', 'DTXSID0020943', 'CTK7A6456', 'NSC5510', '2-Methoxy-5-nitroaniline, 98%', 'ATTERCOP-CHM AT114447', 'C.I. azoic diazo component  13', '2-amino-4-nitro-1-methoxybenzene', 'LABOTEST-BB LTBB002541', 'ZINC162403', 'NSC-5510', 'Tox21_201636', 'Tox21_300122', 'ANW-41038', 'LABOTEST-BB LT03331215', 'LABOTEST-BB LT03382132', 'MFCD00007261', 'SBB058786', 'STK399982', 'AKOS000498225', 'AS04309', 'CM11600', 'LS-2067', 'MCULE-4233185263', 'NE10479', 'KS-0000409H', 'NCGC00091266-01', 'NCGC00091266-02', 'NCGC00091266-03', 'NCGC00091266-04', 'NCGC00254158-01', 'NCGC00259185-01', 'AS-58184', 'CI 37130', 'CS-0015286', 'FT-0612807', 'M0492', 'NS00003314', 'ST45045163', '2-Methoxy-5-nitroaniline;5-nitro-o-anisidine', 'C19469', 'AN-652/40187552', 'W-109372', 'Q27121416', '5-NITRO-ortho-ANISIDINE (1-METHOXY-5-NITROANILINE', 'F0020-2000']</t>
  </si>
  <si>
    <t>Compound(7447)</t>
  </si>
  <si>
    <t>2-methyl-5-nitroaniline</t>
  </si>
  <si>
    <t>['2-Methyl-5-nitroaniline', '99-55-8', '2-Amino-4-nitrotoluene', '5-NITRO-O-TOLUIDINE', 'Fast Scarlet G', 'PNOT', 'Scarlet G Base', '2-Methyl-5-nitrobenzenamine', 'Benzenamine, 2-methyl-5-nitro-', '4-Nitro-2-aminotoluene', 'Devol Scarlet B', 'Diabase Scarlet G', 'Scarlet Base NSP', 'Fast Red SG Base', 'Fast scarlet base G', '3-Nitro-6-methylaniline', '6-Methyl-3-nitroaniline', 'Fast Scarlet Base J', 'Fast Scarlet G Base', 'Fast Scarlet J Salt', 'Fast Scarlet T Base', 'Lake Scarlet G Base', '5-Nitro-2-toluidine', 'Daito Scarlet Base G', 'Devol Scarlet G Salt', 'Diazo Fast Scarlet G', 'Azofix Scarlet G salt', 'Fast Scarlet GC Base', 'Scarlet Base Ciba II', 'Scarlet Base Irga II', 'Kayaku Scarlet G Base', 'Mitsui Scarlet G Base', 'Azogene Fast Scarlet G', 'Lithosol Orange R Base', 'Symulon Scarlet G Base', '1-Amino-2-methyl-5-nitrobenzene', 'o-Toluidine, 5-nitro-', 'Hiltonil Fast Scarlet G Base', 'Naphthanil Scarlet G Base', 'Fast Scarlet G Salt', 'Sugai Fast Scarlet G Base', 'Azoene Fast Scarlet GC Base', 'Azoene Fast Scarlet GC salt', 'Amarthol Fast Scarlet G salt', 'Amarthol Fast Scarlet G Base', 'Dainichi Fast Scarlet G Base', 'Hiltonil Fast Scarlet G Salt', '5-Nitro-2-methylaniline', '2-Methyl-5-nitro-benzeneamine', 'Hiltonil Fast Scarlet GC Base', 'Naphtoelan Fast Scarlet G Base', 'Naphtoelan Fast Scarlet G Salt', 'C.I. Azoic Diazo Component 12', 'Fast Scarlet M4NT Base', 'Rcra waste number U181', 'NCI-C01843', 'C.I. 37105', '5-Nitro-ortho-toluidine', 'Azoic Diazo Component 12', 'UNII-433MYH2DWM', 'Amino-nitro-toluene', 'CCRIS 483', 'CI Azoic Diazo Component 12', 'o-amino-p-nitrotoluene', 'HSDB 4144', 'fast scarlet mN4t base', 'NSC 8947', 'EINECS 202-765-8', 'RCRA waste no. U181', '2-methyl-5-nitrophenylamine', 'BRN 0879021', '433MYH2DWM', 'CI 37105', 'AI3-01557', 'Azoic diazo component 12, base', 'CHEBI:66891', 'C.I. Azoic Diazo Component No. 12', 'DSSTox_CID_959', 'DSSTox_RID_75887', 'DSSTox_GSID_20959', '2-methyl-5-nitro aniline', 'CAS-99-55-8', 'SMR000343278', 'P-NITRO-P-TOLUIDINE', '2-methyl-5-nitro-benzenamin', 'Conazoic Diazo AB', 'PubChem14022', 'PubChem14491', '3-Nitro-6-methylanilin', '2-methyl,5-nitroaniline', '2-amino-4-nitro toluene', '2-amino-4-nitro-toluene', '2-methyl-5-nitro-aniline', '2-Methyl-5-nitroaniline-', 'ACMC-209sd4', 'Fast Scarlet M 4NT Base', 'EC 202-765-8', 'WLN: ZR B1 ENW', 'SCHEMBL2313', 'Azoene Fast Scarlet G Salt', 'azoene fast scarlet g c salt', '2-methyl-5 -nitrobenzenamine', '4-12-00-01807 (Beilstein Handbook Reference)', 'KSC486M5R', 'MLS000517118', 'MLS002152874', '2-Methyl-5-nitro-phenylamine', 'hiltonil fast scar let g salt', '(2-Methyl-5-nitrophenyl)amine', 'CHEMBL324642', 'C.I.Azoic Diazo Component 12', 'naphtoela n fast scarlet g salt', 'DTXSID4020959', '2-Methyl-5-nitroaniline, 95%', '2-Methyl-5-nitroaniline, 98%', 'CTK3I6658', 'KS-00000JSX', '4-nitro-2-amino-1-methylbenzene', 'NSC8947', '1-Methyl-2-amino-4-nitrobenzene', 'HMS2679N16', 'BCP24941', 'CS-M3392', 'NSC-8947', 'STR03005', 'ZINC1648344', 'Tox21_201945', 'Tox21_300134', 'ANW-41030', 'BBL013017', 'MFCD00007741', 'SBB007597', 'STL163886', 'AKOS000119136', 'AS06937', 'LS-2064', 'MCULE-5108293188', 'SB10516', 'C.I. Azoic Diazo Component No. 1 2', '5-Nitro-o-toluidine, analytical standard', 'NCGC00091592-01', 'NCGC00091592-02', 'NCGC00091592-03', 'NCGC00091592-04', 'NCGC00254217-01', 'NCGC00259494-01', 'AK-44165', 'BR-44165', 'H637', 'SC-26007', 'DB-030868', '2-Methyl-5-nitroaniline, analytical standard', 'AM20060769', 'FT-0620718', 'FT-0620719', 'N0115', 'NS00006304', 'ST45255285', 'C16398', 'M-5883', '150179-EP2281563A1', '150179-EP2289894A2', 'AH-034/32850060', 'Q-100917', '2-Amino-4-nitrotoluene 10 microg/mL in Acetonitrile', 'Q27135494', '5-NITRO-ortho-TOLUIDINE (2-METHYL-5-NITROANILINE)', 'F2190-0478', 'Benzenamine, 2-methyl-5-nitro-, monohydrochloride;5-nitro-o-toluidine sulphate (1:1);2-Methyl-5-nitroaniline;5-nitro-o-toluidine']</t>
  </si>
  <si>
    <t>Compound(7444)</t>
  </si>
  <si>
    <t>(5R,8R,9S,10S,13R,14S,17R)-10,13-dimethyl-17-[(2R)-6-methylheptan-2-yl]-1,2,4,5,6,7,8,9,11,12,14,15,16,17-tetradecahydrocyclopenta[a]phenanthren-3-one</t>
  </si>
  <si>
    <t>['5beta-Cholestan-3-one', 'Coprostanone', '601-53-6', 'Coprostan-3-one', '5beta-cholestanone', 'UNII-H6B6EPA52O', '3-Keto-5beta-cholestane', 'H6B6EPA52O', 'CHEBI:16074', '5-beta-Cholestan-3-one', '5-ss-cholestan-3-one', 'Cholestan-3-one, (5b)-', '5beta Cholestanone', 'EINECS 210-003-0', 'beta-cholestan-3-one', 'NSC 119031', '5B-Cholestan-3-one', '(5b)-Coprostan-3-one', 'CHEMBL69851', 'SCHEMBL3034745', 'ZINC4096020', 'LMST01010205', 'Cholestan-3-one, (5beta)- (9CI)', 'API0002111', 'CC-15408', 'C03091', 'C-25409', 'Q27098364']</t>
  </si>
  <si>
    <t>Compound(92132)</t>
  </si>
  <si>
    <t>C27H46O</t>
  </si>
  <si>
    <t>(8S,9S,10R,13R,14S,17R)-10,13-dimethyl-17-[(2R)-6-methylheptan-2-yl]-2,3,4,7,8,9,11,12,14,15,16,17-dodecahydro-1H-cyclopenta[a]phenanthrene</t>
  </si>
  <si>
    <t>['CHOLEST-5-ENE', '5-Cholestene', '570-74-1', 'UNII-9BBU89X2LQ', '9BBU89X2LQ', 'CHEBI:28810', 'delta5-Cholestene', 'CCRIS 5348', 'EINECS 209-332-2', 'NSC 118131', 'D5-Cholestene', 'C05416', 'CHEMBL68838', 'CTK1G9988', 'DTXSID50862216', 'ZINC8219876', 'LMST01010243', 'Q27103911', '(8S,9S,10R,13R,14S,17R)-10,13-dimethyl-17-((R)-6-methylheptan-2-yl)-2,3,4,7,8,9,10,11,12,13,14,15,16,17-tetradecahydro-1H-cyclopenta[a]phenanthrene']</t>
  </si>
  <si>
    <t>Compound(440663)</t>
  </si>
  <si>
    <t>C27H46</t>
  </si>
  <si>
    <t>5-isopropyl-2-methylphenol</t>
  </si>
  <si>
    <t>2-methyl-5-propan-2-ylphenol</t>
  </si>
  <si>
    <t>['CARVACROL', '5-Isopropyl-2-methylphenol', '499-75-2', 'Isopropyl-o-cresol', 'Karvakrol', 'o-Thymol', 'Antioxine', '5-Isopropyl-o-cresol', '2-p-Cymenol', 'Phenol, 2-methyl-5-(1-methylethyl)-', '2-Hydroxy-p-cymene', 'p-Cymen-2-ol', '2-Methyl-5-(Propan-2-Yl)Phenol', '2-Methyl-5-isopropylphenol', '3-Isopropyl-6-methylphenol', '5-Isopropyl-2-methyl-phenol', 'p-Cymene, 2-hydroxy-', '2-Methyl-5-(1-methylethyl)phenol', 'o-Cresol, 5-isopropyl-', '1-Hydroxy-2-methyl-5-isopropylbenzene', '6-Methyl-3-isopropylphenol', '2-methyl-5-propan-2-ylphenol', 'Phenol, 5-isopropyl-2-methyl-', 'Cymene-2-ol, p-', 'Caswell No. 511', 'Cymenol', 'Oxycymol', '1-Methyl-2-hydroxy-4-isopropylbenzene', 'Phenol, 3-isopropyl-6-methyl-', 'NSC 6188', 'UNII-9B1J4V995Q', 'FEMA No. 2245', 'CCRIS 7450', 'HSDB 906', 'EINECS 207-889-6', 'EPA Pesticide Chemical Code 022104', 'BRN 1860514', 'AI3-03438', 'CHEBI:3440', 'CHEMBL281202', '9B1J4V995Q', '2-Methyl-5-(1-methylethyl)-Phenol', '2-methyl-5-(methylethyl)phenol', 'CYMOPHENOL', '2-Hydroxycymene', 'Hydroxy-p-cymene', 'Carvacrol Natural', 'Carvacrol,(S)', 'p-Cymene-2-ol', 'Carvacrol, 98%', 'PubChem10329', 'ACMC-1AG8Z', 'DSSTox_CID_22074', 'DSSTox_RID_79916', 'DSSTox_GSID_42074', 'SCHEMBL24734', '3-Isopropyl-6-methyl phenol', '3-Isopropyl-6-methyl-Phenol', '4-06-00-03331 (Beilstein Handbook Reference)', 'KSC235Q4J', 'BIDD:ER0492', 'Carvacrol, analytical standard', 'Carvacrol;CARVACROL;carvacrol', 'GTPL2497', 'Carvacrol, natural, 99%, FG', 'DTXSID6042074', 'Methyl-5-(1-methylethyl)phenol', 'p-Mentha-1,3,5-trien-2-ol', 'WLN: QR B1 EY1&amp;1', '2-methyl-5-propan-2-yl-phenol', 'CTK1D5844', 'FEMA 2245', 'NSC6188', 'Carvacrol, &gt;=98%, FCC, FG', 'ZINC967563', 'HY-N0711', 'NSC-6188', 'Tox21_301378', 'ANW-30877', 'BDBM50240433', 'MFCD00002236', 's3788', 'SBB060790', 'STL453136', 'AKOS000120828', 'AC-2688', 'CCG-266210', 'FS-4199', 'LMPR0102090017', 'LS-2614', 'MB00118', 'KS-0000098R', 'NCGC00256001-01', 'AK-88979', 'CAS-499-75-2', 'SC-26925', 'Isothymol (=2-Isopropyl-4-methyl phenol)', 'CS-0009729', 'FT-0627526', 'NS00004666', 'ST51046899', '2-HYDROXY-4-ISOPROPYL-1-METHYLBENZENE', 'C09840', 'A827907', 'Q225543', 'Carvacrol, primary pharmaceutical reference standard', 'W-105999', '2-Methyl-5-(1-methylethyl)-phenol 2-Hydroxy-p-cymene;', 'BENZENE,2-HYDROXY,4-ISOPROPYL,1-METHYL CARVACROL', 'F8889-1978', 'Z1317839236', 'BENZENE,2-HYDROXY,4-ISOPROPYL,1-METHYL   CARVACROL']</t>
  </si>
  <si>
    <t>Compound(10364)</t>
  </si>
  <si>
    <t>6,10,14-trimethyl-2-pentadecanone</t>
  </si>
  <si>
    <t>6,10,14-trimethylpentadecan-2-one</t>
  </si>
  <si>
    <t>['502-69-2', '6,10,14-Trimethylpentadecan-2-one', 'Hexahydrofarnesyl acetone', 'PHYTONE', '2-Pentadecanone, 6,10,14-trimethyl-', 'Fitone', '6,10,14-TRIMETHYL-2-PENTADECANONE', 'Perhydrofarnesyl acetone', '2-Pentadecanone,6,10,14-trimethyl-', '6,10,14-trimethyl-pentadecan-2-one', 'W-109084', 'Phytol ketone', '(R,R)-Phytone', 'Hexahydrofarnesylacetone', '16825-16-4', 'EINECS 207-950-7', 'SCHEMBL716506', 'CTK4J2356', 'DTXSID40862063', 'CHEBI:145744', 'ZX-AT021772', '6,10,14-trimethyl-2-pentadecanon', '6,10,14-Trimethylpentadeca-2-one', 'MFCD00065420', 'SBB012620', 'STK761211', '2-pentadecanone, 6,10,14-trimethyl', '6,10,14-trimethyl pentadecan-2-one', 'AKOS001727037', '6,10,14-trimethyl-pentadecane-2-one', 'MCULE-5164481361', 'OR13502', 'CC-29299', 'ST049442', 'SY249550', 'DB-051748', 'FT-0632240', 'NS00043093', 'C-25231', 'SR-01000526355', 'SR-01000526355-1', 'Q67880075', '6,10,14-trimethylpentadecan-2-one;2-Pentadecanone, 6,10,14-trimethyl-', '(+/-)-Phytone; 6,10,14-Trimethylpentadecan-2-one; Hexahydrofarnesyl acetone']</t>
  </si>
  <si>
    <t>Compound(10408)</t>
  </si>
  <si>
    <t>C18H36O</t>
  </si>
  <si>
    <t>6-chloro-2,4-dinitroaniline</t>
  </si>
  <si>
    <t>2-chloro-4,6-dinitroaniline</t>
  </si>
  <si>
    <t>['2-Chloro-4,6-dinitroaniline', '3531-19-9', '6-Chloro-2,4-dinitroaniline', '(2-chloro-4,6-dinitrophenyl)amine', 'Benzenamine, 2-chloro-4,6-dinitro-', 'CCRIS 3112', 'EINECS 222-564-9', 'BRN 2463157', 'ANILINE, 6-CHLORO-2,4-DINITRO-', '6-chloro-2,4-dinitrophenylamine', '6-Chloro-2,4-dinitroanilene', 'ACMC-209ig0', '2,4-dinitro-6-chloroaniline', '3-12-00-01718 (Beilstein Handbook Reference)', 'ARONIS23887', '6-chloro-2,4-dinitro-aniline', 'SCHEMBL1501666', 'DTXSID6063062', 'CTK4H4222', 'ZINC3861609', 'Benzenamine,2-chloro-4,6-dinitro-', '1359AE', 'ANW-28174', 'MFCD00007147', 'SBB003373', '6-Chloro-2,4-dinitroaniline, 97%', 'AKOS005111051', 'MCULE-6060736202', 'AC-11796', 'LS-19647', 'DB-048779', 'Dinitroaniline6-Chloro 2,4 Dinitro Aniline', 'FT-0621027', 'NS00022085', 'ST50308368', 'Z-0806', 'SR-01000004768', 'SR-01000004768-1', 'W-106674', 'F0020-1806']</t>
  </si>
  <si>
    <t>Compound(19052)</t>
  </si>
  <si>
    <t>6-allyl-4-methoxy-1,3-benzodioxole</t>
  </si>
  <si>
    <t>4-methoxy-6-prop-2-enyl-1,3-benzodioxole</t>
  </si>
  <si>
    <t>['Myristicin', '607-91-0', '6-Allyl-4-methoxy-1,3-benzodioxole', 'Myristicine', 'Myristicin (6CI)', '4-Methoxy-6-(2-propenyl)-1,3-benzodioxole', '5-Allyl-1-methoxy-2,3-(methylenedioxy)benzene', 'UNII-04PD6CT78W', '1,3-Benzodioxole, 4-methoxy-6-(2-propenyl)-', 'CCRIS 6782', 'Benzene, 5-allyl-1-methoxy-2,3-(methylenedioxy)-', 'CHEBI:68234', 'HSDB 3516', 'EINECS 210-146-9', '5-Allyl-2,3-(methylendioxy)anisole', 'BRN 0166218', '04PD6CT78W', '4-Methoxy-6-[2-propenyl]-1,3-benzodioxole', '4-methoxy-6-(prop-2-en-1-yl)-2H-1,3-benzodioxole', '1,3-Benzodioxole, 4-methoxy-6-(2-propenyl)- (9CI)', '4-methoxy-6-prop-2-enyl-2H-benzo[d]1,3-dioxolene', 'DSSTox_CID_5693', 'DSSTox_RID_77884', 'DSSTox_GSID_25693', 'SCHEMBL68041', '5-19-02-00631 (Beilstein Handbook Reference)', 'MLS001065535', 'Myristicin, analytical standard', 'CHEMBL481044', 'DTXSID1025693', 'Myristicin from parsley leaf oil', 'CTK5J3915', 'HMS2270K14', 'ZINC403089', 'HY-N2510', '6-allyl-4-methoxy-1,3-benzodioxol', 'Tox21_200172', 'BDBM50242966', 'FCH920323', 'MFCD00133549', 'SBB014760', 'STK693140', '6-allyl-4-methoxy-benzo-1,3-dioxole', 'AKOS005604763', 'API0025964', 'CCG-208543', 'LS-2163', 'MCULE-6209105333', '6-allyl-4-methoxybenzo[d][1,3]dioxole', 'NCGC00091427-01', 'NCGC00091427-02', 'NCGC00257726-01', 'CAS-607-91-0', 'SC-21462', 'SMR000112534', 'ST097616', '1-Allyl-3-methoxy-4,5-methylenedioxybenzene', 'CS-0022781', 'FT-0672575', 'NS00017756', 'V0156', 'C10480', '5-Allyl-1-methoxy-2,3-(methylenedioxy)-Benzene', '4-methoxy-6-(prop-2-en-1-yl)-1,3-benzodioxole', '607M910', 'Q414057', 'SR-01000838340', '4-Methoxy-6-(2-propenyl)-1,3-benzodioxole, 9CI', 'SR-01000838340-3', '1-Methoxy-2,3-methylenedioxy-5-(2-propenyl)benzene', 'Myristicin from parsley leaf oil, &gt;=85% (HPLC), oil', 'NCGC00091427-03!4-methoxy-6-prop-2-enyl-1,3-benzodioxole']</t>
  </si>
  <si>
    <t>Compound(4276)</t>
  </si>
  <si>
    <t>C11H12O3</t>
  </si>
  <si>
    <t>5-methyl-2-propan-2-ylphenol</t>
  </si>
  <si>
    <t>['THYMOL', '89-83-8', '2-Isopropyl-5-methylphenol', '5-Methyl-2-isopropylphenol', 'Thyme camphor', '5-Methyl-2-(1-methylethyl)phenol', 'Thymic acid', '3-p-Cymenol', '6-Isopropyl-m-cresol', '6-Isopropyl-3-methylphenol', 'Phenol, 5-methyl-2-(1-methylethyl)-', 'Isopropyl cresol', 'm-Thymol', '5-methyl-2-(propan-2-yl)phenol', 'p-Cymen-3-ol', '3-Hydroxy-p-cymene', '5-Methyl-2-isopropyl-1-phenol', '3-Methyl-6-isopropylphenol', '1-Hydroxy-5-methyl-2-isopropylbenzene', 'p-Cymene, 3-hydroxy-', 'm-Cresol, 6-isopropyl-', 'IPMP', '6-Isopropyl-p-cresol', '5-methyl-2-propan-2-ylphenol', 'Thymol (natural)', 'Phenol, 2-isopropyl-5-methyl-', '1-Methyl-3-hydroxy-4-isopropylbenzene', '3-Hydroxy-1-methyl-4-isopropylbenzene', 'Cymophenol, alpha-', '2-isopropyl-5-methyl-phenol', 'Caswell No. 856A', 'FEMA No. 3066', '2-Hydroxy-1-isopropyl-4-methylbenzene', 'FEMA Number 3066', 'NSC 11215', 'UNII-3J50XA376E', 'CCRIS 7299', 'HSDB 866', 'EINECS 201-944-8', 'EPA Pesticide Chemical Code 080402', 'CHEMBL29411', 'AI3-00708', 'CHEBI:27607', '3J50XA376E', 'MFCD00002309', 'NSC-11215', 'NSC-47821', 'NSC-49142', 'NCGC00159373-02', 'NCGC00159373-04', 'Thymol, 99%', 'Apiguard', 'DSSTox_CID_14972', 'DSSTox_RID_79231', 'DSSTox_GSID_34972', '5-methyl-2-(methylethyl)phenol', 'WLN: QR C1 FY1&amp;1', 'CAS-89-83-8', 'Thymol [JAN:NF]', 'Thymol [USAN:JAN]', 'Thymate', 'Thymol, puriss.', 'Thymol &amp; propolis', 'Thymol (TN)', 'Thymol,(S)', 'thymol crystal puriss', 'THYMOLUM', 'Thymol, FCC, FG', 'ACMC-20aj0l', 'Propyl cresol (Thymol)', 'Thymol (JP17/NF)', 'EC 201-944-8', 'Thymol, analytical standard', 'Thymol, &gt;=98.5%', 'SCHEMBL22165', 'KSC491Q7D', 'MLS001074692', 'BIDD:ER0658', 'GTPL2499', 'DTXSID6034972', '5-methyl-2-propan-2-yl-phenol', 'CTK3J1871', 'KS-00000WZI', '1e06', 'HMS2267P15', 'ZINC967597', 'HY-N6810', 'NSC11215', 'NSC47821', 'NSC49142', '5-methyl-2-(1-methylethyl)-phenol', 'Tox21_111613', 'Tox21_300358', 'ANW-75571', 'BBL011604', 'BDBM50240432', 's5157', 'SBB060429', 'STK397445', 'Thymol, tested according to Ph.Eur.', '5-Methyl-2-(1-methylethyl)-phenol;', 'AKOS000119786', 'Tox21_111613_1', 'CCG-266209', 'DB02513', 'KS-5170', 'LMPR0102090029', 'LS-3121', 'MB00129', 'MCULE-1453057719', 'NE10169', 'Thymol, SAJ first grade, &gt;=98.0%', '1-methyl-3-hydroxy-4-isopropyl benzene', 'NCGC00159373-03', 'NCGC00159373-05', 'NCGC00254459-01', 'AK101910', 'S046', 'SC-46757', 'SMR000471893', 'DB-002030', 'CS-0008421', 'FT-0612711', 'M0410', 'NS00006694', 'ST50586034', 'C09908', 'D01039', 'Thymol, primary pharmaceutical reference standard', '5-Methyl-2-(1-Methylethyl)Phenol;thymol;THYMOL', 'A845314', 'AE-562/43461428', 'Q408883', 'SR-01000763796', 'SR-01000763796-2', 'W-100357', 'Thymol, Standard for quantitative NMR, TraceCERT(R)', 'Z57127464', 'BENZENE,2-HYDROXY,1-ISOPROPYL,4-METHYL   THYMOL', 'F0001-2201', 'Thymol, European Pharmacopoeia (EP) Reference Standard', 'Thymol, United States Pharmacopeia (USP) Reference Standard', 'Thymol, meets analytical specification of Ph. Eur., BP, NF, 99-101%', 'Thymol, Pharmaceutical Secondary Standard; Certified Reference Material']</t>
  </si>
  <si>
    <t>Compound(6989)</t>
  </si>
  <si>
    <t>6-o-monoacetylmorphine</t>
  </si>
  <si>
    <t>[(4R,4aR,7S,7aR,12bS)-9-hydroxy-3-methyl-2,4,4a,7,7a,13-hexahydro-1H-4,12-methanobenzofuro[3,2-e]isoquinolin-7-yl] acetate</t>
  </si>
  <si>
    <t>['6-Acetylmorphine', '6-O-Monoacetylmorphine', '2784-73-8', 'O(sup 6)-Monoacetylmorphine', 'UNII-M5E47P1ZCH', 'Morphine 6-acetate', '6-O-Acetylmorphine', 'O6-Monoacetylmorphine', 'M5E47P1ZCH', 'CHEBI:2168', '6-MAM', '7,8-Didehydro-4,5alpha-epoxy-17-methylmorphinan-3,6alpha-diol 6-acetate', 'Morphinan-3,6-alpha-diol, 7,8-didehydro-4,5-alpha-epoxy-17-methyl-, 6-acetate', 'Morphinan-3,6-diol, 7,8-didehydro-4,5-epoxy-17-methyl-, (5alpha,6alpha)-, 6-acetate', 'O6-Acetylmorphine', '6-monoaceylmorphine', '6-Monoacetylmorphine;6-O-Monoacetylmorphine', 'CHEMBL592009', 'MAM (6-O-Monoacetylmorphine)', 'SCHEMBL7940016', 'DTXSID60182154', 'Morphine 6-acetate (6CI,7CI)', 'BDBM224020', '[(4R,4aR,7S,7aR,12bS)-9-hydroxy-3-methyl-2,4,4a,7,7a,13-hexahydro-1H-4,12-methanobenzofuro[3,2-e]isoquinoline-7-yl] acetate', 'ZINC4102204', 'LS-91754', '6-Acetylmorphine 0.1 mg/ml in Acetonitrile', '6-Acetylmorphine 1.0 mg/ml in Acetonitrile', 'NS00000049', 'C11781', 'Q2406967', 'Morphinan-3,6-?-diol, 7,8-didehydro-4,5-?-epoxy-17-methyl-, 6-acetate', '(5alpha,6alpha)-3-Hydroxy-17-methyl-7,8-didehydro-4,5-epoxymorphinan-6-yl acetate', 'morphinan-3,6-diol, 7,8-didehydro-4,5-epoxy-17-methyl-, 6-acetate, (5alpha,6alpha)-', 'Morphinan-3,6alpha-diol, 7,8-didehydro-4,5alpha-epoxy-17-methyl-, 6-acetate (8CI)', '(4R,4aR,7S,7aR,12bS)-9-hydroxy-3-methyl-2,3,4,4a,7,7a-hexahydro-1H-4,12-methanobenzofuro[3,2-e]isoquinolin-7-yl acetate', '6-Acetylmorphine, 1.0 mg/mL solution, 1 mg/mL in acetonitrile, ampule of 1 mL, certified reference material', '6-Acetylmorphine, 100 mug/mL solution, 100 mug/mL in acetonitrile, ampule of 1 mL, certified reference material', 'YMorphinan-3,6-diol, 7,8-didehydro-4,5-epoxy-17-methyl- (5alpha,6alpha)-, 6-acetate (9CI)']</t>
  </si>
  <si>
    <t>Compound(5462507)</t>
  </si>
  <si>
    <t>C19H21NO4</t>
  </si>
  <si>
    <t>7-methyl coumarin</t>
  </si>
  <si>
    <t>7-methylchromen-2-one</t>
  </si>
  <si>
    <t>['7-Methylcoumarin', '2445-83-2', '7-Methyl-2H-chromen-2-one', '2H-1-Benzopyran-2-one, 7-methyl-', 'COUMARIN, 7-METHYL-', '7-Methyl coumarin', '7-methylchromen-2-one', '7-Methyl-2H-1-benzopyran-2-one', '7-Methyl-chromen-2-one', 'UNII-YCN83T03QU', '7-Methyl-Coumarin', 'NSC19511', 'EINECS 219-499-3', 'NSC 19511', 'BRN 0122625', 'YCN83T03QU', '7-Methylcumarin', 'ACMC-1CLEQ', 'SCHEMBL76393', '7-Methylcoumarin, &gt;=98%', '5-17-10-00169 (Beilstein Handbook Reference)', 'CHEMBL346541', 'DTXSID0062424', '7-Methyl-2H-chromen-2-one #', 'CTK4F3721', 'ZINC407033', 'ZX-AT015358', '2H-1-Benzopyran-2-one,7-methyl-', '8231AD', 'ANW-25451', 'NSC-19511', '7-Methylcoumarin, analytical standard', 'AKOS015842507', 'FCH1118622', 'MCULE-2415904047', 'OR30939', 'VZ35725', 'KS-0000137G', 'CC-23252', 'LS-55255', 'NCI60_001631', 'TS-02124', 'DB-046453', 'CS-0032411', 'FT-0634288', 'M1236', 'NS00027665', 'ST50331512', 'C-30834', 'Q27294453', 'UNII-5HV5045SSF component DLHXRDUXNVEIEY-UHFFFAOYSA-N']</t>
  </si>
  <si>
    <t>Compound(17131)</t>
  </si>
  <si>
    <t>C10H8O2</t>
  </si>
  <si>
    <t>7H-dibenzo (c , g ) carbazole</t>
  </si>
  <si>
    <t>12-azapentacyclo[11.8.0.02,11.03,8.016,21]henicosa-1(13),2(11),3,5,7,9,14,16,18,20-decaene</t>
  </si>
  <si>
    <t>['7H-Dibenzo[c,g]carbazole', '194-59-2', '7H-DIBENZO(C,G)CARBAZOLE', 'Dibenzo(c,g)carbazole', '7H-DB(c,g)C', '3,4,5,6-Dibenzocarbazole', '3,4:5,6-Dibenzocarbazole', 'NSC 87519', 'UNII-SZF1OJI89D', 'CCRIS 209', '7-Aza-7H-dibenzo(c,g)fluorene', '7-Aza-7H-dibenzo[c,g]fluorene', 'HSDB 5098', 'EINECS 205-895-3', 'SZF1OJI89D', 'BRN 0213015', '7H-Dibenzo(c,g)carbazole [Polycyclic aromatic compounds]', 'AK130239', 'DIBENZO[C,G]CARBAZOLE', '7H-Dibenzo(c,g)carbazole [Polycyclic aromatic hydrocarbons]', '3,5,6-Dibenzcarbazol', '3,5,6-Dibenzcarbazole', '3,5,6-Dibenzocarbazole', '3,4,5,6-Dibenzcarbazol', '3,4,5,6-Dibenzcarbazole', 'NCIOpen2_005134', 'SCHEMBL492860', 'DTXSID9059755', 'CHEBI:82312', 'CTK0H5289', 'KS-00000FLC', 'STJXCDGCXVZHDU-UHFFFAOYSA-', 'NSC87519', 'ZINC1562130', 'ACM194592', 'NSC-87519', 'WLN: T D6 C6 B566 MMJ', 'AKOS015913990', 'DS-6628', 'OL10172', 'VZ30979', 'LS-60592', 'LS-60595', 'AX8001125', 'DB-044865', 'CS-0078865', 'D4473', 'FT-0614184', 'NS00041301', 'C19221', 'C-16778', 'Q26841191', '7H-Dibenzo[c,g]carbazole, BCR(R) certified Reference Material']</t>
  </si>
  <si>
    <t>Compound(9134)</t>
  </si>
  <si>
    <t>C20H13N</t>
  </si>
  <si>
    <t>(8S,9S,13S,14S,17S)-13-methyl-6,7,8,9,11,12,14,15,16,17-decahydrocyclopenta[a]phenanthrene-3,17-diol</t>
  </si>
  <si>
    <t>['UNII-CTE8LJ0768', 'Isoestradiol', 'CTE8LJ0768', '8-alpha-Estradiol', '8alpha-estra-1,3,5(10)-trien-3,17beta-diol', '517-04-4', 'DL-8-Isoestradiol', '(+/-)-8-Isoestradiol', 'Isoestradiol, (+/-)-', 'Isoestradiol DL-form [MI]', 'Estra-1,3,5(10)-triene-3,17-diol, (8-alpha,17-beta)-', '8a-estradiol', '8alpha-estradiol', 'DL-8-Iso-3,17beta-estradiol', '8-alpha-ESTRA-1,3,5(10)-TRIENE-3,17-beta-DIOL', 'SCHEMBL961326', 'ZINC3830763', '(8alpha,17beta)-Estra-1,3,5(10)-triene-3,17-diol, (+/-)-', 'Estra-1,3,5(10)-triene-3,17-diol, (8alpha,17beta)-(+/-)-', 'LMST02010013', '19669-82-0', 'UNII-1BAQ18C647 component VOXZDWNPVJITMN-FPSMNIFISA-N']</t>
  </si>
  <si>
    <t>Compound(7061189)</t>
  </si>
  <si>
    <t>8-quinolinol</t>
  </si>
  <si>
    <t>quinolin-8-ol</t>
  </si>
  <si>
    <t>['8-HYDROXYQUINOLINE', 'quinolin-8-ol', '8-quinolinol', '148-24-3', 'Oxyquinoline', 'Oxine', 'Quinophenol', '8-Quinol', '8-Oxyquinoline', 'Phenopyridine', '8-Hydroxychinolin', 'Oxychinolin', 'Bioquin', 'Oxybenzopyridine', 'Hydroxybenzopyridine', 'Oxin', '1-Azanaphthalene-8-ol', 'Tumex', '8-Chinolinol', '8-OQ', '8-Hydroxy-chinolin', 'Fennosan H 30', '8-Oxychinolin', 'Fennosan', 'o-Oxychinolin', 'Usaf ek-794', '8-hydroxy-quinoline', 'Fennosan HF-15', 'NCI-C55298', 'NSC 2039', 'Oxyquinoline [USAN]', 'Caswell No. 719', 'Oxoquinoline', '8-Chinolinol [Czech]', 'o-Oxychinolin [German]', 'Quinoline, 8-hydroxy-', 'NSC 615011', 'UNII-5UTX5635HP', 'MFCD00006807', '8-Hydroxy-chinolin [German]', 'CCRIS 340', '8-hydroxy quinoline', 'HSDB 4073', 'EINECS 205-711-1', 'NSC 82408', 'NSC285166', 'EPA Pesticide Chemical Code 059803', 'BRN 0114512', 'AI3-00483', 'MLS002702126', '5UTX5635HP', 'CHEMBL310555', 'CHEBI:48981', 'quinoline-8-ol', 'NSC 82404', 'NSC615011', 'Oxyquinoline (USAN)', 'NCGC00090708-03', 'NCGC00090708-05', 'DSSTox_CID_730', 'DSSTox_RID_75758', 'WLN: T66 BNJ JQ', 'DSSTox_GSID_20730', 'Oxine;8-Hydroxyquinoline;Quinophenol;8-Quinolinone', '8-Hydroxyquinoline, ACS reagent', 'Oxyquinoline (8-Hydroxyquinoline)', 'CAS-148-24-3', 'SMR000112313', 'Hydroxychinolin', 'Oxychinoline', 'oxyquinoline;', '8-Oxyquinolin', '8-Quinolinone', '8-Quinolol', '8-hydroxiquinoline', '8-hydroxychinoline', '8-hydroxylquinoline', 'HQY', '8-:hydroxyquinoline', 'Azanaphthalene-8-ol', 'Hydroxyquinoline, 8-', '8-Quinolinol, p.a.', 'PubChem17430', 'Spectrum_001053', '3vh9', '10380-28-6', 'Spectrum2_000697', 'Spectrum3_000534', 'Spectrum4_000465', 'Spectrum5_001280', '8-Hydroxyquinoline, 99%', 'EC 205-711-1', 'NCIMech_000694', 'cid_1923', 'NCIStruc1_000152', 'NCIStruc2_000240', 'ACMC-1C26C', 'NCIOpen2_000962', 'NCIOpen2_001020', 'NCIOpen2_001220', 'NCIOpen2_004264', 'SCHEMBL37189', 'BSPBio_002147', 'KBioGR_000910', 'KBioSS_001533', '5-21-03-00252 (Beilstein Handbook Reference)', 'MLS001055492', 'ARONIS24185', 'BIDD:ER0371', 'DivK1c_000757', 'SPBio_000853', '8-Hydroxyquinoline, crystalline', 'ZINC8492', 'DTXSID5020730', 'BDBM32203', 'CTK0H4800', 'HMS502F19', 'KBio1_000757', 'KBio2_001533', 'KBio2_004101', 'KBio2_006669', 'KBio3_001647', 'NSC2039', 'NINDS_000757', '8-Quinolinol (7CI,8CI,9CI)', 'ACT08881', 'HY-B1005', 'KS-000005KH', 'KS-000046XJ', 'NSC-2039', 'STR00721', 'Tox21_113083', 'Tox21_202986', 'Tox21_400006', 'ANW-21125', 'BBL011608', 'CCG-35870', 'LS-863', 'NSC 48037', 'NSC 54230', 'NSC 82405', 'NSC 82409', 'NSC 82410', 'NSC 82412', 'NSC402623', 'RW2005', 's4547', 'SBB009097', 'STK943764', '8-Hydroxyquinoline ACS Reagent Grade', 'AKOS001061311', '8-Hydroxychinolin (8-Hydroxyquinoline)', 'AC-5109', 'CS-4502', 'DB11145', 'EBD2203585', 'MCULE-7753869266', 'NSC 285166', 'NSC 402623', 'NSC-285166', 'NSC-402623', 'NSC-615011', 'PS-4553', '8-Hydroxyquinoline, ACS reagent, 99%', 'IDI1_000757', 'NCGC00090708-01', 'NCGC00090708-02', 'NCGC00090708-04', 'NCGC00090708-06', 'NCGC00090708-07', 'NCGC00090708-08', 'NCGC00090708-11', 'NCGC00260531-01', 'AK-33354', 'BR-33354', 'NCI60_001712', 'NCI60_002335', 'SC-18904', '8-HYDROXYQUINOLINE ACS GRADE 100G', 'SBI-0051472.P003', 'DB-012222', 'AM20050821', 'FT-0621550', 'ST45053772', '8-Quinolinol, JIS special grade, &gt;=99.0%', '8-Quinolinol, Vetec(TM) reagent grade, 99%', 'EN300-17403', 'C19434', 'D05321', 'M-5832', 'US9394254, 6', '26097-EP2270006A1', '26097-EP2270895A2', '26097-EP2272813A2', '26097-EP2275395A2', '26097-EP2275409A1', '26097-EP2275469A1', '26097-EP2278637A1', '26097-EP2287940A1', '26097-EP2289965A1', '26097-EP2295421A1', '26097-EP2296654A1', '26097-EP2298828A1', '26097-EP2299785A1', '26097-EP2301934A1', '26097-EP2305667A2', '26097-EP2306788A1', '26097-EP2306789A1', '26097-EP2308926A1', '26097-EP2309564A1', '26097-EP2311826A2', '26097-EP2314558A1', '26097-EP2371810A1', '26097-EP2371812A1', '26097-EP2372804A1', '26097-EP2378585A1', '26100-EP2275469A1', '26100-EP2287940A1', '26100-EP2295421A1', '26100-EP2298767A1', '26100-EP2298828A1', '26100-EP2301983A1', '26100-EP2308926A1', '26100-EP2309564A1', '26100-EP2314558A1', '26100-EP2314587A1', '26100-EP2371810A1', '26100-EP2371812A1', '26100-EP2372804A1', '26100-EP2378585A1', '8-Quinolinol, PESTANAL(R), analytical standard', 'AB00052065_08', '135659-EP2275422A1', '135659-EP2292608A1', '8-Quinolinol, &gt;=99% (perchloric acid titration)', 'AP-065/40180076', 'Q270162', 'CU-01000012874-2', 'W-108106', 'BRD-K66808046-065-01-1', 'Z56926518', 'F0001-0526', '8-HYDROXYQUINOLINE (SEE ALSO 8-HYDROXYQUINOLINE SULFATE 134-31-6; TRANSGENIC MODEL EVALUATION (8-HYD)', '8-Quinolinol, puriss. p.a., ACS reagent, for the detection and determination of Al, Mg and others, &gt;=99.0% (NT)', '8-Quinolinol, puriss. p.a., ACS reagent, reag. Ph. Eur., &gt;=99% (perchloric acid titration)', 'TRANSGENIC MODEL EVALUATION (8-HYDROXYQUINOLINE) (SEE ALSO 8-HYDROXYQUINOLINE SULFATE 134-31-6)']</t>
  </si>
  <si>
    <t>Compound(1923)</t>
  </si>
  <si>
    <t>C9H7NO</t>
  </si>
  <si>
    <t>9-chlorohexadecanefluoro-3-oxanone-1-sulfonic acid</t>
  </si>
  <si>
    <t>2-(6-chloro-1,1,2,2,3,3,4,4,5,5,6,6-dodecafluorohexoxy)-1,1,2,2-tetrafluoroethanesulfonic acid</t>
  </si>
  <si>
    <t>['Perfluoro(2-((6-chlorohexyl)oxy)ethanesulfonic acid)', '756426-58-1', 'ClOPFLSA n=6', 'SCHEMBL6129871', 'SIOC-I-013', 'DTXSID80892506', 'F-53B', 'ZINC59096351', 'NS00019227', 'Cl-substituted,ether-substituted perfluoroalkyl (linear)sulfonic acids, n=6', '9Cl-PF3ONS (9-chlorohexadecafluoro-3-oxanonane-1-sulfonate) (major component of F-53B)', '2-[(6-chloro-1,1,2,2,3,3,4,4,5,5,6,6-dodecafluorohexyl)oxy]-1,1,2,2-tetrafluoroethanesulfonate', '2-[(6-Chloro-1,1,2,2,3,3,4,4,5,5,6,6-dodecafluorohexyl)oxy]-1,1,2,2-tetrafluoroethanesulfonic acid', 'Ethanesulfonic acid, 2-[(6-chloro-1,1,2,2,3,3,4,4,5,5,6,6-dodecafluorohexyl)oxy]-1,1,2,2-tetrafluoro-']</t>
  </si>
  <si>
    <t>Compound(22568738)</t>
  </si>
  <si>
    <t>C8HClF16O4S</t>
  </si>
  <si>
    <t>9-hexadecenoic acid</t>
  </si>
  <si>
    <t>hexadec-9-enoic acid</t>
  </si>
  <si>
    <t>['9-Hexadecenoic acid, (9Z)-', 'Palmitolinoleic acid', '2091-29-4', 'hexadeca-9-enoic acid', 'ACMC-209isi', 'DTXSID5041564', 'CTK1A5519', 'CTK8G2247', 'KS-00000YH5', 'ANW-28624', 'AKOS028109448', 'FT-0621640', 'FT-0777894', '9-trans-Hexadecenoic acid;trans-Palmitoleic acid']</t>
  </si>
  <si>
    <t>Compound(4668)</t>
  </si>
  <si>
    <t>C16H30O2</t>
  </si>
  <si>
    <t>(E)-octadec-9-enal</t>
  </si>
  <si>
    <t>['9-OCTADECENAL', 'Octadecenyl aldehyde', '(9E)-9-Octadecenal', 'UNII-979G27P46D', '(E)-Octadec-9-enal', 'CHEMBL190707', '979G27P46D', '5090-41-5', '9-Octadecenal, (9E)-', 'E-9-Octadecenal', '9-Octadecenal, (E)-', 'FEMA No. 4059, E-', '10009-79-7', '(9E)-9-Octadecenal #', 'SCHEMBL260834', 'DTXSID9074305', 'BDBM50170061', 'LMFA06000099', 'Q27271997', 'UNII-971UC454BB component ZENZJGDPWWLORF-MDZDMXLPSA-N']</t>
  </si>
  <si>
    <t>Compound(5283381)</t>
  </si>
  <si>
    <t>C18H34O</t>
  </si>
  <si>
    <t>9-fluorenone</t>
  </si>
  <si>
    <t>fluoren-9-one</t>
  </si>
  <si>
    <t>['9-Fluorenone', '9H-Fluoren-9-one', '486-25-9', 'Fluoren-9-one', 'FLUORENONE', '9-Oxofluorene', 'Diphenylene ketone', 'UNII-AZ9T83S2AQ', 'CCRIS 593', '9H-Fluorene-9-one', 'HSDB 5490', 'NSC 5181', 'EINECS 207-630-7', 'AZ9T83S2AQ', 'AI3-00858', 'CHEMBL571655', 'CHEBI:17922', 'MFCD00001141', '9-Fluorenone, 99+%', 'C13H8O', '9-fluoreneone', '9H-fluoren9-one', '9-Fluorenone, 98%', 'ACMC-1AM6V', '9Fl;', 'bmse000521', 'DSSTox_CID_29263', 'DSSTox_RID_83382', 'DSSTox_GSID_49307', 'SCHEMBL31884', 'KSC236C8H', 'WLN: L B656 HVJ', 'DTXSID6049307', 'CTK1D6183', 'NSC5181', 'HMS1783A21', 'ZINC968253', 'EBD15581', 'NSC-5181', 'Tox21_202919', 'ANW-30676', 'BBL012758', 'BDBM50303915', 'c0390', 'CX1121', 'SBB056398', 'STK755582', 'AKOS000118911', 'AC-4873', 'MCULE-3341096841', 'NE10082', 'PS-5769', 'NCGC00260465-01', 'NCGC00336203-01', 'AK-42556', 'CAS-486-25-9', 'LS-69306', 'SC-46964', '9-Fluorenone;fluoren-9-one;Fluoren-9-one', 'DB-029404', 'ST4029931', 'EU-0084734', 'F0021', 'FT-0621651', 'NS00014587', 'C06712', 'AB00376854-04', 'A827572', 'AH-034/05416008', 'Q421328', 'SR-01000515877', 'Q-200572', 'SR-01000515877-1', 'Z56926556']</t>
  </si>
  <si>
    <t>Compound(10241)</t>
  </si>
  <si>
    <t>C13H8O</t>
  </si>
  <si>
    <t>Production concentration</t>
  </si>
  <si>
    <t>Number fraction</t>
  </si>
  <si>
    <t>Number</t>
  </si>
  <si>
    <t>ERROR</t>
  </si>
  <si>
    <t>['10028-14-5', 'No', 'Nobelium', 'UNII-2ZRJ207R3E', '2ZRJ207R3E', 'nobelio', 'unnilbium', '102No', 'CHEBI:33396', 'CTK0H6328', 'DTXSID70143094', 'Q1901']</t>
  </si>
  <si>
    <t>Compound(24822)</t>
  </si>
  <si>
    <t>Quantity per length</t>
  </si>
  <si>
    <t>Quantity per mass</t>
  </si>
  <si>
    <t>Quantity per surface</t>
  </si>
  <si>
    <t>Quantity per volume</t>
  </si>
  <si>
    <t>Presence</t>
  </si>
  <si>
    <t>Suction speed</t>
  </si>
  <si>
    <t>Natural gas</t>
  </si>
  <si>
    <t>methane</t>
  </si>
  <si>
    <t>['(11c)methane', '(13c)methane', '02329_FLUKA', '0CB689EE-132E-4559-A597-C79A40192203', '14493-06-2', '150036-83-2', '295477_ALDRICH', '3B4-2254', '463035_ALDRICH', '490210_ALDRICH', '74-82-8', '8006-14-2', 'AC1L18XA', 'AC1Q2825', 'AG-E-08601', 'AKOS005166816', 'AR-1A0383', 'AR-1A0497', 'Biodiesels', 'Biogas', 'BRN 1718732', 'C01438', 'C5M', 'CH4', 'CHEBI:16183', 'CHEMBL17564', 'CTK2H7747', 'Fire Damp', 'HSDB 167', 'KST-1A1445', 'KST-1A1563', 'Marsh gas', 'metano', 'methan', 'methane', 'Methane in gaseus state', 'Methane-12C', 'Methyl hydride', 'MolPort-018-618-244', 'Natural gas', 'OP0UW79H66', 'R 50', 'R 50 (refrigerant)', 'tetrahydridocarbon', 'UN1971', 'UN1972', 'UNII-OP0UW79H66', 'Carbene', 'Methylidyne radical', 'atomic carbon', 'Medicinal charcoal', 'EINECS 200-812-7', 'MFCD00133992', 'Activated charcoal, for GC', '1034343-98-0', 'Activated carbon, SAJ first grade', 'MFCD00144065', 'MFCD00146977', 'MFCD06202029', 'MFCD09753896', 'carbane', 'a methyl group', 'Charcoal,activated', 'Charcoal-activated', 'Carbon, mesoporous', 'Carbon black, CP', 'Activated carbon NSF', 'Methanetetrayl radical', 'Graphene, single layer', 'Activated Carbon Powder', 'Activated carbon/charcoal', 'Activated charcoal, powder', 'Activated carbon, Graphite', 'EC 200-812-7', 'Methane, &gt;=99.0%', 'Activated charcoal, puriss.', 'Fullerene soot, as produced', 'Methane, analytical standard', '4QQN74LH4O', 'CH2H2', 'UNII-6GRV67N0U2', '4-01-00-00003 (Beilstein Handbook Reference)', 'UN 1971 (Salt/Mix)', 'UN 1972 (Salt/Mix)', 'Fullerene soot, (as produced)', 'QuadraPure C, 0.3-0.8mm', '6GRV67N0U2', 'CHEMBL2106049', 'DTXSID8025545', 'DTXSID9027651', 'Graphite powder, -20+84 mesh', 'KS-00000VTN', 'PANAX NOTOGINSENG SAPONINS', 'DTXSID50179391', 'Graphene, nanoplatelets 2-10 nm', 'Activated Charcoal, powder, p.a.', 'Activated charcoal DARCO(R) KB-G', 'EINECS 240-383-3', 'Fullerene powder, mixed hydrogenated', 'Activated charcoal, DARCO(R) KB-G', 'NA1361', 'Carbon nanodiscs/nanocones (annealed)', 'Activated charcoal, DARCO(R) KB-WJ', 'DB09278', 'LS-1631', 'Graphite rod, 13.0mm (0.51in) dia', 'Activated charcoal, puriss. p.a., powder', 'Graphene Quantum Dots (GQDs) Master Kit', 'LS-51901', 'LS-73113', 'Methane, electronic grade, &gt;=99.998%', 'Carbon black, acetylene, 100% compressed', 'CVD Graphene on Si 1cmx1cm(3-5 layers)', 'Fullerene powder, hydroxylated, C60(OH)n', 'High Purity Single-walled Carbon Nanotubes', 'Methane, Messer(R) CANGas, 99.999%', 'Activated charcoal, plant cell culture tested', 'Carbon, mesoporous, hydrophilic pore surface', 'Carbon, foil, 5x5mm, thickness 2.0mm, hOpg', 'Carbon, foil, 5x10mm, thickness 2.0mm, hOpg', 'EC 231-153-3', 'EC 231-953-2', 'EC 231-955-3', 'EC 240-383-3', 'Q37129', 'Activated charcoal, untreated, granular, &lt;=5 mm', 'Carbon, foil, 10x10mm, thickness 2.0mm, hOpg', 'Carbon, foil, 15x15mm, thickness 2.0mm, hOpg', 'Activated Charcoal Norit(R), Norit RBAA-3, rod', 'Graphene Quantum Dots (GQDs) Mini Kit (Powders)', 'Methane-12C, 13C-depleted, 99.9 atom % 12C', 'Q866179', 'Activated charcoal, meets USP testing specifications', 'Activated charcoal, untreated, granular, 8-20 mesh', 'Q-200950', 'Q3333711', 'Q6823951', 'Activated charcoal, acid-washed with hydrochloric acid', 'Activated charcoal, DARCO(R), 12-20 mesh, granular', 'Activated charcoal, untreated powder, 100-400 mesh', 'Activated charcoal, untreated, granular, 20-60 mesh', 'Carbon, rod, 100mm, diameter 25mm, graphite, 100%', 'Carbon, rod, 150mm, diameter 25mm, graphite, 100%', 'Carbon, rod, 50mm, diameter 1.5mm, graphite, 100%', 'Carbon, rod, 50mm, diameter 25mm, graphite, 100%', 'Glassy carbon splinter powder, 20-50 micron, type 2', 'Graphite rod, 5cm (2.0in) dia x 61cm (24in) long', 'Q11172462', 'Activated charcoal, NORIT(R) ROW 0.8 SUPRA, pellets', 'Carbon, rod, 100mm, diameter 2.0mm, graphite, 100%', 'Carbon, rod, 100mm, diameter 3.0mm, graphite, 100%', 'Carbon, rod, 100mm, diameter 5.0mm, graphite, 100%', 'Carbon, rod, 150mm, diameter 2.0mm, graphite, 100%', 'Carbon, rod, 150mm, diameter 3.0mm, graphite, 100%', 'Carbon, rod, 150mm, diameter 5.0mm, graphite, 100%', 'Carbon, rod, 25mm, diameter 50mm, graphite, 99.95%', 'Carbon, rod, 2mm, diameter 0.5mm, graphite, 99.95%', 'Carbon, rod, 300mm, diameter 2.0mm, graphite, 100%', 'Carbon, rod, 300mm, diameter 3.0mm, graphite, 100%', 'Carbon, rod, 300mm, diameter 5.0mm, graphite, 100%', 'Carbon, rod, 50mm, diameter 25mm, graphite, 99.95%', 'Carbon, rod, 50mm, diameter 50mm, graphite, 99.95%', 'Glassy carbon spherical powder, 20-50 micron, type 1', 'Glassy carbon spherical powder, 20-50 micron, type 2', 'Glassy carbon spherical powder, 40-80 micron, type 1', 'Glassy carbon spherical powder, 40-80 micron, type 2', 'Glassy carbon spherical powder, 80-200 micron, type 1', 'Glassy carbon splinter powder, 200-400 micron, type 1', 'Glassy carbon splinter powder, 200-400 micron, type 2', 'Glassy carbon splinter powder, 400-630 micron, type 1', 'Glassy carbon splinter powder, 400-630 micron, type 2', 'Graphene Quantum Dots (GQDs) in water, Blue Luminescent', 'Carbon, rod, 100mm, diameter 1.0mm, graphite, 99.95%', 'Carbon, rod, 100mm, diameter 10.0mm, graphite, 100%', 'Carbon, rod, 100mm, diameter 13.0mm, graphite, 100%', 'Carbon, rod, 100mm, diameter 25mm, graphite, 99.95%', 'Carbon, rod, 100mm, diameter 50mm, graphite, 99.95%', 'Carbon, rod, 100mm, diameter 6.35mm, graphite, 100%', 'Carbon, rod, 150mm, diameter 10.0mm, graphite, 100%', 'Carbon, rod, 150mm, diameter 13.0mm, graphite, 100%', 'Carbon, rod, 150mm, diameter 25mm, graphite, 99.95%', 'Carbon, rod, 150mm, diameter 50mm, graphite, 99.95%', 'Carbon, rod, 150mm, diameter 6.35mm, graphite, 100%', 'Carbon, rod, 300mm, diameter 10.0mm, graphite, 100%', 'Carbon, rod, 300mm, diameter 13.0mm, graphite, 100%', 'Carbon, rod, 300mm, diameter 25mm, graphite, 99.95%', 'Carbon, rod, 300mm, diameter 6.35mm, graphite, 100%', 'Carbon, rod, 50mm, diameter 0.5mm, graphite, 99.95%', 'Carbon, rod, 50mm, diameter 1.0mm, graphite, 99.95%', 'Glassy carbon splinter powder, 1000-2000 micron, type 2', 'Glassy carbon splinter powder, 2000-3150 micron, type 2', 'Glassy carbon splinter powder, 630-1000 micron, type 1', 'Graphene Quantum Dots in water (GQDs) Mini Kit (Liquids)', 'Activated charcoal DARCO(R), -100 mesh particle size, powder', 'Activated charcoal, 4-14 mesh, granular, Norit(R) PK 3-5', 'Activated charcoal, purified by resistive heating of graphite', 'Carbon - Vitreous, rod, 100mm, diameter 1.0mm, glassy carbon', 'Carbon - Vitreous, rod, 100mm, diameter 10mm, glassy carbon', 'Carbon - Vitreous, rod, 100mm, diameter 3.0mm, glassy carbon', 'Carbon - Vitreous, rod, 100mm, diameter 5.0mm, glassy carbon', 'Carbon - Vitreous, rod, 100mm, diameter 7.0mm, glassy carbon', 'Carbon - Vitreous, rod, 200mm, diameter 1.0mm, glassy carbon', 'Carbon - Vitreous, rod, 200mm, diameter 10mm, glassy carbon', 'Carbon - Vitreous, rod, 200mm, diameter 3.0mm, glassy carbon', 'Carbon - Vitreous, rod, 200mm, diameter 5.0mm, glassy carbon', 'Carbon - Vitreous, rod, 200mm, diameter 7.0mm, glassy carbon', 'Carbon - Vitreous, rod, 50mm, diameter 1.0mm, glassy carbon', 'Carbon - Vitreous, rod, 5mm, diameter 3.0mm, glassy carbon', 'UNII-279O8I0433 component VNWKTOKETHGBQD-UHFFFAOYSA-N', 'Activated charcoal powder, -100 particle size (mesh), decolorizing', 'Activated charcoal, acid-washed with phosphoric and sulfuric acids', 'Activated charcoal, DARCO(R), -100 mesh particle size, powder', 'Activated charcoal, DARCO(R), 20-40 mesh particle size, granular', 'Activated charcoal, DARCO(R), 4-12 mesh particle size, granular', 'Activated charcoal, powder, -100 particle size (mesh), decolorizing', 'Carbon - Vitreous, foil, 10x10mm, thickness 1.0mm, glassy carbon', 'Carbon - Vitreous, foil, 10x10mm, thickness 2.0mm, glassy carbon', 'Carbon - Vitreous, foil, 10x10mm, thickness 4.0mm, glassy carbon', 'Carbon - Vitreous, foil, 25x25mm, thickness 0.5mm, glassy carbon', 'Carbon - Vitreous, foil, 25x25mm, thickness 4.0mm, glassy carbon', 'Carbon - Vitreous, foil, 50x50mm, thickness 1.0mm, glassy carbon', 'Carbon - Vitreous, foil, 50x50mm, thickness 4.0mm, glassy carbon', 'Carbon - Vitreous, foil, 8mm disks, thickness 1.0mm, glassy carbon', 'Carbon - Vitreous, foil, 8x8mm, thickness 0.5mm, glassy carbon', 'Carbon, foil, 25x25mm, thickness 0.2mm, flexible graphite, 99.8%', 'Carbon, foil, 50x50mm, thickness 0.2mm, flexible graphite, 99.8%', 'Carbon, foil, 50x50mm, thickness 0.5mm, flexible graphite, 99.8%', 'Carbon, foil, 50x50mm, thickness 1.0mm, flexible graphite, 99.8%', 'Carbon, Stacked Graphene Platelet Nanofibers (acid washed) SGNF', 'Fullerene, nanotube, multi-walled, 20-50 nm OD, &lt;1 micron long', 'Graphite electrode, counter-flat top, 3.05mm dia, 38.10 mm long', 'Graphite, Fusion Crucible, tapered, unpurified, volume 33.27cc', 'Activated Charcoal Norit(R), Norit SA2, from peat, steam activated, powder', 'Activated Charcoal Norit(R), Norit W35, from peat, steam activated, powder', 'Activated charcoal, for the determination of AOX, 50-150 mum particle size', 'Activated charcoal, glassy, spherical powder, 10-40 mum, &gt;=99.99%', 'Activated charcoal, rod, 3.0 mm diameter, length 100 mm, purity 99.999%', 'Activated charcoal, rod, 3.0 mm diameter, length 150 mm, purity 99.999%', 'Activated charcoal, rod, 3.0 mm diameter, length 300 mm, purity 99.999%', 'Carbon - Vitreous, foil, 100x100mm, thickness 1.0mm, glassy carbon', 'Carbon - Vitreous, foil, 100x100mm, thickness 2.0mm, glassy carbon', 'Carbon - Vitreous, foil, 100x100mm, thickness 6.0mm, glassy carbon', 'Carbon - Vitreous, foil, 10mm disks, thickness 0.2mm, glassy carbon', 'Carbon - Vitreous, foil, 200x200mm, thickness 1.0mm, glassy carbon', 'Carbon - Vitreous, foil, 25mm disks, thickness 0.2mm, glassy carbon', 'Carbon sputtering target, 50.8mm (2.0in) dia x 6.35mm (0.250in) thick', 'Carbon sputtering target, 76.2mm (3.0in) dia x 6.35mm (0.250in) thick', 'Carbon, foil, 100x100mm, thickness 0.2mm, flexible graphite, 99.8%', 'Carbon, foil, 100x100mm, thickness 0.35mm, flexible graphite, 99.8%', 'Carbon, foil, 100x100mm, thickness 0.5mm, flexible graphite, 99.8%', 'Carbon, foil, 100x100mm, thickness 1.0mm, flexible graphite, 99.8%', 'Carbon, foil, 10mm disks, thickness 0.2mm, flexible graphite, 99.8%', 'Carbon, foil, 150x150mm, thickness 0.2mm, flexible graphite, 99.8%', 'Carbon, foil, 150x150mm, thickness 0.35mm, flexible graphite, 99.8%', 'Carbon, foil, 150x150mm, thickness 0.5mm, flexible graphite, 99.8%', 'Carbon, foil, 150x150mm, thickness 1.0mm, flexible graphite, 99.8%', 'Carbon, foil, 15mm disks, thickness 0.2mm, flexible graphite, 99.8%', 'Carbon, foil, 250x250mm, thickness 0.35mm, flexible graphite, 99.8%', 'Carbon, foil, 250x250mm, thickness 0.5mm, flexible graphite, 99.8%', 'Carbon, foil, 250x250mm, thickness 1.0mm, flexible graphite, 99.8%', 'Carbon, foil, 25mm disks, thickness 0.2mm, flexible graphite, 99.8%', 'Carbon, foil, 25x25mm, thickness 0.1mm, pyrolytic graphite, 99.99%', 'Carbon, foil, 25x25mm, thickness 0.5mm, pyrolytic graphite, 99.99%', 'Carbon, foil, 300x300mm, thickness 0.2mm, flexible graphite, 99.8%', 'Carbon, foil, 4mm disks, thickness 0.2mm, flexible graphite, 99.8%', 'Carbon, foil, 500x500mm, thickness 0.2mm, flexible graphite, 99.8%', 'Carbon, foil, 500x500mm, thickness 0.35mm, flexible graphite, 99.8%', 'Carbon, foil, 500x500mm, thickness 0.5mm, flexible graphite, 99.8%', 'Carbon, foil, 500x500mm, thickness 1.0mm, flexible graphite, 99.8%', 'Carbon, foil, 50mm disks, thickness 0.2mm, flexible graphite, 99.8%', 'Carbon, foil, 50x50mm, thickness 0.1mm, pyrolytic graphite, 99.99%', 'Carbon, foil, 50x50mm, thickness 0.2mm, pyrolytic graphite, 99.99%', 'Carbon, foil, 50x50mm, thickness 0.35mm, flexible graphite, 99.8%', 'Carbon, foil, 6mm disks, thickness 0.2mm, flexible graphite, 99.8%', 'Carbon, foil, 8mm disks, thickness 0.2mm, flexible graphite, 99.8%', 'Methane, compressed or natural gas, compressed (with high methane content)', 'Activated Charcoal Norit(R), Norit CA1, from wood, chemically activated, powder', 'Activated Charcoal Norit(R), Norit PK 1-3, from peat, steam activated, granular', 'Activated Charcoal Norit(R), Norit RB3, for gas purification, steam activated, rod', 'Activated Charcoal Norit(R), Norit RB4C, steam activated, rod, for the purification of gas', 'Activated charcoal, foil, thickness 1.0 mm, 25 mm diameter, purity 99.99%', 'Activated charcoal, foil, thickness 10.0 mm, size 100 x 100 mm, purity 99.5%', 'Activated charcoal, foil, thickness 10.0 mm, size 150 x 150 mm, purity 99.5%', 'Activated charcoal, foil, thickness 10.0 mm, size 48 x 150 mm, purity 99.5%', 'Activated charcoal, foil, thickness 10.0 mm, size 50 x 50 mm, purity 99.5%', 'Activated charcoal, iodinated, for adsorption of mercury, &gt;=4% iodine (I) basis', 'Activated charcoal, lump, 1.5 mm max. lump size, weight 100 g, purity 99.5%', 'Activated charcoal, lump, 1.5 mm max. lump size, weight 100 g, purity 99.8%', 'Activated charcoal, lump, 1.5 mm max. lump size, weight 1000 g, purity 99.5%', 'Activated charcoal, lump, 1.5 mm max. lump size, weight 200 g, purity 99.5%', 'Activated charcoal, lump, 1.5 mm max. lump size, weight 200 g, purity 99.8%', 'Activated charcoal, lump, 1.5 mm max. lump size, weight 50 g, purity 99.5%', 'Activated charcoal, lump, 1.5 mm max. lump size, weight 50 g, purity 99.8%', 'Activated charcoal, lump, 1.5 mm max. lump size, weight 500 g, purity 99.5%', 'Activated charcoal, suitable for cell culture, suitable for plant cell culture', 'Activated charcoal, tube, outside diameter 3.18 mm, length 100 mm, wall thickness 0.8 mm', 'Activated charcoal, tube, outside diameter 3.18 mm, length 150 mm, wall thickness 0.8 mm', 'Activated charcoal, tube, outside diameter 3.18 mm, length 50 mm, wall thickness 0.8 mm', 'Activated charcoal, tube, outside diameter 6.35 mm, length 50 mm, wall thickness 1.6 mm', 'Carbon - Vitreous, foam, 150x150mm, 0.05g.cmu??, porosity 96.5%, 24 pores/cm', 'Carbon - Vitreous, foam, 275x330mm, 0.05g.cmu??, porosity 96.5%, 24 pores/cm', 'Carbon nanotube array, multi-walled, vertically aligned on copper wafer substrate', 'Carbon nanotube array, multi-walled, vertically aligned on silicon wafer substrate', 'Carbon, chopped fiber, 100g, nominal diameter 0.007mm, fiber length 6mm, grade 34-700', 'Carbon, chopped fiber, 200g, nominal diameter 0.007mm, fiber length 1mm, grade 34-700', 'Carbon, chopped fiber, 200g, nominal diameter 0.007mm, fiber length 6mm, grade 34-700', 'Carbon, foil, 100x100mm, thickness 0.125mm, rigid graphite, fine grain size, 99.95%', 'Carbon, foil, 100x100mm, thickness 0.25mm, rigid graphite, fine grain size, 99.95%', 'Carbon, foil, 100x100mm, thickness 0.25mm, rigid graphite, fine grain size, 99.997%', 'Carbon, foil, 100x100mm, thickness 0.5mm, rigid graphite, fine grain size, 99.95%', 'Carbon, foil, 100x100mm, thickness 0.5mm, rigid graphite, fine grain size, 99.997%', 'Carbon, foil, 100x100mm, thickness 1.0mm, rigid graphite, fine grain size, 99.95%', 'Carbon, foil, 100x100mm, thickness 10.0mm, rigid graphite, medium grain size, 99.5%', 'Carbon, foil, 100x100mm, thickness 2.5mm, rigid graphite, fine grain size, 99.95%', 'Carbon, foil, 100x100mm, thickness 5.0mm, rigid graphite, medium grain size, 99.5%', 'Carbon, foil, 12.5x12.5mm, thickness 0.125mm, rigid graphite, fine grain size, 99.95%', 'Carbon, foil, 12mm disks, thickness 0.5mm, rigid graphite, fine grain size, 99.95%', 'Carbon, foil, 12mm disks, thickness 1.0mm, rigid graphite, fine grain size, 99.95%', 'Carbon, foil, 150x150mm, thickness 0.125mm, rigid graphite, fine grain size, 99.95%', 'Carbon, foil, 150x150mm, thickness 0.25mm, rigid graphite, fine grain size, 99.95%', 'Carbon, foil, 150x150mm, thickness 0.5mm, rigid graphite, fine grain size, 99.95%', 'Carbon, foil, 150x150mm, thickness 1.0mm, rigid graphite, fine grain size, 99.95%', 'Carbon, foil, 150x150mm, thickness 10.0mm, rigid graphite, medium grain size, 99.5%', 'Carbon, foil, 150x150mm, thickness 5.0mm, rigid graphite, medium grain size, 99.5%', 'Carbon, foil, 200x200mm, thickness 1.0mm, rigid graphite, fine grain size, 99.95%', 'Carbon, foil, 25x25mm, thickness 0.125mm, rigid graphite, fine grain size, 99.95%', 'Carbon, foil, 25x25mm, thickness 0.15mm, rigid graphite, fine grain size, 99.95%', 'Carbon, foil, 25x25mm, thickness 0.25mm, rigid graphite, fine grain size, 99.95%', 'Carbon, foil, 25x25mm, thickness 0.25mm, rigid graphite, fine grain size, 99.997%', 'Carbon, foil, 25x25mm, thickness 0.5mm, rigid graphite, fine grain size, 99.95%', 'Carbon, foil, 25x25mm, thickness 0.5mm, rigid graphite, fine grain size, 99.997%', 'Carbon, foil, 25x25mm, thickness 1.0mm, rigid graphite, fine grain size, 99.95%', 'Carbon, foil, 25x25mm, thickness 2.5mm, rigid graphite, fine grain size, 99.95%', 'Carbon, foil, 48x48mm, thickness 10.0mm, rigid graphite, medium grain size, 99.5%', 'Carbon, foil, 50x50mm, thickness 0.125mm, rigid graphite, fine grain size, 99.95%', 'Carbon, foil, 50x50mm, thickness 0.25mm, rigid graphite, fine grain size, 99.95%', 'Carbon, foil, 50x50mm, thickness 0.25mm, rigid graphite, fine grain size, 99.997%', 'Carbon, foil, 50x50mm, thickness 0.5mm, rigid graphite, fine grain size, 99.95%', 'Carbon, foil, 50x50mm, thickness 0.5mm, rigid graphite, fine grain size, 99.997%', 'Carbon, foil, 50x50mm, thickness 1.0mm, rigid graphite, fine grain size, 99.95%', 'Carbon, foil, 50x50mm, thickness 2.5mm, rigid graphite, fine grain size, 99.95%', 'Carbon, foil, 50x50mm, thickness 5.0mm, rigid graphite, medium grain size, 99.5%', 'Carbon, foil, not light tested, 100x100mm, thickness 0.075mm, flexible graphite, 99.8%', 'Carbon, foil, not light tested, 150x150mm, thickness 0.075mm, flexible graphite, 99.8%', 'Carbon, foil, not light tested, 150x150mm, thickness 0.125mm, flexible graphite, 99.8%', 'Carbon, foil, not light tested, 300x300mm, thickness 0.075mm, flexible graphite, 99.8%', 'Carbon, foil, not light tested, 300x300mm, thickness 0.125mm, flexible graphite, 99.8%', 'Carbon, mesoporous, nanopowder, &lt;500 nm particle size (DLS), &gt;99.95% trace metals basis', 'Carbon, microleaf, 24x70mm, thinness 5.0mum, specific density 1000mug/cm2, 99.997%', 'Carbon, microleaf, 25x70mm, thinness 1.25mum, specific density 250mug/cm2, 99.997%', 'Carbon, microleaf, 25x70mm, thinness 2.5mum, specific density 500mug/cm2, 99.997%', 'Carbon, microleaf, 50x70mm, thinness 1.25mum, specific density 250mug/cm2, 99.997%', 'Carbon, microleaf, 50x70mm, thinness 2.5mum, specific density 500mug/cm2, 99.997%', 'Charcoal briquettes, shell, screenings, wood, etc. [NA1361]  [Spontaneously combustible]', 'Fullerene, carbon nanotube, multi-walled, 3-20 nm OD, 1-3 nm ID, 0.1-10 micron long', '74C', 'Activated Charcoal Norit(R), Norit GAC 1240W, from coal, for potable water processing, steam activated, granular', 'Activated Charcoal Norit(R), Norit RB1, from peat, for gas purification, steam activated, rod', 'Activated Charcoal Norit(R), Norit SX ultra, from peat, corresponds U.S. Food chemicals codex (3rd Ed.), steam activated and acid washed, highly purified, powder', 'Activated Charcoal Norit(R), Norit(R) SX2, powder, from peat, multi-purpose activated charcoal, steam activated and acid washed', 'Activated Charcoal Norit(R), type Darco(R) 12x20, from lignite, granulated material, granular', 'Activated charcoal, powder, max. particle size 75 micron, weight 10 g, high purity 99.997%', 'Activated charcoal, powder, max. particle size 75 micron, weight 100 g, high purity 99.997%', 'Activated charcoal, powder, max. particle size 75 micron, weight 20 g, high purity 99.997%', 'Activated charcoal, powder, max. particle size 75 micron, weight 50 g, high purity 99.997%', 'Carbon - Vitreous, foam, 150x150mm, thickness 2.5mm, bulk density 0.05g/cm3, porosity 96.5%', 'Carbon - Vitreous, foam, 150x150mm, thickness 3.2mm, bulk density 0.05g/cm3, porosity 96.5%', 'Carbon - Vitreous, foam, 275x330mm, thickness 3.2mm, bulk density 0.05g/cm3, porosity 96.5%', 'Carbon - Vitreous, foam, 300x300mm, thickness 20mm, bulk density 0.05g/cm3, porosity 96.5%', 'Carbon - Vitreous, foam, 300x300mm, thickness 30mm, bulk density 0.05g/cm3, porosity 96.5%', 'Carbon - Vitreous, tube, 100mm, outside diameter 10mm, inside diameter 3mm, wall thickness 3.5mm, glassy carbon', 'Carbon - Vitreous, tube, 50mm, outside diameter 10mm, inside diameter 3mm, wall thickness 3.5mm, glassy carbon', 'Carbon nanofibers, graphitized (iron-free), composed of conical platelets, D x L 100 nm x 20-200 mum', 'Carbon nanofibers, graphitized, platelets (conical), &gt;98% carbon basis, D x L 100 nm x 20-200 mum', 'Carbon nanofibers, pyrolitically stripped, platelets (conical), &gt;98% carbon basis, D x L 100 nm x 20-200 mum', 'Carbon, fabric coil, 0.5m, weight.mu?? 110g, thickness 0.5mm, ends x picks/10cm 130x130, plain weave', 'Carbon, fabric coil, 1m, weight.mu?? 110g, thickness 0.5mm, ends x picks/10cm 130x130, plain weave', 'Carbon, fabric, 1000x1000mm, weight.mu?? 375g, thickness 0.4mm, ends x picks/10cm 47x47, 2/2 twill weave', 'Carbon, fabric, 1000x1000mm, weight.mu?? 92g, thickness 0.15mm, ends x picks/10cm 69x69, plain weave', 'Carbon, fabric, 150x150mm, weight.mu?? 200g, thickness 0.3mm, ends x picks/10cm 50x50, plain weave', 'Carbon, fabric, 150x150mm, weight.mu?? 375g, thickness 0.4mm, ends x picks/10cm 47x47, 2/2 twill weave', 'Carbon, fabric, 250x250mm, weight.mu?? 92g, thickness 0.15mm, ends x picks/10cm 69x69, plain weave', 'Carbon, fabric, 300x300mm, weight.mu?? 110g, thickness 0.5mm, ends x picks/10cm 130x130, plain weave', 'Carbon, fabric, 500x500mm, weight.mu?? 375g, thickness 0.4mm, ends x picks/10cm 47x47, 2/2 twill weave', 'Carbon, fabric, 500x500mm, weight.mu?? 92g, thickness 0.15mm, ends x picks/10cm 69x69, plain weave', 'Carbon, fiber, 1000m, tex number 200, filament diameter 0.007mm, number of filaments 3000, grade tenax hta, epoxy sized', 'Carbon, fiber, 1000m, tex number 720, filament diameter 0.011mm, number of filaments 4000, grade p25, epoxy sized', 'Carbon, fiber, 1000m, tex number 795, filament diameter 0.007mm, number of filaments 12000, grade XaS, epoxy sized (1.6%)', 'Carbon, fiber, 100m, tex number 280, filament diameter 0.009mm, number of filaments 2000, grade f500, epoxy sized (1.0%)', 'Carbon, fiber, 100m, tex number 400, filament diameter 0.007mm, number of filaments 6000, grade tenax hta, epoxy sized (1.2%)', 'Carbon, fiber, 100m, tex number 400, number of filaments 12000, continuous multi-filament TOW.', 'Carbon, fiber, 10m, tex number 200, filament diameter 0.007mm, number of filaments 3000, grade tenax hta, epoxy sized', 'Carbon, fiber, 10m, tex number 400, filament diameter 0.007mm, number of filaments 6000, grade tenax hta, epoxy sized (1.2%)', 'Carbon, fiber, 10m, tex number 900, filament diameter 0.008mm, number of filaments 10000, grade hm, epoxy sized (0.7%)', 'Carbon, fiber, 200m, tex number 280, filament diameter 0.009mm, number of filaments 2000, grade f500, epoxy sized (1.0%)', 'Carbon, fiber, 200m, tex number 795, filament diameter 0.007mm, number of filaments 12000, grade XaS, epoxy sized (1.6%)', 'Carbon, fiber, 20m, tex number 400, number of filaments 12000, continuous multi-filament TOW.', 'Carbon, fiber, 20m, tex number 420, filament diameter 0.01mm, number of filaments 3000, grade f180, epoxy sized (1.0%)', 'Carbon, fiber, 20m, tex number 900, filament diameter 0.008mm, number of filaments 10000, grade hm, epoxy sized (0.7%)', 'Carbon, fiber, 500m, tex number 200, filament diameter 0.007mm, number of filaments 3000, grade tenax hta, epoxy sized', 'Carbon, fiber, 50m, tex number 280, filament diameter 0.009mm, number of filaments 2000, grade f500, epoxy sized (1.0%)', 'Carbon, fiber, 50m, tex number 400, filament diameter 0.007mm, number of filaments 6000, grade tenax hta, epoxy sized (1.2%)', 'Carbon, fiber, 50m, tex number 400, number of filaments 12000, continuous multi-filament TOW.', 'Carbon, fiber, 50m, tex number 795, filament diameter 0.007mm, number of filaments 12000, grade XaS, epoxy sized (1.6%)', 'Carbon, mesoporous, average pore diameter 100 ??+/-10 ?? (typical), &gt;99.95% trace metals basis', 'Carbon, mesoporous, nanopowder, graphitized, &lt;500 nm particle size (DLS), &gt;99.95% trace metals basis', 'Carbon, microleaf, 25x70mm, thinness 0.0025mum, specific density 0.5mug/cm2, temporary glass support, 99.997%', 'Carbon, microleaf, 25x70mm, thinness 0.025mum, specific density 5mug/cm2, temporary glass support, 99.997%', 'Carbon, microleaf, 25x70mm, thinness 0.050mum, specific density 10mug/cm2, temporary glass support, 99.997%', 'Carbon, microleaf, 25x70mm, thinness 0.25mum, specific density 50mug/cm2, temporary glass support, 99.997%', 'Carbon, microleaf, 25x70mm, thinness 0.50mum, specific density 100mug/cm2, temporary glass support, 99.997%', 'Carbon, microleaf, 25x70mm, thinness 0.50mum, specific density 100mug/cm2, temporary glass support, annealed, 99.997%', 'Carbon, tube, graphite, 100mm, outside diameter 12.7mm, inside diameter 9.5mm, wall thickness 1.6mm, 99.95%', 'Carbon, tube, graphite, 100mm, outside diameter 3.18mm, inside diameter 1.18mm, wall thickness 1.0mm, 99.95%', 'Carbon, tube, graphite, 100mm, outside diameter 6.35mm, inside diameter 3.15mm, wall thickness 1.6mm, 99.95%', 'Carbon, tube, graphite, 150mm, outside diameter 12.7mm, inside diameter 9.5mm, wall thickness 1.6mm, 99.95%', 'Carbon, tube, graphite, 150mm, outside diameter 3.18mm, inside diameter 1.18mm, wall thickness 1.0mm, 99.95%', 'Carbon, tube, graphite, 150mm, outside diameter 6.35mm, inside diameter 3.15mm, wall thickness 1.6mm, 99.95%', 'Carbon, tube, graphite, 47mm, outside diameter 6.35mm, inside diameter 3.15mm, wall thickness 1.6mm, 99.95%', 'Carbon, tube, graphite, 50mm, outside diameter 12.7mm, inside diameter 9.5mm, wall thickness 1.6mm, 99.95%', 'Carbon, tube, graphite, 50mm, outside diameter 3.18mm, inside diameter 1.18mm, wall thickness 1.0mm, 99.95%', 'Glassy carbon foam, nominally 500 pores per inch, Length (in),6 , Width (in), 6 , Thickness (in), 1', 'Graphite electrode, crater-drillpoint/undercut, 6.15mm dia, 38.10mm length, volume 0.072cc', 'Graphite fusion crucible lid for stock number 14747, 3.2cm (1.25in) dia, 0.48cm (0.19in) thick', 'MeH', 'Methane, compressed or natural gas, compressed (with high methane content) [UN1971]  [Flammable gas]', 'Methane, compressed or natural gas, compressed (with high methane content) [UN1971] [Flammable gas]', 'Methane, refrigerated liquid (cryogenic liquid) or natural gas, refrigerated liquid (cryogenic liquid) (with high methane content)', 'Methane, refrigerated liquid (cryogenic liquid) or natural gas, refrigerated liquid (cryogenic liquid) (with high methane content) [UN1972]  [Flammable gas]', 'Methane, refrigerated liquid (cryogenic liquid) or natural gas, refrigerated liquid (cryogenic liquid) (with high methane content) [UN1972] [Flammable gas]']</t>
  </si>
  <si>
    <t>Compound(297)</t>
  </si>
  <si>
    <t>Accumulation time</t>
  </si>
  <si>
    <t>Acidity</t>
  </si>
  <si>
    <t>Activity concentration</t>
  </si>
  <si>
    <t>1-(6-tert-butyl-1,1-dimethyl-2,3-dihydroinden-4-yl)ethanone</t>
  </si>
  <si>
    <t>['CELESTOLIDE', '13171-00-1', '1-(6-(tert-Butyl)-1,1-dimethyl-2,3-dihydro-1H-inden-4-yl)ethanone', '4-Acetyl-6-tert-butyl-1,1-dimethylindane', '4-Acetyl-6-tert-butyl-1,1-dimethylindan', '6-tert-Butyl-1,1-dimethylindan-4-yl methyl ketone', '1-(6-tert-Butyl-1,1-dimethyl-2,3-dihydro-1H-inden-4-yl)ethanone', 'UNII-E1HM68Q21P', '4-Acetyl-6-butyl-1,1-dimethylindane', 'FEMA No. 3653', '1-(6-tert-butyl-1,1-dimethyl-2,3-dihydroinden-4-yl)ethanone', '6-tert-Butyl-1,1-dimethyl-4-indanyl methyl ketone', 'Ethanone, 1-[6-(1,1-dimethylethyl)-2,3-dihydro-1,1-dimethyl-1H-inden-4-yl]-', 'EINECS 236-114-4', 'Ketone, 6-tert-butyl-1,1-dimethyl-4-indanyl methyl', '4-Acetyl-6-tert-butyl-1,1-dimethyl indan', 'AI3-28573', 'E1HM68Q21P', '1-(6-tert-butyl-1,1-dimethyl-2,3-dihydro-1H-inden-4-yl)ethan-1-one', '1-(6-(1,1-Dimethylethyl)-2,3-dihydro-1,1-dimethyl-1H-inden-4-yl)ethanone', 'Ethanone, 1-(6-(1,1-dimethylethyl)-2,3-dihydro-1,1-dimethyl-1H-inden-4-yl)-', 'W-110316', 'Indane, 4-acetyl-1,1-dimethyl-6-(1,1-dimethylethyl)', 'acetyl tert-butyl dimethylindan', 'Chrysolide', 'Esperone', 'CCRIS 8404', 'Musk celestolide', 'musk dimethyl indane', 'ADBI (Celestolide)', 'ACMC-209bnl', 'DSSTox_CID_24536', 'DSSTox_RID_80299', 'DSSTox_GSID_44536', 'SCHEMBL112943', 'CHEMBL3188960', 'DTXSID9044536', 'CTK8B0138', 'FEMA 3653', 'HSDB 8415', 'ADBI 10 microg/mL in Cyclohexane', 'ZINC3881431', 'ZX-AT006138', 'Tox21_301542', '5877AA', 'ANW-19375', 'BBL009811', 'CCG-50538', 'STK709219', 'AKOS001014891', 'LS-2539', 'MCULE-7921984241', 'OR28804', 'PS-7533', '4-acetyl-1,1-dimethyl-6-t-butylindane', '4-acetyl-6-t-butyl-1,1-dimethylindane', 'KS-0000150P', 'NCGC00255757-01', 'AK-57670', 'SC-25040', 'AX8016763', 'CAS-13171-00-1', 'FT-0601565', 'NS00001394', 'T7374', 'C-14835', 'SR-01000639907-1', '1-(6-tert-butyl-1,1-dimethyl-indan-4-yl)-ethanone', '6-tert-Butyl-1,1-dimethylindan-4-yl methyl ketone;', 'Q27276748', '6-Tert-Butyl-1,1-dimethyl-4-indanyl methyl ketone, 8CI', '1-[6-(1,1-Dimethylethyl)-2,3-dihydro-1,1-dimethyl-1H-inden-4-yl]ethanone, 9CI']</t>
  </si>
  <si>
    <t>Compound(61585)</t>
  </si>
  <si>
    <t>C17H24O</t>
  </si>
  <si>
    <t>Fiber fraction cellulose + lignin</t>
  </si>
  <si>
    <t>4-[[(2R,5S)-5-[(2S)-2-[amino(hydroxy)methyl]pyrrolidine-1-carbonyl]pyrrolidin-2-yl]methoxy]-3-tert-butylbenzoic acid</t>
  </si>
  <si>
    <t>['ADF']</t>
  </si>
  <si>
    <t>Compound(6914637)</t>
  </si>
  <si>
    <t>C22H33N3O5</t>
  </si>
  <si>
    <t>ammonium 4,8-dioxa-3H-perfluorononanoate</t>
  </si>
  <si>
    <t>azanium;2,2,3-trifluoro-3-[1,1,2,2,3,3-hexafluoro-3-(trifluoromethoxy)propoxy]propanoate</t>
  </si>
  <si>
    <t>['Ammonium 4,8-dioxa-3H-perfluorononanoate', '958445-44-8', 'SCHEMBL3189291', 'DTXSID00874026', '3H-?perfluoro-?3-?[(3-?methoxy-?propoxy)propanoic acid], ammonium salt', 'Propanoic acid, 2,2,3-trifluoro-3-[1,1,2,2,3,3-hexafluoro-3-(trifluoromethoxy)propoxy]-, ammonium salt (1:1)']</t>
  </si>
  <si>
    <t>Compound(87490983)</t>
  </si>
  <si>
    <t>C7H5F12NO4</t>
  </si>
  <si>
    <t>Phosphate release rate</t>
  </si>
  <si>
    <t>Reason for cancellation of sample not taken</t>
  </si>
  <si>
    <t>Separation yield</t>
  </si>
  <si>
    <t>Drainable precipitation</t>
  </si>
  <si>
    <t>Deviation</t>
  </si>
  <si>
    <t>5-acetyl-1,1 , 2,3,3,6-hexamethylindane</t>
  </si>
  <si>
    <t>1-(1,1,2,3,3,6-hexamethyl-2H-inden-5-yl)ethanone</t>
  </si>
  <si>
    <t>['Phantolide', '15323-35-0', 'Phantolid', 'Acetyl hexamethyl indan', 'Ethanone, 1-(2,3-dihydro-1,1,2,3,3,6-hexamethyl-1H-inden-5-yl)-', '5-Acetyl-1,1,2,3,3,6-hexamethylindan', '64058-43-1', '1-(1,1,2,3,3,6-hexamethyl-2,3-dihydro-1H-inden-5-yl)ethan-1-one', '1,1,2,3,3,6-Hexamethylindan-5-yl methyl ketone', '1-(1,1,2,3,3,6-hexamethyl-2H-inden-5-yl)ethanone', '6-Acetyl-1,1,2,3,3,5-hexamethylindan', '1-(1,1,2,3,3,6-HEXAMETHYL-2,3-DIHYDRO-1H-INDEN-5-YL)ETHANONE', 'Ketone, 1,1,2,3,3,6-hexamethyl-5-indanyl methyl', 'KETONE, 1,1,2,3,3,6-HEXAMETHYLINDAN-5-YL METHYL', '5-acetyl-1,1,2,3,3,6-hexamethylindane', 'Phantolide (VAN)', 'CCRIS 8405', 'EINECS 239-360-0', 'AHDI (Phantolide)', 'NSC 16827', 'SCHEMBL159738', 'DTXSID9051743', 'SCHEMBL11360760', 'CTK5C0596', 'NPD7834', 'AHMI 10 microg/mL in Cyclohexane', 'KS-00002B7D', 'NSC16827', '4761AD', 'BBL028589', 'NSC-16827', 'STL371299', 'AKOS000623003', 'AKOS016340554', 'MCULE-1240213905', 'SS-4365', '5-Acetyl-1,2,3,3,6-hexamethylindan', '6-Acetyl-1,2,3,3,5-hexamethylindan', 'LS-87214', '6-acetyl-1,1,2,3,3,5-hexamethylindane', '6-Acetyl-1,1,2,3,3,5-hexamethyl indan', 'LS-190741', 'FT-0673665', 'NS00004430', 'ST50000566', 'Ketone,1,2,3,3,6-hexamethyl-5-indanyl methyl', '058P431', '1,1,2,3,3,6-Hexamethylindan-5-yl methyl ketone.', 'J-008993', 'Q21099107', 'Ketone, 1,1,2,3,3,6-hexamethyl-5-indanyl methyl (8CI)', 'Ethanone,3-dihydro-1,1,2,3,3,6-hexamethyl-1H-inden-5-yl)-', '1-(2,3-Dihydro-1,1,2,3,3,6-hexamethyl-1H-inden-5-yl)ethanone', 'Ethanone,1-(2,3-dihydro-1,1,2,3,3,5-hexamethyl-1H-inden-2-yl)-', 'AHMI;ACETYL HEXAMETHYL INDAN;Phantolide;1,1,2,3,3,6-hexamethylindan-5-yl methyl ketone']</t>
  </si>
  <si>
    <t>Compound(47167)</t>
  </si>
  <si>
    <t>1-(3,5,5,6,8,8-hexamethyl-6,7-dihydronaphthalen-2-yl)ethanone</t>
  </si>
  <si>
    <t>['21145-77-7', 'Tonalid', 'Tonalide', '6-Acetyl-1,1,2,4,4,7-hexamethyltetralin', '1-(3,5,5,6,8,8-hexamethyl-5,6,7,8-tetrahydronaphthalen-2-yl)ethanone', '1506-02-1', 'Acetyl hexamethyl tetralin', 'Ethanone, 1-(5,6,7,8-tetrahydro-3,5,5,6,8,8-hexamethyl-2-naphthalenyl)-', 'AHTN', 'Tentarome', 'Tetralide', 'Musk tonalid', 'AHMT (perfume)', 'AHMT', 'acetyl methyl tetramethyl tetralin', 'EINECS 216-133-4', 'NSC 19550', '7-Acetyl-1,1,3,4,4,6-hexamethyl-1,2,3,4-tetrahydronaphthalene', 'fixolide', '1-(5,6,7,8-Tetrahydro-3,5,5,6,8,8-hexamethyl-2-naphthyl)ethan-1-one', '7-Acetyl-1,1,3,4,4,6-hexamethyltetralin', 'CHEBI:88666', 'EINECS 244-240-6', '7-Acetyl-1,1,3,4,4,6-hexamethyltetrahydronaphthalene', 'AK-72913', 'AI3-28517', '1-(3,5,5,6,8,8-hexamethyl-5,6,7,8-tetrahydronaphthalen-2-yl)ethan-1-one', 'W-107569', 'W-109114', '6-Acetyl-1,1,2,4,4,7-hexamethyl-1,2,3,4-tetrahydronaphthalene', '2-Acetyl-3,5,5,6,8,8-hexamethyl-5,6,7,8- tetrahydronaphthalene', '1-(3,5,5,6,8,8-Hexamethyl-5,6,7,8-tetrahydro-naphthalen-2-yl)ethanone', '1-(5,6,7,8-Tetrahydro-3,5,5,6,8,8-hexamethyl-2-naphthalenyl)ethan- one', "2'-Acetonaphthone, 5',6',7',8'-tetrahydro-3',5',5',6',8',8'-hexamethyl-", 'CCRIS 8403', 'AHTN (Tonalide)', 'EC 216-133-4', 'DSSTox_CID_21544', 'DSSTox_RID_79772', 'DSSTox_GSID_41544', 'KSC492C4B', 'SCHEMBL110818', 'CCRIS 8496', 'CHEMBL3184267', 'DTXSID7041544', 'CTK3J2140', 'HSDB 7515', 'AHTN 10 microg/mL in Cyclohexane', '1-(3,5,5,6,8,8-hexamethyl-6,7-dihydronaphthalen-2-yl)ethanone', 'KS-00000HC4', 'KS-00000ZD4', 'NSC19550', 'Tox21_301256', 'BBL018868', 'NSC-19550', 'STL195398', 'AKOS015920154', 'GS-4166', 'MCULE-5128561438', 'NCGC00255431-01', 'BR-72913', 'LS-67597', 'LS-67598', 'AX8157828', 'CAS-21145-77-7', '6-acetyl-1,1,2,4,4,7-hexamethyltetraline', 'FT-0675293', 'FT-0688135', 'W4412', 'EC 244-240-6', 'S-5529', '145T777', '7-Acetyl-1,3,4,4,6-hexamethyltetrahydronaphthalene', 'Q2409972', '6-Acetyl-1,1,2,4,4,7-hexamethyltetralin, &gt;=98%', '6-Acetyl-1,1,2,4,4,7-hexamethyltetralin, AldrichCPR', '7-Acetyl-1,1,3,4,4,6-hexamethyl-tetra-hydronaphtalene', '6-Acetyl-1,1,2,4,4,7-hexamethyltetralin, analytical standard', '1,1,3,4,4,6-Hexamethyl-7-acetyl-1,2,3,4-tetrahydronaphthalene', '1-(3,5,5,6,8,8-Hexamethyl-5,6,7,8-tetrahydro-2-naphthalenyl)ethanone #', '1-(5,6,7,8-tetrahydro-3,5,5,6,8,8-hexamethyl-2-naphthalenyl)-ethanone', "2'-Acetonaphthone,6',7',8'-tetrahydro-3',5',5',6',8',8'-hexamethyl-", 'Ethanone,6,7,8-tetrahydro-3,5,5,6,8,8-hexamethyl-2-naphthalenyl)- (VA', '(+/-)-1-(3,5,5,6,8,8-hexamethyl-5,6,7,8-tetrahydro-2-naphthalenyl)-1-ethanone', "2'-Acetonaphthone, 5',6',7',8'-tetrahydro-3',5',5',6',8',8'-hexamethyl- (VAN)", "2'-Acetonaphthone, 5',6',7',8'-tetrahydro-3',5',5',6',8',8'-hexamethyl- (VAN) (8CI)", 'Ethanone, 1-(5,6,7,8-tetrahydro-3,5,5,6,8,8-hexamethyl-2-naphthalenyl)- (VAN)', 'Ethanone, 1-(5,6,7,8-tetrahydro-3,5,5,6,8,8-hexamethyl-2-naphthalenyl)- (VAN) (9CI)']</t>
  </si>
  <si>
    <t>Compound(89440)</t>
  </si>
  <si>
    <t>C18H26O</t>
  </si>
  <si>
    <t>aminomethylphosphonic acid</t>
  </si>
  <si>
    <t>['(Aminomethyl)phosphonic acid', '1066-51-9', 'AMINOMETHYLPHOSPHONIC ACID', 'Aminomethanephosphonic acid', '1-Aminomethylphosphonic acid', 'AMeP', '1-Aminomethylphosphonate', 'Amino methane phosphoric acid', 'Caswell No. 037C', 'Phosphaglycine', '(1-Aminomethyl)phosphonic acid', 'Phosphonic acid, (aminomethyl)-', 'Phosphonic acid, aminomethyl-', 'UNII-90825O5C1U', 'Aminomethylphosphonic acid (AMPA)', 'MFCD00008105', 'NSC 30076', 'EPA Pesticide Chemical Code 207800', 'CHEBI:28812', '(Aminomethyl)phosphonic acid, 99%', 'GEO-00169', '90825O5C1U', 'AK384725', 'aminomethylphosphonate', '(aminomethyl)phosphonate', 'CHEMBL41873', 'Ammonium-methanephosphonic acid anion', '(Aminomethyl)phosphonic acid, analytical standard', 'CH6NO3P', 'CCRIS 9453', 'Glyphosate metabolite', 'ACMC-1BRT5', 'Amino Methyl Phosphoric Acid', 'SCHEMBL66605', '(Aminomethane)phosphonic acid', 'Glyphosat-trimesium metabolite', 'Glyphosate metabolite (AMPA)', 'DTXSID5037490', 'CTK3J2279', 'KS-00000LJQ', 'Phosphonic acid, P-(aminomethyl)-', 'Aminomethyl phosphonic acid (AMPA)', 'BCP11241', 'NSC30076', 'ZINC8418339', 'ANW-15419', 'BBL101930', 'FCH931695', 'NSC-30076', 'STL555727', 'AKOS000348731', 'DG-0043', 'Phosphonic acid, (aminomethyl)- (8CI)', 'SC-86885', 'SY011283', 'AB0070764', 'AX8046433', 'DB-040696', 'LS-183986', 'BB 0218000', 'FT-0622293', 'NS00004723', 'Z2089', 'C11033', 'Phosphonic acid, (aminomethyl)- (8CI)(9CI)', 'X-1391', '066A519', 'J-001622', 'Q19367475', 'Aminomethyl phosphonic acid (AMPA) 10 microg/mL in Water', 'Aminomethyl phosphonic acid (AMPA) 100 microg/mL in Water', 'AMPA;(Aminomethyl)phosphonic Acid;Amino Methyl Phosphoric Acid;Aminomethylphosphonic acid']</t>
  </si>
  <si>
    <t>Compound(14017)</t>
  </si>
  <si>
    <t>CH6NO3P</t>
  </si>
  <si>
    <t>(8R,9S,10R,13S,14S,17R)-13-ethyl-17-ethynyl-17-hydroxy-1,2,6,7,8,9,10,11,12,14,15,16-dodecahydrocyclopenta[a]phenanthren-3-one;(8R,9S,13S,14S,17R)-17-ethynyl-13-methyl-7,8,9,11,12,14,15,16-octahydro-6H-cyclopenta[a]phenanthrene-3,17-diol</t>
  </si>
  <si>
    <t>['Microgynon', 'Ovral', 'Anteovin', 'Gravistat', 'Gynatrol', 'Minisiston', 'Rigevidon', 'Sequostat', 'Stediril', 'Trigynon', 'Trikvilar', 'Trinordiol', 'Triquilar', 'Trisiston', 'Adepal', 'Eugynon', 'Ovidon', 'Biphasil', 'Duoluton', 'Femenal', 'Follimin', 'Follinett', 'Follinyl', 'Logynon', 'Minidril', 'Minigynon', 'Neogynon', 'Neovlar', 'Neovletta', 'Nordiol', 'Orasecron', 'Ovranett', 'Primovlar', 'Quasense', 'Sequilar', 'Sequilarum', 'Alesse', 'Ediwal', 'Levora', 'Lybrel', 'Ovran', 'Anna', 'Low-ogestrel', 'Pro-Duosterone', 'Lo-Femenal', 'Stediril D', 'Tri-Regol', 'Microgynon 30', 'Ovral L', 'Microvlar 30', 'Triphasil-21', 'Biphasil 21', 'Biphasil 28', 'Stederil 30', 'Schering PC 4', 'Eugynon 30', 'Nordiol-28', 'Alesse 28', 'LEVLITE', 'Ovral 21', 'Ovral 28', 'PC 4 (contraceptive)', 'Norgestrel-ethinyl estradiol', 'LOC 31A', 'SHB 261AB', 'SHB 264AB', 'CRYSELLE', 'CCRIS 7261', 'Ethinyl estradiol/levonorgestrel', 'Levonorgestrel/ethinyl estradiol', 'LOC 31', 'Norgestrel and Ethinyl Estradiol', 'WL 33', 'WY-E 104', 'TRIPHASIL-28', 'ETHINYL ESTRADIOL-NORGESTREL COMBINATION', 'Levonorgestrel and Ethinyl Estradiol', 'ENPRESSE-21', 'ENPRESSE-28', 'LOW-OGESTREL-21', 'LOW-OGESTREL-28', 'NORDETTE-21', 'NORDETTE-28', 'LESSINA-21', 'LESSINA-28', 'TRIVORA-21', 'TRIVORA-28', 'AVIANE-21', 'AVIANE-28', 'Ethinyloestradiol mixed with norgestrel', 'Norgestrel mixed with ethinyloestradiol', 'PORTIA-21', 'PORTIA-28', 'Ethinyl estradiol mixed with norgestrel', 'Norgestrel mixed with ethinyl estradiol', 'LO/OVRAL-28', 'OVRAL-28', 'dl-Norgestrel mixed with ethinylestradiol', 'Ethinylestradiol mixed with dl-norgestrel', 'Elifemme', 'SH 71121', 'Ethinylestradiol mixture with Levonorgestrel', 'OGESTREL 0.5/50-21', 'OGESTREL 0.5/50-28', 'LEVORA 0.15/30-21', 'LEVORA 0.15/30-28', '8056-51-7', 'aviane', 'PREVEN EMERGENCY CONTRACEPTIVE KIT', '39366-37-5', 'Loseasonique', 'Altavera', 'Introvale', 'Jolessa', 'Levonest', 'Marlissa', 'Quartette', 'Portia', 'Sronyx', 'Trisistone R', 'Trisistone-R', '18,19-Dinorpregn-4-en-20-yn-3-one, 13-ethyl-17-hydroxy-, (17-alpha)-(+-)-, mixt. with (17-alpha)-19-norpregna-1,3,5(10)-trien-20-yne-3,17-diol', '18,19-Dinorpregn-4-en-20-yn-3-one, 13-ethyl-17-hydroxy-, (17-alpha)-, mixt. with (17-alpha)-19-norpregna-1,3,5(10)-trien-20-yne-3,17-diol', 'Aviane-21Fe', 'Pearl Oral Contraceptive', 'aless', 'Twirla', 'Vienva', 'Levonorgestrel, ethinyl estradiol', 'Norgestrel-ethynylestradiol mixt.', 'SH D00264A', 'Levonorgestrel-ethinyl estradiol mixt.', 'C21H28O2.C20H24O2', 'Ethinylestradiol - levonorgestrel mixt.', 'Levonorgestrel - ethynylestradiol mixt.', 'Norgestrel-Ethinyl Estradiol Combination', 'Ethinyl estradiol mixture with norgestrel', 'AG 200-15', 'Levonorgestrel and Ethinyl Estradiol tablets', 'Ethinyl estradiol mixture with levonorgestrel', 'ethinyl estradiol, levonorgestrel drug combination', 'Norgestrel-ethynylestradiol mixt', 'SCHEMBL4451192', 'DTXSID90192569', 'Levonorgestrel-ethinyl estradiol mixt', 'Ethinylestradiol - levonorgestrel mixt', 'Levonorgestrel - ethynylestradiol mixt', 'AG200-15', 'LS-62088', 'LS-62092', '18,19-Dinorpregn-4-en-20-yn-3-one, 13-ethyl-17-hydroxy-, (17-alpha)-(+-)-,mixt. with (17-alpha)-19-norpregna-1,3,5(10)-trien-20-yne-3,17-diol']</t>
  </si>
  <si>
    <t>Compound(24706)</t>
  </si>
  <si>
    <t>C41H52O4</t>
  </si>
  <si>
    <t>Biodiversity</t>
  </si>
  <si>
    <t>Exotics</t>
  </si>
  <si>
    <t>Commercial fish, crustaceans and shellfish</t>
  </si>
  <si>
    <t>Food webs</t>
  </si>
  <si>
    <t>Eutrophication</t>
  </si>
  <si>
    <t>Seabed integrity</t>
  </si>
  <si>
    <t>Hydrographic properties</t>
  </si>
  <si>
    <t>Pollutants</t>
  </si>
  <si>
    <t>Pollutants of fishery products</t>
  </si>
  <si>
    <t>Litter</t>
  </si>
  <si>
    <t>D10C1 waste (excl. Micro waste)</t>
  </si>
  <si>
    <t>D10C2 micro-waste</t>
  </si>
  <si>
    <t>D10C3 waste in the stomachs of marine animals</t>
  </si>
  <si>
    <t>D10C4 adverse effects of waste</t>
  </si>
  <si>
    <t>Underwater noise</t>
  </si>
  <si>
    <t>D11C1 anthropogenic impulsive sound</t>
  </si>
  <si>
    <t>D11C2 anthropogenic continuous sound</t>
  </si>
  <si>
    <t>D1C1 death rate from bycatch</t>
  </si>
  <si>
    <t>D1C2 population density</t>
  </si>
  <si>
    <t>D1C3 population demographics</t>
  </si>
  <si>
    <t>D1C4 population distribution</t>
  </si>
  <si>
    <t>D1C5 habitat for the species</t>
  </si>
  <si>
    <t>D1C6 status of the habitat type</t>
  </si>
  <si>
    <t>D2C1 introduced non-native species</t>
  </si>
  <si>
    <t>D2C2 den. + spread. established non-native species</t>
  </si>
  <si>
    <t>D2C3 share that neg. altered by non-native species</t>
  </si>
  <si>
    <t>D3C1 fishing mortality</t>
  </si>
  <si>
    <t>D3C2 spawning stock biomass</t>
  </si>
  <si>
    <t>D3C3 age structure and size distribution</t>
  </si>
  <si>
    <t>D4C1 diversity of the trophic guild</t>
  </si>
  <si>
    <t>D4C2 density of the trophic guild</t>
  </si>
  <si>
    <t>D4C3 size distribution of the trophic guild</t>
  </si>
  <si>
    <t>D4C4 Trophic Guild productivity</t>
  </si>
  <si>
    <t>D5C1 nutrient concentration</t>
  </si>
  <si>
    <t>D5C2 chlorophyll-a concentration</t>
  </si>
  <si>
    <t>D5C3 harmful algal blooms</t>
  </si>
  <si>
    <t>D5C4 transparency</t>
  </si>
  <si>
    <t>D5C5 dissolved oxygen concentration</t>
  </si>
  <si>
    <t>D5C6 Density of Opportunistic Macroalgae</t>
  </si>
  <si>
    <t>D5C7 harmful effects of nutrients on macrophyte community.</t>
  </si>
  <si>
    <t>D5C8 Adverse effects of nutrients on macrofaunae.</t>
  </si>
  <si>
    <t>D6C1 physical loss of the natural seabed</t>
  </si>
  <si>
    <t>D6C2 Physical disturbances of the seabed</t>
  </si>
  <si>
    <t>D6C3 Size of habitat type that has been damaged</t>
  </si>
  <si>
    <t>D6C4 Extent of habitat type loss</t>
  </si>
  <si>
    <t>D6C5 condition of the benthic habitat</t>
  </si>
  <si>
    <t>D7C1 permanent change of hydrographic conditions</t>
  </si>
  <si>
    <t>D7C2 adverse change. hydrograph. circumstance. per habitat type</t>
  </si>
  <si>
    <t>D8C1 pollutants in the environment</t>
  </si>
  <si>
    <t>D8C2 adverse effects of impurities</t>
  </si>
  <si>
    <t>D8C3 significant serious impurities</t>
  </si>
  <si>
    <t>D8C4 adverse effects of significant severe pollution.</t>
  </si>
  <si>
    <t>D9C1 contaminants in fishery products</t>
  </si>
  <si>
    <t>acetylcedrene</t>
  </si>
  <si>
    <t>1-[(1R,2R,5S,7R)-2,6,6,8-tetramethyl-9-tricyclo[5.3.1.01,5]undec-8-enyl]ethanone</t>
  </si>
  <si>
    <t>['32388-55-9', '1-cedr-8-en-9-ylethanone', 'UNII-X6I62755AK', '1-((3R,3aR,7R,8aS)-3,6,8,8-Tetramethyl-2,3,4,7,8,8a-hexahydro-1H-3a,7-methanoazulen-5-yl)ethanone', 'Acetylcedrene', 'Vertofix', 'X6I62755AK', 'DSSTox_CID_9353', 'DSSTox_RID_78769', 'DSSTox_GSID_29353', 'Ethanone, 1-[(3R,3aR,7R,8aS)-2,3,4,7,8,8a-hexahydro-3,6,8,8-tetramethyl-1H-3a,7-methanoazulen-5-yl]-', 'Lixetone', 'Ethanone, 1-((3R,3aR,7R,8aS)-2,3,4,7,8,8a-hexahydro-3,6,8,8-tetramethyl-1H-3a,7-methanoazulen-5-yl)-', 'Acetyl-alpha-cedrene', 'CAS-32388-55-9', '9-Acetyl-8-cedrene', '9-Acetylcedr-8-ene', 'EINECS 251-020-3', 'EC 251-020-3', 'SCHEMBL1629517', 'CHEMBL3184309', 'DTXSID4029353', '[3R-(3?,3a?,7?,8a?)]-1-(2,3,4,7,8,8a-hexahydro-3,6,8,8-tetramethyl-1H-3a,7-methanoazulen-5-yl)ethan-1-one', 'Tox21_202194', 'Tox21_303481', 'ZINC25722230', 'NCGC00249184-01', 'NCGC00257473-01', 'NCGC00259743-01', 'Ethanone, 1-(2,3,4,7,8,8a-hexahydro-3,6,8,8-tetramethyl-1H-3a,7-methanoazulen-5-yl)-, (3R-(3alpha,3abeta,7beta,8aalpha))-', 'Q27293605', '(3R-(3alpha,3abeta,7beta,8aalpha))-1-(2,3,4,7,8,8a-Hexahydro-3,6,8,8-tetramethyl-1H-3a,7-methanoazulen-5-yl)ethan-1-one', '[3R-(3?,3a?,7?,8a?)]-1-(2,3,4,7,8,8a-hexahydro-3,6,8,8-tetramethyl-1H-3a,7-methanoazulen-5-yl)ethan-1-one;ACETYLCEDRENE', '[3R-(3a,3ass,7ss,8aa)]-1-(2,3,4,7,8,8a-hexahydro-3,6,8,8-tetramethyl-1H-3a,7-methanoazulen-5-yl)ethan-1-one', '1-[[(3R)-2,3,4,7,8,8abeta-Hexahydro-3beta,6,8,8-tetramethyl-1H-3aalpha,7alpha-methanoazulen]-5-yl]ethanone']</t>
  </si>
  <si>
    <t>Compound(16220111)</t>
  </si>
  <si>
    <t>C17H26O</t>
  </si>
  <si>
    <t>acetylhexamethyltetrahydronaphthalene</t>
  </si>
  <si>
    <t>1-(1,1,2,6-tetramethyl-3-propan-2-yl-2,3-dihydroinden-5-yl)ethanone</t>
  </si>
  <si>
    <t>['Traseolide', '68140-48-7', 'EINECS 268-799-0', '1-[2,3-Dihydro-1,1,2,6-tetramethyl-3-(1-methylethyl)-1H-inden-5-yl]ethan-1-one', 'Ketone, 3-isopropyl-1,1,2,6-tetramethyl-5-indanyl methyl', 'Traesolide', 'Ethanone, 1-(2,3-dihydro-1,1,2,6-tetramethyl-3-(1-methylethyl)-1H-inden-5-yl)-', 'Ethanone, 1-[2,3-dihydro-1,1,2,6-tetramethyl-3-(1-methylethyl)-1H-inden-5-yl]-', 'Ethanone,1-[2,3-dihydro-1,1,2,6-tetramethyl-3-(1-methylethyl)-1H-inden-5-yl]-', '5-Acetyl-3-isopropyl-1,1,2,6-tetramethylindane', '1-(2,3-Dihydro-1,1,2,6-tetramethyl-3-(1-methylethyl)-1H-inden-5-yl)ethan-1-one', 'CCRIS 8407', 'ATII (Traseolide)', '1-(1,1,2,6-tetramethyl-3-propan-2-yl-2,3-dihydroinden-5-yl)ethanone', 'SCHEMBL154966', 'DTXSID9052393', 'CHEBI:63781', 'CTK5C7380', 'HSDB 8418', 'ATII 10 microg/mL in Cyclohexane', 'AKOS030254669', 'LS-169684', 'FT-0675344', 'NS00007224', '5-acetyl-1,1,2,6-tetramethyl-3-i-propylindane', '140T487', '6-acetyl-1-isopropyl-2,3,3,5-tetramethyl indan', 'Q27132803', '1-(2,3-Dihydro-1,1,2,6-tetramethyl-3-(1-methylethyl)-1H-inden-5-yl)ethan-1-one.', '1-[1,1,2,6-tetramethyl-3-(propan-2-yl)-2,3-dihydro-1H-inden-5-yl]ethanone', 'ATII (Traseolide);1-[2,3-dihydro-1,1,2,6-tetramethyl-3-(1-methylethyl)-1H-inden-5-yl]ethan-1-one;ACETYLISOPROPYLTETRAMETHYLINDANE;ATII']</t>
  </si>
  <si>
    <t>Compound(91696)</t>
  </si>
  <si>
    <t>Number of degrees of freedom at the variance density spectrum</t>
  </si>
  <si>
    <t>Number of degrees of freedom associated with the wave direction spectrum</t>
  </si>
  <si>
    <t>actinium-228</t>
  </si>
  <si>
    <t>['14331-83-0', 'Actinium-228', 'Actinium, isotope of mass 228', 'Actinium 228', 'DTXSID90873982']</t>
  </si>
  <si>
    <t>Compound(105063)</t>
  </si>
  <si>
    <t>acenaphthene</t>
  </si>
  <si>
    <t>1,2-dihydroacenaphthylene</t>
  </si>
  <si>
    <t>['ACENAPHTHENE', '1,2-Dihydroacenaphthylene', '83-32-9', '1,8-Ethylenenaphthalene', 'Naphthyleneethylene', 'peri-Ethylenenaphthalene', 'Acenaphthylene, 1,2-dihydro-', 'Ethylenenaphthalene', '1,8-Dihydroacenaphthalene', 'acenapthene', 'UNII-V8UT1GAC5Y', 'Acenaphthene, 99%', 'CCRIS 5951', 'HSDB 2659', 'NSC 7657', 'EINECS 201-469-6', 'V8UT1GAC5Y', 'AI3-00128', 'CHEBI:22154', 'MFCD00003807', 'DSSTox_CID_1774', 'DSSTox_RID_76319', 'DSSTox_GSID_21774', 'CAS-83-32-9', '1,2-Dihydro Acenaphthylene', 'Acenaphtene', 'Acenaphthene, 97%', 'ACENAPHTHENE,', 'EC 201-469-6', 'Naphthalene, 1,8-ethylene-', 'KSC448K5H', 'BIDD:GT0787', 'CHEMBL1797271', 'DTXSID3021774', 'Acenaphthene, analytical standard', 'CTK3E8553', 'NSC7657', 'NSC-7657', 'ZINC1235986', 'Tox21_202400', 'Tox21_300013', 'ANW-37672', 'SBB060402', 'STL483068', 'AKOS000119983', 'FS-4341', 'LS-1823', 'MCULE-4886754503', 'NE10282', 'KS-00000W42', 'NCGC00163966-01', 'NCGC00163966-02', 'NCGC00163966-03', 'NCGC00163966-04', 'NCGC00254079-01', 'NCGC00259949-01', 'AC-19767', 'SC-45509', 'Acenaphthene 10 microg/mL in Acetonitrile', 'acenaphthene;Acenaphthylene, 1,2-dihydro-', 'Acenaphthene 100 microg/mL in Acetonitrile', 'DB-056708', 'A0003', 'A0135', 'FT-0621716', 'NS00006748', 'ST50186536', 'C19312', 'Q415103', 'W-104147', 'Z56926550', '73BCD470-1E93-4E76-BF03-E06FB8FE00EA', 'Acenaphthene, certified reference material, TraceCERT(R)', 'F1908-0103', 'UNII-0TNN3Q0D4D component CWRYPZZKDGJXCA-UHFFFAOYSA-N', 'Acenaphthene solution, 100 mug/mL in cyclohexane, analytical standard', 'Acenaphthene solution, certified reference material, 200 mug/mL in methanol']</t>
  </si>
  <si>
    <t>Compound(6734)</t>
  </si>
  <si>
    <t>C12H10</t>
  </si>
  <si>
    <t>acenaphthylene</t>
  </si>
  <si>
    <t>['ACENAPHTHYLENE', '208-96-8', 'Acenaphthalene', 'Cyclopenta[de]naphthalene', 'acenaphthylen', 'acenapthylene', 'Cyclopenta(de)naphthalene', 'HSDB 2661', 'UNII-1Z25C36811', 'EINECS 205-917-1', 'NSC 59821', 'CHEBI:33081', 'AK-76931', '1Z25C36811', 'DSSTox_CID_3845', 'DSSTox_RID_77204', 'DSSTox_GSID_23845', 'Q-200575', 'CAS-208-96-8', 'Acenaphthylene, radical ion(1-)', '189811-56-1', 'Acenaphthylene, 75%', 'Acenaphthylene, 99%', 'ACMC-209ffp', 'Acenaphthylene,industrial', 'G00031-Watson-Int', 'CHEMBL2132328', 'DTXSID3023845', 'CTK1A1968', 'KS-00000FKU', 'Acenaphthylene, analytical standard', 'ACN-S002726', 'BCP15705', 'NSC59821', 'ZINC1689804', 'Tox21_201825', 'Tox21_300587', 'ACM208968', 'ANW-24275', 'NSC-59821', 'SBB061406', 'AKOS015901063', 'ACN-028453', 'CS-W014286', 'FCH1117907', 'LS-7874', 'MCULE-4571389115', 'NCGC00163967-01', 'NCGC00163967-02', 'NCGC00163967-03', 'NCGC00254399-01', 'NCGC00259374-01', '34493-60-2', 'AC-26296', 'CC-23640', 'DS-16915', 'SC-18791', 'Acenaphthylene 10 microg/mL in Acetonitrile', 'Acenaphthylene 10 microg/mL in Cyclohexane', 'A0005', 'AM20030321', 'FT-0600515', 'FT-0660958', 'NS00010697', 'ST51047425', 'X8427', 'Acenaphthylene 100 microg/mL in Acetonitrile', 'A815009', 'C-03077', 'Q415128', 'Acenaphthylene, certified reference material, TraceCERT(R)', 'Acenaphthylene solution, 200 mug/mL in methanol, analytical standard']</t>
  </si>
  <si>
    <t>Compound(9161)</t>
  </si>
  <si>
    <t>C12H8</t>
  </si>
  <si>
    <t>silver 110m (metastable)</t>
  </si>
  <si>
    <t>silver 111</t>
  </si>
  <si>
    <t>silver-111</t>
  </si>
  <si>
    <t>['15760-04-0', 'Silver-111', 'Silver, isotope of mass 111', '111Ag', '(~111~Ag)Silver', 'DTXSID70935739']</t>
  </si>
  <si>
    <t>Compound(161148)</t>
  </si>
  <si>
    <t>aluminum hydroxychloride</t>
  </si>
  <si>
    <t>Aluminum chlorohydrate</t>
  </si>
  <si>
    <t>['CS-B1706']</t>
  </si>
  <si>
    <t>Compound(131801133)</t>
  </si>
  <si>
    <t>Al2ClH9O5</t>
  </si>
  <si>
    <t>aluminum (trivalent)</t>
  </si>
  <si>
    <t>aluminum(3+)</t>
  </si>
  <si>
    <t>['aluminum cation', 'ALUMINUM ION', 'aluminum(3+)', 'Aluminium, ion (Al3+)', 'UNII-3XHB1D032B', 'Al+++', '3XHB1D032B', 'Al(3+)', '22537-23-1', 'Aluminum, ion (Al3+)', 'Aluminum (ion)', 'aluminum(iii) ion', 'aluminium ion', 'Alumunum ion', 'Aluminium(III)', 'Aluminum(III)', 'aluminium(3+)', 'AlIII', 'aluminium(3+) ion', 'Aluminum (III) ion', 'aluminium(III) cation', 'Al3+', 'CHEBI:49470', 'DTXSID70912343', 'DB14519', 'A816537', 'Q27104698']</t>
  </si>
  <si>
    <t>Compound(104727)</t>
  </si>
  <si>
    <t>Al+3</t>
  </si>
  <si>
    <t>aluminum oxide</t>
  </si>
  <si>
    <t>dialuminum;oxygen(2-)</t>
  </si>
  <si>
    <t>['ALUMINUM OXIDE', 'Aluminium oxide', '1344-28-1', 'alpha-Alumina', 'gamma-Alumina', 'Fasertonerde', 'Abramant', 'Abramax', 'Abrarex', 'Abrasit', 'Aloxite', 'Alundum', 'Compalox', 'Conopal', 'Faserton', 'Lucalox', 'Martoxin', 'Poraminar', 'Almite', 'Diadur', 'Saffie', 'delta alumina', 'Dural', 'Dispal alumina', 'Eta-alumina', 'Theta alumina', 'Aluminum trioxide', 'Catapal S', 'Jubenon R', 'Microgrit WCA', 'Neobead C', 'Alumite (oxide)', 'Dispal M', 'Hypalox II', 'Ketjen B', 'Cab-O-grip', 'Fiber FP', 'Ludox CL', 'Aluminite 37', 'Dialuminum trioxide', 'Alon C', 'Aluminum sesquioxide', 'Catapal SB alumina', 'Alundum 600', 'Dotment 324', 'Dotment 358', 'GK (Oxide)', 'Alcoa F 1', 'Exolon XW 60', 'A 1 (Sorbent)', 'PS 1 (Alumina)', 'Activated aluminum oxide', 'F 360 (Alumina)', 'G 0 (Oxide)', 'G 2 (Oxide)', 'Brockmann, aluminum oxide', 'Q-Loid A 30', 'Aluminum oxide (Brockmann)', 'KHP 2', 'RC 172DBM', 'UNII-LMI26O6933', 'Aluminum oxide (fibrous forms)', 'CCRIS 6605', 'HSDB 506', 'LA 6', 'Aluminum oxide (brockmann) (form)', 'Aluminum oxide (2:3)', 'Aluminum oxide (ignited)', 'EINECS 215-691-6', 'KA 101', 'MFCD00003424', 'A1-1401 P(MS)', 'A1-0109 P', 'A1-3916 P', 'A1-3970 P', 'AI3-02904', 'LMI26O6933', "A1-3438 T 1/8''", "A1-0104 T 3/16''", "A1-1404 T 3/16''", "A1-3945 E 1/16''", "A1-3980 T 5/32''", "A1-4028 T 3/16''", "A1-4126 E 1/16''", 'Alumina Ceramic', 'Aluminum lake', 'Aluminium oxide, 99.7+%, extra pure', 'Aluminum oxide [NF]', 'Al2O3', 'aluminiumoxid', 'Aluminium oxide, 99.99%, (trace metal basis), extra pure', 'Aluminumoxide', 'alpha alumina', 'gamma alumina', 'Activated alumina', 'Aluminium oxide, for chromatography, acidic, Brockmann I, 50-200 microm, 60A', 'Aluminium oxide, for chromatography, basic, Brockmann I, 50-200 microm, 60A', 'Aluminium oxide, for chromatography, neutral, Brockmann I, 50-200 microm, 60A', 'Aluminium oxide, for chromatography, weakly acidic, Brockmann I, 50-200 microm, 60A', 'EINECS 254-434-2', 'Aluminum (II) oxide', 'Aluminium oxide neutral', 'Aluminium oxide,high purity', 'EC 215-691-6', 'CHEMBL3707210', 'DTXSID1052791', 'KS-00000UUY', 'AKOS030228258', 'DB11342', 'LS-16494', 'S320', 'SC-43905', 'Q177342', 'UNII-2RF6EJ0M85 component PNEYBMLMFCGWSK-UHFFFAOYSA-N', 'Aluminum oxide, activated, neutral, Brockmann I 58 A pore size', 'Double-pass AAO Template 2.5 cm(D: 100nm,hole depth: 60 mum)']</t>
  </si>
  <si>
    <t>Compound(9989226)</t>
  </si>
  <si>
    <t>Al2O3</t>
  </si>
  <si>
    <t>aluminum phosphide</t>
  </si>
  <si>
    <t>alumanylidynephosphane</t>
  </si>
  <si>
    <t>['ALUMINUM PHOSPHIDE', 'Aluminium phosphide', 'Phostoxin', '20859-73-8', 'Celphide', 'Celphos', 'Fumitoxin', 'Delicia gastoxin', 'Celphine', 'Delicia', 'Gastion', 'Quickphos', 'Detia', 'Phostoxin-A', 'Aluminum phosphide (AlP)', 'Celphos (indian)', 'Detia gas Ex-B', 'AL-Phos', 'Detia-Ex-B', 'Aluminum monophosphide', 'Caswell No. 031', 'Aluminium fosfide [Dutch]', 'Aluminium phosphide (AlP)', 'RCRA waste no. P006', 'RCRA waste number P006', "Phosphures d'alumium [French]", 'Fosfuri di alluminio [Italian]', 'HSDB 6035', 'EINECS 244-088-0', 'UN1397', 'EPA Pesticide Chemical Code 066501', 'UN 1397', 'alumanylidynephosphane', 'Aluminium fosfide', 'Fosfuri di alluminio', "Phosphures d'alumium", 'Aluminum phosphide pesticide', 'BCP11872', 'LS-16496', '859A738', 'Q411853', 'Aluminum phosphide [UN1397]  [Dangerous when wet]', 'Aluminum phosphide [UN1397] [Dangerous when wet]', '182321-38-6']</t>
  </si>
  <si>
    <t>Compound(30332)</t>
  </si>
  <si>
    <t>aluminum sulfate</t>
  </si>
  <si>
    <t>dialuminum;trisulfate</t>
  </si>
  <si>
    <t>['ALUMINUM SULFATE', 'Aluminium sulfate', '10043-01-3', 'Dialuminum trisulfate', 'Aluminium sulphate', 'Aluminum sulfate anhydrous', 'Filter Alum', 'Aluminum sulphate', 'Sulfuric acid, aluminum salt (3:2)', 'Dialuminum sulfate', "Papermaker's Alum", 'Aluminum sulfate (2:3)', 'Aluminum alum', 'aluminum(III) sulfate', 'Pickle Alum', 'Pearl Alum', 'Aluminum trisulfate', 'Dialuminum sulphate', 'Cake alum (VAN)', 'Aluminum sesquisulfate', 'Sulfuric acid, aluminum salt', 'Aluminum alum (VAN)', 'Hi Soft C 2', 'Aluminum(III) silfate', 'Caswell No. 031A', 'Nalco 7530', 'Tai-Ace S 100', 'Tai-Ace S 150', 'Aluminum sulfate (3:2)', 'Sulphuric acid, aluminium salt', 'CCRIS 9170', 'UNII-I7T908772F', 'Aluminum sulfate (Al2(SO4)3)', 'HSDB 5067', 'EINECS 233-135-0', 'EINECS 233-329-5', 'NSC 54563', 'aluminium sulfate anhydrous', 'EPA Pesticide Chemical Code 013906', 'Sulfatodialuminum disulfate (Al2(SO4)3)', 'Sulfuric acid, aluminum(3+) salt (3:2)', '10124-29-5', 'I7T908772F', 'Alunogenite', 'Sulfuric acid, aluminum salt (1:?)', 'Aluminium sulfate, 99.999%, (trace metal basis), extra pure', 'Cake Aluminium', 'Aluminum Salt', 'Filter Alumuninium', 'Stingose (TN)', 'dialuminium trisulfate', 'sulfuric acid, aluminium salt (3:2)', 'aluminium sesquisulfate', 'aluminium(III) sulfate', 'aluminium sulfate (anh.)', 'sulfatodialuminum disulfate', 'aluminium sulfate (2:3)', 'Aluminum sulphate anhydrous', 'sulfatodialuminium disulfate', 'EC 233-135-0', 'Sulfuric acid,aluminum salt', 'Al2O12S3', 'aluminium sulfate (anhydrous)', 'Al2(SO4)3', 'CHEMBL3833402', 'DTXSID2040317', 'CHEBI:74768', 'EINECS 259-881-7', 'AKOS015903882', 'DB11239', 'LS-3166', 'LS-148173', 'FT-0622227', 'FT-0622228', 'FT-0622229', 'V0798', 'D07565', 'Sulfuric acid,aluminumsalt(3:2),hydrate(2:11)(8ci,9ci)']</t>
  </si>
  <si>
    <t>Compound(24850)</t>
  </si>
  <si>
    <t>Al2O12S3</t>
  </si>
  <si>
    <t>americium-241</t>
  </si>
  <si>
    <t>['Americium-241', 'Americium 241', 'UNII-SK9YL6NK5M', 'SK9YL6NK5M', '14596-10-2', 'Americium, isotope of mass 241', 'Americanium Am-241', 'Am-241', 'Americium, isotope of mass 241 (241Am3+)', '86954-36-1', 'DTXSID70891780', 'Q7885334']</t>
  </si>
  <si>
    <t>Compound(104726)</t>
  </si>
  <si>
    <t>americium-242</t>
  </si>
  <si>
    <t>['UNII-603RO93NUH', '603RO93NUH', '13981-54-9', 'Americium Am-242', 'Americium, isotope of mass 242', '242Am', '(~242~Am)Americium', 'DTXSID40930615']</t>
  </si>
  <si>
    <t>Compound(166958)</t>
  </si>
  <si>
    <t>['ANILINE', 'Benzenamine', 'Phenylamine', '62-53-3', 'Aminobenzene', 'Aminophen', 'Anilin', 'Kyanol', 'Arylamine', 'Cyanol', 'Benzeneamine', 'Benzidam', 'Krystallin', 'Anyvim', 'Aniline oil', 'Blue Oil', 'Anilina', 'C.I. Oxidation Base 1', 'Benzene, amino', "Huile D'aniline", 'Anilin [Czech]', 'Rcra waste number U012', 'CI Oxidation Base 1', 'Caswell No. 051C', 'C.I. 76000', "Huile d'aniline [French]", 'HSDB 43', 'Aniline reagent', 'UNII-SIR7XX2F1K', 'NCI-C03736', 'RCRA waste no. U012', 'Anilina [Italian, Polish]', 'CCRIS 44', 'Aniline and homologs', 'UN 1547', 'Aniline (and salts)', 'Aniline and homologues', 'CHEBI:17296', 'EINECS 200-539-3', 'MFCD00007629', 'UN1547', 'SIR7XX2F1K', 'EPA Pesticide Chemical Code 251400', 'CI 76000', 'AI3-03053', 'Aniline, 99.8%, pure', 'Aniline, 99+%, ACS reagent', 'Aniline, 99.5%, extra pure', 'Phenyleneamine', "D'aniline", 'Aniline oil, phenylamine', 'benzenaminium', 'cyanole', 'BIDD:ER0581', 'phenyl amine', 'phenyl-amine', '8-aniline', 'Benzene, amino-', 'Fentanyl impurity F', 'PhNH2', 'DSSTox_CID_90', 'ACMC-1AZO2', 'CHEMBL538', 'Epitope ID:117704', 'EC 200-539-3', 'Aniline, analytical standard', 'DSSTox_RID_75359', 'Aniline, AR, &gt;=99%', 'Aniline, LR, &gt;=99%', 'DSSTox_GSID_20090', 'C6H5NH2', 'KSC178M0R', 'Aniline [UN1547] [Poison]', 'DTXSID8020090', 'BDBM92572', 'KS-00000UNO', 'Trimethoprim specified impurity K', 'Aniline, ReagentPlus(R), 99%', 'BENZENE,AMINO  (ANILINE)', 'Aniline [UN1547]  [Poison]', 'STR00216', 'Aniline, ACS reagent, &gt;=99.5%', 'Tox21_200345', 'Aniline 10 microg/mL in Cyclohexane', 'LS-270', 'STK301792', 'ZINC17886255', 'AKOS000268796', 'Aniline 100 microg/mL in Cyclohexane', 'DB06728', 'MCULE-9347486445', 'Aniline, ASTM, ACS reagent, 99.5%', 'Aniline, SAJ first grade, &gt;=99.0%', 'CAS-62-53-3', 'Aniline, JIS special grade, &gt;=99.0%', 'Aniline, p.a., ACS reagent, 99.0%', 'NCGC00091297-01', 'NCGC00091297-02', 'NCGC00091297-03', 'NCGC00257899-01', 'BP-12047', 'S667', 'Aniline, PESTANAL(R), analytical standard', 'DB-013441', 'A0463', 'FT-0622394', 'FT-0662220', 'FT-0696319', '9622-EP2269990A1', '9622-EP2270011A1', '9622-EP2272817A1', '9622-EP2272822A1', '9622-EP2272849A1', '9622-EP2275102A1', '9622-EP2275403A1', '9622-EP2275413A1', '9622-EP2276085A1', '9622-EP2277865A1', '9622-EP2277880A1', '9622-EP2277881A1', '9622-EP2279750A1', '9622-EP2280001A1', '9622-EP2280004A1', '9622-EP2280005A1', '9622-EP2280012A2', '9622-EP2280020A1', '9622-EP2280021A1', '9622-EP2281817A1', '9622-EP2281818A1', '9622-EP2284157A1', '9622-EP2284161A1', '9622-EP2284174A1', '9622-EP2284920A1', '9622-EP2287152A2', '9622-EP2287156A1', '9622-EP2289884A1', '9622-EP2289893A1', '9622-EP2289894A2', '9622-EP2292593A2', '9622-EP2292597A1', '9622-EP2292610A1', '9622-EP2295053A1', '9622-EP2295402A2', '9622-EP2295409A1', '9622-EP2295411A1', '9622-EP2295418A1', '9622-EP2295421A1', '9622-EP2295429A1', '9622-EP2295439A1', '9622-EP2295503A1', '9622-EP2298312A1', '9622-EP2298743A1', '9622-EP2298749A1', '9622-EP2298768A1', '9622-EP2298770A1', '9622-EP2298776A1', '9622-EP2298828A1', '9622-EP2301920A1', '9622-EP2301923A1', '9622-EP2301928A1', '9622-EP2301930A1', '9622-EP2301939A1', '9622-EP2301983A1', '9622-EP2302132A1', '9622-EP2305652A2', '9622-EP2305687A1', '9622-EP2305769A2', '9622-EP2305808A1', '9622-EP2308833A2', '9622-EP2308839A1', '9622-EP2308840A1', '9622-EP2308848A1', '9622-EP2308851A1', '9622-EP2308858A1', '9622-EP2308861A1', '9622-EP2308872A1', '9622-EP2308873A1', '9622-EP2308877A1', '9622-EP2308880A1', '9622-EP2311802A1', '9622-EP2311803A1', '9622-EP2311804A2', '9622-EP2311806A2', '9622-EP2311807A1', '9622-EP2311808A1', '9622-EP2311816A1', '9622-EP2311817A1', '9622-EP2311818A1', '9622-EP2311825A1', '9622-EP2311829A1', '9622-EP2311830A1', '9622-EP2314558A1', '9622-EP2314576A1', '9622-EP2314590A1', '9622-EP2314593A1', '9622-EP2315502A1', '9622-EP2316452A1', '9622-EP2316829A1', '9622-EP2316831A1', '9622-EP2371810A1', '9622-EP2371812A1', '9622-EP2372804A1', '9622-EP2378585A1', 'C00292', '12588-EP2272517A1', '12588-EP2272813A2', '12588-EP2275395A2', '12588-EP2275409A1', '12588-EP2275469A1', '12588-EP2276085A1', '12588-EP2284920A1', '12588-EP2287940A1', '12588-EP2289965A1', '12588-EP2292586A2', '12588-EP2292601A1', '12588-EP2292602A1', '12588-EP2292603A1', '12588-EP2292618A1', '12588-EP2293650A1', '12588-EP2295402A2', '12588-EP2295421A1', '12588-EP2298729A1', '12588-EP2298737A1', '12588-EP2298739A1', '12588-EP2298740A1', '12588-EP2298741A1', '12588-EP2298771A2', '12588-EP2298828A1', '12588-EP2299509A1', '12588-EP2299510A1', '12588-EP2301920A1', '12588-EP2301936A1', '12588-EP2301983A1', '12588-EP2305769A2', '12588-EP2308926A1', '12588-EP2309564A1', '12588-EP2311825A1', '12588-EP2311826A2', '12588-EP2314558A1', '12588-EP2315502A1', '12588-EP2316831A1', '12588-EP2371810A1', '12588-EP2371812A1', '12588-EP2371813A1', '12588-EP2372804A1', '12588-EP2378585A1', '85560-EP2281861A2', '85560-EP2298749A1', '85560-EP2305657A2', '147630-EP2289877A1', 'A833829', 'Q186414', 'SR-01000944923', 'J-519591', 'SR-01000944923-1', 'Q27121173', 'F2190-0417', 'ANILINE (SEE ALSO ANILINE HYDROCHOLORIDE 142-04-1)', 'Aniline, United States Pharmacopeia (USP) Reference Standard']</t>
  </si>
  <si>
    <t>Compound(6115)</t>
  </si>
  <si>
    <t>anthracene</t>
  </si>
  <si>
    <t>['ANTHRACENE', '120-12-7', 'Paranaphthalene', 'Anthracin', 'Green Oil', 'Anthracen', 'Tetra Olive N2G', 'Anthracen [German]', 'Anthrazen', 'Anthracene, pure', 'Bis-alkylamino anthracene', 'CCRIS 767', 'Anthraxcene', 'HSDB 702', 'Acen', 'CHEBI:35298', 'UNII-EH46A1TLD7', 'NSC 7958', 'EINECS 204-371-1', 'AI3-00155', 'Anthracene oil (coal tar fraction)', 'EH46A1TLD7', 'Tetraoliven2G', 'WLN: L C666J', 'NSC7958', 'Coal tar pitch volatiles:anthracene', 'Anthracene, 99%', 'Coal tar pitch volatiles: anthracene', 'MFCD00001240', 'NCGC00163972-01', 'DSSTox_CID_3878', 'C14315', 'DSSTox_RID_77216', 'DSSTox_GSID_23878', 'Anthracene, analytical standard', 'Anthracene oil', 'AN3', 'CAS-120-12-7', 'Deuterated anthracene', 'acene', 'acenes', 'antracene', 'polyacenes', 'Azen', 'p-Naphthalene', '9-Anthracene', 'Anthracene, labeled with deuterium', 'HRACENE', 'Sterilite hop defoliant', 'PubChem22168', 'Epitope ID:119716', 'Anthracene, pure;anthracene', 'EC 204-371-1', 'A89200_ALDRICH', 'KSC174Q2B', '40076_SUPELCO', '48567_SUPELCO', '48647_SUPELCO', '331481_ALDRICH', '46051_RIEDEL', 'ACMC-1C338', 'CHEMBL333179', 'Anthracene, puriss., 99.0%', 'DTXSID0023878', '10580_FLUKA', 'Anthracene, reagent grade, 97%', 'CHEBI:35297', 'CTK0H4820', 'KS-00000UYL', 'Anthracene, zone-refined, &gt;=99%', '141062_SIAL', 'Anthracene, ReagentPlus(R), 99%', 'NSC-7958', 'ZINC1586329', 'Tox21_202226', 'Tox21_300014', 'Anthracene, sublimed grade, &gt;=99%', 'ANW-17457', 'BBL005251', 'BDBM50060894', 'LS-627', 'SBB058663', 'STK398386', 'AKOS000119970', 'AC-5799', 'MCULE-4141881437', '(9,10-Dihydroanthracene-9,10-diyl)', 'Anthracene 10 microg/mL in Cyclohexane', 'Anthracene 10 microg/mL in Acetonitrile', 'NCGC00163972-02', 'NCGC00163972-03', 'NCGC00254204-01', 'NCGC00259775-01', '54261-80-2', 'Anthracene 100 microg/mL in Acetonitrile', 'AS-14635', 'L975', 'SC-47157', 'ST093055', 'A0405', 'A0495', 'A0992', 'FT-0622409', 'FT-0662238', 'H2412', 'NS00010699', 'J3.643.785E', 'Anthracene, vial of 250 mg, analytical standard', 'A804437', 'Q422152', 'J-200085', 'Anthracene, certified reference material, TraceCERT(R)', 'Anthracene, suitable for scintillation, &gt;=99.0% (GC)', 'F0001-0328', 'UNII-0TNN3Q0D4D component MWPLVEDNUUSJAV-UHFFFAOYSA-N', 'Anthracene solution, certified reference material, 1000 mug/mL in acetone', 'Anthracene solution, certified reference material, 200 mug/mL in methanol']</t>
  </si>
  <si>
    <t>Compound(8418)</t>
  </si>
  <si>
    <t>C14H10</t>
  </si>
  <si>
    <t>aminotrimethylene phosphonic acid</t>
  </si>
  <si>
    <t>[bis(phosphonomethyl)amino]methylphosphonic acid</t>
  </si>
  <si>
    <t>['6419-19-8', '(Nitrilotris(methylene))triphosphonic acid', 'Aminotrimethylene phosphonic acid', 'Tris(phosphonomethyl)amine', 'Ferrofos 509', 'Dowell L 37', 'Dequest 2000', 'Nitrilotrimethylphosphonic acid', 'Aminotris(methylphosphonic acid)', 'Nitrilotri(methylphosphonic acid)', 'Aminotri(methylenephosphonic acid)', 'ATMP', 'Aminotris(methylenephosphonic acid)', 'Aminotri(methylene phosphonic acid)', 'Nitrilotris(methylenephosphonic acid)', 'Aminotri(methylphosphonic acid)', 'Nitrilotrimethanephosphonic acid', 'Phosphonic acid, [nitrilotris(methylene)]tris-', 'Aminotris(methanephosphonic acid)', 'Nitrilotrimethylenephosphonic acid', 'UNII-1Y702GD0FG', 'Amino, tris(methylene phosphonic acid)', 'Nitrilotrimethylenetris(phosphonic acid)', 'NITRILOTRIS(METHYLPHOSPHONIC ACID)', '(Nitrilotris(methylene))trisphosphonic acid', 'EINECS 229-146-5', 'BRN 1715724', 'Nitrilotris(methylene)trisphosphonic acid', '[Nitrilotris(methylene)]trisphosphonic acid', 'AI3-51572', '1Y702GD0FG', 'Sodium (nitrilotris(methylene))triphosphonate', 'Aminotris(methylphosphonic acid), sodium salts', 'Amino tris(methylene phosphonic acid)', 'Aminotri(methylene phosphonic acid), sodium salt', 'Sodium (nitrilotris(methylene))tris(phosphonate)', 'Nitrilotris(methylene phosphonic acid), sodium salt', '(Nitrilotris(methylene))trisphosphonic acid, sodium salt', 'Phosphonic acid, (nitrilotris(methylene))tri-, sodium salt', '[nitrilotris(methylene)]tris(phosphonic acid)', 'Phosphonic acid, (nitrilotris(methylene))tri-', 'Phosphonic acid, (nitrilotris(methylene))tris-', 'Phosphoric acid, (nitrilotris-(methylene))tris-', 'Phosphonic acid, (nitrilotris(methylene))tris-, sodium salt', 'Phosphonic acid, [nitrilotris(methylene)]tris-, sodium salt', 'W-104858', 'NTMP', '(nitrilotris(methylene))tris-Phosphonic acid', '[nitrilotris(methylene)]tris-Phosphonic acid', '[bis(phosphonomethyl)amino]methylphosphonic acid', "Phosphonic acid, P,P',P''-(nitrilotris(methylene))tris-", "Phosphonic acid, P,P',P''-[nitrilotris(methylene)]tris-", 'EINECS 243-900-0', 'Dequest 2001', 'Nitrilotri(methylphosphonic acid) (ATMP)', "Phosphonic acid, P,P',P''-(nitrilotris(methylene))tris-, sodium salt (1:?)", 'DSSTox_CID_7624', 'EC 229-146-5', 'EC 243-900-0', 'DSSTox_RID_78532', 'DSSTox_GSID_27624', 'SCHEMBL21434', '4-01-00-03070 (Beilstein Handbook Reference)', 'CHEMBL260191', 'DTXSID2027624', 'KS-00000WIQ', 'Amino trimethylene Phoshonic Acid', 'Aminotris(methylenephosphonicacid)', 'Sym-Trimethylaminetriphosphonic acid', 'ZINC3861121', 'Tox21_202753', 'SBB037836', 'nitrilotris (methylenephosphonic acid)', 'AKOS003599784', 'MCULE-9610981851', '7611-50-9 (tri-hydrochloride salt)', 'NCGC00164342-01', 'NCGC00260300-01', '2235-43-0 (penta-hydrochloride salt)', 'AK110920', 'CC-32892', 'NitrilotrimethylentriphosphonsA currencyure', 'SC-18354', 'ST011997', 'CAS-6419-19-8', '(nitrilotris(methylene))tri-Phosphonic acid', 'AX8144872', 'LS-106711', 'FT-0622276', 'N0474', 'NS00007905', '(nitrilotris-(methylene))tris-Phosphoric acid', '{[bis(phosphonomethyl)amino]methyl}phosphonic acid', 'C-33368', 'Nitrilotri(methylphosphonic acid), &gt;=97.0% (T)', 'Q4222241', "p,p',p''-(Nitrilotris(methylene))tris-Phosphonic acid", 'Nitrilotris(methylene)triphosphonic acid solution, 50 wt. % in H2O']</t>
  </si>
  <si>
    <t>Compound(16698)</t>
  </si>
  <si>
    <t>C3H12NO9P3</t>
  </si>
  <si>
    <t>[4-(dimethylamino)-3-methylphenyl] N-methylcarbamate</t>
  </si>
  <si>
    <t>['AMINOCARB', 'Matacil', '2032-59-9', 'Mitacil', 'Aminocarbe', 'Matacil 180D', 'Bayer 5080', 'Bayer 44646', 'Aminocarbe [French]', '4-(Dimethylamino)-m-tolyl methylcarbamate', 'Caswell No. 360', 'Aminocarb [BSI:ISO]', '4-(Dimethylamino)-3-methylphenyl methylcarbamate', 'Aminocarbe [ISO-French]', 'BAY 44646', 'ENT 25,784', 'HSDB 561', '4-Dimethylamino-3-cresyl methylcarbamate', 'Phenol, 4-(dimethylamino)-3-methyl-, methylcarbamate (ester)', 'UNII-767M03K32Y', 'A 363', '3-Methyl-4-dimethylaminophenyl methylcarbamate', 'EINECS 217-990-7', 'EPA Pesticide Chemical Code 044401', '(4-Dimethylamino-3-methyl-phenyl)N-methyl-carbamate', '4-Dimethylamine m-cresyl methylcarbamate', '4-Dimethylamine-m-cresyl methylcarbamate', 'BRN 2808681', 'Carbamic acid, methyl-, 4-(dimethylamino)-m-tolyl ester', '4-(Dimethylamino)-3-cresyl methylcarbamate', 'AI3-25784', 'CHEBI:2653', 'Carbamic acid, methyl-, 4-(dimethylamino)-3-methylphenyl ester', '4-(Dimethylamino)-3-methylphenol methyl carbamate', '(4-Dimethylamino-3-methyl-phenyl)N-methyl-carbamat', '(4-Dimetilamino-3-metil-fenil)-N-metil-carbammato', 'Methylcarbamic acid 4-(dimethylamino)-m-tolyl ester', '(4-Dimethylamino-3-methyl-phenyl)N-methyl-carbamaat', '[4-(dimethylamino)-3-methylphenyl] N-methylcarbamate', 'm-Cresol, 4-(dimethylamino)-, methylcarbamate (ester)', 'N-Methylcarbamate de 4-dimethylamino 3-methyl phenyle', '767M03K32Y', '4-(Dimethylamino)-3-methylphenol methyl carbamate (ester)', '4-(Dimethylamino)-3-methylphenol methylcarbamate (ester)', '(4-Dimethylamino-3-methyl-phenyl)N-methyl-carbamaat [Dutch]', '(4-Dimethylamino-3-methyl-phenyl)N-methyl-carbamat [German]', '(4-Dimetilamino-3-metil-fenil)-N-metil-carbammato [Italian]', 'N-Methylcarbamate de 4-dimethylamino 3-methyl phenyle [French]', '4-dimethylamino-3-methyl-phenyl N-methylcarbamate', '4-(dimethylamino)-3-methylphenyl N-methylcarbamate', 'Carbamic acid, methyl-, 4-dimethylamino-m-tolyl ester', 'Aminocarb (Metacil)', 'DSSTox_CID_2172', 'DSSTox_RID_76513', 'DSSTox_GSID_22172', 'SCHEMBL119059', 'CHEMBL1079605', 'DTXSID7022172', 'ZINC900761', 'Tox21_301423', 'VA10258', 'Aminocarb 100 microg/mL in Acetonitrile', 'NCGC00163800-01', 'NCGC00255150-01', '4-Dimethylamino- m-cresyl methylcarbamate', 'CC-24067', 'LS-50144', '4-(Dimethylamino)-3-tolyl methylcarbamate', 'CAS-2032-59-9', 'DB-045174', 'NS00008504', '4-Dimethylamino-3-methylphenyl methylcarbamate', 'Aminocarb, PESTANAL(R), analytical standard', 'C11071', 'm-Cresol, 4-(dimethylamino)-, methylcarbamate', '3-Methyl-4-(Dimethylamino)phenyl methylcarbamate', 'C-10625', 'J-013217', 'Q3120938', 'Phenol, 4-(dimethylamino)-3-methyl-, methylcarbamate', 'Phenol,4-(dimethylamino)-3-methyl-, 1-(N-methylcarbamate)', 'Phenol, 4-(dimethylamino)-3-methyl-, methylcarbamate (ester) (9CI)', 'Pesticide9_Aminocarb_C11H16N2O2_4-(Dimethylamino)-3-methylphenyl methylcarbamate']</t>
  </si>
  <si>
    <t>Compound(16247)</t>
  </si>
  <si>
    <t>C11H16N2O2</t>
  </si>
  <si>
    <t>aminophenazone</t>
  </si>
  <si>
    <t>4-(dimethylamino)-1,5-dimethyl-2-phenylpyrazol-3-one</t>
  </si>
  <si>
    <t>['AMINOPYRINE', 'aminophenazone', 'Amidopyrine', '58-15-1', '4-Dimethylaminoantipyrine', 'Dipyrine', 'Aminofenazone', 'Dimethylaminophenazone', 'Amidazophen', 'Amidophen', 'Aminopyrin', 'Pyramidon', 'Dimethylaminoazophene', 'Amidophenazone', 'Amidopyrazoline', 'Aminophenazon', 'Dimethylaminoantipyrine', 'Amidazophene', 'Amidofebrin', 'Amidofen', 'Amidopyrin', 'Anafebrina', 'Eufibron', 'Pyramidone', 'Amidazofen', 'Brufaneuxol', 'Piromidina', 'Dereuma', 'Dimapyrin', 'Dipirin', 'Dipyrin', 'Febrinina', 'Hyparon', 'Itamidone', 'Novamidon', 'Piramidon', 'Pirazon', 'Piridol', 'Polinalin', 'Pyradone', 'Febron', '4-(Dimethylamino)antipyrine', 'Mamallet-A', '4-Dimethylaminophenazone', 'Netsusarin', 'Dimethylamino-analgesine', 'Dimethylaminophenyldimethylpyrazolone', 'Dimethylaminophenazon', 'Amidazophenum', 'Amidopyrinum', 'Aminofenazona', 'Aminophenazonum', 'Aminopyrinum', '4-Dimethylamino-2,3-dimethyl-1-phenyl-3-pyrazolin-5-one', '(Dimethylamino)phenazone', '4-(Dimethylamino)-1,5-dimethyl-2-phenyl-1,2-dihydro-3H-pyrazol-3-one', 'Antipyrine, 4-(dimethylamino)-', '4-Dimethylamino-1-phenyl-2,3-dimethylpyrazolone', '1,5-Dimethyl-4-dimethylamino-2-phenyl-3-pyrazolone', '1-Phenyl-2,3-dimethyl-4-dimethylaminopyrazol-5-one', '2,3-Dimethyl-4-dimethylamino-1-phenyl-5-pyrazolone', '4-Dimethylamino-2,3-dimethyl-1-phenyl-5-pyrazolone', 'Aminophenazon [German]', 'Aminofenazone [Italian]', '3H-Pyrazol-3-one, 4-(dimethylamino)-1,2-dihydro-1,5-dimethyl-2-phenyl-', 'Dimethylaminophenyldimethylpyrazolin', 'Aminofenazona [INN-Spanish]', 'Aminophenazonum [INN-Latin]', 'Aminopyrine [JAN]', 'Dimethylaminophenazon [German]', 'UNII-01704YP3MO', 'CCRIS 2907', '3-Keto-1,5-dimethyl-4-dimethylamino-2-phenyl-2,3-dihydropyrazole', 'HSDB 2135', 'NSC 4993', 'EINECS 200-365-8', 'MFCD00003142', '4-(Dimethylamino)-1,2-dihydro-1,5-dimethyl-2-phenyl-3H-pyrazol-3-one', '1-Phenyl-2,3-dimethyl-4-(dimethylamino)-5-pyrazolone', '4-(dimethylamino)-1,5-dimethyl-2-phenylpyrazol-3-one', 'MLS002154195', '3-Pyrazolin-5-one, 4-(dimethylamino)-2,3-dimethyl-1-phenyl-', 'C13H17N3O', 'CHEBI:160246', '01704YP3MO', 'Aminopyrine (JAN)', 'Aminophenazone (INN)', 'Aminophenazone [INN]', 'CAS-58-15-1', 'NCGC00016257-04', 'SMR001216566', 'DSSTox_CID_504', '4,4-Dimethylaminophenazone', 'DSSTox_RID_75627', 'DSSTox_GSID_20504', '1-Phenyl-2,3-dimethyl-4-dimethylaminopyrazolone-5', '4-Dimethylaminoantipyrine, 97%', 'Amidophenazon', '4-(dimethylamino)-2,3-dimethyl-1-phenyl-3-pyrazolin-5-one', 'Aminopyrine [JAN:NF]', 'SR-05000001741', 'Dimethyl-N-aminoantipyrine', 'Piramidone', 'Dimethylaminophenyldimethylpyrazone', 'Prestwick_14', 'dimethylaminoanalgesine', 'Metamizole Impurity D', '4-Dimethylaminoantipyrin', 'Prestwick0_000088', 'Prestwick1_000088', 'Prestwick2_000088', 'Prestwick3_000088', 'Aminophenazone. Amidopyrin', '4-(Dimethylamino)phenazone', 'cid_6009', 'TimTec1_000737', '3-keto-1,3-dihydropyrazole', 'Oprea1_080671', 'SCHEMBL26293', 'BSPBio_000016', '4-N,N-Dimethylaminoantipyrine', 'ARONIS24560', 'SPBio_001955', 'BPBio1_000018', 'CHEMBL288470', '4-(dimethylamino)-1,5-dimethyl-2-phenyl-pyrazol-3-one', 'DTXSID7020504', 'BDBM74258', 'ZINC57115', 'BBC/732', 'NSC4993', 'HMS1536B11', 'HMS1568A18', 'HMS2092E10', 'HMS2095A18', 'HMS3039C06', 'HMS3652G13', 'HMS3712A18', 'Pharmakon1600-01500621', 'HY-B0533', 'NSC-4993', 'ZX-AS004932', 'dimethylamino phenyldimethylpyrazolone', 'Tox21_110333', 'Tox21_201544', 'Tox21_302830', 'LS-239', 'NSC757388', 's3209', 'STL356033', 'AKOS001590378', 'Tox21_110333_1', 'CCG-103785', 'CS-2627', 'DB01424', 'MCULE-1554715918', 'NSC-757388', 'KS-0000477V', 'NCGC00016257-01', 'NCGC00016257-02', 'NCGC00016257-03', 'NCGC00016257-05', 'NCGC00016257-06', 'NCGC00016257-07', 'NCGC00016257-10', 'NCGC00090878-01', 'NCGC00090878-02', 'NCGC00090878-03', 'NCGC00175173-01', 'NCGC00175173-02', 'NCGC00256436-01', 'NCGC00259094-01', '3-Pyrazolin-5-one,3-dimethyl-1-phenyl-', 'AC-12025', 'CC-24081', 'ST011911', 'SBI-0207073.P001', 'WLN: T5NNVJ A1 BR&amp; DN1&amp;1 E1', 'DB-053161', 'B1883', 'SW196332-3', 'A11805', 'C07539', 'D00556', 'C-29864', 'Q416503', '1,5-Dimethyl-2-phenyl-4-dimethylamino-3-pyrazolone', 'SR-05000001741-1', 'SR-05000001741-3', 'SR-05000001741-4', '4-(dimethylamino)-1,5-dimethyl-2-phenyl-3-pyrazolone', 'BRD-K12568846-001-04-7', '4-(dimethylamino)-1,5-dimethyl-2-phenyl-3-pyrazolin-3-one', '4-Dimethylaminoantipyrine, reactive nitrogen species scavenger', '3-keto-1,5-dimethyl-4-dimethylamino-2-phenyl -2,3-dihydropyrazole', '4-(dimethylamino)-1,5-dimethyl-2-phenyl-1H-pyrazol-3(2H)-one', '4-(Dimethylamino)-1,5-dimethyl-2-phenyl-1,2-dihydro-3H-pyrazol-3-one #', '4-(dimethylamino)-1,5-dimethyl-2-phenyl-2,3-dihydro-1H-pyrazol-3-one', 'Aminophenazone (4-Dimethylamino-1,5-dimethyl-2-phenyl-1,2-dihydro-3H-pyrazol-3-one)', '4-Dimethylamino-1,5-dimethyl-2-phenyl-1,2-dihydro-3H-pyrazol-3-one (4,4-Dimethylaminophenazone)', '4-Dimethylaminoantipyrine;Aminophenazone;Aminophenazone 2,5-dihydroxybenzoate;Aminophenazone salicylate;AMINOPHENAZONE CYCLAMATE']</t>
  </si>
  <si>
    <t>Compound(6009)</t>
  </si>
  <si>
    <t>C13H17N3O</t>
  </si>
  <si>
    <t>4-amino-3,6-dichloropyridine-2-carboxylic acid</t>
  </si>
  <si>
    <t>['Aminopyralid', '150114-71-9', '4-amino-3,6-dichloropicolinic acid', '4-amino-3,6-dichloropyridine-2-carboxylic acid', '2-Pyridinecarboxylic acid, 4-amino-3,6-dichloro-', '4-amino-3,6-dichloro-2-pyridinecarboxylic acid', 'UNII-9S4EMJ60LF', '9S4EMJ60LF', 'CHEBI:62962', 'AK145609', '2-Pyridinecarboxylicacid, 4-amino-3,6-dichloro-', 'Aminopyralid [ISO]', 'CCRIS 9240', 'HSDB 7939', 'ACMC-20n5wv', 'SCHEMBL116082', 'CHEMBL1903787', 'DTXSID2034330', 'CTK0I0149', 'ZINC12955882', 'AKOS022186420', 'CS-W008484', 'DS-8289', 'FCH1386579', 'NCGC00163871-01', 'AC-27542', 'AX8225642', 'LS-192583', 'FT-0662039', 'NS00004656', 'X4356', '2-pyridinecarboxylic acid,4-amino-3,6-dichloro-', '4-amino-3,6-dichloro-pyridine-2-carboxylic acid', 'Aminopyralid, PESTANAL(R), analytical standard', 'Q4746469']</t>
  </si>
  <si>
    <t>Compound(213012)</t>
  </si>
  <si>
    <t>arsenic 73</t>
  </si>
  <si>
    <t>arsenic-73</t>
  </si>
  <si>
    <t>['Arsenic-73', 'Arsenic, isotope of mass 73', '73As', '15422-59-0']</t>
  </si>
  <si>
    <t>Compound(6336622)</t>
  </si>
  <si>
    <t>arsenic 74</t>
  </si>
  <si>
    <t>arsenic-74</t>
  </si>
  <si>
    <t>['Arsenic-74', 'Arsenic, isotope of mass 74', '14304-78-0']</t>
  </si>
  <si>
    <t>Compound(6335515)</t>
  </si>
  <si>
    <t>arsenite</t>
  </si>
  <si>
    <t>arsorite</t>
  </si>
  <si>
    <t>['15502-74-6', 'ortho-arsenite ion', 'UNII-N5509X556J', 'N5509X556J', 'arsorite', 'Arsenite ions', 'Trisoxylatoarsine', 'AsO3(3-)', 'DTXSID0074007', 'CHEBI:29866', 'CTK0I0781', '[AsO3](3-)', 'C06697', 'Q26841209']</t>
  </si>
  <si>
    <t>Compound(544)</t>
  </si>
  <si>
    <t>AsO3-3</t>
  </si>
  <si>
    <t>arsenate</t>
  </si>
  <si>
    <t>arsorate</t>
  </si>
  <si>
    <t>['Arsenate ion', 'Arsenate ions', 'UNII-G1DBI405OK', '15584-04-0', 'G1DBI405OK', 'Arsenate (AsO43-)', 'AsO4(3-)', 'CHEBI:29125', 'CTK4C8846', 'DTXSID40904119', '[AsO4](3-)', 'Arsenate (AsO43-)(8CI,9CI)', 'LS-182055', 'C11215', 'Q409221']</t>
  </si>
  <si>
    <t>Compound(27401)</t>
  </si>
  <si>
    <t>AsO4-3</t>
  </si>
  <si>
    <t>gold 198</t>
  </si>
  <si>
    <t>gold-198</t>
  </si>
  <si>
    <t>['Gold-198', 'Aureotope', 'Gold Au 198', 'Gold (198 Au)', 'Gold (198Au) colloidal', '10043-49-9', 'Gold, radioactive, colloidal', 'UNII-027828ZV5Q', '027828ZV5Q', 'Gold, isotope of mass 198', 'Aurcoloid-198', 'Auroscan-198', 'Radioaurum colloidale', 'Aurum (198 Au)', 'Gold AU-198', 'Or (198 Au) colloidal', 'Or colloidal (198 Au)', 'Oro (198 Au) coloidal', 'Aurum (198 Au) colloidale', 'Aurum colloidale (198 Au)', 'Aurum (198 Au) colloidalis', 'Gold Au 198 [USAN:USP]', 'Radioaurum (198 Au) colloidale', 'Raido-aurum colloidale (198 Au)', 'Or (198 Au) colloidal [INN-French]', 'Oro (198 Au) coloidal [INN-Spanish]', 'Aurum (198 Au) colloidale [INN-Latin]', 'Aurcoloid-198 (TN)', 'Gold, Au-198', '(~198~Au)Gold', 'Gold (198 Au) colloidal', 'Gold Au 198 (USAN)', 'DTXSID70905492', 'Gold (198Au) colloidal [INN]', 'MOLI001012', 'DB13427', 'Colloidal gold ((sup 198)Au) injection', 'D04357', 'Q18883176']</t>
  </si>
  <si>
    <t>Compound(66274)</t>
  </si>
  <si>
    <t>gold 199</t>
  </si>
  <si>
    <t>gold-199</t>
  </si>
  <si>
    <t>['14391-11-8', 'Gold-199', 'Gold, isotope of mass 199', '(~199~Au)Gold', '199Au', 'DTXSID70932142']</t>
  </si>
  <si>
    <t>Compound(167085)</t>
  </si>
  <si>
    <t>diboron trioxide</t>
  </si>
  <si>
    <t>oxo(oxoboranyloxy)borane</t>
  </si>
  <si>
    <t>['Boric anhydride', '1303-86-2', 'Boron trioxide', 'Diboron trioxide', 'Boric oxide', 'Boron oxide (B2O3)', 'B2O3', 'boron(III) oxide', 'Boron oxide, 98%, -40 mesh', 'Boric acid anhydride', 'Boronoxide', 'Boron sesquioxide', 'Boric anhydride;', 'MFCD00011315', 'CHEBI:30163', 'KS-00000WPC', 'AKOS015903863', 'ZINC245204922', 'AK01050731', 'Boric anhydride, 99.98% trace metals basis', 'FT-0694863', 'Boric anhydride, granulated, &gt;=98.0% (T)', 'Boric anhydride, 99.999% trace metals basis', 'Boric anhydride, puriss. p.a., &gt;=98% (T)', 'Boric anhydride, purum p.a., &gt;=97.0% (T)', 'Boric Anhydride (Boron Trioxide B2O3) granular', 'Boric anhydride, Vetec(TM) reagent grade, 98%', 'Q411076']</t>
  </si>
  <si>
    <t>Compound(518682)</t>
  </si>
  <si>
    <t>Bath guest</t>
  </si>
  <si>
    <t>1-bromo-3-chloro-5,5-dimethylhidantoin</t>
  </si>
  <si>
    <t>1-bromo-3-chloro-5,5-dimethylimidazolidine-2,4-dione</t>
  </si>
  <si>
    <t>['16079-88-2', '1-BROMO-3-CHLORO-5,5-DIMETHYLIMIDAZOLIDINE-2,4-DIONE', '1-Bromo-3-chloro-5,5-dimethylhydantoin', 'Agribrom', '2,4-Imidazolidinedione, 1-bromo-3-chloro-5,5-dimethyl-', 'di-Halo', 'Slimicide 78P', 'Slimicide C 77P', 'Halogene T 30', 'Caswell No. 114A', '1-Bromo-3-chloro-5,5-dimethyl-2,4-imidazolidinedione', 'UNII-W18O2G87ND', 'EINECS 240-230-0', 'EPA Pesticide Chemical Code 006315', "N-Bromo-N'-chloro-5,5-dimethylhydantoin", 'W18O2G87ND', 'Hydantoin, 1-bromo-3-chloro-5,5-dimethyl-', '1-Bromo-3-chloro-5,5-dimethyl hydantoin', '1-Bromo-3-chloro-5,5-dimethylhydantoin (BCDMH)', 'W-107975', 'W-110823', 'C5H6BrClN2O2', 'HSDB 7489', 'BCDMH', 'Bromo-3-chloro-5,5-dimethylhydantoin', 'DSSTox_CID_12591', 'DSSTox_RID_78998', 'DSSTox_GSID_32591', 'SCHEMBL22576', 'CHEMBL3187930', 'DTXSID3032591', 'CTK4D0584', 'KS-000000KG', 'ZINC1850613', 'ZX-AT022251', 'Tox21_302375', 'ANW-66334', 'AKOS015907949', 'DS-2481', 'FCH1319805', 'OR10136', 'NCGC00255287-01', 'AC-20540', 'AK-60548', 'CC-04211', 'K935', 'LS-76013', 'AX8018673', 'CAS-16079-88-2', 'CS-0119915', 'FT-0607481', 'NS00009108', '79B882', 'M-8883', 'A810184', 'C-35288', 'Q27292179', '1-bromanyl-3-chloranyl-5,5-dimethyl-imidazolidine-2,4-dione', '1-bromo-3-chloro-5,5-dimethylimidazolidine-2,4-dione;1-BROMO-3-CHLORO-5,5-DIMETHYLHYDANTOIN']</t>
  </si>
  <si>
    <t>Compound(61828)</t>
  </si>
  <si>
    <t>C5H6BrClN2O2</t>
  </si>
  <si>
    <t>Coverage</t>
  </si>
  <si>
    <t>tax</t>
  </si>
  <si>
    <t>Sampled bank side</t>
  </si>
  <si>
    <t>Sampling width</t>
  </si>
  <si>
    <t>Sampling duration</t>
  </si>
  <si>
    <t>Sampling area</t>
  </si>
  <si>
    <t>availabilty</t>
  </si>
  <si>
    <t>Shading</t>
  </si>
  <si>
    <t>Cloudiness</t>
  </si>
  <si>
    <t>butylhydroxytoluene (BHT)</t>
  </si>
  <si>
    <t>2,6-ditert-butyl-4-methylphenol</t>
  </si>
  <si>
    <t>['2,6-Di-tert-butyl-4-methylphenol', '128-37-0', 'Butylated hydroxytoluene', 'Butylhydroxytoluene', '2,6-Di-tert-butyl-p-cresol', '2,6-Di-t-butyl-4-methylphenol', 'Ionol', 'DBPC', 'BHT', 'Dibunol', 'Stavox', 'Ionol CP', 'Impruvol', 'Topanol', 'Dalpac', 'Deenax', 'Ionole', 'Vianol', 'Antioxidant KB', '3,5-Di-tert-butyl-4-hydroxytoluene', '2,6-ditert-butyl-4-methylphenol', 'Antioxidant 4K', 'Sumilizer BHT', 'Topanol O', 'Topanol OC', 'Vanlube PC', 'Antioxidant DBPC', 'Sustane BHT', 'Tenamene 3', 'Vanlube PCX', 'Antioxidant 29', 'Antioxidant 30', 'Nonox TBC', 'Phenol, 2,6-bis(1,1-dimethylethyl)-4-methyl-', 'Tenox BHT', 'Chemanox 11', 'Ionol 1', 'Agidol', 'Catalin CAO-3', 'Advastab 401', 'Ionol (antioxidant)', 'BUKS', 'Parabar 441', 'Paranox 441', '2,6-Di-tert-butyl-4-cresol', 'Catalin antioxydant 1', 'Antrancine 8', 'Butylated hydroxytoluol', 'Vulkanox KB', 'Di-tert-butyl-p-cresol', 'Dibutylated hydroxytoluene', 'Kerabit', 'Tonarol', 'Ional', '2,6-Bis(1,1-dimethylethyl)-4-methylphenol', 'AO 4K', 'CAO 1', 'CAO 3', 'Di-tert-butyl-p-methylphenol', 'Antioxidant MPJ', 'Antioxidant 4', 'Toxolan P', 'Alkofen BP', 'o-Di-tert-butyl-p-methylphenol', 'Swanox BHT', 'Tenamen 3', 'Antox QT', 'Antioxidant 264', '4-Methyl-2,6-tert-butylphenol', 'Agidol 1', 'Bht (food grade)', '2,6-Di-tert-butyl-1-hydroxy-4-methylbenzene', '2,6-Di-tert-butyl-p-methylphenol', 'AO 29', 'NCI-C03598', '2,6-DI-T-BUTYL-P-CRESOL', '4-Methyl-2,6-di-tert-butylphenol', 'Butyl hydroxy toluene', 'Antioxidant T 501', 'Nocrac 200', '2,6-Di-terc.butyl-p-kresol', '4-Hydroxy-3,5-di-tert-butyltoluene', 'Caswell No. 291A', 'FEMA No. 2184', 'Dbpc (technical grade)', 'P 21', 'Annulex BHT', 'AOX 4K', 'Bht(food grade)', '4-Methyl-2,6-di-terc. butylfenol', 'AOX 4', '1-Hydroxy-4-methyl-2,6-di-tert-butylbenzene', 'MFCD00011644', 'Di-tert-butylcresol', 'CCRIS 103', 'Dibutylhydroxytoluene', 'Butylohydroksytoluenu [Polish]', 'UNII-1P9D0Z171K', 'Butylated hydroxytoluene (bht)', 'Di-tert-butyl-p-cresol (VAN)', 'Dbpc(technical grade)', 'E321', 'HSDB 1147', 'p-Cresol, 2,6-di-tert-butyl-', 'BHT 264', '2,6-ditert-butyl-4-methyl-phenol', 'NSC 6347', '2,6-Di-tert-butyl-4-methyl-phenol', 'EINECS 204-881-4', '2,6-Di-tert-butyl-4-hydroxytoluene', 'CHEMBL146', '2,6-Di-terc.butyl-p-kresol [Czech]', 'EPA Pesticide Chemical Code 022105', '2,6-Di-tert-butyl-4-methylhydroxybenzene', 'AI3-19683', '4-Methyl-2,6-di-terc. butylfenol [Czech]', 'CHEBI:34247', 'C15H24O', '1P9D0Z171K', '4-Methyl-2,6-di-t-butyl-phenol', 'NSC-6347', '2,6-di-tert-butyl-4-methyl phenol', '2,6-bis(tert-butyl)-4-methylphenol', '950-56-1', 'NCGC00091761-03', '2,6-Di-tert-butyl-4-methylphenol, 99%', 'DSSTox_CID_216', 'DSSTox_RID_75440', 'DSSTox_GSID_20216', 'CAS-128-37-0', 'Butylohydroksytoluenu', 'Ionol CP-antioxidant', '1,3-Dioxolane, 99.5+%, pure, stabilized', '2,6-Di-tert-butyl-4-methylphenol, 99.8%', 'Ionol" CP-antioxidant', 'Dibutylcresol', 'Popol', '4-Methyl-2,6-ditertbutylphenol', 'Antracine 8', 'Embanox BHT', 'Hydagen DEO', 'Lowinox BHT', 'Nipanox BHT', '1,3-Dioxolane, 99.8%, anhydrous, stabilized with 75 ppm BHT, AcroSeal(R)', 'BHT Swanox', 'BHT, food grade', 'Butylhydroxytoluenum', 'Ionol BHT', 'Ralox BHT', '2, food grade', 'Butylated hydroxytoluene [BAN:NF]', 'Dibutyl-para-cresol', 'Topanol OC and 0', 'Butylated hydroxytoluene [USAN:BAN]', 'PubChem20842', 'Spectrum_001790', 'ACMC-1BUTL', 'Butylated Hydroxytoluol;', 'SpecPlus_000768', 'Methyldi-tert-butylphenol', 'Spectrum3_001849', 'Spectrum5_001612', 'Hydagen DEO (Salt/Mix)', 'EC 204-881-4', '2,6-di-Butyl-para-cresol', '2.6-di-t-butyl-p-cresol', 'SCHEMBL3950', '2,6-ditert-butyl-p-cresol', 'p-Cresol,6-di-tert-butyl-', 'Di-tert-Butylparamethylphenol', 'BSPBio_003238', 'KBioSS_002281', '2,6-di-tert.butyl-p-cresol', 'Di-tert-Butyl-4-methylphenol', 'KSC496A5L', 'MLS000069425', 'BIDD:ER0031', 'Butylated hydroxytoluene (NF)', 'DivK1c_006864', 'SPECTRUM1600716', '2,6-bis-tert-butyl-p-cresol', '2,6-di-tert-butyl-paracresol', 'BHT (butylated hydroxytoluene)', '2,6-di-tert. butyl-p-cresol', '2,6-di-tert.-butyl-p-cresol', 'Butylated Hydroxytoluene - BHT', 'INS NO.321', '2,6-di-tert-butyl-para-cresol', '2,6-di-tert-Butyl-methylphenol', '2,6-ditertbutyl-4-methylphenol', 'DTXSID2020216', '2,6-di-t butyl-4-methylphenol', '2.6-di-t-butyl-4-methylphenol', 'CTK3J6055', 'FEMA 2184', 'KBio1_001808', 'KBio2_002280', 'KBio2_004848', 'KBio2_007416', 'KBio3_002738', 'KS-00000IQP', '2,6-di-tert-butyl-4methylphenol', '2,6-di-tert-butyl4-methylphenol', '2,6-di-tertbutyl-4-methylphenol', '2,6-ditert.butyl-4-methylphenol', '2.6-di-tert-butyl-4-methylenol', 'Butylated hydroxyl toluene (BHT)', 'INS-321', 'NSC6347', '2,6-Di(tert-butyl)hydroxytoluene', '2,6-di(t-butyl)-4-methylphenol', '2,6-di-t- butyl-4-methylphenol', '2,6-di-t-butyl 4-methyl phenol', '2,6-di-t-butyl-4-methyl phenol', '2,6-di-t-butyl-4-methyl-phenol', '3,5-di-t-butyl-4-hydroxytoluene', 'HMS2091E21', 'HMS2231M22', 'HMS3369G17', 'HMS3750M21', 'Pharmakon1600-01600716', '2,1-dimethylethyl)-4-methylphenol', '2,6-di-tert-butyl 4-methylphenol', '2,6-di-tert-butyl-4 methylphenol', '2,6-di-tert-butyl4-methyl phenol', '2,6-di-tert.butyl-4-methylphenol', '2,6-ditert.-butyl-4-methylphenol', '2.6-di-tert-butyl-4-methylphenol', '4-methyl-2,6-di-tert.butylphenol', '2,6-di-ter-butyl-4-methyl-phenol', '2,6-Di-tert.-Butyl4-methylphenol', '2,6-ditertiarybutyl-4-methylphenol', '2.6-di- t-butyl- 4-methylphenol', 'HY-Y0172', 'STR04334', 'ZINC1481993', '2,6 -di-tert-butyl-4-methylphenol', '2,6-di(tert-butyl)-4-methylphenol', '2,6-Di-tert-butyl-p-cresol, 8CI', '2,6-di-tert.-butyl-4-methylphenol', 'Tox21_113537', 'Tox21_201093', 'Tox21_303408', '2,6-di-tert-butyl-p-cresol (BHT)', '2,6-Di-tert-butyl-para-methylphenol', 'ANW-19063', 'BDBM50079507', 'LS-716', 'NSC759563', 's6202', 'SBB040854', 'STL277184', '2,6-di-tert. butyl-4-methyl phenol', '2,6-Di-(tert-butyl)-4-methylphenol', 'AKOS000269037', 'Tox21_113537_1', '4-Hydroxy-3,5- Di-tert-Butyltoluene', 'CCG-207937', 'CM14391', 'CS-W020053', 'MCULE-4627478482', 'NSC-759563', 'Phenol, 2,6-di-tert-butyl-4-methyl-', 'NCGC00091761-01', 'NCGC00091761-02', 'NCGC00091761-04', 'NCGC00091761-05', 'NCGC00091761-06', 'NCGC00091761-07', 'NCGC00257275-01', 'NCGC00258645-01', 'AC-10553', 'AK-90086', 'L133', 'SC-19397', 'SMR000059076', '2,6-Di-tert-butyl-4-methylphenol (BHT)', 'BUTYLATED HYDROXYTOLUENE CRYSTALLINE', 'SBI-0052890.P002', '2,6-Di-tert-butyl-4-methylphenol, &gt;=99%', 'Butylated hydroxytoluene, &gt;=99%, FCC, FG', 'D0228', 'E-321', 'FT-0610731', 'Phenol,6-bis(1,1-dimethylethyl)-4-methyl-', 'ST50214443', '2,6-bis-(1,1-dimethylethyl)-4-methylphenol', '4-Methyl-2,6- di(1,1-dimethylethyl)phenol', 'PK04_181024', '2,6-Di-tert-butyl-1-hydroxy-4-methyl benzene', 'C14693', 'D02413', 'M-6087', 'MLS-0146297.0001', 'AB00053233_09', 'Phenol, 3,5-bis(1,1-dimethylethyl)-4-methyl-', '2,6-Bis(1,1-dimethylethyl)-4-methylphenol, 9CI', '2,6-Di-tert-butyl-4-methylphenol, puriss., 99%', 'AC-907/25014329', 'Q221945', 'SR-01000735918', 'SR-01000735918-2', 'W-108376', '9FC4DFC8-480D-487C-A74A-2EC9EECE92C4', 'BENZENE,1,3-DITERT.BUTYL,2-HYDROXY,5-METHYL', 'BRD-K53153417-001-01-3', 'BRD-K53153417-001-06-2', '2,6-D[(CH3)3C]2C6H2(CH3)OHi-tert-butyl-p-cresol', 'F0001-0395', 'Z955123624', '2,6-Di-tert-butyl-4-methylphenol, purum, &gt;=99.0% (GC)', 'WLN: 1X1 &amp; 1 &amp; R BQ E1 CX1 &amp; 1 &amp; 1', '2,6-Di-tert-butyl-4-methylphenol, &gt;=99.0% (GC), powder', '2,6-Di-tert-butyl-4-methylphenol, SAJ first grade, &gt;=99.0%', '2,6-Di-tert-butyl-4-methylphenol, tested according to Ph.Eur.', '3,5-Di-tert-4-butylhydroxytoluene (BHT), analytical standard', 'Butylhydroxytoluene, European Pharmacopoeia (EP) Reference Standard', '2,6-Di-tert-butyl-4-methylphenol, certified reference material, TraceCERT(R)', 'Butylated Hydroxytoluene, Pharmaceutical Secondary Standard; Certified Reference Material', 'Butylated hydroxytoluene, United States Pharmacopeia (USP) Reference Standard']</t>
  </si>
  <si>
    <t>Compound(31404)</t>
  </si>
  <si>
    <t>Special components soil sample</t>
  </si>
  <si>
    <t>Biology total</t>
  </si>
  <si>
    <t>Biomass</t>
  </si>
  <si>
    <t>Biomass fraction</t>
  </si>
  <si>
    <t>bis (2-ethylhexyl) adipate</t>
  </si>
  <si>
    <t>bis(2-ethylhexyl) hexanedioate</t>
  </si>
  <si>
    <t>['BIS(2-ETHYLHEXYL) ADIPATE', '103-23-1', 'Di(2-ethylhexyl) adipate', 'Diethylhexyl adipate', 'DEHA', 'Di(2-ethylhexyl)adipate', 'Octyl adipate', 'Bis(2-ethylhexyl) hexanedioate', 'Plastomoll DOA', 'BEHA', 'Vestinol OA', 'Bisoflex DOA', 'Effomoll DOA', 'Kodaflex DOA', 'Monoplex DOA', 'Truflex DOA', 'Adipol 2EH', 'Staflex doa', 'Uniflex doa', 'Di-2-ethylhexyl adipate', 'Reomol doa', 'Wickenol 158', 'Lankroflex DOA', 'Sansocizer DOA', 'Plasthall DOA', 'Crodamol DOA', 'Ergoplast ADDO', 'Flexol A 26', 'Mollan S', 'Hexanedioic acid, bis(2-ethylhexyl) ester', 'Sicol 250', 'Rucoflex plasticizer doa', 'Jayflex DOA 2', 'Bis(2-ethylhexyl)hexanedioate', 'Kemester 5652', 'Effomoll DA', 'WITAMOL 320', 'Arlamol DOA', 'Hatcol 2908', 'ADO (lubricating oil)', 'Flexol plasticizer 10-A', 'Flexol plasticizer A-26', 'BIS(2-ETHYLHEXYL)ADIPATE', 'Morflex 310', 'Vistone A 10', 'Adipic acid, bis(2-ethylhexyl) ester', 'Di-(2-ethylhexyl) adipate', 'Octyl adipate (VAN)', 'Hexanedioic acid bis(2-ethylhexyl) ester', 'Dioctyl adipate (VAN)', 'NCI-C54386', 'DOA', 'Effemoll doa', 'Palatinol DOA', 'Polycizer DOA', 'Monsanto DOA', 'UNII-MBY1SL921L', 'Adipic acid di(2-ethylhexyl) ester', 'PX-238', 'CCRIS 236', 'HSDB 343', 'Bis-(2-ethylhexyl)ester kyseliny adipove', 'keme ster 5652', 'Good-rite GP-223', 'USS 700', 'ADIPIC ACID BIS(2-ETHYLHEXYL) ESTER', 'EINECS 203-090-1', 'Hexanedioic acid, 1,6-bis(2-ethylhexyl) ester', 'K 3220', 'NSC 56775', 'BRN 1803774', 'MBY1SL921L', 'AI3-28579', 'MLS002152897', 'Bis(2-ethylhexyl) hexanedio ate', 'CHEBI:34675', 'Bis(2-ethylhexyl) adipate, 99%', 'Bis-(2-ethylhexyl)ester kyseliny adipove [Czech]', '1,6-bis(2-ethylhexyl) hexanedioate', 'Adipic acid bis (2-ethylhexyl) ester', 'AK133062', 'SMR001224508', 'DSSTox_CID_606', 'DSSTox_RID_75687', 'DSSTox_GSID_20606', 'CAS-103-23-1', 'Adipic acid di[2-ethylhexyl]ester', 'Bis-(2-ethylhexyl)ester kyseliny adipove (czech)', 'DOA Plasticizer', 'Jayflex DOA', 'Merrol DOA', 'Witcizer 412', 'Flexol A26', 'i-2-ethylhexyl adipate', 'ACMC-1C1QT', 'Adipic Acid Dioctyl Ester', 'EC 203-090-1', 'cid_7641', 'bis-(2-ethylhexyl) adipate', 'NCIOpen2_007625', 'SCHEMBL27423', 'Hexadioic acid, dioctyl ester', 'KSC489Q4H', 'Hexanedioc acid, dioctyl ester', 'Adipic acid bis(2-ethylhexyl)', 'Adipic acid, bis(2-ethylhexyl)', 'CHEMBL1414950', 'DTXSID0020606', 'BDBM74247', 'CTK3I9843', 'KS-00000YQM', 'NSC56775', 'Tox21_202231', 'Tox21_300564', 'Adipic acid, bis-2-ethylhexyl ester', 'Adipic acid, di(2-ethylhexyl) ester', 'ANW-14819', 'LS-360', 'MFCD00009496', 'NSC-56775', 'Bis(2-ethylhexyl) adipate, &gt;=99%', 'AKOS015903805', 'ANGC-103-23-1', 'DS-7125', 'NCGC00091185-01', 'NCGC00091185-02', 'NCGC00091185-03', 'NCGC00091185-04', 'NCGC00254473-01', 'NCGC00259780-01', '70147-21-6', 'AC-15178', 'CC-24703', 'O960', 'A0163', 'FT-0621915', 'WLN: 4Y2 &amp; 1OV4VO1Y4 &amp; 2', 'Bis(2-ethylhexyl) adipate, &gt;=97.0% (GC)', 'Bis(2-ethylhexyl) adipate, analytical standard', 'C14240', 'C-21134', 'Q412835', 'J-000910', 'J-519866', 'Bis(2-ethylhexyl) adipate, Selectophore(TM), &gt;=99.0%', 'UNII-M7PN9GX4OJ component SAOKZLXYCUGLFA-UHFFFAOYSA-N', 'Adipic acid, bis-2-ethylhexyl ester 100 microg/mL in Acetone', '2072051-04-6']</t>
  </si>
  <si>
    <t>Compound(7641)</t>
  </si>
  <si>
    <t>C22H42O4</t>
  </si>
  <si>
    <t>Leaf fall</t>
  </si>
  <si>
    <t>Flowering blue-green algae (qualitative)</t>
  </si>
  <si>
    <t>Flowering frequency</t>
  </si>
  <si>
    <t>Bottom height</t>
  </si>
  <si>
    <t>Soil quality (final verdict)</t>
  </si>
  <si>
    <t>Tree layer</t>
  </si>
  <si>
    <t>Botulism</t>
  </si>
  <si>
    <t>Beagle character</t>
  </si>
  <si>
    <t>Width</t>
  </si>
  <si>
    <t>Bryozoa and / or Hydrozoa</t>
  </si>
  <si>
    <t>boron trichloride</t>
  </si>
  <si>
    <t>trichloroborane</t>
  </si>
  <si>
    <t>['BORON TRICHLORIDE', 'Trichloroborane', '10294-34-5', 'Boron chloride', 'Borane, trichloro-', 'Borontrichloride', 'Trichloroboron', 'BCl3', 'Boron chloride (BCl3)', 'Chlorure de bore (French)', 'UNII-K748471RAG', 'HSDB 326', 'EINECS 233-658-4', 'UN 1741', 'K748471RAG', 'Boron trichloride [UN1741] [Poison gas]', 'MFCD00011313', 'Boron trichloride, 1M solution in hexane, AcroSeal(R)', 'trichloroboran', 'Boron trichloride, 1M solution in methylene chloride, AcroSeal(R)', 'Trichloro-borane', 'Chlorure de bore', 'boron tri-chloride', 'Trona boron trichloride', 'EC 233-658-4', 'Boron trichloride, 99.9%', 'KSC177A5B', 'ARONIS23907', 'DTXSID2041676', 'CTK0H7050', 'FAQYAMRNWDIXMY-UHFFFAOYSA-', 'KS-00000WE2', 'ANW-14766', 'Boron Trichloride - Methanol Reagent', 'SBB080574', 'AKOS005111101', 'ZINC245189232', '37226-51-0', 'LS-44984', 'SC-47206', 'B3556', 'B3967', 'B3968', 'B4415', 'B4416', 'Boron Trichloride - 2-Chloroethanol Reagent', 'Boron trichloride solution, 10% in methanol', 'FT-0623179', 'FT-0694025', 'X8633', 'Boron trichloride solution, 1.0 M in heptane', 'Boron trichloride solution, 1.0 M in hexanes', 'Boron trichloride solution, 1.0 M in toluene', 'Boron trichloride solution, 1.0 M in p-xylene', 'Q415872', 'Boron trichloride solution, 1.0 M in methylene chloride', 'Boron trichloride solution, 12% in methanol, for GC derivatization', '75507-65-2']</t>
  </si>
  <si>
    <t>Compound(25135)</t>
  </si>
  <si>
    <t>BCl3</t>
  </si>
  <si>
    <t>boron trifluoride</t>
  </si>
  <si>
    <t>trifluoroborane</t>
  </si>
  <si>
    <t>['BORON TRIFLUORIDE', 'Trifluoroborane', 'Borane, trifluoro-', 'Boron fluoride', 'Trifluoroboron', '7637-07-2', 'Anca 1040', 'Boron fluoride (BF3)', 'Fluorure de bore', 'Fluorure de bore [French]', 'UNII-7JGD48PX8P', '7JGD48PX8P', 'HSDB 325', 'CHEBI:33093', 'EINECS 231-569-5', 'UN1008', 'BF3', 'Borontrifluoride', 'BF3 - Butanol solution, 10 % (w/w)', 'Bortrifluorid', 'trifluoridoboron', 'trifluoro Boron', 'boron trifluride', 'Trifluoro-borane', 'boron triflouride', 'boron-trifluoride', '(11B)Boron trifluoride', 'Borane-11B, trifluoro-', 'Boron trifluoride, compressed', '15875-25-9', 'Leecure B series (Salt/Mix)', 'Boron trifluoride, &gt;=99.5%', 'CHEMBL2220705', 'DTXSID7041677', 'CTK2H7573', 'boron trifluoride methanol complex', '[BF3]', 'Boron Trifluoride - Butanol Reagent', 'EINECS 243-946-1', 'Boron Trifluoride - Methanol Reagent', 'Boron Trifluoride - Propanol Reagent', 'AKOS015916106', 'ZINC242701933', 'UN 1008', '353-41-3', 'LS-44986', 'FT-0623180', 'FT-0694035', 'Boron Trifluoride - Isopropyl Alcohol Reagent', 'EC 231-569-5', 'Boron trifluoride, electronic grade, &gt;=99.99%', 'Q409602', 'Boron trifluoride, compressed [UN1008] [Poison gas]', 'Boron trifluoride, compressed [UN1008]  [Poison gas]', 'Boron trifluoride - 1-butanol solution, ~10% in 1-butanol (&gt;=1.3 M), for GC derivatization']</t>
  </si>
  <si>
    <t>Compound(6356)</t>
  </si>
  <si>
    <t>BF3</t>
  </si>
  <si>
    <t>BOD / nitrogen ratio Kjeldahl</t>
  </si>
  <si>
    <t>Ratio BOD / Phosphorus total</t>
  </si>
  <si>
    <t>Biochemical oxygen consumption over 1 day</t>
  </si>
  <si>
    <t>Biochemical oxygen demand over 10 days</t>
  </si>
  <si>
    <t>Biochemical oxygen demand over 11 days</t>
  </si>
  <si>
    <t>Biochemical oxygen demand over 12 days</t>
  </si>
  <si>
    <t>Biochemical oxygen consumption over 14 days</t>
  </si>
  <si>
    <t>Biochemical oxygen demand over 15 days</t>
  </si>
  <si>
    <t>Biochemical oxygen demand over 19 days</t>
  </si>
  <si>
    <t>Biochemical oxygen demand over 2 days</t>
  </si>
  <si>
    <t>Biochemical oxygen demand over 20 days</t>
  </si>
  <si>
    <t>Biochemical oxygen demand over 21 days</t>
  </si>
  <si>
    <t>Biochemical oxygen consumption over 26 days</t>
  </si>
  <si>
    <t>Biochemical oxygen demand over 28 days</t>
  </si>
  <si>
    <t>Biochemical oxygen consumption over 3 days</t>
  </si>
  <si>
    <t>Biochemical oxygen demand over 33 days</t>
  </si>
  <si>
    <t>Biochemical oxygen demand over 4 days</t>
  </si>
  <si>
    <t>Biochemical oxygen consumption over 40 days</t>
  </si>
  <si>
    <t>Biochemical oxygen demand over 5 days</t>
  </si>
  <si>
    <t>Biochemical oxygen demand with allyl thiourea</t>
  </si>
  <si>
    <t>Biochemical oxygen consumption over 6 days</t>
  </si>
  <si>
    <t>Biochemical oxygen demand over 7 days</t>
  </si>
  <si>
    <t>Biochemical oxygen demand over 8 days</t>
  </si>
  <si>
    <t>Biochemical oxygen demand over 9 days</t>
  </si>
  <si>
    <t>barium-133</t>
  </si>
  <si>
    <t>['Barium-133', 'Barium, isotope of mass 133', '13981-41-4']</t>
  </si>
  <si>
    <t>Compound(5491664)</t>
  </si>
  <si>
    <t>barium-140</t>
  </si>
  <si>
    <t>['Barium-140', 'Barium, isotope of mass 140', '140Ba', '14798-08-4']</t>
  </si>
  <si>
    <t>Compound(6335490)</t>
  </si>
  <si>
    <t>benzo (a) anthracene</t>
  </si>
  <si>
    <t>benzo[a]anthracene</t>
  </si>
  <si>
    <t>['Benz[a]anthracene', 'Tetraphene', '56-55-3', '1,2-Benzanthracene', 'Benzo[a]anthracene', 'Benzanthrene', 'Benzanthracene', 'BENZ(A)ANTHRACENE', 'Naphthanthracene', '2,3-Benzphenanthrene', 'Benzoanthracene', 'Benzo(a)anthracene', '1,2-Benzanthrene', '1,2-Benzanthrazen', '1,2-Benzoanthracene', '2,3-Benzophenanthrene', 'Benzo(b)phenanthrene', 'Benzo[b]phenanthrene', 'RCRA waste number U018', '1,2-Benz(a)anthracene', 'CCRIS 69', 'UNII-C5PLF6152K', 'NSC 30970', '1,2-Benzanthrazen [German]', 'CHEBI:51348', 'HSDB 4003', '1,2-Benz[a]anthracene', 'EINECS 200-280-6', 'RCRA waste no. U018', 'AI3-50599', 'C5PLF6152K', 'DSSTox_CID_3902', 'DSSTox_RID_77226', 'Benz(a)anthracene [Polycyclic aromatic compounds]', 'DSSTox_GSID_23902', '1,2-Benzanthracene, 99%', 'Benz(a)anthracene [Polycyclic aromatic hydrocarbons]', 'W-203131', 'CAS-56-55-3', 'Benz[a]anthracene, 99%', 'ACMC-209lt5', 'Epitope ID:119714', 'BIDD:ER0540', 'CHEMBL1873684', 'DTXSID5023902', 'WLN: L D6 B666J', 'CTK1H0020', 'ALBB-031380', 'KS-000015RF', 'NSC30970', 'ZINC1661474', 'Tox21_202060', 'Tox21_300499', '6423AF', 'ANW-32535', 'LS-222', 'NSC-30970', 'SBB061394', 'AKOS008901282', 'Benz[a]anthracene, analytical standard', 'CS-W012994', 'MCULE-7567845260', 'NCGC00164242-01', 'NCGC00164242-02', 'NCGC00164242-03', 'NCGC00164242-04', 'NCGC00254419-01', 'NCGC00259609-01', 'CC-02811', 'AX8052963', 'B0017', 'FT-0631249', 'NS00010721', 'ST45022240', 'Benz[a]anthracene 10 microg/mL in Acetonitrile', 'Benz[a]anthracene 10 microg/mL in Cyclohexane', 'C14317', 'Benz[a]anthracene 100 microg/mL in Acetonitrile', 'A831092', 'C-13100', 'Q2442512', 'Benz[a]anthracene;Benz(a)anthracene;benz[a]anthracene', 'Benz[a]anthracene, BCR(R) certified Reference Material', 'UNII-0TNN3Q0D4D component DXBHBZVCASKNBY-UHFFFAOYSA-N', 'Benz[a]anthracene, certified reference material, TraceCERT(R)', 'Benz[a]anthracene solution, 100 ng/muL in cyclohexane, analytical standard', 'Benz[a]anthracene solution, certified reference material, 1000 mug/mL in methanol', 'Benz[a]anthracene solution, certified reference material, 200 mug/mL in methylene chloride']</t>
  </si>
  <si>
    <t>Compound(5954)</t>
  </si>
  <si>
    <t>C18H12</t>
  </si>
  <si>
    <t>benzo (a) fluoranthene</t>
  </si>
  <si>
    <t>pentacyclo[10.7.1.02,7.08,20.014,19]icosa-1(20),2,4,6,8,10,12,14,16,18-decaene</t>
  </si>
  <si>
    <t>['Benzo[a]fluoranthene', 'BENZO(A)FLUORANTHENE', '203-33-8', 'benz[a]aceanthrylene', '1,2-Benzfluoranthene', '1,2-Benzofluoranthene', 'Benzo[a]aceanthrylene', 'Dibenzo(c,lm)fluorene', '1,2-Benzfluoranthrene', 'Benz(a)aceanthrylene', 'CCRIS 2132', 'UNII-D03I23M795', 'BRN 1957846', 'D03I23M795', '56832-73-6', '4-05-00-02685 (Beilstein Handbook Reference)', 'DTXSID4059756', 'CHEBI:82400', 'CTK1A2411', 'ZINC2558793', 'LS-24779', 'C19341', 'Benzo[a]fluoranthene 10 microg/mL in Acetonitrile', 'Benzo[a]fluoranthene 10 microg/mL in Cyclohexane', 'J-013222', 'Q4890780', 'Benzo[a]fluoranthene, BCR(R) certified Reference Material']</t>
  </si>
  <si>
    <t>Compound(9146)</t>
  </si>
  <si>
    <t>C20H12</t>
  </si>
  <si>
    <t>benzo (a) pyrene</t>
  </si>
  <si>
    <t>benzo[a]pyrene</t>
  </si>
  <si>
    <t>['benzo[a]pyrene', '50-32-8', '3,4-Benzopyrene', 'benzo[pqr]tetraphene', 'BENZO(A)PYRENE', '3,4-Benzpyrene', 'benzo[def]chrysene', 'Benzpyrene', '6,7-Benzopyrene', 'Benz[a]pyrene', '3,4-BP', '3,4-Benz[a]pyrene', '3,4-Benzopirene', '3,4-Benzpyren', 'Benzo[d,e,f]chrysene', 'Benz(a)pyrene', '(B(a)P)', 'B(a)P', 'BP', '3,4 Benzpyrene', 'RCRA waste number U022', '3,4-Benz(a)pyrene', 'Benzo(d,e,f)chrysene', 'NSC 21914', '3,4-Benzo(a)pyrene', 'B[a]p', '3,4-Benzpyren [German]', 'Benzo[A]-Pyrene', 'CCRIS 76', 'Benzo(def)chrysene', '3,4-benzylpyrene', '3,4-Benzopirene [Italian]', 'UNII-3417WMA06D', 'CHEBI:29865', 'HSDB 2554', 'EINECS 200-028-5', 'RCRA waste no. U022', 'CHEMBL31184', 'AI3-50461', '3417WMA06D', 'MFCD00003602', 'Coal tar pitch volatiles: benzo(a)pyrene', 'Benzo(a)pyrene [Polycyclic aromatic compounds]', 'Benzo(a)pyrene [Polycyclic aromatic hydrocarbons]', '3,4 Benzopyrene', 'Benzo[a]pyrene (BaP)', 'Benzo(a)pyrene radical cation', 'benzo[a]pyren', '3,4-Benzypyrene', 'Benzo(a)pyrene, radical ion(1+)', 'Benzo(a)pyrene, radical ion(1-)', 'Benzo[d,f]chrysene', 'Benzo(a)pyrene, labeled with tritium', 'Benzo Pyrene[BAP]', 'Benzo(3,4)pyrene, radical ion(1+)', 'Spectrum_001871', 'ACMC-209sok', 'SpecPlus_000953', 'DSSTox_CID_139', 'Spectrum2_001081', 'Spectrum3_001695', 'Spectrum4_000609', 'Spectrum5_001824', 'Epitope ID:117721', 'DSSTox_RID_75392', 'DSSTox_GSID_20139', 'BSPBio_003250', 'KBioGR_001138', 'KBioSS_002390', 'KSC269M1J', 'MLS002695983', 'BIDD:ER0497', 'DivK1c_007049', 'SPBio_001122', '3,4-Benzopyrene (carcinogen)', 'DTXSID2020139', 'CTK1G9614', 'KBio1_001993', 'KBio2_002385', 'KBio2_004953', 'KBio2_007521', 'KBio3_002470', 'HMS3089C04', 'HMS3746C17', 'NSC21914', 'ZINC1530818', 'Benzo[a]pyrene, &gt;=96% (HPLC)', 'Tox21_200710', 'ANW-41442', 'BDBM50137506', 'CCG-39759', 'LS-139', 'NSC-21914', 'SBB061395', 'AKOS015907666', '3,4-Benzopyrene(purifiedbysublimation)', 'AM61580', 'CS-7789', 'MCULE-1109963029', 'CAS-50-32-8', 'WLN: L D6 B6666 2AB TJ', 'NCGC00178185-01', 'NCGC00178185-02', 'NCGC00258264-01', '34505-58-3', '42299-33-2', '6699-27-0', 'AK-49838', 'BR-49838', 'CC-24344', 'NCI60_001824', 'SC-08054', 'SMR000393676', 'SY048151', 'AX8115689', 'Benzo[a]pyrene 1000 microg/mL in Acetone', 'DB-071166', 'HY-107377', 'B0085', 'Benzo[a]pyrene 10 microg/mL in Acetonitrile', 'FT-0614185', 'NS00006321', 'ST45022245', 'W6563', 'Benzo[a]pyrene 100 microg/mL in Acetonitrile', 'Benzo[a]pyrene 100 microg/mL in Cyclohexane', '4809-EP2270014A1', '4809-EP2270895A2', '4809-EP2272517A1', '4809-EP2277880A1', '4809-EP2277898A2', '4809-EP2278637A1', '4809-EP2284157A1', '4809-EP2292088A1', '4809-EP2292610A1', '4809-EP2292630A1', '4809-EP2295424A1', '4809-EP2295428A2', '4809-EP2298735A1', '4809-EP2298744A2', '4809-EP2298780A1', '4809-EP2302015A1', '4809-EP2305250A1', '4809-EP2305689A1', '4809-EP2305825A1', '4809-EP2308852A1', '4809-EP2311820A1', '4809-EP2316827A1', '4809-EP2316836A1', '4809-EP2316937A1', '4809-EP2371805A1', '4809-EP2374895A1', 'C07535', 'J10073', 'S-4361', 'A828066', 'A828067', 'Benzo[a]pyrene, vial of 1 g, analytical standard', 'C-29981', 'Q306051', 'BRD-K09668667-001-02-0', 'Benzo[a]pyrene, certified reference material, TraceCERT(R)', 'UNII-0TNN3Q0D4D component FMMWHPNWAFZXNH-UHFFFAOYSA-N', 'Benzo[a]pyrene, analytical standard, for environmental analysis', 'BENZO(A)PYRENE (SEE ALSO: BENZO(E)PYRENE (CAS 192-97-2))', 'Benzo[a]pyrene solution, 100 mug/mL in cyclohexane, analytical standard', 'Benzo[a]pyrene solution, certified reference material, 100 mug/mL in methylene chloride', 'Benzo(a)pyrene;Benzo[a]pyren;Benzo[def]chrysene (Benzo[a]pyrene);benzo[a]pyrene;benzo[def]chrysene;Benzo[def]chrysene', 'Benzo[a]pyrene solution, certified reference material, TraceCERT(R), 1000 mug/mL in acetone', 'Benzo[a]pyrene solution, certified reference material, TraceCERT(R), 200 mug/mL in methylene chloride', 'pentacyclo[10.6.2.0(2),?.0?,(1)?.0(1)?,(2)?]icosa-1,3,5,7,9,11,13,15,17,19-decaene']</t>
  </si>
  <si>
    <t>Compound(2336)</t>
  </si>
  <si>
    <t>benzo (b) fluoranthene</t>
  </si>
  <si>
    <t>pentacyclo[10.7.1.02,7.08,20.013,18]icosa-1(19),2(7),3,5,8(20),9,11,13,15,17-decaene</t>
  </si>
  <si>
    <t>['Benzo[b]fluoranthene', 'BENZO(B)FLUORANTHENE', '205-99-2', 'Benz[e]acephenanthrylene', 'benzo[e]acephenanthrylene', '3,4-Benzfluoranthene', '2,3-Benzofluoranthene', '2,3-Benzfluoranthene', '3,4-Benzofluoranthene', 'B(b)F', '2,3-Benzofluoranthrene', 'Benz(e)acephenanthrylene', 'Benzo(e)fluoranthene', 'Benzo[e]fluoranthene', 'NSC 89265', 'UNII-FJO154KG1X', 'CCRIS 72', '3,4-Benz(e)acephenanthrylene', '3,4-Benz[e]acephenanthrylene', '4,5-Benzofluoranthene', 'benz[e]acephenanthrylen', 'HSDB 4035', 'EINECS 205-911-9', 'BRN 1872553', 'FJO154KG1X', 'CHEBI:34565', 'DSSTox_CID_3907', 'DSSTox_RID_77227', 'DSSTox_GSID_23907', 'BF', 'Benzo(b)fluoranthene [Polycyclic aromatic compounds]', 'Benzo(b)fluoranthene [Polycyclic aromatic hydrocarbons]', 'CAS-205-99-2', 'Benzo[b]fluoranthene solution', 'Benz[b]fluoranthene', '1397206-82-4', '3,4-Benzofluoranthrene', 'ACMC-209fcd', 'Benzo[b]fluoranthene, 98%', 'MLS002415713', 'BIDD:ER0409', 'CHEMBL1337502', 'DTXSID0023907', 'CTK1A2321', 'NSC89265', 'ZINC1570222', 'Tox21_202381', 'Tox21_300289', 'ACM205992', 'ANW-24155', 'LS-990', 'NSC-89265', 'AKOS015902955', 'CS-W012616', 'MCULE-3372407306', 'WLN: L C65 K666 1A TJ', 'KS-000014X8', 'Benzo[b]fluoranthene, analytical standard', 'NCGC00090866-01', 'NCGC00090866-02', 'NCGC00090866-03', 'NCGC00090866-04', 'NCGC00254223-01', 'NCGC00259930-01', 'CC-24337', 'SC-50894', 'SMR001370895', 'DB-045304', 'B2982', 'FT-0631870', 'NS00006596', 'ST45000855', 'C14320', '136192-EP2277880A1', '136192-EP2292610A1', 'Benzo[b]fluoranthene 10 microg/mL in Acetonitrile', 'Benzo[b]fluoranthene 10 microg/mL in Cyclohexane', 'C-15587', 'Benzo[b]fluoranthene 100 microg/mL in Acetonitrile', 'J-013453', 'Q2380192', 'Benzo[b]fluoranthene, vial of 1 g, analytical standard', 'Benzo[b]fluoranthene, BCR(R) certified Reference Material', 'UNII-0TNN3Q0D4D component FTOVXSOBNPWTSH-UHFFFAOYSA-N', 'Benzo[b]fluoranthene, certified reference material, TraceCERT(R)', 'BENZO(B)FLUORANTHENE (SEE ALSO: BENZ(J)FLUORANTHENE (CAS 205-82-3))', 'Benzo[b]fluoranthene solution, 100 mug/mL in cyclohexane, analytical standard', 'Benzo[b]fluoranthene solution, certified reference material, 1000 mug/mL in acetone', 'Benzo[b]fluoranthene solution, certified reference material, 200 mug/mL in methanol', 'Benzo[b]fluoranthene;Benz[e]acephenanthrylen;benzo[e]acephenanthrylene;benzo[b]fluoranthene;Benzo[e]acephenanthrylene', 'pentacyclo[10.7.1.0^{2,7.0^{8,20.0^{13,18]icosa-1(19),2(7),3,5,8(20),9,11,13,15,17-decaene', 'pentacyclo[10.7.1.02,7.08,20.013,18]icosa-1(19),2(7),3,5,8(20),9,11,13,15,17-decaene']</t>
  </si>
  <si>
    <t>Compound(9153)</t>
  </si>
  <si>
    <t>benzo (b) fluorene</t>
  </si>
  <si>
    <t>11H-benzo[b]fluorene</t>
  </si>
  <si>
    <t>['2,3-Benzofluorene', '11H-Benzo[b]fluorene', 'Benzo[b]fluorene', '243-17-4', 'Benzo(b)fluorene', '11H-BENZO(B)FLUORENE', 'UNII-GMO75RUY0L', '2,3-Benzfluorene', 'EINECS 205-952-2', 'NSC 89263', 'GMO75RUY0L', 'CHEBI:34566', 'AN-584/40897164', '30777-19-6', 'Benzo(b)fluoren', 'Isonaphthofluorene', '11H-Benzo[b]fluorene #', '2,3-Benzofluorene, 98%', 'BIDD:ER0429', 'CHEMBL1797274', 'DTXSID1022477', 'CTK1A3300', 'NSC89263', 'ZINC1570220', '6388AF', 'ANW-41440', 'NSC-89263', 'SBB095299', 'AKOS015906597', 'CC-06777', 'LS-34837', 'LS-34839', 'DB-046396', 'B0059', 'FT-0609495', 'NS00004617', 'ST45022247', 'C14384', 'C-29977', 'Benzo(b)fluoren;2 , 3-benzofluorene;Benzo[b]fluorene', 'Q27116154']</t>
  </si>
  <si>
    <t>Compound(9201)</t>
  </si>
  <si>
    <t>C17H12</t>
  </si>
  <si>
    <t>benzo (c) fluorene</t>
  </si>
  <si>
    <t>7H-benzo[c]fluorene</t>
  </si>
  <si>
    <t>['7H-Benzo[c]fluorene', 'Benzo(c)fluorene', 'Benzo[c]fluorene', '205-12-9', '3,4-Benzofluorene', '7H-BENZO(C)FLUORENE', 'Benzo(c)fluorene (VAN)', 'NSC 89264', 'EINECS 205-908-2', 'BRN 2046366', 'UNII-PX3702DW3A', 'PX3702DW3A', '30777-20-9', '4-05-00-02473 (Beilstein Handbook Reference)', 'CHEBI:82403', 'CTK1A3402', 'DTXSID30874039', 'NSC89264', 'ZINC1570221', 'ACM205129', 'NSC-89264', 'AKOS024329406', 'MCULE-2037960785', 'CC-23181', 'LS-34840', 'DB-045256', 'FT-0631867', 'NS00041487', 'C19344', '7H-Benzo[c]fluorene 10 microg/mL in Cyclohexane', 'C-28682', 'Q25352041']</t>
  </si>
  <si>
    <t>Compound(9150)</t>
  </si>
  <si>
    <t>beryllium-7</t>
  </si>
  <si>
    <t>['Beryllium-7', 'Beryllium, isotope of mass 7', '13966-02-4']</t>
  </si>
  <si>
    <t>Compound(6335489)</t>
  </si>
  <si>
    <t>benzo (e) pyrene</t>
  </si>
  <si>
    <t>benzo[e]pyrene</t>
  </si>
  <si>
    <t>['Benzo[e]pyrene', 'BENZO(E)PYRENE', '192-97-2', '4,5-Benzopyrene', '1,2-Benzpyrene', '4,5-Benzpyrene', 'Benzo(l)pyrene', '9,10-Benzpyrene', '1,2-Benzopyrene', 'B(e)P', 'Benzopyrene', 'Benz(e)pyrene', 'Benz[e]pyrene', '1,2-Benzpyrene (VAN)', '1,2-Benzopyrene (VAN)', 'CCRIS 786', 'UNII-63APT6398R', 'CHEBI:34567', 'HSDB 4031', 'EINECS 205-892-7', 'NSC 89273', 'BRN 1911334', 'Benzo[l]pyrene', '63APT6398R', 'DSSTox_CID_3764', 'DSSTox_RID_77188', 'DSSTox_GSID_23764', 'CAS-192-97-2', 'benzpyren', 'benzo(e)pyren', 'Benzo[e]pyrene, 98%', 'BENZO (E) PYRENE', 'Epitope ID:119717', 'MLS002415714', 'CHEMBL1371125', 'DTXSID3023764', 'CTK0H8013', 'HMS3039P15', 'Benzo[e]pyrene, analytical standard', 'NSC89273', 'ZINC1570230', 'Tox21_201724', 'Tox21_303185', 'LS-966', 'NSC-89273', 'AKOS015902954', 'KS-000018V5', 'WLN: L D6666 B6 2AB TJ', 'NCGC00091854-01', 'NCGC00091854-02', 'NCGC00091854-03', 'NCGC00256975-01', 'NCGC00259273-01', '73467-76-2', 'CC-24359', 'SMR001370896', 'Benzo[e]pyrene 10 microg/mL in Cyclohexane', 'Benzo(e)pyrene;Benzo(e)pyren;benzo[e]pyrene', 'Benzo[e]pyrene 10 microg/mL in Acetonitrile', 'FT-0694849', 'NS00002471', 'Z3627', 'Benzo[e]pyrene 100 microg/mL in Acetonitrile', 'Benzo[e]pyrene 100 microg/mL in Cyclohexane', 'C14435', 'C-29983', 'Benzo[e]pyrene, BCR(R) certified Reference Material', 'J-012492', 'Q2645019', 'BENZO(E)PYRENE (SEE ALSO: BENZ(A)PYRENE (CAS 50-32-8))', 'Benzo[e]pyrene solution, 100 mug/mL in cyclohexane, analytical standard']</t>
  </si>
  <si>
    <t>Compound(9128)</t>
  </si>
  <si>
    <t>benzene</t>
  </si>
  <si>
    <t>['benzene', 'benzol', 'Cyclohexatriene', '71-43-2', 'benzole', 'Pyrobenzole', 'Benzine', 'Benzen', 'Phenyl hydride', 'Pyrobenzol', 'Phene', 'Mineral naphtha', 'Coal naphtha', 'Bicarburet of hydrogen', 'Benzolene', 'Benzin', '[6]Annulene', 'Motor benzol', 'Carbon oil', 'Benzeen', 'Benzolo', 'Fenzen', 'Nitration benzene', '(6)Annulene', 'Benzol 90', 'Benzeen [Dutch]', 'Benzen [Polish]', 'Fenzen [Czech]', 'Rcra waste number U019', 'Benzolo [Italian]', 'Benzine (Obs.)', 'Benzin (Obs.)', 'NCI-C55276', 'Caswell No. 077', 'Benzol diluent', 'Benzene, pure', 'CCRIS 70', 'NSC 67315', 'HSDB 35', 'UN 1114', 'CHEBI:16716', 'UNII-J64922108F', 'EINECS 200-753-7', 'UN1114', 'EPA Pesticide Chemical Code 008801', 'Benzene (including benzene from gasoline)', 'AI3-00808', 'CHEMBL277500', 'MFCD00003009', 'J64922108F', 'BNZ', '2,5-cyclohexadien-1,4-ylene', 'Benzene 100 microg/mL in Methanol', 'Benzene, ACS reagent, &gt;=99.0%', '54682-86-9', '1,3,5-cyclohexatriene', 'Benzinum', 'Benzolum', 'Aromatic alkane', 'p-benzene', 'benzene solution', 'benzene-', '1hyz', '1swi', 'Benzene, anhydrous', '[6]-annulene', 'Benzene ACS Grade', 'Benzene, for HPLC', '{[6]Annulene}', 'Benzene, HPLC Grade', 'Ph-H', 'Phenyl; Phenyl Radical', '2z9g', '4i7j', 'ACMC-209snd', 'Benzene + aniline combo', 'DSSTox_CID_135', 'Benzene, labeled with carbon-14 and tritium', 'WLN: RH', 'Epitope ID:116867', 'Benzene, purification grade', 'EC 200-753-7', 'Benzene, analytical standard', 'DSSTox_RID_79433', 'Benzene, LR, &gt;=99%', 'DSSTox_GSID_39242', 'ghl.PD_Mitscher_leg0.503', '26181-88-4', 'Benzene, anhydrous, 99.8%', 'Benzene, AR, &gt;=99.5%', 'DTXSID3039242', '3,4-DNH', 'Benzene, Spectrophotometric Grade', '1l83', '220l', '223l', 'Benzene 10 microg/mL in Methanol', 'ZINC967532', 'trans-N-Methylphenylcyclopropylamine', 'ACT02832', 'BCP26158', 'Benzene, for HPLC, &gt;=99.8%', 'Benzene, for HPLC, &gt;=99.9%', 'KS-00000X1X', 'NSC67315', 'Tox21_202487', '1,3-Cyclohexadiene-5,6-diylradical', 'ANW-41399', 'BDBM50167939', 'BM 613', 'NSC-67315', 'STL264205', 'Benzene 5000 microg/mL in Methanol', 'Benzene, purum, &gt;=99.0% (GC)', 'AKOS008967253', 'LS-1605', 'MCULE-4899719484', 'Benzene [UN1114] [Flammable liquid]', 'Benzene, SAJ first grade, &gt;=99.0%', 'Benzene,SpectrophotometricGrade,99.5+%', 'CAS-71-43-2', 'Benzene [UN1114]  [Flammable liquid]', 'Benzene, JIS special grade, &gt;=99.5%', 'erythro-Phenyl-2-piperidyl-carbinol,(-)', 'NCGC00090744-01', 'NCGC00090744-02', 'NCGC00163890-01', 'NCGC00163890-02', 'NCGC00260036-01', 'trans-N, N-Dimethylphenylcyclopropylamine', 'Cc-34,(+/-)', 'RNG', 'SC-74481', 'DS-002542', 'B0020', 'FT-0622636', 'FT-0622637', 'FT-0622667', 'FT-0627856', 'FT-0657604', 'Q0038', 'Q2270', '3945-EP0930075A1', '3945-EP1441224A2', '3945-EP2269977A2', '3945-EP2269978A2', '3945-EP2269985A2', '3945-EP2269986A1', '3945-EP2269987A1', '3945-EP2269988A2', '3945-EP2269989A1', '3945-EP2269990A1', '3945-EP2269991A2', '3945-EP2269993A1', '3945-EP2269995A1', '3945-EP2270000A1', '3945-EP2270006A1', '3945-EP2270008A1', '3945-EP2270010A1', '3945-EP2270113A1', '3945-EP2270114A1', '3945-EP2272516A2', '3945-EP2272537A2', '3945-EP2272813A2', '3945-EP2272817A1', '3945-EP2272822A1', '3945-EP2272825A2', '3945-EP2272828A1', '3945-EP2272832A1', '3945-EP2272839A1', '3945-EP2272840A1', '3945-EP2272841A1', '3945-EP2272849A1', '3945-EP2272935A1', '3945-EP2272972A1', '3945-EP2272973A1', '3945-EP2275395A2', '3945-EP2275401A1', '3945-EP2275404A1', '3945-EP2275407A1', '3945-EP2275410A1', '3945-EP2275411A2', '3945-EP2275414A1', '3945-EP2275417A2', '3945-EP2275418A1', '3945-EP2275427A1', '3945-EP2275469A1', '3945-EP2277858A1', '3945-EP2277862A2', '3945-EP2277867A2', '3945-EP2277871A1', '3945-EP2277872A1', '3945-EP2277874A1', '3945-EP2277875A2', '3945-EP2277878A1', '3945-EP2277881A1', '3945-EP2279750A1', '3945-EP2280000A1', '3945-EP2280001A1', '3945-EP2280003A2', '3945-EP2280005A1', '3945-EP2280007A1', '3945-EP2280009A1', '3945-EP2280011A1', '3945-EP2281559A1', '3945-EP2281563A1', '3945-EP2281810A1', '3945-EP2281817A1', '3945-EP2281818A1', '3945-EP2281821A1', '3945-EP2282636A2', '3945-EP2284150A2', '3945-EP2284151A2', '3945-EP2284152A2', '3945-EP2284153A2', '3945-EP2284155A2', '3945-EP2284156A2', '3945-EP2284157A1', '3945-EP2284159A1', '3945-EP2284162A2', '3945-EP2284163A2', '3945-EP2284164A2', '3945-EP2284169A1', '3945-EP2284174A1', '3945-EP2284178A2', '3945-EP2284920A1', '3945-EP2286811A1', '3945-EP2286812A1', '3945-EP2287140A2', '3945-EP2287141A1', '3945-EP2287147A2', '3945-EP2287148A2', '3945-EP2287150A2', '3945-EP2287152A2', '3945-EP2287153A1', '3945-EP2287154A1', '3945-EP2287161A1', '3945-EP2287162A1', '3945-EP2287165A2', '3945-EP2287166A2', '3945-EP2287940A1', '3945-EP2289509A2', '3945-EP2289518A1', '3945-EP2289868A1', '3945-EP2289871A1', '3945-EP2289876A1', '3945-EP2289879A1', '3945-EP2289884A1', '3945-EP2289887A2', '3945-EP2289888A2', '3945-EP2289892A1', '3945-EP2289965A1', '3945-EP2292227A2', '3945-EP2292231A1', '3945-EP2292576A2', '3945-EP2292589A1', '3945-EP2292590A2', '3945-EP2292592A1', '3945-EP2292593A2', '3945-EP2292595A1', '3945-EP2292597A1', '3945-EP2292599A1', '3945-EP2292606A1', '3945-EP2292611A1', '3945-EP2292612A2', '3945-EP2292615A1', '3945-EP2292617A1', '3945-EP2292620A2', '3945-EP2292630A1', '3945-EP2295399A2', '3945-EP2295402A2', '3945-EP2295406A1', '3945-EP2295409A1', '3945-EP2295411A1', '3945-EP2295412A1', '3945-EP2295413A1', '3945-EP2295414A1', '3945-EP2295415A1', '3945-EP2295418A1', '3945-EP2295419A2', '3945-EP2295421A1', '3945-EP2295422A2', '3945-EP2295424A1', '3945-EP2295425A1', '3945-EP2295426A1', '3945-EP2295427A1', '3945-EP2295429A1', '3945-EP2295432A1', '3945-EP2295433A2', '3945-EP2295438A1', '3945-EP2295439A1', '3945-EP2295441A2', '3945-EP2295503A1', '3945-EP2298729A1', '3945-EP2298731A1', '3945-EP2298732A1', '3945-EP2298735A1', '3945-EP2298745A1', '3945-EP2298746A1', '3945-EP2298747A1', '3945-EP2298750A1', '3945-EP2298753A1', '3945-EP2298756A1', '3945-EP2298763A1', '3945-EP2298767A1', '3945-EP2298768A1', '3945-EP2298770A1', '3945-EP2298772A1', '3945-EP2298774A1', '3945-EP2298777A2', '3945-EP2298778A1', '3945-EP2298783A1', '3945-EP2298828A1', '3945-EP2300430A1', '3945-EP2301534A1', '3945-EP2301627A1', '3945-EP2301911A1', '3945-EP2301912A2', '3945-EP2301913A1', '3945-EP2301914A1', '3945-EP2301916A2', '3945-EP2301918A1', '3945-EP2301919A1', '3945-EP2301921A1', '3945-EP2301922A1', '3945-EP2301924A1', '3945-EP2301926A1', '3945-EP2301928A1', '3945-EP2301933A1', '3945-EP2301934A1', '3945-EP2301936A1', '3945-EP2301937A1', '3945-EP2302003A1', '3945-EP2305219A1', '3945-EP2305250A1', '3945-EP2305625A1', '3945-EP2305627A1', '3945-EP2305636A1', '3945-EP2305637A2', '3945-EP2305640A2', '3945-EP2305641A1', '3945-EP2305642A2', '3945-EP2305647A1', '3945-EP2305648A1', '3945-EP2305649A1', '3945-EP2305650A1', '3945-EP2305651A1', '3945-EP2305655A2', '3945-EP2305658A1', '3945-EP2305668A1', '3945-EP2305672A1', '3945-EP2305676A1', '3945-EP2305679A1', '3945-EP2305683A1', '3945-EP2305687A1', '3945-EP2305769A2', '3945-EP2305825A1', '3945-EP2308510A1', '3945-EP2308562A2', '3945-EP2308812A2', '3945-EP2308828A2', '3945-EP2308832A1', '3945-EP2308838A1', '3945-EP2308839A1', '3945-EP2308844A2', '3945-EP2308845A2', '3945-EP2308846A2', '3945-EP2308848A1', '3945-EP2308849A1', '3945-EP2308850A1', '3945-EP2308851A1', '3945-EP2308852A1', '3945-EP2308853A1', '3945-EP2308854A1', '3945-EP2308855A1', '3945-EP2308857A1', '3945-EP2308863A1', '3945-EP2308865A1', '3945-EP2308868A1', '3945-EP2308869A1', '3945-EP2308872A1', '3945-EP2308874A1', '3945-EP2308876A1', '3945-EP2308877A1', '3945-EP2308882A1', '3945-EP2308926A1', '3945-EP2309564A1', '3945-EP2309584A1', '3945-EP2311451A1', '3945-EP2311464A1', '3945-EP2311796A1', '3945-EP2311797A1', '3945-EP2311798A1', '3945-EP2311799A1', '3945-EP2311802A1', '3945-EP2311803A1', '3945-EP2311804A2', '3945-EP2311807A1', '3945-EP2311808A1', '3945-EP2311811A1', '3945-EP2311813A1', '3945-EP2311814A1', '3945-EP2311820A1', '3945-EP2311825A1', '3945-EP2311827A1', '3945-EP2311828A1', '3945-EP2311829A1', '3945-EP2311830A1', '3945-EP2311839A1', '3945-EP2311840A1', '3945-EP2311842A2', '3945-EP2314558A1', '3945-EP2314576A1', '3945-EP2314577A1', '3945-EP2314579A1', '3945-EP2314581A1', '3945-EP2314583A1', '3945-EP2314584A1', '3945-EP2314585A1', '3945-EP2314586A1', '3945-EP2314587A1', '3945-EP2314589A1', '3945-EP2314593A1', '3945-EP2315303A1', '3945-EP2315502A1', '3945-EP2316450A1', '3945-EP2316459A1', '3945-EP2316826A1', '3945-EP2316829A1', '3945-EP2316831A1', '3945-EP2316832A1', '3945-EP2316833A1', '3945-EP2316836A1', '3945-EP2316837A1', '3945-EP2371795A1', '3945-EP2371810A1', '3945-EP2371811A2', '3945-EP2371812A1', '3945-EP2371831A1', '3945-EP2372804A1', '3945-EP2374787A1', '3945-EP2374790A1', '3945-EP2377610A2', '3945-EP2377611A2', '3945-EP2377847A1', '3945-EP2377849A2', '3945-EP2378585A1', '3945-EP2379677A2', '3945-EP2380568A1', '3945-EP2380867A1', '3945-EP2380873A1', '3945-EP2380874A2', 'Benzene, ACS spectrophotometric grade, &gt;=99%', 'C01407', '77823-EP2272846A1', '77823-EP2277862A2', '77823-EP2277868A1', '77823-EP2277869A1', '77823-EP2277870A1', '77823-EP2287158A1', '77823-EP2292608A1', '77823-EP2292625A1', '77823-EP2295422A2', '77823-EP2295436A1', '77823-EP2298749A1', '77823-EP2298769A1', '77823-EP2300430A1', '77823-EP2305033A1', '77823-EP2308866A1', '77823-EP2379677A2', 'TRANSGENIC MODEL EVALUATION II (BENZENE)', '142077-EP2270010A1', '142077-EP2292593A2', 'Benzene, ReagentPlus(R), thiophene free, &gt;=99%', 'Benzene, puriss. p.a., Reag. Ph. Eur., &gt;=99.7%', 'Q26841227', 'Z57120059', 'Benzene, for residue analysis, suitable for 5000 per JIS', 'Benzene, suitable for 300 per JIS, &gt;=99.5%, for residue analysis', 'Benzene, Pharmaceutical Secondary Standard; Certified Reference Material', 'Benzene, suitable for 1000 per JIS, &gt;=99.5%, for residue analysis', 'Benzene, puriss., absolute, over molecular sieve (H2O &lt;=0.005%), &gt;=99.5% (GC)']</t>
  </si>
  <si>
    <t>Compound(241)</t>
  </si>
  <si>
    <t>C6H6</t>
  </si>
  <si>
    <t>['benzaldehyde', '100-52-7', 'Benzoic aldehyde', 'Phenylmethanal', 'Benzenecarbonal', 'Benzenecarboxaldehyde', 'Artificial almond oil', 'Benzenemethylal', 'Benzaldehyde FFC', 'Benzene carbaldehyde', 'Oil Of bitter almond', 'Benzene carboxaldehyde', 'Almond artificial essential oil', 'benzanoaldehyde', 'Benzylaldehyde', 'Benzoyl hydride', 'Caswell No. 076', 'Synthetic oil of bitter almond', 'Artificial essential oil of almond', 'NCI-C56133', 'benzaldehyd', 'Benzaldehyde (natural)', 'Benzadehyde', 'Benzyaldehyde', 'FEMA No. 2127', 'Phenylformaldehyde', 'NSC 7917', 'Artificial bitter almond oil', 'UNII-TA269SD04T', 'Bitter almond oil, synthetic', 'Benzaldehyde [NF]', 'Ethereal oil of bitter almonds', 'Benzoic acid aldehyde', 'CCRIS 2376', 'HSDB 388', 'EINECS 202-860-4', 'UN1990', 'EPA Pesticide Chemical Code 008601', 'Phenylmethanone', 'CHEMBL15972', 'AI3-09931', 'TA269SD04T', 'CHEBI:17169', 'Phenylmethanal benzenecarboxaldehyde', 'Benzaldehyde (NF)', 'NCGC00091819-01', 'NCGC00091819-02', 'DSSTox_CID_134', 'DSSTox_RID_79432', 'DSSTox_GSID_39241', 'Benzaldhyde', 'BDBM50139371', 'CAS-100-52-7', 'Benzaldehyde [USAN]', 'benzaidehyde', 'benzaldehvde', 'benzaldehye', 'benzaldeyde', 'Bitter almond', 'phenyl-methanone', 'Benzene methylal', 'Aromatic aldehyde', 'Ben zoyl hydride', 'Benzoylwasserstoff', '(phenyl)methanone', 'Benzaldehyde,(S)', 'PhCHO', 'HBX', 'Benzaldehyde Natural', 'Natural Benzaldehyde', '10383-90-1', 'Benzene carboxaldehyde;', '2vj1', 'WLN: VHR', 'SCHEMBL573', 'BENZALDEHYDE;benzaldehyde', 'bitter almond oil synthetic', 'EC 202-860-4', 'ACMC-1C91Y', 'ghl.PD_Mitscher_leg0.170', 'KSC176K2J', 'Benzaldehyde, AR, &gt;=99%', 'Benzaldehyde, LR, &gt;=99%', 'BIDD:ER0249', 'DTXSID8039241', 'BDBM60953', 'Benzaldehyde, analytical standard', 'CTK0H6524', 'KS-00000WWW', 'Artifical essential oil of almond', 'NSC7917', 'Ald3-H_000012', 'LS-27', 'ZINC895145', 'Benzaldehyde, &gt;=98%, FG, FCC', 'NSC-7917', 'Ald3.1-H_000160', 'Ald3.1-H_000479', 'Ald3.1-H_000798', 'Tox21_113069', 'Tox21_113244', 'Tox21_200634', 'ANW-14310', 'MFCD00003299', 's5574', 'STL194067', 'Benzaldehyde [UN1990] [Class 9]', 'Benzaldehyde, for synthesis, 95.0%', 'AKOS000119172', 'Benzaldehyde [UN1990]  [Class 9]', 'CCG-266041', 'LS41490', 'MCULE-7744113682', 'NA 1989', 'Benzaldehyde, purum, &gt;=98.0% (GC)', 'Benzaldehyde, ReagentPlus(R), &gt;=99%', 'NCGC00091819-03', 'NCGC00258188-01', 'PS-11959', 'SC-19173', 'Benzaldehyde, natural, &gt;=98%, FCC, FG', 'NATURAL RSTD CASSIA OIL DIST FLAVOR', 'DB-023673', 'B2379', 'Benzaldehyde, SAJ special grade, &gt;=98.0%', 'FT-0622622', 'FT-0622626', 'NS00008510', 'Benzaldehyde, Vetec(TM) reagent grade, 98%', '5044-EP2269979A1', '5044-EP2269990A1', '5044-EP2272491A1', '5044-EP2272827A1', '5044-EP2275404A1', '5044-EP2275411A2', '5044-EP2275412A1', '5044-EP2277858A1', '5044-EP2277865A1', '5044-EP2277878A1', '5044-EP2281818A1', '5044-EP2284157A1', '5044-EP2286915A2', '5044-EP2287152A2', '5044-EP2287159A1', '5044-EP2289868A1', '5044-EP2292593A2', '5044-EP2295402A2', '5044-EP2295410A1', '5044-EP2295441A2', '5044-EP2298767A1', '5044-EP2298776A1', '5044-EP2301534A1', '5044-EP2301536A1', '5044-EP2301538A1', '5044-EP2305625A1', '5044-EP2305629A1', '5044-EP2305662A1', '5044-EP2305679A1', '5044-EP2305687A1', '5044-EP2305769A2', '5044-EP2305808A1', '5044-EP2308562A2', '5044-EP2311451A1', '5044-EP2311455A1', '5044-EP2311806A2', '5044-EP2311840A1', '5044-EP2314295A1', '5044-EP2314586A1', '5044-EP2314587A1', '5044-EP2314593A1', '5044-EP2316450A1', '5044-EP2316832A1', '5044-EP2316833A1', '5044-EP2371831A1', '5044-EP2374454A1', '5044-EP2374783A1', '5044-EP2377841A1', '5044-EP2380871A1', 'Benzaldehyde 1000 microg/mL in Dichloromethane', 'Benzaldehyde, puriss. p.a., &gt;=99.0% (GC)', 'C00193', 'C00261', 'D02314', '53585-EP2305651A1', '53585-EP2308854A1', '125826-EP2287158A1', '125826-EP2295422A2', 'A800226', 'Q372524', 'SR-01000944375', 'Benzaldehyde, purified by redistillation, &gt;=99.5%', 'SR-01000944375-1', 'F1294-0144', 'Benzaldehyde, European Pharmacopoeia (EP) Reference Standard', 'Benzaldehyde, United States Pharmacopeia (USP) Reference Standard', 'Benzaldehyde, Pharmaceutical Secondary Standard; Certified Reference Material', '55279-75-9']</t>
  </si>
  <si>
    <t>Compound(240)</t>
  </si>
  <si>
    <t>C7H6O</t>
  </si>
  <si>
    <t>benzene acetic acid</t>
  </si>
  <si>
    <t>2-phenylacetic acid</t>
  </si>
  <si>
    <t>['PHENYLACETIC ACID', 'Benzeneacetic acid', '2-Phenylacetic acid', '103-82-2', 'Phenylethanoic acid', 'alpha-Toluic acid', 'phenylacetate', 'Benzenacetic acid', 'Acetic acid, phenyl-', 'Benzylformic acid', 'Phenyllacetic acid', 'Benzylcarboxylic acid', 'PHENYL ACETIC ACID', 'Kyselina fenyloctova', 'Phenylacetic acid (natural)', 'Kyselina fenyloctova [Czech]', 'omega-Phenylacetic acid', 'UNII-ER5I1W795A', 'NSC 125718', 'BRN 1099647', 'FEMA No. 2878', '.alpha.-Toluic acid', 'CHEBI:30745', 'AI3-08920', 'HSDB 5010', 'EINECS 203-148-6', 'PHENYL-ACETIC ACID', '.omega.-Phenylacetic acid', 'CHEMBL1044', 'ER5I1W795A', 'Benzeneacetate', 'NSC125718', 'NCGC00159477-02', 'DSSTox_CID_1656', 'BENZYLFORMATE', 'DSSTox_RID_76268', 'DSSTox_GSID_21656', 'CAS-103-82-2', 'Phenylethanoate', 'Phenylessigsaure', 'w-Phenylacetate', 'alpha-Toluate', 'phenylactic acid', 'a-Toluate', 'a-Toluic acid', 'Benzeneacetiic acid', 'omega-Phenylacetate', 'Phenylacetic Acid.', 'organic white solid', 'w-Phenylacetic acid', 'Phenylacetate, XIX', '2-phenyl-acetic acid', 'Phenylacetic acid, 99%', 'bmse000220', 'Epitope ID:116202', 'EC 203-148-6', 'SCHEMBL1459', '4-09-00-01614 (Beilstein Handbook Reference)', 'DTXSID2021656', 'BDBM16419', 'CTK0H5030', 'ZINC388462', 'Phenylacetic acid_GurudeebanSatyavani', 'Tox21_113042', 'Tox21_200533', 'NSC139637', 'Phenylacetic acid, natural, &gt;=99%', 'SBB058199', 'STK297835', 'Phenylacetic acid, analytical standard', 'AKOS000291351', 'Tox21_113042_1', 'DB09269', 'DL-0063', 'LS-3041', 'MCULE-6701370784', 'NSC-125718', 'NSC-139637', 'KS-000024G2', 'Phenylacetic acid, &gt;=99%, FCC, FG', 'NCGC00159477-03', 'NCGC00159477-05', 'NCGC00258087-01', '51146-16-8', 'BP-11383', 'NCI60_000596', 'NCI60_002571', 'Phenylacetic acid, natural, &gt;=99%, FG', 'DB-003759', 'DB-055176', 'FT-0641197', 'FT-0701063', 'NS00010314', 'Phenylacetic acid, plant cell culture tested', 'ST45061317', 'C07086', '28028-EP2269988A2', '28028-EP2270006A1', '28028-EP2270008A1', '28028-EP2272839A1', '28028-EP2272840A1', '28028-EP2275403A1', '28028-EP2275413A1', '28028-EP2287156A1', '28028-EP2292617A1', '28028-EP2295433A2', '28028-EP2301940A1', '28028-EP2305250A1', '28028-EP2305260A1', '28028-EP2305658A1', '28028-EP2308833A2', '28028-EP2308848A1', '28028-EP2311807A1', '28028-EP2311809A1', '28028-EP2311825A1', '28028-EP2314588A1', '79377-EP2298766A1', '79377-EP2305695A2', '79377-EP2305696A2', '79377-EP2305697A2', '79377-EP2305698A2', 'Q410842', '8727557E-AA75-49E9-8E5A-7A2412D71888', 'Tropicamide Related Compound D, United States Pharmacopeia (USP) Reference Standard', 'Tropicamide impurity D (Phenylacetic acid - Drug Precursor), European Pharmacopoeia (EP) Reference Standard']</t>
  </si>
  <si>
    <t>Compound(999)</t>
  </si>
  <si>
    <t>benzenesulfonic acid</t>
  </si>
  <si>
    <t>['BENZENESULFONIC ACID', '98-11-3', 'Benzenesulphonic acid', 'Phenylsulfonic acid', 'Besylic acid', 'Benzene sulphonic acid', 'Benzenemonosulfonic acid', 'Benzene sulfonic acid', 'benzensulfonic acid', 'Kyselina benzensulfonova', 'CCRIS 4595', 'Kyselina benzensulfonova [Czech]', 'HSDB 2642', 'UNII-685928Z18A', 'EINECS 202-638-7', 'BRN 0742513', 'AI3-15297', 'CHEBI:64455', '17-120A', 'MFCD00011689', '685928Z18A', 'DSSTox_CID_4568', 'DSSTox_RID_77453', 'DSSTox_GSID_24568', 'Benzenesulfonic acid, 90%, technical', 'CAS-98-11-3', 'Blu-gard snitizing teat dip', 'Blu-shield (teat dip) solution', 'benzenesulphonicacid', 'phenyl sulfonic acid', 'benzolsulfons&amp;#xe4;ure', 'Ph-SO3H', 'Benzenesulfonicacidhydrate', 'EC 202-638-7', 'SCHEMBL2509', 'C6H6SO3', '4-11-00-00027 (Beilstein Handbook Reference)', 'KSC291G0H', 'CHEMBL1422641', 'DTXSID9024568', 'Phenylsulfonic Acid, Besylic Acid', 'BCP30635', 'CS-D1398', 'KS-00000WE6', 'STR07703', 'ZINC1555312', 'Benzenesulfonic acid, 98.0% (T)', 'Tox21_201960', 'Tox21_303131', '7662AF', 'ANW-43958', 'STL280343', 'AKOS015856636', 'LS-2039', 'LS10672', 'MCULE-3169739755', 'NCGC00091687-01', 'NCGC00091687-02', 'NCGC00256989-01', 'NCGC00259509-01', 'SC-18047', 'Benzenesulfonic acid, technical grade, 90%', 'B0030', 'B3408', 'FT-0622648', 'NS00009548', 'Benzenesulfonic acid, technical, &gt;=90% (T)', '11030-EP2269610A2', '11030-EP2269986A1', '11030-EP2269988A2', '11030-EP2269989A1', '11030-EP2269990A1', '11030-EP2270008A1', '11030-EP2270505A1', '11030-EP2272537A2', '11030-EP2272822A1', '11030-EP2275401A1', '11030-EP2275411A2', '11030-EP2275413A1', '11030-EP2275418A1', '11030-EP2275424A1', '11030-EP2277848A1', '11030-EP2277858A1', '11030-EP2280009A1', '11030-EP2280012A2', '11030-EP2281563A1', '11030-EP2281817A1', '11030-EP2281819A1', '11030-EP2281823A2', '11030-EP2284174A1', '11030-EP2287147A2', '11030-EP2287152A2', '11030-EP2287153A1', '11030-EP2287155A1', '11030-EP2287156A1', '11030-EP2287160A1', '11030-EP2289510A1', '11030-EP2289518A1', '11030-EP2289890A1', '11030-EP2289894A2', '11030-EP2292231A1', '11030-EP2292234A1', '11030-EP2292611A1', '11030-EP2292617A1', '11030-EP2292619A1', '11030-EP2295406A1', '11030-EP2295416A2', '11030-EP2298731A1', '11030-EP2298742A1', '11030-EP2298747A1', '11030-EP2298748A2', '11030-EP2298755A1', '11030-EP2298763A1', '11030-EP2298768A1', '11030-EP2298772A1', '11030-EP2301544A1', '11030-EP2301918A1', '11030-EP2305219A1', '11030-EP2305633A1', '11030-EP2305641A1', '11030-EP2305646A1', '11030-EP2305647A1', '11030-EP2305649A1', '11030-EP2305651A1', '11030-EP2305659A1', '11030-EP2305672A1', '11030-EP2305673A1', '11030-EP2305685A1', '11030-EP2305686A1', '11030-EP2308839A1', '11030-EP2308854A1', '11030-EP2308857A1', '11030-EP2308869A1', '11030-EP2311801A1', '11030-EP2311802A1', '11030-EP2311803A1', '11030-EP2311804A2', '11030-EP2311807A1', '11030-EP2311809A1', '11030-EP2311810A1', '11030-EP2311818A1', '11030-EP2311842A2', '11030-EP2314575A1', '11030-EP2316457A1', '11030-EP2316458A1', '11030-EP2316459A1', '11030-EP2316825A1', '11030-EP2316826A1', '11030-EP2316827A1', '11030-EP2316828A1', '11030-EP2316831A1', '11030-EP2371814A1', '74485-EP2284160A1', '74485-EP2305647A1', '74485-EP2308857A1', '74485-EP2377847A1', '98736-EP2270002A1', '98736-EP2295433A2', '98736-EP2301928A1', '98736-EP2301940A1', 'Q421494', 'SR-01000944759', 'J-519685', 'SR-01000944759-1', 'Phenylsulfonic acid;Besylic acid;Kyselina benzensulfonova', 'Benzenesulfonic acid, PharmaGrade, manufactured under appropriate GMP controls for pharma or biopharmaceutical production']</t>
  </si>
  <si>
    <t>Compound(7371)</t>
  </si>
  <si>
    <t>C6H6O3S</t>
  </si>
  <si>
    <t>benzo (ghi) perylene</t>
  </si>
  <si>
    <t>hexacyclo[12.8.0.02,11.03,8.04,21.017,22]docosa-1(14),2(11),3(8),4,6,9,12,15,17(22),18,20-undecaene</t>
  </si>
  <si>
    <t>['Benzo[ghi]perylene', '191-24-2', '1,12-Benzoperylene', '1,12-Benzperylene', 'BENZO(GHI)PERYLENE', 'Benzo(g,h,i)perylene', 'Benzo[g,h,i]perylene', 'Benzo(ghi)pyrilene', 'NSC 89275', 'Benzo-1,12-perylene', 'UNII-5ZME2E2Q9L', 'CCRIS 784', 'HSDB 6177', 'EINECS 205-883-8', '5ZME2E2Q9L', 'CHEBI:34568', 'AK-81522', 'Benzo[ghi]perylene, 98+%', 'C22H12', 'ACMC-209euv', 'Benzo[ghi]perylene purum', 'DSSTox_CID_3908', 'Benzo[ghi]perylene, 98%', 'DSSTox_RID_77228', 'DSSTox_GSID_23908', 'CHEMBL1880376', 'DTXSID5023908', 'CTK0H6202', 'KS-00000LVL', 'CS-B0620', 'NSC89275', 'ZINC1570232', 'Tox21_202732', 'ANW-23525', 'NSC-89275', 'AKOS015840865', 'Benzo[ghi]perylene, analytical standard', 'QC-1342', 'NCGC00163974-01', 'NCGC00260280-01', 'CAS-191-24-2', 'DS-16237', 'LS-38805', 'SC-75625', 'DB-044760', 'B2983', 'FT-0631861', 'NS00001774', 'ST45022248', 'X6668', 'Benzo[ghi]perylene, purum, &gt;=98.0% (GC)', 'C14318', 'Benzo[g,h,i]perylene 10 microg/mL in Cyclohexane', 'Benzo[g,h,i]perylene 10 microg/mL in Acetonitrile', 'Benzo[g,h,i]perylene 100 microg/mL in Acetonitrile', 'Q2275328', 'Benzo[ghi]perylene, vial of 1 g, analytical standard', 'Benzo[ghi]perylene, BCR(R) certified Reference Material', 'BENZO(G,H,I)PERYLENE, 1X1ML, CH2CL2, 200 UG/ML', 'Benzo[ghi]perylene;Benzo[g,h,i]perylene;benzo[ghi]perylene', 'UNII-0TNN3Q0D4D component GYFAGKUZYNFMBN-UHFFFAOYSA-N', 'Benzo[ghi]perylene, certified reference material, TraceCERT(R)', 'Benzo[ghi]perylene solution, 100 ng/muL in cyclohexane, analytical standard', 'Benzo[ghi]perylene solution, certified reference material, 200 mug/mL in dichloromethane', 'Benzo(g,h,i)perylene solution, certified reference material, 100 mug/mL in methylene chloride', 'hexacyclo[12.8.0.0^{2,11.0^{3,8.0^{4,21.0^{17,22]docosa-1(14),2(11),3(8),4,6,9,12,15,17(22),18,20-undecaene']</t>
  </si>
  <si>
    <t>Compound(9117)</t>
  </si>
  <si>
    <t>C22H12</t>
  </si>
  <si>
    <t>bismuth-206</t>
  </si>
  <si>
    <t>['Bismuth-206', 'Bismuth, isotope of mass 206', '206Bi', '15776-19-9']</t>
  </si>
  <si>
    <t>Compound(6336623)</t>
  </si>
  <si>
    <t>bismuth-207</t>
  </si>
  <si>
    <t>['Bismuth-207', 'Bismuth, isotope of mass 207', '13982-38-2']</t>
  </si>
  <si>
    <t>Compound(6335818)</t>
  </si>
  <si>
    <t>bismuth-210</t>
  </si>
  <si>
    <t>['Bismuth-210', 'Bismuth, isotope of mass 210', '210Bi', 'Radium E', '14331-79-4']</t>
  </si>
  <si>
    <t>Compound(6328547)</t>
  </si>
  <si>
    <t>bismuth-212</t>
  </si>
  <si>
    <t>['Bismuth-212', 'Bismuth, isotope of mass 212', '212Bi', '14913-49-6']</t>
  </si>
  <si>
    <t>Compound(6335500)</t>
  </si>
  <si>
    <t>bismuth-214</t>
  </si>
  <si>
    <t>['Bismuth-214', '14733-03-0', 'Bismuth, isotope of mass 214', 'Bisuth-214', '214Bi', 'DTXSID80904017', 'Q18888217']</t>
  </si>
  <si>
    <t>Compound(6328549)</t>
  </si>
  <si>
    <t>benzo (j) fluoranthene</t>
  </si>
  <si>
    <t>pentacyclo[10.7.1.02,11.03,8.016,20]icosa-1(19),2(11),3,5,7,9,12,14,16(20),17-decaene</t>
  </si>
  <si>
    <t>['BENZO(J)FLUORANTHENE', 'Benzo[j]fluoranthene', '205-82-3', 'Benz(j)fluoranthene', '7,8-Benzofluoranthene', 'B(j)F', 'Benzo(l)fluoranthene', 'Dibenzo(a,jk)fluorene', '10,11-Benzfluoranthene', '10,11-Benzofluoranthene', 'Benzo-12,13-fluoranthene', 'CCRIS 73', 'UNII-P63HLW88W8', 'Benzo[l]fluoranthene', 'HSDB 4034', 'EINECS 205-910-3', 'BRN 2049099', 'P63HLW88W8', 'CHEBI:82291', 'Dibenzo[a,jk]fluorene', 'Benzo(j)fluoranthene [Polycyclic aromatic compounds]', 'Benzo(j)fluoranthene [Polycyclic aromatic hydrocarbons]', '4-05-00-02687 (Beilstein Handbook Reference)', 'CHEMBL1797298', 'DTXSID8052691', 'CTK1A3147', 'ZINC2521500', 'AKOS028108449', 'Benzo(j)fluoranthene;benzo[j]fluoranthene', 'LS-34821', 'NS00041304', 'C19196', 'Benzo[j]fluoranthene 10 microg/mL in Acetonitrile', 'Benzo[j]fluoranthene 10 microg/mL in Cyclohexane', 'Q576630', 'J-013438', 'Benzo(j)fluoranthene 2000 microg/mL in Dichloromethane', 'Benzo[j]fluoranthene, BCR(R) certified Reference Material']</t>
  </si>
  <si>
    <t>Compound(9152)</t>
  </si>
  <si>
    <t>benzo (k) fluoranthene</t>
  </si>
  <si>
    <t>benzo[k]fluoranthene</t>
  </si>
  <si>
    <t>['Benzo[k]fluoranthene', 'BENZO(K)FLUORANTHENE', '207-08-9', '8,9-Benzofluoranthene', '11,12-Benzofluoranthene', 'Dibenzo(b,jk)fluorene', '8,9-Benzfluoranthene', "2,3,1',8'-Binaphthylene", 'UNII-U0P6LY48VF', 'CCRIS 74', '11,12-Benzo(k)fluoranthene', 'Dibenzo[b,jk]fluorene', 'HSDB 6012', 'EINECS 205-916-6', 'BRN 1873745', 'U0P6LY48VF', 'CHEBI:34569', 'Benzo(k)fluoranthene [Polycyclic aromatic compounds]', 'Benzo(k)fluoranthene [Polycyclic aromatic hydrocarbons]', 'benzo[k]fluoranthen', 'DSSTox_CID_3909', 'DSSTox_RID_77229', 'DSSTox_GSID_23909', 'BIDD:ER0411', 'CHEMBL1441574', 'DTXSID0023909', 'CTK1A3950', 'ZINC2507978', 'Tox21_200721', 'LS-994', 'AKOS015889525', 'MCULE-7655840980', 'KS-000019C4', 'Benzo[k]fluoranthene, analytical standard', 'NCGC00090832-01', 'NCGC00090832-02', 'NCGC00090832-03', 'NCGC00258275-01', 'CAS-207-08-9', 'SC-50893', 'DB-045344', 'CS-0102978', 'FT-0631871', 'NS00003847', 'ST51047577', 'Z3485', 'Benzo[k]fluoranthene, for fluorescence, &gt;=99%', 'C14321', 'Benzo[k]fluoranthene 10 microg/mL in Acetonitrile', 'Benzo[k]fluoranthene 10 microg/mL in Cyclohexane', 'Benzo[k]fluoranthene 100 microg/mL in Cyclohexane', 'C-49289', 'Q550039', 'Benzo[k]fluoranthene 100 microg/mL in Acetonitrile', 'J-013536', 'Benzo[k]fluoranthene, BCR(R) certified Reference Material', 'Benzo(k)fluoranthene;Benzo[k]fluoranthen;benzo[k]fluoranthene', 'Benzo[k]fluoranthene, certified reference material, TraceCERT(R)', 'Benzo[k]fluoranthene, puriss., for fluorescence, &gt;=99.0% (GC)', 'Benzo(k)fluoranthene solution, 100 mug/mL in methylene chloride, analytical standard', 'Benzo[k]fluoranthene solution, certified reference material, 1000 mug/mL in acetone', 'Benzo[k]fluoranthene solution, certified reference material, 200 mug/mL in methylene chloride']</t>
  </si>
  <si>
    <t>Compound(9158)</t>
  </si>
  <si>
    <t>dibroma</t>
  </si>
  <si>
    <t>molecular bromine</t>
  </si>
  <si>
    <t>['7726-95-6', 'Br', 'Bromine', 'Dibromine', 'Brom', 'Bromine solution', 'Brome', 'Bromo', 'Broom', 'Bromo [Italian]', 'Bromo [Spanish]', 'Brome [French]', 'Brom [German]', 'Broom [Dutch]', 'Caswell No. 112', 'UNII-SBV4XY874G', 'SBV4XY874G', 'HSDB 514', 'EINECS 231-778-1', 'UN1744', 'EPA Pesticide Chemical Code 008701', 'Br2', 'Bromine, 99.6%, for analysis', 'Bromine, 99.5+%, ACS reagent', 'molecular bromine', 'Bromine, 1M solution in acetic acid, AcroSeal(R)', 'dibromane', 'Bromine, 1M solution in trimethyl phosphate, AcroSeal(R)', 'bromine-bromide', 'Bromo bromide', 'bromo-', 'Bromine water, CP', 'Bromine, reagent grade', 'Iodine Solution, Hanus', 'Iodobromide Test Solution', 'Bromine or bromine solutions', 'Bromine, LR, &gt;=99%', 'Bromine, 99+%, extra pure', 'Bromine, p.a., 99.5%', 'DTXSID1035238', 'CHEBI:29224', 'BCP26202', 'Bromine, ACS reagent, &gt;=99.5%', 'BR1014', 'MFCD00010896', 'AKOS015897100', 'MCULE-8213847815', 'UN 1744', 'Bromine, SAJ first grade, &gt;=97.0%', 'Bromine, &gt;=99.99% trace metals basis', 'Bromine, JIS special grade, &gt;=99.0%', 'BP-24346', 'LS-45243', 'B2414', 'Bromine, puriss. p.a., &gt;=99.0% (RT)', 'FT-0623207', 'EC 231-778-1', 'Bromine solution, 1.0 M in trimethyl phosphate', 'Bromine or bromine solutions [UN1744] [Corrosive]', 'J-519936', 'Q2685750', 'Bromine or bromine solutions [UN1744]  [Corrosive]']</t>
  </si>
  <si>
    <t>Compound(24408)</t>
  </si>
  <si>
    <t>bromobenzene</t>
  </si>
  <si>
    <t>['BROMOBENZENE', '108-86-1', 'Benzene, bromo-', 'Phenyl bromide', 'Monobromobenzene', 'BROMO-BENZENE', '4-bromobenzene', '1-Bromobenzene', 'PhBr', 'NCI-C55492', 'brombenzol', 'bromo benzene', 'C6H5Br', 'UNII-CO4D5J547L', 'HSDB 47', 'BROMOBENZOL', 'CCRIS 5887', 'NSC 6529', 'EINECS 203-623-8', 'UN2514', 'AI3-09059', 'CHEBI:3179', 'CO4D5J547L', '4-bromo-benzene', 'MFCD00000055', 'Bromo(2H5)benzene', 'Bromobenzene, 99%, pure', 'SMR000112021', 'bromanylbenzene', 'brombenzene', 'bromobezene', 'Phenylbromide', 'p-bromobenzene', '3-bromobenzene', '2-Bromobenzene', '1-bromo-benzene', '4-Bromopolystyrene', 'Brombenzol;bromobenzene', 'Bromobenzene [UN2514]  [Flammable liquid]', 'WLN: ER', 'ACMC-1BRP2', 'DSSTox_CID_4637', 'SCHEMBL1542', 'DSSTox_RID_77476', 'DSSTox_GSID_24637', 'MLS000515541', 'MLS002415720', 'Bromobenzene, LR, &gt;=99%', 'CHEMBL16068', 'DTXSID5024637', 'Bromobenzene, analytical standard', 'CTK0H8376', 'NSC6529', 'Bromobenzene, &gt;=99.5% (GC)', 'HMS2269P12', 'ZINC900729', 'BCP26654', 'BCP30008', 'KS-000002LH', 'NSC-6529', 'STR00651', 'Tox21_200849', 'BR1026', 'Bromobenzene, ReagentPlus(R), 99%', 'LS-472', 'STL264221', 'Bromobenzene, for synthesis, 99.5%', 'AKOS000120123', 'DF10072', 'MCULE-5539191636', 'UN 2514', 'Bromobenzene 100 microg/mL in Methanol', 'NCGC00091842-01', 'NCGC00091842-02', 'NCGC00091842-03', 'NCGC00091842-04', 'NCGC00258403-01', 'CAS-108-86-1', 'I835', 'SC-57904', 'Bromobenzene [UN2514] [Flammable liquid]', 'B0439', 'FT-0617692', 'FT-0617909', 'FT-0623223', 'NS00003760', 'S0657', '9397-EP2292603A1', '9397-EP2295426A1', '9397-EP2295427A1', '9397-EP2308872A1', '9397-EP2316829A1', 'C11036', '14366-EP2275395A2', '14366-EP2284148A1', '14366-EP2284159A1', '14366-EP2289876A1', '14366-EP2292603A1', '14366-EP2292604A2', '14366-EP2292618A1', '14366-EP2293650A1', '14366-EP2295503A1', '14366-EP2298737A1', '14366-EP2298740A1', '14366-EP2298741A1', '14366-EP2301924A1', '14366-EP2301936A1', '14366-EP2305667A2', '14366-EP2305769A2', '14366-EP2308861A1', '14366-EP2309584A1', '14366-EP2311826A2', '14366-EP2314295A1', '14366-EP2316836A1', '14366-EP2371810A1', '14366-EP2380867A1', '37296-EP2311802A1', '37296-EP2311803A1', '37404-EP2311802A1', '37404-EP2311803A1', '184163-EP2277878A1', 'A801934', 'Q410597', 'Bromo(2H5)benzene pound&gt;&gt;Pentadeuterophenyl bromide', 'J-002199', 'J-519941', 'F1908-0102']</t>
  </si>
  <si>
    <t>Compound(7961)</t>
  </si>
  <si>
    <t>C6H5Br</t>
  </si>
  <si>
    <t>bromomethane</t>
  </si>
  <si>
    <t>['Bromomethane', 'METHYL BROMIDE', '74-83-9', 'Methane, bromo-', 'Embafume', 'Terabol', 'Monobromomethane', 'CH3Br', 'methylbromide', 'Methylbromid', 'Pestmaster', 'Bercema', 'Celfume', 'Curafume', 'Iscobrome', 'Kayafume', 'Metafume', 'Methogas', 'Haltox', 'Zytox', 'Edco', 'Mebr', 'Bromure de methyle', 'Brom-O-Gas', 'Brom-O-Sol', 'Meth-O-Gas', 'Broommethaan', 'Detia gas EX-M', 'Bromometano', 'Dowfume MC-2', 'Metylu bromek', 'Dowfume MC-33', 'Brom-methan', 'Methyl fume', 'Dawson 100', 'Terr-O-gas 67', 'Tri-Brom', 'Bromuro di metile', 'Terr-O-gas 100', 'Halon 1001', 'M-B-C Fumigant', 'Terr-O-Gas', 'MBC Soil Fumigant', 'Dowfume MC-2R', 'Profume (Obs.)', 'Terr-O-Cide II', 'Pestmaster (Obs.)', 'Profume', 'Dowfume MC-2 soil fumigant', 'Drexel Plant Bed Gas', 'Fumigant-1 (Obs.)', 'Bromur di metile', 'Dowfume MC-2 Fumigant', 'Mbc-33 Soil Fumigant', 'Brom-O-gaz', 'Rcra waste number U029', 'Superior Methyl Bromide-2', 'Pestmaster Soil Fumigant-1', 'Methyl bromide [BSI:ISO]', 'Broommethaan [Dutch]', 'Bromometano [Italian]', 'Caswell No. 555', 'Methylbromid [German]', 'Brom-methan [German]', 'R 40B1', 'Brommethan', 'Monobrommethan', 'Dowfume', 'Metylu bromek [Polish]', 'bromo-methane', 'Fumigant-1', 'Bromur di metile [Italian]', 'Bromure de methyle [French]', 'Bromuro di metile [Italian]', 'CCRIS 385', 'MeB r', 'UNII-9V42E1Z7B6', 'Methyl bromide as a structural fumigant', 'UN 1062', 'HSDB 779', 'Brom-O-Gas Methyl Bromide Soil Fumigant', 'Bromure de methyle [ISO-French]', 'M-B-R 98', 'EINECS 200-813-2', 'F 40B1', 'UN1062', 'RCRA waste no. U029', 'EPA Pesticide Chemical Code 053201', 'Methyl Bromide Rodent Fumigant (with chloropicrin)', 'AI3-01916', 'MBX', 'CHEBI:39275', '9V42E1Z7B6', 'Methyl bromide [UN1062] [Poison gas]', 'BMM', 'MB', 'RFDFIF@', 'bromanylmethane', 'monobrommethane', 'Bromocarbon', 'Methybrom', 'methyl bromide, 14C-labeled', 'carbon-bromine', 'Merth-O-gas', 'Dow Fume MC2', 'Bromomethylidyneradical', 'Bromomethane, &gt;=99%', 'EC 200-813-2', 'CHEMBL48339', 'DTXSID8020832', 'CTK2H7617', 'Methyl bromide, BSI, ISO, JMAF', 'KS-00001B1G', '8283AF', 'STL282739', 'AKOS015915144', 'LS-1632', 'MCULE-1876139964', 'Methyl bromide [UN1062]  [Poison gas]', 'B3121', 'B3122', 'FT-0628706', 'NS00008924', 'Bromomethane solution, 2.0 M in diethyl ether', 'Bromomethane, purum, ampule, &gt;=99.5% (GC)', 'C18447', 'A838236', 'Q421758', 'Bromomethane (Methyl bromide) 100 microg/mL in Methanol', 'Bromomethane solution, 2.0 M in tert-butyl methyl ether, anhydrous', 'Bromomethane solution, 200 mug/mL in methanol, analytical standard', 'Bromomethane solution, certified reference material, 200 mug/mL in methanol', 'bromomethane;Methylbromide (bromomethane);Methane, bromo-;methyl bromide;Methyl bromide']</t>
  </si>
  <si>
    <t>Compound(6323)</t>
  </si>
  <si>
    <t>CH3Br</t>
  </si>
  <si>
    <t>bromoethylene</t>
  </si>
  <si>
    <t>bromoethene</t>
  </si>
  <si>
    <t>['VINYL BROMIDE', 'Bromoethene', 'Bromoethylene', 'Ethene, bromo-', '593-60-2', 'Monobromoethylene', 'vinylbromide', 'Vinylbromid', 'Bromure de vinyle', 'Polyvinyl bromide', 'C2H3Br', 'Polyvinylbromide', 'Polybromoethylene', '1-Bromoethylene', 'Ethylene, bromo-', 'Bromoethylene polymer', 'Ethene, bromo-, homopolymer', 'PVBR', 'Vinyl bromide polymer', 'Vinylbromid [German]', 'NCI-C50373', 'UNII-83NRW59KFY', 'Bromure de vinyle [French]', 'CCRIS 620', 'Vinyle (bromure de) [French]', 'Vinile (bromuro di) [Italian]', 'HSDB 1030', 'EINECS 209-800-6', 'UN1085', 'Ethylene, bromo-, polymer', 'BRN 1361370', 'bromoethyl', '83NRW59KFY', '1-bromoethyl', 'VINYL BROMIDE, INHIBITED', '1-Bromethyl', 'Saytex VBR', 'Vinile (bromuro di)', 'Vinyle (bromure de)', 'Vinyl bromide, 1M solution in THF, AcroSeal(R)', 'bromo-ethene', 'z-vinyl bromide', '1-Bromoethylene #', 'Bromoethene (9CI)', 'Vinyl bromide, 98%', 'ACMC-1AP4J', 'EC 209-800-6', 'SCHEMBL15022', 'Vinyl-13C2 Bromide (gas)', '25951-54-6', '4-01-00-00718 (Beilstein Handbook Reference)', 'DTXSID8021432', 'CHEBI:51311', 'CTK1H0435', 'KS-00000VTV', '6838AF', 'Ethene, bromo-, homopolymer (9CI)', 'AKOS009031373', 'LS-1419', 'UN 1085', 'Vinyl bromide solution, 1.0 M in THF', 'LS-68319', 'SC-25505', 'FT-0769921', 'NS00004161', '6739-EP1441224A2', '6739-EP2287141A1', '6739-EP2371831A1', 'C19184', '25869-EP2298774A1', '25869-EP2301921A1', '25869-EP2301926A1', '25869-EP2314558A1', '25869-EP2371810A1', '25869-EP2372804A1', '25869-EP2378585A1', '68662-EP2272517A1', '68662-EP2292227A2', '68662-EP2292628A2', '68662-EP2295434A2', '68662-EP2305250A1', '68662-EP2308861A1', '68662-EP2374454A1', '77630-EP2272846A1', '77630-EP2277868A1', '77630-EP2277869A1', '77630-EP2277870A1', '77630-EP2308866A1', 'Q421041', 'J-802308', 'Vinyl bromide, inhibited [UN1085] [Flammable gas]', 'Vinyl bromide, inhibited [UN1085]  [Flammable gas]']</t>
  </si>
  <si>
    <t>Compound(11641)</t>
  </si>
  <si>
    <t>C2H3Br</t>
  </si>
  <si>
    <t>bromochloroacetic acid</t>
  </si>
  <si>
    <t>2-bromo-2-chloroacetic acid</t>
  </si>
  <si>
    <t>['Bromochloroacetic acid', '5589-96-8', '2-bromo-2-chloroacetic acid', 'Acetic acid, bromochloro-', 'Chlorobromoacetic acid', 'bromo(chloro)acetic acid', '2-Bromo-2-chloroethanoic acid', 'CHEBI:64206', 'UNII-AL8MZ37Y51', '69430-36-0', 'AL8MZ37Y51', 'C2H2BrClO2', 'CCRIS 8228', 'HSDB 7619', 'Keratin hydrolyzate', 'bromochloracetic acid', 'BrCH(Cl)COOH', '68238-35-7', 'bromochloroethanoic acid', 'BrCH(Cl)CO2H', 'ACMC-20alk2', 'DSSTox_CID_4642', 'DSSTox_RID_77481', 'DSSTox_GSID_24642', 'Bromochloroacetic acid, 97%', 'SCHEMBL135012', 'CHEMBL504842', 'DTXSID4024642', 'CTK3J2417', 'Tox21_200894', '8168AB', 'LMFA01090146', 'AKOS016010266', 'FCH1118018', 'LS-1370', 'NCGC00091488-01', 'NCGC00091488-02', 'NCGC00258448-01', 'R838', 'Bromochloroacetic acid, analytical standard', 'CAS-5589-96-8', 'AX8118775', 'FT-0623228', 'FT-0627572', 'FT-0627573', 'NS00004213', 'C19212', 'C-56440', 'Q27133122', 'WATER DISINFECTION BYPRODUCTS(BROMOCHLOROACETIC ACID)', 'Bromochloroacetic acid 1000 microg/mL in Methyl-tert-butyl ether']</t>
  </si>
  <si>
    <t>Compound(542762)</t>
  </si>
  <si>
    <t>C2H2BrClO2</t>
  </si>
  <si>
    <t>bromodichloroacetic acid</t>
  </si>
  <si>
    <t>2-bromo-2,2-dichloroacetic acid</t>
  </si>
  <si>
    <t>['Bromodichloroacetic acid', '71133-14-7', 'Acetic acid, bromodichloro-', 'Dichlorobromoacetic acid', 'UNII-SJ84PTP2HD', 'SJ84PTP2HD', 'Acetic acid,2-bromo-2,2-dichloro-', 'Bromodichloroacetate', '2-bromo-2,2-dichloroacetic acid', 'HSDB 7620', 'DSSTox_CID_4644', 'DSSTox_RID_77482', 'DSSTox_GSID_24644', 'SCHEMBL752018', 'CHEMBL453528', 'DTXSID4024644', 'CTK5D3558', 'ZINC5112643', 'Tox21_200923', 'FCH1332163', 'LS-2174', 'NCGC00091459-01', 'NCGC00091459-02', 'NCGC00258477-01', 'CC-25224', 'CAS-71133-14-7', 'Bromodichloroacetic acid, analytical standard', 'FT-0745160', 'NS00001440', 'C-33280', 'Q27289240', 'Bromdichloroacetic acid, vial of 1 g, analytical standard', 'WATER DISINFECTION BYPRODUCTS(BROMODICHLOROACETIC ACID)']</t>
  </si>
  <si>
    <t>Compound(114809)</t>
  </si>
  <si>
    <t>C2HBrCl2O2</t>
  </si>
  <si>
    <t>bromoacetic acid</t>
  </si>
  <si>
    <t>2-bromoacetic acid</t>
  </si>
  <si>
    <t>['BROMOACETIC ACID', '2-Bromoacetic acid', '79-08-3', 'Monobromoacetic acid', 'Acetic acid, bromo-', 'Bromoethanoic acid', 'To NTU', 'Bromoacetate ion', 'Acide bromacetique', '2-Bromoacetyl Group', '2-bromoethanoic acid', 'Acetic acid, 2-bromo-', 'Bromo-acetic acid', 'Monobromessigsaeure', 'Kyselina bromoctova', 'Caswell No. 112A', '.alpha.-Bromoacetic acid', 'NSC 141', 'Acide bromacetique [French]', 'Kyselina bromoctova [Czech]', 'Monobromessigsaeure [German]', 'CCRIS 7886', 'UNII-2B3HS32431', 'Acetic acid, bromo-, (solution)', 'Bromoacetic acid, solid', 'EINECS 201-175-8', 'UN1938', 'EPA Pesticide Chemical Code 008702', 'BRN 0506167', 'CHEMBL60851', 'AI3-15301', 'MFCD00002678', '2B3HS32431', 'Bromoacetic acid, 99%', 'Bromoacetic acid, solution [UN1938] [Corrosive]', '2-Bromoaceticacid', 'Acetic acid, bromo-, cobalt(2+) salt', 'C2H3BrO2', 'bromacetic acid', 'HSDB 7627', 'bromo acetic acid', 'monobromacetic acid', 'BXA', 'Carboxymethyl bromide', '2-bromo acetic acid', '2-bromo-acetic acid', 'CH2BrCOOH', 'UN 1938', '2-bromanylethanoic acid', 'PubChem13144', 'Bromoacetic acid solution', 'Acetic acid, (solution)', 'Bromoacetic acid, solution', 'DSSTox_CID_1495', '.alpha.-Bromoethanoic acid', 'WLN: QV1E', 'EC 201-175-8', 'DSSTox_RID_76186', 'DSSTox_GSID_21495', 'SCHEMBL23032', '4-02-00-00526 (Beilstein Handbook Reference)', 'KSC377G2H', 'ACMC-20977a', 'NSC141', 'DTXSID7021495', 'CTK2H7323', 'NSC-141', 'STR00860', 'ZINC3860231', 'Tox21_200657', 'ANW-13604', 'BDBM50119693', 'Bromoacetic acid, analytical standard', 'LMFA01090074', 'SBB053569', 'STL481895', 'AKOS000118919', 'Bromoacetic acid, reagent grade, 97%', 'DB02198', 'LS-1770', 'MCULE-1503716137', 'CAS-79-08-3', 'KS-00000V47', 'NCGC00091467-01', 'NCGC00091467-02', 'NCGC00258211-01', 'BC003721', 'BP-20544', 'S664', 'SC-18211', 'Bromoacetic acid solution, 1.0 M in DMF', 'Bromoacetic acid, purum, &gt;=98.0% (T)', 'AB0007487', 'Bromoacetic acid, ReagentPlus(R), &gt;=99%', '683-EP2289868A1', '683-EP2289886A1', '683-EP2308839A1', '683-EP2308867A2', '683-EP2308870A2', '683-EP2308874A1', '683-EP2311818A1', 'B0531', 'FT-0648951', 'FT-0700929', 'FT-0770735', 'FT-0772262', 'NS00010208', 'Bromoacetic acid, ReagentPlus(R), &gt;=99.0%', 'Bromoacetic acid, solid [UN1938]  [Corrosive]', 'Bromoacetic acid, solid [UN1938] [Corrosive]', 'A839576', 'Bromoacetic acid solution, 1 M in dichloromethane', 'Q421323', 'J-519938', '2-Bromoacetyl Group;bromoacetic acid;Bromoacetic acid', 'F2191-0223', 'Z1270326274', 'Bromoacetic acid 1000 microg/mL in Methyl-tert-butyl ether', 'Bromoacetic acid solution, certified reference material, 1000 mug/mL in methyl tert-butyl ether']</t>
  </si>
  <si>
    <t>Compound(6227)</t>
  </si>
  <si>
    <t>C2H3BrO2</t>
  </si>
  <si>
    <t>bromate</t>
  </si>
  <si>
    <t>['Bromate', '15541-45-4', 'trioxidobromate(1-)', 'BrO3(-)', '[BrO3](-)', 'Bromates', 'Bromat [German]', 'Bromic acid, ion(1-)', 'Bromate ion (BrO31-)', 'Bromate (BrO3(1-))', 'Bromic acidanion', 'Bromate compounds', 'Bromate (8CI,9CI)', 'DTXSID8023923', 'CHEBI:29223', 'CTK0H8694', 'BDBM50159787', 'LS-182518']</t>
  </si>
  <si>
    <t>Compound(84979)</t>
  </si>
  <si>
    <t>BrO3-</t>
  </si>
  <si>
    <t>bromoxynil heptanoate</t>
  </si>
  <si>
    <t>(2,6-dibromo-4-cyanophenyl) heptanoate</t>
  </si>
  <si>
    <t>['Bromoxynil heptanoate', '56634-95-8', '2,6-Dibromo-4-cyanophenyl heptanoate', 'BROMOXYNIL-HEPTANOATE', 'UNII-EK18N93FQB', 'EK18N93FQB', 'Buctril 4', 'Bromoxynil heptanoate [ISO]', 'Heptanoic acid, 2,6-dibromo-4-cyanophenyl ester', 'EINECS 260-300-4', 'EPA Pesticide Chemical Code 128920', '(2,6-dibromo-4-cyanophenyl) heptanoate', 'SCHEMBL3300282', 'DTXSID8032592', 'ZINC1850347', 'FT-0770341', 'NS00021219', 'Q27889458']</t>
  </si>
  <si>
    <t>Compound(62119)</t>
  </si>
  <si>
    <t>C14H15Br2NO2</t>
  </si>
  <si>
    <t>bromoxynil octanoate</t>
  </si>
  <si>
    <t>(2,6-dibromo-4-cyanophenyl) octanoate</t>
  </si>
  <si>
    <t>['Bromoxynil octanoate', '1689-99-2', '2,6-DIBROMO-4-CYANOPHENYL OCTANOATE', 'Bromoxynil-octanoate', 'Brominal W', 'Octanoic acid, 2,6-dibromo-4-cyanophenyl ester', '3,5-Dibromo-4-hydroxybenzonitrile octanoate', 'Caswell No. 119A', 'UNII-9HL5XAW9SK', 'Bromoxynil octanoate [ISO]', 'Bromoxynil octanoic acid ester', 'Benzonitrile, 3,5-dibromo-4-octanoyloxy-', 'HSDB 7308', 'NPH 1320', 'EINECS 216-885-3', '4-Cyano-2,6-dibromophenyl octanoate', '9HL5XAW9SK', 'EPA Pesticide Chemical Code 035302', '(2,6-dibromo-4-cyanophenyl) octanoate', '3,5-Dibromo-4-octanoyloxy-benzonitrile', 'BRN 2756636', 'RP-16272', 'Octanoic acid ester of 3,5-dibromo-4-hydroxybenzonitrile', 'C15H17Br2NO2', 'DSSTox_CID_3932', 'Bromoxynil octanoate E.C.', 'DSSTox_RID_77234', 'DSSTox_GSID_23932', 'SCHEMBL161072', 'CHEMBL1903970', 'DTXSID7023932', 'Octanoic acid, ester with 3,5-dibromo-4-hydroxybenzonitrile', 'ZINC2039317', 'Tox21_201068', 'NCGC00163996-01', 'NCGC00163996-02', 'NCGC00258621-01', 'LS-38674', 'S286', 'CAS-1689-99-2', 'AX8018808', 'FT-0727535', 'NS00001555', '[2,6-bis(bromanyl)-4-cyano-phenyl] octanoate', 'octanoic acid (2,6-dibromo-4-cyanophenyl) ester', '689B992', 'A811047', 'J-010497', 'Q22133404', 'Bromoxynil-octanoate, PESTANAL(R), analytical standard', '86702-80-9']</t>
  </si>
  <si>
    <t>Compound(15533)</t>
  </si>
  <si>
    <t>C15H17Br2NO2</t>
  </si>
  <si>
    <t>3,5-dibromo-4-hydroxybenzonitrile</t>
  </si>
  <si>
    <t>['BROMOXYNIL', '3,5-Dibromo-4-hydroxybenzonitrile', '1689-84-5', 'Brominal', 'Brominil', 'Broxynil', 'Brittox', 'Brominex', 'Buctril', 'Labuctril', 'Pardner', 'Sabre', 'Toplan', 'Chipco buctril', '2,6-Dibromo-4-cyanophenol', 'Nu-lawn weeder', 'Oxytril M', 'Labuctril 25', 'ME 4 Brominal', 'Bromotril', '4-Hydroxy-3,5-dibromobenzonitrile', 'Certrol B', 'Litarol M', '4-Cyano-2,6-dibromophenol', 'Buctril industrial', 'Chipco crab-kleen', 'Benzonitrile, 3,5-dibromo-4-hydroxy-', 'Butilchorofos', 'Novacorn', 'Terset', 'Butil chlorofos', 'Brominal Triple', 'Brominal Plus', 'Brominal Industrial', 'Bromoxynil (ACN)', 'Bromoxynil [ANSI]', 'Caswell No. 119', 'Torch', '3,5-Dibromo-4-hydroxyphenylcyanide', 'UNII-J46EK95K0P', '3,5-Dibromo-4-hydroxyphenyl cyanide', 'ENT 20852', 'S 2132', 'CCRIS 2447', 'MB 10064', 'HSDB 1523', 'M&amp;B 10731', 'EINECS 216-882-7', 'EPA Pesticide Chemical Code 035301', 'BRN 2364039', '3,5-Dibromo-4-hydroxybenzonitril (ACN)', 'J46EK95K0P', 'CHEBI:17192', 'DSSTox_CID_2162', 'DSSTox_RID_76509', 'DSSTox_GSID_22162', 'AJ-087/41885652', 'J-640242', '3,5-dibromo-4-hydroxybenzenecarbonitrile', 'CAS-1689-84-5', 'Bromoxynil [ANSI:ISO]', 'Bucril', 'Pack', 'Buctril-atrazine', 'Brominal ME4', 'Buctril 4EC', 'bromoxynil + atrazine', 'Dibromo-4-cyanophenol', 'BROMOXYNIL-D2', 'ME4 BROMINAL', 'SCHEMBL19210', 'BROMOXYNIL-2,6-D2', '4-10-00-00475 (Beilstein Handbook Reference)', 'CHEMBL453905', 'Dibromo-4-hydroxyphenyl cyanide', 'Hydroxy-3,5-dibromobenzonitrile', 'DTXSID3022162', 'CTK7C7052', 'ZINC334873', 'ACT00784', 'Tox21_201421', 'Tox21_301202', 'ANW-45269', 'SBB063904', 'AKOS015889725', 'FCH1317818', 'KS-5269', 'MCULE-5251221789', 'Bromoxynil 10 microg/mL in Acetonitrile', 'NCGC00163844-01', 'NCGC00163844-02', 'NCGC00163844-03', 'NCGC00163844-04', 'NCGC00163844-05', 'NCGC00255099-01', 'NCGC00258972-01', 'AC-12513', 'BC004380', 'Bromoxynil 100 microg/mL in Acetonitrile', 'CC-19445', 'LS-38672', 'AB0001772', 'DB-043772', 'FT-0614499', 'M&amp;B 10,064', 'NS00005694', 'ST50308414', 'Bromoxynil, PESTANAL(R), analytical standard', 'C04178', 'EN300-258708', 'M-1410', '31299-EP2274983A1', '31299-EP2305655A2', '31299-EP2305662A1', '31299-EP2308858A1', '31299-EP2311815A1', '31299-EP2311816A1', '31299-EP2311817A1', '31299-EP2371823A1', 'C-17415', 'Q408345', '3,5-DIBROMO-4-HYDROXYBENZONITRILE-2,6-D2', 'J-800241', 'Z57900367']</t>
  </si>
  <si>
    <t>Compound(15531)</t>
  </si>
  <si>
    <t>C7H3Br2NO</t>
  </si>
  <si>
    <t>bromotrichloromethane</t>
  </si>
  <si>
    <t>bromo(trichloro)methane</t>
  </si>
  <si>
    <t>['BROMOTRICHLOROMETHANE', '75-62-7', 'Methane, bromotrichloro-', 'Trichlorobromomethane', 'bromo(trichloro)methane', 'Carbon bromotrichloride', 'Monobromotrichloromethane', 'Carbon trichlorobromide', 'Trichloromethyl bromide', 'CBrCl3', 'Caswell No. 118', 'UNII-IKJ30QXM63', 'CCl3Br', 'bromotrichloro methane', 'CCRIS 2393', 'Bromo-trichloro-methane', 'HSDB 5208', 'NSC 8017', 'EINECS 200-886-0', 'EPA Pesticide Chemical Code 008708', 'Bromotrichloromethane, 99%', 'BRN 1732543', 'IKJ30QXM63', 'DSSTox_CID_3930', 'DSSTox_RID_77233', 'DSSTox_GSID_23930', 'CAS-75-62-7', 'BrCCl3', 'bromo trichloromethane', 'WLN: GXGGE', 'ACMC-1BK0G', '4-01-00-00077 (Beilstein Handbook Reference)', 'KSC492O8J', 'SCHEMBL109417', 'CHEMBL160802', 'DTXSID7023930', 'CTK3J2784', 'KS-00000XBH', 'NSC8017', 'ACT03384', 'NSC-8017', 'ZX-AT019878', 'Tox21_202292', 'Tox21_303534', '8232AF', 'ANW-36642', 'BR1357', 'MFCD00000783', 'SBB061489', 'ZINC43426944', 'AKOS015833938', 'MCULE-5354639523', 'OR43546', 'NCGC00249206-01', 'NCGC00257422-01', 'NCGC00259841-01', 'AS-57509', 'CC-25245', 'LS-90002', 'B0662', 'FT-0623266', 'NS00020231', 'ST51047493', 'C-35326', 'J-519951', 'Q23780617']</t>
  </si>
  <si>
    <t>Compound(6383)</t>
  </si>
  <si>
    <t>CBrCl3</t>
  </si>
  <si>
    <t>bromocycles</t>
  </si>
  <si>
    <t>5-(bromomethyl)-1,2,3,4,7,7-hexachlorobicyclo[2.2.1]hept-2-ene</t>
  </si>
  <si>
    <t>['Bromocyclen', 'Bromociclen', 'Alugan', 'Bromocyclene', 'Bromodan', '1715-40-8', 'Bromomethylhexachlorobicycloheptene', 'CHEBI:82097', '5-(bromomethyl)-1,2,3,4,7,7-hexachlorobicyclo[2.2.1]hept-2-ene', '5-(Bromomethyl)-1,2,3,4,7,7-hexachloro-2-norbornene', 'Bromocyclene [French]', 'Caswell No. 116', 'NCGC00166203-01', '2-NORBORNENE, 5-(BROMOMETHYL)-1,2,3,4,7,7-HEXACHLORO-', '5-(Bromomethyl)-1,2,3,4,7,7-hexachlorobicyclo(2.2.1)hept-2-ene', 'Bicyclo[2.2.1]hept-2-ene, 5-(bromomethyl)-1,2,3,4,7,7-hexachloro-', 'Bromociclene [INN-French]', 'Bromociclenum [INN-Latin]', 'Bromocyclene [ISO-French]', 'Bromocicleno [INN-Spanish]', 'DSSTox_CID_21680', 'DSSTox_RID_79814', 'DSSTox_GSID_41680', 'EINECS 216-996-7', 'Bicyclo(2.2.1)hept-2-ene, 5-(bromomethyl)-1,2,3,4,7,7-hexachloro-', 'EPA Pesticide Chemical Code 008705', 'Bromociclen;bromocyclen', 'CAS-1715-40-8', 'AI3-23393', 'Bromociclen [INN]', 'Bromocyclen [BSI:ISO]', 'SCHEMBL117965', 'CHEMBL1437390', 'DTXSID6041680', 'CTK8F8340', 'Tox21_112345', 'Tox21_301856', 'ENT 23393', 'AKOS022181470', 'Tox21_112345_1', 'MCULE-4561749674', 'SD 2774', 'NCGC00166203-02', 'NCGC00255473-01', 'LS-97156', 'DB-043870', 'FT-0603571', 'NS00001549', 'Bromocyclen, PESTANAL(R), analytical standard', 'C18958', 'SR-01000883683', 'Bromomethyl-1,2,3,4,7,7-hexachloro-2-norbornene', 'J-010732', 'SR-01000883683-1', '5-(Bromomethyl)-1,2,3,4,7,7-hexachloro-norbornene', 'Q27155747', 'Q27281057', '(-)-5-ENDO-BROMOMETHYL-1,2,3,4,7,7-HEXACHLORO-2-NORBORNENE']</t>
  </si>
  <si>
    <t>Compound(15583)</t>
  </si>
  <si>
    <t>C8H5BrCl6</t>
  </si>
  <si>
    <t>(6aR,9R)-5-bromo-N-[(1S,2S,4R,7S)-2-hydroxy-7-(2-methylpropyl)-5,8-dioxo-4-propan-2-yl-3-oxa-6,9-diazatricyclo[7.3.0.02,6]dodecan-4-yl]-7-methyl-6,6a,8,9-tetrahydro-4H-indolo[4,3-fg]quinoline-9-carboxamide</t>
  </si>
  <si>
    <t>['bromocriptine', 'Bromocryptine', 'Bromocriptin', '25614-03-3', 'Bromoergocryptine', 'Bromoergocriptine', 'Bromergocryptine', '2-Bromo-alpha-ergocryptine', 'Parlodel', '2-Bromo-alpha-ergokryptine', 'Bromocriptina', 'Bromocriptinum', '2-Bromo-alpha-ergokryptin', 'Bromocriptinum [INN-Latin]', 'Bromocriptina [INN-Spanish]', 'CB-154', 'Bromocriptine methanesulfonate', 'UNII-3A64E3G5ZO', 'C32H40BrN5O5', 'CCRIS 3244', '2-Bromoergocryptine', 'EINECS 247-128-5', '3A64E3G5ZO', 'CHEBI:3181', 'Ergoset', "2-Bromo-12'-hydroxy-2'-(1-methylethyl)-5'-alpha-(2-methylpropyl)ergotamin-3',6',18-trione", 'Bromocryptin', 'Ergocryptine, 2-bromo-', "(5'alpha)-2-bromo-12'-hydroxy-5'-isobutyl-2'-isopropyl-3',6',18-trioxoergotaman", "(5'alpha)-2-bromo-12'-hydroxy-2'-(1-methylethyl)-5'-(2-methylpropyl)-3',6',18-trioxoergotaman", '2-Bromoergokryptine', "Ergotaman-3',6',18-trione, 2-bromo-12'-hydroxy-2'-(1-methylethyl)-5'-(2-methylpropyl)-, (5'alpha)-", 'Bromocriptine [BAN]', 'NSC169774', 'Bromocriptine [USAN:BAN:INN]', '2-Bromoergocryptine Methanesulfonate', 'Bromocriptine (USAN/INN)', 'SR-01000075356', 'Bromocriptine [USAN:INN:BAN]', 'NCGC00024584-03', '08Y', 'Bromocriptine+ (GTP-)', 'Prestwick0_000121', 'Prestwick1_000121', 'Prestwick2_000121', 'Carboprost Methylate,(S)', 'DSSTox_CID_2687', 'Biomol-NT_000005', 'CHEMBL493', 'GTPL35', 'DSSTox_RID_76692', 'DSSTox_GSID_22687', 'Lopac0_000171', 'SCHEMBL25297', "(5'alpha)-2-bromo-12'-hydroxy-2'-(1-methylethyl)-5'-(2-methylpropyl)ergotaman-3',6',18-trione", 'BIDD:GT0464', 'SPBio_002101', 'BPBio1_001131', 'DTXSID1022687', 'SANDOZ 15-754', 'BDBM81993', 'Ergocryptine, 2-bromo- (8CI)', 'Tox21_110907', 'PDSP2_001500', 'ZINC53683151', 'AKOS015961273', 'CCG-204266', 'DB01200', 'SDCCGSBI-0050159.P003', 'dioxooctahydro-2H-oxazolo[3,2-a]pyrrolo', 'NCGC00024584-04', 'NCGC00024584-05', "(5'alpha)-2-bromo-12'-hydroxy-5'-(2-methylpropyl)-2'-(propan-2-yl)-3',6',18-trioxoergotaman", '(6aR,9R)-5-Bromo-N-((2R,5S,10aS,10bS)-10b-hydroxy-5-isobutyl-2-isopropyl-3,6-dioxooctahydro-2H-oxazolo[3,2-a]pyrrolo[2,1-c]pyrazin-2-yl)-7-methyl-4,6,6a,7,8,9-hexahydroindolo[4,3-fg]quinoline-9-carboxamide', 'AC-13601', "Ergotaman-3',6',18-trione, 2-bromo-12'-hydroxy-2'-(1-methylethyl)-5'alpha-(2-methylpropyl)-", 'LS-64540', 'NCI60_001365', '10b-hydroxy-5-isobutyl-2-isopropyl-3,6-', 'CAS-25614-03-3', 'C06856', 'D03165', 'hexahydroindolo[4,3-fg]quinoline-9-carboxamide', '13177-EP2272832A1', '13177-EP2275420A1', '13177-EP2277876A1', '13177-EP2280008A2', '13177-EP2287165A2', '13177-EP2287166A2', '13177-EP2292614A1', '13177-EP2292620A2', '13177-EP2295412A1', '13177-EP2295413A1', '13177-EP2295439A1', '13177-EP2298731A1', '13177-EP2298738A1', '13177-EP2298779A1', '13177-EP2311808A1', '13177-EP2311818A1', '13177-EP2311829A1', '13177-EP2311837A1', '13177-EP2316470A2', '13177-EP2316834A1', '88085-EP2298415A1', '88085-EP2298742A1', '88085-EP2305648A1', 'Bromocriptine mesylate;Bromocriptine;bromocriptine', 'Q413581', 'J-016067', 'SR-01000075356-5', '(6aR,9R)-5-bromo-N-((2R,5S,10aS,10bS)-', '[2,1-c]pyrazin-2-yl)-7-methyl-4,6,6a,7,8,9-', 'BRD-K14496212-001-01-1', 'BRD-K14496212-066-04-8', '2-bromo-12-hydroxy-5?-isobutyl-2-isopropylergotaman-3,6,18-trione monomethanesulphonate', '(4R,7R)-10-bromo-N-[(1S,2S,4R,7S)-2-hydroxy-7-(2-methylpropyl)-5,8-dioxo-4-(propan-2-yl)-3-oxa-6,9-diazatricyclo[7.3.0.0^{2,6}]dodecan-4-yl]-6-methyl-6,11-diazatetracyclo[7.6.1.0^{2,7}.0^{12,16}]hexadeca-1(16),2,9,12,14-pentaene-4-carboxamide', "(5'alpha)-2-bromo-12'-hydroxy-5'-(2-methylpropyl)-3',6',18-trioxo-2'-(propan-2-yl)ergotaman", "(5alpha,5'beta)-2-bromo-12'-hydroxy-5'-(2-methylpropyl)-3',6',18-trioxo-2'-(propan-2-yl)ergotaman", "Ergotaman-3',6',18-trione, 2-bromo-12'-hydroxy-2'-(1-methylethyl)-5'-(2-methylpropyl)-,(5'-alpha)-", 'N-[(2R,5S,10aS,10bS)-10b-hydroxy-5-isobutyl-2-isopropyl-3,6-dioxo-8,9,10,10a-tetrahydro-5H-oxazolo[[?]]pyrrolo[[?]]pyrazin-2-yl]-bromo-methyl-[?]carboxamide']</t>
  </si>
  <si>
    <t>Compound(31101)</t>
  </si>
  <si>
    <t>C32H40BrN5O5</t>
  </si>
  <si>
    <t>bromphenoxime</t>
  </si>
  <si>
    <t>2,6-dibromo-4-[(E)-(2,4-dinitrophenoxy)iminomethyl]phenol</t>
  </si>
  <si>
    <t>['BROMOFENOXIM', 'Bromophenoxim', 'Faneron', 'Bromophenoxime', '13181-17-4', 'Bromfenoxim', 'UNII-Z74704XU6I', 'Bromfenim', 'CHEBI:82194', 'Z74704XU6I', '3,5-Dibromo-4-hydroxybenzaldehyde 2,4-dinitrophenyl oxime', 'Caswell No. 287A', "3,5-Dibromo-4-hydroxybenzaldehyde (2',4'-dinitrophenyl)oxime", "3,5-Dibrom-4-hydroxylbenzaldoxim-O-(2',4'-dinitrophenyl)-aether", "3,5-Dibromo-4-hydroxybenzaldehyde-O-(2',4'-dinitrophenyl)oxime", 'Benzaldehyde, 3,5-dibromo-4-hydroxy-, (2,4-dinitrophenyl)oxime', 'Benzaldehyde, 3,5-dibromo-4-hydroxy-, O-(2,4-dinitrophenyl)oxime', 'Bromofenoxim [BSI:ISO]', 'Bromophenoxime [ISO-French]', 'EINECS 236-129-6', 'BRN 2486502', 'bromofenoxim;Bromfenoxim', 'C9122', 'Bromfenoxime', 'Bromofenoxime', 'Bromphenoxim', '3,5-Dibromo-4-hydroxybenzaldehyde O-(2,4-dinitrophenyl)oxime', "3,5-Dibrom-4-hydroxylbenzaldoxim-O-(2',4'-dinitrophenyl)-aether [German]", 'DSSTox_CID_21681', 'DSSTox_RID_79815', 'DSSTox_GSID_41681', 'SCHEMBL54621', 'SCHEMBL260938', 'CHEMBL1863271', 'DNDI1246786', 'Tox21_300946', 'AKOS015903629', 'c 9122', 'NCGC00248221-01', 'NCGC00254848-01', 'CAS-13181-17-4', 'C19069', 'Bromofenoxim, PESTANAL(R), analytical standard', 'J-006059', '3,5-Dibromo-4-hydroxybenzaldoxime 2,4-dinitrophenyl ether', '2,6-dibromo-4-[(E)-(2,4-dinitrophenoxy)iminomethyl]phenol', '(E)-3,5-Dibromo-4-hydroxybenzaldehyde O-(2,4-dinitrophenyl) oxime', '3,5-Dibromo-4-hydroxybenzaldehyde O-(2,4-dinitrophenyl)oxime #', '2,6-dibromo-4-[[(2,4-dinitrophenoxy)amino]methylidene]cyclohexa-2, 5-dien-1-one']</t>
  </si>
  <si>
    <t>Compound(86287521)</t>
  </si>
  <si>
    <t>C13H7Br2N3O6</t>
  </si>
  <si>
    <t>bromphenvinphos-methyl</t>
  </si>
  <si>
    <t>[(E)-2-bromo-1-(2,4-dichlorophenyl)ethenyl] dimethyl phosphate</t>
  </si>
  <si>
    <t>['Bromfenvinphos-methyl', 'Polfos', 'METHYLBROMFENVINPHOS', 'Methylbromphenvinphos', 'Polphos', 'Shell SD-8988', 'UNII-XZL69YN9G6', 'SD 8988 (Shell)', 'CCRIS 2703', 'IPO 63', 'E-methylbromfenvinphos', 'ENT 27,043', 'SD 8988', 'XZL69YN9G6', 'AI3-27043', '13104-21-7', 'O-1-(2,4-Dichlorophenyl)-2-bromovinyl-O,O-dimethyl phosphate', 'O,O-Dwumetylo-O-1-(2,4-dwuchlorofenylo)-2-bromowinylofosforan [Polish]', 'Phosphoric acid, 2-bromo-1-(2,4-dichlorophenyl)vinyl dimethyl ester', 'Phosphoric acid, 2-bromo-1-(2,4-dichlorophenyl)ethenyl dimethyl ester', '68107-00-6', 'Methylbromfenvinphos, E-', 'O,O-Dwumetylo-O-1-(2,4-dwuchlorofenylo)-2-bromowinylofosforan', 'Bromfenvinfos-methyl', 'bromfenvinphos methyl', '[(E)-2-bromo-1-(2,4-dichlorophenyl)ethenyl] dimethyl phosphate', 'ZINC2019813', 'Phosphoric acid, 2-bromo-1-(2,4-dichlorophenyl)ethenyl dimethyl ester, (E)-', 'LS-107507', 'NS00005182', 'J-005926', 'Q27294070', '2-Bromo-1-(2,4-dichlorophenyl)vinyl Dimethyl Phosphate', 'Bromfenvinphos-methyl, PESTANAL(R), analytical standard', 'UNII-935K0CS3JR component LOOAGTDYKNUDBZ-UXBLZVDNSA-N', 'Phosphoric acid [(E)-2-bromo-1-(2,4-dichlorophenyl)ethenyl]dimethyl ester', 'Phosphoric acid, 2-bromo-1-(2,4-dichlorophenyl)ethenyl dimethyl ester (9CI)']</t>
  </si>
  <si>
    <t>Compound(6107844)</t>
  </si>
  <si>
    <t>C10H10BrCl2O4P</t>
  </si>
  <si>
    <t>bromopropylate</t>
  </si>
  <si>
    <t>propan-2-yl 2,2-bis(4-bromophenyl)-2-hydroxyacetate</t>
  </si>
  <si>
    <t>['Bromopropylate', '18181-80-1', 'ACAROL', 'Phenisobromolate', 'Neoron', 'Folbex VA', "Isopropyl 4,4'-dibromobenzilate", 'Isopropyl dibromobenzilate', 'Ascarol 2E', 'Geigy 19851', 'Isopropyl 2,2-bis(4-bromophenyl)-2-hydroxyacetate', 'Caswell No. 511A', 'Isopropyl bromobenzilate', 'Geigy GS-19851', 'Ciba-Geigy GS 19851', 'UNII-3U468ZM257', 'Bromopropylate [ANSI:BSI:ISO]', 'HSDB 1731', 'Benzeneacetic acid, 4-bromo-alpha-(4-bromophenyl)-alpha-hydroxy-, 1-methylethyl ester', 'EINECS 242-070-7', "Benzilic acid, 4,4'-dibromo-, isopropyl ester", 'ENT 27552', 'Nanogen Index Code BST (1-012)', 'EPA Pesticide Chemical Code 028802', 'NSC 195087', 'BRN 2152560', 'GS-19851', 'propan-2-yl 2,2-bis(4-bromophenyl)-2-hydroxyacetate', "4,4'-Dibromobenzilic acid isopropyl ester", 'AI3-27552', 'Benzeneacetic acid, 4-bromo-.alpha.-(4-bromophenyl)-.alpha.-hydroxy-, 1-methylethyl ester', '3U468ZM257', '1-Methylethyl 4-bromo-alpha-(4-bromophenyl)-alpha-hydroxybenzeneacetate', 'propan-2-yl bis(4-bromophenyl)(hydroxy)acetate', '4-Bromo-alpha-(4-bromophenyl)-alpha-hydroxybenzeneacetic acid 1-methyl ethyl ester', 'brompropylat', 'Bromobropylate', 'C17H16Br2O3', 'Brompropylat;bromopropylate', 'Oprea1_388036', 'SCHEMBL73839', 'BIDD:ER0060', "Benzilic acid, 4,4'-dibromo-, isopropyl ester (8CI)", 'CHEMBL1867780', 'DTXSID1034397', 'CTK8E4922', 'HY-B2044', 'ZINC2017393', 'STK528927', 'AKOS005462224', 'MCULE-3692468345', 'VZ35747', '4-bromo-alpha-(4-bromophenyl)-alpha-hydroxybenzeneacetic acid 1-methylethyl ester', 'ACM18181801', 'Benzeneacetic acid, 4-bromo-alpha-(4-bromophenyl)-alpha-hydroxy-1-methylethyl ester (9CI)', 'NCGC00164292-01', 'AK122228', 'GS 19851', 'L904', 'LS-32460', 'AX8118852', 'Bromopropylate 10 microg/mL in Acetonitrile', 'Bromopropylate 10 microg/mL in Cyclohexane', 'DB-044444', 'Bromopropylate 100 microg/mL in Cyclohexane', 'CS-0014139', 'FT-0630449', 'Isopropyl bis(4-bromophenyl)(hydroxy)acetate', 'NS00004515', 'Isopropyl bis(4-bromophenyl)(hydroxy)acetate #', '181B801', 'Bromopropylate, PESTANAL(R), analytical standard', 'J-011635', 'Q2926021', 'Benzeneacetic acid, 4-bromo-alpha-(4-bromophenyl)-alpha-hydroxy-1-methylethyl ester']</t>
  </si>
  <si>
    <t>Compound(28936)</t>
  </si>
  <si>
    <t>C17H16Br2O3</t>
  </si>
  <si>
    <t>bromopyrolate</t>
  </si>
  <si>
    <t>C10-rich di-C9-11 branched alkyl phthalate</t>
  </si>
  <si>
    <t>bis(8-methylnonyl) benzene-1,2-dicarboxylate</t>
  </si>
  <si>
    <t>['DIISODECYL PHTHALATE', '26761-40-0', 'Bis(8-methylnonyl) phthalate', 'di-isodecyl phthalate', 'Plasticized ddp', '89-16-7', 'Palatinol Z', 'Vestinol DZ', 'DIDP (plasticizer)', 'Bis(isodecyl)phthalate', 'Di(i-decyl) phthalate', 'Di-iso-decyl phthalate', 'Sicol 184', 'Bis(isodecyl) phthalate', 'Phthalic acid, diisodecyl ester', "Di-''isodecyl'' phthalate", 'UNII-WF93T741QI', '1,2-Benzenedicarboxylic acid, bis(8-methylnonyl) ester', '1,2-Benzenedicarboxylic acid, diisodecyl ester', 'CCRIS 6194', 'HSDB 930', 'Phthalic acid, bis(8-methylnonyl) ester', '68515-49-1', '1,2-Benzenedicarboxylic acid, di-C9-11-branched alkyl esters, C10-rich', 'EINECS 247-977-1', 'PX 120', 'BRN 2171889', 'Phthalic Acid Diisodecyl Ester', 'WF93T741QI', '19269-67-1', 'CHEBI:34709', 'AK114536', '1,2-Benzenedicarboxylic acid, 1,2-diisodecyl ester', 'di(isodecyl) phthalate', 'bis(8-methylnonyl) benzene-1,2-dicarboxylate', 'C10-Rich di-C9-11-branched alkyl phthalates', 'EINECS 201-884-2', 'EINECS 271-091-4', 'Di-iso-decyl phtalate', 'Phthalic acid diisodesyl', 'ACMC-1CQ9Z', 'DSSTox_CID_8666', 'EC 271-091-4', 'Bis(8-methylnonyl)phthalate', 'DSSTox_RID_78654', 'DSSTox_GSID_28666', 'SCHEMBL22307', 'Bis-(8-methylnonyl)phthalate', 'KSC489Q5B', 'BIDD:ER0436', 'CHEMBL3183266', 'CTK3I9850', 'DTXSID50274032', 'KS-00000G1X', 'ZINC4655189', 'Tox21_300530', 'ANW-41625', 'AKOS015888325', 'Di(C9-C11) branched alkyl phthalate', 'LS-1112', 'Phthalic acid, bis-8-methylnonyl ester', 'ACM19269671', 'NCGC00248087-01', 'NCGC00248087-02', 'NCGC00254318-01', 'Diisodecyl phthalate (mixture of isomers)', 'AX8125130', 'CAS-68515-49-1', 'FT-0606278', 'FT-0667182', 'FT-0667183', 'FT-0696778', 'P0299', 'C14578', 'Bis(8-methylnonyl) phthalate, analytical standard', 'Diisodecyl phthalate, Selectophore(TM), &gt;=99.0%', 'Q904337', 'J-016536', 'Diisodecyl phthalate (mixture of branched chain isomers)', 'Diisodecyl phthalate(mixture of branched chain isomers)', 'Phthalic acid, di-C9-11-branched alkyl esters, C10-rich', '1,2-Benzenedicarboxylic acid di-c9-11-branched alkyl esters c10-rich']</t>
  </si>
  <si>
    <t>Compound(33599)</t>
  </si>
  <si>
    <t>C28H46O4</t>
  </si>
  <si>
    <t>dean</t>
  </si>
  <si>
    <t>decane</t>
  </si>
  <si>
    <t>['DECANE', 'n-Decane', '124-18-5', 'Nonane, methyl-', 'Decyl hydride', 'UNII-NK85062OIY', 'CCRIS 653', 'HSDB 63', 'NSC 8781', 'EINECS 204-686-4', 'UN2247', 'BRN 1696981', 'AI3-24107', 'NK85062OIY', 'CHEBI:41808', 'MFCD00008954', 'DSSTox_CID_4913', 'Decane, analytical standard', 'DSSTox_RID_77577', 'DSSTox_GSID_24913', 'Alkanes, C10-18', 'Decane, 99%, anhydrous, AcroSeal(R)', 'CAS-124-18-5', 'D10', '(C10-C18) Alkanes', 'decan', 'normal-decane', 'Decane.', 'Decane, n-', 'n - Decane', 'C10H22', 'Decane, 99%', 'ACMC-1BUCN', 'Decane, &gt;=95%', 'EC 204-686-4', 'DECANE;n-Decane;N-Decane', '28598-83-6', '4-01-00-00464 (Beilstein Handbook Reference)', '73138-29-1', 'Decane, anhydrous, &gt;=99%', 'KSC179Q2P', 'CHEMBL134537', 'QSPL 111', 'WLN: 10H', 'DTXSID6024913', 'n-C10H22', 'CTK0H9827', 'KS-00000UYU', 'NSC8781', 'Decane, ReagentPlus(R), &gt;=99%', 'NSC-8781', 'ZINC1648227', 'Tox21_201881', 'Tox21_300336', 'ANW-42089', 'LMFA11000568', 'LS-693', 'STL280316', 'Decane, purum, &gt;=95.0% (GC)', 'Decane, purum, &gt;=98.0% (GC)', 'AKOS005145676', 'MCULE-6071426098', 'n-Decane 1000 microg/mL in Methanol', 'UN 2247', 'Decane, SAJ special grade, &gt;=99.0%', 'n-Decane [UN2247] [Flammable liquid]', 'NCGC00247996-01', 'NCGC00247996-02', 'NCGC00254283-01', 'NCGC00259430-01', '63335-87-5', 'I932', 'SC-79309', 'n-Decane [UN2247]  [Flammable liquid]', 'DB-089700', 'D0011', 'FT-0697465', 'NS00010712', 'S0282', 'Q150717', 'J-005051', 'J-520211', 'F1908-0171', 'DBF497D1-4529-4457-841E-9D33CDF22B1C', 'UNII-1E5KJY107T component DIOQZVSQGTUSAI-UHFFFAOYSA-N', '116372-01-1']</t>
  </si>
  <si>
    <t>Compound(15600)</t>
  </si>
  <si>
    <t>decanoic acid</t>
  </si>
  <si>
    <t>['Decanoic acid', 'CAPRIC ACID', '334-48-5', 'n-Decanoic acid', 'n-Capric acid', 'Decylic acid', 'Decoic acid', 'n-Decylic acid', 'Caprinic acid', 'Caprynic acid', 'n-Decoic acid', '1-Nonanecarboxylic acid', 'Neo-fat 10', 'Hexacid 1095', 'tert-DECANOIC ACID', 'C10 fatty acid', 'Versatic 10', 'Versatic 10 acid', 'Fatty acid(C10)', 'NSC 5025', 'Econosan Acid Sanitizer', 'Decanoic acid (natural)', 'UNII-4G9EDB6V73', 'FEMA No. 2364', 'CCRIS 4610', 'HSDB 2751', 'Emery 659', 'C10:0', 'EINECS 206-376-4', 'MFCD00004441', 'EPA Pesticide Chemical Code 128955', 'BRN 1754556', 'AI3-04453', '4G9EDB6V73', 'CHEBI:30813', 'caprynate', 'decoate', 'decylate', 'C10H20O2', 'n-caprate', 'n-decoate', 'n-decylate', 'Lead caprate', 'Decanoic acid, 99%', 'NCGC00091320-02', '1-nonanecarboxylate', 'Decanoic acid anion', 'DSSTox_CID_1554', 'Lead(2+) decanoate', 'DSSTox_RID_76208', 'DSSTox_GSID_21554', 'DKA', 'Capricacid', 'CAS-334-48-5', 'Dekansaeure', 'Kaprinsaeure', '1-decanoic acid', 'nonanecarboxylic acid', 'Nat. Decanoic Acid', 'Prifrac 296', 'Prifac 296', 'Acid C10', 'Decanoic acid, 96%', 'Prifac 2906', '15773-52-1', 'Nonane-1-carboxylic acid', 'ACMC-1CKM4', 'Lunac 10-95', 'Lunac 10-98', 'bmse000370', 'SCHEMBL2682', 'WLN: QV9', 'Decanoic acid (Capric acid)', '4-02-00-01041 (Beilstein Handbook Reference)', 'Decanoic acid, &gt;=98.0%', 'KSC222I3L', 'MLS002415724', 'CH3-[CH2]8-COOH', 'CHEMBL107498', 'GTPL5532', 'DTXSID9021554', 'CTK1C2435', 'Decanoic acid, lead (2+) salt', 'KS-00000UKL', 'NSC5025', 'Decanoic acid, analytical standard', 'HMS2267B15', 'NSC-5025', 'ZINC1529229', 'Decanoic acid, &gt;=98.0% (GC)', 'Tox21_113533', 'Tox21_202209', 'Tox21_300366', 'ANW-27636', 'LMFA01010010', 'SBB060022', 'STL445666', 'Decanoic acid, &gt;=98%, FCC, FG', 'AKOS000119623', 'Fatty acids C7to C20: decanoic acid', 'CS-W016025', 'DB03600', 'HY-W015309', 'LS-1213', 'MCULE-3914949169', 'NCGC00091320-01', 'NCGC00091320-03', 'NCGC00091320-04', 'NCGC00091320-05', 'NCGC00254437-01', 'NCGC00259758-01', 'AS-14704', 'FA(10:0)', 'LS-59338', 'M249', 'SMR001252255', 'SY061635', 'D0017', 'Decanoic acid, natural, &gt;=98%, FCC, FG', 'FT-0665532', 'FT-0665533', 'NS00005224', 'ST51046284', 'C01571', 'Q422613', 'W-202368', 'Decanoic acid, ester with 1,2,3-Propanetriol Octanoate.', 'Z1259273370', 'UNII-13FB83DEYU component GHVNFZFCNZKVNT-UHFFFAOYSA-N', 'UNII-DI775RT244 component GHVNFZFCNZKVNT-UHFFFAOYSA-N', '98230577-0D20-4F70-B532-00AC60132CFE', 'UNII-79P21R4317 component GHVNFZFCNZKVNT-UHFFFAOYSA-N']</t>
  </si>
  <si>
    <t>Compound(2969)</t>
  </si>
  <si>
    <t>C10H20O2</t>
  </si>
  <si>
    <t>undecane</t>
  </si>
  <si>
    <t>['Undecane', 'N-UNDECANE', '1120-21-4', 'Hendecane', 'Decane, methyl-', 'n-Hendecane', 'UNII-JV0QT00NUE', 'CCRIS 3796', 'HSDB 5791', 'EINECS 214-300-6', 'NSC 66159', 'UN2330', 'JV0QT00NUE', 'BRN 1697099', 'AI3-21126', 'CHEBI:46342', 'MFCD00008959', 'Undecane, &gt;=99%', 'Undecane, analytical standard', 'UND', 'undecan', 'Hendekan', 'Undekan', 'Undecane, 99%', 'n-Undecane, 99%', 'Undecane [UN2330]  [Flammable liquid]', 'DSSTox_CID_1689', 'ACMC-209t6p', 'EC 214-300-6', 'DSSTox_RID_76285', 'DSSTox_GSID_21689', '4-01-00-00487 (Beilstein Handbook Reference)', 'KSC176C3J', 'undecane;UNDECANE;n-Undecane', 'CHEMBL132474', 'QSPL 058', 'DTXSID9021689', 'n-C11H24', 'CTK0H6134', 'KS-00000WJI', 'CH3-[CH2]9-CH3', 'NSC66159', 'ZINC1693211', 'Tox21_300076', 'ANW-42095', 'LMFA11000591', 'NSC-66159', 'AKOS005145675', 'MCULE-7319807036', 'UN 2330', 'NCGC00247896-01', 'NCGC00254001-01', 'Undecane [UN2330] [Flammable liquid]', '61193-21-3', 'CC-33184', 'SC-79237', 'U203', 'CAS-1120-21-4', 'DB-041031', 'LS-158394', 'FT-0633353', 'NS00004614', 'S0283', 'U0002', 'C-28174', 'Q150731', 'J-002689', '17398EC4-D16F-42F6-8A27-60F8EC075469']</t>
  </si>
  <si>
    <t>Compound(14257)</t>
  </si>
  <si>
    <t>C11H24</t>
  </si>
  <si>
    <t>undecanoic acid</t>
  </si>
  <si>
    <t>['UNDECANOIC ACID', '112-37-8', 'Hendecanoic acid', 'Undecylic acid', 'n-Undecanoic acid', 'n-Undecoic acid', 'n-Undecylic acid', 'Undecoic acid', '1-Decanecarboxylic acid', 'undecanoate', 'FEMA No. 3245', 'Undekansaeure', 'UNII-138ON3IIQG', 'NSC 7885', 'EINECS 203-964-2', 'MFCD00002730', 'BRN 1759287', '138ON3IIQG', 'AI3-02280', 'CHEBI:32368', 'NSC7885', 'hendecanoate', 'undecylate', 'NSC-7885', 'n-undecanoate', 'n-undecoate', 'n-undecylate', 'Undecanoic acid, 99%', '1-decanecarboxylate', 'Undecanoate [USAN]', 'undecanoicacid', 'undecans&amp;#xe4;ure', 'Undecanoic acid, 98%', 'ACMC-1C9TV', 'DSSTox_CID_1690', 'bmse000563', 'SCHEMBL9266', 'Undecanoate;Hendecanoic acid', 'DSSTox_RID_76286', 'NCIOpen2_009435', 'DSSTox_GSID_21690', '4-02-00-01068 (Beilstein Handbook Reference)', 'WLN: QV10', 'CH3-[CH2]9-COOH', 'CHEMBL108030', 'GTPL5533', 'QSPL 035', 'QSPL 155', 'QSPL 192', 'DTXSID8021690', 'Undecanoic acid, &gt;=97%, FG', 'CTK0H7028', 'HMS3740G13', 'ZINC1586297', 'Tox21_201031', 'Undecanoic acid, analytical standard', '2175AA', 'ANW-16457', 'LMFA01010011', 'SBB058709', 'AKOS000276906', 'AM85321', 'CS-W004282', 'DS-6048', 'HY-W004282', 'LS41193', 'MCULE-5110587542', 'NE10223', 'NCGC00248901-01', 'NCGC00258584-01', 'AK112843', 'CAS-112-37-8', 'Hendecanoic Acid/Undecanoic Acid(C11:0)', 'SC-19068', 'SY007756', 'LS-158407', 'C11:0', 'FT-0689759', 'NS00014192', 'S9454', 'ST51037453', 'U0004', 'EN300-19485', 'C17715', 'A802562', 'Q425988', 'J-002761', '75EF58E9-1C6B-4875-8B82-D0B7A10FAEA2', 'F2191-0248', 'Z234894563', 'UNDECANOIC ACID;undecanoic acid;Sodium undecanoate;Potassium undecanoate']</t>
  </si>
  <si>
    <t>Compound(8180)</t>
  </si>
  <si>
    <t>undecenoic acid</t>
  </si>
  <si>
    <t>undec-10-enoic acid</t>
  </si>
  <si>
    <t>['undecylenic acid', '10-UNDECENOIC ACID', 'Undec-10-enoic acid', '112-38-9', 'Undecenoic acid', 'Desenex', '10-Hendecenoic acid', 'Renselin', 'Declid', 'Sevinon', '9-Undecylenic acid', '10-Undecylenic acid', 'Undecyl-10-enic acid', 'Desenex solution', 'UNDECEN-10-ACID-1', 'Undecylenic Acids', 'Kyselina undecylenova', '10-Henedecenoic acid', 'Caswell No. 901', 'Undecenoic acid, omega-', 'Undecylenic acid [JAN]', 'Hendecenoic acid, omega-', '10-Hendecenoic', 'Desenex, solution', 'NSC 2013', 'n-Undecylenic acid', 'UNII-K3D86KJ24N', 'Kyselina undecylenova [Czech]', 'FEMA No. 3247', 'omega-undecenoic acid', 'Cruex (TN)', 'omega-hendecenoic acid', 'CHEBI:35045', 'EINECS 203-965-8', 'MFCD00004442', 'EPA Pesticide Chemical Code 085501', 'BRN 1762631', '10-Undecenoic acid, 98%', 'Kyselina 9-decen-1-karboxylova [Czech]', 'Undecylenic acid (JAN/USP)', 'AI3-02065', 'K3D86KJ24N', 'NSC2013', 'C11H20O2', 'Undesine', 'Zinc Undecylenate (undecylenic acid)', 'NCGC00159425-02', 'NCGC00159425-04', 'Undecylenic acid, 99%', 'DSSTox_CID_15001', 'DSSTox_RID_79235', 'DSSTox_GSID_35001', 'CAS-112-38-9', 'undecylenate', 'Undecenoicacid', 'Undecylenic acid [USP:JAN]', 'Cruex', 'undecelinic acid', 'Kyselina 9-decen-1-karboxylova', 'Undecylenenic acid', '10-Undecensaeure', '10-Undecenic acid', 'EINECS 215-583-9', 'Undecen-10-saeure', 'n-UNDECYLENIC ACID (10-1)', '10-undeceneoic acid', 'acide 10-undecylique', 'acido 10-undecenoico', 'acide 10-undecanoique', 'Undecylenic acid, USAN', 'Undec-10-enoic Acid.', 'ACMC-2099el', 'EC 203-965-8', 'NCIOpen2_002642', 'WLN: QV9U1', 'SCHEMBL17827', '4-02-00-01612 (Beilstein Handbook Reference)', 'CHEMBL1276010', 'DTXSID8035001', 'CTK5J4234', 'FEMA 3247', 'Undecylenic acid, &gt;=95%, FG', 'Undecylenic acid, &gt;=96%, FG', 'HMS2093L21', 'Pharmakon1600-01505468', 'HY-B0914', 'KS-00000W3F', 'NSC-2013', 'ZINC1577120', 'Tox21_111657', 'Tox21_300383', 'ANW-16459', 'BBL027462', 'BDBM50248304', 'C11:1n-1', 'LMFA01030036', 'NSC759153', 's9452', 'SBB009049', 'STK801548', 'AKOS009031595', 'Tox21_111657_1', 'CCG-213461', 'DB11117', 'LS-3146', 'MCULE-7928135942', 'NE10319', 'NSC-759153', '10-Undecenoic acid, analytical standard', 'NCGC00159425-03', 'NCGC00159425-05', 'NCGC00159425-09', 'NCGC00254296-01', 'Undecylenic acid, natural, &gt;=97%, FG', 'NCI60_001670', 'SC-19067', 'SBI-0206806.P001', 'SBI-0206806.P002', 'FT-0607203', 'NS00009009', 'ST50825220', 'U0007', '10-Undecenoic acid, purum, &gt;=97.0% (GC)', 'C13910', 'D02159', 'AB00630892_02', 'Q420346', 'SR-05000002050', '10-Undecenoic acid, Vetec(TM) reagent grade, 98%', 'SR-05000002050-1', 'W-200840', 'F0001-0258', 'Undecylenic acid, United States Pharmacopeia (USP) Reference Standard', '10-Undecenoic acid, puriss., meets analytical specification of Ph. Eur., BP, USP, 98-100.5%']</t>
  </si>
  <si>
    <t>Compound(5634)</t>
  </si>
  <si>
    <t>C12-C14 alkyl benzyl dimethyl ammonium chloride</t>
  </si>
  <si>
    <t>dodecyl-[(4-ethylphenyl)methyl]-dimethylazanium;chloride</t>
  </si>
  <si>
    <t>['QUATERNIUM-14', 'UNII-ZGE94G6AGI', 'Quaternium 14', 'Dodecyl(ethylbenzyl)dimethylammonium chloride', 'ZGE94G6AGI', 'Dodecyldimethyl(4-ethylbenzyl)ammonium chloride', '27479-28-3', 'Dodecyldimethyl(ethylbenzyl)ammonium chloride', '14351-42-9', 'Dodecyl dimethyl ethylbenzyl ammonium chloride', 'EINECS 248-486-5', 'Lauryldimethyl(ethylbenzyl)ammonium chloride', 'Benzenemethanaminium, N-dodecyl-ar-ethyl-N,N-dimethyl-, chloride', 'Lauryl dimethyl ethylbenzyl ammonium chloride', 'Ammonium, dodecyl(p-ethylbenzyl)dimethyl-, chloride', 'SCHEMBL9730066', 'DTXSID00872365', 'Benzenemethanaminium, N-dodecyl-4-ethyl-N,N-dimethyl-, chloride', 'Benzenemethanaminium, N-dodecyl-4-ethyl-N,N-dimethyl-, chloride (1:1)', 'Benzenemethanaminium, N-dodecyl-ar-ethyl-N,N-dimethyl-, chloride (1:1)', '85409-23-0', 'Q27295479', 'N-Dodecyl-ar-ethyl-N,N-dimethylbenzenemethanaminium chloride', 'UNII-G258TFN61X component IHDIFQKZWSOIBB-UHFFFAOYSA-M']</t>
  </si>
  <si>
    <t>Compound(33917)</t>
  </si>
  <si>
    <t>C23H42ClN</t>
  </si>
  <si>
    <t>C12-C16 alkyl benzyl dimethyl ammonium chloride</t>
  </si>
  <si>
    <t>benzyl-dimethyl-tetradecylazanium;chloride</t>
  </si>
  <si>
    <t>['139-08-2', 'n-benzyl-n,n-dimethyltetradecan-1-aminium chloride', 'Miristalkonium chloride', 'Myristalkonium chloride', 'Benzyldimethyltetradecylammonium chloride', 'Tetradecyldimethylbenzylammonium Chloride', 'Zephiramine', '68391-01-5', 'Dibactol', 'Faringets', 'Quaternario 14B', 'Sanibond 200lg', 'Zephiramine chloride', 'Barquat MB 50', 'Quarton 14 BCL', 'Barquat MS 100', 'Hyamine 3500', 'Arquad DM14B-90', '68424-85-1', 'Nissan cation M2-100', 'Benzyldimethylmyristylammonium chloride', 'Dimethylbenzylmyristylammonium chloride', 'Myristyldimethylbenzylammonium chloride', 'Benzenemethanaminium, N,N-dimethyl-N-tetradecyl-, chloride', 'UNII-0W255OL75T', 'Dimethylbenzyltetradecylammonium chloride', 'Tetradecyl-dimethyl-benzylammonium chloride', 'HSDB 5627', 'Tetradecyl dimethyl benzyl ammonium chloride', 'Miristalkonium chloride [INN:BAN]', 'BTC 824P100', 'EINECS 205-352-0', 'Miristalkonii chloridum [INN-Latin]', 'Chlorur de miristalkonium [INN-French]', 'Cloruro de miristalkonio [INN-Spanish]', 'Quaternary ammonium compounds, benzyl-C12-16-alkyldimethyl, chlorides', 'Quaternary ammonium compounds, benzyl-C12-18-alkyldimethyl, chlorides', 'Myristyl dimethyl benzyl ammonium chloride', 'Trimethyl tetradecylphenyl ammonium chloride', 'Ammonium, benzyldimethyltetradecyl-, chloride', 'N-Benzyl-N-tetradecyldimethylammonium chloride', 'TETRADECYLBENZYLDIMETHYLAMMONIUM CHLORIDE', '0W255OL75T', 'MFCD00011771', 'benzyl-dimethyl-tetradecylazanium;chloride', 'DSSTox_CID_8460', 'W-109496', 'BENZYLDIMETHYLTETRADECYLAMMONIUM CHLORIDE HYDRATE', 'N,N-Dimethyl-N-tetradecylbenzenemethanaminium chloride', 'Cloruro de miristalkonio', 'Benzenemethanaminium, N,N-dimethyl-N-tetradecyl-, chloride (1:1)', 'Chlorur de miristalkonium', 'Protek Q', 'Rolquat cdm/BC', 'Black alg aetrine', 'Catigene T80', 'Bioquat 80', 'Cyncal 80', 'Barquat MB 80', 'Bioquat 501', 'Gardiquat 1250AF', 'Miristalkonii chloridum', 'Maquat MC 1412', 'Tret-O-lite WF 88', 'Tret-O-lite WF 828', 'Zephiran chloride', 'C12-18-Alkyldimethylbenzyl ammonium chlorides', 'BTC 835', 'Alpagelle (TN)', 'EINECS 269-919-4', 'EINECS 270-325-2', 'Benzyltetradecyldimethylammonium chloride', 'SDA 16-052-00', 'C12-16-Alkyldimethylbenzylammonium chloride', 'Alkyl(C12-16)dimethylbenzylammonium chloride', '(C12-C18)Alkylbenzyldimethylammonium chloride', '(C12-C18)Alkyldimethylbenzylammonium chloride', 'Alkyl(C12-C18)benzyldimethylammonium chloride', 'EC 270-325-2', 'C23H42ClN', 'Benzyl-C12-C16-alkyldimethyl ammonium chlorides', 'DSSTox_RID_78652', 'Zephirol Related Compound 1', '(C12-C18) Alkyldimethylbenzyl ammonium chloride', 'DSSTox_GSID_28460', 'DSSTox_GSID_28492', 'SCHEMBL60915', 'KSC177I3T', 'Ammonium, alkyl(C12-C16)dimethylbenzyl-, chlorides', 'Miristalkonium chloride (INN)', 'CHEMBL421049', 'N-Alkyl dimethyl benzyl ammonium chloride (C12-C18)', 'DTXSID6036384', 'CTK0H7439', 'KS-00000FQS', 'Alkyl(40%C12,50%C14,10%C16) dimethyl benzyl ammonium chloride', 'Tox21_202570', 'Tox21_303955', 'ANW-20492', 'Quaternary ammonium compounds, benzyl-C12-C16-alkyldimethyl, chlorides', 'AKOS015890487', 'NCGC00260119-01', 'NCGC00357189-01', 'tetradecyldimethylbenzyl ammonium chloride', 'AK105041', 'LS-16820', 'AX8116285', 'CAS-68391-01-5', 'CAS-68424-85-1', 'A0208', 'FT-0621977', 'FT-0657918', 'FT-0778233', 'D08223', 'Alkyl (C12-16) dimethylbenzylammonium chloride', 'A807480', 'Benzenemethanaminium,N,N-dimethyl-N-tetradecyl-,ch', 'Benzyldimethyltetradecylammonium chloride, anhydrous', 'dimethyl-(phenylmethyl)-tetradecyl-azanium chloride', 'dimethyl-(phenylmethyl)-tetradecylammonium chloride', 'n-Tetradecylbenzyldimethylammonium chloride hydrate', 'N-Benzyl-N,N-dimethyl-1-tetradecanaminium chloride', 'Q27231176', 'UNII-F5UM2KM3W7 component OCBHHZMJRVXXQK-UHFFFAOYSA-M', 'Alkyl(5%C12,60%C14,30%C16,5%C18) dimethyl benzyl ammonium chloride']</t>
  </si>
  <si>
    <t>Compound(8755)</t>
  </si>
  <si>
    <t>C12-C18 dimethyl-3,4-dichlorobenzyl ammonium chloride</t>
  </si>
  <si>
    <t>dodecan</t>
  </si>
  <si>
    <t>dodecane</t>
  </si>
  <si>
    <t>['DODECANE', 'n-Dodecane', '112-40-3', 'Dihexyl', 'Bihexyl', 'Adakane 12', 'Alkanes, C10-14', 'N-Dodecan', 'Undecane, methyl-', 'n-Dodecan [German]', 'dodecan', 'Duodecane', 'Ba 51-090453', 'NSC 8714', '93685-81-5', 'CCRIS 661', 'UNII-11A386X1QH', 'HSDB 5133', 'EINECS 203-967-9', 'BRN 1697175', '93924-07-3', 'CHEBI:28817', '11A386X1QH', 'MFCD00008969', 'n-Dodecane, 99%, pure', 'D12', 'n-Dodecane, 99%, anhydrous, AcroSeal(R)', 'Dodekan', 'normal dodecane', 'Dodecane.', 'Normal Paraffin M', 'EINECS 297-629-8', 'EINECS 300-199-7', 'Norpar 13', 'C12-n-alkane;', 'Dodecane, 99%', 'C12-14-alkanes', 'DSSTox_CID_6913', 'EC 203-967-9', 'EC 300-199-7', 'DSSTox_RID_78250', 'DSSTox_GSID_26913', 'Dodecane, analytical standard', '4-01-00-00498 (Beilstein Handbook Reference)', 'KSC175C3D', 'CHEMBL30959', 'Dodecane, anhydrous, &gt;=99%', 'WLN: 12H', 'CH3(CH2)10CH3', 'DTXSID0026913', 'CTK0H5131', 'NSC8714', 'CH3-[CH2]10-CH3', 'KS-00000X8R', 'NSC-8714', 'ZINC1531085', 'Tox21_303615', 'ANW-16463', 'Dodecane, ReagentPlus(R), &gt;=99%', 'LMFA11000004', 'STL280320', 'Dodecane, technical, &gt;=90% (GC)', 'AKOS015904160', 'ACN-034829', 'EBD2203394', 'MCULE-3947157412', 'Hydrocarbons, C4, 1,3-butadiene-free, polymd., triisobutylene fraction, hydrogenated', 'NCGC00166012-01', 'NCGC00257481-01', 'CAS-112-40-3', 'DA-16704', 'LS-63438', 'SC-78851', 'U215', 'D0968', 'FT-0625568', 'NS00009666', 'S0284', 'C08374', 'Q150744', '1310FACD-F2BF-4FD7-BC20-B21DF06EDE79', 'J-002767', 'Dodecane, certified reference material, TraceCERT(R)', 'F0001-0259', 'Density Standard 749 kg/m3, H&amp;D Fitzgerald Ltd. Quality', 'UNII-1E5KJY107T component SNRUBQQJIBEYMU-UHFFFAOYSA-N', 'UNII-FW7807707B component SNRUBQQJIBEYMU-UHFFFAOYSA-N']</t>
  </si>
  <si>
    <t>Compound(8182)</t>
  </si>
  <si>
    <t>C12H26</t>
  </si>
  <si>
    <t>dodecanamide N , N-bis 2-hydroxyethyl</t>
  </si>
  <si>
    <t>N,N-bis(2-hydroxyethyl)dodecanamide</t>
  </si>
  <si>
    <t>['N,N-Bis(2-hydroxyethyl)dodecanamide', '120-40-1', 'Lauric diethanolamide', 'Lauramide DEA', 'Lauryl diethanolamide', 'Lauroyl diethanolamide', 'Standamidd ld', 'Dodecanamide, N,N-bis(2-hydroxyethyl)-', 'Rolamid cd', 'Condensate PL', 'Comperlan LD', 'Mackamide LL', 'Standamid LD', 'Alkamide LE', 'Diethanollauramide', 'Hetamide ML', 'Mackamide LLM', 'Richamide STD', 'Crillon LDE', 'Empilan LDE', 'Ethylan MLD', 'Rewomid DLMS', 'Stepan LDA', 'Coco diethanolamide', 'Varamid ml 1', 'Varamide ML 1', 'Lauroyldiethanolamine', 'Lauric acid diethanolamide', 'Clindrol 100L', 'Clindrol 101CG', 'Clindrol 203CG', 'Clindrol 210CGN', 'Monamide 150LW', 'Richamide 6310', 'Super Amide L-9A', 'Super Amide L-9C', 'Synotol L-60', 'Unamide J-56', 'Aminon L 02', 'Onyxol 345', 'N,N-Diethanollauramide', 'N,N-Diethylollauramide', 'Lankrostat JP', 'Incromide LR', 'Lauramido DEA', 'Rewomid DL 203/S', 'Lalmin D', 'Ninol P-621', 'Steinamid DL 203 S', 'Ninol 4821', 'LDA (surfactant)', 'Clindrol superamide 100L', 'Ninol aa62', 'N,N-Bis(2-hydroxyethyl)lauramide', 'Clindrol 200L', 'Chemistat 2500', 'Crillon L.D.E.', 'Ninol aa-62 extra', 'Bis(2-hydroxyethyl)lauramide', 'Chemstat LD 100', 'Lauric acid diethanolamine condensate', 'Monamid 150-LW', 'Caswell No. 519A', 'N,N-Bis(hydroxyethyl)lauramide', 'N,N-Diethanollauric acid amide', 'Duspar LA 2000', 'EMID 6511', 'Diethanolamine lauroylamide', 'NCI-C55323', 'Coconut oil amide of diethanolamine', 'N,N-Bis(2-hydroxyethyl)laurylamide', 'N,N-Bis(2-hydroxyethyl)lauroylamide', 'UNII-I29I2VHG38', 'N,N-DI(2-HYDROXYETHYL)LAURAMIDE', 'CCRIS 4662', 'HSDB 5586', 'N,N-Bis(beta-hydroxyethyl)lauramide', 'EINECS 204-393-1', 'EPA Pesticide Chemical Code 079018', 'Methyl laurate-diethanolamine condensate', 'BRN 1791417', 'AI3-09484', 'I29I2VHG38', 'Lauric acid diethanolamine condensate (1:1)', 'Lauric acid diethanolamine condensation', 'LDE', 'NCGC00181001-01', 'AK116357', 'W-109444', 'Clindrol', 'Amides, C12-22, N,N-bis(hydroxyethyl)', 'Hartamide LDA', 'Stremid K', 'Ablumide LDE', 'C16H33NO3', 'Mackamide L10', 'Schercomid SL-EX', 'Carsamide SAL-7', 'Dehydat 10', 'Crillon L.D.E', 'EINECS 277-136-4', 'Alkamide 327', 'Schercomid SL-Extra', 'Witcamide 5138', 'Witcamide 5195', 'Clindrol 200 L', 'lauric diethanol amide', 'Monamid 150 LW', 'Ninol AA 62 extra', '(C12-22)-Fatty acids, diethanolamide', 'N-Lauroyldiethanolamine', 'Monamid 150-LMWC', 'Ninol 30-LL', 'Ninol AA 62', 'N2 C12 Alkanolamide', 'Pionin D 1110', 'N,N-Diethanoldodecanamide', 'N-Dodecanoyldiethanolamine', 'Diethanolamide lauric acid', 'Lauric acid diethanolamine', 'DSSTox_CID_5491', 'C11DEA', 'Diethanol lauric acid amide', 'EC 204-393-1', 'DSSTox_RID_77808', 'DSSTox_GSID_25491', '4-04-00-01539 (Beilstein Handbook Reference)', '72968-36-6', 'MLS006010225', 'SCHEMBL284367', 'Schercomid 1214 (Salt/Mix)', 'Diethanolamide of methyl laurate', 'CHEMBL1996872', 'DTXSID5025491', 'EMID 6541', 'CHEBI:143726', 'KS-00000GH8', 'Lauramide, N,N-bis(hydroxyethyl)-', 'Tox21_112653', '3539AA', 'LMFA08040058', 'LS-630', 'ZINC38139837', 'AKOS014510507', 'lauric acid diethanolamide, AldrichCPR', 'CS-W005513', 'MCULE-5602934160', 'N,N-Bis(.beta.-hydroxyethyl)lauramide', 'AS-10219', 'CAS-120-40-1', 'SMR001826330', 'AX8135951', 'FT-0600339', 'FT-0700556', 'ST45022185', 'C-49208', 'SR-01000944847', 'SR-01000944847-1', 'Q27280284', 'Z1591393781', 'UNII-KB1BQB7R06 component AOMUHOFOVNGZAN-UHFFFAOYSA-N', 'UNII-92005F972D component AOMUHOFOVNGZAN-UHFFFAOYSA-N', 'N,N-Bis(2-hydroxyethyl)dodecanamide, 9CI. N,N-Bis(2-hydroxyethyl)lauramide', 'N,N-bis(2-hydroxyethyl)dodecanamide;LAURAMIDE DEA;Dodecanamide, N,N-bis(2-hydroxyethyl)-', '92680-75-6', 'TRANSGENIC LECM (LAURIC ACID DIETHANOLAMINE CONDENSATE) (SEE ALSO LAURIC ACID DIETHANOLAMINE CONDENSATE (120-40-1))']</t>
  </si>
  <si>
    <t>Compound(8430)</t>
  </si>
  <si>
    <t>C16H33NO3</t>
  </si>
  <si>
    <t>dodecanoic acid</t>
  </si>
  <si>
    <t>['lauric acid', 'DODECANOIC ACID', '143-07-7', 'n-Dodecanoic acid', 'Dodecylic acid', 'Vulvic acid', 'Laurostearic acid', 'Dodecoic acid', 'Duodecylic acid', '1-Undecanecarboxylic acid', 'Aliphat No. 4', 'Neo-fat 12', 'C12 fatty acid', 'Ninol AA62 Extra', 'Wecoline 1295', 'Neo-fat 12-43', 'Hydrofol acid 1255', 'Hydrofol acid 1295', 'Duodecyclic acid', 'Hystrene 9512', 'Dodecylcarboxylate', 'Univol U-314', 'Lauric acid, pure', 'Lauric acid (natural)', 'Coconut oil fatty acids', 'ABL', 'Undecane-1-carboxylic acid', 'Laurinsaeure', 'NSC-5026', 'CCRIS 669', 'C-1297', 'UNII-1160N9NU9U', 'FEMA No. 2614', 'n-Dodecanoate', 'Philacid 1200', 'Dodecanoic Acid Anion', 'CHEBI:30805', 'Prifrac 2920', 'HSDB 6814', 'Lunac L 70', 'Emery 651', 'C12:0', 'EINECS 205-582-1', 'MFCD00002736', 'BRN 1099477', 'AI3-00112', 'DAO', 'CH3-[CH2]10-COOH', 'NSC5026', '1160N9NU9U', 'dodecylate', 'laurostearate', 'vulvate', 'DODECANOIC ACID  (LAURIC ACID)', 'Lauric acid, 99%', 'DSSTox_CID_1590', '1-undecanecarboxylate', 'DSSTox_RID_76223', 'DSSTox_GSID_21590', 'CAS-143-07-7', 'SMR001253907', 'lauricacid', 'Dodecanoic acid(Lauric acid)', 'dodecanic acid', 'Acide Laurique', 'dilauric acid;', 'Dodecanoic Acid.', '3uil', 'Lauric acid (NF)', 'Lauric Acid 652', 'Kortacid 1299', 'Nissan NAA 122', 'Emery 650', 'Lunac L 98', 'Prifac 2920', 'Univol U 314', 'Dodecanoic acid, 98%', 'Dodecanoic acid, 99%', 'ACMC-1BTHL', 'Dodecanoic (Lauric) acid', 'Lauric Acid (12:0)', 'bmse000509', 'EC 205-582-1', 'SCHEMBL5895', 'NCIOpen2_009480', '4-02-00-01082 (Beilstein Handbook Reference)', 'KSC176I2N', 'MLS002177807', 'MLS002415737', 'WLN: QV11', 'Dodecanoic acid (lauric acid)', 'Dodecanoic acid, &gt;=99.5%', 'Edenor C 1298-100', 'CHEMBL108766', 'GTPL5534', 'DTXSID5021590', 'CTK0H6426', 'KS-00000XDD', 'HMS2268C14', 'HMS3649N06', 'HY-Y0366', 'STR08039', 'ZINC1529498', 'Dodecanoic acid, analytical standard', 'Lauric acid, &gt;=98%, FCC, FG', 'Tox21_202149', 'Tox21_303010', 'ANW-20737', 'BDBM50180948', 'LMFA01010012', 'LS-845', 's4726', 'SBB060023', 'STL281860', 'AKOS000277433', 'CCG-266587', 'DB03017', 'EBD2203547', 'MCULE-2795129925', 'OR55016', 'NCGC00090919-01', 'NCGC00090919-02', 'NCGC00090919-03', 'NCGC00256486-01', 'NCGC00259698-01', 'AC-16451', 'Dodecanoic acid, &gt;=99% (GC/titration)', 'LAU', 'ST023796', 'Dodecanoic acid, purum, &gt;=96.0% (GC)', 'Lauric acid, natural, &gt;=98%, FCC, FG', 'CS-0015078', 'FT-0625572', 'FT-0695772', 'L0011', 'A16350', 'C02679', 'D10714', 'Q422627', 'SR-01000838338', 'J-007739', 'SR-01000838338-3', 'F0001-0507', 'Z966690584', '76C2A2EB-E8BA-40A6-8032-40A98625ED7B', 'Lauric acid, European Pharmacopoeia (EP) Reference Standard', 'UNII-13FB83DEYU component POULHZVOKOAJMA-UHFFFAOYSA-N', 'UNII-79P21R4317 component POULHZVOKOAJMA-UHFFFAOYSA-N', 'Lauric acid, United States Pharmacopeia (USP) Reference Standard', 'Lauric Acid, Pharmaceutical Secondary Standard; Certified Reference Material', '203714-07-2', '7632-48-6', '8000-62-2']</t>
  </si>
  <si>
    <t>Compound(3893)</t>
  </si>
  <si>
    <t>C12H24O2</t>
  </si>
  <si>
    <t>lauryl sulfate</t>
  </si>
  <si>
    <t>dodecyl hydrogen sulfate</t>
  </si>
  <si>
    <t>['Lauryl sulfate', 'Dodecyl hydrogen sulfate', 'DODECYL SULFATE', 'Lauryl sulphate', 'Sulfuric acid, monododecyl ester', 'N-Dodecyl sulfate', 'Lauryl sulfuric acid', '151-41-7', 'Dodecylsulfuric acid', 'Monododecyl hydrogen sulfate', 'hydrogen lauryl sulfate', 'UNII-DIQ16UC154', 'Dodecansulfonic acid, hydroxy-', 'HSDB 936', 'Dodecyl hydrogen sulphate', 'EINECS 205-791-8', 'BRN 1710530', 'DIQ16UC154', 'CHEBI:45599', 'DEA-Lauryl sulfate', 'NSC633414', 'dodecylsulfat', 'SDS (*Sodium salt*)', 'SLS (*Sodium salt*)', '(Dodecyloxy)sulfonic acid', 'SCHEMBL3353', 'Sodium lauryl sulfate (SDS)', '3-01-00-02186 (Beilstein Handbook Reference)', 'C12-Alkyl Sulfate (linear)', 'BIDD:ER0376', 'C12-AS', 'CHEMBL1204779', 'DTXSID0042088', 'CTK4I9706', 'ZINC1532179', 'Lauryl sulfate Broth, for microbiology', 'DB03967', 'Sodium lauryl sulfate (*Sodium salt*)', 'Sodium dodecyl sulfate (*Sodium salt*)', 'LS-148225', 'Q27094826', 'Sulfuric acid,monododecyl ester, potassium salt (1:1)', '111726-87-5']</t>
  </si>
  <si>
    <t>Compound(8778)</t>
  </si>
  <si>
    <t>C12H26O4S</t>
  </si>
  <si>
    <t>dodecyltrimethylammonium chloride</t>
  </si>
  <si>
    <t>dodecyl(trimethyl)azanium;chloride</t>
  </si>
  <si>
    <t>['Dodecyltrimethylammonium chloride', '112-00-5', 'N,N,N-trimethyldodecan-1-aminium chloride', 'Alicop', 'Laurtrimonium chloride', 'DODECYL TRIMETHYL AMMONIUM CHLORIDE', 'Cation BB', 'Aliquat 4', 'Lauryltrimethylammonium chloride', 'Dehyquart LT', 'Cation FB', 'Nissan Cation BB', 'n-Dodecyltrimethylammonium chloride', 'Arquad 12', 'Arquad 12D', 'DTAC', 'Catiogen L', 'Arquad 12/50', 'Trimethyllaurylammonium chloride', 'Nissan Cation FB', 'Trimethyldodecylammonium chloride', 'Quartamin 24P', 'Quartamin 24W', 'Redicote E 5', '1-Dodecanaminium, N,N,N-trimethyl-, chloride', 'Rewoquat B 18', 'Radiaquat 6465', 'Catinal LTC 35A', 'Arquad MC 50', 'Adogen 412', 'Swanol CA 2150', 'Arquad 12-37W', 'Arquad 12-23', 'Arquad 12-33', 'Nissan Cation BB 300', 'Rhodaquat M 242C29', 'UNII-A81MSI0FIC', 'Lauryl trimethyl ammonium chloride', 'Monolauryltrimethylammonium chloride', 'NSC 6931', 'EINECS 203-927-0', 'MFCD00041974', 'A81MSI0FIC', 'N,N,N-Trimethyl-1-dodecanaminium chloride', 'N-Dodecyl-N,N,N-trimethylammonium chloride', 'Ammonium, dodecyltrimethyl-, chloride', 'AK117185', 'DSSTox_CID_6900', 'DSSTox_RID_78242', 'DSSTox_GSID_26900', 'Q-201039', '1-Dodecanaminium, N,N,N-trimethyl-, chloride (1:1)', 'Dodecyltrimethylammonium chloride, 98%', 'CAS-112-00-5', 'dodecyl(trimethyl)azanium chloride', 'dodecyl(trimethyl)ammonium chloride', 'Rewoquat B18', 'Dodecyltrimethylammonium chloride (6CI)', 'IPC-DTMA-Cl', 'C15H34ClN', 'SCHEMBL24854', 'KSC491M4R', 'Dodecyltrimethylammonium choride', 'Dodecyltrimethylammonium-chloride', 'lauryl trimethylammonium chloride', 'CHEMBL1884887', 'DTXSID1026900', 'CTK3J1648', 'dodecyl(trimethyl)azanium;chloride', 'NSC6931', 'KS-00000HX6', 'NSC-6931', 'Ammonium dodecyltrimethyl-, chloride', 'Tox21_202101', 'Tox21_300356', 'ANW-16365', 'n-dodecyl trimethyl ammonium chloride', '(1-Dodecyl)trimethylammonium chloride', 'AKOS015899054', 'DODECYL TRIMETHYL AMM CL 500ML', 'NCGC00164250-01', 'NCGC00254400-01', 'NCGC00259650-01', 'AS-12888', 'CC-32664', 'LS-63437', '1-Dodecanaminium,N,N-trimethyl-, chloride', 'Ammonium dodecyltrimethyl-, chloride (8CI)', 'DB-041027', 'D1016', 'FT-0631634', 'I0453', 'N-dodecyl-N, N, N-trimethylammonium Chloride', 'A802466', 'C-16490', 'Q27273748', 'UNII-KB94658IHQ component DDXLVDQZPFLQMZ-UHFFFAOYSA-M']</t>
  </si>
  <si>
    <t>Compound(8152)</t>
  </si>
  <si>
    <t>C15H34ClN</t>
  </si>
  <si>
    <t>carbon 13</t>
  </si>
  <si>
    <t>carbane</t>
  </si>
  <si>
    <t>['Carbon-13', 'Methane-13C', 'Carbon-13 atom', 'Carbon, isotope of mass 13', '14762-74-4', 'UNII-FDJ0A8596D', 'METHANE (13C)', 'FDJ0A8596D', 'Carbon-13C', 'Carbon C-13', '6532-48-5', 'carbon 13c', 'CHEBI:36928', 'DTXSID20912297', 'Carbon-13C, 99 atom % 13C', 'Methane-13C, 10 atom % 13C', 'Methane-13C, 30 atom % 13C', 'Methane-13C, 99 atom % 13C', 'AKOS015913323', 'Methane-13C, 99.5 atom % 13C', '(13)C', '(13)6C', 'Q1770822']</t>
  </si>
  <si>
    <t>Compound(105026)</t>
  </si>
  <si>
    <t>C13-rich di-C11-14 branched alkyl phthalate</t>
  </si>
  <si>
    <t>bis(11-methyldodecyl) benzene-1,2-dicarboxylate</t>
  </si>
  <si>
    <t>['Diisotridecyl phthalate', 'Ergoplast FTD', 'Vestinol TD', 'Witamol 190', 'EINECS 248-368-3', '27253-26-5', 'Phthalic acid, diisotridecyl ester', '1,2-Benzenedicarboxylic acid, diisotridecyl ester', '1,2-Benzenedicarboxylic acid, di-C11-14-branched alkyl esters, C13-rich', '68515-47-9', 'Diisotridecylphthalat', 'EC 248-368-3', 'SCHEMBL239234', '1,2-Benzenedicarboxylic acid, diisotridecyl ester (9CI)', 'CTK4F9355', 'DTXSID60873994', 'Phthalic acid bis(11-methyldodecyl) ester', 'LS-109351', 'NS00004533', '1,2-Benzenedicarboxylicacid, 1,2-diisotridecyl ester', '36901-61-8', 'Di(isotridecyl) phthalate;1,2-Benzenedicarboxylic acid, di-C11-14-branched alkyl esters, C13-rich;Diisotridecyl phthalate;Phthalic acid, di-C11-14-branched alkyl esters C13']</t>
  </si>
  <si>
    <t>Compound(161559)</t>
  </si>
  <si>
    <t>C34H58O4</t>
  </si>
  <si>
    <t>tridecanoic acid</t>
  </si>
  <si>
    <t>['TRIDECANOIC ACID', '638-53-9', 'n-Tridecanoic acid', 'Tridecylic acid', 'n-Tridecoic acid', 'NSC 25955', 'UNII-19936LIY2V', 'EINECS 211-341-1', 'NSC 69131', 'BRN 0508317', 'AI3-04166', 'CHEBI:45919', '19936LIY2V', '68002-90-4', 'AK126530', 'C13:0', 'n-Tridecanoic acid, 97%', 'Tridecanoic acid anion', 'Tridecanoic acid, &gt;=98%', 'WLN: QV12', 'Fatty acids, C10-16', 'C10-16 fatty acids', 'Carboxylic acids, C10-16', 'Tridecylate', 'tridecoic acid', 'n-Tridecanoate', 'n-Tridecoate', '(C10-C16) Carboxylic acid', '(C10-C16)Alkylcarboxylic acid', 'EINECS 268-105-6', 'Medium-chain fatty acids, C10-16', 'tridecans&amp;#xe4;ure', 'dodecylcarboxylic acid', 'ACMC-209nix', 'Tridecanoic acid, 98%', '50354-80-8', '(S)-2-Aminotridecanoate', 'C12-14 acid', 'DSSTox_CID_1684', 'DSSTox_RID_76282', 'NCIOpen2_003250', 'DSSTox_GSID_21684', 'SCHEMBL22778', '4-02-00-01117 (Beilstein Handbook Reference)', 'CDAA-N-13-A', 'CHEMBL107874', 'SCHEMBL1686771', 'DTXSID4021684', 'CTK1H1792', 'CS-D1510', 'HY-Y1718', 'NSC25955', 'NSC69131', 'ZINC1628119', 'Tox21_200537', '6131AF', 'ANW-34759', 'LMFA01010013', 'MFCD00002741', 'NSC-25955', 'NSC-69131', 's6113', 'SBB069518', 'Tridecanoic acid, analytical standard', 'AKOS009156483', 'DB02448', 'Tridecanoic acid, technical grade, 90%', 'NCGC00248684-01', 'NCGC00258091-01', 'AS-56729', 'CAS-638-53-9', 'CC-35306', 'AX8155143', 'LS-157146', 'FT-0653520', 'NS00015240', 'C17076', 'A834559', 'C-33591', 'Q419857', 'BCE7320D-E579-415F-96F0-658E54E16CF0', 'NSC 69131; Tridecylic acid; n-Tridecanoic acid; n-Tridecoic acid', 'Potassium tridecanoate;N-Tridecanoic Acid;Tridecanoic acid;Fatty acids, C10-16']</t>
  </si>
  <si>
    <t>Compound(12530)</t>
  </si>
  <si>
    <t>C13H26O2</t>
  </si>
  <si>
    <t>carbon 14</t>
  </si>
  <si>
    <t>['Carbon-14', 'Carbon, isotope of mass 14', 'UNII-7V68J5677O', '14762-75-5', '7V68J5677O', 'Carbon C-14', 'carbon-14 atom', 'CHEBI:36927', 'DTXSID20873970', '(14)C', '(14)6C', 'Q840660']</t>
  </si>
  <si>
    <t>Compound(26873)</t>
  </si>
  <si>
    <t>C14-C18 and C16-C18 unsaturated alkylamine ethoxylate</t>
  </si>
  <si>
    <t>(E)-16-ethoxyhexadec-9-en-1-amine</t>
  </si>
  <si>
    <t>['Amines, C14-18 and C16-18-unsatd. alkyl, ethoxylated', '68155-39-5', 'ethoxylated amine', '(C14-C18) and (C16-C18)Unsaturated alkyl amine ethoxylate', '(C14-C18) and (C16-C18)Unsaturated alkylamine, ethoxylate', '(C14-C18) and (C16-C18) Unsaturated alkylamine, ethoxylate', 'NS00006852', 'Amines, C14-18; C16-18-unsaturated, alkyl, ethoxylated', 'C14-C18 and C16-C18 unsaturated alkylamine, ethoxylate']</t>
  </si>
  <si>
    <t>Compound(6437490)</t>
  </si>
  <si>
    <t>C18H37NO</t>
  </si>
  <si>
    <t>tetradecanoic acid</t>
  </si>
  <si>
    <t>['Tetradecanoic acid', 'MYRISTIC ACID', '544-63-8', 'n-Tetradecanoic acid', 'Crodacid', 'n-Tetradecoic acid', 'n-Tetradecan-1-oic acid', '1-Tridecanecarboxylic acid', 'Hydrofol acid 1495', 'Univol U 316S', 'Emery 655', 'Myristinsaeure', 'Myristate', 'tetradecoic acid', 'Hystrene 9014', 'Neo-fat 14', 'Myristic acid (natural)', 'C14 fatty acid', 'Myristic acid, pure', 'n-Myristic acid', 'Tetradecanoate', 'acide tetradecanoique', 'NSC 5028', 'FEMA No. 2764', 'CCRIS 4724', 'CH3-[CH2]12-COOH', 'HSDB 5686', 'UNII-0I3V7S25AW', 'Philacid 1400', 'CHEBI:28875', 'AI3-15381', 'Prifac 2942', 'C14:0', 'EINECS 208-875-2', '1-tetradecanecarboxylic acid', 'BRN 0508624', '0I3V7S25AW', 'CHEMBL111077', 'NSC5028', 'MFCD00002744', 'Lead dimyristate', 'Myristic acid, 99%', 'DSSTox_CID_1666', 'n-tetradecan-1-oate', 'DSSTox_RID_76274', 'DSSTox_GSID_21666', 'CAS-544-63-8', 'Myristic acid [NF]', 'myristoate', 'myristoic acid', 'n-Tetradecanoate', '3usx', 'Myristic acid pure', 'Tetradecanoic Acid.', 'Myristic Acid Flake', 'Hystrene 9514', 'Kortacid 1499', 'Edenor C 14', 'Myristic Acid 655', '1-Tridecanecarboxylate', 'Prifrac 2942', 'Myristic acid, 95%', 'Myristic acid, natural', 'tridecanecarboxylic acid', 'Myristic acid (8CI)', '3v2n', '3w9k', 'Myristic acid, puriss.', 'ACMC-1AKMJ', '32112-52-0', 'Tetradecanoic acid (9CI)', 'bmse000737', 'Epitope ID:176772', 'SCHEMBL6374', '4-02-00-01126 (Beilstein Handbook Reference)', 'KSC271K5J', 'MLS002152942', 'WLN: QV13', 'Tetradecanoic (Myristic) acid', 'GTPL2806', 'DTXSID6021666', 'CTK1H1554', 's161', 'HMS3039E15', 'HMS3648O20', 'Myristic acid, analytical standard', 'HY-N2041', 'KS-00000JH9', 'NSC-5028', 'ZINC1530417', 'EINECS 250-924-5', 'Myristic acid, &gt;=98.0% (GC)', 'Tox21_201852', 'Tox21_302781', 'ANW-32091', 'BDBM50147581', 'LMFA01010014', 'LS-210', 's5617', 'SBB060024', 'STL185697', 'Myristic acid, &gt;=95%, FCC, FG', 'Myristic acid, Sigma Grade, &gt;=99%', 'AKOS009156714', 'CCG-266785', 'DB08231', 'DS-3833', 'MCULE-9671122893', 'NE10225', 'NCGC00091068-01', 'NCGC00091068-02', 'NCGC00091068-03', 'NCGC00256547-01', 'NCGC00259401-01', 'AK114664', 'SMR001224536', 'ST023797', 'CS-0018531', 'FT-0602832', 'FT-0770860', 'M0476', 'NS00010444', 'EN300-78099', 'C06424', 'Myristic acid, Vetec(TM) reagent grade, 98%', 'Q422658', 'SR-01000854525', 'SR-01000854525-3', 'W-109088', 'F8889-5016', 'EDAE4876-C383-4AD4-A419-10C0550931DB', 'UNII-13FB83DEYU component TUNFSRHWOTWDNC-UHFFFAOYSA-N', 'UNII-5U9XZ261ER component TUNFSRHWOTWDNC-UHFFFAOYSA-N', 'UNII-96GS7P39SN component TUNFSRHWOTWDNC-UHFFFAOYSA-N', 'UNII-Q8Y7S3B85M component TUNFSRHWOTWDNC-UHFFFAOYSA-N', 'UNII-79P21R4317 component TUNFSRHWOTWDNC-UHFFFAOYSA-N', 'Myristic acid, United States Pharmacopeia (USP) Reference Standard', 'Tetradecanoic acid; 1-Tridecanecarboxylic acid; n-Tetradecanoic acid', 'Myristic acid, Pharmaceutical Secondary Standard; Certified Reference Material']</t>
  </si>
  <si>
    <t>Compound(11005)</t>
  </si>
  <si>
    <t>C14H28O2</t>
  </si>
  <si>
    <t>tetradecyltrimethylammonium chloride</t>
  </si>
  <si>
    <t>trimethyl(tetradecyl)azanium;chloride</t>
  </si>
  <si>
    <t>['4574-04-3', 'N,N,N-Trimethyltetradecan-1-aminium chloride', 'Tetradecyltrimethylammonium chloride', 'Myristyltrimethylammonium chloride', 'Trimethyltetradecylammonium chloride', '1-Tetradecanaminium, N,N,N-trimethyl-, chloride', 'Tetradecyl trimethyl ammonium chloride', 'tetradonium chloride', 'Trimethyl(tetradecyl)ammonium chloride', 'N-TETRADECYLTRIMETHYLAMMONIUM CHLORIDE', 'RMV7NJU3FX', 'UNII-RMV7NJU3FX', 'CHEMBL109747', 'EINECS 224-958-6', 'trimethyl(tetradecyl)azanium chloride', 'MFCD00059968', 'NSC 61371', 'AK114157', 'W-106115', '1-Tetradecanaminium, N,N,N-trimethyl-, chloride (1:1)', 'Myristyltrimethylammonium chlorideN,N,N-Trimethyltetradecan-1-aminium chloride', '112-01-6', 'MTAC', 'TTAC', 'ACMC-2097fz', 'C17H38ClN', 'DSSTox_CID_21289', 'DSSTox_RID_79679', 'DSSTox_GSID_41289', 'SCHEMBL69258', 'KSC491M4P', 'DTXSID9041289', 'CTK3J1647', 'Trimethylmyristylammonium Chloride', 'KS-00000FA7', 'myristyl trimethyl ammonium chloride', 'NSC61371', 'Tox21_300908', 'ANW-13917', 'NSC-61371', 'Trimethyl-tetradecyl-ammonium chloride', 'AKOS015914964', 'DS-6421', 'VZ36676', 'Ammonium, trimethyltetradecyl-, chloride', 'NCGC00254812-01', 'CAS-4574-04-3', 'DB-050374', 'LS-148887', 'FT-0655033', '1-Tetradecanaminium,N,N-trimethyl-, chloride', '(1-Tetradecyl)trimethylammonium chloride, 98%', 'Ammonium, trimethyltetradecyl-, chloride (8CI)', 'A800465', 'A826886', 'C-44660', 'N,N,N-TRIMETHYL-1-TETRADECANAMINIUM CHLORIDE', 'Q27288199', 'Trimethyl-tetradecylammonium chloride, &gt;=98.0% (AT)', 'UNII-3R774TQ12Y component CEYYIKYYFSTQRU-UHFFFAOYSA-M', 'UNII-KB94658IHQ component CEYYIKYYFSTQRU-UHFFFAOYSA-M', 'Trimethyl-tetradecylammonium chloride, Vetec(TM) reagent grade, 97%']</t>
  </si>
  <si>
    <t>Compound(20708)</t>
  </si>
  <si>
    <t>C17H38ClN</t>
  </si>
  <si>
    <t>['PENTADECANAL', '2765-11-9', '1-pentadecanal', 'n-pentadecanal', 'Pentadecanal-', 'UNII-PXR39QX5Q7', 'PXR39QX5Q7', 'Pentadecanaldehyde', 'Pentadecyl Aldehyde', 'pentadecan-15-one', 'ACMC-2097by', 'SCHEMBL120108', 'QSPL 086', 'DTXSID5062633', 'CHEBI:17302', 'CTK1A4382', 'STR09264', 'ZINC8217469', 'EINECS 220-435-1', 'ANW-13772', 'LMFA06000083', 'AKOS013844767', 'CS-W004304', 'AM20120587', 'FT-0652310', 'NS00049092', 'P1869', 'C01948', '765P119', 'A819146', 'Q27102309']</t>
  </si>
  <si>
    <t>Compound(17697)</t>
  </si>
  <si>
    <t>C15H30O</t>
  </si>
  <si>
    <t>pentadecanoic acid</t>
  </si>
  <si>
    <t>['PENTADECANOIC ACID', '1002-84-2', 'Pentadecylic acid', 'n-Pentadecanoic acid', 'Pentadecyclic acid', 'n-Pentadecylic acid', 'NSC 28486', 'C15:0', 'UNII-CCW02D961F', 'EINECS 213-693-1', 'MFCD00002745', 'BRN 1773831', 'AI3-36441', 'CCW02D961F', 'CHEMBL460025', 'CHEBI:42504', 'n-Pentadecanoic acid, 99%', 'F15', 'Pentadecyclate', 'n-Pentadecylate', 'n-Pentadecanoate', 'n-Pentadecanoicacid', 'pentadecans&amp;#xe4;ure', 'tetradecylcarboxylic acid', 'tetradecyl carboxylic acid', 'Pentadecanoic acid, 99%', 'DSSTox_CID_1652', 'bmse000558', 'SCHEMBL6311', 'ACMC-1C8J9', 'DSSTox_RID_76264', 'DSSTox_GSID_21652', 'Pentadecanoic acid, &gt;=99%', '4-02-00-01147 (Beilstein Handbook Reference)', 'Pentadecanoic Acid (15:0)', 'WLN: QV14', 'DTXSID2021652', 'CTK0I0293', 'NSC28486', 'Tox21_201197', '6303AF', 'ANW-14209', 'BDBM50242348', 'LMFA01010015', 'NSC-28486', 's6234', 'STL453783', 'ZINC30731069', 'AKOS015903762', 'CS-W004283', 'HY-W004283', 'MCULE-3630464562', 'Pentadecanoic acid, analytical standard', 'NCGC00248954-01', 'NCGC00258749-01', 'AK126523', 'AS-57005', 'CC-33534', 'SY009985', 'CAS-1002-84-2', 'Pentadecanoic acid, ~99% (capillary GC)', 'AX8146974', 'BC4157437', 'LS-101401', 'FT-0738251', 'NS00015703', 'P0035', 'ST51037413', 'C16537', '9B1C70C0-EF6E-4FCF-A3D3-DACCDCCF791C', 'C-33594', 'Q418951', 'J-000083', 'pentadecanoic acid;Potassium pentadecanoate;Sodium pentadecanoate;Lithium pentadecanoate;ammonium pentadecanoate;Ammonium pentadecanoate']</t>
  </si>
  <si>
    <t>Compound(13849)</t>
  </si>
  <si>
    <t>C15H30O2</t>
  </si>
  <si>
    <t>hexadecanoic acid</t>
  </si>
  <si>
    <t>['palmitic acid', 'Hexadecanoic acid', '57-10-3', 'Cetylic acid', 'palmitate', 'n-Hexadecanoic acid', 'Hexadecylic acid', 'Hydrofol', 'n-Hexadecoic acid', '1-Pentadecanecarboxylic acid', 'Palmitinic acid', 'Pentadecanecarboxylic acid', 'C16 fatty acid', 'hexaectylic acid', '1-Hexyldecanoic Acid', 'Industrene 4516', 'Emersol 140', 'Emersol 143', 'Hystrene 8016', 'Hystrene 9016', 'hexadecoic acid', 'Palmitinsaeure', 'Palmitic acid, pure', 'Palmitic acid 95%', 'Palmitic acid (natural)', 'Fatty acids, C14-18', 'Prifac 2960', 'FEMA No. 2832', 'Pristerene 4934', 'Edenor C16', 'Kortacid 1698', 'Lunac P 95KC', 'Loxiol EP 278', 'Lunac P 95', 'Lunac P 98', 'Hydrofol Acid 1690', 'HSDB 5001', 'AI3-01594', 'C16H32O2', 'NSC 5030', 'C16:0', 'UNII-2V16EO95H1', 'CCRIS 5443', 'Palmitic acid (NF)', 'Glycon P-45', 'CHEBI:15756', 'NSC5030', 'EINECS 200-312-9', 'Hexadecanoic acid (9CI)', 'MFCD00002747', 'BRN 0607489', 'Palmitic acid (7CI,8CI)', 'CHEMBL82293', '67701-02-4', 'CH3-[CH2]14-COOH', '2V16EO95H1', 'n-hexadecoate', 'LMFA01010001', 'PA 900', 'FA 1695', '1-hexyldecanoate', 'Palmitic acid, 98%', 'NCGC00164358-01', 'DSSTox_CID_1602', 'pentadecanecarboxylate', 'DSSTox_RID_76229', 'DSSTox_GSID_21602', 'PLM', 'palmitic-acid', 'palmic acid', 'Hexadecanoate (n-C16:0)', 'CAS-57-10-3', 'SR-01000944716', 'Palmitic acid [USAN:NF]', 'palmitoate', 'Hexadecoate', 'Palmitinate', 'palmitoic acid', 'Hexadecanoic acid Palmitic acid', '(C14-C18)Alkylcarboxylic acid', '2hmb', '2hnx', '(C14-C18) Alkylcarboxylic acid', 'Fatty acid pathway', 'Hexadecanoic Acid.', 'Palmitic acid_jeyam', 'EINECS 266-926-4', 'Kortacid 1695', 'Palmitic acid_RaGuSa', 'Univol U332', 'Prifrac 2960', 'Palmitic acid (NMR)', 'Hexadecanoic acid anion', '3v2q', 'ACMC-1ASQF', 'SDA 17-005-00', 'Palmitic acid, &gt;=99%', 'bmse000590', 'Epitope ID:141181', 'EC 200-312-9', 'SCHEMBL6177', '4-02-00-01157 (Beilstein Handbook Reference)', 'FAT', 'KSC270O2R', 'WLN: QV15', 'P5585_SIGMA', 'GTPL1055', 'QSPL 166', 'DTXSID2021602', 'CTK1H0728', '1b56', 'HMS3649N08', 'Palmitic acid, analytical standard', 'Palmitic acid, BioXtra, &gt;=99%', 'Palmitic acid, Grade II, ~95%', 'BB_SC-09400', 'HY-N0830', 'NSC-5030', 'Palmitic acid, natural, 98%, FG', 'ZINC6072466', 'Tox21_112105', 'Tox21_201671', 'Tox21_302966', 'ANW-13574', 'BBL011563', 'BDBM50152850', 's3794', 'SBB017229', 'STL146733', 'Palmitic acid, &gt;=95%, FCC, FG', 'AKOS005720983', 'Light end (C14-C18) saturated fatty acid fraction from tallow fatty acids', 'Tox21_112105_1', 'CCG-267027', 'CR-0047', 'DB03796', 'FA 16:0', 'LS-2331', 'MCULE-1361949901', 'Palmitic acid, for synthesis, 98.0%', 'SEL10404124', 'NCGC00164358-02', 'NCGC00164358-03', 'NCGC00256424-01', 'NCGC00259220-01', 'AK-48351', 'I728', 'Palmitic acid, purum, &gt;=98.0% (GC)', 'SC-81752', 'ST023798', 'SY006518', 'CS-0009861', 'FT-0626965', 'FT-0772579', 'N2456', 'NS00008548', 'P0002', 'P1145', 'Palmitic acid, SAJ first grade, &gt;=95.0%', 'A14813', 'C00249', 'D05341', 'Palmitic acid, Vetec(TM) reagent grade, 98%', 'Palmitic acid, &gt;=98% palmitic acid basis (GC)', 'Q209727', 'SR-01000944716-1', 'SR-01000944716-2', 'BA71C79B-C9B1-451A-A5BE-B480B5CC7D0C', 'F0001-1488', 'Z955123552', 'Palmitic acid, certified reference material, TraceCERT(R)', 'UNII-13FB83DEYU component IPCSVZSSVZVIGE-UHFFFAOYSA-N', 'UNII-44NH37HHP9 component IPCSVZSSVZVIGE-UHFFFAOYSA-N', 'UNII-5U9XZ261ER component IPCSVZSSVZVIGE-UHFFFAOYSA-N', 'UNII-7N137Q0QYJ component IPCSVZSSVZVIGE-UHFFFAOYSA-N', 'UNII-96GS7P39SN component IPCSVZSSVZVIGE-UHFFFAOYSA-N', 'UNII-B6G0Y5Z616 component IPCSVZSSVZVIGE-UHFFFAOYSA-N', 'UNII-D1CZ545P7Z component IPCSVZSSVZVIGE-UHFFFAOYSA-N', 'UNII-HBA528N3PW component IPCSVZSSVZVIGE-UHFFFAOYSA-N', 'UNII-MO7HV04S9Y component IPCSVZSSVZVIGE-UHFFFAOYSA-N', 'UNII-ODL221H4AM component IPCSVZSSVZVIGE-UHFFFAOYSA-N', 'UNII-Q8Y7S3B85M component IPCSVZSSVZVIGE-UHFFFAOYSA-N', 'UNII-V1PY73ZXPE component IPCSVZSSVZVIGE-UHFFFAOYSA-N', 'Palmitic acid, European Pharmacopoeia (EP) Reference Standard', 'UNII-79P21R4317 component IPCSVZSSVZVIGE-UHFFFAOYSA-N', 'Palmitic acid, United States Pharmacopeia (USP) Reference Standard', 'Palmitic acid, Pharmaceutical Secondary Standard; Certified Reference Material', 'Sodium Palmitate, Palmitic acid sodium salt, Sodium hexadecanoate, Sodium pentadecanecarboxylate, HSDB 759']</t>
  </si>
  <si>
    <t>Compound(985)</t>
  </si>
  <si>
    <t>C16H32O2</t>
  </si>
  <si>
    <t>hexadecyltrimethylammonium chloride</t>
  </si>
  <si>
    <t>hexadecyl(trimethyl)azanium;chloride</t>
  </si>
  <si>
    <t>['112-02-7', 'Hexadecyltrimethylammonium chloride', 'Cetrimonium chloride', 'N,N,N-trimethylhexadecan-1-aminium chloride', 'Cetyltrimethylammonium chloride', 'Dehyquart A', 'N-Hexadecyltrimethylammonium chloride', 'Hexadecyl trimethyl ammonium chloride', 'Cetyl trimethyl ammonium chloride', 'Aliquat 6', 'Trimethylcetylammonium chloride', 'Arquad 16-50', 'CETAC', 'CTAC', 'HTAC', 'Adogen 444', 'TRIMETHYLHEXADECYLAMMONIUM CHLORIDE', 'Surfroyal CTAC', 'Arquad 16-29', 'Genamin CTAC', 'Dehyquart A-CA', 'Morpan CHA', 'Quartamin 60W', 'Palmityltrimethylammonium chloride', 'Ammonyx Cetac 30', 'Arquad 16', 'Intexsan CTC 29', 'Intexsan CTC 50', '1-Hexadecanaminium, N,N,N-trimethyl-, chloride', 'Barquat CT 29', 'Intexan CTC 29', 'Variquat E 228', 'Carsoquat CT 429', 'Cation PB 40', 'HDTMA-Cl', 'Catinal CTC 70ET', 'Dodigen 1383', 'Lebon TM 16', 'Lebon TM 60', 'Caswell No. 167A', 'Pionin B 611', 'Nissan Cation PB 40', 'Arquad 16-25LO', 'Swanol CA 2350', 'Arquad 16-25W', 'Arquad 16-29W', 'Arquad 16-26', 'Arquad 16/28', 'Quatramine C 16/29', 'UNII-UC9PE95IBP', 'N,N,N-Trimethyl-1-hexadecanaminium chloride', 'hexadecyl(trimethyl)ammonium chloride', 'FSM 28', 'CHEBI:53581', 'HSDB 5553', 'PB 40', 'EINECS 203-928-6', 'MFCD00011773', 'UC9PE95IBP', 'EPA Pesticide Chemical Code 069133', 'cetyltrimethyl ammonium chloride', '68002-63-1', 'cetyl(trimethyl)ammonium chloride', 'Quaternary ammonium compounds, C14-18-alkyltrimethyl, chlorides', 'Trimethyl-1-hexadecanaminium chloride', '1-Hexadecanaminium, N,N,N-trimethyl-, chloride (1:1)', 'Ammonium, hexadecyltrimethyl-, chloride', 'AK158937', 'W-108660', 'Hexadecyltrimethylammonium chloride, 99%', 'C19H42N.Cl', 'C14-18-Alkyltrimethyl ammonium chlorides', 'Surfaktivo (TN)', 'hexadecyltrimethyl ammonium chloride', 'hexadecyl(trimethyl)azanium chloride', 'EINECS 268-077-5', 'Hexadecyltrimethylammonium chloride (6CI)', '(C14-C18)Alkyltrimethylammonium chloride', 'DSSTox_CID_6901', 'Epitope ID:116882', 'EC 203-928-6', 'C19H42ClN', 'Cetrimonium chloride (BAN)', 'DSSTox_RID_78243', 'DSSTox_GSID_26901', 'SCHEMBL24536', 'KSC491M5B', 'ACMC-2099c7', 'cetyl trimethylammonium chloride', 'cetyltrimethyl-ammonium chloride', 'CHEMBL1895807', 'DTXSID6026901', 'CTK3J1650', 'hexadecyl(trimethyl)azanium;chloride', 'Tox21_202555', 'ANW-16373', 'GE9991', 'AKOS015899168', 'AKOS015960532', '(1-Hexadecyl)trimethylammonium chloride', 'FS-4302', 'KS-0000015C', 'NCGC00164283-02', 'NCGC00260104-01', 'CAS-112-02-7', 'LS-74824', 'DB-025307', 'FT-0631635', '(1-Hexadecyl)trimethylammonium chloride, 96%', 'D07672', 'A802470', 'C-19631', 'Q1061007', 'UNII-34L9KA56IO component WOWHHFRSBJGXCM-UHFFFAOYSA-M', 'UNII-3R774TQ12Y component WOWHHFRSBJGXCM-UHFFFAOYSA-M', 'UNII-KB94658IHQ component WOWHHFRSBJGXCM-UHFFFAOYSA-M']</t>
  </si>
  <si>
    <t>Compound(8154)</t>
  </si>
  <si>
    <t>C19H42ClN</t>
  </si>
  <si>
    <t>heptadecanoic acid</t>
  </si>
  <si>
    <t>['HEPTADECANOIC ACID', 'Margaric acid', '506-12-7', 'n-Heptadecanoic acid', 'Margarinic acid', 'n-Heptadecylic acid', 'n-Heptadecoic acid', 'Heptadecylic acid', 'Fatty acids, C16-18', 'NSC 3743', 'UNII-V987Y9OZ8L', 'C17:0', 'Normal-heptadecanoic acid', 'EINECS 208-027-1', 'MFCD00002751', 'Heptadecanoic acid, 98%', 'BRN 1781004', 'AI3-36481', 'V987Y9OZ8L', 'CHEBI:32365', 'margarinate', 'margaroate', 'n-heptadecoate', 'n-heptadecylate', 'Fatty acids, C14-22', 'HEPTADECANOICACID', '63399-94-0', 'Margarinsaeure', 'margaroic acid', 'C14-C22 Fatty acid residue', 'heptadecoic acid', 'Heptadecanoic acic', 'X90', 'EINECS 270-298-7', 'Normal-heptadecanoate', 'heptadecans&amp;#xe4;ure', 'Lead(2+) heptadecanoate', 'DSSTox_CID_1596', 'EC 270-298-7', 'SCHEMBL5941', 'ACMC-1AV19', 'DSSTox_RID_78651', 'DSSTox_GSID_28306', 'Heptadecanoic acid, &gt;=98%', '4-02-00-01193 (Beilstein Handbook Reference)', '68424-37-3', 'Heptadecanoic Acid (17:0)', 'WLN: QV16', 'CH3-[CH2]15-COOH', 'CHEMBL1172910', 'DTXSID5021596', '(C16-C18)Alkylcarboxylic acid', 'CTK1G9600', 'NSC3743', '(C16-C18) Alkylcarboxylic acid', 'KS-000016CC', 'NSC-3743', 'EINECS 264-123-3', 'EINECS 266-928-5', 'Tox21_202550', '6978AB', 'ANW-31064', 'BBL013181', 'LMFA01010017', 'SBB060275', 'STL163960', 'ZINC24805047', 'AKOS005716689', 'CS-W004284', 'HY-W004284', 'MCULE-9357391090', 'NE10226', 'NCGC00260099-01', 'AS-57021', 'BP-30092', 'LS-74182', 'SY010570', 'SDA 19-005-00', 'CAS-67701-03-5', 'FA (17:0)', 'FT-0628169', 'ST51046494', 'EC 266-928-5', 'Q902204', '8EBAABCC-09B2-43FB-945D-A70E5905BFBE', 'Z1259273384']</t>
  </si>
  <si>
    <t>Compound(10465)</t>
  </si>
  <si>
    <t>C17H34O2</t>
  </si>
  <si>
    <t>['OCTADECANAL', 'Stearaldehyde', '638-66-4', 'Stearyl aldehyde', 'Octadecyl aldehyde', 'n-Octadecanal', '1-octadecanal', 'Octadecanaldehyde', 'EINECS 211-346-9', 'UNII-PH4GZ7JT4C', 'NSC 68100', 'PH4GZ7JT4C', '1--Octadecanal', 'Octadecanal (9CI)', 'tearaldehyde;Stearaldehyde', 'ACMC-209nj0', 'SCHEMBL3471', 'CHEBI:17034', 'CTK2F3196', 'DTXSID60213250', 'KS-000012WZ', 'NSC68100', 'ZINC8217412', 'ANW-34762', 'LMFA06000098', 'NSC-68100', 'AKOS025212736', 'CS-W004307', 'HY-W004307', 'AS-56476', 'LS-97658', 'NS00022609', 'O0368', 'C01838', 'Q7076690']</t>
  </si>
  <si>
    <t>Compound(12533)</t>
  </si>
  <si>
    <t>octadecanoic acid</t>
  </si>
  <si>
    <t>['stearic acid', 'Octadecanoic acid', '57-11-4', 'Stearophanic acid', 'n-Octadecanoic acid', 'Cetylacetic acid', 'Pearl stearic', 'Stearex Beads', 'Octadecansaeure', 'Stearinsaeure', 'Vanicol', '1-Heptadecanecarboxylic acid', 'Century 1240', 'Industrene R', 'Glycon DP', 'Glycon TP', 'Humko Industrene R', 'Dar-chem 14', 'Formula 300', 'Hydrofol 1895', 'Hystrene 9718', 'Hydrofol Acid 150', 'Glycon S-80', 'Glycon S-90', 'Hydrofol acid 1655', 'Hydrofol acid 1855', 'Tegostearic 254', 'Tegostearic 255', 'Tegostearic 272', 'Hystrene 80', 'octadecoic acid', 'Industrene 5016', 'Hystrene S-97', 'Hystrene T-70', 'Emersol 120', 'Emersol 132', 'Hystrene 4516', 'Hystrene 5016', 'Hystrene 7018', 'Groco 54', 'Groco 55', 'Groco 55L', 'Groco 58', 'Groco 59', 'Glycon S-70', 'Industrene 8718', 'Industrene 9018', 'Kam 1000', 'Emersol 150', 'Steric acid', 'Neo-Fat 18-53', 'Neo-Fat 18-54', 'Neo-Fat 18-59', 'Neo-Fat 18', 'Acidum stearinicul', 'Caswell No. 801D', 'HY-Phi 1199', 'HY-Phi 1205', 'HY-Phi 1303', 'HY-Phi 1401', 'Neo-Fat 18-S', 'Kam 2000', 'Kam 3000', 'Oktadekansaeure', 'Neo-Fat 18-55', 'Neo-Fat 18-61', 'acide stearique', 'C18:0', 'FEMA No. 3035', 'PD 185', 'acide octadecanoique', 'Stearic acid, pure', 'NAA 173', 'Hydrofol Acid 150 (VAN)', 'CCRIS 2305', 'Prifac 2918', 'HSDB 2000', 'Vis-Plus', 'Barolub FTA', 'UNII-4ELV7Z65AP', 'NSC 25956', 'Haimaric MKH(R)', 'Isostearic acid EX', 'EPA Pesticide Chemical Code 079082', 'Stearic Acid Cherry', 'Edenor C18', 'Emersol 871', 'Emersol 875', 'Prisorine 3501', 'Prisorine 3502', 'Prisorine 3508', 'Stearic acid (TN)', 'CH3-[CH2]16-COOH', 'Loxiol G 20', 'Century 1210', 'Century 1220', 'Century 1230', 'Emersol 6349', 'AI3-00909', 'Emery 875D', 'Lunac S 20', 'Lunac S 40', 'WO 2 (fatty acid)', 'Emery 871', 'Hydrofol Acid 1895', 'Unimac 5680', 'EINECS 200-313-4', 'MFCD00002752', 'BRN 0608585', '4ELV7Z65AP', 'Adeka Fatty Acid SA 910', 'CHEMBL46403', 'CHEBI:28842', 'NSC25956', 'EINECS 250-178-0', 'Stearic acid, 97%', 'NCGC00091596-02', '875D', 'DSSTox_CID_1642', 'DSSTox_RID_76256', 'DSSTox_GSID_21642', 'Lunac', 'Stearic Acid (Powder/Beads/Flakes)', 'Fatty acids, C16-20', 'CAS-57-11-4', 'STE', 'Emersol 153NF', 'C-Lube 10', 'Stearic acid [JAN:NF]', 'Stearic acid [USAN:JAN]', 'Stearophanate', 'Promulsin', 'Stearex', 'Tsubaki', 'n-Octadecanoate', 'Agar powder', '1hmr', '1hmt', '4fnn', 'Kiri stearic acid', 'Edenor FHTI', 'Lunac YA', 'n-Octadecylic acid', 'Stearic acid, CP', 'EINECS 273-087-8', 'F 3 (lubricant)', 'Industrene 4518', 'Nonsoul SK 1', 'Pristerene 4900', 'Pristerene 4904', 'Pristerene 4963', 'Pristerene 9429', 'Pristerene 9559', 'Hystrene S 97', 'Hystrene T 70', 'Edenor ST 1', 'Sunfat 18S', 'Emersol 153', 'Selosol 920', 'Industrene 5016K', 'Stearic Acid 110', 'Stearic Acid 120', 'Stearic Acid 420', 'Hystrene 9718NF', 'Kortacid 1895', 'Radiacid 0427', 'Edenor ST 20', 'Lunac 30', 'Serfax MT 90', 'Stearic acid_ravikumar', 'Unister NAA 180', 'Century 1224', 'Edenor HT-JG 60', 'Lunac S 90KC', 'Stearic acid (8CI)', 'Stearic acid, puriss.', 'Hystrene 7018 FG', 'Hystrene 9718NFFG', 'Lunac S 30', 'Lunac S 50', 'Lunac S 90', 'Lunac S 98', '3v2p', '1-Heptadecanecarboxylate', 'Industrene 7018 FG', 'Stearic Acid NF Powder', 'AFCO-Chem B 65', 'Stearic Acid - 65%', 'Stearic Acid - 70%', 'Stearic Acid 153 NF', 'Heptadecanecarboxylic acid', 'Stearic Acid &amp; Glycerin', 'Edenor C 18/98', 'S 300 (fatty acid)', 'Octadecanoic acid (9CI)', 'Stearic acid, &gt;=98%', 'ACMC-1AR8K', 'SCHEMBL659', 'Hystrene 9718 NF FG', 'SA 400 (fatty acid)', 'bmse000485', 'Stearic Acid, High Purity', 'EC 200-313-4', 'Emery 400 (Salt/Mix)', 'Stearic acid (JP15/NF)', 'Stearic acid (JP17/NF)', 'Stearic Acid Triple-Pressed', 'Triple Pressed Stearic Acid', 'Emersol 110 (Salt/Mix)', 'Stearic Acid - High Purity', '4-02-00-01206 (Beilstein Handbook Reference)', '68937-76-8', 'KSC269I2T', 'WLN: QV17', 'Agar Agar Type K-100 NF', 'Stearic Acid - Triple Pressed', '17FA', 'GTPL3377', 'WO 2', 'Stearic Acid (Fragrance Grade)', 'Stearic Acid High Purity 90%', 'DTXSID8021642', 'CTK1G9429', 'KS-00000YHA', 'Nonsoul SN 1 (*Sodium salt*)', 'S 30C S 30C (fatty acid)', 'SNA-2000 (*Sodium salt*)', 'Stearic acid, analytical standard', 'VLZ 200', 'Stearic Acid High Purity 90% V', 'Stearic Acid Flake 132 NF Flake', 'Stearic acid, reagent grade, 95%', 'HY-B2219', 'Stearic Acid 400 (Rubber Grade)', 'ZINC4978673', 'Tox21_111154', 'Tox21_201887', 'Tox21_300562', 'ANW-13575', 'BBL012224', 'BDBM50240485', 'LMFA01010018', 'NSC-25956', 's5733', 'SA 200', 'SBB060276', 'Stearic acid, &gt;=95%, FCC, FG', 'STL163565', 'AKOS005716958', 'Tox21_111154_1', 'CCG-267314', 'DB03193', 'FA 1655', 'LS-1388', 'MCULE-5127577640', 'NE10227', 'NSC 261168', 'T16-55F', 'NCGC00091596-01', 'NCGC00091596-03', 'NCGC00091596-04', 'NCGC00091596-05', 'NCGC00254456-01', 'NCGC00259436-01', 'E570', 'I727', 'LS-85169', 'SC-81164', 'ST023799', 'VS-03242', 'Stearic acid, puriss., &gt;=98.5% (GC)', 'Stearic acid, SAJ first grade, &gt;=90.0%', 'BB 0268543', 'CS-0021598', 'FT-0674650', 'FT-0689088', 'G 270', 'NS00010335', 'S 300', 'S0163', 'Stearic acid, SAJ special grade, &gt;=95.0%', 'Stearic acid, Vetec(TM) reagent grade, 94%', '400JB9103-88', 'A 1760', 'C01530', 'D00119', 'EC 250-178-0', 'Stearic acid 50, tested according to Ph.Eur.', 'Vegetable Stearic Acid 7036 FG, Kosher, NF', 'Q209685', 'SR-01000944717', 'Melting Point Standard 69-71C, analytical standard', 'SR-01000944717-1', 'Stearic acid, Grade I, &gt;=98.5% (capillary GC)', 'Stearic acid, SAJ first grade, &gt;=90.0%, powder', 'F0001-1489', 'Stearic acid, certified reference material, TraceCERT(R)', 'Z955123678', 'UNII-13FB83DEYU component QIQXTHQIDYTFRH-UHFFFAOYSA-N', 'UNII-44NH37HHP9 component QIQXTHQIDYTFRH-UHFFFAOYSA-N', 'UNII-5U9XZ261ER component QIQXTHQIDYTFRH-UHFFFAOYSA-N', 'UNII-7N137Q0QYJ component QIQXTHQIDYTFRH-UHFFFAOYSA-N', 'UNII-96GS7P39SN component QIQXTHQIDYTFRH-UHFFFAOYSA-N', 'UNII-B6G0Y5Z616 component QIQXTHQIDYTFRH-UHFFFAOYSA-N', 'UNII-D1CZ545P7Z component QIQXTHQIDYTFRH-UHFFFAOYSA-N', 'UNII-HBA528N3PW component QIQXTHQIDYTFRH-UHFFFAOYSA-N', 'UNII-MO7HV04S9Y component QIQXTHQIDYTFRH-UHFFFAOYSA-N', 'UNII-ODL221H4AM component QIQXTHQIDYTFRH-UHFFFAOYSA-N', 'UNII-Q8Y7S3B85M component QIQXTHQIDYTFRH-UHFFFAOYSA-N', 'UNII-X33R8U0062 component QIQXTHQIDYTFRH-UHFFFAOYSA-N', 'CD7993EA-AD14-452A-A907-33376CC98790', 'Stearic acid, European Pharmacopoeia (EP) Reference Standard', 'UNII-79P21R4317 component QIQXTHQIDYTFRH-UHFFFAOYSA-N', 'Stearic acid, United States Pharmacopeia (USP) Reference Standard', 'Stearic Acid, Pharmaceutical Secondary Standard; Certified Reference Material']</t>
  </si>
  <si>
    <t>Compound(5281)</t>
  </si>
  <si>
    <t>C18H36O2</t>
  </si>
  <si>
    <t>formaldehyde</t>
  </si>
  <si>
    <t>['formaldehyde', 'formalin', 'methanal', 'formol', '50-00-0', 'Methylene oxide', 'Oxomethane', 'Paraformaldehyde', 'Paraform', 'Formic aldehyde', 'Oxymethylene', 'Methyl aldehyde', 'Fannoform', 'Formalith', 'Formaldehyde solution', 'Methaldehyde', 'Oxomethylene', 'Superlysoform', 'Formalina', 'Lysoform', 'Morbicid', 'Karsan', 'Formaldehyd', 'Formaline', 'Polyoxymethylene', 'Aldehyde formique', 'FYDE', 'Formaldehyde, gas', 'Formalin 40', 'Aldeide formica', '30525-89-4', 'Oplossingen', 'Dormol', 'Polyformaldehyde', 'Formalin-loesungen', 'Paraformic aldehyde', 'Rcra waste number U122', 'Aldacide', 'Aldehyd mravenci', 'Paraformaldehydum', 'Oilstop, Halowax', 'Flo-Mor', 'CH2O', 'UN 2209 (formalin)', 'Formaldehyde (gas)', 'Formaldehyde polymer', 'Formaline [German]', 'NCI-C02799', 'Formalina [Italian]', 'Oplossingen [Dutch]', 'HCHO', 'Caswell No. 465', 'Caswell No. 633', 'FORMYL GROUP', 'Polyoxymethylene glycol', 'oxomethyl', 'Polymerised formaldehyde', 'Fordor', 'UN 1198', 'Aldehyd mravenci [Czech]', 'POLY(OXYMETHYLENE)', 'Aldeide formica [Italian]', 'Aldehyde formique [French]', 'Formalin-loesungen [German]', 'Formaldehyd [Czech, Polish]', 'CCRIS 315', 'NSC 298885', 'Formaldehyde [USP]', '(2H)Formaldehyde', 'HSDB 164', 'Aldehyde formique [ISO-French]', 'BFV', 'Formaldehyde, solution', 'UNII-1HG84L3525', 'CHEBI:16842', 'AI3-26806', 'HSDB 4070', 'Paraformaldehyde, polymer', 'UN1198', 'UN2209', 'UN2213', 'RCRA waste no. U122', 'EPA Pesticide Chemical Code 043001', 'EPA Pesticide Chemical Code 043002', 'DTXSID7020637', 'Formalin Solution', 'Formaldehyde, Para', 'Formaldehyde (USP)', '1HG84L3525', 'NSC-298885', 'Formaldehyde, solution (37% to 50%)', 'Formalde-Fresh Solution', 'DSSTox_CID_637', 'Formalin, Buffered, 10%', 'DSSTox_RID_82549', 'DSSTox_GSID_47796', 'Formaldehyde, 37% by Weight', 'Formaldehyde, 40% by Volume', 'Paraformaldehyde, 90%, pure', 'Formaldehyd (CZECH, POLISH)', 'Formalde-Fresh Solution, Buffered', 'Formalaz', 'Formaldehyde, solutions, flammable [UN1198]  [Flammable liquid]', 'MFCD00003274', 'Formaldehyde, solutions with not &lt;25% formaldehyde [UN2209]  [Corrosive]', 'Buffer Solution, pH 4.00, Color-Coded Red', 'Formic     aldehyde', 'Paraformaldehyde [JAN]', 'formaidehyde', 'formaldeyde', 'formaldhyde', 'methanon', 'paraformaldehyd', 'paraformaldehye', 'Paraformaldehyde [USP:JAN]', 'UNII-Y19UC83H8E', 'Formadehyde', 'Formaldehye', 'Veracur', 'Durine', 'paraformaidehyde', 'Formaldehyde, 37 wt% sol. in water, stab. with 5-15% methanol', 'Formaldehyde, ACS reagent, 37 wt% sol., stab. 10-15% methanol', 'para formaldehyde', 'paraform-aldehyde', 'Para-formaldehyde', 'Formalin solution, neutral buffered, 10%, histological tissue fixative', 'F-gen', 'Hyperband (TN)', 'Formalin [JAN]', 'EINECS 200-001-8', 'Daminozide metabolite', 'Methan 21', 'CARBONMONOXIDE', 'HCOH', 'Floguard 1015', 'Formalin (JP17)', 'CARBON-MONOXIDE', 'Hercules 37M6-8', 'H2CO', 'WLN: VHH', 'Formaldehyde [BSI:ISO]', 'Paraformaldehyde (JP17)', 'ACMC-1AVX8', 'bmse000256', 'Epitope ID:116196', 'Melamine-Formaldehyde Resin', 'EC 200-001-8', 'Formaldehyde, methanol-free', 'C3H8O', 'CHEMBL1255', 'Formaldehyde solution, 10%', 'BIDD:ER0493', 'GTPL4196', 'Y19UC83H8E', 'CTK1G9461', 'Formaldehyde, solution, flammable', 'Formaldehyde, as formalin solution', 'Formaldehyde, solutions, flammable', 'KS-000010JW', 'Tox21_111160', 'Tox21_302438', 'ANW-44009', 'FM 282', 'LS-134', 'NSC298885', 'AKOS008967440', 'BufferPac&amp;trade; Color-Coded Solutions', 'DB03843', 'MCULE-1476806907', 'NA 9202', 'UN 1016', 'UN 2209', 'Formaldehyde solution 37 wt. % in H2O', 'NCGC00255116-01', 'BP-21234', 'E240', 'SC-46956', 'Formaldehyde solution, 37 wt. % in H2O', 'LS-101266', 'F0622', 'FT-0626522', 'FT-0689115', 'P0018', 'Y1318', 'Formaldehyde solution ACS 37 wt. % in H2O', 'Paraformaldehyde [UN2213] [Flammable solid]', 'C00067', 'D00017', 'D01494', 'Formaldehyde, solutions (Formalin) (corrosive)', 'Paraformaldehyde [UN2213]  [Flammable solid]', 'A827922', 'Formaldehyde solution, tested according to Ph.Eur.', 'Q161210', 'SR-01000944454', 'Formaldehyde, solutions with not &lt;25% formaldehyde', 'SR-01000944454-1', 'Q27110014', 'Formaldehyde Solution, 10% w/w in 84.8 - 94.2% H2O', 'Formaldehyde neutral buffer solution, 3.7% formaldehyde in H2O', 'Formaldehyde neutral buffer solution, 7.5% formaldehyde in H2O', 'Formaldehyde solution, puriss. p.a., ACS reagent, &gt;=36.5%', 'Formaldehyde solution, for molecular biology, 36.5-38% in H2O', 'Formaldehyde solution, meets analytical specification of USP, &gt;=34.5 wt. %', 'Formaldehyde solution, puriss., 37.0%, contains 6.0-9.0% Methanol', 'Formaldehyde solution, AR, contains 5-8% methanol as stabilizer, 37-41 % (w/v)', 'Formaldehyde solution, contains 10-15% methanol as stabilizer, 37 wt. % in H2O', 'Formaldehyde solution, for molecular biology, BioReagent, &gt;=36.0% in H2O (T)', 'Formaldehyde solution, JIS special grade, 36.0-38.0%, contains methanol as stabilizer', 'Formaldehyde solution, LR, contains 5-8% methanol as stabilizer, 37-41 % (w/v)', 'Formaldehyde solution, SAJ first grade, &gt;=35.0%, contains methanol as stabilizer', 'Formalin solution, neutral buffered, 10%, case of 24 x 60 mL, histological tissue fixative', 'Formalin solution, neutral buffered, 10%, case of 48 x 15 mL, histological tissue fixative', 'Formaldehyde solution, ACS reagent, 37 wt. % in H2O, contains 10-15% Methanol as stabilizer (to prevent polymerization)', 'Formaldehyde solution, meets analytical specification of Ph.??Eur., BP, 35 wt. %, contains 10% methanol as stabilizer', 'Formaldehyde solution, meets USP testing specifications, contains 9.0-15% methanol as stabilizer', 'Formaldehyde solution, stabilized with methanol, ~37 wt. % in H2O, certified reference material', 'formaldehyde;formaldehyde [bsi:iso];methanal;formaldehyde (act. 37%);formalin;formaldehyde formaldehyde [bsi:iso] methanal formaldehyde (act. 37%) formalin', 'Formalin solution, neutral buffered, 10%, case of 24 x 120 mL, histological tissue fixative']</t>
  </si>
  <si>
    <t>Compound(712)</t>
  </si>
  <si>
    <t>CH2O</t>
  </si>
  <si>
    <t>methanethiol</t>
  </si>
  <si>
    <t>['methanethiol', 'METHYL MERCAPTAN', 'Mercaptomethane', 'Methylmercaptan', 'Methyl sulfhydrate', 'Thiomethanol', '74-93-1', 'Methanthiol', 'Thiomethyl alcohol', 'Metilmercaptano', 'Methvtiolo', 'Methylmercaptaan', 'Mercaptan methylique', 'Methaanthiol', 'Thiomethane', 'RCRA waste number U153', 'Methaanthiol [Dutch]', 'Methanthiol [German]', 'Methvtiolo [Italian]', 'Methanethiole', 'CH3SH', 'methyl-mercaptan', 'Methylmercaptaan [Dutch]', 'Metilmercaptano [Italian]', 'Metilmercaptano [Spanish]', 'Methyl mercaptan (natural)', 'Methyl thioalcohol', 'MeSH', 'Mercaptan methylique [French]', 'UNII-2X8406WW9I', 'UN 1064', 'FEMA No. 2716', 'HSDB 813', 'EINECS 200-822-1', 'UN1064', 'RCRA waste no. U153', 'BRN 1696840', '2X8406WW9I', 'methylsulfanium', 'methane thiol', 'methyl thiol', 'methyl-thiol', '(methyl)sulfane', 'Methylthioalcohol', 'sulfonium methylide', 'Methanethiol, purum', 'Methanethiol, 98.0%', 'EC 200-822-1', 'Methanethiol, &gt;=98.0%', '4-01-00-01273 (Beilstein Handbook Reference)', 'DTXSID5026382', 'CHEBI:16007', 'CTK2H7493', 'NSC229573', 'AKOS009157032', 'LS-2938', 'NSC-229573', 'SC-46829', 'Methyl mercaptan [UN1064] [Poison gas]', 'Methyl mercaptan [UN1064]  [Poison gas]', 'NS00020025', 'C00409', 'Q409309', 'odium methanethiolate;Sodium thiomethoxide;Methanethiol;methanethiol', '(Mercaptomethyl)polystyrene, extent of labeling: ~2.0 mmol/g S loading', '17719-48-1', 'Z22']</t>
  </si>
  <si>
    <t>Compound(878)</t>
  </si>
  <si>
    <t>CH4S</t>
  </si>
  <si>
    <t>formic acid</t>
  </si>
  <si>
    <t>['formic acid', 'Methanoic acid', '64-18-6', 'Formylic acid', 'Aminic acid', 'Bilorin', 'Hydrogen carboxylic acid', 'Formisoton', 'Myrmicyl', 'Formira', 'Collo-bueglatt', 'Collo-didax', 'Acide formique', 'Add-F', 'Ameisensaeure', 'C1 acid', 'RCRA waste number U123', 'Spirit of formic acid', 'Formic acid (natural)', 'Mierenzuur [Dutch]', 'Mierenzuur', 'Kwas metaniowy', 'Acido formico', 'Ameisensaeure [German]', 'Kyselina mravenci', 'Acide formique [French]', 'Acido formico [Italian]', 'Kwas metaniowy [Polish]', 'Kyselina mravenci [Czech]', 'HCOOH', 'Ameisensaure', 'FEMA No. 2487', 'CCRIS 6039', 'Sybest', 'EPA Pesticide Chemical Code 214900', 'AI3-24237', 'RCRA waste no. U123', 'UNII-0YIW783RG1', 'UN1779', 'Methanoic acid monomer', 'HSDB 1646', 'hydroxidooxidocarbon(.)', 'HCO2H', 'EINECS 200-579-1', 'MFCD00003297', 'Wonderbond Hardener M 600L', '0YIW783RG1', 'CHEBI:30751', 'aminate', 'formylate', 'methanoate', 'Formic acid [UN1779]  [Corrosive]', 'Formic Acid, 88%', '0.1% FA in Water', 'hydrogen carboxylate', '0.1% FA in water,', '0.1% FA in ACN', '0.1% FA in ACN,', 'Formic acid, 88%, ACS reagent', 'Formic acid, 97%, ACS reagent', 'Formicacid', 'Formicum acidum', '0.1% Formic Acid in Water (v/v)', 'Cal-Ex&amp;trade; II Fixative/Decalcifier', '0.1% Formic Acid in Acetonitrile (v/v)', 'CH2O2', 'Amasil', 'forrnic acid', 'methoic acid', 'TBF', 'Formic acid anhydrous', 'Formic acid, natural', 'H-COOH', 'Formic acid (Ca salt)', 'Formic Acid, ACS Grade', 'ACMC-1B5TQ', 'bmse000203', 'EC 200-579-1', 'Formic acid, 95-97%', 'Formic acid, 98+%, pure', 'Formic acid, p.a., 85%', 'KSC353I1B', 'Formic Acid (Fragrance Grade)', 'Formic acid, AR, &gt;=90%', 'Formic acid, AR, &gt;=98%', 'Formic acid, LR, &gt;=85%', 'Formic acid, LR, &gt;=98%', 'CHEMBL116736', 'Formic acid, purum, &gt;=85%', 'Formic Acid (Industrial Grade)', 'DTXSID2024115', 'CTK2F3410', 'KS-00000WLQ', 'Formic acid, 99%, for analysis', 'BCP23013', 'Formic acid, &gt;=95%, FCC, FG', 'Formic acid, technical grade, 85%', 'ANW-43808', 'Formic Acid 88% Reagent Grade ACS', 'Formic acid, ACS reagent, &gt;=96%', 'STL264243', 'Formic acid [UN1779] [Corrosive]', 'Formic acid, reagent grade, &gt;=95%', 'AKOS000269044', 'Formic acid, ACS reagent, 88-91%', 'Water with 0.1% Formic Acid (v/v)', 'CCG-266004', 'DB01942', 'LS-1540', 'MCULE-7175589186', 'UN 1779', 'Formic acid, ACS reagent, &gt;=96.0%', 'NCGC00248718-01', 'BP-21436', 'E236', 'SC-22724', 'DB-029851', 'F0513', 'F0654', 'Formic acid, JIS special grade, &gt;=98.0%', 'Formic acid, Vetec(TM) reagent grade, 95%', 'FT-0626533', 'FT-0626535', 'FT-0626537', 'FT-0668804', 'Y1306', 'C00058', 'Formic acid, SAJ first grade, 88.0-89.5%', 'Formic acid solution, BioUltra, 1.0 M in H2O', 'A834666', 'Q161233', 'Formic acid, p.a., ACS reagent, 98.0-100.0%', 'J-521387', 'Q27110013', 'F1908-0082', 'Formate standard for IC, 1.000 g/L in H2O, analytical standard', 'Formic acid, puriss. p.a., ACS reagent, reag. Ph. Eur., &gt;=98%', 'Formic acid, United States Pharmacopeia (USP) Reference Standard', 'Formic acid, puriss., meets analytical specifications of DAC, FCC, 98.0-100%', '82069-14-5']</t>
  </si>
  <si>
    <t>Compound(284)</t>
  </si>
  <si>
    <t>CH2O2</t>
  </si>
  <si>
    <t>['methanol', 'methyl alcohol', 'wood alcohol', 'carbinol', '67-56-1', 'Wood spirit', 'Wood naphtha', 'Methylol', 'Methyl hydroxide', 'Pyroxylic spirit', 'Colonial Spirit', 'Columbian Spirit', 'Monohydroxymethane', 'Methylalkohol', 'Columbian spirits', 'Alcool methylique', 'MeOH', 'Methyl hydrate', 'Alcohol, methyl', 'CH3OH', 'Metanolo', 'Alcool metilico', "Bieleski's solution", 'Colonial spirits', 'Metylowy alkohol', 'Pyroxylic spirits', 'Hydroxymethane', 'Freers Elm Arrester', 'Surflo-B17', 'Rcra waste number U154', 'Wilbur-Ellis Smut-Guard', 'Metanol [Spanish]', 'Metanolo [Italian]', 'Coat-B1400', 'Eureka Products, Criosine', 'Metanol', 'Caswell No. 552', 'Methylalkohol [German]', 'Spirit of wood', 'Alcool metilico [Italian]', 'Metylowy alkohol [Polish]', 'Alcool methylique [French]', 'X-Cide 402 Industrial Bactericide', 'HSDB 93', 'Ideal Concentrated Wood Preservative', 'Methyl alcohol [NF]', 'Eureka Products Criosine Disinfectant', 'NSC 85232', 'UN1230', 'CCRIS 2301', 'Pyro alcohol', 'CH4O', 'AI3-00409', 'MetOH', 'RCRA waste no. U154', 'UNII-Y4S76JWI15', 'EPA Pesticide Chemical Code 053801', 'Methanol-water mixture', 'CHEBI:17790', 'EINECS 200-659-6', 'MFCD00004595', 'Y4S76JWI15', 'Methyl alcohol (NF)', 'NCGC00091172-01', 'Aqualine&amp;trade; Solvent', 'DSSTox_CID_1731', 'Aqualine&amp;trade; Titrant 5', 'DSSTox_RID_76297', 'DSSTox_GSID_21731', 'Methanol, 99+%, extra pure', 'Methanol, 99.9%, for analysis', 'Methanol, 99.8+%, ACS reagent', 'Methanol, or methyl alcohol [UN1230] [Flammable liquid, Poison]', 'Methanol, for HPLC, &gt;=99.9%', 'Methanol, 99.9%, for spectroscopy', 'Methanol, ACS reagent, &gt;=99.8%', 'Methanol, or methyl alcohol [UN1230]  [Flammable liquid, Poison]', 'CAS-67-56-1', 'Methanol, 99.8%, for spectroscopy ACS', 'MOH', 'Methanol, 99.9%, Extra Dry, AcroSeal(R)', 'Methanol, 99.9%, for HPLC gradient grade', 'Methanol, 99.9%, for biochemistry, AcroSeal(R)', 'Methanol, 99.8%, for electronic use (MOS), residue free', 'Methylalcohol', 'Methanol, 99.8%, Extra Dry over Molecular Sieve, AcroSeal(R)', 'methly alcohol', 'methanol-', 'Wood', 'Methanol cluster', 'Methanol NF', 'Methanol, 99.8%, for residue analysis, ECD tested for pesticide analysis', 'Nat. Methanol', 'Methanol, Biograde', 'Methanol, technical', 'Methanol, for HPLC', 'Methanol (Recovered)', 'Methanol, ACS Grade', "Solutions, Bieleski's", 'Methanol, HPLC grade', 'Columbian     spirits', 'Hydroxymethylidyne radical', 'Methanol, Histology Grade', 'ACMC-1C6GT', 'bmse000294', 'Epitope ID:116865', 'EC 200-659-6', 'Aqualine&amp;trade; Solvent CM', 'Methanol Reagent Grade ACS', 'Methanol, or methyl alcohol', 'Methanol, LR, &gt;=99%', 'Methanol, SAJ special grade', 'Methanol, analytical standard', 'WLN: Q1', 'KSC272E0H', 'Aqualine&amp;trade; Electrolyte A', 'CHEMBL14688', 'Methanol, anhydrous, 99.8%', 'Methanol, p.a., 99.8%', 'Methanol, p.a., 99.9%', 'Aqualine&amp;trade; Electrolyte AG', 'Aqualine&amp;trade; Electrolyte CG', 'DTXSID2021731', 'Methanol, AR, &gt;=99.5%', 'CTK1H2203', 'KS-00000VDA', 'Methanol, 99.8%, for HPLC', 'Methanol, NMR reference standard', 'Methanol, 99.8%, ACS reagent', 'Methanol, anhydrous, &gt;=99.5%', 'Methanol, low water for titration', 'Eriochrome&amp;trade; Black T Solution', 'Methanol, Absolute - Acetone free', 'Methanol, HPLC gradient, 99.9%', 'NSC85232', 'Methanol, for HPLC, &gt;=99.8%', 'Methanol, PRA grade, &gt;=99.9%', 'Tox21_111094', 'Tox21_202523', '8292AF', 'ANW-42510', 'CB0177', 'Methanol, HPLC Plus, &gt;=99.9%', 'NSC-85232', 'AKOS000269045', 'Methanol, purification grade, 99.8%', 'LS-1564', 'MCULE-1370061678', 'UN 1230', 'Methanol, UHPLC, for mass spectrometry', 'Methanol solution, technical grade, 95%', 'Methanol, &gt;=99.8%, for chromatography', 'Methanol, SAJ first grade, &gt;=99.5%', 'NCGC00260072-01', 'Methanol, JIS special grade, &gt;=99.8%', 'Methanol, Laboratory Reagent, &gt;=99.6%', 'SC-46858', 'Methanol, UV HPLC spectroscopic, 99.9%', 'Methanol, anhydrous, ZerO2(TM), 99.8%', 'Methanol, spectrophotometric grade, &gt;=99%', 'FT-0623465', 'FT-0628297', 'FT-0628299', 'FT-0700908', 'FT-0700959', 'M0097', 'M0628', 'C00132', 'D02309', 'Methanol, for HPLC, gradient grade, 99.93%', 'Methanol, suitable for determination of dioxins', 'Q14982', 'Methanol, for HPLC, gradient grade, &gt;=99.9%', 'Methanol, glass distilled HRGC/HPLC trace grade', 'Methanol, low benzene, ACS reagent, &gt;=99.8%', 'Methanol, ACS spectrophotometric grade, &gt;=99.9%', 'Methanol, BioReagent, suitable for protein sequencing', 'Methanol, for HPLC, gradient grade, &gt;=99.8% (GC)', 'Methanol, HPLC Plus, &gt;=99.9%, poly-coated bottles', 'Q27115113', 'Methanol solution, (Methanol:Acetonitrile 1:1 (v/v))', 'Methanol solution, contains 0.50 % (v/v) triethylamine', 'Methanol, Vetec(TM) reagent grade, anhydrous, &gt;=99.8%', 'Methanol solution, (Methanol:Dichloromethane 1:1 (v/v))', 'Methanol, for residue analysis, suitable for 5000 per JIS', 'Moisture in methanol, 325 mg/kg, NIST(R) SRM(R) 8510', 'Moisture in methanol, 93 mg/kg, NIST(R) SRM(R) 8509', 'UNII-N4G9GAT76C component OKKJLVBELUTLKV-UHFFFAOYSA-N', 'Methanol solution, (Methanol:Dimethyl sulfoxide 1:1 (v/v))', 'Methanol solution, contains 0.1 % (v/v) trifluoroacetic acid', 'Methanol solution, for protein sequence analysis, ~50% in H2O', 'Methanol with 0.1% trifluoroacetic acid, tested for UHPLC-MS', 'Methanol, &gt;=99.8%, suitable for absorption spectrum analysis', 'Methanol, semiconductor grade PURANAL(TM) (Honeywell 17824)', 'Methanol, p.a., ACS reagent, reag. ISO, reag. Ph. Eur., 99.9%', 'Methanol, puriss. p.a., absolute, ACS reagent, &gt;=99.8% (GC)', 'Methanol, semiconductor grade VLSI PURANAL(TM) (Honeywell 17744)', 'Methanol, suitable for protein sequencing, BioReagent, &gt;=99.93%', 'Methyl alcohol, United States Pharmacopeia (USP) Reference Standard', 'Methanol, 99.9%, Extra Dry, AcroSeal(R), package of 4x25ML bottles', 'Methanol, Pharmaceutical Secondary Standard; Certified Reference Material', 'Methanol, puriss., meets analytical specification of Ph Eur, &gt;=99.7% (GC)', 'Methanol, suitable for 1000 per JIS, &gt;=99.8%, for residue analysis', 'Methanol, suitable for 300 per JIS, &gt;=99.8%, for residue analysis', "(5beta,17beta)-17-Hydroxy-17-(methyl-d3)-2'H-androst-2-eno[3,2-c]pyrazol-5'(1'H)-one", 'Methanol solution, contains 0.1 % (v/v) trifluoroacetic acid, 5 % (v/v) water, for HPLC', 'Methanol solution, contains 0.10 % (v/v) trifluoroacetic acid, 10 % (v/v) water', 'Methanol solution, for HPLC, contains 10 % (v/v) water, 0.1 % (v/v) trifluoroacetic acid', 'Methanol, for HPLC, gradient grade, suitable as ACS-grade LC reagent, &gt;=99.9%', 'Methanol, puriss. p.a., ACS reagent, reag. ISO, reag. Ph. Eur., &gt;=99.8% (GC)', 'Residual Solvent Class 2 - Methanol, United States Pharmacopeia (USP) Reference Standard', '170082-17-4', 'JandaJel(TM)-OH, 100-200 mesh, extent of labeling: 1.0 mmol/g OH loading, 2 % cross-linked', 'JandaJel(TM)-OH, 200-400 mesh, extent of labeling: 1.0 mmol/g OH loading, 2 % cross-linked', 'JandaJel(TM)-OH, 50-100 mesh, extent of labeling: 1.0 mmol/g OH loading, 2 % cross-linked', 'Methanol solution, contains 0.10 % (v/v) formic acid, UHPLC, for mass spectrometry, &gt;=99.5%', 'Methanol solution, NMR reference standard, 4% in methanol-d4 (99.8 atom % D), NMR tube size 3 mm x 8 in.', 'Methanol solution, NMR reference standard, 4% in methanol-d4 (99.8 atom % D), NMR tube size 5 mm x 8 in.']</t>
  </si>
  <si>
    <t>Compound(887)</t>
  </si>
  <si>
    <t>CH4O</t>
  </si>
  <si>
    <t>methanol acrylamide</t>
  </si>
  <si>
    <t>N-(hydroxymethyl)prop-2-enamide</t>
  </si>
  <si>
    <t>['N-(HYDROXYMETHYL)ACRYLAMIDE', 'N-Methylolacrylamide', '924-42-5', 'N-Methanolacrylamide', 'Methylolacrylamide', 'Monomethylolacrylamide', 'N-Methylol Acrylamide', '2-Propenamide, N-(hydroxymethyl)-', 'Uramine T 80', 'Acrylamide, N-(hydroxymethyl)-', 'N-Hydroxymethyl acrylamide', 'N-(Hydroxymethyl)-2-propenamide', 'NCI-C60333', 'Hydroxymethylacrylamide', 'N-MAM', 'N-(hydroxymethyl)prop-2-enamide', 'NSC 553', 'UNII-W8W68JL80Q', 'N-Methyloacrylamide', 'Yuramin T 80', 'CCRIS 2380', 'HSDB 4361', 'EINECS 213-103-2', 'BRN 0506646', 'AI3-25447', 'W8W68JL80Q', 'CHEBI:82492', 'N-(Hydroxymethyl)acrylamide SOLUTION', 'W-100289', 'LS-20', 'NM-AMD', 'Methylol acrylamide', 'ACMC-209rfq', 'EC 213-103-2', 'N-(hydroxymethyl) acrylamide', 'SCHEMBL25806', 'KSC487M3H', 'NSC553', 'CHEMBL1892361', 'DTXSID3020885', 'CTK3I7633', 'N-(Hydroxymethyl)acrylamide,98%', 'NSC-553', 'KS-00000VA8', 'ZINC1555606', 'ANW-39828', 'FCH949792', 'AKOS006222324', 'NCGC00163845-01', 'NCGC00163845-02', 'AK117349', 'CC-31651', 'K686', 'SC-75438', 'FT-0720637', 'M0574', 'NS00008229', 'C19456', 'A844235', 'C-33919', 'Q26840808', 'N-(Hydroxymethyl)acrylamide solution, 48 wt. % in H2O', 'TRANSGENIC MODEL EVALUATION (N-METHYLOLACRYLAMIDE)', 'N-METHYLOLACRYLAMIDE (SEE ALSO TRANSGENIC MODEL EVALUATION (N-METHOLOLACRYLAMIDE))', '9045-71-0']</t>
  </si>
  <si>
    <t>Compound(13543)</t>
  </si>
  <si>
    <t>C4H7NO2</t>
  </si>
  <si>
    <t>methoxyethyl mercury chloride</t>
  </si>
  <si>
    <t>chloro(2-methoxyethyl)mercury</t>
  </si>
  <si>
    <t>['123-88-6', 'Mercury, chloro(2-methoxyethyl)-', 'Methoxyethylmercury chloride', '2-Methoxyethylmerkurichlorid', 'methoxyethylmercuric chloride', 'Methoxyaethylquecksilberchlorid', 'SCHEMBL164277', '2-Methoxyethyl-mercury-chloride', '(2-methoxyethyl)mercury(II) chloride']</t>
  </si>
  <si>
    <t>Compound(12521357)</t>
  </si>
  <si>
    <t>C3H7ClHgO</t>
  </si>
  <si>
    <t>methoxypropyl acetate</t>
  </si>
  <si>
    <t>1-methoxypropyl acetate</t>
  </si>
  <si>
    <t>['Methoxypropyl acetate', '1-methoxypropyl acetate', 'Methoxypropanol acetate', 'Lunazard', 'PM Acetate', 'Bawanol PMA', 'Dowanol PMA-C', 'MFGAc', 'Nano XP', 'PGMAC', 'MMPG-AC', 'Propanol, methoxy-, acetate', 'SCHEMBL16024', 'SCHEMBL11495972', 'CTK8E5986', 'Acetic acid 1-methoxypropyl ester', 'EINECS 283-152-2', 'Methoxypropyl acetate;methoxypropyl acetate', 'Isopropylene glycol monomethyl ether acetate', '1,2-Propanediol monoacetate monomethyl ether', 'FT-0694376', 'NS00061213']</t>
  </si>
  <si>
    <t>Compound(3033863)</t>
  </si>
  <si>
    <t>C6H12O3</t>
  </si>
  <si>
    <t>methoxychlor</t>
  </si>
  <si>
    <t>1-methoxy-4-[2,2,2-trichloro-1-(4-methoxyphenyl)ethyl]benzene</t>
  </si>
  <si>
    <t>['methoxychlor', '72-43-5', "p,p'-Methoxychlor", 'DMDT', 'Dimethoxy-DDT', 'Methoxy-DDT', 'Methoxcide', 'Metox', 'Maralate', 'Marlate', 'Moxie', 'Dianisyl trichloroethane', 'Metoksychlor', 'Higalmetox', 'Mezox K', 'Methoxychlor 2 ec', 'Dianisyltrichlorethane', 'Methoxychlore', 'Dimethoxy-DT', 'Rcra waste number U247', 'NCI-C00497', 'Caswell No. 550', 'Metoksychlor [Polish]', '1,1,1-Trichloro-2,2-bis(p-anisyl)ethane', '2,2-Bis(p-anisyl)-1,1,1-trichloroethane', 'ENT 1,716', 'Methoxychlor, technical', 'Methoxo', "p,p'-DMDT", '1,1,1-Trichloro-2,2-di(4-methoxyphenyl)ethane', 'OMS 466', '1,1,1-Trichloro-2,2-bis(p-methoxyphenyl)ethane', '2,2-Bis(p-methoxyphenyl)-1,1,1-trichloroethane', 'Methoxychlor [BSI:ISO]', 'MeOCl', 'UNII-RIA79UD69L', 'Double-M ec', 'Methoxychlore [ISO-French]', 'CCRIS 380', "1,1'-(2,2,2-trichloroethane-1,1-diyl)bis(4-methoxybenzene)", '2,2-Di-p-anisyl-1,1,1-trichloroethane', 'Ethane, 1,1,1-trichloro-2,2-bis(p-methoxyphenyl)-', 'HSDB 1173', 'Methoxychlor [95%]', '4,4-(2,2,2-Trichloroethylidene)dianisole', 'NSC 8945', 'Flo pro mcseed protectant', 'EINECS 200-779-9', "p,p'-Dimethoxydiphenyltrichloroethane", 'Ethane, 2,2-bis(p-anisyl)-1,1,1-trichloro-', "p,p'-Dwumetoksydwufenylotrojchloroetan", '1,1,1-Trichloro-2,2-bis(4-methoxyphenyl)ethane', '1,1-Bis(p-methoxyphenyl)-2,2,2-trichloroethane', '2,2,2-Trichloro-1,1-bis(4-methoxyphenyl)ethane', 'RCRA waste no. U247', 'EPA Pesticide Chemical Code 034001', 'BRN 2057367', 'RIA79UD69L', "1,1'-(2,2,2-Trichloroethylidene)bis(4-methoxybenzene)", 'Dimethoxydiphenyltrichloroethane', 'CHEBI:6842', "Benzene, 1,1'-(2,2,2-trichloroethylidene)bis[4-methoxy-", "p,p'-Dwumetoksydwufenylotrojchloroetan [Polish]", '2,2-Di(p-methoxyphenyl)-1,1,1-trichloroethane', '2,2-Di-(p-methoxyphenyl)-1,1,1-trichloroethane', '1,1,1-Trichlor-2,2-bis(4-methoxy-phenyl)-aethan', "p,p'-(Dimethoxydiphenyl)trichloroethane", 'NCGC00090760-08', '1,1,1-Trichlor-2,2-bis(4-methoxy-phenyl)-aethan [German]', "Benzene, 1,1'-(2,2,2-trichloroethylidene)bis(4-methoxy-", 'Di(p-methoxyphenyl)trichloromethyl methane', '1-Methoxy-4-[2,2,2-trichloro-1-(4-methoxyphenyl)ethyl]benzene', "Benzene,1,1'-(2,2,2-trichloroethylidene)bis[4-methoxy-", "1,1'-(2,2,2-trichloroethane-1,1-diyl)bis[4-(methyloxy)benzene]", 'SMR000568481', 'pMethoxychlor', 'Maxie', '4-methoxy-1-[2,2,2-trichloro-1-(4-methoxyphenyl)ethyl]benzene', 'Methoxy DDT', 'Mesox K', 'Chemform methoxychlor', 'dianisyltrichloroethane', 'Methoxychlor (DMTD)', 'Spectrum_001949', 'SpecPlus_000588', 'DSSTox_CID_827', 'Spectrum2_001890', 'Spectrum3_000864', 'Spectrum4_000704', 'Spectrum5_002050', 'DSSTox_RID_75813', '2,2-Bis(4-methoxyphenyl)-1,1,1-trichloroethane', 'BIDD:PXR0108', 'DSSTox_GSID_20827', 'BSPBio_002507', 'KBioGR_001227', 'KBioSS_002503', 'SPECTRUM330077', '1,1,1-Trichloro-2,2-bis-(p-methoxyphenyl)ethane', 'MLS001055458', 'MLS001065605', 'BIDD:ER0613', 'DivK1c_006684', 'SCHEMBL116390', "p,p'-Methoxychlor;methoxychlor", 'SPBio_001800', 'DMDT / Metox (Methoxychlor)', 'CHEMBL362919', 'Dimethox ydiphenyltrichloroethane', 'DTXSID9020827', 'CTK5D6098', 'KBio1_001628', 'KBio2_002495', 'KBio2_005063', 'KBio2_007631', 'KBio3_002007', 'Methoxychlor, analytical standard', 'WLN: GXGGYR DO1&amp;R DO1', 'NSC8945', 'PUBERTAL METHOXYCHLOR STUDY', 'HMS3039K10', 'ZINC155246', 'Marlate 300 flowable (Salt/Mix)', 'NSC-8945', 'Tox21_400075', 'BDBM50410535', 'CCG-39337', 'MFCD00000803', 'SBB057311', 'STL575014', "p,p'-dimethoxydiphenyltrichl oroethane", 'AKOS001025493', 'Bis(p-anisyl)-1,1,1-trichloroethane', 'LS-1614', 'MCULE-1125841404', 'CAS-72-43-5', 'Methoxychlor 10 microg/mL in Isooctane', '1,1-Trichloro-2,2-bis(p-anisyl)ethane', 'NCGC00090760-01', 'NCGC00090760-02', 'NCGC00090760-03', 'NCGC00090760-04', 'NCGC00090760-05', 'NCGC00090760-06', 'NCGC00090760-07', 'NCGC00090760-09', 'NCGC00090760-10', 'NCGC00090760-11', 'CC-26448', 'MXC', 'di(p-methoxyphenyl) trichloromethyl methane', 'Methoxychlor 10 microg/mL in Acetonitrile', 'Methoxychlor 100 microg/mL in Cyclohexane', '2,2-Di(p-anisyl)-1,1,1-trichloroethane', 'DB-055634', 'Ethane,2-bis(p-anisyl)-1,1,1-trichloro-', 'Bis(p-methoxyphenyl)-1,1,1-trichloroethane', 'EU-0084224', 'FT-0603090', 'M1736', 'NS00003861', 'ST50997635', '1,1-Trichloro-2,2-bis(p-methoxyphenyl)ethane', '1,1-Trichloro-2,2-di(4-methoxyphenyl)ethane', 'C11043', '1,2,2-Trichloroethylidene)bis(4-methoxybenzene)', 'Methoxychlor, PESTANAL(R), analytical standard', '1,1-Bis(4-methoxyphenyl)-2,2,2-trichloroethane', '2,2-Bis (p-methoxyphenol)-1,1,1-trichloroethane', 'C-20487', 'Ethane,1,1-trichloro-2,2-bis(p-methoxyphenyl)-', 'Q411958', '1,1,1-trichloro-2,2-bis (4-methoxyphenyl)ethane', '2,2,2-t richloro-1,1-bis(4-methoxyphenyl)ethane', "Benzene,1'-(2,2,2-trichloroethylidene)bis[4-methoxy-", "1,1'-(2,2,2-Trichloroethylidene)-bis[4-methoxybenzene]", "4,4'-(2,2,2-trichloroethane-1,1-diyl)bis(methoxybenzene)", "Benzene, 1,1'-(2,2,2-trichloroethylidene)bis*4-methoxy-", 'DMDT;Dimethoxy-DDT; Marlate; Mesox K; Methoxcide; Methoxy-DDT', 'KID PEST PROJECT (METHOXYCHLOR) (SEE ALSO METHOXYCHLOR)', 'METHOXYCHLOR (SEE ALSO KID PEST PROJECT (METHOXYCHLOR))', '1-Methoxy-4-[2,2,2-trichloro-1-(4-methoxyphenyl)ethyl]benzene #', "Benzene, 1,1'-(2,2,2-trichloroethylidene)bis(4-methoxy- (9CI)", 'Methoxychlor solution, 200 mug/mL in isooctane, analytical standard', 'methoxychlor (MXC) (1,1,1-trichloro-2,2-bis(p-methoxyphenyl)ethane)', 'ENDOCRINE DISRUPTOR (METHOXYCHLOR) (SEE ALSO METHOXYCHLOR (72-43-5); KIDPEST PROJECT)']</t>
  </si>
  <si>
    <t>Compound(4115)</t>
  </si>
  <si>
    <t>C16H15Cl3O2</t>
  </si>
  <si>
    <t>methoxyacetic acid</t>
  </si>
  <si>
    <t>2-methoxyacetic acid</t>
  </si>
  <si>
    <t>['2-Methoxyacetic acid', 'METHOXYACETIC ACID', '625-45-6', 'Acetic acid, methoxy-', 'Methoxyethanoic acid', 'Acetic acid, 2-methoxy-', 'methoxy acetic acid', 'CH3OCH2COOH', 'UNII-F11T1H7Q7W', 'methoxy-acetic acid', 'CCRIS 6518', 'NSC 7300', 'EINECS 210-894-6', 'Methoxyacetic acid, 98%', 'BRN 0635800', 'AI3-24152', 'F11T1H7Q7W', 'DSSTox_CID_11591', 'DSSTox_RID_78886', 'DSSTox_GSID_31591', 'CAS-625-45-6', 'Methoxyacetlc acid', '2-MethoxyaceticAcid', 'MFCD00004308', '2-methoxy acetic acid', '2-methoxy-acetic acid', '(methyloxy)acetic acid', 'alpha-methoxyacetic acid', 'ACMC-209n4u', 'EC 210-894-6', 'KSC353A1R', 'CHEMBL1697714', 'DTXSID1031591', 'CTK2F3018', 'NSC7300', 'CHEBI:132098', 'ACN-S002384', 'HY-Y1009', 'KS-00000C9X', 'NSC-7300', 'STR04664', 'ZINC1683467', 'Methoxyacetic acid;methoxyacetic acid', 'Tox21_201571', 'Tox21_303516', 'ANW-34252', 'Methoxyacetic acid (ACD/Name 4.0)', 'AKOS000119404', 'CCG-352130', 'CS-W020123', 'LS-1501', 'MCULE-3945589151', 'MP-2184', 'NCGC00090747-01', 'NCGC00090747-02', 'NCGC00090747-03', 'NCGC00257369-01', 'NCGC00259120-01', 'AK109396', 'SC-22928', 'FT-0628304', 'M0827', 'NS00009545', '19721-EP2275401A1', '19721-EP2298731A1', '19721-EP2305248A1', '19721-EP2305663A1', '19721-EP2308858A1', '19721-EP2311816A1', '19721-EP2311817A1', '19721-EP2311818A1', '19721-EP2311830A1', '19721-EP2314576A1', 'Methoxyacetic acid, analytical reference material', 'J-509848', 'Q20054532', 'F2191-0090', 'Z1259086968']</t>
  </si>
  <si>
    <t>Compound(12251)</t>
  </si>
  <si>
    <t>C3H6O3</t>
  </si>
  <si>
    <t>N'-tert-butyl-N'-(3,5-dimethylbenzoyl)-3-methoxy-2-methylbenzohydrazide</t>
  </si>
  <si>
    <t>['Methoxyfenozide', '161050-58-4', "N'-(tert-Butyl )-N'-(3,5-dimethylbenzoyl)-3-methoxy-2-methylbenzohydrazide", 'Methoxyphenozide', "N'-tert-Butyl-N'-(3,5-dimethylbenzoyl)-3-methoxy-2-methylbenzohydrazide", 'Benzoic acid, 3-methoxy-2-methyl-, 2-(3,5-dimethylbenzoyl)-2-(1,1-dimethylethyl)hydrazide', "N'-(tert-butyl)-N'-(3,5-dimethylbenzoyl)-3-methoxy-2-methylbenzohydrazide", 'RH 2485', 'UNII-62A22651ZX', 'Methoxyfenozide [ISO:ANSI:BSI]', "N-tert-butyl-N'-(3-methoxy-o-toluoyl)-3,5-xylohydrazide", '3-Methoxy-2-methylbenzoic acid 2-(3,5-dimethylbenzoyl)-2-(1,1-dimethylethyl)hydrazide', 'CHEMBL55772', 'RG 102398', 'RH 112485', 'CHEBI:38449', '62A22651ZX', 'AK-61122', 'Intrepid', 'Runner', 'Intrepid (pesticide)', 'RH-2485', 'HSDB 7936', 'DSSTox_CID_12628', 'DSSTox_RID_79013', 'DSSTox_GSID_32628', 'SCHEMBL27595', '163442-56-6', 'DTXSID3032628', 'CTK8C2684', 'KS-00000GJK', 'BCP10196', 'ZINC2511852', 'Tox21_301100', '8144AA', 'ANW-68833', 'BDBM50128305', '3-Methoxy-2-methylbenzoic acid 2-(3,5-dimethylbenzoyl)-2-tert-butylhydrazide', 'AKOS015895784', 'ACN-052886', 'QC-2366', 'NCGC00163951-01', 'NCGC00163951-02', 'NCGC00163951-03', 'NCGC00255000-01', 'CC-30281', 'DS-16494', 'LS-37821', 'AX8137745', 'HY-117386', 'CAS-161050-58-4', 'CS-0065614', 'FT-0631190', 'Methoxyfenozide 10 microg/mL in Acetonitrile', 'NS00000434', 'A20844', 'C18525', '31400-EP2274983A1', '31400-EP2275422A1', '31400-EP2292088A1', '31400-EP2308857A1', '31400-EP2308858A1', '31400-EP2311817A1', '050M584', 'C-21080', 'Methoxyfenozide, PESTANAL(R), analytical standard', 'J-009776', 'Q15632812', "N-tert-butyl-N''-(3-methoxy-o-toluoyl)-3,5-xylohydrazide", 'RG 102398; RH 112485; RH 2485', "N''-tert-butyl-N''-(3,5-dimethylbenzoyl)-3-methoxy-2-methylbenzohydrazide", "N'-tert-butyl-N'-(3,5-dimethylbenzoyl)-3-methoxy-2-methyl-benzohydrazide", '3-Methoxymethylbenzoic acid 2-(3,5-dimethylbenzoyl)-2-(1,1-dimethylethyl)hydrazide', "N''-(tert-butyl)-N''-(3,5-dimethylbenzoyl)-3-methoxy-2-methylbenzohydrazide", "N-(3-methoxy-2-methylbenzoyl)-N'(3,5-dimethylbenzoyl)-N'-tert-butylhydrazine", "N-(3-methoxy-2-methylbenzoyl)-N'-(3,5-dimethylbenzoyl)-N'-tert-butylhydrazine", 'Benzoic acid, 3-methoxy-2-methyl-, 2-(3,5-dimethyl-benzoyl)-2-(1,1-dimethylethyl)hydrazide']</t>
  </si>
  <si>
    <t>Compound(105010)</t>
  </si>
  <si>
    <t>C22H28N2O3</t>
  </si>
  <si>
    <t>methyl 14-methyl pentadecanoate</t>
  </si>
  <si>
    <t>methyl 14-methylpentadecanoate</t>
  </si>
  <si>
    <t>['Methyl 14-methylpentadecanoate', '5129-60-2', 'Pentadecanoic acid, 14-methyl-, methyl ester', '14-Methylpentadecanoic acid methyl ester', 'Q63395534', 'Methyl isohexadecanoate', 'SCHEMBL2259435', 'CTK4J3994', 'DTXSID80199289', 'Methyl 14-methylpentadecanoate #', 'ZINC4557092', 'ACM5129602', 'FT-0751973', 'C-55229', 'B960C1EE-F6EB-4C1B-A297-24FE1DAB2747']</t>
  </si>
  <si>
    <t>Compound(21205)</t>
  </si>
  <si>
    <t>methyl (1-methylethyl) cyclohexanol</t>
  </si>
  <si>
    <t>2-methyl-1-propan-2-ylcyclohexan-1-ol</t>
  </si>
  <si>
    <t>['30350-73-3', 'SCHEMBL9766871', 'CTK1B3375', 'DTXSID90600432', 'Cyclohexanol, methyl(1-methylethyl)-', 'AKOS009996117', '2-Methyl-1-(propan-2-yl)cyclohexan-1-ol']</t>
  </si>
  <si>
    <t>Compound(19833595)</t>
  </si>
  <si>
    <t>C10H20O</t>
  </si>
  <si>
    <t>methyl-1H-benzotriazole</t>
  </si>
  <si>
    <t>4-methyl-2H-benzotriazole;5-methyl-2H-benzotriazole</t>
  </si>
  <si>
    <t>['Methyl-1H-benzotriazole', '6(or7)-Methyl-1H-benzo[d][1,2,3]triazole', 'Q-201843', 'Methyl-1H-benzotriazole (mixture)', 'Tolyltriazole (mixture)', 'UNII-5G7U316H8L', '5G7U316H8L', 'Tolyltriazole (mixture of isomers)', 'CHM0032436', 'AS-12254', 'AX8154384', 'M0697', 'Methyl-1H-benzotriazole (mixture), AldrichCPR', '4-methyl-1H-benzotriazole;5-methyl-1H-benzotriazole', '4-methyl-1H-1,2,3-benzotriazole; 5-methyl-1H-1,2,3-benzotriazole']</t>
  </si>
  <si>
    <t>Compound(44630380)</t>
  </si>
  <si>
    <t>C14H14N6</t>
  </si>
  <si>
    <t>methyl 4-bromoacetoacetate</t>
  </si>
  <si>
    <t>methyl 4-bromo-3-oxobutanoate</t>
  </si>
  <si>
    <t>['Methyl 4-bromo-3-oxobutanoate', '17790-81-7', 'methyl 4-bromo-3-oxo-butanoate', 'methyl 4-bromoacetoacetate', 'Methyl 4-bromo-3-oxobutyrate', 'NSC165240', 'methyl-4-bromoacetoacetate', 'SCHEMBL2764239', 'CTK4D6620', 'DTXSID00304277', 'Methyl 4-bromo-3-oxobutanoate #', 'ZINC1644753', '4-Bromoacetoacetic acid methyl ester', 'NSC-165240', '4-Bromo-3-oxobutyric acid, methyl ester', 'Butanoic acid,4-bromo-3-oxo-, methyl ester']</t>
  </si>
  <si>
    <t>Compound(295655)</t>
  </si>
  <si>
    <t>C5H7BrO3</t>
  </si>
  <si>
    <t>methanamine;hydrochloride</t>
  </si>
  <si>
    <t>['Methylamine hydrochloride', '593-51-1', 'methanamine hydrochloride', 'METHANAMINE, HYDROCHLORIDE', 'Aminomethane Hydrochloride', 'Methylamine HCl', 'Methyl Amine hydrochloride', 'Methylaminehydrochloride', 'methanamine HCl', 'methanamine-HCl', 'methyl amine HCl', 'methyl amine-HCl', 'MeNH2 hydrochloride', 'MeNH2HCl', 'methanamine HCl salt', 'methylamine HCl salt', 'methylaminhydrochloride', 'H2NMe.HCl', 'MeNH2-HCl', 'MeNH2.HCl', 'methylamin-hydrochloride', 'methylamine-hydrochoride', 'metylamine hydrochloride', 'CH3NH2HCl', 'methyl ammonium chloride', 'methylamine-hydrochloride', 'methylamine.hydrochloride', 'ACMC-1BMQT', 'CH3NH2-HCl', 'CH3NH2.HCl', 'methaneamine hydrochloride', 'methylarnine hydrochloride', 'NH2CH3.HCl', 'N-methylamine hydrochloride', 'methylamine hydrochloric acid', 'Methylamine monohydrochloride', 'methylamine Hydrogen Chloride', 'methylamine hydrochloride salt', 'KSC269G9H', 'methyl amine Hydrogen Chloride', 'CTK1G9393', 'NSC89685', 'ANW-33239', 'NSC-89685', 's6232', 'AKOS015918174', 'JC10104', 'KS-0000018G', 'AK161812', 'BP-11399', 'SC-25490', 'DB-050375', 'FT-0628860', 'FT-0628861', 'FT-0690211', 'FT-0693602', 'M0138', 'Methylamine hydrochloride, purum, &gt;=98.0% (AT)', 'Q27126640', 'F2191-0278', 'Methylamine hydrochloride, Vetec(TM) reagent grade, 98%']</t>
  </si>
  <si>
    <t>Compound(6364545)</t>
  </si>
  <si>
    <t>CH6ClN</t>
  </si>
  <si>
    <t>methyl aniline</t>
  </si>
  <si>
    <t>['N-METHYLANILINE', '100-61-8', 'Methylaniline', 'Monomethylaniline', 'Benzenamine, N-methyl-', 'N-Methyl aniline', 'Methylphenylamine', 'N-Methylbenzenamine', 'N-Monomethylaniline', 'N-Methylaminobenzene', '(Methylamino)benzene', 'Aniline, N-methyl-', 'Anilinomethane', 'N-Methylphenylamine', 'N-Phenylmethylamine', 'Monomethyl aniline', 'Benzeneamine, N-methyl-', 'methyl-phenyl-amine', 'N-methyl-aniline', 'NSC 3502', 'UNII-TH45GK410O', 'CCRIS 2870', 'HSDB 1654', 'N-Methyl-N-phenylamine', 'EINECS 202-870-9', 'UN2294', 'AI3-19498', 'TH45GK410O', 'CHEBI:15733', 'N-Methylaniline, 99%', 'N-metylaniline', 'N-Methlaniline', 'N-Methylanlne', 'methyl(phenyl)amine', 'methyl-phenyl amine', 'n-methylphenyl amine', 'N-methyl phenylamine', 'N-methyl-benzenamine', 'MFCD00008283', 'N-Methylanilinium ion', 'N-methyl-phenyl-amine', 'ANILINE,N-METHYL', 'N-Methylaniline, 98%', 'DSSTox_CID_1841', 'N-Methyl-N-phenylamine #', 'EC 202-870-9', 'N-Methylaniline, &gt;=99%', 'SCHEMBL4454', 'WLN: 1MR', 'ACMC-1C52D', 'DSSTox_RID_76360', 'DSSTox_GSID_21841', 'MLS002415757', 'BIDD:ER0250', 'BIDD:GT0230', 'CHEMBL170781', 'SCHEMBL1415355', 'DTXSID9021841', 'CTK0H5573', 'KS-00000VHG', 'NSC3502', 'HMS3039I05', 'ZINC901343', 'NSC-3502', 'N-Methylaniline, analytical standard', 'Tox21_200298', 'ANW-75367', 'LS-308', 'SBB059778', 'STL183283', 'AKOS000119086', 'N-Methylaniline [UN2294] [Poison]', 'MCULE-6046773954', 'UN 2294', 'N-Methylaniline [UN2294]  [Poison]', 'NCGC00091265-01', 'NCGC00091265-02', 'NCGC00257852-01', 'AS-12865', 'CAS-100-61-8', 'SC-22802', 'SMR001370917', 'N-Methylaniline, purum, &gt;=98.0% (GC)', 'FT-0652068', 'M0147', 'NS00010869', 'ST45255316', 'C02299', 'M-5962', '69429-EP2277848A1', '69429-EP2284159A1', '69429-EP2292593A2', '69429-EP2308861A1', 'J-000182', 'J-523671', 'Q1959597', 'F2190-0405', 'Z1258948213', 'N-Methylaniline;N-methylanilinium chloride;N-methylanilinium trifluoroacetate', '1MR']</t>
  </si>
  <si>
    <t>Compound(7515)</t>
  </si>
  <si>
    <t>methyl bromophos</t>
  </si>
  <si>
    <t>(4-bromo-2,5-dichlorophenoxy)-dimethoxy-sulfanylidene-lambda5-phosphane</t>
  </si>
  <si>
    <t>['Bromofos', 'BROMOPHOS', 'Bromophos-methyl', '2104-96-3', 'Nexion', 'Bromovur', 'Brophene', 'Drillzid', 'Sovinexion', 'Brofene', 'Mexion', 'Nexagan', 'Omexan', 'Netal', 'Bromofos-methyl', 'Nexion 40', 'Metabrom', 'Nexion 5G', 'Cx99', 'Cela S 1942', 'OMS 658', 'Bromo-phos-methyl', 'EL 400', 'Bromofos [INN]', 'ENT 27,162', 'Nexion LC40', 'Bruomophos [Russian]', 'Nexion LC 40', 'Caswell No. 114E', 'Bromophos [BSI:ISO]', 'Bromofosum [INN-Latin]', 'Monsanto CP 51969', 'S 1942', 'NSC 527602', 'UNII-74A4TNE8C3', '4-Bromo-2,5-dichlorophenyl dimethyl phosphorothionate', 'Phosphorothioic acid, O-(4-bromo-2,5-dichlorophenyl) O,O-dimethyl ester', '74A4TNE8C3', 'CHEBI:82104', 'HSDB 6573', 'O-(4-Bromo-2,5-dichlorophenyl) O,O-dimethyl phosphorothioate', 'OMS-658', 'S-1942', 'EINECS 218-277-3', 'EPA Pesticide Chemical Code 008706', 'BRN 1988276', 'O,O-Dimethyl O-(2,5-dichloro-4-bromophenyl) thiophosphate', 'O,O-Dimethyl O-(2,5-dichloro-4-bromophenyl) phosphorothioate', 'O,O-Dimethyl O-(4-bromo-2,5-dichlorophenyl) phosphorothioate', 'AI3-27162', 'Thiophosphate de O,O-dimethyle et de O-4-bromo-2,5-dichlorophenyle', 'Phenol, 4-bromo-2,5-dichloro-, O-ester with O,O-dimethyl phosphorothioate', 'methylbromophos', 'O,O-Dimethyl-O-(2,5-dichloro-4-bromophenyl)phosphorothioate', 'O,O-Dimethyl-O-2,5-dichloro-4-bromophenyl phosphorothionate', 'O-(4-Brom-2,5-dichlor-phenyl)-O,O-dimethyl-monothiophosphat', 'O-(4-Broom-2,5-dichloor-fenyl)-O,O-dimethyl-monothiofosfaat', 'O-(4-Bromo-2,5-dichlorophenyl) O,O-dimethyl monothiophosphate', 'O,O-Dimethyl-O-(2,5-dichlor-4-bromphenyl)-thionophosphat [German]', 'O-(4-Brom-2,5-dichlor-phenyl)-O,O-dimethyl-monothiophosphat [German]', 'O-(4-Bromo-2,5-dicloro-fenil)-O,O-dimetil-monotiofosfato [Italian]', 'O-(4-Broom-2,5-dichloor-fenyl)-O,O-dimethyl-monothiofosfaat [Dutch]', 'Phosphorothioic acid O-(4-bromo-2,5-dichlorophenyl) O,O-dimethyl ester', 'Thiophosphate de O,O-dimethyle et de O-4-bromo-2,5-dichlorophenyle [French]', 'Bromofosum', 'Bruomophos', 'Bromophos methyl', '(4-bromo-2,5-dichlorophenoxy)-dimethoxy-sulfanylidene-?^{5}-phosphane', 'bromophos;Bromofos', 'C8H8BrCl2O3PS', 'DSSTox_CID_21683', 'DSSTox_RID_79817', 'Bromophos (Bromophos-methyl)', 'DSSTox_GSID_41683', 'BIDD:ER0070', 'SCHEMBL118537', 'o-(4-bromo-2,5-dichlorophenyl) o,o-dimethyl ester', 'OMS658', 'CHEMBL2104572', 'DTXSID1041683', 'CTK8E9052', 'O,5-dichlorophenyl) phosphorothioate', 'Tox21_301918', 'NSC527602', 'O-4-BROMO-2,5-DICHLOROPHENYL O,O-DIMETHYL PHOSPHOROTHIOATE', 'Thiophosphate de O,5-dichlorophenyle', 'WLN: GR DG BE EOPS&amp;O1&amp;O1', 'AKOS015888390', 'ACM2104963', 'NSC-527602', 'NCGC00255569-01', 'O-(4-Brom-2,O-dimethyl-monothiophosphat', 'O-(4-Broom-2,O-dimethyl-monothiofosfaat', 'CAS-2104-96-3', 'O,5-dichloro-4-bromophenyl) thiophosphate', 'O-(4-Bromo-2,O-dimethyl phosphorothioate', 'DB-045462', 'LS-108420', 'FT-0603590', 'NS00008725', 'O,5-dichloro-4-bromophenyl) phosphorothioate', 'Bromophos-methyl 10 microg/mL in Cyclohexane', 'Bromophos-methyl 100 microg/mL in Cyclohexane', 'C18965', '104B963', '135745-EP2275422A1', '135745-EP2292608A1', 'C-21019', 'SR-01000944390', 'Bromophos-methyl, PESTANAL(R), analytical standard', 'J-013800', 'Q2926019', 'SR-01000944390-1', 'O,O-Dimethyl-O-(2,5-dichlor-4-bromphenyl)-thionophosphat', 'O-(4-Bromo-2,-dicloro-fenil)-O,O-dimetil-monotiofosfato', 'O-(4-Bromo-2,5-dicloro-fenil)-O,O-dimetil-monotiofosfato', 'Phosphorothioic acid,5-dichlorophenyl) O,O-dimethyl ester', 'O-(4-Bromo-2,5-dichlorophenyl) O,O-dimethyl thiophosphate #', 'O-(4-bromo-2,5-dichlorophenyl)-O,O-dimethyl phosphorothioate', 'Phenol,5-dichloro-, O-ester with O,O-dimethyl phosphorothioate']</t>
  </si>
  <si>
    <t>Compound(16422)</t>
  </si>
  <si>
    <t>C8H8BrCl2O3PS</t>
  </si>
  <si>
    <t>N-ethyl-N-methylnitrous amide</t>
  </si>
  <si>
    <t>['N-NITROSOMETHYLETHYLAMINE', '10595-95-6', 'Ethylmethylnitrosamine', 'Methylethylnitrosamine', 'N-Nitroso-N-methylethylamine', 'N-Nitrosoethylmethylamine', 'Methylethylnitrosoamine', 'Ethanamine, N-methyl-N-nitroso-', 'N-Methyl-N-nitrosoethanamine', 'N-ethyl-N-methylnitrous amide', 'N-Methyl-N-nitrosoethylamine', 'N,N-Methylethylnitrosamine', 'Ethylamine, N-methyl-N-nitroso-', 'Methylaethylnitrosamin', 'N-Ethyl-N-methylnitrosamine', 'Nitrosoethylmethylamine', 'UNII-00RLM29Y3A', 'CCRIS 3058', 'Methylaethylnitrosamin [German]', 'N-ethyl-N-methyl-nitrous amide', 'HSDB 5109', 'N-Nitrosomethylethylamine (NMEA)', 'N-nitroso-methylethylamine', 'BRN 1742021', '00RLM29Y3A', 'CHEBI:82360', '69278-54-2', 'Nitrosomethylethylamine', 'N-nitroso-methyl-ethylamine', 'ethyl(methyl)nitrosoamine', 'DSSTox_CID_1036', 'N-Nitroso-methyl ethylamine', 'DSSTox_RID_75918', 'N-Methyl-N-nitroso-ethamine', 'DSSTox_GSID_21036', 'CHEMBL164852', 'Ethanamine, N-methyl-N-nitroso', 'DTXSID6021036', 'N-ethyl-N-methyl-N-nitrosoamine', 'CTK2F6484', 'RTDCJKARQCRONF-UHFFFAOYSA-', 'ZINC5649577', 'Tox21_200744', '1-Ethyl-1-methyl-2-oxohydrazine #', 'AKOS006283561', 'LS-7598', 'NCGC00248817-01', 'NCGC00258298-01', 'CAS-10595-95-6', 'FT-0672957', 'NS00000637', 'C19281', 'J-001510', 'N-Nitroso-methylethylamine 100 microg/mL in Methanol', 'Q27155899', 'N-Nitrosomethylethylamine (NMEA);methylethylnitrosamine']</t>
  </si>
  <si>
    <t>Compound(25418)</t>
  </si>
  <si>
    <t>C3H8N2O</t>
  </si>
  <si>
    <t>5-ethyl-2-methylpyridine</t>
  </si>
  <si>
    <t>['5-Ethyl-2-methylpyridine', '104-90-5', '5-Ethyl-2-picoline', 'Aldehydine', '2-METHYL-5-ETHYLPYRIDINE', 'Pyridine, 5-ethyl-2-methyl-', 'Aldehydkollidin', 'Aldehydecollidine', '2-Picoline, 5-ethyl-', '5-Ethyl-2-methyl-pyridine', '2,5-Aldehydine', '3-Ethyl-6-methylpyridine', '6-Methyl-3-ethylpyridine', 'Collidine, aldehydecollidine', '5-Ethyl-alpha-picoline', 'MEP (VAN)', 'UNII-WG205CGK3Y', 'NSC 1984', 'FEMA No. 3546', 'HSDB 5137', 'EINECS 203-250-0', 'UN2300', '5-Ethyl-.alpha.-picoline', '2-Methyl-5-ethyl pyridine', '5-Ethyl-2-methyl pyridine', 'BRN 0109269', 'WG205CGK3Y', 'AI3-19225', 'MFCD00006344', '5-Ethyl-2-methylpyridine (5-Ethyl-2-picoline)', '5-Ethyl-2-methylpyridine, &gt;=96%', '5-Ethyl-a-picoline', 'PubChem10482', 'DSSTox_CID_1861', 'ACMC-2098dz', 'EC 203-250-0', 'DSSTox_GSID_21861', 'SCHEMBL24448', '5-20-06-00086 (Beilstein Handbook Reference)', 'KSC174Q3R', 'WLN: T6NJ B1 E2', 'CHEMBL227181', 'DTXSID7021861', 'CTK0H4838', 'FEMA 3546', 'KS-00000WRS', 'NSC1984', 'ZINC967331', 'NSC-1984', 'Tox21_303710', 'ANW-15141', 'SBB060375', 'AKOS000120418', 'AC-5961', 'LS-2739', 'MCULE-4731126872', 'UN 2300', '5 - Ethyl - 2 - methyl - pyridine', 'NCGC00357258-01', 'CAS-104-90-5', 'SC-79278', 'DB-002462', 'E0142', 'FT-0620374', 'NS00019931', 'ST51046564', '2-Methyl-5-ethylpyridine [UN2300] [Poison]', '2-Methyl-5-ethylpyridine [UN2300]  [Poison]', 'Q-200539', 'Q27292618', 'F0001-0092', '5-Ethyl-2-methylpyridine, Lonza quality, &gt;=96.0% (GC)', '2-Picoline, 5-ethyl-;5-ethyl-2-methylpyridine;5-ethyl-2-methylpyridine hydrochloride']</t>
  </si>
  <si>
    <t>Compound(7728)</t>
  </si>
  <si>
    <t>methyl propylate</t>
  </si>
  <si>
    <t>methyl propanoate</t>
  </si>
  <si>
    <t>['METHYL PROPIONATE', 'Methyl propanoate', '554-12-1', 'Propanoic acid, methyl ester', 'Methyl propylate', 'Methylpropionate', 'Propionic acid, methyl ester', 'Propionate de methyle', 'PROPIONIC ACID METHYL ESTER', 'Propanoic acid methyl ester', 'FEMA Number 2742', 'NSC 9375', 'Methyl Propionate (natural)', 'UNII-NB21C0D33W', 'Methylester kyseliny propionove', 'FEMA No. 2742', 'Propionate de methyle [French]', 'HSDB 5688', 'EINECS 209-060-4', 'UN1248', 'Methylester kyseliny propionove [Czech]', 'BRN 1737628', 'Methyl ester of propanoic acid', 'AI3-10621', 'NB21C0D33W', 'CHEBI:89873', 'MFCD00009306', 'Methyl propionate, 99+%', 'formyl propionate', 'methyl proprionate', 'Methyl Propanoate.', 'propionic acid methyl', 'Methyl propionate, 99%', 'C2H5COOCH3', 'DSSTox_CID_7201', 'Propionic acid-methyl ester', 'ACMC-1B1E8', 'DSSTox_RID_78347', 'DSSTox_GSID_27201', '4-02-00-00704 (Beilstein Handbook Reference)', 'KSC489Q2J', 'WLN: 2VO1', 'CHEMBL3183973', 'DTXSID7027201', 'CTK3I9824', 'FEMA 2742', 'NSC9375', 'Methyl propionate, &gt;=98%, FG', 'KS-00000VQ3', 'NSC-9375', 'ZINC1699947', 'Tox21_200730', '7263AF', 'ANW-41999', 'LMFA07010410', 'Methyl propionate, analytical standard', 'AKOS008908807', 'LS-2956', 'MCULE-7384824725', 'UN 1248', 'NCGC00248813-01', 'NCGC00258284-01', 'CAS-554-12-1', 'DB-003724', 'FT-0628797', 'Methyl propionate, purum, &gt;=99.0% (GC)', 'NS00012985', 'P0508', 'S0301', 'WE(1:0/3:0)', '81943-EP2269986A1', '81943-EP2269995A1', '81943-EP2275407A1', '81943-EP2287152A2', '81943-EP2298750A1', '81943-EP2305676A1', '81943-EP2305825A1', '81943-EP2380568A1', 'Methyl propionate [UN1248] [Flammable liquid]', 'A830633', 'Methyl propionate [UN1248]  [Flammable liquid]', 'Q418391', 'B64DF78F-37BE-4C30-A4DB-6EB6AD7FDD52', 'J-522628', 'Methyl propanoate;Methyl propionate;Methyl Propanoate.;methyl propionate;METHYL PROPIONATE']</t>
  </si>
  <si>
    <t>Compound(11124)</t>
  </si>
  <si>
    <t>methyl butylate</t>
  </si>
  <si>
    <t>methyl butanoate</t>
  </si>
  <si>
    <t>['Methyl butyrate', 'Methyl butanoate', '623-42-7', 'Butanoic acid, methyl ester', 'METHYL N-BUTYRATE', 'Butyric acid, methyl ester', 'Methyl n-butanoate', 'Butyric acid methyl ester', 'n-Butyric acid methyl ester', 'Methyl-n-butyrate', 'Methyl butyrate (natural)', 'NSC 9380', 'UNII-CGX598508O', 'FEMA No. 2693', 'FEMA No. 3693', 'HSDB 5721', 'Methyl butyrate, 99%', 'EINECS 210-792-1', 'UN1237', 'BRN 1740743', 'Methyl ester of butanoic acid', 'AI3-06009', 'CHEBI:88806', 'CGX598508O', 'MFCD00009391', 'Methylbutyrate', 'Butanoic acid methyl ester', 'Methyl Butanoate.', 'Butyric acid methyl', 'Nat.Methyl Butyrate', 'methanol I ethyl acetate', 'methanol - ethyl acetate', 'methyl 3-methylpropionate', 'Butyric acid-methyl ester', 'n-C3H7COOCH3', 'ACMC-209t4w', 'DSSTox_CID_27083', 'DSSTox_RID_82095', 'DSSTox_GSID_47083', 'SCHEMBL13685', '4-02-00-00786 (Beilstein Handbook Reference)', 'KSC492E1L', 'WLN: 3VO1', 'CHEMBL15859', 'DTXSID5047083', 'Methyl butyrate, &gt;=98%, FG', 'CTK3J2215', 'NSC9380', 'ZINC404765', 'KS-00000WO2', 'NSC-9380', 'Methyl butyrate, analytical standard', 'Tox21_301821', 'ANW-42030', 'LMFA07010528', 'SBB061104', 'AKOS008907317', 'LS-2914', 'MCULE-1092030267', 'NE61132', 'UN 1237', 'Methyl butyrate, natural, &gt;=98%, FG', 'NCGC00256040-01', 'CAS-623-42-7', 'SC-74735', 'DB-054136', 'B0763', 'FT-0628708', 'NS00012861', 'ST51047170', 'WE(1:0/4:0)', 'Methyl butyrate [UN1237] [Flammable liquid]', '36683-EP2305642A2', '36683-EP2305825A1', '36683-EP2311801A1', '36683-EP2311802A1', '36683-EP2311803A1', '36683-EP2371814A1', 'Methyl butyrate [UN1237]  [Flammable liquid]', 'Q420701', 'J-522595', 'Methyl Butanoate.;methyl butyrate;METHYL BUTYRATE', '5ADC8486-F8C0-4A7A-ACD5-2234D52DE6E0', 'Methyl butyrate, certified reference material, TraceCERT(R)']</t>
  </si>
  <si>
    <t>Compound(12180)</t>
  </si>
  <si>
    <t>C5H10O2</t>
  </si>
  <si>
    <t>methyl hexylate</t>
  </si>
  <si>
    <t>methyl hexanoate</t>
  </si>
  <si>
    <t>['METHYL HEXANOATE', 'Methyl caproate', '106-70-7', 'Hexanoic acid, methyl ester', 'Hexanoic Acid Methyl Ester', 'Methyl hexoate', 'Methyl capronate', 'Methyl n-hexanoate', 'Methyl hexylate', 'Caproic acid methyl ester', 'Methyl caproate (natural)', 'Methyl n-hexoate', 'NSC 5023', 'UNII-246364VPJS', 'FEMA No. 2708', 'Methyl hexanoate, 99%', 'EINECS 203-425-1', 'Caproic acid, methyl ester', 'n-Caproic acid methyl ester', 'BRN 1744683', 'Methyl ester of hexanoic acid', 'HEXANOIC ACID,METHYL ESTER', '246364VPJS', 'MFCD00009510', 'Methyl hexanoate, 99%, analytical standard for GC', 'methylcaproate', 'methylhexanoate', 'formyl hexanoate', 'Methyl hexanoate.', 'Hexanoic acid methyl', 'hexanoic acid-methyl ester', 'ACMC-209t5u', 'EC 203-425-1', 'KSC492A9F', 'SCHEMBL124681', 'DTXSID0047616', 'CHEBI:77322', 'CTK3J2092', 'FEMA 2708', 'Methyl hexanoate, &gt;=99%, FG', 'NSC5023', 'METHYL CAPROATE;methyl hexanoate', 'KS-00000V6E', 'NSC-5023', 'ZINC1680660', '7798AF', 'ANW-42064', 'LMFA07010433', 'Methyl hexanoate, analytical standard', 'SBB060591', 'STL453686', 'AKOS000121260', 'LS-2932', 'MCULE-2317616388', 'Methyl hexanoate, natural, &gt;=99%, FG', 'FT-0628711', 'NS00007593', 'S0304', 'ST51046742', 'WE(1:0/6:0)', 'A801486', 'J-001632', 'Q3135043', '338DD8BE-299B-44EE-816C-16C9BDD20EC6', 'Methyl hexanoate, certified reference material, TraceCERT(R)', 'Methyl caproate, United States Pharmacopeia (USP) Reference Standard']</t>
  </si>
  <si>
    <t>Compound(7824)</t>
  </si>
  <si>
    <t>methyl chlorocarbonate</t>
  </si>
  <si>
    <t>methyl carbonochloridate</t>
  </si>
  <si>
    <t>['METHYL CHLOROFORMATE', '79-22-1', 'Methyl chlorocarbonate', 'methyl carbonochloridate', 'Methoxycarbonyl chloride', 'Chloroformic acid methyl ester', 'Carbonochloridic acid, methyl ester', 'Methyl chloridocarbonate', 'Metilcloroformiato', 'K-Stoff', 'Methylchloorformiaat', 'RCRA waste number U156', 'Formic acid, chloro-, methyl ester', 'chloro(methoxy)methanone', 'Chlorocarbonic acid methyl ester', 'Chloroformiate de methyle', 'Chlorocarbonate de methyle', 'UNII-RC6VA8OB2N', 'Methylchloorformiaat [Dutch]', 'Metilcloroformiato [Italian]', 'Chlorameisensaeure methylester', 'TL 438', 'HSDB 1116', 'Methylester kyseliny chlormravenci', 'Methylester kyseliny chloruhlicite', 'Chloroformiate de methyle [French]', 'Chlorocarbonate de methyle [French]', 'EINECS 201-187-3', 'UN1238', 'RC6VA8OB2N', 'RCRA waste no. U156', 'Methyl chloroformate, 99%', 'Chlorameisensaeure methylester [German]', 'BRN 0605437', 'Methylester kyseliny chlormravenci [Czech]', 'Methylester kyseliny chloruhlicite [Czech]', 'MCF', 'methylchoroformate', 'methy chloroformate', 'methyl chloroformat', 'methyl choroformate', 'ClCOOMe', 'MeOCOCl', 'methyl chioroformate', 'methyl-chloroformate', 'methylchlorocarbonate', 'methyl chloroforrnate', 'ClCO2Me', 'methyl chloroform ate', 'methoxycarbonylchloride', 'methylcarbonochloridate', 'methylchloridocarbonate', 'CH3OCOCl', 'methyl carbonchloridate', 'MeOC(O)Cl', 'PubChem15319', 'chloroformic acid methyl', 'ClCO2CH3', 'chloro-(methoxy)methanone', 'DSSTox_CID_4185', 'Methyl chloridocarbonate #', 'EC 201-187-3', 'DSSTox_RID_77321', 'DSSTox_GSID_24185', 'KSC377C3F', 'ACMC-20a487', 'chloro formic acid methyl ester', 'CHEMBL3182300', 'DTXSID0024185', 'CTK2H7132', 'XMJHPCRAQCTCFT-UHFFFAOYSA-', 'Chlorocarbonic acid, methyl ester', 'ZINC3860600', 'Tox21_200841', 'ANW-56405', 'BBL011482', 'STL146594', 'AKOS000121088', 'MCULE-8022274771', 'UN 1238', 'CAS-79-22-1', 'NCGC00248847-01', 'NCGC00258395-01', 'BP-31038', 'LS-52216', 'Methyl chloroformate [UN1238] [Poison]', 'Methyl chloroformate, 99%, AcroSeal(R)', 'Methyl chloroformate [UN1238]  [Poison]', 'NS00002965', '17478-EP2269993A1', '17478-EP2270006A1', '17478-EP2272516A2', '17478-EP2272841A1', '17478-EP2275404A1', '17478-EP2284169A1', '17478-EP2287161A1', '17478-EP2287162A1', '17478-EP2289893A1', '17478-EP2289897A1', '17478-EP2292595A1', '17478-EP2298772A1', '17478-EP2305649A1', '17478-EP2305658A1', '17478-EP2305684A1', '17478-EP2308833A2', '17478-EP2308838A1', '17478-EP2308839A1', '17478-EP2308841A2', '17478-EP2308857A1', '17478-EP2308858A1', '17478-EP2311816A1', '17478-EP2311817A1', '17478-EP2311824A1', '17478-EP2314578A1', '17478-EP2314586A1', 'Q419678', 'F0001-2072', 'methyl chloroformate;Formic acid, chloro-, methyl ester']</t>
  </si>
  <si>
    <t>Compound(6586)</t>
  </si>
  <si>
    <t>C2H3ClO2</t>
  </si>
  <si>
    <t>methylchlorpyrifos</t>
  </si>
  <si>
    <t>dimethoxy-sulfanylidene-(3,5,6-trichloropyridin-2-yl)oxy-lambda5-phosphane</t>
  </si>
  <si>
    <t>['Chlorpyrifos-methyl', '5598-13-0', 'Trichlormethylfos', 'Chloropyriphos-methyl', 'Methyl chlorpyrifos', 'Reldan', 'Methyl chlorpyriphos', 'Noltran', 'Zertell', 'Dursban methyl', 'Methyl dursban', 'CHLORPYRIFOS METHYL', 'Dowco 214', 'Chlorpyriphos-methyl', 'Tumar', 'Reldan 50 EC', 'Phosphorothioic acid, O,O-dimethyl O-(3,5,6-trichloro-2-pyridinyl) ester', 'Methylchlorpyrifos', 'Caswell No. 179AA', 'Chlorpyrifos O,O-dimethyl analog', 'OMS-1155', 'ENT 27520', 'NSC 60380', 'Phosphorothioic acid, O,O-dimethyl O-(3,5,6-trichloro-2-pyridyl) ester', 'UNII-O49S38267J', 'HSDB 6981', 'Chlorpyriphos-methyl [ISO-French]', 'EINECS 227-011-5', 'M 3196', 'O,O-Dimethyl-O-(3,5,6-trichloro-2-pyridyl)phosphorothioate', 'Chlorpyrifos-methyl [ANSI:BSI:ISO]', 'EPA Pesticide Chemical Code 059102', 'BRN 1541078', 'AI3-27520', 'O,O-Dimethyl O-(3,5,6-trichloro-2-pyridyl)phosphorothioate', 'CHEBI:34632', 'O,O-Dimethyl O-(3,5,6-trichloro-2-pyridyl) phosphorothioate', 'O,O-dimethyl O-(3,5,6-trichloropyridin-2-yl) phosphorothioate', 'O49S38267J', 'O,O-dimethyl O-(3,5,6-trichloropyridin-2-yl) thiophosphate', 'O,O-Dimethyl O-3,5,6-trichloro-2-pyridyl phosphorothioate', 'O,O-DIMETHYL O-3,5,6-TRICHLOROPYRIDIN-2-YL PHOSPHOROTHIOATE', 'Chlorpyrifos M', 'CCRIS 8081', 'Cooper graincote', 'dimethoxy-sulfanylidene-(3,5,6-trichloropyridin-2-yl)oxy-?^{5}-phosphane', 'Reldan F', 'Chloropyrifos-methyl', 'Chlorpyriphos methyl', 'DSSTox_CID_12352', 'DSSTox_RID_78920', 'DSSTox_GSID_32352', 'SCHEMBL27546', 'BIDD:ER0537', 'CHEMBL1370646', 'DTXSID6032352', 'Tox21_300700', 'AKOS016010066', 'O,O-Dimethyl O-(3,5,6-trichloro-2-pyridinyl) phosphorothioate (8CI)(9CI)', 'NCGC00163710-01', 'NCGC00163710-03', 'NCGC00163710-04', 'NCGC00163710-05', 'NCGC00254608-01', 'CC-25730', 'CAS-5598-13-0', 'DB-052832', 'LS-108888', 'FT-0602969', 'NS00000446', 'C14520', 'Chlorpyrifos-methyl 1000 microg/mL in Toluene', 'Chlorpyrifos-methyl 10 microg/mL in Cyclohexane', '598C130', 'A830878', 'C-19735', 'Chlorpyrifos-methyl 100 microg/mL in Cyclohexane', 'Q2964145', 'Chlorpyrifos-methyl, PESTANAL(R), analytical standard', 'O,O-dimethyl O-(3,5,6-trichloro-2-pyridinyl) phosphorothioate', 'O,O-Dimethyl O-3,5,6-trichloropyridin-2-yl-phosphorothioate', 'dimethoxy-sulfanylidene-(3,5,6-trichloropyridin-2-yl)oxy-{5}-phosphane', 'dimethoxy-sulfanylidene-[(3,5,6-trichloro-2-pyridinyl)oxy]phosphorane', 'O,O-Dimethyl O-(3,5,6-trichloro-2-pyridinyl) phosphorothioate (8CI)', 'O,O-Dimethyl O-3,5,6-trichloro-2-pyridyl phosphoro;chlorpyrifos-methyl', 'Chlorpyrifos-methyl solution, 100 mug/mL in acetonitrile, PESTANAL(R), analytical standard', 'dimethoxy-sulfanylidene-[3,5,6-tris(chloranyl)pyridin-2-yl]oxy-$l^{5}-phosphane']</t>
  </si>
  <si>
    <t>Compound(21803)</t>
  </si>
  <si>
    <t>C7H7Cl3NO3PS</t>
  </si>
  <si>
    <t>methyl dimethyl dithiocarbamate</t>
  </si>
  <si>
    <t>methyl N,N-dimethylcarbamodithioate</t>
  </si>
  <si>
    <t>['Methyl dimethyldithiocarbamate', 'Cystogon', 'Forbiat', '3735-92-0', 'Methyl N,N-dimethyldithiocarbamate', 'Dimethyldithiocarbamic acid methyl ester', 'CARBAMIC ACID, DIMETHYLDITHIO-, METHYL ESTER', 'Carbamodithioic acid, dimethyl-, methyl ester', 'Methyl dimethylcarbamodithioate', 'EINECS 223-105-5', 'NSC 40176', 'Carbamodithioic acid,N,N-dimethyl-, methyl ester', 'BRN 1742923', 'AI3-03285', 'N,N-dimethyl(methylsulfanyl)carbothioamide', 'SCHEMBL220119', 'WLN: SUYS1&amp;N1&amp;1', 'CHEMBL504894', 'CTK4H8034', 'DTXSID40190797', 'NSC40176', 'ZINC1671797', 'FCH828599', 'NSC-40176', 'AKOS006240950', 'ACM3735920', 'dimethylcarbamodithioic acid methyl ester', 'Dimethyl-dithiocarbamic acid methyl ester', 'AS-67643', 'LS-49534', 'NCI60_003772', 'NS00030182', 'Carbamodithioic acid, dimethyl-, methyl ester (9CI)', 'Q55075175']</t>
  </si>
  <si>
    <t>Compound(19526)</t>
  </si>
  <si>
    <t>C4H9NS2</t>
  </si>
  <si>
    <t>methyl dihydrojasmonate</t>
  </si>
  <si>
    <t>methyl 2-(3-oxo-2-pentylcyclopentyl)acetate</t>
  </si>
  <si>
    <t>['Methyl dihydrojasmonate', '24851-98-7', 'Hedione', 'methyl 2-(3-oxo-2-pentylcyclopentyl)acetate', 'Kharismal', 'Cyclopentaneacetic acid, 3-oxo-2-pentyl-, methyl ester', 'Methyl (3-oxo-2-pentylcyclopentyl)acetate', 'FEMA No. 3408', 'Methyl 3-oxo-2-pentylcyclopentaneacetate', 'DIHYDROJASMONIC ACID, METHYL ESTER', 'Methyl (2-pentyl-3-oxocyclopentyl)acetate', 'EINECS 246-495-9', 'Methyl 3-oxo-2-pentyl-cyclopentaneacetate', 'AK114175', 'DSSTox_CID_9325', 'DSSTox_RID_78763', 'DSSTox_GSID_29325', '2-Amylcyclopentan-1-one-3-acetic Acid Methyl Ester', 'W-107278', 'CAS-24851-98-7', 'Hedione(MDJ)', 'methyl dihydro jasmonate extra EPI (CIS)', 'Spectrum_001583', 'methyl dihydro jasmonate', 'Spectrum2_000558', 'Spectrum3_001924', 'Spectrum4_001758', 'Spectrum5_000616', 'Dihydrojasmonic acid methyl', 'EC 246-495-9', 'BSPBio_003524', 'KBioGR_002236', 'KBioSS_002063', 'MLS002696002', 'SCHEMBL113649', 'SPECTRUM1504910', 'SPBio_000635', 'CYC017', 'CHEMBL1530328', 'DTXSID2029325', 'CTK8H8936', 'KBio2_002063', 'KBio2_004631', 'KBio2_007199', 'KBio3_002748', 'Methyl dihydrojasmonate (Hedione)', 'HMS1617K17', 'BB_NC-00203', 'HY-N7084', 'Tox21_202172', 'Tox21_303588', 'BBL009815', 'CCG-38726', 'FD7202', 's5139', 'STK072613', 'AKOS001683947', 'CS-W014206', 'DS-6422', 'MCULE-7597345136', 'SDCCGMLS-0066789.P001', 'KS-0000020U', 'methyl 3-oxo-2-pentylcyclopentylacetate', 'methyl 2-pentyl-3-oxo-cyclopentylacetate', 'NCGC00095846-01', 'NCGC00095846-02', 'NCGC00095846-03', 'NCGC00257324-01', 'NCGC00259721-01', '128087-96-7', 'LS-57824', 'Methyl 3-oxo-2-pentylcyclopentaneacetate.', 'SMR000387079', 'AX8045218', 'DB-049906', 'D1431', 'EU-0083698', 'FT-0624961', 'FT-0624962', 'Methyl 3-Oxo-2-pentyl-1-cyclopentaneacetate', 'NS00004102', 'UNM000000712401', 'SR-05000002474', 'SR-05000002474-1', '3-oxo-2-pentyl-cyclopentane-acetic acid methyl ester', 'Methyl dihydrojasmonate, mixture of cis and trans, &gt;=96%, FG', 'Methyldihydrojasmonate (Methyl 3-oxo-2-pentylcyclopentaneacetate)', 'Methyl dihydrojasmonate, mixture of cis and trans, analytical standard', 'Methyl dihydrojasmonate;SODIUM TETRAHYDROJASMONATE;Methyl 3-oxo-2-pentyl-1-cyclopentylacetate;Methyl (1R-trans)-3-oxo-2-pentylcyclopentaneacetate;methyl (1R-trans)-3-oxo-2-pentylcyclopentaneacetate']</t>
  </si>
  <si>
    <t>Compound(102861)</t>
  </si>
  <si>
    <t>C13H22O3</t>
  </si>
  <si>
    <t>methylphenyl sulfone</t>
  </si>
  <si>
    <t>methylsulfonylbenzene</t>
  </si>
  <si>
    <t>['METHYL PHENYL SULFONE', '3112-85-4', '(Methylsulfonyl)benzene', 'Benzene, (methylsulfonyl)-', 'methylsulfonylbenzene', 'Phenyl methyl sulfone', 'Sulfone, methyl phenyl', '(Methylsulphonyl)benzene', 'methylphenylsulfone', '(Phenylsulfonyl)methane', 'Methyl phenyl sulphone', 'phenylmethylsulfone', 'methylphenyl sulfone', 'NSC 41587', 'UNII-150B65AI4O', 'Methanesulfonyl-benzene', 'EINECS 221-476-8', 'MFCD00014741', 'BRN 1906914', '150B65AI4O', 'Methyl phenyl sulfone, 99%', 'methanesulfonylbenzene', 'methylphenylsulphone', 'Benzene, (methylsulfonyl)- (9CI)', 'methylphenyl sulphone', 'Phenyl(methyl)sulfon', 'methyl(phenyl)sulfone', 'methanesulphonylbenzene', 'Phenyl methyl sulphone', 'PubChem10862', '(Methanesulfonyl)benzene', '1-(Methylsulfonyl)Benzene', 'Bionet2_000393', 'ACMC-1CS79', 'SCHEMBL78253', '4-06-00-01468 (Beilstein Handbook Reference)', 'KSC492A2B', 'CHEMBL116841', '1-(Methylsulfonyl)benzene-4-D', 'DTXSID1075228', 'CTK3J2020', 'HMS1365B19', 'ZINC165307', 'KS-00000WU1', 'NSC41587', 'STR03539', 'ANW-27039', 'MFCD31699939', 'NSC-41587', 'SBB037857', 'STL220308', 'AKOS000279256', 'MCULE-8530166761', 'AC-16482', 'M672', 'Methyl phenyl sulfone, &gt;=98.0% (GC)', 'SC-43973', 'ST079292', 'SY018221', 'SY246294', 'AB0015336', 'DB-047971', 'LS-148003', 'FT-0628789', 'FT-0672161', 'M0401', 'NS00010769', 'K-7388', '2R-0703', 'J-620023', 'W-106915', 'Q27251665', '2122800-11-5']</t>
  </si>
  <si>
    <t>Compound(18369)</t>
  </si>
  <si>
    <t>C7H8O2S</t>
  </si>
  <si>
    <t>methylmercury</t>
  </si>
  <si>
    <t>methylmercury(1+)</t>
  </si>
  <si>
    <t>['Methylmercury(1+)', 'Methylmercury II', 'Methyl Mercury Ion', 'Methylmercury ion', 'METHYLMERCURY(II) CATION', 'Monomethylmercury cation', 'Methylmercury ion(1+)', 'CH3Hg+', 'Mercury(1+), methyl-', 'Methyl mercury(II) cation', '22967-92-6', 'methylmercury(II)', '[HgMe](+)', 'CH3Hg(+)', 'Mercury(1+), methyl-, ion', '[HgCH3](+)', 'DTXSID9024198', 'CHEBI:49747', 'CTK8D8906', 'HSDB 3930', 'AKOS015903545', 'BRN 3902999', 'LS-89823', 'C18672', 'Q414075', 'Methyl mercury(II) cation;Methylmercury;methylmercury II;MERCURY,METHYL(8-QUINOLINOLATO)-']</t>
  </si>
  <si>
    <t>Compound(6860)</t>
  </si>
  <si>
    <t>CH3Hg+</t>
  </si>
  <si>
    <t>methylmercury benzoate</t>
  </si>
  <si>
    <t>benzoyloxy(methyl)mercury</t>
  </si>
  <si>
    <t>['Methylmercury benzoate', '3626-13-9', 'Caswell No. 573B', 'DTXSID60895151', 'Mercury, (benzoato-kappaO)methyl-', 'EINECS 222-834-6', 'ACM3626139', 'EPA Pesticide Chemical Code 051904']</t>
  </si>
  <si>
    <t>Compound(16683944)</t>
  </si>
  <si>
    <t>C8H8HgO2</t>
  </si>
  <si>
    <t>methyl N-nitroso-vinylamine</t>
  </si>
  <si>
    <t>N-ethenyl-N-methylnitrous amide</t>
  </si>
  <si>
    <t>['Methylvinylnitrosamine', 'N-NITROSOMETHYLVINYLAMINE', 'MVNA', 'NMVA', 'Methylvinylnitrosoamine', 'Methylvinylnitrosamin', 'Ethenamine, N-methyl-N-nitroso-', 'N-Methyl-N-nitrosovinylamine', 'N-Nitroso-N-methylvinylamine', 'Vinylamine, N-methyl-N-nitroso-', 'RCRA waste number P084', 'Ethenylamine, N-methyl-N-nitroso-', 'N-Ethenyl-N-methylnitrosamine', '4549-40-0', 'CCRIS 472', 'Methylvinylnitrosamin [German]', 'NSC 137906', 'N-Methyl-N-nitroso-ethenylamine', 'UNII-4F13H2637M', 'HSDB 5110', 'RCRA waste no. P084', 'BRN 2070750', 'N-Methyl-N-nitrosoethenylamine', 'CHEBI:82361', '4F13H2637M', 'ethenyl(methyl)nitrosoamine', 'N-Nitroso-methylvinyl amine', 'WLN: ONN1&amp;1U1', 'CHEMBL163957', 'ZINC4984176', '1-Methyl-2-oxo-1-vinylhydrazine #', 'FCH843867', 'NSC137906', 'AKOS006276485', 'ACM4549400', 'NSC-137906', 'Ethenamine, N-methyl-N-nitroso- (9CI)', 'DS-010932', 'LS-162185', 'C19282', 'Q27155900']</t>
  </si>
  <si>
    <t>Compound(20678)</t>
  </si>
  <si>
    <t>C3H6N2O</t>
  </si>
  <si>
    <t>methyl nitrosourea</t>
  </si>
  <si>
    <t>1-methyl-1-nitrosourea</t>
  </si>
  <si>
    <t>['N-Methyl-N-nitrosourea', 'N-NITROSO-N-METHYLUREA', '1-Methyl-1-nitrosourea', '684-93-5', 'Methylnitrosourea', 'Urea, N-methyl-N-nitroso-', 'Methylnitrosouree', '1-Nitroso-1-methylurea', 'N-Nitroso-N-methylcarbamide', 'N-Nitroso-N-methyl urea', 'Methylnitroso-harnstoff', 'Urea, 1-methyl-1-nitroso-', 'NSC 23909', 'RCRA waste number U177', 'SRI 859', 'NMH [German]', 'Urea, methylnitroso-', 'N-Methyl-N-nitroso-harnstoff', 'N-Nitroso-N-methyl-harnstoff', 'NSC-23909', 'SKI 24464', 'Carbamide, N-methyl-N-nitroso-', 'MNU', 'UNII-W8KW4E3XSU', 'Methylnitrosouree [French]', '1-Methyl-1-nitrosomocovina', 'N-methylnitrosourea', 'CCRIS 404', 'NMH', 'NMU', 'Methylnitroso-harnstoff [German]', 'HSDB 5112', '1-Methyl-1-nitrosomocovina [Czech]', 'EINECS 211-678-4', 'W8KW4E3XSU', 'RCRA waste no. U177', 'N-Methyl-N-nitroso-harnstoff [German]', 'N-Nitroso-N-methyl-harnstoff [German]', 'O-Nitroso-N-methyl-harnstoff [German]', 'AI3-50583', 'CHEBI:50102', '1-(Aminocarbonyl)-1-methyl-2-oxohydrazine', '28606-00-0', 'C2H5N3O2', '68426-45-9', 'N-methyl-N-nitroso-Urea', 'O-Nitroso-N-methyl-harnstoff', 'NSC23909', 'N-methyl-nitrosourea', 'Methylnitrosoharnstoff', 'N-methyl-N-nitrosurea', 'N-methyl,N-nitrosourea', 'N-methyl-N-nitrosouree', 'N-nitroso-N-methyluree', 'N-Methyl N-Nitrosourea', 'NMU;MNU;NMH', 'DSSTox_CID_1006', 'WLN: ZVN1&amp;NO', 'N-methyl-N-nitrosocarbamide', 'N-Methyl-N-nitrosoharnstoff', 'N-Nitroso-N-methylharnstoff', 'N-Nitrosomethylurea - Carc', 'DSSTox_RID_75909', 'n-methyl-n-nitroso-carbamide', 'DSSTox_GSID_21006', 'N-nitroso- N-methylcarbamide', 'SCHEMBL38377', 'CHEMBL288958', 'DTXSID4021006', 'CTK2F3254', 'KS-000002IE', 'ZINC4202501', 'Tox21_302850', 'FCH916934', 'N-Nitroso-N-methylurea, ISOPAC(R)', 'N-Nitroso-N-methylurea, Bulk package', 'Urea, 1-methyl-1-nitroso- (8CI)', 'AKOS006228360', 'LS-1582', 'NCGC00256586-01', 'AS-31175', 'CAS-684-93-5', 'HY-34758', 'SC-19817', 'DB-014949', 'LS-160476', 'CS-0022387', 'FT-0659469', 'NS00022687', 'V2274', '1-(Aminocarbonyl)-1-methyl-2-oxohydrazine #', 'C14595', '139765-EP2292576A2', '684N935', 'C-42370', 'Q3023727', 'n-nitroso-n-methylurea (stabilized with 10% acetic acid)', 'N-Nitroso-N-methylurea wet with 10% acetic acid solution']</t>
  </si>
  <si>
    <t>Compound(12699)</t>
  </si>
  <si>
    <t>C2H5N3O2</t>
  </si>
  <si>
    <t>methyl naphthalene</t>
  </si>
  <si>
    <t>methyloxydemetone</t>
  </si>
  <si>
    <t>1-dimethoxyphosphorylsulfanyl-2-ethylsulfinylethane</t>
  </si>
  <si>
    <t>['OXYDEMETON-METHYL', 'Oxydemeton methyl', 'Metasystox-R', '301-12-2', 'Demeton-S-methyl sulfoxide', 'Methyl oxydemeton S', 'oxdemetonmethyl', 'Metasystemox', 'Oxydemetonmethyl', 'Aimco systox', 'Metaisosystox sulfoxide', 'Metasystemox R', 'Metasystox R', 'Metasytox R', 'Metilmercaptofosoksid', 'Metaisosystoxsulfoxide', 'Caswell No. 455', 'Isomethylsystox sulfoxide', 'Demeton-methyl sulphoxide', 'Bayer 21097', 'Demeton-S methyl sulfoxide', 'Oxydemeton-metile [Italian]', 'Metilmercaptofosoksid (USSR)', 'NSC 370785', 'Oxydemeton-methyl [BSI:ISO]', 'CCRIS 4667', 'HSDB 1718', 'Demeton-S-methyl sulfoxid [German]', 'Demeton-S-methyl-sulfoxid [German]', 'EINECS 206-110-7', 'BAY 21097', 'R 2170', 'ENT 24,964', 'EPA Pesticide Chemical Code 058702', 'BRN 1711268', 'Phosphorothioic acid, S-(2-(ethylsulfinyl)ethyl) O,O-dimethyl ester', 'AI3-24964', 'Dimethyl S-(2-eththionylethyl) thiophosphate', 'CHEBI:38735', 'Phosphorothioic acid, S-[2-(ethylsulfinyl)ethyl] O,O-dimethyl ester', '1-dimethoxyphosphorylsulfanyl-2-ethylsulfinylethane', 'O,O-Dimethyl S-ethylsulphinylethyl phosphorothiolate', 'O,O-Dimethyl S-(2-eththionylethyl) phosphorothioate', 'O,O-Dimethyl S-(2-ethylsulfinyl)ethyl thiophosphate', 'S-2-Ethylsulphinylethyl O,O-dimethyl phosphorothioate', 'O,O-Dimethyl S-(2-(ethylsufinyl)ethyl) thiophosphate', 'S-[2-(ethylsulfinyl)ethyl] O,O-dimethyl thiophosphate', 'S-(2-(Ethylsulfinyl)ethyl) O,O-dimethl phosphorothioate', 'O,O-Dimethyl S-(2-(ethylsulfinyl)ethyl) monothiophosphate', 'O,O-Dimethyl S-(2-(ethylsulfinyl)ethyl) phosphorothioate', 'S-(2-(Ethylsulfinyl)ethyl) O,O-dimethyl phosphorothioate', 'S-[2-(ethanesulfinyl)ethyl] O,O-dimethyl phosphorothioate', 'O,O-Dimethyl-S-(2-ethylsulfinyl-ethyl)-monothiofosfaat [Dutch]', 'O,O-Dimetil-S-(2-etil-solfinil-etil)-monotiofosfato [Italian]', 'O,O-Dimethyl-S-(2-aethylsulfinyl-aethyl)-thiolphosphat [German]', 'O,O-Dimethyl-S-(3-oxo-3-thia-pentyl)-monothiophosphat [German]', 'S-(2-(Ethylsulfinyl)ethyl) O,O-dimethyl ester phosphorothioic acid', 'Phosphorothioic acid, O,O-dimethyl S-(2-(ethylsulfinyl)ethyl) ester', 'Thiophosphate de O,O-dimethyle et de S-2-ethylsulfinylethyle [French]', 'Demeton-S-methyl-sulfoxide', 'Ethanethiol, 2-(ethylsulfinyl)-, S-ester with O,O-dimethyl phosphorothioate', 'Oxydemeton-metile', 'Demeton-S-methyl sulfoxid', 'Demeton-S-methyl-sulfoxid', 'Spectrum_001791', 'SpecPlus_000382', 'Spectrum2_001859', 'Spectrum3_000811', 'Spectrum4_000651', 'Spectrum5_001932', 'BSPBio_002301', 'KBioGR_001021', 'KBioSS_002284', 'SPECTRUM330019', 'DivK1c_006478', 'SCHEMBL117754', 'O,O-Dimetil-S-(2-etil-solfinil-etil)-monotiofosfato', 'SPBio_001678', 'CHEMBL1315891', 'DTXSID8025541', 'O,O-Dimethyl-S-(2-aethylsulfinyl-aethyl)-thiolphosphat', 'O,O-Dimethyl-S-(2-ethylsulfinyl-ethyl)-monothiofosfaat', 'O,O-Dimethyl-S-(3-oxo-3-thia-pentyl)-monothiophosphat', 'KBio1_001422', 'KBio2_002282', 'KBio2_004850', 'KBio2_007418', 'KBio3_001801', 'Thiophosphate de O,O-dimethyle et de S-2-ethylsulfinylethyle', 'CCG-39397', 'NSC370785', 'AKOS015903041', 'LS-1150', 'NSC-370785', 'NCGC00094517-01', 'NCGC00094517-02', 'NCGC00094517-03', 'NCGC00094517-04', 'NS00010013', 'Demeton-S-methylsulfoxide (Oxydemeton-methyl)', 'C18664', 'J-017784', 'Q2042881', 'Demeton-S-methyl sulfoxide 10 microg/mL in Acetonitrile. Short expiry date due to chemical nature of component(s)']</t>
  </si>
  <si>
    <t>Compound(4618)</t>
  </si>
  <si>
    <t>C6H15O4PS2</t>
  </si>
  <si>
    <t>2,4-dichloro-1-(4-chloro-2-methoxyphenoxy)benzene</t>
  </si>
  <si>
    <t>['Methyl triclosan', 'Triclosan Methyl Ether', '4640-01-1', '2,4-dichloro-1-(4-chloro-2-methoxyphenoxy)benzene', 'Methyltriclosan', 'Triclosan-methyl', 'UNII-5174UR1DP5', '5174UR1DP5', 'Benzene, 4-chloro-1-(2,4-dichlorophenoxy)-2-methoxy-', 'Triclosan methyl', 'Triclosan-methyl ether', 'DSSTox_CID_27850', 'DSSTox_RID_82603', 'DSSTox_GSID_47874', 'SCHEMBL676629', 'CHEMBL2325395', 'DTXSID0047874', 'CTK8G3591', 'KS-00000TVS', 'ZINC2526438', 'Tox21_200199', 'Triclosan-methyl, analytical standard', 'NCGC00248561-01', 'NCGC00257753-01', 'AK549015', 'DS-19481', 'CAS-4640-01-1', "2,4,4'-Trichloro-4'-methoxydiphenyl ether", 'FT-0675460', 'NS00008093', 'Q1925612', '4-Chloro-1-(2,4-dichlorophenoxy)-2-methoxybenzene #', 'BRD-K62328564-001-01-1']</t>
  </si>
  <si>
    <t>Compound(627458)</t>
  </si>
  <si>
    <t>C13H9Cl3O2</t>
  </si>
  <si>
    <t>methyl (2Z, 8Z) deca-2,8-diene-4,6-diynoate</t>
  </si>
  <si>
    <t>methyl (2Z,8Z)-deca-2,8-dien-4,6-diynoate</t>
  </si>
  <si>
    <t>['methyl (2Z,8Z)-deca-2,8-dien-4,6-diynoate', '928-36-9', '(Z,Z)-Matricaria ester', '2,8-Decadiene-4,6-diynoic acid, methyl ester, (Z,Z)-', 'CHEMBL2229362', 'SCHEMBL13751306', 'Methyl(2Z,8Z)-decadien-4,6-diynoate', '(2Z,8Z)-MATRICARIA ACID METHYL ESTER', 'Methyl (2Z,8Z)deca-2,8-dien-4,6-diynoate']</t>
  </si>
  <si>
    <t>Compound(5319306)</t>
  </si>
  <si>
    <t>C11H10O2</t>
  </si>
  <si>
    <t>methyl acrylonitrile</t>
  </si>
  <si>
    <t>2-methylprop-2-enenitrile</t>
  </si>
  <si>
    <t>['Methacrylonitrile', '126-98-7', '2-Propenenitrile, 2-methyl-', '2-Methylacrylonitrile', 'Isopropene cyanide', 'METHYLACRYLONITRILE', 'Isopropenylnitrile', '2-Cyanopropene-1', '2-Cyanopropene', '2-Methyl-2-propenenitrile', '2-Methylpropenenitrile', '2-methylprop-2-enenitrile', '2-Cyano-1-propene', 'USAF ST-40', 'Methyl acrylonitrile', 'Polymethacrylonitrile', 'RCRA waste number U152', '2-Propenenitrile,2-methyl-', 'Methacrylonitrile polymer', 'Methacrylonitrile, polymers', 'NSC 24145', 'CCRIS 4841', 'HSDB 5613', 'UNII-04S4K38612', '.alpha.-Methacrylonitrile', 'EINECS 204-817-5', 'UN3079', 'RCRA waste no. U152', '.alpha.-Methylacrylonitrile', 'AI3-52399', '25067-61-2', '04S4K38612', 'DSSTox_CID_4176', 'DSSTox_RID_77317', 'DSSTox_GSID_24176', 'CAS-126-98-7', 'alpha-Methylacrylonitrile', 'methacrylnitrile', '2-Propenenitrile, 2-methyl-, homopolymer', 'NSC 20659', 'Isopropenylcarbonitrile', '204523-22-8', 'Methacrylonitrile-15N', '2-methyl-acrylonitrile', 'Poly(methacrylonitrile)', 'Methacrylonitrile, 99%', 'Propenenitrile, 2-methyl', '1-Methyl-1-cyanoethylene', 'EC 204-817-5', 'Methacrylonitrile, inhibited', 'CH2C(CH3)CN', 'LS-0', 'WLN: NCY1 &amp; U1', 'CHEMBL1529759', 'DTXSID1024176', 'CTK4B5454', 'NSC20659', 'NSC24145', 'ZINC1571157', 'Tox21_201354', 'Tox21_303172', 'BBL011404', 'NSC-20659', 'NSC-24145', 'STL146508', 'AKOS000121392', 'MCULE-9177849910', 'NCGC00090742-01', 'NCGC00090742-02', 'NCGC00090742-03', 'NCGC00090742-04', 'NCGC00256956-01', 'NCGC00258906-01', 'M0089', 'NS00003782', '72830-EP2270113A1', '72830-EP2272849A1', '72830-EP2272935A1', '72830-EP2309584A1', 'Q2088171', 'Methacrylonitrile, inhibited [UN3079]  [Flammable liquid]', 'Methacrylonitrile, inhibited [UN3079] [Flammable liquid]', 'PROPENOIC ACID,2-METHYL,NITRILE   METHACRYL NITRILE', 'Methacrylonitrile;2-Propenoic acid, 2-methyl-, methyl ester, polymer with 1,1-dichloroethene and 2-methyl-2-propenenitrile']</t>
  </si>
  <si>
    <t>Compound(31368)</t>
  </si>
  <si>
    <t>C4H5N</t>
  </si>
  <si>
    <t>methyl acrylate</t>
  </si>
  <si>
    <t>methyl prop-2-enoate</t>
  </si>
  <si>
    <t>['METHYL ACRYLATE', '96-33-3', 'Methylacrylate', 'Acrylic acid methyl ester', '2-Propenoic acid, methyl ester', 'Methyl prop-2-enoate', 'Methyl propenoate', 'Methyl 2-propenoate', 'Methylacrylaat', 'Metilacrilato', 'Methyl-acrylat', 'Methoxycarbonylethylene', 'Acrylate de methyle', 'Curithane 103', 'Acrylic acid, methyl ester', 'Acrylsaeuremethylester', 'Methyl propenate', 'Methyl acrylate, monomer', 'Methylester kyseliny akrylove', 'Methylacrylaat [Dutch]', 'Metilacrilato [Italian]', 'Methyl-acrylat [German]', 'UNII-WC487PR91H', 'NSC 24146', 'Acrylate de methyle [French]', 'Acrylsaeuremethylester [German]', 'CCRIS 1839', 'HSDB 194', 'CHEBI:82482', 'acrylic acid-methyl ester', 'CH2=CHCOOCH3', 'Methyl ester acrylic acid', 'EINECS 202-500-6', 'UN1919', 'Methyl acrylate, inhibited', 'Methylester kyseliny akrylove [Czech]', 'BRN 0605396', 'AI3-15715', 'WC487PR91H', 'Methyl ester of 2-propenoic acid', 'Methyl-acrylat (german)', 'Methyl acrylate, inhibited [UN1919] [Flammable liquid]', 'Methyl acrylate, 99%, stabilized', 'methoxyacrolein', 'methyacrylate', 'methylacrilate', 'methyl acrilate', 'methyl-acrylate', '2-propenoic acid methyl ester', 'Acrylic acid methyl', 'methyl 2-propen-oate', 'DSSTox_CID_4183', 'EC 202-500-6', 'CHEMBL9019', 'DSSTox_RID_77320', 'DSSTox_GSID_24183', '4-02-00-01457 (Beilstein Handbook Reference)', 'KSC486Q9P', 'WLN: 1U1VO1', 'DTXSID0024183', 'CTK3I6897', 'KS-00000VM8', 'NSC24146', 'ZINC1608901', 'Methyl acrylate, analytical standard', 'Tox21_201000', 'ANW-42542', 'BBL011432', 'BDBM50245463', 'MFCD00008627', 'NSC-24146', 'STL146539', 'AKOS000120907', 'LS-2008', 'MCULE-6010665978', 'UN 1919', 'CAS-96-33-3', 'NCGC00091096-01', 'NCGC00091096-02', 'NCGC00258553-01', 'BP-13449', 'A0145', 'FT-0604466', 'FT-0621880', 'NS00007683', 'V2116', 'Methyl acrylate, SAJ first grade, &gt;=99.0%', 'C19443', '49338-EP2269995A1', '49338-EP2270113A1', '49338-EP2272832A1', '49338-EP2272935A1', '49338-EP2277874A1', '49338-EP2280008A2', '49338-EP2295410A1', '49338-EP2305684A1', '49338-EP2308848A1', '49338-EP2308857A1', '49338-EP2308877A1', '49338-EP2309584A1', '49338-EP2311840A1', 'Q343028', 'J-522585', 'F0001-2293', 'Methyl acrylate, inhibited [UN1919]  [Flammable liquid]', 'Methyl acrylate, 99%, contains &lt;=100 ppm monomethyl ether hydroquinone as inhibitor']</t>
  </si>
  <si>
    <t>Compound(7294)</t>
  </si>
  <si>
    <t>methyl acetate</t>
  </si>
  <si>
    <t>['METHYL ACETATE', '79-20-9', 'Acetic acid, methyl ester', 'Tereton', 'Methyl ethanoate', 'Devoton', 'Acetic acid methyl ester', 'Methylacetat', 'Acetate de methyle', 'Methylacetaat', 'Methyl acetic ester', 'Octan metylu', 'Metile (acetato di)', 'Methyle (acetate de)', 'Methylester kiseliny octove', 'Ethyl ester of monoacetic acid', 'HSDB 95', 'Methylacetaat [Dutch]', 'Methylacetat [German]', 'Octan metylu [Polish]', 'CH3COOCH3', 'FEMA Number 2676', 'Methyl acetate (natural)', 'MeOAc', 'Methyl ester of acetic acid', 'Acetate de methyle [French]', 'NSC 405071', 'UNII-W684QT396F', 'FEMA No. 2676', 'CCRIS 5846', 'Methyle (acetate de) [French]', 'Metile (acetato di) [Italian]', 'METHYL-ACETATE', 'Methylester kiseliny octove [Czech]', 'EINECS 201-185-2', 'UN1231', 'ACETIC ACID,METHYL ESTER', 'CHEBI:77700', 'W684QT396F', 'Methylacetat (german)', 'NCGC00090940-01', 'DSSTox_CID_1767', 'Methyl acetate [UN1231] [Flammable liquid]', 'DSSTox_RID_76314', 'DSSTox_GSID_21767', 'Methyl acetate, 99%, extra pure', 'CAS-79-20-9', 'Methyl acetate, 99+%, Extra Dry, AcroSeal(R)', 'Metile', 'METHYL ACETATE, 97%', 'Methyl Acetate.', 'AcOMe', '1-Methyl acetate', 'CH3COOMe', 'ACMC-209tiz', 'Acetic acid-methyl ester', 'CH3CO2CH3', 'EC 201-185-2', 'KSC378E1T', 'WLN: 1VO1', 'CHEMBL14079', 'Methyl acetate, &gt;=98%, FG', 'DTXSID4021767', 'methyl acetate;METHYL ACETATE', 'CTK2H8219', 'FEMA 2676', 'Methyl acetate, analytical standard', 'KS-00000X8G', 'ZINC1597766', 'Methyl acetate, anhydrous, 99.5%', 'Methyl acetate, natural, 98%, FG', 'Tox21_113243', 'Tox21_200057', 'ANW-42537', 'Methyl acetate, reagent grade, 95%', 'MFCD00008711', 'NSC405071', 'STL281977', 'AKOS000120042', 'LS-1774', 'MCULE-7368066093', 'Methyl acetate, ReagentPlus(R), 99%', 'NSC-405071', 'UN 1231', 'Methyl acetate, for HPLC, &gt;=99.8%', 'NCGC00090940-02', 'NCGC00257611-01', 'SC-74874', 'FT-0621748', 'NS00003464', 'S0300', 'Z1774', 'Methyl acetate, SAJ first grade, &gt;=99.0%', '7727-EP2269975A2', '7727-EP2269986A1', '7727-EP2269997A2', '7727-EP2272822A1', '7727-EP2275407A1', '7727-EP2275415A2', '7727-EP2280001A1', '7727-EP2281821A1', '7727-EP2284169A1', '7727-EP2284174A1', '7727-EP2287152A2', '7727-EP2287161A1', '7727-EP2287162A1', '7727-EP2289509A2', '7727-EP2292597A1', '7727-EP2292609A1', '7727-EP2295406A1', '7727-EP2298750A1', '7727-EP2298756A1', '7727-EP2305642A2', '7727-EP2305666A1', '7727-EP2305667A2', '7727-EP2305683A1', '7727-EP2305825A1', '7727-EP2308857A1', '7727-EP2308864A1', '7727-EP2311839A1', '7727-EP2314589A1', '7727-EP2316837A1', '7727-EP2380568A1', 'C17530', 'Methyl acetate [UN1231]  [Flammable liquid]', 'Methyl acetate, JIS special grade, &gt;=99.5%', 'A839618', 'Q414189', 'J-522583', 'Z19628359', 'Methyl acetate, United States Pharmacopeia (USP) Reference Standard']</t>
  </si>
  <si>
    <t>Compound(6584)</t>
  </si>
  <si>
    <t>C3H6O2</t>
  </si>
  <si>
    <t>3-(dimethoxyphosphinothioylsulfanylmethyl)-1,2,3-benzotriazin-4-one</t>
  </si>
  <si>
    <t>['Azinphos-methyl', 'Azinphosmethyl', 'azinphos methyl', 'Guthion', '86-50-0', 'Azinphos', 'Methylazinphos', 'Methylgusathion', 'Metiltriazotion', 'Crysthyon', 'Carfene', 'Cotneon', 'Cotnion', 'Cotnion methyl', 'Gusathion M', 'Gusathion Methyl', 'Crysthion 2L', 'Gusathion 25', 'Gusathion-20', 'Metazintox', 'Azinphos-metile', 'METHYL GUTHION', 'Azinfos-Methyl', 'Bayer 9027', 'Bayer 17147', 'Caswell No. 374', 'Gothnion', 'Azinfos-methyl [Dutch]', 'Azinophos-methyl', 'Methyl gusathion', 'Azinphos-metile [Italian]', 'NCI-C00066', 'BAY 9027', 'CCRIS 63', 'Azinphos-methyl [BSI:ISO]', 'BAY 17147', 'ENT 23,233', 'EPA Shaughnessy #058001', 'UNII-265842EWUV', 'HSDB 1171', 'O,O-Dimethyl S-(3,4-dihydro-4-keto-1,2,3-benzotriazinyl-3-methyl) dithiophosphate', 'EINECS 201-676-1', 'Phosphorodithioic acid, O,O-dimethyl S-((4-oxo-1,2,3-benzotriazin-3(4H)-yl)methyl) ester', 'R 1582', 'Benzotriazinedithiophosphoric acid dimethoxy ester', 'Phosphorodithioic acid, O,O-dimethyl ester, S-ester with 3-(mercaptomethyl)-1,2,3-benzotriazin-4(3H)-one', 'EPA Pesticide Chemical Code 058001', 'O,O-Dimethyl-S-(benzaziminomethyl) dithiophosphate', 'BRN 0280476', 'Dimethyldithiophosphoric acid N-methylbenzazimide ester', 'N-Methylbenzazimide, dimethyldithiophosphoric acid ester', 'AI3-23233', 'CHEBI:2953', 'O,O-Dimethyl S-(4-oxobenzotriazino-3-methyl)phosphorodithioate', '265842EWUV', '3-(dimethoxyphosphinothioylsulfanylmethyl)-1,2,3-benzotriazin-4-one', 'O,O-Dimethyl S-(4-oxo-1,2,3-benzotriazino(3)-methyl) thiothionophosphate', 'O,O-Dimethyl S-(4-oxo-3H-1,2,3-benzotriazine-3-methyl)phosphorodithioate', 'O,O-Dimethyl-S-(1,2,3-benzotriazinyl-4-keto)methyl phosphorodithioate', 'Benzotriazine derivative of a methyl dithiophosphate', 'o,o-Dimethyl S-[(4-oxo-1,2,3-benzotriazin-3(4H)-yl)methyl] dithiophosphate', 'O,O-dimethyl S-[(4-oxo-1,2,3-benzotriazin-3(4H)-yl)methyl] phosphorodithioate', 'O,O-Dimethyl S-4-oxo-1,2,3-benzotriazin-3(4H)-ylmethyl phosphorodithioate', '1,2,3-Benzotriazin-4(3H)-one, 3-(mercaptomethyl)-, O,O-dimethyl phosphorodithioate', '3-(Mercaptomethyl)-1,2,3-benzotriazin-4(3H)-one O,O-dimethyl phosphorodithioate S-ester', 'Phosphorodithioic acid, O,O-dimethyl S-[(4-oxo-1,2,3-benzotriazin-3(4H)-yl)methyl] ester', 'O,O-Dimethyl-S-(4-oxobenzotriazin-3-methyl)-dithiophosphat', '3-Dimethoxyphosphinothioylthiomethyl-1,2,3-benzotriazin-4(3H)-one', 'DSSTox_CID_122', 'O,O-Dimethyl-S-(4-oxobenzotriazin-3-methyl)-dithiophosphat [German]', 'O,O-Dimethyl S-(4-oxo-1,2,3-benzotriazino(3)-methyl)thiothionophosphate', 'O,O-Dimethyl-S-((4-oxo-3H-1,2,3-benzotriazin-3-yl)-methyl)-dithiofosfaat', 'O,O-Dimethyl-S-((4-oxo-3H-1,2,3-benzotriazin-3-yl)-methyl)-dithiophosphat', 'O,O-Dimetil-S-((4-oxo-3H-1,2,3-benzotriazin-3-il)-metil)-ditiofosfato', 'DSSTox_RID_75384', 'O,O-Dimethyl-S-((4-oxo-3H-1,2,3-benzotriazin-3-yl)-methyl)-dithiofosfaat [Dutch]', 'O,O-Dimethyl-S-((4-oxo-3H-1,2,3-benzotriazin-3-yl)-methyl)-dithiophosphat [German]', 'O,O-Dimetil-S-((4-oxo-3H-1,2,3-benzotriazin-3-il)-metil)-ditiofosfato [Italian]', 'S-(3,4-Dihydro-4-oxo-benzo(alpha)(1,2,3)triazin-3-ylmethyl) O,O-dimethyl phosphorodithioate', 'S-3,4-Dihydro-4-oxobenzo(d)(1,2,3)triazin-3-ylmethyl O,O-dimethyl phosphorodithioate', 'DSSTox_GSID_20122', 'Azimil', 'methyl azinphos', '3-(mercaptomethyl)-1,2,3-benzotriazin-4(3H)-one, O,O-dimethyl phosphorodithioate', 'CAS-86-50-0', 'S-(3,4-Dihydro-4-oxo-1,2,3-benzotriazin-3-ylmethyl) O,O-dimethyl phosphorodithioate', 'BAY', 'Azinphos-methyl (Guthion)', 'Azinugec', 'Gution', 'Cotnion-methyl', 'go thnion', 'Beetle Buster', 'Azinphos-Me', 'Bay Laurel', 'Gusthion M', 'C10H12N3O3PS2', 'Crysthyon 2L', 'Guthion, Gusation', 'Guthion(R)', 'Ketokil No. 52', 'Spectrum_001769', 'SpecPlus_000352', 'Spectrum2_001846', 'Spectrum3_000806', 'Spectrum4_000646', 'Spectrum5_001925', 'SCHEMBL27791', 'BSPBio_002271', 'KBioGR_000991', 'KBioSS_002250', 'SPECTRUM330013', 'MLS002695975', 'DivK1c_006448', 'SPBio_001632', 'CHEMBL530115', 'DTXSID3020122', 'CJJOSEISRRTUQB-UHFFFAOYSA-', 'KBio1_001392', 'KBio2_002249', 'KBio2_004817', 'KBio2_007385', 'KBio3_001771', 'GUTHION (AZINPHOS-METHYL)', 'HMS3089C06', 'EX-A2861', 'Tox21_201965', 'Tox21_300929', 'CCG-39384', 'AKOS015902796', 'API0010017', 'LS-1854', 'Phosphorodithioic acid O,O-dimethyl S-[(4-oxo-1,2,3-benzotriazin-3(4H)-yl)methyl] ester', 'Azinpho, methyl-;azinphos-methyl;Guthion', 'NCGC00091883-01', 'NCGC00091883-02', 'NCGC00091883-03', 'NCGC00091883-04', 'NCGC00091883-05', 'NCGC00091883-06', 'NCGC00091883-07', 'NCGC00091883-08', 'NCGC00178729-01', 'NCGC00254831-01', 'NCGC00259514-01', 'CC-24227', 'O,O-Dimethyl phosphorodithioate S-ester with 3-(mercaptomethyl)-1,2,3-benzotriazin-4(3H)-one (8CI)', 'SMR000777867', 'Azinphos-methyl 1000 microg/mL in Acetone', 'DB-056931', 'Azinphos-methyl 10 microg/mL in Cyclohexane', 'FT-0602894', 'NS00010876', 'Azinphos-methyl 100 microg/mL in Cyclohexane', 'C11018', 'C-19518', 'O,O-dimethyl S-(benzaziminomethyl) dithiophosphate', 'Q418031', 'Azinphos-methyl, PESTANAL(R), analytical standard', 'O,O-dimethyl S-(be nzaziminomethyl) dithiophosphate', 'BRD-K21893543-001-02-8', 'dimethyl dithiophosphoric acid N-methylbenzazimidyl ester', 'N-methylbenzazimide, dimethyl dithiophosphoric acid ester', 'O,O-dimethyl S-(4-oxobenzotriazino-3-methyl) phosphorodithioate', 'Dimethyl S-((4-oxo-1,2,3-benzotriazin-3(4H)-yl)methyl) phosphorodithioate', 'O,O-dimethyl (4-oxo-1,2,3-benzotriazin-3(4H)-yl)methyl dithiophosphate', 'O,O-dimethyl S-(1,2,3-benzotriazinyl-4-keto)methyl phosphorodithioate', 'O,O-dimethyl S-(4-oxo-1,2,3-benz otriazino(3)-methyl) thiothionophosphate', 'O,O-dimethyl S-(4-oxo-3H-1,2,3-benzotriazine-3-methyl) phosphorodithioate', '3-(mercaptomethyl)-1,2,3-benzotriazin-4(3H)-one O,O-dimethyl phosphorodithioate', '3-(mercaptomethyl)-1,2,3-benzotriazin-4(3H)-one O,O-dimethyl phosphorodithioate S-est er', 'Dimethyl S-((4-oxo-1,2,3-benzotriazin-3(4H)-yl)methyl) pho sphorodithioate', 'Dimethyl S-(3-(mercaptomethyl)-1,2,3-benzotriazin-4(3H)-one) phosphorodithioate', 'O,O-dimethy-S-[(4-oxo-1,2,3-benzotriazin-3(4H)-yl)methyl]phosphorodithioate', 'O,O-Dimethyl S-(3,4-dihydro-4-oxo-1,2,3-benzotriazin-3-yl-methyl) dithiophosphate', 'O,O-dimethyl S-(4-oxobenzo[d][1,2,3]triazin-3(4H)-yl)methyl phosphorodithioate', 'O,O-Dimethyl S-[(4-oxo-1,2,3-benzotriazin-3(4H)-yl)methyl] dithiophosphate #', 'Phosphorodithioic acid, O,O-dimethylS-[(4-oxo-1,2,3-benzotriazin-3(4H)-yl)methyl] ester', 'S-(3,4-dihydro-4-oxo-1,2,3-benzotriazin-3-ylmethyl) O,O-dimethyl phosphorodithio ate', 'S-(3,4-Dihydro-4-oxobenzo[d]-[1,2,3]-triazin-3-ylmethyl)OO-dimethyl-phosphorodithioate', 'S-(3,4-dihydro-4-oxobenzo[d][1,2,3]triazin-3-ylmethyl) O,O-dimethyl phosphorodithioate', 'Dimethoxy ester of (4-oxo-1,2,3-benzotriazin-3(4H)-yl)methyl ester of dithiophosphoric acid', 'O,O-Dimethyl phosphorodithioate S-ester with 3-(mercaptomethyl)-1,2,3-benzotriazin-4(3H)-one', 'phosphorodithioic acid O,O-dimethyl ester, S-ester with 3-mercaptomethyl-1,2,3-b enzotriazin-4(3H)-one', 'phosphorodithioic acid O,O-dimethyl ester, S-ester with 3-mercaptomethyl-1,2,3-benzotriazin-4(3H)-one']</t>
  </si>
  <si>
    <t>Compound(2268)</t>
  </si>
  <si>
    <t>C10H12N3O3PS2</t>
  </si>
  <si>
    <t>methyl carbamate</t>
  </si>
  <si>
    <t>['METHYL CARBAMATE', '598-55-0', 'Urethylane', 'Methylurethan', 'Carbamic acid, methyl ester', 'Carbamic acid methyl ester', 'Methylkarbamat', 'NCI-C55594', 'Methylkarbamat [Czech]', 'UNII-9WFX634X2T', 'CCRIS 885', 'Methylester kyseliny karbaminove', 'HSDB 2587', 'NSC 3054', 'EINECS 209-939-2', 'BRN 0635779', 'Methylester kyseliny karbaminove [Czech]', 'AI3-11025', '9WFX634X2T', 'CHEBI:76606', 'MFCD00007964', 'Methyl carbamate, 99%', 'methoxycarbonylamine', 'O-Methyl carbamate', 'Carbamic acid methyl', 'H2NCO2Me', 'MeO2CNH2', 'NH2CO2Me', 'ACMC-1AMKY', 'H2NCOOCH3', 'Methyl carbamate, 98%', 'DSSTox_CID_834', 'WLN: ZVO1', 'EC 209-939-2', 'DSSTox_RID_75818', 'DSSTox_GSID_20834', '4-03-00-00037 (Beilstein Handbook Reference)', 'KSC271Q2B', 'CHEMBL1085707', 'DTXSID8020834', 'CTK1H1820', 'GTCAXTIRRLKXRU-UHFFFAOYSA-', 'KS-00000WAR', 'NSC3054', 'LS-60', 'NSC-3054', 'STR08482', 'ZINC5224857', 'Tox21_301388', 'ANW-33374', 'BBL011430', 'KM0352', 'STL146537', 'AKOS000119823', 'MCULE-4070607369', 'NCGC00255205-01', 'AK307461', 'CAS-598-55-0', 'SC-46315', 'DB-053477', 'FT-0628712', 'NS00002130', 'C19445', 'Methyl carbamate, Vetec(TM) reagent grade, 98%', 'J-522596', 'Q5927934', 'F0001-1570', 'Z192974740']</t>
  </si>
  <si>
    <t>Compound(11722)</t>
  </si>
  <si>
    <t>C2H5NO2</t>
  </si>
  <si>
    <t>methylcyclopentane</t>
  </si>
  <si>
    <t>['METHYLCYCLOPENTANE', '96-37-7', 'Cyclopentane, methyl-', 'Methyl cyclopentane', 'Methylpentamethylene', 'UNII-5G26CC1ASK', 'Methyl-cyclopentane', 'CCRIS 6058', 'HSDB 876', 'EINECS 202-503-2', 'NSC 24836', 'UN2298', 'BRN 1900214', '5G26CC1ASK', 'CHEBI:88429', 'Methylcyclopentane, 95%', 'Methylcyclopentane [UN2298] [Flammable liquid]', 'cyclopentylmethane', 'Methylcyclopentane, 97%', 'DSSTox_CID_5590', 'DSSTox_RID_77843', 'DSSTox_GSID_25590', 'WLN: L5TJ A1', '4-05-00-00084 (Beilstein Handbook Reference)', 'KSC487A1T', 'CHEMBL30940', 'ACMC-209s70', 'DTXSID3025590', 'CTK3I7019', 'KS-00000VLD', 'methylcyclopentane;Methylcyclopentane', 'NSC24836', 'ZINC1615315', 'Tox21_202882', 'ANW-40810', 'NSC-24836', 'AKOS015842660', 'Methylcyclopentane, analytical standard', 'ZINC100057081', 'LS-2009', 'MCULE-4702116068', 'UN 2298', 'CAS-96-37-7', 'NCGC00260428-01', 'SC-75379', 'FT-0628870', 'FT-0629521', 'M0203', 'NS00019504', 'X7174', '15420-EP2270010A1', '15420-EP2305683A1', '15420-EP2311839A1', '15420-EP2314589A1', '15420-EP2316837A1', '15420-EP2380568A1', 'Methylcyclopentane [UN2298]  [Flammable liquid]', 'Q412979', '5310-57-6']</t>
  </si>
  <si>
    <t>Compound(7296)</t>
  </si>
  <si>
    <t>methylcyclopentene</t>
  </si>
  <si>
    <t>1-methylcyclopentene</t>
  </si>
  <si>
    <t>['1-METHYLCYCLOPENTENE', '1-Methyl-1-cyclopentene', '693-89-0', 'Cyclopentene, 1-methyl-', 'Methylcyclopentene', 'Cyclopentene, methyl-', '1-methylcyclopent-1-ene', 'UNII-V03M1DZC9I', 'V03M1DZC9I', 'methyl-cyclopentene', '27476-50-2', '1-Methyl-1-cyclopentene, 96%', 'EINECS 211-762-0', 'NSC 64657', '1-methylcyclopentene-1', 'Cyc1opentene,l-methyl-', '1-Methyl-1-cyclopentane', '1-Cyclopentene, 1-methyl', '1-Methylcyclopentene, 98%', 'ACMC-1BH84', 'CTK1A7095', 'DTXSID50870755', 'NSC64657', 'ZINC8100864', 'ANW-35660', 'MFCD00001397', 'NSC-64657', 'AKOS015842607', 'Cyclopentene, 1-methyl- (8CI)(9CI)', 'SC-46849', 'DB-000118', 'FT-0608030', 'M0727', 'NS00042345', 'KS-00000288', '693M890', 'A836472', 'W-104632', 'Q24736866']</t>
  </si>
  <si>
    <t>Compound(12746)</t>
  </si>
  <si>
    <t>C6H10</t>
  </si>
  <si>
    <t>methylcyclohexane</t>
  </si>
  <si>
    <t>['METHYLCYCLOHEXANE', '108-87-2', 'Cyclohexane, methyl-', 'Hexahydrotoluene', 'Cyclohexylmethane', 'Toluene hexahydride', 'Hexahydroxytoluene', 'Sextone B', 'Toluene, hexahydro-', 'Metylocykloheksan', 'methyl cyclohexane', 'Methylcyclohexan', 'methyl-cyclohexane', 'Metylocykloheksan [Polish]', 'UNII-H5WXT3SV31', 'NSC 9391', 'HSDB 98', 'EINECS 203-624-3', 'UN2296', 'H5WXT3SV31', 'AI3-18132', 'MFCD00001497', '[2H14]methylcyclohexane', 'Methylcyclohexane, 99%, extra pure', 'Methylcyclohexane, 99%, for spectroscopy', 'Methylcyclohexane, 98+%, Extra Dry, AcroSeal(R)', 'methycyclohexane', '2-methylcyclohexane', 'Methylcyclohexane, 99%', 'EC 203-624-3', 'ACMC-1BU50', 'DSSTox_CID_27733', 'DSSTox_GSID_47749', 'WLN: L6TJ A1', 'KSC175Q5R', 'DTXSID0047749', 'CTK0H5858', 'NSC9391', 'Methylcyclohexane;Methyl cyclohexane', 'KS-00000WP4', 'NSC-9391', 'ZINC1699964', 'Tox21_303867', '7779AF', 'ANW-41957', 'LMFA11000660', 'SBB061163', 'Methylcyclohexane, analytical standard', 'Methylcyclohexane, anhydrous, &gt;=99%', 'AKOS015842776', 'MCULE-3843525768', 'UN 2296', 'Methylcyclohexane, ReagentPlus(R), 99%', 'NCGC00357267-01', 'CAS-108-87-2', 'LS-56923', 'SC-79075', 'FT-0628720', 'M0190', 'M0244', 'M0627', 'NS00002209', 'ST51047217', 'Methylcyclohexane [UN2296] [Flammable liquid]', 'Methylcyclohexane [UN2296]  [Flammable liquid]', 'Methylcyclohexane, spectrophotometric grade, 99%', '135576-EP2277868A1', '135576-EP2277869A1', '135576-EP2277870A1', '135576-EP2287164A1', '135576-EP2289881A1', '135576-EP2292608A1', 'A801936', 'Q419330', 'J-522692', 'Methylcyclohexane, purum, absolute, over molecular sieve (H2O &lt;=0.005%), &gt;=98.0% (GC)']</t>
  </si>
  <si>
    <t>Compound(7962)</t>
  </si>
  <si>
    <t>methyl desphenylchloridazone</t>
  </si>
  <si>
    <t>5-amino-4-chloro-2-methylpyridazin-3-one</t>
  </si>
  <si>
    <t>['17254-80-7', 'Methyldesphenylchloridazon', '5-Amino-4-chloro-2-methyl-3(2H)-pyridazinone', 'chloridazone-methyl-desphenyl', '3(2H)-Pyridazinone, 5-amino-4-chloro-2-methyl-', 'UNII-8Q5N4J5U8K', '5-amino-4-chloro-2-methylpyridazin-3-one', '5-amino-4-chloro-2-methylpyridazin-3(2H)-one', '8Q5N4J5U8K', 'CHLORIDAZON-METHYL-DESPHENYL', '5-amino-4-chloro-2-methyl-2,3-dihydropyridazin-3-one', 'Chloridazon Impurity 2', 'Chloridazon-methyldesphenyl', 'Chloridazon Metabolite B-1', 'Methyl-desphenyl-chloridazone', 'SCHEMBL7010722', 'CHEBI:83480', 'DTXSID80891453', 'Chloridazon-methyl-desphenyl_699_ p', 'ZINC32197864', 'AKOS006315809', '5-Amino-4-chloro-2-methyl-3(2H)-pyridazinone #', '1-Methyl-4-amino-5-chloro-6-oxo-(1H)-pyridazine', 'Q27156863', 'Chloridazon-methyl-desphenyl 10 microg/mL in Acetonitrile', 'Chloridazon-methyl-desphenyl 100 microg/mL in Acetonitrile']</t>
  </si>
  <si>
    <t>Compound(594330)</t>
  </si>
  <si>
    <t>C5H6ClN3O</t>
  </si>
  <si>
    <t>methylenebisthiocyanate</t>
  </si>
  <si>
    <t>thiocyanatomethyl thiocyanate</t>
  </si>
  <si>
    <t>['Methylene dithiocyanate', '6317-18-6', 'Methylenedithiocyanate', 'Methylene bis(thiocyanate)', 'Thiocyanic acid, methylene ester', 'Proxel MB', 'Methylenedirhodanide', 'Nalfloc N 206', 'Methylenedirhodanid', 'METHYLENE THIOCYANATE', 'Dithiocyanatomethane', 'Methane, dithiocyanato-', 'Methylendirhodanid', 'thiocyanatomethyl thiocyanate', 'Methylendithiokyanat', 'Nalco D-1994', 'methylenebisthiocyanate', 'Caswell No. 565', 'NSC 40464', 'Methylenebis(thiocyanate)', 'UNII-K1QS9QOS1J', 'Methylendirhodanid [Czech]', 'V 709', 'Methylendithiokyanat [Czech]', 'Methylenedirhodanid [German]', 'CCRIS 636', "Thiocyanic acid, C,C'-methylene ester", 'N-948 Biocide', 'HSDB 4497', 'Methylene Bisthiocyanate', 'EINECS 228-652-3', 'K1QS9QOS1J', 'EPA Pesticide Chemical Code 068102', 'BRN 1743370', 'CP 17879', 'DSSTox_CID_5599', 'DSSTox_RID_77847', 'DSSTox_GSID_25599', 'Slimicide MC', 'CAS-6317-18-6', 'Antiblu 3737', 'Busan 110', 'C3H2N2S2', 'Tolcide MBT', 'PubChem14407', 'WLN: NCS1SCN', 'ACMC-1B7TY', 'Amerstat 282 (Salt/Mix)', 'SCHEMBL20931', '3-03-00-00288 (Beilstein Handbook Reference)', 'CH2(SCN)2', 'KSC352Q7B', 'MLS002454417', 'CHEMBL1524617', 'DTXSID8025599', 'CTK2F2870', 'CHEBI:134614', 'Methylene ester of Thiocyanic acid', 'NSC40464', 'ZINC1672030', 'Tox21_202325', 'Tox21_301058', 'KM0709', 'NSC-40464', 'AKOS015915319', 'thiocyanic acid thiocyanatomethyl ester', 'FCH1117334', 'LS-1520', 'KS-000010Z5', 'NCGC00091525-01', 'NCGC00091525-02', 'NCGC00091525-03', 'NCGC00091525-04', 'NCGC00091525-05', 'NCGC00091525-06', 'NCGC00091525-07', 'NCGC00254960-01', 'NCGC00259874-01', 'AS-11804', 'SMR000778018', 'DB-054418', 'FT-0628879', 'M1020', 'NS00004687', 'A834251', 'C-36663', 'Q1963090', 'methylene dithiocyanate;Methylene dithiocyanate;Methylene thiocyanate']</t>
  </si>
  <si>
    <t>Compound(22772)</t>
  </si>
  <si>
    <t>C3H2N2S2</t>
  </si>
  <si>
    <t>methyl formate</t>
  </si>
  <si>
    <t>['METHYL FORMATE', '107-31-3', 'Formic acid, methyl ester', 'Formic acid methyl ester', 'Methyl methanoate', 'Methylformiat', 'Formiate de methyle', 'Methylformiaat', 'Mravencan methylnaty', 'METHYLFORMATE', 'Caswell No. 570', 'HCOOCH3', 'Methylformiaat [Dutch]', 'Methylformiat [German]', 'UNII-1MPH591FTG', 'Methylester kyseliny mravenci', 'Mravencan methylnaty [Czech]', 'Formiate de methyle [French]', 'CCRIS 6062', 'HSDB 232', 'Metil (formiato di) [Italian]', 'Methyle (formiate de) [French]', 'EINECS 203-481-7', 'UN1243', 'Methylester kyseliny mravenci [Czech]', 'methanoic acid methyl ester', 'EPA Pesticide Chemical Code 053701', '1MPH591FTG', 'AI3-00408', 'CHEBI:77699', 'Methyl formate, 97%, pure', 'Methyl formate, 98%, for spectroscopy', 'Metil (formiato di)', 'Methyle (formiate de)', 'Methyl ester of formic acid', 'Formic acid methyl', 'HCOOMe', 'MeOCHO', 'MFCD00003291', 'HCO2Me', 'HCO2CH3', 'R-611', 'ACMC-1BV5Q', 'DSSTox_CID_5609', 'Methyl formate, &gt;=95%', 'EC 203-481-7', 'DSSTox_RID_77852', 'DSSTox_GSID_25609', 'KSC175G5T', 'CHEMBL295026', 'DTXSID5025609', 'CTK0H5359', 'KS-00000VBT', 'Methyl formate, anhydrous, 99%', 'Coco Glucoside Betaine Crosspolymer', 'Methyl formate, analytical standard', 'ZINC6661292', 'Tox21_300962', 'ANW-15759', 'LS-438', 'Methyl formate, reagent grade, 97%', 'STL453646', 'AKOS015892698', 'MCULE-9122749354', 'UN 1243', 'NCGC00248231-01', 'NCGC00254864-01', 'CAS-107-31-3', 'SC-19116', 'DB-000421', 'F0057', 'F0086', 'FT-0628731', 'NS00010253', 'S0299', 'Methyl formate [UN1243] [Flammable liquid]', 'Methyl formate, spectrophotometric grade, 99%', 'Methyl formate [UN1243]  [Flammable liquid]', '25824-EP2289509A2', '25824-EP2292597A1', '25824-EP2301925A1', '25824-EP2315303A1', '25824-EP2371831A1', '25824-EP2380568A1', 'Q422779', 'J-522603', 'Methyl formate, 97%, may cont. up to ca 3% methanol']</t>
  </si>
  <si>
    <t>Compound(7865)</t>
  </si>
  <si>
    <t>C2H4O2</t>
  </si>
  <si>
    <t>methyl flame prop</t>
  </si>
  <si>
    <t>methyl 2-(N-benzoyl-3-chloro-4-fluoroanilino)propanoate</t>
  </si>
  <si>
    <t>['FLAMPROP-METHYL', 'Mataven', 'Super-Suffix', '52756-25-9', 'Flufenprop-methyl', 'Lancer', 'Suffix plus', 'Flamprop-methyl [ISO]', 'Methyl N-benzoyl-N-(3-chloro-4-fluorophenyl)-DL-alaninate', 'WL 29761', 'EINECS 258-155-7', 'BRN 2895021', 'Alanine, N-benzoyl-N-(3-chloro-4-fluorophenyl)-, methyl ester', 'Methyl N-benzoyl-N-(3-chloro-4-fluorophenyl)-2-aminopropionate', 'DL-Alanine, N-benzoyl-N-(3-chloro-4-fluorophenyl)-, methyl ester', 'methyl 2-(N-benzoyl-3-chloro-4-fluoroanilino)propanoate', 'Methyl 2-(benzoyl(3-chloro-4-fluorophenyl)amino)propionate', 'Propionic acid, 2-(N-(3-chloro-4-fluorophenyl)benzamido)-, methyl ester', 'W-111058', 'SCHEMBL55267', 'DTXSID8040353', 'AKOS015902980', 'WL-29761', 'LS-124555', 'FT-0766264', 'NS00002154', 'C-56148', 'Flamprop-methyl, PESTANAL(R), analytical standard', 'Methyl 2-(benzoyl-3-chloro-4-fluoroanilino)propanoate', 'Q27236233', '2-(N-Benzoyl-3-chloro-4-fluoroanilino)propionic acid methyl ester', 'Methyl N-benzoyl-N-(3-chloro-4-fluorophenyl)-DL-alaninate;methyl N-benzoyl-N-(3-chloro-4-fluorophenyl)-DL-alaninate']</t>
  </si>
  <si>
    <t>Compound(40521)</t>
  </si>
  <si>
    <t>C17H15ClFNO3</t>
  </si>
  <si>
    <t>['METHYLHYDRAZINE', 'Hydrazine, methyl-', '60-34-4', 'Methyl Hydrazine', 'Monomethylhydrazine', 'Methyl-hydrazine', '1-Methylhydrazine', 'Metylohydrazyna', 'RCRA waste number P068', 'Monomethyl Hydrazine', 'Methylhydrazine (mono)', 'Metylohydrazyna [Polish]', 'N-methylhydrazine', '2-methylhydrazine', 'UNII-UWA30B5Z1J', 'Methylhydrazine and its salts', 'CCRIS 394', 'HSDB 1172', 'CH3NHNH2', 'EINECS 200-471-4', 'UN1244', 'RCRA waste no. P068', 'BRN 0635645', 'UWA30B5Z1J', 'AI3-52240', 'CHEMBL160520', 'MMH', 'DTXSID4020874', 'methyldiazane', 'methl hydrazine', 'N-methyhydrazine', 'N-methyl hydrazine', 'N-methyl-hydrazine', '2-methyl hydrazine', '1-Methyl-Hydrazine', 'Methylhydrazine(mono)', 'MeNHNH2', 'Methylhydrazine, 98%', 'H2NNHCH3', 'EC 200-471-4', 'CTK2F2976', 'BCP07836', 'ANW-54251', 'BBL011339', 'BDBM50049259', 'STL146429', 'Methylhydrazine [UN1244] [Poison]', 'AKOS005720746', 'LS-1430', 'MCULE-7217348217', 'Methylhydrazine [UN1244]  [Poison]', 'UN 1244', 'BP-11387', 'BP-30186', 'Methylhydrazine, purum, &gt;=98.0% (GC)', 'M0558', 'NS00002460', 'A832701', 'Q417347', 'Methylhydrazine sulfate;methylhydrazine;Methylhydrazine', 'F0001-1579', '20244-39-7', 'HDN']</t>
  </si>
  <si>
    <t>Compound(6061)</t>
  </si>
  <si>
    <t>CH6N2</t>
  </si>
  <si>
    <t>methyl isocyanate</t>
  </si>
  <si>
    <t>methylimino(oxo)methane</t>
  </si>
  <si>
    <t>['METHYL ISOCYANATE', 'Isocyanatomethane', 'Methane, isocyanato-', '624-83-9', 'Methyl carbonimide', 'methylisocyanate', 'Methylcarbylamine', 'Isocyanate de methyle', 'Iso-cyanatomethane', '(Methylimino)(oxo)methane', 'Methylisocyanaat', 'Methyl isocyanat', 'Metil isocianato', 'Isocyanic acid, methyl ester', 'Methylisokyanat', 'methylimino(oxo)methane', 'RCRA waste number P064', 'Isocyanate, methyl-', 'Methylisokyanat [Czech]', 'Methylisocyanaat [Dutch]', 'Methyl isocyanat [German]', 'Metil isocianato [Italian]', 'UNII-C588JJ4BV9', 'NSC 64323', 'TL 1450', 'UN 2480', 'CCRIS 1385', 'Isocyanate de methyle [French]', 'CHEBI:59059', 'HSDB 1165', 'CH3NCO', 'EINECS 210-866-3', 'UN2480', 'RCRA waste no. P064', 'BRN 0605318', 'AI3-28280', 'C588JJ4BV9', 'MIC [Isocyanate]', 'Poly(methylisocyanate)', 'Methylisocyanate polymer', 'MP-NCO', 'Methyl isocyanat  [German]', 'Methyl isocynate', 'Methyl-isocyanate', 'MeNCO', 'methylimino-oxomethane', 'Me-NCO', 'isocyanate polymer bound', 'METHYLISOCYANATE 1 X 500MG NEAT', 'DSSTox_CID_3786', 'C2H3NO', 'Epitope ID:122968', 'WLN: OCN1', 'methane, (methylimino)oxo-', 'DSSTox_RID_77191', 'DSSTox_GSID_23786', '(Methylimino)(oxo)methane #', '30108-95-3', '4-04-00-00247 (Beilstein Handbook Reference)', 'GTPL6290', 'methylimino(oxidanylidene)methane', 'CHEMBL1608558', 'DTXSID1023786', 'CTK2F3714', 'Methane, isocyanato-, homopolymer', 'methyl isocyanate;Methyl isocyanate', 'ALBB-007556', 'KS-000025XS', 'NSC64323', 'ZINC8681666', 'ZX-AN007078', 'Tox21_201060', 'NSC-64323', 'STK504617', 'Isocyanicacid, methyl ester, polymers', 'AKOS005171723', 'DB12765', 'GS-3554', 'LS-1498', 'MCULE-7764606582', 'Methyl isocyanate [UN2480] [Poison]', 'Methyl isocyanate [UN2480]  [Poison]', 'NCGC00091082-01', 'NCGC00091082-02', 'NCGC00258613-01', 'CAS-624-83-9', 'BB 0253944', 'NS00022542', '51444-EP2275425A1', '51444-EP2277880A1', '51444-EP2292606A1', '51444-EP2292610A1', '51444-EP2308861A1', '51444-EP2311824A1', '624M839', 'A833804', 'Q410431', 'Isocyanate, polymer-bound, 200-400 mesh, extent of labeling: 1.5-2.5 mmol/g loading, 2 % cross-linked with divinylbenzene', 'Methyl isocyanate bound to polystyrene HL, extent of labeling: ~1.6 mmol/g isocyanate loading (high loading)', 'ScavengePore(TM) benzyl isocyanate, macroporous, 40-70 mesh, extent of labeling: 0.5-2.0 mmol/g loading', 'StratoSpheres(TM) PL-NCO (Isocyanate) resin, 150-300 mum, extent of labeling: &gt;=1.5 mmol/g loading, 1 % cross-linked']</t>
  </si>
  <si>
    <t>Compound(12228)</t>
  </si>
  <si>
    <t>C2H3NO</t>
  </si>
  <si>
    <t>methylindole</t>
  </si>
  <si>
    <t>2-methyl-1H-indole;5-methyl-1H-indole</t>
  </si>
  <si>
    <t>['27323-28-0', 'DTXSID50950041', '2-Methyl-1H-indole--5-methyl-1H-indole (1/1)']</t>
  </si>
  <si>
    <t>Compound(33781)</t>
  </si>
  <si>
    <t>C18H18N2</t>
  </si>
  <si>
    <t>methyl isothiocyanate</t>
  </si>
  <si>
    <t>methylimino(sulfanylidene)methane</t>
  </si>
  <si>
    <t>['METHYL ISOTHIOCYANATE', '556-61-6', 'Isothiocyanatomethane', 'Methane, isothiocyanato-', 'Trapex', 'Mitc', 'Methyl mustard oil', 'methylisothiocyanate', 'Methyl mustard', 'MeNCS', 'Trapexide', 'Vortex', 'Morton EP-161E', 'Vorlex (Nor-Am)', 'Trapex-40', 'Methylsenfoel', 'Isothiocyanic acid, methyl ester', '(Methylimino)(thioxo)methane', 'Methylisothiokyanat', 'Methylisothiocyanaat', 'Methyl-isothiocyanat', 'Biomet 33', 'Caswell No. 573', 'Isotiocianato di metile', 'Methylsenfoel [German]', 'Tropex', 'Isothiocyanic Acid Methyl Ester', 'Isothiocyanate de methyle', 'UNII-RWE2M5YDW1', 'WN 12', 'Vorlex 201 (Nor-Am)', 'Methylisothiokyanat [Czech]', 'Methylisothiocyanaat [Dutch]', 'Methylisothiocyanat [Denmark]', 'Methyl-isothiocyanat [German]', 'Methyl thioisocyanate', 'methylimino-sulfanylidenemethane', 'Metile isotiocianato [Italian]', 'methane isothiocyanate', 'HSDB 6396', 'Methyl isothiocyanate [BSI:ISO]', 'Isotiocianato de metilo [Spanish]', 'Isotiocianato di metile [Italian]', 'Methylisothiocyanaat [Netherlands]', 'CH3NCS', 'Isothiocyanate de methyle [French]', 'EINECS 209-132-5', 'UN2477', 'RWE2M5YDW1', 'EPA Pesticide Chemical Code 068103', 'Isothiocyanate de methyle [ISO-French]', 'Degussa methyl isothiocyanate', 'AI3-28257', 'CHEBI:78337', 'DSSTox_CID_7204', 'DSSTox_RID_78348', 'Methyl isothiocyanate, 97%', 'DSSTox_GSID_27204', 'Methylisothiocyanat', 'CAS-556-61-6', 'Metile isotiocianato', 'Isotiocianato de metilo', 'Methylisothiocyanate polystyrene', 'methylimino(sulfanylidene)methane', 'methylisothiocynate', 'Methyl-isothiocyanate', 'isothiocyanato-methane', 'methyl isothio-cyanate', 'ACMC-1AYLJ', 'Isothiocyanatomethane, 9CI', '(methylimino)thioxo-Methane', 'EC 209-132-5', '(methylimino)(thioxo)-methane', 'methane, (methylimino)thioxo-', 'CHEMBL396000', '(Methylimino)(thioxo)methane #', 'DTXSID2027204', 'CTK3I9993', 'KS-00000VYZ', 'EP-161E', 'Benzyl isothiocyanate on polystyrene', 'ZINC8830539', 'Tox21_201548', 'Tox21_300912', 'ANW-32358', 'BBL011120', 'MFCD00004818', 'MFCD03457480', 'STK802388', 'AKOS000119315', 'MCULE-6174235995', 'UN 2477', 'NCGC00090735-01', 'NCGC00090735-02', 'NCGC00090735-03', 'NCGC00090735-04', 'NCGC00090735-05', 'NCGC00254816-01', 'NCGC00259097-01', 'LS-90049', 'SC-27104', 'Methyl isothiocyanate [UN2477] [Poison]', 'DB-052769', 'FT-0627523', 'I0189', 'Methyl isothiocyanate [UN2477]  [Poison]', 'NS00008024', 'X5315', 'C18587', '31447-EP2274983A1', '31447-EP2295418A1', '31447-EP2308858A1', '31447-EP2311816A1', '31447-EP2311817A1', '33404-EP2292606A1', '33404-EP2311815A1', '33404-EP2311830A1', 'A830741', 'Q908840', 'F0001-1461', 'Methyl isothiocyanate, PESTANAL(R), analytical standard', 'Methyl isothiocyanate, polymer-supported, 1.5-1.9 mmol/g on polystyrene@CRLFMFCD03457480', 'Isothiocyanate, polymer-bound, 100-200 mesh, extent of labeling: 1.0-2.0 mmol/g loading, 1 % cross-linked with divinylbenzene']</t>
  </si>
  <si>
    <t>Compound(11167)</t>
  </si>
  <si>
    <t>C2H3NS</t>
  </si>
  <si>
    <t>methyl metsulfuron</t>
  </si>
  <si>
    <t>methyl 2-[(4-methoxy-6-methyl-1,3,5-triazin-2-yl)carbamoylsulfamoyl]benzoate</t>
  </si>
  <si>
    <t>['METSULFURON-METHYL', 'Metsulfuron methyl', '74223-64-6', 'Granstar', 'Escort', 'Gropper', 'ALLY', 'Allie', 'Brush-off', 'Escort (pesticide)', 'Caswell No. 419H', 'Metsulfuron methyl ester', 'ALLY 20DF', 'HCHA 92HA', 'HSDB 6849', 'Metsulfuron methyl ester [ANSI]', 'DPD 63760H', 'DPX-T 6376', 'UNII-2589ET7417', 'DPX 6376', 'methyl 2-[(4-methoxy-6-methyl-1,3,5-triazin-2-yl)carbamoylsulfamoyl]benzoate', 'METHYL 2-[({[(4-METHOXY-6-METHYL-1,3,5-TRIAZIN-2-YL)AMINO]CARBONYL}AMINO)SULFONYL]BENZOATE', 'EPA Pesticide Chemical Code 122010', 'BRN 0587472', 'methyl 2-{[(4-methoxy-6-methyl-1,3,5-triazin-2-yl)carbamoyl]sulfamoyl}benzoate', 'CHEBI:39678', 'T 6376', 'Methyl 2-(((((4-methoxy-6-methyl-1,3,5-triazin-2-yl)amino)carbonyl)amino)sulfonyl)benzoate', '2589ET7417', 'Methyl 2-(3-(4-methoxy-6-methyl-1,3,5-triazin-2-yl)ureidosulfonyl)benzoate', 'Methyl 2-(3-(4-methoxy-6-methyl-1,3,5-triazin-2-yl)ureidosulphonyl)benzoate', "N-((2-Methylcarbonyl)phenyl)sulfonyl-N'-(6-methoxy-4-methyl-2-triazinyl)urea", 'N-((4-Methoxy-6-methyl-1,3,5-triazin-2-yl)aminocarbonyl)-2-methoxycarbonylbenzenesulfonamide', '2-(((((4-Methoxy-6-methyl-1,3,5-triazin-2yl)amino)carbonyl)amino)sulfonyl)benzoic acid methyl ester', '2-[[[[(4-methoxy-6-methyl-1,3,5-triazin-2-yl)amino]carbonyl]amino]sulfonyl]benzoic acid methyl ester', 'Benzoic acid, 2-[[[[(4-methoxy-6-methyl-1,3,5-triazin-2-yl)amino]carbonyl]amino]sulfonyl]-, methyl ester', 'N-[(4-Methoxy-6-methyl-1,3,5-triazin-2-yl)aminocarbonyl]-2-methoxycarbonylbenzenesulfonamide', '1MM', 'Benzoic acid, 2-(((((4-methoxy-6-methyl-1,3,5-triazin-2-yl)amino)carbonyl)amino)sulfonyl)-, methyl ester', 'Metsulfuron-methyl [ISO:BSI]', 'MetsulfuronMethyl', 'C14H15N5O6S', 'Metsulphuron methyl', 'DSSTox_CID_3864', 'DSSTox_RID_77209', 'DSSTox_GSID_23864', 'Oprea1_737469', 'SCHEMBL21583', 'CBDivE_002527', '5-26-09-00406 (Beilstein Handbook Reference)', 'BEN581', 'CHEMBL1229749', 'DTXSID6023864', 'HY-B1869', 'ZINC1532069', 'Tox21_200856', 'STL454095', 'AKOS003625225', 'AE F075736', 'MCULE-7409095071', 'Metsulfuron-methyl, analytical standard', 'NCGC00168323-01', 'NCGC00168323-02', 'NCGC00258410-01', 'AC-18012', 'AS-12802', 'CC-30939', 'LS-37831', 'AB0012443', 'CAS-74223-64-6', 'DB-055852', 'CS-0013936', 'FT-0630833', 'NS00010090', 'C10946', '223M646', 'A838067', 'C-21345', 'Q4803950', 'Metsulfuron-methyl, PESTANAL(R), analytical standard', '2-[(4-methoxy-6-methyl-s-triazin-2-yl)carbamoylsulfamoyl]benzoic acid methyl ester', 'methyl 2-(N-(4-methoxy-6-methyl-1,3,5-triazin-2-ylcarbamoyl)sulfamoyl)benzoate', 'methyl 2-[(4-methoxy-6-methyl-1,3,5-triazin-2-yl)aminocarbonyl]aminosulfonylbenzoate', 'Methyl-2[[[[(4-methoxy-6-Methyl-1.3.5triazin-2-yl)-amino]carbonyl]amino]sulfonyl]benzoate', '2-(4-methoxy-6-methyl-1,3,5-triazin-2-ylcarbamoylsulfamoyl) benzoic acid;metsulfuron methyl;Iodosulfuron', '2-[[(4-Methoxy-6-methyl-1,3,5-triazin-2-yl)aminocarbonyl]aminosulfonyl]benzoic acid, methyl ester', '2-[[[(4-methoxy-6-methyl-1,3,5-triazin-2-yl)amino]-oxomethyl]sulfamoyl]benzoic acid methyl ester', 'N-[(4-Methoxy-6-methyl-1,3,5-triazin-2-yl)aminocarbonyl]-2- methoxycarbonylbenzenesulfonamide']</t>
  </si>
  <si>
    <t>Compound(52999)</t>
  </si>
  <si>
    <t>C14H15N5O6S</t>
  </si>
  <si>
    <t>methyl methacrylate</t>
  </si>
  <si>
    <t>methyl 2-methylprop-2-enoate</t>
  </si>
  <si>
    <t>['METHYL METHACRYLATE', '80-62-6', 'Methylmethacrylate', 'Methacrylic acid methyl ester', 'Methyl methylacrylate', 'Methyl 2-methylpropenoate', 'methyl 2-methylprop-2-enoate', 'Pegalan', 'Methyl-methacrylat', '2-Propenoic acid, 2-methyl-, methyl ester', 'Diakon', 'Acryester M', 'Methyl 2-methyl-2-propenoate', 'Methacrylate de methyle', 'Methyl 2-methylacrylate', 'Cranioplast', 'Metaplex', 'Methacrylsaeuremethyl ester', '2-(Methoxycarbonyl)-1-propene', 'Kallocryl A', 'Metakrylan metylu', 'Methylmethacrylaat', 'Metil metacrilato', 'Simplex P', '2-Methyl-2-propenoic acid methyl ester', 'Rcra waste number U162', 'Methyl alpha-methylacrylate', 'Methyl methacrylate monomer', 'TEB 3K', 'NCI-C50680', '2-Methylacrylic acid, methyl ester', 'Polymethyl methacrylate', 'Methacrylic acid, methyl ester', 'Eudragit', 'Acrylic acid, 2-methyl-, methyl ester', 'Methylmethacrylaat [Dutch]', '2-Methyl-acrylic acid methyl ester', 'Metakrylan metylu [Polish]', 'NSC 4769', 'Methyl-methacrylat [German]', 'Metil metacrilato [Italian]', 'Monocite methacrylate monomer', 'CCRIS 1364', 'HSDB 195', 'Methylester kyseliny methakrylove', 'CHEBI:34840', 'Methacrylate de methyle [French]', '2-methylacrylic acid methyl ester', 'UNII-196OC77688', 'Methacrylsaeuremethyl ester [German]', 'EINECS 201-297-1', 'UN1247', 'RCRA waste no. U162', 'BRN 0605459', 'Methylester kyseliny methakrylove [Czech]', 'Methyl .alpha.-methylacrylate', 'AI3-24946', 'Methyl methacrylate monomer, inhibited', 'Methyl methacrylate, 99%, stabilized', 'Methyl ester of 2-methyl-2-propenoic acid', '196OC77688', 'Plexiglass', 'Kallocryl', 'Plexiglas', 'Sintex', 'Zimmer Bone Cement', 'Methacrylate Methyl Monomer', 'monocite" Methacrylate monomer', 'Methylmethacrylate Methyl Monomer', 'methoxymethacrolein', 'PMMA [Polymer]', '2-Propenoic acid, 2-methyl- methyl ester', 'DSSTox_CID_844', 'Epitope ID:131321', 'Methyl 2-methylacrylate #', 'Methyl methacrylate (MMA)', 'EC 201-297-1', 'Methyl-.alpha.-methacrylate', 'SCHEMBL1849', 'DSSTox_RID_75823', 'UNII-Z47NNT4J11', 'CH2=C(CH3)COOCH3', 'DSSTox_GSID_20844', 'Methacrylic acid-methyl ester', '4-02-00-01519 (Beilstein Handbook Reference)', 'KSC492S0L', 'NA 1247 (Salt/Mix)', 'UN 1247 (Salt/Mix)', 'BIDD:ER0634', 'CHEMBL49996', 'Methyl methacrylate, 99.5%', 'WLN: 1UY1&amp;VO1', 'Z47NNT4J11', '2-Propenoic acid, 2-methyl-, methyl ester, homopolymer', 'DTXSID2020844', 'CTK3J2905', 'KS-00000WJO', 'NSC4769', 'NSC-4769', 'ZINC1680392', 'Tox21_200367', 'ANW-37384', 'MFCD00008587', 'SBB060556', 'STL283952', 'AKOS000120216', 'LS-1799', 'MCULE-9286083206', 'CAS-80-62-6', 'NCGC00091089-01', 'NCGC00091089-02', 'NCGC00257921-01', 'SC-46789', 'DB-013559', 'M0087', 'ST51046719', '(2H3)methyl (3,3,a,a,a-2H5)methacrylate', '3855-EP2269995A1', '3855-EP2270101A1', '3855-EP2270113A1', '3855-EP2272822A1', '3855-EP2272935A1', '3855-EP2275418A1', '3855-EP2295406A1', '3855-EP2298744A2', '3855-EP2301924A1', '3855-EP2305219A1', '3855-EP2305683A1', '3855-EP2311839A1', '3855-EP2314589A1', '3855-EP2316837A1', 'C14527', 'C19504', 'Methyl methacrylate 1000 microg/mL in Methanol', 'Methyl methacrylate, SAJ first grade, &gt;=99.0%', '2-Methyl-2-propenoic acid methyl ester homopolymer', 'A839957', 'Q382897', 'J-522614', 'F0001-2087', 'Z966691016', 'Methacrylic acid-methyl ester 100 microg/mL in Cyclohexane', '2-Propenoic acid, 2-methyl-, methyl ester (Methyl methacrylate)', 'Methyl methacrylate monomer, inhibited [UN1247] [Flammable liquid]', 'Methyl methacrylate, contains &lt;=30 ppm MEHQ as inhibitor, 99%', 'Methyl methacrylate, European Pharmacopoeia (EP) Reference Standard', 'Methyl methacrylate monomer, inhibited [UN1247]  [Flammable liquid]', 'PROPENOIC ACID,2-METHYL,METHYLESTER  (METHACRYLATE METHYLESTER)', '9065-11-6']</t>
  </si>
  <si>
    <t>Compound(6658)</t>
  </si>
  <si>
    <t>C5H8O2</t>
  </si>
  <si>
    <t>methylnaphthylacetamide</t>
  </si>
  <si>
    <t>2-(2-methylnaphthalen-1-yl)acetamide</t>
  </si>
  <si>
    <t>['2-Methyl-1-naphthaleneacetamide', '2-Methylnaphthalene-1-acetamide', 'UNII-7GMR6K6PWH', '85-07-4', '1-Naphthaleneacetamide, 2-methyl-', '7GMR6K6PWH', 'EINECS 201-585-7', '2-methyl-naphthalene-acetamide', 'SCHEMBL4456627', 'DTXSID0041434', 'NS00022837', 'Q27268260']</t>
  </si>
  <si>
    <t>Compound(66550)</t>
  </si>
  <si>
    <t>C13H13NO</t>
  </si>
  <si>
    <t>methylpirimiphos</t>
  </si>
  <si>
    <t>4-dimethoxyphosphinothioyloxy-N,N-diethyl-6-methylpyrimidin-2-amine</t>
  </si>
  <si>
    <t>['Pirimiphos-methyl', 'PIRIMIPHOS METHYL', '29232-93-7', 'Pyrimiphos methyl', 'Pirimifosmethyl', 'Actellic', 'Actellifog', 'Actelic', 'Silosan', 'Methylpirimiphos', 'Pyrimiphos-methyl', 'Pyridimine phosphate', 'Sybol 2', 'Aktelik', 'Aktellik', 'BLEX', 'pirimiphosmethyl', 'Plant protection PP511', 'Caswell No. 334B', 'ENT 27699GC', 'Primiphos-methyl', 'OMS 1424', 'UNII-2VQZ4PK548', 'Fosforan pirimidyny [Polish]', 'Pyrimiphos-methyl [ISO-French]', 'HSDB 6984', 'PP511', 'Pirimiphos-methyl [ANSI:BSI:ISO]', 'EINECS 249-528-5', 'EPA Pesticide Chemical Code 108102', 'BRN 0755726', 'AI3-27699', '2VQZ4PK548', 'CHEBI:38843', '2-Diethylamino-6-methylpyrimidin-4-yl dimethyl phosphorothionate', 'O-(2-Diethylamino-6-methylpyrimidin-4-yl) O,O-dimethyl phosphorothioate', 'R 33986', 'Phosphorothioic acid, O-[2-(diethylamino)-6-methyl-4-pyrimidinyl] O,O-dimethyl ester', '4-dimethoxyphosphinothioyloxy-N,N-diethyl-6-methylpyrimidin-2-amine', 'O-[2-(diethylamino)-6-methylpyrimidin-4-yl] O,O-dimethyl thiophosphate', 'O,O-Dimethyl O-(2-(diethylamino)-6-methyl-4-pyrimidinyl) phosphorothioate', 'O-(2-(Diethylamino)-6-methyl-4-pyrimidinyl)-O,O-dimethyl phosphorothioate', 'O-[2-(diethylamino)-6-methylpyrimidin-4-yl] O,O-dimethyl phosphorothioate', 'O-(2-(Diethylamino)-6-methyl-4-pyrimidinyl) O,O-dimethylphosphorothioate', 'Phosphorothioic acid, O-(2-(diethylamino)-6-methyl-4-pyrimidinyl) O,O-dimethyl ester', 'Fosforan pirimidyny', 'Methylpyrimiphos', 'Pirimiphos Me', 'Pyrimiphos Me', 'PP 511', 'DSSTox_CID_4266', 'Plant Protection PP 511', 'DSSTox_RID_77347', 'DSSTox_GSID_24266', 'SCHEMBL26456', 'BIDD:ER0441', 'C11H20N3O3PS', 'CHEMBL1886047', 'DTXSID0024266', 'pirimiphos-methyl;pirimiphos methyl', 'HY-B1881', 'Tox21_300718', 'Pirimiphos-methyl (Pirimifos-methyl)', 'AKOS015892468', 'NCGC00163924-01', 'NCGC00163924-02', 'NCGC00163924-03', 'NCGC00163924-04', 'NCGC00254624-01', 'CAS-29232-93-7', 'LS-108561', 'CS-0013946', 'FT-0696331', 'NS00010883', 'Pirimiphos-methyl 10 microg/mL in Cyclohexane', 'Pirimiphos-methyl 1000 microg/mL in Acetone', 'C18403', 'Pirimiphos-methyl 100 microg/mL in Cyclohexane', '232P937', 'A819833', 'C-45784', 'Q415867', 'J-017448', 'Pirimiphos-methyl, PESTANAL(R), analytical standard', '4-dimethoxyphosphinothioyloxy-N,N-diethyl-6-methyl-2-pyrimidinamine', '4-dimethoxyphosphinothioyloxy-N,N-diethyl-6-methyl-pyrimidin-2-amine', 'O-(2-(Diethylamino)-6-methyl-4-pyrimidinyl)O,O-dimethyl phosphorothioate', 'o-[2-(Diethylamino)-6-methyl-4-pyrimidinyl] o,o-dimethyl thiophosphate', 'O-2-(DIETHYLAMINO)-6-METHYLPYRIMIDIN-4-YL O,O-DIMETHYL PHOSPHOROTHIOATE', 'Phosphorothioic acid, O-[2-(diethylamino)-6-methyl-4-pyrimidinyl]O,O-dimethyl ester']</t>
  </si>
  <si>
    <t>Compound(34526)</t>
  </si>
  <si>
    <t>C11H20N3O3PS</t>
  </si>
  <si>
    <t>methyl parathion</t>
  </si>
  <si>
    <t>dimethoxy-(4-nitrophenoxy)-sulfanylidene-lambda5-phosphane</t>
  </si>
  <si>
    <t>['Parathion-methyl', 'METHYL PARATHION', '298-00-0', 'Methylparathion', 'Parathion methyl', 'Dimethyl parathion', 'Metaphos', 'Vofatox', 'Wofatox', 'Dalf', 'Methylthiophos', 'Cekumethion', 'Devithion', 'Metacid 50', 'Metacide', 'Oleovofotox', 'Quinophos', 'Tekwaisa', 'Thiophenit', 'Azofos', 'Azophos', 'Meptox', 'Metafos', 'Nitrox', 'Paratox', 'Paratuf', 'Yphos', 'M-Parathion', 'Folidol M', 'Partron M', 'Penncap MLS', 'Metron (pesticide)', 'Nitrox 80', 'Folidol 600', 'Folidol M-40', 'Mepaton', 'Sinafid M-48', 'Kilex parathion', 'Methyl fosferno', 'Me-parathion', 'Methyl niran', 'methyl parathione', 'Methyl-E 605', 'Dimethyl p-nitrophenyl thiophosphate', 'Parathion methyl homolog', 'Penncap-M', 'Bladan-M', 'Parton-M', 'O,O-Dimethyl O-(4-nitrophenyl) phosphorothioate', 'Demethylfenitrothion', 'Phosphorothioic acid, O,O-dimethyl O-(4-nitrophenyl) ester', 'Folidol-80', 'Wofatox 80', 'Fosferno M 50', 'Metafos (pesticide)', 'O,O-Dimethyl O-(p-nitrophenyl) thionophosphate', 'Parapest M-50', 'Folidol M 50', 'Thylpar M-50', 'Wofatox 50 EC', 'Caswell No. 372', 'Metylparation [Czech]', 'Metacide (insecticide)', 'Methyl 1605', 'Metyloparation [Polish]', 'A-GRO', 'Methyl-parathion', 'Metilparation (Hungarian)', 'Bladan M', 'RCRA waste number P071', 'Drexel methyl parathion 4E', 'Parathion-metile [Italian]', 'UNII-41BCL2O91D', '8056HC', 'BAY 11405', 'Me 605SP', 'CCRIS 405', 'Parathion-methyl [BSI:ISO]', 'Dimethyl p-nitrophenyl phosphorothionate', 'Dimethyl 4-nitrophenyl phosphorothionate', 'BAY E-601', 'HSDB 1168', 'EPA Shaughnessy Code: 053501', 'NCI-C02971', 'p-Nitrophenyldimethylthionophosphate', 'Dimethyl-p-nitrophenyl thionphosphate', 'EINECS 206-050-1', 'ME 605', 'O,O-Dimethyl O-(p-nitrophenyl) phosphorothioate', 'RCRA waste no. P071', 'ENT 17,292', 'EPA Pesticide Chemical Code 053501', 'Dimethyl p-nitrophenyl monothiophosphate', 'BRN 1914724', 'AI3-17292', 'O,O-Dimethyl O-p-nitrophenyl thiophosphate', '41BCL2O91D', 'E 601', 'CHEBI:38746', 'O,O-Dimethyl-O-p-nitrofenylthiofosfat [Czech]', 'O,O-Dimethyl-O-(4-nitrophenyl) phosphorothioate', 'M40 &amp; 80', 'O,O-Dimethyl-O-(4-nitro-fenyl)-monothiofosfaat [Dutch]', 'O,O-Dimethyl-O-(4-nitrophenyl)-thionophosphat [German]', 'O,O-Dimethyl-O-(p-nitrophenyl)-thionophosphat [German]', 'O,O-Dimetil-O-(4-nitro-fenil)-monotiofosfato [Italian]', 'Phosphorothioic acid, o,o-dimethyl-o-p-nitrophenyl ester', 'O,O-Dimethyl-O-(4-nitro-phenyl)-monothiophosphat [German]', 'Phenol, p-nitro-, O-ester with O,O-dimethyl phosphorothioate', 'Phenol, p-nitro-, O-ester with O,O-dimethylphosphorothioate', 'Phosphorothioic acid, O,O-dimethyl O-(p-nitrophenyl) ester', 'DSSTox_CID_855', 'O,O-Dimethyl-O-p-nitrofenylester kyseliny thiofosforecne [Czech]', 'Thiophosphate de O,O-dimethyle et de O-(4-nitrophenyle) [French]', 'o,o-Dimethyl o-(4-nitrophenyl) thiophosphate', 'O,O-Dimethyl O-4-nitrophenyl phosphorothioate', 'DSSTox_RID_75827', 'DSSTox_GSID_20855', 'W-106971', 'Metyloparation', 'Metylparation', 'Parathion-metile', 'CAS-298-00-0', 'Parathion, methyl-', 'liquid', 'C8H10NO5PS', 'dimethoxy-(4-nitrophenoxy)-sulfanylidene-?^{5}-phosphane', 'Metaphor', 'Parataf', 'Wofotox', 'Dalif', 'Methyl-bladan', 'Folidol-M', 'Penncap M', 'Folid ol-M', 'O,O-Dimethyl-O-p-nitrofenylthiofosfat', 'Spectrum_001763', 'Methyl parathion, solid', 'SpecPlus_000348', 'Methyl parathion, liquid', 'Spectrum2_001849', 'Spectrum3_000804', 'Spectrum4_000644', 'Spectrum5_001922', 'O,O-dimethyl O-p-nitrophenyl phosphorothioate', 'O,O-Dimethyl-O-(4-nitrophenyl)-thionophosphat', 'O,O-Dimethyl-O-(p-nitrophenyl)-thionophosphat', 'O,O-Dimetil-O-(4-nitro-fenil)-monotiofosfato', 'O,O-Dimethyl-O-(4-nitro-fenyl)-monothiofosfaat', 'O,O-Dimethyl-O-(4-nitro-phenyl)-monothiophosphat', 'SCHEMBL75215', 'BSPBio_002267', 'KBioGR_000987', 'KBioSS_002244', 'SPECTRUM330010', '4-06-00-01336 (Beilstein Handbook Reference)', 'MLS002454415', 'DivK1c_006444', 'SPBio_001638', 'CHEMBL346516', 'DTXSID1020855', 'O,O-Dimethyl-O-p-nitrofenylester kyseliny thiofosforecne', 'Thiophosphate de O,O-dimethyle et de O-(4-nitrophenyle)', 'CTK8E9053', 'KBio1_001388', 'KBio2_002243', 'KBio2_004811', 'KBio2_007379', 'KBio3_001767', 'dimethoxy-(4-nitrophenoxy)-sulfanylidene-lambda5-phosphane', 'OMS 213', 'Phosphorothioic acid O,O-dimethyl O-(4-nitrophenyl) ester', 'BCP09201', 'Tox21_202303', 'Tox21_300998', 'CCG-39387', 'ENT 17292', 'Parathion-methyl, analytical standard', 'dimethyl p-nitrophenyl thionophosphate', 'AKOS015897269', 'Dimethyl O-p-nitrophenyl thiophosphate', 'Dimethyl 4-nitrophenyl phosphorothioate', 'Dimethyl O-p-nitrophenyl thioph osphate', 'LS-1143', 'NCGC00091101-01', 'NCGC00091101-02', 'NCGC00091101-03', 'NCGC00091101-04', 'NCGC00091101-05', 'NCGC00091101-06', 'NCGC00091101-07', 'NCGC00091101-08', 'NCGC00254900-01', 'NCGC00259852-01', 'CC-33474', 'SMR000778017', 'DB-047652', 'O,O-dim ethyl O-p-nitrophenyl thiophosphate', 'Parathion-methyl 100 microg/mL in Toluene', 'NS00003145', 'Parathion-methyl 1000 microg/mL in Acetone', 'Methyl parathion, liquid [NA3018] [Poison]', 'Methyl parathion, solid [NA2783] [Poison]', 'O,O-Dimethyl O-(p-nitrophenyl) thiophosphate', 'Parathion-methyl 10 microg/mL in Cyclohexane', 'C14228', 'Methyl parathion, liquid [NA3018]  [Poison]', 'Methyl parathion, solid [NA2783]  [Poison]', 'O,O-dimethyl O-(4-nitrophenyl)phosphorothioate', 'Parathion-methyl 100 microg/mL in Acetonitrile', 'O,O-Dimethyl o-(4-nitrophenyl) thiophosphate #', '298P000', 'A820056', 'C-16442', 'dimethoxy-(4-nitrophenoxy)-sulfanylidenephosphorane', 'Q421693', 'Parathion-methyl, PESTANAL(R), analytical standard', 'dimethoxy-(4-nitrophenoxy)-sulfanylidene-$l^{5}-phosphane', 'Methylparathion;Parathion-methyl;parathion-methyl;Methyl parathion;Parathion methyl', 'Parathion-methyl solution, 100 mug/mL in cyclohexane, PESTANAL(R), analytical standard']</t>
  </si>
  <si>
    <t>Compound(4130)</t>
  </si>
  <si>
    <t>C8H10NO5PS</t>
  </si>
  <si>
    <t>heneicosanoic acid</t>
  </si>
  <si>
    <t>henicosanoic acid</t>
  </si>
  <si>
    <t>['HENEICOSANOIC ACID', 'Henicosanoic acid', '2363-71-5', 'n-Heneicosanoic acid', 'heneicosylic acid', 'UNII-NRY04FUK8H', 'NRY04FUK8H', 'CHEBI:39248', 'Heneicosanoate', 'C21:0', 'Heneicosanoic acid, 99%', 'Heneicosanate', 'n-Heneicosanoate', 'HeneicosanoicAcid', 'Heneicosanic acid', 'n-heneicosylic acid', 'n-henicosanoic acid', 'EINECS 219-113-3', 'Henicosanoic acid #', 'ACMC-1CHXF', 'SCHEMBL63618', 'CHEMBL1172909', 'DTXSID0021595', 'CTK1A7290', 'henicosanoic acid;Henicosanoic acid', 'KS-000016XS', 'ZINC6920377', '6626AF', 'ANW-25169', 'LMFA01010021', 'MFCD00002805', 'SBB061356', 'AKOS015893024', 'Heneicosanoic acid, analytical standard', 'MCULE-6667030670', 'AS-56877', 'CC-29200', 'DB-046209', 'HY-121447', 'CS-0082055', 'FT-0634223', 'NS00021068', 'ST51047378', 'A816817', 'C-19881', 'Q911218', 'J-015173', 'BA927389-7F05-42E2-ADA5-59C0A171ABB2']</t>
  </si>
  <si>
    <t>Compound(16898)</t>
  </si>
  <si>
    <t>C21H42O2</t>
  </si>
  <si>
    <t>docosanoic acid</t>
  </si>
  <si>
    <t>['Docosanoic acid', 'Behenic acid', '112-85-6', '1-Docosanoic acid', 'N-DOCOSANOIC ACID', 'Hydrofol Acid 560', 'Docosoic acid', 'Hydrofol 2022-55', 'Glycon B-70', 'UNII-H390488X0A', 'HSDB 5578', 'EINECS 204-010-8', 'NSC 32364', 'AI3-52709', 'CHEBI:28941', 'MFCD00002807', 'H390488X0A', 'AK113982', 'W-108636', 'Docosanoic acid, 85%, technical', 'Behensaeure', 'Docosansaeure', 'Dokosansaeure', 'Docosanic acid', 'n-Docosanoate', '1-Docosanoate', 'docosanoyl alcohol', 'Behenic Acid 85%', 'Hystrene 5522', 'Hystrene 9022', 'Glycon B 70', 'Behenic acid, 99%', 'Prifrac 2989', 'Prifac 2987', 'Edenor C 22-85R', 'ACMC-1BX7Y', 'EC 204-010-8', 'SCHEMBL6579', 'EXL 5', 'KSC177Q5J', 'Behenic acid; Docosanoic acid', 'CH3-[CH2]20-COOH', 'CHEMBL1173474', 'DTXSID3026930', 'CTK0H7854', 'KS-00000YVX', 'Behenic acid, analytical standard', 'NSC32364', 'ZINC6920378', 'ANW-16534', 'BBL025601', 'LMFA01010022', 'NSC-32364', 's5381', 'SBB061345', 'STL146320', 'AKOS005720830', 'CCG-267927', 'CS-W013765', 'HY-W013049', 'MCULE-1752034684', 'AS-54401', 'B 95', 'CC-24262', 'M008', 'AX8115264', 'LS-163826', 'C22:0', 'D0963', 'FT-0745232', 'NS00005465', 'ST50330649', 'T7313', '2795-EP2270101A1', '2795-EP2275413A1', '2795-EP2287156A1', '2795-EP2301924A1', '2795-EP2311807A1', 'C08281', 'C-33628', 'Q422590', 'E2AAC59F-4B8D-460C-9C6E-E4E82C905122', 'UNII-CKJ5537111 component UKMSUNONTOPOIO-UHFFFAOYSA-N']</t>
  </si>
  <si>
    <t>Compound(8215)</t>
  </si>
  <si>
    <t>tricosanoic acid</t>
  </si>
  <si>
    <t>['TRICOSANOIC ACID', '2433-96-7', 'n-Tricosanoic acid', 'Tricosylic acid', 'UNII-MUC9A0MS6V', 'MUC9A0MS6V', '22FA', 'CHEBI:42394', 'F23', '1-Tricosanoic acid', 'TRICOSANOICACID', 'n-Tricosanoate', 'EINECS 219-419-7', 'ACMC-1CR37', 'SCHEMBL250860', 'CHEMBL1173462', 'CTK1A2783', 'DTXSID40179067', 'KS-000016RP', 'ZINC6920379', 'ANW-25402', 'LMFA01010023', 'MFCD00002808', 'SBB058708', 'AKOS015839839', 'CS-W009797', 'DB03500', 'HY-W009081', 'MCULE-6888441916', 'Tricosanoic acid (6CI,7CI,8CI,9CI)', 'AS-56781', 'CC-35298', 'Tricosanoic acid, &gt;=99% (capillary GC)', 'C23:0', 'FT-0757768', 'NS00047594', 'ST51037448', 'C-33629', 'J-015452', 'Q4463035', '72FA153A-99BB-4577-A2F8-D9824B79DEAC', 'tricosanoic acid;lead bis(tricosanoate);Tricosanoic acid, aluminium salt;Calcium ditricosanoate']</t>
  </si>
  <si>
    <t>Compound(17085)</t>
  </si>
  <si>
    <t>C23H46O2</t>
  </si>
  <si>
    <t>tetracosanoic acid</t>
  </si>
  <si>
    <t>['Lignoceric acid', 'Tetracosanoic acid', '557-59-5', 'UNII-RK3VCW5Y1L', 'N-TETRACOSANOIC ACID', 'RK3VCW5Y1L', 'CHEBI:28866', 'n-tetracosanoate', 'Tetracosanoic acid, 99%', 'Lignozerinsaeure', 'Tetracosansaeure', 'tetracosoic acid', 'tetracosanic acid', 'tetraicosanoic acid', 'tetraeicosanoic acid', 'EINECS 209-180-7', 'ACMC-1B1XW', 'Lignoceric Acid (24:0)', 'SCHEMBL132795', 'CH3-[CH2]22-COOH', 'CHEMBL1173620', 'DTXSID6021664', 'CTK1G9632', 'KS-00000Y5C', 'ZINC6920380', 'Tetracosanoic acid;tetracosanoic acid', '1830AH', '6713AF', 'ANW-32393', 'LMFA01010024', 'MFCD00002810', 'SBB061610', 'STL301830', 'AKOS015892947', 'MCULE-9710516271', 'AS-48043', 'CC-29953', 'Lignoceric acid, &gt;=99% (capillary GC)', 'DB-052789', 'C24:0', 'FT-0627855', 'NS00020095', 'ST51047617', 'C08320', 'C-21084', 'Q422634', 'EEF1376B-508E-4043-94E9-AC29747EA6AB', 'UNII-CKJ5537111 component QZZGJDVWLFXDLK-UHFFFAOYSA-N']</t>
  </si>
  <si>
    <t>Compound(11197)</t>
  </si>
  <si>
    <t>C24H48O2</t>
  </si>
  <si>
    <t>['OCTACOSANE', 'n-Octacosane', '630-02-4', 'n-Octcosane', 'UNII-VFF49836P8', 'CH3-[CH2]26-CH3', 'VFF49836P8', 'MFCD00009355', 'Octacosane, 99+%', 'Octacosane, analytical standard', 'Octacosane 1000 microg/mL in Dichloromethane', 'CCRIS 680', 'Octacosane, n-', 'NSC 5549', 'EINECS 211-125-7', 'Octacosane, 99%', 'Octacosane;octacosane', 'C28H58', 'Heptacosane, methyl-', 'Octacosane (C28)', 'AI3-52615', 'ACMC-1B929', 'DTXSID6058639', 'CHEBI:32943', 'CTK1J1283', 'HSDB 8358', 'NSC5549', 'NSC-5549', 'ZINC6920420', '6770AF', 'ANW-34506', 'LMFA11000580', 'STL453125', 'AKOS015902504', 'MCULE-9551476105', 'n-Octacosane 1000 microg/mL in Methanol', 'DB-054367', 'FT-0632672', 'NS00010789', 'O0002', 'ST51037384', 'KS-00001382', '630O024', 'C-24725', 'Q3348776', 'E66BE919-93E8-4101-AB46-9612FE796394', '69256-48-0']</t>
  </si>
  <si>
    <t>Compound(12408)</t>
  </si>
  <si>
    <t>C28H58</t>
  </si>
  <si>
    <t>['ethanol', 'ethyl alcohol', 'alcohol', 'Methylcarbinol', 'grain alcohol', '64-17-5', 'Ethyl hydroxide', 'Ethyl hydrate', 'EtOH', 'Algrain', 'Anhydrol', 'Tecsol', 'Hydroxyethane', 'Alkohol', 'Jaysol S', 'Potato alcohol', 'Cologne Spirit', 'Absolute ethanol', 'Ethanol 200 proof', 'Molasses alcohol', 'Spirits of wine', 'etanol', 'Aethylalkohol', 'Denatured alcohol', 'Denatured ethanol', 'Aethanol', 'Alcool ethylique', '1-Hydroxyethane', 'Fermentation alcohol', 'Alcohol, diluted', 'Tecsol C', 'Alcohols', 'Alcool etilico', 'Etanolo', 'Jaysol', 'Etylowy alkohol', 'absolute alcohol', 'Ethanol solution', 'Alcohol, ethyl', 'Alcohol dehydrated', 'Alkoholu etylowego', 'Dehydrated ethanol', 'Ethyl alcohol usp', 'Alcohol, anhydrous', 'Synasol', 'Ethyl alcohol anhydrous', 'Denatured alcohol CD-5', 'Denatured alcohol SD-1', 'Distilled spirits', 'Denatured alcohol CD-5a', 'Denatured alcohol SD-3a', 'Denatured alcohol CD-10', 'Denatured alcohol SD-17', 'Denatured alcohol SD-28', 'Denatured alcohol SD-30', 'Denatured alcohol SD-13a', 'Denatured alcohol SD-23a', 'Denatured alcohol SD-39b', 'Denatured alcohol SD-39c', 'Denatured alcohol SD-40m', 'Ethylalcohol', 'Spirit', 'SD Alchol 23-hydrogen', 'Ethanol Absolute', 'Dehydrated alcohol', 'Alkohol [German]', 'Aethanol [German]', 'Etanolo [Italian]', 'Ethyl alcohol &amp; water, 5%', 'Thanol', 'Ethanol, undenatured', 'Spirt', 'Alcare Hand Degermer', 'Ethyl alcohol &amp; water, 10%', 'Ethyl alcohol &amp; water, 20%', 'Ethyl alcohol &amp; water, 30%', 'Ethyl alcohol &amp; water, 40%', 'Ethyl alcohol &amp; water, 50%', 'Ethyl alcohol &amp; water, 60%', 'Ethyl alcohol &amp; water, 70%', 'Ethyl alcohol &amp; water, 80%', 'Ethyl alcohol &amp; water, 95%', 'Ethyl alcohol &amp; water, 96%', 'Ethyl alc', 'Ethylalcohol [Dutch]', 'Alcohol anhydrous', 'Ethyl alcohol and water', 'NCI-C03134', 'Alcohol (ethyl alcohol)', 'Alcohol, dehydrated', 'Alcohol [USP]', 'Ethicap', 'Hinetoless', 'Cologne spirits', 'Caswell No. 430', 'Reagent Alcohol', 'Infinity Pure', 'Aethylalkohol [German]', 'Desinfektol EL', 'Anhydrous alcohol', 'Ethyl alcohol in alcoholic beverages', 'FEMA No. 2419', 'FEMA Number 2419', 'Alcool etilico [Italian]', 'Etylowy alkohol [Polish]', 'Ethyl alcohol, undenatured', 'Alcool ethylique [French]', 'C2H5OH', 'Ethanol [JAN]', 'Alkoholu etylowego [Polish]', 'HSDB 82', 'SDM No. 37', 'AI3-01706', 'CCRIS 945', 'Ethanol Vapor', 'SD alcohol 23-hydrogen', 'Ru-Tuss Hydrocodone Liquid', 'C2H6O', 'NSC 85228', 'Alcohol (USP)', 'EPA Pesticide Chemical Code 001501', 'Absolute ethyl alcohol', 'UNII-3K9958V90M', 'Punctilious ethyl alcohol', 'ALCOHOL 5% IN DEXTROSE 5%', 'EINECS 200-578-6', 'Cologne spirits (alcohol)', 'CHEBI:16236', 'Ethanol, denatured', 'Ethanol, Anhydrous', 'MFCD00003568', 'NSC-85228', '3K9958V90M', 'Ethanol, CDA 19', 'Ethanol, 200 Proof', 'Ethyl Alcohol Denatured', 'Ethylol', 'Alcohols, C1-3', 'Alcohols, C6-9', 'Ethanol Anhydrous', 'EOH', 'Alcohols, C&gt;30', 'Sekundasprit', 'alcohol etilico', 'spiritus vini', '(C6-C9)Alkyl alcohol', 'Anhydrous ethanol', 'Lux', 'SY Fresh M', 'Esumiru WK 88', 'Ethanol (9CI)', 'Ethanol, silent spirit', 'Anhydrol PM 4085', 'Ethyl alcohol, anhydrous', 'Higher alcohol distillate', 'SDA 3A', 'silent spirit', 'diluted Alcohol', 'Vodka', 'ethanol-', '100C.NPA', 'ALCOHOL 5% IN D5-W', 'CDA 19', 'IMS 99', 'Alcohol denatured', 'Alcohol (ethyl)', 'Alcohol, denatured', 'undenatured Ethanol', 'AHD 2000', 'SDA 40-2', 'VANILLA  Powder', 'EINECS 270-649-4', 'Eosin Y, Alcoholic', 'fermentation  alcohol', 'CDA 19-200', 'Ethyl Alcohol 40%', 'Ethyl Alcohol 70%', 'Ethyl Alcohol 75%', 'Ethyl Alcohol 80%', 'Ethyl Alcohol 90%', 'Ethyl alcohol,absolute', 'Ethanol, 99.8%', 'Ethanol, technical grade', 'Fatty Alcohol C8-10', 'Reagent Alcohol, 70%', 'Reagent Alcohol, 80%', 'Reagent Alcohol, 95%', 'CH3CH2OH', 'Dehydrated ethanol (TN)', 'Ethyl Alcohol 47.5%', 'DSSTox_CID_584', 'Ethanol, standard for GC', 'ACMC-1AT5A', 'bmse000297', 'CHEMBL545', 'EC 200-578-6', 'Ethanol, &gt;=99.5%', 'Aerosol&amp;trade; OT Solution', 'Anhydrous ethanol (JP17)', 'Reagent Alcohol, for HPLC', 'Ethanol, analytical standard', 'DSSTox_RID_75674', 'SD 3A', 'DSSTox_GSID_20584', 'Ethanol, for UV Spectrocopy', 'Ru-Tuss Liquid (Salt/Mix)', 'Ethanol, USP, 99.5%', 'WLN: Q2', '68475-56-9', '71076-86-3', '71329-38-9', 'Ethanol, anhydrous, denatured', 'Ethanol, for residue analysis', 'KSC353A0H', 'Reagent Alcohol, ACS reagent', 'Alcohol determination--alcohol', 'Duplicating Fluid 100C.NPA', 'Ethanol, p.a., 99.8%', 'Reagent Alcohol, reagent grade', 'SDM No. 37 (Salt/Mix)', 'GTPL2299', 'Alcohol dehydrated, &gt;=85.0%', 'DTXSID4028331', 'DTXSID9020584', 'Ethanol, technical grade, 93%', 'Ethanol, technical grade, 99%', 'CHEBI:17246', 'CTK2F3003', 'Ethanol, 95.1-96.9%', 'KS-00000WFI', 'poly(vinyl alcohol) macromolecule', 'Ru-Tuss Expectorant (Salt/Mix)', 'Ethyl alcohol (6CI,7CI,8CI)', 'Ethanol, technical grade, 93.8%', 'Ethanol, technical grade, 99.5%', 'Ethanol, &gt;=99.5%, for HPLC', 'NSC85228', 'Ethyl Alcohol 95% ACS/USP Grade', 'Tox21_202510', '6869AF', 'ALCOHOL 5% AND DEXTROSE 5%', 'ANW-42207', 'STL264245', 'Ethanol 2000 microg/mL in Methanol', 'Ethanol, 95.0%, (190 proof)', 'Ethanol, p.a., ACS reagent, 96%', 'Ethanol, tested according to Ph.Eur.', 'Ethanol, USP, 70.0-72.0%', 'Ethanol, USP, 94.9-96.0%', 'AKOS009104571', 'Ethanol, Reagent (Denatured SDA 3A)', 'ALCOHOL 10% AND DEXTROSE 5%', 'DB00898', 'Ethanol 10000 microg/mL in Methanol', 'Ethanol, absolute, &gt;=99.8% (GC)', 'Ethanol, UV HPLC spectroscopic, 95%', 'LS-1539', 'MCULE-8818474596', 'UN 1170', 'CAS-64-17-5', 'Ethanol, denatured, (UK IDA standard)', 'Ethanol, SAJ first grade, &gt;=99.5%', 'Ethyl Alcohol Absolute, ACS/USP Grade', 'Ethanol, JIS special grade, &gt;=99.5%', 'Ethanol, p.a., ACS reagent, 95.0%', 'Ethanol, technical grade, 92.6-93.8', 'NCGC00091458-01', 'NCGC00091458-02', 'NCGC00260059-01', 'Reagent Alcohol, spectrophotometric grade', 'SC-25298', 'Ethanol, absolute, for HPLC, &gt;=99.8%', 'Ethyl Alcohol 95% (Synthetic) FCC Grade', 'Ethanol, ACS reagent, 99.8, 200 proof', 'Ethanol, JIS first grade, 94.8-95.8%', 'Ethyl Alcohol Absolute (Organic) USP Grade', '113-EP0930075A1', '113-EP1441224A2', '113-EP2269610A2', '113-EP2269977A2', '113-EP2269978A2', '113-EP2269983A1', '113-EP2269984A1', '113-EP2269985A2', '113-EP2269986A1', '113-EP2269989A1', '113-EP2269990A1', '113-EP2269991A2', '113-EP2269994A1', '113-EP2269995A1', '113-EP2270000A1', '113-EP2270004A1', '113-EP2270005A1', '113-EP2270006A1', '113-EP2270008A1', '113-EP2270009A1', '113-EP2270010A1', '113-EP2270011A1', '113-EP2270012A1', '113-EP2270013A1', '113-EP2270014A1', '113-EP2270017A1', '113-EP2270101A1', '113-EP2270113A1', '113-EP2270114A1', '113-EP2270505A1', '113-EP2272516A2', '113-EP2272517A1', '113-EP2272813A2', '113-EP2272817A1', '113-EP2272822A1', '113-EP2272825A2', '113-EP2272832A1', '113-EP2272834A1', '113-EP2272835A1', '113-EP2272839A1', '113-EP2272840A1', '113-EP2272841A1', '113-EP2272843A1', '113-EP2272844A1', '113-EP2272847A1', '113-EP2272848A1', '113-EP2272849A1', '113-EP2272935A1', '113-EP2272972A1', '113-EP2272973A1', '113-EP2274983A1', '113-EP2275102A1', '113-EP2275105A1', '113-EP2275398A1', '113-EP2275401A1', '113-EP2275404A1', '113-EP2275409A1', '113-EP2275410A1', '113-EP2275411A2', '113-EP2275412A1', '113-EP2275413A1', '113-EP2275414A1', '113-EP2275417A2', '113-EP2275418A1', '113-EP2275420A1', '113-EP2275421A1', '113-EP2275424A1', '113-EP2275427A1', '113-EP2275469A1', '113-EP2277507A1', '113-EP2277848A1', '113-EP2277861A1', '113-EP2277862A2', '113-EP2277867A2', '113-EP2277872A1', '113-EP2277874A1', '113-EP2277876A1', '113-EP2277877A1', '113-EP2277878A1', '113-EP2277879A1', '113-EP2277881A1', '113-EP2280001A1', '113-EP2280003A2', '113-EP2280004A1', '113-EP2280005A1', '113-EP2280008A2', '113-EP2280009A1', '113-EP2280010A2', '113-EP2280012A2', '113-EP2280020A1', '113-EP2280021A1', '113-EP2281816A1', '113-EP2281817A1', '113-EP2281818A1', '113-EP2281820A2', '113-EP2281823A2', '113-EP2281899A2', '113-EP2284146A2', '113-EP2284147A2', '113-EP2284148A1', '113-EP2284149A1', '113-EP2284150A2', '113-EP2284151A2', '113-EP2284152A2', '113-EP2284153A2', '113-EP2284154A1', '113-EP2284155A2', '113-EP2284156A2', '113-EP2284157A1', '113-EP2284158A1', '113-EP2284160A1', '113-EP2284162A2', '113-EP2284163A2', '113-EP2284164A2', '113-EP2284165A1', '113-EP2284169A1', '113-EP2284170A1', '113-EP2284171A1', '113-EP2284172A1', '113-EP2284174A1', '113-EP2286795A1', '113-EP2286811A1', '113-EP2286812A1', '113-EP2286915A2', '113-EP2287140A2', '113-EP2287141A1', '113-EP2287147A2', '113-EP2287148A2', '113-EP2287150A2', '113-EP2287152A2', '113-EP2287153A1', '113-EP2287154A1', '113-EP2287155A1', '113-EP2287156A1', '113-EP2287159A1', '113-EP2287161A1', '113-EP2287162A1', '113-EP2287163A1', '113-EP2287165A2', '113-EP2287166A2', '113-EP2287167A1', '113-EP2287940A1', '113-EP2289509A2', '113-EP2289510A1', '113-EP2289518A1', '113-EP2289868A1', '113-EP2289871A1', '113-EP2289879A1', '113-EP2289880A1', '113-EP2289882A1', '113-EP2289883A1', '113-EP2289884A1', '113-EP2289887A2', '113-EP2289888A2', '113-EP2289890A1', '113-EP2289892A1', '113-EP2289894A2', '113-EP2289897A1', '113-EP2289965A1', '113-EP2292088A1', '113-EP2292228A1', '113-EP2292231A1', '113-EP2292233A2', '113-EP2292576A2', '113-EP2292590A2', '113-EP2292592A1', '113-EP2292593A2', '113-EP2292597A1', '113-EP2292606A1', '113-EP2292612A2', '113-EP2292614A1', '113-EP2292615A1', '113-EP2292617A1', '113-EP2292620A2', '113-EP2292622A1', '113-EP2292628A2', '113-EP2292629A1', '113-EP2295399A2', '113-EP2295401A2', '113-EP2295406A1', '113-EP2295408A1', '113-EP2295410A1', '113-EP2295411A1', '113-EP2295412A1', '113-EP2295413A1', '113-EP2295414A1', '113-EP2295415A1', '113-EP2295416A2', '113-EP2295417A1', '113-EP2295418A1', '113-EP2295419A2', '113-EP2295420A1', '113-EP2295422A2', '113-EP2295423A1', '113-EP2295426A1', '113-EP2295427A1', '113-EP2295430A2', '113-EP2295431A2', '113-EP2295433A2', '113-EP2295434A2', '113-EP2295438A1', '113-EP2295439A1', '113-EP2295550A2', '113-EP2298312A1', '113-EP2298313A1', '113-EP2298728A1', '113-EP2298729A1', '113-EP2298731A1', '113-EP2298732A1', '113-EP2298735A1', '113-EP2298743A1', '113-EP2298745A1', '113-EP2298746A1', '113-EP2298748A2', '113-EP2298750A1', '113-EP2298751A2', '113-EP2298753A1', '113-EP2298754A1', '113-EP2298755A1', '113-EP2298758A1', '113-EP2298759A1', '113-EP2298761A1', '113-EP2298763A1', '113-EP2298767A1', '113-EP2298768A1', '113-EP2298770A1', '113-EP2298772A1', '113-EP2298776A1', '113-EP2298778A1', '113-EP2298779A1', '113-EP2298783A1', '113-EP2299326A1', '113-EP2301533A1', '113-EP2301534A1', '113-EP2301909A1', '113-EP2301912A2', '113-EP2301913A1', '113-EP2301914A1', '113-EP2301916A2', '113-EP2301918A1', '113-EP2301919A1', '113-EP2301924A1', '113-EP2301928A1', '113-EP2301929A1', '113-EP2301930A1', '113-EP2301931A1', '113-EP2301933A1', '113-EP2301935A1', '113-EP2301936A1', '113-EP2301939A1', '113-EP2301983A1', '113-EP2302003A1', '113-EP2302382A2', '113-EP2302383A2', '113-EP2305250A1', '113-EP2305257A1', '113-EP2305260A1', '113-EP2305625A1', '113-EP2305627A1', '113-EP2305629A1', '113-EP2305633A1', '113-EP2305636A1', '113-EP2305637A2', '113-EP2305640A2', '113-EP2305643A1', '113-EP2305646A1', '113-EP2305648A1', '113-EP2305652A2', '113-EP2305660A1', '113-EP2305664A1', '113-EP2305666A1', '113-EP2305667A2', '113-EP2305668A1', '113-EP2305671A1', '113-EP2305672A1', '113-EP2305673A1', '113-EP2305674A1', '113-EP2305675A1', '113-EP2305676A1', '113-EP2305678A1', '113-EP2305679A1', '113-EP2305680A2', '113-EP2305681A1', '113-EP2305682A1', '113-EP2305683A1', '113-EP2305684A1', '113-EP2305687A1', '113-EP2305695A2', '113-EP2305696A2', '113-EP2305697A2', '113-EP2305698A2', '113-EP2305808A1', '113-EP2305825A1', '113-EP2308492A1', '113-EP2308509A1', '113-EP2308510A1', '113-EP2308562A2', '113-EP2308828A2', '113-EP2308832A1', '113-EP2308833A2', '113-EP2308838A1', '113-EP2308839A1', '113-EP2308840A1', '113-EP2308841A2', '113-EP2308844A2', '113-EP2308845A2', '113-EP2308846A2', '113-EP2308848A1', '113-EP2308849A1', '113-EP2308851A1', '113-EP2308857A1', '113-EP2308861A1', '113-EP2308863A1', '113-EP2308864A1', '113-EP2308865A1', '113-EP2308867A2', '113-EP2308870A2', '113-EP2308871A1', '113-EP2308872A1', '113-EP2308874A1', '113-EP2308875A1', '113-EP2308877A1', '113-EP2308879A1', '113-EP2308882A1', '113-EP2308926A1', '113-EP2309564A1', '113-EP2309584A1', '113-EP2311451A1', '113-EP2311464A1', '113-EP2311796A1', '113-EP2311797A1', '113-EP2311798A1', '113-EP2311799A1', '113-EP2311801A1', '113-EP2311802A1', '113-EP2311803A1', '113-EP2311805A1', '113-EP2311806A2', '113-EP2311807A1', '113-EP2311808A1', '113-EP2311810A1', '113-EP2311811A1', '113-EP2311815A1', '113-EP2311818A1', '113-EP2311820A1', '113-EP2311821A1', '113-EP2311822A1', '113-EP2311823A1', '113-EP2311824A1', '113-EP2311825A1', '113-EP2311827A1', '113-EP2311828A1', '113-EP2311829A1', '113-EP2311830A1', '113-EP2311832A1', '113-EP2311833A1', '113-EP2311834A1', '113-EP2311835A1', '113-EP2311838A1', '113-EP2311839A1', '113-EP2311840A1', '113-EP2311841A1', '113-EP2311842A2', '113-EP2311846A1', '113-EP2311850A1', '113-EP2314295A1', '113-EP2314558A1', '113-EP2314575A1', '113-EP2314576A1', '113-EP2314581A1', '113-EP2314583A1', '113-EP2314584A1', '113-EP2314585A1', '113-EP2314586A1', '113-EP2314587A1', '113-EP2314588A1', '113-EP2314589A1', '113-EP2314591A1', '113-EP2314593A1', '113-EP2315303A1', '113-EP2316450A1', '113-EP2316452A1', '113-EP2316457A1', '113-EP2316458A1', '113-EP2316824A1', '113-EP2316825A1', '113-EP2316826A1', '113-EP2316827A1', '113-EP2316828A1', '113-EP2316829A1', '113-EP2316831A1', '113-EP2316835A1', '113-EP2316837A1', '113-EP2316974A1', '113-EP2371805A1', '113-EP2371809A1', '113-EP2371811A2', '113-EP2371814A1', '113-EP2372017A1', '113-EP2374454A1', '113-EP2374526A1', '113-EP2374780A1', '113-EP2374781A1', '113-EP2374783A1', '113-EP2374786A1', '113-EP2374787A1', '113-EP2374790A1', '113-EP2374792A1', '113-EP2375479A1', '113-EP2377510A1', '113-EP2377841A1', '113-EP2377848A1', '113-EP2380568A1', '113-EP2380661A2', '113-EP2380871A1', '113-EP2380872A1', '113-EP2380873A1', '139-EP0930075A1', '139-EP1441224A2', '139-EP2269610A2', '139-EP2269651A2', '139-EP2269977A2', '139-EP2269978A2', '139-EP2269985A2', '139-EP2269986A1', '139-EP2269987A1', '139-EP2269988A2', '139-EP2269989A1', '139-EP2269990A1', '139-EP2269991A2', '139-EP2269992A1', '139-EP2269993A1', '139-EP2269994A1', '139-EP2269995A1', '139-EP2269996A1', '139-EP2269999A1', '139-EP2270000A1', '139-EP2270001A1', '139-EP2270002A1', '139-EP2270004A1', '139-EP2270006A1', '139-EP2270008A1', '139-EP2270009A1', '139-EP2270010A1', '139-EP2270011A1', '139-EP2270012A1', '139-EP2270013A1', '139-EP2270014A1', '139-EP2270017A1', '139-EP2270101A1', '139-EP2270113A1', '139-EP2270114A1', '139-EP2270505A1', '139-EP2270895A2', '139-EP2272516A2', '139-EP2272517A1', '139-EP2272537A2', '139-EP2272813A2', '139-EP2272817A1', '139-EP2272822A1', '139-EP2272825A2', '139-EP2272826A1', '139-EP2272827A1', '139-EP2272828A1', '139-EP2272830A1', '139-EP2272832A1', '139-EP2272834A1', '139-EP2272835A1', '139-EP2272837A1', '139-EP2272839A1', '139-EP2272840A1', '139-EP2272841A1', '139-EP2272843A1', '139-EP2272844A1', '139-EP2272846A1', '139-EP2272847A1', '139-EP2272848A1', '139-EP2272849A1', '139-EP2272935A1', '139-EP2272972A1', '139-EP2272973A1', '139-EP2274983A1', '139-EP2275102A1', '139-EP2275105A1', '139-EP2275398A1', '139-EP2275401A1', '139-EP2275403A1', '139-EP2275404A1', '139-EP2275409A1', '139-EP2275411A2', '139-EP2275412A1', '139-EP2275413A1', '139-EP2275414A1', '139-EP2275419A2', '139-EP2275420A1', '139-EP2275421A1', '139-EP2275422A1', '139-EP2275423A1', '139-EP2275424A1', '139-EP2275425A1', '139-EP2275427A1', '139-EP2275469A1', '139-EP2277507A1', '139-EP2277565A2', '139-EP2277566A2', '139-EP2277567A1', '139-EP2277568A2', '139-EP2277569A2', '139-EP2277570A2', '139-EP2277848A1', '139-EP2277858A1', '139-EP2277861A1', '139-EP2277865A1', '139-EP2277866A1', '139-EP2277867A2', '139-EP2277868A1', '139-EP2277869A1', '139-EP2277870A1', '139-EP2277872A1', '139-EP2277874A1', '139-EP2277875A2', '139-EP2277876A1', '139-EP2277878A1', '139-EP2277879A1', '139-EP2277880A1', '139-EP2277881A1', '139-EP2277898A2', '139-EP2278637A1', '139-EP2279741A2', '139-EP2279750A1', '139-EP2279751A2', '139-EP2280000A1', '139-EP2280001A1', '139-EP2280003A2', '139-EP2280004A1', '139-EP2280005A1', '139-EP2280006A1', '139-EP2280007A1', '139-EP2280008A2', '139-EP2280010A2', '139-EP2280011A1', '139-EP2280012A2', '139-EP2280013A1', '139-EP2280014A2', '139-EP2280020A1', '139-EP2280021A1', '139-EP2281563A1', '139-EP2281810A1', '139-EP2281812A1', '139-EP2281813A1', '139-EP2281815A1', '139-EP2281817A1', '139-EP2281818A1', '139-EP2281819A1', '139-EP2281820A2', '139-EP2281821A1', '139-EP2281822A1', '139-EP2281823A2', '139-EP2281824A1', '139-EP2281861A2', '139-EP2281899A2', '139-EP2283811A1', '139-EP2283898A1', '139-EP2284146A2', '139-EP2284147A2', '139-EP2284149A1', '139-EP2284150A2', '139-EP2284151A2', '139-EP2284152A2', '139-EP2284153A2', '139-EP2284154A1', '139-EP2284155A2', '139-EP2284156A2', '139-EP2284157A1', '139-EP2284158A1', '139-EP2284159A1', '139-EP2284160A1', '139-EP2284161A1', '139-EP2284164A2', '139-EP2284165A1', '139-EP2284166A1', '139-EP2284167A2', '139-EP2284168A2', '139-EP2284169A1', '139-EP2284170A1', '139-EP2284171A1', '139-EP2284172A1', '139-EP2284174A1', '139-EP2284178A2', '139-EP2284179A2', '139-EP2284920A1', '139-EP2286795A1', '139-EP2286811A1', '139-EP2286812A1', '139-EP2286915A2', '139-EP2287140A2', '139-EP2287141A1', '139-EP2287147A2', '139-EP2287148A2', '139-EP2287150A2', '139-EP2287152A2', '139-EP2287153A1', '139-EP2287154A1', '139-EP2287155A1', '139-EP2287156A1', '139-EP2287158A1', '139-EP2287159A1', '139-EP2287160A1', '139-EP2287161A1', '139-EP2287162A1', '139-EP2287163A1', '139-EP2287164A1', '139-EP2287165A2', '139-EP2287166A2', '139-EP2287167A1', '139-EP2287168A2', '139-EP2287940A1', '139-EP2289483A1', '139-EP2289509A2', '139-EP2289510A1', '139-EP2289868A1', '139-EP2289871A1', '139-EP2289876A1', '139-EP2289877A1', '139-EP2289879A1', '139-EP2289881A1', '139-EP2289882A1', '139-EP2289883A1', '139-EP2289884A1', '139-EP2289885A1', '139-EP2289887A2', '139-EP2289888A2', '139-EP2289890A1', '139-EP2289892A1', '139-EP2289893A1', '139-EP2289894A2', '139-EP2289896A1', '139-EP2289897A1', '139-EP2289965A1', '139-EP2292088A1', '139-EP2292227A2', '139-EP2292228A1', '139-EP2292233A2', '139-EP2292234A1', '139-EP2292280A1', '139-EP2292586A2', '139-EP2292589A1', '139-EP2292590A2', '139-EP2292592A1', '139-EP2292593A2', '139-EP2292596A2', '139-EP2292597A1', '139-EP2292601A1', '139-EP2292602A1', '139-EP2292603A1', '139-EP2292606A1', '139-EP2292607A2', '139-EP2292608A1', '139-EP2292609A1', '139-EP2292610A1', '139-EP2292612A2', '139-EP2292613A1', '139-EP2292614A1', '139-EP2292615A1', '139-EP2292616A1', '139-EP2292617A1', '139-EP2292618A1', '139-EP2292619A1', '139-EP2292620A2', '139-EP2292621A1', '139-EP2292622A1', '139-EP2292625A1', '139-EP2292628A2', '139-EP2292629A1', '139-EP2292630A1', '139-EP2293650A1', '139-EP2295053A1', '139-EP2295055A2', '139-EP2295061A1', '139-EP2295399A2', '139-EP2295406A1', '139-EP2295407A1', '139-EP2295408A1', '139-EP2295409A1', '139-EP2295410A1', '139-EP2295411A1', '139-EP2295412A1', '139-EP2295413A1', '139-EP2295414A1', '139-EP2295415A1', '139-EP2295416A2', '139-EP2295417A1', '139-EP2295418A1', '139-EP2295419A2', '139-EP2295420A1', '139-EP2295421A1', '139-EP2295422A2', '139-EP2295423A1', '139-EP2295424A1', '139-EP2295425A1', '139-EP2295426A1', '139-EP2295427A1', '139-EP2295428A2', '139-EP2295429A1', '139-EP2295430A2', '139-EP2295431A2', '139-EP2295432A1', '139-EP2295433A2', '139-EP2295434A2', '139-EP2295435A1', '139-EP2295436A1', '139-EP2295437A1', '139-EP2295438A1', '139-EP2295439A1', '139-EP2295550A2', '139-EP2298305A1', '139-EP2298312A1', '139-EP2298313A1', '139-EP2298728A1', '139-EP2298729A1', '139-EP2298731A1', '139-EP2298732A1', '139-EP2298734A2', '139-EP2298735A1', '139-EP2298736A1', '139-EP2298737A1', '139-EP2298738A1', '139-EP2298739A1', '139-EP2298740A1', '139-EP2298741A1', '139-EP2298742A1', '139-EP2298743A1', '139-EP2298744A2', '139-EP2298745A1', '139-EP2298746A1', '139-EP2298747A1', '139-EP2298748A2', '139-EP2298749A1', '139-EP2298750A1', '139-EP2298751A2', '139-EP2298752A1', '139-EP2298753A1', '139-EP2298754A1', '139-EP2298755A1', '139-EP2298756A1', '139-EP2298757A2', '139-EP2298758A1', '139-EP2298759A1', '139-EP2298760A1', '139-EP2298761A1', '139-EP2298763A1', '139-EP2298764A1', '139-EP2298765A1', '139-EP2298766A1', '139-EP2298767A1', '139-EP2298768A1', '139-EP2298769A1', '139-EP2298770A1', '139-EP2298771A2', '139-EP2298772A1', '139-EP2298773A1', '139-EP2298774A1', '139-EP2298775A1', '139-EP2298776A1', '139-EP2298778A1', '139-EP2298779A1', '139-EP2298783A1', '139-EP2298828A1', '139-EP2299509A1', '139-EP2299510A1', '139-EP2301533A1', '139-EP2301534A1', '139-EP2301536A1', '139-EP2301538A1', '139-EP2301540A1', '139-EP2301544A1', '139-EP2301627A1', '139-EP2301909A1', '139-EP2301911A1', '139-EP2301912A2', '139-EP2301913A1', '139-EP2301914A1', '139-EP2301916A2', '139-EP2301919A1', '139-EP2301920A1', '139-EP2301921A1', '139-EP2301922A1', '139-EP2301923A1', '139-EP2301925A1', '139-EP2301928A1', '139-EP2301929A1', '139-EP2301931A1', '139-EP2301933A1', '139-EP2301934A1', '139-EP2301935A1', '139-EP2301936A1', '139-EP2301937A1', '139-EP2301938A1', '139-EP2301939A1', '139-EP2301940A1', '139-EP2301941A1', '139-EP2301983A1', '139-EP2302003A1', '139-EP2305033A1', '139-EP2305219A1', '139-EP2305243A1', '139-EP2305250A1', '139-EP2305254A1', '139-EP2305257A1', '139-EP2305260A1', '139-EP2305625A1', '139-EP2305627A1', '139-EP2305629A1', '139-EP2305633A1', '139-EP2305637A2', '139-EP2305640A2', '139-EP2305641A1', '139-EP2305642A2', '139-EP2305643A1', '139-EP2305644A1', '139-EP2305647A1', '139-EP2305648A1', '139-EP2305649A1', '139-EP2305651A1', '139-EP2305652A2', '139-EP2305654A1', '139-EP2305655A2', '139-EP2305657A2', '139-EP2305658A1', '139-EP2305659A1', '139-EP2305660A1', '139-EP2305662A1', '139-EP2305663A1', '139-EP2305664A1', '139-EP2305666A1', '139-EP2305667A2', '139-EP2305668A1', '139-EP2305669A1', '139-EP2305671A1', '139-EP2305672A1', '139-EP2305673A1', '139-EP2305674A1', '139-EP2305675A1', '139-EP2305676A1', '139-EP2305677A1', '139-EP2305678A1', '139-EP2305679A1', '139-EP2305680A2', '139-EP2305681A1', '139-EP2305682A1', '139-EP2305683A1', '139-EP2305684A1', '139-EP2305685A1', '139-EP2305686A1', '139-EP2305687A1', '139-EP2305688A1', '139-EP2305695A2', '139-EP2305696A2', '139-EP2305697A2', '139-EP2305698A2', '139-EP2305769A2', '139-EP2305808A1', '139-EP2305825A1', '139-EP2308471A1', '139-EP2308479A2', '139-EP2308492A1', '139-EP2308509A1', '139-EP2308510A1', '139-EP2308562A2', '139-EP2308812A2', '139-EP2308828A2', '139-EP2308832A1', '139-EP2308833A2', '139-EP2308838A1', '139-EP2308839A1', '139-EP2308840A1', '139-EP2308841A2', '139-EP2308842A1', '139-EP2308848A1', '139-EP2308849A1', '139-EP2308850A1', '139-EP2308851A1', '139-EP2308852A1', '139-EP2308853A1', '139-EP2308854A1', '139-EP2308855A1', '139-EP2308857A1', '139-EP2308858A1', '139-EP2308861A1', '139-EP2308863A1', '139-EP2308864A1', '139-EP2308865A1', '139-EP2308866A1', '139-EP2308867A2', '139-EP2308868A1', '139-EP2308869A1', '139-EP2308870A2', '139-EP2308871A1', '139-EP2308872A1', '139-EP2308873A1', '139-EP2308874A1', '139-EP2308875A1', '139-EP2308876A1', '139-EP2308877A1', '139-EP2308878A2', '139-EP2308879A1', '139-EP2308880A1', '139-EP2308882A1', '139-EP2308883A1', '139-EP2308926A1', '139-EP2309505A1', '139-EP2309564A1', '139-EP2309584A1', '139-EP2311451A1', '139-EP2311453A1', '139-EP2311455A1', '139-EP2311464A1', '139-EP2311494A1', '139-EP2311796A1', '139-EP2311797A1', '139-EP2311798A1', '139-EP2311799A1', '139-EP2311801A1', '139-EP2311802A1', '139-EP2311803A1', '139-EP2311805A1', '139-EP2311806A2', '139-EP2311807A1', '139-EP2311808A1', '139-EP2311810A1', '139-EP2311811A1', '139-EP2311812A1', '139-EP2311814A1', '139-EP2311815A1', '139-EP2311816A1', '139-EP2311817A1', '139-EP2311818A1', '139-EP2311820A1', '139-EP2311821A1', '139-EP2311822A1', '139-EP2311823A1', '139-EP2311824A1', '139-EP2311825A1', '139-EP2311826A2', '139-EP2311827A1', '139-EP2311828A1', '139-EP2311829A1', '139-EP2311830A1', '139-EP2311831A1', '139-EP2311832A1', '139-EP2311833A1', '139-EP2311834A1', '139-EP2311835A1', '139-EP2311836A1', '139-EP2311837A1', '139-EP2311838A1', '139-EP2311839A1', '139-EP2311840A1', '139-EP2311842A2', '139-EP2311850A1', '139-EP2314295A1', '139-EP2314298A1', '139-EP2314558A1', '139-EP2314571A2', '139-EP2314575A1', '139-EP2314576A1', '139-EP2314577A1', '139-EP2314578A1', '139-EP2314579A1', '139-EP2314581A1', '139-EP2314582A1', '139-EP2314583A1', '139-EP2314584A1', '139-EP2314585A1', '139-EP2314586A1', '139-EP2314587A1', '139-EP2314588A1', '139-EP2314589A1', '139-EP2314590A1', '139-EP2314591A1', '139-EP2314593A1', '139-EP2315303A1', '139-EP2315502A1', '139-EP2316450A1', '139-EP2316452A1', '139-EP2316457A1', '139-EP2316458A1', '139-EP2316459A1', '139-EP2316470A2', '139-EP2316825A1', '139-EP2316826A1', '139-EP2316827A1', '139-EP2316828A1', '139-EP2316829A1', '139-EP2316830A2', '139-EP2316831A1', '139-EP2316832A1', '139-EP2316833A1', '139-EP2316835A1', '139-EP2316836A1', '139-EP2316837A1', '139-EP2316905A1', '139-EP2316906A2', '139-EP2316937A1', '139-EP2371797A1', '139-EP2371798A1', '139-EP2371800A1', '139-EP2371806A1', '139-EP2371807A1', '139-EP2371810A1', '139-EP2371811A2', '139-EP2371813A1', '139-EP2371814A1', '139-EP2371823A1', '139-EP2371831A1', '139-EP2372017A1', '139-EP2372804A1', '139-EP2374454A1', '139-EP2374538A1', '139-EP2374780A1', '139-EP2374781A1', '139-EP2374783A1', '139-EP2374788A1', '139-EP2374790A1', '139-EP2374791A1', '139-EP2374792A1', '139-EP2374895A1', '139-EP2377510A1', '139-EP2377841A1', '139-EP2377845A1', '139-EP2377847A1', '139-EP2378585A1', '139-EP2380568A1', '139-EP2380872A1', '139-EP2380873A1', '139-EP2380874A2', 'E1510', 'Ethanol solution, EP, BP, 69.5-70.4%', 'Ethanol, JIS special grade, 94.8-95.8%', 'FT-0625729', 'FT-0625731', 'FT-0625732', 'FT-0668048', 'Ethanol, &gt;=99.5%, SAJ super special grade', 'PM-6193-200', 'Reagent Alcohol, anhydrous, &lt;=0.003% water', 'Reagent Alcohol, anhydrous, &lt;=0.005% water', '1037-EP2269996A1', '1037-EP2270002A1', '1037-EP2270006A1', '1037-EP2272848A1', '1037-EP2274983A1', '1037-EP2275411A2', '1037-EP2277565A2', '1037-EP2277566A2', '1037-EP2277567A1', '1037-EP2277568A2', '1037-EP2277569A2', '1037-EP2277570A2', '1037-EP2277862A2', '1037-EP2277866A1', '1037-EP2277867A2', '1037-EP2280003A2', '1037-EP2280008A2', '1037-EP2280010A2', '1037-EP2281563A1', '1037-EP2284160A1', '1037-EP2284169A1', '1037-EP2284172A1', '1037-EP2287152A2', '1037-EP2287160A1', '1037-EP2287161A1', '1037-EP2287162A1', '1037-EP2289868A1', '1037-EP2289893A1', '1037-EP2292227A2', '1037-EP2292280A1', '1037-EP2295055A2', '1037-EP2295402A2', '1037-EP2295408A1', '1037-EP2295410A1', '1037-EP2295416A2', '1037-EP2295437A1', '1037-EP2295439A1', '1037-EP2298734A2', '1037-EP2298735A1', '1037-EP2298748A2', '1037-EP2298770A1', '1037-EP2298775A1', '1037-EP2301939A1', '1037-EP2302382A2', '1037-EP2302383A2', '1037-EP2305243A1', '1037-EP2305254A1', '1037-EP2305679A1', '1037-EP2305684A1', '1037-EP2305689A1', '1037-EP2308479A2', '1037-EP2308861A1', '1037-EP2308872A1', '1037-EP2308873A1', '1037-EP2308875A1', '1037-EP2311453A1', '1037-EP2311809A1', '1037-EP2311814A1', '1037-EP2311821A1', '1037-EP2311824A1', '1037-EP2311831A1', '1037-EP2311832A1', '1037-EP2311833A1', '1037-EP2311837A1', '1037-EP2311840A1', '1037-EP2311842A2', '1037-EP2314584A1', '1037-EP2316459A1', '1037-EP2316470A2', '1037-EP2316829A1', '1037-EP2316831A1', '1037-EP2316832A1', '1037-EP2316833A1', '1037-EP2316834A1', '1037-EP2316835A1', '1037-EP2316836A1', '1037-EP2374454A1', '4260-EP2269977A2', '4260-EP2269988A2', '4260-EP2269996A1', '4260-EP2270000A1', '4260-EP2270001A1', '4260-EP2270002A1', '4260-EP2270003A1', '4260-EP2270006A1', '4260-EP2270008A1', '4260-EP2270010A1', '4260-EP2270011A1', '4260-EP2270012A1', '4260-EP2270013A1', '4260-EP2270015A1', '4260-EP2270018A1', '4260-EP2272510A1', '4260-EP2272825A2', '4260-EP2272826A1', '4260-EP2272839A1', '4260-EP2272840A1', '4260-EP2272848A1', '4260-EP2275102A1', '4260-EP2275412A1', '4260-EP2275413A1', '4260-EP2277848A1', '4260-EP2277867A2', '4260-EP2277874A1', '4260-EP2277875A2', '4260-EP2277877A1', '4260-EP2279741A2', '4260-EP2280003A2', '4260-EP2280006A1', '4260-EP2280008A2', '4260-EP2280010A2', '4260-EP2281563A1', '4260-EP2281812A1', '4260-EP2281813A1', '4260-EP2281819A1', '4260-EP2281822A1', '4260-EP2281861A2', '4260-EP2284157A1', '4260-EP2284174A1', '4260-EP2286811A1', '4260-EP2287156A1', '4260-EP2287159A1', '4260-EP2287165A2', '4260-EP2287166A2', '4260-EP2287167A1', '4260-EP2289509A2', '4260-EP2289881A1', '4260-EP2289883A1', '4260-EP2289893A1', '4260-EP2289894A2', '4260-EP2292589A1', '4260-EP2292593A2', '4260-EP2292612A2', '4260-EP2292617A1', '4260-EP2292620A2', '4260-EP2292628A2', '4260-EP2295055A2', '4260-EP2295401A2', '4260-EP2295402A2', '4260-EP2295409A1', '4260-EP2295411A1', '4260-EP2295412A1', '4260-EP2295413A1', '4260-EP2295416A2', '4260-EP2295417A1', '4260-EP2295426A1', '4260-EP2295427A1', '4260-EP2295428A2', '4260-EP2295429A1', '4260-EP2295432A1', '4260-EP2295433A2', '4260-EP2295435A1', '4260-EP2295437A1', '4260-EP2295441A2', '4260-EP2295503A1', '4260-EP2298312A1', '4260-EP2298734A2', '4260-EP2298735A1', '4260-EP2298743A1', '4260-EP2298744A2', '4260-EP2298748A2', '4260-EP2298750A1', '4260-EP2298761A1', '4260-EP2298762A2', '4260-EP2298770A1', '4260-EP2298775A1', '4260-EP2298776A1', '4260-EP2298780A1', '4260-EP2301536A1', '4260-EP2301538A1', '4260-EP2301544A1', '4260-EP2301627A1', '4260-EP2301923A1', '4260-EP2301928A1', '4260-EP2301930A1', '4260-EP2301934A1', '4260-EP2301939A1', '4260-EP2305250A1', '4260-EP2305644A1', '4260-EP2305648A1', '4260-EP2305652A2', '4260-EP2305660A1', '4260-EP2305671A1', '4260-EP2305676A1', '4260-EP2305681A1', '4260-EP2305682A1', '4260-EP2305684A1', '4260-EP2305687A1', '4260-EP2305689A1', '4260-EP2305695A2', '4260-EP2305696A2', '4260-EP2305697A2', '4260-EP2305698A2', '4260-EP2305769A2', '4260-EP2305808A1', '4260-EP2308833A2', '4260-EP2308840A1', '4260-EP2308841A2', '4260-EP2308844A2', '4260-EP2308845A2', '4260-EP2308846A2', '4260-EP2308848A1', '4260-EP2308849A1', '4260-EP2308850A1', '4260-EP2308851A1', '4260-EP2308852A1', '4260-EP2308861A1', '4260-EP2308867A2', '4260-EP2308870A2', '4260-EP2308872A1', '4260-EP2308873A1', '4260-EP2308875A1', '4260-EP2308876A1', '4260-EP2308879A1', '4260-EP2311453A1', '4260-EP2311455A1', '4260-EP2311802A1', '4260-EP2311803A1', '4260-EP2311806A2', '4260-EP2311807A1', '4260-EP2311808A1', '4260-EP2311821A1', '4260-EP2311824A1', '4260-EP2311825A1', '4260-EP2311826A2', '4260-EP2311829A1', '4260-EP2311830A1', '4260-EP2311831A1', '4260-EP2311838A1', '4260-EP2311840A1', '4260-EP2311842A2', '4260-EP2314295A1', '4260-EP2314576A1', '4260-EP2314586A1', '4260-EP2314593A1', '4260-EP2315502A1', '4260-EP2316452A1', '4260-EP2316824A1', '4260-EP2316827A1', '4260-EP2316829A1', '4260-EP2316831A1', '4260-EP2316835A1', '4260-EP2316836A1', '4260-EP2316905A1', '4260-EP2316906A2', '4260-EP2371813A1', '4260-EP2374454A1', '4260-EP2374790A1', '4260-EP2377845A1', '4260-EP2377849A2', '4260-EP2380874A2', 'C00469', 'D00068', 'Ethanol, &gt;=99.5%, suitable for fluorescence', 'Ethyl Alcohol 95% (Grain Derived) FCC Grade', 'Ethyl Alcohol 95% (Synthetic) ACS/USP Grade', '28147-EP2277868A1', '28147-EP2277869A1', '28147-EP2277870A1', '28147-EP2295422A2', '28147-EP2298305A1', '28147-EP2298769A1', '28147-EP2308852A1', '28147-EP2308878A2', '28147-EP2313400A1', '28147-EP2371823A1', '48516-EP2311824A1', '48516-EP2311828A1', '48516-EP2380568A1', 'Ethyl Alcohol Absolute (Synthetic) ACS/USP Grade', 'SR-01000944357', 'Ethanol, 95+%, pure, denat. with 5% wood spirit', 'Ethanol, puriss. p.a., absolute, &gt;=99.8% (GC)', 'SR-01000944357-1', 'Ethanol, 99.5%, Extra Dry, absolute, AcroSeal(R)', 'Ethanol, denatured (5 % IPA, 5 % n-propylacetate)', 'Reagent Alcohol, used for histology tissue preparation', 'Ethyl alcohol, Pure, 190 proof, for molecular biology', 'Ethyl alcohol, Pure, 200 proof, anhydrous, &gt;=99.5%', 'Ethyl alcohol, Pure, 200 proof, for molecular biology', 'Ethanol, absolute, &gt;=99.8% (GC), sales not in Germany', 'Ethyl Alcohol Absolute (Dehydrated) USP, BP/EP, JP Grade', 'Ethyl alcohol, Pure, 200 proof, ACS reagent, &gt;=99.5%', 'Reagent Alcohol, 70%, used for histology tissue preparation', 'Reagent Alcohol, 80%, used for histology tissue preparation', '1E37B0D2-6209-4B03-A57D-500F3223C2DA', 'Alcohol, United States Pharmacopeia (USP) Reference Standard', 'Ethanol, &gt;=99.5%, suitable for absorption spectrum analysis', 'Ethanol-water solutions, NIST(R) SRM(R) 1828b, six levels', 'Ethyl alcohol, Pure, 200 proof, HPLC/spectrophotometric grade', 'Reagent Alcohol, 95%, Used for histology tissue preparation', 'Ethanol solution, NIST(R) SRM(R) 2897a, nominal mass fraction 2%', 'Ethanol solution, NIST</t>
  </si>
  <si>
    <t>Compound(702)</t>
  </si>
  <si>
    <t>C2H6O</t>
  </si>
  <si>
    <t>ethane</t>
  </si>
  <si>
    <t>['ETHANE', 'Bimethyl', 'Dimethyl', 'Methylmethane', '74-84-0', 'Ethyl hydride', 'Alkanes, C2-3', 'UNII-L99N5N533T', 'HSDB 941', 'Hydrocarbons, C1-3', 'EINECS 200-814-8', 'UN1035', 'UN1961', 'CHEBI:42266', 'L99N5N533T', '68475-58-1', '68527-16-2', 'OET', 'Alkanes, C1-2', 'Liquid overheads', 'Ethylidyne radical', '84808-02-6', 'Ethane, &gt;=99%', 'Ethane, 99.99%', 'EC 200-814-8', 'Ethane, refrigerated liquid', 'CHEMBL135626', 'DTXSID6026377', 'CTK1A6393', 'EINECS 270-651-5', 'EINECS 271-734-9', 'Ethane, &gt;=99.95% (GC)', '1,1,1,2,2,2-Ethanehexaylradical', 'Ethane [UN1035] [Flammable gas]', 'AKOS015915921', 'Ethane [UN1035]  [Flammable gas]', 'MCULE-8677953674', 'UN 1035', 'UN 1961', 'Ethane, Messer(R) CANGas, 99.95%', '68475-57-0', 'BR-44176', 'LS-65178', 'FT-0603689', 'FT-0625723', 'FT-0627643', '5849-EP2269978A2', '5849-EP2269985A2', '5849-EP2269990A1', '5849-EP2269991A2', '5849-EP2269992A1', '5849-EP2270003A1', '5849-EP2270004A1', '5849-EP2270006A1', '5849-EP2272491A1', '5849-EP2272517A1', '5849-EP2272839A1', '5849-EP2272840A1', '5849-EP2275412A1', '5849-EP2277867A2', '5849-EP2280003A2', '5849-EP2280006A1', '5849-EP2280010A2', '5849-EP2284150A2', '5849-EP2284151A2', '5849-EP2284152A2', '5849-EP2284153A2', '5849-EP2284155A2', '5849-EP2284156A2', '5849-EP2284164A2', '5849-EP2284169A1', '5849-EP2287140A2', '5849-EP2287148A2', '5849-EP2287150A2', '5849-EP2287158A1', '5849-EP2287161A1', '5849-EP2287162A1', '5849-EP2287167A1', '5849-EP2292606A1', '5849-EP2295402A2', '5849-EP2295419A2', '5849-EP2295426A1', '5849-EP2295427A1', '5849-EP2295437A1', '5849-EP2298734A2', '5849-EP2298746A1', '5849-EP2298755A1', '5849-EP2298766A1', '5849-EP2298767A1', '5849-EP2298770A1', '5849-EP2298774A1', '5849-EP2298775A1', '5849-EP2301940A1', '5849-EP2305637A2', '5849-EP2305655A2', '5849-EP2305671A1', '5849-EP2308833A2', '5849-EP2308844A2', '5849-EP2308845A2', '5849-EP2308846A2', '5849-EP2308873A1', '5849-EP2308875A1', '5849-EP2311806A2', '5849-EP2311808A1', '5849-EP2311829A1', '5849-EP2311830A1', '5849-EP2311831A1', '5849-EP2311834A1', '5849-EP2311841A1', '5849-EP2311842A2', '5849-EP2314295A1', '5849-EP2314574A1', '5849-EP2314582A1', '5849-EP2314584A1', '5849-EP2314587A1', '5849-EP2314588A1', '5849-EP2316459A1', '5849-EP2316836A1', '7509-EP2269988A2', '7509-EP2270008A1', '7509-EP2275413A1', '7509-EP2275417A2', '7509-EP2277622A1', '7509-EP2277876A1', '7509-EP2277878A1', '7509-EP2284162A2', '7509-EP2284163A2', '7509-EP2287156A1', '7509-EP2287163A1', '7509-EP2292593A2', '7509-EP2292614A1', '7509-EP2292617A1', '7509-EP2301918A1', '7509-EP2301940A1', '7509-EP2305668A1', '7509-EP2305671A1', '7509-EP2305678A1', '7509-EP2305683A1', '7509-EP2308880A1', '7509-EP2311807A1', '7509-EP2311817A1', '7509-EP2311839A1', '7509-EP2314588A1', '7509-EP2314589A1', '7509-EP2316832A1', '7509-EP2316833A1', '7509-EP2316837A1', '7509-EP2374526A1', '7509-EP2380661A2', 'Q52858', 'S-6468', '39109-EP2279741A2', '39109-EP2305644A1', '39109-EP2311830A1', '40206-EP2270004A1', '40206-EP2270010A1', '40206-EP2272846A1', '40206-EP2275422A1', '40206-EP2292088A1', '40206-EP2295412A1', '40206-EP2295413A1', '40206-EP2308866A1', '40206-EP2308883A1', '40206-EP2311830A1', '40206-EP2374454A1', '96129-EP2269992A1', '96129-EP2305644A1', 'Q27132187', 'B89E451F-F83E-471B-8B27-36FC23EF5CA1', 'Ethane, refrigerated liquid [UN1961]  [Flammable gas]', 'Ethane, refrigerated liquid [UN1961] [Flammable gas]']</t>
  </si>
  <si>
    <t>Compound(6324)</t>
  </si>
  <si>
    <t>C2H6</t>
  </si>
  <si>
    <t>acetaldehyde</t>
  </si>
  <si>
    <t>['acetaldehyde', 'ethanal', 'acetic aldehyde', '75-07-0', 'ethyl aldehyde', 'Acetaldehyd', 'Acetylaldehyde', 'aldehyde', 'Acetic ethanol', 'Aldeide acetica', 'Octowy aldehyd', 'Aldehyde acetique', 'Azetaldehyd', 'RCRA waste number U001', 'Acetaldehyde (natural)', 'NSC 7594', 'NCI-C56326', 'Acetaldehyd [German]', 'ACETYL GROUP', 'acetaldehydes', 'ethaldehyde', 'ethanone', 'CCRIS 1396', 'HSDB 230', 'Octowy aldehyd [Polish]', 'UNII-GO1N1ZPR3B', 'Aldeide acetica [Italian]', 'Aldehyde acetique [French]', 'UN1089', 'FEMA No. 2003', 'CHEBI:15343', 'AI3-31167', 'CH3CHO', 'EINECS 200-836-8', 'MFCD00006991', 'GO1N1ZPR3B', 'RCRA waste no. U001', '1-oxapropylene', 'Ethylaldehyde', 'Acetaldehyde, 99.5%, extra pure', 'Acetaldehyde, 99.5%, extra pure, AcroSeal(R)', 'Acetaldehyde, &gt;=99%, meets FCC analytical specification', 'acetaldhyde', 'acetoaldehyde', 'Acetaldeyde', 'Aceteldehyde', 'acetic hydride', 'ethan-1-one', 'Acetaldehyde 10%', 'MeCHO', 'Acetaldehyde Natural', 'Aldehyde C(2)', 'ACETALD', 'ACMC-20alvc', 'Acetaldehyde polymerized', 'DSSTox_CID_2', 'CH2CHO', 'NATURAL ALDEFRESH', 'Oxidized polyvinyl alcohol', 'bmse000647', 'Epitope ID:145667', 'EC 200-836-8', 'WLN: VH1', 'DSSTox_RID_79423', 'oxidised poly(vinyl alcohol)', 'an oxidized polyvinyl alcohol', 'DSSTox_GSID_39224', 'KSC377C9B', 'Acetaldehyde, &gt;=99%, FG', 'BIDD:ER0621', 'Acetaldehyde, &gt;=99%, FCC', 'CHEMBL170365', 'GTPL6277', 'DTXSID5039224', 'Acetaldehyde, analytical standard', 'CHEBI:16571', 'CTK2H7190', 'KS-00000WLM', 'NSC7594', 'Acetaldehyde solution, 5 M in THF', 'NSC-7594', 'STR01382', 'Tox21_202479', 'Acetaldehyde, natural, &gt;=99%, FG', 'Acetaldehyde, ReagentPlus(R), 99%', 'STL264249', 'AKOS000120180', 'LS-1654', 'MCULE-6800925955', 'UN 1089', 'Acetaldehyde, ACS reagent, &gt;=99.5%', 'CAS-75-07-0', 'Acetaldehyde, &gt;=99%, FCC, stabilized', 'NCGC00091753-01', 'NCGC00260028-01', 'SC-16387', 'Acetaldehyde solution, 40 wt. % in H2O', 'Acetaldehyde [UN1089] [Flammable liquid]', 'Acetaldehyde, &gt;=90.0%, SAJ first grade', 'Acetaldehyde [UN1089]  [Flammable liquid]', 'Acetaldehyde solution, 50 wt. % in ethanol', 'FT-0621719', 'FT-0660962', 'NS00010070', 'Acetaldehyde solution, 50 wt. % (triacetin)', '4998-EP0930075A1', '4998-EP1441224A2', '4998-EP2269979A1', '4998-EP2269988A2', '4998-EP2269989A1', '4998-EP2269992A1', '4998-EP2270004A1', '4998-EP2270005A1', '4998-EP2270010A1', '4998-EP2270011A1', '4998-EP2270014A1', '4998-EP2270113A1', '4998-EP2270114A1', '4998-EP2272491A1', '4998-EP2272517A1', '4998-EP2272813A2', '4998-EP2272825A2', '4998-EP2272826A1', '4998-EP2272831A1', '4998-EP2272832A1', '4998-EP2272834A1', '4998-EP2272839A1', '4998-EP2272840A1', '4998-EP2272843A1', '4998-EP2272848A1', '4998-EP2272935A1', '4998-EP2272972A1', '4998-EP2272973A1', '4998-EP2275102A1', '4998-EP2275105A1', '4998-EP2275395A2', '4998-EP2275404A1', '4998-EP2275409A1', '4998-EP2275411A2', '4998-EP2275412A1', '4998-EP2277848A1', '4998-EP2277865A1', '4998-EP2277872A1', '4998-EP2277878A1', '4998-EP2277880A1', '4998-EP2280000A1', '4998-EP2280002A1', '4998-EP2280006A1', '4998-EP2280007A1', '4998-EP2280008A2', '4998-EP2280012A2', '4998-EP2281812A1', '4998-EP2281824A1', '4998-EP2284146A2', '4998-EP2284147A2', '4998-EP2284148A1', '4998-EP2284157A1', '4998-EP2284160A1', '4998-EP2286812A1', '4998-EP2286915A2', '4998-EP2287147A2', '4998-EP2287153A1', '4998-EP2287158A1', '4998-EP2287159A1', '4998-EP2287165A2', '4998-EP2287166A2', '4998-EP2289868A1', '4998-EP2289871A1', '4998-EP2289882A1', '4998-EP2289890A1', '4998-EP2289893A1', '4998-EP2289894A2', '4998-EP2292227A2', '4998-EP2292576A2', '4998-EP2292586A2', '4998-EP2292589A1', '4998-EP2292593A2', '4998-EP2292610A1', '4998-EP2292620A2', '4998-EP2295401A2', '4998-EP2295407A1', '4998-EP2295411A1', '4998-EP2295414A1', '4998-EP2295418A1', '4998-EP2295426A1', '4998-EP2295427A1', '4998-EP2295433A2', '4998-EP2295434A2', '4998-EP2295435A1', '4998-EP2295437A1', '4998-EP2295439A1', '4998-EP2298312A1', '4998-EP2298734A2', '4998-EP2298736A1', '4998-EP2298744A2', '4998-EP2298749A1', '4998-EP2298757A2', '4998-EP2298758A1', '4998-EP2298759A1', '4998-EP2298767A1', '4998-EP2298770A1', '4998-EP2298775A1', '4998-EP2298778A1', '4998-EP2298780A1', '4998-EP2298783A1', '4998-EP2299509A1', '4998-EP2301544A1', '4998-EP2301911A1', '4998-EP2301912A2', '4998-EP2301916A2', '4998-EP2301927A1', '4998-EP2301929A1', '4998-EP2301930A1', '4998-EP2301931A1', '4998-EP2301933A1', '4998-EP2301935A1', '4998-EP2301940A1', '4998-EP2302382A2', '4998-EP2302383A2', '4998-EP2305250A1', '4998-EP2305627A1', '4998-EP2305629A1', '4998-EP2305633A1', '4998-EP2305648A1', '4998-EP2305652A2', '4998-EP2305660A1', '4998-EP2305664A1', '4998-EP2305668A1', '4998-EP2305672A1', '4998-EP2305674A1', '4998-EP2305677A1', '4998-EP2305679A1', '4998-EP2305682A1', '4998-EP2305684A1', '4998-EP2305685A1', '4998-EP2305686A1', '4998-EP2305687A1', '4998-EP2305808A1', '4998-EP2305825A1', '4998-EP2308562A2', '4998-EP2308833A2', '4998-EP2308838A1', '4998-EP2308840A1', '4998-EP2308841A2', '4998-EP2308844A2', '4998-EP2308845A2', '4998-EP2308846A2', '4998-EP2308848A1', '4998-EP2308850A1', '4998-EP2308851A1', '4998-EP2308852A1', '4998-EP2308861A1', '4998-EP2308867A2', '4998-EP2308870A2', '4998-EP2308872A1', '4998-EP2308874A1', '4998-EP2308879A1', '4998-EP2308882A1', '4998-EP2308883A1', '4998-EP2308960A1', '4998-EP2311796A1', '4998-EP2311797A1', '4998-EP2311798A1', '4998-EP2311799A1', '4998-EP2311801A1', '4998-EP2311802A1', '4998-EP2311803A1', '4998-EP2311806A2', '4998-EP2311808A1', '4998-EP2311818A1', '4998-EP2311820A1', '4998-EP2311822A1', '4998-EP2311827A1', '4998-EP2311829A1', '4998-EP2311830A1', '4998-EP2311837A1', '4998-EP2311841A1', '4998-EP2311842A2', '4998-EP2314295A1', '4998-EP2314574A1', '4998-EP2314576A1', '4998-EP2314579A1', '4998-EP2314587A1', '4998-EP2316470A2', '4998-EP2316824A1', '4998-EP2316825A1', '4998-EP2316826A1', '4998-EP2316829A1', '4998-EP2316831A1', '4998-EP2316832A1', '4998-EP2316833A1', '4998-EP2316836A1', '4998-EP2316974A1', '4998-EP2371811A2', '4998-EP2371814A1', '4998-EP2372017A1', '4998-EP2374454A1', '4998-EP2374780A1', '4998-EP2374781A1', '4998-EP2374783A1', '4998-EP2374788A1', '4998-EP2377841A1', '4998-EP2377844A2', '4998-EP2380871A1', 'C00084', 'Q61457', '21553-EP2287165A2', '21553-EP2314295A1', '21553-EP2314574A1', '26915-EP2280009A1', '26915-EP2305662A1', '26915-EP2308857A1', '26915-EP2314583A1', '37566-EP2277867A2', '37566-EP2280003A2', '37566-EP2281820A2', '37566-EP2284157A1', '37566-EP2286811A1', '37566-EP2287159A1', '37566-EP2292227A2', '37566-EP2298746A1', '37566-EP2298750A1', '37566-EP2298754A1', '37566-EP2298758A1', '37566-EP2298759A1', '37566-EP2298763A1', '37566-EP2298778A1', '37566-EP2305664A1', '37566-EP2305682A1', '37566-EP2308861A1', '37566-EP2308879A1', '37566-EP2311802A1', '37566-EP2311803A1', '37566-EP2311840A1', '37566-EP2374783A1', '37566-EP2377841A1', '37566-EP2377842A1', '37566-EP2380874A2', 'Acetaldehyde solution, 40 wt. % in isopropanol', 'Acetaldehyde, ReagentPlus(R), &gt;=99.0% (GC)', '108796-EP2277864A1', '108796-EP2280002A1', '108796-EP2298305A1', '108796-EP2298769A1', '170111-EP2275413A1', '170111-EP2287156A1', 'A838317', 'Acetaldehyde solution, natural, 50 wt. % in ethanol', 'BRD-K77914232-001-01-3', 'Q57695648', 'Acetaldehyde solution, natural, 50 wt. % ethanol, FG', 'Acetaldehyde, puriss. p.a., anhydrous, &gt;=99.5% (GC)', 'F2190-0651', 'Acetaldehyde, United States Pharmacopeia (USP) Reference Standard', 'Acetaldehyde solution, natural, 50 wt. % in ethanol, analytical standard']</t>
  </si>
  <si>
    <t>Compound(177)</t>
  </si>
  <si>
    <t>C2H4O</t>
  </si>
  <si>
    <t>ethanethiol</t>
  </si>
  <si>
    <t>['Ethanethiol', 'ETHYL MERCAPTAN', '75-08-1', 'Mercaptoethane', 'Thioethanol', 'Ethyl sulfhydrate', 'Ethyl thioalcohol', 'Ethyl hydrosulfide', 'Aethanethiol', 'Aethylmercaptan', 'Etilmercaptano', 'Etantiolo', 'Thioethyl alcohol', '1-Mercaptoethane', 'Ethylmercaptaan', 'Ethylmerkaptan', 'Ethaanthiol', 'ethyl-mercaptan', 'Etantiolo [Italian]', 'Ethaanthiol [Dutch]', 'LPG ethyl mercaptan 1010', 'Aethanethiol [German]', 'ethylmercaptan', 'Ethylmerkaptan [Czech]', 'Ethylmercaptaan [Dutch]', 'Aethylmercaptan [German]', 'Etilmercaptano [Italian]', 'Mercaptan C2', 'NSC 93877', 'UNII-M439R54A1D', 'HSDB 814', 'EINECS 200-837-3', 'UN2363', 'AI3-26618', 'M439R54A1D', 'Ethanethiol, 99+%', 'ethanthiol', 'ethanethioi', 'ethanethiolate', 'ethanothiol', 'stench', 'ethane thiol', 'stench gas', '1-ethanethiol', '1-Ethylthiol', 'EtSH', 'HSEt', 'Ethanethiol, 97%', 'Ethanethiol, &gt;=97%', '32812-83-2', 'ACMC-1BH8A', 'C2H5SH', 'EC 200-837-3', 'WLN: SH2', 'KSC224Q0L', 'Ethanethiol, analytical standard', 'DTXSID9026394', 'CHEBI:46511', 'CTK1C4805', 'KS-00000YJB', 'NSC93877', 'ANW-13589', 'MFCD00004887', 'NSC-93877', 'AKOS000120313', 'Ethanethiol,2-bromo-(7CI,8CI,9CI)', 'MCULE-5717309901', 'UN 2363', 'LS-65753', 'SC-88053', 'DB-004032', 'E0036', 'NS00005388', 'Ethyl mercaptan [UN2363] [Flammable liquid]', 'Ethyl mercaptan [UN2363]  [Flammable liquid]', '146587-EP2377849A2', 'Ethanethiol (ethyl mercaptan), analytical standard', 'Q407918', 'Ethanethiol solution, 10 wt. % in propylene glycol', 'J-520442', 'F0001-1889', 'QuadraPure(R) DET, 450-650 mum, extent of labeling: 1.0-2.0 mmol/g loading, macroporous', 'EUF']</t>
  </si>
  <si>
    <t>Compound(6343)</t>
  </si>
  <si>
    <t>C2H6S</t>
  </si>
  <si>
    <t>ethylene</t>
  </si>
  <si>
    <t>ethene</t>
  </si>
  <si>
    <t>['Ethene', 'ETHYLENE', 'Acetene', 'Elayl', 'Olefiant gas', 'POLYETHYLENE', 'Athylen', 'Etileno', 'Liquid ethylene', 'Bicarburretted hydrogen', '74-85-1', 'Plastipore', 'Caswell No. 436', '9002-88-4', 'Ethylene, pure', 'Athylen [German]', 'Aethylen', 'C2H4', 'HSDB 168', 'Aethen', 'Liquid ethyene', 'Polyethylene as', 'EPA Pesticide Chemical Code 041901', 'Ethylene (8CI)', 'UNII-91GW059KN7', 'Ethene (9CI)', 'EINECS 200-815-3', 'UN1038', 'UN1962', 'CH2=CH2', 'Ethylen', 'H2C=CH2', 'Polyethylene as med Mol. Wt.', 'CHEBI:18153', '91GW059KN7', '1,2-ethylene', 'ethan-1,2-diyl', 'MFCD00084423', 'UN 1038', 'UN 1962', 'Ethylene, compressed [UN1962] [Flammable gas]', 'Alkathene', 'Ambythene', 'Etherin', 'Hizex', 'Grex', 'Ethylene polymer', 'Bicolene C', 'Epolene C', 'Epolene E', 'Epolene N', 'Bakelite DYNH', 'Carlona PXB', 'Aldyl A', 'Bulen A', 'Courlene-X3', 'Alcowax 6', 'Ethylene [NF]', 'HI-Fax', 'Alathon 7140', 'Alathon 7511', 'Alithon 7050', 'Bakelite DFD 330', 'Alphex FIT 221', 'Allied PE 617', 'Bareco polywax 2000', 'Bralen KB 2-11', 'Amoco 610A4', 'Bareco wax C 7500', 'BPE-I', 'Bakelite DHDA 4080', 'Ethyleneradical', 'Ethylene polymers', 'Ethylene, compressed', 'Ethene, 9CI', 'ETHYLENE-CMPD', 'Ethylene, 99.99%', 'EC 200-815-3', 'Ethylene, &gt;=99.5%', 'Ethylene, &gt;=99.9%', 'Ethene, homopolymer, chlorinated, chlorosulfonated', 'Polyethylene,chlorinated 140B', 'CHEMBL117822', 'Ethylene, purum, &gt;=99.9%', 'DTXSID1026378', 'CTK2H7852', 'Polyethylene granules, high density', 'ZX-AT020153', 'CMC_13849', 'OR1710', 'AKOS015915514', 'ACM2669898', 'FCH1113777', 'LS-2175', 'LS-2296', 'MCULE-9947181734', '68037-39-8', 'Ethylene, Messer(R) CANGas, 99.98%', 'Ethylene, puriss., &gt;=99.95% (GC)', 'SC-46754', 'FT-0626287', 'NS00013981', 'C06547', 'C19503', 'R-1150', '14736-EP2275408A1', '14736-EP2284166A1', '14736-EP2289483A1', '14736-EP2289896A1', '14736-EP2292608A1', '14736-EP2295422A2', '14736-EP2298749A1', '14736-EP2316830A2', '14736-EP2371806A1', '14736-EP2371807A1', '14736-EP2371823A1', '14736-EP2377844A2', '16123-EP2281563A1', '16123-EP2308848A1', '16123-EP2316459A1', '38154-EP2272848A1', '38154-EP2301927A1', '38154-EP2311796A1', '38154-EP2311797A1', '38154-EP2311798A1', '38154-EP2311799A1', '38154-EP2374526A1', '73866-EP2270101A1', '73866-EP2289891A2', '73866-EP2308926A1', 'Ethylene, refrigerated liquid (cryogenic liquid)', 'Ethylene, compressed [UN1962]  [Flammable gas]', 'Q151313', 'Polyethylene rod, Low Density, 16mm (0.63in) dia', 'Polyethylene rod, Low Density, 19mm (0.75in) dia', 'Polyethylene rod, High Density, 16mm (0.63in) dia', 'Polyethylene rod, Low Density, 12.7mm (0.5in) dia', 'Q27286698', 'Polyethylene rod, Low Density, 6.35mm (0.25in) dia', 'Polyethylene sheet, Low Density, 4.8mm (0.19in) thick', 'Ethylene, refrigerated liquid (cryogenic liquid) [UN1038]  [Flammable gas]', 'Ethylene, refrigerated liquid (cryogenic liquid) [UN1038] [Flammable gas]']</t>
  </si>
  <si>
    <t>Compound(6325)</t>
  </si>
  <si>
    <t>C2H4</t>
  </si>
  <si>
    <t>ethoxyethyl acetate</t>
  </si>
  <si>
    <t>2-ethoxyethyl acetate</t>
  </si>
  <si>
    <t>['2-Ethoxyethyl acetate', '111-15-9', 'ETHYLENE GLYCOL MONOETHYL ETHER ACETATE', 'Cellosolve acetate', 'Oxitol acetate', 'Ethoxyethyl acetate', 'Oxytol acetate', '1-Acetoxy-2-ethoxyethane', 'Ethylglycol acetate', 'Ethyl cellosolve acetate', 'Ethylglykolacetat', 'Octan etoksyetylu', 'Poly-Solv EE acetate', '2-Aethoxy-aethylacetat', '2-Ethoxyethanol acetate', 'Glycol ether ee acetate', 'Ethanol, 2-ethoxy-, acetate', '2-Ethoxyethylacetate', 'Ethoxyethanol acetate', 'Celosolvacetat', '2-Etossietil-acetato', "Acetate d'ethylglycol", 'Acetate de cellosolve', 'Acetato di cellosolve', '2-Ethoxy-ethylacetaat', 'Ethyl cellosolve acetaat', 'Glycol monoethyl ether acetate', 'Aethylenglykolaetheracetat', 'Acetic acid, 2-ethoxyethyl ester', '2-Ethoxyethanol, ester with acetic acid', '2-Ethoxyethyle, acetate de', 'Ethyl glycol acetate', 'EGEEA', 'Ektasolve EE acetate solvent', 'Ethylene glycol ethyl ether acetate', 'Celosolvacetat [Czech]', 'Ethylglykolacetat [German]', 'NSC 8658', 'Octan etoksyetylu [Polish]', 'UNII-DG1O0Z7390', 'CSAC', '2-Ethoxy-ethylacetaat [Dutch]', "Acetate d'ethylglycol [French]", 'Acetate de cellosolve [French]', 'CCRIS 3286', 'HSDB 539', '2-Etossietil-acetato [Italian]', 'Acetato di cellosolve [Italian]', '2-Aethoxy-aethylacetat [German]', 'Acetic Acid 2-Ethoxyethyl Ester', 'Ethyl cellosolve acetaat [Dutch]', 'Ethylene glycol monoethyl ether monoacetate', '2-Ethoxyethylester kyseliny octove', 'Aethylenglykolaetheracetat [German]', 'AI3-01955 (USDA)', 'EINECS 203-839-2', 'UN1172', '2-Ethoxyethyle, acetate de [French]', 'Ethyleneglycol monoethyl ether acetate', '.beta.-Ethoxyethyl acetate', 'BRN 1748677', 'Ethoxyethanol, 2-, acetate', "Acetate de l'ether monoethylique de l'ethylene-glycol", 'Ethylene glycol monoethyl ether acetylated', '2-Ethoxyethylester kyseliny octove [Czech]', 'Ethanol, 2-ethoxy-, 1-acetate', 'DG1O0Z7390', 'NCGC00091657-02', "Acetate de l'ether monoethylique de l'ethylene-glycol [French]", 'beta-Ethoxyethyl acetate', 'ACMC-1C1FF', 'DSSTox_CID_1928', 'DSSTox_RID_76407', 'DSSTox_GSID_21928', 'SCHEMBL24056', 'MLS002454405', '2-Ethoxyethyl acetate, 98%', 'WLN: 2O2OV1', 'Acetic acid-2-ethoxyethyl ester', 'CHEMBL1427293', 'DTXSID9021928', 'CTK0H5265', 'KS-00000UNA', 'acetic acid 2-ethoxy-ethyl ester', 'ethyleneglycolmonoethyletheracetate', 'NSC8658', '2-Ethoxyethyl ester of acetic acid', 'NSC-8658', 'ZINC1648161', 'Tox21_400028', '2045AA', 'ANW-16242', 'LS-527', 'MFCD00009251', 'SBB061000', 'AKOS015901418', 'Glycol Ether EE Acetate Reagent Grade', 'FCH1112075', 'MCULE-3053452981', 'UN 1172', 'NCGC00091657-01', 'NCGC00091657-03', 'CAS-111-15-9', 'CC-10461', 'SMR001253877', 'E0049', 'FT-0626331', 'NS00011491', 'ST51047082', 'C-01402', 'Q209376', '2-Ethoxyethyl acetate, SAJ first grade, &gt;=98.0%', 'J-002533', 'J-521344', '2-Ethoxyethyl acetate, certified reference material, TraceCERT(R)', 'Ethylene glycol monoethyl ether acetate [UN1172] [Flammable liquid]', 'Ethylene glycol monoethyl ether acetate [UN1172]  [Flammable liquid]', '2-ethoxyethyl acetate;2-Ethoxyethyl acetate ;ETHYLENE GLYCOL MONOETHYL ETHER ACETATE;2-Ethoxyethanol acetate']</t>
  </si>
  <si>
    <t>Compound(8095)</t>
  </si>
  <si>
    <t>(2-ethoxyphenyl) N-[(4,6-dimethoxypyrimidin-2-yl)carbamoyl]sulfamate</t>
  </si>
  <si>
    <t>['Ethoxysulfuron', '126801-58-9', 'UNII-2A9C8090ZD', '(2-ethoxyphenyl) N-[(4,6-dimethoxypyrimidin-2-yl)carbamoyl]sulfamate', 'CHEMBL2313153', 'CHEBI:81748', '2A9C8090ZD', 'Sulfamic acid, N-[[(4,6-dimethoxy-2-pyrimidinyl)amino]carbonyl]-, 2-ethoxyphenyl ester', 'Ethoxysulfuron [ISO]', 'SCHEMBL65311', 'DTXSID1057951', 'CTK8E8163', '1-(4,6-Dimethoxypyrimidin-2-yl)-3-(2-ethoxyphenoxysulfonyl)urea', 'EBD44507', 'ZINC2386963', 'BDBM50424592', 'AKOS015895277', 'VZ31990', 'CC-27556', 'DB-041839', 'FT-0631123', 'NS00002951', 'C18440', '801E589', 'A805606', 'C-21667', 'Ethoxysulfuron, PESTANAL(R), analytical standard', 'J-005438', 'Q22807473', '1-(2-Ethoxyphenoxysulfonyl)-3-(4,6-dimethoxy-2-pyrimidyl)urea', '2-ethoxyphenyl 4,6-dimethoxypyrimidin-2-ylcarbamoylsulfamate', '1-(2-Ethoxyphenoxysulfonyl)-3-(4,6-dimethoxy-2-pyrimidyl)-urea', '2-Ethoxyphenyl [(4,6-dimethoxy-2-pyrimidinyl)carbamoyl]sulfamate', '3-(4,6-dimethoxypyrimidin-2-yl)-1-(2-ethoxyphenoxysulfonyl)urea', "N'-(4,6-Dimethoxypyrimidin-2-yl)-N-(2-ethoxyphenoxysulfonyl)urea", 'N-[[(4,6-dimethoxy-2-pyrimidinyl)amino]-oxomethyl]sulfamic acid (2-ethoxyphenyl) ester', 'Sulfamic acid, [[(4,6-dimethoxy-2-pyrimidinyl)amino]carbonyl](2-ethoxyphenyl)-', 'Sulfamic acid, N-[[(4,6-dimethoxy-2-pyrimidinyl)amino]carbonyl]-, 2-ethoxyphenyl ester;1-(4,6-dimethoxypyrimidin-2-yl)-3-(2-ethoxyphenoxysulfonyl)urea']</t>
  </si>
  <si>
    <t>Compound(3623881)</t>
  </si>
  <si>
    <t>C15H18N4O7S</t>
  </si>
  <si>
    <t>ethyl-2-methylbenzenesulfonamide</t>
  </si>
  <si>
    <t>N-ethyl-2-methylbenzenesulfonamide</t>
  </si>
  <si>
    <t>['N-ETHYL-O-TOLUENESULFONAMIDE', '1077-56-1', 'Benzenesulfonamide, N-ethyl-2-methyl-', 'N-Ethyl-2-methylbenzenesulfonamide', 'N-Ethyltoluene-2-sulphonamide', 'UNII-6Y8J5WET03', '6Y8J5WET03', 'N-ETHYL-O-TOLUENESULFAMIDE', 'N-ethyl-2-methylbenzene-1-sulfonamide', 'HSDB 5782', 'o-Toluenesulfonamide, N-ethyl-', 'n-e-o/ptsa', 'O-TOLUENE ETHYL SULFONAMIDE', 'EINECS 214-073-3', 'SCHEMBL126986', 'DTXSID5052416', 'CTK4F8737', 'N-Ethyl-O-toluene sulfonyl amide', 'ZINC2039972', 'Benzenesulfonamide,N-ethyl-ar-methyl-', 'AKOS006275681', 'VZ36552', 'AS-59292', 'SC-16864', 'SC-18195', 'FT-0652117', '047E992', 'W-108736', 'Q27265713', 'UNII-X3491OQT7S component NATWUQFQFMZVMT-UHFFFAOYSA-N', 'N-ethyltoluene-2-sulphonamide;O-TOLUENE ETHYL SULFONAMIDE;N-Ethyl-2-methylbenzenesulfonamide']</t>
  </si>
  <si>
    <t>Compound(14110)</t>
  </si>
  <si>
    <t>C9H13NO2S</t>
  </si>
  <si>
    <t>ethyl (3-hydroxyphenyl) acetate</t>
  </si>
  <si>
    <t>ethyl 2-(3-hydroxyphenyl)acetate</t>
  </si>
  <si>
    <t>['ethyl 2-(3-hydroxyphenyl)acetate', '22446-38-4', 'ETHYL 3-HYDROXYPHENYLACETATE', 'Ethyl (3-hydroxyphenyl)acetate', 'Benzeneacetic acid, 3-hydroxy-, ethyl ester', '(3-Hydroxyphenyl)acetic Acid Ethyl Ester', '3-Hydroxyphenylacetic acid ethyl ester', 'Benzeneaceticacid, 3-hydroxy-, ethyl ester', 'Acetic acid, (m-hydroxyphenyl)-, ethyl ester', 'ethyl 3-hydoxyphenylacetate', 'ethyl(3-hydroxyphenyl)acetate', 'SCHEMBL905142', 'CTK4E9524', 'DTXSID20341346', 'Ethyl (3-hydroxyphenyl)acetate #', 'KS-00000S4U', '6698AH', 'ZINC14502875', 'AKOS010659218', 'DS-8512', 'AK146400', 'DA-07958', '(3-hydroxyphenyl)-acetic acid ethyl ester', '(3-Hydroxy phenyl)-acetic acid ethyl ester', '(3-hydroxy-phenyl)-acetic acid ethyl ester', 'CS-0030409', 'E1242', 'FT-0668293']</t>
  </si>
  <si>
    <t>Compound(572437)</t>
  </si>
  <si>
    <t>C10H12O3</t>
  </si>
  <si>
    <t>ethyl 4,4'-dichlorobenzylate</t>
  </si>
  <si>
    <t>ethyl 2,2-bis(4-chlorophenyl)-2-hydroxyacetate</t>
  </si>
  <si>
    <t>['CHLOROBENZILATE', 'Chlorbenzylate', '510-15-6', 'Chlorbenzilat', 'Chlorobenzylate', "Ethyl 4,4'-dichlorobenzilate", 'Acaraben', 'Benzilan', 'Folbex', 'Acar', 'Akar', 'Kop-Mite', 'Chlorbenzilate', 'Compound 338', 'Benz-O-chlor', 'Geigy 338', 'Acaraben 4E', 'Akar 338', 'Folbex smoke-strips', "Ethyl p,p'-dichlorobenzilate", 'Akar 50', 'Rcra waste number U038', 'Ethyldichlorobenzilate', 'NCI-C00408', 'Caswell No. 434', "Ethyl-4,4'-dichlorobenzilate", "Ethyl 4,4'-dichlorophenyl glycollate", 'ENT 18,596', "Ethyl 4,4'-dichlorodiphenyl glycollate", "4,4'-Dichlorobenzilic acid ethyl ester", 'NCI-C60413', "Ethyl ester of 4,4'-dichlorobenzilic acid", "4,4'-Dichlorbenzilsaeureaethylester", 'Chlorobenzilate [BSI:ISO]', 'G 338', 'CCRIS 132', 'UNII-H850P004CZ', 'ethyl 2,2-bis(4-chlorophenyl)-2-hydroxyacetate', 'Ethyl-2-hydroxy-2,2-bis(4-chlorophenyl)acetate', 'G 23992', 'HSDB 1617', 'Ethyl di(p-chlorophenyl)glycollate', "Benzilic acid, 4,4'-dichloro-, ethyl ester", 'EINECS 208-110-2', 'Ethyl 2-hydroxy-2,2-bis(4-chlorophenyl)acetate', 'RCRA waste no. U038', 'EPA Pesticide Chemical Code 028801', 'NSC 404460', 'BRN 2755859', 'Ethylester kyseliny 4,4-dichlorbenzilove', 'AI3-18596', "4,4'-Dichlorbenzilsaeureaethylester [German]", 'CHEBI:34626', 'Ethyl 2-hydroxy-2,2-di(p-chlorophenyl)acetate', 'Ethylester kyseliny 4,4-dichlorbenzilove [Czech]', 'H850P004CZ', 'Benzeneacetic acid, 4-chloro-.alpha.-(4-chlorophenyl)-.alpha.-hydroxy-, ethyl ester', 'Ethyl bis(4-chlorophenyl)(hydroxy)acetate', 'DSSTox_CID_299', 'Ethyl 4-chloro-alpha-(4-chlorophenyl)-alpha-hydroxybenzeneacetate', '4-Chloro-alpha-(4-chlorophenyl)-alpha-hydroxybenzeneacetic acid ethyl ester', 'Benzeneacetic acid, 4-chloro-alpha-(4-chlorophenyl)-alpha-hydroxy-, ethyl ester', 'DSSTox_RID_75498', 'DSSTox_GSID_20299', 'Kopmite', 'CAS-510-15-6', 'Benzilen', 'Be nzilan', 'Ben-o-chlor', 'SCHEMBL73255', '4-10-00-01275 (Beilstein Handbook Reference)', 'BIDD:ER0128', 'WLN: GR DXQR DG&amp;VO2', 'CHEMBL539904', 'DTXSID9020299', 'CTK8E5844', 'Dichlorobenzilic acid ethyl ester', 'RAPBNVDSDCTNRC-UHFFFAOYSA-', 'ZINC1597269', 'Tox21_201753', 'Tox21_300594', 'ACM510156', 'LS-160', 'NSC404460', "ethyl 4,4'-dichlorodiphenylglycollate", 'AKOS015903056', "ethyl 4,4'-dichlorodiphenylglycol late", 'NSC-404460', "Benzilic acid,4'-dichloro-, ethyl ester", 'NCGC00248099-01', 'NCGC00248099-02', 'NCGC00254364-01', 'NCGC00259302-01', 'CC-25679', 'Chlorobenzilate 10 microg/mL in Isooctane', 'Chlorobenzilate 1000 microg/mL in Acetone', 'Chlorobenzilate;Chlorbenzilat;chlorobenzilate', 'DB-051880', 'Ethyl bis(4-chlorophenyl)(hydroxy)acetate #', 'NS00006325', 'Chlorobenzilate 100 microg/mL in Cyclohexane', 'C14574', 'C-19829', 'Chlorobenzilate, PESTANAL(R), analytical standard', 'Q2079440', 'Ethyl 4-chloro-.alpha.-(4-chlorophenyl)-.alpha.-hydroxybenzeneacetate']</t>
  </si>
  <si>
    <t>Compound(10522)</t>
  </si>
  <si>
    <t>C16H14Cl2O3</t>
  </si>
  <si>
    <t>ethanamine</t>
  </si>
  <si>
    <t>['Ethanamine', 'ETHYLAMINE', 'Monoethylamine', 'Aminoethane', '75-04-7', '1-Aminoethane', 'Ethyl amine', 'Aethylamine', 'Etilamina', 'Ethylamine solution', 'Ethylamin', 'Etyloamina', 'Etilamina [Italian]', 'Etyloamina [Polish]', 'Ethamine', 'Aethylamine [German]', 'UNII-YG6MGA6AT5', 'CCRIS 6261', 'HSDB 803', 'EINECS 200-834-7', 'UN1036', 'UN2270', 'YG6MGA6AT5', 'C2H5NH2', 'AI3-24228', 'CHEBI:15862', 'Ethylamine solution (72% or less)', 'Ethylamine, 97%', 'Ethylammonium chloride', 'ethaneamine', 'ethyamine', 'C2H7N', 'monoethyl amine', 'ethane amine', 'ethyl-amine', 'N-ethylamine', '2-ethylamine', 'N-ethyl amine', 'eth-2-ylamine', 'EtNH2', 'H2NEt', 'Ethylamine, 99.0%', 'MONO ETHYL AMINE', 'ACMC-1BJGT', 'Ethylamine,solution 65%', 'DEA Code 8678', 'CH3CH2NH2', 'EC 200-834-7', 'Monoethylamine Reagent Grade', 'KSC377C4N', 'UN 2270 (Salt/Mix)', 'CHEMBL14449', 'DTXSID8025678', 'CTK2H7146', 'Ethylamine solution, 70% in H2O', 'Ethylamine, anhydrous, &gt;=99.0%', 'Ethylamine, anhydrous, &gt;=99.5%', 'STR00902', 'ANW-42171', 'Ethylamine solution, 2.0 M in THF', 'AKOS000119886', 'LS-1652', 'MCULE-5999638632', 'UN 1036', 'Ethylamine [UN1036] [Flammable gas]', 'Ethylamine [UN1036]  [Flammable gas]', 'Ethylamine solution, 2.0 M in methanol', 'Ethylamine solution, 70 wt. % in H2O', 'Ethylamine solution, purum, 70% in H2O', 'Ethylamine, purum, anhydrous, &gt;=99.0%', 'SC-46827', 'E0055', 'E0246', 'E0531', 'E0817', 'E0842', 'Ethylamine solution, 66.0-72.0% in H2O', 'Ethylamine solution, for synthesis, 70-72%', 'FT-0626281', 'NS00009803', 'Ethylamine solution, 70 wt. % in H2O, CP', '4466-EP2269977A2', '4466-EP2269999A1', '4466-EP2270010A1', '4466-EP2272517A1', '4466-EP2272841A1', '4466-EP2275404A1', '4466-EP2275412A1', '4466-EP2277858A1', '4466-EP2277880A1', '4466-EP2280010A2', '4466-EP2281812A1', '4466-EP2284157A1', '4466-EP2284174A1', '4466-EP2287141A1', '4466-EP2287152A2', '4466-EP2287163A1', '4466-EP2289883A1', '4466-EP2289891A2', '4466-EP2289894A2', '4466-EP2292592A1', '4466-EP2292593A2', '4466-EP2292597A1', '4466-EP2292610A1', '4466-EP2292613A1', '4466-EP2295437A1', '4466-EP2295438A1', '4466-EP2298731A1', '4466-EP2298734A2', '4466-EP2298742A1', '4466-EP2298743A1', '4466-EP2298746A1', '4466-EP2298747A1', '4466-EP2298761A1', '4466-EP2298775A1', '4466-EP2301922A1', '4466-EP2301933A1', '4466-EP2305248A1', '4466-EP2305250A1', '4466-EP2305641A1', '4466-EP2305673A1', '4466-EP2305678A1', '4466-EP2305679A1', '4466-EP2305687A1', '4466-EP2308812A2', '4466-EP2308828A2', '4466-EP2308838A1', '4466-EP2308840A1', '4466-EP2308861A1', '4466-EP2308869A1', '4466-EP2308873A1', '4466-EP2308875A1', '4466-EP2311464A1', '4466-EP2311804A2', '4466-EP2311806A2', '4466-EP2311818A1', '4466-EP2311827A1', '4466-EP2311830A1', '4466-EP2311831A1', '4466-EP2311834A1', '4466-EP2314586A1', '4466-EP2316470A2', '4466-EP2316832A1', '4466-EP2316833A1', '4466-EP2316836A1', '4466-EP2377845A1', '4466-EP2377849A2', 'C00797', '56743-EP2275408A1', '56743-EP2295436A1', '56743-EP2298305A1', '56743-EP2298769A1', '56743-EP2298773A1', '56743-EP2308878A2', 'Q411119', 'Ethylamine, aqueous solution with not &lt;50% but not &gt;70% ethylamine', 'QuadraPure(R) EDA, 500-800 mum, extent of labeling: 1.5-2.0 mmol/g loading, macroporous', 'Ethylamine, aqueous solution with not &lt;50% but not &gt;70% ethylamine [UN2270]  [Flammable liquid]', 'Ethylamine, aqueous solution with not &lt;50% but not &gt;70% ethylamine [UN2270] [Flammable liquid]']</t>
  </si>
  <si>
    <t>Compound(6341)</t>
  </si>
  <si>
    <t>C2H7N</t>
  </si>
  <si>
    <t>ethyl aniline</t>
  </si>
  <si>
    <t>['N-ETHYLANILINE', '103-69-5', 'Ethylaniline', 'Benzenamine, N-ethyl-', 'N-Ethyl aniline', 'Anilinoethane', 'N-Ethylbenzenamine', 'Ethylphenylamine', 'N-Ethyl-N-phenylamine', 'Aniline, N-ethyl-', 'N-Ethylaminobenzene', 'Aethylanilin', 'N-Ethylbenzenamino', 'N-Ethylbenzeneamino', 'Aethylanilin [German]', 'N-Ethyl-aniline', 'NSC 8736', 'ethyl-phenyl-amine', 'UNII-7E45L4I2PS', 'CCRIS 4641', 'HSDB 5354', 'N-Ethylaniline, 98%', 'EINECS 203-135-5', 'UN2272', 'BRN 0507468', 'AI3-15346', '7E45L4I2PS', 'CHEBI:34870', 'DSSTox_CID_5271', 'DSSTox_RID_77721', 'DSSTox_GSID_25271', 'CAS-103-69-5', 'ethylanilines', 'ethyl aniline', 'Monoethylaniline', 'Ethyl-aniline', 'phenyl ethylamine', 'N-Phenylethylamine', 'phenyl ethyl amine', 'ANILINE,N-ETHYL', 'EC 203-135-5', 'SCHEMBL7709', 'WLN: 2MR', '4-12-00-00250 (Beilstein Handbook Reference)', 'MLS001050106', 'BIDD:ER0269', 'ACMC-20988w', 'CHEMBL455541', 'DTXSID1025271', 'CTK3J0280', 'NSC8736', 'KS-00000W5F', 'NSC-8736', 'Tox21_201766', 'Tox21_300605', 'ANW-14958', 'BBL012081', 'LS-364', 'MFCD00009025', 'SBB058818', 'STL163504', 'ZINC12358766', 'N-Ethylaniline [UN2272] [Poison]', 'AKOS000119087', 'MCULE-4900118020', 'N-Ethylaniline [UN2272]  [Poison]', 'NC-0218', 'UN 2272', 'VF10160', 'NCGC00091714-01', 'NCGC00091714-02', 'NCGC00091714-03', 'NCGC00254485-01', 'NCGC00259315-01', 'SC-62274', 'SMR001216587', 'E0059', 'FT-0652432', 'NS00006269', 'ST45255317', 'C14455', '46881-EP2311804A2', 'A800786', 'Q1959590', 'W-108842', 'F2190-0406', 'Z234894913', 'N-ethylaniline;Aniline, N-ethyl-;N-ethylanilinium phosphate']</t>
  </si>
  <si>
    <t>Compound(7670)</t>
  </si>
  <si>
    <t>ethylbenzene</t>
  </si>
  <si>
    <t>['ETHYLBENZENE', '100-41-4', 'Phenylethane', 'Ethylbenzol', 'Benzene, ethyl-', 'Ethyl benzene', 'Aethylbenzol', 'Ethylenzene', 'Ethylbenzeen', 'Etilbenzene', 'Etylobenzen', 'alpha-Methyltoluene', 'Polyethylbenzene', 'NCI-C56393', 'Ethylbenzeen [Dutch]', 'Etylobenzen [Polish]', 'Aethylbenzol [German]', 'Etilbenzene [Italian]', '1-ethylbenzene', 'UNII-L5I45M5G0O', 'CCRIS 916', 'HSDB 84', 'NSC 406903', 'ETHYL-BENZENE', 'EINECS 202-849-4', 'UN1175', 'AI3-09057', 'CHEMBL371561', 'L5I45M5G0O', 'EB', 'CHEBI:16101', '(2H10)Ethylbenzene', 'Benzene-d5, ethyl-d5-', 'Poly(ethylbenzene)', 'Ethylbenzene, 99.8%, pure', 'Benzene, ethyl-, benzylated', 'Benzene, ethyl-, homopolymer', 'Ethylbenzene polymer', 'Aromatic hydrocarbons, C12-20', 'Ethylbenzene, 99.8%, anhydrous, AcroSeal(R)', 'Ethylbenzene homopolymer', 'Ethylbenzene.', '1-phenylethane', 'benzene, ethenyl', 'Benzene-1,2,3,4,5-d5, 6-(ethyl-1,1,2,2,2-d5)-', 'PYJ', 'EINECS 272-685-6', 'EINECS 275-055-9', '.alpha.-Methyltoluene', 'DSSTox_CID_596', 'SYN', 'Ethylbenzene [UN1175]  [Flammable liquid]', 'EC 202-849-4', 'DSSTox_RID_75679', 'DSSTox_GSID_20596', 'WLN: 2R', '27536-89-6', '68908-88-3', '70955-17-8', 'KSC175K4L', 'BIDD:ER0246', 'ACMC-2097q0', 'ghl.PD_Mitscher_leg0.1024', 'QSPL 092', 'DTXSID3020596', 'CTK0H5545', 'Ethylbenzene, analytical standard', 'KS-00000WEA', 'Ethylbenzene, anhydrous, 99.8%', 'ZINC968270', '2-Phenylethane-1,1,1-triylradical', 'Tox21_201064', '7890AF', 'ANW-14278', 'BDBM50167951', 'Ethylbenzene, ReagentPlus(R), 99%', 'LS-303', 'MFCD00011647', 'NSC406903', 'SBB040891', 'STL282714', 'AKOS000120140', 'MCULE-6974188032', 'NSC-406903', 'UN 1175', 'NCGC00090768-01', 'NCGC00090768-02', 'NCGC00258617-01', 'CAS-100-41-4', 'Ethylbenzene 10 microg/mL in Cyclohexane', 'SC-65218', 'Ethylbenzene 100 microg/mL in Cyclohexane', 'DB-045168', 'Ethylbenzene [UN1175] [Flammable liquid]', '2-Ethyl-2,5-cyclohexadiene-1,4-diylradical', 'E0064', 'FT-0626285', 'FT-0637975', 'NS00009164', 'S0646', 'ST50214487', 'AZ0001-0011', '5560-EP2269986A1', '5560-EP2270011A1', '5560-EP2274983A1', '5560-EP2280005A1', '5560-EP2284165A1', '5560-EP2284178A2', '5560-EP2284179A2', '5560-EP2286811A1', '5560-EP2289884A1', '5560-EP2289965A1', '5560-EP2292624A1', '5560-EP2298743A1', '5560-EP2298767A1', '5560-EP2298828A1', '5560-EP2301918A1', '5560-EP2305642A2', '5560-EP2305647A1', '5560-EP2305648A1', '5560-EP2305668A1', '5560-EP2305672A1', '5560-EP2305683A1', '5560-EP2308858A1', '5560-EP2308872A1', '5560-EP2309584A1', '5560-EP2311804A2', '5560-EP2311816A1', '5560-EP2311817A1', '5560-EP2311829A1', '5560-EP2311839A1', '5560-EP2314558A1', '5560-EP2314577A1', '5560-EP2314589A1', '5560-EP2316829A1', '5560-EP2316837A1', '5560-EP2380568A1', 'C07111', 'Q409184', 'J-000128', 'J-521339', 'F0001-0016', 'UNII-D856J1047R component YNQLUTRBYVCPMQ-UHFFFAOYSA-N', 'Ethylbenzene, United States Pharmacopeia (USP) Reference Standard', 'Ethylbenzene solution, certified reference material, 5000 mug/mL in methanol', 'Ethylbenzene solution, NMR reference standard, 1% in chloroform-d (99.8 atom % D)', 'Ethylbenzene solution, NMR reference standard, 10% in chloroform-d (99.8 atom % D)', 'Ethylbenzene, Pharmaceutical Secondary Standard; Certified Reference Material', 'Benzene, ethyl-;ethylbenzene;ETHYLBENZENE;2-Propenoic acid, 2-methyl-, polymer with butyl 2-methyl-2-propenoate, butyl 2-propenoate, ethenylbenzene and methyl 2-methyl-2-propenoate;Benzene, ethyl-, benzylated;Aromatic hydrocarbons, C12-20', 'Ethylbenzene solution, NMR reference standard, 0.1% in chloroform-d ("100%", 99.96 atom % D)', 'Ethylbenzene solution, NMR reference standard, 0.1% in chloroform-d (99.8 atom % D), NMR tube size 3 mm x 8 in.', 'Ethylbenzene solution, NMR reference standard, 0.1% in chloroform-d (99.8 atom % D), NMR tube size 5 mm x 8 in.', 'Ethylbenzene solution, NMR reference standard, 0.1% in chloroform-d (99.8 atom % D), NMR tube size 8 mm x 7 in.', 'Ethylbenzene solution, NMR reference standard, 0.1% in chloroform-d (99.8 atom % D), TMS 0.01 %, chromium(III) acetylacetonate 0.1 mg/mL, NMR tube size 5 mm x 8 in.', 'Ethylbenzene solution, NMR reference standard, 0.1% in chloroform-d (99.8 atom % D), TMS 0.01 %, NMR tube size 10 mm x 8 in.', 'Ethylbenzene solution, NMR reference standard, 0.1% in chloroform-d (99.8 atom % D), TMS 0.01 %, NMR tube size 3 mm x 8 in.', 'Ethylbenzene solution, NMR reference standard, 0.1% in chloroform-d (99.8 atom % D), TMS 0.01 %, NMR tube size 5 mm x 8 in.', 'Ethylbenzene solution, NMR reference standard, 0.1% in chloroform-d (99.8 atom % D), TMS 0.01 %, NMR tube size 5 mm x 8 in. , ultra-thin wall', 'Ethylbenzene solution, NMR reference standard, 0.1% in chloroform-d (99.8 atom % D), TMS 0.01 %, NMR tube size 8 mm x 8 in.', 'Ethylbenzene solution, NMR reference standard, 0.1% in chloroform-d (99.8 atom % D), TMS 0.1 %', 'Ethylbenzene solution, NMR reference standard, 0.4% in chloroform-d (99.8 atom %), NMR tube size 3 mm x 8 in.', 'Ethylbenzene solution, NMR reference standard, 10% in chloroform-d (99.8 atom % D), NMR tube size 10 mm x 8 in.', 'Ethylbenzene solution, NMR reference standard, 10% in chloroform-d (99.8 atom % D), NMR tube size 3 mm x 8 in.', 'Ethylbenzene solution, NMR reference standard, 10% in chloroform-d (99.8 atom % D), NMR tube size 5 mm x 8 in. , ultra-thin wall', 'Ethylbenzene solution, NMR reference standard, 10% in chloroform-d (99.8 atom % D), TMS 0.01 %, NMR tube size 5 mm x 8 in.', 'Ethylbenzene solution, NMR reference standard, 5% in chloroform-d (99.8 atom % D), TMS 1 %, NMR tube size 5 mm x 7 in.', 'Ethylbenzene solution, NMR reference standard, 5% in chloroform-d (99.8 atom % D), TMS 2 %, NMR tube size 3 mm x 8 in.', 'Ethylbenzene solution, NMR reference standard, 5% in chloroform-d (99.8 atom % D), TMS 2 %, NMR tube size 5 mm x 8 in.']</t>
  </si>
  <si>
    <t>Compound(7500)</t>
  </si>
  <si>
    <t>ethyl bromophos</t>
  </si>
  <si>
    <t>(4-bromo-2,5-dichlorophenoxy)-diethoxy-sulfanylidene-lambda5-phosphane</t>
  </si>
  <si>
    <t>['BROMOPHOS-ETHYL', 'Ethyl bromophos', 'Filariol', 'Bromofos-ethyl', '4824-78-6', 'Nexagan G', 'Caswell No. 114D', 'UNII-CVT4KYL79N', 'Cela S 2225', 'Enkt 27258', 'Bromophos-ethyl [BSI:ISO]', 'ENT 27,258', 'HSDB 6574', 'OMS-659', 'Phosphorothioic acid, O-(4-bromo-2,5-dichlorophenyl) O,O-diethyl ester', 'EINECS 225-399-0', 'CVT4KYL79N', 'EPA Pesticide Chemical Code 214500', 'BRN 2294153', 'AI3-27258', 'O,O-Diethyl O-(2,5-dichloro-4-bromophenyl) thiophosphate', 'O,O-Diethyl O-2,5-dichloro-4-bromophenyl-phosphorothioate', 'CHEBI:82105', 'O-(4-Bromo-2,5 dichlorophenyl) O,O-diethylphosphorothionate', 'O-(4-Bromo-2,5-dichlorophenyl) O,O-diethyl phosphorothioate', 'S-2225', 'Phenol, 4-bromo-2,5-dichloro-, O-ester with O,O-diethyl phosphorothioate', 'O,O-Diaethyl-O-(2,5-dichlor-4-bromphenyl)-thionophosphat', 'O,O-Dietil-O-(4-bromo-2,5 dicloro-fenil)-monotiofosfato', 'O,O-Diaethyl-O-(4-brom-2,5-dichlor)-phenyl-monothiophosphat', 'O,O-Diethyl-O-(4-broom-2,5-dichloor-fenyl)-monothiofosfaat', 'O-(4-Bromo-2,5-dichlorophenyl) O,O-diethyl monothiophosphate', 'O,O-Diaethyl-O-(2,5-dichlor-4-bromphenyl)-thionophosphat [German]', 'O,O-Dietil-O-(4-bromo-2,5 dicloro-fenil)-monotiofosfato [Italian]', 'O,O-Diaethyl-O-(4-brom-2,5-dichlor)-phenyl-monothiophosphat [German]', 'O,O-Diethyl-O-(4-broom-2,5-dichloor-fenyl)-monothiofosfaat [Dutch]', 'Thiophosphate de O,O-diethyle et de O-(2,5-dichloro-4-bromo) phenyle', 'Thiophosphate de O,O-diethyle et de O-(2,5-dichloro-4-bromo) phenyle [French]', 'bromophos ethyl', '(4-bromo-2,5-dichlorophenoxy)-diethoxy-sulfanylidene-?^{5}-phosphane', 'Filariol 60', 'CX 99 (Salt/Mix)', 'DSSTox_CID_21684', 'DSSTox_RID_79818', 'DSSTox_GSID_41684', 'BIDD:ER0117', 'bromophos-ethyl;Bromofos-ethyl', 'SCHEMBL145727', 'CHEMBL3189138', 'DTXSID6041684', 'CELA S-2225', 'CTK8E8186', 'OMS 659', 'CX 99', 'Tox21_301099', 'AKOS015888367', 'ACM4824786', 'NCGC00160639-01', 'NCGC00160639-02', 'NCGC00254999-01', 'Bromophos-ethyl 10 microg/mL in Isooctane', 'CAS-4824-78-6', 'LS-108419', 'NS00001710', 'Bromophos-ethyl 100 microg/mL in Cyclohexane', 'C18966', 'S 2225', 'Bromophos-ethyl, PESTANAL(R), analytical standard', 'Q27155752', 'O-(4-Bromo-2,5 dichlorophenyl) OO-diethyl phosphorothioate', 'O-(4-Bromo-2,5-dichlorophenyl) O,O-diethyl thiophosphate #']</t>
  </si>
  <si>
    <t>Compound(20965)</t>
  </si>
  <si>
    <t>C10H12BrCl2O3PS</t>
  </si>
  <si>
    <t>ethylhexanediol</t>
  </si>
  <si>
    <t>2-ethylhexane-1,3-diol</t>
  </si>
  <si>
    <t>['2-ETHYL-1,3-HEXANEDIOL', '2-Ethylhexane-1,3-diol', 'Ethohexadiol', '94-96-2', '1,3-Hexanediol, 2-ethyl-', 'Ethyl hexanediol', 'Octylene glycol', 'Carbide 6-12', 'Repellent 612', 'Rutgers 612', '6-12-Insect repellent', 'Diol-Kyowa 8', 'etohexadiol', '2-Ethyl-3-propyl-1,3-propanediol', '2-Ethyl-1,3-hexylene glycol', '3-Hydroxymethyl-n-heptan-4-ol', '2-Ethyl-1,3-hexandiol', 'ENT 375', 'Ethohexadiol [USP]', 'Caswell No. 445', '6-12 insect repellent', 'Latka 612 [Czech]', 'UNII-M9JGK7U88V', 'NSC 3881', 'CCRIS 4034', 'Ethyl hexylene glycol', 'Compound 6-12 insect repellent', 'HSDB 1716', '2-Ethylhexanediol-1,3', 'EINECS 202-377-9', 'EPA Pesticide Chemical Code 041001', 'BRN 1735324', 'M9JGK7U88V', 'AI3-00375', 'CHEBI:34273', 'Compound 6-12, insect repellent', 'MFCD00004578', 'Ethylhexylene glycol', 'NCGC00091575-01', 'DSSTox_CID_5292', 'DSSTox_RID_77729', 'DSSTox_GSID_25292', 'CAS-94-96-2', 'Latka 612', '2-Ethyl-1,3-hexanediol, 99%, mixture of isomers', '(2S,3R)-2-ethylhexane-1,3-diol', 'EH diol', 'EC 202-377-9', '2-ethyl-1,3-hexane diol', '2-ethyl-hexane-1,3-diol', 'Ethyl-1,3-hexane diol-2', 'SCHEMBL38007', '4-01-00-02597 (Beilstein Handbook Reference)', 'WLN: QY3&amp;Y2&amp;1Q', 'CHEMBL1451179', 'DTXSID4025292', 'CTK3I9637', 'NSC3881', 'KS-000011NS', 'NSC-3881', 'Tox21_111152', 'Tox21_202003', 'Tox21_303253', 'ANW-42033', 'SBB060488', 'AKOS002313502', 'AKOS016051411', 'Tox21_111152_1', 'DB13826', 'FCH1112885', 'LS-1969', 'MCULE-4462593004', 'NCGC00091575-02', 'NCGC00091575-03', 'NCGC00256943-01', 'NCGC00259552-01', 'AK116710', 'CC-10478', 'Diol-Kyowa 8; Ethohexadiol; NSC 3881', 'S173', '2-Ethyl-1,3-hexanediol, analytical standard', 'E0119', 'FT-0612228', 'NS00005681', 'ST50759403', 'C14271', 'C-33909', 'Q992192', 'SR-01000944444', '2-Ethyl-1,3-hexanediol, 97%, Mixture of isomers', 'SR-01000944444-1', 'BRD-A55455283-001-01-3', '2-ethylhexane-1,3-diol;ETHYL HEXANEDIOL;2-Ethyl-1,3-hexanediol']</t>
  </si>
  <si>
    <t>Compound(7211)</t>
  </si>
  <si>
    <t>ethyl chloroformate</t>
  </si>
  <si>
    <t>ethyl carbonochloridate</t>
  </si>
  <si>
    <t>['ETHYL CHLOROFORMATE', '541-41-3', 'Ethyl carbonochloridate', 'Ethyl chlorocarbonate', 'Cathyl chloride', 'Carbonochloridic acid, ethyl ester', 'Ethoxycarbonyl chloride', 'Chloroformic acid ethyl ester', 'ETHYLCHLOROFORMATE', 'Ethylchloorformiaat', 'Etil cloroformiato', 'Etil clorocarbonato', 'Formic acid, chloro-, ethyl ester', 'Ethyl chloromethanoate', 'chloro(ethoxy)methanone', 'Chlorocarbonic acid ethyl ester', "Chlorocarbonate D'ethyle", "Ethyle, chloroformiat D'", 'Clhorameisensaeureaethylester', 'Ethylchloorformiaat [Dutch]', 'TL 423', 'Etil cloroformiato [Italian]', 'Etil clorocarbonato [Italian]', 'UNII-09601EZP9R', 'HSDB 409', 'Ethylester kyseliny chlormravenci', 'Cloroformiato de etilo [Spanish]', "Chlorocarbonate d'ethyle [French]", "Ethyle, chloroformiat d' [French]", 'EINECS 208-778-5', 'UN1182', 'Chlorameisensaeureaethylester [German]', 'Clhorameisensaeureaethylester [German]', 'Ethyl chloroformate, 97%', 'BRN 0385653', 'Ethylester kyseliny chlormravenci [Czech]', 'AI3-19852', '09601EZP9R', 'ECF', 'Ethyl chloroformate, 99%', 'Ethyl chloroformate, 99%, AcroSeal(R)', 'Cloroformiato de etilo', 'Chlorameisensaeureaethylester', 'ethylcloroformate', 'ethyl chlorformate', 'ethyl choroformate', 'ethyl cloroformate', 'ethylchorocarbonate', 'ethvl chloroformate', 'ethyl chioroformate', 'ClCOOEt', 'ethylchlorocarbanate', 'ethylchlorocarbonate', 'EtOCOCl', 'carboethoxy chloride', 'ethyl chlorcarbonate', 'Ethyl chloroforrnate', 'ethyl chloro-formate', 'ethyl chloroform ate', 'ethyl-chloro-formate', 'ClCO2Et', 'ethoxycarbonylchloride', 'ethyl carbonchloridate', 'ethyl chloro-carbonate', 'ethyl-carbonochloridate', 'Ethyl chloridocarbonate', 'EtOC(O)Cl', 'chloroformic acid ethyl', 'ethyl chloroformic acid', 'CH3CH2OCOCl', 'C2H5OCOCl', 'ClCOOC2H5', 'chloroformic ethyl ester', 'Ethoxy carbonyl chloride', 'ClCO2CH2CH3', 'ethyl chlorocarbonic acid', 'ClCO2C2H5', 'Ethyl chloridocarbonate #', 'DSSTox_CID_7186', 'SCHEMBL342', 'chloroformic acid ethylester', 'EC 208-778-5', 'DSSTox_RID_78340', 'DSSTox_GSID_27186', 'Chloroformic acid, ethyl ester', 'CHEMBL3183406', 'Chlorocarbonic acid, ethyl ester', 'DTXSID1027186', 'CTK1H0589', 'RIFGWPKJUGCATF-UHFFFAOYSA-', 'ZINC2034866', 'Tox21_201034', 'ANW-44937', 'BBL011487', 'MFCD00000644', 'SBB040861', 'STL146599', 'AKOS000119319', 'ethyl chloroformate;Ethyl chloroformate', 'ACN-029222', 'MCULE-4167904934', 'UN 1182', 'NCGC00248902-01', 'NCGC00258587-01', 'CAS-541-41-3', 'Ethyl chloroformate [UN1182] [Poison]', 'LS-69671', 'VS-02959', 'Ethyl chloroformate [UN1182]  [Poison]', 'DB-052494', 'NS00005955', 'Ethyl chloroformate, purum, &gt;=98.0% (GC)', '11380-EP2269992A1', '11380-EP2275404A1', '11380-EP2275414A1', '11380-EP2281818A1', '11380-EP2286811A1', '11380-EP2289893A1', '11380-EP2289894A2', '11380-EP2289897A1', '11380-EP2292619A1', '11380-EP2298312A1', '11380-EP2298750A1', '11380-EP2298772A1', '11380-EP2301922A1', '11380-EP2305254A1', '11380-EP2305649A1', '11380-EP2305663A1', '11380-EP2305676A1', '11380-EP2305682A1', '11380-EP2308839A1', '11380-EP2308857A1', '11380-EP2308858A1', '11380-EP2308873A1', '11380-EP2308877A1', '11380-EP2308879A1', '11380-EP2311807A1', '11380-EP2311808A1', '11380-EP2311816A1', '11380-EP2311817A1', '11380-EP2311824A1', '11380-EP2311829A1', '11380-EP2311840A1', '11380-EP2314578A1', '11380-EP2314593A1', '11380-EP2316827A1', '11380-EP2371811A2', '11380-EP2371831A1', '93359-EP2269986A1', '93359-EP2272822A1', '93359-EP2277861A1', '93359-EP2280000A1', '93359-EP2289887A2', '93359-EP2289888A2', '93359-EP2292596A2', '93359-EP2305633A1', '93359-EP2374790A1', 'Q288339', 'F2190-0128']</t>
  </si>
  <si>
    <t>Compound(10928)</t>
  </si>
  <si>
    <t>C3H5ClO2</t>
  </si>
  <si>
    <t>ethylchlorpyrifos</t>
  </si>
  <si>
    <t>diethoxy-sulfanylidene-(3,5,6-trichloropyridin-2-yl)oxy-lambda5-phosphane</t>
  </si>
  <si>
    <t>['chlorpyrifos', '2921-88-2', 'Chlorpyriphos', 'Dursban', 'Lorsban', 'Trichlorpyrphos', 'Brodan', 'Chlorpyrifos-ethyl', 'Piridane', 'Coroban', 'Equity', 'Lentrek', 'Pyrinex', 'Stipend', 'Lock-On', 'Killmaster', 'Bonidel', 'Danusban', 'Geodinfos', 'Spannit', 'Tafaban', 'Dowco 179', 'Durmet', 'Radar', 'Terial', 'Zidil', 'Suscon blue', 'Suscon green', 'suSCon', 'Dursban F', 'Dursban R', 'Chlorpyrifos ethyl', 'Dursban 4E', 'Chlorpyriphos-ethyl', 'Ethyl chlorpyriphos', 'Chloropyrifos', 'Dursban 10CR', 'Phosphorothioic acid, O,O-diethyl O-(3,5,6-trichloro-2-pyridinyl) ester', 'Chlorpyrifos (Dursban)', 'Detmol U.A.', 'Dhanusban', 'Grofo', 'Detmol ua', 'Radar (fungicide)', 'Dursban 44', 'Lorsban 50SL', 'Empire 20', 'Terial 40L', 'Chlorpyrifos [BAN]', 'O,O-Diethyl O-3,5,6-trichloro-2-pyridyl phosphorothioate', 'Chloropyriphos', 'Chlorpyrofos', 'Chlorpyrophos', 'Pageant', 'Silrifos', 'Caswell No. 219AA', 'm-Chlorpyrifos', 'XRM 429', 'C9H11Cl3NO3PS', 'OMS-0971', 'XRM 5160', 'Dursban 2E', 'Chlorpyriphos [ISO-French]', 'UNII-JCS58I644W', 'ENT 27311', 'CCRIS 7144', 'HSDB 389', 'Chlorpyrifos [ANSI:BSI:ISO]', 'EINECS 220-864-4', 'O,O-Diethyl O-(3,5,6-trichloro-2-pyridinyl)phosphorothioate', 'EPA Pesticide Chemical Code 059101', 'BRN 1545756', 'Phosphorothioic acid, O,O-diethyl O-(3,5,6-trichloro-2-pyridyl) ester', 'AI3-27311', 'MLS001065609', 'JCS58I644W', 'O,O-Diaethyl-O-3,5,6-trichlor-2-pyridylmonothiophosphat', 'O,O-diethyl O-(3,5,6-trichloropyridin-2-yl) thiophosphate', 'CHEBI:34631', 'diethoxy-sulfanylidene-(3,5,6-trichloropyridin-2-yl)oxyphosphorane', '2-Pyridinol, 3,5,6-trichloro-, O-ester with O,O-diethyl phosphorothioate', 'Chlorpyrifos (BAN)', 'Clorpyrifos', 'O,O-Diethyl O-(3,5,6-trichloro-2-pyridyl) phsophorothioate', 'SMR000568474', 'O,O-diethyl O-(3,5,6-trichloropyridin-2-yl) phosphorothioate', 'DSSTox_CID_458', 'O,O-Diaethyl-O-3,5,6-trichlor-2-pyridylmonothiophosphat [German]', 'DSSTox_RID_75603', 'DSSTox_GSID_20458', 'o,o-Diethyl-o-(3,5,6-trichloro-2-pyridyl)phosphorothioate', 'O,O-Diethyl O-(3,5,6-Trichloro-2-pyridyl) phosphorothioate', 'O,O-Diethyl-O-(3,5,6-trichloro-2-pyridyl)phosphorothiolate', 'diethoxy-sulfanylidene-[(3,5,6-trichloro-2-pyridinyl)oxy]phosphorane', 'CAS-2921-88-2', 'pridane', 'Chlorpyritos', 'Warhawk', 'Bolton', 'Detmol', 'Tricel', 'Nufos', 'diethoxy-sulfanylidene-(3,5,6-trichloropyridin-2-yl)oxy-?^{5}-phosphane', 'detmol u. a', 'Detmol U.A', 'Zodiac (TN)', 'Chlorpyrifos (ethyl)', 'Spectrum_001897', 'Chlorpyrifos;chlorpyrifos', 'SpecPlus_000518', 'Spectrum2_001230', 'Spectrum3_000849', 'Spectrum4_000689', 'Spectrum5_002014', 'C7H7Cl3NO3PS', 'cid_2730', 'Dursban, analytical standard', 'BIDD:PXR0044', 'SCHEMBL21680', 'BSPBio_002437', 'KBioGR_001157', 'KBioSS_002427', 'SPECTRUM330058', 'DivK1c_006614', 'SPBio_001080', 'Bonidel; CPF Zamba; Chlora;', 'CHEMBL463210', 'DTXSID4020458', 'BDBM74063', 'CTK8E8187', 'KBio1_001558', 'KBio2_002421', 'KBio2_004989', 'KBio2_007557', 'KBio3_001937', 'SBPBAQFWLVIOKP-UHFFFAOYSA-', 'OMS 971', 'HMS3039C03', 'HMS3264O03', 'Pharmakon1600-00330058', 'ZINC608250', 'HY-B0815', 'Tox21_202383', 'Tox21_300148', 'AC-993', 'CCG-39144', 'NSC755891', 'AKOS015891656', 'Phosphorothioic acid O,O-diethyl O-(3,5,6-trichloro-2-pyridinyl) ester', 'Chlorpyrifos 100 microg/mL in Acetone', 'ENT 27,311', 'KS-5372', 'LS-1137', 'NSC-755891', 'Chlorpyrifos 1000 microg/mL in Toluene', 'NCGC00091472-01', 'NCGC00091472-02', 'NCGC00091472-03', 'NCGC00091472-04', 'NCGC00091472-05', 'NCGC00091472-06', 'NCGC00091472-07', 'NCGC00091472-08', 'NCGC00091472-09', 'NCGC00253974-01', 'NCGC00259932-01', 'CC-25729', 'Chlorpyrifos 10 microg/mL in Cyclohexane', 'O799', 'SC-47023', 'Chlorpyrifos 100 microg/mL in Cyclohexane', 'SBI-0052543.P002', 'Chlorpyrifos 100 microg/mL in Acetonitrile', 'CS-0012832', 'FT-0698165', 'NS00000445', 'C14322', 'D07688', 'M-1133', '26848-EP2274983A1', '26848-EP2275422A1', '26848-EP2280002A1', '26848-EP2280009A1', '26848-EP2292608A1', '26848-EP2305662A1', '26848-EP2308857A1', '26848-EP2308858A1', '26848-EP2311816A1', '26848-EP2311817A1', '26848-EP2314583A1', '88579-EP2298076A1', '88579-EP2298077A1', '88579-EP2301353A1', '88579-EP2305031A1', '88579-EP2305034A1', '88579-EP2305035A1', '88579-EP2305662A1', 'AB00053051_06', 'Chlorpyrifos, PESTANAL(R), analytical standard', '921C882', 'A819822', 'C-20634', 'Q414915', 'SR-01000854727', 'J-017440', 'SR-01000854727-2', 'BRD-K08303368-001-02-7', 'BRD-K08303368-001-06-8', 'Chlorpyrifos, certified reference material, TraceCERT(R)', 'Diethyl O-(3,5,6-trichloro-2-pyridyl) phosphorothioate', 'O,O-Diethyl O-3,5,6-trichloro-2-pyridylphosphorothioate', 'diethoxy-thioxo-[(3,5,6-trichloro-2-pyridyl)oxy]phosphorane', 'O,O-Diethyl o-(3,5,6-trichloro-2-pyridinyl) thiophosphate #', 'diethoxy-sulfanylidene-(3,5,6-trichloropyridin-2-yl)oxy--phosphane', 'ethyl 3,5,6-trichloropyridin-2-yl ethoxy(sulfanylidene)phosphonite', 'O,O-diethyl O-(3,5,6-trichloro-2-pyridinyl) phosphorothioic acid', 'O,O-DIETHYL O-3,5,6-TRICHLOROPYRIDIN-2-YL PHOSPHOROTHIOATE', 'diethoxy-sulfanylidene-(3,5,6-trichloropyridin-2-yl)oxy-$l^{5}-phosphane', 'diethoxy-sulfanylidene-[3,5,6-tris(chloranyl)pyridin-2-yl]oxy--phosphane', 'Chlorpyrifos solution, 100 mug/mL in acetonitrile, PESTANAL(R), analytical standard', 'diethoxy-sulfanylidene-[3,5,6-tris(chloranyl)pyridin-2-yl]oxy-$l^{5}-phosphane', 'Chlorpyrifos solution, certified reference material, TraceCERT(R), 1000 mug/mL in methyl tert-butyl ether, ampule of 1 mL']</t>
  </si>
  <si>
    <t>Compound(2730)</t>
  </si>
  <si>
    <t>C9H11Cl3NO3PS</t>
  </si>
  <si>
    <t>ethyl mercury bromide</t>
  </si>
  <si>
    <t>bromo(ethyl)mercury</t>
  </si>
  <si>
    <t>['Ethylmercury bromide', 'Mercury, bromoethyl-', 'Bromoethylmercury', '107-26-6', 'Ethylmercuric bromide', 'ethyl mercury bromide', 'Caswell No. 447B', 'SCHEMBL160770', 'DTXSID2041961', 'CTK4A5110', 'EINECS 203-477-5', 'Mercury, bromoethyl-(7CI,8CI,9CI)', 'EPA Pesticide Chemical Code 447300', 'Q27894665']</t>
  </si>
  <si>
    <t>Compound(66943)</t>
  </si>
  <si>
    <t>C2H5BrHg</t>
  </si>
  <si>
    <t>ethyl toluene</t>
  </si>
  <si>
    <t>ethyl acrylate</t>
  </si>
  <si>
    <t>ethyl prop-2-enoate</t>
  </si>
  <si>
    <t>['ETHYL ACRYLATE', '140-88-5', 'Acrylic acid ethyl ester', 'Ethyl propenoate', '2-Propenoic acid, ethyl ester', 'ethyl prop-2-enoate', 'Ethyl 2-propenoate', 'Ethylacrylaat', 'Ethylakrylat', 'Etil acrilato', 'Acrylic acid, ethyl ester', 'Aethylacrylat', 'Etilacrilatului', 'Carboset 511', 'Akrylanem etylu', 'Ethoxycarbonylethylene', 'Ethyl acrylate, inhibited', "Acrylate d'ethyle", 'Poly(ethyl acrylate)', 'Polyethylacrylate', 'Acrylic acid, ethyl ester (inhibited)', 'Ethyl acrylate homopolymer', 'Etilacrilatului [Romanian]', 'Ethyl acrylate (inhibited)', 'RCRA waste number U113', 'Ethylester kyseliny akrylove', 'NCI-C50384', 'Ethylakrylat [Czech]', 'Ethylacrylaat [Dutch]', '2-Propenoic Acid Ethyl Ester', 'Aethylacrylat [German]', 'Ethylacrylate', 'Etil acrilato [Italian]', 'FEMA Number 2418', 'Ethyl acrylate (natural)', 'Akrylanem etylu [Polish]', '2-Propenoic acid, ethyl ester, homopolymer', 'Ethyl propenoate, inhibited', 'NSC 8263', "Acrylate d'ethyle [French]", 'CCRIS 248', 'ethyl 2E-propenoate', 'FEMA No. 2418', 'Acrylsaeureaethylester [German]', 'HSDB 193', 'Ethyl 2-propenoate, homopolymer', 'Ethyl acrylate polymer', 'UNII-71E6178C9T', 'Poly(acrylic acid, ethyl ester)', 'EINECS 205-438-8', 'Ethylester kyseliny akrylove [Czech]', 'Etilacrilatului(roumanian)', 'UN1917', 'CH2=CHCOOC2H5', 'RCRA waste no. U113', 'BRN 0773866', 'AI3-15734', '9003-32-1', 'CHEBI:82327', 'Ethyl ester of 2-propenoic acid', '71E6178C9T', 'Ethyl acrylate, inhibited [UN1917] [Flammable liquid]', 'Ethyl acrylate, 99.5%, stabilized', 'Acrylic acid ethyl', 'Poly(ethylacrylate)', 'Acrylic acid-ethyl ester', 'DSSTox_CID_583', 'propenoic acid ethyl ester', 'EC 205-438-8', 'SCHEMBL3180', 'ACMC-1C25H', 'DSSTox_RID_75673', 'DSSTox_GSID_20583', '4-02-00-01460 (Beilstein Handbook Reference)', 'KSC175I7H', 'CHEMBL52084', 'WLN: 2OV1U1', 'DTXSID4020583', 'CTK0H5473', 'FEMA 2418', 'FEMA-2418', 'KS-00000XAG', 'NSC8263', 'Ethyl acrylate, analytical standard', 'BCP06341', 'EBD44205', 'NSC-8263', 'ZINC1586528', 'Tox21_202513', '7387AF', 'ANW-42233', 'BBL011497', 'LMFA07010505', 'MFCD00009188', 'SBB060348', 'STL146609', 'AKOS005721113', 'Cyacetacide; Cyanoacetic acid hydrazide', 'MCULE-9281713240', 'NCGC00091041-01', 'NCGC00260062-01', 'CAS-140-88-5', 'SC-19398', 'VS-02962', 'Ethyl acrylate, purum, &gt;=99.0% (GC)', 'Propenoic acid,ethyl ester (ethylacrylate)', 'DB-042537', 'A0143', 'Ethyl acrylate, &gt;=99.5%, stabilized, FG', 'FT-0621878', 'FT-0625767', 'NS00006376', 'ST51046544', 'WE(2:0/3:1(2E))', 'Ethyl acrylate, SAJ first grade, &gt;=99.0%', 'C19238', '15471-EP2269995A1', '15471-EP2272837A1', '15471-EP2284169A1', '15471-EP2286811A1', '15471-EP2287161A1', '15471-EP2287162A1', '15471-EP2292592A1', '15471-EP2295406A1', '15471-EP2298746A1', '15471-EP2301939A1', '15471-EP2305219A1', '15471-EP2305672A1', '15471-EP2305683A1', '15471-EP2308838A1', '15471-EP2311823A1', '15471-EP2311831A1', '15471-EP2311839A1', '15471-EP2314584A1', '15471-EP2314589A1', '15471-EP2316837A1', 'Q343014', 'J-007427', 'PROPENOIC ACID,ETHYL ESTER  (ETHYLACRYLATE)', 'Ethyl acrylate, inhibited [UN1917]  [Flammable liquid]', 'F1908-0175', 'Ethyl acrylate, contains 10-20 ppm MEHQ as inhibitor, 99%']</t>
  </si>
  <si>
    <t>Compound(8821)</t>
  </si>
  <si>
    <t>ethyl acetate</t>
  </si>
  <si>
    <t>['ETHYL ACETATE', '141-78-6', 'Ethyl ethanoate', 'Acetic acid ethyl ester', 'Acetoxyethane', 'Acetic ether', 'Ethyl acetic ester', 'Vinegar naphtha', 'Acetic acid, ethyl ester', 'Acetidin', 'Ethylacetate', 'Essigester', 'Acetic ester', 'EtOAc', 'Aethylacetat', 'Ethylacetat', '1-acetoxyethane', 'Ethyl ester', 'RCRA waste number U112', 'AcOEt', 'Ethylacetaat', 'Octan etylu', 'Etile (acetato di)', 'Essigester [German]', 'Ethylacetaat [Dutch]', 'Aethylacetat [German]', 'Caswell No. 429', "Ethyle (acetate d')", 'Octan etylu [Polish]', 'Ethylazetat', 'ethyl-acetate', 'Ethyl acetate (natural)', 'CHEBI:27750', 'Ethylester kyseliny octove', 'acetic acid ethyl', "Acetate d'ethyle [French]", 'Ethyl ester of acetic acid', 'Acetato de etilo [Spanish]', 'MFCD00009171', 'NSC 70930', 'Essigsaeureethylester', 'HSDB 83', 'UNII-76845O8NMZ', 'Etile (acetato di) [Italian]', 'FEMA No. 2414', 'CCRIS 6036', 'Ethyl acetate [NF]', "Ethyle (acetate d') [French]", 'acetic-acid-ethylester', 'ethyl acetate solution', 'Ethylester kyseliny octove [Czech]', 'EINECS 205-500-4', 'UN1173', 'CH3COOC2H5', 'RCRA waste no. U112', 'EPA Pesticide Chemical Code 044003', 'CH3-CO-O-CH3', 'ethyl acetat', 'AI3-00404', '76845O8NMZ', 'Ethyl acetate (NF)', 'NCGC00091766-01', 'E1504', 'DSSTox_CID_2001', 'Ethyl acetate, ACS reagent', 'DSSTox_RID_76453', 'DSSTox_GSID_22001', 'Ethyl acetate, 99+%, extra pure', "Acetate d'ethyle", 'Acetato de etilo', 'Ethyl acetate, 99.5%, for analysis', 'Ethyl acetate, 99.5+%, for HPLC', 'Ethyl acetate, 99.6%, ACS reagent', 'Ethyl acetate, ACS reagent, &gt;=99.5%', 'CAS-141-78-6', 'Ethyl acetate, 99.5+%, for spectroscopy', 'Ethyl acetate, for pesticide residue analysis', 'Ethyl acetate, 99.5%, for spectroscopy ACS', 'Ethyl acetate, 99.9%, Extra Dry, AcroSeal(R)', 'Ethyl acetate, 99.8%, for biochemistry, AcroSeal(R)', 'ethylaceate', 'ethylactate', 'ethylacteate', 'Etylacetate', 'acet-ethylester', 'ehtyl acetate', 'ethanol acetate', 'ethly acetate', 'ethyl acteate', 'ethyl_acetate', 'ehyl acetate', 'ethl acetate', 'ethy acetate', 'ethyl aceate', 'ethyl actate', 'etyl acetate', 'Acetyl ester', 'acet-eth-ester', 'Ethyl acetate, 99.9%, Extra Dry over Molecular Sieve, AcroSeal(R)', '1-ethyl acetate', '2~ethyl acetate', 'Ethyl Acetate.', 'acetic ethyl ester', 'Etile(acetato di)', 'Nat.Ethyl Acetate', 'Et-OAc', "Ethyle(acetate d')", 'acetic acid ethylester', 'Ethyl Acetate Natural', 'Ethyl Acetate, HPLC', 'CH3CO2Et', 'ACMC-1BTXP', 'Ethyl acetate HPLC grade', 'Ethyl acetate, for HPLC', 'Ethyl acetate, 99.9%', 'Ethyl acetate, ACS grade', 'CH3CO2CH2CH3', 'Epitope ID:116868', 'EC 205-500-4', 'CH3CO2C2H5', 'ETHYL ACETATE 100ML', 'Ethyl acetate, &gt;=99.5%', 'KSC492C3D', 'WLN: 2OV1', 'CHEMBL14152', 'ACETIC ACID,ETHYL ESTER', 'Ethyl acetate, AR, &gt;=99%', 'Ethyl acetate, LR, &gt;=99%', 'DTXSID1022001', 'CTK3J2131', 'Ethyl Acetate Reagent Grade ACS', 'KS-00000URG', '2-Oxo-2-ethoxyethylidyne radical', 'Ethyl acetate, analytical standard', 'ZINC895412', 'Ethyl acetate, anhydrous, 99.8%', 'NSC70930', 'Tox21_111166', 'Tox21_202512', 'ANW-42221', 'BDBM50128823', 'c0036', 'LS-831', 'NSC-70930', 'STL282717', 'Ethyl acetate, &gt;=99%, FCC, FG', 'Ethyl acetate, HPLC grade, 99.8%', 'AKOS000121947', 'Ethyl Acetate Ethanol Solution (3:1)', 'MCULE-6628539781', 'UN 1173', 'Ethyl acetate, for HPLC, &gt;=99.5%', 'Ethyl acetate, for HPLC, &gt;=99.7%', 'Ethyl acetate, for HPLC, &gt;=99.8%', 'Ethyl acetate, PRA grade, &gt;=99.5%', 'NCGC00260061-01', 'SC-22781', 'Ethyl acetate, biotech. grade, &gt;=99.8%', 'Ethyl acetate, ReagentPlus(R), &gt;=99.5%', 'Ethyl acetate, ReagentPlus(R), &gt;=99.8%', 'Ethyl acetate, tested according to Ph.Eur.', '936-EP0930075A1', '936-EP1441224A2', '936-EP2269610A2', '936-EP2269651A2', '936-EP2269975A2', '936-EP2269977A2', '936-EP2269986A1', '936-EP2269987A1', '936-EP2269988A2', '936-EP2269989A1', '936-EP2269990A1', '936-EP2269992A1', '936-EP2269993A1', '936-EP2269994A1', '936-EP2269997A2', '936-EP2270000A1', '936-EP2270003A1', '936-EP2270004A1', '936-EP2270006A1', '936-EP2270008A1', '936-EP2270009A1', '936-EP2270011A1', '936-EP2270014A1', '936-EP2270015A1', '936-EP2270113A1', '936-EP2270114A1', '936-EP2272509A1', '936-EP2272516A2', '936-EP2272517A1', '936-EP2272537A2', '936-EP2272813A2', '936-EP2272817A1', '936-EP2272822A1', '936-EP2272825A2', '936-EP2272827A1', '936-EP2272829A2', '936-EP2272830A1', '936-EP2272832A1', '936-EP2272834A1', '936-EP2272835A1', '936-EP2272839A1', '936-EP2272840A1', '936-EP2272841A1', '936-EP2272842A1', '936-EP2272843A1', '936-EP2272844A1', '936-EP2272847A1', '936-EP2272848A1', '936-EP2272849A1', '936-EP2272935A1', '936-EP2272972A1', '936-EP2272973A1', '936-EP2274983A1', '936-EP2275102A1', '936-EP2275105A1', '936-EP2275395A2', '936-EP2275398A1', '936-EP2275401A1', '936-EP2275403A1', '936-EP2275404A1', '936-EP2275407A1', '936-EP2275410A1', '936-EP2275411A2', '936-EP2275412A1', '936-EP2275413A1', '936-EP2275414A1', '936-EP2275415A2', '936-EP2275419A2', '936-EP2275420A1', '936-EP2275421A1', '936-EP2275423A1', '936-EP2275469A1', '936-EP2277565A2', '936-EP2277566A2', '936-EP2277567A1', '936-EP2277568A2', '936-EP2277569A2', '936-EP2277570A2', '936-EP2277858A1', '936-EP2277861A1', '936-EP2277865A1', '936-EP2277866A1', '936-EP2277867A2', '936-EP2277872A1', '936-EP2277874A1', '936-EP2277875A2', '936-EP2277876A1', '936-EP2277878A1', '936-EP2277879A1', '936-EP2277880A1', '936-EP2277881A1', '936-EP2277898A2', '936-EP2279741A2', '936-EP2279750A1', '936-EP2279751A2', '936-EP2280000A1', '936-EP2280001A1', '936-EP2280003A2', '936-EP2280005A1', '936-EP2280006A1', '936-EP2280007A1', '936-EP2280008A2', '936-EP2280009A1', '936-EP2280010A2', '936-EP2280012A2', '936-EP2280014A2', '936-EP2281563A1', '936-EP2281810A1', '936-EP2281812A1', '936-EP2281813A1', '936-EP2281815A1', '936-EP2281817A1', '936-EP2281818A1', '936-EP2281819A1', '936-EP2281820A2', '936-EP2281821A1', '936-EP2281823A2', '936-EP2281824A1', '936-EP2281899A2', '936-EP2283811A1', '936-EP2283898A1', '936-EP2284148A1', '936-EP2284149A1', '936-EP2284154A1', '936-EP2284157A1', '936-EP2284158A1', '936-EP2284159A1', '936-EP2284160A1', '936-EP2284161A1', '936-EP2284165A1', '936-EP2284167A2', '936-EP2284168A2', '936-EP2284169A1', '936-EP2284170A1', '936-EP2284171A1', '936-EP2284172A1', '936-EP2284174A1', '936-EP2284178A2', '936-EP2284179A2', '936-EP2286811A1', '936-EP2286915A2', '936-EP2287141A1', '936-EP2287147A2', '936-EP2287152A2', '936-EP2287153A1', '936-EP2287154A1', '936-EP2287155A1', '936-EP2287156A1', '936-EP2287160A1', '936-EP2287161A1', '936-EP2287162A1', '936-EP2287165A2', '936-EP2287166A2', '936-EP2287167A1', '936-EP2287168A2', '936-EP2287940A1', '936-EP2289509A2', '936-EP2289510A1', '936-EP2289868A1', '936-EP2289871A1', '936-EP2289876A1', '936-EP2289877A1', '936-EP2289878A1', '936-EP2289879A1', '936-EP2289883A1', '936-EP2289884A1', '936-EP2289885A1', '936-EP2289887A2', '936-EP2289888A2', '936-EP2289890A1', '936-EP2289892A1', '936-EP2289893A1', '936-EP2289894A2', '936-EP2289965A1', '936-EP2292088A1', '936-EP2292227A2', '936-EP2292228A1', '936-EP2292234A1', '936-EP2292280A1', '936-EP2292576A2', '936-EP2292586A2', '936-EP2292589A1', '936-EP2292592A1', '936-EP2292593A2', '936-EP2292595A1', '936-EP2292596A2', '936-EP2292597A1', '936-EP2292599A1', '936-EP2292606A1', '936-EP2292607A2', '936-EP2292609A1', '936-EP2292610A1', '936-EP2292611A1', '936-EP2292612A2', '936-EP2292613A1', '936-EP2292614A1', '936-EP2292615A1', '936-EP2292617A1', '936-EP2292619A1', '936-EP2292620A2', '936-EP2292621A1', '936-EP2292622A1', '936-EP2292624A1', '936-EP2292628A2', '936-EP2292630A1', '936-EP2295055A2', '936-EP2295401A2', '936-EP2295402A2', '936-EP2295406A1', '936-EP2295407A1', '936-EP2295408A1', '936-EP2295409A1', '936-EP2295411A1', '936-EP2295412A1', '936-EP2295413A1', '936-EP2295414A1', '936-EP2295415A1', '936-EP2295416A2', '936-EP2295417A1', '936-EP2295418A1', '936-EP2295423A1', '936-EP2295424A1', '936-EP2295425A1', '936-EP2295426A1', '936-EP2295427A1', '936-EP2295429A1', '936-EP2295430A2', '936-EP2295431A2', '936-EP2295432A1', '936-EP2295433A2', '936-EP2295434A2', '936-EP2295435A1', '936-EP2295437A1', '936-EP2295438A1', '936-EP2295439A1', '936-EP2295441A2', '936-EP2295503A1', '936-EP2298312A1', '936-EP2298313A1', '936-EP2298729A1', '936-EP2298731A1', '936-EP2298734A2', '936-EP2298735A1', '936-EP2298736A1', '936-EP2298738A1', '936-EP2298742A1', '936-EP2298743A1', '936-EP2298744A2', '936-EP2298745A1', '936-EP2298746A1', '936-EP2298747A1', '936-EP2298748A2', '936-EP2298750A1', '936-EP2298751A2', '936-EP2298752A1', '936-EP2298753A1', '936-EP2298754A1', '936-EP2298755A1', '936-EP2298756A1', '936-EP2298757A2', '936-EP2298758A1', '936-EP2298759A1', '936-EP2298761A1', '936-EP2298763A1', '936-EP2298764A1', '936-EP2298765A1', '936-EP2298766A1', '936-EP2298767A1', '936-EP2298768A1', '936-EP2298770A1', '936-EP2298772A1', '936-EP2298774A1', '936-EP2298775A1', '936-EP2298776A1', '936-EP2298777A2', '936-EP2298778A1', '936-EP2298779A1', '936-EP2298828A1', '936-EP2299326A1', '936-EP2299510A1', '936-EP2301533A1', '936-EP2301536A1', '936-EP2301538A1', '936-EP2301627A1', '936-EP2301909A1', '936-EP2301911A1', '936-EP2301918A1', '936-EP2301921A1', '936-EP2301922A1', '936-EP2301923A1', '936-EP2301924A1', '936-EP2301925A1', '936-EP2301926A1', '936-EP2301928A1', '936-EP2301929A1', '936-EP2301930A1', '936-EP2301931A1', '936-EP2301932A1', '936-EP2301933A1', '936-EP2301934A1', '936-EP2301935A1', '936-EP2301936A1', '936-EP2301937A1', '936-EP2301938A1', '936-EP2301939A1', '936-EP2301940A1', '936-EP2301983A1', '936-EP2302003A1', '936-EP2302382A2', '936-EP2302383A2', '936-EP2305243A1', '936-EP2305248A1', '936-EP2305250A1', '936-EP2305254A1', '936-EP2305625A1', '936-EP2305627A1', '936-EP2305629A1', '936-EP2305633A1', '936-EP2305636A1', '936-EP2305640A2', '936-EP2305641A1', '936-EP2305642A2', '936-EP2305643A1', '936-EP2305644A1', '936-EP2305646A1', '936-EP2305647A1', '936-EP2305648A1', '936-EP2305649A1', '936-EP2305650A1', '936-EP2305651A1', '936-EP2305652A2', '936-EP2305655A2', '936-EP2305657A2', '936-EP2305658A1', '936-EP2305659A1', '936-EP2305660A1', '936-EP2305663A1', '936-EP2305664A1', '936-EP2305666A1', '936-EP2305667A2', '936-EP2305668A1', '936-EP2305669A1', '936-EP2305670A1', '936-EP2305671A1', '936-EP2305672A1', '936-EP2305673A1', '936-EP2305674A1', '936-EP2305675A1', '936-EP2305676A1', '936-EP2305677A1', '936-EP2305680A2', '936-EP2305682A1', '936-EP2305683A1', '936-EP2305684A1', '936-EP2305685A1', '936-EP2305686A1', '936-EP2305687A1', '936-EP2305688A1', '936-EP2305689A1', '936-EP2305695A2', '936-EP2305696A2', '936-EP2305697A2', '936-EP2305698A2', '936-EP2305769A2', '936-EP2305808A1', '936-EP2305825A1', '936-EP2308471A1', '936-EP2308479A2', '936-EP2308510A1', '936-EP2308562A2', '936-EP2308812A2', '936-EP2308828A2', '936-EP2308832A1', '936-EP2308833A2', '936-EP2308838A1', '936-EP2308839A1', '936-EP2308841A2', '936-EP2308842A1', '936-EP2308843A1', '936-EP2308844A2', '936-EP2308845A2', '936-EP2308846A2', '936-EP2308847A1', '936-EP2308848A1', '936-EP2308849A1', '936-EP2308850A1', '936-EP2308851A1', '936-EP2308853A1', '936-EP2308854A1', '936-EP2308855A1', '936-EP2308857A1', '936-EP2308858A1', '936-EP2308861A1', '936-EP2308862A1', '936-EP2308864A1', '936-EP2308865A1', '936-EP2308867A2', '936-EP2308868A1', '936-EP2308869A1', '936-EP2308870A2', '936-EP2308871A1', '936-EP2308872A1', '936-EP2308873A1', '936-EP2308874A1', '936-EP2308875A1', '936-EP2308876A1', '936-EP2308877A1', '936-EP2308879A1', '936-EP2308880A1', '936-EP2308882A1', '936-EP2308926A1', '936-EP2308960A1', '936-EP2309564A1', '936-EP2309584A1', '936-EP2311453A1', '936-EP2311455A1', '936-EP2311464A1', '936-EP2311494A1', '936-EP2311796A1', '936-EP2311797A1', '936-EP2311798A1', '936-EP2311799A1', '936-EP2311801A1', '936-EP2311802A1', '936-EP2311803A1', '936-EP2311805A1', '936-EP2311806A2', '936-EP2311807A1', '936-EP2311808A1', '936-EP2311809A1', '936-EP2311810A1', '936-EP2311811A1', '936-EP2311812A1', '936-EP2311813A1', '936-EP2311814A1', '936-EP2311815A1', '936-EP2311816A1', '936-EP2311817A1', '936-EP2311818A1', '936-EP2311820A1', '936-EP2311821A1', '936-EP2311822A1', '936-EP2311823A1', '936-EP2311824A1', '936-EP2311825A1', '936-EP2311827A1', '936-EP2311828A1', '936-EP2311829A1', '936-EP2311830A1', '936-EP2311831A1', '936-EP2311832A1', '936-EP2311833A1', '936-EP2311834A1', '936-EP2311836A1', '936-EP2311837A1', '936-EP2311839A1', '936-EP2311840A1', '936-EP2311841A1', '936-EP2311842A2', '936-EP2311850A1', '936-EP2314295A1', '936-EP2314558A1', '936-EP2314571A2', '936-EP2314574A1', '936-EP2314575A1', '936-EP2314576A1', '936-EP2314577A1', '936-EP2314579A1', '936-EP2314581A1', '936-EP2314582A1', '936-EP2314583A1', '936-EP2314584A1', '936-EP2314585A1', '936-EP2314586A1', '936-EP2314587A1', '936-EP2314588A1', '936-EP2314589A1', '936-EP2314590A1', '936-EP2314593A1', '936-EP2315303A1', '936-EP2315502A1', '936-EP2316452A1', '936-EP2316457A1', '936-EP2316458A1', '936-EP2316470A2', '936-EP2316824A1', '936-EP2316825A1', '936-EP2316826A1', '936-EP2316827A1', '936-EP2316828A1', '936-EP2316829A1', '936-EP2316831A1', '936-EP2316832A1', '936-EP2316833A1', '936-EP2316834A1', '936-EP2316835A1', '936-EP2316836A1', '936-EP2316837A1', '936-EP2316905A1', '936-EP2316906A2', '936-EP2316937A1', '936-EP2316974A1', '936-EP2371808A1', '936-EP2371810A1', '936-EP2371811A2', '936-EP2371813A1', '936-EP2371814A1', '936-EP2371831A1', '936-EP2374454A1', '936-EP2374538A1', '936-EP2374788A1', '936-EP2374790A1', '936-EP2377845A1', '936-EP2377847A1', '936-EP2380568A1', '936-EP2380661A2', '936-EP2380867A1', '936-EP2380873A1', '936-EP2380874A2', '949-EP2269996A1', '949-EP2270003A1', '949-EP2270008A1', '949-EP2270009A1', '949-EP2272830A1', '949-EP2275413A1', '949-EP2275421A1', '949-EP2281820A2', '949-EP2281822A1', '949-EP2284174A1', '949-EP2287156A1', '949-EP2287157A1', '949-EP2287159A1', '949-EP2292617A1', '949-EP2295428A2', '949-EP2295433A2', '949-EP2295441A2', '949-EP2298735A1', '949-EP2298754A1', '949-EP2298762A2', '949-EP2298774A1', '949-EP2298783A1', '949-EP2301921A1', '949-EP2301926A1', '949-EP2301932A1', '949-EP2301940A1', '949-EP2305646A1', '949-EP2305695A2', '949-EP2305696A2', '949-EP2305697A2', '949-EP2305698A2', '949-EP2308845A2', '949-EP2308846A2', '949-EP2308851A1', '949-EP2308861A1', '949-EP2308867A2', '949-EP2308870A2', '949-EP2308876A1', '949-EP2311494A1', '949-EP2311840A1', '949-EP2311841A1', '949-EP2314576A1', '949-EP2316824A1', '949-EP2316832A1', '949-EP2316833A1', '949-EP2380871A1', 'A0030', 'Ethyl acetate [UN1173] [Flammable liquid]', 'Ethyl acetate, natural, &gt;=99%, FCC, FG', 'Ethyl acetate, SAJ first grade, &gt;=99.0%', 'FT-0621744', 'FT-0693343', 'NS00004207', 'Q0040', 'Ethyl acetate [UN1173]  [Flammable liquid]', 'Ethyl acetate, for HPLC, &gt;=99.8% (GC)', 'Ethyl acetate, JIS special grade, &gt;=99.5%', 'J3.639.860D', '6822-EP1441224A2', 'C00849', 'D02319', 'Ethyl acetate, capillary GC grade, &gt;=99.5%', '37556-EP2305808A1', '37556-EP2311802A1', '37556-EP2311803A1', 'A807811', 'Q407153', 'Ethyl acetate, Laboratory Reagent, &gt;=99.0% (GC)', 'J-007556', 'J-521240', 'ethyl acetate;ETHYL ACETATE;Acetic acid ethyl ester', 'F0001-0489', 'UNII-LM8ZO3J16V component XEKOWRVHYACXOJ-UHFFFAOYSA-N', 'Ethyl acetate, 99.9%, for electronic use (MOS), residue free', 'Ethyl acetate, puriss. p.a., ACS reagent, &gt;=99.5% (GC)', 'Ethyl acetate, for residue analysis, suitable for 5000 per JIS', 'Ethyl acetate, United States Pharmacopeia (USP) Reference Standard', 'Ethyl acetate, HPLC Plus, for HPLC, GC, and residue analysis, 99.9%', 'Ethyl acetate, suitable for 1000 per JIS, &gt;=99.5%, for residue analysis', 'Ethyl acetate, suitable for 300 per JIS, &gt;=99.5%, for residue analysis', 'Ethyl Acetate, Pharmaceutical Secondary Standard; Certified Reference Material', 'Ethyl acetate, puriss. p.a., ACS reagent, reag. ISO, reag. Ph. Eur., &gt;=99.5% (GC)', 'Ethyl acetate, puriss. p.a., free of higher boiling impurities, &gt;=99.9% (GC)', 'Ethyl acetate, puriss., meets analytical specification of Ph. Eur., BP, NF, &gt;=99.5% (GC)']</t>
  </si>
  <si>
    <t>Compound(8857)</t>
  </si>
  <si>
    <t>3-(diethoxyphosphinothioylsulfanylmethyl)-1,2,3-benzotriazin-4-one</t>
  </si>
  <si>
    <t>['Azinphos-ethyl', 'Ethyl azinphos', 'Azinphos ethyl', '2642-71-9', 'Crysthion', 'Azinos', 'Bionex', 'Gutex', 'Athyl-gusathion', 'Azinophos-ethyl', 'Cotnion-ethyl', 'Ethyl Gusathion', 'Gusathion A', 'Gusathion H', 'Azinugec E', 'Gusation A', 'Sepizin L', 'Gusathion K forte', 'Gusathion H and K', 'Triazotion', 'Azinphos-aethyl', 'Azinphos-etile', 'Azinfos-ethyl', 'ETHYL GUTHION', 'Guthion (ethyl)', 'Gusathion A-M', 'Bayer 16259', 'Triazotion [Russian]', 'Caswell No. 344', 'Azinfos-ethyl [Dutch]', 'Ethyl homolog of guthion', 'Azinphos-aethyl [German]', 'Azinphos-etile [Italian]', 'UNII-EA96NYT5J5', 'Azinphos-ethyl [BSI:ISO]', 'BAY 16255', 'BAY 16259', 'ENT 22,014', 'HSDB 411', '3,4-Dihydro-4-oxo-3-benzotriazinylmethyl O,O-diethyl phosphorodithioate', 'EINECS 220-147-6', 'R 1513', 'EPA Pesticide Chemical Code 058002', 'Benzotriazine derivative of an ethyl dithiophosphate', 'BRN 0297468', 'EA96NYT5J5', 'AI3-22014', 'Phosphorodithioic acid, O,O-diethyl S-((4-oxo-1,2,3-benzotriazin-3(4H)-yl)methyl) ester', 'CHEBI:38587', 'O,O-Diethyl S-(4-oxobenzotriazino-3-methyl)phosphorodithioate', '3-(diethoxyphosphinothioylsulfanylmethyl)-1,2,3-benzotriazin-4-one', 'O,O-Diethyl-S-(4-oxo-3H-1,2,3-benzotriazine-3-yl)-methyl-dithiophosphate', 'O,O-Diethyl phosphorodithioate S-ester with 3-(mercaptomethyl)-1,2,3-benzotriazin-4(3H)-one', 'Phosphorodithioic acid, O,O-diethyl S-[(4-oxo-1,2,3-benzotriazin-3(4H)-yl)methyl] ester', 'S-(3,4-Dihydro-4-oxo-1,2,3-benzotriazin-3-ylmethyl) O,O-diethyl phosphorodithioate', 'Phosphorodithioic acid, O,O-diethyl ester, S-ester with 3-(mercaptomethyl)-1,2,3-benzotriazin-4(3H)-one', 'O,O-Diaethyl-S-(4-oxobenzotriazin-3-methyl)-dithiophosphat', 'O,O-Diethyl S-(4-oxobenzyltriazine-3-methyl) dithiophosphate', '3-Diethoxyphosphinothioylthiomethyl-1,2,3-benzotriazin-4(3H)-one', '3-Diethyloxyphosphinothioylthiomethyl-1,2,3-benzotriazin-4(3H)-one', 'O,O-Diaethyl-S-(4-oxobenzotriazin-3-methyl)-dithiophosphat [German]', 'O,O-Dietil-S-((4-oxo-3H-1,2,3-benzotriazin-3-il)-metil)-ditiofosfato', 'O,O-Diaethyl-S-((4-oxo-3H-1,2,3-benzotriazin-3-yl)-methyl)-dithiophosphat', 'O,O-Diethyl S-((4-oxo-1,2,3-benzotriazin-3(4H)-yl)methyl) phosphorodithioate', 'O,O-diethyl S-[(4-oxo-1,2,3-benzotriazin-3(4H)-yl)methyl] phosphorodithioate', 'O,O-Diethyl-S-((4-oxo-3H-1,2,3-benzotriazin-3-yl)-methyl)-dithiofosfaat', 'O,O-Diaethyl-S-((4-oxo-3H-1,2,3-benzotriazin-3-yl)-methyl)-dithiophosphat [German]', 'O,O-Diethyl-S-((4-oxo-3H-1,2,3-benzotriazin-3-yl)-methyl)-dithio fosfaat [Dutch]', 'O,O-Diethyl-S-((4-oxo-3H-1,2,3-benzotriazin-3-yl)-methyl)-dithiofosfaat [Dutch]', 'O,O-Dietil-S-((4-oxo-3H-1,2,3-benzotriazin-3-il)-metil)-ditiofosfato [Italian]', 'S-3,4-Dihydro-4-oxobenzo(d)(1.2.3)triazin-3-ylmethyl O,O-diethyl phosphorodithioate', 'Azinphosethyl', 'Azinphos-ethyle', 'Gusathion ethyl', 'Guthion ethyl', 'Cotnion-ethyl-methyl', 'DSSTox_CID_17498', 'DSSTox_RID_79324', 'DSSTox_GSID_37498', 'SCHEMBL62908', 'Azinphos-ethyl (Guthion ethyl)', 'CHEMBL1886341', 'DTXSID5037498', 'CTK8F7890', 'Tox21_301421', 'AKOS015888322', 'O,O-Diethyl-S-((4-oxo-3H-1,2,3-benzotriazin-3-yl)-methyl)-dithio fosfaat', 'ACM2642719', 'O,O-Diethyl S-((4-oxo-1,2,3-benzotriazin-3(4H)-yl)methyl) phosphorodithioate (9CI)', 'NCGC00163879-01', 'NCGC00255566-01', 'Azinphos-ethyl 10 microg/mL in Isooctane', 'Azinphos-ethyl 1000 microg/mL in Acetone', 'CAS-2642-71-9', 'LS-108120', 'Azinphos-ethyl 10 microg/mL in Acetonitrile', 'Azinphos-ethyl 100 microg/mL in Cyclohexane', 'Guthion Ethyl 100 microg/mL in Acetonitrile', 'NS00009161', 'Azinphos-ethyl 100 microg/mL in Acetonitrile', 'C18644', 'Azinphos-ethyl, PESTANAL(R), analytical standard', 'Q410935', 'J-016421', 'Azinphos-ethyl, certified reference material, TraceCERT(R)', 'O,O-Diethyl S(4-oxobenzyltriazine-3-methyl) dithiophosphate', 'O,O-Diethyl S-[(4-oxo-1,2,3-benzotriazin-3(4H)-yl) methyl] phosphorodithioate', 'O,O-Diethyl S-[(4-oxo-1,2,3-benzotriazin-3(4H)-yl)methyl] dithiophosphate #', 'o,o-diethyl s-[(4-oxo-1,2,3-benzotriazin-3(4h)-yl)methyl]phosphorodithioate', 'S-(3,4-Dihydro-4-oxobenzo [d]-[1,2,3]-triazin-3-ylmethyl) OO-diethyl phosphorodithioate']</t>
  </si>
  <si>
    <t>Compound(17531)</t>
  </si>
  <si>
    <t>C12H16N3O3PS2</t>
  </si>
  <si>
    <t>ethyl butyrate</t>
  </si>
  <si>
    <t>ethyl butanoate</t>
  </si>
  <si>
    <t>['ETHYL BUTYRATE', 'Ethyl butanoate', '105-54-4', 'Butyric acid ethyl ester', 'Butanoic acid, ethyl ester', 'Ethyl n-butyrate', 'Butyric ester', 'Butyric ether', 'Ethyl n-butanoate', 'Butanoic acid ethyl ester', 'Butyric acid, ethyl ester', 'FEMA Number 2427', 'Ethyl butyrate (natural)', 'UNII-UFD2LZ005D', 'n-Butyric acid ethyl ester', 'Ethyl 1-butyrate', 'NSC 8857', 'Ethyl ester of butanoic acid', 'FEMA No. 2427', 'CCRIS 6554', 'HSDB 406', 'Ethyl butyrate, 99%', 'EINECS 203-306-4', 'MFCD00009394', 'UN1180', 'BRN 0506331', 'UFD2LZ005D', 'AI3-18427', 'CHEBI:88764', 'Ethyl Butanoate.', 'Butyric acid ethyl', 'ETHYLBUTYRATE', 'Nat. Ethyl Butyrate', 'UN 1180', 'Ethyl Butyrate Natural', 'Butyric acid-ethyl ester', 'ACMC-2098gq', 'SCHEMBL6115', 'DSSTox_CID_20111', 'DSSTox_RID_79440', 'DSSTox_GSID_40111', '4-02-00-00787 (Beilstein Handbook Reference)', 'KSC489Q2R', 'WLN: 3VO2', 'CHEMBL44800', 'DTXSID6040111', 'CTK3I9828', 'FEMA 2427', 'KS-00000XEG', 'NSC8857', 'ZINC404390', 'Ethyl butyrate, analytical standard', 'NSC-8857', 'Tox21_300065', '7520AF', 'ANW-15240', 'LMFA07010874', 'Ethyl butyrate, &gt;=98%, FCC, FG', 'AKOS008948342', 'LS-2361', 'MCULE-9977024136', 'NE34239', 'NCGC00247893-01', 'NCGC00253968-01', 'CAS-105-54-4', 'SC-26823', 'B0759', 'Ethyl butyrate, natural, &gt;=98%, FCC, FG', 'FT-0623347', 'NS00012380', 'Ethyl butyrate [UN1180] [Flammable liquid]', 'Ethyl butyrate;ETHYL BUTYRATE;ethyl butyrate', 'Ethyl butyrate [UN1180]  [Flammable liquid]', 'Q412270', 'J-001444', 'F0001-0107']</t>
  </si>
  <si>
    <t>Compound(7762)</t>
  </si>
  <si>
    <t>ethylenediamine</t>
  </si>
  <si>
    <t>ethane-1,2-diamine</t>
  </si>
  <si>
    <t>['ethylenediamine', 'Ethane-1,2-diamine', '1,2-Ethanediamine', '107-15-3', '1,2-Diaminoethane', 'Ethylene diamine', 'Ethylendiamine', 'edamine', 'Dimethylenediamine', '1,2-Ethylenediamine', 'Aethaldiamin', 'Aethylenediamin', 'Ethyleendiamine', 'Ethylene-diamine', 'beta-Aminoethylamine', '1,2-Diaminoaethan', 'Algicode 106L', 'Amerstat 274', '1,2-Diamino-ethaan', '1,2-Diamino-ethano', 'Aethaldiamin [German]', 'Caswell No. 437', 'Ethylenediamine [JAN]', 'Ethyleendiamine [Dutch]', '1,2-Ethanediamine, homopolymer', 'Aethylenediamin [German]', 'Ethylene-diamine [French]', 'NCI-C60402', 'UNII-60V9STC53F', '1,2-Diaminoaethan [German]', '1,2-Diamino-ethaan [Dutch]', 'CCRIS 5224', 'ETHYLENEDIAMINE ANHYDROUS', 'HSDB 535', '1,2-Diamino-ethano [Italian]', 'CHEBI:30347', 'Aminophylline Injection', 'Ethylenediamine, piperazine polymer', 'EINECS 203-468-6', 'UN1604', 'CHEMBL816', 'H2NCH2CH2NH2', 'EPA Pesticide Chemical Code 004205', 'BRN 0605263', 'ETHANE,1,2-DIAMINO', 'Ethylendiamin', 'AI3-24231', '60V9STC53F', '2-Aminoethylammonium chloride', 'MFCD00008204', '1, 2-Diaminoethane', '27308-78-7', 'Ethylenediamine [UN1604] [Corrosive]', 'Ethylenediamine, 99%', 'NCGC00091527-01', 'Ethylenediamine, 99+%', 'DSSTox_CID_1881', 'DSSTox_RID_76382', '1,2-diaminoethane phase II', 'DSSTox_GSID_21881', 'EN', '1,2-diaminoethane phase I beta', '1,2-diaminoethane phase I alpha', 'Polyamines', 'Ethylenediamine, 99+%, AcroSeal(R)', 'CAS-107-15-3', 'Ethylenediamine, ReagentPlus(R), &gt;=99%', '1,2-Ethanediamine, monohydrochloride', '1,2-Ethanediamine, hydrochloride (1:1)', 'Ethylenediamine [USP:JAN]', 'ethylenediarnine', '2-aminoethylamine', 'ethylene di amine', '1,4-diazabutane', '1,2-diaminoethan', 'ethylene - diamine', 'EDN', '1,2-ethylendiamine', 'Edamine [INN]', '1,2-diamino-ethane', 'ethane 1,2-diamine', "N,N'-ethylenediamine", 'Ethylenediamine, 8CI', '1,2-ethylene diamine', '1,2-ethylene-diamine', '.beta.-Aminoethylamine', 'ethane-1, 2-diamine', 'Ethylenediamine solution', "N,N'-ethylene diamine", 'ACMC-1BOEG', 'Ethylenediamine, BioXtra', 'Epitope ID:117724', 'EC 203-468-6', '4-04-00-01166 (Beilstein Handbook Reference)', 'KSC178S6D', 'Ethylenediamine (USP/JP15)', 'Ethylenediamine (USP/JP17)', 'BDBM7972', 'NH2(CH2)2NH2', 'DTXSID5021881', 'CTK0H8961', 'KS-00000UDI', '624-59-9 (di-hydrobromide)', '333-18-6 (di-hydrochloride)', '5700-49-2 (di-hydriodide)', 'Ethylenediamine, analytical standard', 'STR00309', 'Tox21_111145', 'Tox21_201202', 'LS-431', 'STL264241', 'ZINC37253587', 'AKOS000118850', 'DB14189', 'MCULE-4740333723', 'UN 1604', 'Ethylenediamine, for synthesis, 99.0%', 'NCGC00091527-02', 'NCGC00258754-01', 'BP-20367', 'Ethylenediamine [UN1604]  [Corrosive]', 'SC-26825', 'E0077', 'E0081', 'NS00003922', 'Ethylenediamine solution, technical, 75-80%', '6652-EP2269610A2', '6652-EP2269977A2', '6652-EP2269992A1', '6652-EP2270002A1', '6652-EP2270010A1', '6652-EP2272516A2', '6652-EP2272517A1', '6652-EP2272822A1', '6652-EP2272849A1', '6652-EP2275105A1', '6652-EP2275412A1', '6652-EP2275469A1', '6652-EP2277622A1', '6652-EP2277848A1', '6652-EP2277867A2', '6652-EP2280003A2', '6652-EP2280010A2', '6652-EP2281812A1', '6652-EP2281824A1', '6652-EP2284159A1', '6652-EP2284160A1', '6652-EP2284172A1', '6652-EP2289510A1', '6652-EP2289868A1', '6652-EP2289891A2', '6652-EP2289893A1', '6652-EP2292593A2', '6652-EP2292597A1', '6652-EP2292607A2', '6652-EP2295055A2', '6652-EP2295399A2', '6652-EP2295407A1', '6652-EP2295409A1', '6652-EP2295429A1', '6652-EP2295433A2', '6652-EP2295437A1', '6652-EP2295438A1', '6652-EP2298734A2', '6652-EP2298736A1', '6652-EP2298742A1', '6652-EP2298743A1', '6652-EP2298744A2', '6652-EP2298747A1', '6652-EP2298768A1', '6652-EP2298770A1', '6652-EP2298772A1', '6652-EP2298775A1', '6652-EP2298778A1', '6652-EP2301937A1', '6652-EP2305250A1', '6652-EP2305643A1', '6652-EP2305651A1', '6652-EP2305673A1', '6652-EP2305677A1', '6652-EP2305679A1', '6652-EP2305682A1', '6652-EP2308828A2', '6652-EP2308838A1', '6652-EP2308840A1', '6652-EP2308841A2', '6652-EP2308848A1', '6652-EP2308854A1', '6652-EP2308873A1', '6652-EP2308874A1', '6652-EP2308875A1', '6652-EP2308877A1', '6652-EP2308879A1', '6652-EP2308880A1', '6652-EP2311453A1', '6652-EP2311804A2', '6652-EP2311829A1', '6652-EP2311831A1', '6652-EP2311834A1', '6652-EP2311842A2', '6652-EP2314295A1', '6652-EP2314584A1', '6652-EP2314585A1', '6652-EP2314588A1', '6652-EP2314590A1', '6652-EP2314593A1', '6652-EP2316452A1', '6652-EP2316457A1', '6652-EP2316458A1', '6652-EP2316470A2', '6652-EP2316825A1', '6652-EP2316826A1', '6652-EP2316827A1', '6652-EP2316828A1', '6652-EP2316832A1', '6652-EP2316833A1', '6652-EP2316836A1', '6652-EP2372017A1', '6652-EP2374895A1', 'D01114', 'Ethylenediamine, SAJ special grade, &gt;=99.0%', '25469-EP2289881A1', '25469-EP2295436A1', '25469-EP2298762A2', '25469-EP2298773A1', '25469-EP2305808A1', '25469-EP2308852A1', '25469-EP2314580A1', 'Ethylenediamine, meets USP testing specifications', '167669-EP2272813A2', '167669-EP2275395A2', '167669-EP2281563A1', 'Ethylenediamine, Vetec(TM) reagent grade, &gt;=98%', 'Q411362', 'J-001723', 'Ethylenediamine, purified by redistillation, &gt;=99.5%', 'F2191-0279', 'Ethylenediamine, puriss. p.a., absolute, &gt;=99.5% (GC)', 'QuadraPure(R) AEA, 100-400 mum particle size, extent of labeling: 1.3 mmol/g loading, 1 % cross-linked with divinylbenzene']</t>
  </si>
  <si>
    <t>Compound(3301)</t>
  </si>
  <si>
    <t>ethylene oxide</t>
  </si>
  <si>
    <t>oxirane</t>
  </si>
  <si>
    <t>['Oxirane', 'ETHYLENE OXIDE', 'Epoxyethane', '75-21-8', '1,2-Epoxyethane', 'Oxacyclopropane', 'Ethene oxide', 'Dimethylene oxide', 'Amprolene', 'Anprolene', 'Anproline', 'Dihydrooxirene', 'Oxidoethane', 'Oxyfume', 'Aethylenoxid', '1,2-Epoxyaethan', 'Merpol', 'Oxiran', 'Oxyfume 12', 'T-Gas', 'Oxirene, Dihydro-', 'Ethyleenoxide', 'Oxiraan', 'Etylenu tlenek', 'Qazi-ketcham', "oxyde d'ethylene", 'FEMA No. 2433', 'Oxiraan [Dutch]', 'Rcra waste number U115', 'Aethylenoxid [German]', 'Caswell No. 443', 'Ethyleenoxide [Dutch]', 'ethyleneoxide', 'ethylenoxide', 'ethylene-oxide', 'Ethox', 'ETO', 'Etylenu tlenek [Polish]', 'UNII-JJH7GNN18P', 'NCI-C50088', '1,2-Epoxyaethan [German]', 'ENT-26263', 'CCRIS 297', 'UN 1040', 'HSDB 170', "Ethylene (oxyde d') [French]", 'Etilene (ossido di) [Italian]', 'alpha,beta-Oxidoethane', 'CHEBI:27561', 'EINECS 200-849-9', 'UN1040', 'JJH7GNN18P', 'RCRA waste no. U115', 'EPA Pesticide Chemical Code 042301', 'AI3-26263', 'E.O.', 'epoxide or oxirane', 'C2H4O', 'Ethylene oxide (30% or less), propylene oxide mixture', 'Etilene (ossido di)', "Ethylene (oxyde d')", 'monooxirane', 'epoxy ethane', 'Epitope ID:116215', 'EC 200-849-9', '.alpha.,.beta.-Oxidoethane', 'Ethylene oxide, &gt;=99.5%', 'Ethylene oxide, &gt;=99.9%', 'CHEMBL1743219', 'DTXSID0020600', 'CTK2H7537', 'Ethylene oxide, purum, &gt;=99.8%', 'c0527', 'Sterilizing gas ethylene oxide 100%', 'AKOS009031564', 'LS-1658', 'SC-46824', 'LS-101032', '390-EP2272834A1', '390-EP2275411A2', '390-EP2275417A2', '390-EP2277622A1', '390-EP2277865A1', '390-EP2281816A1', '390-EP2284162A2', '390-EP2284163A2', '390-EP2289880A1', '390-EP2289890A1', '390-EP2292228A1', '390-EP2292597A1', '390-EP2295399A2', '390-EP2295409A1', '390-EP2295426A1', '390-EP2295427A1', '390-EP2295438A1', '390-EP2298757A2', '390-EP2298761A1', '390-EP2301534A1', '390-EP2301536A1', '390-EP2301538A1', '390-EP2301924A1', '390-EP2301929A1', '390-EP2301935A1', '390-EP2305648A1', '390-EP2305655A2', '390-EP2305662A1', '390-EP2305668A1', '390-EP2305674A1', '390-EP2308857A1', '390-EP2308865A1', '390-EP2308873A1', '390-EP2308881A1', '390-EP2311451A1', '390-EP2311455A1', '390-EP2311806A2', '390-EP2311815A1', '390-EP2311840A1', '390-EP2314590A1', '390-EP2316450A1', '390-EP2316452A1', '390-EP2374792A1', '390-EP2377848A1', 'E0647', 'E0689', 'E0690', 'E0692', 'E0693', 'Ethylene Oxide 1000 microg/mL in Triacetin', 'NS00005032', 'Ethylene oxide solution, 2.5-3.3 M in THF', 'KS-00001184', 'C06548', 'D03474', '28692-EP2270010A1', '28692-EP2281818A1', '28692-EP2289887A2', '28692-EP2289888A2', '28692-EP2289893A1', '28692-EP2292593A2', '28692-EP2298753A1', '28692-EP2301941A1', '28692-EP2308510A1', '28692-EP2308562A2', '28692-EP2314579A1', '28692-EP2371811A2', '28692-EP2371831A1', '52922-EP2270017A1', '52922-EP2308881A1', '55430-EP2270113A1', '55430-EP2272935A1', '55430-EP2295407A1', '55430-EP2298736A1', '55430-EP2308857A1', '55430-EP2308865A1', '55430-EP2372017A1', '55430-EP2375479A1', '142379-EP2272839A1', '142379-EP2274983A1', '142379-EP2289868A1', '142379-EP2292593A2', '178795-EP2270017A1', 'Q407473', 'Ethylene oxide solution, certified reference material, 50 mg/mL in methanol', 'Ethylene oxide solution, 50 mg/mL in methylene chloride, analytical standard', 'Ethylene oxide solution, certified reference material, 500 mug/mL in DMSO, ampule of 1 mL', '11104-97-5', 'E.O', 'Ethylene oxide solution, certified reference material, 2000 mug/mL in dichloromethane, ampule of 1 mL', 'Ethylene oxide, or ethlene oxide with nitrogen up to a total pressure of 1Mpa (10 bar) at 50 degrees C', 'Ethylene oxide, or ethlene oxide with nitrogen up to a total pressure of 1Mpa (10 bar) at 50 degrees C [UN1040]  [Poison gas]', 'Ethylene oxide, or ethlene oxide with nitrogen up to a total pressure of 1Mpa (10 bar) at 50 degrees C [UN1040] [Poison gas]']</t>
  </si>
  <si>
    <t>Compound(6354)</t>
  </si>
  <si>
    <t>ethylenedithiocarbamate</t>
  </si>
  <si>
    <t>2-(dithiocarboxyamino)ethylcarbamodithioic acid</t>
  </si>
  <si>
    <t>['ETHYLENEBISDITHIOCARBAMIC ACID', '111-54-6', 'Ethylenebis(dithiocarbamic acid)', 'UNII-IO46B19O1Q', 'Parzate', 'Carbamodithioic acid, 1,2-ethanediylbis-', '2-(dithiocarboxyamino)ethylcarbamodithioic acid', 'Dithane D-14', 'IO46B19O1Q', 'CHEBI:83986', "N,N'-(ethylene)bisdithiocarbamic acid", 'MANCOZEB', '1,2-Ethanedicarbamic acid, tetrathio-', 'Ethylenebis[dithiocarbamic acid]', 'NSC49511', 'NSC147803', 'HSDB 6060', 'Carbamic acid, ethylenebis(dithio-', '1,2-Ethanediylbiscarbamodithioic acid', '12427-38-2', 'Ethylenebisdithiocarbamic acid, salts &amp; esters', 'RCRA waste no. U114', 'SCHEMBL83488', 'CHEMBL1615644', 'DTXSID5043972', 'CTK4A7416', 'ZINC3875945', '1,2-Ethanediyldicarbamodithioic acid', 'ethane-1,2-diyldicarbamodithioic acid', 'LS-5931', "N,N'-ethanediylbis(dithiocarbamic acid)", 'NCI60_041890', 'DIPOTASSIUM ETHYLENEBISDITHIOCARBAMATE', 'FT-0654604', "Carbamodithioic acid,N,N'-1,2-ethanediylbis-", 'Q27157364', 'Carbamodithioic acid, 1,2-ethanediylbis, salts and esters']</t>
  </si>
  <si>
    <t>Compound(3000605)</t>
  </si>
  <si>
    <t>C4H8N2S4</t>
  </si>
  <si>
    <t>ethylene glycol dinitrate (EGDN)</t>
  </si>
  <si>
    <t>2-nitrooxyethyl nitrate</t>
  </si>
  <si>
    <t>['Ethylene dinitrate', 'ETHYLENE GLYCOL DINITRATE', 'Dinitroglycol', 'Ethylene nitrate', 'Glycol dinitrate', '1,2-Ethanediol, dinitrate', 'Nitroglycol', 'EGDN', 'Ethanediol dinitrate', 'Ethylene glycol, dinitrate', 'Dinitroglicol', 'Glycoldinitraat', 'Glykoldinitrat', 'Nitroglykol', '628-96-6', 'Ethylenglykoldinitrat', 'Nitroglykol [Czech]', 'Dinitroglicol [Italian]', 'Glycoldinitraat [Dutch]', 'Glykoldinitrat [German]', 'UNII-9CZ6PE9E3J', 'Ethylenglykoldinitrat [Czech]', 'HSDB 537', 'Glycol (dinitrate de) [French]', '1,2-Ethanediol, 1,2-dinitrate', 'Dinitrato de etilenglicol [Spanish]', 'EINECS 211-063-0', "Dinitrate d'ethylene glycol [French]", 'BRN 1709055', '9CZ6PE9E3J', 'Ethylene glycol dinitrate [Forbidden]', '2-nitrooxyethyl nitrate', '1,2-Ethanediol dinitrate', 'Glycol (dinitrate de)', 'Dinitrato de etilenglicol', "Dinitrate d'ethylene glycol", 'ethane-1,2-diyl dinitrate', '2-(nitrooxy)ethyl nitrate', 'EC 211-063-0', 'nitric acid ethanediyl ester', '4-01-00-02413 (Beilstein Handbook Reference)', 'Ex123', 'SCHEMBL417312', 'DTXSID6027264', 'ZINC5178846', 'AKOS006277312', 'LS-68538', 'NS00002782', 'Q572774', '1,2-Ethanediol, dinitrate;Ethylene glycol dinitrate', 'Dinitroethylene glycol solution, 100 mug/mL in acetonitrile, ampule of 1 mL, certified reference material', 'Dinitroethylene glycol solution, 1000 mug/mL in acetonitrile, ampule of 1.2 mL, certified reference material']</t>
  </si>
  <si>
    <t>Compound(40818)</t>
  </si>
  <si>
    <t>C2H4N2O6</t>
  </si>
  <si>
    <t>ethylenimine</t>
  </si>
  <si>
    <t>aziridine</t>
  </si>
  <si>
    <t>['Aziridine', 'ETHYLENEIMINE', 'Ethylenimine', '151-56-4', 'Polyethyleneimine', 'Azacyclopropane', 'Dimethyleneimine', '9002-98-6', 'Ethylene imine', 'Aziridine, homopolymer', 'Dihydroazirene', 'Everamine', 'Aziran', 'Polymin', 'Polymine P', 'Polymin P', 'Polymin FL', 'Montrek 6', 'Ethylenimine resins', 'Everamine 50T', 'Poly(ethylenimine)', 'Dihydro-1H-azirine', 'Everamine 210T', 'Montrek PEI 6', 'Aziridine homopolymer', 'Aethylenimin', 'Dihydroazirine', 'Ethyleenimine', 'Etilenimina', 'Azirane', 'Aziridin', 'Epamine 150T', 'Epomine 150T', 'Montrek PEI 18', 'Tydex 12', 'Epomine 1000', 'Montrek 1000', '1H-Azirine, dihydro-', 'Epomine P 1000', 'Dow PEI-6', 'CF 218 (polymer)', 'Ethylenimine, homopolymer', 'Dow PEI-600e', 'Dow PEI-18', 'P 1000 (polyamine)', 'Aziridin [German]', 'RCRA waste number P054', 'PEI 1', 'PEI 2', 'PEI 6', 'PEI-7', 'Polyethylenimine, M.W.600', 'POLYETHYLENIMINE', 'Aethylenimin [German]', 'Ethyleenimine [Dutch]', 'Ethylenimine, polymers', 'Etilenimina [Italian]', 'Polyaziridine', 'Polyethylenimine, M.W.1800', 'PEI 12', 'PEI 18', 'Polyethyleneimine (VAN)', 'PEI 100', 'PEI 400', 'PEI-600', 'Ethyleneimine, homopolymer', 'UNII-54P5FEX9FH', 'PEI 1000', 'PEI 1120', 'Polyethylenimine 7', 'ENT-50324', 'TL 337', 'Dimethylenimine', 'CCRIS 296', 'Polyethylenimine 15', 'Polyethylenimine 30', 'Polyethylenimine 45', 'CCRIS 8979', 'HSDB 540', 'PEI-15', 'PEI-30', 'PEI-45', 'Polyethylenimine 275', 'Polyethylenimine 700', 'PEI-275', 'PEI-700', 'Polyethylenimine 1000', 'Polyethylenimine 1400', 'Polyethylenimine 1500', 'Polyethylenimine 1750', 'Polyethylenimine 2500', 'PEI-1000', 'PEI-1400', 'PEI-1500', 'PEI-1750', 'PEI-2500', 'Polyethylenimine 14000', 'EINECS 205-793-9', 'P 1000 (VAN)', 'UN1185', 'RCRA waste no. P054', 'NSC 124034', 'NSC 124035', 'NSC 124036', 'NSC 134422', 'NSC 196335', 'BRN 0102380', '54P5FEX9FH', 'Polyethylenimine (10,000)', 'Polyethylenimine (20,000)', 'Polyethylenimine (35,000)', 'Polyethylenimine (40,000)', 'AI3-50324', 'DTXSID8020599', 'Ethoxylated polyethylenimine, M.W. 60,000', 'CHEBI:30969', 'ethyleneimine;aziridine;ethylenimine', 'Ethylenimine polymer', 'EI', 'PEI 600', 'MFCD00803910', 'P 1000', 'Aziridine, homopolymer, ethoxylated', 'C2H5N', 'Ethoxylated polyethylenepolyamine', 'Polyethyleneimine, approx. M.N. 60,000, 50 wt% aq. solution, branched', 'Aziridine;Ethylenimine', 'Aziridine, homopolymer, ethoxylated, phosphonomethylated', 'Ethyleneimine, inhibited', 'EC 205-793-9', 'UNII-8340BG5XMU', 'WLN: /T3MTJ/', '5-20-01-00003 (Beilstein Handbook Reference)', '68130-98-3', '68130-99-4', 'UN 1185 (Salt/Mix)', 'Ethylenimine, polymers (8CI)', '8340BG5XMU', 'CHEMBL540990', 'Phosphonomethylated (ethoxylated polyethylenepolyamine)', 'CTK7D1409', 'Ethoxylated polyethylenimine,000', 'KS-00002BJF', 'Polyethyleneimine, 30% in water', 'BCP29842', 'STR07159', 'ANW-42996', 'NSC124034', 'NSC124035', 'NSC124036', 'NSC134422', 'NSC196335', 'STL168030', 'AKOS005366671', 'LS-2117', 'NSC-124034', 'NSC-124035', 'NSC-124036', 'NSC-134422', 'NSC-196335', 'Polyethyleneimine, branched, M.W. 600', 'CC-28289', 'Polyethyleneimine, branched, M.W. 1800', 'Polyethyleneimine, linear, M.W. 25,000', 'LS-118030', 'Polyethyleneimine, branched, M.W. 1,200', 'CS-0058423', 'FT-0688199', 'FT-0699349', 'NS00007110', 'Polyethyleneimine, branched, M.W. 10,000', 'W3310', 'Ethyleneimine, inhibited [UN1185] [Poison]', 'C11687', 'Ethyleneimine, inhibited [UN1185]  [Poison]', '27146-EP2269983A1', '27146-EP2269984A1', '27146-EP2270010A1', '27146-EP2272972A1', '27146-EP2272973A1', '27146-EP2275408A1', '27146-EP2277872A1', '27146-EP2281818A1', '27146-EP2287152A2', '27146-EP2292593A2', '27146-EP2292606A1', '27146-EP2292611A1', '27146-EP2295399A2', '27146-EP2298312A1', '27146-EP2298729A1', '27146-EP2298763A1', '27146-EP2298778A1', '27146-EP2301627A1', '27146-EP2308510A1', '27146-EP2308562A2', '27146-EP2308857A1', '27146-EP2308861A1', '27146-EP2311815A1', '27146-EP2314575A1', '27146-EP2371811A2', '34090-EP2272537A2', '34090-EP2295055A2', '34090-EP2295416A2', '34090-EP2298748A2', '34090-EP2305642A2', '34090-EP2311453A1', '56058-EP2280008A2', '56058-EP2298734A2', '56058-EP2298744A2', '56058-EP2298764A1', '56058-EP2298765A1', '56058-EP2301930A1', '56058-EP2305033A1', '56058-EP2305254A1', '56058-EP2308871A1', '56058-EP2308873A1', '151E564', '190357-EP2275408A1', 'C-24451', 'Q409141', 'Polyethyleneimine, branched, M.W. 50,000 - 100,000', 'Polyethyleneimine, M.W. 60.000, 50% w/w aqueous solution', 'Polyethyleneimine, branched, M.W. 70,000, 30% w/v aqueous solution']</t>
  </si>
  <si>
    <t>Compound(9033)</t>
  </si>
  <si>
    <t>C2H5N</t>
  </si>
  <si>
    <t>ethylene thiourea</t>
  </si>
  <si>
    <t>imidazolidine-2-thione</t>
  </si>
  <si>
    <t>['2-Imidazolidinethione', 'imidazolidine-2-thione', 'Ethylenethiourea', '96-45-7', 'ETHYLENE THIOUREA', '2-Mercaptoimidazoline', 'Imidazolidinethione', "N,N'-Ethylenethiourea", 'Ethlenethiourea', 'Mercazin I', 'Warecure C', 'Rhenogran ETU', 'Mercaptoimidazoline', 'Pennac CRA', 'Sanceller 22', 'Vulkacit NPV/C', 'Akrochem etu-22', 'Nocceler 22', 'Ethylene thiourea (ETU)', 'Soxinol 22', 'Vulkacit NPV/C2', 'Imidazoline-2-thiol', 'Rhodanin S 62', 'Robac 22', '1,3-Ethylenethiourea', '2-Imidazoline-2-thiol', '2-Thiol-dihydroglyoxaline', '2-Mercapto-2-imidazoline', '1,3-Ethylene-2-thiourea', 'Imidazoline-2(3H)-thione', 'Tetrahydro-2H-imidazole-2-thione', 'Aperochem ETU-22', 'Mercozen', 'Sodium-22 neoprene accelerator', '4,5-Dihydro-2-mercaptoimidazole', 'NA-22-D', 'Imidazoline, 2-mercapto-', 'Rodanin S-62 [Czech]', 'RCRA waste number U116', 'Ethylene thiouree [French]', '4,5-dihydro-1H-imidazole-2-thiol', '4,5-Dihydroimidazole-2(3H)-thione', 'UNII-24FOJ4N18S', 'USAF EL-62', "Thiourea, N,N'-(1,2-ethanediyl)-", '2-Merkaptoimidazolin [Czech]', 'CCRIS 298', "l'Ethylene thiouree [French]", 'MLS000069432', 'Urea, 1,3-ethylene-2-thio-', 'HSDB 1643', 'NA-22', 'NCI-C03372', 'EINECS 202-506-9', 'RCRA waste no. U116', '2-Imidazolidinethione, 98%', 'Imidazole-2(3H)-thione, 4,5-dihydro-', 'SMR000059087', '2-MERCAPTO IMIDAZOLINE', 'AI3-16292', '24FOJ4N18S', 'ETU', 'CHEBI:34750', '12261-94-8', 'DSSTox_CID_601', 'DSSTox_RID_75682', 'DSSTox_GSID_20601', '5328-35-8', 'Ethylene thiouree', 'CAS-96-45-7', "l'Ethylene thiouree", '2-Merkaptoimidazolin', 'Rodanin S-62', '2-Thioxoimidazolidine', 'Ethenethiourea', 'Perkacit ETU', 'imidizolidenethione', 'Ethylene Thiou rea', '2-Imidazolidimethione', '2-Imidozolidimethione', '2-Thionoimidazolidine', '2-imidazolidine-thione', '2-Imi dazolidinethione', 'Ethylenthiourea (ETU)', "n,n'-ethylene thiourea", 'Ethylenethiourea (ETU)', "N,N'-ethylenethio urea", 'Akroform ETU-22 PM', 'Opera_ID_324', 'EC 202-506-9', 'SCHEMBL41176', 'MLS002415731', 'BIDD:ER0692', 'CHEMBL11860', 'DTXSID5020601', '2-mercapto-4,5-dihydroimidazole', 'BDBM62876', 'cid_2723650', 'CTK4B3179', 'CTK4J7448', 'HMS2230P07', 'HMS3372A09', 'LS-75', 'STR00167', 'ZINC2577065', '2H-Imidazole-2-thione, tetrahydro-', 'Tox21_201294', 'Tox21_301034', 'BBL004975', 'BBL005647', 'HTS027789', 'SBB004362', 'STK369397', 'STL131803', 'AKOS000120435', 'AKOS000431145', 'MCULE-3300710815', 'NCGC00091855-01', 'NCGC00091855-02', 'NCGC00091855-03', 'NCGC00091855-04', 'NCGC00254936-01', 'NCGC00258846-01', '2-Imidazolidinethione,hydrobromide (1:1)', 'BP-30094', 'M437', 'NCI60_001620', 'SMR000777952', 'AB0007827', 'AB0122985', 'FT-0626339', 'FT-0670303', 'H3019', 'H6257', 'I0004', 'ST50886956', 'KS-00000158', 'C14398', 'E-6500', 'Ethylene thiourea 10 microg/mL in Acetonitrile', 'ETHYLENE THIOUREA (2-IMIDAZOLIDINETHIONE)', '2-Imidazolidinethione, purum, &gt;=98.0% (HPLC)', 'A845596', 'Q408767', '2-Imidazolidinethione, PESTANAL(R), analytical standard', 'F0001-2297', 'Z1981870389', 'Ethylene thiourea;Imidazolidine-2-thione (2-imidazoline-2-thiol);Ethylene Thiourea (ETU);Ethylenthiourea (ETU);ethylene thiourea;imidazolidine-2-thione']</t>
  </si>
  <si>
    <t>Compound(2723650)</t>
  </si>
  <si>
    <t>C3H6N2S</t>
  </si>
  <si>
    <t>ethyl methacrylate</t>
  </si>
  <si>
    <t>ethyl 2-methylprop-2-enoate</t>
  </si>
  <si>
    <t>['Ethyl methacrylate', '97-63-2', '2-Propenoic acid, 2-methyl-, ethyl ester', 'Methacrylic Acid Ethyl Ester', 'Ethyl 2-methylacrylate', 'ethyl 2-methylprop-2-enoate', 'Ethyl 2-methyl-2-propenoate', 'Ethyl 2-methacrylate', 'Rhoplex AC-33', 'METHACRYLIC ACID, ETHYL ESTER', 'RCRA waste number U118', '2-Methylacrylic acid, ethyl ester', 'Ethyl alpha-methylacrylate', 'Ethyl methacrylate monomer', 'UNII-80F70CLT4O', 'NSC 24152', 'Ethyl methylacrylate', 'CCRIS 4817', 'Ethylester kyseliny methakrylove', 'HSDB 1332', 'Rhoplex AC-33 (rohm and haas)', 'EINECS 202-597-5', 'UN2277', '9003-42-3', 'RCRA waste no. U118', 'BRN 0471201', 'Ethylester kyseliny methakrylove [Czech]', 'Ethyl .alpha.-methyl acrylate', 'AI3-25421', '80F70CLT4O', '2-Methyl-2-propenoic acid, ethyl ester', 'Ethyl methacrylate, 99%, stabilized', 'Poly(ethylmethacrylate)', '2-Propenoic acid, 2-methyl-, ethyl ester, homopolymer', 'methacrylic acid ethyl', 'Ethyl 2-methyl-2-propenoate homopolymer', 'Ethyl 2-methylpropenoate', 'DSSTox_CID_5308', 'EC 202-597-5', 'Methacrylic acid-ethyl ester', 'DSSTox_RID_77742', 'DSSTox_GSID_25308', 'SCHEMBL15030', '4-02-00-01523 (Beilstein Handbook Reference)', 'KSC489Q4D', 'Rhoplex ac-33(Rohm &amp; Haas)', 'CHEMBL3182984', 'DTXSID1025308', 'WLN: 2OVY1 &amp; U1', 'CTK3I9841', 'ACRYLATES/PVP COPOLY- MER', '2-methyl-acrylic acid ethyl ester', 'KS-000011OP', 'NSC24152', 'ZINC1608906', 'Tox21_200810', 'ANW-40874', 'BBL011403', 'MFCD00009161', 'NSC-24152', 'SBB061402', 'STL146507', 'AKOS005721173', '2-Methyl-2-propenoic acid ethyl ester', 'Ethyl methacrylate, analytical standard', 'LS-2030', 'MCULE-9496497565', 'UN 2277', 'CAS-97-63-2', 'NCGC00248838-01', 'NCGC00258364-01', 'M0084', 'NS00001675', 'ST51047421', 'Ethyl methacrylate [UN2277] [Flammable liquid]', 'Ethyl methacrylate [UN2277]  [Flammable liquid]', 'Q424811', 'J-521265', '2-Propenoic acid, 2-methyl, homopolymer, ethyl ester', 'Z1251171282', 'Ethyl methacrylate contains 15-20 ppm monomethyl ether hydroquinone', 'Ethyl methacrylate, contains 15-20 ppm monomethyl ether hydroquinone as inhibitor, 99%']</t>
  </si>
  <si>
    <t>Compound(7343)</t>
  </si>
  <si>
    <t>ethylpirimiphos</t>
  </si>
  <si>
    <t>4-diethoxyphosphinothioyloxy-N,N-diethyl-6-methylpyrimidin-2-amine</t>
  </si>
  <si>
    <t>['Pirimiphos-ethyl', 'Pirimiphos ethyl', 'Pirimifosethyl', 'Primicid', 'Primotec', 'Fernex', 'Solgard', '23505-41-1', 'Ethyl pirimiphos', 'PIRIMIFOS-ETHYL', 'Caswell No. 334A', 'Pirimiphos-ethyl [BAN]', 'Pyrimiphos-ethyl (ISO-French)', 'R 42211', 'HSDB 6454', 'PP211', 'UNII-3L26N84757', 'EINECS 245-704-0', 'EPA Pesticide Chemical Code 108101', 'AI3-27698', '2-Diethylamino-6-methylpyrimidin-4-yl diethylphosphorothionate', 'CHEBI:82146', 'Pirimiphos-ethyl [ANSI:BSI:ISO]', 'O,O-Diethyl O-(2-diethylamino-6-methyl-4-pyrimidinyl)phosphorothioate', 'O-(2-(Diethylamino)-6-methyl-4-pyrimidinyl)O,O-diethyl phosphorothioate', 'PP-211', '2-Diethylamino-6-methyl-4-pyrimidinyl diethyl phosphorothioate', '2-Diethylamino-6-methylpyrimidin-4-yl diethyl phosphorothionate', '3L26N84757', 'O,O-Diethyl O-(2-(diethylamino)-6-methyl-4-pyrimidinyl) phosphorothioate', 'O-(2-(Diethylamino)-6-methyl-4-pyrimidinyl) O,O-diethyl phosphorothioate', 'O-(2-(Diethylamino)-6-methyl-4-pyrimidinyl)phosphorothioic acid O,O-diethyl ester', 'Phosphorothioic acid, O,O-diethyl O-(2-(diethylamino)-6-methyl-4-pyrimidinyl) ester', 'Phosphorothioic acid, O-(2-(diethylamino)-6-methyl-4-pyrimidinyl) O,O-diethyl ester', 'Phosphorothioic acid, O-[2-(diethylamino)-6-methyl-4-pyrimidinyl] O,O-diethyl ester', '4-diethoxyphosphinothioyloxy-N,N-diethyl-6-methylpyrimidin-2-amine', 'O-(2-Diethylamino-6-methylpyrimidin-4-yl) O,O-diethyl phosphorothioate', 'Pirimiphosethyl', 'Pirimiphos-ethyl [BAN:ANSI:BSI:ISO]', 'DSSTox_CID_22297', 'DSSTox_RID_79990', 'DSSTox_GSID_42297', 'SCHEMBL74180', 'CHEMBL1315977', 'DTXSID5042297', 'Pirimiphos-ethyl (Pirimifos-ethyl)', 'Tox21_301447', 'PP 211', 'AKOS015892466', 'NCGC00166194-01', 'NCGC00255873-01', 'CAS-23505-41-1', 'LS-108566', 'NS00002602', 'Pirimiphos-ethyl 1000 microg/mL in Acetone', 'Pirimiphos-ethyl 10 microg/mL in Cyclohexane', 'C19012', 'Pirimiphos-ethyl 100 microg/mL in Cyclohexane', '505P411', 'Pirimiphos-ethyl, PESTANAL(R), analytical standard', 'Q22808666', 'O-[2-(Diethylamino)-6-methyl-4-pyrimidinyl] O,O-diethyl thiophosphate #']</t>
  </si>
  <si>
    <t>Compound(31957)</t>
  </si>
  <si>
    <t>C13H24N3O3PS</t>
  </si>
  <si>
    <t>ethyl parathion</t>
  </si>
  <si>
    <t>diethoxy-(4-nitrophenoxy)-sulfanylidene-lambda5-phosphane</t>
  </si>
  <si>
    <t>['parathion', 'ethyl parathion', 'Thiophos', 'Parathion-ethyl', 'alkron', 'phosphostigmine', 'Paraphos', '56-38-2', 'corothion', 'corthione', 'danthion', 'fosfive', 'fosova', 'gearphos', 'genithion', 'kolphos', 'kypthion', 'lirothion', 'murfos', 'nourithion', 'oleoparaphene', 'oleoparathion', 'panthion', 'parathene', 'pethion', 'phosphemol', 'phosphenol', 'rhodiasol', 'stathion', 'strathion', 'tiofos', 'vapophos', 'vitrex', 'Aphamite', 'Fosferno', 'Orthophos', 'Rhodiatox', 'Alleron', 'Etilon', 'Folidol', 'Fostox', 'Paramar', 'Parawet', 'Phoskil', 'super rodiatox', 'Aralo', 'Niran', 'folidol oil', 'pestox plus', 'penncap e', 'ekatox', 'selephos', 'soprathion', 'thiomex', 'lethalaire g-54', 'Paradust', 'oleofos 20', 'Pacol', 'paramar 50', 'bladan f', 'Diethyl parathion', 'thiophos 3422', 'DNTP', 'ecatox', 'fosfex', 'fostern', 'Nitrostigmine', 'Sulphos', 'Thiofos', 'Bladan', 'folidol e605', 'drexel parathion 8E', 'american cyanamid 3422', 'AATP', 'Folidol E', 'niuif-100', 'bayer e-605', 'ethlon', 'fosfermo', 'nitrostygmine', 'parthion', 'rhodiatrox', 'Etylparation', 'diethylparathion', 'diethyl p-nitrophenyl thiophosphate', 'Parathion ethyl', 'stabilized ethyl parathion', 'e 605 forte', 'bay e-605', 'diethyl p-nitrophenyl thionophosphate', 'sulfos', 'Ecatox 20', 'Ethylparathion', 'Nitrostigmin', 'Durathion', 'Foliclal', 'Soprothion', 'Bladen', 'diethyl 4-nitrophenyl phosphorothionate', 'Niran E-4', 'Viran', 'Parathion-aethyl', 'Parathion-E', 'folidol e &amp; e 605', 'diethyl para-nitrophenol thiophosphate', 'OMS 19', 'TOX 47', 'ac 3422', 'Aqua 9-Parathion', 'Parathion 20 wp', 'O,O-diethyl O-p-nitrophenyl phosphorothioate', 'Rcra waste number P089', 'Fosferno 50', 'Thionspray No.84', 'compound 3422', 'Ekatox 20', 'NCI-C00226', 'O,O-diethyl O-(4-nitrophenyl) phosphorothioate', 'T-47', 'ekatin wf &amp; wf ulv', 'Etylparation [Czech]', 'Phosphorothioic acid, O,O-diethyl O-(4-nitrophenyl) ester', 'Caswell No. 637', 'Nitrostigmin [German]', 'O,O-diethyl-O-(p-nitrophenyl)thionophosphate', 'Diethyl p-nitrophenyl phosphorothionate', 'Parathion [BSI:ISO]', 'E 605 F', 'Ethyl parathion 50 EC', 'Parathion-aethyl [German]', 'acc 3422', 'E 605', 'O,O-Diethyl O-(4-nitrophenyl) thiophosphate', 'CCRIS 493', 'O,O-Diethyl O-(p-nitrophenyl) thionophosphate', 'O,O-Diethyl O-(p-nitrophenyl) phosphorothioate', 'ENT 15,108', 'Diethyl O-p-nitrophenyl phosphorothioate', 'HSDB 197', 'Folidol E-605', 'EPA Shaughnessy Code: 057501', 'UNII-61G466064D', 'p-Nitrophenyl diethyl thiophosphate', 'sixty-three special e.c', 'Sixty-three special EC insecticide', 'E-605', 'O,O-Dietyl-O-p-nitrofenyltiofosfat', 'NSC 8933', 'O,O-Dietil-O-(4-nitro-fenil)-monotiofosfato', 'EINECS 200-271-7', 'NA1967', 'O,O-Diethyl-O-(4-nitrophenyl) phosphorothioate', 'diethyl-p-nitrophenyl monothiophosphate', 'O,O-diaethyl-O-(4-nitro-phenyl)-monothiophosphat', 'RCRA waste no. P089', 'EPA Pesticide Chemical Code 057501', 'BRN 2059093', 'NIUIF 100', 'O,O-Diethyl O-p-nitrophenyl thiophosphate', 'O,O-Diethyl O-4-nitrophenyl thiophosphate', 'O,O-Diethyl-O-p-nitrofenylester kyseliny thiofosforecne', 'Thiophosphate de O,O-diethyle et de O-(4-nitrophenyle)', 'AI3-15108', 'O,O-Diethyl O-p-nitrophenylphosphorothioate', "deoxynucleoside 5'-triphosphate", 'O,O-Dietyl-O-p-nitrofenyltiofosfat [Czech]', 'Phenol, p-nitro-, O-ester with O,O-diethylphosphorothioate', 'B 404', 'O,O-Diethyl O-(p-nitrophenyl) thiophosphate', 'CHEBI:27928', 'Dietil tiofosfato de p-nitrofenila [Portuguese]', 'p-nitrophenol O-ester with O,O-diethylphosphorothioate', 'AAT', 'O,O-Diethyl-O-(4-nitro-fenil)-monothiofosfaat [Dutch]', 'O,O-Dietil-O-(4-nitro-fenil)-monotiofosfato [Italian]', 'Phosphorothioic acid O,O-diethyl-O-(4-nitrophenyl) ester', 'Phosphorothioic acid, O,O-diethyl O-(p-nitrophenyl) ester', 'O,O-Diaethyl-O-(4-nitro-phenyl)-monothiophosphat [German]', 'Phenol, p-nitro-, O-ester with O,O-diethyl phosphorothioate', 'O,O-Diethyl-O-p-nitrofenylester kyseliny thiofosforecne [Czech]', 'Thiophosphate de O,O-diethyle et de O-(4-nitrophenyle) [French]', '61G466064D', 'DSSTox_CID_1100', 'O,O-diethyl-O-(4-nitro-fenil)monothiofosfaat', 'DSSTox_RID_75940', 'DSSTox_GSID_21100', 'W-105522', 'Ethyl parathion (O,O-diethyl-O-p-nitrophenylthiophosphate)', 'CAS-56-38-2', 'AAT [Pesticide]', 'diethoxy-(4-nitrophenoxy)-sulfanylidene-?^{5}-phosphane', 'Oleoparathene', 'Corthion', 'Murphos', 'Galpar', 'C10H14NO5PS', 'ph osphenol', 'li rothion', 'sul fos', 'Parathion A', 'Parathion mixture', 'Aral o', 'Parathion, liquid', 'Dietil tiofosfato de p-nitrofenila', 'parathion;Parathion', 'Parathion and compressed gas mixture', 'folidol e e 605', 'O,O-Diethyl-O-(4-nitro-fenil)-monothiofosfaat', 'Thiophos parathion 4 E.C.', 'SCHEMBL26857', '4-06-00-01337 (Beilstein Handbook Reference)', 'MLS002174322', 'BIDD:ER0538', 'Parathion, analytical standard', 'Parathion = Parathion(-ethyl)', 'CHEMBL261919', 'S.N.P.', 'WLN: WNR DOPS&amp;O2&amp;O2', 'DTXSID7021100', 'NSC8933', 'Parathion [NA2783] [Poison]', 'Parathion [NA2783]  [Poison]', 'BCP09200', 'NSC-8933', 'Tox21_202005', 'Tox21_300663', 'E 605F', 'ENT 15108', 'Diethyl 4-nitrophenyl phosphorothioate', 'Sixty-three special E.C. insecticide', 'AKOS015903450', 'diethyl p-nitrophenyl monothiophosphate', 'LS-1375', 'Parathion 1000 microg/mL in Methanol', 'diethyl p-nitroph enyl monothiophosphate', 'NCGC00090852-01', 'NCGC00090852-02', 'NCGC00090852-03', 'NCGC00090852-04', 'NCGC00090852-05', 'NCGC00254571-01', 'NCGC00259554-01', 'O,O-diethyl-O-p-nitrophenylthiophosphate', 'SMR000778037', 'U505', 'Diethyl O-p-nitrophenyl phosphorothioic acid', 'NS00000528', 'o,o-diethyl o-4-nitrophenyl phosphorothioate', 'Parathion-ethyl 10 microg/mL in Cyclohexane', '0,0-Diethyl 0-(p-nitrophenyl) thiophosphate', 'O,O-diethyl O-(4-nitrophenyl)phosphorothioate', 'Parathion, PESTANAL(R), analytical standard', 'Parathion-ethyl 10 microg/mL in Acetonitrile', 'Parathion-ethyl 100 microg/mL in Cyclohexane', 'C06604', 'Parathion-ethyl 100 microg/mL in Acetonitrile', '0,0-Diethyl 0-(p-nitrophenyl) phosphorothioate', 'O,O-diethyl O-p-nitrophenyl phosphorothioic acid', '036P219', 'C-51993', 'O,O-diethyl     O-p-nitrophenyl phosphorothioate', 'Parathion-ethyl 1000 microg/mL in Ethyl acetate', 'Phenol, 0-ester with 0,0-diethyl phosphorothioate', 'Q412556', 'ethyl 4-nitrophenyl ethoxy(sulfanylidene)phosphonite', 'Phosphorothioic acid,O-diethyl O-(p-nitrophenyl) ester', 'p- nitrophenol O-ester with O,O-diethylphosphorothioate', 'diethoxy-(4-nitrophenoxy)-sulfanylidene-$l^{5}-phosphane', 'p-nitrophenol O-ester with O,O-diethylphosphorothioic acid', 'Parathion and compressed gas mixture [NA1967]  [Poison gas]', 'Parathion and compressed gas mixture [NA1967] [Poison gas]', 'PHOSPHOROTHIOIC ACID,O-DIETHYL O-(4-NITROPHENYL) ESTER', 'Parathion solution, 100 mug/mL in cyclohexane, PESTANAL(R), analytical standard']</t>
  </si>
  <si>
    <t>Compound(991)</t>
  </si>
  <si>
    <t>C10H14NO5PS</t>
  </si>
  <si>
    <t>['Propionaldehyde', 'propanal', '123-38-6', 'Propanaldehyde', 'Propaldehyde', 'Propylaldehyde', 'Propional', 'Propionic aldehyde', 'n-Propanal', 'Methylacetaldehyde', 'Propylic aldehyde', 'Aldehyde propionique', '1-Propanal', 'Propyl aldehyde', 'n-Propionaldehyde', 'Propanalaldehyde', 'Proprionaldehyde', '1-Propanone', 'Propionaldehyd', 'FEMA Number 2923', 'Propionaldehyde (natural)', 'NCI-C61029', 'UNII-AMJ2B4M67V', 'NSC 6493', 'Aldehyde propionique [French]', 'FEMA No. 2923', 'CCRIS 2917', 'HSDB 1193', 'Propionaldehyde, 97%', 'EINECS 204-623-0', 'C2H5CHO', 'MFCD00007020', 'UN1275', 'AMJ2B4M67V', 'AI3-16114', 'CHEBI:17153', 'UN 1275', 'Propionaldehyde, 99+%', 'proprionaldhyde', 'propion aldehyde', 'n-Propylal', 'Propionaldehyde.', 'methyl acetaldehyde', 'Propan-1-one', 'ACMC-1BSLE', 'DSSTox_CID_1658', 'EC 204-623-0', 'WLN: VH2', 'C3H6O', 'DSSTox_RID_76270', 'DSSTox_GSID_21658', 'CHEMBL275626', 'Propionaldehyde, &gt;=97%, FG', 'DTXSID2021658', 'BDBM60952', 'CTK0H6096', 'KS-00000UUT', 'PROPIONALDEHYDE;propionaldehyde', 'NSC6493', 'ZINC895256', 'NSC-6493', 'Propionaldehyde, analytical standard', 'STR01357', 'Tox21_201071', '7052AF', 'ANW-18125', 'LS-679', 'Propionaldehyde, reagent grade, 97%', 'STL264226', 'AKOS000119167', 'Propionaldehyde, 99+%, AcroSeal(R)', 'EBD2219812', 'Propionaldehyde, natural, &gt;=98%, FG', 'NCGC00091772-01', 'NCGC00091772-02', 'NCGC00258624-01', 'CAS-123-38-6', 'SC-79769', 'FT-0655858', 'NS00008781', 'P0498', 'Propionaldehyde [UN1275] [Flammable liquid]', '6413-EP2272491A1', '6413-EP2284157A1', '6413-EP2287159A1', '6413-EP2298746A1', '6413-EP2311802A1', '6413-EP2311803A1', '6413-EP2371831A1', '6413-EP2374783A1', '6413-EP2377841A1', 'C00479', 'Propionaldehyde [UN1275]  [Flammable liquid]', '37632-EP2287158A1', '37632-EP2295407A1', '37632-EP2298736A1', '37632-EP2298763A1', '37632-EP2311802A1', '37632-EP2311803A1', '108797-EP2280002A1', '108797-EP2298769A1', 'A805061', 'Q422909', 'J-004931', 'J-524059', 'F2190-0621']</t>
  </si>
  <si>
    <t>Compound(527)</t>
  </si>
  <si>
    <t>C3H6O</t>
  </si>
  <si>
    <t>propane sulton</t>
  </si>
  <si>
    <t>oxathiolane 2,2-dioxide</t>
  </si>
  <si>
    <t>['1,3-Propanesultone', '1120-71-4', '1,3-PROPANE SULTONE', '1,2-oxathiolane 2,2-dioxide', 'Propane sultone', '1,2-Oxathiolane, 2,2-dioxide', 'Propanesultone', 'RCRA waste number U193', '3-Hydroxy-1-propanesulfonic acid gamma-sultone', 'NSC 42386', '.gamma.-Propane sultone', 'UNII-L6NTK7VJX9', 'CCRIS 535', '1,2-Oxathrolane 2,2-dioxide', '3-Hydroxy-1-propanesulphonic acid sultone', 'HSDB 1673', 'EINECS 214-317-9', 'L6NTK7VJX9', 'RCRA waste no. U193', 'BRN 0109782', 'AI3-26990', 'CHEBI:82370', '1-Propanesulfonic acid, 3-hydroxy-, gamma-sultone', 'MFCD00005355', '3-Hydroxy-1-propanesulfonic acid, sultone', '3-HYDROXYPROPANESULFONIC ACID SULTONE', 'DSSTox_CID_1195', 'oxathiolane 2,2-dioxide', 'DSSTox_RID_76004', 'DSSTox_GSID_21195', '1,3-Propane sultone, 97%', 'CAS-1120-71-4', 'PROPYL SULTONE', '1,3-PROPANSULTONE', 'propane-1,3-sultone', '1,3-Propanesulfonate', 'WLN: T5OSWTJ', 'EC 214-317-9', '3-HYDROXY-1-PROPANESULFONIC ACID SULTONE', '3-Hydroxy-1-propanesulfonic acid .gamma.-sultone', 'SCHEMBL46068', '1,3-Propanesultone, 98%', '5-19-01-00005 (Beilstein Handbook Reference)', '1,2-oxathiolane-2,2-dione', '1,3-Propanesultone, &gt;=99%', 'CHEMBL3185243', 'DTXSID8021195', '[1,2]oxathiolane 2,2-dioxide', 'KS-00000LZJ', '1,3-TRIMETHYLENE SULTONE', '1,2lambda-oxathiolane-2,2-dione', '1,2lambda6-oxathiolane-2,2-dione', 'NSC42386', 'ZINC4521808', 'Tox21_201419', 'Tox21_300066', 'UKRORGSYN-BB BBR-006774', 'BBL036695', 'CP0025', 'NSC-42386', 'STL559074', 'AKOS000119611', '2,2-DIOXIDE 1,2-OXATHIOLANE', 'AS01254', 'CS-W011195', 'GS-6714', 'LS-7674', 'LS40762', 'MCULE-4897687828', '3-Hydroxypropanesulfonic acid ?-sultone', '1-Propanesulfonic acid, .gamma.-sultone', 'NCGC00247894-01', 'NCGC00247894-02', 'NCGC00254117-01', 'NCGC00258970-01', 'BP-21435', 'N099', 'SC-17901', '1,3-Propanesultone solution, 1 M in THF', '3-Hydroxypropanesulfonic acid gamma-sultone', '3-hydroxy-1-propanesulfonic acid w-sultone', '3-HYDROXY-1-PROPANE SULFONIC SULTONE', 'FT-0606745', 'NS00002915', 'P0324', 'ST51038136', 'B-6454', 'C19296', 'H-7365', '1-Propanesulfonic acid, 3-hydroxy-.gamma.-sultone', 'A802481', 'Q1933902', '1-Propanesulfonic acid, 3-hydroxy-, .gamma.-sultone', 'F0001-0265', '1,2-OXATHIOLANE 2,2-DIOXIDE (1,3-PROPANE SULTONE)', '1,3-Propanesultone, &gt;=99%, acid &lt;200 ppm, H2O &lt;100 ppm']</t>
  </si>
  <si>
    <t>Compound(14264)</t>
  </si>
  <si>
    <t>C3H6O3S</t>
  </si>
  <si>
    <t>propan-1-ol</t>
  </si>
  <si>
    <t>['1-propanol', 'Propan-1-ol', 'propanol', 'Propyl alcohol', 'n-propanol', '71-23-8', 'n-Propyl alcohol', 'ethylcarbinol', '1-hydroxypropane', 'optal', 'osmosol extra', 'Propylic alcohol', 'Propanol-1', '1-Propyl alcohol', 'n-Propan-1-ol', 'Propanolen', 'Propanole', 'Alcohol, propyl', 'Propanoli', 'Ethyl carbinol', 'Alcool propilico', 'Alcool propylique', 'n-Propyl alkohol', 'Propylowy alkohol', '1-PROPONOL', 'Albacol', 'propane-1-ol', 'Propanole [German]', 'Propanolen [Dutch]', 'Propanol, 1-', 'Propanoli [Italian]', 'propylalcohol', 'Propyl alcohol, normal', 'Caswell No. 709A', 'FEMA Number 2928', 'Propyl alcohol (natural)', 'n-Propyl alkohol [German]', 'Alcool propilico [Italian]', 'Alcool propylique [French]', 'Propylowy alkohol [Polish]', 'NSC 30300', 'n-PrOH', 'UNII-96F264O9SV', 'FEMA No. 2928', 'CCRIS 3202', 'HSDB 115', 'Propylan-propyl alcohol', 'EINECS 200-746-9', 'MFCD00002941', 'UN1274', 'EPA Pesticide Chemical Code 047502', 'BRN 1098242', 'AI3-16115', '142583-61-7', 'CHEBI:28831', '96F264O9SV', 'POL', 'UN 1274', '1-Propanol, for HPLC', '1-Propanol, ACS reagent', '1-Propanol, for spectroscopy ACS', 'Ateromixol', '1-Propanol, 99.5%, for analysis', '1 Propanol', '1-Propanol, 99.5%, Extra Dry, AcroSeal(R)', 'Hydroxypropane', '1-Propanol, specified according to the requirements of Ph.Eur.', 'ethyl methanol', 'n-propylalcohol', 'normal propanol', 'n-Propylalkohol', 'CCRIS 7209', '3-propanol', 'nPrOH', 'HOPr', 'PrOH', 'normal propyl alcohol', 'N-Propanol ACS grade', 'Policosanol (from rice wax) (oryza sp.)', 'ACMC-1BIKF', 'n-C3H7OH', 'DSSTox_CID_1739', 'bmse000446', '1-Propanol, &gt;=99%', 'EC 200-746-9', 'DSSTox_RID_76299', 'DSSTox_GSID_21739', 'WLN: Q3', '4-01-00-01413 (Beilstein Handbook Reference)', '62309-51-7', 'KSC356I6N', 'CHEMBL14687', '1-Propanol, analytical standard', '1-Propanol, JIS special grade', '1-Propanol, &gt;=99%, FG', '1-Propanol, LR, &gt;=99%', 'DTXSID2021739', '1-Propanol, &gt;=99.80%', 'BDBM36153', 'CTK2F6466', 'KS-00000ULN', 'Propyl Alcohol (Fragrance Grade)', '1-Propanol, 99+%, extra pure', '1-Propanol, anhydrous, 99.7%', '1-Propanol, p.a., 99.5%', 'ZINC895969', '1-Propanol, AR, &gt;=99.5%', 'NSC30300', 'Tox21_302440', 'ANW-36012', 'LMFA05000101', 'n-Propanol or propyl alcohol, normal', 'NSC-30300', 'STL264225', '1-Propanol, natural, &gt;=98%, FG', '1-Propanol, &gt;=99% (GC), purum', 'AKOS000249219', '1-Propanol, for HPLC, &gt;=99.5%', '1-Propanol, for HPLC, &gt;=99.9%', 'DB03175', 'LS-3067', 'MCULE-6252105126', '1-Propanol, ACS reagent, &gt;=99.5%', '1-Propanol, HPLC grade, &gt;=99.5%', 'CAS-71-23-8', '1-Propanol, purum, &gt;=99.0% (GC)', 'NCGC00255163-01', '1-Propanol, SAJ first grade, &gt;=99.0%', 'Propyl Alcohol (Normal) Reagent Grade ACS', 'FT-0608280', 'FT-0608281', 'FT-0627482', 'NS00001811', 'NS00045072', 'P0491', '1-Propanol, UV HPLC spectroscopic, 99.0%', '2537-EP2269989A1', '2537-EP2269993A1', '2537-EP2269994A1', '2537-EP2269995A1', '2537-EP2270000A1', '2537-EP2270012A1', '2537-EP2270013A1', '2537-EP2272516A2', '2537-EP2272517A1', '2537-EP2272832A1', '2537-EP2272841A1', '2537-EP2272843A1', '2537-EP2272846A1', '2537-EP2272849A1', '2537-EP2274983A1', '2537-EP2275413A1', '2537-EP2275424A1', '2537-EP2275469A1', '2537-EP2277507A1', '2537-EP2277865A1', '2537-EP2277866A1', '2537-EP2280000A1', '2537-EP2280005A1', '2537-EP2281817A1', '2537-EP2281818A1', '2537-EP2281821A1', '2537-EP2284169A1', '2537-EP2284174A1', '2537-EP2286795A1', '2537-EP2287154A1', '2537-EP2287156A1', '2537-EP2287161A1', '2537-EP2287162A1', '2537-EP2287940A1', '2537-EP2289868A1', '2537-EP2289884A1', '2537-EP2289892A1', '2537-EP2289965A1', '2537-EP2292597A1', '2537-EP2292606A1', '2537-EP2292612A2', '2537-EP2295053A1', '2537-EP2298313A1', '2537-EP2298731A1', '2537-EP2298747A1', '2537-EP2298767A1', '2537-EP2298772A1', '2537-EP2298773A1', '2537-EP2298828A1', '2537-EP2301983A1', '2537-EP2305642A2', '2537-EP2305647A1', '2537-EP2305649A1', '2537-EP2305658A1', '2537-EP2305667A2', '2537-EP2305670A1', '2537-EP2305673A1', '2537-EP2305681A1', '2537-EP2305687A1', '2537-EP2308839A1', '2537-EP2308840A1', '2537-EP2308849A1', '2537-EP2308850A1', '2537-EP2308857A1', '2537-EP2308866A1', '2537-EP2308874A1', '2537-EP2308877A1', '2537-EP2308926A1', '2537-EP2309564A1', '2537-EP2311801A1', '2537-EP2311802A1', '2537-EP2311803A1', '2537-EP2311807A1', '2537-EP2311808A1', '2537-EP2311829A1', '2537-EP2311832A1', '2537-EP2311833A1', '2537-EP2311834A1', '2537-EP2311838A1', '2537-EP2314558A1', '2537-EP2314576A1', '2537-EP2314579A1', '2537-EP2314585A1', '2537-EP2314591A1', '2537-EP2371797A1', '2537-EP2371798A1', '2537-EP2371800A1', '2537-EP2371811A2', '2537-EP2371814A1', '2537-EP2374780A1', '2537-EP2374781A1', '2537-EP2377510A1', 'C05979', 'Q14985', '27313-EP2269986A1', '27313-EP2269999A1', '27313-EP2272817A1', '27313-EP2275411A2', '27313-EP2275414A1', '27313-EP2280001A1', '27313-EP2281563A1', '27313-EP2281817A1', '27313-EP2281821A1', '27313-EP2287152A2', '27313-EP2287155A1', '27313-EP2287158A1', '27313-EP2292592A1', '27313-EP2295414A1', '27313-EP2298753A1', '27313-EP2298763A1', '27313-EP2298766A1', '27313-EP2298772A1', '27313-EP2301919A1', '27313-EP2305625A1', '27313-EP2305642A2', '27313-EP2305651A1', '27313-EP2305662A1', '27313-EP2305667A2', '27313-EP2305676A1', '27313-EP2305687A1', '27313-EP2308838A1', '27313-EP2308839A1', '27313-EP2308854A1', '27313-EP2308864A1', '27313-EP2308866A1', '27313-EP2308880A1', '27313-EP2311805A1', '27313-EP2311808A1', '27313-EP2311829A1', '27313-EP2311830A1', '27313-EP2314575A1', '27313-EP2314581A1', '27313-EP2371797A1', '27313-EP2371798A1', '27313-EP2374783A1', '27313-EP2377841A1', '27313-EP2380568A1', '28286-EP2272516A2', '28286-EP2275423A1', '28286-EP2277858A1', '28286-EP2277875A2', '28286-EP2280001A1', '28286-EP2289509A2', '28286-EP2289881A1', '28286-EP2289892A1', '28286-EP2292222A1', '28286-EP2292613A1', '28286-EP2292616A1', '28286-EP2295424A1', '28286-EP2295426A1', '28286-EP2295427A1', '28286-EP2295437A1', '28286-EP2298749A1', '28286-EP2298755A1', '28286-EP2298760A1', '28286-EP2298768A1', '28286-EP2298775A1', '28286-EP2302003A1', '28286-EP2305033A1', '28286-EP2305662A1', '28286-EP2305825A1', '28286-EP2308479A2', '28286-EP2308828A2', '28286-EP2308880A1', '28286-EP2311801A1', '28286-EP2311802A1', '28286-EP2311803A1', '28286-EP2311815A1', '28286-EP2311821A1', '28286-EP2311830A1', '28286-EP2314577A1', '28286-EP2314581A1', '28286-EP2371814A1', '28286-EP2380873A1', '33630-EP2298750A1', '33630-EP2311820A1', '136983-EP2275411A2', '136983-EP2292606A1', 'A837125', 'J-505102', '1-Propanol, for inorganic trace analysis, &gt;=99.8%', '1-Propanol, B&amp;J Brand (product of Burdick &amp; Jackson)', 'F0001-1829', 'Z955123580', '1-Propanol, puriss. p.a., Reag. Ph. Eur., &gt;=99.5% (GC)', '1-Propanol, United States Pharmacopeia (USP) Reference Standard', 'n-Propanol or propyl alcohol, normal [UN1274]  [Flammable liquid]', 'n-Propanol or propyl alcohol, normal [UN1274] [Flammable liquid]', '1-Propanol, Pharmaceutical Secondary Standard; Certified Reference Material', '5VQ', '71-31-8']</t>
  </si>
  <si>
    <t>Compound(1031)</t>
  </si>
  <si>
    <t>propyl acetate</t>
  </si>
  <si>
    <t>['Propyl acetate', '109-60-4', 'N-PROPYL ACETATE', 'Acetic acid, propyl ester', 'Propyl ethanoate', '1-Acetoxypropane', '1-Propyl acetate', 'n-Propyl ethanoate', 'Octan propylu', 'Acetic acid n-propyl ester', 'Acetic acid propyl ester', 'Acetate de propyle normal', 'Octan propylu [Polish]', 'Propylester kyseliny octove', 'n-Propyl acetate (natural)', 'UNII-4AWM8C91G6', 'NSC 72025', 'FEMA No. 2925', 'HSDB 161', 'Acetate de propyle normal [French]', 'Propylester kyseliny octove [Czech]', 'EINECS 203-686-1', 'UN1276', 'BRN 1740764', 'Acetic acid, n-propyl ester', 'AI3-24156', '4AWM8C91G6', 'ACETIC ACID,PROPYL ESTER', 'CHEBI:40116', 'n-Propyl acetate, 99%, pure', 'Propyl Acetate.', 'acetic acid propyl', 'n-propanol acetate', 'Propyl acetate, 99%', 'ACMC-1BVDG', 'CH3COOCH2CH2CH3', 'DSSTox_CID_1901', 'Acetic acid-n-propyl ester', 'EC 203-686-1', 'Propyl ester of acetic acid', 'DSSTox_RID_76393', 'DSSTox_GSID_21901', 'SCHEMBL14991', '4-02-00-00138 (Beilstein Handbook Reference)', 'KSC175S2F', 'WLN: 3OV1', 'CHEMBL44857', 'Propyl acetate, &gt;=99.5%', 'Propyl acetate, &gt;=98%, FG', 'DTXSID6021901', 'N-Propyl acetate LBG-64752', 'CTK0H5922', 'Propyl Acetate (Fragrance Grade)', 'Propyl Acetate (Industrial Grade)', 'Propyl acetate, analytical standard', 'KS-00000VT3', 'NSC72025', 'ZINC1697403', 'Tox21_202012', '7322AF', 'ANW-16069', 'MFCD00009372', 'NSC-72025', 'SBB060305', 'STL280317', 'AKOS008949448', 'DB01670', 'LS-3066', 'MCULE-7327042566', 'UN 1276', 'NCGC00249148-01', 'NCGC00259561-01', 'CAS-109-60-4', 'DB-040874', 'A0044', 'FT-0621756', 'FT-0627474', 'NS00003289', 'Propyl acetate, natural, &gt;=97%, FCC, FG', 'ST51046519', 'PROPYL ACETATE;propyl acetate;Propyl Acetate', '7728-EP2269986A1', '7728-EP2281821A1', '7728-EP2284159A1', '7728-EP2287152A2', '7728-EP2292606A1', '7728-EP2295414A1', '7728-EP2298729A1', '7728-EP2298756A1', '7728-EP2298763A1', '7728-EP2305642A2', '7728-EP2305667A2', '7728-EP2308838A1', '7728-EP2308857A1', '7728-EP2380568A1', '28294-EP2277866A1', '28294-EP2280014A2', '28294-EP2287168A2', '28294-EP2305676A1', '28294-EP2305825A1', '28294-EP2314577A1', 'n-Propyl acetate [UN1276]  [Flammable liquid]', 'n-Propyl acetate [UN1276] [Flammable liquid]', 'Q415750', 'J-002310', 'Propyl acetate, United States Pharmacopeia (USP) Reference Standard', 'Propyl Acetate, Pharmaceutical Secondary Standard; Certified Reference Material']</t>
  </si>
  <si>
    <t>Compound(7997)</t>
  </si>
  <si>
    <t>propylene oxide</t>
  </si>
  <si>
    <t>2-methyloxirane</t>
  </si>
  <si>
    <t>['Propylene oxide', '2-Methyloxirane', '1,2-Epoxypropane', '75-56-9', 'Methyloxirane', 'Epoxypropane', 'Propyleneoxide', 'Oxirane, methyl-', 'Propene oxide', '1,2-PROPYLENE OXIDE', 'Propylene epoxide', '2,3-Epoxypropane', 'Methyl oxirane', 'Methyloxacyclopropane', 'oxirane, 2-methyl-', 'Methyl ethylene oxide', 'Propane, epoxy-', 'Oxyde de propylene', 'AD 6 (suspending agent)', 'Ethylene oxide, methyl-', 'propylenoxide', 'Caswell No. 713A', 'Epihydrin', 'Propane, 1,2-epoxy-', '2-Methyloxiran', 'NCI-C50099', '2-methyl-oxirane', '2-Methyl oxirane', 'Oxyde de propylene [French]', 'Methylethylene oxide', 'CCRIS 540', '1,2-epoxy-propane', 'HSDB 173', '(+/-)-Methyloxirane', '(+/-)-Propylene oxide', 'EINECS 200-879-2', 'UN1280', 'EPA Pesticide Chemical Code 042501', '3-Methyl-1,2-epoxypropane', 'BRN 0079763', 'AI3-07541', 'AD 6', 'CHEBI:38685', 'Propylene oxide [UN1280] [Flammable liquid]', '(+/-)-Propylene oxide, 99.5%, extra pure', '(+/-)-Propylene oxide, ReagentPlus(R), &gt;=99%', 'propeneoxide', '(+/-)-Propylene oxide, 99.5%, extra pure, AcroSeal(R)', 'epoxy-propane', 'methyl-oxirane', 'proplyene oxide', 'UN 1280', '1,2-epoxipropane', 'rac-propylene oxide', '1,2-propylenoxide', '(RS)-methyloxirane', 'S(-)-Methyloxirane', '1, 2-Epoxypropane', 'Methyl-(S)-Oxirane', 'Methyl-Ethylene oxide', '(rs)-propylene oxide', 'ACMC-209daq', 'ACMC-209dlt', 'Propylene oxide (JAN)', 'ACMC-1BLM7', '(.+/-.)-Methyloxirane', 'EC 200-879-2', '(+/-)-1,2-Epoxypropane', '5-17-01-00017 (Beilstein Handbook Reference)', 'CHEMBL2251584', 'DTXSID5021207', '(.+/-.)-1,2-Epoxypropane', 'CTK2H7408', 'KS-00000WYW', 'KS-000000RW', 'ANW-36631', 'BBL100026', 'MFCD00005126', 'STL511007', 'AKOS000121587', 'AKOS017283338', '(+/-)-Propylene oxide, 99%, pure', 'LS-1670', 'MCULE-9508255430', '(+/-)-Propylene oxide, &gt;=99.5%', 'DB-025383', 'DB-043223', '(+/-)-Propylene oxide, analytical standard', '391-EP2275411A2', '391-EP2275417A2', '391-EP2277622A1', '391-EP2280012A2', '391-EP2284162A2', '391-EP2284163A2', '391-EP2292597A1', '391-EP2295399A2', '391-EP2295426A1', '391-EP2295427A1', '391-EP2295438A1', '391-EP2298761A1', '391-EP2301925A1', '391-EP2305655A2', '391-EP2305662A1', '391-EP2308865A1', '391-EP2308881A1', '391-EP2311464A1', '391-EP2311806A2', '391-EP2311815A1', '391-EP2372017A1', '391-EP2375479A1', '391-EP2377848A1', 'E0016', 'FT-0637313', 'FT-0688180', 'FT-0777991', 'C15508', 'D09803', '(+/-)-Propylene oxide, ReagentPlus(R), 99%', '52923-EP2270017A1', '52923-EP2308881A1', '55432-EP2287147A2', '55432-EP2308865A1', 'Propylene oxide [UN1280]  [Flammable liquid]', 'Q727742', '(+/-)-Propylene oxide, purum, &gt;=99.0% (GC)', 'J-502426', '(+/-)-Propylene oxide, SAJ special grade, &gt;=99.0%', 'F8880-5385', 'Z234895723', '(+/-)-Propylene oxide, puriss. p.a., &gt;=99.5% (GC)', 'Propylene oxide, United States Pharmacopeia (USP) Reference Standard']</t>
  </si>
  <si>
    <t>Compound(6378)</t>
  </si>
  <si>
    <t>propyleneimine</t>
  </si>
  <si>
    <t>2-methylaziridine</t>
  </si>
  <si>
    <t>['2-Methylaziridine', 'PROPYLENEIMINE', 'Propylenimine', 'Aziridine, 2-methyl-', '75-55-8', 'Methylaziridine', '1,2-Propylenimine', '2-Methylethylenimine', 'Methylethylenimine', '1,2-Propyleneimine', 'Propylene imine', '2-Methylazacyclopropane', '2-Methyl aziridine', 'RCRA waste number P067', 'NSC 20655', 'Propilenimina [Spanish]', 'CCRIS 539', 'HSDB 739', 'Propyleneimine, inhibited', 'EINECS 200-878-7', 'UN1921', 'RCRA waste no. P067', 'BRN 0102386', 'AI3-50325', 'CHEBI:82340', 'Propilenimina', 'R-2-methylaziridine', '2-methyl-aziridine', 'DSSTox_CID_4286', 'EC 200-878-7', 'WLN: T3MTJ B1', 'DSSTox_RID_77355', 'DSSTox_GSID_24286', '5-20-01-00150 (Beilstein Handbook Reference)', 'UN 1921 (Salt/Mix)', '2-methylaziridine;Propyleneimine', 'CHEMBL3183775', 'DTXSID8024286', 'CTK2H7349', 'OZDGMOYKSFPLSE-UHFFFAOYSA-', 'NSC20655', 'Tox21_202944', 'NSC-20655', 'STL168051', 'AKOS005366679', 'LS-1669', 'MCULE-2953452695', 'CAS-75-55-8', 'NCGC00260490-01', '2-Methylaziridine, technical grade, 90%', 'DB-016804', 'FT-0649217', 'NS00003777', 'C19257', 'Q7250470', 'Propyleneimine, inhibited [UN1921]  [Flammable liquid]', 'Propyleneimine, inhibited [UN1921] [Flammable liquid]']</t>
  </si>
  <si>
    <t>Compound(6377)</t>
  </si>
  <si>
    <t>hydroxy(trimethyl)silane</t>
  </si>
  <si>
    <t>['Trimethylsilanol', '1066-40-6', 'Hydroxytrimethylsilane', 'Silanol, trimethyl-', 'UNII-Z4BIN3300P', 'CCRIS 1320', 'EINECS 213-914-1', 'Silanol, 1,1,1-trimethyl-', 'Z4BIN3300P', 'Trimethylhydroxysilane', 'trimethyl-silanol', 'KSC504M9B', 'CHEMBL4238997', 'DTXSID7061433', 'CTK4A4690', 'ACN-S003516', 'KS-000001PL', 'ZX-AT006284', 'ANW-49581', 'FCH831809', 'MFCD02751657', 'Trimethylsilanol, &gt;=97.5% (GC)', 'AKOS006229083', 'ZINC169743431', 'OR30828', 'BR-46637', 'SC-96289', 'AB0034632', 'LS-188226', 'FT-0697258', 'NS00042255', 'X8811', 'M-7530', '066T406', 'Q416218']</t>
  </si>
  <si>
    <t>Compound(66110)</t>
  </si>
  <si>
    <t>C3H10OSi</t>
  </si>
  <si>
    <t>butoxy polypropylene glycol</t>
  </si>
  <si>
    <t>1-(1-butoxypropan-2-yloxy)propan-2-ol</t>
  </si>
  <si>
    <t>['29911-28-2', '1-(2-Butoxy-1-methylethoxy)propan-2-ol', 'Stabilene', 'PPG-2 Butyl ether', '2-Propanol, 1-(2-butoxy-1-methylethoxy)-', 'PPG-14 Butyl ether', '1-((1-Butoxypropan-2-yl)oxy)propan-2-ol', 'Crag fly repellent', 'Dowanol 54B', 'OPSB', 'PPG-5 Butyl ether', 'PPG-9 Butyl ether', 'Ambiflo L-317', 'Caswell No. 122', 'Unilube MB-370', 'Stabilene fly repellent', 'Newpol LB3000', 'PPG-12 Butyl ether', 'PPG-15 Butyl ether', 'PPG-16 Butyl ether', 'PPG-17 Butyl ether', 'PPG-18 Butyl ether', 'PPG-20 Butyl ether', 'PPG-22 Butyl ether', 'PPG-24 Butyl ether', 'PPG-26 Butyl ether', 'PPG-30 Butyl ether', 'PPG-33 Butyl ether', 'PPG-40 Butyl ether', 'PPG-52 Butyl ether', 'PPG-53 Butyl ether', 'Exp. miticide No. 7', 'Butoxypropanediol polymer', 'BUTOXYPOLYPROPYLENE GLYCOL', 'Ucon fluid LB-3000', 'Ucon LB-250', 'Ucon LB 1800X', 'Butoxy polypropylene glycol', 'Ucon LB 1145', 'Polypropylene glycol monobutyl ether', 'Ucon Lubricant LB-1145', 'Ucon Lubricant LB-3000', 'Fluid-AP', 'Poly(oxypropylene) butyl ether', 'Dipropylene glycol butoxy ether', 'Butoxypolypropylene glycol 400', 'Butoxypolypropylene glycol 800', 'Polyoxypropylene monobutyl ether', 'PPG-4 Butyl ether', 'Polypropylene glycol butyl ether', '9003-13-8', 'HSDB 1524', 'Polyoxypropylene(40) butyl ether', 'Polypropylene glycol monobutylether', 'Dipropylene glycol mono butyl ether', 'ENT 8286', 'EINECS 249-951-5', 'Ucon LB-525', 'Ucon LB-625', 'Polypropylene glycol (5) butyl ether', '1-(2-BUTOXY-1-METHYLETHOXY)-2-PROPANOL', 'Polyoxypropylene glycol butyl monoether', 'Ucon LB-1145', 'EPA Pesticide Chemical Code 011901', 'Poly(propylene oxide), monobutyl ether', 'BRN 1743918', 'Ucon LB-3000 (fluid)', 'Dipropylene glycol n-butyl ether', 'Polyoxypropylene (2) butyl ether', 'Polyoxypropylene (4) butyl ether', 'Polyoxypropylene (5) butyl ether', 'Polyoxypropylene (9) butyl ether', 'Polyoxypropylene (12) butyl ether', 'Polyoxypropylene (14) butyl ether', 'Polyoxypropylene (15) butyl ether', 'Polyoxypropylene (16) butyl ether', 'Polyoxypropylene (17) butyl ether', 'Polyoxypropylene (18) butyl ether', 'Polyoxypropylene (20) butyl ether', 'Polyoxypropylene (22) butyl ether', 'Polyoxypropylene (24) butyl ether', 'Polyoxypropylene (26) butyl ether', 'Polyoxypropylene (30) butyl ether', 'Polyoxypropylene (33) butyl ether', 'Polyoxypropylene (40) butyl ether', 'Polyoxypropylene (52) butyl ether', 'Polyoxypropylene (53) butyl ether', 'Polypropylene glycol (2) butyl ether', 'Polypropylene glycol (4) butyl ether', 'Polypropylene glycol (9) butyl ether', 'Polypropylene glycol (12) butyl ether', 'Polypropylene glycol (14) butyl ether', 'Polypropylene glycol (15) butyl ether', 'Polypropylene glycol (16) butyl ether', 'Polypropylene glycol (17) butyl ether', 'Polypropylene glycol (18) butyl ether', 'Polypropylene glycol (20) butyl ether', 'Polypropylene glycol (22) butyl ether', 'Polypropylene glycol (24) butyl ether', 'Polypropylene glycol (26) butyl ether', 'Polypropylene glycol (30) butyl ether', 'Polypropylene glycol (33) butyl ether', 'Polypropylene glycol (40) butyl ether', 'Polypropylene glycol (52) butyl ether', 'Polypropylene glycol (53) butyl ether', 'Polypropyleneglycol #800, monobutyl ether', 'Poly(oxy(methyl-1,2-ethanediyl)), alpha-butyl-omega-hydroxy-', 'Polypropylene glycol #400, monobutyl ether', 'dipropylene glycol monombutyl ether', '1-[(1-butoxypropan-2-yl)oxy]propan-2-ol', 'UNII-PBU1N1UU7E', 'UNII-5P40RLJ3YU', 'UNII-6A70KLA0NP', 'UNII-C0MP061QDX', 'UNII-T6ECP5S4P4', 'UNII-V2Z8NAZ8T1', 'UNII-R199TJT95T', 'UNII-18HJT78S09', 'UNII-5532T1CST6', 'UNII-80JPU34G30', 'UNII-400G2Q040G', 'Dowanol DPnB', '146396-50-1', 'Propoxylated N-butanol', '1-(1-butoxypropan-2-yloxy)propan-2-ol', 'DSSTox_CID_7959', 'PBU1N1UU7E', 'EC 249-951-5', 'EC 500-003-1', '5P40RLJ3YU', '6A70KLA0NP', 'C0MP061QDX', 'DSSTox_RID_78623', 'T6ECP5S4P4', 'V2Z8NAZ8T1', 'DSSTox_GSID_27959', 'SCHEMBL15825', '4-01-00-02474 (Beilstein Handbook Reference)', '[DID-no:2586]', 'Di(propylene glycol)butyl ether', 'Dipropylene glycol, butyl ether', 'R199TJT95T', 'CHEMBL3187219', 'Dipropylene glycol monobutylether', 'DTXSID8027959', 'CTK5G7386', '18HJT78S09', '5532T1CST6', '80JPU34G30', '5-Methyl-4,7-dioxaundecane-2-ol', 'Tox21_200781', 'AKOS015913433', '400G2Q040G', 'DI(PROPYLENE GLYCOL) BUTYL ETHER', '2-Propanol, 1-(2-butoxy-1-methoxy)-', 'NCGC00164418-01', 'NCGC00164418-02', 'NCGC00258335-01', '9009-42-1', 'LS-69105', '1-[(1-Butoxy-2-propanyl)oxy]-2-propanol', 'CAS-29911-28-2', 'LS-121807', 'LS-158352', 'LS-158353', 'LS-158354', 'LS-158355', 'NS00002704', 'Di(propylene glycol) butyl ether, mixture of isomers', 'J-520392', 'Q10395725', 'Poly(oxy(methyl-1,2-ethanediyl)),alpha-butyl-omega-hydroxy-']</t>
  </si>
  <si>
    <t>Compound(24752)</t>
  </si>
  <si>
    <t>C10H22O3</t>
  </si>
  <si>
    <t>butane</t>
  </si>
  <si>
    <t>['BUTANE', 'n-Butane', '106-97-8', 'Diethyl', 'Methylethylmethane', 'butan', 'Butanen', 'Butani', 'Butyl hydride', 'Butane, pure', 'Butanen [Dutch]', 'R 600 (alkane)', 'Butani [Italian]', 'HC 600 (hydrocarbon)', 'HC 600', 'A 21 (lowing agent)', 'UNII-6LV4FOR43R', 'R 600', 'Butane [NF]', 'CCRIS 2279', 'HSDB 944', 'A 21', 'EINECS 203-448-7', 'UN1011', '6LV4FOR43R', 'E943a', 'n-C4H10', 'butane phase II', 'CHEBI:37808', 'Butane (NF)', 'Butane-silver', 'Hydrocarbons, C1-4', 'Hydrocarbons, C4-5', 'Butane [USAN]', 'Mixed (C1-C4) hydrocarbons from absorber', 'n-Butan', 'Dibutyletain cation', '1,2-dimethyethane', '1,2-dimethylethane', 'EINECS 270-682-4', 'EINECS 271-032-2', '1,2-dimethyl-ethane', 'Butane-propane mixture', 'Butane, 99%', 'Freon 600', 'Butane or butane mixtures', 'n-Butane;Methylethylmethane', 'EC 203-448-7', 'Mixed (C1-C4) gases from polymerization process', 'Mixed (C1-C4) hydrocarbons from thermal cracking', '68476-42-6', '68514-31-8', 'Mixed (C1-C4) hydrocarbons from crude distillation', 'CHEMBL134702', 'H-C4H9', 'INS NO.943', 'DTXSID7024665', 'CTK0H5387', 'E 943a', 'E-943a', 'INS-943', 'BCP32076', 'ZINC8214510', 'ZX-AT020149', 'EINECS 270-653-6', 'Butane 2000 microg/mL in Methanol', 'LS-416', 'OR8385', 'AKOS015917446', 'AKOS032949915', 'ZINC256080833', 'ZINC306122401', 'FCH1115645', 'UN 1011', 'B0677', 'E-943', 'FT-0770500', 'NS00008355', 'R-600', '3991-EP2272935A1', '3991-EP2274983A1', '3991-EP2275404A1', '3991-EP2275417A2', '3991-EP2277861A1', '3991-EP2277878A1', '3991-EP2281812A1', '3991-EP2281821A1', '3991-EP2284162A2', '3991-EP2284163A2', '3991-EP2287141A1', '3991-EP2289509A2', '3991-EP2295438A1', '3991-EP2301918A1', '3991-EP2305243A1', '3991-EP2305254A1', '3991-EP2305687A1', '3991-EP2308858A1', '3991-EP2311816A1', '3991-EP2311817A1', '3991-EP2316470A2', '3991-EP2371803A1', '3991-EP2377843A1', '3991-EP2377845A1', '3991-EP2380568A1', 'C21390', 'D03186', '13067-EP2269990A1', '13067-EP2270004A1', '13067-EP2270006A1', '13067-EP2272827A1', '13067-EP2272972A1', '13067-EP2272973A1', '13067-EP2274983A1', '13067-EP2275404A1', '13067-EP2275412A1', '13067-EP2275414A1', '13067-EP2277867A2', '13067-EP2277872A1', '13067-EP2280003A2', '13067-EP2281821A1', '13067-EP2283898A1', '13067-EP2284157A1', '13067-EP2284174A1', '13067-EP2286812A1', '13067-EP2292228A1', '13067-EP2292590A2', '13067-EP2295402A2', '13067-EP2295426A1', '13067-EP2295427A1', '13067-EP2295429A1', '13067-EP2295437A1', '13067-EP2298731A1', '13067-EP2298734A2', '13067-EP2298763A1', '13067-EP2298766A1', '13067-EP2298775A1', '13067-EP2298776A1', '13067-EP2305655A2', '13067-EP2305671A1', '13067-EP2305808A1', '13067-EP2308833A2', '13067-EP2308844A2', '13067-EP2308845A2', '13067-EP2308846A2', '13067-EP2308873A1', '13067-EP2308875A1', '13067-EP2311808A1', '13067-EP2311814A1', '13067-EP2311815A1', '13067-EP2311823A1', '13067-EP2311829A1', '13067-EP2311831A1', '13067-EP2311842A2', '13067-EP2314584A1', '13067-EP2316831A1', '13067-EP2316836A1', '13067-EP2371811A2', '13067-EP2371823A1', '15412-EP2305683A1', '15412-EP2311839A1', '15412-EP2314589A1', '15412-EP2316837A1', '78035-EP2272846A1', '78035-EP2277868A1', '78035-EP2277869A1', '78035-EP2277870A1', '78035-EP2292608A1', '78035-EP2298076A1', '78035-EP2298077A1', '78035-EP2301353A1', '78035-EP2305031A1', '78035-EP2305034A1', '78035-EP2305035A1', '78035-EP2308866A1', 'Q134192', 'Butane or butane mixtures [UN1011]  [Flammable gas]', 'Butane or butane mixtures [UN1011] [Flammable gas]', 'Butane, fuel for Micro Torch, contains no CFC gases', 'UNII-5K616HU99V component IJDNQMDRQITEOD-UHFFFAOYSA-N', '06005800-A997-4214-BF1C-5063E9E46167']</t>
  </si>
  <si>
    <t>Compound(7843)</t>
  </si>
  <si>
    <t>C4H10</t>
  </si>
  <si>
    <t>['butyraldehyde', 'butanal', '123-72-8', 'n-butyraldehyde', 'Butyral', '1-butanal', 'Butyric aldehyde', 'Butanaldehyde', 'Butylaldehyde', 'Butaldehyde', 'n-Butanal', 'Butalyde', 'Butal', 'Butyraldehyd', 'Butyl aldehyde', 'Aldeide butirrica', 'Aldehyde butyrique', 'Butyrylaldehyde', 'n-Butyl aldehyde', 'butan-1-al', 'NCI-C56291', 'Butyraldehyd [German]', 'FEMA Number 2219', 'Aldehyde butyrique [French]', 'Aldeide butirrica [Italian]', 'NSC 62779', 'CCRIS 3221', 'Butyraldehyde, 99%', 'Butyraldehyde (crude)', 'HSDB 2798', 'UNII-H21352682A', 'n-C3H7CHO', 'EINECS 204-646-6', 'MFCD00007023', 'UN1129', 'BRN 0506061', 'AI3-24198', 'CHEBI:15743', 'BUTANAL   N-BUTYRALDEHYDE', 'H21352682A', 'butyr-aldehyde', 'n-Butylaldehyde', 'Butanal.', 'n -butyraldehyde', '1-butanone', 'n- butanal', 'Butanal;1-Butanal', 'Butyraldehyde(CZECH', 'ACMC-1BTAX', 'DSSTox_CID_1513', 'bmse000972', 'EC 204-646-6', 'Butyraldehyde, natural, FG', 'WLN: VH3', 'Butyraldehyde, &gt;=96.0%', 'DSSTox_RID_76191', 'DSSTox_GSID_21513', '4-01-00-03229 (Beilstein Handbook Reference)', 'KSC174Q5N', 'CHEMBL1478334', 'DTXSID8021513', 'CTK0H4856', 'KS-00000VGN', 'Butyraldehyde, &gt;=99.0%, dry', 'BCP29795', 'NSC62779', 'ZINC1529195', 'Tox21_202491', '7258AF', 'ANW-18157', 'LS-682', 'NSC-62779', 'STL281871', 'AKOS000120429', 'UN 1129', 'NCGC00091658-01', 'NCGC00260040-01', 'CAS-123-72-8', 'SC-26833', 'B0751', 'Butyraldehyde [UN1129] [Flammable liquid]', 'FT-0695993', 'NS00007479', 'Butyraldehyde [UN1129]  [Flammable liquid]', '6415-EP2277874A1', '6415-EP2298746A1', 'C01412', '152946-EP2272849A1', '152946-EP2289896A1', 'Q410603', 'Butyraldehyde, purified by redistillation, &gt;=99.5%', 'J-004978', 'J-519974', 'F2190-0595', 'Butyraldehyde, United States Pharmacopeia (USP) Reference Standard', 'Butyraldehyde, analytical standard, contains ~0.1% 2,6-di-tert-butyl-4-methylphenol and ~1% water as stabilizer']</t>
  </si>
  <si>
    <t>Compound(261)</t>
  </si>
  <si>
    <t>butan-1-ol</t>
  </si>
  <si>
    <t>['1-butanol', 'Butan-1-ol', 'butanol', 'n-butanol', 'Butyl alcohol', 'n-butyl alcohol', '71-36-3', '1-hydroxybutane', 'Propylcarbinol', 'Butyl hydroxide', 'Propylmethanol', 'Methylolpropane', 'Hemostyp', 'Butyric alcohol', 'n-Butan-1-ol', '1-Butyl alcohol', 'Butanolo', 'Propyl carbinol', 'Alcool butylique', 'Butylowy alkohol', 'BuOH', 'Butanolen', 'Normal primary butyl alcohol', 'Butanol [French]', 'Butanolen [Dutch]', 'RCRA waste number U031', 'Butanolo [Italian]', 'CCS 203', 'n-BuOH', 'Butyl alcohol (natural)', 'Butyric or normal primary butyl alcohol', 'n-Butylalkohol', 'FEMA Number 2178', 'Alcool butylique [French]', 'Butylowy alkohol [Polish]', 'butanol-1', 'n-Propyl carbinol', 'UNII-8PJ61P6TS3', 'NSC 62782', 'HSDB 48', 'Butanol, 1-', 'FEMA No. 2178', 'CCRIS 4321', 'Butyl alcohol (NF)', 'Butyl alcohol [NF]', '1-Butanol, for HPLC', 'EINECS 200-751-6', 'MFCD00002964', 'RCRA waste no. U031', 'CHEMBL14245', 'AI3-00405', '8PJ61P6TS3', '35296-72-1', 'CHEBI:28885', 'NCGC00090961-02', 'Butanols', 'DSSTox_CID_1740', 'DSSTox_RID_76300', 'DSSTox_GSID_21740', '1-Butanol, analytical standard', '1-Butanol, 99%, extra pure', '1-Butanol, 99.5%, ACS reagent', '1-Butanol, 99.5%, for analysis', '1-Butanol, 99+%, for spectroscopy', '1 Butanol', '1-Butanol, ACS reagent, &gt;=99.4%', 'CAS-71-36-3', '1BO', '1-Butanol, 99+%, Extra Dry, AcroSeal(R)', 'butaneol', 'butylalcohol', 'butyl-alcohol', 'n-butylalcohol', 'normal butanol', '1-butylalcohol', 'n-Butanolbutanolen', 'nBuOH', '1 -butanol', '1- butanol', '1-n-Butanol', 'Butan-1-ol.', 'N-Butyl Alcohol,(S)', 'ACMC-209oic', 'n-Butanol, HPLC grade', '1-Butanol, 99%', 'n-C4H9OH', 'bmse000447', 'NA 1120 (Related)', '1-Butanol, 99.9%', 'EC 200-751-6', 'WLN: Q4', 'BIDD:ER0611', 'Nat. Butanol (Butyl alcohol)', '1-Butanol, for HPLC Solvent', 'Aqualine&amp;trade; Standard 5.1', '1-Butanol, LR, &gt;=99%', 'Aqualine&amp;trade; Standard 10.1', 'DTXSID1021740', 'BDBM36173', 'Butyl Alcohol (Fragrance Grade)', 'Butyl Alcohol Reagent Grade ACS', 'CTK1C6146', '1-Butanol, anhydrous, 99.8%', 'Butyl Alcohol (Industrial Grade)', 'N-Butanol, ACS, 99.4+%', '1-Butanol, AR, &gt;=99.5%', '1-Butanol, for HPLC, 99.8%', 'Butyl alcohol, &gt;=99.9%, FCC', 'KS-00000UI1', 'NSC62782', 'ZINC1530354', 'Tox21_111046', 'Tox21_200741', 'ANW-36034', 'LMFA05000109', 'NSC-62782', 'STL264186', 'AKOS000249218', 'ZINC100492542', '1-Butanol 500 microg/mL in Methanol', '1-Butanol, for HPLC, &gt;=99.7%', 'DB02145', 'LS-1603', 'MCULE-1571156443', 'Butyl alcohol, &gt;=99.9%, FCC, FG', 'NCGC00090961-01', 'NCGC00090961-03', 'NCGC00258295-01', 'BP-30034', 'SC-25168', '1-Butanol, SAJ first grade, &gt;=99.0%', '1-Butanol, for molecular biology, &gt;=99%', '1-Butanol, JIS special grade, &gt;=99.0%', '1-Butanol, p.a., ACS reagent, 99.4%', '1-Butanol, for HPLC, &gt;=99.8% (GC)', '1-Butanol, spectrophotometric grade, 99.5%', '1-Butanol, UV HPLC spectroscopic, 99.5%', '409-EP2269993A1', '409-EP2269994A1', '409-EP2269995A1', '409-EP2270000A1', '409-EP2270012A1', '409-EP2270013A1', '409-EP2272516A2', '409-EP2272832A1', '409-EP2272846A1', '409-EP2272849A1', '409-EP2274983A1', '409-EP2275409A1', '409-EP2275413A1', '409-EP2275422A1', '409-EP2277858A1', '409-EP2277866A1', '409-EP2277868A1', '409-EP2277869A1', '409-EP2277870A1', '409-EP2277875A2', '409-EP2277880A1', '409-EP2280005A1', '409-EP2281812A1', '409-EP2281818A1', '409-EP2287154A1', '409-EP2287156A1', '409-EP2289871A1', '409-EP2289880A1', '409-EP2289884A1', '409-EP2289897A1', '409-EP2289965A1', '409-EP2292592A1', '409-EP2292608A1', '409-EP2292610A1', '409-EP2292624A1', '409-EP2295412A1', '409-EP2295413A1', '409-EP2295418A1', '409-EP2295424A1', '409-EP2298076A1', '409-EP2298077A1', '409-EP2298313A1', '409-EP2298738A1', '409-EP2298746A1', '409-EP2298747A1', '409-EP2298760A1', '409-EP2298769A1', '409-EP2298777A2', '409-EP2298828A1', '409-EP2301353A1', '409-EP2301627A1', '409-EP2301928A1', '409-EP2305031A1', '409-EP2305034A1', '409-EP2305035A1', '409-EP2305219A1', '409-EP2305625A1', '409-EP2305642A2', '409-EP2305655A2', '409-EP2305667A2', '409-EP2305680A2', '409-EP2305681A1', '409-EP2305685A1', '409-EP2305686A1', '409-EP2308510A1', '409-EP2308839A1', '409-EP2308849A1', '409-EP2308850A1', '409-EP2308857A1', '409-EP2308858A1', '409-EP2308866A1', '409-EP2308867A2', '409-EP2308869A1', '409-EP2308878A2', '409-EP2311801A1', '409-EP2311802A1', '409-EP2311803A1', '409-EP2311807A1', '409-EP2311815A1', '409-EP2311816A1', '409-EP2311817A1', '409-EP2311824A1', '409-EP2311838A1', '409-EP2314558A1', '409-EP2314576A1', '409-EP2314591A1', '409-EP2371797A1', '409-EP2371798A1', '409-EP2371811A2', '409-EP2371814A1', '409-EP2371823A1', '409-EP2374538A1', '409-EP2374791A1', '409-EP2375479A1', '409-EP2377510A1', 'B0228', 'B0704', 'B0944', 'FT-0607555', 'FT-0623296', 'FT-0774976', 'NS00009227', 'V0248', '1-Butanol, anhydrous, ZerO2(TM), 99.8%', '7730-EP2269990A1', '7730-EP2270008A1', '7730-EP2272517A1', '7730-EP2272813A2', '7730-EP2275423A1', '7730-EP2277866A1', '7730-EP2277876A1', '7730-EP2280014A2', '7730-EP2281822A1', '7730-EP2284159A1', '7730-EP2284160A1', '7730-EP2284165A1', '7730-EP2284169A1', '7730-EP2284172A1', '7730-EP2284174A1', '7730-EP2286811A1', '7730-EP2287161A1', '7730-EP2287162A1', '7730-EP2287168A2', '7730-EP2289509A2', '7730-EP2289892A1', '7730-EP2292613A1', '7730-EP2292614A1', '7730-EP2292616A1', '7730-EP2292617A1', '7730-EP2295413A1', '7730-EP2295424A1', '7730-EP2295426A1', '7730-EP2295427A1', '7730-EP2295428A2', '7730-EP2295435A1', '7730-EP2298731A1', '7730-EP2298732A1', '7730-EP2298769A1', '7730-EP2298773A1', '7730-EP2301913A1', '7730-EP2301914A1', '7730-EP2301928A1', '7730-EP2301936A1', '7730-EP2305033A1', '7730-EP2305825A1', '7730-EP2308510A1', '7730-EP2308832A1', '7730-EP2308857A1', '7730-EP2308861A1', '7730-EP2311796A1', '7730-EP2311797A1', '7730-EP2311798A1', '7730-EP2311799A1', '7730-EP2311801A1', '7730-EP2311802A1', '7730-EP2311803A1', '7730-EP2311818A1', '7730-EP2311821A1', '7730-EP2311830A1', '7730-EP2314577A1', '7730-EP2314585A1', '7730-EP2316826A1', '7730-EP2371797A1', '7730-EP2371798A1', '7730-EP2371805A1', '7730-EP2371814A1', '7730-EP2374783A1', '7730-EP2377841A1', '7730-EP2380873A1', 'Butyl alcohol, natural, &gt;=99.5%, FCC, FG', 'C06142', 'D03200', 'Q16391', '55814-EP2269986A1', '55814-EP2269992A1', '55814-EP2269995A1', '55814-EP2270008A1', '55814-EP2272517A1', '55814-EP2272817A1', '55814-EP2275411A2', '55814-EP2275414A1', '55814-EP2277880A1', '55814-EP2280001A1', '55814-EP2280002A1', '55814-EP2281563A1', '55814-EP2281821A1', '55814-EP2287152A2', '55814-EP2292610A1', '55814-EP2292617A1', '55814-EP2295411A1', '55814-EP2295414A1', '55814-EP2295438A1', '55814-EP2298753A1', '55814-EP2298763A1', '55814-EP2298768A1', '55814-EP2301919A1', '55814-EP2301923A1', '55814-EP2305625A1', '55814-EP2305642A2', '55814-EP2305667A2', '55814-EP2305676A1', '55814-EP2305687A1', '55814-EP2308838A1', '55814-EP2308864A1', '55814-EP2308866A1', '55814-EP2371811A2', '55814-EP2374780A1', '55814-EP2374781A1', '55814-EP2380568A1', '68993-EP2277848A1', '68993-EP2295412A1', '68993-EP2295413A1', '68993-EP2308861A1', '68993-EP2371797A1', '68993-EP2371798A1', '71511-EP2277876A1', '71511-EP2287165A2', '71511-EP2287166A2', '71511-EP2292614A1', '71511-EP2292620A2', '71511-EP2308833A2', '127573-EP2269996A1', '127573-EP2270113A1', '127573-EP2272935A1', '127573-EP2274983A1', '127573-EP2275411A2', '127573-EP2295402A2', '137926-EP2269986A1', '137926-EP2287152A2', '137926-EP2292088A1', 'F0001-1830', 'Z966690700', '1-Butanol, puriss. p.a., ACS reagent, &gt;=99.5% (GC)', 'BDBC6468-886D-4F6C-8746-734F2B63E6CE', 'UNII-WB09NY83YA component LRHPLDYGYMQRHN-UHFFFAOYSA-N', '1-Butanol, ACS reagent, reag. ISO, reag. Ph. Eur., 99.5%', '1-Butanol, United States Pharmacopeia (USP) Reference Standard', '1-Butanol, Pharmaceutical Secondary Standard; Certified Reference Material', '1-Butanol, puriss. p.a., ACS reagent, reag. ISO, reag. Ph. Eur., &gt;=99.5% (GC)']</t>
  </si>
  <si>
    <t>Compound(263)</t>
  </si>
  <si>
    <t>butylbenzene</t>
  </si>
  <si>
    <t>['Butylbenzene', 'N-BUTYLBENZENE', '104-51-8', '1-Phenylbutane', 'Benzene, butyl-', '1-Butylbenzene', 'Butane, phenyl-', 'butyl-benzene', 'UNII-S8XZ2901RZ', 'HSDB 7211', 'NSC 8465', 'EINECS 203-209-7', 'BRN 1903395', 'AI3-00119', 'CHEMBL195441', 'S8XZ2901RZ', 'CHEBI:44194', 'MFCD00009463', 'n-Butylbenzene, 99+%', 'Butylbenzene, analytical standard', 'n-butyl benzene', 'N4B', '4n-butylbenzene', 'normalbutylbenzene', '3-n-butylbenzene', 'normal butylbenzene', 'Normal-butylbenzene', 'Benzene, n-butyl-', 'PubChem13571', 'Butylbenzene, &gt;=99%', 'ACMC-1C9TX', 'DSSTox_CID_2472', 'DSSTox_RID_76597', 'DSSTox_GSID_22472', 'WLN: 4R', '4-05-00-01033 (Beilstein Handbook Reference)', 'KSC177S2T', 'BIDD:ER0273', 'DTXSID6022472', 'CTK0H7929', 'KS-00000VWN', 'NSC8465', '186l', 'NSC-8465', 'ZINC1586756', 'Tox21_300511', '1015AA', 'ANW-15078', 'BDBM50167957', 'STL483074', 'AKOS000121610', 'NE10656', 'NCGC00248079-01', 'NCGC00254529-01', 'CAS-104-51-8', 'LS-29362', 'SC-47201', 'B0713', 'FT-0658501', 'n-Butylbenzene;n-butylbenzene;N-Butylbenzene', 'NS00001482', 'S0667', 'C18150', 'J-001189', 'J-519968', 'Q16081199', 'F0001-0089', 'Z1939437398']</t>
  </si>
  <si>
    <t>Compound(7705)</t>
  </si>
  <si>
    <t>butylbenzenesulfonamide</t>
  </si>
  <si>
    <t>N-butylbenzenesulfonamide</t>
  </si>
  <si>
    <t>['N-BUTYLBENZENESULFONAMIDE', '3622-84-2', 'Benzenesulfonamide, N-butyl-', 'Plastomoll BMB', 'N-n-Butylbenzenesulfonamide', 'Dellatol BBS', 'N-Butylbenzenesulphonamide', 'N-BUTYL-BENZENESULFONAMIDE', 'Plasthall BSA', 'Cetamoll BMB', 'Benzenesulfonic acid butyl amide', 'N-Butylbenzene sulfonamide', 'Uniplex 214', 'BM 4 (sulfonamide)', 'N-(n-Butyl)benzenesulfonamide', 'NSC 3536', 'UNII-YO7UAW6717', 'EINECS 222-823-6', 'BRN 2725965', 'AI3-08011', 'YO7UAW6717', 'DTXSID7027540', 'CHEBI:44237', 'butyl(phenylsulfonyl)amine', 'DSSTox_CID_7540', 'DSSTox_RID_78496', 'DSSTox_GSID_27540', 'benzenesulfonamide, n-butyl-;n-butylbenzenesulfonamide;n-butylbenzenesulphonamide;benzenesulfonamide, n-butyl- n-butylbenzenesulfonamide n-butylbenzenesulphonamide', 'NBB', 'CAS-3622-84-2', 'N-Benzenesulfonylbutylamine', 'N-n-Butyl benzenesulfonamide', 'MFCD00025024', '3cz1', 'ACMC-1CJLM', 'n-butyl benzenesulfonamide', 'N- butylbenzenesulfonamide', 'EC 222-823-6', 'Cambridge id 5182395', 'SCHEMBL51729', '4-11-00-00051 (Beilstein Handbook Reference)', 'KSC490A3B', 'CHEMBL479880', 'N-Butylbenzenesulfonamide, 99%', 'CTK3J0030', 'NSC3536', '3d78', 'HMS3604D04', 'NSC-3536', 'ZINC1666831', 'Tox21_201692', 'Tox21_303184', 'ANW-28376', 'SBB008484', 'AKOS000120870', 'ANGC-3622-84-2', 'DB02055', 'MCULE-9258708920', 'MS-7234', 'KS-0000109N', 'N-n-Butylamide of Benzenesulphonic Acid', 'NCGC00164214-01', 'NCGC00164214-02', 'NCGC00256957-01', 'NCGC00259241-01', 'AC-12448', 'LS-31335', 'M742', 'DB-080953', 'B0716', 'FT-0653652', 'NS00007746', 'ST50409358', 'AB00037309-01', 'AB00037309-02', 'A823172', 'N-butylbenzenesulphonamide; N-butylbenzenesulfonamide', 'W-106634', 'Q14853448', 'Z45516915', 'F1113-0008', 'Benzenesulfonamide, N-butyl-;N-Butylbenzenesulfonamide;N-butylbenzenesulphonamide']</t>
  </si>
  <si>
    <t>Compound(19241)</t>
  </si>
  <si>
    <t>C10H15NO2S</t>
  </si>
  <si>
    <t>butyl benzene sulfonate</t>
  </si>
  <si>
    <t>butyl benzenesulfonate</t>
  </si>
  <si>
    <t>['BUTYL BENZENESULFONATE', '80-44-4', 'Benzenesulfonic acid n-butyl ester', 'ButylBenzenesulfonate', 'Benzenesulfonic Acid Butyl Ester', 'Benzenesulfonic acid, butyl ester', 'Benzenesulfonic acid, n-butyl ester', 'CCRIS 9153', 'butoxysulfonylbenzene', 'butyl benzene sulfonate', 'ACMC-209pjh', 'SCHEMBL346204', 'Benzenesulfonic acid,butyl ester', 'DTXSID1075357', 'CTK5E7800', 'NIKBCKTWWPVAIC-UHFFFAOYSA-', 'NSC3215', 'KS-000012OQ', 'NSC-3215', 'ZINC1666650', 'ANW-37371', 'AKOS024336561', 'MCULE-3384198954', 'CC-24307', 'DB-056435', 'LS-182307', 'B0031', 'FT-0631359', 'C-11378', 'J-519969']</t>
  </si>
  <si>
    <t>Compound(6642)</t>
  </si>
  <si>
    <t>C10H14O3S</t>
  </si>
  <si>
    <t>butyl hexadecanoate</t>
  </si>
  <si>
    <t>['BUTYL PALMITATE', 'n-Butyl palmitate', 'Butyl hexadecanoate', 'Hexadecanoic acid, butyl ester', '111-06-8', 'n-Butyl hexadecanoate', 'Palmitic acid, butyl ester', 'Palmitic Acid Butyl Ester', 'UNII-DUQ37A5I26', 'hexadecanoic acid butyl ester', 'DUQ37A5I26', 'Butyl palmitate (mixture of stearate 20%, palmitate, 77%, myristate 2%)', 'Hexadecanoic acid,butyl ester', 'palmitic acid butyl', 'NSC 4815', 'EINECS 203-829-8', 'AI3-07959', 'SCHEMBL284459', 'PALMITICACIDN-BUTYLESTER', 'Butyl ester of hexadecanoic acid', 'DTXSID3059395', 'CTK4A7165', 'NSC4815', 'CHEBI:132549', 'Palmitic acid, butyl ester (8CI)', 'ACMC-209984', 'NSC-4815', 'ANW-16226', 'STL268849', 'ZINC78073414', 'AKOS016358294', 'MCULE-5253414141', 'palmitic acid N-butyl ester, AldrichCPR', 'AS-19620', 'FT-0700087', 'NS00019868', 'P0649', 'Y1606', 'Q24735748', 'Butyl hexadecanoate;Butyl palmitate;Hexadecanoic acid, butyl ester']</t>
  </si>
  <si>
    <t>Compound(8090)</t>
  </si>
  <si>
    <t>C20H40O2</t>
  </si>
  <si>
    <t>butyl acrylate</t>
  </si>
  <si>
    <t>butyl prop-2-enoate</t>
  </si>
  <si>
    <t>['BUTYL ACRYLATE', 'n-Butyl acrylate', '141-32-2', 'butyl prop-2-enoate', '2-Propenoic acid, butyl ester', 'Acrylic acid butyl ester', 'n-Butyl propenoate', 'Butyl 2-propenoate', 'butylacrylate', 'Acrylic acid, butyl ester', 'Acrylic acid n-butyl ester', 'Butylester kyseliny akrylove', '2-propenoic acid butyl ester', 'UNII-705NM8U35V', 'CCRIS 3401', 'HSDB 305', 'Poly(butyl acrylate)', 'NSC 5163', 'Butylester kyseliny akrylove [Czech]', 'EINECS 205-480-7', 'UN2348', 'BRN 1749970', 'Acrylic acid, n-butyl ester', 'AI3-15739', 'CHEBI:3245', '705NM8U35V', 'DSSTox_CID_4676', 'DSSTox_RID_77496', 'DSSTox_GSID_24676', 'n-butylacrylate', 'Butyl acrylate, 99+%, stabilized', 'CAS-141-32-2', 'Butyl acrylate homopolymer', 'n-butyl-acrylate', 'Acrylic acid butyl', 'normal butyl acrylate', 'PubChem21089', 'Butylacrylate, inhibited', 'Acrylic acid-butyl ester', '2-Propenoic acid, butyl ester, homopolymer', 'Polymerized butyl acrylate', 'Butyl acrylates, inhibited', 'EC 205-480-7', 'ACMC-1C07I', 'SCHEMBL15037', '4-02-00-01463 (Beilstein Handbook Reference)', 'KSC177C1R', 'BIDD:ER0366', 'WLN: 4OV1U1', '2-propenoic acid n-butyl ester', 'CHEMBL1546388', 'DTXSID6024676', 'Acrylic acid butyl ester (8CI)', 'CTK0H7118', 'KS-00000UFT', 'NSC5163', 'Butyl acrylate, analytical standard', 'NSC-5163', 'ZINC1532055', 'Tox21_201387', 'Tox21_303296', 'ANW-42151', 'LS-827', 'MFCD00009446', 'STL280321', 'AKOS000120041', 'Acrylic acid, butyl ester, homopolymer', 'MCULE-6944090543', 'UN 2348', 'NCGC00091107-01', 'NCGC00091107-02', 'NCGC00256946-01', 'NCGC00258938-01', '9003-49-0', 'BP-20380', 'BUTYL ACRYLATE/STYR- ENE COPOLYMER', 'Butyl acrylate, purum, &gt;=99.0% (GC)', 'A0142', 'FT-0621881', 'NS00007563', 'Butyl acrylate, SAJ first grade, &gt;=99.0%', '5491-EP2269995A1', '5491-EP2270113A1', '5491-EP2272935A1', 'C10921', '2-Propenoic acid, butyl ester (Butyl acrylate)', 'A807751', 'A845377', 'Q343005', 'J-007481', 'J-519959', 'Butyl acrylates, inhibited [UN2348] [Flammable liquid]', 'Z1258578290', 'Butyl acrylates, inhibited [UN2348]  [Flammable liquid]', 'Butyl acrylate, &gt;=99%, contains 10-60 ppm monomethyl ether hydroquinone as inhibitor']</t>
  </si>
  <si>
    <t>Compound(8846)</t>
  </si>
  <si>
    <t>C7H12O2</t>
  </si>
  <si>
    <t>butyl acetate</t>
  </si>
  <si>
    <t>['Butyl acetate', 'N-BUTYL ACETATE', '123-86-4', 'Acetic acid, butyl ester', 'Butyl ethanoate', '1-Butyl acetate', 'Acetic Acid Butyl Ester', 'n-Butylacetate', 'n-Butyl ethanoate', 'Butylacetat', 'Acetic acid n-butyl ester', 'Acetate de butyle', 'Butylacetaten', '1-acetoxybutane', 'Octan n-butylu', 'Butyl acetate, n-', 'Butylacetat [German]', 'Butyle (acetate de)', 'Butylacetaten [Dutch]', 'Butylester kyseliny octove', 'Octan n-butylu [Polish]', 'n-Butyl acetate (natural)', 'Butyl ester of acetic acid', 'NSC 9298', 'Acetate de butyle [French]', 'Butile(acetati di)', '1-Butanol, acetate', 'Butyle (acetate de) [French]', 'CCRIS 2287', 'HSDB 152', 'Butile (acetati di) [Italian]', 'UNII-464P5N1905', 'Butylester kyseliny octove [Czech]', 'EINECS 204-658-1', 'MFCD00009445', 'BRN 1741921', 'CH3COO(CH2)3CH3', 'n-Butyl acetate, ACS reagent', 'AI3-00406', 'CHEBI:31328', '1-Butylacetate', '464P5N1905', 'n-Butyl acetate, 99+%, extra pure', 'Butile (acetati di)', 'n-Butyl acetate, 99+%, Extra Dry, AcroSeal(R)', 'n-Butyl acetate, 99.5%, for biochemistry, AcroSeal(R)', 'ACETIC ACID,BUTYL ESTER', 'nBuOAc', 'acetic acid butyl', 'AcOBu', 'BuOAc', 'n-Butyl Acetate.', 'n-BuOAc', 'Butyle(acetate de)', 'Essigsaeurebutylester', 'normal-butyl acetate', 'Nat. Butyl Acetate', 'Essigsaeure-n-butylester', 'ACMC-1BOEJ', 'Butyl ester, acetic acid', 'DSSTox_CID_1982', 'EC 204-658-1', 'Acetic acid, n-butyl ester', 'DSSTox_RID_76441', 'DSSTox_GSID_21982', 'SCHEMBL14969', '4-02-00-00143 (Beilstein Handbook Reference)', 'KSC175E2R', 'WLN: 4OV1', 'n-Butyl acetate, HPLC Grade', 'Butyl acetate, AR, 99.5%', 'Butyl acetate, LR, &gt;=98%', 'CHEMBL284391', 'DTXSID3021982', 'n-butyl acetate;BUTYL ACETATE', 'Butyl Acetate (Fragrance Grade)', 'Butyl Acetate Reagent ACS Grade', 'CTK0H5228', 'Butyl Acetate (Industrial Grade)', 'n-Butyl acetate Biochemical grade', 'NSC9298', 'Butyl acetate, ampule of 100 mg', 'Butyl acetate, analytical standard', 'Butyl acetate, anhydrous, &gt;=99%', 'KS-00000Z0Y', 'NSC-9298', 'ZINC1699905', 'Butyl acetate, for HPLC, 99.7%', 'n-Butyl acetate, analytical standard', 'Tox21_201052', '7519AF', 'ANW-18171', 'LS-684', 'STL282735', 'Butyl acetate, &gt;=99%, FCC, FG', 'AKOS000120198', 'Butyl acetate, natural, &gt;=98%, FG', 'MCULE-2107021121', 'Butyl acetate, ACS reagent, &gt;=99.5%', 'Butyl acetate, ReagentPlus(R), 99.5%', 'NCGC00091573-01', 'NCGC00091573-02', 'NCGC00258605-01', 'CAS-123-86-4', 'SC-19009', 'n-Butyl acetate, 99+%, for spectroscopy', 'Butyl acetate, puriss. p.a., ACS reagent', 'A0024', 'A0228', 'Butyl acetate, SAJ first grade, &gt;=98.0%', 'FT-0621752', 'NS00009199', 'Butyl acetate, JIS special grade, &gt;=99.0%', '7729-EP2269975A2', '7729-EP2269986A1', '7729-EP2269997A2', '7729-EP2270009A1', '7729-EP2270113A1', '7729-EP2272822A1', '7729-EP2272849A1', '7729-EP2272935A1', '7729-EP2274983A1', '7729-EP2275407A1', '7729-EP2275410A1', '7729-EP2275411A2', '7729-EP2275415A2', '7729-EP2275469A1', '7729-EP2277880A1', '7729-EP2280000A1', '7729-EP2280005A1', '7729-EP2280274A2', '7729-EP2281821A1', '7729-EP2282200A2', '7729-EP2283811A1', '7729-EP2287152A2', '7729-EP2287154A1', '7729-EP2287940A1', '7729-EP2289509A2', '7729-EP2289884A1', '7729-EP2289965A1', '7729-EP2292597A1', '7729-EP2292599A1', '7729-EP2292610A1', '7729-EP2295414A1', '7729-EP2295417A1', '7729-EP2295425A1', '7729-EP2295438A1', '7729-EP2298729A1', '7729-EP2298753A1', '7729-EP2298763A1', '7729-EP2298828A1', '7729-EP2301918A1', '7729-EP2301983A1', '7729-EP2302003A1', '7729-EP2305667A2', '7729-EP2305685A1', '7729-EP2305686A1', '7729-EP2308838A1', '7729-EP2308857A1', '7729-EP2308858A1', '7729-EP2308872A1', '7729-EP2308926A1', '7729-EP2309564A1', '7729-EP2311815A1', '7729-EP2311816A1', '7729-EP2311817A1', '7729-EP2314558A1', '7729-EP2316829A1', '7729-EP2371831A1', '7729-EP2374538A1', '7729-EP2380568A1', '7729-EP2380873A1', '9295-EP2280014A2', '9295-EP2287168A2', '9295-EP2298772A1', '9295-EP2305670A1', '9295-EP2305676A1', '9295-EP2305825A1', '9295-EP2308839A1', '9295-EP2308857A1', '9295-EP2308872A1', '9295-EP2309584A1', '9295-EP2316829A1', 'C12304', 'n-Butyl acetate [UN1123] [Flammable liquid]', 'n-Butyl acetate [UN1123]  [Flammable liquid]', 'A805161', 'Q411073', 'J-004991', 'J-519958', 'Q-200771', 'F0001-0371', 'n-Butyl acetate, 99.5+%, for electronic use, residue free', 'Butyl acetate, &gt;=99.5%, suitable for atomic absorption spectrometry', 'Butyl acetate, United States Pharmacopeia (USP) Reference Standard', 'Butyl acetate, Pharmaceutical Secondary Standard; Certified Reference Material', '8JZ']</t>
  </si>
  <si>
    <t>Compound(31272)</t>
  </si>
  <si>
    <t>butylate</t>
  </si>
  <si>
    <t>S-ethyl N,N-bis(2-methylpropyl)carbamothioate</t>
  </si>
  <si>
    <t>['Butylate', '2008-41-5', 'Butilate', 'SUTAN', 'S-Ethyl N,N-diisobutylthiocarbamate', 'Diisocarb', 'Anelda', 'Aneldazine', 'Butylat', 'Tomahawk', 'Genate', 'Suazin', 'Genate plus', 'Stauffer R-1910', 'Sutan 6E', 'Caswell No. 434A', 'Butylate [BSI:ISO]', 'Butilate [ISO-French]', "Sutar' 85 E", 'Ethyl N,N-diisobutylthiocarbamate', 'Ethyl N,N-diisobutylthiolcarbamate', 'Ethyl-N,N-diisobutyl thiolcarbamate', 'S-Ethyl N,N-diisobutyl thiocarbamate', 'Carbamic acid, diisobutylthio-, S-ethyl ester', 'S-Ethyl N,N-diisobutyl thiolcarbamate', 'S-Ethyldiisobutylthiocarbamate', 'UNII-3U78PG73G7', 'S-Ethyldiisobutyl thiocarbamate', 'Diisobutylthiocarbamic acid S-ethyl ester', 'S-Ethyl di-isobutylthiocarbamate', 'Bis(2-methylpropyl)carbamothioic acid S-ethyl ester', 'S-Ethyl bis(2-methylpropyl)carbamothioate', 'Ethyl-N,N-diisobutylthiocarbamate', 'HSDB 1714', 'Carbamothioic acid, bis(2-methylpropyl)-, S-ethyl ester', 'EINECS 217-916-3', 'R 1910', 'EPA Pesticide Chemical Code 041405', 'BRN 1770420', 'AI3-52053', 'S-Ethyl bis(2-methylpropyl) carbamothioate', 'S-ethyl diisobutylcarbamothioate', 'R1910', 'CHEBI:34594', 'R-1910', '3U78PG73G7', 'Bis(2-methylpropyl)carbamothioic acid, S-ethyl ester', 'Carbamothioic acid, N,N-bis(2-methylpropyl)-, S-ethyl ester', 'S-ethyl bis(2-methylpropyl)-carbamothioate', 'S-ethyl N,N-bis(2-methylpropyl)carbamothioate', 'S-Ethyl diisobutylthiocarbamate', 'Butylate (Sutan)', 'CCRIS 9244', 'N-BUTYLATE', 'Stauffer R-1,910', 'DSSTox_CID_3936', 'DSSTox_RID_77235', 'DSSTox_GSID_23936', 'SCHEMBL66484', '4-04-00-00651 (Beilstein Handbook Reference)', 's-ethyl diisobutyl thiocarbamate', 'CHEMBL1873329', 'DTXSID7023936', 'S-Ethyl diisobutylthiocarbamate #', 'ZINC2002584', 'Tox21_300762', 'MFCD00055338', 'S-ethyl N,N-diisobutyl-thiocarbamate', 'AKOS015898728', 'ACM2008415', 'Butylate 100 microg/mL in Acetonitrile', 'NCGC00163807-01', 'NCGC00163807-02', 'NCGC00163807-03', 'NCGC00254666-01', 'CC-25299', 'LS-49390', 'CAS-2008-41-5', 'Butylat, PESTANAL(R), analytical standard', 'DB-045080', 'FT-0603582', 'NS00006903', 'C14323', '008B415', 'C-11826', 'J-013001', 'Q16724472']</t>
  </si>
  <si>
    <t>Compound(16181)</t>
  </si>
  <si>
    <t>C11H23NOS</t>
  </si>
  <si>
    <t>butyl methacrylate</t>
  </si>
  <si>
    <t>butyl 2-methylprop-2-enoate</t>
  </si>
  <si>
    <t>['BUTYL METHACRYLATE', '97-88-1', 'N-Butyl methacrylate', 'Butylmethacrylate', 'butyl 2-methylprop-2-enoate', '2-Propenoic acid, 2-methyl-, butyl ester', 'Butyl 2-methacrylate', 'Butylmethacrylaat', '2-Methyl-butylacrylat', 'Butil metacrilato', '2-Methyl-butylacrylaat', '2-Methyl-butylacrylate', 'Butyl 2-methyl-2-propenoate', 'Methacrylic acid, butyl ester', 'Methacrylate de butyle', '2-Methylacrylic acid, butyl ester', 'Methacrylsaeurebutylester', 'Methacrylic Acid Butyl Ester', 'Polybutyl methacrylate', 'Butyl methacrylate homopolymer', 'Poly(butyl methacrylate)', 'Butyl methacrylate monomer', 'Butylmethacrylaat [Dutch]', 'UNII-R5QX287XXU', 'Poly(n-butyl methacrylate)', 'Butil metacrilato [Italian]', 'NSC 20956', 'Butylester kyseliny methakrylove', 'CCRIS 4760', 'HSDB 289', '2-Methyl-butylacrylaat [Dutch]', '2-Methyl-butylacrylat [German]', 'Methacrylate de butyle [French]', 'Methacrylsaeurebutylester [German]', 'EINECS 202-615-1', 'UN2227', '2-PROPENOIC ACID, 2-METHYL-, BUTYL ESTER, HOMOPOLYMER', 'BRN 0773960', 'Methacrylic acid, butyl ester, polymers', 'R5QX287XXU', 'Butylester kyseliny methakrylove [Czech]', 'Methacrylic acid, butyl ester homopolymer', 'Butyl 2-methyl-2-propenoate, homopolymer', 'Methacrylic acid n-butyl ester', 'AI3-25420', 'n-Butyl methacrylate, polymerized', 'Butyl 2-methylacrylate', 'Butyl methacrylate, 99%, stabilized', 'n-butylmethacrylate', 'Isobutyl methacrylate homopolymer', 'Poly(isobutyl methacrylate)', 'Isobutyl methacrylate, homopolymer', 'nBMA', 'n-butyl-methacrylate', 'methacrylic acid butyl', '9003-63-8', 'n-BMA', '2-Propenoic acid, 2-methyl-, 2-methylpropyl ester, homopolymer', 'Butyl 2-methylacrylate #', 'DSSTox_CID_4696', 'EC 202-615-1', 'Methacrylic acid-butyl ester', 'Butyl 2-methyl-2-propenate', 'DSSTox_RID_77503', '2-Methylpropyl 2-methyl-2-propenoate homopolymer', 'DSSTox_GSID_24696', 'SCHEMBL14893', 'KSC492S3H', 'UN 2227 (Salt/Mix)', 'Butyl 2-Methyl-2-propenoate.', 'Butyl ester of methacrylic acid', 'n-Butyl methacrylate, inhibited', 'CHEMBL3183073', 'DTXSID4024696', 'WLN: 4OVY1 &amp; U1', 'CTK3J2933', 'BB_SC-07032', 'KS-00000V3G', 'NSC20956', 'ZINC1577269', 'Tox21_200161', 'ANW-42150', 'BBL011464', 'MFCD00009444', 'NSC-20956', 'STL146576', 'AKOS005720977', '2-Methyl-2-propenoic acid butyl ester', 'FCH1115120', 'LS-2034', 'MCULE-4077978269', 'CAS-97-88-1', 'NCGC00248544-01', 'NCGC00257715-01', 'VS-02953', 'BB0294970', 'LS-123679', 'FT-0689210', 'M0081', 'NS00004578', 'X6789', 'J-519966', 'Q10329087', '2-Propenoic acid, 2-methyl-, butyl ester (Butyl methacrylate)', 'n-Butyl methacrylate, inhibited [UN2227]  [Flammable liquid]', 'n-Butyl methacrylate, inhibited [UN2227] [Flammable liquid]', 'Butyl methacrylate, European Pharmacopoeia (EP) Reference Standard', 'Butyl methacrylate, 99%, contains 10 ppm monomethyl ether hydroquinone as inhibitor']</t>
  </si>
  <si>
    <t>Compound(7354)</t>
  </si>
  <si>
    <t>C8H14O2</t>
  </si>
  <si>
    <t>pentane</t>
  </si>
  <si>
    <t>['PENTANE', 'n-Pentane', '109-66-0', 'Pentan', 'Skellysolve A', 'Pentanen', 'Pentani', 'Amyl hydride', 'Tetrafume', 'Tetrakil', 'Tetraspot', 'Hydrocarbons, C5-rich', 'Pentan [Polish]', 'Pentanen [Dutch]', 'Pentani [Italian]', 'Caswell No. 642AA', 'Hydrocarbons, C4-6, C5-rich', 'n-Pentan', 'NSC 72415', 'UNII-4FEX897A91', 'HSDB 109', 'EINECS 203-692-4', 'UN1265', 'EPA Pesticide Chemical Code 098001', 'AI3-28785', 'CHEBI:37830', '4FEX897A91', 'MFCD00009498', '68476-43-7', '68476-55-1', 'Hydrocarbons, C&gt;4', 'NCGC00091116-01', 'n-Pentane, for analysis', 'DSSTox_CID_5846', 'Pentane, analytical standard', 'DSSTox_RID_77944', 'DSSTox_GSID_25846', '102056-77-9', 'n-Pentane, 99+%, extra pure', 'n-Pentane, 99+%, for HPLC', 'n-Pentane, 95%, technical grade', 'Pentanes', 'n-Pentane, 99+%, for spectroscopy', 'Butane, methyl-', 'CAS-109-66-0', 'n-Pentane, 99+%, extra pure, anhydrous', 'Pentanes (petroleum)', 'n-Pentane, 99+%, Extra Dry, AcroSeal(R)', 'Pentane, pentene fraction', 'npentane', 'n-Pentane, 99+%, Extra Dry over Molecular Sieve, AcroSeal(R)', 'syn-pentane', 'Normal Pentane', '1-ethylpropane', 'n-Pentane, 99+%, for residue analysis, ECD tested for pesticide analysis', 'High purity Pentane', 'Pentane, p.a.', 'EINECS 270-684-5', 'EINECS 270-695-5', 'EINECS 271-960-8', '95% N-pentane', '99% N-pentane', 'High purity N-pentane', 'blowing agent N-pentane', 'foaming agent N-pentane', 'Pentane Fraction, purum', 'Butane, methyl- (9CI)', 'ACMC-209t5d', 'EC 203-692-4', 'EC 270-695-5', 'Pentane 109-66-0', 'Pentane, p.a., 99%', 'Pentane, purification grade', 'Pentane, AR, &gt;=99%', 'Pentane, LR, &gt;=99%', 'WLN: 5H', '68647-60-9', 'KSC175E1B', 'UN 1265 (Salt/Mix)', 'CHEMBL16102', 'Pentane, anhydrous, &gt;=99%', 'n-C5H12', 'Pentane, &gt;=99% (GC)', 'Pentane, p.a., 99.5%', 'Pentane, reagent grade, 98%', 'DTXSID2025846', 'CTK0H5210', 'Pentane, &gt;=99%, HPLC grade', 'KS-00000V5R', 'NSC72415', 'Pentane, for HPLC, &gt;=99.0%', 'ZINC1698513', 'EINECS 270-654-1', 'Tox21_111085', 'Tox21_200248', 'ANW-42047', 'LMFA11000583', 'LS-483', 'NSC-72415', 'STL301896', 'Pentane, purum, &gt;=95.0% (GC)', 'AKOS009158849', 'MCULE-4643148765', 'Pentane, UV HPLC spectroscopic, 99%', 'n-Pentane 1000 microg/mL in Methanol', 'Pentane, SAJ first grade, &gt;=96.0%', 'NCGC00091116-02', 'NCGC00257802-01', 'Pentane, SAJ special grade, &gt;=99.0%', 'Pentanes [UN1265] [Flammable liquid]', 'Pentanes [UN1265]  [Flammable liquid]', 'Pentane, spectrophotometric grade, &gt;=99%', '9,11,13-Octadecatriyoic acid methyl ester', 'NS00008602', 'P0048', 'P2621', 'Pentane, puriss. p.a., &gt;=99.0% (GC)', 'R-601', 'S0277', 'EC 270-654-1', 'Pentane, Laboratory Reagent, &gt;=95.0% (GC)', '10047-EP2269986A1', '10047-EP2269993A1', '10047-EP2270000A1', '10047-EP2270006A1', '10047-EP2270014A1', '10047-EP2270113A1', '10047-EP2272509A1', '10047-EP2272813A2', '10047-EP2272826A1', '10047-EP2272839A1', '10047-EP2272840A1', '10047-EP2272935A1', '10047-EP2275395A2', '10047-EP2275410A1', '10047-EP2275411A2', '10047-EP2275414A1', '10047-EP2277877A1', '10047-EP2280000A1', '10047-EP2281813A1', '10047-EP2281821A1', '10047-EP2281822A1', '10047-EP2287147A2', '10047-EP2287165A2', '10047-EP2287166A2', '10047-EP2289509A2', '10047-EP2289879A1', '10047-EP2289893A1', '10047-EP2289965A1', '10047-EP2292576A2', '10047-EP2292589A1', '10047-EP2292592A1', '10047-EP2292596A2', '10047-EP2292606A1', '10047-EP2292615A1', '10047-EP2292620A2', '10047-EP2295433A2', '10047-EP2295437A1', '10047-EP2295438A1', '10047-EP2295439A1', '10047-EP2298734A2', '10047-EP2298763A1', '10047-EP2298775A1', '10047-EP2298828A1', '10047-EP2301544A1', '10047-EP2301627A1', '10047-EP2301918A1', '10047-EP2305625A1', '10047-EP2305642A2', '10047-EP2305649A1', '10047-EP2305667A2', '10047-EP2305668A1', '10047-EP2305672A1', '10047-EP2305677A1', '10047-EP2305769A2', '10047-EP2305808A1', '10047-EP2308838A1', '10047-EP2308857A1', '10047-EP2308861A1', '10047-EP2308867A2', '10047-EP2308870A2', '10047-EP2308876A1', '10047-EP2311801A1', '10047-EP2311802A1', '10047-EP2311803A1', '10047-EP2311837A1', '10047-EP2314576A1', '10047-EP2314577A1', '10047-EP2315502A1', '10047-EP2316832A1', '10047-EP2316833A1', '10047-EP2316835A1', '10047-EP2316836A1', '10047-EP2371795A1', '10047-EP2371811A2', '10047-EP2371814A1', '10047-EP2374780A1', '10047-EP2374781A1', '10047-EP2380568A1', '10047-EP2380871A1', '15414-EP2275469A1', '15414-EP2280007A1', '15414-EP2281559A1', '15414-EP2281820A2', '15414-EP2284174A1', '15414-EP2287940A1', '15414-EP2289897A1', '15414-EP2289965A1', '15414-EP2298754A1', '15414-EP2298828A1', '15414-EP2301983A1', '15414-EP2305683A1', '15414-EP2305825A1', '15414-EP2308926A1', '15414-EP2309564A1', '15414-EP2309584A1', '15414-EP2311839A1', '15414-EP2314576A1', '15414-EP2314577A1', '15414-EP2314589A1', '15414-EP2316837A1', '15414-EP2371814A1', '15414-EP2380871A1', '25661-EP2292616A1', '25661-EP2298749A1', '25661-EP2314580A1', '125901-EP2272846A1', '125901-EP2277868A1', '125901-EP2277869A1', '125901-EP2277870A1', '125901-EP2295422A2', 'A802071', 'Q150429', 'EB93985D-C6D5-4EC7-A089-73B41F8B4583', 'Pentane, United States Pharmacopeia (USP) Reference Standard', 'Pentane, capillary GC grade, &gt;=98% n-pentane basis, 99.9+% C5 isomers.', 'Pentane, puriss., absolute, over molecular sieve (H2O &lt;=0.005%), &gt;=99.0% (GC)', 'AKS']</t>
  </si>
  <si>
    <t>Compound(8003)</t>
  </si>
  <si>
    <t>['Valeraldehyde', 'PENTANAL', 'n-Pentanal', '110-62-3', 'n-Valeraldehyde', 'Valeric aldehyde', 'Valeral', 'Valeryl aldehyde', 'Amylaldehyde', 'Butyl formal', 'Amyl aldehyde', 'Valeric acid aldehyde', 'Valerianic aldehyde', 'Valerylaldehyde', 'n-Valeric aldehyde', 'Pentyl aldehyde', '1-pentanal', 'FEMA Number 3098', 'n-Valeraldehyde (natural)', 'pentan-1-al', 'MFCD00007026', 'NSC 35404', 'FEMA No. 3098', 'CCRIS 3220', 'HSDB 851', 'Valeraldehyde, 97%', 'UNII-B975S3014W', 'n-C4H9CHO', 'EINECS 203-784-4', 'UN2058', 'BRN 1616304', 'CHEMBL18602', 'AI3-16105', 'CHEBI:84069', 'B975S3014W', 'Valeraldehyde [UN2058] [Flammable liquid]', 'Pentanaldehyde', 'Aldehydes, C5', 'pentylaldehyde', 'Valeraldehyde.', 'n-BuCHO', 'N-Valeraldehyde, 8CI', 'ACMC-1CCBN', 'pentanal (valeraldehyde)', 'DSSTox_CID_1653', 'EC 203-784-4', 'WLN: VH4', 'DSSTox_RID_76265', 'DSSTox_GSID_21653', 'valeraldehyde;VALERALDEHYDE', '4-01-00-03268 (Beilstein Handbook Reference)', 'KSC175C8H', 'Valeraldehyde, &gt;=97%, FG', 'DTXSID7021653', 'CTK0H5183', 'FEMA 3098', 'KS-00000UFO', 'Valeraldehyde, analytical standard', 'NSC35404', 'STR03921', 'ZINC1667603', 'Tox21_300061', 'ANW-16174', 'BBL027632', 'BDBM50028837', 'CV0015', 'LMFA06000251', 'LS-511', 'NSC-35404', 'STL194259', 'AKOS000119170', 'DB01919', 'MCULE-4736782822', 'UN 2058', 'NCGC00091722-01', 'NCGC00091722-02', 'NCGC00253979-01', 'CAS-110-62-3', 'I852', 'PNO', 'SC-22704', 'NS00006977', 'Valeraldehyde [UN2058]  [Flammable liquid]', '6418-EP2374783A1', '6418-EP2377841A1', '61324-EP2277874A1', '61324-EP2308848A1', 'Q420652', 'J-002454', 'F2190-0583']</t>
  </si>
  <si>
    <t>Compound(8063)</t>
  </si>
  <si>
    <t>pentan-1-ol</t>
  </si>
  <si>
    <t>['1-Pentanol', 'Pentan-1-ol', 'Amyl alcohol', 'N-Amyl alcohol', '71-41-0', 'n-Pentanol', 'Pentanol', 'Pentyl alcohol', 'Butylcarbinol', '1-Pentyl alcohol', 'Amylol', 'n-Butylcarbinol', 'N-PENTYL ALCOHOL', 'Pentanol-1', 'Pentasol', 'Alcool amylique', 'Butyl carbinol', 'n-Amylalkohol', 'n-Pentan-1-ol', 'Primary amyl alcohol', 'Amylalkohol', 'Amyl alcohol, normal', 'Pentanol (VAN)', 'Petan-1-ol', 'n-Amylalkohol [Czech]', 'Amyl alcohol (natural)', 'Alcool amylique [French]', 'Pentylalkohol', 'pentyl-alcohol', 'amyl-alcohol', 'FEMA Number 2056', 'n-pentyl-alcohol', 'NSC 5707', 'UN1105', 'Amyl alcohol, n-', 'UNII-M9L931X26Y', 'FEMA No. 2056', 'HSDB 111', 'Primary-N-amyl alcohol', 'EINECS 200-752-1', 'MFCD00002977', 'n-C5H11OH', 'BRN 1730975', 'Pentanols [UN1105] [Flammable liquid]', 'AI3-01293', '30899-19-5', 'CHEBI:44884', 'M9L931X26Y', 'N-amylalkohol (czech)', 'Alcool amylique (french)', '1-Pentanol, 99%, pure', 'Pentanols', 'amylalcohol', 'pentaol', 'pentylalcohol', 'Pentalcohol', 'n-pentylalcohol', 'Valeric alcohol', 'l-pentanol', 'C5 alcohol', 'Amyl alcohol normal', 'Amyl alcohol,primary', 'Pentan-1-ol.', 'Amyl alcohol, primary', 'ACMC-209oij', 'DSSTox_CID_1741', 'Amyl Alcohol Reagent Grade', 'EC 200-752-1', 'Amyl alcohol, mixed isomers', 'DSSTox_RID_76301', 'DSSTox_GSID_21741', 'WLN: Q5', '4-01-00-01640 (Beilstein Handbook Reference)', 'KSC222G6D', 'MLS002415674', 'CHEMBL14568', 'Amyl alcohol, &gt;=99%, FG', '1-Pentanol, analytical standard', 'Amyl Alcohol (Fragrance Grade)', 'DTXSID6021741', 'BDBM22603', 'CTK1C2361', 'NSC5707', '1-Pentanol, p.a., 98.0%', 'HMS3039G16', 'KS-00000VX7', 'NSC-5707', 'ZINC1687154', 'Tox21_201107', '1-Pentanol, ACS reagent, &gt;=99%', 'ANW-36041', 'LMFA05000112', 'MFCD00081734', 'STL282712', 'AKOS009031407', 'LS-1604', 'MCULE-8714292632', '1-Pentanol, ReagentPlus(R), &gt;=99%', 'CAS-71-41-0', 'NCGC00091726-01', 'NCGC00091726-02', 'NCGC00258659-01', 'AMYL ALCOHOL;pentan-1-ol;Pentan-1-ol', 'PE9', 'SMR001370872', '1-Pentanol, SAJ first grade, &gt;=97.0%', '1-Pentanol, SAJ special grade, &gt;=99.0%', 'FT-0608201', 'NS00002210', 'NS00056431', 'P0055', 'C16834', '26067-EP2269995A1', '26067-EP2272849A1', '26067-EP2274983A1', '26067-EP2275413A1', '26067-EP2281821A1', '26067-EP2287147A2', '26067-EP2287156A1', '26067-EP2287158A1', '26067-EP2308857A1', '26067-EP2311807A1', '26067-EP2311808A1', '26067-EP2311829A1', '26067-EP2314558A1', '26067-EP2371797A1', '26067-EP2371798A1', '26067-EP2375479A1', '28289-EP2287165A2', '28289-EP2287166A2', '28289-EP2292613A1', '28289-EP2292620A2', '28289-EP2308848A1', '28289-EP2314577A1', '33442-EP2295411A1', '33442-EP2311815A1', '78721-EP2269986A1', '78721-EP2272817A1', '78721-EP2292616A1', '78721-EP2298768A1', '78721-EP2301919A1', '78721-EP2305667A2', '78721-EP2305687A1', '78721-EP2380568A1', '89671-EP2298749A1', '89671-EP2305033A1', 'Q151733', 'F0001-1831', 'Z1259339786', '1-Pentanol, puriss. p.a., ACS reagent, &gt;=99.0% (GC)', 'UNII-2NK7O363Q6 component AMQJEAYHLZJPGS-UHFFFAOYSA-N', '1-Pentanol, United States Pharmacopeia (USP) Reference Standard', '1-Pentanol, Pharmaceutical Secondary Standard; Certified Reference Material', 'Pentanol mixture of isomers, for determination of fat in milk according to Gerber']</t>
  </si>
  <si>
    <t>Compound(6276)</t>
  </si>
  <si>
    <t>fluorobenzene</t>
  </si>
  <si>
    <t>['FLUOROBENZENE', '462-06-6', 'Benzene, fluoro-', 'Monofluorobenzene', 'Phenyl fluoride', '4-fluorobenzene', 'Fluorbenzol', 'fluoro-benzene', 'UNII-G3TSZ68K12', 'Fluorobenzene, 99%', 'EINECS 207-321-7', 'NSC 68416', 'UN2387', 'AI3-28560', 'CHEBI:5115', 'G3TSZ68K12', 'MFCD00000280', 'Fluorobenzenes', 'Fluobenzene', 'fluoranylbenzene', 'fluoro benzene', 'p-fluorobenzene', '1-fluorobenzene', '3-fluorobenzene', '1,2,3,4,5-pentadeuterio-6-fluorobenzene', 'WLN: FR', 'DSSTox_CID_5329', 'Fluorobenzene [UN2387]  [Flammable liquid]', 'EC 207-321-7', 'ACMC-1AH29', 'DSSTox_RID_77751', 'DSSTox_GSID_25329', 'KSC226C4D', 'CHEMBL16070', 'DTXSID4025329', 'KS-00000UGL', 'Fluorobenzene, analytical standard', 'ZINC967759', 'NSC68416', 'Tox21_201054', 'ANW-75641', 'BBL023306', 'NSC-68416', 'STL268902', 'AKOS000120121', 'LS-1273', 'MCULE-7689730731', 'PF10006', 'UN 2387', 'Fluorobenzene 10 microg/mL in Methanol', 'NCGC00091679-01', 'NCGC00091679-02', 'NCGC00258607-01', 'CAS-462-06-6', 'DA-05689', 'SC-27099', 'Fluorobenzene 2000 microg/mL in Methanol', 'F0034', 'Fluorobenzene [UN2387] [Flammable liquid]', 'FT-0626473', 'H2656', 'NS00003135', 'V0805', '72787-EP2269993A1', '72787-EP2305627A1', '72787-EP2309584A1', '72787-EP2377610A2', '72787-EP2377611A2', '90921-EP2272822A1', '90921-EP2305640A2', '189047-EP2371831A1', 'A827008', 'Q420820', 'J-521369', 'F0001-1250']</t>
  </si>
  <si>
    <t>Compound(10008)</t>
  </si>
  <si>
    <t>hexane</t>
  </si>
  <si>
    <t>['HEXANE', 'n-Hexane', '110-54-3', 'Esani', 'Skellysolve B', 'Gettysolve-B', 'Hexyl hydride', 'hexan', 'Dipropyl', 'Heksan', 'Hexanen', 'Hexanes', 'n-Hexan', 'Butane, ethyl-', 'Esani [Italian]', 'Heksan [Polish]', 'Hexanen [Dutch]', 'Hexane, branched and linear', 'Normal hexane', 'NCI-C60571', '1-hexane', '92112-69-1', 'UNII-2DDG612ED8', 'NSC 68472', 'HSDB 91', 'CCRIS 6247', 'CHEBI:29021', 'EINECS 203-777-6', 'UN1208', 'n-C6H14', 'Naphtha Solvent', 'AI3-24253', 'Naptha Solvent', '2DDG612ED8', 'CH3-[CH2]4-CH3', 'HEX', 'Hydrocarbons, C&gt;3', 'n-Hexane, 95+%, extra pure', 'Hexane, for HPLC, &gt;=95%', 'n-Hexane, 95+%, for HPLC', 'n-Hexane, 99+%, for analysis', 'normal-hexane', 'MFCD00009520', 'n-Hexane, 96+%, Extra Dry, AcroSeal(R)', 'n-Hexane, for analysis, contains appr. 95% n-Hexane', 'hexane solution', 'n-Hexane, 97%, Extra Dry over Molecular Sieve, AcroSeal(R)', 'n-Hexane, for pesticide residue analysis, approx. 95% n-Hexane', 'Hexane, HPLC Plus, for HPLC, GC, and residue analysis, &gt;=95%', 'HexH', 'n-Hexane, 95%, for residue analysis, ECD tested halocarbons free grade', 'n-hexane solution', 'n-Hexane, 95%, for residue analysis, for trace analysis of polyaromatic hydrocarbons', 'EINECS 295-570-2', 'Hexane, for HPLC', 'Hexane, p.a.', 'n-Hexane HPLC grade', 'n-Hexane, ACS grade', 'Hexane Fraction, purum', 'Hexane, technical grade', 'Hexane (Solvent Grade)', 'DSSTox_CID_1917', 'Hexane, anhydrous, 95%', 'Epitope ID:116866', 'Exxsol Hexane (Salt/Mix)', 'Hexanes Reagent Grade ACS', 'UN 1208 (Related)', 'EC 203-777-6', 'Hexane, analytical standard', 'Hexane, p.a., 95%', 'DSSTox_RID_76401', 'DSSTox_GSID_21917', 'Hexane, AR, &gt;=99%', 'WLN: 6H', '68476-44-8', 'Hexane, ACS reagent, 99%', 'KSC174K7R', 'CHEMBL15939', 'Hexane, p.a., 95.0%', 'Ligroine, Hexane (Laboratory)', 'DTXSID0021917', 'Hexane, for HPLC, &gt;=99%', 'n-Hexane, 97+%, for HPLC', 'CTK0H4578', 'KS-00000YUK', 'Hexane, purification grade, 95%', 'Hexane, ReagentPlus(R), &gt;=99%', 'NSC68472', 'ZINC1532209', 'EINECS 273-305-1', 'Hexane, puriss., &gt;=95% (GC)', 'Tox21_200777', '7548AF', 'ANW-42062', 'LMFA11000007', 'LS-507', 'NSC-68472', 'STL445663', 'Hexane, Laboratory Reagent, &gt;=95%', 'Hexane, purum, &gt;=98.0% (GC)', 'AKOS000269046', 'Hexane, UV HPLC spectroscopic, 97%', 'Hexane, SAJ first grade, &gt;=95.0%', 'MCULE-3465692202', 'Hexanes [UN1208] [Flammable liquid]', 'Hexane, JIS special grade, &gt;=96.0%', 'Hexanes [UN1208]  [Flammable liquid]', 'NCGC00248828-01', 'NCGC00258331-01', 'CAS-110-54-3', 'Hexane, for HPLC, &gt;=97.0% (GC)', 'Hexane, spectrophotometric grade, &gt;=95%', '927-EP1441224A2', '927-EP2269610A2', '927-EP2269977A2', '927-EP2270000A1', '927-EP2270001A1', '927-EP2270005A1', '927-EP2270006A1', '927-EP2270011A1', '927-EP2270014A1', '927-EP2272509A1', '927-EP2272517A1', '927-EP2272813A2', '927-EP2272825A2', '927-EP2272839A1', '927-EP2272840A1', '927-EP2272847A1', '927-EP2275102A1', '927-EP2277848A1', '927-EP2277865A1', '927-EP2277867A2', '927-EP2277875A2', '927-EP2279741A2', '927-EP2280003A2', '927-EP2280008A2', '927-EP2280012A2', '927-EP2280014A2', '927-EP2281563A1', '927-EP2284149A1', '927-EP2284157A1', '927-EP2286811A1', '927-EP2287165A2', '927-EP2287166A2', '927-EP2287167A1', '927-EP2287168A2', '927-EP2289510A1', '927-EP2289876A1', '927-EP2289890A1', '927-EP2289892A1', '927-EP2289893A1', '927-EP2289894A2', '927-EP2292088A1', '927-EP2292576A2', '927-EP2292620A2', '927-EP2292621A1', '927-EP2292622A1', '927-EP2295401A2', '927-EP2295402A2', '927-EP2295407A1', '927-EP2295408A1', '927-EP2295409A1', '927-EP2295411A1', '927-EP2295412A1', '927-EP2295413A1', '927-EP2295415A1', '927-EP2295417A1', '927-EP2295426A1', '927-EP2295427A1', '927-EP2295432A1', '927-EP2295433A2', '927-EP2295435A1', '927-EP2295437A1', '927-EP2298734A2', '927-EP2298735A1', '927-EP2298736A1', '927-EP2298738A1', '927-EP2298743A1', '927-EP2298751A2', '927-EP2298758A1', '927-EP2298759A1', '927-EP2298770A1', '927-EP2298775A1', '927-EP2298776A1', '927-EP2298779A1', '927-EP2299785A1', '927-EP2301533A1', '927-EP2301536A1', '927-EP2301538A1', '927-EP2301923A1', '927-EP2301929A1', '927-EP2301930A1', '927-EP2301931A1', '927-EP2301933A1', '927-EP2301934A1', '927-EP2301935A1', '927-EP2301940A1', '927-EP2302382A2', '927-EP2302383A2', '927-EP2305250A1', '927-EP2305636A1', '927-EP2305640A2', '927-EP2305648A1', '927-EP2305660A1', '927-EP2305664A1', '927-EP2305668A1', '927-EP2305671A1', '927-EP2305674A1', '927-EP2305675A1', '927-EP2305677A1', '927-EP2305680A2', '927-EP2305682A1', '927-EP2305684A1', '927-EP2305695A2', '927-EP2305696A2', '927-EP2305697A2', '927-EP2305698A2', '927-EP2306788A1', '927-EP2306789A1', '927-EP2308812A2', '927-EP2308832A1', '927-EP2308833A2', '927-EP2308840A1', '927-EP2308841A2', '927-EP2308848A1', '927-EP2308849A1', '927-EP2308850A1', '927-EP2308851A1', '927-EP2308861A1', '927-EP2308872A1', '927-EP2308873A1', '927-EP2308875A1', '927-EP2308879A1', '927-EP2308882A1', '927-EP2311455A1', '927-EP2311796A1', '927-EP2311797A1', '927-EP2311798A1', '927-EP2311799A1', '927-EP2311807A1', '927-EP2311814A1', '927-EP2311815A1', '927-EP2311824A1', '927-EP2311827A1', '927-EP2311829A1', '927-EP2311830A1', '927-EP2311836A1', '927-EP2311837A1', '927-EP2311850A1', '927-EP2314295A1', '927-EP2314571A2', '927-EP2314582A1', '927-EP2314584A1', '927-EP2314590A1', '927-EP2314593A1', '927-EP2315502A1', '927-EP2316452A1', '927-EP2316458A1', '927-EP2316827A1', '927-EP2316828A1', '927-EP2316829A1', '927-EP2316831A1', '927-EP2316832A1', '927-EP2316833A1', '927-EP2316836A1', '927-EP2374454A1', '927-EP2380568A1', 'FT-0627031', 'FT-0657006', 'Hexane, suitable for determination of dioxins', 'NS00003550', 'S0278', '1971-EP0930075A1', '1971-EP1441224A2', '1971-EP2269651A2', '1971-EP2269977A2', '1971-EP2269978A2', '1971-EP2269979A1', '1971-EP2269985A2', '1971-EP2269986A1', '1971-EP2269988A2', '1971-EP2269989A1', '1971-EP2269990A1', '1971-EP2269991A2', '1971-EP2269992A1', '1971-EP2269993A1', '1971-EP2270001A1', '1971-EP2270006A1', '1971-EP2270008A1', '1971-EP2270009A1', '1971-EP2270010A1', '1971-EP2270011A1', '1971-EP2270014A1', '1971-EP2270017A1', '1971-EP2270101A1', '1971-EP2270113A1', '1971-EP2270114A1', '1971-EP2270505A1', '1971-EP2272516A2', '1971-EP2272517A1', '1971-EP2272537A2', '1971-EP2272813A2', '1971-EP2272817A1', '1971-EP2272822A1', '1971-EP2272825A2', '1971-EP2272827A1', '1971-EP2272832A1', '1971-EP2272835A1', '1971-EP2272837A1', '1971-EP2272839A1', '1971-EP2272840A1', '1971-EP2272841A1', '1971-EP2272843A1', '1971-EP2272844A1', '1971-EP2272849A1', '1971-EP2272935A1', '1971-EP2272972A1', '1971-EP2272973A1', '1971-EP2274983A1', '1971-EP2275102A1', '1971-EP2275105A1', '1971-EP2275395A2', '1971-EP2275401A1', '1971-EP2275403A1', '1971-EP2275404A1', '1971-EP2275410A1', '1971-EP2275411A2', '1971-EP2275412A1', '1971-EP2275413A1', '1971-EP2275414A1', '1971-EP2275420A1', '1971-EP2275421A1', '1971-EP2275469A1', '1971-EP2277565A2', '1971-EP2277566A2', '1971-EP2277567A1', '1971-EP2277568A2', '1971-EP2277569A2', '1971-EP2277570A2', '1971-EP2277848A1', '1971-EP2277858A1', '1971-EP2277861A1', '1971-EP2277865A1', '1971-EP2277866A1', '1971-EP2277867A2', '1971-EP2277872A1', '1971-EP2277874A1', '1971-EP2277875A2', '1971-EP2277878A1', '1971-EP2277880A1', '1971-EP2277898A2', '1971-EP2279741A2', '1971-EP2279750A1', '1971-EP2279751A2', '1971-EP2280000A1', '1971-EP2280001A1', '1971-EP2280003A2', '1971-EP2280005A1', '1971-EP2280006A1', '1971-EP2280007A1', '1971-EP2280008A2', '1971-EP2280009A1', '1971-EP2280011A1', '1971-EP2280012A2', '1971-EP2281563A1', '1971-EP2281813A1', '1971-EP2281815A1', '1971-EP2281817A1', '1971-EP2281818A1', '1971-EP2281819A1', '1971-EP2281820A2', '1971-EP2281821A1', '1971-EP2281823A2', '1971-EP2281824A1', '1971-EP2281899A2', '1971-EP2284148A1', '1971-EP2284149A1', '1971-EP2284150A2', '1971-EP2284151A2', '1971-EP2284152A2', '1971-EP2284153A2', '1971-EP2284154A1', '1971-EP2284155A2', '1971-EP2284156A2', '1971-EP2284157A1', '1971-EP2284159A1', '1971-EP2284160A1', '1971-EP2284164A2', '1971-EP2284165A1', '1971-EP2284167A2', '1971-EP2284168A2', '1971-EP2284169A1', '1971-EP2284171A1', '1971-EP2284172A1', '1971-EP2284174A1', '1971-EP2284920A1', '1971-EP2286811A1', '1971-EP2286915A2', '1971-EP2287140A2', '1971-EP2287141A1', '1971-EP2287147A2', '1971-EP2287148A2', '1971-EP2287150A2', '1971-EP2287152A2', '1971-EP2287153A1', '1971-EP2287154A1', '1971-EP2287155A1', '1971-EP2287156A1', '1971-EP2287157A1', '1971-EP2287159A1', '1971-EP2287160A1', '1971-EP2287161A1', '1971-EP2287162A1', '1971-EP2287165A2', '1971-EP2287166A2', '1971-EP2287167A1', '1971-EP2287940A1', '1971-EP2289509A2', '1971-EP2289868A1', '1971-EP2289876A1', '1971-EP2289877A1', '1971-EP2289879A1', '1971-EP2289883A1', '1971-EP2289884A1', '1971-EP2289887A2', '1971-EP2289888A2', '1971-EP2289891A2', '1971-EP2289892A1', '1971-EP2289893A1', '1971-EP2289894A2', '1971-EP2289965A1', '1971-EP2292088A1', '1971-EP2292227A2', '1971-EP2292228A1', '1971-EP2292280A1', '1971-EP2292576A2', '1971-EP2292590A2', '1971-EP2292592A1', '1971-EP2292593A2', '1971-EP2292595A1', '1971-EP2292596A2', '1971-EP2292597A1', '1971-EP2292601A1', '1971-EP2292602A1', '1971-EP2292603A1', '1971-EP2292604A2', '1971-EP2292606A1', '1971-EP2292607A2', '1971-EP2292609A1', '1971-EP2292610A1', '1971-EP2292611A1', '1971-EP2292612A2', '1971-EP2292615A1', '1971-EP2292617A1', '1971-EP2292619A1', '1971-EP2292620A2', '1971-EP2292621A1', '1971-EP2292622A1', '1971-EP2295401A2', '1971-EP2295402A2', '1971-EP2295406A1', '1971-EP2295408A1', '1971-EP2295409A1', '1971-EP2295411A1', '1971-EP2295412A1', '1971-EP2295413A1', '1971-EP2295414A1', '1971-EP2295415A1', '1971-EP2295418A1', '1971-EP2295419A2', '1971-EP2295421A1', '1971-EP2295424A1', '1971-EP2295425A1', '1971-EP2295426A1', '1971-EP2295427A1', '1971-EP2295428A2', '1971-EP2295429A1', '1971-EP2295432A1', '1971-EP2295433A2', '1971-EP2295434A2', '1971-EP2295437A1', '1971-EP2295438A1', '1971-EP2295439A1', '1971-EP2295441A2', '1971-EP2295503A1', '1971-EP2298729A1', '1971-EP2298731A1', '1971-EP2298734A2', '1971-EP2298735A1', '1971-EP2298737A1', '1971-EP2298738A1', '1971-EP2298739A1', '1971-EP2298741A1', '1971-EP2298742A1', '1971-EP2298743A1', '1971-EP2298744A2', '1971-EP2298747A1', '1971-EP2298750A1', '1971-EP2298751A2', '1971-EP2298754A1', '1971-EP2298755A1', '1971-EP2298757A2', '1971-EP2298758A1', '1971-EP2298759A1', '1971-EP2298763A1', '1971-EP2298764A1', '1971-EP2298765A1', '1971-EP2298767A1', '1971-EP2298768A1', '1971-EP2298770A1', '1971-EP2298771A2', '1971-EP2298772A1', '1971-EP2298774A1', '1971-EP2298775A1', '1971-EP2298778A1', '1971-EP2298779A1', '1971-EP2298783A1', '1971-EP2298828A1', '1971-EP2299326A1', '1971-EP2299509A1', '1971-EP2299785A1', '1971-EP2301536A1', '1971-EP2301538A1', '1971-EP2301544A1', '1971-EP2301627A1', '1971-EP2301911A1', '1971-EP2301918A1', '1971-EP2301920A1', '1971-EP2301921A1', '1971-EP2301922A1', '1971-EP2301924A1', '1971-EP2301925A1', '1971-EP2301926A1', '1971-EP2301929A1', '1971-EP2301934A1', '1971-EP2301935A1', '1971-EP2301936A1', '1971-EP2301937A1', '1971-EP2301939A1', '1971-EP2301940A1', '1971-EP2301983A1', '1971-EP2302015A1', '1971-EP2305248A1', '1971-EP2305250A1', '1971-EP2305254A1', '1971-EP2305260A1', '1971-EP2305625A1', '1971-EP2305627A1', '1971-EP2305629A1', '1971-EP2305633A1', '1971-EP2305636A1', '1971-EP2305637A2', '1971-EP2305640A2', '1971-EP2305641A1', '1971-EP2305642A2', '1971-EP2305649A1', '1971-EP2305651A1', '1971-EP2305652A2', '1971-EP2305656A1', '1971-EP2305658A1', '1971-EP2305659A1', '1971-EP2305660A1', '1971-EP2305663A1', '1971-EP2305664A1', '1971-EP2305667A2', '1971-EP2305668A1', '1971-EP2305672A1', '1971-EP2305673A1', '1971-EP2305674A1', '1971-EP2305675A1', '1971-EP2305676A1', '1971-EP2305677A1', '1971-EP2305682A1', '1971-EP2305684A1', '1971-EP2305685A1', '1971-EP2305686A1', '1971-EP2305687A1', '1971-EP2305688A1', '1971-EP2305689A1', '1971-EP2305695A2', '1971-EP2305696A2', '1971-EP2305697A2', '1971-EP2305698A2', '1971-EP2305769A2', '1971-EP2305808A1', '1971-EP2305825A1', '1971-EP2306788A1', '1971-EP2306789A1', '1971-EP2308471A1', '1971-EP2308562A2', '1971-EP2308812A2', '1971-EP2308828A2', '1971-EP2308833A2', '1971-EP2308838A1', '1971-EP2308839A1', '1971-EP2308840A1', '1971-EP2308841A2', '1971-EP2308843A1', '1971-EP2308844A2', '1971-EP2308845A2', '1971-EP2308846A2', '1971-EP2308848A1', '1971-EP2308849A1', '1971-EP2308850A1', '1971-EP2308851A1', '1971-EP2308854A1', '1971-EP2308855A1', '1971-EP2308857A1', '1971-EP2308858A1', '1971-EP2308861A1', '1971-EP2308864A1', '1971-EP2308867A2', '1971-EP2308869A1', '1971-EP2308870A2', '1971-EP2308872A1', '1971-EP2308874A1', '1971-EP2308875A1', '1971-EP2308876A1', '1971-EP2308877A1', '1971-EP2308879A1', '1971-EP2308880A1', '1971-EP2308882A1', '1971-EP2311455A1', '1971-EP2311801A1', '1971-EP2311802A1', '1971-EP2311803A1', '1971-EP2311807A1', '1971-EP2311808A1', '1971-EP2311810A1', '1971-EP2311811A1', '1971-EP2311814A1', '1971-EP2311815A1', '1971-EP2311816A1', '1971-EP2311817A1', '1971-EP2311818A1', '1971-EP2311820A1', '1971-EP2311821A1', '1971-EP2311822A1', '1971-EP2311823A1', '1971-EP2311824A1', '1971-EP2311825A1', '1971-EP2311826A2', '1971-EP2311829A1', '1971-EP2311830A1', '1971-EP2311831A1', '1971-EP2311834A1', '1971-EP2311837A1', '1971-EP2311841A1', '1971-EP2311842A2', '1971-EP2311850A1', '1971-EP2314295A1', '1971-EP2314558A1', '1971-EP2314571A2', '1971-EP2314574A1', '1971-EP2314576A1', '1971-EP2314582A1', '1971-EP2314583A1', '1971-EP2314584A1', '1971-EP2314585A1', '1971-EP2314586A1', '1971-EP2314587A1', '1971-EP2314590A1', '1971-EP2314593A1', '1971-EP2315303A1', '1971-EP2316452A1', '1971-EP2316458A1', '1971-EP2316470A2', '1971-EP2316824A1', '1971-EP2316825A1', '1971-EP2316827A1', '1971-EP2316828A1', '1971-EP2316829A1', '1971-EP2316832A1', '1971-EP2316833A1', '1971-EP2316836A1', '1971-EP2316974A1', '1971-EP2371795A1', '1971-EP2371797A1', '1971-EP2371800A1', '1971-EP2371804A1', '1971-EP2371810A1', '1971-EP2371811A2', '1971-EP2371812A1', '1971-EP2371813A1', '1971-EP2371814A1', '1971-EP2371831A1', '1971-EP2374454A1', '1971-EP2374783A1', '1971-EP2374788A1', '1971-EP2374790A1', '1971-EP2377510A1', '1971-EP2377841A1', '1971-EP2377847A1', '1971-EP2380568A1', '1971-EP2380874A2', '4834-EP0930075A1', '4834-EP2269610A2', '4834-EP2269987A1', '4834-EP2269990A1', '4834-EP2272516A2', '4834-EP2272817A1', '4834-EP2272827A1', '4834-EP2272832A1', '4834-EP2272837A1', '4834-EP2272841A1', '4834-EP2275407A1', '4834-EP2275409A1', '4834-EP2275411A2', '4834-EP2275413A1', '4834-EP2275419A2', '4834-EP2275421A1', '4834-EP2275469A1', '4834-EP2277858A1', '4834-EP2277880A1', '4834-EP2280000A1', '4834-EP2280001A1', '4834-EP2280007A1', '4834-EP2280008A2', '4834-EP2280009A1', '4834-EP2281563A1', '4834-EP2281817A1', '4834-EP2281820A2', '4834-EP2281823A2', '4834-EP2284148A1', '4834-EP2284169A1', '4834-EP2284174A1', '4834-EP2287152A2', '4834-EP2287154A1', '4834-EP2287155A1', '4834-EP2287156A1', '4834-EP2287161A1', '4834-EP2287162A1', '4834-EP2287940A1', '4834-EP2289897A1', '4834-EP2289965A1', '4834-EP2292088A1', '4834-EP2292610A1', '4834-EP2295430A2', '4834-EP2295431A2', '4834-EP2298729A1', '4834-EP2298741A1', '4834-EP2298745A1', '4834-EP2298746A1', '4834-EP2298747A1', '4834-EP2298754A1', '4834-EP2298755A1', '4834-EP2298757A2', '4834-EP2298772A1', '4834-EP2298774A1', '4834-EP2298778A1', '4834-EP2298828A1', '4834-EP2299510A1', '4834-EP2301909A1', '4834-EP2301911A1', '4834-EP2301921A1', '4834-EP2301922A1', '4834-EP2301926A1', '4834-EP2301983A1', '4834-EP2305260A1', '4834-EP2305627A1', '4834-EP2305644A1', '4834-EP2305649A1', '4834-EP2305652A2', '4834-EP2305655A2', '4834-EP2305657A2', '4834-EP2305660A1', '4834-EP2305669A1', '4834-EP2305672A1', '4834-EP2305683A1', '4834-EP2305808A1', '4834-EP2305825A1', '4834-EP2308510A1', '4834-EP2308828A2', '4834-EP2308838A1', '4834-EP2308839A1', '4834-EP2308857A1', '4834-EP2308861A1', '4834-EP2308866A1', '4834-EP2308877A1', '4834-EP2308926A1', '4834-EP2309564A1', '4834-EP2309584A1', '4834-EP2311801A1', '4834-EP2311802A1', '4834-EP2311803A1', '4834-EP2311806A2', '4834-EP2311820A1', '4834-EP2311821A1', '4834-EP2311832A1', '4834-EP2311833A1', '4834-EP2311839A1', '4834-EP2314577A1', '4834-EP2314583A1', '4834-EP2314585A1', '4834-EP2314589A1', '4834-EP2316837A1', '4834-EP2371831A1', '4834-EP2374788A1', '4834-EP2375479A1', '4834-EP2380871A1', 'C11271', '14902-EP2272846A1', '14902-EP2277868A1', '14902-EP2277869A1', '14902-EP2277870A1', '14902-EP2281817A1', '14902-EP2292608A1', '14902-EP2292625A1', '14902-EP2295422A2', '14902-EP2295436A1', '14902-EP2298769A1', '14902-EP2308866A1', '14902-EP2316830A2', '14902-EP2374791A1', '25662-EP2275408A1', '25662-EP2281817A1', '25662-EP2287158A1', '25662-EP2289483A1', '25662-EP2292616A1', '25662-EP2295423A1', '25662-EP2308852A1', '25662-EP2308866A1', '25662-EP2314580A1', '105320-EP2298779A1', 'A802211', 'Q150440', 'J-002443', 'Hexane, Vetec(TM) reagent grade, anhydrous, &gt;=95%', 'Hexane, puriss. p.a., ACS reagent, &gt;=99.0% (GC)', 'n-Hexane, 97%, for electronic use (MOS), residue free', '680AF2EE-A7B6-479B-BFB3-0F5354069F72', 'Hexane, &gt;=96.0%, suitable for residual phthalate analysis', 'Hexane, for residue analysis, suitable for 5000 per JIS', 'n-Hexane, 95% min. glass distilled HRGC/HPLC trace grade', 'UNII-1S70G88A39 component VLKZOEOYAKHREP-UHFFFAOYSA-N', 'HEXANES, MIXTURE OF ISOMERS, FOR SPECTROSCOPY, 95+%', 'Hexane, puriss. p.a., ACS reagent, reag. Ph. Eur., &gt;=99% (GC)', 'Hexane, suitable for 1000 per JIS, &gt;=96.0%, for residue analysis', 'Hexane, suitable for 300 per JIS, &gt;=96.0%, for residue analysis', 'Hexane, Pharmaceutical Secondary Standard; Certified Reference Material', 'Hexane, commercial grade (52% n-hexane, 16% 3-methylpentane, 16% methylcyclopentane)', 'Hexane, puriss., absolute, over molecular sieve (H2O &lt;=0.01%), &gt;=99.0% (GC)']</t>
  </si>
  <si>
    <t>Compound(8058)</t>
  </si>
  <si>
    <t>['HEXANAL', 'Caproaldehyde', '66-25-1', 'Hexaldehyde', 'Capronaldehyde', 'Caproic aldehyde', '1-Hexanal', 'n-Hexanal', 'Hexanaldehyde', 'Hexylaldehyde', 'n-Caproaldehyde', 'Aldehyde C-6', 'Hexyl aldehyde', 'n-Capronaldehyde', 'n-Caproylaldehyde', 'Hexoic aldehyde', 'n-Hexaldehyde', 'C6 aldehyde', 'n-Caproic aldehyde', 'Kapronaldehyd', 'Hexanal (natural)', 'Kapronaldehyd [Czech]', 'n-Hexylaldehyde', 'FEMA Number 2557', 'UNII-9DC2K31JJQ', 'NSC 2596', 'hexan-1-al', 'FEMA No. 2557', 'C6H12O', 'CCRIS 3219', 'HSDB 560', 'EINECS 200-624-5', 'UN1207', 'n-C5H11CHO', 'BRN 0506198', '9DC2K31JJQ', 'AI3-15364', 'CHEMBL280331', 'CHEBI:88528', 'MFCD00007027', 'DSSTox_CID_1604', 'Hexanal, 96%, stabilized', 'DSSTox_RID_76231', 'DSSTox_GSID_21604', 'CAS-66-25-1', 'Aldehydes, C6', 'E-2-hexanal', 'capronaidehyde', 'Hexanal;', '1-hexanone', 'Aldehyde C6', 'PubChem3077', 'Hexanal, 98%', 'hexanal;HEXANAL;Hexanal', 'ACMC-1BFR4', 'EC 200-624-5', 'WLN: VH5', 'Hexanal, analytical standard', 'SCHEMBL22263', '4-01-00-03296 (Beilstein Handbook Reference)', 'KSC353M9N', 'DTXSID2021604', 'CTK2F3696', 'NSC2596', 'Hexanal, natural, &gt;=90%, FG', 'Hexanal, natural, &gt;=95%, FG', 'Hexanal, &gt;=97%, FCC, FG', 'KS-000000MX', 'NSC-2596', 'ZINC1641021', 'Tox21_201933', 'Tox21_303342', '7134AH', 'ANW-35172', 'BDBM50028824', 'LMFA06000109', 'STL280331', 'AKOS009156478', 'EBD3061058', 'FS-3948', 'LS-2339', 'NE10466', 'UN 1207', 'NCGC00249137-01', 'NCGC00257270-01', 'NCGC00259482-01', 'SC-06151', 'Hexaldehyde [UN1207] [Flammable liquid]', 'DB-054893', 'FT-0631290', 'FT-0669191', 'Hexaldehyde [UN1207]  [Flammable liquid]', 'NS00009211', 'EN300-33498', 'A835388', 'Q420698', 'J-660017', 'O8Y']</t>
  </si>
  <si>
    <t>Compound(6184)</t>
  </si>
  <si>
    <t>hexanoic acid</t>
  </si>
  <si>
    <t>['HEXANOIC ACID', 'Caproic acid', '142-62-1', 'n-Hexanoic acid', 'n-Caproic acid', 'Capronic acid', 'Hexoic acid', 'Butylacetic acid', 'n-Hexylic acid', 'n-Hexoic acid', 'Pentylformic acid', '1-Hexanoic acid', 'Pentiformic acid', '1-Pentanecarboxylic acid', 'Pentanecarboxylic acid', 'Hexacid 698', 'Hexylic acid', 'Kyselina kapronova', 'Hexanoic acid (natural)', 'Kyselina kapronova [Czech]', 'NSC 8266', 'UNII-1F8SN134MX', 'FEMA No. 2559', 'CCRIS 1347', 'Hexanoic acid, 99%', 'HSDB 6813', 'EINECS 205-550-7', 'MFCD00004421', 'UN2829', 'BRN 0773837', 'NCIOpen2_005355', 'hexanoic acid (caproic acid)', 'CHEMBL14184', 'CH3-[CH2]4-COOH', 'AI3-07701', '1F8SN134MX', 'CHEBI:30776', 'NSC8266', 'capronate', 'hexylate', 'pentylformate', 'n-caproate', 'n-hexoate', 'n-hexylate', 'HEXANOIC ACID  (CAPROIC ACID)', '1-hexanoate', 'C6:0', '1-pentanecarboxylate', 'DSSTox_CID_1607', 'DSSTox_RID_76233', 'DSSTox_GSID_21607', 'CAS-142-62-1', 'hexanoicacid', 'Hexanoic Acid;', 'hexans&amp;#xe4;ure', 'Nat.Hexanoic Acid', '6NA', 'EINECS 274-509-3', 'Caproic Acid,(S)', 'Acid C6', 'Caproate (6:0)', 'ethyl 4-butanoic acid', 'Fatty Acid 1210', 'ACMC-1BTHO', 'methyl 5-pentanoic acid', 'Carboxylic acids, C6-18 and C6-18-unsatd. mono- and C8-15-di-', 'Pentane-1-carboxylic acid', 'Hexanoic acid, &gt;=99%', 'n-C5H11COOH', 'Hexanoic acid Caproic acid', 'bmse000351', 'EC 205-550-7', '(C5-C9) Monobasic acids', 'SCHEMBL3867', 'WLN: QV5', 'CH3(CH2)4COOH', '4-02-00-00917 (Beilstein Handbook Reference)', '70248-25-8', 'KSC177A6N', '(C6-C12)Alkylcarboxylic acid', 'DTXSID7021607', '(C6-C12) Alkylcarboxylic acid', 'BDBM16433', 'CTK0H7066', 'Hexanoic acid, analytical standard', 'KS-00000W2U', 'NSC-8266', 'STR10048', 'ZINC1529230', 'EINECS 267-013-3', 'EINECS 271-676-4', 'Tox21_201517', 'Tox21_300406', 'ANW-20709', 'LMFA01010006', 'SBB053586', 'Hexanoic acid, &gt;=98%, FCC, FG', 'AKOS000119844', 'Caproic acid [UN2829] [Corrosive]', 'FA(6:0)', 'LS-2796', 'MCULE-1671810139', 'Caproic acid [UN2829]  [Corrosive]', 'Hexanoic acid, natural, &gt;=98%, FCC', 'NCGC00248020-01', 'NCGC00248020-02', 'NCGC00254504-01', 'NCGC00259067-01', 'Hexanoic acid, purum, &gt;=98.0% (GC)', 'M557', 'FT-0659402', 'FT-0777869', 'Hexanoic acid, natural, &gt;=98%, FCC, FG', 'NS00003820', 'ST51046281', 'C01585', 'EC 271-676-4', '11034-EP2269610A2', '11034-EP2270002A1', '11034-EP2277848A1', '11034-EP2284146A2', '11034-EP2284147A2', '11034-EP2289510A1', '11034-EP2298313A1', '11034-EP2316457A1', '11034-EP2316458A1', '11034-EP2316825A1', '11034-EP2316826A1', '11034-EP2316827A1', '11034-EP2316828A1', '16407-EP2275401A1', '16407-EP2281563A1', '16407-EP2284160A1', '16407-EP2289890A1', '16407-EP2305646A1', '16407-EP2305687A1', '16407-EP2311824A1', '16407-EP2311842A2', '16407-EP2316459A1', '16407-EP2374787A1', '16420-EP2275401A1', '16420-EP2281563A1', '16420-EP2289890A1', '16420-EP2305646A1', '16420-EP2311842A2', '16420-EP2316459A1', 'Q422597', 'J-007673', '25401AB4-1ECB-481F-AC91-EAAFC9329BDD', 'Z955123566', 'UNII-13FB83DEYU component FUZZWVXGSFPDMH-UHFFFAOYSA-N']</t>
  </si>
  <si>
    <t>Compound(8892)</t>
  </si>
  <si>
    <t>hexylbenzene</t>
  </si>
  <si>
    <t>['Hexylbenzene', '1-Phenylhexane', '1077-16-3', 'Benzene, hexyl-', 'N-HEXYLBENZENE', 'Hexane, 1-phenyl-', 'UNII-8E3D1A2BZP', '8E3D1A2BZP', '1-hexylbenzene', '4-hexylbenzene', 'EINECS 214-070-7', 'NSC 86141', 'Hexylbenzene, 97%', 'Hexylbenzene;hexylbenzene', 'ACMC-1BPS4', 'Hexane, 1-phenyl- (8CI)', 'DTXSID8061476', 'CHEBI:88569', 'CTK0H5462', 'Hexylbenzene, analytical standard', 'NSC86141', 'ZINC1760823', '5998AF', 'ANW-15840', 'CCG-40547', 'MFCD00009526', 'NSC-86141', 'AKOS009031351', 'MCULE-4666294977', 'Hexylbenzene, purum, &gt;=98.0% (GC)', 'KS-0000139V', 'AS-38216', 'CC-32792', 'DB-040780', 'FT-0633307', 'NS00023475', 'ST50827264', 'C-04252', 'J-002004', 'Q24764675', '3GZ']</t>
  </si>
  <si>
    <t>Compound(14109)</t>
  </si>
  <si>
    <t>hexylene glycol</t>
  </si>
  <si>
    <t>2-methylpentane-2,4-diol</t>
  </si>
  <si>
    <t>['Hexylene glycol', '2-METHYL-2,4-PENTANEDIOL', '107-41-5', '2-Methylpentane-2,4-diol', 'Diolane', 'Pinakon', '2,4-Pentanediol, 2-methyl-', '2,4-Dihydroxy-2-methylpentane', 'Isol', '4-Methyl-2,4-pentanediol', '1,1,3-Trimethyltrimethylenediol', '2-Methyl pentane-2,4-diol', 'Caswell No. 574', '2-Methyl-2,4-pentandiol', 'Hexylene glycol [NF]', 'HSDB 1126', '(+-)-2-Methyl-2,4-pentanediol', 'NSC 8098', "alpha,alpha,alpha'-Trimethyltrimethylene glycol", 'EINECS 203-489-0', 'EPA Pesticide Chemical Code 068601', 'BRN 1098298', 'AI3-00919', '1,3-dimethyl-3-hydroxybutanol', 'CHEBI:62995', '1,3,3-trimethyl-1,3-propanediol', 'MFCD00004547', 'Hexylene glycol (NF)', 'DSSTox_CID_1885', 'DSSTox_RID_76384', 'DSSTox_GSID_21885', 'UNII-KEH0A3F75J', '2-Methyl-2,4-pentanediol, 99%', 'CAS-107-41-5', '(4R)-2-METHYLPENTANE-2,4-DIOL', '2-Methylpentan-2,4-diol', '2-Methyl-pentane-2,4-diol', 'CCRIS 9439', 'KEH0A3F75J', '284474-72-2', 'Hexylene glycol, 99%', 'R-(-)-2-METHYL-2,4-PENTANEDIOL', '(+/-)-Hexylene glycol', '2methyl-2,4-pentanediol', '(+-)-2-methyl-2', '2-methyl-2-4-pentanediol', 'EC 203-489-0', 'Hexylene glycol, &gt;=99%', 'Hexylene glycol, 99.5%', 'ACMC-1BS78', '(+/-)-2-methyl-2', 'SCHEMBL19379', '2-Methylpentane-2,4-diol.', '1,3-Trimethyltrimethylenediol', '4-01-00-02565 (Beilstein Handbook Reference)', 'KSC489M3B', 'CHEMBL2104293', 'DTXSID5021885', 'CTK3I9630', 'KS-00000VEM', 'NSC8098', 'HMS3264E19', '1,1,3-trimethyl-1,3-propanediol', 'HY-B0903', 'NSC-8098', 'Hexylene glycol, analytical standard', 'Tox21_201975', 'Tox21_302818', '(+/-)-2-Methyl-2,4-pentanediol', '2-Methyl-2,4-pentanediol, 99+%', 'ANW-15793', 'SBB061336', 'AKOS015901459', 'CCG-213719', 'MCULE-5281049691', 'WLN: QY1 &amp; 1XQ1 &amp; 1', 'NCGC00249143-01', 'NCGC00256494-01', 'NCGC00259524-01', '(+/-)-2,4-Dihydroxy-2-methyl pentane', 'AC-13749', 'AS-58339', 'Hexylene glycol, BioXtra, &gt;=99% (GC)', '(^+)-2-Methyl-2,4-pentanediol, 98%', 'DB-057767', 'LS-101663', 'FT-0605050', 'FT-0605756', 'FT-0613069', 'Hexylene glycol, puriss., &gt;=99.0% (GC)', 'M0384', 'ST51047360', ".alpha.,.alpha.'-Trimethyltrimethylene glycol", 'Hexylene glycol, BioUltra, &gt;=99.0% (GC)', 'D04439', 'AB01563179_01', 'J-640306', 'J-660006', 'Q2792203', 'W-108748', 'Hexylene glycol, United States Pharmacopeia (USP) Reference Standard', 'HEXYLENE GLYCOL;2-methylpentane-2,4-diol;2,4-Pentanediol, 2-methyl-', 'Hexylene glycol, PharmaGrade, USP/NF, Manufactured under appropriate GMP controls for pharma or biopharmaceutical production']</t>
  </si>
  <si>
    <t>Compound(7870)</t>
  </si>
  <si>
    <t>heptane</t>
  </si>
  <si>
    <t>['HEPTANE', 'n-Heptane', '142-82-5', 'Heptan', 'Heptyl hydride', 'Dipropyl methane', 'Dipropylmethane', 'Gettysolve-C', 'Skellysolve C', 'Heptanen', 'Eptani', 'Pentane, ethyl-', 'Heptan [Polish]', 'Eptani [Italian]', 'Heptanen [Dutch]', 'NSC 62784', 'HSDB 90', 'UNII-456148SDMJ', 'EINECS 205-563-8', 'MFCD00009544', 'UN1206', 'AI3-28784', 'n-Heptan', 'CHEBI:43098', '456148SDMJ', 'n-Heptane, 99+%, pure', 'n-Heptane, 99+%, extra pure', 'n-Heptane, 99.5%, for analysis', 'n-Heptane, 99+%, for spectroscopy', 'HP6', 'n-Heptane, 99+%, Extra Dry, AcroSeal(R)', 'n-Heptane, for HPLC, approx. 95% n-heptane', 'n-Heptane, 99%, for biochemistry, AcroSeal(R)', 'n-Heptane, for HPLC, (approx. 99% n-Heptane)', 'Heptanes', 'n-Heptane, 99+%, Extra Dry over Molecular Sieve, AcroSeal(R)', 'heptan-e', 'n-Heptane, 99+%, for residue analysis, ECD tested for pesticide analysis', '2ygu', 'n-Heptane, 99+%, for residue analysis, for trace analysis of polyaromatic hydrocarbons', 'Heptane, for HPLC', 'Heptane 96%', 'Heptane (GC grade)', 'PETROLEUM ETHER', 'n-Heptane HPLC grade', 'ACMC-1CCAB', 'n-Heptane Reagent Grade', 'Heptane, 99.5%', 'Heptane, technical grade', 'DSSTox_CID_4127', 'Ligroine, Heptane 100%', 'Heptane, anhydrous, 99%', 'UN 1206 (Related)', 'EC 205-563-8', 'Exxsol heptane (Salt/Mix)', 'Heptane, p.a., 95%', 'Heptane, Laboratory Reagent', 'Heptane, analytical standard', 'DSSTox_RID_77301', 'DSSTox_GSID_24127', 'Heptane, AR, &gt;=99%', 'Heptane, LR, &gt;=99%', 'Heptane-1,1,1-triylradical', 'WLN: 7H', 'KSC177G3T', 'Heptane, ASTM, 99.8%', 'n-C7H16', 'Heptane, p.a., 95.0%', 'CHEMBL134658', 'DTXSID6024127', 'Heptane, for HPLC, &gt;=96%', 'Heptane, for HPLC, &gt;=99%', 'CTK0H7339', 'KS-00000VCU', 'Heptane, HPLC grade, &gt;=99%', 'Heptane, ReagentPlus(R), 99%', 'Heptane, purification grade, 99%', 'Heptane, &gt;=99% (capillary GC)', 'Heptane, biotech. grade, &gt;=99%', 'Heptane, for HPLC, &gt;=99.5%', 'NSC62784', 'ZINC1691363', 'Tox21_201213', '7811AF', 'Heptane, puriss., &gt;=99% (GC)', 'LMFA11000575', 'NSC-62784', 'HEPTANE;n-heptane;heptane;N-Heptane', 'AKOS009158011', 'Heptane, p.a., 88.0-92.0%', 'Heptane, UV HPLC spectroscopic, 95%', 'MCULE-5817084747', 'Heptane, SAJ first grade, &gt;=98.0%', 'Heptane, spectrophotometric grade, 99%', 'Heptanes, technical, mixture of isomers', 'Heptane, SAJ special grade, &gt;=99.0%', 'Heptanes [UN1206] [Flammable liquid]', 'NCGC00248959-01', 'NCGC00258765-01', 'CAS-142-82-5', 'Heptane, UV HPLC spectroscopic, 99.5%', 'Heptanes [UN1206]  [Flammable liquid]', 'LS-74295', 'SC-27097', '935-EP2269651A2', '935-EP2269977A2', '935-EP2269986A1', '935-EP2269989A1', '935-EP2270000A1', '935-EP2270011A1', '935-EP2272537A2', '935-EP2272822A1', '935-EP2272826A1', '935-EP2272830A1', '935-EP2272837A1', '935-EP2272841A1', '935-EP2272972A1', '935-EP2272973A1', '935-EP2274983A1', '935-EP2275401A1', '935-EP2275403A1', '935-EP2275410A1', '935-EP2275411A2', '935-EP2277861A1', '935-EP2277872A1', '935-EP2277878A1', '935-EP2277898A2', '935-EP2279741A2', '935-EP2279751A2', '935-EP2280000A1', '935-EP2280001A1', '935-EP2280005A1', '935-EP2280006A1', '935-EP2280012A2', '935-EP2280013A1', '935-EP2280014A2', '935-EP2281559A1', '935-EP2281813A1', '935-EP2281821A1', '935-EP2281822A1', '935-EP2283811A1', '935-EP2284148A1', '935-EP2286811A1', '935-EP2287141A1', '935-EP2287152A2', '935-EP2287153A1', '935-EP2287154A1', '935-EP2287168A2', '935-EP2289509A2', '935-EP2289879A1', '935-EP2289884A1', '935-EP2289890A1', '935-EP2289965A1', '935-EP2292233A2', '935-EP2292576A2', '935-EP2292592A1', '935-EP2292607A2', '935-EP2292609A1', '935-EP2292612A2', '935-EP2292622A1', '935-EP2292628A2', '935-EP2295401A2', '935-EP2295409A1', '935-EP2295410A1', '935-EP2295411A1', '935-EP2295417A1', '935-EP2295418A1', '935-EP2295423A1', '935-EP2295429A1', '935-EP2295437A1', '935-EP2295439A1', '935-EP2298742A1', '935-EP2298743A1', '935-EP2298751A2', '935-EP2298755A1', '935-EP2298766A1', '935-EP2298767A1', '935-EP2298775A1', '935-EP2298828A1', '935-EP2299326A1', '935-EP2301544A1', '935-EP2301918A1', '935-EP2301923A1', '935-EP2301924A1', '935-EP2301931A1', '935-EP2301933A1', '935-EP2301939A1', '935-EP2302015A1', '935-EP2305625A1', '935-EP2305627A1', '935-EP2305642A2', '935-EP2305647A1', '935-EP2305649A1', '935-EP2305655A2', '935-EP2305658A1', '935-EP2305666A1', '935-EP2305667A2', '935-EP2305668A1', '935-EP2305672A1', '935-EP2305675A1', '935-EP2305676A1', '935-EP2305685A1', '935-EP2305686A1', '935-EP2305687A1', '935-EP2305695A2', '935-EP2305696A2', '935-EP2305697A2', '935-EP2305698A2', '935-EP2305808A1', '935-EP2305825A1', '935-EP2308471A1', '935-EP2308479A2', '935-EP2308848A1', '935-EP2308851A1', '935-EP2308857A1', '935-EP2308867A2', '935-EP2308870A2', '935-EP2308872A1', '935-EP2308926A1', '935-EP2311802A1', '935-EP2311803A1', '935-EP2311814A1', '935-EP2311820A1', '935-EP2311821A1', '935-EP2311823A1', '935-EP2311824A1', '935-EP2311827A1', '935-EP2311829A1', '935-EP2311830A1', '935-EP2314295A1', '935-EP2314576A1', '935-EP2314591A1', '935-EP2314593A1', '935-EP2316824A1', '935-EP2316829A1', '935-EP2316832A1', '935-EP2316833A1', '935-EP2316836A1', '935-EP2371795A1', '935-EP2371797A1', '935-EP2371798A1', '935-EP2371800A1', '935-EP2371804A1', '935-EP2374454A1', '935-EP2374783A1', '935-EP2377841A1', '935-EP2377847A1', '935-EP2380568A1', '935-EP2380874A2', 'FT-0659788', 'Heptane, puriss. p.a., &gt;=99.5% (GC)', 'NS00004625', 'Q0037', 'S0279', '5105-EP2269989A1', '5105-EP2272829A2', '5105-EP2272837A1', '5105-EP2272841A1', '5105-EP2275407A1', '5105-EP2275411A2', '5105-EP2275419A2', '5105-EP2275469A1', '5105-EP2277878A1', '5105-EP2280001A1', '5105-EP2280014A2', '5105-EP2281559A1', '5105-EP2287154A1', '5105-EP2287168A2', '5105-EP2287940A1', '5105-EP2289509A2', '5105-EP2289897A1', '5105-EP2289965A1', '5105-EP2292628A2', '5105-EP2295401A2', '5105-EP2295429A1', '5105-EP2298745A1', '5105-EP2298755A1', '5105-EP2298828A1', '5105-EP2301983A1', '5105-EP2305683A1', '5105-EP2305825A1', '5105-EP2308861A1', '5105-EP2308926A1', '5105-EP2309564A1', '5105-EP2311801A1', '5105-EP2311802A1', '5105-EP2311803A1', '5105-EP2311820A1', '5105-EP2311821A1', '5105-EP2311823A1', '5105-EP2311830A1', '5105-EP2311839A1', '5105-EP2314576A1', '5105-EP2314577A1', '5105-EP2314589A1', '5105-EP2316837A1', '5105-EP2371814A1', '5105-EP2371831A1', '5105-EP2380874A2', '19042-EP2272846A1', '19042-EP2275403A1', '19042-EP2275408A1', '19042-EP2275422A1', '19042-EP2277868A1', '19042-EP2277869A1', '19042-EP2277870A1', '19042-EP2292608A1', '19042-EP2305808A1', '19042-EP2308851A1', '19042-EP2308852A1', '19042-EP2308866A1', '19042-EP2314576A1', '19042-EP2314580A1', '25659-EP2292616A1', '25659-EP2314580A1', 'A807968', 'Heptane, for preparative HPLC, &gt;=99.7% (GC)', 'Q310957', 'Heptane, B&amp;J Brand (product of Burdick &amp; Jackson)', 'Heptane, UV HPLC spectroscopic, mixture of isomers', 'J-007700', 'F1908-0180', 'B7F4D751-FB0E-4F48-9829-D952CEC36530', 'Heptane, HPLC Plus, for HPLC, GC, and residue analysis, 99%', 'Heptane, United States Pharmacopeia (USP) Reference Standard', 'Heptane, Pharmaceutical Secondary Standard; Certified Reference Material', 'Heptane, PRA grade, 96% n-isomer basis, &gt;=99.9% C7 isomers basis', 'Heptane, puriss. p.a., Reag. Ph. Eur., &gt;=99% n-heptane basis (GC)', 'Heptane Fraction, puriss. p.a., Reag. Ph. Eur., &gt;=99% n-heptane basis (GC)', 'Heptane, puriss., absolute, over molecular sieve (H2O &lt;=0.005%), &gt;=99.5% (GC)']</t>
  </si>
  <si>
    <t>Compound(8900)</t>
  </si>
  <si>
    <t>heptanoic acid</t>
  </si>
  <si>
    <t>['HEPTANOIC ACID', 'Enanthic acid', '111-14-8', 'n-Heptanoic acid', 'Oenanthic acid', 'Enanthylic acid', 'n-Heptylic acid', 'n-Heptoic acid', 'Heptoic acid', 'Heptylic acid', 'Oenanthylic acid', '1-Hexanecarboxylic acid', 'Hexacid C-7', 'sec-Heptanoic acid', 'Heptanoic acid (natural)', 'UNII-THE3YNP39D', 'NSC 2192', 'FEMA No. 3348', 'CCRIS 6042', 'HSDB 5546', 'EINECS 203-838-7', 'MFCD00004426', 'THE3YNP39D', 'BRN 1744723', 'AI3-02073', 'CHEBI:45571', 'heptylate', 'Heptanoic acid, 98%', 'DSSTox_CID_1600', 'DSSTox_RID_76227', 'DSSTox_GSID_21600', 'Teat dip solution', 'CAS-111-14-8', 'SHV', 'heptanoic-acid', 'Hepthlic acid', 'Heptanoic Acid.', '1-heptanoic acid', 'Artec ultra conditioning teat dip', 'Nat.Heptanoic Acid', 'Heptanoic Acid Anion', 'Heptanoic Acid Natural', 'Heptanoic acid, 96%', 'hexane-1-carboxylic acid', 'ACMC-1C1QQ', 'Heptanoic acid, &gt;=97%', 'EC 203-838-7', 'SCHEMBL3564', 'WLN: QV6', 'NCIOpen2_005395', 'Heptanoic acid, 97%, FG', 'Heptanoic acid, natural, FG', '4-02-00-00958 (Beilstein Handbook Reference)', 'KSC175K7J', 'MLS002415755', 'CHEMBL320358', 'DTXSID2021600', 'CTK0H5574', 'NSC2192', 'HMS2267D15', 'Heptanoic acid, analytical standard', 'NSC-2192', 'ZINC1577199', 'Tox21_201830', 'Tox21_300342', 'ANW-16241', 'Heptanoic acid, &gt;=98.0% (GC)', 'Heptanoic acid, &gt;=99.0% (GC)', 'LMFA01010007', 'LS-526', 'SBB053587', 'STL481898', 'AKOS000119950', 'DB02938', 'HEPTANOIC ACID  (ENANTIC ACID)', 'MCULE-1489137568', 'NCGC00091189-01', 'NCGC00091189-02', 'NCGC00091189-03', 'NCGC00254267-01', 'NCGC00259379-01', 'C7:0', 'SMR001261667', 'FT-0626923', 'NS00010236', 'ST51046282', 'C17714', '29267-EP2275419A2', '29267-EP2284146A2', '29267-EP2284147A2', '29267-EP2284178A2', '29267-EP2284179A2', '29267-EP2298766A1', '29267-EP2305687A1', '29267-EP2311842A2', '29267-EP2374787A1', 'Q297592', 'Q-201191', 'E3F2CC4A-F2B5-4353-8922-355FA750FEAC', 'F0001-0233', 'Enanthic Acid, United States Pharmacopeia (USP) Reference Standard']</t>
  </si>
  <si>
    <t>Compound(8094)</t>
  </si>
  <si>
    <t>heptanoic acid methyl ester</t>
  </si>
  <si>
    <t>methyl heptanoate</t>
  </si>
  <si>
    <t>['METHYL HEPTANOATE', '106-73-0', 'Methyl enanthate', 'Heptanoic acid, methyl ester', 'Methyl heptoate', 'Heptanoic acid methyl ester', 'Methyl n-heptylate', 'Methyl oenanthylate', 'Methyl heptylate', 'Enanthic Acid Methyl Ester', 'Methyl heptylate (natural)', 'Methyl n-heptanoate', 'FEMA No. 2705', 'UNII-1J543V5703', 'EINECS 203-428-8', 'BRN 1747147', 'Methyl ester of heptanoic acid', 'AI3-33581', '1J543V5703', 'Q63395892', 'Methyl heptanoate.', 'Heptanoic acid methyl', 'Heptanoic acid-methyl ester', 'KSC492A9H', 'SCHEMBL124702', 'ACMC-209t61', 'DTXSID3059345', 'CHEBI:88620', 'CTK3J2093', 'FEMA 2705', 'Methyl heptanoate, &gt;=99%, FG', 'ZINC2041110', 'ANW-42071', 'BBL011469', 'LMFA07010961', 'SBB060317', 'STL146581', 'hexane-1-carboxylic acid methyl ester', 'Methyl heptanoate, analytical standard', 'AKOS005720979', 'LS-2929', 'MCULE-7883111323', 'KS-00000Y81', 'U098', 'VS-02955', 'DB-040704', 'FT-0628737', 'NS00012899', 'S0305', 'ST50823920', 'J-001637', '6AA46CE6-9176-493D-9A85-B7B2DDA47CCE', 'methyl heptanoate;Methyl heptanoate.;METHYL HEPTANOATE']</t>
  </si>
  <si>
    <t>Compound(7826)</t>
  </si>
  <si>
    <t>heptylbenzene</t>
  </si>
  <si>
    <t>['Heptylbenzene', '1-PHENYLHEPTANE', '1078-71-3', 'n-Heptylbenzene', 'Benzene, heptyl-', 'Heptane, 1-phenyl-', 'Heptane, 1(or 7)-phenyl-', 'UNII-12UC21C7SN', '12UC21C7SN', 'Heptane, phenyl-', 'phenylheptane', 'heptyl-benzene', 'n-Peptylbenzene', '1-heptylbenzene', 'NSC97413', 'EINECS 214-084-3', 'NSC 97413', '1-Phenylheptane 98%', '1-Phenylheptane, 98%', 'ACMC-2098xy', 'Heptane, 1-phenyl- (8CI)', 'DTXSID3061477', 'CHEBI:88592', 'CTK0I1150', 'KS-000013VQ', 'ZINC1632627', 'ANW-15860', 'NSC-97413', 'SBB057142', 'AKOS015890295', 'MCULE-1420418528', 'VZ36152', 'DB-040795', 'CS-0128904', 'FT-0608259', 'NS00023481', 'ST50827309', 'V1960', 'A801773', 'C-06182', 'Q27160481']</t>
  </si>
  <si>
    <t>Compound(14115)</t>
  </si>
  <si>
    <t>C13H20</t>
  </si>
  <si>
    <t>C8-C18-alkyl benzyl dimethyl ammonium chloride</t>
  </si>
  <si>
    <t>benzyl-decyl-dimethylazanium;chloride</t>
  </si>
  <si>
    <t>['965-32-2', '63449-41-2', 'Benzyldimethyldecylammonium chloride', 'Benzenemethanaminium, N-decyl-N,N-dimethyl-, chloride', 'Benzyl(decyl)dimethylammonium chloride', 'Quaternary ammonium compounds, benzyl-C8-18-alkyldimethyl, chlorides', 'Benzenemethanaminium, N-decyl-N,N-dimethyl-, chloride (1:1)', 'Benzyldimethyl(mixed alkyl)ammonium chloride', 'Roccal', 'Tret-O-lite XC 511', 'CCRIS 4586', 'C8-18-Alkydimethylbenzyl ammonium chlorides', 'benzyl-decyl-dimethylazanium;chloride', 'EINECS 213-521-5', 'EINECS 264-151-6', 'N-Capryl-N,N-dimethylbenzylammonium chloride', 'SCHEMBL29243', 'CHEMBL1878297', 'DTXSID7040780', 'decyldimethylbenzylammonium chloride', 'Alkylbenzyldimethylammonium chlorides, benzyl-C8-18-alkyldimethyl', 'decyldimethylbenzyl ammonium chloride', 'C6H5CH2N(CH3)2C14H29Cl', 'MFCD00145757', 'NCGC00164244-01', 'SC-91617', 'BENZYL(DECYL)DIMETHYLAZANIUM CHLORIDE', 'FT-0629866', 'N-Benzyl-N-decyl-N,N-dimethylammonium chloride', 'BENZALKONIUM CHLORIDE, PH EUR, 95-104%', 'Ammonium, alkyl(C14-16)dimethylbenzyl-, chlorides']</t>
  </si>
  <si>
    <t>Compound(13762)</t>
  </si>
  <si>
    <t>C19H34ClN</t>
  </si>
  <si>
    <t>octane</t>
  </si>
  <si>
    <t>['octane', 'n-octane', '111-65-9', 'Oktan', 'Oktanen', 'Ottani', 'Oktanen [Dutch]', 'Heptane, methyl-', 'Oktan [Polish]', 'Ottani [Italian]', 'n-Oktan', 'Octane, all isomers', 'UNII-X1RV0B2FJV', 'HSDB 108', 'NSC 9822', 'EINECS 203-892-1', 'MFCD00009556', 'X1RV0B2FJV', 'AI3-28789', 'CHEBI:17590', 'CH3-[CH2]6-CH3', 'n-Octane, 97%, pure', 'n-Octane, 99+%, extra pure', 'octano', 'Normal octane', 'n-Octane, 99+%, Extra Dry, AcroSeal(R)', 'octan', 'MG8', 'DSSTox_CID_6882', 'ACMC-2099aa', 'bmse000480', 'EC 203-892-1', 'Octane, analytical standard', 'DSSTox_RID_78237', 'DSSTox_GSID_26882', 'WLN: 8H', 'KSC180A3D', 'Octane, anhydrous, &gt;=99%', 'Octane, reagent grade, 98%', 'n-C8H18', 'Octane, p.a., 99.0%', 'CHEMBL134886', 'DTXSID0026882', 'CTK0I0031', 'NSC9822', 'NSC-9822', 'ZINC1529191', 'Tox21_202452', 'ANW-16304', 'c0044', 'LMFA11000002', 'AKOS015904009', 'ZINC112927690', 'MCULE-3248084959', 'NCGC00249228-01', 'NCGC00260001-01', 'CAS-111-65-9', 'LS-97843', 'SC-78848', 'FT-0696530', 'NS00006444', 'O0022', 'O0118', 'O0151', 'Octane, puriss. p.a., &gt;=99.0% (GC)', 'S0280', 'KS-00000123', '4067-EP1441224A2', '4067-EP2269986A1', '4067-EP2270113A1', '4067-EP2272537A2', '4067-EP2272935A1', '4067-EP2274983A1', '4067-EP2275398A1', '4067-EP2277871A1', '4067-EP2277878A1', '4067-EP2280005A1', '4067-EP2281821A1', '4067-EP2284171A1', '4067-EP2289509A2', '4067-EP2289879A1', '4067-EP2289884A1', '4067-EP2289965A1', '4067-EP2292576A2', '4067-EP2292606A1', '4067-EP2298775A1', '4067-EP2298778A1', '4067-EP2298828A1', '4067-EP2301918A1', '4067-EP2305642A2', '4067-EP2305658A1', '4067-EP2308873A1', '4067-EP2311804A2', '4067-EP2314558A1', '4067-EP2371795A1', '4067-EP2374780A1', '4067-EP2374781A1', '4067-EP2380568A1', '4067-EP2380869A1', '4067-EP2380870A1', 'C01387', '15416-EP2275407A1', '15416-EP2275469A1', '15416-EP2287940A1', '15416-EP2289965A1', '15416-EP2298828A1', '15416-EP2301983A1', '15416-EP2305683A1', '15416-EP2305825A1', '15416-EP2308926A1', '15416-EP2309564A1', '15416-EP2309584A1', '15416-EP2311821A1', '15416-EP2311839A1', '15416-EP2314577A1', '15416-EP2314589A1', '15416-EP2316837A1', '143914-EP2287165A2', '143914-EP2287166A2', '143914-EP2292592A1', '143914-EP2292620A2', 'Q150681', 'J-002613', 'F0001-0244', 'UNII-1E5KJY107T component TVMXDCGIABBOFY-UHFFFAOYSA-N', 'EEE64B73-0375-4303-AFD5-0795361807FF', 'Octane, electronic grade, &gt;=99.999% metals basis, &gt;=99% (CP)', '31372-91-5']</t>
  </si>
  <si>
    <t>Compound(356)</t>
  </si>
  <si>
    <t>['Octanal', 'Caprylaldehyde', '124-13-0', 'Caprylic aldehyde', 'n-Octanal', '1-octanal', 'n-Octyl aldehyde', 'n-Octaldehyde', 'n-Caprylaldehyde', 'Octanaldehyde', 'OCTYLALDEHYDE', 'n-Octylal', 'Aldehyde C-8', 'Octanoic aldehyde', 'C-8 aldehyde', 'Octaldehyde', 'n-Octanaldehyde', 'Octyl aldehyde', '1-Octylaldehyde', '1-Octaldehyde', '1-Caprylaldehyde', 'Antifoam-LF', 'Aldehyde C8', 'Oktylaldehyd', 'Oktanal', 'Octanal, tech.', 'Octanal (natural)', 'Caprylaldehyd', 'Kaprylaldehyd', 'Octylaldehyd', 'Octyl aldehydes', 'NSC 1508', 'UNII-XGE9999H19', 'FEMA No. 2797', 'HSDB 5147', 'ALDEHIDO C-8', 'EINECS 204-683-8', 'MFCD00007029', 'BRN 1744086', 'CHEMBL18407', 'AI3-03961', 'CHEBI:17935', 'NSC1508', 'XGE9999H19', 'Octyl aldehyde, 99%', 'DSSTox_CID_1643', 'WLN: VH7', 'DSSTox_RID_76257', 'DSSTox_GSID_21643', 'CAS-124-13-0', 'n-octylaldehyde', 'Albumin tannate', 'Capryl aldehyde', 'Octanal.', 'Octanal, tech', 'n -octanal', 'octanal;OCTANAL', 'octan-1-one', 'octan-8-one', 'OYA', 'Octanal, 99%', 'ACMC-1BNV4', 'bmse000851', 'EC 204-683-8', 'Octanal, analytical standard', 'SCHEMBL28601', '4-01-00-03337 (Beilstein Handbook Reference)', 'KSC176O0J', 'QSPL 183', 'DTXSID3021643', 'CTK0H6704', 'KS-00000XEC', 'NSC8969', 'Octanal, &gt;=95%, FCC, FG', 'NSC-1508', 'NSC-8969', 'STR04459', 'ZINC1529222', 'OCTANAL BRI (ALDEHYDE C-8)', 'Tox21_201415', 'Tox21_300337', 'ANW-18192', 'BDBM50028817', 'LMFA06000028', 'SBB059871', 'AKOS009031567', 'LS-2994', 'MCULE-7111365457', 'NE10467', 'Octanal, natural, &gt;=95%, FCC, FG', 'NCGC00247997-01', 'NCGC00247997-02', 'NCGC00254427-01', 'NCGC00258966-01', 'U306', 'FT-0626917', 'FT-0631629', 'FT-0631722', 'FT-0673199', 'NS00009660', 'O0044', 'ST51046136', 'EN300-19768', 'C01545', '97569-EP2305662A1', '97569-EP2374783A1', '97569-EP2377841A1', '97723-EP2287158A1', '97723-EP2305662A1', 'Q416673', 'J-660019', 'Q-200605']</t>
  </si>
  <si>
    <t>Compound(454)</t>
  </si>
  <si>
    <t>octanoic acid</t>
  </si>
  <si>
    <t>['octanoic acid', 'caprylic acid', '124-07-2', 'n-octanoic acid', 'n-caprylic acid', 'Octylic acid', 'octoic acid', 'n-octylic acid', 'n-Octoic acid', 'neo-fat 8', '1-heptanecarboxylic acid', 'Enantic acid', 'Octic acid', 'C-8 acid', 'Caprylsaeure', 'Kaprylsaeure', 'Hexacid 898', 'Acido octanoico', '0ctanoic acid', 'Acide octanoique', '1-octanoic acid', 'Acidum octanocium', 'Fatty acids, C6-10', 'Kyselina kaprylova', 'capryloate', 'octylate', 'FEMA No. 2799', 'Octansaeure', 'Caprylic acid (natural)', 'C8:0', 'Acide octanoique [French]', 'Acido octanoico [Spanish]', 'Acidum octanocium [Latin]', 'Kyselina kaprylova [Czech]', 'NSC 5024', 'Octanoic acid [USAN:INN]', 'UNII-OBL58JN025', 'OCTANOIC ACID (CAPRYLIC ACID)', 'CCRIS 4689', 'HSDB 821', 'Emery 657', 'Prifac 2901', 'Lunac 8-95', 'EINECS 204-677-5', 'MFCD00004429', 'BRN 1747180', 'CH3-[CH2]6-COOH', 'AI3-04162', 'caprylic acid, zinc salt', 'OBL58JN025', 'CHEBI:28837', 'caprylic acid, barium salt', 'caprylic acid, sodium salt', 'NSC5024', 'caprylic acid, cadmium salt', 'caprilate', 'NSC-5024', 'Caprylic acid, potassium salt', 'n-caprylate', 'caprylic acid, tin(+2) salt', 'n-octoate', 'n-octylate', 'caprylic acid, copper(+2) salt', 'Octanoic acid, 99%', 'NCGC00090957-01', 'C8H16O2', '1-heptanecarboxylate', 'DSSTox_CID_1645', 'DSSTox_RID_76259', 'DSSTox_GSID_21645', 'OCA', 'CAS-124-07-2', 'CH3-[CH2]6-COO(-)', 'caprylic acid, tin salt', 'caprylic acid, cesium salt', 'caprylic acid, cobalt salt', 'caprylic acid, copper salt', 'caprylic acid, ammonia salt', 'caprylic acid, calcium salt', 'caprylic acid, 14C-labeled', 'octanoicacid', 'caprylic acid, aluminum salt', 'caprylic acid, manganese salt', 'caprylic acid, zirconium salt', 'octanic acid', 'Caprilic acid', 'caprylic acid, iron(+3) salt', 'caprylic acid, lead(+2) salt', 'acidum octanoicum', 'octanoate radical', 'caprylic acid, iridum(+3) salt', 'caprylic acid, nickel(+2) salt', 'caprylic acid, chromium(+2) salt', 'caprylic acid, lanthanum(+3) salt', 'caprylic acid, ruthenium(+3) salt', 'caprylic acid, zirconium(+4) salt', 'EINECS 273-085-7', 'Acid C8', 'Octanoic acid radical', 'Caprylic acid (NF)', 'Kortacid 0899', 'Neo-Fat 8S', 'Caprylic Acid 657', 'Octanoate, ion(1-)', 'caprylic acid, sodium salt, 11C-labeled', 'n-heptanecarboxylic acid', 'Octanoic acid (USAN)', 'Fatty acids, C6-1O', 'ACMC-1BTHQ', 'Lunac 8-98', '7319-86-0', 'Heptane-1-carboxylic acid', 'Octanoic acid, &gt;=98%', 'Octanoic acid, &gt;=99%', 'bmse000502', 'Caprylic/Capric Acid Blend', 'EC 204-677-5', 'SCHEMBL3933', 'WLN: QV7', 'NCIOpen2_002902', 'NCIOpen2_009358', 'Octanoic acid (USAN/INN)', 'Caprylic acid/ Octanoic acid', '4-02-00-00982 (Beilstein Handbook Reference)', '68937-74-6', 'KSC174S6D', 'MLS002415762', 'Octanoic acid, &gt;=96.0%', 'Octanoic acid (mixed isomers)', 'CHEMBL324846', 'GTPL4585', 'Octanoic acid, &gt;=98%, FG', 'QSPL 011', 'QSPL 184', 'DTXSID3021645', 'CTK0H4961', 'KS-00000WZB', 'HMS2270A23', 'Octanoic acid, analytical standard', 'STR10050', 'ZINC1530416', 'EDENOR C 8-98-100', 'Tox21_111045', 'Tox21_201279', 'Tox21_300345', 'ANW-18188', 'LMFA01010008', 'LS-691', 's6296', 'SBB060020', 'STL282742', 'AKOS000118802', 'Octanoic acid, natural, &gt;=98%, FG', 'DB04519', 'FA(8:0)', 'MCULE-5193957469', 'NE10316', 'Octanoic acid, for synthesis, 99.5%', 'NCGC00090957-02', 'NCGC00090957-03', 'NCGC00090957-04', 'NCGC00090957-05', 'NCGC00254446-01', 'NCGC00258831-01', 'HY-41417', 'M789', 'SMR001252279', '597-EP2269988A2', '597-EP2270008A1', '597-EP2275413A1', '597-EP2287156A1', '597-EP2292617A1', '597-EP2298780A1', '597-EP2301940A1', '597-EP2305689A1', '597-EP2311807A1', '597-EP2311824A1', '597-EP2374787A1', 'AK00487762', 'CS-0016549', 'FT-0660765', 'O0027', 'ST51046283', 'C06423', 'D05220', '146488-EP2280007A1', '146488-EP2292597A1', 'Q409564', 'SR-01000865607', 'J-005040', 'SR-01000865607-2', 'BRD-K35170555-001-07-9', 'Z955123584', 'Octanoic acid, certified reference material, TraceCERT(R)', 'UNII-13FB83DEYU component WWZKQHOCKIZLMA-UHFFFAOYSA-N', 'UNII-DI775RT244 component WWZKQHOCKIZLMA-UHFFFAOYSA-N', '43FDA9D7-2300-41E7-A373-A34F25B81553', 'Caprylic acid, European Pharmacopoeia (EP) Reference Standard', 'UNII-79P21R4317 component WWZKQHOCKIZLMA-UHFFFAOYSA-N', 'Caprylic acid, United States Pharmacopeia (USP) Reference Standard', 'Caprylic Acid (Octanoic Acid), Pharmaceutical Secondary Standard; Certified Reference Material']</t>
  </si>
  <si>
    <t>Compound(379)</t>
  </si>
  <si>
    <t>octyl bicycloheptene dicarboximide</t>
  </si>
  <si>
    <t>4-(2-ethylhexyl)-4-azatricyclo[5.2.1.02,6]dec-8-ene-3,5-dione</t>
  </si>
  <si>
    <t>['Pyrodone', 'MGK 264', 'N-(2-Ethylhexyl)-5-norbornene-2,3-dicarboximide', 'MGK-264', 'Pyrdone (obsolete)', 'Sinepyrin 222', 'Synergist 264', 'Octacide 264', '113-48-4', 'MGK repellent 264', 'Van Dyk 264', 'Synepirin 222', 'N-2-Ethylhexylbicycloheptenedicarboximide', 'ENT 8,184', 'Octylbicycloheptenedicarboximide', 'N-Octyl bicycloheptene dicarboximide', 'NSC 36678', 'N-2-Ethylhexylimide endomethylenetetrahydrophthalic acid', 'endo Methylenetetrahydrophthalic acid, N-2-ethylhexyl imide', 'CHEBI:81966', '5-Norbornene-2,3-dicarboximide, N-(2-ethylhexyl)-', '4,7-Methano-1H-isoindole-1,3(2H)-dione, 2-(2-ethylhexyl)-3a,4,7,7a-tetrahydro-', 'Caswell No. 613', 'Bicyclo(2.2.1)heptene-2-dicarboxylic acid, 2-ethylhexylimide', 'N-(2-Ethylhexyl)-8,9,10-trinorborn-5-ene-2,3-dicarboximide', 'N-(2-Ethylhexyl)bicyclo-(2,2,1)-hept-5-ene-2,3-dicarboximide', '2-(2-ethylhexyl)-3a,4,7,7a-tetrahydro-1H-4,7-methanoisoindole-1,3(2H)-dione', '2-(2-Ethylhexyl)-3a,4,7,7a-tetrahydro-4,7-methano-1H-isoindole-1,3(2H)-dione', 'Dicarboximide', 'Octyl bicycloheptenedicarboximide', 'HSDB 1745', 'EINECS 204-029-1', '5-Norbornene-2, N-(2-ethylhexyl)-', 'EPA Pesticide Chemical Code 057001', 'BRN 0025024', 'N-2-Ethylhexyl bicycloheptenedicarboximide', 'AI3-08184', 'WLN: T C555 A DVNV IUTJ E1Y4 &amp; 2', 'N-Octylbicyclo-(2.2.1)-5-heptene-2,3-dicarboximide', 'N-Octylbicyclo[2.2.1]-5-heptene-2,3-dicarboximide', 'Endomethylenetetrahydrophthalic acid, N-2-ethylhexylimide', 'Endomethylenetetrahydrophthalic acid, N-2-ethylhexyl imide', 'N-(2-Ethylhexyl)bicyclo[2,1]hept-5-ene-2,3-dicarboximide', 'Carboximide', 'N-Octyl bicycloheptenedicarboximide', '4,3(2H)-dione, 2-(2-ethylhexyl)-3a,4,7,7a-tetrahydro-', 'Bicyclo[2.2.1]heptene-2-dicarboxylic acid, 2-ethylhexylimide', 'N-(2-Ethylhexyl)bicyclo(2.2.1)-5-heptene-2,3-dicarboximide', 'N-2-Ethylhexylimid kyseliny bicyklo-(2,2,1)-5-hepten-2,3-dikarboxylove', '2-(2-Ethylhexyl)-3a,7,7a-tetrahydro-4,7-methano-1H-isoindole-1,3(2H)-dione', 'N-2-Ethylhexylimid kyseliny bicyklo-(2,2,1)-5-hepten-2,3-dikarboxylove [Czech]', 'AMTGC147', 'DSSTox_CID_12562', 'DSSTox_RID_78988', 'DSSTox_GSID_32562', 'SCHEMBL159735', 'CHEMBL1874490', 'DTXSID6032562', 'KS-000002AI', 'NSC36678', 'Tox21_300786', 'NSC-36678', 'NSC406879', 'AKOS015901672', 'AS-3197', 'NSC-406879', 'MGK 264 (Synergist 264) (Pyrdone)', 'NCGC00168324-01', 'NCGC00168324-02', 'NCGC00254690-01', 'CAS-113-48-4', 'LS-97203', 'ETHYLHEXYLBICYCLOHEPTENE DICARBOXIMIDE', 'NS00006960', 'C18795', 'J-002969', 'Q6951386', 'N-(2-Ethylhexyl)bicyclo-(2.2.1)-5-heptene-2,3-dicarboximide', '4-(2-Ethylhexyl)-4-azatricyclo-[5.2.1.0(2),6]dec-8-ene-3,5-dione', '4-(2-Ethylhexyl)-4-azatricyclo-[5.2.1.0?,6]dec-8-ene-3,5-dione', '4-(2-ethylhexyl)-4-azatricyclo[5.2.1.0^{2,6}]dec-8-ene-3,5-dione', 'N-(2-ethylhexyl)-8,9,10-trinorborn-5-ene-2,3-dicarboximide;MGK;MGK-264', '4,7-Methano-1H-isoindole-1,3(2H)-dione, 2-(2-ethylhexyl)-3a,4,7,7a-tetra hydro-']</t>
  </si>
  <si>
    <t>Compound(8227)</t>
  </si>
  <si>
    <t>C17H25NO2</t>
  </si>
  <si>
    <t>octylphenoxypolyethoxyethanol</t>
  </si>
  <si>
    <t>C9-rich di-C8-10 branched alkyl phthalate</t>
  </si>
  <si>
    <t>nonane</t>
  </si>
  <si>
    <t>['NONANE', 'n-Nonane', '111-84-2', 'Shellsol 140', 'nonan', 'Nonyl hydride', 'Heptane, ethyl-', 'UNII-T9W3VH6G10', 'CCRIS 6081', 'HSDB 107', 'EINECS 203-913-4', 'NSC 72430', 'T9W3VH6G10', 'CHEBI:32892', 'MFCD00009574', 'n-Nonane, 99%, pure', 'DSSTox_CID_5796', 'Nonane, analytical standard', 'DSSTox_RID_77926', 'DSSTox_GSID_25796', 'MFCD02099450', 'CAS-111-84-2', 'n-nonyl radical', 'Nonane.', '66039-00-7', 'DD9', 'Nonane, 99%', 'n-nonane;nonane;NONANE', 'ACMC-2099ay', 'EC 203-913-4', 'NONANE  MFC9 H20', 'KSC181E3H', 'Nonane, anhydrous, &gt;=99%', 'n-C9H20', 'CHEMBL335900', 'DTXSID9025796', 'CTK0I1233', 'Nonane, ReagentPlus(R), 99%', 'CH3-[CH2]7-CH3', 'KS-00000YV3', 'NSC72430', 'ZINC1698517', 'Tox21_201479', 'Tox21_303148', 'ANW-16328', 'LMFA11000579', 'LS-541', 'NSC-72430', 'AKOS015904046', 'n-Nonane 10 microg/mL in Cyclohexane', 'MCULE-1865327912', 'n-Nonane 1000 microg/mL in Methanol', 'UN 1920', 'NCGC00091787-01', 'NCGC00091787-02', 'NCGC00257029-01', 'NCGC00259030-01', 'n-Nonane, 99%, anhydrous, AcroSeal(R)', 'SC-96410', 'DB-041010', 'DB-063623', 'FT-0631631', 'N0286', 'NS00007716', 'S0281', 'Fluorochemical surfactant, anionic / non-ionic', '15417-EP2275407A1', '15417-EP2275469A1', '15417-EP2287940A1', '15417-EP2289965A1', '15417-EP2298828A1', '15417-EP2301983A1', '15417-EP2305683A1', '15417-EP2308926A1', '15417-EP2309564A1', '15417-EP2311839A1', '15417-EP2314589A1', '15417-EP2316837A1', '72705-EP2269986A1', '72705-EP2277871A1', '72705-EP2289509A2', '72705-EP2292576A2', '72705-EP2308492A1', '72705-EP2371811A2', '72705-EP2380568A1', '178017-EP2277868A1', '178017-EP2277869A1', '178017-EP2277870A1', 'A802420', 'Q150694', 'Fluorochemical surfactant, Zwitterionic / non-ionic', 'W-108667', 'C8F3CAB9-DAF5-4085-84EB-07C0AB04D3A1', '32757-65-6', '61193-19-9']</t>
  </si>
  <si>
    <t>Compound(8141)</t>
  </si>
  <si>
    <t>C9H20</t>
  </si>
  <si>
    <t>['NONANAL', 'Pelargonaldehyde', '1-Nonanal', '124-19-6', 'Nonanaldehyde', 'Nonyl aldehyde', 'n-Nonaldehyde', 'Nonylic aldehyde', 'n-Nonanal', 'Nonylaldehyde', 'Nonaldehyde', 'Pelargonic aldehyde', 'Aldehyde C-9', '1-Nonaldehyde', 'Nonanoic aldehyde', '1-Nonyl aldehyde', 'C-9 aldehyde', 'n-Nonylaldehyde', 'Nonoic aldehyde', 'NONYL ALDEHYDE,N-', 'NCI-C61018', 'UNII-2L2WBY9K6T', 'Aldehyde C9', 'NSC 5518', 'CCRIS 664', 'FEMA No. 2782', 'HSDB 7229', 'EINECS 204-688-5', 'MFCD00007030', 'BRN 1236701', '2L2WBY9K6T', 'AI3-04859', 'CHEBI:84268', 'NSC5518', 'Nonyl aldehyde, 95%', 'C9-11 Aldehydes', 'n-NONYL ALDEHYDE', 'non-aldehyde', 'aldehyde c', 'Nonanal.', 'NONANAL;nonanal', 'n-Nonan-1-al', 'C9-11-Aldehydes', 'Nonyl aldehyde, n-', 'Nonanal, 95%', 'ACMC-1BPU8', 'DSSTox_CID_1639', 'EC 204-688-5', 'WLN: VH8', 'Nonanal, analytical standard', 'DSSTox_RID_76253', 'DSSTox_GSID_21639', 'SCHEMBL22860', 'Nonanal, &gt;=95%, FCC', '4-01-00-03352 (Beilstein Handbook Reference)', 'QSPL 015', 'SCHEMBL8876408', 'CHEMBL2228376', 'DTXSID9021639', 'CTK0H8261', 'KS-00000WOW', 'Nonanal, natural, &gt;=98%, FG', 'NSC-5518', 'ZINC1686990', 'EINECS 278-296-8', 'Tox21_303603', '2984AD', 'ANW-18196', 'LMFA06000040', 'LS-694', 'SBB059872', 'AKOS009158987', 'FS-3913', 'NCGC00257442-01', 'CAS-124-19-6', 'SY016777', 'DB-041769', 'FT-0631724', 'N0296', 'NS00008804', 'ST51046137', 'C-4492', 'Q419668', 'J-005053']</t>
  </si>
  <si>
    <t>Compound(31289)</t>
  </si>
  <si>
    <t>nonanoic acid</t>
  </si>
  <si>
    <t>['NONANOIC ACID', 'Pelargonic acid', '112-05-0', 'n-Nonanoic acid', 'Nonylic acid', 'Pelargic acid', 'Nonoic acid', 'n-Nonylic acid', 'n-Nonoic acid', '1-Octanecarboxylic acid', 'Pelargon', 'Cirrasol 185A', 'Hexacid C-9', 'Emfac 1202', 'Nonanoate', '1-nonanoic acid', 'Fatty acids, C6-12', 'Fatty acids, C8-10', 'Pelargon [Russian]', '1-Octanecarboxyic acid', 'Nonansaeure', 'Pelargonsaeure', 'pergonic acid', 'nonoate', 'NSC 62787', 'UNII-97SEH7577T', 'FEMA No. 2784', 'HSDB 5554', 'EINECS 203-931-2', 'MFCD00004433', '68937-75-7', 'EPA Pesticide Chemical Code 217500', 'BRN 1752351', 'CH3-[CH2]7-COOH', 'AI3-04164', 'CHEBI:29019', '97SEH7577T', 'pergonate', 'n-nonanoate', '1-nonanoate', 'octan-1 carboxylic acid', '1-octanecarboxylate', 'n-Nonanoic acid, 97%', 'DSSTox_CID_1641', 'DSSTox_RID_76255', 'DSSTox_GSID_21641', '67762-36-1', 'Q-201488', 'CAS-112-05-0', 'Nonanoicacid', 'n-Pelargonate', 'n-Nonylate', 'Perlargonic acid', 'n-Nonoate', 'Nonanoic Acid.', 'n-pelargonic acid', 'KNA', 'EINECS 273-086-2', 'Nonanoic Acid Anion', 'Acid C9', 'Caprylic-Capric Acid', 'Nonanoic acid, 96%', '3sz1', "Emery's L-114", 'Pelargonic Acid 1202', 'Emery 1202', 'Emery 1203', 'octane-1-carboxylic acid', 'Nonanoic acid, &gt;=97%', 'ACMC-2099ce', 'bmse000499', 'EC 203-931-2', 'EC 273-086-2', 'Caprylic-Capric Acid 658', 'WLN: QV8', 'NCIOpen2_000142', 'NCIOpen2_000179', 'NCIOpen2_001763', 'NCIOpen2_002882', 'NCIOpen2_003483', 'SCHEMBL21966', 'Emery 1202 (Salt/Mix)', '4-02-00-01018 (Beilstein Handbook Reference)', 'KSC175A3N', 'MLS001066339', 'CHEMBL108436', 'Nonanoic acid, &gt;=96%, FG', 'QSPL 030', 'DTXSID3021641', 'CTK0H5036', 'HMS2269L08', 'Nonanoic acid, analytical standard', 'BB_SC-07262', 'HY-N7057', 'KS-00000UO4', 'Nonanoic acid, natural, 98%, FG', 'NSC62787', 'ZINC1529234', 'Tox21_202426', 'Tox21_300022', 'ANW-16380', 'BBL027459', 'LMFA01010009', 'NSC-62787', 's4949', 'SBB058693', 'STL372710', 'AKOS000118981', 'Fatty acids C7to C20: Nonanoic acid', 'NONANOIC ACID  MFC9 H18 O2', 'CCG-231471', 'LS-2986', 'MCULE-4736597375', 'NCGC00164328-01', 'NCGC00164328-02', 'NCGC00164328-03', 'NCGC00253958-01', 'NCGC00259975-01', 'C9:0', 'SMR000112203', 'VS-08541', 'CS-0076036', 'FT-0660055', 'N0288', 'NS00009752', 'P0952', 'ST51037369', 'C01601', '83478-EP2305655A2', 'A802476', 'Q369777', 'F0001-2447', 'Z1258948135', 'F57B4D17-8824-403B-AE1B-FA425608BB39']</t>
  </si>
  <si>
    <t>Compound(8158)</t>
  </si>
  <si>
    <t>C9H18O2</t>
  </si>
  <si>
    <t>nonylphenol</t>
  </si>
  <si>
    <t>Capacity</t>
  </si>
  <si>
    <t>Category Cyanobacterial scum</t>
  </si>
  <si>
    <t>Category Cyanobacterial mat</t>
  </si>
  <si>
    <t>4-chloro-3 ', 4'-dimethoxybenzophenone</t>
  </si>
  <si>
    <t>(4-chlorophenyl)-(3,4-dimethoxyphenyl)methanone</t>
  </si>
  <si>
    <t>['116412-83-0', '(4-Chlorophenyl)(3,4-dimethoxyphenyl)methanone', "4-Chloro-3',4'-dimethoxybenzophenone", "4'-Chloro-3,4-dimethoxybenzophenone", '(4-chlorophenyl)-(3,4-dimethoxyphenyl)methanone', 'Methanone,(4-chlorophenyl)(3,4-dimethoxyphenyl)-', 'PubChem8131', "4-chloro-3',4'-dimethoxy benzophenone", 'ACMC-20abz6', 'Cambridge id 6869048', 'Oprea1_261096', 'SCHEMBL6839373', 'CHEMBL1169997', 'CTK4A9783', 'DTXSID60355386', 'ZINC304094', "4-Chloro-3,4'-dimethoxybenzophenone", 'ANW-66448', 'MFCD02127307', 'AKOS004909488', '4-chloro-(3,4-dimethoxy)-benzophenone', "4-Chloro-3', 4'-dimethoxybenzophenone", 'DA-15132', 'S910', "3',4'-dimethoxyphenyl-4-chlorobenzophenone", 'FT-0742190', 'NS00008431', 'X4441', 'J-003435', '(4-Chloro-phenyl)-(3,4-dimethoxy-phenyl)-methanone']</t>
  </si>
  <si>
    <t>Compound(798751)</t>
  </si>
  <si>
    <t>C15H13ClO3</t>
  </si>
  <si>
    <t>trichlorofluoromethane</t>
  </si>
  <si>
    <t>trichloro(fluoro)methane</t>
  </si>
  <si>
    <t>['Trichlorofluoromethane', 'Fluorotrichloromethane', '75-69-4', 'Trichloromonofluoromethane', 'trichloro(fluoro)methane', 'Fluorochloroform', 'Eskimon 11', 'Trichlorofluorocarbon', 'Methane, trichlorofluoro-', 'Refrigerant 11', 'Algofrene type 1', 'CFC-11', 'Freon MF', 'FREON 11', 'Arcton 9', 'Monofluorotrichloromethane', 'Arcton 11', 'Electro-CF 11', 'Fluorocarbon 11', 'Propellant 11', 'Freon HE', 'Chladone 11', 'Genetron 11', 'Genetron 11SBA', 'Daiflon 11', 'Isotron 11', 'Kaltron 11', 'Khladon 11', 'Daiflon S 1', 'Frigen 11', 'Frigen 11A', 'Dymel 11', 'Fluon 11', 'Freon 11A', 'Halon 11', 'Ledon 11', 'CCl3F', 'Frigen S 11', 'Isceon 131', 'F 11 (halocarbon)', 'Trichloromethyl fluoride', 'Halocarbon 11', 'Methane, fluorotrichloro-', 'Refrigerant R 11', 'Ucon flurocarbon 11', 'Ucon refrigerant 11', 'Freon 11B', 'Freon-11', 'CFCl3', 'Caswell No. 878', 'Fluorocarbon No. 11', 'R 11 (refrigerant)', 'FC 11 (halocarbon)', 'FKW 11', 'F 11B', 'FC 11', 'CCRIS 604', 'Fluorotrojchlorometan [Polish]', 'UNII-990TYB331R', 'CFC 11', 'HSDB 138', 'F 11', 'R 11', 'NCI-C04637', 'EINECS 200-892-3', 'RCRA waste no. U121', 'EPA Pesticide Chemical Code 000013', 'BRN 1732469', 'F-11', 'Trichloromonofluoromethane [NF]', 'CHEBI:48236', '990TYB331R', 'Trichloromonofluoromethane (NF)', 'Fluorotrojchlorometan', 'Distillex DS6', 'Refrigerant R11', 'Aigofrene type 1', 'Propellent 11', 'Triclorofluormethane', 'Khaladon 11', 'Haloca rbon 11', 'Flurotrichloromethane', 'fluorocarbon no.11', 'R 11, Halocarbon', 'FC 11, Halocarbon', 'Freon 11 (TN)', 'DSSTox_CID_1384', 'SCHEMBL1320', 'DSSTox_RID_76126', 'Chlorofluoromethane (CCl3F)', 'DSSTox_GSID_21384', '4-01-00-00054 (Beilstein Handbook Reference)', 'CHEMBL348290', 'DTXSID5021384', 'CTK3J1616', 'Trichlorofluoromethane, &gt;=99.5%', 'ZINC8214698', 'Tox21_201190', '8233AF', 'AKOS007930402', 'LS-1673', 'MCULE-7944866153', 'NE10054', 'CAS-75-69-4', 'NCGC00091043-01', 'NCGC00091043-02', 'NCGC00258742-01', 'SC-62284', 'Trichlorofluoromethane, analytical standard', 'DB-055980', 'FT-0631315', 'NS00005110', 'D06220', 'trichlorofluoromethane;Methane, trichlorofluoro-', 'Fluorotrichloromethane 100 microg/mL in Methanol', 'Trichlorofluoromethane 100 microg/mL in Methanol', 'Fluorotrichloromethane 5000 microg/mL in Methanol', 'Q423000', 'TRICHLOROFLUOROMETHANE (MONOFLUOROTRICHLOROMETHANE)', 'Trichlorofluoromethane solution, 200 mug/mL in methanol, analytical standard', 'Trichlorofluoromethane solution, certified reference material, 5000 mug/mL in methanol', 'Trichlorofluoromethane solution, NMR reference standard, 10% in acetone-d6 (99.9 atom % D), 1,2-dichloro-1,1-difluoroethane 1 %, TMS 6 %', 'Trichlorofluoromethane solution, NMR reference standard, 50% in chloroform-d (99.8 atom % D), NMR tube size 5 mm x 8 in.']</t>
  </si>
  <si>
    <t>Compound(6389)</t>
  </si>
  <si>
    <t>CCl3F</t>
  </si>
  <si>
    <t>1-chloro- 1,2, 2-trifluoroethylene</t>
  </si>
  <si>
    <t>1-chloro-1,2,2-trifluoroethene</t>
  </si>
  <si>
    <t>['CHLOROTRIFLUOROETHYLENE', '79-38-9', 'Daiflon', 'Chlorotrifluoroethene', 'Ethene, chlorotrifluoro-', '1-Chloro-1,2,2-trifluoroethene', 'Trifluorochloroethylene', 'Trithene', 'CTFE', 'Fluoroplast 3', 'Kel-F', 'Ethylene, chlorotrifluoro-', 'Fluorothene', 'Genetron 1113', 'Trifluorovinyl chloride', 'Monochlorotrifluoroethylene', 'Trifluoromonochloroethylene', 'Trifluorchlorethylen', 'Ethylene, trifluorochloro-', 'Chlortrifluoraethylen', '2-Chloro-1,1,2-trifluoroethylene', 'Ekafluvin', 'Hostaflon', 'Voltalef', 'Teflex', 'Daiflon ctfe', 'Hostaflon C', 'Fluoroplast 3P', 'Ftoroplast 3', 'Voltalef IS', 'Fluorolon 3', 'Ftoroplast 3P', 'Neosorb ND', '1,1,2-Trifluoro-2-chloroethylene', '1-Chloro-1,2,2-trifluoroethylene', 'Daifloil 3', 'Halon (polymer)', 'Plaskon CTFE', 'Fluoroplast F 3', 'Fluorolube FS 5', 'Ftorlon 3', 'Ftorlon 3M', 'Ftorlon F3', 'Trifluorchlorethylen [Czech]', 'UNII-AF215GW34G', 'Daifloil 10', 'Daifloil 20', 'Daifloil 50', 'Fluorolube S 30', 'Voltalef 10', 'Fluorolube 2000', 'Kel-S', 'Safetol 3.1 oil', 'Chlortrifluoraethylen [German]', 'Daifloil 100', 'Voltalef 202', 'Voltalef 300LD', 'Voltalef 300UF', 'Daiflon D 45S', 'Aclar 22A', 'Aclar 33C', 'Halocarbon 3.1 oil', 'Daiflon M 300', 'Daiflon M 300P', 'Fluorolube GR 470', 'HSDB 2806', 'Halar 200', 'Daiflon ctf3-D 55P', 'F 3 (Vinyl polymer)', 'Kel-F 3', 'Halocarbon oil 11-14', 'Halocarbon oil 11-21', 'Halocarbon oil 13-21', 'Polychlorotrifluoroethylene', 'EINECS 201-201-8', 'Fluorolube 300/140', 'UN1082', '9002-83-9', 'Ethene, chlorotrifluoro-, homopolymer', 'Poly(chlorotrifluoroethene)', 'Ethene, 1-chloro-1,2,2-trifluoro-', 'Kel-F 81', 'Kel-F 90', '3.1 Oil', 'BRN 1740373', 'Kel-F 200', 'Poly(trifluorochloroethylene)', 'Poly(trifluorovinyl chloride)', '12 F', 'Chlorotrifluoroethylene polymer', 'Trifluorochloroethylene polymer', 'Halocarbon oil, series 27-S', 'Kel-F 6061', 'Kel-F 95/5', 'Chlorotrifluoroethylene polymers', '12FD', '13FM', 'AF215GW34G', 'F 3M', 'FL-G 5', 'Chlorotrifluoroethene homopolymer', 'Poly(trifluoroethylene chloride)', 'Poly(monochlorotrifluoroethylene)', 'Poly(trifluoromonochloroethylene)', 'Mil-H-531119', 'Chlorotrifluoroethene, homopolymer', 'Chlorotrifluoroethylene homopolymer', 'FL-G 35', 'FL-G 100', 'FL-G 330', 'TL 340', 'MLO 81-125', 'MLO 83-322', 'MLO 87-347', '11 F', 'CFE', '4LF', 'chlorotrifluorethylene', 'chlorotrifluoroetylene', 'Ethene,1-chloro-1,2,2-trifluoro-', 'ACMC-20algi', 'trifluoro-chloroethylene', 'CF2=CFCl', 'C2F3Cl', 'EC 201-201-8', 'Poly(chlorotrifluoroethylene)', 'Ethene, 1-chloro-1,2,2-trifluoro-, homopolymer', 'SCHEMBL18665', 'Chlorotrifluoroethylene, 98%', '4-01-00-00704 (Beilstein Handbook Reference)', 'Polychlorotrifluoroethylene resin', 'DTXSID3026485', 'CTK5E6750', 'Trifluorochloroethylene, inhibited', 'POLYCHLOROTRIFLUOR- OETHYLENE', 'ZX-AP011900', 'Ethylene, chlorotrifluoro-, polymers', 'PC2050', 'ZINC45329285', 'AKOS007930325', 'FCH1115408', 'UN 1082', '1-chloranyl-1,2,2-tris(fluoranyl)ethene', 'CC-25721', 'LS-67641', 'LS-68328', 'SC-75512', 'DB-075586', 'Ethylene, chlorotrifluoro-, polymers (8CI)', 'NS00011105', '214497-EP2371795A1', 'A839670', 'C-00663', 'Q408215', 'Trifluorochloroethylene, inhibited [UN1082]  [Poison gas]', 'Trifluorochloroethylene, inhibited [UN1082] [Poison gas]']</t>
  </si>
  <si>
    <t>Compound(6594)</t>
  </si>
  <si>
    <t>C2ClF3</t>
  </si>
  <si>
    <t>1,1, 2,2-tetrachloro-1,2-difluoroethane</t>
  </si>
  <si>
    <t>1,1,2,2-tetrachloro-1,2-difluoroethane</t>
  </si>
  <si>
    <t>['76-12-0', '1,1,2,2-Tetrachloro-1,2-difluoroethane', '1,2-Difluorotetrachloroethane', '1,2-Difluoro-1,1,2,2-tetrachloroethane', 'Daiflon S2', 'Freon R 112', 'Refrigerant 112', 'Halocarbon 112', 'Tetrachloro-1,2-difluoroethane', 'Genetron 112', 'Daiflon 112', 'Ucon 112', 'Fluorocarbon 112', 'sym-Tetrachlorodifluoroethane', 'FREON 112', 'Ethane, 1,1,2,2-tetrachloro-1,2-difluoro-', 'CFC-112', 'R 112', 'UNII-H155PU1V8F', 'FC 112', 'HSDB 144', 'F-112', 'EINECS 200-935-6', 's-Tetrachlorodifluoroethane', 'BRN 1740336', 'H155PU1V8F', 'Ethane, 1,2-difluoro-1,1,2,2-tetrachloro-', 'Ethane,1,1,2,2-tetrachloro-1,2-difluoro-', '1,1,2,2-Tetrachlorodifluoroethane', 'CFCl2CFCl2', 'Difluorotetrachloroethane', 'DSSTox_CID_6091', 'EC 200-935-6', 'DSSTox_RID_78014', 'DSSTox_GSID_26091', 'SCHEMBL74197', 'CHEMBL3186694', 'DTXSID5026091', 'CTK5E2497', 'UGCSPKPEHQEOSR-UHFFFAOYSA-', 'Tox21_200566', 'ZINC63148411', 'FCH1322224', 'LS-1690', 'MCULE-7762203119', 'CAS-76-12-0', 'NCGC00248707-01', 'NCGC00258120-01', 'DB-056024', 'FT-0606395', 'NS00003480', 'A838615', 'C-50941', 'Q2806548', '1,1,2,2-tetrakis(chloranyl)-1,2-bis(fluoranyl)ethane', 'UNII-910FQ4186Y component UGCSPKPEHQEOSR-UHFFFAOYSA-N', 'HALOGENATED ETHANES CS (1,2-DIFLUORO-1,1,2,2-TETRACHLOROETHANE)', '1,2-DIFLUORO-1,1,2,2-TETRACHLOROETHANE (SEE ALSO HALOGENATED ETHANES CS (1,2-DIFLUORO-1,1,2,2-TETRACHLOROETHANE))']</t>
  </si>
  <si>
    <t>Compound(6427)</t>
  </si>
  <si>
    <t>C2Cl4F2</t>
  </si>
  <si>
    <t>1,1,2-trichloro- 1,2, 2-trifluoroethane</t>
  </si>
  <si>
    <t>1,1,2-trichloro-1,2,2-trifluoroethane</t>
  </si>
  <si>
    <t>['1,1,2-Trichlorotrifluoroethane', '76-13-1', '1,1,2-Trichloro-1,2,2-trifluoroethane', 'Arcton 63', 'Genesolv D', 'CFC-113', 'Arklone P', 'Freon TF', 'Frigen 113 TR', 'Refrigerant 113', 'Fluorocarbon 113', 'Halocarbon 113', 'Ethane, 1,1,2-trichloro-1,2,2-trifluoro-', 'Asahifron 113', 'Daiflon S 3', 'Genetron 113', 'Khladon 113', 'Kaiser chemicals 11', 'Refrigerant R 113', 'Frigen 113TR', 'Forane 113', 'Frigen 113', 'Frigen 113A', 'Isceon 113', 'Freon F113', 'Frigen 113 TR-T', 'FREON 113', 'Freon R 113', 'Propellant 113', '1,1,2-Trifluorotrichloroethane', 'Flugene 113', 'Kaltron 113MDR', 'Frigen 113tr-T', 'Frigen 113TR-N', 'LEDON 113', 'Racon 113', 'Chlorofluorocarbon 113', 'Freon 113TR-T', 'Ucon fluorocarbon 113', 'R 113 (Halocarbon)', '1,2,2-Trichlorotrifluoroethane', '1,1,2-Trifluoro-1,2,2-trichloroethane', 'CFCl2CF2Cl', 'Arklone', 'Distillex DS5', 'FC 113', 'HSDB 145', '1,2,2-Trifluorotrichloroethane', 'UNII-0739N04X3A', 'R 113(Halocarbon)', 'CFC 113', 'F 113', 'R 113', 'Freon 113 TR-T', 'EINECS 200-936-1', 'Freon TF (113)', 'BRN 1740335', '1,1,2-trichloro-1,2,2-trifluoro-ethane', '1,1,2-Trichlorotrifuoroethane', 'AI3-62874', 'Trichloro 1,2,2-trifluoroethane', '1,1,2-Trichloro-1,2,2-trifluoroethane (CFC-113)', '0739N04X3A', '1,1,2-Trichloro-1,2,2-trifluoroethane, technical grade', 'C2Cl3F3', '1,1,2-Trichlorotrifluoroethane 100 microg/mL in Methanol', '1,1,2-trichlortrifluorethan', 'Fridohna', 'Delifrene LS', 'Genesolv d Sslvent', 'Fronsolve 113', 'Diflon S-3', 'Eskimon 113', 'Arcton 113', 'freon-113', 'Genetron(R) 113', 'Chlorinated fluorocarbon', 'Halon 113', 'Frigen 113 TR-A', 'Frigen 113 TR-N', 'Fron 113', 'MS-180 freon tf solv', 'DSSTox_CID_1377', 'DSSTox_RID_76120', 'DSSTox_GSID_21377', 'SCHEMBL62713', 'Ucon 113/halocarbon 113', 'KSC491K9B', '1,1,2-trichlorotrifiuoroethane', '1,2,2-trifluoroperchloroethane', 'CHEMBL478511', 'DTXSID6021377', '1,1,2-tri-fluorotrichloroethane', '1,1,2-trifluoro-trichloroethane', 'AJDIZQLSFPQPEY-UHFFFAOYSA-', 'CTK3J1590', '1,1,2-Trichloro-trifluoroethane', 'EBD54188', 'Tox21_200401', '6797AF', 'FC 133', 'ZINC40454340', 'AKOS000120164', 'LS-7732', 'MCULE-8199403453', 'CAS-76-13-1', 'KS-0000118N', '1,1,2-trichloro-1,2,2-trifluoroetane', 'NCGC00248592-01', 'NCGC00257955-01', '1,2,2-trichloro-1,1,2-trifluoroethane', '1,1,2-trichloro -1,2,2-trifluoroethane', '1,1,2-Trichloro-1,2,2-trifluoro ethane', 'DB-056028', 'FT-0605980', 'NS00006310', '1,1,2-Trichlorotrifluoroethane (Freon 113)', 'Q161276', '1,1,2-Trichlorotrifluoroethane, anhydrous, 99.8%', '1,1,2-Trichlorotrifluoroethane, ReagentPlus(R), 99%', '1,1,2-Trichlorotrifluoroethane 10 microg/mL in Methanol', '1,1,2-Trichlorotrifluoroethane, HPLC grade, &gt;=99.9%', 'F8889-9400', '1,1,2-Trichloro-1,2,2-trifluoroethane, for HPLC, &gt;=99.7% (GC)', 'Trichlorotrifluoroethane, European Pharmacopoeia (EP) Reference Standard', '1,1,2-Trichloro-1,2,2-trifluoroethane, ACS spectrophotometric grade, &gt;=99.8%', '1,1,2-Trichloro-1,2,2-trifluroethane; Fluorocarbon 113; Freon 113; Refrigerant 113', '1,1,2-trichlorotrifluoroethane;Ethane, 1,1,2-trichloro-1,2,2-trifluoro-;1,1,2-Trichlortrifluorethan']</t>
  </si>
  <si>
    <t>Compound(6428)</t>
  </si>
  <si>
    <t>C2Cl3F3</t>
  </si>
  <si>
    <t>1,2-dichlorotetrafluoroethane</t>
  </si>
  <si>
    <t>1,2-dichloro-1,1,2,2-tetrafluoroethane</t>
  </si>
  <si>
    <t>['Dichlorotetrafluoroethane', '1,2-Dichlorotetrafluoroethane', 'Cryofluorane', '1,2-Dichloro-1,1,2,2-tetrafluoroethane', '76-14-2', 'CFC-114', 'Frigiderm', 'Refrigerant 114', 'Halocarbon 114', 'Propellant 114', 'Fluorocarbon 114', 'Fluorane 114', 'Genetron 114', 'Genetron 316', 'Arcton 33', 'Arcton 114', 'Frigen 114', 'Ethane, 1,2-dichloro-1,1,2,2-tetrafluoro-', 'Ledon 114', 'F 114 (halocarbon)', 'R 114 (halocarbon)', 'Ucon 114', 'sym-Dichlorotetrafluoroethane', 'Cryofluoranum [Latin]', 'FREON 114', 'Caswell No. 326A', 'FKW 114', 'Ethane, 1,2-dichlorotetrafluoro-', 'UNII-6B5VVT93AR', 'Cryofluoranum [INN-Latin]', 'Criofluorano [INN-Spanish]', 'FC 114', 'Cryofluorane (INN)', 'Cryofluorane [INN]', 'CCRIS 8973', 'HSDB 146', '1,1,2,2-Tetrafluoro-1,2-dichloroethane', 'CFC 114', 'F 114', 'R 114', 'EINECS 200-937-7', 'EPA Pesticide Chemical Code 326200', 'BRN 1740333', '6B5VVT93AR', 'Dichlorotetrafluoroethane [NF]', 'Dichlorotetrafluoroethane (NF)', 'Criofluorano', 'Cryofluoranum', 'Cryofluoran', 'Cryoflurane', 'Dichlorotetrafluoroethane [USAN]', 'Refrigerant R114', 'UN1958', 'Isotron 114', 'CClF2CClF2', 'Isceon 224', 'dichlortetrafluoroethane', 'Halon 242', 'Tetrafluorodichloroethane', 'Flon-114', 's-Dichlorotetrafluoroethane', 'SCHEMBL865', '(CF2Cl)2', '4-01-00-00137 (Beilstein Handbook Reference)', 'CHEMBL325436', 'DTXSID8026434', 'Dwuchloroczterofluoroetan [Polish]', 'HMS3264G16', 'Pharmakon1600-01502370', 'ZINC8214542', 'EINECS 215-300-9', 'Dichloro-1,1,2,2-tetrafluoroethane', 'NSC760428', 'SBB061501', 'AKOS015915972', 'CCG-213721', 'FCH1115409', 'MCULE-2498459210', 'NSC-760428', 'CC-02905', 'LS-65496', 'LS-65497', '1,2-Dichlorotetrafluoroethane, &gt;=99.5%', 'DB-056030', 'D0417', 'FT-0606367', 'NS00041206', 'ST51047504', 'D03790', 'AB01563180_01', '214540-EP2377610A2', '214540-EP2377611A2', 'C-05364', 'Q420380', 'SR-01000944235', 'SR-01000944235-1', '1,2-Dichlorotetrafluoroethane 100 microg/mL in Methanol', 'UNII-WG83EP1472 component DDMOUSALMHHKOS-UHFFFAOYSA-N', '1,2-Dichlorotetrafluoroethane (CFC-114) 2000 microg/mL in Methanol', '1,2-Dichloro-1,1,2,2-tetrafluoroethane or Refrigerant gas R 114 [UN1958] [Nonflammable gas]', 'dichlorotetrafluoroethane;1,2-Dichloro-1,1,2,2-tetrafluoroethane;Ethane, 1,2-dichlorotetrafluoro-;cryofluorane;Cryofluorane']</t>
  </si>
  <si>
    <t>Compound(6429)</t>
  </si>
  <si>
    <t>C2Cl2F4</t>
  </si>
  <si>
    <t>monochloropentafluoroethane</t>
  </si>
  <si>
    <t>1-chloro-1,1,2,2,2-pentafluoroethane</t>
  </si>
  <si>
    <t>['CHLOROPENTAFLUOROETHANE', '76-15-3', 'Ethane, chloropentafluoro-', 'Pentafluoroethyl chloride', '1-Chloro-1,1,2,2,2-pentafluoroethane', 'Refrigerant 115', 'Propellant 115', 'Chloroperfluoroethane', 'Genetron 115', 'Pentafluorochloroethane', 'Perfluoroethyl chloride', 'CFC-115', 'Freon 115', 'Halocarbon 115', 'Monochloropentafluoroethane', 'Fluorocarbon-115', 'Chloropentafluoretano', 'Chloropentafluorethane', 'FKW 115', '(Mono)chloropentafluoroethane', 'UNII-SJG47X19V4', 'FC 115', 'Chloropentafluoretano [Spanish]', 'Chloropentafluorethane [French]', 'HSDB 147', 'CF3CF2Cl', 'F-115', 'R 115', 'EINECS 200-938-2', 'UN1020', 'BRN 1740329', '1-chloro-1,1,2,2,2-pentafluoro-ethane', 'SJG47X19V4', 'Ethane, 1-chloro-1,1,2,2,2-pentafluoro-', 'CFC 115', 'Fluorocarbon 115', 'Arcton 115', 'chloropentafluoro-ethane', 'CClF2CF3', '1-chloropentafluoroethane', 'SCHEMBL341488', 'CHEMBL502216', 'Chloropentafluoroethane, &gt;=98%', 'DTXSID3026435', 'CTK5E2525', 'ZINC42804200', 'FCH1183385', 'CC-25704', 'E945', 'LS-65247', 'DB-056031', 'Ethane,1-chloro-1,1,2,2,2-pentafluoro-', 'FT-0631320', 'NS00019053', 'Chloropentafluoroethane or Regrigerant gas R 115', '1-chloranyl-1,1,2,2,2-pentakis(fluoranyl)ethane', 'A838621', 'C-03372', 'Q419702', 'Chloropentafluoroethane;Ethane, chloropentafluoro-;chloropentafluoroethane', 'Chloropentafluoroethane or Regrigerant gas R 115 [UN1020]  [Non-flammable gas]', 'Chloropentafluoroethane or Regrigerant gas R 115 [UN1020] [Non-flammable gas]']</t>
  </si>
  <si>
    <t>Compound(6430)</t>
  </si>
  <si>
    <t>C2ClF5</t>
  </si>
  <si>
    <t>dichlorodifluoromethane</t>
  </si>
  <si>
    <t>dichloro(difluoro)methane</t>
  </si>
  <si>
    <t>['DICHLORODIFLUOROMETHANE', 'Difluorodichloromethane', '75-71-8', 'Genetron 12', 'Freon 12', 'Refrigerant 12', 'Halon', 'Eskimon 12', 'Frigen 12', 'Electro-CF 12', 'Methane, dichlorodifluoro-', 'Algofrene type 2', 'Isotron 2', 'Propellant 12', 'Arcton 6', 'dichloro(difluoro)methane', 'Isotron 12', 'Arcton 12', 'Forane 12', 'Kaiser chemicals 12', 'CFC-12', 'Dymel 12', 'Ledon 12', 'Chlorofluorocarbon 12', 'Isceon 122', 'Fluorocarbon-12', 'Freon F-12', 'Halon 122', 'Ucon 12', 'Halocarbon 12', 'Refrigerant R 12', 'Ucon 12/halocarbon 12', 'Dwuchlorodwufluorometan', 'Freon-12', 'R 12 (refrigerant)', 'Fluorocarbon 12', 'CCl2F2', 'Diclorodifluometano', 'Refrigerant R12', 'Propellent 12', 'Rcra waste number U075', 'FC 12', 'Caswell No. 304', 'CFC 12', 'FCC 12', 'FKW 12', 'CF2Cl2', 'UNII-OFM06SG1KO', 'Diclorodifluometano [Spanish]', 'Isot ron 2', 'CCRIS 3501', 'HSDB 139', 'R 12, Refrigerant', 'Dwuchlorodwufluorometan [Polish]', 'F 12', 'EINECS 200-893-9', 'UN1028', 'OFM06SG1KO', 'RCRA waste no. U075', 'EPA Pesticide Chemical Code 000014', 'Dichlorodifluoromethane (NF)', 'Dichlorodifluoromethane [NF]', 'Chlorofluoromethane (CCl2F2)', 'AI3-01708', 'R12 [UN1028] [Nonflammable gas]', 'Dichlorodifluoromethane [R12] [UN1028] [Nonflammable gas]', 'Dichloro-difluoro-methane', 'Sterethox', 'dichlorodifluormethane', 'dichlorodifluoro-methane', 'Flon-12', 'Fron 12', 'SCHEMBL485', 'EC 200-893-9', 'Dichlorodifluoromethane solution', 'KFK 12', 'SCHEMBL9459323', 'CHEMBL2106634', 'DTXSID6020436', 'CTK8F9147', 'PXBRQCKWGAHEHS-UHFFFAOYSA-', 'ZINC8214541', 'AKOS006228770', 'GF10002', 'LS-2346', 'MCULE-7745165064', 'UN 1028', 'R12 [UN1028]  [Nonflammable gas]', 'CC-26542', 'R 12', 'R-12', 'DB-055985', 'FT-0624709', 'NS00002142', 'D03789', 'dichlorodifluoromethane;Methane, dichlorodifluoro-', 'C-00784', 'Dichlorodifluoromethane 100 microg/mL in Methanol', 'Q423021', 'Dichlorodifluoromethane 5000 microg/mL in Methanol', 'Dichlorodifluoromethane [R12]  [UN1028]  [Nonflammable gas]']</t>
  </si>
  <si>
    <t>Compound(6391)</t>
  </si>
  <si>
    <t>CCl2F2</t>
  </si>
  <si>
    <t>chlorotrifluoromethane</t>
  </si>
  <si>
    <t>chloro(trifluoro)methane</t>
  </si>
  <si>
    <t>['CHLOROTRIFLUOROMETHANE', 'Trifluoromethyl chloride', 'Trifluorochloromethane', 'Methane, chlorotrifluoro-', '75-72-9', 'Monochlorotrifluoromethane', 'Arcton 3', 'Genetron 13', 'Frigen 13', 'Freon 13', 'Trifluoromonochlorocarbon', 'Fluorocarbon 13', 'CFC-13', 'Halocarbon 13/ucon 13', 'CF3Cl', 'FC 13', 'UNII-7C6U91JNED', 'Methane, monochlorotrifluoro-', 'HSDB 140', 'F 13', 'R 13', 'EINECS 200-894-4', 'UN1022', 'BRN 1732392', '7C6U91JNED', 'CClF3', 'Refrigerant 13', 'Halocarbon 13', 'Chlorotrifluromethane', 'Khladon 13', 'Trifluoro-chloro-methane', 'SCHEMBL27896', '4-01-00-00034 (Beilstein Handbook Reference)', 'Chlorotrifluoromethane, &gt;=99%', 'SCHEMBL3495970', 'DTXSID4052500', 'AFYPFACVUDMOHA-UHFFFAOYSA-', 'CTK8E6485', 'ZINC59682964', 'AKOS015853107', 'UN 1022', 'LS-90012', 'FT-0623702', 'NS00041084', 'Chlorotrifluoromethane or Refrigerant gas R 13', 'Q423046', 'Chlorotrifluoromethane or Refrigerant gas R 13 [UN1022] [Nonflammable gas]', 'Chlorotrifluoromethane or Refrigerant gas R 13 [UN1022]  [Nonflammable gas]']</t>
  </si>
  <si>
    <t>Compound(6392)</t>
  </si>
  <si>
    <t>CClF3</t>
  </si>
  <si>
    <t>Chemical state</t>
  </si>
  <si>
    <t>chlorophyll-a</t>
  </si>
  <si>
    <t>magnesium;methyl (3R,21S,22S)-16-ethenyl-11-ethyl-12,17,21,26-tetramethyl-4-oxo-22-[3-oxo-3-[(E,7R,11R)-3,7,11,15-tetramethylhexadec-2-enoxy]propyl]-23,25-diaza-7,24-diazanidahexacyclo[18.2.1.15,8.110,13.115,18.02,6]hexacosa-1,5,8(26),9,11,13(25),14,16,18,20(23)-decaene-3-carboxylate</t>
  </si>
  <si>
    <t>['chlorophyll a', '479-61-8', 'CHLOROPHYLL', 'V0301', 'C55H72MgN4O5', '1406-65-1', 'Chlorophyll,paste', 'Magnesium, [(2E,7R,11R)-3,7,11,15-tetramethyl-2-hexadecenyl (3S,4S,21R)-9-ethenyl-14-ethyl-21-(methoxycarbonyl)-4,8,13,18-tetramethyl-20-oxo-3-phorbinepropanoato(2-)-.kappa.N23,.kappa.N24,.kappa.N25,.kappa.N26]-, (SP-4-2)-', 'Chlorophyll a, from spinach', 'DTXSID90889346', 'Chlorophyll a, analytical standard', 'AKOS025311474', 'Chlorophyll a, from Anacystis nidulans algae', 'X7304', 'C05306', '479C618', 'Chlorophyll A, United States Pharmacopeia (USP) Reference Standard']</t>
  </si>
  <si>
    <t>Compound(12085802)</t>
  </si>
  <si>
    <t>C55H72MgN4O5</t>
  </si>
  <si>
    <t>Chlorophyll-a / pheophytin ratio a</t>
  </si>
  <si>
    <t>chlorophyll-b</t>
  </si>
  <si>
    <t>magnesium;methyl (3R,21S,22S)-16-ethenyl-11-ethyl-12-formyl-17,21,26-trimethyl-4-oxo-22-[3-oxo-3-[(E,7R,11R)-3,7,11,15-tetramethylhexadec-2-enoxy]propyl]-23,25-diaza-7,24-diazanidahexacyclo[18.2.1.15,8.110,13.115,18.02,6]hexacosa-1,5,8(26),9,11,13(25),14,16,18,20(23)-decaene-3-carboxylate</t>
  </si>
  <si>
    <t>['519-62-0', 'CHLOROPHYLL B', 'Chlorophyll b from spinach', 'C55H70MgN4O6', 'CHLOROPHYLL-B', 'Magnesium, [(2E,7R,11R)-3,7,11,15-tetramethyl-2-hexadecenyl (3S,4S,21R)-9-ethenyl-14-ethyl-13-formyl-21-(methoxycarbonyl)-4,8,18-trimethyl-20-oxo-3-phorbinepropanoato(2-)-.kappa.N23,.kappa.N24,.kappa.N25,.kappa.N26]-, (SP-4-2)-', 'DTXSID70889349', 'Chlorophyll b, analytical standard', 'MFCD00079053', 'AKOS025311416', 'M175', 'Chlorophyll b from spinach, ~95% (HPLC)', '519C620', 'Chlorophyll b from spinach, &gt;=90% (HPLC), &lt;=0.5% Chlorophyll a', '(Sp-4-2)-((2E,7R,11R)-3,7,11,15-tetramethyl-2-hexadecenyl(3S,4S,21R)-9-ethenyl-14-ethyl-13-formyl-21-(methoxycarbonyl)-4,8,18-trimethyl-20-oxo-3-phorbinepropanoato(2-)-n23,n24,n25,n26]-magnesium']</t>
  </si>
  <si>
    <t>Compound(11593175)</t>
  </si>
  <si>
    <t>C55H70MgN4O6</t>
  </si>
  <si>
    <t>carboxymethyl cellulose (CMC)</t>
  </si>
  <si>
    <t>acetic acid;2,3,4,5,6-pentahydroxyhexanal</t>
  </si>
  <si>
    <t>['Croscarmellose', 'Carmellose', 'CARBOXYMETHYL CELLULOSE', 'Carboxymethylcellulose', 'Colloresine', 'Almelose', 'Apergel', 'Carbose', 'Duodcel', 'Thylose', 'Apeyel', 'CM-Cellulose', 'Glycocel TA', 'KMTs', '7H (carbohydrate)', 'Cellulose GUM 7H', 'Carboximethylcellulosum', 'Carboxymethylcellulosum', 'Celluloseglycolic acid', 'Croscarmellosum [Latin]', 'Cellulose carboxymethylate', 'Carmellosum [INN-Latin]', 'Carmelosa [INN-Spanish]', 'Cellulose, carboxymethyl ether', 'CMC-4LF', 'Cellulose, (carboxymethyl)', 'Carboxymethyl cellulose ether', 'Croscarmellosum [INN-Latin]', 'Croscarmelosa [INN-Spanish]', 'Glycolic acid cellulose ether', 'FEMA No. 2239', 'Carboxymethylated cellulose pulp', 'Cellulose CM', 'Cellulose, ether with glycolic acid', 'Acetic acid, hydroxy-, cellulose ether', '7H', '9000-11-7', 'Carboxymethylcellulose cellulose carboxymethyl ether', 'CMC', 'Carmellosum', 'Croscarmellosum', 'Croscarmelosa', 'Carmelosa', 'Carmellose [INN]', 'Intrasite gel (TN)', '.Carboxymethylcellulose', 'Croscarmellose (INN)', 'UNII-05JZI7B19X', 'SCHEMBL177710', 'Carmellose (JP17/NF/INN)', '05JZI7B19X', 'LS-3232', 'FT-0623543', '3560-EP2269977A2', '3560-EP2269978A2', '3560-EP2269979A1', '3560-EP2269985A2', '3560-EP2269990A1', '3560-EP2269991A2', '3560-EP2269992A1', '3560-EP2269993A1', '3560-EP2270004A1', '3560-EP2270114A1', '3560-EP2272516A2', '3560-EP2272517A1', '3560-EP2272537A2', '3560-EP2272817A1', '3560-EP2272822A1', '3560-EP2272837A1', '3560-EP2272842A1', '3560-EP2272843A1', '3560-EP2272845A2', '3560-EP2275404A1', '3560-EP2275413A1', '3560-EP2275414A1', '3560-EP2275422A1', '3560-EP2277858A1', '3560-EP2277861A1', '3560-EP2277865A1', '3560-EP2277867A2', '3560-EP2277875A2', '3560-EP2277876A1', '3560-EP2279750A1', '3560-EP2280001A1', '3560-EP2280003A2', '3560-EP2280006A1', '3560-EP2280008A2', '3560-EP2281563A1', '3560-EP2281813A1', '3560-EP2281817A1', '3560-EP2281818A1', '3560-EP2281823A2', '3560-EP2281861A2', '3560-EP2284148A1', '3560-EP2284150A2', '3560-EP2284151A2', '3560-EP2284152A2', '3560-EP2284153A2', '3560-EP2284155A2', '3560-EP2284156A2', '3560-EP2284157A1', '3560-EP2284158A1', '3560-EP2284159A1', '3560-EP2284160A1', '3560-EP2284164A2', '3560-EP2284169A1', '3560-EP2286811A1', '3560-EP2287140A2', '3560-EP2287141A1', '3560-EP2287148A2', '3560-EP2287150A2', '3560-EP2287156A1', '3560-EP2287159A1', '3560-EP2287161A1', '3560-EP2287162A1', '3560-EP2287165A2', '3560-EP2287166A2', '3560-EP2287167A1', '3560-EP2289868A1', '3560-EP2289876A1', '3560-EP2289887A2', '3560-EP2289888A2', '3560-EP2289890A1', '3560-EP2289892A1', '3560-EP2292088A1', '3560-EP2292228A1', '3560-EP2292586A2', '3560-EP2292593A2', '3560-EP2292606A1', '3560-EP2292611A1', '3560-EP2292614A1', '3560-EP2292615A1', '3560-EP2292620A2', '3560-EP2292621A1', '3560-EP2295408A1', '3560-EP2295410A1', '3560-EP2295412A1', '3560-EP2295413A1', '3560-EP2295414A1', '3560-EP2295418A1', '3560-EP2295419A2', '3560-EP2295426A1', '3560-EP2295427A1', '3560-EP2295433A2', '3560-EP2295436A1', '3560-EP2295437A1', '3560-EP2295441A2', '3560-EP2298732A1', '3560-EP2298735A1', '3560-EP2298758A1', '3560-EP2298759A1', '3560-EP2298768A1', '3560-EP2298770A1', '3560-EP2298773A1', '3560-EP2298775A1', '3560-EP2298778A1', '3560-EP2298779A1', '3560-EP2298780A1', '3560-EP2299785A1', '3560-EP2301627A1', '3560-EP2301913A1', '3560-EP2301914A1', '3560-EP2301928A1', '3560-EP2301929A1', '3560-EP2301933A1', '3560-EP2301935A1', '3560-EP2301936A1', '3560-EP2301940A1', '3560-EP2305627A1', '3560-EP2305629A1', '3560-EP2305637A2', '3560-EP2305640A2', '3560-EP2305643A1', '3560-EP2305644A1', '3560-EP2305648A1', '3560-EP2305651A1', '3560-EP2305652A2', '3560-EP2305664A1', '3560-EP2305671A1', '3560-EP2305672A1', '3560-EP2305674A1', '3560-EP2305675A1', '3560-EP2305676A1', '3560-EP2305682A1', '3560-EP2305689A1', '3560-EP2305695A2', '3560-EP2305696A2', '3560-EP2305697A2', '3560-EP2305698A2', '3560-EP2306788A1', '3560-EP2306789A1', '3560-EP2308510A1', '3560-EP2308812A2', '3560-EP2308838A1', '3560-EP2308843A1', '3560-EP2308844A2', '3560-EP2308845A2', '3560-EP2308846A2', '3560-EP2308848A1', '3560-EP2308854A1', '3560-EP2308858A1', '3560-EP2308874A1', '3560-EP2308877A1', '3560-EP2308879A1', '3560-EP2311801A1', '3560-EP2311802A1', '3560-EP2311803A1', '3560-EP2311806A2', '3560-EP2311809A1', '3560-EP2311810A1', '3560-EP2311811A1', '3560-EP2311816A1', '3560-EP2311817A1', '3560-EP2311827A1', '3560-EP2311830A1', '3560-EP2311837A1', '3560-EP2311840A1', '3560-EP2314571A2', '3560-EP2314574A1', '3560-EP2314575A1', '3560-EP2314582A1', '3560-EP2314585A1', '3560-EP2316828A1', '3560-EP2316836A1', '3560-EP2371811A2', '3560-EP2371813A1', '3560-EP2371814A1', '3560-EP2374788A1', '3560-EP2374790A1', '3560-EP2380871A1', '3560-EP2380874A2', 'D07622', 'Q411030', '191616-54-3', '196886-89-2']</t>
  </si>
  <si>
    <t>Compound(24748)</t>
  </si>
  <si>
    <t>C8H16O8</t>
  </si>
  <si>
    <t>carbon monoxide</t>
  </si>
  <si>
    <t>['carbon monoxide', 'carbon monooxide', 'Carbonic oxide', 'carbon(II) oxide', '630-08-0', 'Carbon oxide (CO)', 'Exhaust gas', 'Flue gas', 'Kohlenoxyd [German]', 'Koolmonoxyde [Dutch]', 'Kohlenmonoxid [German]', 'Wegla tlenek [Polish]', 'Oxyde de carbone [French]', 'Carbone (oxyde de) [French]', 'UNII-7U1EE4V452', 'HSDB 903', 'Carbonio (ossido di) [Italian]', 'Carbon monoxide [USAN]', 'EINECS 211-128-3', 'NA9202', 'UN1016', '[CO]', 'CHEBI:17245', '7U1EE4V452', 'Carbon monoxide 10% by volume or more', 'Carbon monoxide (USAN)', 'monoxide', 'C#O', '.carbon monoxide', 'ACMC-1B3LA', 'Carbon monoxide, compressed', 'EC 211-128-3', 'CHEMBL1231840', 'DTXSID5027273', 'CTK0I2914', 'c0369', 'DB11588', 'LS-52213', 'LS-187194', 'Q2025', 'C00237', 'D09706', 'Carbon monoxide, compressed [UN1016] [Poison gas]', 'Carbon monoxide, compressed [UN1016]  [Poison gas]', 'Carbon monoxide, refrigerated liquid (cryogenic liquid)', 'Carbon monoxide, refrigerated liquid (cryogenic liquid) [NA9202]  [Poison gas]', 'Carbon monoxide, refrigerated liquid (cryogenic liquid) [NA9202] [Poison gas]', '12795-06-1']</t>
  </si>
  <si>
    <t>Compound(281)</t>
  </si>
  <si>
    <t>CO</t>
  </si>
  <si>
    <t>['cyanide', 'CYANIDE ION', 'Cyanide anion', 'Isocyanide', '57-12-5', 'Cyanide ions', 'Nitrile anion', 'Cyanure [French]', 'Cyanide(1-) ion', 'Cyanide(1-)', 'Cyanide (anion)', 'UNII-OXN4E7L11K', 'RCRA waste number P030', 'Cyanide (CN(sup 1-))', 'Carbon nitride ion (CN1-)', 'Hydrocyanic acid, ion(1-)-', 'Carbon nitride ion (CN(sup 1-))', 'UN1935', 'RCRA waste no. P030', 'BRN 1900509', 'OXN4E7L11K', 'CN-', 'Cyanides (soluble salts and complexes) not otherwise specified', 'Cyanure', 'Cyanide, free', 'iminomethanide', 'isonitrile', 'Prussiate', 'Zyanid', 'Cyano', 'nitridocarbonate(1-)', 'Cyanide with potassium salt', 'Cyanide solutions, n.o.s.', 'CHEMBL186374', 'DTXSID6023991', 'BDBM26984', 'CHEBI:17514', 'CTK1G9863', 'CN(-)', 'CN(-1)', 'VZ36346', 'NCGC00188964-01', 'LS-55777', 'C00177', 'Q185076', 'Cyanide solutions, n.o.s. [UN1935] [Poison, Keep away from food]', 'Cyanide solutions, n.o.s. [UN1935]  [Poison, Keep away from food]']</t>
  </si>
  <si>
    <t>Compound(5975)</t>
  </si>
  <si>
    <t>CN-</t>
  </si>
  <si>
    <t>2-[[4-chloro-6-(ethylamino)-1,3,5-triazin-2-yl]amino]-2-methylpropanenitrile</t>
  </si>
  <si>
    <t>['CYANAZINE', '21725-46-2', 'Bladex', 'Fortrol', 'Cyanazin', 'Payze', 'Bladex 80WP', 'Blanchol', 'Fortol', 'SD 15418', 'WL 19805', 'Caswell No. 188C', 'Cyanazine [BSI:ISO]', 'DW 3418', 'UNII-W34C4P18WD', 'CCRIS 6823', 'W34C4P18WD', 'CHEBI:38069', 'HSDB 6842', '2-Chloro-4-(1-cyano-1-methylethylamino)-6-ethylamino-s-triazine', 'EINECS 244-544-9', '2-[[4-chloro-6-(ethylamino)-1,3,5-triazin-2-yl]amino]-2-methylpropanenitrile', 'DW3418', 'EPA Pesticide Chemical Code 100101', 'BRN 0615509', '2-Chloro-4-(1-cyano-1-methylethylamino)-6-ethylamine-1,3,5-triazine', 'DSSTox_CID_3990', '2-((4-Chloro-6-(ethylamino)-1,3,5-triazin-2-yl)amino)-2-methylpropanenitrile', '2-((4-Chloro-6-(ethylamino)-s-triazin-2-yl)amino)-2-methylpropionitrile', '2-{[4-chloro-6-(ethylamino)-1,3,5-triazin-2-yl]amino}-2-methylpropanenitrile', 'Propionitrile, 2-((4-chloro-6-(ethylamino)-s-triazin-2-yl)amino)-2-methyl-', 'DSSTox_RID_77249', 'Propanenitrile, 2-((4-chloro-6-(ethylamino)-1,3,5-triazin-2-yl)amino)-2-methyl-', 'Propanenitrile, 2-[[4-chloro-6-(ethylamino)-1,3,5-triazin-2-yl]amino]-2-methyl-', 'DSSTox_GSID_23990', '2-(4-Chloro-6-ethylamino-s-triazine-2-ylamino)-2-methyl-propionitrile', 's-Triazine, 2-chloro-4-ethylamino-6-(1-cyano-1-methyl)ethylamino-', '2-(4-Chloro-6-ethylamino-1,3,5-triazin-2-ylamino)-2-methylpropionitrile', '2-[[4-Chloro-6-(Ethylamino)-s-triazin-2-yl]amino]-2-methylpropionitrile', 'Propionitrile, 2-[[4-chloro-6-(ethylamino)-s-triazin-2-yl]amino]-2-methyl-', '2-[[4-chloranyl-6-(ethylamino)-1,3,5-triazin-2-yl]amino]-2-methyl-propanenitrile', 'Bladex 80W', 'CAS-21725-46-2', 'Cyanizine', 'Extrazine', 'Cynex', 'Bladex R', '2-([4-Chloro-6-(ethylamino)-1,3,5-triazin-2-yl]amino)-2-methylpropanenitrile', 'Bladex 4L', 'Cyanazine (Fortrol)', 'Bladex 90 DF', 'Cyanazine SD 15418', '2-chloro-4-((1-cyano-1-methylethyl)amino)-6-(ethylamino)-s-triazine', 'C9H13ClN6', 'SCHEMBL54410', 'BIDD:ER0073', 'Cyanazine, analytical standard', 'CHEMBL1884229', 'DTXSID1023990', 'CTK8E3909', 'MZZBPDKVEFVLFF-UHFFFAOYSA-', 'ZINC2016088', 'Tox21_201619', 'Tox21_301032', 'AKOS015903245', 'ACM21725462', 'Cyanazine 10 microg/mL in Acetonitrile', 'Cyanazine 100 microg/mL in Acetonitrile', 'NCGC00163888-01', 'NCGC00163888-02', 'NCGC00163888-03', 'NCGC00163888-04', 'NCGC00163888-05', 'NCGC00254934-01', 'NCGC00259168-01', 'AC-12675', 'S339', 'SD 45418', 'DB-045678', 'FT-0603170', 'NS00000383', 'Cyanazine, PESTANAL(R), analytical standard', 'C14299', 'CYANAZINE (PESTICIDE/FERTILIZER MIXTURE)', '33272-EP2274983A1', '33272-EP2305655A2', '33272-EP2311815A1', '33272-EP2371823A1', '5-26-08-00471 (Beilstein Handbook Reference)', '725C462', 'A815631', 'Q424848', 'J-014257', '2-chloro-4-ethylamino-6-cyano-1-methylethylamino-triazine', 'Chloro-4-((1-cyano-1-methylethyl)amino)-6-(ethylamino)-s-triazine', 'Chloro-6-(ethylamino)-s-triazin-2-yl)amino)-2-methylpropionitrile', '2-chloro-4-(1-cyano-1-methylethylamino)-6-ethylamino-1,3,5-triazine', 'Chloro-6-(ethylamino)-1,3,5-triazine-2-yl)amino)-2-methylpropanenitrile', 'S-Triazine, 2-chloro-4-(ethylamino)-6-(1-cyano-1-methyl)(ethylamino)-', '2-((4-chloro-6-(ethylamino)-1,3,5-triazine-2-yl)amino)-2-methylpropionitrile', '2-([4-Chloro-6-(ethylamino)-1,3,5-triazin-2-yl]amino)-2-methylpropanenitrile #', '2-(4-chloro-6-(ethylamino)-1,3,5-triazin-2-ylamino)-2-methylpropanenitrile', '2-[(4-chloro-6-ethylamino-1,3,5-triazin-2-yl)amino]-2-methylpropanenitrile', 'Propionitrile, 2-[[4-chloro-6-(ethylamino)-1,3,5-triazin-2-yl]amino]-2-methyl', '12679-53-7']</t>
  </si>
  <si>
    <t>Compound(30773)</t>
  </si>
  <si>
    <t>C9H13ClN6</t>
  </si>
  <si>
    <t>cyanide complex</t>
  </si>
  <si>
    <t>cyanuric acid chloride</t>
  </si>
  <si>
    <t>2,4,6-trichloro-1,3,5-triazine</t>
  </si>
  <si>
    <t>['Cyanuric chloride', '2,4,6-Trichloro-1,3,5-triazine', '108-77-0', 'Cyanuryl chloride', 'Cyanuric acid chloride', 's-Triazine trichloride', 'Trichlorocyanidine', 'Cyanuric trichloride', 'Tricyanogen chloride', 'sym-Trichlorotriazine', '2,4,6-TRICHLORO-S-TRIAZINE', 'Cyanur chloride', '1,3,5-Triazine, 2,4,6-trichloro-', 'Trichloro-s-triazine', 'Cyanurchloride', 'Kyanurchlorid', 'Cyanuric acid trichloride', 'trichloro-1,3,5-triazine', 'syn-Trichlotriazin', '1,3,5-Trichlorotriazine', 'Tricholorotriazine', 's-Triazine, 2,4,6-trichloro-', 'Kyanurchlorid [Czech]', '2,4,6-Trichloro-sym-triazine', 'UNII-5U4L4QHD6I', 'NSC 3512', 'syn-Trichlotriazin [Czech]', 's-Trichlorotriazine', 'CHEBI:58964', 'HSDB 2905', 'Cyanuric chloride, 99%', 'EINECS 203-614-9', 'UN2670', 'BRN 0124246', '5U4L4QHD6I', 'AI3-17788', '2,4,6-trichloro-[1,3,5]triazine', 'DSSTox_CID_6799', 'DSSTox_RID_78218', 'DSSTox_GSID_26799', '2,4,6-Trichloro-(1,3,5)-triazine', '2,4,6-trichloro-[1,3,5]-triazine', 'CAS-108-77-0', 'Cyanuricchloride', 'Cyanurylchloride', 'cyan uric chloride', '1,5-Trichlorotriazine', '2,6-Trichlorotriazine', 'PubChem21795', '2,6-Trichloro-s-triazine', 'Epitope ID:119708', 'EC 203-614-9', 's-Triazine,4,6-trichloro-', 'SCHEMBL20781', '5-26-01-00311 (Beilstein Handbook Reference)', 'KSC498C3P', 'CHEMBL1530777', 'DTXSID6026799', 'CTK3J8137', 'KS-00000UTW', 'NSC3512', '2,6-Trichloro-1,3,5-triazine', 'HMS3749M17', 'CS-B1794', 'NSC-3512', 'WLN: T6N CN ENJ BG DG FG', 'ZINC1666824', '1,3,5-trichloro-2,4,6-triazine', 'Tox21_202449', 'Tox21_303286', '1,5-Triazine, 2,4,6-trichloro-', '2,4,6-Trichloro[1,3,5]triazine', 'ANW-42379', 'BBL013185', 'MFCD00006046', 'SBB008925', 'STL163964', '2,4,6-Trichlor-(1,3,5)triazine', 'AKOS000120158', 'MCULE-3861428161', 'NE10424', 'UN 2670', 'NCGC00090920-01', 'NCGC00090920-02', 'NCGC00090920-03', 'NCGC00257057-01', 'NCGC00259998-01', '2,4,6-tris(chloranyl)-1,3,5-triazine', 'Cyanuric chloride [UN2670] [Corrosive]', 'SC-19105', 'Cyanuric chloride [UN2670]  [Corrosive]', 'LS-155568', 'FT-0624144', 'NS00001147', 'ST50827261', 'X4436', '102952-EP2298761A1', '102952-EP2301918A1', 'A801923', 'Q419742', 'Cyanuric chloride, Lonza quality, &gt;=99.5% (w/w)', 'W-108714', 'F0001-0179', '2,4,6-trichloro-1,3,5-triazine;Cyanuric chloride;POLY(CYANURIC CHLORIDE-CO-TERT- OCTYLAMINE-CO-1,6-BIS(2,2,6,6- TETRAMETHYL-4-PIPERIDYLAMINO)HEXANE);Poly[[6-[(1,1,3,3-tetramethylbutyl)amino]-1,3,5-triazine-2,4-diyl][(2,2,6,6-tetramethyl-4-piperidinyl)imino]-1,6-hexanediyl[(2,2,6,6-tetramethyl-4-piperidinyl)imino]]']</t>
  </si>
  <si>
    <t>Compound(7954)</t>
  </si>
  <si>
    <t>C3Cl3N3</t>
  </si>
  <si>
    <t>cyanuric acid</t>
  </si>
  <si>
    <t>1,3,5-triazinane-2,4,6-trione</t>
  </si>
  <si>
    <t>['CYANURIC ACID', '108-80-5', '1,3,5-Triazine-2,4,6-triol', 'Isocyanuric acid', 'Trihydroxycyanidine', 'Tricyanic acid', 'sym-Triazinetriol', 's-Triazinetriol', '1,3,5-Triazine-2,4,6(1H,3H,5H)-trione', 'Pseudocyanuric acid', 'Isocyanurate acid', '2,4,6-Trihydroxy-1,3,5-triazine', 'Tricarbimide', 's-Triazine-2,4,6-triol', 's-2,4,6-Triazinetriol', 'Kyselina kyanurova', '1,3,5-triazinane-2,4,6-trione', 's-Cyanuric acid', 'Trihydroxytriazine', 'Cyanuric acid (VAN)', 's-Triazinetrione', 's-Triazine-2,4,6(1H,3H,5H)-trione', 'Kyselina kyanurova [Czech]', '5-Azabarbituric acid', 'sym-triazine-2,4,6-triol', 'Caswell No. 862', 'cyanurate', 'Cyanursaure', 'Triazinetrione', 'Triazine-2,4,6-triol', 'UNII-H497R4QKTZ', 'NSC 6284', 's-Triazine-2,4,6-trione', '2,4,6-Trihydroxy-S-triazine', 'CCRIS 5895', 'Cyanuric acid, 98%', 'HSDB 2818', '2,4,6-Triazinetrione', 'EINECS 203-618-0', '2,4,6-Trihydroxytriazine', 'EPA Pesticide Chemical Code 081402', 'CP 4789', 'H497R4QKTZ', 'AI3-26483', 'CHEBI:17696', '1,3,5-Triazin-2,4,6-triol', 'Triazine-2,4,6(1H,3H,5H)-trione', '2,4,6-Trioxohexahydro-1,3,5-triazine', 'DSSTox_CID_4873', 'DSSTox_RID_77560', 'DSSTox_GSID_24873', 's-Triazine-2,4,6(1H,3H,5H)-trione (8CI)', 'Cyanuricacid', 'Celotex', 'Polyisocyanurate', 'Cyanuric acid:', '135581-61-2', 'CAS-108-80-5', 'Cuprammonium cyanurate', 'isocyanurate', 'Trihydroxy-1,3,5-triazine', 'Cyanursaeure', 'Isocyanursaeure', 'Isozyanursaeure', 'Zyanursaeure', 'Zyanursaure', 'iso cyanuric acid', 'WDL', 'Normal cyanuric acid', 'ACMC-20mvtd', 'Gimeracil Impurity 4', 's-2,6-Triazinetriol', 's-Triazine-2,6-triol', 'bmse000135', 'Kyselina kyanurova(CZECH)', 'EC 203-618-0', 'SCHEMBL20706', 'KSC174O0P', 'ACMC-20991c', 'CHEMBL243087', 'DTXSID7024873', 'SCHEMBL12145619', 'CHEBI:38028', 'CTK0F4095', 'CTK0H4707', 'NSC6284', '2,6-Trihydroxy-1,3,5-triazine', 'Cyanuric acid, analytical standard', 'KS-00000V2G', 'NSC-6284', 'WLN: T6N CN ENJ BQ DQ FQ', 'Tox21_202362', 'Tox21_303192', 'ANW-15982', 'BBL002489', 'LS-470', 'MFCD00082990', 'SBB008924', 'STK386958', 'ZINC18044615', '(C O)3 (N H)3', 'AKOS000297068', 'AKOS023552913', 's-Triazine-2,6(1H,3H,5H)-trione', 'CS-W011123', 'MCULE-2586692744', 'NCGC00249215-01', 'NCGC00257109-01', 'NCGC00259911-01', '27026-93-3', '40580-20-9', '504-19-8', 'AC-11368', 'AS-14694', 'M214', 'DB-040845', '1,5-Triazine-2,4,6(1H,3H,5H)-trione', 'FT-0624143', 'FT-0665325', 'NS00009566', 'ST50873783', 'T8338', 'EN300-24846', 'C06554', '78410-EP2292599A1', '78410-EP2308856A1', '1,3,5-Triazine-2,4, 6(1H,3H,5H)-trione', '103030-EP2277945A1', '103030-EP2292597A1', '103030-EP2301918A1', 'A801927', 'Cyanuric acid, purum, anhydrous, &gt;=98.0% (T)', 'Q411314', '1,3,5-Triazine-2,4,6-triol (ACD/Name 4.0)', 'W-108712', '1,3,5-Triazine-2,4,6(1H,3H,5H)-trione, homopolymer', 'F0001-0180', 'Z1259273383', '1,3,5-Triazine-2,4,6(1H,3H,5H)-trione, copper(2+) salt (1:1) monoammoniate']</t>
  </si>
  <si>
    <t>Compound(7956)</t>
  </si>
  <si>
    <t>C3H3N3O3</t>
  </si>
  <si>
    <t>cyanide-free</t>
  </si>
  <si>
    <t>formonitrile</t>
  </si>
  <si>
    <t>['hydrogen cyanide', 'hydrocyanic acid', 'Formonitrile', 'Prussic acid', 'Cyanwasserstoff', 'Blausaeure', 'Formic anammonide', 'Zyklon B', 'Zaclondiscoids', 'Cyclon', 'Evercyn', 'Cyclone B', 'Aero Liquid HCN', 'Agent AC', '74-90-8', 'Cyaanwaterstof', 'Cyjanowodor', 'Blauwzuur', 'Acido cianidrico', 'Acide cyanhydrique', 'Blauwzuur [Dutch]', 'RCRA waste number P063', 'Blausaeure [German]', 'Cyjanowodor [Polish]', 'Caswell No. 483', 'Carbon hydride nitride (CHN)', 'cyanyl', 'methanenitrile', 'Cyaanwaterstof [Dutch]', 'Cyanwasserstoff [German]', 'Hydrogen cyanide [ISO]', 'Acido cianidrico [Italian]', 'Acide cyanhydrique [French]', 'HCN', 'hydridonitridocarbon', '[CHN]', 'UNII-2WTB3V159F', 'UN 1051', 'HSDB 165', 'Acide cyanhydrique [ISO-French]', 'hydrogen(nitridocarbonate)', 'EINECS 200-821-6', 'NA1613', 'UN1051', 'UN1613', 'UN1614', 'UN3294', 'RCRA waste no. P063', 'EPA Pesticide Chemical Code 045801', 'AI3-31100-X', 'BRN 1718793', '2WTB3V159F', 'CHEMBL183419', 'CHEBI:18407', 'Prussic acid, anhydrous, stabilized', 'Blausaeure (German)', 'Hydrocyanic acid, anhydrous, stabilized', 'Hydrogen cyanide, anhydrous, stabilized', 'Hydrocyanic acid (prussic), unstabilized [Forbidden]', 'Hydrocyanic acid aqueous solutions, with not &gt;20% hydrocyanic acid', 'Hydrocyanic acid, anhydrous, stabilized, absorbed in a porous inert material', 'Hydrogen cyanide, anhydrous, stabilized, absorbed in a porous inert material', 'Prussic acid, anhydrous, stabilized, absorbed in a porous inert material', 'AC [Cyanide]', 'Zootic acid', 'Cyanide-Free', 'Nitrilomethane #', 'Carbon hydride nitride', 'Prussic acid, unstabilized', 'EC 200-821-6', 'UN 1613 (Salt/Mix)', 'UN 1614 (Salt/Mix)', 'DTXSID9024148', 'CTK2H7235', 'BDBM50152968', 'NA 1051', 'ACM25764094', 'Hydrocyanic acid (prussic), unstabilized', 'LS-77243', 'Hydrogen cyanide, stabilized with &lt;3% water', 'NS00001590', 'C01326', 'Q3416481', 'Hydrocyanic acid, aqueous solutions &lt;5% hydrogen cyanide', 'hydridonitridocarbonhydrogen(nitridocarbonate)methanenitrile', 'Hydrogen cyanide, stabilized with &lt;3% water [UN1051]  [Poison]', 'Hydrogen cyanide, stabilized with &lt;3% water [UN1051] [Poison]', 'Hydrogen cyanide, solution in alcohol with not &gt;45% hydrogen cyanide', 'Hydrocyanic acid, aqueous solutions &lt;5% hydrogen cyanide [NA1613]  [Poison]', 'Hydrocyanic acid, aqueous solutions &lt;5% hydrogen cyanide [NA1613] [Poison]', 'Hydrogen cyanide, solution in alcohol with not &gt;45% hydrogen cyanide [UN3294]  [Poison]', 'Hydrogen cyanide, solution in alcohol with not &gt;45% hydrogen cyanide [UN3294] [Poison]', 'Hydrogen cyanide, stabilized, with &lt;3% water and absorbed in a porous inert material', 'Hydrocyanic acid, aqueous solutions or Hydrogen cyanide, aqueous solutions with not &gt; 20% hydrogen cyanide', 'Hydrocyanic acid, aqueous solutions or Hydrogen cyanide, aqueous solutions with not &gt; 20% hydrogen cyanide [UN1613]  [Poison]', 'Hydrocyanic acid, aqueous solutions or Hydrogen cyanide, aqueous solutions with not &gt; 20% hydrogen cyanide [UN1613] [Poison]', 'Hydrogen cyanide, stabilized, with &lt;3% water and absorbed in a porous inert material [UN1614]  [Poison]', 'Hydrogen cyanide, stabilized, with &lt;3% water and absorbed in a porous inert material [UN1614] [Poison]']</t>
  </si>
  <si>
    <t>Compound(768)</t>
  </si>
  <si>
    <t>CHN</t>
  </si>
  <si>
    <t>(mass) Concentration</t>
  </si>
  <si>
    <t>Cryptophytes</t>
  </si>
  <si>
    <t>carbon disulfide</t>
  </si>
  <si>
    <t>['CARBON DISULFIDE', 'Carbon disulphide', 'Carbon bisulfide', '75-15-0', 'Dithiocarbonic anhydride', 'Carbon bisulphide', 'Schwefelkohlenstoff', 'methanedithione', 'Weeviltox', 'Wegla dwusiarczek', 'Solfuro di carbonio', 'CARBONDISULFIDE', 'Carbondisulphide', 'Sulphocarbonic anhydride', 'Sulphuret of carbon', 'RCRA waste number P022', 'Caswell No. 162', 'disulfidocarbon', 'Carbon disulfide cation', 'Carbon bisulfuret', 'NCI-C04591', 'Alcohol of sulfur', 'Wegla dwusiarczek [Polish]', 'Schwefelkohlenstoff [German]', 'Carbon disulfide [BSI:ISO]', 'HSDB 52', 'UNII-S54S8B99E8', 'Solfuro di carbonio [Italian]', 'UN 1131', 'CCRIS 5570', 'Carbone (sulfure de) [French]', 'Sulfocarbonic anhydride', 'Carbonio (solfuro di) [Italian]', 'Sulfure de carbone [ISO-French]', 'Carbon sulfide (CS2)', 'EINECS 200-843-6', 'UN1131', 'RCRA waste no. P022', 'EPA Pesticide Chemical Code 016401', 'BRN 1098293', 'Carbon disulfide, ACS reagent', 'Koolstofdisulfide (zwavelkoolstof) [Dutch]', 'AI3-08935', 'Kohlendisulfid (schwefelkohlenstoff) [German]', 'CHEBI:23012', 'S54S8B99E8', 'Carbon disulfide solution, 5 M in THF', 'NCGC00091108-01', 'DSSTox_CID_3947', 'DSSTox_RID_77238', 'DSSTox_GSID_23947', '12539-80-9', 'Koolstofdisulfide (zwavelkoolstof)', 'MFCD00011321', 'Kohlendisulfid (schwefelkohlenstoff)', 'CAS-75-15-0', 'Sulfure de carbone', 'Carbon disulfide, 99.9%, for spectroscopy', 'Carbon disulfide, ACS reagent, &gt;=99.9%', 'Carbone (sulfure de)', 'Carbonio (solfuro di)', 'Carbon disulfide, puriss., low in benzene, &gt;=99.5% (GC)', 'Dithioxomethane', 'Kohlendisulfid', 'Carbon disulfide, 99.9%, extra pure, low in benzene content', 'Carbon sulphide', 'Koolstofdisulfide', 'carbon-disulphide', 'Weevil-Tox', 'Dithioxomethane #', 'Carbon-disulphide-', 'Carbon disulfide, CP', 'Carbon disulphide, BSI', 'ACMC-20ali2', 'EC 200-843-6', '4-03-00-00395 (Beilstein Handbook Reference)', 'KSC377M2H', 'CHEMBL1365180', 'DTXSID6023947', 'CTK2H7623', 'Carbon disulfide, p.a., 99.5%', 'KS-00000X0U', 'Tox21_111082', 'Tox21_201168', 'Carbon disulfide, anhydrous, &gt;=99%', 'AKOS009075983', 'LS-1657', 'NCGC00091108-02', 'NCGC00258720-01', 'Carbon disulfide, for HPLC, &gt;=99.9%', 'Carbon disulfide, purum, &gt;=99.0% (GC)', 'Carbondisulfide 5000 microg/mL in Methanol', 'C1955', 'Carbon-12C disulfide, 99.9 atom % 12C', 'FT-0623475', 'NS00040573', 'Carbon disulfide 5000 microg/mL in Methanol', 'Carbon disulfide, puriss., &gt;=99.5% (GC)', 'C19033', 'Carbon disulfide [UN1131] [Flammable liquid]', 'Carbon disulfide, SAJ first grade, &gt;=98.0%', 'Carbon disulfide [UN1131]  [Flammable liquid]', 'Carbon disulfide, JIS special grade, &gt;=99.0%', 'Carbon disulfide, spectrophotometric grade, &gt;=99%', 'Q243354', 'Carbon disulfide, puriss. p.a., &gt;=99.9% (GC)', 'carbon disulphide;Carbon disulphide;carbon disulfide', 'Carbon disulfide, ReagentPlus(R), low benzene, &gt;=99.9%', 'Carbon disulfide solution, 5000 mug/mL in methanol, analytical standard', 'Carbon disulfide, ReagentPlus(R), purified by redistillation, &gt;=99.9%', 'Carbon disulfide solution, certified reference material, 5000 mug/mL in methanol', 'Carbon disulfide, for IR spectroscopy, puriss. p.a., ACS reagent, reag. Ph. Eur., &gt;=99.9% (GC)']</t>
  </si>
  <si>
    <t>Compound(6348)</t>
  </si>
  <si>
    <t>cetyltrimethylammonium bromide</t>
  </si>
  <si>
    <t>hexadecyl(trimethyl)azanium;bromide</t>
  </si>
  <si>
    <t>['Cetrimonium bromide', '57-09-0', 'Hexadecyltrimethylammonium bromide', 'Cetyltrimethylammonium bromide', 'CTAB', 'Centimide', 'Bromat', 'Ctmab', 'Cee dee', 'CETAB', 'Trimethylcetylammonium bromide', 'Hexadecyl trimethyl ammonium bromide', 'Cetyl trimethyl ammonium bromide', 'Cetaflon', 'Cetavlon', 'Lauroseptol', 'Lissolamine', 'Pollacid', 'Quamonium', 'Suticide', 'Cetarol', 'Micol', 'Cetrimide bp', 'Lissolamine A', 'Cetavlon bromide', 'Lissolamin V', 'N-Cetyltrimethylammonium bromide', 'Cycloton V', 'Cirrasol OD', 'Acetoquat CTAB', 'Softex KW', 'Cetrimonii bromidum', 'Bromuro de cetrimonio', 'Cetrimida', 'Cetrimidum', 'Trimethylhexadecylammonium bromide', 'Mical', 'Bromure de cetrimonium', 'Cetrimonium (bromide)', 'Cirrasol-OD', 'N-HEXADECYLTRIMETHYLAMMONIUM BROMIDE', 'Hexadecyltrimethylammoniumbromide', 'N,N,N-trimethylhexadecan-1-aminium bromide', 'Palmityltrimethyl ammonium bromide', 'Bromat (VAN)', 'Micol (VAN)', 'Caswell No. 167', 'N,N,N-Trimethylcetylammonium bromide', 'Lissolamine V (VAN)', '(1-Hexadecyl)trimethylammonium bromide', 'Cetavlex', 'Cradocap', 'Zetrimid', '1-Hexadecanaminium, N,N,N-trimethyl-, bromide', 'N,N,N-Trimethyl-1-hexadecanaminium bromide', 'UNII-L64N7M9BWR', 'Cetrimonio bromuro [DCIT]', 'N-Hexadecyl-N,N,N-trimethylammonium bromide', 'Cetrimonium Bromide (CTAB)', 'CHEBI:3567', 'Palmityltrimethylammonium bromide', 'Cetrimonii bromidum [INN-Latin]', '1-Hexadecyltrimethylammonium bromide', 'EINECS 200-311-3', 'Bromure de cetrimonium [INN-French]', 'Bromuro de cetrimonio [INN-Spanish]', 'MFCD00011772', 'NSC 32927', 'EPA Pesticide Chemical Code 069117', 'L64N7M9BWR', 'cetyl trimethylammonium bromide', 'AI3-12209', 'CHEMBL307346', 'Hexadecyl-trimethyl-ammonium; bromide', 'Ammonium, hexadecyltrimethyl-, bromide', 'NCGC00164283-01', 'AK150860', 'DSSTox_CID_17028', 'DSSTox_RID_79297', 'DSSTox_GSID_37028', 'Q-200821', 'hexadecyltrimethylamine, bromide', '1-Hexadecanaminium, N,N,N-trimethyl-, bromide (1:1)', 'Cetrimide [INN:BAN:JAN]', 'Cetrimonio bromuro', 'CAS-57-09-0', 'Hexadecyltrimethylammonium bromide, 99+%', 'CTABR', 'SR-05000001830', 'Cetrimonium bromide [INN]', 'cetyltrimethylammoniumbromide', 'C19H42N.Br', 'Lissolamine V', 'cetyl N', 'Hexadecanyltrimethylammonium bromide', 'hexadecyl(trimethyl)azanium bromide', 'hexadecyl(trimethyl)azanium;bromide', 'Cetrimonium bromide [INN:BAN:NF]', 'hexadecyl(trimethyl)ammonium bromide', 'Epitope ID:116869', 'EC 200-311-3', 'C19H42BrN', 'SCHEMBL4377', 'ACMC-1AP33', 'Zephirol Related Compound 5', 'KSC494A9T', 'cetyltrimethyl ammonium bromide', 'cetyltrimethyl-ammonium bromide', 'SPECTRUM1503200', 'Cetrimonium bromide (NF/INN)', 'cetyl trimethyl-ammonium bromide', 'hexadecyltrimethylazanium bromide', 'DTXSID5037028', 'CTK3J4099', 'HMS500K11', 'hexadecyl-trimethylammonium bromide', 'N,N-Trimethylcetylammonium bromide', 'HMS1922G21', 'HMS2092L22', 'HMS3652J19', 'Pharmakon1600-01503200', 'hexadecyl-trimethyl ammonium bromide', 'HY-B1260', 'NSC32927', 'Tox21_112096', 'Tox21_300853', 'ANW-32635', 'CCG-39968', 'GD0341', 'NSC-32927', 'NSC758401', 's4242', 'SBB008910', 'ScintiGest&amp;trade; Tissue Solubilizer', 'STL477543', 'AKOS015915119', 'Tox21_112096_1', 'CS-4893', 'JC10039', 'MCULE-7452998571', 'NSC-758401', 'Hexadecyltrimethylammonium bromide, 99%', 'KS-000000T0', 'N,N-Trimethyl-1-hexadecanaminium bromide', 'NCGC00095012-01', 'NCGC00095012-02', 'NCGC00164283-07', 'NCGC00254756-01', 'AS-11739', 'BP-30064', 'CC-29268', 'LS-18065', 'LS-52812', 'N-Hexadecyl-N,N-trimethylammonium bromide', 'Q564', 'SC-18466', 'WLN: 16K1&amp;1&amp;1 &amp;Q &amp;E', 'Hexadecyltrimethylammonium bromide, &gt;=98%', '1-Hexadecanaminium,N,N-trimethyl-, bromide', 'CETYLTRIMETHYLAMMONIUM BROMIDE, 98%', 'DB-050366', 'FT-0652251', 'FT-0655369', 'ST51046347', 'SW220088-1', 'A16438', 'C11275', 'D03454', 'Hexadecyltrimethylammonium bromide, AR, &gt;=99%', 'A831309', 'C-34972', 'Q416077', 'Hexadecyltrimethylammonium bromide, &gt;=96.0% (AT)', 'Hexadecyltrimethylammonium bromide, BioXtra, &gt;=99%', 'SR-05000001830-1', 'SR-05000001830-3', 'Hexadecyltrimethylammonium bromide, analytical standard', 'UNII-24QSH2NL8N component LZZYPRNAOMGNLH-UHFFFAOYSA-M', 'Hexadecyltrimethylammonium bromide, BioUltra, &gt;=99.0% (AT)', 'Hexadecyltrimethylammonium bromide, for ion pair chromatography', 'Hexadecyltrimethylammonium bromide, for molecular biology, &gt;=99%', 'Hexadecyltrimethylammonium bromide, Vetec(TM) reagent grade, 96%', 'Cetrimonium bromide, United States Pharmacopeia (USP) Reference Standard', 'Cetyltrimethylammonium (bromide);Hexadecyltrimethylammonium (bromide);CTAB', 'Hexadecyltrimethylammonium bromide, BioUltra, for molecular biology, &gt;=99.0% (AT)', 'Hexadecyltrimethylammonium bromide, puriss. p.a., matrix substance for MALDI-MS', 'Hexadecyltrimethylammonium bromide, PharmaGrade, USP/NF, Manufactured under appropriate controls for pharma or biopharmaceutical production.']</t>
  </si>
  <si>
    <t>Compound(5974)</t>
  </si>
  <si>
    <t>C19H42BrN</t>
  </si>
  <si>
    <t>Cyanobacterium (blue-green algae)</t>
  </si>
  <si>
    <t>Cyanobacterial scum</t>
  </si>
  <si>
    <t>Ratio COD / BOD</t>
  </si>
  <si>
    <t>COD / nitrogen ratio Kjeldahl</t>
  </si>
  <si>
    <t>Total COD / nitrogen ratio</t>
  </si>
  <si>
    <t>Total COD / phosphorus ratio</t>
  </si>
  <si>
    <t>calcium-47</t>
  </si>
  <si>
    <t>['Calcium Ca-47', 'UNII-D6SF98OWVM', 'D6SF98OWVM', 'Calcium-47', 'Calcium, isotope of mass 47', '14391-99-2', 'Q27276183']</t>
  </si>
  <si>
    <t>Compound(6335803)</t>
  </si>
  <si>
    <t>calcium carbonate</t>
  </si>
  <si>
    <t>calcium;carbonate</t>
  </si>
  <si>
    <t>['Aragonite', 'CALCIUM CARBONATE', '471-34-1', 'Limestone', 'Chalk', 'Calcite', 'Carbonic acid calcium salt (1:1)', 'Aeromatt', 'Calcium carbonate (1:1)', 'Calofort U', 'Precipitated calcium carbonate', 'Akadama', 'Albacar', 'Albafil', 'Albaglos', 'Atomite', 'Calcicoll', 'Calibrite', 'Calmote', 'Calseeds', 'Caltrate', 'Calwhite', 'Carbium', 'Chemcarb', 'Clefnon', 'Duramite', 'Hydrocarb', 'Kotamite', 'Microcarb', 'Micromya', 'Neoanticid', 'Atomit', 'Calmos', 'Caltec', 'Dacote', 'Marfil', 'Chooz', 'Levigated chalk', 'Allied whiting', 'Tums', 'Marble white', 'Camel-carb', 'Camel-wite', 'Camel-tex', 'Britomya M', 'Britomya S', 'Calofort S', 'Calofort T', 'Calopake F', 'Calopake H', 'Hakuenka O', 'Multiflex MM', 'Multiflex SC', 'Albaglos SF', 'Calopake FS', 'Calopake PC', 'Carusis P', 'Garolite SA', "Gilder's whiting", 'Hakuenka CC', 'Hakuenka DD', 'Hakuenka PX', 'Hakuenka PZ', 'Homocal D', 'Multifex MM', 'Neolite F', 'Hakuenka CCR', 'Calcene CO', 'Calcene NC', 'Calcene TM', 'Carbium MM', 'Crystic prefil S', 'Neolite SP', 'Calcilit 8', 'Carborex 2', 'Neolite TPS', 'Cal-Sup', 'Microwhite 25', 'R Jutan', 'Hakuenka T-DD', 'Brilliant 15', 'Filtex White Base', 'Hydrocarb 60', 'Hydrocarb 65', 'Marblewhite 325', 'Cal-Light SA', 'Calcidar 40', 'Carbital 90', 'Durcal 2NH', 'Non-Fer-Al', 'CCC G-white', 'Kredafil RM 5', 'Brilliant BR 15', 'Calofil A 4', 'Calofil B 1', 'Calofil E 2', 'Calcilit 100', 'Hakuenka R 06', 'Micromic CR 16', 'Calcium monocarbonate', 'Durcal 10', 'Durcal 40', 'Monocalcium carbonate', 'Brilliant 1500', 'Calofor U 50', 'CCC No.AA oolitic', 'Eskalon 100', 'Eskalon 200', 'Eskalon 400', 'Eskalon 800', '1317-65-3', 'Calopake high opacity', 'Finncarb 6002', 'C 50 (carbonate)', 'CaCO3', 'Albacar 5970', 'Caswell No. 139', 'Eskalon 1500', 'Kredafil 150 Extra', 'Calciumcarbonat', 'Kalziumkarbonat', 'Calcite (Ca(Co3))', 'Calcium carbonate slurry', 'calciumcarbonate', 'MSK-PO', 'MSK-C', 'MSK-G', 'MSK-K', 'MSK-P', 'MSK-V', 'NCC-P', 'Mylanta Gelcaps', 'Mylanta soothing lozenges', 'Natural calcium carbonate', 'MC-T', 'Durcal C 640305', 'kohlensaurer Kalk', 'P-Lite 500', 'P-Lite 700', 'Di-Gel Tablets', 'C.I. Pigment White 18', 'Precipitated chalk', 'EGRI M 5', 'UNII-H0G9379FGK', 'carbonato de calcio', 'Pigment white 18', 'Chalk, Precipitated', 'KULU 40', 'carbonate de calcium', 'Calcium carbonate, precipitated', 'BRT 30', 'CCRIS 1333', 'HSDB 927', 'Marble', 'NCC 45', 'Tylenol Headache Plus', 'BS 32', 'calcium trioxidocarbonate', 'BRT 1500', 'Calcium carbonate [USP]', 'Carbonic acid, calcium salt (1:1)', 'EINECS 207-439-9', 'AX 363', 'BF 200', 'KS 500', 'NS 100', 'NS 200', 'NS 400', 'EPA Pesticide Chemical Code 073502', 'KS 1300', 'KS 1500', 'KS 1800', 'KS 2100', 'NS 2500', 'CI 77220', 'Kalkspar', 'N 34', 'N 43', 'CHEBI:3311', 'H0G9379FGK', '13397-26-7', 'C.I. 77220', 'K 250', 'T 130-2500', 'Calcium carbonate (USP)', 'CCW', 'Agstone', 'Domolite', 'Franklin', 'Sohnhofen stone', 'Portland stone', 'Slaker rejects', 'Oyster shell', 'Calcium carbonate, 99%, extra pure', 'Calcium, Reference Standard Solution', 'MFCD00010906', 'Lithograpic stone', 'Calcium carbonate, 97%, pure, chunks', 'Carbonic Acid Calcium Salt', 'Calcium carbonate, 99+%, ACS reagent', 'Calcium carbonate, 99+%, for biochemistry', 'Agricultural limestone', 'Calcium carbonate, 98%, pure, light powder', 'Calcium carbonate, 98+%, pure, heavy powder', 'Vaterite (Ca(CO3))', 'Calcium carbonate, 99%, for analysis, precipitated', 'Calcium carbonate, 99.999%, (trace metal basis)', 'Calcium carbonate, ACS reagent, chelometric standard', 'Calcium carbonate [USAN]', 'Caltan', 'Bell mine pulverized limestone', 'Kalk', 'Marble dust', 'Chalk Powder', 'Coral Calcium', 'Ground limestone', 'Marble Chips', 'carbonate calcium', 'Chalk, pure', 'calcium carb onate', 'Marble, CP', 'EINECS 215-279-6', 'Cal-sup (TN)', 'CCaO3', 'calcium(II) carbonate', 'Calcium carbonate, CP', 'Calcium Carbonate,(S)', 'Acid controller complete', 'ACMC-1ADFV', 'Calcium carbonate, powder', 'EC 207-439-9', 'SCHEMBL3261', 'Calcium Carbonate Nanopowder', 'Calcium carbonate, technical', 'Precpitated calcium carbonate', 'KSC235O5L', 'Calcium Carbonate Granular DC', 'Ca (C O3)', 'CHEMBL1200539', 'DTXSID3036238', 'INS NO.170(I)', 'CTK1D5755', 'NDI 443', 'Calcium carbonate, ReagentPlus(R)', 'Calcium carbonate,puratronic powder', 'INS-170(I)', 'Calcium carbonate, AR, &gt;=98.5%', 'Calcium carbonate, LR, &gt;=98.5%', 'AKOS015903256', 'Calcium carbonate, precipitated (JAN)', "Children's mylanta upset stomach relief", 'DB06724', 'LS-2385', 'Precipitated calcium carbonate (JP17)', 'Calcium carbonate, BioXtra, &gt;=99.0%', 'Calcium carbonate, Monocalcium carbonate', 'KS-00000X52', '13701-58-1', 'Calcium carbonate, powder A.C.S. reagent', 'E-170(I)', 'E170', 'LS-48634', 'S266', 'Calcium carbonate, puriss. p.a., &gt;=99%', 'Calcium carbonate, USP, 98.0-100.5%', 'LS-191281', 'Calcium carbonate, NIST(R) SRM(R) 915b', 'E 170', 'FT-0623383', 'C08129', 'Calcium carbonate, SAJ first grade, &gt;=98.0%', 'Calcium carbonate, tested according to Ph.Eur.', 'D00932', 'Q23767', 'Calcium carbonate, 99.999% trace metals basis', 'Calcium carbonate, JIS special grade, &gt;=99.5%', 'Calcium carbonate, p.a., 99.0%, ACS reagent', 'Calcium carbonate, &gt;=99.995% trace metals basis', 'Calcium carbonate, Vetec(TM) reagent grade, 99%', 'Calcium carbonate, ACS reagent, &gt;=99.0%, powder', 'Calcium carbonate, BioUltra, precipitated, &gt;=99.0% (KT)', 'Calcium carbonate, powder, &lt;=30 mum particle size, 98%', 'Calcium carbonate, primary reference standard, 99.95-100.05%', 'NBS 18 (carbon isotopes in carbonatite), NIST(R) RM 8543', 'Calcium Carbonate (AS), United States Pharmacopeia (USP) Reference Standard', 'Calcium carbonate, BioReagent, suitable for insect cell culture, &gt;=99.0%', 'Calcium carbonate, ACS reagent, chelometric standard, 99.95-100.05% dry basis', 'Calcium carbonate, anhydrous, free-flowing, Redi-Dri(TM), ACS reagent, &gt;=99%', 'Calcium carbonate, anhydrous, free-flowing, Redi-Dri(TM), ReagentPlus(R), &gt;=99%', 'Calcium carbonate, Pharmaceutical Secondary Standard; Certified Reference Material', 'Calcium carbonate, certified reference material for titrimetry, certified by BAM, according to ISO 17025, &gt;=99.5%', 'Calcium carbonate, puriss., meets analytical specification of Ph. Eur., BP, USP, FCC, E170, precipitated, 98.5-100.5% (based on anhydrous substance)']</t>
  </si>
  <si>
    <t>Compound(10112)</t>
  </si>
  <si>
    <t>CCaO3</t>
  </si>
  <si>
    <t>calcium chloride</t>
  </si>
  <si>
    <t>calcium;dichloride</t>
  </si>
  <si>
    <t>['10043-52-4', 'Calcium dichloride', 'Calcium chloride anhydrous', 'CaCl2', 'Calciumchloride', 'Calcium(II) chloride', 'Calcium chloride pellets', 'Isocal', 'calcium chloride,anhydrous', 'CHEBI:3312', 'MFCD00010903', 'Caloride', 'Liquical', 'Jarcal', 'Unichem calchlor', 'Sure-step', "Huppert's reagent", 'Calcium chloride, ACS reagent, desiccant', "Homberg's phosphorus", 'Calcium chloride, 96%, for analysis, granules', 'Calcium chloride, 96%, for biochemistry, anhydrous', 'Calcium chloride, 96%, extra pure, powder, anhydrous', 'Chloro calcium', 'Calcium-chloride', 'E509', '[CaCl2]', 'DSSTox_CID_235', 'Calcium chloride, Prilled', 'ACMC-1C93I', 'DSSTox_RID_75450', 'DSSTox_GSID_20235', 'KSC925O1H', 'INS NO.509', 'CHEMBL1200668', 'DTXSID5020235', 'CTK8C5713', 'INS-509', 's230', 'KS-00000XE0', 'Tox21_202585', 'AKOS024437435', 'DB01164', 'NCGC00260134-01', 'SC-65216', 'Calcium chloride,Calcium chloride dihydrate', 'CAS-10043-52-4', 'CALCIUM CHLORIDE ANHYD ACS GRADE 1KG', 'E-509', 'FT-0623384', 'C08130', 'Anhydrous Calcium Chloride 94-97% Mini-Pellets', 'Q208451']</t>
  </si>
  <si>
    <t>Compound(5284359)</t>
  </si>
  <si>
    <t>calcium oxide</t>
  </si>
  <si>
    <t>oxocalcium</t>
  </si>
  <si>
    <t>['CALCIUM OXIDE', 'Lime', 'Quicklime', 'Burnt lime', 'Calcia', 'Calxyl', 'Gebrannter kalk', 'Unslaked lime', 'Calcium monoxide', 'Calcium oxide (CaO)', 'Airlock', 'CALX', 'Chaux vive', 'Quick lime', 'Calx usta', 'Rhenosorb C', 'Rhenosorb F', 'Desical P', 'Lime, burned', 'Caloxal CPA', 'Caloxol W3', 'Vesta PP', 'Caloxol CP2', 'Calcia (CaO)', 'Bell CML(E)', 'Bell CML(P)', 'Caswell No. 147A', 'QC-X', 'Wapniowy tlenek [Polish]', 'Oxyde de calcium [French]', 'CCRIS 7496', 'CML 21', 'CML 31', 'CML 35', 'Lime [USP]', 'HSDB 1615', 'EINECS 215-138-9', 'UN1910', 'EPA Pesticide Chemical Code 075604', 'CHEBI:31344', 'Lime (USP)', 'Calcium oxide, 96%, extra pure', 'Wapniowy tlenek', 'Oxyde de calcium', 'Calcium oxide, 97+%, for analysis, powder', 'Branntkalk', 'Kalziumoxid', 'Aetzkalk', 'Calciumoxide&amp;nb', 'Caustic lime', 'Citrus aurantiifolia', 'Calcium oxide, CP', 'Calcium oxide (JP17)', 'EC 215-138-9', 'INS NO.529', 'CHEMBL2104397', 'INS-529', 'Calcium oxide, p.a., 95.0%', '8227AF', 'AKOS015903966', 'Calcium oxide [UN1910] [Corrosive]', 'Lime, meets USP testing specifications', 'LS-2400', 'Calcium oxide, Vetec(TM) reagent grade', 'Calcium oxide [UN1910]  [Corrosive]', 'Calcium oxide, 99.995% trace metals basis', 'Calcium oxide, SAJ first grade, &gt;=98.0%', 'E-529', 'FT-0623408', 'Calcium oxide, SAJ special grade, &gt;=98.0%', 'D01679', 'Q185006', 'J-005832', 'Calcium oxide, ReagentPlus(R), 99.9% trace metals basis', 'Calcium oxide, anhydrous, powder, &gt;=99.99% trace metals basis', 'Calcium oxide, nanopowder, &lt;160 nm particle size (BET), 98%', 'Calcium oxide, puriss., meets analytical specification of FCC, 96-100.5% (ex ignited substance), powder (fine)']</t>
  </si>
  <si>
    <t>Compound(14778)</t>
  </si>
  <si>
    <t>calcium dihydroxide</t>
  </si>
  <si>
    <t>calcium;dihydroxide</t>
  </si>
  <si>
    <t>['CALCIUM HYDROXIDE', '1305-62-0', 'Slaked lime', 'Hydrated lime', 'Ca(OH)2', 'CHEBI:31341', 'Calcium Oxide, Hydrated', 'Calcium hydroxide, 98%, extra pure', 'Calcium hydroxide, 95+%, ACS reagent', 'calcium(II) hydroxide', 'Calcium hydroxide, 99.995%, (trace metal basis)', 'Kalziumhydroxid', 'Loeschkalk', 'geloeschter Kalk', 'calcium(2+) hydroxide', 'Calcium Hydroxide USP/FCC', 'Calcium hydroxide ACS grade', 'ACMC-1BE91', 'KSC174O9N', 'INS NO.526', 'CHEMBL2106388', 'DTXSID7034410', 'CTK0H4796', 'INS-526', 'Calcium Hydroxide Topical Solution', 'AKOS015903965', 'DB-023009', 'E-526', 'FT-0623399', 'C12277', 'Q182849', 'J-005828']</t>
  </si>
  <si>
    <t>Compound(6093208)</t>
  </si>
  <si>
    <t>CaH2O2</t>
  </si>
  <si>
    <t>calcium sulfate</t>
  </si>
  <si>
    <t>calcium;sulfate</t>
  </si>
  <si>
    <t>['CALCIUM SULFATE', '7778-18-9', 'Drierite', 'calcium sulphate', 'Anhydrous gypsum', 'Sulfuric acid, calcium salt (1:1)', 'Karstenite', 'Calcium sulfate, anhydrous', 'Crysalba', 'Muriacite', 'Osteoset', 'Thiolite', 'Satin White', 'Natural anhydrite', 'Calcium sulfuricum', 'Anhydrous sulfate of lime', 'Oparex 10', 'GIBS', 'Basic calcium sulfate', 'CaSO4', 'Caswell No. 152', 'Franklin Fiber H 45', 'Anhydrite', 'SSS-A', 'Anhydrous calcium sulfate', 'Calcium sulphate, natural', 'Calcium sulfate (1:1)', 'Calcium sulfate (CaSO4)', 'Pigment white 25', 'UNII-E934B3V59H', 'CAS 20', 'CCRIS 3666', 'HSDB 902', 'Calcium sulfate [NF]', 'Calcium sulfate, 99%', 'EINECS 231-900-3', 'EPA Pesticide Chemical Code 005602', 'NSC 529649', 'Plaster of Paris, anhydrite', 'Sulfuric acid, calcium salt', 'A 30', 'Surfuric acid calcium(2+) salt (1:1)', 'AI3-02330', 'CHEBI:31346', 'E934B3V59H', 'MFCD00010912', 'Calcium Sulfate, Anhydrous, Puratronic  (Metals Basis)', 'Calcium sulfate (NF)', 'Drierite(R), with indicator, 4 mesh', 'Calcium sulfate, 99%, pure, anhydrous', 'Drierite(R), without indicator, 4 mesh', 'Drierite(R), without indicator, 6 mesh', 'Drierite(R), without indicator, 8 mesh', 'Drierite(R), with indicator, 10-20 mesh', 'CALCIUMSULFATE', 'Drierite(R), without indicator, 10-20 mesh', 'Drierite(R), without indicator, 20-40 mesh', 'Calcarea sulphurica 30C', 'Calcium sulfate anhydrous', 'Kalziumsulfat', 'calcium sulfat', 'Calcium Sulfate Fcc', 'ACMC-1BKTF', 'Regular drierite 6 mesh', 'Drierite, regular 4 mesh', 'Drierite, regular 8 mesh', 'Calcium sulfate-325 mesh', 'Indicating drierite 8 mesh', 'EC 231-900-3', 'Drierite, indicating 4 mesh', 'Calcium sulfate, 99.99%', 'Drierite, indicatiing 6 mesh', 'KSC644S0D', 'INS NO.516', 'CHEMBL2106140', 'Drierite, regular 10-20 mesh', 'Drierite, regular 20-40 mesh', 'DTXSID9029699', 'CTK5E4901', 'Indicating drierite 10-20 mesh', 'KS-00000YOX', 'INS-516', 'Sulfuric acid, calciumsalt (1:1)', 'AKOS015902936', 'DB15533', 'LS-148195', 'E-516', 'FT-0623412', 'C13194', 'D09201', 'Q407258', 'Calcium Sulfate, Anhydrous, Puratronic (Metals Basis)', 'UNII-WAT0DDB505 component OSGAYBCDTDRGGQ-UHFFFAOYSA-L', '99400-01-8']</t>
  </si>
  <si>
    <t>Compound(24497)</t>
  </si>
  <si>
    <t>CaO4S</t>
  </si>
  <si>
    <t>calcium cyanamide</t>
  </si>
  <si>
    <t>cadmium-109</t>
  </si>
  <si>
    <t>['14109-32-1', 'Cadmium-109', 'Cadmium, isotope of mass 109', 'Cadmium 109', 'DTXSID70891760']</t>
  </si>
  <si>
    <t>Compound(104782)</t>
  </si>
  <si>
    <t>cerium-139</t>
  </si>
  <si>
    <t>['13982-30-4', 'Cerium-139', 'Cerium, isotope of mass 139', '(~139~Ce)Cerium', 'DTXSID40930635']</t>
  </si>
  <si>
    <t>Compound(166969)</t>
  </si>
  <si>
    <t>cerium-141</t>
  </si>
  <si>
    <t>['13967-74-3', 'Cerium-141', 'Cerium, isotope of mass 141', '(~141~Ce)Cerium', 'DTXSID80930538']</t>
  </si>
  <si>
    <t>Compound(104814)</t>
  </si>
  <si>
    <t>cerium-144</t>
  </si>
  <si>
    <t>['14762-78-8', 'CERIUM-144', 'Cerium, isotope of mass 144', 'Cerium 144', '144Ce', '(~144~Ce)Cerium', 'DTXSID20933169']</t>
  </si>
  <si>
    <t>Compound(26874)</t>
  </si>
  <si>
    <t>cerium oxide</t>
  </si>
  <si>
    <t>dioxocerium</t>
  </si>
  <si>
    <t>['Cerium dioxide', 'Ceric oxide', 'dioxocerium', '1306-38-3', 'Ceria', 'Ceric dioxide', 'Cerium oxide (CeO2)', 'Cerium(IV)dioxide', 'Cerium(4+) oxide', 'Needlal', 'Nidoral', 'Opaline', 'Needlal U15', 'Needlal W15', 'Molycomp 5310', 'CeO2', 'Needlal W10-01', 'CCRIS 2288', 'EINECS 215-150-4', 'Cerium(IV) oxide, 99.9%, (trace metal basis)', 'Cerium (IV) oxide', 'MFCD00010933', 'Cerium(IV) oxide pellets', 'Cerium(IV) oxide 1-5um', 'EC 215-150-4', 'Cerium(IV) oxide, puriss.', 'DTXSID4040214', 'CHEBI:79089', 'CTK4I0189', 'Cerium Oxide - High Purity Grade', 'Cerium(IV) oxide, &gt;=99.0%', 'Cerium(IV) oxide, powder, 90%', 'AKOS025310685', 'LS-52784', 'FT-0623553', 'Cerium(IV) oxide, powder, 99.995% trace metals basis', 'Cerium(IV) oxide, nanopowder, &lt;25 nm particle size (BET)', 'Cerium(IV) oxide, powder, &lt;5 mum, 99.9% trace metals basis', 'Cerium(IV) oxide, fused, pieces, 3-6 mm, 99.9% trace metals basis', 'Cerium oxide, aqueous nanoparticle dispersion, &lt;5 nm (DLS), 20% solids by weight, pH ~8', 'Cerium(IV) oxide, dispersion, nanoparticles, &lt;25 nm particle size, 10 wt. % in H2O', '23322-64-7', '385781-69-1', 'Cerium oxide, aqueous nanoparticle dispersion, &lt;5 nm particle size (DLS), 20 wt% in H2O, pH ~4, 99.5% trace metals basis', 'Cerium(IV) oxide, dispersion, 20 wt. % colloidal dispersion in 2.5% acetic acid, 30-50 nm avg. part. size', 'Cerium(IV) oxide, nanopowder, &lt;50 nm particle size (BET), 99.95% trace rare earth metals basis']</t>
  </si>
  <si>
    <t>Compound(73963)</t>
  </si>
  <si>
    <t>californium-249</t>
  </si>
  <si>
    <t>['UNII-R08357L1XX', 'R08357L1XX', 'Californium-249', '15237-97-5', 'Californium, isotope of mass 249', 'Californium Cf-249']</t>
  </si>
  <si>
    <t>Compound(105176)</t>
  </si>
  <si>
    <t>['7440-71-3', 'Californium', 'Cf', 'Californium Ion', 'UNII-975X05H15A', '975X05H15A', 'HSDB 7386', '15765-19-2', 'Californium, radioactive', 'californio', 'Kalifornium', 'californium atom', '13981-17-4', '13982-11-1', '15117-45-0', '15237-97-5', '15720-29-3', '15758-24-4', '16044-16-9', '22095-76-7', '(~244~Cf)Californium', '(~246~Cf)Californium', '(~248~Cf)Californium', '(~249~Cf)Californium', '(~250~Cf)Californium', '(~251~Cf)Californium', '(~252~Cf)Californium', '(~253~Cf)Californium', '(~254~Cf)Californium', '98Cf', 'CHEBI:33392', 'CTK2H8856', 'DTXSID00225392', 'DTXSID00935722', 'DTXSID10930627', 'DTXSID10935632', 'DTXSID40936293', 'DTXSID40944732', 'DTXSID50934487', 'DTXSID90930605', 'DTXSID90934183', 'DTXSID90935751', 'Q1888']</t>
  </si>
  <si>
    <t>Compound(23997)</t>
  </si>
  <si>
    <t>chrysene</t>
  </si>
  <si>
    <t>['CHRYSENE', '218-01-9', 'Benzo[a]phenanthrene', '1,2-Benzophenanthrene', '1,2-Benzphenanthrene', '1,2,5,6-Dibenzonaphthalene', 'Chrysen', 'Benz(a)phenanthrene', 'Benz[a]phenanthrene', 'RCRA waste number U050', 'Benzo(a)phenanthrene', 'RCRA waste no. U050', 'UNII-084HCM49PT', 'CCRIS 161', 'CHEMBL85685', '084HCM49PT', 'CHEBI:51687', 'HSDB 2810', 'Coal tar pitch volatiles: chrysene', 'NSC 6175', 'EINECS 205-923-4', 'AI3-00867', 'Chrysene, analytical standard', 'Benzo(a)phenanthrene [Polycyclic aromatic compounds]', 'Chrysene, 95%', 'Chrysene, 98%', 'ACMC-1CS8C', 'DSSTox_CID_2432', '1,5,6-Dibenzonaphthalene', 'Benzo[a]phenanthrene (purified by sublimation)', 'DSSTox_RID_76588', 'DSSTox_GSID_22432', 'BIDD:ER0418', 'DTXSID0022432', 'WLN: L E6 B666J', 'NSC6175', 'KS-000002AW', 'NSC-6175', 'ZINC1693315', 'Tox21_202548', 'ANW-24586', 'BDBM50128870', 'SBB061281', 'Chrysene 10 microg/mL in Cyclohexane', 'AKOS015904682', 'CHM0014032', 'Chrysene 10 microg/mL in Acetonitrile', 'MCULE-1013675596', 'OR30673', 'Chrysene 100 microg/mL in Acetonitrile', 'NCGC00163986-01', 'NCGC00260097-01', 'AS-39344', 'CAS-218-01-9', 'LS-53563', 'SC-19812', 'DB-011521', 'DB-043876', 'HY-121107', 'AK00362472', 'CS-0079473', 'FT-0623810', 'FT-0633792', 'NS00010720', 'ST45022230', 'C14222', 'Chrysene, BCR(R) certified Reference Material', '218C019', 'A815674', 'Q415465', 'W-201895', 'Chrysene, certified reference material, TraceCERT(R)', 'UNII-0TNN3Q0D4D component WDECIBYCCFPHNR-UHFFFAOYSA-N']</t>
  </si>
  <si>
    <t>Compound(9171)</t>
  </si>
  <si>
    <t>Chloride / conductivity ratio</t>
  </si>
  <si>
    <t>dichlor</t>
  </si>
  <si>
    <t>molecular chlorine</t>
  </si>
  <si>
    <t>['7782-50-5', 'Chlorine', 'Cl', 'dichlorine', 'Molecular chlorine', 'Bertholite', 'Chlorine gas', 'Chloor', 'Cloro', 'Chlorine mol.', 'Chlore [French]', 'Cloro [Italian]', 'Chloor [Dutch]', 'Chlor [German]', 'Caswell No. 179', 'Bertholite /warfare gas/', 'UN 1017', 'CCRIS 2280', 'HSDB 206', 'UNII-4R7X1O2820', 'EINECS 231-959-5', 'UN1017', 'EPA Pesticide Chemical Code 020501', 'Chlorinated water (chlorine)', 'CL2', '4R7X1O2820', 'Chlorine, puriss., &gt;=99.8%', 'Chlorinum', 'Chlorine-elemental', 'Chlorine mol', 'chorine chloride', 'Chloroniumchlorid', 'Chlorinated water', 'Chlorine, &gt;=99.5%', 'EC 231-959-5', 'DTXSID1020273', 'CHEBI:29310', 'CTK5E9151', 'Chlorine [UN1017] [Poison gas]', 'Chlorine [UN1017]  [Poison gas]', 'AKOS015915796', 'DB11109', 'LS-2438', 'MCULE-3583111150', 'Q1904422']</t>
  </si>
  <si>
    <t>Compound(24526)</t>
  </si>
  <si>
    <t>chloramine-T</t>
  </si>
  <si>
    <t>sodium;chloro-(4-methylphenyl)sulfonylazanide</t>
  </si>
  <si>
    <t>['Chloramine-T', 'CHLORAMINE T', '127-65-1', 'Chloralone', 'Chlorasan', 'Chlorozone', 'Tosylchloramide sodium', 'Acti-chlore', 'Chloraseptine', 'Chlorazene', 'Chlorazone', 'Chlorseptol', 'Multichlor', 'Tochlorine', 'Aktivin', 'Chlorazan', 'Chlorosol', 'Heliogen', 'Mannolite', 'Tampules', 'Tolamine', 'Sodium chloramine T', 'Chlorina Aktivin', 'Monochloramine T', 'Sodium tosylchloramide', 'Sodium p-toluenesulfonchloramide', 'Berkendyl', 'Anexol', 'Tosilcloramida sodica', 'Cloramine T', 'Tosylchloramide sodique', 'Tosylchloramidum natricum', 'Clorina', 'Euclorina', 'Aseptoclean', 'Gyneclorina', '(N-Chloro-p-toluenesulfonamido)sodium', 'Clorosan', 'Desinfect', 'Kloramin', 'Mianine', 'Gansil', 'Tosylchloramid-natrium', 'Sodium p-toluenesulfonylchloramide', 'Chloramin Heyden', 'Kloramine-T', 'N-Chloro-p-toluenesulfonamide sodium', 'Sodium N-chloro-p-toluenesulfonamide', 'Sodium chloro(tosyl)amide', 'Halamid', 'Caswell No. 170', 'Chloramin Dr. Fahlberg', 'Chloramine-T hydrate', 'N-Chlorotoluenesulfonamide sodium salt', 'UNII-328AS34YM6', 'CHEBI:53767', 'HSDB 4303', 'N-Chloro-4-methylbenzylsulfonamide sodium salt', 'EINECS 204-854-7', 'Tosilcloramida sodica [INN-Spanish]', 'N-Chloro-4-methylbenzenesulfonamide sodium salt', 'NSC 36959', 'Tosylchloramide sodique [INN-French]', 'Tosylchloramidum natricum [INN-Latin]', 'AI3-18426C', 'EPA Pesticide Chemical Code 076502', 'Tosylchloramide sodium [INN]', 'p-Toluenesulfonamide, N-chloro-, sodium salt', 'sodium chloro(4-methylbenzenesulfonyl)azanide', '328AS34YM6', '[chloro(p-tolylsulfonyl)amino]sodium', 'Benzenesulfonamide, N-chloro-4-methyl-, sodium salt', '149358-73-6', 'Tosylchloramide sodium (INN)', 'Benzenesulfonamide, N-chloro-4-methyl-, sodium salt (1:1)', 'Sodium derivative of N-chloro-p-toluenesulfonamide trihydrate', 'Chloramine-t [NF]', 'Chloramine-T / Tosylchloramide sodium', 'SR-01000872612', 'Chloramin T', 'Chloramine (T)', '(N-chloro-p-toluenesulfonamide)sodium', 'C7H7ClNO2S.Na', 'Epitope ID:116223', 'SCHEMBL19335', 'CHEMBL1697734', 'DTXSID6040321', 'CTK8E8209', 'HMS3264N19', 'BCP12015', 'HY-B0959', 'N-Chloro-4-toluenesulfonamide,sodiu', 'p-Toluenesulfonchloramide Sodium Salt', 's6403', 'AKOS015890257', 'CCG-213937', 'CS-4435', 'KS-0000191O', 'SC-18993', 'LS-154121', 'Chloramine T (Tosyl Chloramide Sodium Salt)', 'FT-0654742', 'EN300-75322', 'sodium chloro[(4-methylphenyl)sulfonyl]azanide', 'D02445', 'Z-0571', 'Q420695', 'J-008582', 'SR-01000872612-2', 'SR-01000872612-3', 'W-108379']</t>
  </si>
  <si>
    <t>Compound(3641960)</t>
  </si>
  <si>
    <t>C7H7ClNNaO2S</t>
  </si>
  <si>
    <t>chlorobenzene</t>
  </si>
  <si>
    <t>['CHLOROBENZENE', '108-90-7', 'Monochlorobenzene', 'Phenyl chloride', 'Benzene chloride', 'Benzene, chloro-', 'Chlorbenzene', 'Chlorobenzol', 'Monochlorbenzol', 'Chlorbenzol', 'Chlorobenzen', 'Clorobenzene', 'Monochlorbenzene', 'Chloorbenzeen', 'Monoclorobenzene', 'Monochloorbenzeen', 'Tetrosin SP', 'Chlorobenzenu', 'chloro-benzene', 'Chlorobenzene, mono-', 'PhCl', 'NCI-C54886', 'Chloorbenzeen [Dutch]', 'Chlorobenzen [Polish]', 'Chlorobenzenu [Czech]', 'Caswell No. 183A', 'Clorobenzene [Italian]', 'chloro benzene', 'I P Carrier T 40', 'Monochlorbenzol [German]', '1-chlorobenzene', '4-chlorobenzene', 'Monochloorbenzeen [Dutch]', 'CP 27', 'Monoclorobenzene [Italian]', 'NSC 8433', 'Abluton T30', 'HSDB 55', 'UNII-K18102WN1G', 'CCRIS 1357', 'IP Carrier T 40', 'EINECS 203-628-5', 'UN1134', 'MCB', 'RCRA waste no. U037', 'EPA Pesticide Chemical Code 056504', 'AI3-07776', 'CHEBI:28097', '4-chloro-benzene', 'K18102WN1G', 'NSC-8433', 'MFCD00000530', 'Chloro(2H5)benzene', 'Chlorobenzene, 99+%, pure', 'Chlorobenzene, analytical standard', 'Benzene, chloro derivs.', 'Chlorobenzene, 99.9%, for HPLC', 'Chlorobenzene, 99.6%, ACS reagent', 'Chlorobenzene, 99+%, for spectroscopy', 'Chlorinated benzenes', 'Benzene, chlorinated', 'Chlorobenzene, 99.8%, Extra Dry, AcroSeal(R)', 'C6H5Cl', 'chlorobezene', 'chorobenzene', 'chlor-benzene', 'chloranylbenzene', 'p-chlorobenzene', 'Monochlorobenzol', '3-chlorobenzene', 'Chlorobenzene, 99.5%, Extra Dry over Molecular Sieve, AcroSeal(R)', 'p-chlorobenzene-', 'mono-chlorobenzene', 'Chlorobenzene Mono', 'Chlorobenzol(DOT)', 'EINECS 270-127-6', 'Ph-Cl', 'Chloorbenzeen(DUTCH)', 'Chlorobenzen(POLISH)', 'Clorobenzene(ITALIAN)', 'Chlorobenzene ACS grade', 'Chlorobenzene(ITALIAN)', 'Monochlorbenzol(GERMAN)', 'DSSTox_CID_298', 'Monochloorbenzeen(DUTCH)', 'WLN: GR', 'ACMC-1BUC8', 'Monoclorobenzene(ITALIAN)', 'bmse001030', 'EC 203-628-5', 'SCHEMBL2044', 'DSSTox_RID_75497', 'DSSTox_GSID_20298', '68411-45-0', 'BIDD:ER0289', 'CHEMBL16200', 'Chlorobenzene, LR, &gt;=99%', 'DTXSID4020298', 'Chlorobenzene (ACD/Name 4.0)', 'Chlorobenzene, p.a., 99.5%', 'Chlorobenzene, AR, &gt;=99.5%', 'NSC8433', 'Chlorobenzene, anhydrous, 99.8%', 'LS-18', 'ZINC896527', 'Chlorobenzene, for HPLC, 99.9%', 'KS-00000V5U', 'Tox21_201223', 'ANW-15992', 'SBB040899', 'STL282731', 'Chlorobenzene, ReagentPlus(R), 99%', 'AKOS000120122', 'MCULE-2469021740', 'UN 1134', 'Chlorobenzene 10 microg/mL in Isooctane', 'Chlorobenzene 100 microg/mL in Methanol', 'Chlorobenzene, ACS reagent, &gt;=99.5%', 'NCGC00091678-01', 'NCGC00091678-02', 'NCGC00258775-01', 'CAS-108-90-7', 'PS-11980', 'SC-22605', 'Chlorobenzene, SAJ first grade, &gt;=99.0%', 'C1948', 'Chlorobenzene [UN1134] [Flammable liquid]', 'FT-0623633', 'FT-0664554', 'NS00010206', 'S0645', 'ST50214500', 'X5840', 'Chlorobenzene [UN1134]  [Flammable liquid]', 'Chlorobenzene, SAJ special grade, &gt;=99.5%', '5773-EP2269986A1', '5773-EP2269990A1', '5773-EP2269995A1', '5773-EP2270004A1', '5773-EP2270101A1', '5773-EP2270113A1', '5773-EP2272813A2', '5773-EP2272832A1', '5773-EP2272849A1', '5773-EP2272935A1', '5773-EP2274983A1', '5773-EP2275395A2', '5773-EP2275403A1', '5773-EP2275407A1', '5773-EP2275409A1', '5773-EP2275411A2', '5773-EP2275469A1', '5773-EP2279750A1', '5773-EP2280001A1', '5773-EP2280005A1', '5773-EP2281817A1', '5773-EP2281821A1', '5773-EP2284165A1', '5773-EP2284174A1', '5773-EP2286811A1', '5773-EP2287155A1', '5773-EP2287167A1', '5773-EP2287940A1', '5773-EP2289509A2', '5773-EP2289868A1', '5773-EP2289884A1', '5773-EP2289890A1', '5773-EP2289965A1', '5773-EP2292592A1', '5773-EP2292597A1', '5773-EP2292606A1', '5773-EP2295414A1', '5773-EP2295425A1', '5773-EP2295426A1', '5773-EP2295427A1', '5773-EP2298729A1', '5773-EP2298735A1', '5773-EP2298745A1', '5773-EP2298746A1', '5773-EP2298755A1', '5773-EP2298756A1', '5773-EP2298763A1', '5773-EP2298768A1', '5773-EP2298770A1', '5773-EP2298828A1', '5773-EP2301918A1', '5773-EP2301924A1', '5773-EP2301934A1', '5773-EP2301983A1', '5773-EP2305649A1', '5773-EP2305658A1', '5773-EP2305667A2', '5773-EP2305673A1', '5773-EP2305675A1', '5773-EP2305682A1', '5773-EP2308838A1', '5773-EP2308849A1', '5773-EP2308850A1', '5773-EP2308857A1', '5773-EP2308879A1', '5773-EP2308882A1', '5773-EP2308926A1', '5773-EP2309564A1', '5773-EP2309584A1', '5773-EP2311804A2', '5773-EP2311808A1', '5773-EP2311809A1', '5773-EP2311811A1', '5773-EP2311813A1', '5773-EP2311829A1', '5773-EP2311834A1', '5773-EP2314558A1', '5773-EP2314574A1', '5773-EP2314577A1', '5773-EP2314581A1', '5773-EP2371808A1', '5773-EP2371831A1', '5773-EP2374783A1', '5773-EP2374895A1', '5773-EP2377610A2', '5773-EP2377611A2', '5773-EP2377841A1', '5773-EP2380568A1', 'C06990', 'Chlorobenzene, anhydrous, ZerO2(TM), 99.8%', 'Chlorobenzene, UV HPLC spectroscopic, 99.5%', '37376-EP2311802A1', '37376-EP2311803A1', '77825-EP2272846A1', '77825-EP2277868A1', '77825-EP2277869A1', '77825-EP2277870A1', '77825-EP2284166A1', '77825-EP2292608A1', '77825-EP2295436A1', '77825-EP2298749A1', '77825-EP2298769A1', '77825-EP2308866A1', '77825-EP2371806A1', '77825-EP2371807A1', '77825-EP2374784A1', '77825-EP2374785A1', '152544-EP2269986A1', '152544-EP2289896A1', '152544-EP2289897A1', '152544-EP2371831A1', 'A801940', 'Q407768', 'J-002203', 'J-520025', 'F0001-0183', 'Chlorobenzene, puriss. p.a., ACS reagent, &gt;=99.5% (GC)', 'Chlorobenzene, Pharmaceutical Secondary Standard; Certified Reference Material', 'Chlorobenzene, puriss., absolute, over molecular sieve (H2O &lt;=0.005%), &gt;=99.5% (GC)', '50717-45-8']</t>
  </si>
  <si>
    <t>Compound(7964)</t>
  </si>
  <si>
    <t>C6H5Cl</t>
  </si>
  <si>
    <t>chloromethane</t>
  </si>
  <si>
    <t>['Chloromethane', 'METHYL CHLORIDE', 'Methane, chloro-', 'Monochloromethane', '74-87-3', 'Methylchloride', 'Artic', 'Methylchlorid', 'CH3Cl', 'Clorometano', 'Chloor-methaan', 'Metylu chlorek', 'Chlor-methan', 'Cloruro di metile', 'Chlorure de methyle', 'RCRA waste number U045', 'Caswell No. 557', 'Clorometano [Italian]', 'Chlor-methan [German]', 'Chlorocarbon', 'Methylchlorid [German]', 'Chloor-methaan [Dutch]', 'Metylu chlorek [Polish]', 'R 40', 'MeCl', 'Refrigerant R40', 'Cloruro di metile [Italian]', 'Chlorure de methyle [French]', 'UNII-A6R43525YO', 'CCRIS 1124', 'HSDB 883', 'EINECS 200-817-4', 'UN1063', 'RCRA waste no. U045', 'EPA Pesticide Chemical Code 053202', 'AI3-01707', 'CHEBI:36014', 'A6R43525YO', 'R-40', 'Freon 40', "Merrifield's peptide resin, 50-100 mesh", 'carbon-chlorine', 'chloro-methane', 'methyl-chloride', 'Chloro Methyl group', 'Cl-Me', 'a rt i c', 'Chloromethyne radical', 'EC 200-817-4', 'Chloromethane, &gt;=99.5%', 'CHEMBL117545', 'DTXSID0021541', 'CTK2H7703', 'LS-1633', 'UN 1063', 'Methyl chloride, or Refrigerant gas R 40', "Merrifield's peptide resin, 200-400 mesh", 'Chloromethane on Rasta Resin, 50-100 mesh', 'FT-0628715', 'M2813', 'NS00019473', 'C19446', 'Chloromethane solution, 1.0 M in diethyl ether', 'Q422709', 'Methyl Chloride (ca. 5.7% in Tetrahydrofuran, ca. 1mol/L)', 'Chloromethane solution, 1.0 M in tert-butyl methyl ether, anhydrous', 'Chloromethane solution, 200 mug/mL in methanol, analytical standard', 'Chloromethane;chloromethane;Methane, chloro-;PENTACYNIUM CHLORIDE', 'Ethanol, 2,2,2-nitrilotris-, homopolymer, compd. with chloromethane', 'Methyl chloride, or Refrigerant gas R 40 [UN1063] [Flammable gas]', '(Chloromethyl)polystyrene, extent of labeling: ~1.1 mmol/g Cl loading', '(Chloromethyl)polystyrene, extent of labeling: ~1.7 mmol/g Cl loading', 'Methyl chloride, or Refrigerant gas R 40 [UN1063]  [Flammable gas]', '(Chloromethyl)polystyrene, porous, extent of labeling: ~5.5 mmol/g Cl loading', '2108-20-5', 'Chloromethane 100 microg/mL in Methanol. Short expiry date due to chemical nature of component(s)', 'JandaJel(TM)-Cl, 100-200 mesh, extent of labeling: 0.8-1.2 mmol/g Cl loading, 2 % cross-linked', 'JandaJel(TM)-Cl, 200-400 mesh, extent of labeling: 0.45-0.70 mmol/g Cl loading, 2 % cross-linked', 'JandaJel(TM)-Cl, 50-100 mesh, extent of labeling: 0.45-0.70 mmol/g Cl loading, 2 % cross-linked', "Merrifield's peptide resin, 100-200 mesh, extent of labeling: 3.5-4.5 mmol/g Cl- loading, 1 % cross-linked", "Merrifield's peptide resin, 200-400 mesh, extent of labeling: 1.0-1.5 mmol/g Cl- loading, 2 % cross-linked", "Merrifield's peptide resin, 200-400 mesh, extent of labeling: 1.5-2.0 mmol/g Cl- loading, 1 % cross-linked", "Merrifield's peptide resin, 200-400 mesh, extent of labeling: 2.0-2.5 mmol/g Cl- loading, 2 % cross-linked", "Merrifield's peptide resin, 200-400 mesh, extent of labeling: 3.0-3.5 mmol/g Cl- loading, 1 % cross-linked", "Merrifield's peptide resin, 200-400 mesh, extent of labeling: 3.5-4.5 mmol/g Cl- loading, 1 % cross-linked", "Merrifield's peptide resin, 50-100 mesh, extent of labeling: 2.5-4.0 mmol/g Cl- loading, 1 % cross-linked with divinylbenzene", "Merrifield's peptide resin, 70-90 mesh, extent of labeling: 1.0-1.5 mmol/g Cl- loading, 1 % cross-linked", "Merrifield's peptide resin, 70-90 mesh, extent of labeling: 1.5-2.0 mmol/g Cl- loading, 1 % cross-linked", 'StratoSpheres(TM) PL-CMS resin, 100-200 mesh, extent of labeling: 1.0 mmol/g loading, 1 % cross-linked', 'StratoSpheres(TM) PL-CMS resin, 100-200 mesh, extent of labeling: 2.0 mmol/g loading, 1 % cross-linked', 'StratoSpheres(TM) PL-CMS resin, 200-400 mesh, extent of labeling: 1.0 mmol/g loading, 1 % cross-linked', 'StratoSpheres(TM) PL-CMS resin, 30-40 mesh, extent of labeling: 1.0 mmol/g loading, 1 % cross-linked', 'StratoSpheres(TM) PL-CMS resin, 30-40 mesh, extent of labeling: 2.0 mmol/g loading, 1 % cross-linked', 'StratoSpheres(TM) PL-CMS resin, 50-100 mesh, extent of labeling: 2.0 mmol/g loading, 1 % cross-linked', 'StratoSpheres(TM) PL-CMS resin, 50-100 mesh, extent of labeling: 4.0 mmol/g loading, 1 % cross-linked']</t>
  </si>
  <si>
    <t>Compound(6327)</t>
  </si>
  <si>
    <t>CH3Cl</t>
  </si>
  <si>
    <t>chloroethane</t>
  </si>
  <si>
    <t>['Chloroethane', 'ETHYL CHLORIDE', 'Ethane, chloro-', '75-00-3', 'Chlorene', 'Chelen', 'Monochloroethane', 'Anodynon', 'Chlorethyl', 'Cloretilo', 'Dublofix', 'Chloryl', 'Ether chloratus', 'Ether muriatic', 'Muriatic ether', 'Aethylis chloridum', 'Chloryl anesthetic', 'Ether hydrochloric', 'Hydrochloric ether', 'Monochlorethane', 'Narcotile', 'Kelene', 'Aethylis', 'Chloridum', 'Aethylchlorid', 'Chloorethaan', 'Chloroaethan', 'Cloroetano', 'Ether chloridum', 'Etylu chlorek', '1-Chloroethane', 'Cloruro di etile', 'Ethane, chloro derivs.', 'C2H5Cl', "Chlorure D'ethyle", 'NCI-C06224', 'Chloorethaan [Dutch]', 'Cloroetano [Italian]', 'Chloroaethan [German]', 'Aethylchlorid [German]', 'CCRIS 3349', 'HSDB 533', 'Aethylchloride [German]', 'Etylu chlorek [Polish]', 'mono-chloroethane', "Chlorure d'ethyle [French]", 'Cloruro di etile [Italian]', 'Chloryle anesthetic', 'UNII-46U771ERWK', 'AI3-24474', 'Ethyl chloride [USP]', 'EINECS 200-830-5', 'UN1037', '46U771ERWK', '68411-72-3', 'CHEBI:47554', 'Ethyl chloride (USP)', 'Chlorinated ethanes', 'ethylchloride', 'Aethylchloride', 'Ethyl, 1-chloro-', 'Polychlorinated ethanes', 'chloranylethane', 'aetyl chloride', 'chloro-ethane', '1-Chloroethane #', 'EINECS 270-142-8', 'Chlorinated ethane byproduct residues', 'ETHYL CHLORIDE (CHLOROETHANE)', 'UN 1037', 'CHLOROETHYL GROUP', '1-CHLORO-ETHANE', 'EC 200-830-5', 'Chloroethane, &gt;=98.0%', 'Chloroethane, &gt;=99.7%', 'Chloroethane, &gt;=99.8%', 'CHEMBL46058', 'Ethane, chloro- (8CI,9CI)', 'DTXSID1020302', 'CTK2H7224', 'Chloroethane, purum, &gt;=98.0%', 'ETHYL HLORIDE (CHLOROETHANE', 'KS-000017PC', 'ETHYL HLORIDE (C HLOROETHANE', 'AKOS000261558', 'DB13259', 'LS-1650', 'Chloroethane 100 microg/mL in Methanol', '16520-13-1', 'Ethyl chloride [UN1037] [Flammable gas]', 'Ethyl chloride [UN1037]  [Flammable gas]', 'F 160', 'FT-0694900', 'NS00019447', 'R 160', 'C18248', 'D04088', '199913-EP2277622A1', 'A838306', 'Q409133', 'Chloroethane(ca.15%inTetrahydrofuran,ca.2.0mol/L)', 'Chloroethane solution, 2.0 M in diethyl ether, anhydrous', 'Chloroethane solution, 1000 mug/mL in methanol, analytical standard', 'Chloroethane solution, 2.0 M in tert-butyl methyl ether, anhydrous', 'Chloroethane solution, 200 mug/mL in methanol, analytical standard', 'Chloroethane solution, certified reference material, TraceCERT(R), 1000 mug/mL in methanol, ampule of 1 mL']</t>
  </si>
  <si>
    <t>Compound(6337)</t>
  </si>
  <si>
    <t>C2H5Cl</t>
  </si>
  <si>
    <t>chloropropylate</t>
  </si>
  <si>
    <t>propan-2-yl 2,2-bis(4-chlorophenyl)-2-hydroxyacetate</t>
  </si>
  <si>
    <t>['CHLOROPROPYLATE', 'Chlorpropylate', '5836-10-2', 'Chlorpropylat', 'Rospine', 'Acaralate', 'Chlormite', 'Gesakur', 'Rospan', 'Rospin', "Isopropyl 4,4'-dichlorobenzilate", 'Geigy 24163', 'Chlorpropylat [Czech]', 'Caswell No. 511B', 'UNII-GI03ROM7HQ', 'GI03ROM7HQ', 'ENT 26,999', "Propyl p,p'-dichlorobenzilate", 'CHEBI:39411', 'HSDB 1732', 'Chloropropylate [ANSI:BSI:ISO]', "Isopropyl-4,4'-dichlorobenzilate", "Benzilic acid, 4,4'-dichloro-, isopropyl ester", '1-Methylethyl 4-chloro-alpha-(4-chlorophenyl)-alpha-hydroxybenzeneacetate', 'EINECS 227-421-4', 'G 24,163', 'EPA Pesticide Chemical Code 026801', 'BRN 2757308', 'AI3-26999', "Isopropylester kyseliny 4,4'-dichlorbenzilove", 'propan-2-yl bis(4-chlorophenyl)(hydroxy)acetate', 'Benzeneacetic acid, 4-chloro-.alpha.-(4-chlorophenyl)-.alpha.-hydroxy-, 1-methylethyl ester', 'G 24163', "Isopropyl 2-(4,4'-dichlorophenyl)-2-hydroxyacetate", "Isopropylester kyseliny 4,4'-dichlorbenzilove [Czech]", 'propan-2-yl 2,2-bis(4-chlorophenyl)-2-hydroxyacetate', 'Benzeneacetic acid, 4-chloro-alpha-(4-chlorophenyl)-alpha-hydroxy-, 1-methylethyl ester', 'DSSTox_CID_21778', 'DSSTox_RID_79841', 'DSSTox_GSID_41778', 'BIDD:ER0168', 'SCHEMBL164178', 'CHEMBL1552611', 'DTXSID5041778', 'CTK8F8618', 'ZINC2555374', 'Tox21_301914', 'NCGC00166181-01', 'NCGC00255485-01', 'LS-32463', 'CAS-5836-10-2', 'Chloropropylate 10 microg/mL in Isooctane', 'Chloropropylate 1000 microg/mL in Acetone', 'NS00022422', 'C19027', 'Chlorpropylat, PESTANAL(R), analytical standard', 'Isopropyl bis(4-chlorophenyl)(hydroxy)acetate #', '4-10-00-01276 (Beilstein Handbook Reference)', 'C-56149', 'isopropyl 2,2-bis(4-chlorophenyl)-2-hydroxyacetate', 'Q27119854', '1-Methylethyl 4-chloro-.alpha.-(4-chlorophenyl)-.alpha.-hydroxybenzeneacetate', 'Benzeneacetic acid, 4-chloro-alpha-(4-chlorophenyl)-alpha-hydroxy-1-methylethyl ester', 'Benzeneacetic acid, 4-chloro-alpha-(4-chlorophenyl)-alpha-hydroxy-1-methylethyl ester (9CI)']</t>
  </si>
  <si>
    <t>Compound(22094)</t>
  </si>
  <si>
    <t>C17H16Cl2O3</t>
  </si>
  <si>
    <t>chlorodimethyl ether</t>
  </si>
  <si>
    <t>chloro(methoxy)methane</t>
  </si>
  <si>
    <t>['CHLOROMETHYL METHYL ETHER', '107-30-2', 'chloro(methoxy)methane', 'Methane, chloromethoxy-', 'Methoxymethyl chloride', 'Chlorodimethyl ether', 'Chloromethoxymethane', 'CMME', 'Methyl chloromethyl ether', 'Methoxychloromethane', 'Chlordimethylether', 'Ether, chloromethyl methyl', 'Dimethylchloroether', 'Ether, dimethyl chloro', 'Monochlorodimethyl ether', 'Methylchloromethyl ether', 'Monochloromethyl methyl ether', 'Ether methylique monochlore', 'RCRA waste number U046', 'alpha,alpha-Dichlorodimethyl ether', 'CH3OCH2Cl', 'Chlormethyl methyl ether', 'Chlordimethylether [Czech]', 'NSC 21208', 'methoxymethylchloride', 'CCRIS 138', 'UNII-334G5B96VG', 'HSDB 908', 'Chloromethylmethylether', 'Chloromethyl methyl ether (CMME)', 'Chloromethyl methyl ether (technical grade)', 'Methyl chloromethyl ether, anhydrous', 'EINECS 203-480-1', 'Ether methylique monochlore [French]', 'UN1239', 'RCRA waste no. U046', 'BRN 0505943', 'Chloromethyl methyl ether, technical grade', 'CHEBI:82271', '334G5B96VG', 'DSSTox_CID_307', 'Methyl chloromethyl ether [UN1239] [Poison]', 'DSSTox_RID_75502', 'DSSTox_GSID_20307', 'WLN: G1O1', 'MOM chloride', '.alpha.,.alpha.-Dichlorodimethyl ether', 'CAS-107-30-2', 'MOM-Cl', 'MOMCl', 'Chloromethyl Methyl Ether, &gt; 90%', 'chloro-methoxymethane', 'chloromethoxy methane', 'Chloromethoxy-Methane', 'methoxy methylchloride', 'chloro-methoxy-methane', 'chloromethymethyl ether', 'methoxy methyl chloride', 'chloromethyl methylether', 'chloromethyl-methylether', 'methyloxymethyl chloride', 'chloro (methoxy)methane', 'chloro(methoxy) methane', 'ClCH2OCH3', 'chloro(methyloxy)methane', 'methyl choromethyl ether', '(chloromethyl)methylether', 'chloromethyl-methyl ether', 'chloromethyl-methyl-ether', 'chloromethylm ethyl ether', 'chloro (methoxy) methane', '(chloromethyl)methyl ether', 'chloromethyl (methyl)ether', '(chloromethyl) methyl ether', '1-Chloro-1-methoxy-methane', 'CHEMBL3185256', 'DTXSID6020307', 'CTK0H5169', 'BCP08223', 'NSC21208', 'NSC93873', 'Tox21_201575', 'Tox21_302939', 'NSC-21208', 'NSC-93873', 'ZINC70667158', 'AKOS000121040', 'GS-5886', 'LS-7129', 'UN 1239', 'NCGC00249073-01', 'NCGC00256384-01', 'NCGC00259124-01', 'Methyl chloromethyl ether, anhydrous(dot)', 'DB-002671', 'NS00020923', 'C19160', '20802-EP2269992A1', '20802-EP2277878A1', '20802-EP2281818A1', '20802-EP2298750A1', '20802-EP2305641A1', '20802-EP2308861A1', '20802-EP2311810A1', '20802-EP2314585A1', '20802-EP2371811A2', '67145-EP2270006A1', '67145-EP2280001A1', '67145-EP2281817A1', '67145-EP2284159A1', '67145-EP2289868A1', '67145-EP2292606A1', '67145-EP2295414A1', '67145-EP2298750A1', '67145-EP2298772A1', '67145-EP2305629A1', '67145-EP2308838A1', '67145-EP2308839A1', '67145-EP2308861A1', 'Methyl chloromethyl ether [UN1239]  [Poison]', '156235-EP2284169A1', '156235-EP2287161A1', '156235-EP2287162A1', 'Q158539', 'J-520019', 'F8881-7077']</t>
  </si>
  <si>
    <t>Compound(7864)</t>
  </si>
  <si>
    <t>chlorine dioxide</t>
  </si>
  <si>
    <t>['CHLORINE DIOXIDE', 'Chlorine peroxide', 'Chlorine oxide (ClO2)', '10049-04-4', 'Doxcide 50', 'Caswell No. 179A', 'chlorosyloxidanyl', 'CCRIS 9130', 'HSDB 517', 'Chlorine oxide?', 'dioxidochlorine(.)', 'EINECS 233-162-8', 'EPA Pesticide Chemical Code 020503', 'dioxido-lambda(5)-chloranyl', '(OClO)(.)', 'O2Cl(.)', 'DTXSID5023958', 'CHEBI:29415', '[ClO2](.)', 'DB12453', 'LS-3182', 'E926', 'Chlorine dioxide (not hydrate) [Forbidden]']</t>
  </si>
  <si>
    <t>Compound(24870)</t>
  </si>
  <si>
    <t>chlorofluoroaniline</t>
  </si>
  <si>
    <t>3-chloro-4-fluoroaniline</t>
  </si>
  <si>
    <t>['3-CHLORO-4-FLUOROANILINE', '367-21-5', 'Benzenamine, 3-chloro-4-fluoro-', '3-Chloro-4-fluorobenzenamine', '3-chloro-4-fluoro-phenylamine', '3-chloro-4-fluoro aniline', 'Aniline, 3-chloro-4-fluoro-', '3-chloro-4-fluoro-aniline', 'UNII-7L63CC70UQ', '3-Chloro-4-fluorophenylamine', 'Gefitinib Impurity V', '4-FLUORO-3-CHLOROANILINE', 'CHLOROFLUOROANILINE', 'MFCD00007767', '7L63CC70UQ', '3-Chloro-4-fluoroaniline, 98%', 'EINECS 206-682-8', 'NSC 10290', 'PubChem2951', '3-chloro4-fluoroaniline', '3-Chloro-4-fluoroanilin', '3-chloro-4-flouroaniline', '3-chloro4-fluoro-aniline', 'ACMC-209io3', '4-fluoro-3-chloro-aniline', 'SCHEMBL9602', '3chloro-4-fluoro-phenylamine', '4-fluoro-3-chlorophenylamine', 'KSC224E7P', '4-fluoro-3-chlorophenyl amine', '4-fluoro-3-chloro phenyl amine', 'DTXSID0038754', 'CTK1C4277', 'TIMTEC-BB SBB040458', 'LABOTEST-BB LTBB000779', 'WT174', 'ZINC157622', 'ACT09538', 'BCP26715', 'NSC10290', 'AKOS BBS-00003577', 'ANW-28465', 'BBL023331', 'LABOTEST-BB LT03331651', 'NSC-10290', 'SBB040458', 'STL164339', 'AKOS000119505', '367-21-5 3-chloro-4-fluoroaniline', 'AC-2469', 'AS00440', 'CS-W009142', 'LF10593', 'LS11518', 'MCULE-3749557577', 'PS-8955', 'SB00006', 'KS-0000005Q', 'AK-46788', 'BR-46788', 'SC-03882', 'DB-023935', 'AM20060177', 'FT-0615380', 'NS00041709', 'ST45174782', '67C215', 'A15531', 'C-3925', 'Q-9493', 'Q27268500', 'F2190-0461', '3-Chloro-4-fluoroaniline;Benzenamine, 3-chloro-4-fluoro-']</t>
  </si>
  <si>
    <t>Compound(9708)</t>
  </si>
  <si>
    <t>C6H5ClFN</t>
  </si>
  <si>
    <t>chloroacetic acid</t>
  </si>
  <si>
    <t>2-chloroacetic acid</t>
  </si>
  <si>
    <t>['chloroacetic acid', 'Monochloroacetic acid', '79-11-8', '2-chloroacetic acid', 'Chloracetic acid', 'Chloroethanoic acid', 'Acetic acid, chloro-', 'Acide chloracetique', 'Monochloroethanoic acid', 'Monochloracetic acid', 'Monochloorazijnzuur', 'Monochloressigsaeure', 'Acidomonocloroacetico', 'Chloroacetic acid, solid', 'Chloroacetic', '2-chloro-acetic acid', 'Acide monochloracetique', 'Chloroacetic acid [BSI:ISO]', '.alpha.-Chloroacetic acid', 'Acide chloroacetique', 'Kyselina chloroctova', 'Monochloorazijnzuur [Dutch]', 'Acide chloracetique [French]', 'Kyselina chloroctova [Czech]', 'Monochloressigsaeure [German]', 'Acide chloroacetique [French]', 'alpha-Chloroacetic acid', '2-chloro-ethanoic acid', 'Caswell No. 179B', 'Acidomonocloroacetico [Italian]', 'Acide monochloracetique [French]', 'Acetic acid, 2-chloro-', 'Chloroacetic acid, molten', 'Monochloroacetic acid [BSI:ISO]', 'NSC 142', 'Acide chloracetique [ISO-French]', 'Chloroacetic acid solution', 'Chloroacetic acid (80% or less)', 'NCI-C60231', 'chloro-acetic acid', 'Acetocaustin (TN)', 'UNII-5GD84Y125G', 'CCRIS 2117', 'HSDB 939', 'CH2ClCOOH', 'monochloro acetic acid', 'CHLOROACETIC-ACID', 'Chloroacetic acid, liquid', 'EINECS 201-178-4', 'UN1750', 'UN1751', 'UN3250', 'EPA Pesticide Chemical Code 279400', 'BRN 0605438', 'Monochloracetic acidacide monochloracetique', 'AI3-25035', 'Monochloroacetic acid, solution', 'CHEBI:27869', '5GD84Y125G', 'CHLOROACETIC ACID CRYSTALLINE', 'MFCD00002683', 'Chloroacetic acid, solid [UN1751] [Poison]', 'Chloroacetic acid, 99+%', 'Chloroacetic acid, molten [UN3250] [Poison]', 'Chloroacetic acid, molten [UN3250]  [Poison]', 'Chloroacetic acid, solid [UN1751]  [Poison]', 'Chloroacetic acid, solution [UN1750]  [Poison]', 'Chloroacetic acid, 99%, flakes', 'Acetocaustin', 'Chloroaceticacid', 'Chloroacetic acid, 99+%, ACS reagent', 'sJPhLQDIKTp@', 'CHLOROACETIC ACID, ACS', 'cloroacetic acid', 'chloro acetic acid', 'a-chloroacetic acid', 'MKhUK', 'R3W', 'Acid monochloroacetic', 'ClCH2COOH', 'monochloro-acetic acid', 'Aceticacid, 2-chloro-', 'alpha-chloro-acetic acid', 'Chloroacetic acid, 99%', 'DSSTox_CID_901', 'bmse000367', 'WLN: QV1G', 'Chloroacetic acid, solution', 'EC 201-178-4', 'Chloroacetic acid, &gt;=99%', 'DSSTox_RID_75855', 'NCIOpen2_002217', 'DSSTox_GSID_20901', '4-02-00-00474 (Beilstein Handbook Reference)', 'MLS001065621', 'BIDD:ER0630', 'CHEMBL14090', 'LS-7', 'NSC142', 'Chloroacetic acid, solid (dot)', 'DTXSID4020901', 'CTK2H7513', 'FOCAUTSVDIKZOP-UHFFFAOYSA-', 'NSC-142', 'BCP20585', 'NSC42970', 'STR00326', 'ZINC3860254', 'Tox21_201114', 'ANW-56416', 'BBL037260', 'LMFA01090068', 'NSC-42970', 'STL197882', 'Chloroacetic acid, analytical standard', 'AKOS000118920', 'MCULE-9228754880', 'UN 1751', 'CAS-79-11-8', 'NCGC00091473-01', 'NCGC00091473-02', 'NCGC00091473-03', 'NCGC00258666-01', 'SMR000568484', 'Chloroacetic acid, for synthesis, 99.0%', 'Chloroacetic acid, ACS reagent, &gt;=99.0%', 'Chloroacetic acid, purum, &gt;=97.0% (T)', 'NS00003112', 'Chloroacetic acid, puriss., &gt;=99.0% (T)', 'C06755', 'D07677', '33169-EP2292597A1', '33169-EP2301918A1', '33169-EP2305649A1', '33169-EP2311815A1', '33169-EP2374786A1', '44264-EP2289882A1', '44264-EP2289890A1', '44264-EP2292597A1', '44264-EP2298776A1', '44264-EP2301911A1', '44264-EP2308833A2', '44264-EP2311814A1', '44264-EP2374786A1', 'Chloroacetic acid, JIS special grade, &gt;=99.0%', 'Chloroacetic acid, solution [UN1750] [Poison]', 'Q409013', 'J-520023', 'Chloroacetic acid, PESTANAL(R), analytical standard', 'F2190-0289', 'Chloroacetic acid 1000 microg/mL in Methyl-tert-butyl ether']</t>
  </si>
  <si>
    <t>Compound(300)</t>
  </si>
  <si>
    <t>chloronitrobenzene</t>
  </si>
  <si>
    <t>chlorite</t>
  </si>
  <si>
    <t>['CHLORITE', 'Chlorite ion', 'Chlorite(1-)', '14998-27-7', 'Chlorine dioxide ion(1-)', 'UNII-Z63H374SB6', 'Z63H374SB6', 'Chlorite-group minerals', 'Chlorous acidanion', 'dioxidochlorate(1-)', 'Chlorite (8CI,9CI)', '1318-59-8', 'ClO2(-)', 'DTXSID7021522', 'CHEBI:17441', 'CTK0I0433', '[ClO2](-)', 'LS-53017', 'Q593248']</t>
  </si>
  <si>
    <t>Compound(197148)</t>
  </si>
  <si>
    <t>ClO2-</t>
  </si>
  <si>
    <t>chlorate</t>
  </si>
  <si>
    <t>['Chlorate ion', 'Chlorate(1-)', '14866-68-3', 'Chlorine oxide (ClO3(1-))', 'UNII-08Z8093742', 'Chlorates', '08Z8093742', 'Chloric acidanion', 'trioxidochlorate(1-)', 'n.o.s., wet', 'Chlorate (8CI,9CI)', 'CHLORIC ACID SOLUTION', 'ClO3(-)', 'DTXSID3073137', 'CHEBI:49709', 'CTK0H5923', '[ClO3](-)', 'BDBM50159791', 'NCGC00091465-02', 'LS-52991', 'Q217813']</t>
  </si>
  <si>
    <t>Compound(104770)</t>
  </si>
  <si>
    <t>ClO3-</t>
  </si>
  <si>
    <t>chloroxynil</t>
  </si>
  <si>
    <t>3,5-dichloro-4-hydroxybenzonitrile</t>
  </si>
  <si>
    <t>['Chloroxynil', '3,5-Dichloro-4-hydroxybenzonitrile', '1891-95-8', 'Benzonitrile, 3,5-dichloro-4-hydroxy-', '3,5-Dichloro-4-hydroxy-benzonitrile', 'Chloroxynil [ISO]', 'Caswell No. 309A', 'UNII-GI6X21WSVN', 'EINECS 217-572-4', 'GI6X21WSVN', 'EPA Pesticide Chemical Code 309500', 'MFCD00002177', 'W-206392', '3,5-dichloro-4-hydroxy benzonitrile', 'SCHEMBL136860', 'DTXSID8022167', 'YRSSHOVRSMQULE-UHFFFAOYSA-', 'KS-000003HS', 'ZINC1995116', 'ZX-AT016002', '6368AD', 'FCH919501', 'AKOS006222469', 'ACM1891958', 'MCULE-6465473907', 'OR17010', 'PB10008', '3,5-dichloro-4-hydroxybenzenecarbonitrile', 'AC-23657', 'AK-82821', 'AS-31279', 'SC-39970', 'SY014614', 'AB0061085', 'AX8120978', 'DB-065681', 'LS-184914', 'CS-0051601', 'FT-0684813', 'NS00000486', 'ST50825282', 'C-8788', 'Chloroxynil, PESTANAL(R), analytical standard', '3,5-bis(chloranyl)-4-oxidanyl-benzenecarbonitrile', '891C958', 'C-33383', 'Q27279113']</t>
  </si>
  <si>
    <t>Compound(74685)</t>
  </si>
  <si>
    <t>chlortetracycline hydrochloride</t>
  </si>
  <si>
    <t>(4S,4aS,5aS,6S,12aR)-7-chloro-4-(dimethylamino)-1,6,10,11,12a-pentahydroxy-6-methyl-3,12-dioxo-4,4a,5,5a-tetrahydrotetracene-2-carboxamide;hydrochloride</t>
  </si>
  <si>
    <t>['Chlortetracycline hydrochloride', 'Aureociclina', 'Isphamycin', 'Chlorotetracycline hydrochloride', '64-72-2', 'Aureocycline', 'Aureocarmyl', 'Auxeomycin', 'Clorocipan', 'Aureomycin hydrochloride', 'B-Aureo', 'Tetra 5', 'AUREOMYCIN', 'CLTC', 'Biomycin hydrochloride', 'Biomitsin hydrochloride', 'Psittacin hydrochloride', 'Fermycin Soluble', 'Chlortetracycline HCl', 'Aureomycin monohydrochloride', 'Chlortetracyclinium chloride', '7-Chlorotetracycline hydrochloride', 'Aurofac 100', 'Aureovit 12C80', 'Chlortetracycline (hydrochloride)', 'Chlortetracycline, monohydrochloride', 'UNII-O1GX33ON8R', '7-Chlorotetracycline monohydrochloride', 'NSC-13252', 'NSC13252', 'EINECS 200-591-7', 'U-6780', 'Clorotetraciclina cloridrato [Italian]', 'Tetracycline, 7-chloro-, hydrochloride', 'O1GX33ON8R', 'AI3-50126', '2-Naphthacenecarboxamide, 7-chloro-4-(dimethylamino)-1,4,4a,5,5a,6,11,12a-octahydro-3,6,10,12,12a-pentahydroxy-6-methyl-1,11-dioxo-, monohydrochloride, (4S,4aS,5aS,6S,12aS)-', 'Aureomycin (TN)', 'DSSTox_CID_25076', 'DSSTox_RID_80653', 'DSSTox_GSID_45076', '7-Chloro-4-(dimethylamino)-1,4,4a,5,5a,6,11,12a-octahydro-3,6,10,12,12a-pentahydroxy-6-methyl-1,11-dioxo-2-naphthacenecarboxamide monohydrochloride', 'Pennchlor 64', '2-Naphthacenecarboxamide, 7-chloro-4-(dimethylamino)-1,4,4a,5,5a,6,11,12a-octahydro-3,6,10,12,12a-pentahydroxy-6-methyl-1,11-dioxo-, monohydrochloride (4S-(4alpha,4aalpha,5aalpha,6beta,12aalpha))-', 'Clorotetraciclina cloridrato', 'Alexomycin', 'CLTC 100 MR', 'SR-05000001588', '(4S,4aS,5aS,6S,12aS)-7-chloro-4-(dimethylamino)-3,6,10,12,12a-pentahydroxy-6-methyl-1,11-dioxo-4,4a,5,5a-tetrahydrotetracene-2-carboxamide;hydrochloride', 'Alexomycin [USAN]', 'Chlortetracycline hydrochloride [USP:BAN]', 'Chlortetracycline hydrochloride [USAN:BAN]', 'CAS-64-72-2', 'NCGC00016289-01', 'SCHEMBL3841', 'MLS001304009', 'MLS006011591', 'SPECTRUM1500186', 'C22H24Cl2N2O8', 'CHEMBL2146063', 'DTXSID2045076', 'KS-00000FWY', 'Chlortetracycline Monohydrochloride', 'HMS1568M12', 'HMS1920M07', 'Pharmakon1600-01500186', '2-Naphthacenecarboxamide,7-chloro-4-(dimethylamino)-1,4,4a,5,5a,6,11,12a-octahydro-3,6,10,12,12a-pentahydroxy-6-methyl-1,11-dioxo-, monohydrochloride,(4S,4aS,5aS,6S,12aS)-', 'HY-B1327', 'Tox21_110353', 'Tox21_301710', 'CCG-39737', 'NSC756691', 'AKOS015960769', 'CS-4853', 'DS-3304', 'MCULE-2208752804', 'NSC-756691', 'NCGC00256236-01', 'AC-12254', 'LS-93858', 'SMR000387083', 'SMR004703365', 'Chlortetracycline hydrochloride (JAN/USP)', 'CTC', 'D02255', 'U-82127', 'SR-05000001588-2', 'Q27285204', 'WLN: L E6 C666 BV FV CU GUTTT&amp;J DQ EQ GVZ HQ IN1&amp;1 MQ M1 OG RQ &amp;GH', '165101-50-8', '2-Naphthacenecarboxamide, 7-chloro-4-(dimethylamino)-1,4,4a,5,5a,6,11,12a-octahydro-3,6,10,12,12a-pentahydroxy-6-methyl-1,11-dioxo-, monohydrochloride', '2-Naphthacenecarboxamide,4,4a,5,5a,6,11,12a-octahydro-3,6,10,12a-pentahydroxy-6-methyl-1,11-dioxo-, monohydrochloride', '7-Chloro-4-dimethylamino-1,4a,5,5a,6,11,12a-octahydro-3,6,10,12,12a-pentahydroxy-6-methyl-1,11-dioxo-2-naphthacene-carboxamide, hydrochloride']</t>
  </si>
  <si>
    <t>Compound(54682468)</t>
  </si>
  <si>
    <t>C22H24Cl2N2O8</t>
  </si>
  <si>
    <t>chlortetracycline</t>
  </si>
  <si>
    <t>(4S,4aS,5aS,6S,12aR)-7-chloro-4-(dimethylamino)-1,6,10,11,12a-pentahydroxy-6-methyl-3,12-dioxo-4,4a,5,5a-tetrahydrotetracene-2-carboxamide</t>
  </si>
  <si>
    <t>['chlortetracycline', '57-62-5', 'AUREOMYCIN', 'Chlorotetracycline', '7-Chlorotetracycline', 'Clortetraciclina', 'Chlortetracyclinum', 'UNII-WCK1KIQ23Q', 'Biomycin', '(4S,4aS,5aS,6S,12aS)-7-chloro-4-(dimethylamino)-3,6,10,12,12a-pentahydroxy-6-methyl-1,11-dioxo-1,4,4a,5,5a,6,11,12a-octahydrotetracene-2-carboxamide', 'WCK1KIQ23Q', 'Aureomykoin', 'Chrysomykine', 'Acronize', 'Aureocina', 'Biomitsin', 'Duomycin', 'Flamycin', 'Uromycin', 'Chlortetracyclin', 'Biomycin a', 'CHEBI:27644', 'CTC (abtibiotic)', 'Tri-chlortetracycline', 'Aureomycin A-377', 'Caswell No. 219B', 'Aureomycin (TN)', 'Chlortetracycline [INN:BAN]', 'Chlortetracyclinum [INN-Latin]', 'Clortetraciclina [INN-Spanish]', 'Chlormax', 'EINECS 200-341-7', 'EPA Pesticide Chemical Code 006301', 'CTC', 'Aueromycin', '2-Naphthacenecarboxamide, 7-chloro-4-(dimethylamino)-1,4,4a,5,5a,6,11,12a-octahydro-3,6,10,12,12a-pentahydroxy-6-methyl-1,11-dioxo-, (4S,4aS,5aS,6S,12aS)-', 'Spectrum_000727', 'Spectrum_001315', 'Chlortetracycline (INN)', 'Prestwick0_000145', 'Prestwick1_000145', 'Prestwick2_000145', 'Spectrum2_000802', 'Spectrum3_000348', 'Spectrum4_001001', 'Spectrum4_001791', 'Spectrum5_000461', 'Spectrum5_001870', 'SCHEMBL3110', 'SCHEMBL62861', 'BSPBio_002015', 'KBioGR_001461', 'KBioGR_002364', 'KBioSS_001207', 'KBioSS_001795', 'DivK1c_000253', 'SPBio_000663', 'SPBio_002189', 'CHEMBL404520', 'SCHEMBL4099094', 'CHEMBL1622557', 'DTXSID9022811', 'SCHEMBL19981439', 'HMS500M15', 'HY-B1327A', 'KBio1_000253', 'KBio2_001207', 'KBio2_001795', 'KBio2_003775', 'KBio2_004363', 'KBio2_006343', 'KBio2_006931', 'KBio3_001235', 'NINDS_000253', 'RKL10090', 'LMPK07000004', 'MFCD00864876', 'ZINC19701769', 'ZINC100154659', 'ZINC100302624', 'API0001975', 'CCG-269531', 'DB09093', 'MCULE-9900766267', 'IDI1_000253', 'NCGC00178862-01', 'E702', 'S042', 'SBI-0051312.P003', 'CS-0013541', 'C06571', 'D07689', '90565-EP2270015A1', '90565-EP2272510A1', '90565-EP2272834A1', '90565-EP2301929A1', '90565-EP2301935A1', '90565-EP2305674A1', 'AB00643434_03', '864C876', 'Q417948', 'Q-200843', '(4S,4aS,5aS,6S,12aS)-7-Chloro-4-(dimethylamino)-3,6,10,12,12a-pentahydroxy-6-methyl-1,11-dioxo-1,4,4a,5,5a,6,11,12a-octahydro-2-tetracenecarboxamide', '(4S,5aS,6S,12aS)-7-chloro-4-(dimethylamino)-3,6,10,12,12a-pentahydroxy-6-methyl-1,11-dioxo-1,4,4a,5,5a,6,11,12a-octahydrotetracene-2-carboxamide']</t>
  </si>
  <si>
    <t>Compound(54675777)</t>
  </si>
  <si>
    <t>C22H23ClN2O8</t>
  </si>
  <si>
    <t>chlorotrimethylbenzene</t>
  </si>
  <si>
    <t>2-chloro-1,3,5-trimethylbenzene</t>
  </si>
  <si>
    <t>['2-Chloromesitylene', '1667-04-5', 'Mesityl Chloride', '2-CHLORO-1,3,5-TRIMETHYLBENZENE', 'Chloromesitylene', 'Benzene, 2-chloro-1,3,5-trimethyl-', 'Mesitylene, 2-chloro-', '1-Chloro-2,4,6-trimethylbenzene', '2-chloro-1,3,5-trimethyl-benzene', '2,4,6-Trimethylchlorobenzene', 'Chlormesitylen', 'MesitylChloride', 'NSC139128', 'ACMC-1BS9H', '2,6-Trimethylchlorobenzene', 'SCHEMBL234943', '2,6-Trimethylmonochlorobenzene', '1-Chloro-2,6-trimethylbenzene', '2-Chloro-1,5-trimethylbenzene', 'CTK4D2420', 'WDZACGWEPQLKOM-UHFFFAOYSA-', '2,4,6-Trimethylmonochlorobenzene', 'ZINC2039355', '5344AD', 'ANW-22228', 'Benzene,2-chloro-1,3,5-trimethyl-', '2-chloranyl-1,3,5-trimethyl-benzene', 'AKOS006230375', 'FS-5795', 'NSC-139128', 'VZ32466', 'KS-0000152J', 'DB-020936', 'FT-0633747', 'M0274', 'C-4993', 'A810758']</t>
  </si>
  <si>
    <t>Compound(15462)</t>
  </si>
  <si>
    <t>C9H11Cl</t>
  </si>
  <si>
    <t>chlorine trioxide</t>
  </si>
  <si>
    <t>['Chlorine trioxide', '13932-10-0', 'ClO3', 'trioxidochlorine(.)', 'trioxido-lambda(7)-chloranyl', 'ClO3(.)', 'CHEBI:29416', 'DTXSID40161008', '(ClO3)(.)']</t>
  </si>
  <si>
    <t>Compound(139646)</t>
  </si>
  <si>
    <t>chloroacetaldehyde</t>
  </si>
  <si>
    <t>2-chloroacetaldehyde</t>
  </si>
  <si>
    <t>['CHLOROACETALDEHYDE', '2-chloroacetaldehyde', '107-20-0', '2-Chloroethanal', 'Chloroethanal', 'Acetaldehyde, chloro-', 'Chloroaldehyde', 'Monochloroacetaldehyde', '2-Chloro-1-ethanal', 'Acetaldehyde, 2-chloro-', 'Chloroacetaldehyde monomer', 'RCRA waste number P023', 'chloro-acetaldehyde', 'Chloroacetalaldehyde', 'UNII-CF069F5D9C', 'CCRIS 856', 'CH2ClCHO', 'alpha-chloroacetaldehyde', 'HSDB 2521', 'EINECS 203-472-8', 'UN2232', 'RCRA waste no. P023', 'BRN 1071226', 'CF069F5D9C', 'CHEBI:27871', 'MFCD00006992', 'chloracetaldehyde', 'chloroactaldehyde', 'chloroacetoaldehyde', 'chloro acetaldehyde', 'ClCH2CHO', '2-Chloro-Acetaldehyde', 'chloroacetaldehyde (CAA)', 'DSSTox_CID_292', 'EC 203-472-8', 'DSSTox_RID_75492', 'DSSTox_GSID_20292', '4-01-00-03134 (Beilstein Handbook Reference)', 'CHEMBL506976', 'DTXSID4020292', 'CTK0H6966', 'KS-000000EP', 'STR01221', 'ZINC8220699', 'Tox21_301152', 'ANW-56409', 'chloroacetaldehyde;Chloro-acetaldehyde', 'LS-435', 'STL264246', 'AKOS000118948', '2-Chloroethanal [UN2232] [Poison]', 'MCULE-7307216184', 'UN 2232', '2-Chloroethanal [UN2232]  [Poison]', 'NCGC00248308-01', 'NCGC00255050-01', 'BP-13328', 'CAS-107-20-0', 'Chloroacetaldehyde solution, 40% in water', 'NS00002632', 'C06754', 'Chloroacetaldehyde solution 50% wt. % in H2O', 'Chloroacetaldehyde solution, ~50 wt. % in H2O', 'J-509000', 'Q1950418', 'F0001-0141', 'Chloroacetaldehyde solution, produced by Wacker Chemie AG, Burghausen, Germany, &gt;=45.0% in H2O (density determination)']</t>
  </si>
  <si>
    <t>Compound(33)</t>
  </si>
  <si>
    <t>C2H3ClO</t>
  </si>
  <si>
    <t>chloroacetone</t>
  </si>
  <si>
    <t>1-chloropropan-2-one</t>
  </si>
  <si>
    <t>['Chloroacetone', '1-Chloropropan-2-one', '78-95-5', 'Chloropropanone', 'Monochloroacetone', 'Acetonyl chloride', 'Chloro-2-propanone', '1-Chloroacetone', '2-Propanone, 1-chloro-', '1-CHLORO-2-PROPANONE', 'Chloromethyl methyl ketone', 'Chloracetone', '3-Chloro-2-propanone', 'Tonite', 'Monochloracetone', 'Acetone, chloro-', '1-Chloropropanone', 'A-Stoff', 'Monochloropropanone', 'alpha-Chloroacetone', '1-Chloro-2-ketopropane', '.alpha.-Chloroacetone', 'Chloracetone [French]', '1-Chloro-2-oxopropane', '1-chloro-propan-2-one', 'NSC 30673', 'CCRIS 1943', 'UNII-60ZTR74268', 'HSDB 1070', 'Chloroacetone, stabilized', 'EINECS 201-161-1', 'UN1695', 'BRN 0605369', 'CHEBI:47220', '60ZTR74268', 'Chloroacetone (unstabilized) [Forbidden]', 'Monochloroacetone (unstabilized) [Forbidden]', 'Chloroacetone, 96%, stabilized', 'Cholroacetone', '2-Propanone,1-chloro-', 'chloroactone', 'cloroacetone', 'chloro acetone', 'chloro-acetone', 'chloro-propanone', 'isopropoyl chloride', '1-Chloroacetone #', 'isopropanoyl chloride', 'Chloroacetone, 95%', 'UN 1695', 'CH3COCH2Cl', 'ClCH2COCH3', 'Chloracetone;chloroacetone', '1-Chloro-propane-2-one', 'DSSTox_CID_1547', 'EC 201-161-1', 'Chloroacetone (unstabilized)', 'DSSTox_RID_76205', 'DSSTox_GSID_21547', '4-01-00-03215 (Beilstein Handbook Reference)', 'WLN: G1V1', 'Monochloroacetone (unstabilized)', 'CHEMBL1231084', 'DTXSID0021547', 'CTK5E6262', 'ACT09266', 'EBD36702', 'NSC30673', 'ZINC1661230', 'Tox21_200027', 'ANW-56380', 'BBL036265', 'MFCD00000936', 'NSC-30673', 'STL185549', 'AKOS000119650', 'MCULE-2501365933', 'CAS-78-95-5', 'NCGC00166003-01', 'NCGC00166003-02', 'NCGC00257581-01', 'LS-122799', 'NS00008819', 'A23330', 'Chloroacetone, stabilized [UN1695] [Poison]', '20876-EP2275404A1', '20876-EP2275417A2', '20876-EP2280012A2', '20876-EP2281815A1', '20876-EP2284162A2', '20876-EP2284163A2', '20876-EP2287152A2', '20876-EP2298776A1', '20876-EP2308851A1', '20876-EP2314585A1', 'Chloroacetone, stabilized [UN1695]  [Poison]', 'Q425346', 'J-504536', 'Chloroacetone stab. with 0.1?% epoxidized soybean oil', 'F2190-0296', 'Chloroacetone, produced by Wacker Chemie AG, Burghausen, Germany, &gt;=96.0% (GC)']</t>
  </si>
  <si>
    <t>Compound(6571)</t>
  </si>
  <si>
    <t>chloramphenicol</t>
  </si>
  <si>
    <t>2,2-dichloro-N-[(1R,2R)-1,3-dihydroxy-1-(4-nitrophenyl)propan-2-yl]acetamide</t>
  </si>
  <si>
    <t>['chloramphenicol', '56-75-7', 'Chloromycetin', 'Chlornitromycin', 'Levomycetin', 'Halomycetin', 'Levomicetina', 'Chlorocid', 'Globenicol', 'Chloroamphenicol', 'Alficetyn', 'Chloramex', 'Chlorocol', 'Detreomycin', 'Oleomycetin', 'Fenicol', 'Amphenicol', 'Aquamycetin', 'Chloramficin', 'Chloramfilin', 'Cloramicol', 'D-Chloramphenicol', 'Enteromycetin', 'Juvamycetin', 'Leukomycin', 'Sificetina', 'Chloronitrin', 'Ciplamycetin', 'Detreomycine', 'Dextromycetin', 'Intramycetin', 'Laevomycetinum', 'Levomitsetin', 'Mediamycetine', 'Micochlorine', 'Novophenicol', 'Stanomycetin', 'Amphicol', 'Amseclor', 'Anacetin', 'Austracil', 'Austracol', 'Biocetin', 'Biophenicol', 'Chemicetin', 'Chemicetina', 'Chlomycol', 'Chloramsaar', 'Chlorasol', 'Chloricol', 'Chlorocaps', 'Chlorocide', 'Chloroptic', 'Chlorovules', 'Cidocetine', 'Cloramficin', 'Cloramidina', 'Clorocyn', 'Cloromisan', 'Clorosintex', 'Comycetin', 'Cylphenicol', 'Doctamicina', 'Econochlor', 'Embacetin', 'Erbaplast', 'Farmicetina', 'Hortfenicol', 'Isicetin', 'Ismicetina', 'Isophenicol', 'Kemicetina', 'Kemicetine', 'Leukomyan', 'Loromisin', 'Mastiphen', 'Medichol', 'Micloretin', 'Micoclorina', 'Microcetina', 'Novomycetin', 'Ophthochlor', 'Rivomycin', 'Ambofen', 'Catilan', 'Chlomin', 'Desphen', 'Emetren', 'Enicol', 'Ertilen', 'Glorous', 'Kamaver', 'Klorita', 'Mychel', 'Isopto fenicol', 'Chlora-tabs', 'Chlorocidin C', 'Chloramphenicolum', 'Chloroject L', 'Normimycin V', 'Chlorocid S', 'Klorocid S', 'Mychel-Vet', 'Chloramfenikol', 'Cloramfenicol', 'Novochlorocap', 'Sintomicetina', 'Synthomycetin', 'Chloromax', 'Oftalent', 'Otachron', 'Pantovernil', 'Pentamycetin', 'Quemicetina', 'Romphenil', 'Ronphenil', 'Septicol', 'Chloro-25 vetag', 'Mycinol', 'Opclor', 'Otophen', 'Paraxin', 'Sintomicetine R', 'Sno-Phenicol', 'Chlorocidin C tetran', 'Cloroamfenicolo', 'D-(-)-Chloramphenicol', 'Chloromycetny', 'Synthomycetine', 'Treomicetina', 'Chlorofair', 'Optomycin', 'Syntomycin', 'Tevcocin', 'Tifomycine', 'Unimycetin', 'Veticol', 'Viceton', 'Tiromycetin', 'Cloramfen', 'Leukamycin', 'Loromisan', 'Tifomycin', 'CAF (pharmaceutical)', 'Ak-chlor', 'Chloramfenikol [Czech]', 'Chloromycetny [Polish]', 'D-(-)-threo-Chloramphenicol', 'Cloramfenicolo [DCIT]', 'Tega-Cetin', 'Chlorbiotic (Veterinary)', 'I 337A', 'Cloroamfenicolo [Italian]', 'Chloramphenicol crystalline', 'Elase-Chloromycetin', 'Chloramphenicol, d-', 'U-6062', 'NCI-C55709', 'NSC 3069', 'Cloramfenicol [INN-Spanish]', 'Chloramphenicolum [INN-Latin]', 'D-threo-Chloramphenicol', '2,2-dichloro-N-[(1R,2R)-2-hydroxy-1-(hydroxymethyl)-2-(4-nitrophenyl)ethyl]acetamide', 'D(-)-threo-Chloramphenicol', 'D-(-)-threo-1-p-Nitrophenyl-2-dichloroacetylamino-1,3-propanediol', 'CAF', 'Kloramfenikol', '2,2-dichloro-N-[(1R,2R)-1,3-dihydroxy-1-(4-nitrophenyl)propan-2-yl]acetamide', 'C11H12Cl2N2O5', 'CCRIS 3922', 'UNII-66974FR9Q1', 'CHEBI:17698', 'HSDB 3027', 'NSC3069', 'D-(-)-2,2-Dichloro-N-(beta-hydroxy-alpha-(hydroxymethyl)-p-nitrophenylethyl)acetamide', 'EINECS 200-287-4', 'NSC 16331', 'CAM', 'D-(-)-threo-1-p-Nitrophenyl-2-dichloracetamido-1,3-propanediol', 'BRN 2225532', 'AI3-25003', 'Chloramphenicol (Chloromycetin)', 'Cloramfenicolo', 'D-(-)-threo-2-Dichloroacetamido-1-p-nitrophenyl-1,3-propanediol', 'D-(-)-threo-1-(4-Nitrophenyl)-2-dichloroacetamido-1,3-propanediol', 'D-threo-(1R,2R)-1-p-Nitrophenyl-2-dichloroacetamido-1,3-propanediol', 'NSC-3069', '2,2-Dichloro-N-[2-hydroxy-1-(hydroxymethyl)-2-(4-nitrophenyl)ethyl]acetamide', 'MFCD00078159', 'Acetamide, 2,2-dichloro-N-(2-hydroxy-1-(hydroxymethyl)-2-(4-nitrophenyl)ethyl)-, (R-(R*,R*))-', 'Acetamide, 2,2-dichloro-N-[2-hydroxy-1-(hydroxymethyl)-2-(4-nitrophenyl)ethyl]-, [R-(R*,R*)]-', '66974FR9Q1', 'Chloramphenicol, 98%', 'NCGC00091011-05', 'Cloranfenicol', 'DSSTox_CID_265', "D-threo-N-(1,1'-Dihydroxy-1-p-nitrophenylisopropyl)dichloroacetamide", '2,2-Dichloro-N-((1R,2R)-1,3-dihydroxy-1-(4-nitrophenyl)propan-2-yl)acetamide', '2,2-Dichloro-N-[(1R,2R)-1,3-dihydroxy-1-(4-nitrophenyl)-2-propyl]acetamide', 'DSSTox_RID_75473', 'DSSTox_GSID_20265', 'Gloveticol', 'Mycochlorin', 'Ocuphenicol', 'Sintomicetin', 'Tyfomycine', 'Chlorocin', 'Halcetin', 'Levocin', 'Levoplast', 'Levosin', 'Levovetin', 'Myclocin', 'Soluthor', 'Chloroptic S.O.P.', 'Chemiceticol', 'Cloramical', 'Cloromissan', 'Duphenicol', 'Interomycetine', 'Intramyctin', 'Loromicetina', 'Ophtochlor', 'Synthomycine', 'Chlorsig', 'Ronfenil', 'Tevcosin', 'Myscel', 'Opelor', 'D(-)-threo-2-Dichloroacetamido-1-p-nitrophenyl-1,3-propanediol', 'Chlormycetin R', 'F armicetina', 'Ch loramex', 'Sno Phenicol', 'D-(-)-threo-2-Dichloroacetamido-1-(4-nitrophenyl)-1,3-propanediol', 'Vice ton', '(-)-chloramphenicol', 'Tea-Cetin', 'Acetamide, 2,2-dichloro-N-((1R,2R)-2-hydroxy-1-(hydroxymethyl)-2-(4-nitrophenyl)ethyl)-', 'D-threo-(-)-2,2-Dichloro-N-(beta-hydroxy-alpha-(hydroxymethyl)-p-nitrophenethyl)acetamide', 'Econochlor (TN)', 'N-[(1R,2R)-2-hydroxy-1-(hydroxymethyl)-2-(4-nitrophenyl)ethyl]-2,2-dichloroace tamide', 'Amphicol (TN)', 'Ophthocort (Salt/Mix)', 'Acetamide, 2,2-dichloro-N-(2-hydroxy-1-(hydroxymethyl)-2-(4-nitrophenyl)ethyl)-, (theta-(theta,theta))-', 'Acetamide, 2,2-dichloro-N-(beta-hydroxy-alpha-(hydroxymethyl)-p-nitrophenethyl)-, D-(-)-threo-', 'ACETAMIDE, 2,2-DICHLORO-N-[(1R,2R)-2-HYDROXY-1-(HYDROXYMETHYL)-2-(4-NITROPHENYL)ETHYL]-', 'SMR000471851', 'Chloromyxin (Salt/Mix)', 'Chloromycetin (TN)', 'Chloramphenicol [INN:BAN:JAN]', 'SR-01000761450', 'CHLOROPTIC S.O.P', 'Elase-Chloromycetin (Salt/Mix)', 'chioramphenicol', 'C.A.F', 'Chloramphenicole', 'CAS-56-75-7', 'NCGC00094620-01', 'Thiamphenicol,(S)', 'D-(-)-threo-2,2-Dichloro-N-(.beta.-hydroxy-.alpha.-(hydroxymethyl))-p-nitrophenethylacetamide', 'D-(-)-threo-2,2-Dichloro-N-[.beta.-hydroxy-.alpha.-(hydroxymethyl)]-p-nitrophenethylacetamide', 'Chloramphenicol [USP:INN:BAN:JAN]', 'Chloramphenicol,(S)', 'PubChem20321', 'Prestwick3_000031', 'CHEMBL130', 'Epitope ID:114066', 'CAF-3', 'SCHEMBL16111', 'BSPBio_000121', 'WLN: WNR DYQY1QMVYGG', '4-13-00-02742 (Beilstein Handbook Reference)', 'MLS001055372', 'MLS001066397', 'MLS001332385', 'MLS001332386', 'MLS002222155', 'ARONIS23913', 'BIDD:GT0145', 'DivK1c_000544', 'BPBio1_000135', 'D-(-)-threo-1-(p-Nitrophenyl)-2-(dichloroacetylamino)-1,3-propanediol', 'D-(-)-threo-N-Dichloroacetyl-1-p-nitrophenyl-2-amino-1,3-propanediol', 'DTXSID7020265', 'BDBM23447', 'Chloramphenicol, gamma-irradiated', 'CTK4B4374', 'GTPL10901', 'HMS501L06', 'KBio1_000544', 'KS-00000XTX', 'BBC/192', 'BIC0113', 'D(-)-threo-2-dichloroacetamido-1-p-nitrophenyl-propanediol', 'NINDS_000544', 'ZX-AFC000642', 'Chloramphenicol (JP17/USP/INN)', 'D(-)-threo-2-dichloroacetamido-1-p-nitrophen yl-propanediol', 'HMS2090M15', 'HMS2095G03', 'HMS2269N06', 'HMS3712G03', 'ZINC113382', 'Chloramphenicol, &gt;=98% (HPLC)', 'Acetamide, 2,2-dichloro-N-(.beta.-hydroxy-.alpha.-(hydroxymethyl)-p-nitrophenethyl)-, D-(-)-threo-', 'Acetamide, 2,2-dichloro-N-[.beta.-hydroxy-.alpha.-(hydroxymethyl)-p-nitrophenethyl]-, D-threo-(-)-', 'BCP12150', 'D-(-)-threo-2,2-Dichloro-N-(.beta.-hydroxy-.alpha.-(hydroxymethyl)-p-nitrophenyl-ethyl)acetamide', 'D-threo-N-Dichloroacetyl-1-p-nitrophenyl-2-amino-1,3-propanediol', 'HY-B0239', 'RKL10087', 'Tox21_111306', 'Tox21_400061', 'LS-225', 's1677', 'SBB057728', 'AKOS005111001', 'AB02994', 'CCG-220031', 'CS-2207', 'DB00446', 'MCULE-7778960570', 'IDI1_000544', 'KS-000048O2', 'SMP1_000065', 'NCGC00091011-01', 'NCGC00091011-02', 'NCGC00091011-03', 'NCGC00091011-04', 'NCGC00091011-06', 'NCGC00091011-08', 'NCGC00091011-09', 'AK174225', 'AS-14683', 'CC-25647', 'M163', 'NCI60_002620', 'SC-18476', 'ST024743', 'AB0015087', 'Chloramphenicol, puriss., 98.0-102.0%', 'AB00374860', 'Chloramphenicol, tested according to Ph.Eur.', 'SW198497-2', 'C-3307', 'C00918', 'Chloramphenicol 100 microg/mL in Ethyl acetate', 'D00104', 'W-2830', 'AB00374860-13', 'AB00374860-14', 'AB00374860_15', 'Chloramphenicol, meets USP testing specifications', 'C-19742', 'Q274515', 'Chloramphenicol, VETRANAL(TM), analytical standard', 'SR-01000761450-2', 'SR-01000761450-3', 'SR-01000761450-5', 'BRD-K08111712-001-02-7', 'BRD-K08111712-001-16-7', 'Chloramphenicol, Antibiotic for Culture Media Use Only', 'Chloramphenicol, BioReagent, suitable for plant cell culture', 'Chloramphenicol, certified reference material, TraceCERT(R)', 'Chloramphenicol, British Pharmacopoeia (BP) Reference Standard', 'Chloramphenicol, European Pharmacopoeia (EP) Reference Standard', 'Chloramphenicol, United States Pharmacopeia (USP) Reference Standard', 'D-(-)-threo-1-(p-nitrophenyl)-2-dichloroacetamido-1,3-propanediol', 'D-threo-1-(p-Nitrophenyl)-2-(dichloroacetylamino)-1,3-propanediol', 'D-threo-N-dichloroacetyl-1-p-nitrophenyl-2-amino-1,3-propane-diol', 'CHLORAMPHENICOL (SEE ALSO CHLORAMPHENICOL NA SUCCINATE 982-57-0)', 'D-( -)-threo-1-(p-nitrophenyl)-2-dichloroacetamido-1,3-propanediol', '2,2-Dichloro-N-[(1R,2R)-1,3-dihydroxy-1-(4-nitrophenyl)-2-propanyl]acetamide', 'Acetamide,2-dichloro-N-[.beta.-hydroxy-.alpha.-(hydroxymethyl)-p-nitrophenethyl]', 'Chloramphenicol, Biotechnology Performance Certified, suitable for plant cell culture', 'D-(-)-2,2-Dichloro-N-(.beta.-hydroxy-.alpha.-(hydroxymethyl)-p-nitrophenyl-ethyl)acetamide', 'D-(-)-threo-2,2-Dichloro-N-[beta-hydroxy-alpha-(hydroxy-methyl)-p-nitrophenethyl]acetamide', 'D-threo-2,2-Dichloro-N-[beta-hydroxy-alpha-(hydroxymethyl)-4-nitrophenethyl]acetamide', '2,2-Dichloro-N-(2-hydroxy-1-(hydroxymethyl)-2-(4-(hydroxy(oxido)amino)phenyl)ethyl)acetamide, (1R, 2R)-', '2787-09-9', 'Acetamide, 2,2-dichloro-N-(2-hydroxy-1-(hydroxymethyl)-2-(4-nitrophenyl)ethyl)-, (R*,R*)-(+-)-', 'Acetamide, 2,2-dichloro-N-(beta-hydroxy-alpha-(hydroxymethyl)-p-nitrophenethyl)-,D-(-)-threo-', 'Acetamide, 2,2-dichloro-N-[2-hydroxy-1-(hydroxymethyl)-2-(4- nitrophenyl)ethyl]-, [R-(R*,R*)]-', 'Acetamide,2-dichloro-N-[.beta.-hydroxy-.alpha.-(hydroxymethyl)-p-nitrophenethyl]-, D-threo-(-)-', 'Acetamide,2-dichloro-N-[.beta.-hydroxy-.alpha.-(hydroxymethyl)-p-nitrophenethyl]-,D-(-)-threo-', 'Acetamide,2-dichloro-N-[2-hydroxy-1-(hydroxymethyl)-2-(4-nitrophenyl)ethyl]-, [R-(R*,R*)]-', 'Chloramphenicol 10 microg/mL in Acetonitrile. Short expiry date due to chemical nature of component(s)', 'D-(-)-threo-2,2-Dichloro-N-[beta-hydroxy-alpha-(hydroxymethyl)-beta-(4-nitrophenyl)ethyl]acetamide', 'D-(-)-threo-alpha, alpha-Dichloro-N-(beta-hydroxy-alpha-(hydroxymethyl)-p-nitrophenethyl)acetamide']</t>
  </si>
  <si>
    <t>Compound(5959)</t>
  </si>
  <si>
    <t>C11H12Cl2N2O5</t>
  </si>
  <si>
    <t>chloral hydrate</t>
  </si>
  <si>
    <t>2,2,2-trichloroethane-1,1-diol</t>
  </si>
  <si>
    <t>['chloral hydrate', '302-17-0', '2,2,2-Trichloroethane-1,1-diol', 'Trichloroacetaldehyde hydrate', 'Noctec', 'Tosyl', 'Chloral monohydrate', 'Chloraldurat', 'Phaldrone', 'Nycoton', 'Chloradorm', 'Chloralhydrate', 'Kessodrate', '1,1-Ethanediol, 2,2,2-trichloro-', 'Cohidrate', 'Felsules', 'Lorinal', 'Oradrate', 'Rectules', 'Trawotox', 'Dormal', 'Escre', 'Hynos', 'Nycton', 'Somnos', 'Sontec', 'Knockout drops', 'Somni Sed', 'SK-Chloral hydrate', 'Aquachloral', 'Somnote', 'Trichloracetaldehyd-hydrat', '2,2,2-Trichloro-1,1-ethanediol', 'Hydrate de chloral', '1,1,1-Trichloro-2,2-ethanediol', 'Trichloroacetaldehyde monohydrate', 'Chloralhydrat', 'Kloralhydrat', 'Chloralex', 'Chloralvan', 'Hydral', 'Novochlorhydrate', '1,1,1-Trichloro-2,2-dihydroxyethane', 'Chlorali Hydras', 'Bi 3411', 'Chloraldural [Swiss]', 'Caswell No. 168', 'Chloraldurat [German]', 'Lycoral', 'Nortec', 'NSC 3210', 'Trichloroacetaldehyde, hydrated', 'CCRIS 4142', 'HSDB 222', 'UNII-418M5916WG', 'Trichloracetaldehyd-hydrat [German]', 'EINECS 206-117-5', 'EPA Pesticide Chemical Code 268100', 'BRN 1698497', 'AI3-00082', 'DEA No. 2465', 'DTXSID7020261', 'Ethanediol, 2,2,2-trichloro-', 'CHEBI:28142', 'NSC-3210', 'MFCD00044479', '418M5916WG', 'NCGC00159374-02', 'NCGC00159374-03', 'DSSTox_CID_261', 'DSSTox_RID_75470', 'DSSTox_GSID_20261', 'Chloraldural', 'CAS-302-17-0', 'Aquachloral Supprettes', 'C2H3Cl3O2', 'Chloral hydrate [BAN:JAN]', 're ctules', 'Chloral hydrate [USP:BAN:JAN]', 'Noctec (TN)', 'trichloroethanal hydrate', 'WLN: QYQXGGG', 'ACMC-209hdv', '1, 2,2,2-trichloro-', 'SCHEMBL34327', 'trichloro acetaldehyde hydrate', '4-01-00-03143 (Beilstein Handbook Reference)', 'KSC222I5D', 'Chloral hydrate (JP17/USP)', 'CHEMBL455917', 'LS-6', '2,2-Trichloro-1,1-ethanediol', 'CTK1C2451', 'NSC3210', 'Chloral hydrate, p.a., 99.0%', 'BCP31225', 'ZINC3872049', '1,1-Trichloro-2,2-dihydroxyethane', 'Tox21_111614', 'Tox21_200110', 'ANW-26801', 'STL445706', 'AKOS009157238', 'Tox21_111614_1', 'DB01563', 'MCULE-8278658791', 'KS-000000Z1', 'NCGC00159374-04', 'NCGC00257664-01', 'SC-18707', 'DB-047727', 'Chloral hydrate 1000 microg/mL in Methanol', 'NS00009274', 'Chloral hydrate, SAJ first grade, &gt;=99.5%', '6993-EP2269977A2', '6993-EP2269992A1', '6993-EP2270010A1', '6993-EP2272517A1', '6993-EP2272813A2', '6993-EP2272841A1', '6993-EP2272849A1', '6993-EP2275395A2', '6993-EP2277861A1', '6993-EP2277875A2', '6993-EP2277876A1', '6993-EP2284165A1', '6993-EP2292593A2', '6993-EP2292602A1', '6993-EP2292614A1', '6993-EP2292628A2', '6993-EP2293650A1', '6993-EP2298737A1', '6993-EP2298740A1', '6993-EP2298744A2', '6993-EP2305250A1', '6993-EP2305640A2', '6993-EP2308852A1', '6993-EP2311830A1', '6993-EP2311837A1', '6993-EP2314558A1', '6993-EP2314581A1', '6993-EP2316824A1', '6993-EP2316832A1', '6993-EP2316833A1', '6993-EP2316835A1', 'C06899', 'Chloral hydrate, crystallized, &gt;=98.0% (T)', 'Chloral hydrate, SAJ special grade, &gt;=99.7%', 'Chloralhydrate 1000 microg/mL in Acetonitrile', 'D00265', 'Q412340', 'J-520014', 'Q-200826', 'CHLORAL HYDRATE (SEE ALSO CHLORAL 75-87-6)', '1,1,1-Trichloro-2,2-dihydroxyethane (Chloral hydrate)', 'F0001-0929', '2,2,2-Trichloroethane-1,1-diol;Trichloroacetaldehyde hydrate', 'Chloral hydrate solution, 1000 mug/mL in acetonitrile, analytical standard', 'Chloral hydrate, meets analytical specification of Ph. Eur., BP, USP, 99.5-101%', 'chloral hydrate;2,2,2-trichloro-1,1-ethanediol;1,1-ethanediol, 2,2,2-trichloro-;choral hydrate;2,2,2-trichloroethane-1,1-diol;2,2,2trichloroethane1,1diol', 'Cloral betaine;2,2,2-trichloroethane-1,1-diol;Chloral hydrate;chloral hydrat;Dichloralphenazone']</t>
  </si>
  <si>
    <t>Compound(2707)</t>
  </si>
  <si>
    <t>C2H3Cl3O2</t>
  </si>
  <si>
    <t>chlorobufam</t>
  </si>
  <si>
    <t>but-3-yn-2-yl N-(3-chlorophenyl)carbamate</t>
  </si>
  <si>
    <t>['CHLORBUFAM', 'Chlorbupham', 'Chlorobufam', 'Grisemin', 'Grisin', 'BIPC', '1967-16-4', 'Chlorbufame', 'BICP', '3-Butynyl-m-chlorocarbanilate', 'BIPC (the herbicide)', 'Caswell No. 575A', 'Chlorbufam [BSI:ISO]', 'Chlorbufame [ISO-French]', '3-Butyn-2-ol, m-chlorocarbanilate', 'IEM-1-15', '1-Butyn-3-yl m-chlorophenylcarbamate', '1-Methyl-2-propynyl m-chlorocarbanilate', '1-Methylpropynyl 3-chlorophenylcarbamate', 'HSDB 1739', '1-Methyl-2-propynyl m-chlorophenylcarbamate', 'EINECS 217-815-4', 'Carbamic acid, (3-chlorophenyl)-, 1-methyl-2-propynyl ester', 'EPA Pesticide Chemical Code 575200', 'Isobutinyl-N-(3-chlorphenyl)-carbamat', '3-Chlorophenylcarbamic acid 1-methylpropynyl ester', 'Butyn-1-ol-3-ester of m-chlorophenylcarbamic acid', 'BRN 4429630', '1-Methylprop-2-ynyl 3-chlorocarbanilate', '1-Methylpropynyl ester of 3-chlorophenylcarbamic acid', 'Carbanilic acid, m-chloro-, 1-methyl-2-propynyl ester', '1-Methylprop-2-ynyl 3-chlorophenylcarbamate', 'but-3-yn-2-yl N-(3-chlorophenyl)carbamate', 'CHEBI:82186', 'Isobutinyl-N-(3-chlorphenyl)-carbamat [German]', '3-Chlorphenyl-carbamidsaure-butin-(1)-yl(3)-ester', '3-Chlorphenyl-carbamidsaure-butin-(1)-yl(3)-ester [German]', 'SCHEMBL55738', 'CHEMBL1613685', 'DTXSID6041769', 'AKOS015903199', 'NCGC00166171-01', 'Chlorbufam 10 microg/mL in Ethyl acetate', 'LS-51053', 'NS00007292', 'Chlorbufam, PESTANAL(R), analytical standard', '1-Methyl-2-propynyl 3-chlorophenylcarbamate #', 'C19060', 'Q27155791', 'Carbamic acid, (3-chlorophenyl)-, 1-methyl-2-propynyl ester (9CI)']</t>
  </si>
  <si>
    <t>Compound(16073)</t>
  </si>
  <si>
    <t>C11H10ClNO2</t>
  </si>
  <si>
    <t>chlorobromuron</t>
  </si>
  <si>
    <t>3-(4-bromo-3-chlorophenyl)-1-methoxy-1-methylurea</t>
  </si>
  <si>
    <t>['CHLORBROMURON', 'Chlorobromuron', 'Maloran', '13360-45-7', 'Bromex (herbicide)', 'Chlorobromouron', 'Caswell No. 173A', '3-(4-Bromo-3-chlorophenyl)-1-methoxy-1-methylurea', 'Ciba 6313', 'UNII-2X2DQC5EHG', 'Chlorbromuron [BSI:ISO]', 'Chlorobromuron [ISO-French]', "Urea, N'-(4-bromo-3-chlorophenyl)-N-methoxy-N-methyl-", 'HSDB 1536', 'EINECS 236-411-9', 'C 6313', '2X2DQC5EHG', 'EPA Pesticide Chemical Code 090701', '1-(3-Chloro-4-bromophenyl)-3-methyl-3-methoxyurea', 'BRN 2128736', "N'-(4-Bromo-3-chlorophenyl)-N-methoxy-N-methylurea", "N-(4-Bromo-3-chlorophenyl)-N'-methoxy-N'-methylurea", 'Urea, 3-(4-bromo-3-chlorophenyl)-1-methoxy-1-methyl-', 'CHEBI:3608', 'C-6313', '1-(4-bromo-3-chlorophenyl)-3-methoxy-3-methylurea', "n-(4-bromo-3-chlorophenyl)-n'-methoxy-n'-methyl urea", 'DSSTox_CID_20290', 'DSSTox_RID_79473', 'DSSTox_GSID_40290', 'SCHEMBL65119', 'CHEMBL1275654', 'DTXSID6040290', 'ZINC900696', 'Tox21_300793', "N'-(4-Bromo-3-chlorophenyl)-N-methhoxy-N-methylurea (8CI)(9CI)", 'NCGC00166178-01', 'NCGC00166178-02', 'NCGC00254697-01', 'CAS-13360-45-7', 'LS-159159', 'Chlorbromuron 100 microg/mL in Acetonitrile', 'NS00008128', 'C11009', '33324-EP2305655A2', '33324-EP2311815A1', '33324-EP2371823A1', 'Chlorobromouron, PESTANAL(R), analytical standard', 'J-006412', '3-(4-bromo-3-chloro-phenyl)-1-methoxy-1-methyl-urea', 'Q22807251', "N'-(4-Bromo-3-chlorophenyl)-N-methoxy-N-methylurea #", "N'-(4-Bromo-3-chlorophenyl)-N-methhoxy-N-methylurea (8CI)"]</t>
  </si>
  <si>
    <t>Compound(25912)</t>
  </si>
  <si>
    <t>C9H10BrClN2O2</t>
  </si>
  <si>
    <t>chlorobenside</t>
  </si>
  <si>
    <t>1-chloro-4-[(4-chlorophenyl)methylsulfanyl]benzene</t>
  </si>
  <si>
    <t>['CHLORBENSIDE', 'Chlorbensid', 'Chloroparacide', 'Chlorsulphacide', 'Chlorbenxide', 'Chlorbenzide', 'Mitox', '103-17-3', 'Chlorosulfacide', 'Chlorparacide', 'Chloracid', 'Chloorbenzide', 'Chlorobenside', 'Chloracide', "p,p'-Dichlorodiphenyl sulfide", 'p-Chlorobenzyl p-chlorophenyl sulfide', 'Chloracid (VAN)', 'HRS 860', 'CP 20', 'Chlorbenside [ISO]', 'Chlorbensid [German]', 'Caswell No. 173', 'Chloorbenzide [Dutch]', 'p-Chlorobenzyl p-chlorophenyl sulphide', 'Sulfide, p-chlorobenzyl p-chlorophenyl', '4-Chlorobenzyl 4-chlorophenyl sulphide', 'ENT 20,696', "4-Chlorophenyl 4'-chlorobenzyl sulfide", 'RD 2195', 'UNII-FLR6R453DD', 'NSC 33078', 'CCRIS 1459', 'HSDB 1535', '(4-Chlor-benzyl)-(4-chlor-phenyl)-sulfid', '(4-Cloro-benzil)-(4-cloro-fenil)-solfuro', 'Benzene, 1-chloro-4-[[(4-chlorophenyl)methyl]thio]-', '(4-Chloor-benzyl)-(4-chloor-fenyl)-sulfide', 'EINECS 203-084-9', '4-Chlorobenzyl 4-Chlorophenyl sulfide', 'Sulfure de 4-chlorobenzyle et de 4-chlorophenyle', 'EPA Pesticide Chemical Code 017401', '1-Chloro-4-(((4-chlorophenyl)methyl)thio)benzene', 'BRN 2505694', 'FLR6R453DD', 'AI3-20696', '(4-Chloor-benzyl)-(4-chloor-fenyl)-sulfide [Dutch]', '(4-Chlor-benzyl)-(4-chlor-phenyl)-sulfid [German]', '(4-Cloro-benzil)-(4-cloro-fenil)-solfuro [Italian]', 'Benzene, 1-chloro-4-(((4-chlorophenyl)methyl)thio)-', 'Chlorbensid (German)', 'Sulfure de 4-chlorobenzyle et de 4-chlorophenyle [French]', '(4-Chlorobenzyl)(4-chlorophenyl)sulfane', '1-Chloro-4-[[(4-chlorophenyl)methyl]thio]benzene', '1-chloro-4-[(4-chlorophenyl)methylsulfanyl]benzene', 'WLN: GR DS1R DG', 'SCHEMBL83796', 'BIDD:ER0264', '1-Chloro-4-[(4-chlorophenyl)sulfanylmethyl]benzene', 'DTXSID1041766', 'CHEBI:34625', 'CTK8F8587', 'NSC33078', 'ZINC1665397', 'MFCD00055267', 'NSC-33078', '4-chlorophenyl 4-chlorobenzyl sulfide', 'LS-147914', 'NS00021456', 'C14584', 'Chlorbensid, PESTANAL(R), analytical standard', 'J-000886', 'Q5102919', '1-chloro-4-{[(4-chlorophenyl)sulfanyl]methyl}benzene']</t>
  </si>
  <si>
    <t>Compound(7639)</t>
  </si>
  <si>
    <t>C13H10Cl2S</t>
  </si>
  <si>
    <t>chlorocyclohexane</t>
  </si>
  <si>
    <t>['CHLOROCYCLOHEXANE', '542-18-7', 'Cyclohexyl chloride', 'Cyclohexane, chloro-', 'Monochlorocyclohexane', 'Chlorcyclohexan', 'Chlorzyklohexan', 'chloro-cyclohexane', 'UNII-PNV8C821FH', 'HSDB 2801', 'NSC 8434', 'EINECS 208-806-6', 'BRN 1900796', 'PNV8C821FH', 'AI3-23841', 'Cyclohexyl chloride, 98%', 'chlor-cyclohexane', 'cyclohexylchloride', 'chloranylcyclohexane', '2-chlorocyclohexane', 'Chlorocyclohexane, 99%', 'ACMC-20aj27', 'EC 208-806-6', 'SCHEMBL22803', '4-05-00-00048 (Beilstein Handbook Reference)', 'KSC272C1T', 'DTXSID3052193', 'CHEBI:39156', 'CTK1H2119', 'NSC8434', 'NSC-8434', 'ZINC1586739', 'ANW-75629', 'MFCD00003822', 'STL280356', 'AKOS005207255', 'AM90219', 'MCULE-9519865350', 'LS-56754', 'S716', 'DB-021196', 'FT-0624210', 'NS00009219', '107283-EP2277898A2', '107283-EP2289965A1', '107283-EP2298766A1', '107283-EP2298828A1', 'A830041', 'J-520026', 'Q15402014']</t>
  </si>
  <si>
    <t>Compound(10952)</t>
  </si>
  <si>
    <t>C6H11Cl</t>
  </si>
  <si>
    <t>chlordane</t>
  </si>
  <si>
    <t>1,3,4,7,8,9,10,10-octachlorotricyclo[5.2.1.02,6]dec-8-ene</t>
  </si>
  <si>
    <t>['chlordane', 'Chlordan', 'Octachlor', 'Technical chlordane', 'Chlorindan', 'Kypchlor', 'Toxichlor', 'Belt', 'Ortho-Klor', 'Chlor Kil', 'cis-Chlordane', 'Chlordane, technical', '12789-03-6', 'Octachlordane', 'Chlorotox', 'Dowchlor', 'Oktaterr', 'Starchlor', 'Synklor', 'Topiclor', 'Sydane', 'Termex', 'Intox', 'Cortilan-neu', 'Unexan-Koeder', 'Dichlorochlordene', 'Octa-Klor', 'trans-Chlordane', 'Chlordane , pur', 'Chlordane-technical', 'Tat Chlor 4', 'Intox (insecticide)', 'Velsicol 1068', 'Caswell No. 174E', 'Shell sd-5532', 'RCRA waste number U036', 'CCRIS 854', '57-74-9', 'Octachlorodihydrodicyclopentadiene', 'CD 68', 'NCI-C00099', 'HCS 3260', 'Chlordane, technically grade', 'SD 5532', 'Chloordaan', 'Clordan', 'Clordano', '1,2,4,5,6,7,8,8-octachloro-2,3,3a,4,7,7a-hexahydro-1H-4,7-methanoindene', 'Aspon-chlordane', 'Kilex lindane', 'trans-Chlordan', 'cis-Chlordan', 't-Chlordane', 'Termi-ded', 'M 140', 'M 410', 'CHEBI:34623', 'Topichlor 20', 'Topiclor 20', 'Clordan [Italian]', '1,2,4,5,6,7,10,10-Octachloro-4,7,8,9-tetrahydro-4,7-methyleneindane', 'Intox 8', 'Chloordaan [Dutch]', '4,7-Methano-1H-indene, 1,2,4,5,6,7,8,8-octachloro-2,3,3a,4,7,7a-hexahydro-', 'Caswell No. 174', 'Chlordane (Technical)', 'Chlordane, technical grade', 'Latka 1068 [Czech]', 'Octachloro-4,7-methanotetrahydroindane', '1,2,4,5,6,7,8,8-Octachloro-2,3,3a,4,7,7a-hexahydro-4,7-methanoindene', '4,7-Methanoinden, 1,2,4,5,6,7,8,9-octachloro-3a,4,7,7a-tetrahydro-', 'CCRIS 127', 'alpha-Chlordan', 'HSDB 802', 'Chlordan, cis-', '.alpha.-Chlordan', 'Chlorodane', 'Photochlordane', 'Chlortox', 'Syndane', '.alpha.-Chlordane', 'NSC 8931', 'OMS 1437', 'EINECS 200-349-0', 'EINECS 225-826-0', 'ENT 25,552-X', 'ENT 9,932', 'EPA Pesticide Chemical Code 058201', 'ALPHA-CHLORDANE', 'cis-Photochlordane', 'UN 2996', 'BRN 1915474', 'BRN 3910347', '4,7-Methano-1H-indene, 1,2,4,5,6,7,8,8-octachloro-2,3,3a,4,7,7a-hexahydro-, (1.alpha.,2.alpha.,3a.alpha.,4.beta.,7.beta.,7a.alpha.)-', 'AI3-16398', 'RCRA waste no. U036', 'Chlordane (technical grade)', 'Chlordane (analytical grade)', '5103-71-9', '5103-74-2', 'Chlordane, alpha &amp; gamma isomers', 'oindane', 'c-Chlordane', 'Chlor kill', 'EINECS 225-825-5', 'C orodane', 'Dow-klor', '1,2,4,5,6,7,8,8-Octachloro-4,7-methano-3a,4,7,7a-tetrahydroindane', '4,7-Methanoindan, 1,2,4,5,6,7,8,8-octachloro-2,3,3a,4,7,7a-hexahydro-', 'Chlordane, liquid', '.gamma.-Chlordan', '1,2,4,5,6,7,8,8-Octachloor-3a,4,7,7a-tetrahydro-4,7-endo-methano-indaan [Dutch]', '1,2,4,5,6,7,8,8-Octachlor-3a,4,7,7a-tetrahydro-4,7-endo-methano-indan [German]', '1,2,4,5,6,7,8,8-octachloro-2,3,3a,4,7,7a-hexahydro-4,7-Methano-1H-indene', '1,2,4,5,6,7,8,8-Ottochloro-3a,4,7,7a-tetraidro-4,7-endo-metano-indano [Italian]', '(1alpha,2beta,3aalpha,4beta,7beta,7aalpha)-1,2,4,5,6,7,8,8-Octachloro-2,3,3a,4,7,7a-hexahydro-4,7-methano-1H-indene', '4,7-Methano-1H-indene, 1,2,4,5,6,7,8,8-octachloro-2,3,3a,4,7,7a-hexahydro-, (1.alpha.,2.beta.,3a.alpha.,4.beta.,7.beta.,7a.alpha.)-', '4,7-Methanoindan, 3a-beta,4,7,7a-beta-tetrahydro-1-beta,2-alpha,4-alpha,5,6,7-alpha,8,8-octachloro-', 'AI3-16397', 'Chlordane (technical mixture and metabolites)', 'Compound K (FDA)', 'alpha-, gamma-Chlordane', 'Chlordan (cis und trans)', 'DSSTox_CID_28117', 'DSSTox_RID_77241', 'DSSTox_GSID_23954', 'SCHEMBL75811', 'Chlordane (avg cis-,trans-)', 'Octachlorohexahydromethanoindene', 'CHEMBL196537', 'GTPL2831', 'Octach lorohexahydromethanoindene', '4,7-Methanoindan, 1,2,4,5,6,7,8,8-octachloro-3a,4,7,7a-tetrahydro-', 'DTXSID7020267', 'SCHEMBL21186621', 'CTK8F8589', 'NSC8931', 'sd 553 2', 'CD-68', 'ENT-25,552-x', '(1alpha,2alpha,3aalpha,4beta,7beta,7aalpha)-1,2,4,5,6,7,8,8-Octachloro-2,3,3a,4,7,7a-hexahydro-4,7-methano-1H-indene', '4,7-Methano-1H-indene, 1,2,4,5,6,7,8,8-octachloro-2,3,3a,4,7,7a-hexahydro-, (1alpha,2alpha,3a alpha,4beta,7beta,7a alpha)-', '4,7-Methano-1H-indene, 1,2,4,5,6,7,8,8-octachloro-2,3,3a,4,7,7a-hexahydro-, (1alpha,2beta,3a alpha,4beta,7beta,7a alpha)-', '4,7-Methano-1H-indene, 1,2,4,5,6,7,8,8-octachloro-2,3,3a,4,7,7a-hexahydro-, (1R,2R,3aS,4S,7R,7aS)-rel-', '4,7-Methano-1H-indene, 1,2,4,5,6,7,8,8-octachloro-2,3,3a,4,7,7a-hexahydro-, (1R,2S,3aS,4S,7R,7aS)-rel', '4,7-Methano-1H-indene, 1,2,4,5,6,7,8,8-octachloro-2,3,3a,4,7,7a-hexahydro-, (1R,2S,3aS,4S,7R,7aS)-rel-', '4,7-Methanoindan, 1-alpha,2-alpha,4-beta,5,6,7-beta,8,8-octachloro-3a-alpha,4,7,7a-alpha-tetrahydro-', '4,7-Methanoindan, 1.alpha.,2.alpha.,4.beta.,5,6,7.beta.,8,8-octachloro-3a.alpha.,4,7,7a.alpha.-tetrahydro-', 'ENT-9932', 'HCS-3260', 'NSC-8931', 'Chlordane (alpha and gamma isomers)', 'Tox21_200290', 'BDBM50410490', 'ENT-9,932', 'LS-233', 'LS-715', 'NCGC00091433-01', 'NCGC00091433-03', 'NCGC00257844-01', '33442-85-2', 'LS-90933', 'LS-90941', 'CAS-12789-03-6', 'DB-053095', 'FT-0602992', 'NS00002760', 'C14176', 'Chlordane (technical) 100 microg/mL in Hexane', 'Chlordane (technical) 10 microg/mL in Cyclohexane', 'Chlordane (technical) 1000 microg/mL in Acetone', 'Chlordane (technical) 2000 microg/mL in Methanol', 'Q417134', 'J-005552', 'WLN: L C555 A IUTJ AG AG BG DG EG HG IG JG', 'CHLORDANE (TECHNICAL GRADE) (SEE ALSO 57-74-9)', '4, 1,2,4,5,6,7,8,8-octachloro-3a,4,7,7a-tetrahydro-', 'CHLORDANE (ANALYTICAL GRADE) (SEE ALSO 12789-03-6)', '1,2,4,5,6,7,8,8-octachloro-3a,4,7,7a-tetra-hydro-4,7-methan-', '1,4,5,6,7,8,8-Octachloro-3a,4,7,7a-tetrahydro-4,7-methanoindan', '4, 1,2,4,5,6,7,8,8-octachloro-2,3,3a,4,7,7a-hexahydro-', '1 ,2,4,5,6,7,8,8-octachloro-3a,4,7,7a-tetra-hydro-4,7-methan-', '1,2,4,5,6,7,8,8-Octachloro-2,3,3a,4,7,7a-hexahydro-4,7-methanoindan', '1,2,4,5,6,7,8,8-octachloro-2,3,3a,4,7,7a-hexahydro-4,7-methanoindane', '1,3,4,7,8,9,10,10-octachlorotricyclo[5.2.1.0(2,6)]dec-8-ene', '1,4,5,6,7,10,10-Octachloro-4,7,8,9-tetrahydro-4,7-methyleneindane', '1,4,5,6,7,8,8-Octachloor-3a,4,7,7a-tetrahydro-4,7-endo-methano-indaan', '1,4,5,6,7,8,8-Octachlor-3a,4,7,7a-tetrahydro-4,7-endo-methano-indan', '1,4,5,6,7,8,8-Octachloro-2,3,3a,4,7,7a-hexahydro-4,7-methanoindan', '1,4,5,6,7,8,8-Octachloro-2,3,3a,4,7,7a-hexahydro-4,7-methanoindene', '1,4,5,6,7,8,8-Octachloro-3a,4,7,7a-hexahydro-4,7-methylene indane', '1,4,5,6,7,8,8-Octachloro-3a,4,7,7a-tetrahydro-4,7-methanoindane', '1,4,5,6,7,8,8-Octachloro-4,7-methano-3a,4,7,7a-tetrahydroindane', '1,4,5,6,7,8,8-Ottochloro-3a,4,7,7a-tetraidro-4,7-endo-metano-indano', '(4S,7R)-1,2,4,5,6,7,8,8-octachloro-2,3,3a,4,7,7a-hexahydro-1H-4,7-methanoindene', '1,2,4,5,6,7,8,8-octa-8,8-octachloro-3a,4,7,7a-tetrahydro-4,7-methanoindan', '1-Exo,2-endo,4,5,6,7,8,8-octachloro-2,3,3a,4,7,7a-hexahydro-4,7-methanoindene', '1,5:2,4-Dimethanopentalene, 1,2,5,6,6,6a,7,8-octachlorooctahydro-, (1alpha,2alpha,3aalpha,4beta,5alpha,6aalpha,7R*,8R*)-']</t>
  </si>
  <si>
    <t>Compound(5993)</t>
  </si>
  <si>
    <t>C10H6Cl8</t>
  </si>
  <si>
    <t>chlorfenapyr</t>
  </si>
  <si>
    <t>4-bromo-2-(4-chlorophenyl)-1-(ethoxymethyl)-5-(trifluoromethyl)pyrrole-3-carbonitrile</t>
  </si>
  <si>
    <t>['Chlorfenapyr', '122453-73-0', 'Pirate', 'Kotetsu', 'Pylon', '4-Bromo-2-(4-chlorophenyl)-1-(ethoxymethyl)-5-(trifluoromethyl)-1H-pyrrole-3-carbonitrile', 'Pirate 3F', 'Chlorfenapyr [ISO]', 'AC 303630', 'CL 303630', 'UNII-NWI20P05EB', 'HSDB 7464', '1H-Pyrrole-3-carbonitrile, 4-bromo-2-(4-chlorophenyl)-1-(ethoxymethyl)-5-(trifluoromethyl)-', 'NWI20P05EB', 'CHEBI:39347', '4-bromo-2-(4-chlorophenyl)-1-(ethoxymethyl)-5-(trifluoromethyl)pyrrole-3-carbonitrile', 'C15H11BrClF3N2O', 'CCRIS 9252', 'PubChem2383', 'DSSTox_CID_12533', 'DSSTox_RID_78971', 'DSSTox_GSID_32533', 'SCHEMBL40337', 'CHEMBL1869551', 'DTXSID9032533', 'CTK8E8173', 'BCP10393', 'HY-B0840', 'ZINC2381586', 'Tox21_301579', 'AKOS015895265', '4-Bromo-2-(4-chlorophenyl)-1-(ethoxymethyl)-5-(trifluoromethyl)-1H-pyrrol-3-carbonitrile', '4-Bromo-2-(p-chlorophenyl)-1-(ethoxymethyl)-5-(trifluoromethyl)pyrrole-3-carbonitrile', 'Chlorfenapyr 100 microg/mL in Methanol', 'NCGC00163740-01', 'NCGC00255354-01', 'AK-47777', 'AS-15485', 'BC002286', 'CC-25654', 'Chlorfenapyr 10 microg/mL in Cyclohexane', 'P559', 'SC-00618', 'AX8120671', 'LS-136639', 'CAS-122453-73-0', 'CS-0012852', 'FT-0602990', 'NS00008155', 'C18455', 'K-1667', 'Chlorfenapyr, PESTANAL(R), analytical standard', '453C730', 'A804893', 'C-21856', 'Q426475', 'J-004803', '4-bromanyl-2-(4-chlorophenyl)-1-(ethoxymethyl)-5-(trifluoromethyl)pyrrole-3-carbonitrile', '4-Bromo-1-(ethoxymethyl)-2-(p-chlorophenyl)-5-(trifluoromethyl)pyrrole-3-carbonitrile', '4-Bromo-2- (p-chlorophenyl)-1-(ethoxymethyl)-5-(trifluoromethyl)pyrrole-3-carbonitrile', '4-bromo-2-(4-chlorophenyl)-1-(ethoxymethyl)-5-(trifluoromethyl)-3-pyrrolecarbonitrile', '4-Bromo-2-(4-chlorophenyl)-1-(ethoxymethyl)-5-(trifluoromethyl)-1H-pyrrole-3- carbonitrile/Chlorfenapyr', '4-Bromo-2-(4-chlorophenyl)-1-(ethoxymethyl)-5-(trifluoromethyl)-1H-pyrrole-3- carbonitrile/Chlorfenapyr;1H-Pyrrole-3-carbonitrile, 4-bromo-2-(4-chlorophenyl)-1-(ethoxymethyl)-5-(trifluoromethyl)-;4-bromo-2-(4-chlorophenyl)-1-ethoxymethyl-5-trifluoromethylpyrrole-3-carbonitrile', '4-Bromo-2-(4-chlorophenyl)-1-(ethoxymethyl)-5-(trifluoromethyl)-1H-pyrrole-3-carbonitrile #']</t>
  </si>
  <si>
    <t>Compound(91778)</t>
  </si>
  <si>
    <t>C15H11BrClF3N2O</t>
  </si>
  <si>
    <t>chlorofluazuron</t>
  </si>
  <si>
    <t>N-[[3,5-dichloro-4-[3-chloro-5-(trifluoromethyl)pyridin-2-yl]oxyphenyl]carbamoyl]-2,6-difluorobenzamide</t>
  </si>
  <si>
    <t>['Chlorfluazuron', '71422-67-8', 'Atabron', 'Chlorfluazuron [ISO]', 'UNII-Q42JG8449K', 'CCRIS 2680', 'Cga-112913', 'IKI 7899', 'PP 145', 'CGA 112913', 'UC 62644', 'AI3-29785', 'CHEBI:39370', 'Q42JG8449K', 'N-[[3,5-dichloro-4-[3-chloro-5-(trifluoromethyl)pyridin-2-yl]oxyphenyl]carbamoyl]-2,6-difluorobenzamide', 'Benzamide, N-[[[3,5-dichloro-4-[[3-chloro-5-(trifluoromethyl)-2-pyridinyl]oxy]phenyl]amino]carbonyl]-2,6-difluoro-', 'Benzamide, N-(((3,5-dichloro-4-((3-chloro-5-(trifluoromethyl)-2-pyridinyl)oxy)phenyl)amino)carbonyl)-2,6-difluoro-', 'N-[(3,5-dichloro-4-{[3-chloro-5-(trifluoromethyl)pyridin-2-yl]oxy}phenyl)carbamoyl]-2,6-difluorobenzamide', 'C20H9Cl3F5N3O3', 'DSSTox_CID_21772', 'DSSTox_RID_79839', 'DSSTox_GSID_41772', 'SCHEMBL44257', 'CHEMBL2251411', 'DTXSID5041772', 'UISUNVFOGSJSKD-UHFFFAOYSA-', 'Chlorflurazurone (Chlorfluazurone)', 'ZINC2516838', 'Tox21_301567', 'AKOS015896057', 'NCGC00255618-01', 'CC-25656', 'LS-26328', 'AX8001288', 'CAS-71422-67-8', 'Chlorfluazuron 10 microg/mL in Cyclohexane', 'DB-055523', 'FT-0641348', 'NS00009689', 'C18426', '26898-EP2274983A1', '26898-EP2280009A1', '26898-EP2292608A1', '26898-EP2308857A1', '26898-EP2308858A1', '26898-EP2311816A1', '26898-EP2311817A1', '26898-EP2314583A1', '422C678', 'C-23149', 'Chlorfluazuron, PESTANAL(R), analytical standard', 'Q22807265', 'N-[[3,5-dichloro-4-[3-chloro-5-(trifluoromethyl)pyridin-2-yl]oxyphenyl]carbamoyl', '1-[3,5-dichloro-4-(3-chloro-5-trifluoromethyl-2-pyridyloxy)phenyl]-3-(2,6-difluorobenzoyl)urea', '1-{3,5-Dichloro-4-[3-chloro-5-(trifluoromethyl)pyridin-2-yloxy]phenyl}-3-(2,6-difluorobenzoyl)urea', 'N-(3,5-dichloro-4-(3-chloro-5-(trifluoromethyl)pyridin-2-yloxy)phenylcarbamoyl)-2,6-difluorobenzamide', 'Pesticide3_Chlorfluazuron_C20H9Cl3F5N3O3_Benzamide, N-[[[3,5-dichloro-4-[[3-chloro-5-(trifluoromethyl)-2-pyridinyl]oxy]phenyl]amino]carbonyl]-2,6-difluoro-']</t>
  </si>
  <si>
    <t>Compound(91708)</t>
  </si>
  <si>
    <t>C20H9Cl3F5N3O3</t>
  </si>
  <si>
    <t>chlorophene</t>
  </si>
  <si>
    <t>2-benzyl-4-chlorophenol</t>
  </si>
  <si>
    <t>['2-Benzyl-4-chlorophenol', '120-32-1', 'Clorophene', 'Clorofene', 'Chlorophene', 'O-BENZYL-P-CHLOROPHENOL', 'Phenol, 4-chloro-2-(phenylmethyl)-', '4-Chloro-2-benzylphenol', 'Neosabenyl', 'Septiphene', 'Benzylchlorophenol', 'Bio-Clave', 'Santophen 1', '5-Chloro-2-hydroxydiphenylmethane', 'Santophen I germicide', 'p-Chloro-o-benzylphenol', 'Santophen I', 'Santophen 1 flake', 'Santophen 1 solution', 'Ketolin H', 'Ketolin-H', 'Orthobenzylparachlorophenol', 'Orthobenzyl-p-chlorophenol', '2-benzyl-4-chloro-phenol', 'o-Benzylchlorophenol', '4-Chloro-2-(phenylmethyl)phenol', 'Clorophene [USAN]', 'Caswell No. 083', 'Sentiphene', 'Clorofenum [INN-Latin]', 'Clorofeno [INN-Spanish]', 'NCI-C61201', 'Phenol, 4-chloro-2-benzyl-', 'UNII-7560BB0BO3', 'CCRIS 6205', '4-Chloro-alpha-phenyl-o-cresol', 'HSDB 5179', '4-Chloro-.alpha.-phenyl-o-cresol', 'o-Cresol, 4-chloro-alpha-phenyl-', '4-Chloro-alpha-phenyl-ortho-cresol', 'EINECS 204-385-8', 'NSC 59989', 'o-Cresol, 4-chloro-.alpha.-phenyl-', 'EPA Pesticide Chemical Code 062201', 'BRN 1959194', 'AI3-08523', '7560BB0BO3', 'NSC59989', 'Clorophene (USAN)', 'NSC-59989', 'NCGC00091532-02', 'NCGC00091532-04', 'DSSTox_CID_154', 'DSSTox_RID_75406', 'DSSTox_GSID_20154', 'Clorofenum', 'Clorofeno', 'CAS-120-32-1', 'ortho-benzyl-para-chlorophenol', 'Benzyl-p-chlorophenol', '4-Chloro-2-benzyl phenol', 'Neosobenil', 'Clorophen', 'Preventol B', 'Preventol BP', 'Nipacide BCP', 'Clorofene [INN]', 'MFCD00020140', 'Santophen 1 (TN)', 'PubChem15819', 'NSC 59989;Santophen', 'WLN: QR DG B1R', 'SCHEMBL78119', '4-06-00-04636 (Beilstein Handbook Reference)', 'MLS002454423', 'ACMC-209a73', 'CHEMBL1328919', 'Cresol, 4-chloro-alpha-phenyl-', 'DTXSID5020154', '2-Benzyl-4-chlorophenol, 95%', 'CTK5E7498', 'NCKMMSIFQUPKCK-UHFFFAOYSA-', '2-Hydroxy-5-chlorodiphenylmethane', 'Cresol,  4-chloro-alpha-phenyl-', 'HMS3041D07', 'LS-10', 'ZINC136177', '4-chloranyl-2-(phenylmethyl)phenol', 'Tox21_111146', 'Tox21_202985', 'Tox21_400046', 'ANW-17485', 'SBB056562', 'AKOS001434264', 'Tox21_111146_1', 'MCULE-8594187019', 'NCGC00091532-01', 'NCGC00091532-03', 'NCGC00091532-05', 'NCGC00091532-06', 'NCGC00260530-01', 'AC-10752', 'AK122325', 'I905', 'SMR000777843', 'ST029301', 'DB-041547', 'B0812', 'FT-0611303', 'NS00008968', 'D03564', 'A804486', 'W-108479', 'Q22829551', 'Z271137930', '8013-49-8']</t>
  </si>
  <si>
    <t>Compound(8425)</t>
  </si>
  <si>
    <t>C13H11ClO</t>
  </si>
  <si>
    <t>chlorophensone</t>
  </si>
  <si>
    <t>(4-chlorophenyl) 4-chlorobenzenesulfonate</t>
  </si>
  <si>
    <t>['Chlorfenson', 'Ovex', 'Difenson', 'Mitran', 'Ester sulfonate', 'Benzolsulfonate', 'Chlorfensin', 'Chlorofenizon', 'Ephirsulphonate', 'Ethersulfonate', 'Niagaratran', 'Trichlorfenson', 'Corotran', 'Estonmite', 'Orochlor', 'Orthotran', 'Otracid', 'Ovatran', 'Ovochlor', 'Ovotran', 'Sappilan', 'Sappiran', 'Erysit', 'Ovotox', 'Roztoczol fluid', 'CPCBS', '80-33-1', 'Acaricydol E 20', 'Lethalaire G-58', 'Chloorfenson', 'Chlorofensone', 'Chlorobenzolsulfonate', 'Danicut', 'ONEX', 'PCPCBS', 'Miticide K-101', 'Genite 883', 'Chlorfensonchlorofensone', 'Benzolsulfonat', 'Chlorefenizon', 'Chlorofenson', '4-CHLOROPHENYL 4-CHLOROBENZENESULFONATE', 'Chlorbenzolsulfonat', 'p-Chlorophenyl p-chlorobenzenesulfonate', 'Benzenesulfonic acid, 4-chloro-, 4-chlorophenyl ester', 'Chloorfenson [Dutch]', 'Caswell No. 624', 'Ovex [ANSI]', 'Chlorefenizon [French]', 'Trichlorfenson (Obs.)', 'Ovatron', 'Chlorfenson [BSI:ISO]', 'UNII-LW65NJ3YWV', '(4-chlorophenyl) 4-chlorobenzenesulfonate', 'C-854', 'D 854', 'K 6451', 'p-Chlorophenyl p-chlorobenzenesulphonate', '4-Chlorophenyl 4-chlorobenzenesulphonate', 'C 1,006', 'Dow K-6,451', 'p-Chlorobenzenesulfonic acid, p-chlorophenyl ester', '(4-Cloro-fenil)-4-cloro-venzol-solfonato', 'HSDB 2055', 'Parachlorophenyl-parachlorobenzene-sulfonate', '(4-Chlor-phenyl)-4-chlor-benzol-sulfonate', '4-Chlorobenzenesulfonate de 4-chlorophenyle', '(4-Chloor-fenyl)-4-chloor-benzeen-sulfonaat', 'K-101', 'NSC 5618', 'EINECS 201-270-4', "4-Chlorphenyl-4'-chlorbenzolsulfonat", 'LW65NJ3YWV', 'ENT 16,358', 'ENT 16,538', 'EPA Pesticide Chemical Code 020201', 'BRN 2944674', 'Benzenesulfonic acid, p-chloro-, p-chlorophenyl ester', 'Parachlorophenyl parachlorobenzene sulfonate', 'AI3-16538', 'CCS', 'CHEBI:82155', "4-Chlorphenyl-4'-chlorbenzolsulfonat [German]", 'p-Chlorfenylester kyseliny p-chlorbenzensulfonove', '4-Chlorobenzenesulfonic acid, 4-chlorophenyl ester', '4-Chlorobenzenesulfonate de 4-chlorphenyle [French]', '(4-Chloor-fenyl)-4-chloor-benzeen-sulfonaat [Dutch]', '(4-Chlor-phenyl)-4-chlor-benzol-sulfonate [German]', '(4-Cloro-fenil)-4-cloro-venzol-solfonato [Italian]', '4-Chlorobenzenesulfonate de 4-chlorophenyle [French]', 'p-Chlorfenylester kyseliny p-chlorbenzensulfonove [Czech]', 'p-Chlorophenyl-p-chlorobenzene sulfonate', 'DSSTox_CID_310', 'DSSTox_RID_75505', 'DSSTox_GSID_20310', 'CAS-80-33-1', 'chlorfenson;OVEX', 'Chlorfenson (Ovex)', '4-Chlorobenzenesulfonate de 4-chlorphenyle', 'WLN: GR DSWOR DG', '4-11-00-00109 (Beilstein Handbook Reference)', 'SCHEMBL116752', 'CHEMBL499017', 'DTXSID5020310', 'CTK8F8591', 'RZXLPPRPEOUENN-UHFFFAOYSA-', 'NSC5618', 'NSC-5618', 'ZINC1687057', 'Tox21_201263', 'Tox21_302742', 'Chlorfenson 10 microg/mL in Isooctane', 'DB05377', 'LS-7268', '4-Chlorophenyl-4-chlorobenzene sulfonate', 'NCGC00249010-01', 'NCGC00256598-01', 'NCGC00258815-01', 'NS00005538', 'C19024', 'Chlorfenson, PESTANAL(R), analytical standard', 'Benzenesulfonic acid, p-chloro-, p-chlorophenylester', 'Chlorfenson.Ovex.chlorofenizon.ephirsulfonate.ovatron', 'Q2964122', 'Benzenesulfonic acid, p-chloro-, p-chlorophenyl ester (8CI)']</t>
  </si>
  <si>
    <t>Compound(6635)</t>
  </si>
  <si>
    <t>C12H8Cl2O3S</t>
  </si>
  <si>
    <t>chlorfenvinfos</t>
  </si>
  <si>
    <t>[2-chloro-1-(2,4-dichlorophenyl)ethenyl] diethyl phosphate</t>
  </si>
  <si>
    <t>['Chlorfenvinphos', '470-90-6', 'Chlorfenvinfos', 'Clofenvinfos', '[2-chloro-1-(2,4-dichlorophenyl)ethenyl] diethyl phosphate', 'DSSTox_CID_14250', 'DSSTox_RID_79130', 'DSSTox_GSID_34250', 'Phosphoric acid,2-chloro-1-(2,4-dichlorophenyl)ethenyl diethyl ester', 'CAS-470-90-6', 'Phosphoric acid, 2-chloro-1-(2,4-dichlorophenyl)ethenyl diethyl ester', 'Diethyl 1-(2,4-Dichlorophenyl)-2-chlorovinyl phosphate', 'CHEBI:38598', 'NCGC00163745-03', 'Chlorfenvinphos (I)', 'CHEMBL2354650', 'DTXSID7034250', 'CTK4I9726', 'Tox21_112069', 'Tox21_301573', 'AKOS030254678', 'NCGC00255173-01', 'Chlorfenvinphos 10 microg/mL in Cyclohexane', 'Chlorfenvinphos 1000 microg/mL in Toluene', 'DB-051426', 'Chlorfenvinphos 10 microg/mL in Acetonitrile', 'Chlorfenvinphos 100 microg/mL in Acetonitrile', 'Chlorfenvinphos 100 microg/mL in Cyclohexane']</t>
  </si>
  <si>
    <t>Compound(10107)</t>
  </si>
  <si>
    <t>C12H14Cl3O4P</t>
  </si>
  <si>
    <t>5-amino-4-chloro-2-phenylpyridazin-3-one</t>
  </si>
  <si>
    <t>['Chloridazon', '1698-60-8', '5-Amino-4-chloro-2-phenylpyridazin-3(2H)-one', 'PYRAZON', 'Chloridazone', 'Curbetan', '3(2H)-Pyridazinone, 5-amino-4-chloro-2-phenyl-', 'Clorizol', 'Phenosane', 'Pyrazonl', 'Suzon', 'PCA (pesticide)', 'Pyrazone', 'Burex', 'Phenazone (herbicide)', 'Pyramin RB', 'Pyramin(e)', 'Burex [Czech]', 'Pyrazon [ANSI]', 'Pyramin (herbicide)', '5-Amino-4-chloro-2-phenyl-3(2H)-pyridazinone', 'Phenazon (herbicide)', 'Caswell No. 714C', 'Chloridazon [BSI:ISO]', '5-amino-4-chloro-2-phenylpyridazin-3-one', '1-Phenyl-4-amino-5-chloropyridazin-6-one', '5-Amino-4-chloro-2-phenyl-3-pyridazinone', 'Chloridazone [ISO-French]', 'UNII-26X5RK7X7W', 'BAS 13033', '1-Fenyl-4-amino-5-chlor-6-pyridazinon', '1-Phenyl-4-amino-5-chlorpyridaz-6-one', 'HS 119-1', 'HSDB 1759', 'EINECS 216-920-2', '5-Amino-4-chloro-2-phenylpyridazinone', 'EPA Pesticide Chemical Code 069601', 'BAS 1191611', 'BRN 0397241', '1-Phenyl-4-amino-5-chloropyridaz-6-one', '5-Amino-4-chloro-2,3-dihydro-3-oxo-2-phenylpyridazine', '26X5RK7X7W', 'CHEBI:81838', '1-Fenyl-4-amino-5-chlor-6-pyridazinon [Czech]', '1-Phenyl-4-amino-5-chlorpyridazon-(6) [German]', 'GEO-02108', '5-amino-4-chloro-2-phenyl-2,3-dihydropyridazin-3-one', 'AK-61017', '5-amino-4-chloro-2-phenyl-2-hydropyridazin-3-one', 'Tripart gladiator', 'Chloridazon (PAC)', 'Alicep (Salt/Mix)', 'Chloridazon (Pyrazon)', '1-Phenyl-4-amino-5-chloro-6-pyridazone', '1-Phenyl-4-amino-5-chlorpyridazon-(6)', 'ChemDiv2_002162', 'Cambridge id 5341852', '5-Amino-4-chloro-2-phenyl-2H-pyridazin-3-one', 'Better flowable (Salt/Mix)', 'Pyrazon, analytical standard', 'DSSTox_CID_14872', 'DSSTox_RID_79214', 'DSSTox_GSID_34872', 'Oprea1_055309', 'Oprea1_237809', 'SCHEMBL53824', '1-Phenyl-4-amino-5-chloro-6-oxo-(1H)pyridazine', '5-25-14-00196 (Beilstein Handbook Reference)', 'MLS001209252', 'CHEMBL1525705', 'DTXSID3034872', 'CTK8C4906', 'KS-00000FWJ', 'ZINC35807', 'HMS1375C06', 'HMS2848J05', 'ALBB-014251', 'ZX-AN012980', 'Tox21_300721', 'ANW-73470', 'STK721154', 'AKOS000520786', 'GS-3474', 'MCULE-7993827795', '4-amino-5-chloro-1-phenylpyridaz-6-one', 'NCGC00164293-01', 'NCGC00164293-02', 'NCGC00164293-03', 'NCGC00254627-01', 'Chloridazon 10 microg/mL in Acetonitrile', 'SMR000514530', 'ST005587', 'CAS-1698-60-8', 'Chloridazon 100 microg/mL in Acetonitrile', 'AX8120682', 'LS-129742', 'FT-0664527', 'NS00008895', 'V0876', 'C18570', 'Chloridazon, PESTANAL(R), analytical standard', 'K-5247', '4-Chloro-5-amino-2-phenyl-3(2H)-pyridazinone', 'AB00081495-01', '698C608', 'Q908257', 'SR-01000523982', 'J-010582', 'SR-01000523982-1', 'BRD-K57998353-001-07-0']</t>
  </si>
  <si>
    <t>Compound(15546)</t>
  </si>
  <si>
    <t>C10H8ClN3O</t>
  </si>
  <si>
    <t>chlormephos</t>
  </si>
  <si>
    <t>chloromethylsulfanyl-diethoxy-sulfanylidene-lambda5-phosphane</t>
  </si>
  <si>
    <t>['CHLORMEPHOS', 'Chlormethylfos', 'Chlormefos', 'Dotan', '24934-91-6', 'Phosphorodithioic acid, S-(chloromethyl) O,O-diethyl ester', 'Caswell No. 195B', 'Chlormephos [BSI:ISO]', 'UNII-1N10F47JUS', 'S-(chloromethyl) O,O-diethyl phosphorodithioate', 'MC 2188', 'CCRIS 1623', 'HSDB 6456', 'S-Chloromethyl O,O-diethyl phosphorodithioate', 'S-(Chloromethyl) O,O-diethylphosphorodithioate', 'EINECS 246-538-1', 'EPA Pesticide Chemical Code 295300', 'BRN 1680996', 'AI3-25533', '1N10F47JUS', 'CHEBI:38603', 'S-(Chloromethy) O,O-diethyl phosphorodithioate', 'S-Chloromethyl-O,O-diethylphosphorothiolothionate', 'S-(Chloromethyl) o,o-diethyl dithiophosphate', 'chloromethylsulfanyl-diethoxy-sulfanylidene-?^{5}-phosphane', 'DSSTox_CID_17511', 'DSSTox_RID_79326', 'DSSTox_GSID_37511', 'SCHEMBL15332', '4-01-00-03088 (Beilstein Handbook Reference)', 'CHEMBL1882960', 'DTXSID1037511', 'Tox21_300825', 'NCGC00163765-01', 'NCGC00163765-02', 'NCGC00254729-01', 'CAS-24934-91-6', 'Chlormephos 1000 microg/mL in Acetonitrile', 'LS-108055', 'O,O-Diethyl S-(Chloromethyl)dithiophosphate', 'NS00005170', 'Chlormefos, PESTANAL(R), analytical standard', 'C18686', 'P 2188', 'S-(Chloromethyl) O,O-diethyl dithiophosphate #', '135750-EP2275422A1', '135750-EP2292608A1', 'Q421506', 'S-Chloromethyl O,O-diethyl phosphorothiolothionate', 'J-015737', 'S-(Chloromethyl) O,O-Diethyl phosphorothiolothionate', 'diethyl [(chloromethyl)sulfanyl](sulfanylidene)phosphonite', 'Methanethiol, chloro-, S-ester with O,O-diethyl phosphorodithioate']</t>
  </si>
  <si>
    <t>Compound(32739)</t>
  </si>
  <si>
    <t>C5H12ClO2PS2</t>
  </si>
  <si>
    <t>chlormequat chloride</t>
  </si>
  <si>
    <t>2-chloroethyl(trimethyl)azanium;chloride</t>
  </si>
  <si>
    <t>['Chlormequat chloride', '999-81-5', '2-Chloro-N,N,N-trimethylethanaminium chloride', 'Chlorocholine chloride', '(2-Chloroethyl)trimethylammonium chloride', 'Antywylegacz', 'CYCOCEL', 'Cyclocel', 'Stabilan', 'Cycogan', 'Cyocel', 'Retacel', 'Cycogan extra', 'Chlorcholine chloride', 'Barleyquat', 'Bettaquat', 'Farmacel', 'Halloween', 'Helstone', 'Increcel', 'Lihocin', 'Hyquat', 'Premix', 'Cycocel-extra', 'Cycocel Extra', 'Arotex Extra', 'Barleyquat B', 'Chlorcholinchlorid', 'Bercema CCC', '5C Cycocel', 'Hormocel-2CCC', 'Mirbel 5', 'Hico CCC', 'Cycocel C 5', 'Titan', 'Cycocel 460', 'Caswell No. 191', 'Ethanaminium, 2-chloro-N,N,N-trimethyl-, chloride', 'Choline dichloride', 'NCI-C02960', 'WR 62', 'Chlorcholinchlorid [Czech]', 'Chlormequat chloride [ISO]', 'CCC (plant growth regulant)', '2-Chloroethyltrimethylammonium chloride', 'CCRIS 135', 'UNII-PPL2215L82', '60-CS-16', 'EI 38,555', 'HSDB 1541', '(beta-Chloroethyl)trimethylammonium chloride', 'EINECS 213-666-4', 'NSC 34858', 'CCC Plant growth regulant', 'EPA Pesticide Chemical Code 018101', '(2-Chloroethyl)trimethylchloride ammonium', '2-Chloroethyl trimethyl ammonium chloride', 'AC 38555', 'Trimethyl-beta-Chloroethylammonium chloride', 'AI3-26939', '2-Chloraethyl-trimethylammoniumchlorid [German]', 'Ammonium, (2-chloroethyl)trimethyl-, chloride', 'Trimethyl-beta-chlorethylammoniumchlorid [Czech]', 'PPL2215L82', 'Chlormequat-chloride', 'TUR', '2-chloroethyl(trimethyl)azanium;chloride', 'AK115994', 'Ce ce ce', 'CCC', 'ZAR', 'W-100001', 'Ethanaminium, 2-chloro-N,N,N-trimethyl-, chloride (1:1)', 'CHEMBL118539', '(2-CHLOROETHYL)TRIMETHYLAMMONIUM', 'Trimethyl-.beta.-chlorethylammoniumchlorid', 'Ammonium chloride, 2-chloroethyltrimethyl-', '.beta.-Chloroethyltrimethylammonium chloride', 'Trimethyl-.beta.-chloroethylammonium chloride', 'Antwylegacz', '(2-Chloroethyl)trimethylammonium chloride, 98%', 'Retacil', 'cy cogan', '2-Chloraethyl-trimethylammoniumchlorid', 'Trimethyl-beta-chlorethylammoniumchlorid', 'C CC', 'DSSTox_CID_303', 'Ccc plant growth regulator', 'DSSTox_RID_75500', 'DSSTox_GSID_20303', 'SCHEMBL54309', '2-Chloro-N,N,N-trimethylethanaminium chloride (1:1)', 'DTXSID6020303', 'KS-00000FWM', 'CHEBI:137392', 'NSC34858', 'Tox21_200065', 'FCH963890', 'LS-289', 'MFCD00011869', 'NSC-34858', 'AKOS006222792', 'Chloroethyl trimethyl ammonium chloride', 'CS-W008900', 'KS-5355', 'MCULE-5943183618', '(2-chloroethyl)trimethylamine, chloride', 'WLN: G2K1&amp;1&amp;1 &amp;Q &amp;G', 'NCGC00257619-01', 'CAS-999-81-5', 'CC-25666', 'M168', 'Trimethyl-beta-chlorethylammonium chloride', '(2-Chloroethyl)-trimethylammonium chloride', '2-Chloro-N,N-trimethylethanaminium chloride', 'AX8120701', 'DB-057817', 'FT-0602982', 'ST51037183', '2-chloro-N,N,N-trimethylethan-1-aminium chloride', 'C-03744', 'Chlormequat-chloride 100 microg/mL in Acetonitrile', 'Q23050130']</t>
  </si>
  <si>
    <t>Compound(13836)</t>
  </si>
  <si>
    <t>C5H13Cl2N</t>
  </si>
  <si>
    <t>chloroxuron</t>
  </si>
  <si>
    <t>3-[4-(4-chlorophenoxy)phenyl]-1,1-dimethylurea</t>
  </si>
  <si>
    <t>['CHLOROXURON', 'Chloroxifenidim', 'Chlorphencarb', 'Gesamoos', 'Norex', '1982-47-4', 'TENORAN', 'Ciba 1983', 'Caswell No. 217B', '3-[4-(4-Chlorophenoxy)phenyl]-1,1-dimethylurea', 'UNII-QER23C88ME', 'Chloroxuron [ANSI:BSI:ISO]', 'HSDB 980', 'EINECS 217-843-7', 'C 1983', '3-(p-(p-Chlorophenoxy)phenyl)-1,1-dimethylurea', '3-(4-(4-Chlorophenoxy)phenyl)-1,1-dimethylurea', 'EPA Pesticide Chemical Code 025501', 'BRN 2814275', 'QER23C88ME', "Urea, N'-[4-(4-chlorophenoxy)phenyl]-N,N-dimethyl-", 'C-1933', "N'-4-(4-Chlorophenoxy)phenyl-N,N-dimethylurea", "n'-[4-(4-chlorophenoxy)phenyl]-n,n-dimethylurea", "1-(4-(4-Chloro-phenoxy)phenyl)-3,3-D'methyluree", '3-(4-(4-Chloor-fenoxy)-fenyl)-1,1-dimethylureum', '3-(4-(4-Chloro-fenossil)fenil)-1,1-dimetil-urea', 'Urea, 3-(p-(p-chlorophenoxy)phenyl)-1,1-dimethyl-', "Urea, N'-(4-(4-chlorophenoxy)phenyl)-N,N-dimethyl-", '3-(4-(4-Chlor-phenoxy)-phenyl)-1,1-dimethylharnstoff', "1-(4-(4-Chloro-phenoxy)phenyl)-3,3'-methyluree [French]", "1-(4-(4-Chloro-phenoxy)phenyl)-3,3-d'methyluree [French]", '3-(4-(4-Chloor-fenoxy)-fenyl)-1,1-dimethylureum [Dutch]', '3-(4-(4-Chloro-fenossil)fenil)-1,1-dimetil-urea [Italian]', '3-(4-(4-Cloro-fenossil)-fenossil)-1,1-dimetil-urea [Italian]', '3-(4-(4-Chloor-fenoxy)-fenoxy)-fenyl-1,1-dimethylureum [Dutch]', '3-(4-(4-Chlor-phenoxy)-phenyl)-1,1-dimethylharnstoff [German]', "N'-(4-Chlorophenoxy)phenyl-N,N-dimethylurea", 'Urea, 3-[p-(p-chlorophenoxy)phenyl]-1,1-dimethyl-', 'Chloroxyfenidim', 'DSSTox_CID_20287', 'DSSTox_RID_79471', 'DSSTox_GSID_40287', 'Chloroxuron (Chloroxifenidim)', "1-(4-(4-Chloro-phenoxy)phenyl)-3,3'-methyluree", 'SCHEMBL132843', '3-(4-(4-Cloro-fenossil)-fenossil)-1,1-dimetil-urea', 'CHEMBL1568699', 'DTXSID7040287', '3-(4-(4-Chloor-fenoxy)-fenoxy)-fenyl-1,1-dimethylureum', 'ZINC2039034', 'Tox21_301902', 'AKOS015903200', 'MCULE-8661514545', 'NCGC00166179-01', 'NCGC00255447-01', 'Chloroxuron 10 microg/mL in Acetonitrile', 'CAS-1982-47-4', 'LS-159544', 'NS00010440', 'ST45025325', 'Chloroxuron, PESTANAL(R), analytical standard', "N'-4-(p-Chlorophenoxy)phenyl-N,N-dimethylurea", '3-[4-(4-Chlorophenoxyphenyl)]-1,1-dimethylurea', 'J-012810', 'Q2964148', '(dimethylamino)-N-[4-(4-chlorophenoxy)phenyl]carboxamide']</t>
  </si>
  <si>
    <t>Compound(16115)</t>
  </si>
  <si>
    <t>C15H15ClN2O2</t>
  </si>
  <si>
    <t>chloropicrin</t>
  </si>
  <si>
    <t>trichloro(nitro)methane</t>
  </si>
  <si>
    <t>['CHLOROPICRIN', 'Trichloronitromethane', '76-06-2', 'Chlorpikrin', 'Nitrotrichloromethane', 'Nitrochloroform', 'Trichlornitromethan', 'trichloro(nitro)methane', 'Chloropicrine', 'Dojyopicrin', 'Microlysin', 'Dolochlor', 'Larvacide', 'Picfume', 'Picride', 'Nemax', 'Pic-Clor', 'Tri-Clor', 'Chlor-O-pic', 'Chloorpikrine', 'Chloroform, nitro-', 'Cloropicrina', 'Methane, trichloronitro-', 'Profume A', 'Larvacide 100', 'Trichloornitromethaan', 'KLOP', 'Tricloro-nitro-metano', 'NCI-C00533', 'Chlorpikrin [German]', 'Caswell No. 214', 'Chloorpikrine [Dutch]', 'Chloropicrine [French]', 'Chlorpicrin', 'Cloropicrina [Italian]', 'TRI-CON', 'CCl3NO2', 'Chloropicrin [BSI:ISO]', 'G 25', 'UNII-I4JTX7Z7U2', 'NSC 8743', 'Chloropicrine [ISO-French]', 'Trichlornitromethan [German]', '1,1,1-trichloronitromethane', 'CCRIS 146', 'Trichloornitromethaan [Dutch]', 'HSDB 977', 'Chloropicrin, absorbed', 'Tricloro-nitro-metano [Italian]', 'OG 25', 'Cl3CNO2', 'EINECS 200-930-9', 'UN1580', 'UN1583', 'EPA Pesticide Chemical Code 081501', 'BRN 1756135', 'I4JTX7Z7U2', 'Nitrotrichloromethane, Trichloronitromethane', 'AI3-00027', '1,2-Diacylglycerol-LD-PS-pool', 'CHEBI:39285', 'trichloro-nitromethane', 'Timberfume', 'Aquinite', 'Nimax', 'Pic-Chlor', 'Chloropicrin, liquid', 'Methane, (absorbed)', 'Methane,trichloronitro-', 'WLN: WNXGGG', 'DSSTox_CID_315', 'DSSTox_RID_75509', 'DSSTox_GSID_20315', 'SCHEMBL75169', 'NA 1583 (Salt/Mix)', 'UN 1583 (Salt/Mix)', 'WLN: WNXGGG -ABSORBED', 'Chloropicrin mixtures, n.o.s.', 'GTPL6292', 'CHEMBL1327143', 'DTXSID0020315', 'Chloropicrin, analytical standard', 'CTK5E2429', 'NSC8743', 'Nitromethane, 1,1,1-trichloro-', 'Chloropicrin [UN1580] [Poison]', 'NSC-8743', 'Trichloronitromethane (Chloropicrin)', 'Tox21_201570', 'Chloropicrin [UN1580]  [Poison]', 'ZINC17263524', 'AKOS009031488', 'Long-chained chloroalkanes (C18-30)', 'LS-1689', 'UN 1580', 'CAS-76-06-2', 'NCGC00090895-01', 'NCGC00090895-02', 'NCGC00090895-03', 'NCGC00259119-01', 'Trichloronitromethane;trichloronitromethane', 'DB-056020', 'NS00002373', 'C18445', 'Q423065', 'Chloropicrin mixtures, n.o.s. [UN1583] [Poison]', 'Chloropicrin mixtures, n.o.s. [UN1583]  [Poison]', 'Trichloronitromethane, PESTANAL(R), analytical standard']</t>
  </si>
  <si>
    <t>Compound(6423)</t>
  </si>
  <si>
    <t>CCl3NO2</t>
  </si>
  <si>
    <t>chlorpropham</t>
  </si>
  <si>
    <t>propan-2-yl N-(3-chlorophenyl)carbamate</t>
  </si>
  <si>
    <t>['chlorpropham', '101-21-3', 'CHLOROPROPHAM', 'CIPC', 'Chloro-IPC', 'Isopropyl N-(3-chlorophenyl)carbamate', 'Isopropyl m-chlorocarbanilate', 'Chlorprophame', 'Elbanil', 'Metoxon', 'Nexoval', 'Preventol', 'Preweed', 'Taterpex', 'Furloe', 'isopropyl (3-chlorophenyl)carbamate', 'Stopgerme-S', 'Sprout Nip', 'ChlorIPC', 'Spud-Nic', 'Spud-Nie', 'Chloro-IFK', 'Triherbicide CIPC', 'Preventol 56', 'Prevenol 56', 'Liro CIPC', 'Mirvale', 'Fasco WY-HOE', 'Furloe 3 EC', 'Keim-stop', 'Isopropyl 3-chlorophenylcarbamate', 'Isopropyl N-(m-chlorophenyl)carbamate', 'CI-IPC', 'Isopropyl 3-chlorocarbanilate', 'Chlor IFC', 'Chlor IFK', 'Carbamic acid, (3-chlorophenyl)-, 1-methylethyl ester', 'Cl-IFK', 'Jack Wilson chloro 51(oil)', 'Sprout-nip EC', 'Unicrop CIPC', 'Bud Nip', 'Bud-Nip', 'Chloro IPC', 'Chlor IPC', 'Chlor-IFC', 'N-(3-Chlorophenyl)isopropyl carbamate', 'Furloe 3EC', 'Furloe 4EC', 'N-3-Chlorophenylisopropylcarbamate', '3-Chlorocarbanilic acid, isopropyl ester', 'Isopropyl-m-chlorocarbanilate', 'Caswell No. 510A', 'Chlorprophame [French]', 'CI-IFK', 'Isopropyl meta-chlorocarbanilate', 'ENT 18,060', 'ISOPROPYL N-CHLOROPHENYLCARBAMATE', 'o-Isopropyl N-(3-chlorophenyl)carbamate', 'Chlorpropham [BSI:ISO]', 'N-(3-Chlorophenyl)carbamic acid, isopropyl ester', '(3-Chlorophenyl)carbamic acid, 1-methylethyl ester', 'Carbanilic acid, m-chloro-, isopropyl ester', 'Isopropyl-N-m-chlorophenyl-carbamate', 'Chlorprophame [ISO-French]', 'Isopropyl-N-3-chlorophenyl carbamate', 'UNII-0HBU04R8B0', 'Isopropyl-N-(3-chlorophenyl)carbamate', 'm-Chlorocarbanilic acid isopropyl ester', 'N-(3-Chlor-phenyl)-isopropyl-carbamat', 'N-(3-Chloor-fenyl)-isopropyl carbamaat', 'N-(3-Cloro-fenil)-isopropil-carbammato', 'HSDB 981', 'm-Chlorocarbanilic acid, isopropyl ester', 'propan-2-yl N-(3-chlorophenyl)carbamate', 'EINECS 202-925-7', 'NSC 29466', 'Isopropyl-N-(3-chlorphenyl)-carbamat', '1-Methylethyl(3-chlorophenyl)carbamate', 'EPA Pesticide Chemical Code 018301', '1-methylethyl (3-chlorophenyl)carbamate', 'BRN 2211397', 'AI3-18060', '0HBU04R8B0', 'Y 3', 'CHEBI:34630', 'Isopropyl-N-(3-chlorphenyl)-carbamat [German]', 'N-(3-Chloor-fenyl)-isopropyl carbamaat [Dutch]', 'N-(3-Chlor-phenyl)-isopropyl-carbamat [German]', 'N-(3-Cloro-fenil)-isopropil-carbammato [Italian]', "N-(3-Chloro phenyl) carbamate d'isopropyle [French]", 'propan-2-yl (3-chlorophenyl)carbamate', 'Isopropyl-N-(3-chlorophenyl) carbamate', "N-(3-Chloro phenyl)carbamate d'isopropyle", 'DSSTox_CID_764', 'DSSTox_RID_75778', 'DSSTox_GSID_20764', 'CAS-101-21-3', 'Beet', 'CCRIS 9259', 'Spud-nip', 'Unicrop-CIPC', 'Chlorpropham CIPC', 'Prevenol (Salt/Mix)', 'Spectrum_001883', 'Gro Stop (Salt/Mix)', 'SpecPlus_000504', 'Furloe Chloro IPC 4EC', "N-(3-Chloro phenyl) carbamate d'isopropyle", 'Spectrum2_000044', 'Spectrum3_000842', 'Spectrum4_000682', 'Spectrum5_002000', 'Furlow Chloro IPC 20G', 'Isopropyl chlorocarbanilate', 'Jack wilson chloro 51 oil', '1-Methylethyl (3-chlorophenyl)carbamate (9CI)', 'Chloropropham (Chlorpropham)', 'SCHEMBL54464', 'BSPBio_002423', 'KBioGR_001143', 'KBioSS_002413', 'SPECTRUM330051', 'BIDD:ER0253', 'DivK1c_006600', 'Isopropyl m-chloro carbanilate', 'Isopropyl m-chlorocarb anilate', 'SPBio_000167', 'CHEMBL104560', 'DTXSID7020764', 'KBio1_001544', 'KBio2_002407', 'KBio2_004975', 'KBio2_007543', 'KBio3_001923', 'KS-00000FWX', 'WLN: GR CMVOY1 &amp; 1', 'ZINC57368', 'Chlorpropham, ~95%, crystalline', 's214', 'EBD48798', 'NSC29466', 'Chlorocarbanilic acid isopropyl ester', 'Tox21_201866', 'Tox21_301139', 'CCG-39995', 'NSC-29466', 'Chlor ocarbanilic acid isopropyl ester', 'AKOS003369049', 'KS-5118', 'LS-7135', 'MCULE-6900965240', 'Isopropyl N-(3-Chlorophenyl) Carbamate', 'NCGC00094538-01', 'NCGC00094538-02', 'NCGC00094538-03', 'NCGC00094538-04', 'NCGC00094538-05', 'NCGC00094538-06', 'NCGC00094538-07', 'NCGC00255037-01', 'NCGC00259415-01', 'AC-11051', 'AK343409', 'NCI60_002445', 'Chlorpropham 10 microg/mL in Acetonitrile', 'Chlorpropham 100 microg/mL in Acetonitrile', 'N-(3-chlorophenyl)(methylethoxy)carboxamide', 'FT-0631534', 'NS00010021', 'ST45024109', '01C213', 'C14506', 'M-2048', 'Chlorpropham, PESTANAL(R), analytical standard', 'N-(3-Chlorophenyl)carbamic Acid Isopropyl Ester', '(3-chlorophenyl)carbamic acid 1-methylethyl ester', 'Q904901', 'J-000342', 'BRD-K59590127-001-02-9', 'Carbamic acid, N-(3-chlorophenyl)-, 1-methylethyl ester', 'Carbamic acid, (3-chlorophenyl)-, 1-methylethyl ester (9CI)', 'Isopropyl N-(3-chlorophenyl)carbamate; Isopropyl 3-chlorocarbanilate', 'Chlorpropham solution, 100 mug/mL in acetonitrile, PESTANAL(R), analytical standard']</t>
  </si>
  <si>
    <t>Compound(2728)</t>
  </si>
  <si>
    <t>C10H12ClNO2</t>
  </si>
  <si>
    <t>chlorpromazine</t>
  </si>
  <si>
    <t>3-(2-chlorophenothiazin-10-yl)-N,N-dimethylpropan-1-amine</t>
  </si>
  <si>
    <t>['chlorpromazine', 'Thorazine', 'Largactil', '50-53-3', 'Contomin', 'Chloropromazine', 'Chlorderazin', 'Aminazine', 'Chlorpromados', 'Fenactil', 'Megaphen', 'Propaphenin', 'Chlorpromazin', '2-Chloropromazine', 'Aminazin', 'Ampliactil', 'Fenaktyl', 'Largactyl', 'Phenactyl', 'Promactil', 'Promazil', 'Psychozine', 'Sanopron', 'Torazina', 'Wintermin', 'Elmarin', 'Esmind', 'Prozil', 'Proma', 'Chlor-Promanyl', 'Largactilothiazine', 'Clorpromazina', 'Novomazina', 'Fraction AB', '3-(2-chloro-10H-phenothiazin-10-yl)-N,N-dimethylpropan-1-amine', 'Chlorpromazinum', 'Amplictil', 'SKF 2601-A', 'Cromedazine', 'Plegomasine', 'Aminasine', 'Amplicitil', 'HL 5746', '10H-Phenothiazine-10-propanamine, 2-chloro-N,N-dimethyl-', 'Thorazine Suppositories', 'Clorpromazina [Italian]', 'BC 135', 'Chlor-PZ', 'CPZ', 'N-(3-Dimethylaminopropyl)-3-chlorophenothiazine', 'Chlorpromazinum [INN-Latin]', 'Clorpromazina [INN-Spanish]', 'Chlorpromazine Tannate', 'HSDB 3033', '3-(2-chlorophenothiazin-10-yl)-N,N-dimethyl-propan-1-amine', '4560 R.P.', 'UNII-U42B7VYA4P', 'C17H19ClN2S', 'Propaphen', 'CCRIS 3711', 'CHEBI:3647', '3-(2-Chloro-10H-phenothiazin-10-yl)-N,N-dimethyl-1-propanamine', '2-chloro-N,N-dimethyl-10H-Phenothiazine-10-propanamine', '2-Cloro-10 (3-dimetilaminopropil)fenotiazina', 'CHEMBL71', 'EINECS 200-045-8', 'NSC 167745', '2-Chloro-10-(3-(dimethylamino)propyl)phenothiazine', '2-Chloro-10-[3-(dimethylamino)propyl]phenothiazine', 'Chloro-3 (dimethylamino-3 propyl)-10 phenothiazine', 'Thorazine hydrochloride', 'U42B7VYA4P', '2-Cloro-10 (3-dimetilaminopropil)fenotiazina [Italian]', '3-(2-chlorophenothiazin-10-yl)-N,N-dimethylpropan-1-amine', 'Chloro-3 (dimethylamino-3 propyl)-10 phenothiazine [French]', 'Phenothiazine hydrochloride', 'Hibanil', 'Unitensen', 'NSC-167745', 'Phenothiazine, 2-chloro-10-(3-(dimethylamino)propyl)-', 'Phenothiazine, 2-chloro-10-[3-(dimethylamino)propyl]-', 'NCGC00015273-11', 'Chlordelazine', 'DSSTox_CID_2808', 'DSSTox_RID_76736', 'DSSTox_GSID_22808', '34468-21-8', '4560 Rp hydrochloride', '[3-(2-chloro-10H-phenothiazin-10-yl)propyl]dimethylamine', 'Prazilpromactil', 'Chlordelazin', 'Phenathyl', 'CAS-50-53-3', 'Thorazine (TN)', 'Z80', 'NSC17479', 'Chlorpromazine [USAN:INN:BAN]', '[3-(2-chloro-10H-phenothiazin-10-yl)propyl]dimethylamine hydrochloride', 'NSC-226514', 'CAS-69-09-0', 'Chlorpromazine (USP/INN)', 'Chlorpromazine cation radical', 'Chlropromados', 'Fraction', 'JHICC02042', 'Chlorpromazine [USP:INN:BAN]', 'SKF 2601A', 'SKF-2601', 'GG 407', 'Hibernal (Salt/Mix)', 'Lomazine (Salt/Mix)', 'Tranzine (Salt/Mix)', 'Norcozine (Salt/Mix)', 'Spectrum_000142', 'Prestwick0_000064', 'Prestwick1_000064', 'Prestwick2_000064', 'Prestwick3_000064', 'Spectrum2_001156', 'Spectrum3_000346', 'Spectrum4_000283', 'Spectrum5_000717', 'Lopac-C-8138', 'Biomol-NT_000020', 'Epitope ID:136898', 'GTPL83', '10H-Phenothiazine-10-propanamine, 2-chloro-N,N-dimethyl-, radical ion(1+)', 'SCHEMBL8321', '10-(3-Dimethylaminopropyl)-2-chlorophenothiazine', '2-Chloro-10-(3-dimethylaminopropyl)phenothiazine', 'Lopac0_000249', 'Oprea1_110255', 'BSPBio_000247', 'BSPBio_002011', 'KBioGR_000806', 'KBioGR_002312', 'KBioSS_000622', 'KBioSS_002314', 'MLS003166901', 'DivK1c_000624', 'SPECTRUM1500184', '2-chloro-10-(3-(dimethylamino)propyl)-phenothiazine', 'SPBio_001111', 'SPBio_002168', 'BPBio1_000273', 'BPBio1_001181', 'QSPL 401', 'DTXSID0022808', 'CTK1C5154', 'HMS501P06', 'KBio1_000624', 'KBio2_000622', 'KBio2_002312', 'KBio2_003190', 'KBio2_004880', 'KBio2_005758', 'KBio2_007448', 'KBio3_001231', 'KBio3_002792', 'SKF-2601A', 'ZINC44027', 'cMAP_000017', 'NINDS_000624', 'Bio1_000457', 'Bio1_000946', 'Bio1_001435', 'HMS1920M03', 'HMS2089C12', 'HMS2091E06', 'HMS3430C19', 'KUC112482N', 'Pharmakon1600-01500184', 'ALBB-022464', 'BCP03610', 'KS-00002WW5', 'Tox21_110120', 'BBL028251', 'BDBM50001888', 'CCG-40059', 'NSC167745', 'NSC756689', 's5749', 'STK182870', 'AKOS001490972', 'Tox21_110120_1', 'API0001970', 'DB00477', 'J2.794D', 'KS-5101', 'MCULE-5976054678', 'NSC-756689', 'RP-4560', 'SDCCGSBI-0050237.P005', 'IDI1_000624', 'QTL1_000021', 'NCGC00015273-01', 'NCGC00015273-02', 'NCGC00015273-03', 'NCGC00015273-04', 'NCGC00015273-05', 'NCGC00015273-06', 'NCGC00015273-07', 'NCGC00015273-08', 'NCGC00015273-09', 'NCGC00015273-10', 'NCGC00015273-12', 'NCGC00015273-13', 'NCGC00015273-14', 'NCGC00015273-15', 'NCGC00015273-16', 'NCGC00015273-17', 'NCGC00015273-19', 'NCGC00024409-04', 'NCGC00024409-05', 'NCGC00024409-06', 'NCGC00024409-07', 'NCGC00024409-08', '4560 R.P', 'KSC-315-032-', 'M176', 'SC-50091', 'SMR001453710', '2-chloro-10-[3-(dimethylamino)propyl]-', 'SBI-0050237.P004', 'AB0015094', 'AX8120990', 'LS-105361', 'WLN: T C666 BN ISJ B3N1&amp;1 EG', '2601A', 'AB00051943', 'FT-0653683', 'NS00001759', 'R1242', '2601-A', 'C06906', 'D00270', 'J10069', 'M-1209', 'AB00051943-15', 'AB00051943-16', 'AB00051943_17', 'AB00051943_18', 'L000182', 'Q407972', 'SR-01000000012-5', 'SR-01000000012-6', '2-Chloro-10-(N-dimethylamino-n-propyl)-phenothiazine', 'BRD-K89997465-001-05-3', '1N,1N-dimethyl-3-(2-chloro-10H-10-phenothiazinyl)-1-propanamine', '3-(2-Chloro-10H-phenothiazin-10-yl)-N,N-dimethyl-1-propanamine #', '(chloropromazine) [3-(2-Chloro-phenothiazin-10-yl)-propyl]-dimethyl-amine', '(chlorpromazine)[3-(2-Chloro-phenothiazin-10-yl)-propyl]-dimethyl-amine', '[3-(2-Chloro-phenothiazin-10-yl)-propyl]-dimethyl-amine (chlor-promazine)', '[3-(2-Chloro-phenothiazin-10-yl)-propyl]-dimethyl-amine( Chlorpromazine)', '[3-(2-Chloro-phenothiazin-10-yl)-propyl]-dimethyl-amine(clorpromazine)', 'Chlorpromazine;[3-(2-Chloro-phenothiazin-10-yl)-propyl]-dimethyl-amine', 'potassium [2S-(2?,5?,6?)]-3,3-dimethyl-7-oxo-6-(phenylacetamido)-4-thia-1-azabicyclo[3.2.0]heptane-2-carboxylate;Potassium 3,3-dimethyl-7-oxo-6-(phenylacetamido)-4;Chlorpromazine;chlorpromazine;chlorpromazine hydrochloride;Chlorpromazine hydrochloride', 'Potassium [2S-(2a,5a,6ss)]-3,3-dimethyl-7-oxo-6-(phenylacetamido)-4-thia-1-azabicyclo[3.2.0]heptane-2-carboxylate']</t>
  </si>
  <si>
    <t>Compound(2726)</t>
  </si>
  <si>
    <t>C17H19ClN2S</t>
  </si>
  <si>
    <t>chloroprene</t>
  </si>
  <si>
    <t>2-chlorobuta-1,3-diene</t>
  </si>
  <si>
    <t>['CHLOROPRENE', '2-Chlorobuta-1,3-diene', '2-Chloro-1,3-butadiene', '1,3-Butadiene, 2-chloro-', 'Chlorobutadiene', '126-99-8', '2-Chlorobutadiene', 'Neoprene', 'Chloropreen', 'Cloroprene', '2-Chlor-1,3-butadien', 'Chloropren', 'beta-Chloroprene', '2-Cloro-1,3-butadiene', '.beta.-Chloroprene', '2-Chloor-1,3-butadieen', 'Chloropreen [Dutch]', 'POLYCHLOROPRENE', 'Cloroprene [Italian]', '2-Chloroprene', 'UNII-42L93DWV3A', 'NSC 18589', 'Chloropren [German, Polish]', 'CCRIS 873', 'HSDB 1618', '2-Chlor-1,3-butadien [German]', '2-Chloor-1,3-butadieen [Dutch]', '2-Cloro-1,3-butadiene [Italian]', 'EINECS 204-818-0', 'UN1991', '42L93DWV3A', '9010-98-4', 'CHEBI:39481', 'Chloroprene, uninhibited [Forbidden]', 'beta-Chloroprene 2-Chloro-1,3-butadiene', 'C4H5Cl', '14523-89-8', 'alpha-Chloroprene', 'beta-Chlorobutadiene', 'Chloroprene, inhibited', '.beta.-Chlorobutadiene', 'Chloroprene, uninhibited', '2-Chlorobutadiene 1,3', 'EC 204-818-0', 'WLN: 1UYG1U1', 'CHLOROPRENE (NEOPRENE)', 'Chloropren(GERMAN, POLISH)', 'CHEMBL555660', 'CHLO ROPRENE (NEOPRENE)', 'DTXSID5020316', 'Chloroprene (&gt;96% chloroprene)', 'CTK4C4446', '1,3-Butadiene,2-chloro-, dimer', 'Chloroprene (99.6% chloroprene)', 'BCP31738', 'NSC18589', 'ZINC1561508', '7172AF', 'LS-707', 'NSC-18589', 'AKOS028108417', 'Chloroprene (2-chloro-1,3-butadiene)', 'UN 1991', 'Chloroprene 5000 microg/mL in Methanol', 'NS00008234', 'C19208', 'C19502', '157447-EP2275417A2', '157447-EP2284162A2', '157447-EP2284163A2', '179420-EP2277945A1', '186949-EP2270113A1', '186949-EP2272935A1', 'Q410871', 'Chloroprene, inhibited [UN1991]  [Flammable liquid, Poison]', 'Chloroprene, inhibited [UN1991] [Flammable liquid, Poison]', '2-Chlorobuta-1,3-diene;2-Chloro-1,3-butadiene;1,3-Butadiene, 2-chloro-', 'chloroprene;Chloroprene;2-Propenoic acid, 2-methyl-, polymer with 2-chloro-1,3-butadiene;1,3-Butadiene, 2,3-dichloro-, polymer with 2-chloro-1,3-butadiene;2-Propenoic acid, 2-methyl-, 1,2-ethanediyl ester, polymer with 2-chloro-1,3-butadiene']</t>
  </si>
  <si>
    <t>Compound(31369)</t>
  </si>
  <si>
    <t>C4H5Cl</t>
  </si>
  <si>
    <t>chlorprothixene</t>
  </si>
  <si>
    <t>(3Z)-3-(2-chlorothioxanthen-9-ylidene)-N,N-dimethylpropan-1-amine</t>
  </si>
  <si>
    <t>['chlorprothixene', '113-59-7', 'Taractan', 'Truxal', 'Chlorprothixen', 'Chlorprotixen', 'Chlorprotixene', 'Clorprotixeno', 'Chlothixen', 'Chlorprothixenum', 'Paxyl', '(Z)-chlorprothixene', 'Iaractan', 'Rentovet', 'Traquilan', 'Vetacalm', 'Trictal', 'Truxil', 'UNII-9S7OD60EWP', 'N-714', 'cis-2-Chloro-9-(3-dimethylaminopropylidene)thioxanthene', 'Tardan', '(Z)-2-Chloro-9-(omega-dimethylaminopropylidene)thioxanthene', 'CHEMBL908', 'Clorprotisene [DCIT]', '9S7OD60EWP', '(3Z)-3-(2-chloro-9H-thioxanthen-9-ylidene)-N,N-dimethylpropan-1-amine', 'Tactaran', 'CHEBI:50931', 'MK 184', 'N 714C', 'Clorprotixeno [INN-Spanish]', 'NSC18720', 'Chlorprothixenum [INN-Latin]', 'Ro 4-0403', 'NSC-18720', 'Clorprotisene', 'N 714', '(Z)-3-(2-chloro-9H-thioxanthen-9-ylidene)-N,N-dimethylpropan-1-amine', 'Q63395672', 'HSDB 2808', 'Cloxan', 'EINECS 204-032-8', 'NSC 18720', '.alpha.-Chlorprothixene', 'Taractan (TN)', '(3Z)-3-(2-chlorothioxanthen-9-ylidene)-N,N-dimethylpropan-1-amine', '(Z)-2-Chloro-N,N-dimethylthioxanthene-delta(sup 9,gamma)-propylamine', 'Chlorprothixene (JAN/USAN/INN)', 'Chlorprothixene,(S)', 'NSC56379', 'Ro-4-0403', 'Chlorprothixene [USAN:USP:INN:BAN:JAN]', 'Prestwick2_000348', 'SCHEMBL94235', 'SCHEMBL94236', 'MLS000768404', '2-Chloro-9-[3-(dimethylamino)propylidene]thioxanthene', 'ZINC1137', 'Thioxanthene-delta(sup 9),gamma-propylamine, 2-chloro-N,N-dimethyl-, (Z)-', '(Z)-3-(2-CHLORO-9H-THIOXANTHEN-9-YLIDENE)-N,N-DIMETHYL-1-PROPANAMINE', '2-Chloro-N, .gamma.-propylamine', '2-Chloro-9-[.omega.-(dimethylamino)propylidene]thioxanthene', 'HMS2788N19', '{3-[2-Chloro-thioxanthen-(9Z)-ylidene]-propyl}-dimethyl-amine', '1-Propanamine,N-dimethyl-, (Z)-', 'HY-B0274', 'BDBM50240514', 'CCG-36988', 'PDSP1_001124', 'PDSP2_001108', 'Ro-40403', 's1771', 'STK545163', '1-Propanamine, 3-(2-chloro-9H-thioxanthen-9-ylidene)-N,N-dimethyl-, (3Z)-', 'AKOS005065593', 'API0001973', 'CS-2264', 'DB01239', 'KS-5102', 'NE11732', 'NCGC00166133-01', 'SC-79175', 'SMR000431796', '(Z)-2-Chloro-N,(sup.gamma.)-propylamine', 'N-714RO 4-0403', 'A8398', 'C3505', 'NS00010434', 'C07953', 'D00790', 'EN300-119498', 'WLN: T C666 BS IYJ FG IU3N1 &amp; 1', '113C597', 'J-002997', 'BRD-K36207157-001-09-6', 'BRD-K81091703-003-01-0', 'Thioxanthene-.delta.(sup 9), 2-chloro-N,N-dimethyl-', '(Z)-2-Chloro-9-(3-dimethylaminopropylidene)thioxanthene', 'Thioxanthene-.DELTA.9, 2-chloro-N,N-dimethyl-, (Z)-', 'Chlorprothixene hydrochloride;chlorprothixene hydrochloride', '(.alpha.-2-Chloro-9-.omega.-dimethylamino-propylamine)thioxanthene', '(3Z)-3-(2-chlorothioxanthen-9-ylidene)-N,N-dimethyl-propan-1-amine', 'Thioxanthene-delta9,gamma-propylamine, 2-chloro-N,N-dimethyl-, (Z)- (8CI)']</t>
  </si>
  <si>
    <t>Compound(667467)</t>
  </si>
  <si>
    <t>C18H18ClNS</t>
  </si>
  <si>
    <t>chlorquin diphosphate</t>
  </si>
  <si>
    <t>4-N-(7-chloroquinolin-4-yl)-1-N,1-N-diethylpentane-1,4-diamine;phosphoric acid</t>
  </si>
  <si>
    <t>['Chloroquine diphosphate', 'Chloroquine phosphate', '50-63-5', 'Aralen phosphate', 'Arechin', 'Delagil', 'Tanakan', 'Chloroquine bis(phosphate)', 'Chingamin phosphate', 'Resochin', 'Chingaminum', 'Alermine', 'H-Stadur', 'Aralen diphosphate', 'Avloclor', 'Khingamin', 'Miniquine', 'Quingamine', 'Tanakene', 'Chlorochin diphosphate', 'Chloroquin diphosphate', 'Tanakan (antimalarial)', 'Chloroquine (phosphate)', 'Gontochin phosphate', 'dl-Chloroquine diphosphate', 'Chloroquine diphosphate salt', 'NSC 14050', 'Ipsen 225', 'CCRIS 1554', 'EINECS 200-055-2', '3377 RP', 'WR 1522', 'Chloroquine dihydrogen phosphate (1:2)', 'SN 7,618', 'AI3-14952', 'SN 7618', 'N4-(7-chloroquinolin-4-yl)-N1,N1-diethylpentane-1,4-diamine bis(phosphate)', '1,4-Pentanediamine, N4-(7-chloro-4-quinolinyl)-N1,N1-diethyl-, phosphate (1:2)', '7-Chlor-4-(4-(diaethylamino)-1-methylbutylamino)-chinolindiphosphat [German]', '7-Chloro-4-((4-(diethylamino)-1-methylbutyl)amino)quinoline phosphate (1:2)', 'N4-(7-Chloro-4-quinolinyl)-N1,N1-dimethyl-1,4-pentanediamine diphosphate salt', 'DSSTox_CID_24681', 'DSSTox_RID_80393', 'N(4)-(7-Chloro-4-quinolinyl)-N(1),N(1)-diethyl-1,4-pentanediamine, phosphate (1:2)', 'DSSTox_GSID_44681', 'Chloroquine diphosphate salt, 98%', 'C18H26ClN3', 'Quinoline, 7-chloro-4-(4-diethylamino-1-methyl-butylamino)-, diphosphate', '4-N-(7-chloroquinolin-4-yl)-1-N,1-N-diethylpentane-1,4-diamine;phosphoric acid', 'khingamin phosphate', '1,4-Pentanediamine, N(sup 4)-(7-chloro-4-quinolinyl)-N(sup 1),N(sup 1)-diethyl-, phosphate (1:2)', 'NSC-14050', 'SN-7618', 'SR-01000075548', 'Chloroquine phosphate [USP:BAN]', 'Chloroquindiphosphat', 'Chloroquine phosphate [USAN:BAN]', 'Prestwick_867', 'Aralen (TN)', 'Chloroquinediphosphate', 'CAS-50-63-5', 'chloroquine bis(dihydrogenphosphate) dihydrate', 'NCGC00015256-01', 'unspecified phosphate of chloroquine diphosphate', 'Chloroquine diphosphate,(S)', '1,4-diamine bis(phosphate)', 'Chloroquine phosphate (USP)', 'SCHEMBL40827', 'CHEMBL58510', 'SPECTRUM1500179', 'Chloroquine Diphosphate, Sulfate', 'DTXSID7044681', 'CTK8B4126', 'HMS501E06', 'KS-00000RXN', 'HMS1569N17', 'HMS1920O05', 'HMS2091C16', 'HMS2096N17', 'HMS3260L14', 'HMS3713N17', 'BCP31956', 'Tox21_110115', 'Tox21_202838', 'Tox21_500296', '7-Chlor-4-(4-(diaethylamino)-1-methylbutylamino)-chinolindiphosphat', 'ANW-43957', 'CCG-39643', 'MFCD00069852', 'AKOS004910410', 'N4-(7-chloro-4-quinolyl)-N1,N1-diethyl-pentane-1,4-diamine; phosphoric acid', 'Tox21_110115_1', 'CS-3811', 'LP00296', 'MCULE-4724842928', 'NE31607', 'WR-1522', "1,4-Pentanediamine, N4-(7-chloro-4-quinolinyl)-N',N'-diethyl-, (+-)-, phosphate (1:2)", 'NCGC00015256-12', 'NCGC00093746-01', 'NCGC00093746-02', 'NCGC00093746-03', 'NCGC00260384-01', 'NCGC00260981-01', 'AC-12463', 'AK142896', 'HY-17589', 'DB-051808', 'LS-141727', 'Chloroquine diphosphate salt, solid, &gt;=98%', 'EU-0100296', 'FT-0602804', 'C 6628', 'D02125', '069C852', 'N4-(7-chloroquinolin-4-yl)-N1,N1-diethylpentane-', 'SR-01000075548-1', 'SR-01000075548-3', 'SR-01000075548-5', 'Q27264629', 'F2173-1139', '7-Chloro-4-[[4-(diethylamino)-1-methylbutyl]amino]quinoline phosphate', '7-Chloro-4-[4-(diethylamino)-1-methylbutylamino]quinoline Diphosphate', 'bis(phosphoric acid); {4-[(7-chloroquinolin-4-yl)amino]pentyl}diethylamine', 'Chloroquine phosphate, United States Pharmacopeia (USP) Reference Standard', 'N4-(7-Chloro-4-quinolyl)-N1,N1-diethyl-1,4-pentanediamine Diphosphate', '7-CHLORO-N-[5-(DIETHYLAMINO)PENTAN-2-YL]QUINOLIN-4-AMINE; BIS(PHOSPHORIC ACID)', 'Chloroquine phosphate, Pharmaceutical Secondary Standard; Certified Reference Material', 'Quinoline, 7-chloro-4-((4-(diethylamino)-1-methylbutyl)amino)-, phosphate (1:2)', 'Quinoline, 7-chloro-4-((4-(diethylamino)-1-methylbutyl)amino)-, phosphate (1:2) (8CI)', 'Chloroquine phosphate;Aralen phosphate;7-chloro-4-((4 inverted exclamation mark -diethylamino-1-methylbutyl)amino)quinolinediphosphate']</t>
  </si>
  <si>
    <t>Compound(64927)</t>
  </si>
  <si>
    <t>C18H32ClN3O8P2</t>
  </si>
  <si>
    <t>chlorosulfuron</t>
  </si>
  <si>
    <t>1-(2-chlorophenyl)sulfonyl-3-(4-methoxy-6-methyl-1,3,5-triazin-2-yl)urea</t>
  </si>
  <si>
    <t>['CHLORSULFURON', '64902-72-3', 'Chlorsulfon', 'Glean', 'Telar', 'Chlorosulfuron', 'Trilixon', '2-Chlorsulfuron', 'Finesse', 'Glean C', 'DPX 4189', 'Glean 20DF', 'Caswell No. 194AA', '1-(2-chlorophenyl)sulfonyl-3-(4-methoxy-6-methyl-1,3,5-triazin-2-yl)urea', 'UNII-O6S620ML45', 'Chlorsulfuron [ANSI:BSI:ISO]', 'HSDB 6847', 'EINECS 265-268-5', 'EPA Pesticide Chemical Code 118601', 'BRN 0577255', '2-Chloro-N-((4-methoxy-6-methyl-1,3,5-triazin-2-yl)aminocarbonyl)-benzenesulfonamide', 'CHEMBL1229721', 'O6S620ML45', '1-((o-Chlorophenyl)sulfonyl)-3-(4-methoxy-6-methyl-s-triazin-2-yl)urea', 'DNDI1246776', '1-(2-Chlorophenylsulfonyl)-3-(4-methoxy-6-methyl-1,3,5-triazin-2-yl)urea', '1-(2-Chlorophenylsulphonyl)-3-(4-methoxy-6-methyl-1,3,5-triazin-2-yl)urea', 'Khardin', 'Urea, 1-((o-chlorophenyl)sulfonyl)-3-(4-methoxy-6-methyl-s-triazin-2-yl)-', '1-(2-CHLOROPHENYLSULFONYL)-3-(4-METHOXY-6-METHYL-L,3,5-TRIAZIN-2-YL)UREA', '2-Chloro-N-((4-methoxy-6-methyl-1,3,5-triazin-2-yl)carbamoyl)benzenesulfonamide', 'Benzenesulfonamide, 2-chloro-N-(((4-methoxy-6-methyl-1,3,5-triazin-2-yl)amino)carbonyl)-', 'Benzenesulfonamide, 2-chloro-N-[[(4-methoxy-6-methyl-1,3,5-triazin-2-yl)amino]carbonyl]-', '2-Chloro-N-(((4-methoxy-6-methyl-1,3,5-triazin-2-yl)amino)carbonyl)benzenesulfonamide', '2-Chloro-N-(((4-methoxy-6-methyl-1,3,5-triazin-2-yl)amino)carbonyl)benzenesulphonamide', '2-chloro-N-[(4-methoxy-6-methyl-1,3,5-triazin-2-yl)carbamoyl]benzenesulfonamide', '1CS', '79793-04-7', 'C12H12ClN5O4S', 'Chlorsulphuron', 'Tuligen', 'CCRIS 9260', '2-chloro-N-[[(4-methoxy-6-methyl-1,3,5-triazin-2-yl)amino]carbonyl]benzenesulphonamide', '2-chloro-N-{[(4-methoxy-6-methyl-1,3,5-triazin-2-yl)amino]carbonyl}benzenesulfonamide', '1-(2-Chlorophenylsulfonyl)-3-(4-methoxy-6-methyl-1,3,5-triazin-2-yl)-urea', 'Glean 20FF', 'ChemDiv1_004813', 'DSSTox_CID_3980', 'DSSTox_RID_77247', 'DSSTox_GSID_23980', 'SCHEMBL54874', '5-26-09-00405 (Beilstein Handbook Reference)', 'MLS001066361', 'CHEBI:3652', 'DTXSID7023980', 'SCHEMBL11325386', 'CTK8E2993', 'HMS600K17', 'Chlorosulfuron, analytical standard', 'HMS2231M23', 'HMS3372O17', 'HMS3741I09', 'ZINC902231', 'KS-00002WW8', 'EINECS 279-271-4', 'Tox21_200255', 'BDBM50424589', 'CCG-17066', 'GE2650', 'AKOS015895548', 'KS-5119', 'MCULE-3184574813', 'NCGC00164267-01', 'NCGC00164267-02', 'NCGC00164267-03', 'NCGC00164267-04', 'NCGC00257809-01', '112143-77-8', 'AC-18016', 'LS-87373', 'SC-77927', 'SMR000471866', 'AB0011087', 'CAS-64902-72-3', 'DB-054747', 'HY-119737', 'LS-159599', 'CS-0077902', 'FT-0602968', 'NS00000107', 'C05071', 'W 4189', '902C723', 'Chlorosulfuron, PESTANAL(R), analytical standard', 'Q424796', 'SR-01000441519', 'SR-01000441519-1', '2-[(([(2-Chlorophenyl)sulfonyl]amino)carbonyl)amino]-4-methoxy-6-methyl-1,3,5-triazine', '2-Chloro-N-(((4-methoxy-6-methyl-1,3,5-triazin-2-yl)amino)carbony- l)benzenesulphonamide', '2-chloro-N-(4-methoxy-6-methyl-1,3,5-triazin-2-ylcarbamoyl)benzenesulfonamide', '2-chloro-N-[(4-methoxy-6-methyl-1,3,5-triazin-2-yl)carbamoyl]benzene-1-sulfonamide', '2-chloro-N-[(4-methoxy-6-methyl-1,3,5-triazine-2-yl)aminocarbonyl]benzenesulfonamide', '2-Chloro-N-[[(4-methoxy-6-methyl-1,3,5-triazin-2-yl)amino]carbonyl]benzensulfonamide', '2-chloro-N-[[(4-methoxy-6-methyl-1,3,5-triazin-2-yl)amino]carbonyl]benzenesulphonamide;chlorsulfuron;ammonium 2-chloro-N-[(4-methoxy-6-methyl-1,3,5-triazin-2-yl)carbamoyl]benzenesulphonamidate', 'Ammonium 2-chloro-N-((4-methoxy-6-methyl-1,3,5-triazin-2-yl)carbamoyl)benzenesulphonamidate']</t>
  </si>
  <si>
    <t>Compound(47491)</t>
  </si>
  <si>
    <t>C12H12ClN5O4S</t>
  </si>
  <si>
    <t>chlorothiamide</t>
  </si>
  <si>
    <t>2,6-dichlorobenzenecarbothioamide</t>
  </si>
  <si>
    <t>['CHLORTHIAMID', '2,6-Dichlorothiobenzamide', '1918-13-4', 'Chlorothiamide', '2,6-Dichlorobenzenecarbothioamide', 'Chlorthiamide', 'Chlorthioamide', 'Chlortiamid', 'Prefix', 'DCBN', '2,6-dichlorobenzothioamide', 'Benzenecarbothioamide, 2,6-dichloro-', 'Benzamide, 2,6-dichlorothio-', 'Caswell No. 326B', 'UNII-5JVN5HGD7S', 'Chlorthiamid [BSI:ISO]', '2,6-Dichlor-thiobenzamid', 'Chlortiamide [ISO-French]', 'SD 7961', 'WL-5792', 'CCRIS 1472', '2,6-Dichlor-thiobenzamid [German]', 'EINECS 217-637-7', '5JVN5HGD7S', '2,6-dichloro-thiobenzamide', 'EPA Pesticide Chemical Code 326300', 'BRN 1910353', 'CHEBI:949', '2,6-Dichlorobenzenecarbothiamide', 'Benzenecarbothioamide,2,6-dichloro-', '2,6-dichlorobenzene-1-carbothioamide', 'Chlortiamide', 'prefixe', '2,6-Dichlorobenzenecarbothiamide (9CI)', '2 6-dichlorothiobenzamide', 'ACMC-1BSE9', 'DSSTox_CID_21783', 'DSSTox_RID_79842', 'DSSTox_GSID_41783', 'SCHEMBL54987', 'CHEMBL3188781', 'DTXSID4041783', 'CTK4E0809', 'ZINC900732', 'Tox21_302207', '6468AD', 'MFCD00053523', 'AKOS002669615', 'MCULE-5864944015', '2,6-bis(chloranyl)benzenecarbothioamide', 'NCGC00255499-01', 'AS-44298', 'LS-26378', 'SC-52765', 'amino(2,6-dichlorophenyl)methane-1-thione', 'CAS-1918-13-4', 'DB-020194', 'Benzenecarbothioamide, 2,6-dichloro- (9CI)', 'FT-0682135', 'NS00008252', 'ST45025173', 'C11041', '33031-EP2274983A1', '33031-EP2305655A2', '33031-EP2305658A1', '33031-EP2311815A1', 'Chlorthiamid, PESTANAL(R), analytical standard', 'A813524', 'Q411727', 'J-012399']</t>
  </si>
  <si>
    <t>Compound(2734819)</t>
  </si>
  <si>
    <t>C7H5Cl2NS</t>
  </si>
  <si>
    <t>chlorothalonil</t>
  </si>
  <si>
    <t>2,4,5,6-tetrachlorobenzene-1,3-dicarbonitrile</t>
  </si>
  <si>
    <t>['CHLOROTHALONIL', 'Tetrachloroisophthalonitrile', '1897-45-6', 'Daconil', 'Bravo', 'm-Tcpn', 'Nopcocide', '1,3-Dicyanotetrachlorobenzene', '2,4,5,6-Tetrachloroisophthalonitrile', 'meta-TCPN', 'Chloroalonil', 'Clortosip', 'Dacosoil', 'Exotherm', 'Forturf', 'Repulse', 'Termil', 'Faber', 'Sweep', 'Exotherm termil', 'm-Tetrachlorophthalonitrile', 'Daconil M', 'Tpn (pesticide)', '1,3-Benzenedicarbonitrile, 2,4,5,6-tetrachloro-', 'meta-Tetrachlorophthalodinitrile', 'Bravo 6F', 'Chlorthalonil', 'Terraclactyl', 'Daconil 2787', 'Clortocaf ramato', 'Bravo-W-75', 'Daconil Flowable', 'Bravo 500', '2,4,5,6-tetrachlorobenzene-1,3-dicarbonitrile', 'Nopcocide N-96', 'Nopcocide N40D &amp; N96', '2,4,5,6-Tetrachloro-3-cyanobenzonitrile', 'Clorthalonil [German]', 'Tetrachlorisoftalonitril', 'Caswell No. 215B', 'Chlorthalonil [German]', 'Isophthalonitrile, tetrachloro-', 'Vanox', 'Daconil 2787 flowable fungicide', 'Daconil 2787 W75', 'NCI-C00102', 'DAC 2787', 'Tetrachlorobenzene-1,3-dicarbonitrile', 'CCRIS 150', 'UNII-J718M71A7A', 'Tetrachlorisoftalonitril [Czech]', '2,4,5,6-Tetrachloro-1,3-dicyanobenzene', 'Isophthalonitrile, 2,4,5,6-tetrachloro-', 'Chlorothalonil [ANSI:BSI:ISO]', 'Daconil 2787 W-75 Fungicide', 'HSDB 1546', 'EINECS 217-588-1', '2,4,5,6-Tetrachloro-1,3-benzenedicarbonitrile', 'EPA Pesticide Chemical Code 081901', 'BRN 1978326', 'AI3-28721', 'CHEBI:3639', 'Tetrachloro-1,3-dicyanobenzene', 'J718M71A7A', '1,3-Dicyano-2,4,5,6-tetrachlorobenzene', 'DSSTox_CID_319', 'EN300-42790', 'DSSTox_RID_75510', '1,3,4,5-TETRACHLORO-2,6-DICYANOBENZENE', 'DSSTox_GSID_20319', 'W-107745', 'Clorthalonil', 'Chlorothalonil, analytical standard', 'Dakoflo', 'Jupital', 'Pillarich', 'Tuffcide', 'Farber', 'Hortyl', 'Bravo Ultrex', 'CAS-1897-45-6', 'Daconil 1000', 'Bravo 720', 'Chlorothanonil', 'Dacobre', 'Thalonil', '2,4-Dicyanotetrachlorobenzene', 'Bonide', 'Siclor', 'Evade', 'Tripart faber', 'Ferti-lome', 'Tripart ultrafaber', 'Security fungi-gard', 'Nopcocide N 96', 'TCPN', 'Nuocide (Salt/Mix)', 'Security Fungi-G ard', 'Chlorothalonil (TPN)', 'Taloberg (Salt/Mix)', 'Tuffcide (Salt/Mix)', 'Dragon daconil 2787', 'Echo 75', 'Spectrum_001557', 'ACMC-209esy', 'SpecPlus_000824', 'Perchloroisophthalonitrile', 'Spectrum2_001649', 'Spectrum3_001896', 'Spectrum4_000094', 'Spectrum5_001845', 'm-Tetrachlorophthalodinitrile', 'SCHEMBL21254', 'BSPBio_003432', 'KBioGR_000388', 'KBioSS_002037', 'Tetrachloro-m-phthalodinitrile', 'BIDD:ER0402', 'DivK1c_006920', 'SPBio_001777', 'CHEMBL468167', 'DTXSID0020319', 'Pro-care multi-purpose fungicide', 'CTK8B1087', 'KBio1_001864', 'KBio2_002037', 'KBio2_004605', 'KBio2_007173', 'KBio3_002935', 'Dexol fungicide containing daconil', '2,4,5,6-Tetrachloro-1,3-benzenedicarbonitrile (8CI)(9CI)', 'ZINC900730', 'Black leaf lawn &amp; garden fungicide', 'Green charm multi-purpose fungicide', 'DAC-2787', 'Dexol Fung icide Containing Daconil', 'HY-N6625', 'Sipcam UK rover 500 (Salt/Mix)', 'Green thumb lawn &amp; garden fungicide', 'Tox21_201687', 'Tox21_300862', 'ANW-23456', 'CCG-39077', 'LS-959', "Rigo's best lawn &amp; garden fungicide", 'SBB064233', 'AKOS009158423', 'FCH2257899', 'HCH0025711', 'NE11016', 'KS-0000025R', 'QTL1_000080', 'NCGC00094560-01', 'NCGC00094560-02', 'NCGC00094560-03', 'NCGC00094560-04', 'NCGC00094560-05', 'NCGC00094560-06', 'NCGC00094560-07', 'NCGC00094560-08', 'NCGC00254766-01', 'NCGC00259236-01', 'SA lawn ornamental &amp; vegetable fungicide', 'AC-10332', 'ACM1897456|1', 'BBV-34553204', 'CC-25714', 'O177', "Pennington's pride multi-purpose fungicide", 'Chlorothalonil 10 microg/mL in Cyclohexane', 'Ortho multi-purpose fungicide daconil 2787', '2,4,5,6-Tetrachloro-1,3-isophthalonitrile', 'Chlorothalonil 100 microg/mL in Cyclohexane', 'CS-0034415', 'FT-0602408', 'NS00005725', 'Benzenedicarbonitrile, 2,4,5,6-tetrachloro-', 'Ortho Multi-Purpose Fungicide Dacon il 2787', '97C456', 'C11037', '26836-EP2274983A1', '26836-EP2275422A1', '26836-EP2280009A1', '26836-EP2292608A1', '26836-EP2305033A1', '26836-EP2305662A1', '26836-EP2308857A1', '26836-EP2314583A1', 'A813350', 'C-16640', 'Chlorothalonil, PESTANAL(R), analytical standard', 'Q418320', '2,4,5,6-Tetrachloro-1,3-benzenedicarbonitrile (8CI)', '2,4,5,6-tetrakis(chloranyl)benzene-1,3-dicarbonitrile', 'Z2511742144', 'Chlorothalonil solution, 100 mug/mL in acetonitrile, PESTANAL(R), analytical standard']</t>
  </si>
  <si>
    <t>Compound(15910)</t>
  </si>
  <si>
    <t>C8Cl4N2</t>
  </si>
  <si>
    <t>chlortoluron</t>
  </si>
  <si>
    <t>3-(3-chloro-4-methylphenyl)-1,1-dimethylurea</t>
  </si>
  <si>
    <t>['Chlorotoluron', 'CHLORTOLURON', '15545-48-9', '3-(3-Chloro-4-methylphenyl)-1,1-dimethylurea', 'Dicuran', 'Tolurex', 'Clortokem', 'Dikurin', 'Highuron', "Urea, N'-(3-chloro-4-methylphenyl)-N,N-dimethyl-", 'Chlortoluron [BSI]', '3-(3-Chloro-p-tolyl)-1,1-dimethylurea', 'Caswell No. 216D', "N-(3-Chloro-4-methylphenyl)-N',N'-dimethylurea", 'Chlorotoluron [BSI:ISO]', 'UNII-SUW8L8G38A', 'CGA 15646', "N'-(3-Chloro-4-methylphenyl)-N,N-dimethylurea", "N,N-Dimethyl-N'-(3-chloro-4-methylphenyl)urea", 'HSDB 2760', 'Urea, 3-(3-chloro-p-tolyl)-1,1-dimethyl-', 'EINECS 239-592-2', 'C 2242', 'EPA Pesticide Chemical Code 216500', 'BRN 2647688', 'SUW8L8G38A', 'CHEBI:81981', '1-(3-chloro-4-methylphenyl)-3,3-dimethylurea', '3-(3-Chloro-4-methylphenyl)-1,1-dimethyl-urea', '3-(3-Chlor-4-methylphenyl)-1,1-dimethylharnstoff', '3-(3-Chlor-4-methylphenyl)-1,1-dimethylharnstoff [German]', 'Dicuran 500FL', 'CCRIS 8727', 'Maybridge1_005487', 'Chlorotoluron;chlorotoluron', 'Chlortoluron (Chlorotoluron)', 'SCHEMBL64782', '4-12-00-01986 (Beilstein Handbook Reference)', 'DivK1c_001775', 'CHEMBL1900581', 'DTXSID8052853', 'Chlortoluron, analytical standard', 'HMS557B09', 'ZINC69747', 'HY-B2023', 'CCG-56521', 'AKOS001223569', 'KS-5366', 'MCULE-1933405986', 'CDS1_000735', 'NCGC00166132-01', 'S351', 'Chlorotoluron 10 microg/mL in Acetonitrile', 'DB-043270', 'LS-159618', 'Chlorotoluron 100 microg/mL in Acetonitrile', 'CS-0014122', 'FT-0602974', 'FT-0664986', 'NS00000251', 'ST50410469', 'C18817', 'Chlortoluron, PESTANAL(R), analytical standard', '545C489', 'A809643', "N'-(3-Chloro-4-methylphenyl)-N,N-dimethylurea #", 'Q411273', '3-(3-chloranyl-4-methyl-phenyl)-1,1-dimethyl-urea', 'J-009197', 'SR-01000645471-1', 'Z56324724', '[(3-chloro-4-methylphenyl)amino]-N,N-dimethylcarboxamide']</t>
  </si>
  <si>
    <t>Compound(27375)</t>
  </si>
  <si>
    <t>C10H13ClN2O</t>
  </si>
  <si>
    <t>chlorothiophos I.</t>
  </si>
  <si>
    <t>(2,5-dichloro-4-methylsulfanylphenoxy)-diethoxy-sulfanylidene-lambda5-phosphane</t>
  </si>
  <si>
    <t>['CHLORTHIOPHOS', 'Chlorthiophos I', 'Celathion', 'Celamerck S-2957', 'Caswell No. 310A', '21923-23-9', 'Chlorthiophos [ISO]', 'UNII-1Y631ZW1IN', '1Y631ZW1IN', 'CELA S-2957', 'CHEBI:82109', 'HSDB 6451', 'S 2957', 'OMS 1342', 'EINECS 244-663-6', 'CM S 2957', 'ENT 27635', 'EPA Pesticide Chemical Code 111811', 'NSC 195164', 'BRN 2003497', 'AI3-27635', 'Phosphorothioic acid, O,O-diethyl O-(2,5-dichloro-4-(methylthio)phenyl) ester', 'O,O-Diethyl-O-2,4,5-dichloro-(methylthio)phenyl thionophosphate', 'O-(2,5-Dichloro-4-(methylthio)phenyl) O,O-diethyl phosphorothioate', 'O-(Dichloro(methylthio)phenyl) O,O-diethyl phosphorothioate (3 isomers)', 'Phosphorothioic acid, O-(2,5-dichloro-4-(methylthio)phenyl) O,O-diethyl ester', 'Phosphorothioic acid, O-[2,5-dichloro-4-(methylthio)phenyl] O,O-diethyl ester', 'O,O-Diethyl-O-(2,5-dichloro-4-(methylthio)phenyl)thionophosphate combined with O,O-diethyl-O-(4,5-dichloro-2- (methylthio)phenyl)thionophosphate and O,O-diethyl-O- (2,4-dichloro-5-(methylthio)phenyl)thionophosphate', 'Celathion (pesticide)', 'Celamerck S 2957', 'Chlorthiophos;Chlorthiophos I', 'SCHEMBL5933649', 'CHEMBL2074800', 'DTXSID9041786', 'CELA S 2957', 'AKOS015903378', 'DB-053564', 'LS-108564', 'NS00021861', 'Chlorthiophos, PESTANAL(R), analytical standard', 'Q5103231', 'UNII-O256QW5Y0Q component JAZJVWLGNLCNDD-UHFFFAOYSA-N', 'o-[2,5-Dichloro-4-(methylsulfanyl)phenyl] o,o-diethyl thiophosphate']</t>
  </si>
  <si>
    <t>Compound(30859)</t>
  </si>
  <si>
    <t>C11H15Cl2O3PS2</t>
  </si>
  <si>
    <t>chlorothiophos II</t>
  </si>
  <si>
    <t>(4,5-dichloro-2-methylsulfanylphenoxy)-diethoxy-sulfanylidene-lambda5-phosphane</t>
  </si>
  <si>
    <t>['Chlorthiophos ii', 'UNII-JOR6EGA81H', 'JOR6EGA81H', '77503-29-8', 'SCHEMBL5933688', 'DTXSID6058479', 'Q27281608', 'UNII-O256QW5Y0Q component HDAUYNBHGHGEGX-UHFFFAOYSA-N', 'O-[4,5-Dichloro-2-(methylsulfanyl)phenyl] O,O-diethyl thiophosphate #', 'Phosphorothioic acid, O-(4,5-dichloro-2-(methylthio)phenyl) O,O-diethyl ester']</t>
  </si>
  <si>
    <t>Compound(566468)</t>
  </si>
  <si>
    <t>curium-243</t>
  </si>
  <si>
    <t>['15757-87-6', 'Curium-243', 'Curium, isotope of mass 243', '(~243~Cm)Curium', '243Cm', 'DTXSID50935717']</t>
  </si>
  <si>
    <t>Compound(105155)</t>
  </si>
  <si>
    <t>curium-245</t>
  </si>
  <si>
    <t>['15621-76-8', 'Curium-245', 'Curium, isotope of mass 245', '245Cm', '(~245~Cm)Curiumato(4-)', 'DTXSID50935398']</t>
  </si>
  <si>
    <t>Compound(167319)</t>
  </si>
  <si>
    <t>curium-247</t>
  </si>
  <si>
    <t>['15758-32-4', 'Curium-247', 'Curium, isotope of mass 247', '(~247~Cm)Curium', 'DTXSID80935725']</t>
  </si>
  <si>
    <t>Compound(167403)</t>
  </si>
  <si>
    <t>cobalt 56</t>
  </si>
  <si>
    <t>cobalt-56</t>
  </si>
  <si>
    <t>['Cobalt Co-56', 'UNII-ZL81HD0T6M', 'ZL81HD0T6M', '14093-03-9', 'Cobalt-56', 'Cobalt, isotope of mass 56', '(~56~Co)Cobalt', '56Co', 'DTXSID80930952', 'Q27295698']</t>
  </si>
  <si>
    <t>Compound(166998)</t>
  </si>
  <si>
    <t>cobalt 57</t>
  </si>
  <si>
    <t>cobalt-57</t>
  </si>
  <si>
    <t>['Cobalt-57', 'cobalt co-57', '13981-50-5', 'Cobalt, isotope of mass 57', 'UNII-72GWV0852V', 'DTXSID70873985', '72GWV0852V', 'Q27266073']</t>
  </si>
  <si>
    <t>Compound(104851)</t>
  </si>
  <si>
    <t>cobalt 58</t>
  </si>
  <si>
    <t>cobalt-58</t>
  </si>
  <si>
    <t>['Cobalt Co-58', 'UNII-Z76Y2OT3HD', 'Z76Y2OT3HD', '13981-38-9', 'Cobalt-58', 'Cobalt, isotope of mass 58', '(~58~Co)Cobalt', 'DTXSID60930612', 'Q27295101']</t>
  </si>
  <si>
    <t>Compound(104844)</t>
  </si>
  <si>
    <t>cobalt 60</t>
  </si>
  <si>
    <t>cobalt-60</t>
  </si>
  <si>
    <t>['Cobalt-60', 'Cobalt Co-60', 'COBALT 60', 'UNII-5C8182XDPZ', '5C8182XDPZ', '10198-40-0', 'Cobalt, isotope of mass 60', '60Co', 'Co-60', 'DTXSID80891751', 'DB15374', 'Q27261824']</t>
  </si>
  <si>
    <t>Compound(61492)</t>
  </si>
  <si>
    <t>chrome 51</t>
  </si>
  <si>
    <t>chromium-51</t>
  </si>
  <si>
    <t>['Chromium-51', 'Chromium Cr-51', 'Chromium Cr 51', 'Chromium, isotope of mass 51', '51Cr', 'UNII-9QAU17N705', '14392-02-0', '9QAU17N705', '(~51~Cr)Chromium', 'Chromium (51 Cr)', '(51)Cr', 'CHEBI:50076', 'DTXSID90932164', '(51)24Cr', 'DB11140', 'Q1973151']</t>
  </si>
  <si>
    <t>Compound(104786)</t>
  </si>
  <si>
    <t>chromium (trivalent)</t>
  </si>
  <si>
    <t>chromium(3+)</t>
  </si>
  <si>
    <t>['Chromium(III)', 'Chromic ion', 'CHROMIUM (III)', 'Chromium (III) ion', 'Chromium(III) cation', 'chromium(3+)', 'Chromic cation', 'Chromium, ion (cr3+)', 'Chromium (3+)', 'Chromium ion (3+)', 'Chromium(3+)ion', 'Chromium(3+) ions', '16065-83-1', 'CHROMIUM ION', 'Chromium ion(Cr3+)', 'Chromium, ion (Cr 3+)', 'chromium(3+) ion', 'UNII-X1N4508KF1', 'Chromium, ion(Cr3+)', 'Cr3+', 'Cr(3+)', 'X1N4508KF1', 'Chromium, ion (Cr3 )', 'Chromium (III), insoluble salts', 'Chromium(III) compounds, n.o.s.', 'Chromium(III) ion', 'Chromium cation (3+)', 'Cr(III)', 'Chromium cation (Cr3+)', 'DTXSID2023981', 'CHEBI:49544', 'CTK4D0533', 'Chromium(III) compounds, n.o.s', 'c0804', 'DB14525', 'Chromium(III), Chromium(III) insoluble salts, Chromic ion, Chromium ion, trivalent Chromium', 'LS-53432', 'C19368', 'Q26841311']</t>
  </si>
  <si>
    <t>Compound(27668)</t>
  </si>
  <si>
    <t>Cr+3</t>
  </si>
  <si>
    <t>chrome (hexavalent)</t>
  </si>
  <si>
    <t>chromium(6+)</t>
  </si>
  <si>
    <t>['Chromium(6+)', 'Chromium(VI)', 'Chromium hexavalent ion', 'Hexavalent chromium', 'Chromium(6+) ion', '18540-29-9', 'Chromium(6+)ion', 'Chromium(6+)ions', 'Chromium(VI) ions', 'Chromium, hexavalent', 'Chromium(6+) ions', 'CHROMIUM (VI)', 'Chromium (cr(sup 6+))', 'Chromium compounds, hexavalent', 'Chromium ion (6+)', 'Chromium(VI) compounds', 'Chromium, ion(Cr6+)', 'NCI-C04273', 'Chromium, ion (Cr 6+)', 'Chromium (hexavalent compounds)', 'Chromium, hexavalent (Cr(VI))', 'Chromium, ion (Cr6+)', 'Cr(VI)', 'Chromium(VI) compounds, n.o.s.', 'Chromium (VI) ion', 'chromium(VI) cation', 'Cr6+', 'Chromium(VI) compounds, n.o.s', 'DTXSID7023982', 'CHEBI:33007', 'Cr(6+)', 'LS-2123', 'C19161', 'Q26840903']</t>
  </si>
  <si>
    <t>Compound(29131)</t>
  </si>
  <si>
    <t>Cr+6</t>
  </si>
  <si>
    <t>cesium-132</t>
  </si>
  <si>
    <t>['15758-03-9', 'Cesium-132', 'Cesium, isotope of mass 132', '132Cs', '(~132~Cs)Caesium', 'DTXSID80935720']</t>
  </si>
  <si>
    <t>Compound(6337088)</t>
  </si>
  <si>
    <t>['Cesium Cs-134', 'Cesium-134', 'UNII-GWD7N0V43L', 'GWD7N0V43L', '13967-70-9', 'Cesium, isotope of mass 134', 'DTXSID10873984', 'Q27279319']</t>
  </si>
  <si>
    <t>Compound(6335485)</t>
  </si>
  <si>
    <t>cesium-136</t>
  </si>
  <si>
    <t>['14234-29-8', 'Cesium-136', 'Cesium, isotope of mass 136', '(~136~Cs)Caesium', 'DTXSID50931411']</t>
  </si>
  <si>
    <t>Compound(6335316)</t>
  </si>
  <si>
    <t>['Cesium-137', 'Caesium-137', 'Cesium, isotope of mass 137', 'Cesium Cs-137', 'UNII-4T2E65IAR7', '4T2E65IAR7', '10045-97-3', 'Cs-131', '(137Cs)caesium', 'CESIUM 137', '137Cs', 'Cs-137', 'Radioactive Cesium', 'CS137', 'Cesium, radioactive', 'Cesium Radioisotopes', 'DTXSID8040985', 'HSDB 7389', 'LS-182676', 'Q27260451', 'D002588000']</t>
  </si>
  <si>
    <t>Compound(5486527)</t>
  </si>
  <si>
    <t>copper oxide</t>
  </si>
  <si>
    <t>oxocopper</t>
  </si>
  <si>
    <t>['Copper(II) oxide', 'Copper oxide', 'Copper monoxide', 'oxocopper', 'Banacobru ol', 'Chrome Brown', 'Copper Brown', 'Copper monooxide', 'Cu-O Linkage', 'Black copper oxide', 'Copper(2+) oxide', 'Paramelaconite', 'Copacaps', 'Copporal', 'Natural tenorite', 'Wolmanac concentrate', 'C.I. Pigment Black 15', 'Copper (II) oxide', 'Boliden Salt K-33', 'Caswell No. 265', 'CI Pigment black 15', 'Boliden-CCA Wood Preservative', 'CCA Type C Wood Preservative', 'HSDB 266', 'Osmose K-33 Wood Preservative', 'Osmose P-50 Wood Preservative', 'Osmose K-33-A Wood Preservative', 'Osmose K-33-C Wood Preservative', 'C.I. 77403', 'EINECS 215-269-1', 'NSC 83537', 'EPA Pesticide Chemical Code 042401', 'CI 77403', 'Farboil Super Tropical Anti-Fouling 1260', 'CuO', 'Copper(II) oxide, 97%', 'Copper(II) oxide, 99+%', 'Copper(II) oxide, ACS reagent, powder', 'copper-oxygen', 'copper(II)oxide', 'Copper oxide, CuO', 'copper-(II) oxide', 'Copper(II) oxide, CP', 'EC 215-269-1', 'NSC83537', 'Copper(II) oxide, LR, &gt;=97%', 'NSC-83537', 'AKOS015950660', 'LS-54910', 'Copper(II) oxide, ACS reagent, &gt;=99.0%', 'Copper(II) oxide, powder, &lt;10 mum, 98%', 'FT-0624050', 'Y1305', 'Copper(II) oxide, &gt;=99.0% (RT), granular', 'Copper(II) oxide, 99.999% trace metals basis', 'Copper(II) oxide, p.a., ACS reagent, 99.0%', 'J-520121', 'Q27458610', 'Copper(II) oxide, powder, 99.99% trace metals basis', 'Copper(II) oxide, powder, 99.995% trace metals basis', 'Copper(II) oxide, nanopowder, &lt;50 nm particle size (TEM)', 'Copper(II) oxide, puriss. p.a., &gt;=99.0% (RT), powder', 'Copper(II) oxide, nanotubes, diam. x L 10-12 nm x 75-100 nm', 'Copper(II) oxide, needles, mixture of CuO and Cu2O, ACS reagent', 'Copper(II) oxide on alumina, 14-20 mesh, extent of labeling: 13 wt. % loading']</t>
  </si>
  <si>
    <t>Compound(14829)</t>
  </si>
  <si>
    <t>copper sulfate</t>
  </si>
  <si>
    <t>copper;sulfate</t>
  </si>
  <si>
    <t>['Copper sulfate', '7758-98-7', 'CUPRIC SULFATE', 'Copper(II) sulfate', 'Cupric sulfate anhydrous', 'Copper sulphate', 'Copper(2+) sulfate', 'Cupricsulfate', 'Blue stone', 'Copper monosulfate', 'Copper II sulfate', 'Copper(ii) sulfate, anhydrous', 'Hylinec', 'Trinagle', 'Delcup', 'copper (II) sulfate', 'Cupric sulphate', 'Sulfuric acid copper(2+) salt (1:1)', 'Monocopper sulfate', 'Copper sulfate (1:1)', 'Incracide 10A', 'Incracide E 51', 'BCS copper fungicide', 'Blue copper (VAN)', 'Bonide Root Destroyer', 'Copper Sulfate Powder', 'CuSO4', 'Kupfersulfat [German]', 'All Clear Root Destroyer', 'Copper sulfate (CuSO4)', 'UNII-KUW2Q3U1VV', 'Snow Crystal Copper Sulfate', 'Sulfate de cuivre [French]', 'Aqua Maid Permanent Algaecide', 'copper(II) sulphate', 'CCRIS 3665', 'HSDB 916', 'Copper (II) sulfate (1:1)', 'Copper(2+) sulfate (1:1)', 'Granular Crystals Copper Sulfate', 'Copper (II) sulphate', 'MAC 570', 'Copper sulfate, anhydrous', 'Tobacco States Brand Copper Sulfate', 'EINECS 231-847-6', 'Phelps Triangle Brand Copper Sulfate', 'MFCD00010981', 'NSC 57630', 'KUW2Q3U1VV', 'Sulfuric acid, copper(2+) salt (1:1)', '18939-61-2', 'Sa-50 Brand Copper Sulfate Granular Crystals', 'Aquatronics Snail-A-Cide Dri-Pac Snail Powder', 'Fehling A solution', '10124-44-4', '1332-14-5', 'Copper(II) sulfate, 98%, pure, anhydrous', 'Copper(2+) sulphate', 'Sulfuric acid, copper(2+) salt', 'Bluestone copper sulfate', 'Copper(II) sulfate, 98+%, for analysis, anhydrous', 'Sulfuric acid, copper salt', 'Copper(II) sulfate solution', 'Sulfuric acid, copper(2+) salt (1:?)', 'Copper (II) Sulfate Anhydrous', 'Copper monosulphate', 'copper(II)sulphate', 'copper(II)-sulfate', 'EINECS 242-692-9', 'CuO4S', 'Copper Sulfate Chelate', 'CuSO4 copper sulphate', 'Copper (11) sulfate', 'Copper( cento) sulfate', 'Cupric sulphate anhydrous', 'Cupric sulfate, anhydrous', 'Bluestone, Cupric Sulfate', 'Cupric sulphate, anhydrous', 'ACMC-20d8h5', 'Sulfuric acid copper(2+)salt', 'DTXSID6034479', 'CHEBI:23414', 'CS-B1716', 'AKOS015902901', 'DB06778', 'LS-3187', 'KS-0000025V', 'AK550063', 'BP-20356', 'FisherTab&amp;trade; CT-37 Kjeldahl Tablets', 'FisherTab&amp;trade; CT-50 Kjeldahl Tablets', 'FisherTab&amp;trade; TT-35 Kjeldahl Tablets', 'FisherTab&amp;trade; TT-43 Kjeldahl Tablets', 'FisherTab&amp;trade; TT-50 Kjeldahl Tablets', 'FisherTab&amp;trade; TT-57 Kjeldahl Tablets', 'K358', 'FisherTab&amp;trade; CT-AUTO Kjeldahl Tablets', 'FT-0624048', 'SULFURIC ACID, COPPERSALT (8CI,9CI)', 'C18713', 'cupric sulphate, copper sulphate, cupric sulfate', 'Q107184', 'SR-01000944582', 'SR-01000944582-1']</t>
  </si>
  <si>
    <t>Compound(24462)</t>
  </si>
  <si>
    <t>CuO4S</t>
  </si>
  <si>
    <t>cyanic acid</t>
  </si>
  <si>
    <t>['Cyanic acid', 'Cyansaeure', 'Zyansaeure', '420-05-3', 'UNII-460E3FHT8O', 'hydroxidonitridocarbon', 'HOCN', 'nitridooxocarbonic acid', 'CHEBI:28024', 'hydrogen nitridooxocarbonate', '[C(N)OH]', '460E3FHT8O', 'cyanoalcohol', 'cyano alcohol', 'cyano-alcohol', '0NM', 'HO-C.equiv.N', 'CHEMBL1161700', 'DTXSID3074812', 'CTK1D5966', 'Cyanic acid(6CI,7CI,8CI,9CI)', 'BDBM50147624', 'AKOS006273448', 'NS00013993', 'C01417', 'Q391679']</t>
  </si>
  <si>
    <t>Compound(540)</t>
  </si>
  <si>
    <t>CHNO</t>
  </si>
  <si>
    <t>Wave variation density spectrum</t>
  </si>
  <si>
    <t>deuterium oxide (heavy water)</t>
  </si>
  <si>
    <t>deuterated water</t>
  </si>
  <si>
    <t>['DEUTERIUM OXIDE', '7789-20-0', 'Heavy water', 'Water-d2', 'Deuterated water', 'Dideuterium oxide', 'Heavy water-d2', 'Heavy water (D2O)', 'Water(sup 2)-H2', 'Deuterium oxide [USAN]', 'UNII-J65BV539M3', 'EINECS 232-148-9', 'Water, heavy (D2-O)', 'AI3-52352', 'CHEBI:41981', 'J65BV539M3', 'Deuterium oxide (USAN)', 'D2O', 'Deuterium oxide, 99.9 atom % D', 'Deuterium oxide, for NMR, 99.8 atom % D', 'Deuterium oxide, for NMR, 100.0 atom % D', 'Deuterium oxide, "100%", 99.96 atom % D', 'HSDB 8190', '2H', 'MFCD00044636', 'DEUTERIUMOXIDE', 'Water (2D)', '(sup 2)H', '(~2~H_2_)water', 'CHEMBL1232306', 'Deuterium oxide, 60 atom % D', 'Deuterium oxide, 70 atom % D', 'Deuterium oxide, 99 atom % D', 'DTXSID4051243', 'KS-00000VRG', 'Deuterium oxide, 99.8 atom % D', 'AKOS015904640', 'SC-19688', 'LS-162319', 'Deuterium oxide, extra, 99.994 atom % D', 'Deuterium oxide, filtered, 99.8 atom % D', 'D03703', 'Deuterium oxide, "100%", 99.990 atom % D', 'Deuterium oxide, 99.9 atom % D, glass distilled', 'Q155890', 'Deuterium oxide, "100%", &gt;=99.96 atom % D', 'J-520218', 'Deuterium oxide, 99.9 atom % D, ~150 dpm/mL tritium', 'Deuterium oxide, for NMR, 100 atom % D, AcroSeal(R)', 'Deuterium oxide, 100.0 atom % D, &gt;=99.96 atom % D', 'Deuterium oxide, for NMR, 99.8 atom % D, AcroSeal(R)', 'Deuterium oxide, Vetec(TM) reagent grade, 99.8 atom % D', 'Deuterium oxide, standard, 99.98 atom %+/-0.01 atom % D', 'Deuterium oxide, 99.99 atom % D (for D2O), contains 1% DSS-d6', 'Deuterium oxide, for NMR, packaged in 0.75 ml ampoules, 100.0 atom % D', 'Deuterium oxide, for NMR, packaged in 0.75 ml ampoules, 99.9 atom % D', 'Deuterium oxide, for NMR, packaged in 0.75ml ampoules, 99.8 atom% D', 'Deuterium oxide, 99.9 atom % D, contains 0.05 wt. % 3-(trimethylsilyl)propionic-2,2,3,3-d4 acid, sodium salt', 'Deuterium oxide, 99.9 atom % D, contains 0.75 wt. % 3-(trimethylsilyl)propionic-2,2,3,3-d4 acid, sodium salt', 'Deuterium oxide, 99.9 atom % D, contains 1 % (w/w) 3-(trimethylsilyl)-1-propanesulfonic acid, sodium salt (DSS)', 'Deuterium oxide, 99.994 atom % D, contains 1 mM terephthalic acid disodium salt, 0.01 % (w/v) DSS-d6']</t>
  </si>
  <si>
    <t>Compound(24602)</t>
  </si>
  <si>
    <t>H2O</t>
  </si>
  <si>
    <t>dibenzo (a , e ) pyrene</t>
  </si>
  <si>
    <t>hexacyclo[10.10.2.02,7.08,24.015,23.016,21]tetracosa-1(22),2,4,6,8,10,12(24),13,15(23),16,18,20-dodecaene</t>
  </si>
  <si>
    <t>['Dibenzo[a,e]pyrene', 'DIBENZO(A,E)PYRENE', '192-65-4', 'Naphtho[1,2,3,4-def]chrysene', '1,2,4,5-Dibenzopyrene', 'DB(a,e)P', 'Naphtho(1,2,3,4-def)chrysene', 'UNII-SAC8PEK62H', '1,2:4,5-Dibenzopyrene', 'CCRIS 212', 'Naptho(1,2,3,4-def)chrysene', 'HSDB 4030', 'EINECS 205-891-1', 'SAC8PEK62H', 'BRN 2054070', 'Dibenzo(a,e)pyrene [Polycyclic aromatic compounds]', 'Dibenzo(a,e)pyrene [Polycyclic aromatic hydrocarbons]', 'dibenz[a,e]pyrene', 'Dibenzo[f,pqr]tetraphene', '1,2:4,5-Dibenzpyrene', 'DTXSID3052690', 'CHEBI:82442', 'CTK0H5162', 'ZINC2168416', '6675AF', 'AKOS015913796', 'MCULE-7831705067', 'LS-95262', 'DB-044805', 'FT-0631862', 'NS00019598', 'ST45021358', 'C19393', 'Dibenzo[a,e]pyrene 10 microg/mL in Acetonitrile', 'Dibenzo[a,e]pyrene 10 microg/mL in Cyclohexane', 'C-51333', 'J-012460', 'Q22979549', 'Dibenzo[a,e]pyrene, BCR(R) certified Reference Material', 'Dibenzo(a,e)pyrene;Naphtho[1,2,3,4-def]chrysene;naphtho[1,2,3,4-def]chrysene;dibenzo[a , e]pyrene']</t>
  </si>
  <si>
    <t>Compound(9126)</t>
  </si>
  <si>
    <t>C24H14</t>
  </si>
  <si>
    <t>dibenzo (a , h ) anthracene</t>
  </si>
  <si>
    <t>naphtho[1,2-b]phenanthrene</t>
  </si>
  <si>
    <t>['Dibenz[a,h]anthracene', '53-70-3', 'benzo[k]tetraphene', 'DIBENZ(A,H)ANTHRACENE', 'Dibenzo[a,h]anthracene', '1,2:5,6-Dibenzanthracene', '1,2,5,6-Dibenzanthracene', 'Dibenzo(a,h)anthracene', 'Dibenz(a,h)antracene', '1,2:5,6-Benzanthracene', '1,2:5,6-Dibenzoanthracene', 'DB(a,h)A', 'RCRA waste number U063', 'naphtho[1,2-b]phenanthrene', 'NSC 22433', '1,2:5,6-Dibenz(a)anthracene', '1,2,5,6-Dba', 'UNII-T30ELH3D5X', '1,2,5,6-Dibenzanthraceen', 'CCRIS 208', 'CHEBI:35299', 'HSDB 5097', 'EINECS 200-181-8', '1,2,5,6-Dibenzanthraceen [Dutch]', 'RCRA waste no. U063', 'T30ELH3D5X', 'AI3-18996', '1,2:5,6-Dibenz[a]anthracene', 'Dibenz[a,h]antracene', 'Db[a,h]a', 'DSSTox_CID_409', 'DSSTox_RID_75568', 'DSSTox_GSID_20409', 'Dibenzo(a,h)anthracene [Polycyclic aromatic compounds]', 'Dibenz(a,h)anthracene [Polycyclic aromatic hydrocarbons]', 'CAS-53-70-3', 'dibenzo(ah)anthracene', 'Dibenzathracene', 'Benz[a,h]anthracene', '1,6-Benzanthracene', '1,6-Dibenzoanthracene', 'Dibenza[a,h]-anthracene', '1,5,6-Dibenzanthraceen', '1,6-Dibenz[a]anthracene', 'ACMC-209l9u', '1,6-DIBENZANTHRACENE', 'BIDD:ER0522', 'DBA / Dibenz[a,h]anthracene', 'CHEMBL1346946', 'DTXSID9020409', 'CTK1H0417', "Naphtho[1',2':2,3]phenanthrene", 'KS-000014EW', 'NSC22433', 'WLN: L G6 D6 B666J', 'ZINC1590020', 'Tox21_202505', 'Tox21_303587', '6634AF', 'ANW-31840', 'BDBM50252430', 'LS-186', 'NSC-22433', 'AKOS015889553', 'CS-W013769', 'MCULE-2079643770', 'NCGC00091846-01', 'NCGC00257287-01', 'NCGC00260054-01', 'CC-02786', 'SC-48464', 'Dibenz[a,h]anthracene, analytical standard', 'DB-052385', 'D0145', 'FT-0631233', 'NS00008407', 'ST45022238', 'C14325', 'A829741', 'C-17518', 'Dibenz[a,h]anthracene 10 microg/mL in Cyclohexane', 'Dibenz[a,h]anthracene 10 microg/mL in Acetonitrile', 'Q4140494', 'Dibenz[a,h]anthracene 100 microg/mL in Acetonitrile', 'Dibenz[a,h]anthracene, vial of 1 g, analytical standard', 'Dibenz[a,h]anthracene, BCR(R) certified Reference Material', 'Dibenz[a,h]anthracene, certified reference material, TraceCERT(R)', 'Dibenzo[a,h]anthracene;Dibenz(a,h)anthracene;dibenzo[a , h]anthracene;dibenz[a,h]anthracene']</t>
  </si>
  <si>
    <t>Compound(5889)</t>
  </si>
  <si>
    <t>C22H14</t>
  </si>
  <si>
    <t>dibenzo (a , h ) pyrene</t>
  </si>
  <si>
    <t>hexacyclo[10.10.2.02,7.09,23.013,18.020,24]tetracosa-1(23),2,4,6,8,10,12(24),13,15,17,19,21-dodecaene</t>
  </si>
  <si>
    <t>['Dibenzo[b,def]chrysene', 'Dibenzo[a,h]pyrene', '189-64-0', 'DIBENZO(A,H)PYRENE', 'Dibenzo(b,def)chrysene', 'DB(a,h)P', '3,4,8,9-Dibenzpyrene', '1,2,6,7-Dibenzopyrene', '3,4,8,9-Dibenzopyrene', '3,4:8,9-Dibenzopyrene', 'dibenzo[c,pqr]tetraphene', 'UNII-XR5R3V8BJK', 'CCRIS 213', 'HSDB 4028', 'EINECS 205-878-0', 'XR5R3V8BJK', '1,2:6,7-Dibenzpyrene', '3,4:8,9-Dibenzpyrene', 'BRN 2054067', 'Dibenz[a,h]pyrene', 'Dibenzo(a,h)pyrene [Polycyclic aromatic compounds]', 'Dibenzo(a,h)pyrene [Polycyclic aromatic hydrocarbons]', 'ACMC-209est', '3,4,8,9-Dibenzpyren', '1,2,6,7-Dibenzpyrene', 'Dibenz[a,h]pyrene solution', '4-05-00-02802 (Beilstein Handbook Reference)', 'DTXSID4059752', 'CHEBI:82313', 'CTK0H6883', 'ZINC2168369', 'ACM189640', 'ACM192518', 'ANW-23451', 'AKOS024319583', 'MCULE-1229794390', 'AS-57745', 'LS-60610', 'DB-044712', 'D1005', 'FT-0631860', 'NS00019596', 'C19222', 'Dibenzo[a,h]pyrene 10 microg/mL in Acetonitrile', 'Dibenzo[a,h]pyrene 10 microg/mL in Cyclohexane', 'C-51085', 'J-012235', 'Q26841300', 'Dibenzo[a,h]pyrene, BCR(R) certified Reference Material', 'Dibenzo[a,h]pyrene, vial of 10 mg, analytical standard', 'dibenzo[a , h]pyrene;dibenzo[b,def]chrysene;Dibenzo[b,def]chrysene', 'HEXACYCLO[10.10.2.0(2),?.0?,(2)(3).0(1)(3),(1)?.0(2)?,(2)?]TETRACOSA-1,3,5,7,9,11,13(18),14,16,19,21,23-DODECAENE']</t>
  </si>
  <si>
    <t>Compound(9108)</t>
  </si>
  <si>
    <t>dibenzo (a , i ) pyrene</t>
  </si>
  <si>
    <t>hexacyclo[10.10.2.02,7.08,24.015,23.017,22]tetracosa-1(23),2,4,6,8,10,12(24),13,15,17,19,21-dodecaene</t>
  </si>
  <si>
    <t>['Dibenzo[a,l]pyrene', 'Dibenzo[def,p]chrysene', '191-30-0', 'DIBENZO(A,L)PYRENE', '1,2:3,4-Dibenzopyrene', '1,2,9,10-Dibenzopyrene', '4,5,6,7-Dibenzpyrene', 'Dibenzopyrene', 'DB(a,l)P', '1,2,3,4-Dibenzpyrene', '2,3:4,5-Dibenzopyrene', 'Dibenzo(a,d)pyrene', 'Dibenzo(d,e,f,p)chrysene', 'Dibenzo(def,p)chrysene', 'BA 51-090462', 'NSC 90324', 'naphtho[1,2,3,4-pqr]tetraphene', '1,2:9,10-Dibenzopyrene', 'UNII-G3X629VE4A', 'CCRIS 210', 'HSDB 4029', 'EINECS 205-886-4', 'BRN 2054068', 'G3X629VE4A', 'Dibenzo[a,d]pyrene', 'Dibenzo(a,l)pyrene [Polycyclic aromatic compounds]', 'Dibenzo(a,l)pyrene [Polycyclic aromatic hydrocarbons]', 'dibenz[a,l]pyrene', '1,4-Dibenzopyrene', '1,3,4-Dibenzpyrene', '4,6,7-Dibenzpyrene', 'Dibenzo[d,f,p]chrysene', '1,9,10-Dibenzopyrene', '4,5:6,7-Dibenzpyrene', 'DTXSID9059753', 'CHEBI:35861', 'CTK0H5076', 'NSC90324', 'ZINC1580749', '6677AF', 'Dibenzo[a,l]pyrene, vial of 25 mg', 'NSC-90324', 'AKOS024319580', 'MCULE-9675968237', 'LS-60612', 'FT-0666414', 'NS00019597', 'C19174', 'WLN: L D66 K666 B6 2AB A &amp; J', 'Dibenzo[a,l]pyrene 10 microg/mL in Acetonitrile', 'Dibenzo[a,l]pyrene 10 microg/mL in Cyclohexane', 'J-012363', 'Q26840756', 'Dibenzo[a,l]pyrene, BCR(R) certified Reference Material', 'dibenzo[def,p]chrysene;dibenzo[a , l]pyrene;Dibenzo[def,p]chrysene']</t>
  </si>
  <si>
    <t>Compound(9119)</t>
  </si>
  <si>
    <t>dibenzo (a , j ) anthracene</t>
  </si>
  <si>
    <t>pentacyclo[12.8.0.03,12.04,9.017,22]docosa-1(14),2,4,6,8,10,12,15,17,19,21-undecaene</t>
  </si>
  <si>
    <t>['Dibenz[a,j]anthracene', 'Dibenzo(a,j)anthracene', '224-41-9', 'DIBENZ(A,J)ANTHRACENE', 'Dibenzo-1,2,7,8-anthracene', 'Dibenzo(aj)anthracene', '3,4,5,6-Dibenzanthracene', '1,2:7,8-Dibenzanthracene', 'UNII-M477C74UCX', 'CCRIS 1877', 'EINECS 205-928-1', 'NSC 90321', 'BRN 2051201', 'M477C74UCX', 'CHEBI:82438', 'dibenzo[a,j]anthracene', 'dibenz(aj)anthracene', 'Benzo[m]tetraphene', '1,8-Dibenzanthracene', '3,5,6-Dibenzanthracene', 'dibenzo[a , j]anthracene', 'Dibenzo-1,7,8-anthracene', '1,2,7,8-Dibenzanthracen', '4-05-00-02722 (Beilstein Handbook Reference)', 'CHEMBL24775', 'DTXSID8074811', 'CTK1A4200', 'NSC90321', 'WLN: L E6 D6 B666J', 'ZINC1580747', 'NSC-90321', 'AKOS015905881', 'LS-60311', 'NS00027186', 'C19389', 'Dibenz[a,j]anthracene 10 microg/mL in Acetonitrile', 'J-014719', 'Q5272255', 'Dibenz[a,j]anthracene, BCR(R) certified Reference Material']</t>
  </si>
  <si>
    <t>Compound(9176)</t>
  </si>
  <si>
    <t>dibenzo (a , l ) pyrene</t>
  </si>
  <si>
    <t>hexacyclo[10.10.2.02,7.09,23.014,19.020,24]tetracosa-1(23),2,4,6,8,10,12,14,16,18,20(24),21-dodecaene</t>
  </si>
  <si>
    <t>['Benzo[rst]pentaphene', 'Dibenzo[a,i]pyrene', 'DIBENZO(A,I)PYRENE', '189-55-9', '3,4:9,10-Dibenzopyrene', 'DB(a,i)P', 'Dibenz(a,i)pyrene', 'Dibenzo(b,h)pyrene', 'Benzo(rst)pentaphene', '1,2:7,8-Dibenzpyrene', 'Benzo(r,s,t)pentaphene', 'Dibenz[a,i]pyrene', '1,2,7,8-Dibenzopyrene', 'RCRA waste number U064', '3,4:9,10-Dibenzpyrene', 'NSC 87521', 'CCRIS 214', 'UNII-7FMI112D18', 'HSDB 4027', 'EINECS 205-877-5', 'RCRA waste no. U064', 'BRN 1881370', '7FMI112D18', 'Benzo(rst)pentaphene [Polycyclic aromatic compounds]', 'Dibenzo(a,i)pyrene [Polycyclic aromatic hydrocarbons]', '3,10-Dibenzpyrene', 'Benzo[r,t]pentaphene', '3,10-Dibenzopyrene', '1,7,8-Dibenzopyrene', '3,9,10-Dibenzopyrene', 'Dibenzo-3,9,10-pyrene', '3,4,9,10-Dibenzpyrene', '3,4,9,10-Dibenzopyrene', 'NCIOpen2_009544', '[3,4:9,10]Dibenzpyrene', 'Dibenzo-3,4,9,10-pyrene', 'DTXSID9059751', 'CHEBI:82314', 'CTK0H5248', 'NSC87521', 'ZINC1562131', '6676AF', 'NSC-87521', 'AKOS015914060', 'MCULE-6974722666', 'LS-38793', 'FT-0666421', 'NS00041814', 'Dibenz[a,i]pyrene 10 microg/mL in Isooctane', 'C19223', 'WLN: L D6 B66 P666 2AB A &amp; J', 'Dibenz[a,i]pyrene 10 microg/mL in Acetonitrile', 'Q26841007', 'Benzo(r,s,t)pentaphene;dibenzo[a , i]pyrene;benzo(r,s,t)pentaphene']</t>
  </si>
  <si>
    <t>Compound(9106)</t>
  </si>
  <si>
    <t>dibromomethane</t>
  </si>
  <si>
    <t>['dibromomethane', '74-95-3', 'Methylene bromide', 'Methane, dibromo-', 'Methylene dibromide', 'CH2Br2', 'Dibrommethan', 'Dibromomethylene', 'RCRA waste number U068', 'Methylenbromid', 'dibromo-methane', 'CCRIS 939', '1,1-dibromomethane', 'UNII-V69B659W01', 'Dibromomethane, 99%', 'HSDB 1334', 'NSC 7293', 'EINECS 200-824-2', 'UN2664', 'RCRA waste no. U068', 'BRN 0969143', 'AI3-52311', 'CHEBI:47077', 'V69B659W01', 'dibromo methane', 'Dibromomethane, &gt;=99%', 'ACMC-1BD9M', 'DSSTox_CID_1557', 'EC 200-824-2', 'WLN: E1E', 'DSSTox_RID_76209', 'DSSTox_GSID_21557', 'SCHEMBL20033', '4-01-00-00078 (Beilstein Handbook Reference)', 'KSC377K8D', 'CHEMBL1229889', 'DTXSID4021557', 'CTK2H7581', 'KS-00000VIM', 'NSC7293', 'Dibromomethane, analytical standard', 'NSC-7293', 'Tox21_200410', 'ANW-36548', 'Dibromomethane [UN2664] [Poison]', 'MFCD00000168', 'STL282729', 'AKOS009031545', 'Dibromomethane [UN2664]  [Poison]', 'MCULE-5148445055', 'UN 2664', 'CAS-74-95-3', 'NCGC00248598-01', 'NCGC00257964-01', '2BM', '4371-77-1', 'LS-90023', 'SC-16380', 'DB-029642', 'Dibromomethane, puriss., &gt;=98.5% (GC)', 'D0192', 'FT-0624675', 'NS00005937', 'S0636', 'W8249', 'dibromomethane;Methane, dibromo-;Dibromomethane', 'Q421736', 'J-520238', 'F1908-0088', 'Dibromomethane solution, 2000 mug/mL in methanol, analytical standard', 'Dibromomethane solution, 5000 mug/mL in methanol, analytical standard']</t>
  </si>
  <si>
    <t>Compound(3024)</t>
  </si>
  <si>
    <t>CH2Br2</t>
  </si>
  <si>
    <t>dibromochloromethane</t>
  </si>
  <si>
    <t>dibromo(chloro)methane</t>
  </si>
  <si>
    <t>['CHLORODIBROMOMETHANE', 'Dibromochloromethane', '124-48-1', 'Methane, dibromochloro-', 'dibromo(chloro)methane', 'Monochlorodibromomethane', 'CDBM', 'Dibromo-chloro-methane', 'Methane, chlorodibromo-', 'NCI-C55254', 'UNII-3T4AJR1H24', 'CCRIS 938', 'HSDB 2763', 'EINECS 204-704-0', 'BRN 1731046', '3T4AJR1H24', 'CHEBI:34627', 'Chlorobromoform', 'dibromchlormethan', 'CHClBr2', 'Dibromomonochloromethane', 'PubChem12531', 'ACMC-209tco', 'DSSTox_CID_300', 'Dibromochloromethane, 98%', 'DSSTox_RID_75499', 'CHEMWISH IC04791', 'DSSTox_GSID_20300', 'SCHEMBL76438', 'CHLORO DI-BROMOMETHANE', '4-01-00-00081 (Beilstein Handbook Reference)', 'BIDD:ER0343', 'bis(bromanyl)-chloranyl-methane', 'CHEMBL157093', 'DTXSID1020300', 'CTK0H7678', 'LS-77', 'KS-000011RP', 'ZINC8437793', 'Tox21_200153', 'ANW-42310', 'MFCD00000820', 'AKOS015848668', 'FCH1321858', 'FS-3822', 'Dibromochloromethane, analytical standard', 'NCGC00091422-01', 'NCGC00091422-02', 'NCGC00257707-01', 'BC003668', 'CAS-124-48-1', 'CC-25682', 'Dibromochloromethane(stabilizedwithEthanol)', 'SC-57887', 'DB-041774', 'FT-0623638', 'FT-0666487', 'NS00006469', 'S0643', 'Dibromochloromethane (stabilized with Ethanol)', 'C14692', 'Dibromochloromethane 100 microg/mL in Methanol', 'A805237', 'C-10628', 'Q411773', 'J-005082', 'Dibromochloromethane, analytical standard, amylene stabilized', 'Dibromochloromethane;dibromochloromethane;Dibromchlormethan']</t>
  </si>
  <si>
    <t>Compound(31296)</t>
  </si>
  <si>
    <t>CHBr2Cl</t>
  </si>
  <si>
    <t>dibromochloroacetic acid</t>
  </si>
  <si>
    <t>2,2-dibromo-2-chloroacetic acid</t>
  </si>
  <si>
    <t>['Dibromochloroacetic acid', 'Acetic acid, dibromochloro-', '5278-95-5', 'Chlorodibromoacetic acid', 'UNII-AMD03B602V', 'AMD03B602V', '2,2-dibromo-2-chloroacetic acid', 'HSDB 7621', 'SCHEMBL751842', 'DTXSID3031151', 'CTK4J6507', 'ZINC5112641', 'LS-182', 'AKOS028108487', 'NCGC00188892-01', 'Chlorodibromoacetic acid, analytical standard', 'NS00002291', 'Q27274006', 'Chlorodibromoacetic acid, vial of 25 mg, analytical standard']</t>
  </si>
  <si>
    <t>Compound(115266)</t>
  </si>
  <si>
    <t>C2HBr2ClO2</t>
  </si>
  <si>
    <t>dibromoacetic acid</t>
  </si>
  <si>
    <t>2,2-dibromoacetic acid</t>
  </si>
  <si>
    <t>['DIBROMOACETIC ACID', '2,2-dibromoacetic acid', '631-64-1', 'Acetic acid, dibromo-', 'Dibromoacetate', '2,2-dibromoethanoic acid', 'UNII-7FUW62YY5L', 'Dibromoethanoic acid', 'DBAA', 'CCRIS 7636', 'EINECS 211-165-5', '7FUW62YY5L', 'Acetic acid, 2,2-dibromo-', 'CHEBI:90124', 'DSSTox_CID_3815', 'DSSTox_RID_77196', 'DSSTox_GSID_23815', 'CAS-631-64-1', 'C2H2Br2O2', 'Dibromessigsaure', 'Dibromoaceticacid', 'HSDB 7622', 'Dibromoacetic acid, 97%', 'MLS001065597', 'SCHEMBL137199', 'CHEMBL449362', 'DTXSID1023815', 'CTK0H7910', 'dibromoacetic acid;Dibromessigsaure', 'ZINC4521378', 'Tox21_202297', 'Tox21_303291', '6811AF', 'LMFA01090076', 'AKOS000119767', 'Dibromoacetic acid, analytical standard', 'LS-1519', 'MCULE-4908900588', 'NCGC00090913-01', 'NCGC00090913-02', 'NCGC00257152-01', 'NCGC00259846-01', '10024-50-7', 'SMR000568475', 'DB-054415', 'FT-0632681', 'NS00008523', 'C20123', 'Q18533477', 'WATER DISINFECTION BYPRODUCTS(DIBROMOACETIC ACID)', 'Dibromoacetic acid 1000 microg/mL in Methyl-tert-butyl ether']</t>
  </si>
  <si>
    <t>Compound(12433)</t>
  </si>
  <si>
    <t>C2H2Br2O2</t>
  </si>
  <si>
    <t>diundecyl phthalate (branched and linear)</t>
  </si>
  <si>
    <t>1-O-dodecyl 2-O-[(2R,3S)-3-ethyl-2-propylhexyl] benzene-1,2-dicarboxylate</t>
  </si>
  <si>
    <t>['Diundecyl phthalate, branched and linear', '85507-79-5', 'EINECS 287-401-6', '1,2-Benzenedicarboxylic acid, 1,2-diundecyl ester, branched and linear', 'EC 287-401-6']</t>
  </si>
  <si>
    <t>Compound(5748789)</t>
  </si>
  <si>
    <t>C31H52O4</t>
  </si>
  <si>
    <t>dimethoxymethane</t>
  </si>
  <si>
    <t>['Dimethoxymethane', 'METHYLAL', '109-87-5', 'Formal', 'Methane, dimethoxy-', 'Formaldehyde dimethyl acetal', 'Dimethyl formal', 'Anesthenyl', '2,4-Dioxapentane', 'Bis(methoxy)methane', 'Methylene dimethyl ether', 'Methoxymethyl methyl ether', 'Metylal', 'Formaldehyde methyl ketal', 'Metylal [Polish]', 'Formaldehyde dimethylacetal', 'bis(methyloxy)methane', 'UNII-7H1M4G2NUE', 'Methylene glycol dimethylether', 'HSDB 1820', 'EINECS 203-714-2', 'UN1234', '7H1M4G2NUE', 'AI3-16096', 'CHEBI:48341', 'Dimethoxy methane', 'Dimethoxymethane, 99.5+%', 'Dimethylformal', 'CCRIS 9397', 'Methylene Glycol Dimethyl Ether', 'Dimethoxy-Methane', 'Methylenedioxydimethane', 'Dimethylacetal formaldehyde', 'METHYLAL;dimethoxymethane', 'EC 203-714-2', 'KSC176I4F', 'CHEMBL15537', 'ACMC-20994n', '(CH3O)2CH2', 'DTXSID1025564', 'CTK0H6442', 'KS-00000W1T', 'ZINC2005853', '7083AF', 'ANW-16101', 'LS-491', 'MFCD00008495', 'AKOS000120977', 'ZINC112926527', 'MCULE-8559076702', 'UN 1234', 'Dimethoxymethane, ReagentPlus(R), 99%', 'Methylal [UN1234] [Flammable liquid]', 'Methylal [UN1234]  [Flammable liquid]', 'SC-79307', 'D0637', 'FT-0625028', 'NS00003248', '45158-EP2275411A2', '45158-EP2311821A1', 'Formaldehyde dimethyl acetal, analytical standard', 'Q411496', 'J-520340', 'F0001-0207', 'Formaldehyde dimethyl acetal, for Grignard reactions, &gt;=99.0% (GC)', 'Formaldehyde dimethyl acetal, absolute, over molecular sieve (H2O &lt;=0.01%), &gt;=99.0% (GC)']</t>
  </si>
  <si>
    <t>Compound(8020)</t>
  </si>
  <si>
    <t>N-methylmethanamine</t>
  </si>
  <si>
    <t>['dimethylamine', 'N-Methylmethanamine', '124-40-3', 'N,N-Dimethylamine', 'Methanamine, N-methyl-', 'Dimethylamin', 'dimethyl amine', 'dimethyl-amine', 'Dimethylamine anhydrous', 'Dimethylamine (anhydrous)', 'RCRA waste number U092', 'Dimethylamine solution', '(CH3)2NH', 'Dimethylamine  aq', 'NSC 8650', 'UNII-ARQ8157E0Q', 'CCRIS 981', 'HSDB 933', 'HNMe2', 'Me2NH', 'Dimethylamine, in aqueous solution', 'EINECS 204-697-4', 'Ai3-15638-X', 'UN1032', 'UN1160', 'RCRA waste no. U092', 'Dimethylamine aqueous solution', 'ARQ8157E0Q', 'CHEBI:17170', 'Dimethylamine solution (over 55% but not over 65%)', 'Dimethylamine solution (45% or less)', 'Dimethylamine solution (over 45% but not over 55%)', 'Dimethylamine, purum, &gt;=99.0%', 'MFCD00008288', 'Dimethylamine, 26 wt.% solution in water', 'Dimethylamine, 40 wt.% solution in water', 'Dimethylamine solution, 40 wt. % in H2O', 'Dimethylamine, 2M solution in THF, AcroSeal(R)', 'dimethlamine', 'dimethlyamine', 'dimethyamine', 'dimethylammonia', 'dimethylarnine', 'dimetylamine', 'dirnethylamine', 'Dimethylamine, 2M solution in methyl alcohol, AcroSeal(R)', 'di-methylamine', 'dimetyl amine', 'N,N-dimethylamin', 'N,N dimethylamine', 'N,N dimethyl amine', 'N,N- dimethylamine', 'N,N-dimethyl amine', 'N-methyl-Methanamine', 'N, N-dimethyl amine', 'NHMe2', 'N-methyl-1-methanamine', 'Dimethylamine, anhydrous', 'ACMC-1BQ2Z', 'DSSTox_CID_4057', 'Dimethylamine Reagent Grade', 'NH(Me)2', 'EC 204-697-4', 'Methylaminomethylidyneradical', 'Dimethylamine, &gt;=99.8%', 'DSSTox_RID_77272', 'NCIOpen2_007708', 'DSSTox_GSID_24057', 'Dimethylamine anhydrous (dot)', 'KSC175G1R', 'UN 1160 (Salt/Mix)', 'CHEMBL120433', 'GTPL5177', 'NH(CH3)2', 'WLN: 1M1', 'DTXSID5024057', 'CTK0H5318', 'NSC8650', 'Dimethylamine, anhydrous, &gt;=99%', 'NSC-8650', 'STR00287', 'Tox21_302439', 'BDBM50416497', 'CO0036', 'Dimethylamine solution 40% in water', 'LS-696', 'NSC187661', 'STL263869', 'N-methylmethanamine (ACD/Name 4.0)', 'AKOS008968166', 'Dimethylamine solution 1.0 M in THF', 'Dimethylamine solution 2.0 M in THF', 'MCULE-2809467532', 'NE10568', 'NSC-187661', 'UN 1032', 'Dimethylamine solution, 2.0 M in THF', 'KS-00000X14', 'Dimethylamine solution 2.0M in Methanol', 'NCGC00255288-01', 'CAS-124-40-3', 'SC-22709', 'Dimethylamine solution, 2.0 M in methanol', 'Dimethylamine solution, CP, 50% in H2O', 'D0643', 'D3292', 'D3936', 'D3948', 'D4198', 'NS00001615', 'C00543', '13687-EP2269977A2', '13687-EP2269990A1', '13687-EP2269993A1', '13687-EP2269999A1', '13687-EP2270001A1', '13687-EP2270006A1', '13687-EP2270014A1', '13687-EP2272822A1', '13687-EP2272827A1', '13687-EP2272832A1', '13687-EP2272834A1', '13687-EP2272972A1', '13687-EP2272973A1', '13687-EP2274983A1', '13687-EP2275398A1', '13687-EP2275404A1', '13687-EP2275412A1', '13687-EP2275414A1', '13687-EP2277872A1', '13687-EP2277875A2', '13687-EP2280006A1', '13687-EP2280008A2', '13687-EP2280010A2', '13687-EP2281563A1', '13687-EP2281813A1', '13687-EP2281818A1', '13687-EP2281822A1', '13687-EP2284157A1', '13687-EP2284160A1', '13687-EP2284169A1', '13687-EP2286811A1', '13687-EP2287152A2', '13687-EP2287155A1', '13687-EP2287161A1', '13687-EP2287162A1', '13687-EP2287163A1', '13687-EP2287165A2', '13687-EP2287166A2', '13687-EP2289871A1', '13687-EP2289891A2', '13687-EP2292228A1', '13687-EP2292597A1', '13687-EP2292615A1', '13687-EP2292620A2', '13687-EP2292628A2', '13687-EP2295415A1', '13687-EP2295424A1', '13687-EP2295429A1', '13687-EP2295433A2', '13687-EP2295437A1', '13687-EP2298734A2', '13687-EP2298742A1', '13687-EP2298761A1', '13687-EP2298764A1', '13687-EP2298765A1', '13687-EP2298770A1', '13687-EP2298775A1', '13687-EP2301928A1', '13687-EP2301929A1', '13687-EP2301933A1', '13687-EP2301935A1', '13687-EP2305250A1', '13687-EP2305629A1', '13687-EP2305651A1', '13687-EP2305652A2', '13687-EP2305667A2', '13687-EP2305673A1', '13687-EP2305674A1', '13687-EP2305678A1', '13687-EP2305679A1', '13687-EP2305682A1', '13687-EP2305687A1', '13687-EP2308479A2', '13687-EP2308510A1', '13687-EP2308562A2', '13687-EP2308812A2', '13687-EP2308828A2', '13687-EP2308849A1', '13687-EP2308854A1', '13687-EP2308867A2', '13687-EP2308870A2', '13687-EP2308873A1', '13687-EP2308875A1', '13687-EP2308879A1', '13687-EP2308880A1', '13687-EP2311796A1', '13687-EP2311797A1', '13687-EP2311798A1', '13687-EP2311799A1', '13687-EP2311802A1', '13687-EP2311803A1', '13687-EP2311807A1', '13687-EP2311815A1', '13687-EP2311818A1', '13687-EP2311827A1', '13687-EP2311829A1', '13687-EP2311831A1', '13687-EP2311834A1', '13687-EP2314590A1', '13687-EP2316459A1', '13687-EP2316836A1', '13687-EP2371811A2', '13687-EP2372017A1', '21503-EP2270006A1', '21503-EP2292628A2', '21503-EP2295402A2', '21503-EP2314295A1', '57342-EP2284166A1', '57342-EP2298762A2', '57342-EP2298769A1', '57342-EP2308878A2', '77294-EP2305687A1', '77294-EP2308849A1', '148075-EP2280005A1', '148075-EP2289884A1', 'Q408022', 'Dimethylamine solution [UN1160] [Flammable liquid]', 'Dimethylamine(40% inverted exclamation mark&lt;&lt;50%)', 'Dimethylamine, anhydrous [UN1032] [Flammable gas]', 'Molybdoceric acid (H8 Ce Mo12 O42), eicosahydrate', 'Dimethylamine solution [UN1160]  [Flammable liquid]', 'Dimethylamine, anhydrous [UN1032]  [Flammable gas]', 'F2190-0301', 'Dimethylamine solution, purum, 33% in absolute ethanol (~5.6 M)']</t>
  </si>
  <si>
    <t>Compound(674)</t>
  </si>
  <si>
    <t>3,6-dichloro-2-methoxybenzoic acid;N-methylmethanamine</t>
  </si>
  <si>
    <t>['Dicamba-dimethylammonium', 'Dicamba dimethylamine', 'Dianate', 'Banex', 'Banvel D', 'Banvel 4S', 'Dimethylamine dicamba', 'Banvel 200', 'DICAMBA AMINE', 'Caswell No. 067A', 'Caswell No. 295B', 'Dicamba dimethylamine salt', '2300-66-5', 'Dimethylamine salt of dicamba', 'UNII-123F051HEM', 'Dicamba-dimethylammonium [ISO]', 'HSDB 7312', 'EINECS 218-951-7', 'Dimethylamine, 3,6-dichloro-o-anisate', 'EPA Pesticide Chemical Code 029802', 'Dimethylammonium 3,6-dichloro-o-anisate', 'Dimethylammonium 3,6-dichloro-2-methylbenzoate', 'Dimethylammonium 2-methoxy-3,6-dichlorobenzoate', '123F051HEM', '2-Methoxy-3,6-dichlorobenzoic acid dimethylamine salt', 'Methanamine, N-methyl-, 3,6-dichloro-2-methoxybenzoate', '3,6-Dichloro-o-anisic acid, compound with dimethylamine (1:1)', 'o-Anisic acid, 3,6-dichloro-, compd. with dimethylamine (1:1)', '3,6-Dichloro-2-methoxybenzoic acid compd. with N-methylmethanamine (1:1)', 'Benzoic acid, 3,6-dichloro-2-methoxy-, compd. with N-methylmethanamine (1:1)', 'SCHEMBL678678', 'DTXSID9034369', 'CTK8H7122', 'ACM2300665', 'LS-36859', 'DS-017256', '300D665', 'Q27251368', 'Dicamba dimethylamine 2-methoxy-3,6-dichlorobenzoic acid dimethylamine2-methoxy-3,6-dichlorobenzoic acid dimethylamine salt']</t>
  </si>
  <si>
    <t>Compound(16811)</t>
  </si>
  <si>
    <t>C10H13Cl2NO3</t>
  </si>
  <si>
    <t>dimethylamine hydrochloride</t>
  </si>
  <si>
    <t>N-methylmethanamine;hydrochloride</t>
  </si>
  <si>
    <t>['Dimethylamine hydrochloride', '506-59-2', 'Dimethylammonium chloride', 'N-Methylmethanamine hydrochloride', 'Methanamine, N-methyl-, hydrochloride', 'DIMETHYLAMINE HCl', 'Dimethylaminehydrochloride', 'UNII-7M4CWB6AOK', 'Dimethylamine, hydrochloride', 'Hydrochloric acid dimethylamine', 'N,N-dimethylamine hydrochloride', 'Methanamine, N-methyl-, hydrochloride (1:1)', 'EINECS 208-046-5', 'MFCD00012477', '7M4CWB6AOK', 'AI3-52357', 'Dimethylamine hydrochloride, 99%', 'dimethyl ammonium chloride', 'Dimethyl amine hydrochloride', 'dimethyamine HCl', 'dimethylamine-hcl', 'dimethylamine.HCl', 'dimethyl amine HCl', 'dimethyl amine.HCl', 'dimethylammoniumchlorid', 'HNMe2.HCl', 'Me2NH HCl', 'Me2NH-HCl', 'Me2NH.HCl', 'NHMe2.HCl', 'dimethylamine HCl salt', 'dimethylamine-HCl salt', 'dimethylaminium chloride', 'N,N-dimethylamine HCl', 'ACMC-209koy', 'dimethyl amine HCl salt', 'C2H8ClN', 'dimethlyamine hydrochlorde', 'dimethyamine hydrochloride', 'dimethylamine hydrochoride', 'dimethylamine hyrochloride', 'NH(Me)2.HCl', 'dimethlyamine hydrochloride', 'dimethylamine-hydrochloride', 'Dimethylamine,hydrochloride', 'DSSTox_CID_7163', 'di-methylamine hydrochloride', 'dimethyl-amine hydrochloride', 'dimethylamine hydro chloride', 'dimethylamine hydro-chloride', 'dimethylamine. hydrochloride', 'EC 208-046-5', '(CH3)2NH HCl', '(CH3)2NH.HCl', 'N,N-dimethylamine HCl salt', 'DSSTox_RID_78330', 'DSSTox_GSID_27163', 'dimethylamine monohydrochloride', 'KSC490E9D', 'dimethylamine hydrogen chloride', 'dimethylamine hydrochloride salt', 'CHEMBL569461', 'dimethylamine, hydrochloride salt', 'DTXSID8027163', 'N, N-dimethylamine hydrochloride', 'n,n,-dimethylamine hydrochloride', 'N,N-dimethyl amine hydrochloride', 'N,N-dimethylamine hydro chloride', 'N-methylmethanamine;hydrochloride', 'N-methylmethylamine hydrochloride', 'CTK3J0291', 'KS-00000UXX', 'N, N-dimethyl amine hydrochloride', 'N-methyl-methanamine hydrochloride', 'BCP21895', 'dimethylamine hydrochloric acid salt', 'HY-Y1354', 'hydrogen chloride N-methylmethanamine', 'Tox21_200696', 'ANW-31088', 's6197', 'AKOS015900572', 'AM90364', 'JC10107', 'NCGC00248969-01', 'NCGC00258250-01', 'CAS-506-59-2', 'LS-62032', 'SC-27188', 'AB0008450', 'DB-050357', 'CS-0017816', 'D0644', 'AZ0001-0089', 'M-7407', '17379-EP2269978A2', '17379-EP2269985A2', '17379-EP2269991A2', '17379-EP2272817A1', '17379-EP2272972A1', '17379-EP2272973A1', '17379-EP2277872A1', '17379-EP2281563A1', '17379-EP2284150A2', '17379-EP2284151A2', '17379-EP2284152A2', '17379-EP2284153A2', '17379-EP2284155A2', '17379-EP2284156A2', '17379-EP2284159A1', '17379-EP2284164A2', '17379-EP2286811A1', '17379-EP2287140A2', '17379-EP2287148A2', '17379-EP2287150A2', '17379-EP2287155A1', '17379-EP2295419A2', '17379-EP2298753A1', '17379-EP2305637A2', '17379-EP2305657A2', '17379-EP2305669A1', '17379-EP2308812A2', '17379-EP2308877A1', '17379-EP2314576A1', '17379-EP2314586A1', '53490-EP2281563A1', '53490-EP2305651A1', '53490-EP2308854A1', 'Dimethylamine hydrochloride, purum, &gt;=98.0% (AT)', 'Q27268559', 'F0001-1317', 'Metformin impurity F, European Pharmacopoeia (EP) Reference Standard', 'DIMETHYLAMINE HCL;DIMETHYLAMINE HYDROCHLORIDE;DIMETHYLAMMONIUM CHLORIDE;DMA-HCL', 'Dimethylamine Hydrochloride(Metformin Impurity F), Pharmaceutical Secondary Standard; Certified Reference Material']</t>
  </si>
  <si>
    <t>Compound(10473)</t>
  </si>
  <si>
    <t>C2H8ClN</t>
  </si>
  <si>
    <t>dimethylarsenic acid</t>
  </si>
  <si>
    <t>dimethylarsinic acid</t>
  </si>
  <si>
    <t>['cacodylic acid', 'Dimethylarsinic acid', '75-60-5', 'Hydroxydimethylarsine oxide', 'Chexmate', 'Silvisar', 'Phytar', 'Arsan', 'Erase', 'DIMETHYLARSENIC ACID', 'Arsinic acid, dimethyl-', 'Cacodylate', 'Silvisar 510', 'Phytar 560', 'Ansar 138', 'Sylvicor', 'Moncide', 'Dilic', 'Rad-e-cate 35', 'Agent Blue', 'Acide cacodylique', 'Alkargen', 'Phytar 138', 'Acide dimethylarsinique', 'Cotton aide HC', 'Kyselina kakodylova', 'RCRA waste number U136', 'Phytar 600', 'Caswell No. 133', 'Arsine oxide, hydroxydimethyl-', 'Ansar', 'UNII-AJ2HL7EU8K', 'Acide cacodylique [French]', 'Kyselina kakodylova [Czech]', 'NSC 103115', 'Arsine oxide, dimethylhydroxy-', 'Arsinic acid, As,As-dimethyl-', 'CCRIS 5893', 'HSDB 360', 'Acide dimethylarsenique [French]', 'Acide dimethylarsinique [French]', 'Dimethylarsonic Acid', 'EINECS 200-883-4', 'UN1572', 'AJ2HL7EU8K', 'RCRA waste no. U136', 'EPA Pesticide Chemical Code 012501', 'BRN 1736965', 'cacodylic-acid', 'AI3-25369', 'CHEBI:48765', 'Bolate', 'Bolls', 'MFCD00002095', 'Lithium cacodylate', 'Cacodylic acid, 98%', 'rad-e-cat 25', 'Cacodylic acid, sodium salt', 'Acide dimethylarsenique', 'C2H7AsO2', 'Kakodylsaeure', 'CAC', 'UN 1572', 'Spectrum_001957', 'Bolls-eye (Salt/Mix)', 'Me2As(=O)OH', 'DSSTox_CID_508', 'Spectrum2_001170', 'Spectrum4_000235', 'Spectrum5_001683', 'ACMC-1BL1E', 'Dimethylhydroxyarsine Oxide', 'Arsine oxide, lithium salt', 'Arsinic acid, lithium salt', 'arsinohydroxydimethyl-1-one', 'bmse000786', 'bmse000822', 'Cacodylic acid, &gt;=98%', 'Dimethylarsinic acid (9CI)', 'DSSTox_RID_75630', 'NCIOpen2_000362', 'NCIOpen2_000410', 'NCIOpen2_001868', 'DSSTox_GSID_20508', 'SCHEMBL15351', 'KBioGR_000929', 'KBioSS_002511', '4-04-00-03681 (Beilstein Handbook Reference)', 'MLS002207238', 'ARONIS24203', 'Arsinic acid,As,As-dimethyl-', 'Cacodylic acid, &gt;=99.0%', 'DivK1c_000708', 'SPECTRUM1503947', 'SPBio_001159', '[As(CH3)2O(OH)]', 'CHEMBL1231644', 'DTXSID7020508', 'WLN: Q-AS-O&amp;1&amp;1', 'Cacodylic acid, SAJ first grade', 'CTK5E1746', 'HMS502D10', 'KBio1_000708', 'KBio2_002503', 'KBio2_005071', 'KBio2_007639', 'OGGXGZAMXPVRFZ-UHFFFAOYSA-', 'NINDS_000708', 'HMS1922O04', 'Cacodylic acid, analytical standard', 'NSC71159', 'Tox21_300767', '6874AF', 'ANW-36638', 'arsenic du dimethylarsinate de sodium', 'CCG-39551', 'Lithium, [(dimethyloxoarsenio)oxy]-', 'NSC-71159', 'NSC103115', 'SBB080683', 'Cacodylic acid [UN1572] [Poison]', 'AKOS005267136', 'Arsine oxide, hydroxydimethyl- (8CI)', 'Cacodylic acid [UN1572]  [Poison]', 'DB02994', 'LS-1671', 'NSC-103115', 'CAS-75-60-5', 'IDI1_000708', 'Dimethylarsinic acid, analytical standard', 'NCGC00094558-01', 'NCGC00094558-02', 'NCGC00094558-03', 'NCGC00094558-04', 'NCGC00094558-05', 'NCGC00094558-06', 'NCGC00094558-07', 'NCGC00094558-09', 'NCGC00254671-01', 'DIMETHYLARSINIC ACID, LITHIUM SALT', 'NCI60_000084', 'NCI60_001594', 'SMR000777886', 'FT-0623360', 'C07308', 'Q420680', '917-76-0', 'odium dimethylarsinate;Sodium dimethylarsinate;Dimethylarsinate;Arsenate, dimethyl, sodium;Dimethylarsinic acid;dimethylarsinic acid']</t>
  </si>
  <si>
    <t>Compound(2513)</t>
  </si>
  <si>
    <t>C2H7AsO2</t>
  </si>
  <si>
    <t>dimethylbutane</t>
  </si>
  <si>
    <t>2,2-dimethylbutane</t>
  </si>
  <si>
    <t>['2,2-DIMETHYLBUTANE', 'Neohexane', '75-83-2', 'Butane, 2,2-dimethyl-', 'HSDB 75', 'UNII-07L56L3MP2', 'CCRIS 6019', '2,2-Dimethyl-butane', 'EINECS 200-906-8', 'NSC 74126', 'AI3-16043', '07L56L3MP2', 'Butane,2-dimethyl-', 'DSSTox_CID_5111', 'ACMC-209p0b', 'DSSTox_RID_77669', 'DSSTox_GSID_25111', '2,2-Dimethylbutane, 99%', 'KSC377C9P', '(CH3)3CCH2CH3', 'CHEMBL142735', 'DTXSID4025111', 'CTK2H7197', 'NSC74126', 'ZINC1699511', 'Tox21_200358', 'ANW-36681', 'NSC-74126', 'WLN: 2X1&amp;1&amp;1', 'AKOS024438081', 'FCH1114858', 'LS-1676', 'MCULE-3388707671', '2,2-Dimethylbutane, analytical standard', 'CAS-75-83-2', 'NCGC00091659-01', 'NCGC00091659-02', 'NCGC00257912-01', '2,2-Dimethylbutane, &gt;=99.0% (GC)', 'CC-06508', 'SC-94688', 'DB-055991', 'D0689', 'NS00001089', 'D-3215', '219005-EP2380568A1', 'C-24785', 'Q209136', 'UNII-1S70G88A39 component HNRMPXKDFBEGFZ-UHFFFAOYSA-N']</t>
  </si>
  <si>
    <t>Compound(6403)</t>
  </si>
  <si>
    <t>dimethyl chlorothiophosphate</t>
  </si>
  <si>
    <t>chloro-dimethoxy-sulfanylidene-lambda5-phosphane</t>
  </si>
  <si>
    <t>['Dimethyl chlorothiophosphate', '2524-03-0', 'Methyl PCT', 'O,O-Dimethyl chlorothiophosphate', 'O,O-Dimethyl phosphorochloridothioate', 'Phosphorochloridothioic acid, O,O-dimethyl ester', 'Chlorodimethoxyphosphine sulfide', 'Dimethylchlorthiofosfat', 'Dimethyl chlorothionophosphate', 'Dimethyl chlorothiophosphonate', 'Dimethyl phosphorochlorothioate', 'Dimethoxythiophosphonyl chloride', 'Dimethyl thiophosphorochloridate', 'Dimethyl thionophosphorochloridate', 'O,O-Dimethyl chlorothionophosphate', 'O,O-Dimethyl phosphorochlorothioate', 'O,O-Dimethyl thiophosphoryl chloride', 'O,O-Dimethyl phosphorothionochloridate', 'O,O-Dimethyl thionophosphorochloridate', 'O,O-Dimethyl thionophosphoryl chloride', 'Dimethyl thiophosphoryl chloride', 'Dimethyl phosphorochlorodithioate', 'Dimethyl phosphorochloridothionate', 'O,O-Dimethyl thiophosphoric acid chloride', 'UNII-8D5OSC5UN4', 'NSC 132984', 'DIMETHYL PHOSPHOROCHLORIDOTHIOATE', 'Dimethylchlorthiofosfat [Czech]', 'Dimethoxy thiophosphonyl chloride', 'HSDB 2603', 'O,O-Dimethylester kyseliny chlorthiofosforecne', 'O,O-Dimethylphosphorochloridothioate', 'O,O-Dimethyl phosphorocloridothioate', 'EINECS 219-754-9', 'O,O-Dimethylthionophosphoryl chloride', 'Dimethylthionochlorophosphate', 'Phosphonothioic acid, chloro-, O,O-dimethyl ester', 'BRN 0471300', '8D5OSC5UN4', 'Phosphorochloridothioicacid, O,O-dimethyl ester', 'O,O-Dimethyl chlorophosphorothioate', 'O,O-Dimethylester kyseliny chlorthiofosforecne [Czech]', 'dimethylchlorothiophosphate', 'O,O-Dimethyl phosphorochloroidothionate', 'DSSTox_CID_7486', 'Dimethylthiophosphorylchlorid', 'EC 219-754-9', 'WLN: 1OPS&amp;GO1', 'WLN: SPGO1&amp;O1', 'DSSTox_RID_78467', '(CH3O)2P(S)Cl', 'DSSTox_GSID_27486', '4-01-00-01263 (Beilstein Handbook Reference)', 'Dimethyl phosphochloridothioate', 'MP-2', 'SCHEMBL1502255', 'CHEMBL1870942', 'DTXSID0027486', 'CTK4F5288', 'Dimethyl chlorothiophosphate, 97%', 'BCP22557', 'Tox21_202562', 'BBL011334', 'NSC132984', 'O,O-Dimethyl chloridothiophosphate #', 'STL146424', 'AKOS000121180', "O,O'-Dimethyl phosphonochloridothioate", 'MCULE-3943988423', 'NA 2267', 'NSC-132984', 'NCGC00164218-01', 'NCGC00260111-01', 'S781', 'CAS-2524-03-0', 'DB-009790', 'LS-107946', 'NS00005568', 'Phosphorochloridothioic acid,O-dimethyl ester', 'Chloridothiophosphoric acid O,O-dimethyl ester', 'J-015884', 'Q5277317', 'F0001-0851', 'O,O-Dimethyl chlorothiophosphate;O,O-dimethyl phosphorochloridothioate']</t>
  </si>
  <si>
    <t>Compound(17304)</t>
  </si>
  <si>
    <t>C2H6ClO2PS</t>
  </si>
  <si>
    <t>dimethyl diphenylene disulfide</t>
  </si>
  <si>
    <t>1-methyl-4-[(4-methylphenyl)disulfanyl]benzene</t>
  </si>
  <si>
    <t>['p-Tolyl disulfide', '103-19-5', '1,2-Di-p-tolyldisulfane', 'Di-p-tolyl disulfide', 'Disulfide, bis(4-methylphenyl)', 'Biodylon', 'Kresulfin', 'p-Tolyldisulfide', 'Bis(4-methylphenyl) disulfide', '4-Methylphenyl disulfide', 'Di-4-tolyl disulfide', 'Bis(p-tolyl) disulfide', 'Bis(4-tolyl) disulfide', 'Di-p-tolyl disulphide', '4-Tolyl disulfide', '1-Methyl-4-[(4-methylphenyl)disulfanyl]benzene', 'Bis(p-methylphenyl) disulfide', 'NSC 994', 'NSC 677466', "4,4'-Dimethyldiphenyl disulphide", "1,1'-dithiobis(4-methylbenzene)", 'EINECS 203-087-5', 'AI3-16363', 'NSC994', 'NSC-994', 'NSC677466', 'di-p-tolyldisulfid', '4-methylphenyldisulfide', 'DI-p-TOLYLDISULFIDE', 'p-tolyldisulfane', 'p-tolyl-disulfide', 'para-Tolyl disulfide', 'bis-(p-tolyl)disulfide', 'PubChem15321', '1,2-dip-tolyldisulfane', 'di4-methylphenyl disulfide', 'p-Tolyl disulfide, 98%', 'p-Tolyl disulfide (8CI)', 'bis(4-methylphenyl)disulfide', 'SCHEMBL57311', 'Di(4-methylphenyl) disulfide', 'Disulfide,bis(4-methylphenyl)', 'ACMC-20984v', 'Bis(4-methylphenyl) persulfide', 'CHEMBL121676', 'DTXSID8021852', 'CTK3J0498', 'TZOVOULUMXXLOJ-UHFFFAOYSA-', 'ZINC1091783', '0763AA', 'ANW-14813', '1-methyl-4-(p-tolyldisulfanyl)benzene', 'AKOS001086415', 'API0001273', 'CS-W014118', 'MCULE-4274891750', 'NSC-677466', 'VZ33581', 'UPCMLD0ENAT5297978:001', 'AK114192', 'AS-57904', 'CC-34060', 'LS-63063', 'SC-47227', 'AX8149523', 'BC4123903', 'DB-040424', 'FT-0631555', 'NS00020917', 'ST45022173', '1-methyl-4-(4-methylphenyl)disulfanylbenzene', '1-Methyl-4-[(4-methylphenyl)disulfanyl]benzene #', 'C-15032', 'J-000897', 'J-524063', 'Z56754522', 'F8881-7368']</t>
  </si>
  <si>
    <t>Compound(66027)</t>
  </si>
  <si>
    <t>C14H14S2</t>
  </si>
  <si>
    <t>dimethyl disulfide</t>
  </si>
  <si>
    <t>(methyldisulfanyl)methane</t>
  </si>
  <si>
    <t>['Dimethyl disulfide', 'METHYL DISULFIDE', '624-92-0', 'Dimethyldisulfide', 'Disulfide, dimethyl', 'Dimethyl disulphide', 'DMDS', '2,3-Dithiabutane', '(Methyldisulfanyl)methane', 'Methyldisulfide', 'Methyldithiomethane', '(Methyldithio)methane', 'Methyldisulfanylmethane', 'dimethyldisulphide', 'NSC 9370', 'UNII-3P8D642K5E', 'FEMA No. 3536', 'CCRIS 2939', '1,2-Dimethyldisulfane', 'HSDB 6400', 'EINECS 210-871-0', 'MFCD00008561', 'UN2381', 'AI3-25305', 'CHEBI:4608', '(CH3S)2', '3P8D642K5E', 'Methyl disulfide, 99%', 'dimethydisulfide', 'methyl disulphide', 'Dimethyl disulfane', 'Disulfide dimethyl', 'MeS-SMe', 'PubChem9665', 'methyldisulfanyl methane', 'Methyl disulfide (8CI)', 'Dimethyl disulfide, 98%', 'Dimethyl disulfide, 99%', 'DSSTox_CID_5117', 'EC 210-871-0', '(Methyldisulfanyl)methane #', 'DSSTox_RID_77673', 'DSSTox_GSID_25117', 'Dimethyl disulfide, &gt;=99%', 'WLN: 1SS1', 'CHEMBL1347061', 'Dimethyl disulfide, &gt;=99.0%', 'DTXSID4025117', 'CTK2F3131', 'NSC9370', 'BDBM233038', 'Dimethyl disulfide, &gt;=98%, FG', 'KS-000017OV', 'NSC-9370', 'ZINC8221057', 'EINECS 272-923-9', 'Tox21_201525', 'AKOS009157459', 'Methyl disulfide, 99%, AcroSeal(R)', 'Dimethyl disulfide, analytical standard', 'LS-1499', 'MCULE-7451882535', 'UN 2381', 'NCGC00091798-01', 'NCGC00091798-02', 'NCGC00259075-01', 'CAS-624-92-0', 'Dimethyl disulfide, natural, &gt;=98%, FG', 'D0714', 'Dimethyl disulfide, purum, &gt;=98.0% (GC)', 'NS00001484', 'EN300-36043', 'C08371', 'Dimethyl disulfide [UN2381] [Flammable liquid]', '224638-EP2371831A1', 'A833808', 'Dimethyl disulfide [UN2381]  [Flammable liquid]', 'Q419800', 'Q-100719', 'F0001-1676', 'Dimethyl disulfide;Methyl disulfide;Disulfides, di-C1-2-alkyl']</t>
  </si>
  <si>
    <t>Compound(12232)</t>
  </si>
  <si>
    <t>C2H6S2</t>
  </si>
  <si>
    <t>dimethyldithiocarbamate</t>
  </si>
  <si>
    <t>dimethylcarbamodithioic acid</t>
  </si>
  <si>
    <t>['Dimethyldithiocarbamic acid', 'DIMETHYLCARBAMODITHIOIC ACID', 'Dimethyldithiocarbamate', 'N,N-Dimethyldithiocarbamic acid', '79-45-8', 'UNII-2IMH4383Z4', 'Carbamic acid, dimethyldithio-', 'BRN 1740846', 'CHEBI:83061', '2IMH4383Z4', 'odium dimethyldithiocarbamate', 'dimethylaminomethanedithioic acid', '6332-55-4', 'N,N-dimethyldithiocarbamate', 'SCHEMBL37535', '4-04-00-00233 (Beilstein Handbook Reference)', 'Carbamodithioic acid, dimethyl-', 'CHEMBL1208358', 'DTXSID2043797', 'CTK5B8646', 'N,N-Dimethyl-carbamodithioic acid', 'ZINC1693329', 'STL326650', 'AKOS006343044', 'Carbamodithioic acid, dimethyl- (9CI)', 'OR53175', 'LS-49516', 'NCI60_041893', 'FT-0694967', 'NS00003797', 'Q27156609']</t>
  </si>
  <si>
    <t>Compound(6599)</t>
  </si>
  <si>
    <t>C3H7NS2</t>
  </si>
  <si>
    <t>dimethyl ether</t>
  </si>
  <si>
    <t>methoxymethane</t>
  </si>
  <si>
    <t>['DIMETHYL ETHER', 'Methoxymethane', 'Methyl ether', 'Dimethyl oxide', 'Oxybismethane', 'Methane, oxybis-', 'Methyl oxide', 'Wood ether', '115-10-6', 'Dymel A', 'Ether, dimethyl', 'Ether, methyl', 'Demeon D', 'dimethylether', "Methane, 1,1'-oxybis-", 'methylether', '(CH3)2O', 'UNII-AM13FS69BX', 'HSDB 354', 'EINECS 204-065-8', 'UN1033', 'AM13FS69BX', 'CH3-O-CH3', 'CHEBI:28887', 'Dimethyl ether, puriss., &gt;=99.9% (GC)', 'monomethylether', 'Dimehtylether', 'Dymel', 'monomethyl ether', 'oxybis(methane)', 'mono methyl ether', 'Methyloxoniomethanide', 'Dimethyl ether 99%', 'OMe2', '(Methoxymethylidyne)radical', 'Dimethyl ether, &gt;=99%', 'EC 204-065-8', 'Dimethyl ether, &gt;=99.9%', 'CHEMBL119178', 'DTXSID8026937', 'CTK0H8787', 'AKOS015915866', 'Dimethyl ether, puriss., &gt;=99.8%', 'FCH1118015', 'OR51882', 'UN 1033', 'LS-91412', 'Dimethyl ether [UN1033] [Flammable gas]', '158-EP2274983A1', '158-EP2289965A1', '158-EP2295433A2', '158-EP2298761A1', '158-EP2301934A1', '158-EP2305646A1', '158-EP2305687A1', '158-EP2308858A1', '158-EP2308861A1', '158-EP2311816A1', '158-EP2311817A1', '397-EP2272834A1', '397-EP2272839A1', '397-EP2272840A1', '397-EP2272972A1', '397-EP2272973A1', '397-EP2275411A2', '397-EP2275420A1', '397-EP2277872A1', '397-EP2298745A1', '397-EP2298761A1', '397-EP2301929A1', '397-EP2301934A1', '397-EP2301935A1', '397-EP2305674A1', '397-EP2308861A1', '397-EP2311841A1', 'Dimethyl ether [UN1033]  [Flammable gas]', 'FT-0628727', 'M0224', 'NS00002398', 'C11144', '90196-EP2272834A1', '90196-EP2301929A1', '90196-EP2301935A1', '90196-EP2305674A1', 'Methane, oxybis-;dimethyl ether;DIMETHYL ETHER', '119350-EP2371811A2', '119350-EP2373602A1', 'Q408050', '2F2']</t>
  </si>
  <si>
    <t>Compound(8254)</t>
  </si>
  <si>
    <t>dimethyl phthalate</t>
  </si>
  <si>
    <t>dimethyl benzene-1,2-dicarboxylate</t>
  </si>
  <si>
    <t>['Dimethyl phthalate', '131-11-3', 'DIMETHYLPHTHALATE', 'Fermine', 'Solvanom', 'Avolin', 'Solvarone', 'Phthalic acid dimethyl ester', 'Mipax', 'Palatinol M', 'Unimoll DM', 'Repeftal', 'Dimethyl o-phthalate', 'Methyl phthalate', 'dimethyl benzene-1,2-dicarboxylate', 'Phthalsaeuredimethylester', 'Dimethyl 1,2-benzenedicarboxylate', '1,2-Benzenedicarboxylic acid, dimethyl ester', 'Dimethyl benzene-o-dicarboxylate', 'ENT 262', 'Phtalate de dimethyle', 'Caswell No. 380', 'Phthalic acid, dimethyl ester', 'DMF (insect repellant)', 'Dimethyl benzeneorthodicarboxylate', 'UNII-08X7F5UDJM', 'RCRA waste number U102', 'NSC 15398', 'Dimethyl phthalate [BSI:ISO]', 'CCRIS 2674', '1,2-Benzenedicarboxylic acid, 1,2-dimethyl ester', 'DMF, insect repellent', 'HSDB 1641', 'Phthalsaeuredimethylester [German]', 'Phtalate de dimethyle [ISO-French]', 'EINECS 205-011-6', 'Dimethyl phthalate, 99%', 'RCRA waste no. U102', 'Dimethylester kyseliny ftalove [Czech]', 'EPA Pesticide Chemical Code 028002', 'Benzenedicarboxylic acid, dimethyl ester', '08X7F5UDJM', 'AI3-00262', 'CHEBI:4609', 'CHEMBL323348', 'NTM', '1,2-dimethyl benzene-1,2-dicarboxylate', 'NCGC00090692-02', 'benzene-1,2-dicarboxylic acid dimethyl ester', 'DSSTox_CID_2455', 'DSSTox_RID_76596', 'DSSTox_GSID_22455', 'Dimethyl phthalate, &gt;=99%', 'methyl 2-(methoxycarbonyl)benzoate', 'dimethyl-phthalate', 'CAS-131-11-3', 'Dimethyl phthalate, PESTANAL(R), analytical standard', 'Dimethylester kyseliny ftalove', 'Dimetylphthalate', 'Kemester DMP', 'Kodaflex DMP', '1,dimethyl ester', 'Dimethyl phthalate.', 'Uniplex 110', 'Dimethyl orthophthalate', '1,2-dimethyl phthalate', 'Dimethylphthalate - DMP', 'ACMC-1BF2T', 'Dimethyl phthalate [USP]', 'Phthalic acid methyl ester', 'EC 205-011-6', 'WLN: 1OVR BVO1', '1,2-benzenedicarboxylic acid 1,2-dimethyl ester', 'SCHEMBL34630', 'KSC177K2F', 'MLS002177801', 'BIDD:ER0349', 'Phthalic acid, bis-methyl ester', 'DTXSID3022455', 'CTK0H7522', 'Dimethyl 1,2-benzendicarboxylate', 'KS-00000VLC', 'ZINC391885', 'HY-N7106', 'NSC15398', 'Tox21_113536', 'Tox21_202145', 'Tox21_301045', 'ANW-19261', 'BDBM50090983', 'LS-737', 'MFCD00008425', 'NSC-15398', 's5378', 'SBB060335', 'STL283931', 'AKOS008969337', 'CCG-266531', 'DB13336', 'MCULE-5213082728', 'NE10578', 'NCGC00090692-01', 'NCGC00090692-03', 'NCGC00090692-04', 'NCGC00090692-05', 'NCGC00090692-06', 'NCGC00254947-01', 'NCGC00259694-01', 'I952', 'SC-79614', 'SMR000777937', 'DB-062803', 'CS-0013572', 'FT-0625095', 'NS00010268', 'P0302', 'ST50406382', 'EN300-18366', 'C11233', 'Dimethyl phthalate 5000 microg/mL in Methanol', 'Dimethyl phthalate, SAJ special grade, &gt;=99.0%', 'Q423551', 'J-005938', 'Z57902306', 'Density Standard 1191 kg/m3, H&amp;D Fitzgerald Ltd. Quality', 'BENZENE,1,2-DICARBOXYLIC ACID,DIMETHYL ESTER  (PHTHALIC ACID,DIMETHYL ESTER)']</t>
  </si>
  <si>
    <t>Compound(8554)</t>
  </si>
  <si>
    <t>C10H10O4</t>
  </si>
  <si>
    <t>dimethyl nitrosamine</t>
  </si>
  <si>
    <t>N,N-dimethylnitrous amide</t>
  </si>
  <si>
    <t>['N-NITROSODIMETHYLAMINE', 'Dimethylnitrosamine', '62-75-9', 'Dimethylnitrosoamine', 'NDMA', 'N-Methyl-N-nitrosomethanamine', 'N,N-Dimethylnitrosamine', 'Methanamine, N-methyl-N-nitroso-', 'N,N-dimethylnitrous amide', 'Nitrosodimethylamine', 'DMNA', 'Dimethylnitrosamin', 'N-Nitroso-N,N-dimethylamine', 'Dimethylamine, N-nitroso-', 'N-Nitroaodimethylamine', 'N-Dimethyl-nitrosamine', 'RCRA waste number P082', 'nitrous dimethylamide', 'NSC 23226', 'Nitrosamine, dimethyl-', 'N-methyl-N-nitroso-methanamine', 'Dimethylnitrosamin [German]', 'DMN', 'UNII-M43H21IO8R', 'CCRIS 261', '1,1-Dimethyl-2-oxohydrazine', 'N-Nitrosodimethylamine (NDMA)', 'N-dimethylnitrosoamine', 'dimethyl(nitroso)amine', 'Methanamine,N-methyl-N-nitroso-', 'HSDB 1667', 'n-nitroso-dimethylamine', 'EINECS 200-549-8', 'RCRA waste no. P082', 'BRN 1738979', '(CH3)2NNO', 'AI3-25308', 'MLS001065602', 'M43H21IO8R', 'Methamine, N-methyl-N-nitroso-', 'CHEBI:35807', 'SMR000568479', 'DSSTox_CID_1029', 'Dimethylnitrosamin (german)', 'DSSTox_RID_75914', 'DSSTox_GSID_21029', 'CAS-62-75-9', 'N Nitrosodimethylamine', 'NDMA Nitrosodimethylamine', 'Nitrosodimethylamine, NDMA', 'dimethyl-nitrosamine', 'N, N-Dimethylnitrosamine', 'N,N-dimethyl nitrous amide', 'N,N-dimethyl-nitrous amide', 'cid_6124', 'N, N-dimethyl nitrous amide', 'N-N-Dimethyl N Nitrosoamine', 'N-Methyl-N-nitroso-Methamine', 'BIDD:ER0584', 'WLN: ONN1&amp;1', 'CHEMBL117311', 'DTXSID7021029', '1,1-Dimethyl-2-oxohydrazine #', 'BDBM73982', 'CTK5B5914', 'EBD71417', 'NSC23226', 'ZINC4658628', 'N-Methyl-N-nitrosomethanamine, 9CI', 'Tox21_201663', 'Tox21_302873', '6868AF', 'NSC-23226', 'AKOS016000499', 'LS-1482', 'MCULE-1157726226', 'NCGC00091431-01', 'NCGC00091431-02', 'NCGC00091431-03', 'NCGC00256498-01', 'NCGC00259212-01', 'N-Nitrosodimethylamine, analytical standard', 'D0761', 'FT-0672951', 'NS00000636', 'N-Nitrosodimethylamine 0.2 mg/ml in Methanol', 'C14704', 'A833977', 'N-Nitroso-dimethylamine 10 microg/mL in Methanol', 'N-Nitroso-dimethylamine 100 microg/mL in Methanol', 'N-nitrosodimethylamine 1000 microg/mL in Methanol', 'Q409367', 'N-Nitrosodimethylamine 1000 microg/mL in Dichloromethane', 'N-Nitrosodimethylamine (NDMA) 5000 microg/mL in Methanol', 'N-nitrosodimethylamine 1000 microg/mL in Methanol, Second Source', 'N-Nitrosodimethylamine (NDMA);Dimethylnitrosoamine;dimethylnitrosoamine']</t>
  </si>
  <si>
    <t>Compound(6124)</t>
  </si>
  <si>
    <t>C2H6N2O</t>
  </si>
  <si>
    <t>dimethyl sulfide</t>
  </si>
  <si>
    <t>methylsulfanylmethane</t>
  </si>
  <si>
    <t>['dimethyl sulfide', 'Methyl sulfide', '75-18-3', 'Methane, thiobis-', 'dimethyl sulphide', 'dimethylsulfide', 'Methyl thioether', 'Dimethyl thioether', 'Dimethylsulphide', '2-Thiapropane', '(Methylsulfanyl)methane', 'Methylthiomethane', 'Dimethylsulfid', 'Methyl sulphide', 'Methyl monosulfide', 'Dimethyl monosulfide', '2-Thiopropane', 'Methanethiomethane', 'Thiobis(methane)', 'Exact-S', 'Thiobismethane', 'METHYLSULFANYLMETHANE', 'Sulfure de methyle', 'Dimethyl sulfide (natural)', 'dimethylsulfane', 'methylsulfide', 'Dimethylsulfid [Czech]', 'Methylthiomethyl radical', 'UNII-QS3J7O7L3U', "Methane, 1,1'-thiobis-", 'Sulfure de methyle [French]', 'FEMA No. 2746', 'HSDB 356', 'EINECS 200-846-2', 'MFCD00008562', 'UN1164', '[SMe2]', 'BRN 1696847', 'QS3J7O7L3U', 'AI3-25274', 'CHEBI:17437', '(CH3)2S', 'Dimethyl sulfide [UN1164] [Flammable liquid]', 'Methyl sulfide, 99+%, extra pure', 'Methylsulphide', 'Thiopropane', 'Thiobis-methane', 'di-methylsulfide', 'Dimethyl sulfane', 'Sulfide, methyl-', 'Dimethyl sulphide.', '(methylthio)methane', 'Me2S', 'REDUCED-DMSO', 'SMe2', 'Nat. Dimethyl Sulfide', 'ACMC-1BBLH', 'Dimethyl sulfide, 98%', 'reduced dimethyl sulfoxide', '(Methylsulfanyl)methane #', 'Dimethyl sulfoxide(Reduced)', 'EC 200-846-2', '(Me)2S', 'Dimethyl sulfide, &gt;=99%', 'C2H6S', '(Methylthiomethylidyne)radical', '4-01-00-01275 (Beilstein Handbook Reference)', 'KSC377G0P', 'CHEMBL15580', 'DTXSID9026398', 'CTK2H7307', 'S(CH3)2', 'Dimethyl sulfide, &gt;=99%, FCC', 'KS-00000X7Y', '6873AF', 'ANW-36574', 'Dimethyl sulfide, analytical standard', 'STL481894', 'Dimethyl sulfide, &gt;=95.0% (GC)', 'dimethyl sulphide;DIMETHYL SULPHIDE', 'AKOS009031411', 'LS-2960', 'MCULE-4525381422', 'UN 1164', 'Dimethyl sulfide, anhydrous, &gt;=99.0%', '31533-72-9', 'SC-26847', 'M0431', 'NS00005000', 'Dimethyl sulfide, puriss., &gt;=99.0% (GC)', 'C00580', 'Dimethyl sulfide, natural, &gt;=99%, FCC, FG', '13741-EP2269977A2', '13741-EP2277865A1', '13741-EP2280006A1', '13741-EP2284171A1', '13741-EP2287153A1', '13741-EP2298767A1', '13741-EP2305656A1', '13741-EP2308851A1', '13741-EP2308873A1', '13741-EP2311820A1', '13741-EP2314576A1', '13741-EP2314587A1', '13741-EP2316836A1', '13838-EP2292595A1', '13838-EP2295409A1', '13838-EP2295426A1', '13838-EP2295427A1', '13838-EP2295437A1', '13838-EP2298775A1', '13838-EP2311820A1', '13838-EP2316836A1', '18767-EP2270003A1', '18767-EP2272832A1', '18767-EP2277848A1', '18767-EP2292576A2', '18767-EP2292597A1', '18767-EP2301933A1', '18767-EP2305672A1', '18767-EP2308510A1', '18767-EP2308838A1', '18767-EP2308877A1', '18767-EP2311827A1', '18767-EP2314576A1', '18767-EP2314587A1', '47704-EP2280006A1', '47704-EP2311811A1', '80926-EP2295426A1', '80926-EP2295427A1', '80926-EP2305687A1', 'Dimethyl sulfide [UN1164]  [Flammable liquid]', 'A838342', 'Dimethyl sulfide, redistilled, &gt;=99%, FCC, FG', 'Q423133', 'Q-100810', 'methyl sulphide, dimethyl sulphide, exact-S, thiobismethane']</t>
  </si>
  <si>
    <t>Compound(1068)</t>
  </si>
  <si>
    <t>dimethyl sulfoxide</t>
  </si>
  <si>
    <t>methylsulfinylmethane</t>
  </si>
  <si>
    <t>['dimethyl sulfoxide', 'DMSO', '67-68-5', 'Methyl sulfoxide', 'Methylsulfinylmethane', 'Dimethylsulfoxide', 'Dimethyl sulphoxide', 'Methane, sulfinylbis-', 'Demsodrox', 'Demasorb', 'Demavet', 'Dimexide', 'Domoso', 'Dromisol', 'Durasorb', 'Infiltrina', 'Somipront', 'Syntexan', 'Deltan', 'Demeso', 'Dolicur', 'Hyadur', 'sulfinylbismethane', 'Dimethyl sulfur oxide', 'Dermasorb', 'Dipirartril-tropico', 'Doligur', 'Kemsol', 'Topsym', 'Gamasol 90', 'Sulfinylbis(methane)', 'Sclerosol', 'Dimethylsulphoxide', 'Rimso-50', 'Dimethylsulfoxid', 'Dimethylsulfoxyde', 'Rimso 50', 'NSC-763', 'Caswell No. 381', 'SQ 9453', 'Dimetil sulfoxido', 'Sulfinylbis-methane', 'Dimethyli sulfoxidum', 'Topsym (rescinded)', 'Rimso-5', 'methanesulfinylmethane', 'Domoso (Veterinary)', 'CCRIS 943', "Methane, 1,1'-sulfinylbis-", '(methylsulfinyl)methane', 'methylsulfoxide', '(CH3)2SO', 'DMS-90', 'NSC 763', 'Dimetilsolfossido [DCIT]', 'A 10846', 'Methyl sulphoxide', 'dimethyl-sulfoxide', 'S(O)Me2', 'M 176', 'UNII-YOW8V9698H', 'MFCD00002089', 'HSDB 80', 'EPA Pesticide Chemical Code 000177', 'DMS 70', 'DMS 90', 'DMS-70', 'Dimethylsulfoxyde [INN-French]', 'AI3-26477', 'Dimetil sulfoxido [INN-Spanish]', 'Dimethyli sulfoxidum [INN-Latin]', '(methanesulfinyl)methane', 'EINECS 200-664-3', 'C2H6OS', 'CHEMBL504', 'NSC763', 'YOW8V9698H', 'CHEBI:28262', 'SQ-9453', 'Di[(2H3)methyl] sulphoxide', 'Methyl sulfoxide, 99.7%, pure', 'Dimexidum', 'Rimso', 'sulfinyldimethane', 'Dimethylsulphinyl', 'Dimetilsolfossido', 'Dimethyl sulpoxide', 'Methyl sulfoxide, 99.8+%, for HPLC', 'Methyl sulfoxide, 99.8+%, extra pure', 'Methyl sulfoxide, 99.5+%, for analysis', 'Methyl sulfoxide, 99.9+%, ACS reagent', 'Sulfoxide, dimethyl', 'Rimso 100', 'Methyl sulfoxide, 99.8+%, for peptide synthesis', 'Methyl sulfoxide, 99.7+%, Extra Dry, AcroSeal(R)', 'Diluent', 'dimethysulfoxide', 'dimethlysulfoxide', 'dimethvlsulfoxide', 'dimethyisulfoxide', 'dimethylsulphoxid', 'dimethy sulfoxide', 'dimetyl sulfoxide', 'dimethyisulphoxide', 'Dimethyl sulfoxide [USAN:INN]', 'Methyl sulfoxide, 99.7+%, Extra Dry over Molecular Sieve, AcroSeal(R)', 'dimethyl sulfoxyde', 'dimethyl-sulfoxyde', 'dimethyl suiphoxide', 'dimethyl-sulphoxide', 'dirnethyl sulfoxide', 'Dimethyl sulfoxixde', 'methylsulfmylmethane', 'dimethyl sulf oxide', 'Sulfinyl bis(methane)', '2-Thiapropane2-oxide', 'Dimethyl sulfoxide [USAN:USP:INN:BAN]', 'DMSO, sterile filtered', 'dimethylsulfoxide solution', 'Methyl sulfoxide (8CI)', 'Rimso-50 (TN)', 'Dimethyl sulfoxide(DMSO)', 'DMSO (Sterile-filtered)', 'Dimethyl sulfoxide, 99%', 'DMSO, Dimethyl Sulfoxide', 'DSSTox_CID_1735', 'Dimethyl sulfoxide solution', '(DMSO)', 'EC 200-664-3', 'Sulfinylbis-methane (9CI)', 'ACMC-1BH88', 'DSSTox_RID_76298', 'H3C-SO-CH3', 'BIDD:PXR0182', 'DSSTox_GSID_21735', 'Dimethyl sulfoxide, &gt;=99%', 'Dimethyl sulfoxide, for HPLC', 'KSC353A9L', 'Methane, sulfinylbis- (9CI)', 'WLN: OS1&amp;1', 'Dimethyl sulfoxide, HPLC Grade', 'Dimethyl sulfoxide, &gt;=99.5%', 'Dimethyl sulfoxide, PCR Reagent', 'DTXSID2021735', 'CTK2F3095', 'Dimethyl sulfoxide,  ACS reagent', 'Methyl sulfoxide, &gt;=99%, FG', 'Dimethyl sulfoxide, p.a., 99%', 'Dimethyl sulfoxide, LR, &gt;=99%', 'Pharmakon1600-01506122', 'Dimethyl sulfoxide (JAN/USP/INN)', 'KS-00000VT9', 'ZINC5224188', 'Tox21_300957', 'ANW-42740', 'BDBM50026472', 'NSC760436', 'STL264194', 'Dimethyl sulfoxide, AR, &gt;=99.5%', 'AKOS000121107', 'CCG-213615', 'DB01093', 'Dimethyl sulfoxide, analytical standard', 'LS-1568', 'MCULE-2005841258', 'Methylsulfinylmethane;dimethyl sulfoxide', 'NSC-760436', 'CAS-67-68-5', 'MRF-0000764', '(methanesulfinyl)methanedimethyl sulfoxide', 'Dimethyl sulfoxide, for molecular biology', 'NCGC00163958-01', 'NCGC00163958-02', 'NCGC00163958-03', 'NCGC00254859-01', 'Dimethyl sulfoxide, anhydrous, &gt;=99.9%', 'Dimethyl sulfoxide, HPLC grade, 99.9%', 'SC-16101', 'Dimethyl Sulfoxide [for Spectrophotometry]', 'Dimethyl sulfoxide, for HPLC, &gt;=99.5%', 'Dimethyl sulfoxide, for HPLC, &gt;=99.7%', 'DS-015031', 'D0798', 'D1159', 'D5293', 'Dimethyl sulfoxide, ACS reagent, &gt;=99.9%', 'Dimethyl sulfoxide, AldraSORB(TM), 99.8%', 'FT-0625099', 'FT-0625100', 'NS00001957', '1926-EP1441224A2', '1926-EP2269977A2', '1926-EP2269978A2', '1926-EP2269979A1', '1926-EP2269985A2', '1926-EP2269989A1', '1926-EP2269990A1', '1926-EP2269991A2', '1926-EP2269992A1', '1926-EP2269993A1', '1926-EP2269994A1', '1926-EP2269996A1', '1926-EP2270003A1', '1926-EP2270004A1', '1926-EP2270006A1', '1926-EP2270008A1', '1926-EP2270010A1', '1926-EP2270011A1', '1926-EP2270012A1', '1926-EP2270013A1', '1926-EP2270014A1', '1926-EP2270015A1', '1926-EP2270018A1', '1926-EP2272509A1', '1926-EP2272510A1', '1926-EP2272517A1', '1926-EP2272813A2', '1926-EP2272817A1', '1926-EP2272822A1', '1926-EP2272825A2', '1926-EP2272827A1', '1926-EP2272834A1', '1926-EP2272835A1', '1926-EP2272839A1', '1926-EP2272840A1', '1926-EP2272841A1', '1926-EP2272842A1', '1926-EP2272844A1', '1926-EP2272848A1', '1926-EP2272972A1', '1926-EP2272973A1', '1926-EP2274983A1', '1926-EP2275102A1', '1926-EP2275403A1', '1926-EP2275409A1', '1926-EP2275412A1', '1926-EP2275413A1', '1926-EP2275414A1', '1926-EP2275416A1', '1926-EP2275420A1', '1926-EP2275421A1', '1926-EP2275422A1', '1926-EP2275425A1', '1926-EP2277848A1', '1926-EP2277858A1', '1926-EP2277866A1', '1926-EP2277872A1', '1926-EP2277875A2', '1926-EP2277876A1', '1926-EP2277878A1', '1926-EP2277881A1', '1926-EP2277898A2', '1926-EP2277945A1', '1926-EP2279741A2', '1926-EP2279750A1', '1926-EP2280001A1', '1926-EP2280006A1', '1926-EP2280008A2', '1926-EP2280009A1', '1926-EP2280011A1', '1926-EP2280012A2', '1926-EP2280013A1', '1926-EP2280014A2', '1926-EP2281559A1', '1926-EP2281563A1', '1926-EP2281810A1', '1926-EP2281813A1', '1926-EP2281815A1', '1926-EP2281817A1', '1926-EP2281819A1', '1926-EP2281823A2', '1926-EP2281899A2', '1926-EP2284150A2', '1926-EP2284151A2', '1926-EP2284152A2', '1926-EP2284153A2', '1926-EP2284154A1', '1926-EP2284155A2', '1926-EP2284156A2', '1926-EP2284157A1', '1926-EP2284159A1', '1926-EP2284160A1', '1926-EP2284164A2', '1926-EP2284166A1', '1926-EP2284167A2', '1926-EP2284168A2', '1926-EP2284172A1', '1926-EP2284174A1', '1926-EP2284178A2', '1926-EP2284179A2', '1926-EP2286811A1', '1926-EP2286915A2', '1926-EP2287140A2', '1926-EP2287148A2', '1926-EP2287150A2', '1926-EP2287153A1', '1926-EP2287156A1', '1926-EP2287163A1', '1926-EP2287164A1', '1926-EP2287165A2', '1926-EP2287166A2', '1926-EP2287168A2', '1926-EP2289871A1', '1926-EP2289876A1', '1926-EP2289882A1', '1926-EP2289883A1', '1926-EP2289885A1', '1926-EP2289886A1', '1926-EP2289890A1', '1926-EP2289891A2', '1926-EP2289892A1', '1926-EP2289893A1', '1926-EP2289894A2', '1926-EP2292088A1', '1926-EP2292227A2', '1926-EP2292228A1', '1926-EP2292233A2', '1926-EP2292234A1', '1926-EP2292576A2', '1926-EP2292589A1', '1926-EP2292590A2', '1926-EP2292592A1', '1926-EP2292593A2', '1926-EP2292595A1', '1926-EP2292597A1', '1926-EP2292606A1', '1926-EP2292609A1', '1926-EP2292611A1', '1926-EP2292613A1', '1926-EP2292614A1', '1926-EP2292615A1', '1926-EP2292617A1', '1926-EP2292619A1', '1926-EP2292620A2', '1926-EP2292630A1', '1926-EP2295053A1', '1926-EP2295055A2', '1926-EP2295401A2', '1926-EP2295402A2', '1926-EP2295406A1', '1926-EP2295407A1', '1926-EP2295408A1', '1926-EP2295410A1', '1926-EP2295411A1', '1926-EP2295412A1', '1926-EP2295413A1', '1926-EP2295414A1', '1926-EP2295415A1', '1926-EP2295416A2', '1926-EP2295417A1', '1926-EP2295418A1', '1926-EP2295419A2', '1926-EP2295422A2', '1926-EP2295423A1', '1926-EP2295424A1', '1926-EP2295425A1', '1926-EP2295426A1', '1926-EP2295427A1', '1926-EP2295429A1', '1926-EP2295432A1', '1926-EP2295433A2', '1926-EP2295434A2', '1926-EP2295439A1', '1926-EP2295503A1', '1926-EP2295550A2', '1926-EP2298305A1', '1926-EP2298312A1', '1926-EP2298731A1', '1926-EP2298732A1', '1926-EP2298734A2', '1926-EP2298735A1', '1926-EP2298736A1', '1926-EP2298742A1', '1926-EP2298743A1', '1926-EP2298744A2', '1926-EP2298745A1', '1926-EP2298746A1', '1926-EP2298747A1', '1926-EP2298748A2', '1926-EP2298750A1', '1926-EP2298761A1', '1926-EP2298764A1', '1926-EP2298765A1', '1926-EP2298767A1', '1926-EP2298768A1', '1926-EP2298769A1', '1926-EP2298770A1', '1926-EP2298773A1', '1926-EP2298774A1', '1926-EP2298776A1', '1926-EP2298778A1', '1926-EP2298779A1', '1926-EP2298780A1', '1926-EP2298783A1', '1926-EP2301534A1', '1926-EP2301536A1', '1926-EP2301538A1', '1926-EP2301627A1', '1926-EP2301909A1', '1926-EP2301912A2', '1926-EP2301913A1', '1926-EP2301914A1', '1926-EP2301916A2', '1926-EP2301922A1', '1926-EP2301923A1', '1926-EP2301925A1', '1926-EP2301926A1', '1926-EP2301928A1', '1926-EP2301929A1', '1926-EP2301930A1', '1926-EP2301932A1', '1926-EP2301933A1', '1926-EP2301935A1', '1926-EP2301936A1', '1926-EP2301937A1', '1926-EP2301939A1', '1926-EP2301940A1', '1926-EP2302382A2', '1926-EP2302383A2', '1926-EP2305250A1', '1926-EP2305254A1', '1926-EP2305629A1', '1926-EP2305637A2', '1926-EP2305640A2', '1926-EP2305641A1', '1926-EP2305642A2', '1926-EP2305643A1', '1926-EP2305647A1', '1926-EP2305648A1', '1926-EP2305651A1', '1926-EP2305652A2', '1926-EP2305655A2', '1926-EP2305658A1', '1926-EP2305659A1', '1926-EP2305660A1', '1926-EP2305663A1', '1926-EP2305666A1', '1926-EP2305667A2', '1926-EP2305668A1', '1926-EP2305671A1', '1926-EP2305672A1', '1926-EP2305674A1', '1926-EP2305677A1', '1926-EP2305679A1', '1926-EP2305681A1', '1926-EP2305682A1', '1926-EP2305684A1', '1926-EP2305687A1', '1926-EP2305688A1', '1926-EP2305689A1', '1926-EP2305695A2', '1926-EP2305696A2', '1926-EP2305697A2', '1926-EP2305698A2', '1926-EP2305769A2', '1926-EP2305808A1', '1926-EP2308510A1', '1926-EP2308562A2', '1926-EP2308812A2', '1926-EP2308832A1', '1926-EP2308833A2', '1926-EP2308838A1', '1926-EP2308840A1', '1926-EP2308841A2', '1926-EP2308844A2', '1926-EP2308845A2', '1926-EP2308846A2', '1926-EP2308847A1', '1926-EP2308848A1', '1926-EP2308852A1', '1926-EP2308854A1', '1926-EP2308855A1', '1926-EP2308857A1', '1926-EP2308861A1', '1926-EP2308863A1', '1926-EP2308866A1', '1926-EP2308867A2', '1926-EP2308868A1', '1926-EP2308869A1', '1926-EP2308870A2', '1926-EP2308871A1', '1926-EP2308872A1', '1926-EP2308873A1', '1926-EP2308874A1', '1926-EP2308875A1', '1926-EP2308877A1', '1926-EP2308878A2', '1926-EP2308879A1', '1926-EP2308880A1', '1926-EP2308960A1', '1926-EP2311451A1', '1926-EP2311453A1', '1926-EP2311455A1', '1926-EP2311494A1', '1926-EP2311796A1', '1926-EP2311797A1', '1926-EP2311798A1', '1926-EP2311799A1', '1926-EP2311801A1', '1926-EP2311806A2', '1926-EP2311807A1', '1926-EP2311809A1', '1926-EP2311811A1', '1926-EP2311815A1', '1926-EP2311818A1', '1926-EP2311823A1', '1926-EP2311824A1', '1926-EP2311825A1', '1926-EP2311827A1', '1926-EP2311829A1', '1926-EP2311830A1', '1926-EP2311831A1', '1926-EP2311837A1', '1926-EP2311838A1', '1926-EP2311840A1', '1926-EP2311842A2', '1926-EP2311850A1', '1926-EP2314295A1', '1926-EP2314574A1', '1926-EP2314576A1', '1926-EP2314580A1', '1926-EP2314583A1', '1926-EP2314584A1', '1926-EP2314585A1', '1926-EP2314586A1', '1926-EP2314587A1', '1926-EP2314588A1', '1926-EP2314590A1', '1926-EP2314593A1', '1926-EP2315303A1', '1926-EP2316450A1', '1926-EP2316452A1', '1926-EP2316459A1', '1926-EP2316824A1', '1926-EP2316827A1', '1926-EP2316828A1', '1926-EP2316829A1', '1926-EP2316831A1', '1926-EP2316832A1', '1926-EP2316833A1', '1926-EP2316834A1', '1926-EP2316835A1', '1926-EP2316836A1', '1926-EP2316905A1', '1926-EP2316906A2', '1926-EP2371797A1', '1926-EP2371798A1', '1926-EP2371800A1', '1926-EP2371804A1', '1926-EP2371805A1', '1926-EP2371809A1', '1926-EP2371810A1', '1926-EP2371811A2', '1926-EP2374454A1', '1926-EP2374790A1', '1926-EP2374791A1', '1926-EP2374895A1', '1926-EP2377849A2', '1926-EP2380873A1', '1926-EP2380874A2', '4606-EP2269975A2', '4606-EP2269977A2', '4606-EP2269993A1', '4606-EP2269996A1', '4606-EP2269997A2', '4606-EP2270000A1', '4606-EP2270006A1', '4606-EP2270009A1', '4606-EP2270011A1', '4606-EP2270012A1', '4606-EP2270013A1', '4606-EP2270014A1', '4606-EP2270113A1', '4606-EP2270114A1', '4606-EP2272509A1', '4606-EP2272813A2', '4606-EP2272827A1', '4606-EP2272835A1', '4606-EP2272843A1', '4606-EP2272844A1', '4606-EP2272848A1', '4606-EP2272935A1', '4606-EP2275395A2', '4606-EP2275409A1', '4606-EP2275412A1', '4606-EP2275415A2', '4606-EP2275425A1', '4606-EP2275427A1', '4606-EP2277858A1', '4606-EP2277866A1', '4606-EP2277876A1', '4606-EP2277880A1', '4606-EP2277881A1', '4606-EP2280001A1', '4606-EP2280008A2', '4606-EP2280009A1', '4606-EP2280013A1', '4606-EP2280014A2', '4606-EP2281563A1', '4606-EP2281812A1', '4606-EP2281813A1', '4606-EP2281817A1', '4606-EP2281818A1', '4606-EP2284154A1', '4606-EP2284160A1', '4606-EP2284169A1', '4606-EP2286811A1', '4606-EP2287141A1', '4606-EP2287147A2', '4606-EP2287153A1', '4606-EP2287161A1', '4606-EP2287162A1', '4606-EP2287168A2', '4606-EP2289509A2', '4606-EP2289879A1', '4606-EP2289883A1', '4606-EP2289885A1', '4606-EP2289887A2', '4606-EP2289888A2', '4606-EP2289890A1', '4606-EP2289891A2', '4606-EP2289893A1', '4606-EP2289897A1', '4606-EP2292088A1', '4606-EP2292228A1', '4606-EP2292233A2', '4606-EP2292589A1', '4606-EP2292592A1', '4606-EP2292593A2', '4606-EP2292596A2', '4606-EP2292606A1', '4606-EP2292610A1', '4606-EP2292612A2', '4606-EP2292614A1', '4606-EP2292619A1', '4606-EP2292630A1', '4606-EP2295053A1', '4606-EP2295401A2', '4606-EP2295409A1', '4606-EP2295415A1', '4606-EP2295417A1', '4606-EP2295418A1', '4606-EP2295434A2', '4606-EP2295439A1', '4606-EP2298312A1', '4606-EP2298734A2', '4606-EP2298738A1', '4606-EP2298747A1', '4606-EP2298750A1', '4606-EP2298761A1', '4606-EP2298767A1', '4606-EP2298768A1', '4606-EP2298772A1', '4606-EP2301922A1', '4606-EP2301933A1', '4606-EP2301934A1', '4606-EP2305629A1', '4606-EP2305633A1', '4606-EP2305641A1', '4606-EP2305647A1', '4606-EP2305648A1', '4606-EP2305651A1', '4606-EP2305658A1', '4606-EP2305667A2', '4606-EP2305668A1', '4606-EP2305679A1', '4606-EP2305681A1', '4606-EP2305684A1', '4606-EP2305687A1', '4606-EP2305808A1', '4606-EP2308471A1', '4606-EP2308562A2', '4606-EP2308812A2', '4606-EP2308833A2', '4606-EP2308839A1', '4606-EP2308848A1', '4606-EP2308854A1', '4606-EP2308855A1', '4606-EP2308857A1', '4606-EP2308861A1', '4606-EP2308869A1', '4606-EP2308873A1', '4606-EP2308875A1', '4606-EP2309564A1', '4606-EP2309584A1', '4606-EP2311804A2', '4606-EP2311806A2', '4606-EP2311808A1', '4606-EP2311811A1', '4606-EP2311820A1', '4606-EP2311821A1', '4606-EP2311824A1', '4606-EP2311825A1', '4606-EP2311827A1', '4606-EP2311829A1', '4606-EP2311830A1', '4606-EP2311831A1', '4606-EP2311838A1', '4606-EP2311842A2', '4606-EP2314295A1', '4606-EP2314574A1', '4606-EP2314575A1', '4606-EP2314576A1', '4606-EP2314583A1', '4606-EP2314584A1', '4606-EP2314585A1', '4606-EP2314586A1', '4606-EP2315303A1', '4606-EP2315502A1', '4606-EP2316452A1', '4606-EP2316459A1', '4606-EP2316824A1', '4606-EP2316832A1', '4606-EP2316833A1', '4606-EP2316836A1', '4606-EP2371797A1', '4606-EP2371798A1', '4606-EP2371800A1', '4606-EP2371804A1', '4606-EP2371810A1', '4606-EP2371811A2', '4606-EP2374454A1', '4606-EP2374790A1', '4606-EP2374792A1', '4606-EP2374895A1', '4606-EP2377845A1', '6129-EP0930075A1', '6129-EP2269986A1', '6129-EP2269987A1', '6129-EP2269988A2', '6129-EP2269989A1', '6129-EP2269990A1', '6129-EP2269994A1', '6129-EP2270003A1', '6129-EP2270014A1', '6129-EP2270113A1', '6129-EP2272510A1', '6129-EP2272516A2', '6129-EP2272822A1', '6129-EP2272832A1', '6129-EP2272835A1', '6129-EP2272841A1', '6129-EP2272844A1', '6129-EP2272849A1', '6129-EP2272935A1', '6129-EP2272972A1', '6129-EP2272973A1', '6129-EP2274983A1', '6129-EP2275401A1', '6129-EP2275404A1', '6129-EP2275407A1', '6129-EP2275411A2', '6129-EP2275413A1', '6129-EP2275414A1', '6129-EP2275420A1', '6129-EP2275469A1', '6129-EP2277867A2', '6129-EP2277872A1', '6129-EP2277875A2', '6129-EP2277878A1', '6129-EP2277945A1', '6129-EP2279750A1', '6129-EP2280001A1', '6129-EP2280003A2', '6129-EP2280007A1', '6129-EP2280008A2', '6129-EP2280010A2', '6129-EP2280014A2', '6129-EP2281810A1', '6129-EP2281821A1', '6129-EP2281899A2', '6129-EP2284159A1', '6129-EP2284165A1', '6129-EP2284174A1', '6129-EP2287155A1', '6129-EP2287156A1', '6129-EP2287160A1', '6129-EP2287165A2', '6129-EP2287166A2', '6129-EP2287168A2', '6129-EP2287940A1', '6129-EP2289876A1', '6129-EP2289887A2', '6129-EP2289888A2', '6129-EP2289890A1', '6129-EP2289894A2', '6129-EP2289965A1', '6129-EP2292228A1', '6129-EP2292589A1', '6129-EP2292595A1', '6129-EP2292596A2', '6129-EP2292597A1', '6129-EP2292611A1', '6129-EP2292619A1', '6129-EP2292620A2', '6129-EP2292624A1', '6129-EP2292630A1', '6129-EP2295055A2', '6129-EP2295402A2', '6129-EP2295406A1', '6129-EP2295410A1', '6129-EP2295414A1', '6129-EP2295416A2', '6129-EP2295425A1', '6129-EP2298731A1', '6129-EP2298735A1', '6129-EP2298743A1', '6129-EP2298747A1', '6129-EP2298748A2', '6129-EP2298755A1', '6129-EP2298760A1', '6129-EP2298763A1', '6129-EP2298764A1', '6129-EP2298765A1', '6129-EP2298766A1', '6129-EP2298768A1', '6129-EP2298770A1', '6129-EP2298772A1', '6129-EP2298774A1', '6129-EP2298778A1', '6129-EP2298828A1', '6129-EP2299509A1', '6129-EP2299510A1', '6129-EP2301911A1', '6129-EP2301922A1', '6129-EP2301924A1', '6129-EP2301925A1', '6129-EP2301926A1', '6129-EP2301933A1', '6129-EP2301936A1', '6129-EP2301939A1', '6129-EP2301983A1', '6129-EP2305243A1', '6129-EP2305625A1', '6129-EP2305629A1', '6129-EP2305633A1', '6129-EP2305640A2', '6129-EP2305642A2', '6129-EP2305651A1', '6129-EP2305652A2', '6129-EP2305658A1', '6129-EP2305667A2', '6129-EP2305672A1', '6129-EP2305673A1', '6129-EP2305676A1', '6129-EP2305679A1', '6129-EP2305682A1', '6129-EP2305685A1', '6129-EP2305686A1', '6129-EP2308479A2', '6129-EP2308510A1', '6129-EP2308562A2', '6129-EP2308828A2', '6129-EP2308838A1', '6129-EP2308839A1', '6129-EP2308844A2', '6129-EP2308845A2', '6129-EP2308846A2', '6129-EP2308848A1', '6129-EP2308854A1', '6129-EP2308857A1', '6129-EP2308858A1', '6129-EP2308861A1', '6129-EP2308874A1', '6129-EP2308877A1', '6129-EP2308879A1', '6129-EP2308880A1', '6129-EP2308926A1', '6129-EP2311453A1', '6129-EP2311801A1', '6129-EP2311802A1', '6129-EP2311803A1', '6129-EP2311807A1', '6129-EP2311815A1', '6129-EP2311816A1', '6129-EP2311817A1', '6129-EP2311822A1', '6129-EP2311823A1', '6129-EP2311827A1', '6129-EP2311834A1', '6129-EP2311837A1', '6129-EP2311840A1', '6129-EP2314576A1', '6129-EP2314582A1', '6129-EP2314585A1', '6129-EP2314587A1', '6129-EP2314590A1', '6129-EP2316831A1', '6129-EP2316937A1', '6129-EP2371809A1', '6129-EP2371811A2', '6129-EP2371814A1', '6129-EP2380568A1', '6129-EP2380873A1', 'C11143', 'D01043', 'Dimethyl sulfoxide solution, 50 wt. % in H2O', 'Dimethyl sulfoxide, &gt;=99.6%, ReagentPlus(R)', 'Dimethyl sulfoxide, ReagentPlus(R), &gt;=99.5%', '25534-EP2272846A1', '25534-EP2275422A1', '25534-EP2277868A1', '25534-EP2277869A1', '25534-EP2277870A1', '25534-EP2284166A1', '25534-EP2287164A1', '25534-EP2292608A1', '25534-EP2298076A1', '25534-EP2298077A1', '25534-EP2298769A1', '25534-EP2298773A1', '25534-EP2301353A1', '25534-EP2305031A1', '25534-EP2305034A1', '25534-EP2305035A1', '25534-EP2308866A1', '25534-EP2308878A2', '25534-EP2314580A1', '25534-EP2374784A1', '25534-EP2374785A1', '25534-EP2374791A1', '44657-EP2272517A1', '44657-EP2281819A1', '44657-EP2287153A1', '44657-EP2292615A1', '44657-EP2298746A1', '44657-EP2298761A1', '44657-EP2301928A1', '44657-EP2305250A1', '44657-EP2305659A1', '44657-EP2311818A1', '52178-EP2284172A1', '52178-EP2287153A1', '52178-EP2292228A1', '52178-EP2292615A1', '52178-EP2292621A1', '52178-EP2292622A1', '52178-EP2295426A1', '52178-EP2295427A1', '52178-EP2301928A1', '52178-EP2301929A1', '52178-EP2301935A1', '52178-EP2305674A1', '52178-EP2305684A1', '52178-EP2305685A1', '52178-EP2305686A1', '52178-EP2308844A2', '52178-EP2308845A2', '52178-EP2308846A2', '61519-EP2270006A1', '61519-EP2308848A1', '68881-EP2270006A1', '68881-EP2277867A2', '68881-EP2280003A2', '68881-EP2292595A1', '68881-EP2308861A1', 'AB01563146_01', 'Dimethyl sulfoxide, p.a., ACS reagent, 99.9%', 'Dimethyl sulfoxide, SAJ first grade, &gt;=99.0%', 'Dimethyl sulfoxide, JIS special grade, &gt;=99.0%', 'Dimethyl sulfoxide, Vetec(TM) reagent grade, 99%', 'Q407927', 'Dimethyl sulfoxide, UV HPLC spectroscopic, 99.9%', 'Dimethyl sulfoxide, anhydrous, ZerO2(TM), &gt;=99.9%', 'Dimethyl sulfoxide, meets EP, USP testing specifications', 'Dimethyl sulfoxide, ACS spectrophotometric grade, &gt;=99.9%', 'Dimethyl sulfoxide, puriss. p.a., dried, &lt;=0.02% water', '4H-1,3-oxazine,2-cyclopentyl-5,6-dihydro-4,4,7-trimethyl-', 'Dimethyl sulfoxide, &gt;=99.5% (GC), plant cell culture tested', 'Dimethyl sulfoxide, BioUltra, for molecular biology, &gt;=99.5% (GC)', 'Dimethyl sulfoxide, European Pharmacopoeia (EP) Reference Standard', 'Dimethyl sulfoxide, puriss. p.a., ACS reagent, &gt;=99.9% (GC)', 'Dimethyl sulfoxide, Vetec(TM) reagent grade, anhydrous, &gt;=99.7%', 'Dimethyl sulfoxide, &gt;=99.0%, suitable for absorption spectrum analysis', 'Dimethyl sulfoxide, United States Pharmacopeia (USP) Reference Standard', 'Dimethyl sulfoxide, for inorganic trace analysis, &gt;=99.99995% (metals basis)', 'Dimethyl sulfoxide, meets EP testing specifications, meets USP testing specifications', 'Methyl sulfoxide, 99.8+%, for molecular biology, DNAse, RNAse and Protease free', 'Dimethyl sulfoxide, Hybri-Max(TM), sterile-filtered, BioReagent, suitable for hybridoma, &gt;=99.7%', 'Dimethyl sulfoxide, puriss., absolute, over molecular sieve (H2O &lt;=0.005%), &gt;=99.5% (GC)', 'Dimethyl sulfoxide, sterile-filtered, BioPerformance Certified, meets EP, USP testing specifications, suitable for hybridoma']</t>
  </si>
  <si>
    <t>Compound(679)</t>
  </si>
  <si>
    <t>C2H6OS</t>
  </si>
  <si>
    <t>dimethyl sulfate</t>
  </si>
  <si>
    <t>['DIMETHYL SULFATE', '77-78-1', 'Dimethyl sulphate', 'Sulfuric acid, dimethyl ester', 'dimethylsulfate', 'Dimethyl monosulfate', 'Dimethylsulfat', 'Sulfate dimethylique', 'Sulfuric acid dimethyl ester', 'Dimethylsulfaat', 'Dimetilsolfato', 'DMS (methyl sulfate)', 'Dwumetylowy siarczan', 'Sulfato de dimetilo', 'Dimethoxysulfone', 'Methyle (sulfate de)', 'DimethylSulphate', 'RCRA waste number U103', 'Sulfate de dimethyle', 'Dimethylester kyseliny sirove', 'Dimethylsulfat [Czech]', 'Methyl sulfate (VAN)', 'Dimethylsulfaat [Dutch]', 'Dimetilsolfato [Italian]', 'UNII-JW5CW40Z50', 'NSC 56194', 'CCRIS 265', 'Dwumetylowy siarczan [Polish]', 'Sulfate dimethylique [French]', 'Sulfate de dimethyle [French]', 'Sulfato de dimetilo [Spanish]', 'HSDB 932', 'Methyle (sulfate de) [French]', 'EINECS 201-058-1', 'Methyl sulfate, Me2SO4', 'UN1595', 'Dimethylester kyseliny sirove [Czech]', 'RCRA waste no. U103', 'BRN 0635994', 'AI3-52118', 'JW5CW40Z50', 'CHEBI:59050', 'DSSTox_CID_4055', 'DSSTox_RID_77271', 'DSSTox_GSID_24055', 'CAS-77-78-1', 'Dimethyl sulfate, 99+%, AcroSeal(R)', 'Me2SO4', 'dimethlysulfate', 'dimethysulfate', 'dimetylsulphate', 'dimethyl-sulfate', 'dirnethyl sulfate', 'Sulfate de methyle', 'dimethylsulfuric acid', 'dimethyl sulfuric acid', 'ACMC-20p1dz', 'DI-METHYL SULFATE', 'Dimethyl sulfate, 99+%', 'EC 201-058-1', 'SCHEMBL1249', 'WLN: 1OSWO1', 'Dimethyl sulfate, &gt;=99%', 'Sulphuric acid dimethyl ester', 'CHEMBL162150', 'Dimethyl sulfate, &gt;=99.8%', 'DTXSID5024055', '(CH3)2SO4', 'CTK7B4396', 'NSC56194', 'Tox21_202032', 'Tox21_300636', 'BBL034656', 'NSC-56194', 'STL264200', 'ZINC43426977', 'AKOS000119929', 'Dimethyl sulfate [UN1595] [Poison]', 'LS-1714', 'MCULE-2861298645', 'UN 1595', 'Dimethyl sulfate [UN1595]  [Poison]', 'NCGC00248118-01', 'NCGC00248118-02', 'NCGC00254411-01', 'NCGC00259581-01', 'BP-21324', 'VS-12630', 'Dimethyl sulfate, purum, &gt;=95.0% (GC)', '123-EP2274983A1', '123-EP2281820A2', '123-EP2284157A1', '123-EP2292624A1', '123-EP2298754A1', '123-EP2301536A1', '123-EP2301538A1', '123-EP2301925A1', '123-EP2308861A1', '123-EP2311455A1', '123-EP2311806A2', '123-EP2311824A1', '123-EP2311830A1', '123-EP2314582A1', '123-EP2316452A1', '123-EP2374790A1', '123-EP2377849A2', 'D0797', 'NS00006257', 'C19177', 'Dimethyl sulfate, SAJ first grade, &gt;=99.0%', 'Q413421', 'Dimethyl sulfate, puriss. p.a., &gt;=99.0% (GC)', 'Dimethyl sulfate, for GC derivatization, &gt;=99.0% (GC)', 'F1908-0099', 'Z1258948216']</t>
  </si>
  <si>
    <t>Compound(6497)</t>
  </si>
  <si>
    <t>C2H6O4S</t>
  </si>
  <si>
    <t>dimethyl tetrasulfide</t>
  </si>
  <si>
    <t>(methyltetrasulfanyl)methane</t>
  </si>
  <si>
    <t>['Dimethyl tetrasulfide', 'Tetrasulfide, dimethyl', 'Dimethyl tetrasulphide', '5756-24-1', '1,4-Dimethyltetrasulfane', '(methyltetrasulfanyl)methane', '1,4-Dimethyltetrasulfide', 'dimethyltetrasulfane', 'Q63398078', 'EINECS 227-278-8', 'Dimethyl pertetrasulfide', 'Methyl tetrasulfide, 8CI', '2,3,4,5-Tetrathiahexane', '1,4-Dimethyltetrasulfane #', 'SCHEMBL565279', 'DTXSID0063997', 'methyldisulfanyldisulfanyl-methane', 'CTK1G9074', 'AM806645', 'dimethyl tetrasulphide;Tetrasulfide, dimethyl', 'FT-0654011', 'NS00022407', '756D241', 'A831505', 'C-51300']</t>
  </si>
  <si>
    <t>Compound(79828)</t>
  </si>
  <si>
    <t>C2H6S4</t>
  </si>
  <si>
    <t>dimethyl trisulfide</t>
  </si>
  <si>
    <t>(methyltrisulfanyl)methane</t>
  </si>
  <si>
    <t>['Dimethyl trisulfide', '3658-80-8', 'Trisulfide, dimethyl', 'Methyl trisulfide', 'Dimethyl trisulphide', '2,3,4-Trithiapentane', 'DIMETHYLTRISULFIDE', '(methyltrisulfanyl)methane', 'dimethyltrisulfane', 'UNII-3E691T3NL1', 'DMTS', 'CH3SSSCH3', '3E691T3NL1', 'Dimethyl trisulfide, 98+%', 'Q-100435', 'FEMA No. 3275', 'Dimethyl trisufide', 'EINECS 222-910-9', '2,4-Trithiapentane', 'NSC 97324', 'trisulfane, dimethyl-', '1,3-Dimethyltrisulfane', 'AI3-26172', 'Methyl trisulfide (8CI)', 'ACMC-1CKK0', '1,3-Dimethyltrisulfane #', 'KSC223A3D', 'SCHEMBL446658', 'methylsulfanyldisulfanyl-methane', 'CHEBI:4614', 'DTXSID9063118', 'CTK1C3031', 'Dimethyl trisulfide, &gt;=98%, FG', 'KS-00000V9M', 'NSC97324', 'ANW-28444', 'MFCD00039808', 'NSC-97324', 's6311', 'AKOS015897465', 'FCH1116209', 'Dimethyl trisulfide, analytical standard', 'Dimethyl trisulfide;Trisulfide, dimethyl', 'CC-26995', '1,3-Dimethyltrisulfane (ACD/Name 4.0)', 'DB-003633', 'HY-128454', 'CS-0099182', 'D3418', 'FT-0625104', 'FT-0667568', 'NS00022106', 'C08372', '658D808', 'A823301', 'C-34424', 'Q5277321']</t>
  </si>
  <si>
    <t>Compound(19310)</t>
  </si>
  <si>
    <t>C2H6S3</t>
  </si>
  <si>
    <t>N,N-dimethylacetamide</t>
  </si>
  <si>
    <t>['N,N-DIMETHYLACETAMIDE', '127-19-5', 'Dimethylacetamide', 'Acetamide, N,N-dimethyl-', 'DMAc', 'Acetdimethylamide', 'Dimethyl acetamide', 'N,N-Dimethyl acetamide', 'Dimethylamide acetate', 'N,N-Dimethylethanamide', 'Dimethylacetone amide', 'Acetyldimethylamine', 'Acetic acid, dimethylamide', 'NSC 3138', 'N.N-Dimethylacetamide', 'Hallucinogen', 'CBC 510337', 'SK 7176', 'UNII-JCV5VDB3HY', 'Dimethylamid kyseliny octove', 'Acetyl dimethylamine', 'HSDB 74', 'U-5954', 'N,N-Dimethylacetamid', 'CCRIS 4623', 'N,N-dimethylacetoamide', 'N, N-dimethylacetamide', 'N,N-Dimethyl-acetamide', 'JCV5VDB3HY', 'Dimethylamid kyseliny octove [Czech]', 'EINECS 204-826-4', 'MFCD00008686', 'N,N-Dimethylacetamide solution', 'AI3-15276', 'DTXSID5020499', 'CHEBI:84254', 'DSSTox_CID_499', 'N,N-Dimethylacetamide solution (40% or less)', 'DSSTox_RID_75625', 'DSSTox_GSID_20499', 'N,N-Dimethylacetamide, 99%, pure', 'CAS-127-19-5', 'N,N-Dimethylacetamide, 99+%, extra pure', 'N,N-Dimethylacetamide, 99.5%, extra pure', 'N,N-Dimethylacetamide, 99.8+%, for HPLC', 'N,N-Dimethylacetamide, 99+%, for spectroscopy', 'Acetic acid dimethylamide', 'N,N-Dimethylacetamide, 99.5%, Extra Dry, AcroSeal(R)', 'dimethyacetamide', 'dimethylactamide', 'dimethylacteamide', 'trimethylformamide', 'N,N-Dimethylacetamide, 99.5%, Extra Dry over Molecular Sieve, AcroSeal(R)', 'dimeihyl acetamide', 'dimethyl-acetamide', 'n-dimethylacetamide', 'N,N-dimethyacetamide', 'N,N-dimethylactamide', 'N-Acetyldimethylamine', 'N,N dimethylacetamide', 'n,n,-dimethylacetamide', 'N,-N-dimethylacetamide', 'N,N -dimethylacetamide', 'N,N-di-methylacetamide', 'N,N-dimethylacet-amide', 'N, N-dimethylacetoamide', 'N,N-dimethyl acetoamide', 'DMAC, Dimethylacetamide', 'n,n,-dimethyl-acetamide', 'Acetic acid-dimethylamide', 'N,N-dimethyl- acetamide', 'ACMC-209bc9', 'EC 204-826-4', 'N,N-dimethyl-N-acetylamine', 'CH3CON(CH3)2', 'KSC175G6R', 'CHEMBL11873', 'CTK0H5368', 'N,N-Dimethylacetamide, &gt;=99%', 'NSC3138', 'WLN: 1VN1 &amp; 1', 'NSC-3138', 'ZINC1666602', 'Tox21_202174', 'Tox21_302787', 'ANW-18967', 'LS-711', 'STL482892', 'ACETIC ACID,AMIDE,N,N-DIMETHYL', 'AKOS000118789', 'CS-W023195', 'HY-W042416', 'MCULE-4256511309', 'N,N-Dimethylacetamide, p.a., 99.5%', 'N,N-Dimethylacetamide, AR, &gt;=99.5%', 'NCGC00159401-02', 'NCGC00159401-03', 'NCGC00256375-01', 'NCGC00259723-01', 'N,N-Dimethylacetamide, SAJ special grade', 'SC-54108', 'N,N-Dimethylacetamide, analytical standard', 'N,N-Dimethylacetamide, anhydrous, 99.8%', 'DB-041302', 'D0641', 'FT-0629514', 'FT-0642826', 'NS00006036', 'N,N-Dimethylacetamide, for HPLC, &gt;=99.7%', 'N,N-Dimethylacetamide, for HPLC, &gt;=99.9%', 'N,N-Dimethylacetamide, ReagentPlus(R), 99%', 'C20339', 'N,N-Dimethylacetamide, 99.5+%, for analysis', 'N,N-dimethylacetamide;Acetamide, N,N-dimethyl-', '13045-EP2277875A2', '13045-EP2284172A1', '13045-EP2287153A1', '13045-EP2287165A2', '13045-EP2287166A2', '13045-EP2292620A2', '13045-EP2295055A2', '13045-EP2295416A2', '13045-EP2298748A2', '13045-EP2298770A1', '13045-EP2305254A1', '13045-EP2305658A1', '13045-EP2305659A1', '13045-EP2308880A1', '13045-EP2311453A1', '13045-EP2316831A1', '25724-EP2275411A2', '25724-EP2315303A1', '25724-EP2380568A1', '77827-EP2272846A1', '77827-EP2277868A1', '77827-EP2277869A1', '77827-EP2277870A1', '77827-EP2292608A1', '77827-EP2298076A1', '77827-EP2298077A1', '77827-EP2301353A1', '77827-EP2305031A1', '77827-EP2305033A1', '77827-EP2305034A1', '77827-EP2305035A1', '77827-EP2308866A1', 'N,N-Dimethylacetamide, ReagentPlus(R), &gt;=99%', '124818-EP2269990A1', '124818-EP2277945A1', '124818-EP2295426A1', '124818-EP2295427A1', 'Q411452', 'N,N-Dimethylacetamide, SAJ first grade, &gt;=99.0%', 'N,N-Dimethylacetamide, UV HPLC spectroscopic, 99%', 'W-108388', 'N,N-Dimethylacetamide, anhydrous, ZerO2(TM), 99.8%', 'N,N-Dimethylacetamide, Vetec(TM) reagent grade, 98%', 'Z32014266', 'F0001-0392', 'N,N-Dimethylacetamide, puriss. p.a., &gt;=99.5% (GC)', 'N,N-Dimethylacetamide, spectrophotometric grade, &gt;=99%', 'N,N-Dimethylacetamide, for peptide synthesis, &gt;=99.8% (GC)', '5Y9', 'N,N-Dimethylacetamide, PharmaGrade, Manufactured under appropriate GMP controls for pharma and biopharmaceutical production., Ph Eur']</t>
  </si>
  <si>
    <t>Compound(31374)</t>
  </si>
  <si>
    <t>C4H9NO</t>
  </si>
  <si>
    <t>N,N-dimethyl-1-phenylmethanamine</t>
  </si>
  <si>
    <t>['N,N-DIMETHYLBENZYLAMINE', '103-83-3', 'Benzyldimethylamine', 'Dimethylbenzylamine', 'N-Benzyldimethylamine', 'N,N-dimethyl-1-phenylmethanamine', 'Benzenemethanamine, N,N-dimethyl-', 'BDMA', 'Benzyl-N,N-dimethylamine', 'N-(Phenylmethyl)dimethylamine', 'N,N-Dimethylbenzenemethanamine', 'Araldite accelerator 062', 'N,N-Dimethyl-N-benzylamine', 'N-Benzyl-N,N-dimethylamine', 'Benzylamine, N,N-dimethyl-', 'Sumine 2015', 'UNII-TYP7AXQ1YJ', "N,N'-Dimethylbenzylamine", 'NSC 5342', 'Benzyl-dimethyl-amine', 'CCRIS 6693', 'TYP7AXQ1YJ', 'EINECS 203-149-1', 'UN2619', 'AI3-26794', 'NCGC00090991-02', 'N,N-Dimethyl-benzylamin', 'DSSTox_CID_1854', 'DSSTox_RID_76367', 'DSSTox_GSID_21854', 'N,N-Dimethylbenzylamine, 99%', 'CAS-103-83-3', 'Benzenemethanamine, dimethyl-', 'Benzenemethamine, N,N-dimethyl-', 'Dabco BDMA', 'N,N-dimethyl-1-phenyl-methanamine', 'benzyldimethyl-amine', 'dimethylbenzyl amine', 'n-dimethylbenzylamine', 'dimethyl benzyl amine', 'N,N-Dmethylbenzylamne', 'N-benzyl dimethylamine', 'Benzylamine,N-dimethyl-', 'N,N,-dimethylbenzylamine', 'N,N-dimethyl benzylamine', 'N,N-dimethyl-benzylamine', 'N, N-Dimethylbenzylamine', 'ACMC-1C9EH', 'N,N-dimethyl benzyl amine', 'Benzenemethanamine,dimethyl-', 'EC 203-149-1', 'dimethyl (phenylmethyl)amine', 'SCHEMBL15900', 'KSC174Q6N', 'MLS002222342', 'CHEMBL45591', 'N,N-Dimethyl(phenyl)methanamine', 'DTXSID8021854', 'CTK0H4866', 'NSC5342', 'N,N-Dimethylbenzylamine, &gt;=99%', 'N,N-Dimethyl(phenyl)methanamine #', 'WLN: 1N1 &amp; 1R', 'KS-00000WJ5', 'NSC-5342', 'ZINC1680865', 'Tox21_113457', 'Tox21_200719', 'ANW-14979', 'MFCD00008329', 'SBB060233', 'AKOS000120578', 'MCULE-1078934827', 'UN 2619', 'NCGC00090991-01', 'NCGC00090991-03', 'NCGC00258273-01', '28262-13-7', 'AC-10211', 'I787', 'LS-43336', 'SMR001307284', 'Benzyldimethylamine [UN2619] [Corrosive]', 'Benzyldimethylamine [UN2619]  [Corrosive]', 'D0688', 'FT-0657620', 'NS00008694', 'ST51046456', '104102-EP2377813A1', '104102-EP2380869A1', '104102-EP2380870A1', '135594-EP2277868A1', '135594-EP2277869A1', '135594-EP2277870A1', '135594-EP2292608A1', 'Q424966', 'J-001043', 'J-523270', 'benzyldimethylamine;N,N-dimethylbenzylamine hydrochloride', 'N,N-Dimethylbenzylamine, for protein sequence analysis, &gt;=99.5% (GC)']</t>
  </si>
  <si>
    <t>Compound(7681)</t>
  </si>
  <si>
    <t>N,N-dimethylcarbamoyl chloride</t>
  </si>
  <si>
    <t>['DIMETHYLCARBAMOYL CHLORIDE', '79-44-7', 'Dimethylcarbamic chloride', 'Dimethylcarbamyl chloride', 'N,N-Dimethylcarbamoyl chloride', 'Carbamic chloride, dimethyl-', 'Dimethylcarbamoylchloride', 'Dimethylcarbamic acid chloride', 'N,N-Dimethylcarbamyl chloride', 'Carbamoyl chloride, dimethyl-', 'Dimethyl carbamoyl chloride', 'Dimethylcarbamidoyl chloride', 'DMCC', 'Dimethylchloroformamide', 'Chloroformic acid dimethylamide', '(Dimethylamino)carbonyl chloride', 'N,N-Dimethylcarbamidoyl chloride', 'Dimethyl carbamyl chloride', 'N,N-Dimethylcarbamic acid chloride', 'RCRA waste number U097', 'TL 389', 'CCRIS 257', 'UNII-5D54S95GT6', 'Dimethylkarbamoylchlorid [Czech]', 'HSDB 2656', 'Carbamyl chloride, N,N-dimethyl-', 'EINECS 201-208-6', 'MFCD00000635', 'UN2262', 'RCRA waste no. U097', 'NSC 122671', 'BRN 0878197', 'Dimethylamid kyseliny chlormravenci [Czech]', 'Chlorid kyseliny dimethylkarbaminove [Czech]', 'N,N-dimethyl carbamoyl chloride', 'CHEBI:82280', 'Carbamic chloride, N,N-dimethyl-', '5D54S95GT6', 'DSSTox_CID_512', 'DSSTox_RID_75634', 'DSSTox_GSID_20512', 'CAS-79-44-7', 'Dimethylkarbamoylchlorid', 'N,N-dimethylcarbamoylchloride', 'Dimethylamid kyseliny chlormravenci', 'Chlorid kyseliny dimethylkarbaminove', 'Me2NCOCl', 'Dimethylcarbamylchlorid', 'dimethylcarbamoylchlorid', 'dimethylcarbamylchloride', 'Dimethyl carbamylchloride', 'chloro-N,N-dimethylamide', 'dimethyl carbamoylchloride', 'dimethylcarbarnyl chloride', 'dirnethylcarbamoyl chloride', '(CH3)2NCOCl', 'ACMC-1CKW9', 'dimethyl-carbamoyl chloride', 'SCHEMBL924', 'N,N-dimethylchloroformamide', 'EC 201-208-6', 'Di methyl carbamoyl chloride', 'ClC(O)N(CH3)2', 'dimethylaminocarbonyl chloride', 'N,N-dimethylcarbamic chloride', 'KSC491C4B', 'Carbamyl chloride,N-dimethyl-', 'N,N-dimethyl-carbamoylchloride', 'WLN: GVN1&amp;1', 'dimethyl carbamic acid chloride', 'n,n-dimethyl carbamyl chloride', 'N,N-dimethyl-carbamic chloride', 'N,N-Dime thylcarbamyl Chloride', 'Chloroformic acid dimethyl amide', 'Dimethylcarbamyl chloride, 98%', 'N,N-dimethyl-carbamoyl chloride', 'CHEMBL1527556', 'DTXSID1020512', 'N,N-Dimethylaminoformyl chloride', 'CTK3J1140', 'N,N-dimethyl-carbamic acid chloride', 'ZINC1712063', 'Tox21_201334', 'Tox21_300116', 'BBL027301', 'NSC122671', 'SBB040876', 'STL370332', 'AKOS000120154', 'LS-1784', 'MCULE-1738506605', 'NSC-122671', 'KS-00000W67', 'NCGC00091795-01', 'NCGC00091795-02', 'NCGC00091795-03', 'NCGC00254074-01', 'NCGC00258886-01', 'K408', 'SC-15201', 'CARBAMIC ACID,N,N-DIMETHYL,CHLORIDE', 'D0695', 'FT-0629527', 'NS00009845', 'C19175', '31599-EP2272841A1', '31599-EP2284169A1', '31599-EP2287161A1', '31599-EP2287162A1', '31599-EP2292606A1', '31599-EP2308840A1', '31599-EP2308858A1', '31599-EP2311816A1', '31599-EP2311817A1', '46103-EP2295402A2', '46103-EP2295433A2', '46103-EP2311807A1', 'Dimethylcarbamoyl chloride [UN2262]  [Corrosive]', 'Dimethylcarbamoyl chloride [UN2262] [Corrosive]', 'Dimethylcarbamoyl chloride, purum, &gt;=98.0% (AT)', 'dimethylcarbamoyl chloride;Dimethyl carbamyl chloride', 'Q2563907', 'W-104263', 'F0001-2079']</t>
  </si>
  <si>
    <t>Compound(6598)</t>
  </si>
  <si>
    <t>C3H6ClNO</t>
  </si>
  <si>
    <t>N,N-dimethylformamide</t>
  </si>
  <si>
    <t>['N,N-DIMETHYLFORMAMIDE', 'Dimethylformamide', '68-12-2', 'N,N-Dimethylmethanamide', 'Dimethyl formamide', 'N-Formyldimethylamine', 'Formamide, N,N-dimethyl-', 'Dimethylformamid', 'DMF', 'DMFA', 'Dimetilformamide', 'Dwumetyloformamid', 'Formyldimethylamine', 'N,N-Dimethyl formamide', 'Dimethylforamide', 'Dimetylformamidu', 'DMF (amide)', 'NCI-C60913', 'dimethyl-Formamide', 'n,n,dimethylformamide', 'N,N-Dimethylformamid', 'Dimethylamid kyseliny mravenci', 'Caswell No. 366A', 'Dimetylformamidu [Czech]', 'Dimethylformamid [German]', 'Dimetilformamide [Italian]', 'Dwumetyloformamid [Polish]', 'MFCD00003284', 'HSDB 78', 'U-4224', 'UNII-8696NH0Y2X', 'CCRIS 1638', 'N,N-Dimetilformamida [Spanish]', 'n,n-dimethyl-Formamide', 'N, N-dimethylformamide', "N,N'-Dimethylformamide", 'N,N- Dimethylformamide', 'N,N-Dimethylformaldehyde', 'NSC 5356', 'Formic acid, amide, N,N-dimethyl-', 'EINECS 200-679-5', 'UN2265', 'Dimethylamid kyseliny mravenci [Czech]', 'EPA Pesticide Chemical Code 366200', 'AI3-03311', 'DTXSID6020515', 'CHEBI:17741', 'NSC5356', '8696NH0Y2X', 'NSC-5356', 'DSSTox_CID_515', 'DSSTox_RID_75636', 'DSSTox_GSID_20515', 'N,N Dimethylformamide', 'CAS-68-12-2', 'N,N-Dimethylformamide, 99+%, extra pure', 'N,N-Dimetilformamida', 'N,N-Dimethylformamide, 99.5%, for analysis', 'N,N-Dimethylformamide, for HPLC, &gt;=99.9%', 'N,N-Dimethylformamide, 99.8+%, ACS reagent', 'N,N-Dimethylformamide, 99.8%, for spectroscopy', 'N,N-Dimethylformamide, ACS reagent, &gt;=99.8%', 'N, N-dimethyl formamide', 'Dimethylformamide, N,N-', 'N,N-Dimethylformamide, 99.8%, for peptide synthesis', 'N,N-Dimethylformamide, 99.8+%, for spectroscopy ACS', 'N,N-Dimethylformamide, 99.8%, Extra Dry, AcroSeal(R)', 'dimethlforamide', 'dimethlformamide', 'dimethyformamide', 'dimetylformamide', 'N,N-Dimethylformamide, 99.9%, for biochemistry, AcroSeal(R)', 'dimehtylformamide', 'dimethlyformamide', 'dimethyiformamide', 'dimethy formamide', 'dimethy1formamide', 'dimethyl foramide', 'dimethyl formamid', 'dimehtylformarnide', 'dimethylformarnide', 'dimethylforrnamide', 'dirnethylformamide', 'N,N-Dimethylformamide, 99.8%, Extra Dry over Molecular Sieve, AcroSeal(R)', 'di-methylformamide', 'dimethylf ormamide', 'dimethylform amide', 'dimethylform-amide', 'dimethylformamid e', 'dimethylformamide-', 'dirnethylformarnide', 'N,N-Dimethylformamide, 99.8%, for molecular biology, DNAse, RNAse and Protease free', 'n-dimethylformamide', 'dimethyl form-amide', 'dimethyl- formamide', 'dimethylfor- mamide', 'N,n-dimethylforamide', 'formamide, dimethyl-', 'N,N-dimethlformamide', 'N,N-dimethyformamide', 'N,N-dimetylformamide', 'n,n.dimethylformamide', "N,N'dimethylformamide", 'N,N-dimethvlformamide', 'N.N-dimethylformamide', 'HCONMe2', 'Formamide,N-dimethyl-', 'N, N-dimethylforamide', "N,N'-dimethylforamide", 'N,N-dimethl formamide', 'N,N-dimethy formamide', 'N,N-dimethyl foramide', 'N,N-dimethyl formamid', 'N,N-dimethylformarnide', 'N,N-dimethylforrnamide', 'N,N-dimetyl formamide', 'N,N-dirnethylformamide', 'n,n,-dimethylformamide', 'Dimethylformamide, DMF', 'DMF, Dimethylformamide', 'N, N dimethylformamide', 'N,N -dimethylformamide', 'N,N dimethyl formamide', "N,N' dimethylformamide", 'N,N-di methylformamide', 'N,N-di-methylformamide', 'N,N-dime-thylformamide', 'N,N-dimehtyl formamide', 'N,N-dimethylfor mamide', 'N,N-dimethylfor-mamide', 'N,N-dimethylform-amide', 'N,N-dimethylformamide-', 'PubChem23341', 'N,N-di-methylforrnamide', 'Dimethyl Fornamide,(S)', 'DMF (dimethylformamide)', 'n,n,-dimethyl formamide', "N, N'-dimethylformamide", 'N, N- dimethylformamide', 'N, N-di-methylformamide', 'N, N-dimethyl-formamide', 'N,N- dimethyl formamide', 'N,N-di-methyl formamide', 'N,N-di-methyl-formamide', 'N,N-dimethyl -formamide', 'N,N-dimethyl- formamide', 'N, N-dimethylformaldehyde', 'bmse000709', 'EC 200-679-5', 'D.M.F', 'HCON(CH3)2', 'Dynasolve 100 (Salt/Mix)', 'KSC352S1B', 'BIDD:ER0600', 'WLN: VHN1&amp;1', 'ACMC-20976q', 'CHEMBL268291', 'D.M.F.', 'CTK2F2910', 'KS-00000UCQ', 'N,N-Dimethylformamide, 99.8%', 'N,N-Dimethylformamide HPLC grade', 'N,N-Dimethylformamide, ACS grade', 'ZINC901648', 'Dimethylformamide Reagent Grade ACS', 'N,N-Dimethylformamide, HPLC Grade', 'Tox21_201259', 'Tox21_300039', 'ANW-13584', 's6192', 'STL264197', 'N,N-Dimethylformamide, LR, &gt;=99%', 'AKOS000121096', 'FORMIN ACID,AMIDE,N,N-DIMETHYL', 'DB01844', 'EBD2222506', 'LS-1577', 'MCULE-6290117712', 'UN 2265', 'N,N-Dimethylformamide, p.a., 99.8%', 'N,N-Dimethylformamide, AR, &gt;=99.5%', 'NCGC00090785-01', 'NCGC00090785-02', 'NCGC00090785-03', 'NCGC00090785-04', 'NCGC00090785-05', 'NCGC00254093-01', 'NCGC00258811-01', 'K124', 'SC-18318', 'Dimethylformamide, n,n- Reagent Grade ACS', 'N,N-Dimethylformamide, analytical standard', 'N,N-Dimethylformamide, anhydrous, 99.8%', 'N,N-Dimethylformamide, 99.5%, for HPLC', '191-EP1441224A2', '191-EP2269610A2', '191-EP2269975A2', '191-EP2269977A2', '191-EP2269978A2', '191-EP2269979A1', '191-EP2269985A2', '191-EP2269988A2', '191-EP2269989A1', '191-EP2269990A1', '191-EP2269991A2', '191-EP2269992A1', '191-EP2269993A1', '191-EP2269994A1', '191-EP2269997A2', '191-EP2270001A1', '191-EP2270003A1', '191-EP2270004A1', '191-EP2270005A1', '191-EP2270006A1', '191-EP2270008A1', '191-EP2270009A1', '191-EP2270010A1', '191-EP2270011A1', '191-EP2270012A1', '191-EP2270013A1', '191-EP2270014A1', '191-EP2270015A1', '191-EP2270018A1', '191-EP2272509A1', '191-EP2272516A2', '191-EP2272517A1', '191-EP2272537A2', '191-EP2272813A2', '191-EP2272822A1', '191-EP2272825A2', '191-EP2272826A1', '191-EP2272827A1', '191-EP2272828A1', '191-EP2272832A1', '191-EP2272834A1', '191-EP2272835A1', '191-EP2272838A1', '191-EP2272839A1', '191-EP2272840A1', '191-EP2272841A1', '191-EP2272843A1', '191-EP2272845A2', '191-EP2272848A1', '191-EP2272972A1', '191-EP2272973A1', '191-EP2274983A1', '191-EP2275102A1', '191-EP2275105A1', '191-EP2275401A1', '191-EP2275409A1', '191-EP2275410A1', '191-EP2275411A2', '191-EP2275412A1', '191-EP2275413A1', '191-EP2275414A1', '191-EP2275415A2', '191-EP2275416A1', '191-EP2275420A1', '191-EP2275422A1', '191-EP2275423A1', '191-EP2275425A1', '191-EP2275469A1', '191-EP2277848A1', '191-EP2277858A1', '191-EP2277861A1', '191-EP2277865A1', '191-EP2277866A1', '191-EP2277867A2', '191-EP2277868A1', '191-EP2277869A1', '191-EP2277870A1', '191-EP2277872A1', '191-EP2277874A1', '191-EP2277875A2', '191-EP2277877A1', '191-EP2277878A1', '191-EP2277882A1', '191-EP2277945A1', '191-EP2279741A2', '191-EP2279750A1', '191-EP2280001A1', '191-EP2280003A2', '191-EP2280006A1', '191-EP2280008A2', '191-EP2280009A1', '191-EP2280010A2', '191-EP2280012A2', '191-EP2280014A2', '191-EP2281563A1', '191-EP2281810A1', '191-EP2281812A1', '191-EP2281813A1', '191-EP2281815A1', '191-EP2281819A1', '191-EP2281822A1', '191-EP2281823A2', '191-EP2281861A2', '191-EP2284148A1', '191-EP2284149A1', '191-EP2284150A2', '191-EP2284151A2', '191-EP2284152A2', '191-EP2284153A2', '191-EP2284154A1', '191-EP2284155A2', '191-EP2284156A2', '191-EP2284157A1', '191-EP2284160A1', '191-EP2284164A2', '191-EP2284166A1', '191-EP2284169A1', '191-EP2284171A1', '191-EP2284172A1', '191-EP2284174A1', '191-EP2284178A2', '191-EP2284179A2', '191-EP2286811A1', '191-EP2286812A1', '191-EP2286915A2', '191-EP2287140A2', '191-EP2287148A2', '191-EP2287150A2', '191-EP2287156A1', '191-EP2287161A1', '191-EP2287162A1', '191-EP2287164A1', '191-EP2287165A2', '191-EP2287166A2', '191-EP2287167A1', '191-EP2287168A2', '191-EP2289483A1', '191-EP2289510A1', '191-EP2289871A1', '191-EP2289876A1', '191-EP2289881A1', '191-EP2289883A1', '191-EP2289886A1', '191-EP2289890A1', '191-EP2289891A2', '191-EP2289892A1', '191-EP2289893A1', '191-EP2289894A2', '191-EP2292088A1', '191-EP2292228A1', '191-EP2292589A1', '191-EP2292590A2', '191-EP2292593A2', '191-EP2292595A1', '191-EP2292597A1', '191-EP2292606A1', '191-EP2292611A1', '191-EP2292613A1', '191-EP2292615A1', '191-EP2292617A1', '191-EP2292619A1', '191-EP2292620A2', '191-EP2292621A1', '191-EP2292625A1', '191-EP2292628A2', '191-EP2295053A1', '191-EP2295401A2', '191-EP2295402A2', '191-EP2295406A1', '191-EP2295407A1', '191-EP2295409A1', '191-EP2295410A1', '191-EP2295411A1', '191-EP2295412A1', '191-EP2295413A1', '191-EP2295414A1', '191-EP2295415A1', '191-EP2295416A2', '191-EP2295417A1', '191-EP2295418A1', '191-EP2295419A2', '191-EP2295426A1', '191-EP2295427A1', '191-EP2295428A2', '191-EP2295429A1', '191-EP2295432A1', '191-EP2295433A2', '191-EP2295434A2', '191-EP2295435A1', '191-EP2295437A1', '191-EP2295439A1', '191-EP2295503A1', '191-EP2298312A1', '191-EP2298728A1', '191-EP2298731A1', '191-EP2298734A2', '191-EP2298735A1', '191-EP2298736A1', '191-EP2298742A1', '191-EP2298743A1', '191-EP2298744A2', '191-EP2298745A1', '191-EP2298747A1', '191-EP2298748A2', '191-EP2298749A1', '191-EP2298750A1', '191-EP2298755A1', '191-EP2298758A1', '191-EP2298759A1', '191-EP2298761A1', '191-EP2298762A2', '191-EP2298764A1', '191-EP2298765A1', '191-EP2298768A1', '191-EP2298770A1', '191-EP2298774A1', '191-EP2298775A1', '191-EP2298776A1', '191-EP2298779A1', '191-EP2298780A1', '191-EP2298783A1', '191-EP2301534A1', '191-EP2301536A1', '191-EP2301538A1', '191-EP2301544A1', '191-EP2301909A1', '191-EP2301912A2', '191-EP2301916A2', '191-EP2301918A1', '191-EP2301921A1', '191-EP2301922A1', '191-EP2301923A1', '191-EP2301925A1', '191-EP2301926A1', '191-EP2301928A1', '191-EP2301929A1', '191-EP2301930A1', '191-EP2301931A1', '191-EP2301932A1', '191-EP2301933A1', '191-EP2301935A1', '191-EP2301936A1', '191-EP2301937A1', '191-EP2301939A1', '191-EP2301940A1', '191-EP2301983A1', '191-EP2305250A1', '191-EP2305254A1', '191-EP2305627A1', '191-EP2305636A1', '191-EP2305637A2', '191-EP2305640A2', '191-EP2305641A1', '191-EP2305643A1', '191-EP2305644A1', '191-EP2305647A1', '191-EP2305648A1', '191-EP2305652A2', '191-EP2305658A1', '191-EP2305659A1', '191-EP2305660A1', '191-EP2305664A1', '191-EP2305666A1', '191-EP2305667A2', '191-EP2305668A1', '191-EP2305671A1', '191-EP2305672A1', '191-EP2305674A1', '191-EP2305675A1', '191-EP2305676A1', '191-EP2305677A1', '191-EP2305679A1', '191-EP2305681A1', '191-EP2305682A1', '191-EP2305684A1', '191-EP2305687A1', '191-EP2305688A1', '191-EP2305689A1', '191-EP2305695A2', '191-EP2305696A2', '191-EP2305697A2', '191-EP2305698A2', '191-EP2305769A2', '191-EP2305808A1', '191-EP2308479A2', '191-EP2308812A2', '191-EP2308832A1', '191-EP2308833A2', '191-EP2308838A1', '191-EP2308840A1', '191-EP2308841A2', '191-EP2308844A2', '191-EP2308845A2', '191-EP2308846A2', '191-EP2308848A1', '191-EP2308849A1', '191-EP2308851A1', '191-EP2308855A1', '191-EP2308857A1', '191-EP2308861A1', '191-EP2308866A1', '191-EP2308867A2', '191-EP2308869A1', '191-EP2308870A2', '191-EP2308872A1', '191-EP2308873A1', '191-EP2308874A1', '191-EP2308875A1', '191-EP2308876A1', '191-EP2308879A1', '191-EP2308880A1', '191-EP2308882A1', '191-EP2308883A1', '191-EP2308960A1', '191-EP2311451A1', '191-EP2311455A1', '191-EP2311464A1', '191-EP2311494A1', '191-EP2311796A1', '191-EP2311797A1', '191-EP2311798A1', '191-EP2311799A1', '191-EP2311805A1', '191-EP2311806A2', '191-EP2311807A1', '191-EP2311808A1', '191-EP2311810A1', '191-EP2311815A1', '191-EP2311818A1', '191-EP2311824A1', '191-EP2311825A1', '191-EP2311826A2', '191-EP2311827A1', '191-EP2311829A1', '191-EP2311830A1', '191-EP2311831A1', '191-EP2311837A1', '191-EP2311838A1', '191-EP2311840A1', '191-EP2311842A2', '191-EP2311850A1', '191-EP2314295A1', '191-EP2314575A1', '191-EP2314576A1', '191-EP2314577A1', '191-EP2314580A1', '191-EP2314581A1', '191-EP2314582A1', '191-EP2314583A1', '191-EP2314584A1', '191-EP2314586A1', '191-EP2314590A1', '191-EP2314593A1', '191-EP2315303A1', '191-EP2315502A1', '191-EP2316450A1', '191-EP2316452A1', '191-EP2316457A1', '191-EP2316458A1', '191-EP2316470A2', '191-EP2316824A1', '191-EP2316825A1', '191-EP2316827A1', '191-EP2316828A1', '191-EP2316829A1', '191-EP2316830A2', '191-EP2316831A1', '191-EP2316832A1', '191-EP2316833A1', '191-EP2316834A1', '191-EP2316835A1', '191-EP2316836A1', '191-EP2316905A1', '191-EP2316906A2', '191-EP2371797A1', '191-EP2371798A1', '191-EP2371800A1', '191-EP2371804A1', '191-EP2371808A1', '191-EP2371812A1', '191-EP2371814A1', '191-EP2374454A1', '191-EP2374790A1', '191-EP2374791A1', '191-EP2374895A1', '191-EP2380873A1', '192-EP2275418A1', '192-EP2275420A1', '192-EP2277565A2', '192-EP2277566A2', '192-EP2277567A1', '192-EP2277568A2', '192-EP2277569A2', '192-EP2277570A2', '192-EP2277875A2', '192-EP2277945A1', '192-EP2279741A2', '192-EP2280008A2', '192-EP2280012A2', '192-EP2281815A1', '192-EP2284172A1', '192-EP2286811A1', '192-EP2289894A2', '192-EP2292280A1', '192-EP2292600A1', '192-EP2292624A1', '192-EP2292628A2', '192-EP2295055A2', '192-EP2295408A1', '192-EP2295416A2', '192-EP2295426A1', '192-EP2295427A1', '192-EP2295437A1', '192-EP2298738A1', '192-EP2298743A1', '192-EP2298748A2', '192-EP2298770A1', '192-EP2298775A1', '192-EP2298776A1', '192-EP2301911A1', '192-EP2301924A1', '192-EP2301926A1', '192-EP2305250A1', '192-EP2305642A2', '192-EP2305658A1', '192-EP2305667A2', '192-EP2308479A2', '192-EP2308833A2', '192-EP2308842A1', '192-EP2308874A1', '192-EP2311453A1', '192-EP2311815A1', '192-EP2311818A1', '192-EP2311820A1', '192-EP2314295A1', '192-EP2314581A1', '192-EP2380874A2', 'D0722', 'D0939', 'FT-0629532', 'FT-0629533', 'FT-0639029', 'FT-0696040', 'N,N-Dimethylformamide, anhydrous, amine free', 'NS00005138', 'N,N-Dimethylformamide, for HPLC, &gt;=99.5%', 'C03134', '14869-EP2272846A1', '14869-EP2277868A1', '14869-EP2277869A1', '14869-EP2277870A1', '14869-EP2284178A2', '14869-EP2284179A2', '14869-EP2287164A1', '14869-EP2292608A1', '14869-EP2298305A1', '14869-EP2305033A1', '14869-EP2308866A1', '14869-EP2308878A2', '14869-EP2314580A1', '14869-EP2316830A2', '70936-EP2269990A1', '70936-EP2277945A1', '70936-EP2281815A1', '70936-EP2295425A1', '70936-EP2295426A1', '70936-EP2295427A1', '70936-EP2298743A1', '70936-EP2308833A2', '70936-EP2374788A1', 'N,N-Dimethylformamide, AldraSORB(TM), 99.8%', 'N,N-Dimethylformamide, ReagentPlus(R), &gt;=99%', 'A836012', 'N,N-Dimethylformamide, biotech. grade, &gt;=99.9%', 'Q409298', 'N,N-Dimethylformamide [UN2265] [Flammable liquid]', 'N,N-Dimethylformamide, p.a., ACS reagent, 99.8%', 'N,N-Dimethylformamide, SAJ first grade, &gt;=99.0%', 'N,N-Dimethylformamide [UN2265]  [Flammable liquid]', 'N,N-Dimethylformamide, anhydrous, ZerO2(TM), 99.8%', 'N,N-Dimethylformamide, for molecular biology, &gt;=99%', 'N,N-Dimethylformamide, JIS special grade, &gt;=99.5%', 'N,N-Dimethylformamide, UV HPLC spectroscopic, 99.7%', 'N,N-Dimethylformamide, ACS spectrophotometric grade, &gt;=99.8%', 'N,N-Dimethylformamide, B&amp;J Brand (product of Burdick &amp; Jackson)', 'N,N-Dimethylformamide, Vetec(TM) reagent grade, anhydrous, &gt;=99.8%', 'Dimethylformamide, Pharmaceutical Secondary Standard; Certified Reference Material', 'N,N-Dimethylformamide, 99.8%, Extra Dry, AcroSeal(R), package of 4x25ML bottles', 'N,N-Dimethylformamide, p.a., ACS reagent, reag. ISO, reag. Ph. Eur., 99.8%', 'N,N-Dimethylformamide, puriss. p.a., ACS reagent, reag. Ph. Eur., &gt;=99.8% (GC)', 'Dimethylformamide;Dimethylformamide (DMFA);N,N-dimethylformamide;dimethylformamide;Formamide, N,N-dimethyl-', 'N,N-Dimethylformamide, suitable for neutral marker for measuring electroosmotic flow (EOF), ~99%']</t>
  </si>
  <si>
    <t>Compound(6228)</t>
  </si>
  <si>
    <t>C3H7NO</t>
  </si>
  <si>
    <t>dimethyl sulfamide</t>
  </si>
  <si>
    <t>[methyl(sulfamoyl)amino]methane</t>
  </si>
  <si>
    <t>['N,N-Dimethylsulfamide', '3984-14-3', '(dimethylsulfamoyl)amine', 'Dimethylsulfamide', '[methyl(sulfamoyl)amino]methane', 'Sulfamide, N,N-dimethyl-', 'N,N-dimethylsulfuric diamide', 'N,N-Dimethylsulfamoylamide', 'C2H8N2O2S', 'dimethyl(sulfamoyl)amine', 'aminodimethylsulfonamide', 'N,N-Dimethylsulphamide', 'PubChem21815', 'SCHEMBL23242', 'KSC493S7F', 'N-(methylsulfamoyl)methanamine', 'ACMC-209j88', 'DTXSID3074735', 'CTK3J3972', 'KS-00000BAA', 'QMHAHUAQAJVBIW-UHFFFAOYSA-', 'ACN-S002713', 'ACT08571', 'EBD46633', 'ZINC5719572', 'ANW-29190', 'MFCD01861286', 'STK980475', 'AKOS002202546', 'AC-6948', 'CS-W011181', 'GS-4030', 'MCULE-5196865280', 'AK-49758', 'BR-49758', 'SC-26947', 'SY030363', 'AB0024694', 'DB-024721', 'A6646', 'AM20100051', 'D2640', 'FT-0603700', 'NS00000289', 'ST45216286', 'W6015', 'EN300-42228', 'S-2175', '79414-EP2280012A2', '79414-EP2305695A2', '79414-EP2305696A2', '79414-EP2305697A2', '79414-EP2305698A2', '984D143', 'J-520372', 'Q1225752', 'F3334-0811']</t>
  </si>
  <si>
    <t>Compound(134472)</t>
  </si>
  <si>
    <t>C2H8N2O2S</t>
  </si>
  <si>
    <t>2-(2-hydroxyethylamino)ethanol</t>
  </si>
  <si>
    <t>['DIETHANOLAMINE', "2,2'-Iminodiethanol", '111-42-2', 'Diolamine', 'Iminodiethanol', 'Bis(2-hydroxyethyl)amine', 'Diethylolamine', "Ethanol, 2,2'-iminobis-", 'N,N-Diethanolamine', 'Diethanolamin', "2,2'-Dihydroxydiethylamine", "2,2'-Iminobisethanol", "2,2'-Azanediyldiethanol", 'Di(2-hydroxyethyl)amine', 'Bis(hydroxyethyl)amine', 'Diaethanolamin', '2-(2-Hydroxyethylamino)ethanol', 'Niax DEOA-LF', "N,N'-Iminodiethanol", 'N,N-Bis(2-hydroxyethyl)amine', "2,2'-Iminodi-1-ethanol", '2-[(2-hydroxyethyl)amino]ethan-1-ol', 'Dabco DEOA-LF', '2,2-Iminodiethanol', 'N,N-Di(hydroxyethyl)amine', 'NCI-C55174', 'H2dea', 'Diolamine (VAN)', 'Di(beta-hydroxyethyl)amine', "2,2'Iminobisethanol", 'Diethanolamin [Czech]', 'Bis-2-hydroxyethylamine', 'Diaethanolamin [German]', 'Dihydroxyethyl tallowamine oxide', "Diethylamine, 2,2'-dihydroxy-", 'UNII-AZE05TDV2V', "2,2'-Iminobis[ethanol]", '2-[(2-Hydroxyethyl)amino]ethanol', "Ethanol, 2,2'-iminodi-", 'NSC 4959', 'MFCD00002843', 'CCRIS 5906', 'Diethanolamine (NF)', 'Diethanolamine [NF]', 'HSDB 924', 'Diethanolamine, 99%', 'EINECS 203-868-0', 'AZE05TDV2V', 'Bis(2-hydroxyethyl)tallow amine oxide', 'BRN 0605315', 'bis-(2-hydroxy-ethyl)-amine', 'AI3-15335', 'Amines, tallow alkyl dihydroxyethyl, oxides', '61791-44-4', 'CHEBI:28123', 'NSC-4959', 'DSSTox_CID_1932', "2,2'-Iminobisethanol, N-tallow alkyl, N-oxide", 'Diethanolamine, ACS reagent', 'DSSTox_RID_76411', 'DSSTox_GSID_21932', "Ethanol, 2,2'-iminobis-, N-tallow alkyl, N-oxide", "AMINE,DIETHYL,2,2'-DIHYDROXY   DIETHANOLAMINE", "Ethanol, 2,2'-iminobis-, N-tallow alkyl derivs, N-oxides", 'Diolamine [INN]', 'CAS-111-42-2', 'Diethanolamine [USAN:NF]', 'diethanolarnine', 'diethanol amine', 'Aliphatic amine', "Ethanol, 2,2'-iminobis-, N-tallow alkyl derivs.", 'EINECS 263-177-5', 'EINECS 263-179-6', "2,2'-Iminobis", '61791-46-6', "Ethanol,2'-iminodi-", 'N, N-diethanol amine', "Ethanol,2'-iminobis-", "Ethanol, 2,2'-iminobis-, N-tallow alkyl derivs., N-oxides", "2, 2'-Iminodiethanol", 'bis-(2-hydroxyethyl)amine', 'bmse000371', 'Bis(beta-hydroxyethyl)amine', "Diethanol, 2,2'-imino-", 'EC 203-868-0', "Diethylamine,2'-dihydroxy-", 'SCHEMBL2324', 'bis-(2-hydroxyethyl)-amine', 'NCIOpen2_008991', 'WLN: Q2M2Q', '(HOCH2 CH2)2NH', 'ghl.PD_Mitscher_leg0.542', '4-04-00-01514 (Beilstein Handbook Reference)', 'bis-(2-hydroxy-ethyl) amine', 'KSC174Q6T', 'MLS001065608', 'BIDD:GT0277', 'ACMC-20999j', 'Bis(2-Hydroxyethyl)Tallowamine', 'Diethanolamine, LR, &gt;=98%', 'CHEMBL119604', 'SCHEMBL5200828', 'DTXSID3021932', '2-(2-hydroxy-ethylamino)ethanol', '2-(2-hydroxyethylamino)-ethanol', 'CTK0H4869', 'NSC4959', "2,2'-Azanediylbis(ethan-1-ol)", 'Diethanolamine, ACS reagent grade', '2-(2-hydroxy-ethylamino)-ethanol', 'Diethanolamine, analytical standard', 'Diethanolamine, puriss., 99.0%', 'HMS2269D18', 'KS-00000X8O', 'STR03965', 'ZINC5975487', 'Amines, tallow, 1+1 EO (R=H)', 'Tox21_201701', 'Tox21_300034', 'ANW-16277', 'Diethanolamine, BioXtra, &gt;=98.5%', 'LS-532', 'SBB059779', 'STL264122', 'AKOS000119884', '[DID-no:2143,2531]', 'MCULE-9803420258', 'DIETHANOLAMINE REAGENT GRADE 1KG', 'TRANSGENIC LECM (DIETHANOLAMINE)', 'Diethanolamine, ACS reagent, &gt;=98.5%', 'NCGC00091478-01', 'NCGC00091478-02', 'NCGC00091478-03', 'NCGC00091478-04', 'NCGC00254061-01', 'NCGC00259250-01', 'Diethanolamine, reagent grade, &gt;=98.0%', 'SC-43898', 'SMR000112130', 'LS-190896', 'Diethanolamine, BioUltra, &gt;=99.5% (GC)', 'Diethanolamine, SAJ first grade, &gt;=98.0%', 'FT-0624757', 'I0008', 'NS00005053', 'S0376', 'ST51046050', 'Diethanolamine, JIS special grade, &gt;=99.0%', '3224-EP2269610A2', '3224-EP2269977A2', '3224-EP2269989A1', '3224-EP2269990A1', '3224-EP2270002A1', '3224-EP2270010A1', '3224-EP2270505A1', '3224-EP2272517A1', '3224-EP2272817A1', '3224-EP2272822A1', '3224-EP2272832A1', '3224-EP2272841A1', '3224-EP2272849A1', '3224-EP2275105A1', '3224-EP2275401A1', '3224-EP2275411A2', '3224-EP2275412A1', '3224-EP2277848A1', '3224-EP2279750A1', '3224-EP2280001A1', '3224-EP2280006A1', '3224-EP2281563A1', '3224-EP2281813A1', '3224-EP2281815A1', '3224-EP2281816A1', '3224-EP2281818A1', '3224-EP2281821A1', '3224-EP2281823A2', '3224-EP2284159A1', '3224-EP2286811A1', '3224-EP2287152A2', '3224-EP2287155A1', '3224-EP2289510A1', '3224-EP2289868A1', '3224-EP2289890A1', '3224-EP2289893A1', '3224-EP2289896A1', '3224-EP2292592A1', '3224-EP2292593A2', '3224-EP2292613A1', '3224-EP2295055A2', '3224-EP2295402A2', '3224-EP2295406A1', '3224-EP2295407A1', '3224-EP2295427A1', '3224-EP2295437A1', '3224-EP2295438A1', '3224-EP2298731A1', '3224-EP2298734A2', '3224-EP2298736A1', '3224-EP2298742A1', '3224-EP2298743A1', '3224-EP2298744A2', '3224-EP2298746A1', '3224-EP2298761A1', '3224-EP2298770A1', '3224-EP2298772A1', '3224-EP2298775A1', '3224-EP2298778A1', '3224-EP2301933A1', '3224-EP2301936A1', '3224-EP2305219A1', '3224-EP2305250A1', '3224-EP2305640A2', '3224-EP2305642A2', '3224-EP2305646A1', '3224-EP2305679A1', '3224-EP2308510A1', '3224-EP2308562A2', '3224-EP2308812A2', '3224-EP2308828A2', '3224-EP2308838A1', '3224-EP2308839A1', '3224-EP2308841A2', '3224-EP2308848A1', '3224-EP2308873A1', '3224-EP2308875A1', '3224-EP2311453A1', '3224-EP2311815A1', '3224-EP2311827A1', '3224-EP2311831A1', '3224-EP2311842A2', '3224-EP2314295A1', '3224-EP2314298A1', '3224-EP2314574A1', '3224-EP2314584A1', '3224-EP2316457A1', '3224-EP2316458A1', '3224-EP2316459A1', '3224-EP2316470A2', '3224-EP2316825A1', '3224-EP2316826A1', '3224-EP2316827A1', '3224-EP2316828A1', '3224-EP2316831A1', '3224-EP2316832A1', '3224-EP2316833A1', '3224-EP2316836A1', '3224-EP2371809A1', '3224-EP2371811A2', '3224-EP2372017A1', '3224-EP2374788A1', '5269-EP2284172A1', 'C06772', 'D02337', '40851-EP2275421A1', '40851-EP2292630A1', '40851-EP2311830A1', '56752-EP2284166A1', '56752-EP2298769A1', '56752-EP2298773A1', '56752-EP2308878A2', 'Q418437', 'J-506841', 'F2190-0311', 'Z966690660', 'Amines, tallow, =2,5 EO;Mono-, di- and triethanol amine', 'BFC20619-2EDF-4764-8E91-830AA892BD39', 'Diethanolamine, puriss. p.a., ACS reagent, &gt;=99.0% (GC)', 'Diethanolamine, United States Pharmacopeia (USP) Reference Standard', 'Trolamine impurity B, European Pharmacopoeia (EP) Reference Standard', 'Diethanolamine, Pharmaceutical Secondary Standard; Certified Reference Material']</t>
  </si>
  <si>
    <t>Compound(8113)</t>
  </si>
  <si>
    <t>C4H11NO2</t>
  </si>
  <si>
    <t>N-ethylethanamine</t>
  </si>
  <si>
    <t>['DIETHYLAMINE', '109-89-7', 'N-Ethylethanamine', 'N,N-Diethylamine', 'Ethanamine, N-ethyl-', 'Diethamine', 'Diaethylamin', 'Dwuetyloamina', 'Dietilamina', 'diethyl amine', 'Diethylamin', 'Diethyl-amine', 'Diaethylamin [German]', 'Dietilamina [Italian]', 'Dwuetyloamina [Polish]', 'UNII-B035PIS86W', 'CCRIS 4792', 'HSDB 524', 'Et2NH', '(C2H5)2NH', 'EINECS 203-716-3', 'UN1154', 'AI3-24215', 'B035PIS86W', 'CHEBI:85259', 'MFCD00009032', 'N-Ethyl-Ethanamine', 'Diethylamine, 99+%, extra pure', 'Diethylamine, 99.5%, for analysis', 'Diethylamine, 99.5%, extra pure, redistilled', 'dietylamine', 'di-ethylamine', 'N,N-diethyl amine', 'diethylamine (DEA)', 'Diethylamine, 98%', 'Diethylamine Anhydrous', 'Diethylamine, BioXtra', 'HNEt2', 'PubChem17237', 'ACMC-1BS8V', 'DSSTox_CID_1909', 'EC 203-716-3', 'Diethylamine, &gt;=99.5%', 'CHEMBL1189', 'DSSTox_RID_76397', 'DSSTox_GSID_21909', 'KSC491S9L', 'Diethylamine, LR, &gt;=99%', '(CH3CH2)2 NH', 'Diethylamine, p.a., 99.0%', 'DTXSID6021909', 'CTK3J1995', 'KS-00000XE8', 'STR00027', 'ZINC1661184', 'Tox21_202506', 'ANW-16103', 'CS0041', 'LS-492', 'STL197470', 'Diethylamine, for synthesis, 99.0%', 'AKOS000269031', 'MCULE-6895602113', 'NE10629', 'UN 1154', 'Diethylamine, purum, &gt;=99.0% (GC)', 'NCGC00090709-01', 'NCGC00090709-02', 'NCGC00260055-01', 'CAS-109-89-7', 'SC-76785', 'Diethylamine [UN1154] [Flammable liquid]', 'Diethylamine, SAJ first grade, &gt;=98.0%', 'D0462', 'Diethylamine [UN1154]  [Flammable liquid]', 'Diethylamine, SAJ special grade, &gt;=99.0%', 'FT-0624870', 'NS00002245', '7514-EP2269610A2', '7514-EP2269977A2', '7514-EP2269989A1', '7514-EP2269999A1', '7514-EP2270002A1', '7514-EP2270006A1', '7514-EP2270010A1', '7514-EP2270011A1', '7514-EP2270014A1', '7514-EP2272509A1', '7514-EP2272516A2', '7514-EP2272517A1', '7514-EP2272537A2', '7514-EP2272817A1', '7514-EP2272822A1', '7514-EP2272825A2', '7514-EP2272832A1', '7514-EP2272841A1', '7514-EP2272844A1', '7514-EP2274983A1', '7514-EP2275412A1', '7514-EP2275420A1', '7514-EP2275421A1', '7514-EP2275424A1', '7514-EP2277848A1', '7514-EP2277863A1', '7514-EP2277867A2', '7514-EP2277875A2', '7514-EP2279750A1', '7514-EP2280000A1', '7514-EP2280003A2', '7514-EP2280006A1', '7514-EP2280008A2', '7514-EP2280010A2', '7514-EP2281563A1', '7514-EP2281813A1', '7514-EP2281822A1', '7514-EP2284157A1', '7514-EP2284159A1', '7514-EP2284160A1', '7514-EP2284172A1', '7514-EP2286811A1', '7514-EP2287152A2', '7514-EP2287157A1', '7514-EP2287160A1', '7514-EP2287163A1', '7514-EP2289510A1', '7514-EP2289868A1', '7514-EP2289883A1', '7514-EP2289891A2', '7514-EP2289896A1', '7514-EP2292576A2', '7514-EP2292592A1', '7514-EP2292593A2', '7514-EP2292597A1', '7514-EP2292610A1', '7514-EP2292612A2', '7514-EP2292619A1', '7514-EP2292630A1', '7514-EP2295399A2', '7514-EP2295407A1', '7514-EP2295409A1', '7514-EP2295411A1', '7514-EP2295415A1', '7514-EP2295416A2', '7514-EP2295423A1', '7514-EP2295432A1', '7514-EP2295437A1', '7514-EP2295503A1', '7514-EP2298734A2', '7514-EP2298736A1', '7514-EP2298742A1', '7514-EP2298743A1', '7514-EP2298748A2', '7514-EP2298750A1', '7514-EP2298755A1', '7514-EP2298761A1', '7514-EP2298764A1', '7514-EP2298765A1', '7514-EP2298767A1', '7514-EP2298768A1', '7514-EP2298770A1', '7514-EP2298775A1', '7514-EP2298778A1', '7514-EP2298779A1', '7514-EP2298828A1', '7514-EP2301627A1', '7514-EP2301923A1', '7514-EP2301928A1', '7514-EP2301931A1', '7514-EP2301936A1', '7514-EP2305250A1', '7514-EP2305257A1', '7514-EP2305651A1', '7514-EP2305652A2', '7514-EP2305667A2', '7514-EP2305673A1', '7514-EP2305676A1', '7514-EP2305677A1', '7514-EP2305678A1', '7514-EP2305679A1', '7514-EP2305682A1', '7514-EP2308510A1', '7514-EP2308562A2', '7514-EP2308812A2', '7514-EP2308828A2', '7514-EP2308838A1', '7514-EP2308840A1', '7514-EP2308851A1', '7514-EP2308854A1', '7514-EP2308873A1', '7514-EP2308875A1', '7514-EP2308879A1', '7514-EP2308880A1', '7514-EP2311808A1', '7514-EP2311824A1', '7514-EP2311829A1', '7514-EP2311831A1', '7514-EP2311834A1', '7514-EP2314295A1', '7514-EP2314584A1', '7514-EP2314585A1', '7514-EP2314587A1', '7514-EP2314588A1', '7514-EP2314590A1', '7514-EP2314593A1', '7514-EP2316457A1', '7514-EP2316458A1', '7514-EP2316459A1', '7514-EP2316470A2', '7514-EP2316824A1', '7514-EP2316825A1', '7514-EP2316826A1', '7514-EP2316827A1', '7514-EP2316828A1', '7514-EP2316832A1', '7514-EP2316833A1', '7514-EP2316836A1', '7514-EP2380874A2', 'Diethylamine, puriss. p.a., &gt;=99.5% (GC)', '37264-EP2275398A1', '37264-EP2295503A1', '37264-EP2301937A1', '37264-EP2311802A1', '37264-EP2311803A1', '59608-EP2284166A1', '59608-EP2295436A1', '59608-EP2298769A1', '59608-EP2298773A1', '59608-EP2308852A1', 'Diethylamine, purified by redistillation, 99.5%', 'Q414196', 'J-002340', 'J-520311', 'F2190-0302', '5-Oxo-L-prolyl-L-glutaminyl-L-alpha-aspartyl-O-sulfo-L-tyrosyl-L-threonylglycyl-L-tryptophyl-L-methionyl-L-alpha-aspartyl-L-phenylalaninamideN-ethylethanamine (1/1)']</t>
  </si>
  <si>
    <t>Compound(8021)</t>
  </si>
  <si>
    <t>N,N-diethylbutan-1-amine</t>
  </si>
  <si>
    <t>['N,N-diethylbutan-1-amine', '4444-68-2', 'N,N-Diethylbutylamine', 'DIETHYLBUTYLAMINE', '1-Butanamine, N,N-diethyl-', 'Butylamine, N,N-diethyl-', 'CCRIS 6017', 'N,N-Diethyl butylamine', 'N,N-Diethyl-1-butanamine', 'butyldiethylamine', 'Diethyl n-butylamine', 'ACMC-20ak94', '1-Butanamine,N,N-diethyl-', 'SCHEMBL22725', 'KSC588E1B', 'N,N-Diethylbutylamine, 97%', 'Ethanamine, N-butyl-N-ethyl-', 'DTXSID9025039', 'CTK4I8210', 'ADAL1185601', 'KS-000010HA', 'ZINC2037813', '6126AB', 'AKOS000120687', 'LS-1265', 'DA-42430', 'FT-0693119']</t>
  </si>
  <si>
    <t>Compound(20513)</t>
  </si>
  <si>
    <t>diethyl ether</t>
  </si>
  <si>
    <t>ethoxyethane</t>
  </si>
  <si>
    <t>['DIETHYL ETHER', 'ether', 'Ethyl ether', 'Ethoxyethane', '60-29-7', 'Diethyl oxide', 'Ethyl oxide', 'Aether', 'Pronarcol', 'Anesthetic ether', 'Anaesthetic ether', 'DIETHYLETHER', '3-Oxapentane', 'Ether, ethyl', 'Diaethylaether', 'Dwuetylowy eter', 'Ether ethylique', 'Etere etilico', "Ethane, 1,1'-oxybis-", 'Solvent ether', "Oxyde d'ethyle", "1,1'-Oxybisethane", 'Anesthesia ether', "1,1'-oxydiethane", 'Ethyl ether, tech.', 'Diethylaether', 'Sulfuric ether', 'aether pro narcosi', 'RCRA waste number U117', 'Ethylether', 'Diaethylaether [German]', 'Etere etilico [Italian]', 'Dwuetylowy eter [Polish]', 'Ether ethylique [French]', "Oxyde d'ethyle [French]", 'HSDB 70', 'NSC 100036', 'UNII-0F5N573A2Y', 'Et2O', 'EINECS 200-467-2', 'UN1155', 'RCRA waste no. U117', 'AI3-24233', 'CHEBI:35702', '0F5N573A2Y', '(C2H5)2O', 'MFCD00011646', 'Ethyl ether anhydrous', 'NSC-100036', 'Diethyl ether [Anaesthetics, volatile]', 'R-610', 'Diethyl ether, for HPLC, stabilized', 'Ether, Diethyl', 'Alcohols, C7-21, ethoxylated', 'Alcohols, C8-22, ethoxylated', 'Ether [JAN]', 'Ether [USP:JAN]', 'Alcohols, C14-26, ethoxylated', 'Alcohols, C16-22, ethoxylated', 'ETHER, ANHYDROUS', 'Diethyl ether, 99+%, pure, stabilized with BHT', 'Amines, C20-22-alkyl, ethoxylated', 'Diethyl ether, 99+%, extra pure, stabilized with BHT', 'dietylether', 'Diethyl ether, 99.5%, Extra Dry, stabilized, AcroSeal(R)', 'Diethyether', 'di ethylether', 'di-ethylether', 'diehtyl ether', 'Diethyl ether, 99+%, for spectroscopy, stabilized with ethanol', 'diethyl-ether', 'ether anhydrous', 'ethoxy-ethane', 'monoethyl ether', 'Anhydrous ether', 'diethl ether', 'diethy ether', 'dietyl ether', 'ehtyl ether', 'ethyl-ether', 'diethyI ether', 'Diethyl ester', '2-ethoxyethane', 'di ethyl ether', 'di-ethyl ether', 'Diethyl ether, 99+%, ACS reagent, anhydrous, stabilized with BHT', 'ethyl ether-', 'EtOEt', 'Diethyl ether, 99.5%, Extra Dry over Molecular Sieve, Stabilized, AcroSeal(R)', 'Diethyl ether, 99.5%, for analysis, stabilized with BHT, conforms to Eur.Ph.', 'C16-22 Alkyl alcohol ethoxylate', 'Ethyl ether, tech', '(C20-C22)Alkylamine diethoxylate', '1-Ethoxyethane #', '(C14-C26) Alkyl alcohol ethoxylate', "Ethane,1'-oxybis-", '(C16-C22) Alkyl alcohol, ethoxylate', 'Ethyl ether (8CI)', "1,1' -oxybisethane", "1,1'-oxy-bisethane", "1,1'-oxybis ethane", 'OEt2', "1,1'-oxobis(ethane)", 'Ether (JP17/USP)', 'Linear (C8-C22) alkyl alcohol, ethoxylated', 'EC 200-467-2', 'O(Et)2', 'Diethyl ether or ethyl ether', '68991-48-0', '69013-19-0', '69227-20-9', '70131-58-7', '71011-10-4', 'Diethyl ether, &gt;=99.5%', 'CHEMBL16264', 'Ethyl ether anhydrous A.C.S.', 'O(CH2CH3)2', 'WLN: 2O2', 'DTXSID3021720', 'CTK2F4744', 'Diethyl ether, p.a., 99.0%', 'Diethyl ether, p.a., 99.5%', 'Diethyl ether, analytical standard', 'O(C2H5)2', 'ZINC1657408', 'NSC100036', 'STL445704', 'AKOS015950740', 'Diethyl ether, ACS reagent, 99.5%', 'DB13598', 'LS-1429', 'UN 1155', 'Diethyl ether, purum, &gt;=99.0% (GC)', '398-EP2269990A1', '398-EP2270006A1', '398-EP2272516A2', '398-EP2272822A1', '398-EP2272972A1', '398-EP2272973A1', '398-EP2275105A1', '398-EP2275401A1', '398-EP2275411A2', '398-EP2277867A2', '398-EP2277872A1', '398-EP2277875A2', '398-EP2280003A2', '398-EP2280007A1', '398-EP2281563A1', '398-EP2281820A2', '398-EP2281824A1', '398-EP2281899A2', '398-EP2284149A1', '398-EP2286811A1', '398-EP2286812A1', '398-EP2289893A1', '398-EP2292088A1', '398-EP2292593A2', '398-EP2292595A1', '398-EP2295415A1', '398-EP2295425A1', '398-EP2295437A1', '398-EP2298735A1', '398-EP2298745A1', '398-EP2298754A1', '398-EP2298770A1', '398-EP2298775A1', '398-EP2301536A1', '398-EP2301538A1', '398-EP2301922A1', '398-EP2301930A1', '398-EP2302003A1', '398-EP2305636A1', '398-EP2305647A1', '398-EP2305651A1', '398-EP2305657A2', '398-EP2305660A1', '398-EP2305667A2', '398-EP2305769A2', '398-EP2308479A2', '398-EP2308848A1', '398-EP2308854A1', '398-EP2308861A1', '398-EP2308867A2', '398-EP2308870A2', '398-EP2308871A1', '398-EP2311455A1', '398-EP2311802A1', '398-EP2311803A1', '398-EP2311824A1', '398-EP2311825A1', '398-EP2311826A2', '398-EP2314295A1', '398-EP2314593A1', '398-EP2316458A1', '398-EP2316827A1', '398-EP2316828A1', '398-EP2316836A1', '398-EP2316905A1', '398-EP2316906A2', '398-EP2374538A1', '398-EP2380873A1', '931-EP0930075A1', '931-EP1441224A2', '931-EP2269977A2', '931-EP2269978A2', '931-EP2269979A1', '931-EP2269985A2', '931-EP2269986A1', '931-EP2269989A1', '931-EP2269990A1', '931-EP2269991A2', '931-EP2269994A1', '931-EP2269995A1', '931-EP2270000A1', '931-EP2270006A1', '931-EP2270008A1', '931-EP2270009A1', '931-EP2270010A1', '931-EP2270011A1', '931-EP2270014A1', '931-EP2270016A1', '931-EP2270017A1', '931-EP2270018A1', '931-EP2270101A1', '931-EP2270113A1', '931-EP2270114A1', '931-EP2270505A1', '931-EP2272509A1', '931-EP2272516A2', '931-EP2272517A1', '931-EP2272537A2', '931-EP2272813A2', '931-EP2272817A1', '931-EP2272825A2', '931-EP2272827A1', '931-EP2272829A2', '931-EP2272832A1', '931-EP2272834A1', '931-EP2272835A1', '931-EP2272839A1', '931-EP2272840A1', '931-EP2272844A1', '931-EP2272846A1', '931-EP2272848A1', '931-EP2272849A1', '931-EP2272935A1', '931-EP2272972A1', '931-EP2272973A1', '931-EP2275102A1', '931-EP2275395A2', '931-EP2275401A1', '931-EP2275404A1', '931-EP2275408A1', '931-EP2275409A1', '931-EP2275411A2', '931-EP2275413A1', '931-EP2275414A1', '931-EP2275417A2', '931-EP2275418A1', '931-EP2275419A2', '931-EP2275421A1', '931-EP2275422A1', '931-EP2275469A1', '931-EP2276735A1', '931-EP2276738A1', '931-EP2277507A1', '931-EP2277565A2', '931-EP2277566A2', '931-EP2277567A1', '931-EP2277568A2', '931-EP2277569A2', '931-EP2277570A2', '931-EP2277848A1', '931-EP2277858A1', '931-EP2277861A1', '931-EP2277862A2', '931-EP2277865A1', '931-EP2277867A2', '931-EP2277868A1', '931-EP2277869A1', '931-EP2277870A1', '931-EP2277872A1', '931-EP2277874A1', '931-EP2277875A2', '931-EP2277876A1', '931-EP2277878A1', '931-EP2277879A1', '931-EP2277881A1', '931-EP2277898A2', '931-EP2279741A2', '931-EP2279750A1', '931-EP2280000A1', '931-EP2280003A2', '931-EP2280004A1', '931-EP2280005A1', '931-EP2280006A1', '931-EP2280007A1', '931-EP2280008A2', '931-EP2280010A2', '931-EP2280012A2', '931-EP2280020A1', '931-EP2280021A1', '931-EP2281563A1', '931-EP2281810A1', '931-EP2281812A1', '931-EP2281813A1', '931-EP2281815A1', '931-EP2281817A1', '931-EP2281818A1', '931-EP2281819A1', '931-EP2281824A1', '931-EP2284146A2', '931-EP2284147A2', '931-EP2284149A1', '931-EP2284150A2', '931-EP2284151A2', '931-EP2284152A2', '931-EP2284153A2', '931-EP2284155A2', '931-EP2284156A2', '931-EP2284157A1', '931-EP2284160A1', '931-EP2284162A2', '931-EP2284163A2', '931-EP2284164A2', '931-EP2284165A1', '931-EP2284169A1', '931-EP2284170A1', '931-EP2284171A1', '931-EP2284172A1', '931-EP2284174A1', '931-EP2284178A2', '931-EP2284179A2', '931-EP2286795A1', '931-EP2286811A1', '931-EP2286812A1', '931-EP2287140A2', '931-EP2287141A1', '931-EP2287147A2', '931-EP2287148A2', '931-EP2287150A2', '931-EP2287152A2', '931-EP2287153A1', '931-EP2287156A1', '931-EP2287158A1', '931-EP2287160A1', '931-EP2287161A1', '931-EP2287162A1', '931-EP2287165A2', '931-EP2287166A2', '931-EP2287940A1', '931-EP2289510A1', '931-EP2289868A1', '931-EP2289871A1', '931-EP2289876A1', '931-EP2289879A1', '931-EP2289883A1', '931-EP2289884A1', '931-EP2289885A1', '931-EP2289887A2', '931-EP2289888A2', '931-EP2289890A1', '931-EP2289892A1', '931-EP2289893A1', '931-EP2289894A2', '931-EP2289965A1', '931-EP2292088A1', '931-EP2292227A2', '931-EP2292228A1', '931-EP2292233A2', '931-EP2292280A1', '931-EP2292576A2', '931-EP2292590A2', '931-EP2292592A1', '931-EP2292593A2', '931-EP2292595A1', '931-EP2292596A2', '931-EP2292597A1', '931-EP2292599A1', '931-EP2292606A1', '931-EP2292608A1', '931-EP2292609A1', '931-EP2292614A1', '931-EP2292615A1', '931-EP2292617A1', '931-EP2292620A2', '931-EP2292621A1', '931-EP2292622A1', '931-EP2292625A1', '931-EP2292628A2', '931-EP2292630A1', '931-EP2295055A2', '931-EP2295399A2', '931-EP2295402A2', '931-EP2295406A1', '931-EP2295409A1', '931-EP2295410A1', '931-EP2295411A1', '931-EP2295412A1', '931-EP2295413A1', '931-EP2295415A1', '931-EP2295416A2', '931-EP2295417A1', '931-EP2295419A2', '931-EP2295422A2', '931-EP2295423A1', '931-EP2295425A1', '931-EP2295426A1', '931-EP2295427A1', '931-EP2295429A1', '931-EP2295432A1', '931-EP2295433A2', '931-EP2295434A2', '931-EP2295435A1', '931-EP2295436A1', '931-EP2295437A1', '931-EP2295439A1', '931-EP2298076A1', '931-EP2298077A1', '931-EP2298312A1', '931-EP2298728A1', '931-EP2298729A1', '931-EP2298734A2', '931-EP2298735A1', '931-EP2298738A1', '931-EP2298742A1', '931-EP2298743A1', '931-EP2298745A1', '931-EP2298746A1', '931-EP2298748A2', '931-EP2298749A1', '931-EP2298750A1', '931-EP2298751A2', '931-EP2298753A1', '931-EP2298755A1', '931-EP2298757A2', '931-EP2298758A1', '931-EP2298759A1', '931-EP2298761A1', '931-EP2298762A2', '931-EP2298763A1', '931-EP2298767A1', '931-EP2298768A1', '931-EP2298770A1', '931-EP2298773A1', '931-EP2298774A1', '931-EP2298775A1', '931-EP2298776A1', '931-EP2298778A1', '931-EP2298779A1', '931-EP2298780A1', '931-EP2298783A1', '931-EP2298828A1', '931-EP2299326A1', '931-EP2299785A1', '931-EP2301353A1', '931-EP2301534A1', '931-EP2301536A1', '931-EP2301538A1', '931-EP2301544A1', '931-EP2301627A1', '931-EP2301909A1', '931-EP2301918A1', '931-EP2301921A1', '931-EP2301923A1', '931-EP2301924A1', '931-EP2301926A1', '931-EP2301928A1', '931-EP2301929A1', '931-EP2301931A1', '931-EP2301932A1', '931-EP2301933A1', '931-EP2301934A1', '931-EP2301935A1', '931-EP2301937A1', '931-EP2301938A1', '931-EP2301939A1', '931-EP2301941A1', '931-EP2301983A1', '931-EP2302382A2', '931-EP2302383A2', '931-EP2305031A1', '931-EP2305034A1', '931-EP2305035A1', '931-EP2305219A1', '931-EP2305248A1', '931-EP2305250A1', '931-EP2305625A1', '931-EP2305629A1', '931-EP2305636A1', '931-EP2305637A2', '931-EP2305640A2', '931-EP2305642A2', '931-EP2305643A1', '931-EP2305644A1', '931-EP2305647A1', '931-EP2305648A1', '931-EP2305649A1', '931-EP2305651A1', '931-EP2305657A2', '931-EP2305658A1', '931-EP2305659A1', '931-EP2305663A1', '931-EP2305664A1', '931-EP2305667A2', '931-EP2305668A1', '931-EP2305671A1', '931-EP2305672A1', '931-EP2305674A1', '931-EP2305675A1', '931-EP2305677A1', '931-EP2305679A1', '931-EP2305682A1', '931-EP2305683A1', '931-EP2305684A1', '931-EP2305685A1', '931-EP2305686A1', '931-EP2305687A1', '931-EP2305689A1', '931-EP2305695A2', '931-EP2305696A2', '931-EP2305697A2', '931-EP2305698A2', '931-EP2305769A2', '931-EP2305808A1', '931-EP2305825A1', '931-EP2306788A1', '931-EP2306789A1', '931-EP2308471A1', '931-EP2308479A2', '931-EP2308510A1', '931-EP2308832A1', '931-EP2308833A2', '931-EP2308838A1', '931-EP2308839A1', '931-EP2308840A1', '931-EP2308841A2', '931-EP2308844A2', '931-EP2308845A2', '931-EP2308846A2', '931-EP2308848A1', '931-EP2308849A1', '931-EP2308850A1', '931-EP2308851A1', '931-EP2308853A1', '931-EP2308854A1', '931-EP2308857A1', '931-EP2308861A1', '931-EP2308864A1', '931-EP2308865A1', '931-EP2308866A1', '931-EP2308867A2', '931-EP2308869A1', '931-EP2308870A2', '931-EP2308873A1', '931-EP2308877A1', '931-EP2308879A1', '931-EP2308883A1', '931-EP2308926A1', '931-EP2308960A1', '931-EP2309564A1', '931-EP2309584A1', '931-EP2311451A1', '931-EP2311453A1', '931-EP2311455A1', '931-EP2311464A1', '931-EP2311494A1', '931-EP2311796A1', '931-EP2311797A1', '931-EP2311798A1', '931-EP2311799A1', '931-EP2311801A1', '931-EP2311802A1', '931-EP2311803A1', '931-EP2311806A2', '931-EP2311807A1', '931-EP2311808A1', '931-EP2311810A1', '931-EP2311814A1', '931-EP2311815A1', '931-EP2311818A1', '931-EP2311821A1', '931-EP2311824A1', '931-EP2311825A1', '931-EP2311827A1', '931-EP2311829A1', '931-EP2311830A1', '931-EP2311835A1', '931-EP2311836A1', '931-EP2311837A1', '931-EP2311839A1', '931-EP2311840A1', '931-EP2311842A2', '931-EP2311850A1', '931-EP2314295A1', '931-EP2314558A1', '931-EP2314571A2', '931-EP2314574A1', '931-EP2314576A1', '931-EP2314580A1', '931-EP2314583A1', '931-EP2314584A1', '931-EP2314586A1', '931-EP2314587A1', '931-EP2314589A1', '931-EP2314590A1', '931-EP2314591A1', '931-EP2314593A1', '931-EP2315303A1', '931-EP2315502A1', '931-EP2316450A1', '931-EP2316452A1', '931-EP2316457A1', '931-EP2316458A1', '931-EP2316470A2', '931-EP2316826A1', '931-EP2316827A1', '931-EP2316828A1', '931-EP2316831A1', '931-EP2316832A1', '931-EP2316833A1', '931-EP2316834A1', '931-EP2316836A1', '931-EP2316837A1', '931-EP2316905A1', '931-EP2316906A2', '931-EP2316974A1', '931-EP2371805A1', '931-EP2371808A1', '931-EP2371810A1', '931-EP2371811A2', '931-EP2371814A1', '931-EP2371823A1', '931-EP2371831A1', '931-EP2372017A1', '931-EP2372804A1', '931-EP2373613A1', '931-EP2374454A1', '931-EP2374780A1', '931-EP2374781A1', '931-EP2374784A1', '931-EP2374785A1', '931-EP2374788A1', '931-EP2374790A1', '931-EP2374791A1', '931-EP2377845A1', '931-EP2377847A1', '931-EP2378585A1', '931-EP2380873A1', '931-EP2380874A2', '945-EP2269977A2', '945-EP2269979A1', '945-EP2269996A1', '945-EP2270001A1', '945-EP2270006A1', '945-EP2270011A1', '945-EP2270014A1', '945-EP2272509A1', '945-EP2272510A1', '945-EP2272825A2', '945-EP2272839A1', '945-EP2272840A1', '945-EP2272848A1', '945-EP2275421A1', '945-EP2277848A1', '945-EP2280012A2', '945-EP2281559A1', '945-EP2281563A1', '945-EP2281813A1', '945-EP2281820A2', '945-EP2284157A1', '945-EP2286811A1', '945-EP2287165A2', '945-EP2287166A2', '945-EP2289876A1', '945-EP2289882A1', '945-EP2289883A1', '945-EP2289893A1', '945-EP2289894A2', '945-EP2292228A1', '945-EP2292589A1', '945-EP2292620A2', '945-EP2292621A1', '945-EP2295402A2', '945-EP2295410A1', '945-EP2295417A1', '945-EP2295426A1', '945-EP2295429A1', '945-EP2295432A1', '945-EP2295433A2', '945-EP2295437A1', '945-EP2298735A1', '945-EP2298743A1', '945-EP2298744A2', '945-EP2298754A1', '945-EP2298775A1', '945-EP2298776A1', '945-EP2298780A1', '945-EP2301536A1', '945-EP2301538A1', '945-EP2301544A1', '945-EP2301927A1', '945-EP2301930A1', '945-EP2301933A1', '945-EP2301940A1', '945-EP2305652A2', '945-EP2305682A1', '945-EP2305684A1', '945-EP2305687A1', '945-EP2305689A1', '945-EP2305695A2', '945-EP2305696A2', '945-EP2305698A2', '945-EP2305808A1', '945-EP2308833A2', '945-EP2308840A1', '945-EP2308841A2', '945-EP2308844A2', '945-EP2308845A2', '945-EP2308846A2', '945-EP2308848A1', '945-EP2308861A1', '945-EP2308867A2', '945-EP2308870A2', '945-EP2308872A1', '945-EP2308874A1', '945-EP2308875A1', '945-EP2308879A1', '945-EP2311455A1', '945-EP2311494A1', '945-EP2311797A1', '945-EP2311798A1', '945-EP2311799A1', '945-EP2311807A1', '945-EP2311824A1', '945-EP2311827A1', '945-EP2311829A1', '945-EP2311830A1', '945-EP2311837A1', '945-EP2311840A1', '945-EP2311841A1', '945-EP2311842A2', '945-EP2314574A1', '945-EP2314576A1', '945-EP2316452A1', '945-EP2316829A1', '945-EP2316834A1', '945-EP2316836A1', '945-EP2374454A1', '945-EP2380871A1', 'D3479', 'Diethyl ether, SAJ first grade, &gt;=99.0%', 'FT-0624836', 'FT-0624837', 'FT-0624838', 'Diethyl ether, JIS special grade, &gt;=99.5%', '1975-EP1441224A2', '1975-EP2269977A2', '1975-EP2269978A2', '1975-EP2269979A1', '1975-EP2269985A2', '1975-EP2269986A1', '1975-EP2269988A2', '1975-EP2269989A1', '1975-EP2269990A1', '1975-EP2269991A2', '1975-EP2269992A1', '1975-EP2269993A1', '1975-EP2269995A1', '1975-EP2270000A1', '1975-EP2270006A1', '1975-EP2270011A1', '1975-EP2270014A1', '1975-EP2270016A1', '1975-EP2270114A1', '1975-EP2272509A1', '1975-EP2272516A2', '1975-EP2272517A1', '1975-EP2272813A2', '1975-EP2272817A1', '1975-EP2272822A1', '1975-EP2272825A2', '1975-EP2272827A1', '1975-EP2272828A1', '1975-EP2272832A1', '1975-EP2272834A1', '1975-EP2272837A1', '1975-EP2272847A1', '1975-EP2272848A1', '1975-EP2274983A1', '1975-EP2275102A1', '1975-EP2275105A1', '1975-EP2275395A2', '1975-EP2275398A1', '1975-EP2275401A1', '1975-EP2275404A1', '1975-EP2275407A1', '1975-EP2275410A1', '1975-EP2275411A2', '1975-EP2275413A1', '1975-EP2275414A1', '1975-EP2275425A1', '1975-EP2275427A1', '1975-EP2275469A1', '1975-EP2277565A2', '1975-EP2277566A2', '1975-EP2277567A1', '1975-EP2277568A2', '1975-EP2277569A2', '1975-EP2277570A2', '1975-EP2277848A1', '1975-EP2277858A1', '1975-EP2277861A1', '1975-EP2277867A2', '1975-EP2277875A2', '1975-EP2277880A1', '1975-EP2277881A1', '1975-EP2279741A2', '1975-EP2279750A1', '1975-EP2280000A1', '1975-EP2280001A1', '1975-EP2280003A2', '1975-EP2280006A1', '1975-EP2280008A2', '1975-EP2280009A1', '1975-EP2280012A2', '1975-EP2281813A1', '1975-EP2281815A1', '1975-EP2281817A1', '1975-EP2281818A1', '1975-EP2281819A1', '1975-EP2281820A2', '1975-EP2281821A1', '1975-EP2281823A2', '1975-EP2281824A1', '1975-EP2284148A1', '1975-EP2284150A2', '1975-EP2284151A2', '1975-EP2284152A2', '1975-EP2284153A2', '1975-EP2284154A1', '1975-EP2284155A2', '1975-EP2284156A2', '1975-EP2284157A1', '1975-EP2284159A1', '1975-EP2284164A2', '1975-EP2284165A1', '1975-EP2284169A1', '1975-EP2284170A1', '1975-EP2284174A1', '1975-EP2284178A2', '1975-EP2284179A2', '1975-EP2286811A1', '1975-EP2287140A2', '1975-EP2287141A1', '1975-EP2287147A2', '1975-EP2287148A2', '1975-EP2287150A2', '1975-EP2287152A2', '1975-EP2287153A1', '1975-EP2287154A1', '1975-EP2287156A1', '1975-EP2287161A1', '1975-EP2287162A1', '1975-EP2287165A2', '1975-EP2287166A2', '1975-EP2287940A1', '1975-EP2289509A2', '1975-EP2289868A1', '1975-EP2289871A1', '1975-EP2289877A1', '1975-EP2289879A1', '1975-EP2289885A1', '1975-EP2289887A2', '1975-EP2289888A2', '1975-EP2289890A1', '1975-EP2289892A1', '1975-EP2289893A1', '1975-EP2289894A2', '1975-EP2289965A1', '1975-EP2292227A2', '1975-EP2292228A1', '1975-EP2292280A1', '1975-EP2292576A2', '1975-EP2292589A1', '1975-EP2292590A2', '1975-EP2292592A1', '1975-EP2292593A2', '1975-EP2292595A1', '1975-EP2292597A1', '1975-EP2292606A1', '1975-EP2292610A1', '1975-EP2292612A2', '1975-EP2292615A1', '1975-EP2292618A1', '1975-EP2292619A1', '1975-EP2292620A2', '1975-EP2292621A1', '1975-EP2292624A1', '1975-EP2295402A2', '1975-EP2295406A1', '1975-EP2295408A1', '1975-EP2295410A1', '1975-EP2295411A1', '1975-EP2295414A1', '1975-EP2295415A1', '1975-EP2295418A1', '1975-EP2295419A2', '1975-EP2295423A1', '1975-EP2295425A1', '1975-EP2295426A1', '1975-EP2295427A1', '1975-EP2295429A1', '1975-EP2295432A1', '1975-EP2295437A1', '1975-EP2295439A1', '1975-EP2298312A1', '1975-EP2298728A1', '1975-EP2298729A1', '1975-EP2298731A1', '1975-EP2298732A1', '1975-EP2298735A1', '1975-EP2298739A1', '1975-EP2298742A1', '1975-EP2298743A1', '1975-EP2298746A1', '1975-EP2298747A1', '1975-EP2298750A1', '1975-EP2298753A1', '1975-EP2298754A1', '1975-EP2298756A1', '1975-EP2298757A2', '1975-EP2298758A1', '1975-EP2298759A1', '1975-EP2298761A1', '1975-EP2298763A1', '1975-EP2298766A1', '1975-EP2298767A1', '1975-EP2298768A1', '1975-EP2298771A2', '1975-EP2298772A1', '1975-EP2298775A1', '1975-EP2298777A2', '1975-EP2298778A1', '1975-EP2298779A1', '1975-EP2299785A1', '1975-EP2301534A1', '1975-EP2301536A1', '1975-EP2301538A1', '1975-EP2301544A1', '1975-EP2301627A1', '1975-EP2301911A1', '1975-EP2301913A1', '1975-EP2301914A1', '1975-EP2301922A1', '1975-EP2301923A1', '1975-EP2301924A1', '1975-EP2301928A1', '1975-EP2301929A1', '1975-EP2301931A1', '1975-EP2301932A1', '1975-EP2301933A1', '1975-EP2301934A1', '1975-EP2301935A1', '1975-EP2301936A1', '1975-EP2301937A1', '1975-EP2301939A1', '1975-EP2301940A1', '1975-EP2301983A1', '1975-EP2305250A1', '1975-EP2305254A1', '1975-EP2305257A1', '1975-EP2305625A1', '1975-EP2305629A1', '1975-EP2305633A1', '1975-EP2305637A2', '1975-EP2305641A1', '1975-EP2305642A2', '1975-EP2305644A1', '1975-EP2305646A1', '1975-EP2305647A1', '1975-EP2305648A1', '1975-EP2305651A1', '1975-EP2305652A2', '1975-EP2305658A1', '1975-EP2305659A1', '1975-EP2305660A1', '1975-EP2305664A1', '1975-EP2305667A2', '1975-EP2305668A1', '1975-EP2305671A1', '1975-EP2305672A1', '1975-EP2305674A1', '1975-EP2305675A1', '1975-EP2305676A1', '1975-EP2305677A1', '1975-EP2305682A1', '1975-EP2305684A1', '1975-EP2305685A1', '1975-EP2305686A1', '1975-EP2305688A1', '1975-EP2305695A2', '1975-EP2305696A2', '1975-EP2305697A2', '1975-EP2305698A2', '1975-EP2305769A2', '1975-EP2305808A1', '1975-EP2305825A1', '1975-EP2306788A1', '1975-EP2306789A1', '1975-EP2308471A1', '1975-EP2308510A1', '1975-EP2308562A2', '1975-EP2308812A2', '1975-EP2308828A2', '1975-EP2308833A2', '1975-EP2308838A1', '1975-EP2308839A1', '1975-EP2308841A2', '1975-EP2308844A2', '1975-EP2308845A2', '1975-EP2308846A2', '1975-EP2308847A1', '1975-EP2308848A1', '1975-EP2308849A1', '1975-EP2308850A1', '1975-EP2308851A1', '1975-EP2308854A1', '1975-EP2308855A1', '1975-EP2308857A1', '1975-EP2308858A1', '1975-EP2308861A1', '1975-EP2308863A1', '1975-EP2308864A1', '1975-EP2308866A1', '1975-EP2308867A2', '1975-EP2308869A1', '1975-EP2308870A2', '1975-EP2308871A1', '1975-EP2308873A1', '1975-EP2308875A1', '1975-EP2308877A1', '1975-EP2308879A1', '1975-EP2308880A1', '1975-EP2308882A1', '1975-EP2309584A1', '1975-EP2311451A1', '1975-EP2311455A1', '1975-EP2311796A1', '1975-EP2311797A1', '1975-EP2311798A1', '1975-EP2311799A1', '1975-EP2311801A1', '1975-EP2311802A1', '1975-EP2311803A1', '1975-EP2311807A1', '1975-EP2311808A1', '1975-EP2311809A1', '1975-EP2311810A1', '1975-EP2311811A1', '1975-EP2311814A1', '1975-EP2311815A1', '1975-EP2311816A1', '1975-EP2311817A1', '1975-EP2311818A1', '1975-EP2311821A1', '1975-EP2311822A1', '1975-EP2311824A1', '1975-EP2311825A1', '1975-EP2311827A1', '1975-EP2311829A1', '1975-EP2311830A1', '1975-EP2311831A1', '1975-EP2311837A1', '1975-EP2311840A1', '1975-EP2311842A2', '1975-EP2311850A1', '1975-EP2314295A1', '1975-EP2314571A2', '1975-EP2314575A1', '1975-EP2314576A1', '1975-EP2314583A1', '1975-EP2314584A1', '1975-EP2314585A1', '1975-EP2314587A1', '1975-EP2314590A1', '1975-EP2314593A1', '1975-EP2315303A1', '1975-EP2316450A1', '1975-EP2316452A1', '1975-EP2316470A2', '1975-EP2316825A1', '1975-EP2316826A1', '1975-EP2316827A1', '1975-EP2316831A1', '1975-EP2316832A1', '1975-EP2316833A1', '1975-EP2316836A1', '1975-EP2316905A1', '1975-EP2316906A2', '1975-EP2371795A1', '1975-EP2371805A1', '1975-EP2371808A1', '1975-EP2371811A2', '1975-EP2371814A1', '1975-EP2372804A1', '1975-EP2374454A1', '1975-EP2374783A1', '1975-EP2374788A1', '1975-EP2374790A1', '1975-EP2377841A1', '1975-EP2378585A1', '1975-EP2380568A1', '1975-EP2380874A2', '6731-EP1441224A2', '6731-EP2269978A2', '6731-EP2269985A2', '6731-EP2269988A2', '6731-EP2269991A2', '6731-EP2270002A1', '6731-EP2270008A1', '6731-EP2270113A1', '6731-EP2272827A1', '6731-EP2272835A1', '6731-EP2272841A1', '6731-EP2272843A1', '6731-EP2272844A1', '6731-EP2272846A1', '6731-EP2272847A1', '6731-EP2272848A1', '6731-EP2272935A1', '6731-EP2275408A1', '6731-EP2277507A1', '6731-EP2277868A1', '6731-EP2277869A1', '6731-EP2277870A1', '6731-EP2280000A1', '6731-EP2280011A1', '6731-EP2281817A1', '6731-EP2281819A1', '6731-EP2281861A2', '6731-EP2284150A2', '6731-EP2284151A2', '6731-EP2284152A2', '6731-EP2284153A2', '6731-EP2284155A2', '6731-EP2284156A2', '6731-EP2284164A2', '6731-EP2284166A1', '6731-EP2284167A2', '6731-EP2284168A2', '6731-EP2284170A1', '6731-EP2286795A1', '6731-EP2287140A2', '6731-EP2287148A2', '6731-EP2287150A2', '6731-EP2287153A1', '6731-EP2289871A1', '6731-EP2289877A1', '6731-EP2289879A1', '6731-EP2289897A1', '6731-EP2292589A1', '6731-EP2292601A1', '6731-EP2292602A1', '6731-EP2292603A1', '6731-EP2292608A1', '6731-EP2292617A1', '6731-EP2292618A1', '6731-EP2292625A1', '6731-EP2293650A1', '6731-EP2295419A2', '6731-EP2295422A2', '6731-EP2295423A1', '6731-EP2295426A1', '6731-EP2295427A1', '6731-EP2295429A1', '6731-EP2295436A1', '6731-EP2298305A1', '6731-EP2298729A1', '6731-EP2298732A1', '6731-EP2298737A1', '6731-EP2298739A1', '6731-EP2298740A1', '6731-EP2298741A1', '6731-EP2298746A1', '6731-EP2298747A1', '6731-EP2298749A1', '6731-EP2298761A1', '6731-EP2298769A1', '6731-EP2298771A2', '6731-EP2298773A1', '6731-EP2298828A1', '6731-EP2301544A1', '6731-EP2301913A1', '6731-EP2301914A1', '6731-EP2301922A1', '6731-EP2301934A1', '6731-EP2305250A1', '6731-EP2305637A2', '6731-EP2305641A1', '6731-EP2305651A1', '6731-EP2305655A2', '6731-EP2305668A1', '6731-EP2305688A1', '6731-EP2305695A2', '6731-EP2305696A2', '6731-EP2305697A2', '6731-EP2305698A2', '6731-EP2305808A1', '6731-EP2308479A2', '6731-EP2308848A1', '6731-EP2308851A1', '6731-EP2308852A1', '6731-EP2308853A1', '6731-EP2308854A1', '6731-EP2308866A1', '6731-EP2308867A2', '6731-EP2308870A2', '6731-EP2308873A1', '6731-EP2308878A2', '6731-EP2308880A1', '6731-EP2311796A1', '6731-EP2311797A1', '6731-EP2311798A1', '6731-EP2311799A1', '6731-EP2311801A1', '6731-EP2311802A1', '6731-EP2311803A1', '6731-EP2311808A1', '6731-EP2311811A1', '6731-EP2311820A1', '6731-EP2311823A1', '6731-EP2311824A1', '6731-EP2311825A1', '6731-EP2311829A1', '6731-EP2311830A1', '6731-EP2311835A1', '6731-EP2311840A1', '6731-EP2314576A1', '6731-EP2314578A1', '6731-EP2314586A1', '6731-EP2316824A1', '6731-EP2316830A2', '6731-EP2371805A1', '6731-EP2371814A1', '6731-EP2371823A1', '6731-EP2371831A1', 'C13240', 'D01772', 'Diethyl ether, UV HPLC spectroscopic, 99.9%', '46648-EP2292601A1', '46648-EP2298745A1', '46648-EP2311826A2', 'Ethyl ether anhydrous stabilized with 5ppm of BHT', 'Q202218', 'Diethyl ether, Laboratory Reagent, &gt;=99.5% (GC)', 'Diethyl ether, for HPLC, &gt;=99.9%, inhibitor-free', 'Diethyl ether, for UV-spectroscopy, &gt;=99.8% (GC)', '1-hydroperoxy-8-carboxyoctyl 3,4-epoxynon-(2E)-enyl ether', 'Diethyl ether or ethyl ether [UN1155]  [Flammable liquid]', 'Diethyl ether or ethyl ether [UN1155] [Flammable liquid]', 'Diethyl ether, puriss., 99.0%, contains 0.0025% BHT', 'Diethyl ether anhydrous ACS grade stabilized with 5ppm of BHT', 'Diethyl ether, puriss. p.a., ACS reagent, &gt;=99.8% (GC)', 'Diethyl ether, AR, contains 5 ppm BHT as stabilizer, &gt;=99.5%', 'Diethyl ether, for HPLC, contains 5 ppm BHT as stabilizer, &gt;=99%', 'Diethyl ether, for residue analysis, suitable for 5000 per JIS', 'Diethyl ether, LR, contains 5 ppm BHT as stabilizer, &gt;=99.5%', 'Diethyl ether, p.a., ACS reagent, 99.5%, contains 0.0025% BHT', 'Diethyl ether, spectrophotometric grade, &gt;=99.9%, inhibitor-free', 'Diethyl ether, ACS reagent, anhydrous, &gt;=99.0%, contains BHT as inhibitor', 'Diethyl ether, anhydrous, ACS reagent, &gt;=99.0%, contains BHT as inhibitor', 'Diethyl ether, anhydrous, contains 5 ppm BHT as stabilizer, &gt;=99.5%', 'Diethyl ether, contains 1 ppm BHT as inhibitor, anhydrous, &gt;=99.7%', 'Diethyl ether, suitable for 1000 per JIS, &gt;=99.5%, for residue analysis', 'Diethyl ether, suitable for 300 per JIS, &gt;=99.5%, for residue analysis', 'Diethyl ether, 99.5%, Extra Dry, stabilized, AcroSeal(R), package of 4x25ML bottles', 'Diethyl ether, ACS reagent, &gt;=98.0%, contains ~2% ethanol and ~10ppm BHT as inhibitor', 'Diethyl ether, ACS reagent, anhydrous, &gt;=99.0%, contains 1 ppm BHT as inhibitor', 'Diethyl ether, anhydrous, ACS reagent, &gt;=99.0%, contains 1 ppm BHT as inhibitor', 'Diethyl Ether, Pharmaceutical Secondary Standard; Certified Reference Material', 'Diethyl ether, puriss., dried over molecular sieve (H2O &lt;=0.005%), &gt;=99.8% (GC)', 'Diethyl ether, puriss., meets analytical specification of Ph.??Eur., BP, &gt;=99.5% (GC)', 'Diethyl ether, reagent grade, &gt;=98%, contains ~2% ethanol and ~10ppm BHT as inhibitor', 'Diethyl ether, contains BHT as inhibitor, puriss. p.a., ACS reagent, reag. ISO, reag. Ph. Eur., &gt;=99.8%', 'Diethyl ether, puriss., dried over molecular sieve Deperox Dehydrat (H2O &lt;=0.005%), &gt;=99.8% (GC)']</t>
  </si>
  <si>
    <t>Compound(3283)</t>
  </si>
  <si>
    <t>diethyl phthalate</t>
  </si>
  <si>
    <t>diethyl benzene-1,2-dicarboxylate</t>
  </si>
  <si>
    <t>['DIETHYL PHTHALATE', '84-66-2', 'phthalic acid diethyl ester', 'Ethyl phthalate', 'Anozol', 'Neantine', 'Phthalol', 'Solvanol', 'Diethylphthalate', 'Diethyl o-phthalate', 'diethyl benzene-1,2-dicarboxylate', 'Palatinol A', 'Placidol E', 'Unimoll DA', 'Phthalsaeurediaethylester', 'o-Bis(ethoxycarbonyl)benzene', 'Diethyl 1,2-benzenedicarboxylate', '1,2-Diethyl phthalate', 'Estol 1550', 'o-Benzenedicarboxylic acid diethyl ester', 'Di-n-ethyl phthalate', 'Diethyl o-phenylenediacetate', '1,2-Benzenedicarboxylic acid, diethyl ester', 'Phthalic acid, diethyl ester', 'RCRA waste number U088', 'Diethylester kyseliny ftalove', 'diethyl phtalate', 'NCI-C60048', '1,2-benzenedicarboxylic acid diethyl ester', 'NSC 8905', 'UNII-UF064M00AF', '1,2-Benzenedicarboxylic acid, 1,2-diethyl ester', 'CCRIS 2675', 'HSDB 926', 'CHEBI:34698', '1,2-Benzenedicarboxylic acid, di-C4-13-alkyl esters', 'DPX-F5384', 'Phthalsaeurediaethylester [German]', 'Diethyl phthalate (NF)', 'Diethyl phthalate [NF]', 'Diethyl phthalate, 99%', 'EINECS 201-550-6', 'Diethylester kyseliny ftalove [Czech]', 'RCRA waste no. U088', 'BRN 1912500', 'AI3-00329', 'UF064M00AF', '68988-18-1', 'NCGC00090974-03', 'o-Benzenedicarboxylic acid, diethyl ester', 'benzene-1,2-dicarboxylic acid diethyl ester', 'DSSTox_CID_1780', 'DSSTox_RID_76323', 'DSSTox_GSID_21780', 'Q-200982', 'ethyl 2-(ethoxycarbonyl)benzoate', 'diethyl phthalate (dep)', 'Phthalic acid, bis-iso-nonyl ester', 'diethyl-phthalate', 'CAS-84-66-2', 'SMR000857334', 'Diethyl phthalate, PESTANAL(R), analytical standard', 'Diethyl Phthalate [USAN]', 'solvano l', 'diethyl pthalate', 'Kodaflex DEP', 'Diethyl-o-phthalate', 'EINECS 273-520-0', 'Diethyl phthalic acid', 'Phthalic acid diethyl', 'ACMC-20aj0r', 'Diethyl Phthalate - DEP', 'diethyl 1,2-benzenedioate', 'bmse000846', 'Epitope ID:140105', 'EC 201-550-6', 'WLN: 2OVR BVO2', 'Diethyl phthalate, &gt;=99%', 'Diethyl phthalate, 99.5%', 'SCHEMBL22296', '2,3-dimethoxyphenylaceticacid', '4-09-00-03172 (Beilstein Handbook Reference)', 'KSC448E0D', 'MLS001336021', 'MLS001336022', 'MLS002152901', 'MLS002177800', 'BIDD:ER0639', 'Phthalic acid, bis-ethyl ester', 'CHEMBL388558', 'ZINC1287', 'Diethyl phthalate, &gt;=99.5%', 'DTXSID7021780', 'CTK3E8201', 'Diethyl-1,2-benzenedicarboxylate', 'NSC8905', 'Diethyl phthalate, LR, &gt;=99%', 'HMS2233J05', 'HMS3369G01', 'PHTHALIC ACID,DIETHYL ESTER', 'ACN-S002427', 'Diethyl phthalate/dimethyl phthalate', 'NSC-8905', 'Tox21_111050', 'Tox21_201874', 'Tox21_300183', 'ANW-75577', 'BBL011577', 'MFCD00009111', 'SBB060561', 'STL163320', 'AKOS000119867', 'Benzenedicarboxylic acid, diethyl ester', 'LS-1838', 'MCULE-8221041887', 'Diethyl Phthalate MIL-D-242 Mil Spec', 'NCGC00090974-01', 'NCGC00090974-02', 'NCGC00090974-04', 'NCGC00090974-05', 'NCGC00090974-06', 'NCGC00254098-01', 'NCGC00259423-01', 'AK-98162', 'CC-26717', 'Diethyl Phthalate Metal Plastic IBC/Tote', 'AX8124754', 'CS-0013981', 'FT-0624802', 'FT-0666787', 'P0296', 'ST50406385', 'Diethyl ester of 1,2-Benzenedicarboxylic acid', 'Diethylphthalate, A-A-59314, JAN-D-242', 'Phthalic acid, bis-isononyl ester (technical)', 'C14175', 'D03804', 'Diethyl phthalate, SAJ special grade, &gt;=98.0%', 'C-34265', 'Q419811', 'F1908-0104', 'Phthalic acid, bis-C6-C8-branched alkyl esters C7-rich', 'Diethyl phthalate, European Pharmacopoeia (EP) Reference Standard', 'Diethyl phthalate, United States Pharmacopeia (USP) Reference Standard', 'Phthalic acid, bis-isononyl ester (technical) 10 microg/mL in Cyclohexane', 'Diethyl Phthalate, Pharmaceutical Secondary Standard; Certified Reference Material', '66758-31-4']</t>
  </si>
  <si>
    <t>Compound(6781)</t>
  </si>
  <si>
    <t>C12H14O4</t>
  </si>
  <si>
    <t>diethyl nitrosamine</t>
  </si>
  <si>
    <t>N,N-diethylnitrous amide</t>
  </si>
  <si>
    <t>['N-NITROSODIETHYLAMINE', '55-18-5', 'Diethylnitrosamine', 'Diethylnitrosoamine', 'NDEA', 'N-Ethyl-N-nitrosoethanamine', 'N,N-Diethylnitrosamine', 'N,N-Diethylnitrosoamine', 'Ethanamine, N-ethyl-N-nitroso-', 'Nitrosodiethylamine', 'N,N-diethylnitrous amide', 'Diethylnitrosamide', 'Diethylamine, N-nitroso-', 'Diaethylnitrosamin', 'N-Nitroso-N,N-diethylamine', 'DEN (mutagen)', 'Ethylamine, N-nitrosodi-', 'DENA', 'DEN', 'RCRA waste number U174', 'N-Diethylnitrosamine', 'NSC 132', 'Nitrosamine, diethyl-', 'N-Nitroso-diaethylamine', 'C4H10N2O', 'UNII-3IQ78TTX1A', 'Diaethylnitrosamin [German]', 'n-nitrosodiethylamine (ndea)', 'CCRIS 239', 'N-Ethyl-N-nitroso-ethanamine', 'HSDB 4001', 'N-Nitroso-diaethylamine [German]', 'EINECS 200-226-1', 'RCRA waste no. U174', 'BRN 1744991', '3IQ78TTX1A', '1,1-Diethyl-2-oxohydrazine', 'AI3-62031', 'CHEBI:34873', 'N-Nitrosodiethlamine', 'DSSTox_CID_1028', 'DSSTox_RID_75913', 'DSSTox_GSID_21028', 'CAS-55-18-5', 'nitrous diethylamide', 'diethyl-nitroso-amine', 'n-nitroso-diethylamine', 'ethylamine, N-Nitrosdi', 'N,N-Diethylnitrosam ine', 'ACMC-1B13I', 'N-Ethyl-N-nitroso-ethylamine', 'N-Nitrosodiethylamine, liquid', 'MLS002415760', 'BIDD:ER0527', 'SCHEMBL106629', 'WLN: ONN2&amp;2', 'CHEMBL164290', 'NSC132', '1,1-Diethyl-2-oxohydrazine #', 'DTXSID2021028', 'CTK3J0348', 'NSC-132', 'HMS3039G08', 'N-Nitrosodiethylamine, ISOPAC(R)', 'BCP19136', 'HY-N7434', 'KS-00000WB4', 'ZINC3875370', 'Tox21_201255', 'Tox21_300533', '5025AF', 'ANW-32254', 'MFCD00013890', 'STL220642', 'AKOS015903105', 'FCH1115748', 'LS-1352', 'MCULE-8931177297', 'N-Nitrosodiethylamine, &gt;=99.0% (GC)', 'NCGC00091350-01', 'NCGC00091350-02', 'NCGC00091350-03', 'NCGC00091350-04', 'NCGC00254309-01', 'NCGC00258807-01', 'N-Nitrosodiethylamine, analytical standard', 'SMR001370919', 'SY053647', 'DB-052695', 'CS-0128799', 'D0516', 'FT-0631240', 'N-Nitrosodiethylamine 0.1 mg/ml in Methanol', 'NS00000638', 'ST45244472', 'C14422', '28719-EP2283001A2', '28719-EP2314579A1', 'N-Nitroso-diethylamine 10 microg/mL in Methanol', 'C-51605', 'N-Nitroso-diethylamine 100 microg/mL in Methanol', 'N-Nitroso-diethylamine 1000 microg/mL in Methanol', 'Q22138388', 'Diethylnitrosoamine;N-Nitrosodiethylamine;N-Nitrosodiethylamine (NDEA)']</t>
  </si>
  <si>
    <t>Compound(5921)</t>
  </si>
  <si>
    <t>C4H10N2O</t>
  </si>
  <si>
    <t>diethyl sulfate</t>
  </si>
  <si>
    <t>['Diethyl sulfate', '64-67-5', 'Sulfuric acid, diethyl ester', 'Diethyl sulphate', 'DIETHYLSULFATE', 'Diaethylsulfat', 'Sulfuric acid diethyl ester', 'Diethyl tetraoxosulfate', 'Diaethylsulfat [German]', 'UNII-K0FO4VFA7I', 'DES (VAN)', 'Diethylester kyseliny sirove', 'NSC 56380', 'CCRIS 242', 'C4H10O4S', 'HSDB 1636', 'Diethylester kyseliny sirove [Czech]', 'EINECS 200-589-6', 'UN1594', 'K0FO4VFA7I', 'AI3-15355', 'CHEBI:34699', 'ethyl ethoxysulfonate', 'Diethyl sulfate, 99%', 'DSSTox_CID_4045', 'DSSTox_RID_77265', 'DSSTox_GSID_24045', 'CAS-64-67-5', 'diethylsulphate', 'diethyl-sulphate', 'Diethyl Monosulfate', 'diethylsulfuric acid', 'EtOSO3Et', 'Diethyl sulfate, 98%', 'EC 200-589-6', 'SCHEMBL1769', 'WLN: 2OSWO2', 'Sulphuric acid diethyl ester', 'KSC353M9J', 'BIDD:ER0594', 'ACMC-1B208', 'CHEMBL163100', 'DTXSID1024045', 'CTK2F3694', 'KS-00000VIT', 'BCP25766', 'NSC56380', 'ZINC1686883', 'Tox21_202402', 'Tox21_300169', 'ANW-34927', 'MFCD00009099', 'NSC-56380', 'SBB060663', 'STL268863', 'AKOS009157686', 'Diethyl sulfate [UN1594] [Poison]', 'LS-1543', 'MCULE-1621267036', 'UN 1594', 'Diethyl sulfate [UN1594]  [Poison]', 'NCGC00164138-01', 'NCGC00164138-02', 'NCGC00164138-03', 'NCGC00253940-01', 'NCGC00259951-01', 'M292', 'SC-74617', 'D0525', 'FT-0624858', 'NS00008605', 'ST51046800', 'Sulfuric acid, diethyl ester;Diethyl sulphate', 'C14706', '23489-EP2269992A1', '23489-EP2287167A1', '23489-EP2311806A2', '23489-EP2314582A1', '95732-EP2270007A1', '95732-EP2272837A1', '95732-EP2284167A2', '95732-EP2284168A2', '95732-EP2292593A2', '95732-EP2305627A1', 'Q421338', 'J-520306', 'F0001-1737', '37348-62-2']</t>
  </si>
  <si>
    <t>Compound(6163)</t>
  </si>
  <si>
    <t>C4H10O4S</t>
  </si>
  <si>
    <t>diethylenediamine</t>
  </si>
  <si>
    <t>piperazine</t>
  </si>
  <si>
    <t>['piperazine', '110-85-0', 'Diethylenediamine', '1,4-Diazacyclohexane', 'Piperazin', 'Hexahydropyrazine', 'Piperazidine', 'Antiren', '1,4-Piperazine', 'Diethyleneimine', 'Eraverm', 'Pipersol', 'Dispermine', 'Lumbrical', 'Wurmirazin', 'Uvilon', 'Vermex', '1,4-Diethylenediamine', 'Worm-A-Ton', 'Piperazine, anhydrous', 'Asca-Trol No. 3', 'Pyrazine hexahydride', 'Hexahydro-1,4-diazine', 'Pyrazine, hexahydro-', 'Eraverm (VAN)', 'Piperazin [German]', 'Vermizine (TN)', 'Piperazine (USP)', 'NSC 474', 'UNII-1RTM4PAL0V', 'Piperazine [USP]', 'CCRIS 5950', 'HSDB 1093', 'EINECS 203-808-3', 'MFCD00005953', 'UN2579', '1RTM4PAL0V', 'BRN 0102555', 'NSC474', 'CHEBI:28568', 'NCGC00094762-03', 'Upixon', 'DSSTox_CID_1164', 'piperazinium oleate', 'DSSTox_RID_75986', 'DSSTox_GSID_21164', 'Piperazine anhydrous', 'Piperazine [USAN]', 'Piperazine, 99%, extra pure', 'Piperazin [Germany]', 'Anhydrous piperazine', 'CAS-110-85-0', 'PZE', 'piperizine', 'piperzine', 'piprazine', 'exahydropyrazine', 'Piperazine-', '7-piperazine', '4-diazacyclohexane', 'Piperazine [UN2579] [Corrosive]', 'Piperazine, 99%', 'Tasnon (Salt/Mix)', 'Exelmin (Salt/Mix)', 'Vermidol (Salt/Mix)', 'Vermizine (Salt/Mix)', 'PubChem19047', 'Spectrum_001113', 'ACMC-1AWXD', 'Spectrum5_001817', 'WLN: T6M DMTJ', 'EC 203-808-3', 'Piperazine, p.a., 98%', 'CHEMBL1412', 'NCIOpen2_000984', 'NCIOpen2_000988', 'NCIOpen2_001024', 'NCIOpen2_001031', 'NCIOpen2_001033', 'NCIOpen2_001071', 'NCIOpen2_001073', 'NCIOpen2_001111', 'NCIOpen2_001151', 'NCIOpen2_001231', 'NCIOpen2_001262', 'NCIOpen2_001269', 'NCIOpen2_004830', 'NCIOpen2_004834', 'NCIOpen2_004862', 'NCIOpen2_004874', 'NCIOpen2_004904', 'NCIOpen2_004910', 'NCIOpen2_004914', 'NCIOpen2_004942', 'NCIOpen2_004952', 'NCIOpen2_004954', 'NCIOpen2_004982', 'NCIOpen2_004992', 'NCIOpen2_004994', 'NCIOpen2_005022', 'NCIOpen2_005032', 'NCIOpen2_005034', 'NCIOpen2_005062', 'NCIOpen2_005072', 'NCIOpen2_005102', 'NCIOpen2_005108', 'NCIOpen2_005145', 'NCIOpen2_005182', 'NCIOpen2_005185', 'NCIOpen2_005187', 'NCIOpen2_005200', 'NCIOpen2_005575', 'NCIOpen2_005980', 'NCIOpen2_009422', 'KBioSS_001593', '5-23-01-00030 (Beilstein Handbook Reference)', 'KSC175C5H', 'ARONIS23910', 'BIDD:GT0273', 'DivK1c_000038', 'SPECTRUM1500490', 'Piperazine, analytical standard', 'DTXSID1021164', 'CTK0H5153', 'HMS500B20', 'KBio1_000038', 'KBio2_001593', 'KBio2_004161', 'KBio2_006729', 'KS-00000UVN', 'NSC-474', 'NINDS_000038', 'HMS1920H20', 'HMS2092A03', 'Pharmakon1600-01500490', 'ACT02177', 'BCP24060', 'HY-B0912', 'Piperazine, ReagentPlus(R), 99%', 'STR00051', 'ZINC5850277', 'Tox21_113564', 'Tox21_202242', 'Tox21_300104', 'ANW-16201', 'BBL019924', 'LS-517', 'NSC757283', 's4574', 'STL169348', 'Piperazine [UN2579]  [Corrosive]', 'AKOS000269028', 'CCG-212753', 'CS-4381', 'DB00592', 'LF-0561', 'MCULE-5522245554', 'NSC-757283', 'UN 2579', 'IDI1_000038', 'NCGC00094762-01', 'NCGC00094762-02', 'NCGC00094762-04', 'NCGC00094762-05', 'NCGC00094762-08', 'NCGC00254077-01', 'NCGC00259791-01', 'Piperazine, anhydrous, &gt;=99.0% (T)', '8057-14-5', 'SC-16373', 'SBI-0051485.P003', 'FT-0673919', 'NS00008207', 'P0446', 'P0447', 'AZ0001-0086', '5726-EP2269610A2', '5726-EP2269977A2', '5726-EP2269993A1', '5726-EP2270002A1', '5726-EP2270006A1', '5726-EP2270010A1', '5726-EP2272509A1', '5726-EP2272517A1', '5726-EP2272813A2', '5726-EP2272841A1', '5726-EP2272935A1', '5726-EP2272972A1', '5726-EP2272973A1', '5726-EP2275395A2', '5726-EP2275401A1', '5726-EP2275404A1', '5726-EP2275411A2', '5726-EP2275412A1', '5726-EP2275420A1', '5726-EP2275421A1', '5726-EP2277848A1', '5726-EP2277858A1', '5726-EP2277867A2', '5726-EP2277872A1', '5726-EP2277876A1', '5726-EP2277877A1', '5726-EP2277880A1', '5726-EP2280003A2', '5726-EP2280005A1', '5726-EP2280006A1', '5726-EP2280008A2', '5726-EP2280009A1', '5726-EP2280010A2', '5726-EP2281563A1', '5726-EP2281810A1', '5726-EP2281813A1', '5726-EP2281815A1', '5726-EP2281818A1', '5726-EP2281819A1', '5726-EP2281821A1', '5726-EP2284149A1', '5726-EP2284157A1', '5726-EP2284159A1', '5726-EP2284160A1', '5726-EP2287163A1', '5726-EP2289510A1', '5726-EP2289868A1', '5726-EP2289883A1', '5726-EP2289884A1', '5726-EP2289887A2', '5726-EP2289888A2', '5726-EP2289894A2', '5726-EP2292586A2', '5726-EP2292593A2', '5726-EP2292606A1', '5726-EP2292610A1', '5726-EP2292611A1', '5726-EP2292614A1', '5726-EP2292619A1', '5726-EP2292624A1', '5726-EP2292630A1', '5726-EP2295399A2', '5726-EP2295402A2', '5726-EP2295407A1', '5726-EP2295409A1', '5726-EP2295426A1', '5726-EP2295427A1', '5726-EP2295429A1', '5726-EP2295432A1', '5726-EP2295433A2', '5726-EP2295437A1', '5726-EP2295438A1', '5726-EP2298731A1', '5726-EP2298734A2', '5726-EP2298736A1', '5726-EP2298738A1', '5726-EP2298743A1', '5726-EP2298755A1', '5726-EP2298763A1', '5726-EP2298766A1', '5726-EP2298767A1', '5726-EP2298772A1', '5726-EP2298775A1', '5726-EP2298778A1', '5726-EP2298783A1', '5726-EP2300432A1', '5726-EP2301928A1', '5726-EP2301936A1', '5726-EP2301937A1', '5726-EP2305219A1', '5726-EP2305250A1', '5726-EP2305646A1', '5726-EP2305648A1', '5726-EP2305651A1', '5726-EP2305657A2', '5726-EP2305659A1', '5726-EP2305672A1', '5726-EP2305677A1', '5726-EP2305678A1', '5726-EP2305679A1', '5726-EP2305682A1', '5726-EP2305684A1', '5726-EP2305687A1', '5726-EP2308510A1', '5726-EP2308562A2', '5726-EP2308812A2', '5726-EP2308838A1', '5726-EP2308839A1', '5726-EP2308840A1', '5726-EP2308848A1', '5726-EP2308854A1', '5726-EP2308857A1', '5726-EP2308867A2', '5726-EP2308870A2', '5726-EP2308872A1', '5726-EP2308873A1', '5726-EP2308875A1', '5726-EP2308879A1', '5726-EP2309584A1', '5726-EP2311464A1', '5726-EP2311808A1', '5726-EP2311814A1', '5726-EP2311818A1', '5726-EP2311824A1', '5726-EP2311828A1', '5726-EP2311829A1', '5726-EP2311831A1', '5726-EP2311842A2', '5726-EP2314295A1', '5726-EP2314574A1', '5726-EP2314575A1', '5726-EP2314584A1', '5726-EP2314586A1', '5726-EP2314587A1', '5726-EP2314588A1', '5726-EP2314590A1', '5726-EP2315760A1', '5726-EP2316457A1', '5726-EP2316458A1', '5726-EP2316470A2', '5726-EP2316825A1', '5726-EP2316826A1', '5726-EP2316827A1', '5726-EP2316828A1', '5726-EP2316829A1', '5726-EP2316831A1', '5726-EP2316832A1', '5726-EP2316833A1', '5726-EP2316836A1', '5726-EP2371811A2', '5726-EP2371831A1', '5726-EP2372804A1', '5726-EP2374895A1', '5726-EP2378585A1', 'B-6439', 'C07973', 'D00807', '10847-EP2284160A1', '10847-EP2284166A1', '10847-EP2292589A1', '10847-EP2295439A1', '10847-EP2301928A1', '10847-EP2305651A1', '10847-EP2308852A1', '10847-EP2308854A1', '10847-EP2316827A1', '10847-EP2316828A1', 'AB00052073_03', '164557-EP2281899A2', '164557-EP2287167A1', 'Piperazine, BioUltra, anhydrous, &gt;=99.0% (T)', 'Q409292', 'SR-05000001700', 'Q-201586', 'SR-05000001700-1', 'F0001-0226', 'Z1245537944', 'Piperazine, United States Pharmacopeia (USP) Reference Standard', '1323940-30-2']</t>
  </si>
  <si>
    <t>Compound(4837)</t>
  </si>
  <si>
    <t>C4H10N2</t>
  </si>
  <si>
    <t>diethylenetriamine</t>
  </si>
  <si>
    <t>N'-(2-aminoethyl)ethane-1,2-diamine</t>
  </si>
  <si>
    <t>['DIETHYLENETRIAMINE', '111-40-0', 'Bis(2-aminoethyl)amine', 'Diethylene triamine', "2,2'-Diaminodiethylamine", 'Barsamide 115', 'Epicure T', 'Ancamine DETA', '1,4,7-Triazaheptane', "2,2'-Iminodiethylamine", 'N,N-Bis(2-aminoethyl)amine', 'Aminoethylethandiamine', '1,2-Ethanediamine, N-(2-aminoethyl)-', '3-Azapentane-1,5-diamine', 'Imino-bis-ethylamine', 'ChS-P 1', 'N-(2-Aminoethyl)-1,2-ethanediamine', 'N-(2-aminoethyl)ethane-1,2-diamine', '1,5-Diamino-3-azapentane', "2,2'-Iminodi(ethylamine)", "2,2'-Iminobis(ethanamine)", 'Bis(beta-aminoethyl)amine', '2-(2-Aminoethylamino)ethylamine', 'Epon 3223', "Ethylamine, 2,2'-iminobis-", 'dien', "Diethylamine, 2,2'-diamino-", 'DEH 20', '(Aminoethyl)ethanediamine', 'diethylentriamine', 'NSC 446', 'UNII-03K6SX4V2J', 'Texacure EA-20', 'CCRIS 4794', 'HSDB 525', 'N-(2-Aminoethyl)ethylenediamine', 'C4H13N3', "2,2'-Iminobisethylamine", 'EINECS 203-865-4', 'H 9506', 'UN2079', "N'-(2-aminoethyl)ethane-1,2-diamine", 'N1-(2-aminoethyl)ethane-1,2-diamine', 'BRN 0605314', 'Bis[.beta.-aminoethyl]amine', '1,2-Ethanediamine, N1-(2-aminoethyl)-', '03K6SX4V2J', 'CHEMBL303429', 'CHEBI:30629', 'Ethylenediamine, N-(2-aminoethyl)-', 'NCGC00166036-01', 'Diethylenetriamine [UN2079] [Corrosive]', 'DSSTox_CID_5050', 'Diethylenetriamine, 98+%', 'DSSTox_RID_77641', 'DSSTox_GSID_25050', 'CAS-111-40-0', 'bis(2-amino-ethyl)-amine', 'di-ethylenetriamine', 'di(2-aminoethyl)amine', '2,2-Iminodiethylamine', 'Diethylenetriamine adduct', '1,4,7-triaza-heptane', "Ethylamine,2'-iminobis-", '2,2-iminodi(ethylamine)', "Diethylamine,2'-diamino-", 'ACMC-1BY1V', 'DEH 52 (Salt/Mix)', 'DEH 58 (Salt/Mix)', 'Bis[beta -aminoethyl]amine', "2,2'-diamino-diethylamine", "2,2'-Iminobis-Ethylamine", '3-aza-1,5-pentanediamine', 'EC 203-865-4', '1, N-(2-aminoethyl)-', "2, 2'-Diaminodiethylamine", '3-Aza-1,5-diaminopentane', 'bis-(2-amino-ethyl)-amine', 'WLN: Z2M2Z', 'SCHEMBL15381', '4-04-00-01238 (Beilstein Handbook Reference)', 'KSC492K2P', 'NSC446', 'DTXSID2025050', "beta ,beta '-diaminodiethylamine", 'CTK3J2527', 'KS-00000WDT', 'n-(2-aminoethyl)-ethylenediamine', 'NSC-446', ".beta.,.beta.'-Diaminodiethylamine", 'Tox21_113096', 'Tox21_201453', 'Tox21_303114', 'ANW-16275', 'BBL005239', 'BDBM50323742', 'D.E.H. 20', 'LS-530', 'MFCD00008171', 'SBB059776', 'STK802352', 'ZINC19230152', 'AKOS000119987', 'n1-(2-aminoethyl)-1,2-ethanediamine', 'MCULE-4803305991', 'n-(2-Aminoethyl)-1, 2-ethanediamine', 'UN 2079', 'NCGC00166036-02', 'NCGC00257198-01', 'NCGC00259004-01', 'BP-13436', 'Diethylenetriamine, ReagentPlus(R), 99%', 'M298', 'SC-79061', 'VS-01562', 'DB-040971', 'Diethylenetriamine [UN2079]  [Corrosive]', 'N-(2-Aminoethyl)-1,2-ethanediamine, 9CI', '712-EP2272849A1', '712-EP2292630A1', '712-EP2302015A1', '712-EP2374895A1', 'D0493', 'N*1*-(2-Amino-ethyl)-ethane-1,2-diamine', 'NS00003954', 'ST51046047', 'Diethylenetriamine, SAJ first grade, &gt;=98.0%', 'Q416728', 'J-002573', 'J-520317', 'F2191-0291', 'Z966690954', 'ADIPIC ACID/EPOXYPRO- PYL DIETHYLENETRIA- MINE COPOLYMER', 'Diethylenetriamine, polymer-bound, 200-400 mesh, extent of labeling: 2.5-3.0 mmol/g loading, 2 % cross-linked', 'Diethylenetriamine, polymer-bound, 200-400 mesh, extent of labeling: 4.0-5.0 mmol/g loading, 1 % cross-linked', 'StratoSpheres(TM) PL-Deta (Diethylenetriamine) resin, 50-100 mesh, extent of labeling: 6.0 mmol/g loading, 1 % cross-linked']</t>
  </si>
  <si>
    <t>Compound(8111)</t>
  </si>
  <si>
    <t>C4H13N3</t>
  </si>
  <si>
    <t>diethylene glycol dinitrate</t>
  </si>
  <si>
    <t>2-(2-nitrooxyethoxy)ethyl nitrate</t>
  </si>
  <si>
    <t>['Diethylene glycol dinitrate', 'Diethyleneglycol dinitrate', 'Oxydiethylene dinitrate', '693-21-0', 'Dinitrodiglicol', 'Dinitrodiglykol', 'Diglykoldinitrat', 'Diethylene glycol, dinitrate', 'Diglycoldinitraat', "ETHANOL, 2,2'-OXYBIS-, DINITRATE", 'Diethylenglykoldinitrate', 'Dinitrodiglykol [Czech]', 'Di(hydroxyethyl) ether dinitrate', 'Diglycoldinitraat [Dutch]', 'Diglykoldinitrat [German]', 'Dinitrodiglicol [Italian]', 'Dinitrate de diethylene-glycol', 'CCRIS 3415', "Ethanol, 2,2'-oxybisdinitrate", 'Diethylenglykoldinitrate [Czech]', 'UNII-77W50O99G1', "Ethanol, 2,2'-oxybis-, 1,1'-dinitrate", 'Bis(hydroxyaethyl)-aether-dinitrat', 'Diglycol (dinitrate de) [French]', 'EINECS 211-745-8', 'UN0075', 'BRN 1791998', 'Dinitrate de diethylene-glycol [French]', 'Bis(hydroxyaethyl)-aether-dinitrat [German]', 'oxydiethane-2,1-diyl dinitrate', 'DTXSID1024047', '77W50O99G1', 'Diethylene glycol dinitrate [Forbidden]', 'Diglycol (dinitrate de)', 'Dinitrodiglycol', 'Digol dinitrate', 'HSDB 7831', 'Diglycol dinitrate', 'Diethylene glycol dinitrate (DEGDN)', 'Oxydiethylene nitrate', 'DEGDN', 'EC 211-745-8', 'bis-(2-nitrooxyethyl) ether', "2,2'-Oxydiethanol dinitrate", 'UN 0075 (Salt/Mix)', 'Ex064', 'SCHEMBL439675', 'ZINC5178845', '2-[2-(Nitrooxy)ethoxy]ethyl nitrate', 'AKOS006278983', '2-[2-(Nitrooxy)ethoxy]ethyl nitrate #', 'LS-61886', "2,2'-oxybis(ethane-2,1-diyl) dinitrate", 'NS00001333', 'Q5275149', 'Diethylene glycol dinitrate, desensitized with not &lt;25% non-volatile water-insoluble phlegmatizer, by weight', 'Diethylene glycol dinitrate, desensitized with not &lt;25% non-volatile water-insoluble phlegmatizer, by weight [UN0075]  [Explosive 1.1D]', 'Diethylene glycol dinitrate, desensitized with not &lt;25% non-volatile water-insoluble phlegmatizer, by weight [UN0075] [Explosive 1.1D]']</t>
  </si>
  <si>
    <t>Compound(61198)</t>
  </si>
  <si>
    <t>C4H8N2O7</t>
  </si>
  <si>
    <t>diethylene glycol</t>
  </si>
  <si>
    <t>2-(2-hydroxyethoxy)ethanol</t>
  </si>
  <si>
    <t>['DIETHYLENE GLYCOL', '111-46-6', "2,2'-Oxydiethanol", 'Diglycol', '2-(2-Hydroxyethoxy)ethanol', 'Bis(2-hydroxyethyl) ether', 'Diethylenglykol', "Ethanol, 2,2'-oxybis-", '2-Hydroxyethyl ether', "2,2'-Oxybisethanol", 'Digol', 'Glycol ether', 'Digenos', 'Dicol', 'Brecolane ndg', 'Deactivator E', 'Dissolvant APV', 'Ethylene diglycol', "2,2'-Oxyethanol", 'Diethyleneglycol', 'DI(HYDROXYETHYL)ETHER', '1,5-Dihydroxy-3-oxapentane', 'TL4N', '3-Oxapentane-1,5-diol', '2-(2-hydroxyethoxy)ethan-1-ol', 'Dihydroxydiethyl ether', "2,2'-0xydiethanol", 'Bis(beta-hydroxyethyl) ether', "2,2'-Dihydroxydiethyl ether", "Ethanol, 2,2'-oxydi-", "beta,beta'-Dihydroxydiethyl ether", "2,2'-Dihydroxyethyl ether", '3-Oxapentamethylene-1,5-diol', 'Caswell No. 338A', 'Diethylenglykol [Czech]', 'DEG', 'Deactivator H', '3-Oxa-1,5-pentanediol', 'diethylene-glycol', 'MFCD00002882', 'NSC 36391', 'HSDB 69', "2,2'-Oxybis(ethan-1-ol)", 'CCRIS 2193', 'Carbowax 6000', 'UNII-61BR964293', 'bis(2-hydroxyethyl)ether', "2,2'-Oxybis[Ethanol]", 'Diethylene Glycol (DEG)', 'EINECS 203-872-2', 'EPA Pesticide Chemical Code 338200', 'BRN 0969209', '2,2-Di(hydroxyethyl) ether', 'AI3-08416', 'Bis(.beta.-hydroxyethyl) ether', 'DTXSID8020462', 'CHEBI:46807', ".beta.,.beta.'-Dihydroxydiethyl ether", 'DSSTox_CID_462', '61BR964293', 'DSSTox_RID_75605', 'DSSTox_GSID_20462', 'Diethylene glycol, 99%, extra pure', 'CAS-111-46-6', 'diehyleneglycol', 'diethylenglycol', 'diethyene glycol', 'di-ethylene glycol', '2-hydroxyethylether', '1KA', 'Dihydroxyethylet her', '2,2-Oxydiethanol.', "Ethanol,2'-oxydi-", "Ethanol,2'-oxybis-", 'Glycol hydroxyethyl ether', '2, 2-Oxybis[ethanol]', 'Diethylene glycol, 99%', 'ACMC-1C0DC', 'OH-PEG2-OH', 'bis-(2-hydroxyethyl)ether', 'EC 203-872-2', 'SCHEMBL1462', 'HO(CH2CH2O)2H', 'WLN: Q2O2Q', "2,2'-Oxydi(ethan-1-ol)", '4-01-00-02390 (Beilstein Handbook Reference)', 'KSC176A3B', 'MLS001055330', 'BIDD:ER0301', 'Glycol, polyethylene (200)', 'Glycol, polyethylene (400)', 'Glycol, polyethylene (600)', '2-(2-Hydroxy-ethoxy)-ethanol', 'Diethylene Glycol Reagent Grade', 'CHEMBL1235226', 'HO(CH2)2O(CH2)2OH', 'CTK0H6030', '2-(2-hydroxyethoxyl)ethan-1-ol', 'Diethylene glycol, LR, &gt;=99%', 'HMS2270G18', 'NSC32855', 'NSC32856', 'NSC35744', 'NSC35745', 'NSC35746', 'NSC36391', 'ZINC1668756', 'Tox21_201616', 'Tox21_300064', ".beta.,.beta.'-Dihydroxyethyl ether", 'ANW-16283', 'LS-534', 'NSC-32855', 'NSC-32856', 'NSC-35744', 'NSC-35745', 'NSC-35746', 'NSC-36391', 'STL280303', 'Diethylene glycol, analytical standard', 'AKOS000120101', 'FS-3891', 'MCULE-1531783732', 'NCGC00090703-01', 'NCGC00090703-02', 'NCGC00090703-03', 'NCGC00253996-01', 'NCGC00259165-01', 'BP-20527', 'Diethylene glycol, ReagentPlus(R), 99%', 'M295', 'SC-79348', 'SMR000112132', 'DB-092325', 'CS-0014055', 'D0495', 'FT-0624892', 'NS00004483', '3528-EP2308562A2', 'C14689', 'Diethylene glycol, BioUltra, &gt;=99.0% (GC)', 'Diethylene glycol, SAJ first grade, &gt;=98.0%', '25474-EP2377844A2', '25819-EP2269996A1', '25819-EP2270017A1', '25819-EP2270101A1', '25819-EP2272849A1', '25819-EP2277861A1', '25819-EP2284165A1', '25819-EP2292597A1', '25819-EP2295399A2', '25819-EP2295438A1', '25819-EP2301941A1', '25819-EP2302132A1', '25819-EP2308510A1', '25819-EP2308828A2', '25819-EP2308857A1', '25819-EP2308858A1', '25819-EP2308865A1', '25819-EP2308877A1', '25819-EP2311816A1', '25819-EP2311817A1', '25819-EP2315303A1', '25819-EP2371809A1', '25819-EP2371811A2', '25819-EP2372017A1', '25819-EP2374895A1', '25819-EP2380568A1', '25819-EP2380873A1', '133099-EP2284154A1', '133099-EP2295438A1', '152997-EP2284166A1', '152997-EP2289881A1', '176603-EP2284154A1', 'Diethylene glycol, Vetec(TM) reagent grade, 98%', 'Q421902', 'J-002580', 'F1908-0125', '9BAE4479-A6DD-4206-83C1-AB625AB87665', 'Diethylene glycol, puriss. p.a., &gt;=99.0% (GC), colorless', '(Cys(Acm)2 inverted exclamation mark currency7)-a-CGRP (human)', 'Diethylene glycol, United States Pharmacopeia (USP) Reference Standard', '162662-01-3']</t>
  </si>
  <si>
    <t>Compound(8117)</t>
  </si>
  <si>
    <t>C4H10O3</t>
  </si>
  <si>
    <t>4-[(E)-4-(4-hydroxyphenyl)hex-3-en-3-yl]phenol</t>
  </si>
  <si>
    <t>['diethylstilbestrol', '56-53-1', 'Stilbestrol', 'Stilboestrol', 'Distilbene', 'Agostilben', 'Estrobene', 'Estromenin', 'Stilboestroform', 'Antigestil', 'Palestrol', 'Stilbetin', 'Synestrin', 'Vagestrol', 'Fonatol', 'Diethylstilbesterol', 'Menostilbeen', 'Oestrogenine', 'Oestromensyl', 'Oestromienin', 'Stilbestrone', 'Synthoestrin', 'Comestrol', 'Cyren A', 'Domestrol', 'Dyestrol', 'Estrosyn', 'Grafestrol', 'Iscovesco', 'Microest', 'Milestrol', 'Oestromenin', 'Pabestrol', 'Sexocretin', 'Stilboefral', 'Stilbofolin', 'Synthofolin', 'Syntofolin', 'Diastyl', 'Makarol', 'Micrest', 'Serral', 'Stilkap', 'Bufon', 'Cyren', 'Desma', 'Sibol', 'OeKolp', "Dawe's destrol", 'Hi-Bestrol', 'Di-Estryl', 'Dietilestilbestrol', 'Neo-Oestranol I', 'Rumestrol 1', 'Rumestrol 2', 'Stil-Rol', 'Acnestrol', 'Climaterine', 'Dibestrol', 'Dicorvin', 'Gynopharm', 'Idroestril', 'Oestromensil', 'Oestromon', 'Protectona', 'Sedestran', 'Sintestrol', 'Stibilium', 'Tylosterone', 'Comestrol estrobene', 'Stilbol', 'Diethylstilboesterol', 'Oestrol vetag', 'trans-Diethylstilbestrol', 'DiBestrol 2 Premix', 'Bio-des', 'Estilbin MCO', '(E)-Diethylstilbestrol', 'STIL', 'neo-Oestranol 1', 'Tampovagan stilboestrol', "Dibestrol '2' premix", 'trans-Diethylstilbesterol', 'Synthestrin', 'Destrol', 'Estril', 'trans-Diethylstilboesterol', 'DES (synthetic estrogen)', 'DES', 'Stilbestrol, diethyl-', 'cis-Des', '(E)-3,4-Bis(4-hydroxyphenyl)-3-hexene', 'New-Estranol 1', 'Diethylstilbestrolum', 'Percutatrine oestrogenique iscovesco', "4,4'-Dihydroxydiethylstilbene", 'E-Diethylstilbestrol', 'Rcra waste number U089', 'Diaethylstilboestrolum', 'Menostar', 'cis-Diethylstilbesterol', 'diethylstilbestrol (DES)', "(E)-4,4'-(hex-3-ene-3,4-diyl)diphenol", 'Dietilstilbestrolo [DCIT]', 'Dietilestilbestrol [Spanish]', 'NSC-3070', "4,4'-(3E)-hex-3-ene-3,4-diyldiphenol", '4-[(E)-4-(4-hydroxyphenyl)hex-3-en-3-yl]phenol', "alpha,alpha'-Diethylstilbenediol", "Phenol, 4,4'-[(1E)-1,2-diethyl-1,2-ethenediyl]bis-", 'Diethylstilbestrolum [INN-Latin]', 'Dietilestilbestrol [INN-Spanish]', "(E)-4,4'-(1,2-Diethyl-1,2-ethenediyl)bisphenol", 'UNII-731DCA35BT', '6898-97-1', 'MG 137', 'CCRIS 240', 'cis-Diethylstilbestrol', "Phenol, 4,4'-(1,2-diethyl-1,2-ethenediyl)bis-, (E)-", "Estilbin ''MCO''", "trans-4,4'-(1,2-Diethyl-1,2-ethenediyl)bisphenol", "4,4'-Dihydroxy-alpha,beta-diethylstilbene", 'HSDB 3060', "alpha,alpha'-Diethyl-(E)-4,4'-stilbenediol", '3,4-Bis(p-hydroxyphenyl)-3-hexene', 'EINECS 200-278-5', 'DEB', 'CHEMBL411', 'RCRA waste no. U089', 'BRN 2056095', "4,4'-(Hex-3-ene-3,4-diyl)diphenol", '731DCA35BT', "cis-alpha,alpha'-Diethyl-4,4'-stilbenediol", 'Tampovagan', "4,4'-(3-HEXENE-3,4-DIYL)DIPHENOL", 'CHEBI:41922', "4,4'-Stilbenediol, alpha,alpha'-diethyl-, (E)-", ".alpha.,.alpha.'-Diethylstilbenediol", 'Diethyl stilbestrol', "(Z)-4,4'-(1,2-Diethyl-1,2-ethylenediyl)bisphenol", "Phenol 4,4'-(1,2-diethyl-1,2-ethenediyl)bis-, (E)-", 'strobene', 'Estrogenine', 'Stilbestroform', 'Stilbofollin', 'C18H20O2', 'Diethylstilboestrol (DE)', 'Diethylstilbestrol [Nonsteroidal oestrogens]', 'Diethylstilbestrol, 99%', 'DSSTox_CID_465', 'Dietilstilbestrolo', 'Stilbene Estrogen', 'DSSTox_RID_75608', 'DSSTox_GSID_20465', "4,4'-Stilbenediol, alpha,alpha'-diethyl-, (Z)-", "4,4'-Stilbenediol, .alpha.,.alpha.'-diethyl-, (E)-", 'hibestrol', 'oestrolmensil', "Phenol, 4,4'-((1E)-1,2-diethyl-1,2-ethenediyl)bis-", 'anti gestil', 'MFCD00002373', '22610-99-7', 'neo-oe stranol 1', 'Stilbestrol (TN)', 'SMR000058263', 'Diethylstilbestrol [USAN:INN]', 'Diethylstilbestrol, (Z)-Isomer', 'SR-01000745070', 'ST IL', 'Bertrol', 'Diethylstilbestrol (USP/INN)', 'TRANS-DIETHYSTILBESTEROL', '3erd', 'CAS-56-53-1', 'NCGC00090749-04', 'Diethylstilbestrol [USP:INN:BAN]', '3,4-bis(4-hydroxyphenyl)hex-3-ene', 'Prestwick_1070', 'PubChem2439', "alpha,alpha'-Diethyl-4,4'-stilbenediol", 'TRANSGENIC MODEL EVALUATION (DES)', 'Prestwick2_000756', 'Prestwick3_000756', 'Spectrum5_000799', "4, 2,2'-diethyl-", 'SCHEMBL9223', 'BSPBio_000772', 'BSPBio_002201', 'MLS000028447', 'MLS002174252', 'MLS002222298', 'ARONIS23859', 'BIDD:ER0159', 'SPECTRUM1500244', '4-[(3E)-4-(4-hydroxyphenyl)hex-3-en-3-yl]phenol', 'BPBio1_000850', 'GTPL2801', "trans-.alpha.,4'-stilbenediol", 'ZINC1290', '4, .alpha.,.alpha.-diethyl-', '4-[(E)-1-ethyl-2-(4-hydroxyphenyl)but-1-enyl]phenol', 'DTXSID3020465', 'REGID_for_CID_448537', 'BDBM20625', 'CHEBI:92795', 'HMS501J21', 'RGLYKWWBQGJZGM-ISLYRVAYSA-', "4, .alpha.,.alpha.'-diethyl-", 'NSC3070', 'WLN: QR DY2&amp;UY2&amp;R DQ', "3,4'-Dihydroxyphenyl)hex-3-ene", 'HMS1570G14', 'HMS1920G08', 'HMS2090C14', 'HMS2091M18', 'HMS2097G14', 'HMS2232N11', 'HMS3650A09', 'HMS3714G14', 'Pharmakon1600-01500244', "Phenol, 4,4'-(1,2-diethyl-1,2-ethylenediyl)bis-, (Z)-", '3-Hexene,4-bis(p-hydroxyphenyl)-', 'NSC 3070', 'Tox21_202407', 'Tox21_300526', 'CCG-38961', 'Diethylstilbestrol, &gt;=99% (HPLC)', 'LS-220', 'NSC756736', "Phenol, 4,4'-(1,2-diethyl-1,2-ethylenediyl)bis-, (Z)- (9CI)", 's1859', 'STK366318', '3,4-Bis(4-hydroxyphenyl)-3-hexene', 'AKOS005111142', 'DIETHYLSTILBESTROL (diethylstilbestr', '4,2-Diethyl-1,2-ethenediyl)bisphenol', 'CS-2338', 'DB00255', 'NSC-756736', 'IDI1_000519', 'NCGC00090749-01', 'NCGC00090749-02', 'NCGC00090749-03', 'NCGC00090749-05', 'NCGC00090749-06', 'NCGC00090749-07', 'NCGC00090749-08', 'NCGC00090749-09', 'NCGC00254539-01', 'NCGC00259956-01', "4, .alpha.,.alpha.'-diethyl-, (E)-", 'AS-13377', 'HY-14598', 'I027', 'SC-05383', 'SC-65252', 'SBI-0051346.P003', '3,4-Bis(p-hydroxyphenyl)-3-hexene, trans', "4,4'-dihydroxy-alph a,beta-diethylstilbene", 'LS-146816', 'D0526', 'Diethylstilbestrol, mixture of cis and trans', 'NS00010902', 'SW197137-4', ".alpha.,.alpha.'-Diethyl-4,4'-stilbenediol", '3,4-(Di-4-hydroxyphenyl)hex-3-ene, (E)-', '3-Hexene,3,4-bis(p-hydroxyphenyl)-, (E)-', "4,4'-[(3E)-3-Hexene-3,4-diyl]diphenol", "trans-alpha,alpha'-Diethyl-4,4'-Stilbenediol", "(E)-alpha, alpha'-diethyl-4,4'-stilbened iol", "(E)-alpha, alpha'-diethyl-4,4'-stilbenediol", "4,4'-(1,2-Diethyl-1,2-ethenediyl)bisphenol", "4,4'-[(3E)-Hex-3-ene-3,4-diyl]diphenol", "4,4'-Dihydroxy-.alpha.,.beta.-diethylstilbene", 'C07620', 'D00577', 'Z-0795', ".alpha.,.alpha.'-Diethyl-(E)-4,4'-stilbenediol", '002D373', 'A831077', 'Diethylstilbestrol, mixture of cis and trans, 97%', 'Q423989', 'SR-01000745070-3', 'SR-01000745070-4', 'SR-01000745070-5', 'SR-01000745070-9', "trans-.alpha.,.alpha.'-Diethyl-4,4'-stilbenediol", "trans-.alpha.,.alpha.'-diethyl-4-4'-stilbenediol", "4,4'-(1,2-Diethyl-1,2-ethenediyl)bisphenol, trans", "4,4'-Stilbenediol, .alpha.,.alpha.-diethyl-, (E)-", 'BRD-K17084514-001-01-7', 'BRD-K45330754-001-09-2', 'Diethylstilbestrol, VETRANAL(TM), analytical standard', "Phenol,4'-(1,2-diethyl-1,2-ethenediyl)bis-, (E)-", "trans-4,4 '-(1,2-diethyl-1,2-ethenediyl)bisphenol", "4,4'-Stilbenediol, alpha,alpha'-diethyl-, (E)- (8CI)", 'Diethylstilbestrol, European Pharmacopoeia (EP) Reference Standard', 'Diethylstilbestrol, United States Pharmacopeia (USP) Reference Standard', 'DIETHYLSTILBESTROL (SEE ALSO TRANSGENIC MODEL EVALUATION (DIETHYLSTILBESTROL))']</t>
  </si>
  <si>
    <t>Compound(448537)</t>
  </si>
  <si>
    <t>C18H20O2</t>
  </si>
  <si>
    <t>dipropylene glycol</t>
  </si>
  <si>
    <t>N-propylpropan-1-amine</t>
  </si>
  <si>
    <t>['DIPROPYLAMINE', 'Di-n-propylamine', '142-84-7', '1-Propanamine, N-propyl-', 'n-Dipropylamine', 'N-propylpropan-1-amine', 'N-Propyl-1-propanamine', 'RCRA waste number U110', 'dipropyl amine', 'RCRA waste no. U110', 'di(n-propyl)amine', 'UNII-60P318IIRY', 'CCRIS 4805', 'Dipropylamine, 99%', 'DIPROPYL-AMINE', 'HSDB 2644', 'EINECS 205-565-9', 'UN2383', 'BRN 0505974', 'AI3-24037', 'di-n-propylamin', '60P318IIRY', 'di-propylamine', 'di-n-propyl amine', 'N,N-Dipropylamine', 'N-propyl propylamine', 'N-propyl-propylamine', 'MFCD00009362', 'N,N-Dipropylamine #', 'N,N-di-n-propylamine', 'DSSTox_CID_5185', 'ACMC-209cp5', 'DiPropylamine Reagent Grade', 'EC 205-565-9', 'DSSTox_RID_77699', 'DSSTox_GSID_25185', 'SCHEMBL15445', 'KSC176G0P', '(n-C3H7)2NH', 'CHEMBL3185961', 'DTXSID2025185', 'CTK0H6307', 'KS-00000UL2', 'STR03559', 'ZINC1672989', 'Tox21_202085', 'ANW-20727', 'BBL027756', 'LS-841', 'SBB059762', 'STL194269', 'AKOS000118843', 'MCULE-6223802621', 'UN 2383', 'NCGC00249163-01', 'NCGC00259634-01', 'CAS-142-84-7', 'D0930', 'Dipropylamine [UN2383] [Flammable liquid]', 'FT-0614098', 'FT-0625300', 'NS00001033', 'ST45255414', 'Dipropylamine [UN2383]  [Flammable liquid]', '104486-EP2292597A1', '104486-EP2298761A1', '104486-EP2301627A1', '125304-EP2295424A1', 'Q410621', 'J-007705', 'J-520390', 'F2190-0303']</t>
  </si>
  <si>
    <t>Compound(8902)</t>
  </si>
  <si>
    <t>C6H15N</t>
  </si>
  <si>
    <t>dipropyl phthalate</t>
  </si>
  <si>
    <t>dipropyl benzene-1,2-dicarboxylate</t>
  </si>
  <si>
    <t>['Dipropyl phthalate', '131-16-8', 'Di-n-propylphthalate', 'DI-N-PROPYL PHTHALATE', 'Phthalic acid, dipropyl ester', 'Phthalic Acid Dipropyl Ester', '1,2-Benzenedicarboxylic acid, dipropyl ester', 'Dipropylphthalate', 'dipropyl benzene-1,2-dicarboxylate', 'Phthalic acid di-n-propyl ester', 'N-Dipropyl phthalate', 'UNII-8USP5Y77SS', '1,2-Benzenedicarboxylic acid, 1,2-dipropyl ester', 'CHEBI:60069', 'EINECS 205-015-8', 'NSC 15314', 'BRN 2332522', '8USP5Y77SS', '1,2-benzenedicarboxylic acid dipropyl ester', 'AI3-01767', '4-09-00-03174 (Beilstein Handbook Reference)', 'Dipropyl phthalate, 99+%', 'DSSTox_CID_11133', 'DSSTox_RID_78865', 'DSSTox_GSID_31133', 'propyl 2-(propoxycarbonyl)benzoate', 'CAS-131-16-8', 'Dipropyl phtalate', 'phthalic acid, bis-propyl ester', 'Dipropyl phathalate', '1, dipropyl ester', 'FR-0732', 'Phthalic acid dipropyl', 'ACMC-1BOVV', 'Dipropyl phthalate, 98%', 'Epitope ID:138713', 'MLS002222366', 'BIDD:ER0350', 'SCHEMBL112063', 'CHEMBL1483029', 'DTXSID5031133', 'CTK3I9939', 'KS-00000WSC', 'Phthalic acid, di-n-propyl ester', 'HMS3039L17', 'NSC15314', 'ZINC1706878', 'NSC 15314;Di-n-Propyl phthalate', 'Tox21_201662', 'Tox21_303379', '6208AF', 'ANW-19285', 'LS-738', 'MFCD00009371', 'NSC-15314', 'SBB008002', 'AKOS015838979', 'NCGC00090783-01', 'NCGC00090783-02', 'NCGC00090783-03', 'NCGC00257273-01', 'NCGC00259211-01', 'CC-27156', 'SMR001307293', 'DB-042007', 'FT-0625198', 'NS00000127', 'P0306', 'ST50405551', 'C14469', 'Benzene-1,2-dicarboxylic acid di-n-propyl ester', 'C-15425', 'J-005947', 'Dipropyl phthalate, PESTANAL(R), analytical standard', 'Q27127053', 'Di-n-propyl phthalate;dipropyl phthalate;Di-n-propylphthalate (DprP) = Dipropylphthalate']</t>
  </si>
  <si>
    <t>Compound(8559)</t>
  </si>
  <si>
    <t>C14H18O4</t>
  </si>
  <si>
    <t>dipropyl nitrosamine</t>
  </si>
  <si>
    <t>N,N-dipropylnitrous amide</t>
  </si>
  <si>
    <t>['N-Nitrosodipropylamine', '621-64-7', 'Dipropylnitrosamine', 'N-NITROSODI-N-PROPYLAMINE', '1-Propanamine, N-nitroso-N-propyl-', 'N,N-Dipropylnitrosamine', 'Nitrosodipropylamine', 'N,N-dipropylnitrous amide', 'Dipropylamine, N-nitroso-', 'Di-n-propylnitrosamine', 'Di-n-propylnitrosoamine', 'N-Nitroso-N-propyl-1-propanamine', 'Propylamine, N-nitroso-N-di-', 'RCRA waste number U111', 'NSC 133', 'Propanamine, N-nitroso-N-propyl-', 'DPNA', 'NDPA', 'N-Nitroso(di-n-propyl)amine', 'N,N-Di-n-propylnitrosamine', 'CCRIS 271', 'UNII-2920IH58NC', 'N-Nitrosodipropylamine (NDPA)', 'HSDB 5108', 'N-nitroso-N-propylpropan-1-amine', 'EINECS 210-698-0', 'n-nitroso-di-n-propylamine', 'RCRA waste no. U111', 'BRN 1752621', 'CHEBI:82358', '2920IH58NC', 'DSSTox_CID_1032', 'DSSTox_RID_75917', 'DSSTox_GSID_21032', 'CAS-621-64-7', 'nitrous dipropylamide', 'dipropyl-nitroso-amine', 'N-nitroso-N-dipropylamine', 'N-Nitroso-di-n-propylamin', 'N-Nitroso di-n-propylamine', 'SCHEMBL606823', 'WLN: ONN3&amp;3', 'ACMC-209n09', 'CHEMBL166242', 'NSC133', 'DTXSID6021032', 'N-nitroso-N,N-di-n-propylamine', '2-Oxo-1,1-dipropylhydrazine #', 'CTK3J1966', 'NSC-133', 'N-Nitroso-N -propyl-1-propanamine', 'ZINC4352936', 'Tox21_201860', 'Tox21_300388', 'ANW-34087', 'AKOS015902684', 'FCH1116297', 'LS-7163', 'MCULE-8973096480', 'NCGC00248016-01', 'NCGC00248016-02', 'NCGC00254369-01', 'NCGC00259409-01', 'DB-054082', 'FT-0632603', 'N0444', 'NS00000640', 'KS-00001683', 'N-Nitrosodi-n-propylamine, analytical standard', 'C19279', 'C-51606', 'N-Nitroso-di-n-propylamine 100 microg/mL in Methanol', 'Q22138395', 'N-Nitrosodipropylamine;Nitrosodipropylamine;nitrosodipropylamine;N-Nitrosodipropylamine (NDPA)']</t>
  </si>
  <si>
    <t>Compound(12130)</t>
  </si>
  <si>
    <t>C6H14N2O</t>
  </si>
  <si>
    <t>dipropylene glycol monomethyl ether</t>
  </si>
  <si>
    <t>dipropyl isocinchomeronate</t>
  </si>
  <si>
    <t>dipropyl pyridine-2,5-dicarboxylate</t>
  </si>
  <si>
    <t>['Dipropyl isocinchomeronate', 'Dipropyl 2,5-pyridinedicarboxylate', 'DIPROPYL PYRIDINE-2,5-DICARBOXYLATE', '136-45-8', 'MGK 326', 'Di-propylisocinchomeronate', 'Repper 333', 'MGK Repellent 326', '2,5-Pyridinedicarboxylic acid, dipropyl ester', 'Di-n-propyl isocinchomeronate', 'MGK R-326', 'Caswell No. 400', 'Isocinchomeronic acid, dipropyl ester', 'R-326', 'Di-n-propyl 2,5-pyridinedicarboxylate', 'UNII-O572Q51ABJ', 'ENT 17595', 'NSC 22364', 'Di-N-propyl-isocinchomeronate', 'MGK Repellent 326 (VAN)', 'Pyridin-2,5-dicarbonsaeure-di-N-propylester', 'EINECS 205-245-9', 'Di-n-propyl-isocinchomeronate [German]', 'EPA Pesticide Chemical Code 047201', 'BRN 0229600', 'AI3-17591', 'O572Q51ABJ', 'Dipropylester kyseliny pyridin-2,5-dikarboxylove', 'Pyridin-2,5-dicarbonsaeure-di-n-propylester [German]', 'Dipropylester kyseliny pyridin-2,5-dikarboxylove [Czech]', '2, dipropyl ester', 'ACMC-209c5y', 'DSSTox_CID_12544', 'DSSTox_RID_78975', 'DSSTox_GSID_32544', 'Isocinchomeronyl dipropylester', '4-22-00-01633 (Beilstein Handbook Reference)', 'SCHEMBL338813', 'WLN: T6NJ BVO3 EVO3', 'CHEMBL1899338', 'DTXSID8032544', 'CTK8B0472', 'HSDB 6947', 'IITCWRFYJWUUPC-UHFFFAOYSA-', 'Dipropyl2,5-Pyridinedicarboxylate', 'KS-000012CD', 'NSC22364', 'ZINC1589977', 'Isocinchomeronic Acid Dipropyl Ester', 'Tox21_300729', 'ANW-20036', 'NSC-22364', 'AKOS015913878', 'Dipropyl isocinchomeronate (MGK-326)', 'NCGC00168289-01', 'NCGC00168289-02', 'NCGC00254635-01', 'CAS-136-45-8', 'LS-131357', '2,5-Pyridinedicarboxylic Acid Dipropyl Ester', 'NS00005987', 'P0835', 'MGK 326, PESTANAL(R), analytical standard', 'Pyridine-2,5-dicarboxylic acid, dipropyl ester', '2,5-Pyridinedicarboxylicacid,2,5-dipropyl ester', '2,5-Pyridinedicarboxylicacid, 2,5-dipropyl ester', 'J-006849', 'Q1207805', '2,5-PYRIDINEDICARBOXYLIC ACID DI-N-PROPYL ESTER', 'Dipropyl 2,5-pyridinedicarboxylate;DIPROPYL PYRIDINEDICARBOXYLATE;Dipropyl pyridine-2,5-dicarboxylate;dipropyl pyridine-2,5-dicarboxylate']</t>
  </si>
  <si>
    <t>Compound(8693)</t>
  </si>
  <si>
    <t>C13H17NO4</t>
  </si>
  <si>
    <t>dibutyl 3-hydroxybutyl phosphate</t>
  </si>
  <si>
    <t>['dibutyl 3-hydroxybutyl phosphate', '89197-69-3', '4-dibutoxyphosphoryloxybutan-2-ol', 'CTK5G2622', 'di-butyl 3-hydroxybutyl phosphate', 'DTXSID901008696', 'DS-001163']</t>
  </si>
  <si>
    <t>Compound(187696)</t>
  </si>
  <si>
    <t>C12H27O5P</t>
  </si>
  <si>
    <t>N-butylbutan-1-amine</t>
  </si>
  <si>
    <t>['DIBUTYLAMINE', '111-92-2', 'Di-n-butylamine', '1-Butanamine, N-butyl-', 'N-Butyl-1-butanamine', 'Dibutilamina', 'N-butylbutan-1-amine', 'n-Dibutylamine', 'Di-(n-butyl)amine', 'dibutyl amine', 'DIBUTYL-AMINE', 'di-Normal-butylamine', 'UN2248', 'HSDB 310', 'Dibutilamina [Romanian]', 'UNII-2194M2LA21', 'di-1-butylamine', 'AI3-15329', 'AI3-52649', 'di(n-butyl)amine', 'di-n-butyl amine', 'N,N-Dibutylamine', 'EINECS 203-921-8', '(n-C4H9)2NH', 'BRN 0506001', '2194M2LA21', 'Di-n-butylamine, 99%', 'Di-n-butylamine, for HPLC', 'Dibutylammonium bromide', 'dibutylamin', 'butanamine,n-butyl', 'Butylamine, di-N-', 'MFCD00009429', 'Dibutylamine, 99%', 'N,N-Dibutylamine #', 'N,N-di-n-butylamine', 'N, N-Di-n-butylamin', 'Dibutylamine, &gt;=98%', 'ACMC-1C9TU', 'DSSTox_CID_4952', 'EC 203-921-8', 'SCHEMBL2532', 'Dibutylamine, &gt;=99.5%', 'DSSTox_RID_77595', 'DSSTox_GSID_24952', 'KSC174O9R', 'CHEMBL3184528', 'DTXSID7024952', 'CTK0H4798', 'KS-00000VZ6', 'STR01268', 'ZINC1666746', 'Tox21_200418', 'ANW-16341', 'BBL002913', 'LS-543', 'SBB059755', 'STK380649', 'AKOS000118844', 'MCULE-6002936904', 'UN 2248', 'Di-n-butylamine [UN2248] [Corrosive]', 'NCGC00248600-01', 'NCGC00257972-01', 'CAS-111-92-2', 'Di-n-butylamine [UN2248]  [Corrosive]', 'Dibutylamine, puriss., &gt;=99.0% (GC)', 'Dibutylamine, SAJ first grade, &gt;=98.0%', 'D0218', 'FT-0625169', 'NS00004620', 'ST45255348', 'T7495', '30339-EP2301934A1', '30339-EP2311464A1', '30339-EP2371808A1', '111859-EP2295438A1', '111859-EP2298761A1', 'Q1209336', 'W-108664', 'F2190-0305', 'Z102766286']</t>
  </si>
  <si>
    <t>Compound(8148)</t>
  </si>
  <si>
    <t>dibutyl phthalate</t>
  </si>
  <si>
    <t>dibutyl benzene-1,2-dicarboxylate</t>
  </si>
  <si>
    <t>['dibutyl phthalate', '84-74-2', 'Di-n-butyl phthalate', 'n-Butyl phthalate', 'Butyl phthalate', 'Celluflex DPB', 'Elaol', 'Genoplast B', 'Palatinol C', 'Polycizer DBP', 'Unimoll DB', 'DIBUTYLPHTHALATE', 'Dibutyl-o-phthalate', 'Staflex DBP', 'Hexaplas M/B', 'dibutyl benzene-1,2-dicarboxylate', 'Witcizer 300', 'Dibutyl 1,2-benzenedicarboxylate', 'Ergoplast FDB', 'Kodaflex DBP', 'Phthalic acid dibutyl ester', 'DBP (ester)', 'N-Butylphthalate', 'Ersoplast FDA', 'Phthalate, di-n-butyl', 'Uniflex DBP', 'Hatcol DBP', 'Dibutyl o-phthalate', 'RC Plasticizer DBP', '1,2-Benzenedicarboxylic acid, dibutyl ester', 'Benzene-o-dicarboxylic acid di-n-butyl ester', 'Phthalic acid, dibutyl ester', 'o-Benzenedicarboxylic acid, dibutyl ester', 'RCRA waste number U069', 'Phthalate, dibutyl-', 'Caswell No. 292', 'PX 104', 'ortho-Dibutyl phthalate', 'Phthalic acid di-n-butyl ester', 'Di-n-butylorthophthalate', 'Dibutyl-1,2-benzenedicarboxylate', 'Dibutylphthatlate', 'Palatinol DBP', 'Dibutyl phthalated', 'NSC 6370', 'di-n-butyl phthalate (DBuP)', 'UNII-2286E5R2KE', '1,2-Benzenedicarboxylic acid, 1,2-dibutyl ester', 'Morflex 240', 'Uniplex 150', 'CCRIS 2676', 'HSDB 922', 'Di-n-butylester kyseliny ftalove', 'CHEBI:34687', 'EINECS 201-557-4', 'RCRA waste no. U069', 'EPA Pesticide Chemical Code 028001', 'BRN 1914064', 'o-Benzenedicarboxylic acid dibutyl ester', 'Di-n-butylester kyseliny ftalove [Czech]', '1,2-Benzenedicarboxylic acid dibutyl ester', 'CHEMBL272485', 'AI-3-00283', 'DTXSID2021781', 'Benzene-o-dicarboxylic acid, di-n-butyl ester', '2286E5R2KE', 'Benzenedicarboxylic acid dibutyl ester', 'MFCD00009441', 'Benzenedicarboxylic acid, dibutyl ester', '1,2-dibutyl benzene-1,2-dicarboxylate', 'dibutyl-phthalate', 'DSSTox_CID_1781', 'Dibutyl ester of 1,2-benzenedicarboxylic acid', 'DSSTox_RID_76324', 'DSSTox_GSID_21781', 'butyl 2-(butoxycarbonyl)benzoate', 'nutyl phthalate', 'di-butylphthalate', 'Phthalate, Butyl', 'CAS-84-74-2', 'Phthalate, Dibutyl', 'Di n Butyl Phthalate', 'RAPIDCELLtrade markP', 'Dibutyl phthalate [NF]', 'SR-05000001549', 'Bufa', 'Dibutyll phthalate', 'Spectrum_001975', 'Di(1-butyl) phthalate', 'SpecPlus_000628', 'DBP / Dibutyl phthalate', 'Dibutyl phthalate, 99%', 'Spectrum3_000874', 'Spectrum4_000714', 'Spectrum5_002068', 'ACMC-209pw7', 'Epitope ID:138714', 'EC 201-557-4', 'WLN: 4OVR BVO2', 'Dibutyl phthalate, &gt;=99%', 'SCHEMBL24051', 'BSPBio_002547', 'KBioGR_001267', 'KBioSS_002541', 'SPECTRUM330086', 'KSC119E6H', 'MLS002177802', 'BIDD:ER0641', 'DivK1c_006724', 'Phthalic acid, bis-butyl ester', 'GTPL6295', 'CTK0B9263', 'KBio1_001668', 'KBio2_002532', 'KBio2_005100', 'KBio2_007668', 'KBio3_002047', 'NSC6370', 'Dibutyl phthalate, AR, &gt;=99%', 'Dibutyl phthalate, LR, &gt;=98%', 'Dibutyl 1, 2-benzenedicarboxylate', 'HMS2091E09', 'HMS3041E18', 'Pharmakon1600-00330086', 'BCP24796', 'HY-Y0304', 'NSC-6370', 'ZINC1693431', 'Dibutyl phthalate, Selectophore(TM)', 'Tox21_201729', 'Tox21_300980', 'ANW-37829', 'BBL011532', 'BDBM50371946', 'NSC755894', 'SBB060337', 'STL146650', 'AKOS005720807', 'CCG-230933', 'DB13716', 'LS-1840', 'MCULE-8727957434', 'NSC-755894', 'NCGC00090769-01', 'NCGC00090769-02', 'NCGC00090769-03', 'NCGC00090769-04', 'NCGC00090769-05', 'NCGC00090769-06', 'NCGC00090769-07', 'NCGC00090769-08', 'NCGC00090769-09', 'NCGC00254882-01', 'NCGC00259278-01', 'SC-74684', 'SMR000777923', 'SBI-0052568.P002', 'CS-0013564', 'Dibutyl phthalate, ReagentPlus(R), &gt;=99%', 'FT-0624680', 'P0292', 'S5377', 'ST50406580', 'Benzene-1,2-dicarboxylic acid di-n-butylester', 'C14214', 'Dibutyl phthalate, SAJ special grade, &gt;=98.0%', 'Q415612', 'J-503795', 'SR-05000001549-1', 'SR-05000001549-3', 'BRD-K73477617-001-01-0', 'BRD-K73477617-001-04-4', 'Dibutyl phthalate, PESTANAL(R), analytical standard', 'F0001-2134', 'Z277540112', 'Dibutyl phthalate, certified reference material, TraceCERT(R)', 'Dibutyl phthalate, European Pharmacopoeia (EP) Reference Standard', 'DIBUTYL PHTHALATE (SEE ALSO PEROXISOME PROJECT (DIBUTYL PHTHALATE))', 'Dibutyl phthalate, United States Pharmacopeia (USP) Reference Standard', 'PEROXISOME PROJECT (DIBUTYL PHTHALATE) (SEE ALSO DIBUTYL PHTHALATE)', 'Dibutyl Phthalate, Pharmaceutical Secondary Standard; Certified Reference Material', '137077-55-5']</t>
  </si>
  <si>
    <t>Compound(3026)</t>
  </si>
  <si>
    <t>C16H22O4</t>
  </si>
  <si>
    <t>dibutyl nitrosamine</t>
  </si>
  <si>
    <t>N,N-dibutylnitrous amide</t>
  </si>
  <si>
    <t>['N-Nitrosodibutylamine', '924-16-3', 'Dibutylnitrosamine', 'Nitrosodibutylamine', 'N-Nitroso-di-n-butylamine', '1-Butanamine, N-butyl-N-nitroso-', 'N-NITROSODI-N-BUTYLAMINE', 'NDBA', 'Dibutylnitrosoamine', 'N,N-Dibutylnitrosoamine', 'N,N-dibutylnitrous amide', 'DBNA', 'N,N-Dibutylnitrosamine', 'Butylamine, N-nitrosodi-', 'Dibutylamine, N-nitroso-', 'Di-N-butylnitrosamin', 'N,N-Di-n-butylnitrosamine', 'Di-n-butylnitrosamine', 'N-Butyl-N-nitroso-1-butamine', 'N-Butyl-N-nitroso-1-butaneamine', 'RCRA waste number U172', 'NSC 6830', 'N-Butyl-N-nitroso-1-butanamine', 'CCRIS 217', 'N-Nitrosodibutylamine (NDBA)', 'Di-n-butylnitrosamin [German]', 'N-butyl-N-nitrosobutan-1-amine', 'UNII-8K8942WN31', 'Di-N-butylnitrosoamine', 'Nitrosodi-N-butylamine', 'HSDB 5107', 'N-Di-N-butylnitrosamine', 'EINECS 213-101-1', 'RCRA waste no. U172', 'BRN 1760378', 'CHEBI:82356', '8K8942WN31', 'DSSTox_CID_1026', 'DSSTox_RID_75911', 'DSSTox_GSID_21026', 'CAS-924-16-3', 'N-Dibutylnitrosamine', 'dibutyl-nitroso-amine', 'ACMC-209rfm', 'N-di-n-Butylnitrosoamine', 'n-butyl-n-nitrosobutanamine', 'N-Nitro so-di-n-butylamine', 'SCHEMBL606730', 'WLN: ONN4&amp;4', 'CHEMBL354920', '1,1-Dibutyl-2-oxohydrazine #', 'DTXSID2021026', 'CTK3J1967', 'NSC6830', '1-Butanamine,N-butyl-N-nitroso-', 'Dibutylamine, N-nitroso- (8CI)', 'NSC-6830', 'ZINC4410590', 'Tox21_202334', 'Tox21_300425', 'ANW-39824', 'AKOS015902563', 'LS-7594', 'NCGC00248027-01', 'NCGC00248027-02', 'NCGC00254330-01', 'NCGC00259883-01', 'DB-057301', 'HY-131113', 'CS-0128596', 'FT-0633101', 'N0375', 'NS00000642', 'KS-00001219', 'N-Nitrosodi-n-butylamine, analytical standard', 'C19277', 'C-51607', 'N-Nitrosodibutylamine;N-Nitrosodibutylamine (NDBA)', 'N-Nitroso-di-n-butylamine 10 microg/mL in Methanol', 'N-Nitroso-di-n-butylamine 1000 microg/mL in Methanol', 'Q22138402']</t>
  </si>
  <si>
    <t>Compound(13542)</t>
  </si>
  <si>
    <t>C8H18N2O</t>
  </si>
  <si>
    <t>dibutyltin (cation)</t>
  </si>
  <si>
    <t>butane;tin(2+)</t>
  </si>
  <si>
    <t>['Tin(2+), dibutyl-, ion', '14488-53-0']</t>
  </si>
  <si>
    <t>Compound(26713)</t>
  </si>
  <si>
    <t>C8H18Sn</t>
  </si>
  <si>
    <t>dipentyl phthalate</t>
  </si>
  <si>
    <t>dipentyl benzene-1,2-dicarboxylate</t>
  </si>
  <si>
    <t>['Dipentyl phthalate', '131-18-0', 'Di-n-pentyl phthalate', 'DIAMYL PHTHALATE', 'Amyl phthalate', 'Amoil', 'di-n-Amyl phthalate', 'Phthalic Acid Dipentyl Ester', 'Phthalic acid, dipentyl ester', '1,2-Benzenedicarboxylic acid, dipentyl ester', 'Di-n-pentylphthalate', 'dipentyl benzene-1,2-dicarboxylate', 'Phthalic Acid Diamyl Ester', 'DPNP', 'diamylphthalate', 'NSC 4720', 'Phthalic acid, diamyl ester', 'UNII-5DC92K224X', 'HSDB 302', '1,2-Benzenedicarboxylic acid, 1,2-dipentyl ester', 'CHEBI:34680', 'Dipentyl 1,2-benzenedicarboxylate', 'AI3-00363 (USDA)', 'EINECS 205-017-9', 'BRN 1987323', 'AI3-00363', '1,2-Benzenedicarboxylic acid dipentyl ester', '5DC92K224X', 'MFCD00041934', 'Dipentyl phthalate, 97%', 'DSSTox_CID_11131', 'DSSTox_RID_78864', 'DSSTox_GSID_31131', 'CAS-131-18-0', 'dipentylhpthalate', '1, dipentyl ester', 'Phthalic acid dipentyl', 'ACMC-209bl6', 'Epitope ID:140104', 'SCHEMBL57859', '4-09-00-03178 (Beilstein Handbook Reference)', 'KSC495C9F', 'BIDD:ER0351', 'CROMOPHTAL DPP RED TFP', 'CHEMBL1503330', 'DTXSID5031131', 'CTK3J5192', 'NSC4720', 'Phthalic acid, bis-n-pentyl ester', 'KS-00000Z3M', 'NSC-4720', 'ZINC1680363', 'pentyl 2-(pentyloxycarbonyl)benzoate', 'Tox21_201519', 'Tox21_300304', 'ANW-19288', 'LS-739', 'AKOS015888411', 'Dipentyl phthalate, analytical standard', 'NCGC00090765-01', 'NCGC00090765-02', 'NCGC00090765-03', 'NCGC00090765-04', 'NCGC00254010-01', 'NCGC00259069-01', 'AK114220', 'CC-27069', 'SC-92837', 'SY026588', 'U347', 'AX8016956', 'DB-042009', 'benzene-1,2-dicarboxylic acid dipentyl ester', 'FT-0631762', 'NS00001949', 'P0291', 'ST50406014', 'C14300', 'Dipentyl phthalate, Selectophore(TM), &gt;=99.0%', 'A806215', 'C-19060', 'J-005949', 'Q27116218', 'F0001-0416', 'Dipentyl phthalate, certified reference material, TraceCERT(R)', 'Di-n-pentyl phthalate;CROMOPHTAL DPP RED TFP;dipentyl phthalate;Dipentyl phthalate (DPP);Di-n-pentylphthalate (DPP) = Dipentylphthalate']</t>
  </si>
  <si>
    <t>Compound(8561)</t>
  </si>
  <si>
    <t>C18H26O4</t>
  </si>
  <si>
    <t>dihexyl phthalate</t>
  </si>
  <si>
    <t>dihexyl benzene-1,2-dicarboxylate</t>
  </si>
  <si>
    <t>['DIHEXYL PHTHALATE', '84-75-3', 'Di-n-hexyl phthalate', 'Di-n-hexylphthalate', '1,2-Benzenedicarboxylic acid, dihexyl ester', 'Phthalic acid, dihexyl ester', 'phthalic acid dihexyl ester', 'dihexyl benzene-1,2-dicarboxylate', 'Phthalic Acid Di-n-hexyl Ester', 'N-Dihexyl phthalate', 'Bis(n-hexyl) phthalate', 'Dihexyl 1,2-benzenedicarboxylate', 'Hexyl phthalate, 1,2-', 'UNII-42MAH1QFG5', 'Dihexylester kyseliny ftalove', 'CCRIS 6192', 'Di(n-hexyl)phthalate', 'HSDB 4490', 'NSC 4817', '1,2-Benzenedioic acid dihexyl ester', 'AI3-04274 (USDA)', 'EINECS 201-559-5', 'Dihexylester kyseliny ftalove [Czech]', 'BRN 1886839', '42MAH1QFG5', 'AI3-04274', 'CHEBI:34678', 'DSSTox_CID_5068', 'DSSTox_RID_77649', '1,2-Benzenedicarboxylic acid, 1,2-dihexyl ester', 'DSSTox_GSID_25068', 'hexyl 2-(hexyloxycarbonyl)benzoate', 'C6-12-Alkyl phthalates', 'CAS-84-75-3', 'dihexylphthalate', '1, dihexyl ester', '(C6-C12) Alkyl alcohol phthalate', '1,2-Benzenedicarboxylic acid, C6-12-alkyl esters', 'Phthalic acid dihexyl', 'FR-0229', 'ACMC-209pwc', 'WLN: 6OVR BVO6', 'SCHEMBL50751', '68610-82-2', 'BIDD:ER0642', 'Phthalic acid, bis-hexyl ester', 'CHEMBL3181956', 'DTXSID6025068', 'CTK3I9971', 'NSC4817', 'KS-000012IH', 'NSC-4817', 'ZINC3875586', 'ZX-AT022246', 'Tox21_202420', 'Tox21_300165', '6578AF', 'ANW-37834', 'MFCD00043720', 'SBB007740', 'Dihexyl phthalate, analytical standard', 'AKOS015839890', 'LS-1841', 'MCULE-6369576637', '1,2-dihexyl benzene-1,2-dicarboxylate', 'NCGC00247915-01', 'NCGC00247915-02', 'NCGC00254224-01', 'NCGC00259969-01', 'AK307699', 'AS-56842', 'SC-20909', 'DB-056820', 'FT-0624940', 'FT-0697120', 'NS00006086', 'P1344', 'ST50406886', 'C14504', 'C-42402', 'Q26841288', 'Di-n-hexyl phthalate (DnHP) = Dihexylphthalate (DHP)', 'F0001-2135', 'Phthalic acid, bis-hexyl ester 10 microg/mL in Cyclohexane', 'Di-n-hexyl phthalate;Di-n-hexyl phthalate (DnHP) = Dihexylphthalate (DHP);dihexyl phthalate']</t>
  </si>
  <si>
    <t>Compound(6786)</t>
  </si>
  <si>
    <t>C20H30O4</t>
  </si>
  <si>
    <t>diheptyl phthalate</t>
  </si>
  <si>
    <t>diheptyl benzene-1,2-dicarboxylate</t>
  </si>
  <si>
    <t>['DIHEPTYL PHTHALATE', 'Di-n-heptyl phthalate', '3648-21-3', 'Heptyl phthalate', 'Di-n-Heptylphthalate', '1,2-Benzenedicarboxylic acid, diheptyl ester', 'Phthalic Acid Diheptyl Ester', 'Phthalic acid, diheptyl ester', 'N-Diheptyl phthalate', 'diheptyl benzene-1,2-dicarboxylate', 'UNII-IE05VO8P8P', 'Diheptyl ester of phthalic acid', 'HSDB 344', 'CHEBI:34677', 'Diheptyl 1,2-benzenedicarboxylate', 'EINECS 222-885-4', 'MFCD00043680', 'BRN 2336623', 'IE05VO8P8P', '1,2-Benzenedicarboxylic acid diheptyl ester', '1,2-Benzenedicarboxylic acid, 1,2-diheptyl ester', '68515-44-6', 'W-109923', '1,2-Benzenedicarboxylic acid, diheptyl ester, branched and linear', 'heptyl 2-(heptyloxycarbonyl)benzoate', 'diheptyl phtalate', 'FR-0906', 'Phthalic acid diheptyl', 'Diheptyl phthalate, 97%', 'DSSTox_CID_8662', 'Epitope ID:140106', 'DSSTox_GSID_40779', 'BIDD:ER0462', 'SCHEMBL124977', 'Phthalic acid di-n-heptyl ester', 'CHEMBL2140472', 'DTXSID8040779', 'CTK3I9877', 'Phthalic acid, bis-n-heptyl ester', 'KS-00000YI0', 'ZINC8437777', 'Tox21_303892', 'SBB008120', 'AKOS015838912', 'Diheptyl phthalate, analytical standard', '1,2-benzenedicarboxylicacid,diheptylester', 'NCGC00164188-01', 'NCGC00356968-01', 'SY040431', 'CAS-3648-21-3', 'LS-109347', 'FT-0624936', 'NS00015469', 'ST50826283', 'C14575', 'C-49071', 'Q2943515', 'Phthalic acid, di-n-heptyl ester;diheptyl phthalate;1,2-Benzenedicarboxylic acid, diheptyl ester, branched and linear;1,2-Benzenedicarboxylic acid, diheptyl ester, bran']</t>
  </si>
  <si>
    <t>Compound(19284)</t>
  </si>
  <si>
    <t>C22H34O4</t>
  </si>
  <si>
    <t>di (C8-C18 alkyl) dimethylammonium chloride</t>
  </si>
  <si>
    <t>dioctyl phthalate</t>
  </si>
  <si>
    <t>dioctyl benzene-1,2-dicarboxylate</t>
  </si>
  <si>
    <t>['Dioctyl phthalate', 'DI-N-OCTYL PHTHALATE', '117-84-0', 'dioctyl benzene-1,2-dicarboxylate', 'Dinopol NOP', 'n-Octyl phthalate', 'Vinicizer 85', 'DNOP', 'Phthalic acid, dioctyl ester', 'Polycizer 162', 'Phthalic acid di-n-octyl ester', 'Dioctyl 1,2-benzenedicarboxylate', 'Dioctyl o-benzenedicarboxylate', 'RCRA waste number U107', '1,2-Benzenedicarboxylic acid, dioctyl ester', 'Bis(n-octyl) phthalate', '1,2-Benzenedicarboxylic acid, 1,2-dioctyl ester', 'Dioktylester kyseliny ftalove', 'NSC 15318', 'UNII-8X3RJ0527W', 'CCRIS 6196', 'o-Benzenedicarboxylic acid, dioctyl ester', '1,2-Benzenedicarbonic acid, dioctyl ester', 'HSDB 1345', 'AI3-15071 (USDA)', 'EINECS 204-214-7', 'Dioktylester kyseliny ftalove [Czech]', 'RCRA waste no. U107', 'BRN 1915994', 'Benzenedicarboxylic acid di-n-octyl ester', 'CHEBI:34679', '8X3RJ0527W', '68515-43-5', 'NCGC00090781-02', '1,2-Benzenedicarboxylic acid, di-C9-11-branched and linear alkyl esters', 'DSSTox_CID_1956', 'DSSTox_RID_76425', 'DSSTox_GSID_21956', '8031-29-6', 'octyl 2-(octyloxycarbonyl)benzoate', 'di-octyl phthalate', 'CAS-117-84-0', 'Di-n-octyl phthalate, analytical standard', '1, dioctyl ester', 'Vinycizer 85', 'Dioctyl o-phthalate', 'Phthalic acid dioctyl', 'ACMC-1CJ59', 'SCHEMBL23053', 'KSC175M7J', 'BIDD:ER0319', 'CHEMBL1409747', 'DTXSID1021956', 'CTK0H5674', 'Phthalic acid, bis-n-octyl ester', 'KS-00000G2P', 'NSC15318', 'ZINC8437697', 'Tox21_111020', 'Tox21_202233', 'Tox21_300549', '0014AD', 'ANW-17052', 'Di-n-octyl phthalate, p.a., 99%', 'LS-594', 'MFCD00015292', 'NSC-15318', 'SBB008723', 'STL280370', 'AKOS015889916', 'Phthalic acid bis(2-ethylhexyl ester)', 'MCULE-5138747558', '1,2-dioctyl benzene-1,2-dicarboxylate', 'KS-0000009M', 'NCGC00090781-01', 'NCGC00090781-03', 'NCGC00090781-04', 'NCGC00090781-05', 'NCGC00254360-01', 'NCGC00259782-01', 'Di-n-octyl phthalate, &gt;=98.0% (GC)', 'benzene-1,2-dicarboxylic acid dioctyl ester', 'FT-0655747', 'FT-0667608', 'P0304', 'ST50826905', 'C14227', '1,2-BENZENEDICARBOXYLIC ACID DIOCTYL ESTER', 'A803836', 'C-52542', 'Q908490', 'J-003672', 'J-520376', 'F0001-0293', 'Z1235963359', 'Di-n-octyl phthalate, certified reference material, TraceCERT(R)']</t>
  </si>
  <si>
    <t>Compound(8346)</t>
  </si>
  <si>
    <t>C24H38O4</t>
  </si>
  <si>
    <t>dioctyltin (cation)</t>
  </si>
  <si>
    <t>dioctyltin</t>
  </si>
  <si>
    <t>['Di-n-octyltin', 'Dioctyltin dihydride', 'dioctyltin', 'Di-n-octyl-zinn [German]', '94410-05-6', 'BRN 4126468', 'Octane, tin complex', 'Tin(2 ), dioctyl-', 'Dioctylzinn', 'Tin, dihydrodioctyl-', 'Tin, dihydrodioctyl- (7CI)', 'CTK3I7877', 'Dioctyltin;dioctylstannane;dioctyltin', 'ZINC195751086', 'LS-146541']</t>
  </si>
  <si>
    <t>Compound(27681)</t>
  </si>
  <si>
    <t>C16H34Sn</t>
  </si>
  <si>
    <t>dinonyl phthalate</t>
  </si>
  <si>
    <t>dinonyl benzene-1,2-dicarboxylate</t>
  </si>
  <si>
    <t>['DINONYL PHTHALATE', '84-76-4', 'Dinonylphthalate', 'Di-n-nonyl phthalate', 'Unimoll DN', 'Nonyl phthalate', 'Bisoflex DNP', '1,2-Benzenedicarboxylic acid, dinonyl ester', 'Bisoflex 91', 'dinonyl benzene-1,2-dicarboxylate', 'Phthalic acid, dinonyl ester', 'Bisolflex 91', 'Phthalic Acid Dinonyl Ester', 'Dinonyl 1,2-benzenedicarboxylate', 'Ditrimethylhexyl phthalate', 'Di-n-nonylphthalate (DnNP)', 'UNII-90UCU78V8R', 'HSDB 365', 'EINECS 201-560-0', '1,2-dinonyl benzene-1,2-dicarboxylate', 'BRN 1916263', '90UCU78V8R', '68515-45-7', '1,2-Benzenedicarboxylic acid, dinonyl ester, branched and linear', '1,2-Benzenedicarboxylic acid, 1,2-dinonyl ester', 'Di-C9-11-alkyl phthalates', 'Dinonyl phthalate, 96%, mixture of isomers', 'Ceneg', 'EINECS 272-012-6', 'Phthalic acid dinonyl', '1,2-Benzenedicarboxylic acid, di-C9-11-alkyl esters', 'Phthalic acid, (C9-C11) alkyl esters', 'DSSTox_CID_8663', 'ACMC-209t7s', 'DSSTox_RID_82694', 'DSSTox_GSID_47966', '4-09-00-03183 (Beilstein Handbook Reference)', '68648-92-0', 'KSC218M9D', 'SCHEMBL111972', 'Phthalic acid di-n-nonyl ester', 'Phthalic acid, bis-nonyl ester', 'CHEMBL3186308', 'DTXSID9047966', 'nonyl 2-(nonyloxycarbonyl)benzoate', 'KS-000011FT', 'Tox21_201040', '3041AC', 'ANW-42134', 'MFCD00036237', 'STL280349', 'ZINC68589536', 'AKOS015839921', 'MCULE-3744287046', 'NE10919', 'Bisoflex 91; Bisoflex DNP;Unimoll DN', 'CAS-84-76-4', 'NCGC00248904-01', 'NCGC00258593-01', 'LS-109352', 'FT-0625189', 'ST50826992', 'EN300-19868', '1,2-Benzenedicarboxylic acid, dinonyl ester, branc', 'Q27271347', '1,2-Benzenedicarboxylic acid, dinonyl ester, branched and linear;1,2-Benzenedicarboxylic acid, di-C9-11-alkyl esters;Dinonyl phthalate;Phthalic acid, di-n-nonyl ester;dinonyl phthalate']</t>
  </si>
  <si>
    <t>Compound(6787)</t>
  </si>
  <si>
    <t>C26H42O4</t>
  </si>
  <si>
    <t>dichlorobromomethane</t>
  </si>
  <si>
    <t>bromo(dichloro)methane</t>
  </si>
  <si>
    <t>['BROMODICHLOROMETHANE', 'Dichlorobromomethane', '75-27-4', 'Methane, bromodichloro-', 'bromo(dichloro)methane', 'Dichloromonobromomethane', 'Monobromodichloromethane', 'BDCM', 'CHBrCl2', 'NCI-C55243', 'NSC 8018', 'Bromodichlormethane', 'UNII-7LN464CH2O', 'CCRIS 819', 'Bromo-Dichloro-Methane', 'HSDB 4160', 'EINECS 200-856-7', 'BRN 1697005', 'AI3-18134', '7LN464CH2O', 'CHEBI:34591', 'bromdichlormethan', 'Bromodichoromethane', 'dichloromethylbromide', 'WLN: GYGE', 'DSSTox_CID_198', 'Bromodichloromethane (stabilized with Ethanol)', 'ACMC-1BL08', 'DSSTox_RID_75427', 'DSSTox_GSID_20198', 'SCHEMBL75683', '4-01-00-00076 (Beilstein Handbook Reference)', 'BIDD:ER0623', 'Bromodichloromethane, &gt;=97%', 'CHEMBL346231', 'DTXSID1020198', 'CTK2H8554', 'NSC8018', 'LS-59', 'NSC-8018', 'ZINC8437802', 'Tox21_200806', 'ANW-42311', 'MFCD00000824', 'AKOS015902362', 'FCH1114970', 'Bromodichloromethane, analytical standard', 'bromodichloromethane;Bromodichloromethane', 'CAS-75-27-4', 'NCGC00091480-01', 'NCGC00091480-02', 'NCGC00258360-01', 'FT-0623239', 'FT-0663694', 'NS00007535', 'Bromodichloromethane 100 microg/mL in Methanol', 'C14708', 'Q417426', 'WATER DISINFECTION MODEL (BROMODICHLOROMETHANE)', 'Bromodichloromethane, amylene stabilized, analytical standard', 'WATER DISINFECTION BYPRODUCTS(BROMODICHLOROMETHANE)', 'Bromodichloromethane, purum, &gt;=98.0% (GC), contains silver wool as stabilizer', 'Bromodichloromethane 100 microg/mL in Methanol. Short expiry date due to chemical nature of component(s)', 'TRANSGENIC MODEL EVALUATION (BROMODICHLOROMETHANE) (SEE ALSO WATER DISINFECTION BYPRODUCTS AND WATER DISINFECTION MODEL STUDIES)']</t>
  </si>
  <si>
    <t>Compound(6359)</t>
  </si>
  <si>
    <t>CHBrCl2</t>
  </si>
  <si>
    <t>dichloromethane</t>
  </si>
  <si>
    <t>['DICHLOROMETHANE', 'Methylene chloride', '75-09-2', 'Methylene dichloride', 'Methane, dichloro-', 'Methylene bichloride', 'Methane dichloride', 'Solaesthin', 'Solmethine', 'Freon 30', 'Narkotil', 'Aerothene MM', 'Metylenu chlorek', 'Chlorure de methylene', 'Dichlormethan', 'Metaclen', 'Soleana VDA', 'CH2Cl2', 'Khladon 30', 'dichloro-methane', 'F 30 (chlorocarbon)', 'Methylenum chloratum', 'RCRA waste number U080', 'NCI-C50102', 'R 30', 'R30 (refrigerant)', 'Caswell No. 568', 'dichlormethane', 'Methoklone', 'HCC 30', 'Salesthin', 'dichloro methane', 'Chlorodorm D', 'Metylenu chlorek [Polish]', 'UNII-588X2YUY0A', 'CCRIS 392', 'HSDB 66', 'NSC 406122', 'UN 1593', 'Chlorure de methylene [French]', 'F 30', 'Methylene chloride [NF]', 'EINECS 200-838-9', 'UN1593', 'RCRA waste no. U080', 'EPA Pesticide Chemical Code 042004', 'BRN 1730800', 'AI3-01773', '588X2YUY0A', 'CHEBI:15767', 'MFCD00000881', 'Methylene chloride (NF)', 'Chloride, Methylene', 'Bichloride, Methylene', 'Dichloride, Methylene', 'DICHLOROMETHANE, NF', 'DICHLOROMETHANE, ACS', 'Methylene Chloride [USAN]', 'dichioromethane', 'dichlormetane', 'dichloromeihane', 'dichlorometan', 'dichlorometane', 'dichloromethan', 'dichoromethane', 'dicloromethane', 'methylenchoride', 'metylenchloride', 'Dichloromethane, 99+%, extra pure, stabilized with amylene', 'Dichloromethane, 99+%, extra pure, stabilized with ethanol', 'Dichloromethane, 99.8%, for HPLC, stabilized with amylene', 'Methylenchlorid', 'Plastisolve', 'Aerothene', 'Driverit', 'Nevolin', 'dichlor-methane', 'Dichloromethane, 99.5%, for analysis, stabilized with ethanol', 'Dichloromethane, 99.6%, ACS reagent, stabilized with amylene', 'Dichloromethane, 99.8%, for HPLC, stabilized with methanol', 'Dichloromethane, 99.8+%, for analysis, stabilized with amylene', 'Dichloromethane, 99.9%, Extra Dry, stabilized, AcroSeal(R)', 'dichlorometliane', 'dichlorornethane', 'dicliloromethane', 'methylenchloride', 'methylenechlorid', 'methYIenechlorid', 'di-chloromethane', 'dichloromethane-', 'methlyenechloride', 'methylenechloride', 'Dichloromethane, 99.8%, for spectroscopy, stabilized with amylene', 'Dichloromethane, for residue and pestic. anal., stab. with amylene', 'Dichloromethane, suitable for 5000 per JIS, for residue analysis', 'methlene chloride', 'methyene chloride', 'methylen chloride', 'methylene chlorie', 'methylene cloride', 'metylene chloride', 'Methylene choride', 'Dichloromethane, 99.5%, for spectroscopy ACS, stabilized with amylene', 'Dichloromethane, 99.9%, for peptide synthesis, stabilized with amylene', 'mehtylene chloride', 'methlyene chloride', 'methylene,chloride', 'methylene-chloride', 'dichloro -methane', 'dichloro- methane', 'methylenedichloride', 'Refrigerant 30', 'Distillex DS3', 'Dichloromethane, 99.8%, Extra Dry over Molecular Sieve, Stabilized, AcroSeal(R)', 'Dichloromethane, ACS reagent, &gt;=99.5%, contains 40-150 ppm amylene as stabilizer', 'M-clean D', 'methyl ene chloride', 'Dichloromethane, 99.9%, for residue analysis, for anal.of polyarom.hydrocarb., stab.with amylene', 'Dichloromethane (Methylene Chloride)', 'MeCl2', 'methylene di chloride', 'N,N-methylenechloride', 'dichloromethane solution', 'Methylene chloride ACS', 'Cl2CH2', 'H2CCl2', 'METHYLENE CHLORIDE (DICHLOROMETHANE)', 'DSSTox_CID_868', 'ACMC-1BFR1', 'Dichloromethane, for HPLC', 'EC 200-838-9', 'NCIMech_000221', 'WLN: G1G', 'Dichloromethane, HPLC Grade', 'DSSTox_RID_75836', 'DSSTox_GSID_20868', '4-01-00-00035 (Beilstein Handbook Reference)', 'Dichloromethane, &gt;=99.9%', 'KSC237A3D', 'CHEMBL45967', 'Methylene Chloride (Recovered)', 'Dichloromethane, AR, &gt;=99%', 'DTXSID0020868', 'CTK1D7031', 'DTXSID60166893', 'Dichloromethane Reagent Grade ACS', 'Dichloromethane, LR, &gt;=99.5%', 'Dichloromethane, purification grade', 'Dichloromethane, analytical standard', 'KS-00000W6J', 'Tox21_202526', 'ANW-42404', 'NSC406122', 'STL264204', 'Dichloromethane [UN1593] [Poison]', 'AKOS009031498', 'Dichloromethane [UN1593]  [Poison]', 'Dichloromethane, ACS reagent, 99.5%', 'LS-1655', 'MCULE-1114735075', 'NSC-406122', 'CAS-75-09-2', 'Dichloromethane, for HPLC, &gt;=99.7%', 'NCGC00091504-01', 'NCGC00260075-01', 'SC-26935', 'Dichloromethane 100 microg/mL in Methanol', 'Dichloromethane, suitable for PCB analysis', 'Dichloromethane 1000 microg/mL in Methanol', 'D0529', 'D3478', 'FT-0624716', 'FT-0624717', 'M0629', 'NS00004151', 'Dichloromethane, for HPLC, &gt;=99.8% (GC)', 'Dichloromethane, SAJ first grade, &gt;=99.0%', 'Dichloromethane, Selectophore(TM), &gt;=99.5%', 'C02271', 'D02330', 'Dichloromethane, analytical standard, stabilized', 'Dichloromethane, JIS special grade, &gt;=99.0%', 'L023970', 'Q421748', 'Q425210', 'J-610006', 'Methylene Chloride HPLC grade Stabilized with Amylene', 'Dichloromethane solution, contains 10 % (v/v) methanol', 'Dichloromethane, glass distilled HRGC/HPLC trace grade', 'Dichloromethane, TLC high-purity grade, &gt;=99.8% (GC)', 'Dichloromethane, special, 99.9%, contains 40-60 ppm Amylene', 'Dichloromethane, for HPLC, &gt;=99.8%, contains amylene as stabilizer', 'Dichloromethane, Selectophore(TM), &gt;=99.5% (GC), inhibitor-free', 'Dichloromethane, suitable for 300 per JIS, for residue analysis', 'Dichloromethane, technical grade, 95%, contains 40-60 ppm Amylene', 'Methylene chloride, European Pharmacopoeia (EP) Reference Standard', 'Dichloromethane, puriss. p.a., ACS reagent, reag. ISO, &gt;=99.9% (GC)', 'Dichloromethane, UV HPLC spectroscopic, 99.9%, contains 40-60 ppm Amylene', 'Dichloromethane solution, 10 % (v/v) in methanol, 1 % (v/v) in ammonium hydroxide', 'Dichloromethane solution, certified reference material, 200 mug/mL in methanol', 'Dichloromethane solution, certified reference material, 5000 mug/mL in methanol', 'Dichloromethane, 99.9%, Extra Dry, stabilized, AcroSeal(R), package of 4x25ML bottles', 'Dichloromethane, ACS reagent, &gt;=99.5%, contains 50 ppm amylene as stabilizer', 'Dichloromethane, anhydrous, &gt;=99.8%, contains 40-150 ppm amylene as stabilizer', 'Dichloromethane, anhydrous, contains 40-150 ppm amylene as stabilizer, ZerO2(TM), &gt;=99.8%', 'Dichloromethane, biotech. grade, 99.9%, contains 40-150 ppm amylene as stabilizer', 'Dichloromethane, contains 40-150 ppm amylene as stabilizer, ACS reagent, &gt;=99.5%', 'Dichloromethane, for HPLC, &gt;=99.9%, contains 40-150 ppm amylene as stabilizer', 'Dichloromethane, puriss., meets analytical specification of Ph.??Eur., NF, &gt;=99% (GC)', 'Dichloromethane, suitable for 1000 per JIS, &gt;=99.5%, for residue analysis', 'Methylene Chloride, Pharmaceutical Secondary Standard; Certified Reference Material', 'Dichloromethane, &gt;=99.9%, capillary GC grade, suitable for environmental analysis, contains amylene as stabilizer', 'Dichloromethane, ACS spectrophotometric grade, &gt;=99.5%, contains 50-150 ppm amylene as stabilizer', 'Dichloromethane, HPLC Plus, for HPLC, GC, and residue analysis, &gt;=99.9%, contains 50-150 ppm amylene as stabilizer', 'Dichloromethane, Laboratory Reagent, &gt;=99.9% (without stabilizer, GC), contains 0.1-0.4% ethanol as stabilizer', 'Dichloromethane, p.a., ACS reagent, reag. ISO, reag. Ph. Eur., 99.8%, contains 40-60 ppm Amylene', 'Dichloromethane, puriss. p.a., ACS reagent, reag. ISO, dried, &gt;=99.8% (GC), &lt;=0.001% water', 'M.C', 'Residual Solvent Class 2 - Methylene chloride, United States Pharmacopeia (USP) Reference Standard']</t>
  </si>
  <si>
    <t>Compound(6344)</t>
  </si>
  <si>
    <t>CH2Cl2</t>
  </si>
  <si>
    <t>dichloropropanol</t>
  </si>
  <si>
    <t>1,1-dichloropropan-1-ol</t>
  </si>
  <si>
    <t>['Dichloropropanol', '2,2-DICHLOROPROPANOL', '63151-11-1', 'DICHLORPROPANOL', 'SCHEMBL18567', 'CTK1A2469', 'DTXSID50212499', 'ZINC2032046', '157404-EP2268596A1', '157404-EP2275417A2', '157404-EP2284146A2', '157404-EP2284147A2', '157404-EP2284162A2', '157404-EP2284163A2', '186566-EP2268596A1']</t>
  </si>
  <si>
    <t>Compound(44412)</t>
  </si>
  <si>
    <t>2,2'-Dichlorodiisopropyl ether</t>
  </si>
  <si>
    <t>1-chloro-2-(1-chloropropan-2-yloxy)propane</t>
  </si>
  <si>
    <t>['BIS(2-CHLORO-1-METHYLETHYL) ETHER', "2,2'-Dichlorodiisopropyl ether", 'DCIP (nematocide)', '108-60-1', 'Nemamort', 'Dichloroisopropyl ether', 'Bis(2-chloro-1-methylethyl)ether', 'Dichlorodiisopropyl ether', "2,2'-Oxybis(1-chloropropane)", 'Nemamol', 'Nemamorte', 'Isopropylchlorex', "2,2'-Dichloroisopropyl ether", 'Ether, bis(2-chloro-1-methylethyl)', 'Bis(1-chloro-2-propyl) ether', '(2-Chloro-1-methylethyl) ether', 'NCI-C50044', 'NSC 2849', "Propane, 2,2'-oxybis[1-chloro-", 'Bis(beta-chloroisopropyl)ether', 'UNII-0JJZ8LER32', 'RCRA waste number U027', 'CCRIS 91', 'Bis(beta-chloroisopropyl) ether', 'HSDB 503', "Propane, 2,2'-oxybis(1-chloro-", 'EINECS 203-598-3', 'UN2490', 'RCRA waste no. U027', 'Bis(2-chloro-1-methylethyl)ether, technical grade', 'BRN 1735833', '0JJZ8LER32', 'AI3-18183', 'CHEBI:82409', 'Bis(.beta.-chloroisopropyl) ether', ".beta.,.beta.'-Dichlorodiisopropyl ether", '1-chloro-2-(1-chloropropan-2-yloxy)propane', "2,2'-oxybis[1-chloropropane]", 'Bis-(2-chloro-1-methylethyl)ether', '2-chloro-1-(2-chloro-isopropoxy)-1-methylethane', 'Pichloram', 'bis-chloroisopropyl ether', 'dich lorodiisopropyl ether', 'DSSTox_CID_167', '2,2-Dichloroisopropyl ether', 'DSSTox_RID_75414', 'DSSTox_GSID_20167', 'MLS002454389', 'SCHEMBL380464', 'bis-(2-Chloroisopropyl) Ether', "Propane,2'-oxybis[1-chloro-", 'bis(1-chloro-2-propyl)-ether', 'di-(1-chloro-2-propyl)-ether', 'CHEMBL1403227', 'DTXSID4020167', 'NSC2849', 'Bis(1-methyl-2-chloroethyl)ether', 'HMS3039J11', 'NSC-2849', "beta,beta'-Dichlorodiisopropyl ether", 'Tox21_201201', 'Bis-(2-chloro-1-methylethyl) ether', 'bis-(2-chloro-1-methylethyl)-ether', 'LS-465', 'SBB056536', 'AKOS006273379', 'MCULE-4521836322', 'WLN: G1Y1 &amp; OY1 &amp; 1G', 'NCGC00091739-01', 'NCGC00091739-02', 'NCGC00258753-01', 'CAS-108-60-1', 'SMR001372005', 'Dichloroisopropyl ether [UN2490] [Poison]', 'NS00005505', 'ST50973542', 'Dichloroisopropyl ether [UN2490]  [Poison]', 'C19350', '1-Chloro-2-(2-chloro-1-methylethoxy)propane #', 'Bis-(2-chloroisopropyl) ether, analytical standard', 'J-002167', 'Q2184481', '1-CHLORO-2-[(1-CHLOROPROPAN-2-YL)OXY]PROPANE', 'Bis-(2-chloro-1-methylethyl) ether 2000 microg/mL in Methanol', 'Bis(2-chloro-1-methylethyl) ether;Dichlordiisopropylether;bis(2-chloro-1-methylethyl) ether']</t>
  </si>
  <si>
    <t>Compound(7944)</t>
  </si>
  <si>
    <t>C6H12Cl2O</t>
  </si>
  <si>
    <t>dichloroacetic acid</t>
  </si>
  <si>
    <t>2,2-dichloroacetic acid</t>
  </si>
  <si>
    <t>['DICHLOROACETIC ACID', '79-43-6', '2,2-Dichloroacetic acid', 'Dichloracetic acid', 'Acetic acid, dichloro-', 'Dichloroethanoic acid', "Urner's liquid", 'Dichlorethanoic acid', 'Bichloracetic acid', 'DCA (acid)', 'DICHLORO-ACETIC ACID', 'Acetic acid, 2,2-dichloro-', 'Kyselina dichloroctova', 'UNII-9LSH52S3LQ', 'NSC 2654', 'C2H2Cl2O2', 'Dichloroacetic acid (IUPAC)', 'Kyselina dichloroctova [Czech]', 'CCRIS 4016', 'HSDB 6894', 'EINECS 201-207-0', 'UN1764', 'BRN 1098596', 'DCA', '9LSH52S3LQ', 'AI3-18370', 'CHEBI:36386', 'NSC-2654', 'MFCD00004223', 'NCGC00091444-02', 'DSSTox_CID_428', 'Dichloroacetic acid, 99+%', 'DSSTox_RID_75580', 'DSSTox_GSID_20428', 'Dichloroaceticacid', 'CAS-79-43-6', 'SMR000059158', 'TF4', 'Dichloressigsaeure', 'DKhUK', 'WLN: QVYGG', 'ACMC-1BLM2', '2,2-dichloro-acetic acid', 'SCHEMBL7777', '4-02-00-00498 (Beilstein Handbook Reference)', 'KSC377O2D', 'MLS000028893', 'MLS001074861', 'MLS001424165', 'CHEMBL13960', 'DTXSID2020428', 'CTK2H7721', 'KS-00000VOI', 'NSC2654', 'BDBM227588', 'HMS2051P22', 'HMS2232H11', 'HMS3370D12', 'HMS3393P22', 'ZINC3830689', 'Dichloroacetic acid, puriss., 99%', 'Tox21_111133', 'Tox21_202363', 'Tox21_300419', 'Acetic acid, dichloro- (8CI,9CI)', 'ANW-37297', 'BBL011449', 'LMFA01090070', 'STL146561', 'AKOS005720869', 'Tox21_111133_1', 'CCG-101070', 'DB08809', 'Dichlorphos (2,2-Dichloroacetic acid)', 'LS-1783', 'MCULE-1246638159', 'NC00320', 'NE10301', 'UN 1764', 'Dichloroacetic acid, analytical standard', 'NCGC00091444-01', 'NCGC00091444-03', 'NCGC00091444-04', 'NCGC00167845-02', 'NCGC00254261-01', 'NCGC00259912-01', 'AS-14228', 'K407', 'SC-18205', 'DB-056364', 'Dichloroacetic acid [UN1764] [Corrosive]', 'D0308', 'Dichloroacetic acid [UN1764]  [Corrosive]', 'Dichloroacetic acid, biotech. grade, &gt;=98%', 'FT-0624700', 'NS00001485', 'Dichloroacetic acid, ReagentPlus(R), &gt;=99%', 'EN300-20014', 'C11149', '11029-EP2269610A2', '11029-EP2289510A1', '11029-EP2316457A1', '11029-EP2316458A1', '11029-EP2316825A1', '11029-EP2316826A1', '11029-EP2316827A1', '11029-EP2316828A1', '12408-EP2277848A1', '12408-EP2277878A1', '12408-EP2295503A1', '12408-EP2298772A1', '12408-EP2301918A1', '12408-EP2305649A1', '12408-EP2316974A1', 'Q412845', 'DCA Deblock (0.36M dichloroacetic acid in toluene)', 'Dichloroacetic acid, PESTANAL(R), analytical standard', 'WATER DISINFECTION MODEL (DICHLOROACETIC ACID)', 'DICHLOROACETIC ACID (SEE ALSOTRICHLOROACETIC ACID)', 'F2191-0226', 'Dichloroacetic acid 1000 microg/mL in Methyl-tert-butyl ether', 'Dichloroacetic acid solution, for DNA synthesis, 3% in methylene chloride', 'WATER DISINFECTION BYPRODUCTS(DICHLOROACETIC ACID) (DICHLOROACETIC ACID)']</t>
  </si>
  <si>
    <t>Compound(6597)</t>
  </si>
  <si>
    <t>C2H2Cl2O2</t>
  </si>
  <si>
    <t>dichlorobenzidine</t>
  </si>
  <si>
    <t>4-(4-aminophenyl)-2,3-dichloroaniline</t>
  </si>
  <si>
    <t>['4-(4-aminophenyl)-2,3-dichloroaniline', '1331-47-1', 'Dichlorebenzidine', "Dichloro-(1,1'-biphenyl)-4,4'-diamine", "(1,1'-Biphenyl)-4,4'-diamine, dichloro-", 'SCHEMBL302093', 'DTXSID4061676', 'Q26840828']</t>
  </si>
  <si>
    <t>Compound(3033870)</t>
  </si>
  <si>
    <t>dichlorophene</t>
  </si>
  <si>
    <t>4-chloro-2-[(5-chloro-2-hydroxyphenyl)methyl]phenol</t>
  </si>
  <si>
    <t>['Dichlorophen', 'dichlorophene', '97-23-4', "2,2'-Methylenebis(4-chlorophenol)", 'Dichlorofen', 'Dichlorphen', 'Didroxan', 'Didroxane', 'Trivex', 'Anthiphen', 'Antiphen', 'Cordocel', 'Dicestal', 'Difentan', 'Embephen', 'Panacide', 'Prevental', 'Taeniatol', 'Teniathane', 'Teniatol', 'Teniotol', 'Vermithana', 'Antifen', 'Halenol', 'Hyosan', 'Korium', 'Palacel', 'Parabis', 'Dichlorophen B', 'Dichlorophene 10', 'Dichloorfeen', 'Gingivit', 'Wespuril', 'Gefir', 'Fungicide M', 'DDDM', 'Plath-Lyse', 'Bis(5-chloro-2-hydroxyphenyl)methane', 'Fungicide GM', 'Preventol GD', 'Preventol GDC', 'Diphenthane 70', "Phenol, 2,2'-methylenebis[4-chloro-", 'Sandocide', 'Super mosstox', 'Di-phentane-70', 'Bis(chlorohydroxyphenyl)methane', "2,2'-Dihydroxy-5,5'-dichlorodiphenylmethane", 'Bis(2-hydroxy-5-chlorophenyl)methane', 'Giv Gard G 4-40', 'Di-(5-chloro-2-hydroxyphenyl)methane', 'Bis-2-hydroxy-5-chlorfenylmethan', 'Sindar G 4', 'Dichlorofen [Czech]', 'Dichloorfeen [Dutch]', 'Caswell No. 563', 'Bis(5-chlor-2-hydroxyphenyl)-methan', "5,5'-Dichloro-2,2'-dihydroxydiphenylmethane", 'Methanedichlorofen', 'O,O-Metilen-bis(4-cloro-fenolo)', 'DDM (VAN)', 'UNII-T1J0JOU64O', 'Diclorofeno [INN-Spanish]', '1322-43-6', 'Dichlorophene [INN-French]', 'Dichlorophene [ISO-French]', 'Dichlorophenum [INN-Latin]', 'G-4 Technical', 'C13H10Cl2O2', 'Dichlorophen [INN:BAN:DCF]', "4,4'-Dichloro-2,2'-methylenediphenol", 'CCRIS 6060', 'G 4 (VAN)', 'G-4 Pure', 'HSDB 6033', '((Dihydroxydichloro)diphenyl)methane', 'Dichlorophen [BSI:ISO]', 'EINECS 202-567-1', 'NSC 38642', "2,2'-Methylenebis-(4-chlorophenol)", "2,2'-Methylene-bis (4-chlorophenol)", 'EPA Pesticide Chemical Code 055001', "Phenol, 2,2'-methylenebis(4-chloro-", 'BRN 1884514', 'T1J0JOU64O', '4-chloro-2-[(5-chloro-2-hydroxyphenyl)methyl]phenol', 'Bis-2-hydroxy-5-chlorfenylmethan [Czech]', 'CHEMBL33845', 'AI3-02370', 'MLS000069468', 'O,O-Methyleen-bis(4-chloorfenol) [Dutch]', 'O,O-Metilen-bis(4-cloro-fenolo) [Italian]', 'G 4', 'G-4', '4-chloro-2-(5-chloro-2-hydroxybenzyl)phenol', 'CHEBI:34689', 'Bis(5-chlor-2-hydroxyphenyl)-methan [German]', 'NSC38642', "2,2'-Methylenebis[4-chlorophenol]", 'O,O-Methyleen-bis-(4-chloorfenol)', "2,2'-methanediylbis(4-chlorophenol)", 'Dichlorofen (Czech)', 'MFCD00002322', 'NCGC00091325-05', 'Dichlorophenum', 'Diclorofeno', 'SMR000059095', 'DSSTox_CID_1824', 'DSSTox_RID_76351', 'DSSTox_GSID_21824', "2,5'-dichlorodiphenylmethane", "5,2'-dihydroxydiphenylmethane", 'W-100114', 'WLN: QR DG B1R BQ EG', "Phenol,2'-methylenebis[4-chloro-", '[(Dihydroxydichloro)diphenyl]methane', 'CAS-97-23-4', 'Algafen', 'Anthipen', 'Nuophene', 'Westpuril', 'Fungicide fx', 'Difent*n', 'Acticide DDM', 'Diphentane 70', 'o,o-Methyleen-bis(4-chloorfenol)', "2,2'-methylene-bis(4-chlorophenol)", 'DDM / Dichlorophen', 'Cuniphen (Salt/Mix)', "Phenol, 2,2'-methylenebis(4-chloro)-", 'Spectrum_000762', 'Opera_ID_1730', 'Spectrum2_001214', 'Spectrum3_001405', 'Spectrum4_000390', 'Spectrum5_001519', 'SCHEMBL18052', 'BSPBio_003050', 'KBioGR_000919', 'KBioSS_001242', 'MLS001076530', 'BIDD:ER0237', 'DivK1c_000460', 'SPECTRUM1500626', 'SPBio_001028', '4-chloro-2-[(5-chloro-2-hydroxy-phenyl)methyl]phenol', 'DTXSID6021824', 'Ecco MP 2004 (Salt/Mix)', 'CTK4B7817', 'HMS501G22', 'KBio1_000460', 'KBio2_001242', 'KBio2_003810', 'KBio2_006378', 'KBio3_002270', 'ZINC56435', 'NINDS_000460', '2,2-Methylenebis(4-chlorophenol)', 'HMS1921M03', 'HMS2230H06', 'HMS3373O17', 'KUC106446N', 'KUC112931N', 'Pharmakon1600-01500626', 'NSC39467', 'ZX-AT020226', 'Tox21_111112', 'Tox21_201429', 'Tox21_303013', 'BDBM50303912', 'CCG-39772', 'NSC-38642', 'NSC-39467', 'NSC757391', 's5724', 'SBB058814', "2,2''-methylenebis(4-chlorophenol)", 'AKOS015917706', 'bis(2-hydroxy-5-chlorophenyl)-methane', 'Tox21_111112_1', "2,2'-Methylene-bis(4-chloro-phenol)", 'CS-3867', 'DB11396', 'KSC-19-050', 'LS-2023', 'MCULE-2962145672', 'NSC-757391', 'OR22200', 'bis-(5-chloro-2-hydroxyphenyl)-methane', 'IDI1_000460', 'KS-0000171Z', 'QTL1_000030', 'NCGC00091325-01', 'NCGC00091325-03', 'NCGC00091325-04', 'NCGC00091325-06', 'NCGC00091325-07', 'NCGC00091325-09', 'NCGC00256543-01', 'NCGC00258980-01', 'AC-10330', 'AK176082', 'AS-12817', 'HY-12638', 'SC-16330', 'KSC-336-005-1', 'SBI-0051563.P002', 'Bis(5-chloro-2-hydroxyphenyl)methane, 95%', 'FT-0609137', 'FT-0739351', 'M0213', 'NS00007681', 'ST50826029', 'C14292', "3,3''-dichloro-6,6''-dihydroxydiphenylmethane", 'AB00052130_15', 'Dichlorophene, PESTANAL(R), analytical standard', 'Q377552', 'SR-01000721928', 'SR-01000721928-3', 'Bis(5-chloro-2-hydroxyphenyl)methane, technical grade, 90%']</t>
  </si>
  <si>
    <t>Compound(3037)</t>
  </si>
  <si>
    <t>C13H10Cl2O2</t>
  </si>
  <si>
    <t>dichlorprop-P</t>
  </si>
  <si>
    <t>(2R)-2-(2,4-dichlorophenoxy)propanoic acid</t>
  </si>
  <si>
    <t>['Dichlorprop-P', '15165-67-0', '(R)-2-(2,4-Dichlorophenoxy)propanoic acid', '(R)-Dichlorprop', '(+)-Dichlorprop', 'Duplosan DP', 'Dichlorprop, D-', 'Optica DP', '(2R)-2-(2,4-dichlorophenoxy)propanoic acid', 'Propanoic acid, 2-(2,4-dichlorophenoxy)-, (2R)-', 'UNII-0UD1MQP96O', 'Dichlorprop-P [ISO:BSI]', '(R)-(+)-2-(2,4-Dichlorophenoxy)propionic acid', '(+)-2,4-DP', 'BRN 3203102', '0UD1MQP96O', '(R)-2-(2,4-dichlorophenoxy)propionic acid', 'CHEBI:75373', 'R-(+)-2-(2,4-dichlorophenoxy)propionic acid', 'Propanoic acid, 2-(2,4-dichlorophenoxy)-, (R)-', 'Propionic acid, 2-(2,4-dichlorophenoxy)-, (+)-', 'D(+)-Dichlorprop', '(R)-(2,4-dichlorophenoxy)propanoate', 'D-dichlorprop', 'Dichlorprop P', 'FTV', '(R)-(+)-dichlorprop', 'EC 403-980-1', '(R)-DCPP', 'DSSTox_CID_14851', 'DSSTox_GSID_34851', 'SCHEMBL55175', '4-06-00-00923 (Beilstein Handbook Reference)', 'CHEMBL2252703', 'DTXSID0034851', 'ZINC56614', 'Tox21_303875', 'DS-9106', 'NCGC00357008-01', 'AK157770', 'CAS-15165-67-0', 'LS-121351', '(+)-2-(2,4-dichlorophenoxy)propanoic acid', '(+)-2-(2,4-dichlorophenoxy)propionic acid', '(2R)-2-(2,4-dichlorophenoxy)propionic acid', 'C20685', '33213-EP2371823A1', '(2R)-(+)-2-(2,4-dichlorophenoxy)propanoic acid', '(2R)-(+)-2-(2,4-dichlorophenoxy)propionic acid', 'Dichloroprop-P, PESTANAL(R), analytical standard', 'Q27145258', 'UNII-J7YV2RKO6Q component MZHCENGPTKEIGP-RXMQYKEDSA-N', 'Dichlorprop-P;Propanoic acid, 2-(2,4-dichlorophenoxy)-, (2R)-;(+)-R-2-(2,4-Dichlorophenoxy)propionic acid']</t>
  </si>
  <si>
    <t>Compound(119435)</t>
  </si>
  <si>
    <t>dichlorvos</t>
  </si>
  <si>
    <t>2,2-dichloroethenyl dimethyl phosphate</t>
  </si>
  <si>
    <t>['dichlorvos', 'DDVP', '62-73-7', '2,2-Dichloroethenyl dimethyl phosphate', 'Dichlorophos', 'Divipan', 'Vapona', 'Chlorvinphos', 'Brevinyl', 'Canogard', 'Dichlorphos', 'Equigard', 'Krecalvin', 'Lindanmafu', 'Bibesol', 'Equigel', 'Fecama', 'Herkal', 'Herkol', 'Nerkol', 'Phosvit', 'Unifos', 'Nogos', 'Nuvan', '2,2-Dichlorovinyl dimethyl phosphate', 'Dichlorman', 'Dichlorovos', 'Estrosel', 'Szklarniak', 'Vaponite', 'Vinylofos', 'Vinylophos', 'Winylophos', 'Atgard', 'Dedevap', 'Fekama', 'Marvex', 'Mopari', 'Novotox', 'Tenac', 'Task', 'Atgard C', 'Atgard V', 'Nogos G', 'Vapona Insecticide', 'Dichloorvo', 'Astrobot', 'Cekusan', 'Dichlofos', 'Panaplate', 'Tetravos', 'Apavap', 'Benfos', 'Cypona', 'Unitox', 'DDVP (insecticide)', 'Insectigas D', 'Dimethyl 2,2-dichlorovinyl phosphate', 'Nogos 50', 'Unifos (pesticide)', 'Derribante', 'Dichlorfos', 'Diclorvos', 'Equiguard', 'Estrosol', 'Nefrafos', 'Deriban', 'Devikol', 'Phosphoric acid, 2,2-dichloroethenyl dimethyl ester', 'TAP 9VP', 'Fly fighter', 'Mafu strip', 'No-pest strip', 'Fly-die', 'No-pest', 'Vapora II', 'Dimethyldichlorovinyl phosphate', 'Nuvan 7', 'O,O-Dimethyl dichlorovinyl phosphate', 'OMS 14', 'XLP 30', 'Dichlorovas', 'Denkavepon', 'Duravos', 'Equigand', 'Uniphos', 'Verdican', 'Verdipor', 'Verdisol', 'Algard', 'Dimethyl 2,2-dichloroethenyl phosphate', 'Phosphoric acid, 2,2-dichlorovinyl dimethyl ester', 'Unifos 50 EC', 'NCI-C00113', 'Nogos 50 EC', 'Nuvan 100EC', 'Task tabs', 'Des (phosphate)', 'BAY-19149', 'Dimethyl dichlorovinyl phosphate', 'Bayer 19149', 'Brevinyl E50', 'SD-1750', 'Dichloorvo [Dutch]', 'Brevinyl E-50', 'Dichlorfos [Polish]', 'DDVF', 'Caswell No. 328', 'Delevap', 'Derriban', 'Mafu', 'Nuva', 'SD 1750', 'Diclorvos [INN-Spanish]', 'Dichlorvosum [INN-Latin]', 'C4H7Cl2O4P', 'NSC 6738', 'NSC-6738', 'Ethenol, 2,2-dichloro-, dimethyl phosphate', 'Dimethyl-2,2-dichlorovinyl phosphate', '(2,2-Dichloro-vinil)dimetil-fosfato', 'CCRIS 230', 'Brevinyl E 50', 'Dichlorvos [USAN:INN:BAN]', 'UNII-7U370BPS14', '(2,2-Dichlor-vinyl)-dimethyl-phosphat', 'Atgard (TN)', 'Phosphate de dimethyle et de 2,2-dichlorovinyle', 'UDVF', 'HSDB 319', 'Phosphoric acid 2,2-dichloroethenyl dimethyl ester', 'Vinyl alcohol, 2,2-dichloro-, dimethyl phosphate', 'BAY-b 4986', 'O,O-Dimethyl 2,2-dichlorovinyl phosphate', 'Nuvan 100 EC', 'Dichlorvos [BSI:ISO]', 'EINECS 200-547-7', 'ENT 20738', 'ENT-20738', 'Phosphoric acid 2,2-dichlorovinyl dimethyl ester', 'Phosphate, 2-2-dichlorovinyl dimethyl', 'EPA Pesticide Chemical Code 084001', '2,2-Dichloroethenyl phosphoric acid dimethyl ester', '(2,2-Dichloor-vinyl)-dimethyl-fosfaat', 'BRN 1709141', 'AI3-20738', 'CHEMBL167911', 'O,O-Dimethyl O-2,2-dichlorovinyl phosphate', 'CHEBI:34690', 'Dichloroethenyl dimethyl phosphate', 'O,O-Dimethyl-O-(2,2-dichlor-vinyl)-phosphat', 'NSC6738', '(2,2-Dichloor-vinyl)-dimethyl-fosfaat [Dutch]', '(2,2-Dichloro-vinil)dimetil-fosfato [Italian]', '(2,2-Dichlor-vinyl)-dimethyl-phosphat [German]', '7U370BPS14', 'O,O-Dwumetylo-O-dwuchlorowinylofosforan [Polish]', '2,2-Dimethyldichlorovinyl phosphate', 'O-(2,2-Dichlorvinyl)-O,O-dimethylphosphat [German]', '2,2-dichloroethenol dimethyl phosphate', 'O,O-Dimethyl-O-(2,2-dichlor-vinyl)-phosphat [German]', 'OKO', 'Phosphate de dimethyle et de 2,2-dichlorovinyle [French]', 'NCGC00090997-02', '2,2-Dichlorovinyl-O,O-dimethyl phosphate', 'DSSTox_CID_449', '2,2-dichlorovinyl alcohol dimethyl phosphate', 'O-(2,2-Dichlorvinyl)-O,O-dimethylphosphate', '2,2-dichlorovinyl dimethyl phosphoric acid ester', 'DSSTox_RID_75598', 'DSSTox_GSID_20449', 'Dichlorvosum', 'CAS-62-73-7', 'Dichlorvos (DDVP)', '(2,2-Dichloor-vinyl)-dimethyl-fosfaat (Dutch)', 'Dichlorovinphos', 'Aquaguard', 'Nuvos', 'insectigas  d', 'De devap', 'Prima U', 'Dichlorvos; DDVP', 'Dichlorvos;dichlorvos', 'Dichlorvos (Vapona)', 'Dichlorfos(POLISH)', 'O,O-Dwumetylo-O-dwuchlorowinylofosforan', 'Spectrum_001779', 'Dimethyl O,2-phosphate', 'SpecPlus_000360', 'Dichlorvos (USAN/INN)', 'o-(2,2-Dichlorvinyl)-O,O-dimethylphosphat', 'o-(2,O-dimethylphosphat', 'Spectrum2_001227', 'Spectrum3_000810', 'Spectrum4_000650', 'Spectrum5_001930', '0,2-dichlorovinyl phosphate', 'SCHEMBL25067', 'BSPBio_002279', 'KBioGR_000999', 'KBioSS_002260', 'O,2-dichlor-vinyl)-phosphat', 'MLS002222471', 'ARONIS23875', 'BIDD:ER0583', 'DivK1c_006456', 'SPBio_001074', 'WLN: GYGU1OPO&amp;O1&amp;O1', 'DTXSID5020449', 'CTK2F3140', 'KBio1_001400', 'KBio2_002259', 'KBio2_004827', 'KBio2_007395', 'KBio3_001779', 'OEBRKCOSUFCWJD-UHFFFAOYSA-', 'HMS2091C21', 'dimethyl 2,2-dichlorovinylphosphate', 'ZINC1853865', 'ZX-AS004377', 'Tox21_111052', 'Tox21_201617', 'Tox21_300840', 'BDBM50286926', 'CCG-39147', 'LS-271', 'P5D635', 'SBB060965', 'O,O-di methyl dichlorovinyl phosphate', '(2, 2-Dichloro-vinil)dimetil-fosfato', '(2,2-Dichlorovinyl)-dimethyl-fosfate', 'AKOS005111045', 'Tox21_111052_1', 'DB11397', 'FCH1321886', 'MCULE-3173230917', 'Ethenol,2-dichloro-, dimethyl phosphate', '(2, 2-Dichlor-vinyl)-dimethyl-phosphat', 'NCGC00090997-01', 'NCGC00090997-03', 'NCGC00090997-04', 'NCGC00090997-05', 'NCGC00090997-06', 'NCGC00090997-07', 'NCGC00090997-08', 'NCGC00090997-09', 'NCGC00090997-11', 'NCGC00254743-01', 'NCGC00259166-01', 'CC-26554', 'Dimethyl O,O-dichlorovinyl-2,2-phosphate', 'P598', 'SMR000777927', 'SBI-0052506.P003', '2,2-Dichlorovinyl dimethyl phosphate, 8CI', '2,2-Dichlorovinyl-O,O- dimethyl phosphate', 'DB-054265', 'Dimethyl O, O-dichlorovinyl-2,2-phosphate', '2,2-bis(chloranyl)ethenyl dimethyl phosphate', 'NS00000487', 'o-(2, 2-Dichlorvinyl)-O,O-dimethylphosphat', 'O-O-Dimethyl-O(2,2-dichlorovinyl)phosphate', 'ST51047050', 'Dichlorvos, PESTANAL(R), analytical standard', 'Ethenol, 2, 2-dichloro-, dimethyl phosphate', 'Phosphoric acid,2-dichlorovinyl dimethyl ester', 'Vinyl alcohol,2-dichloro-, dimethyl phosphate', '0, 0-Dimethyl 0-2,2-dichlorovinyl phosphate', 'C14430', 'D03791', '26857-EP2274983A1', '26857-EP2275422A1', '26857-EP2280009A1', '26857-EP2292608A1', '26857-EP2305662A1', '26857-EP2308857A1', '26857-EP2308858A1', '26857-EP2311816A1', '26857-EP2311817A1', '26857-EP2314583A1', '48039-EP2275422A1', '48039-EP2311810A1', 'AB00053012_02', 'O,O-Dimethyl-O-(2, 2-dichlor-vinyl)-phosphat', 'Phosphoric acid,2-dichloroethenyl dimethyl ester', 'A833962', 'C-12231', 'Q420622', 'SR-05000001548', 'DICHLO RVOS [DIMETHYL DICHLORVINYL PHOSPHATE]', 'DICHLORVOS [DIMETHYL DICHLORVINYL PHOSPHATE]', 'Pho sphoric acid 2,2-dichloroethenyl dimethyl ester', 'SR-05000001548-1', 'O-(2,2-Dichloroethenyl) O,O-dimethyl phosphate, 9CI', 'Dichlorvos, United States Pharmacopeia (USP) Reference Standard', '11095-17-3']</t>
  </si>
  <si>
    <t>Compound(3039)</t>
  </si>
  <si>
    <t>C4H7Cl2O4P</t>
  </si>
  <si>
    <t>dodecyldimethylbenzylammonium bromide</t>
  </si>
  <si>
    <t>benzyl-dodecyl-dimethylazanium;bromide</t>
  </si>
  <si>
    <t>['Benzalkonium bromide', '7281-04-1', 'Benzyldodecyldimethylammonium bromide', 'Benzododecinium bromide', 'Sterinol', 'Benzyldimethyldodecylammonium bromide', 'N-Benzyl-N,N-dimethyldodecan-1-aminium bromide', 'Bacfor BL', 'Lauralkonium bromide', 'Sinnoquat BL 80', 'Benzenemethanaminium, N-dodecyl-N,N-dimethyl-, bromide', 'Sinnoquat BL 95', 'Ammonyl BR 1244', 'Benzododecinium bromatum', 'Caswell No. 416B', '8043-47-8', 'UNII-IRY12B2TQ6', 'Dodecyl dimethyl benzyl ammonium bromide', 'IRY12B2TQ6', 'N-Dodecyl-N,N-dimethylbenzenemethanaminium bromide', 'EINECS 230-698-4', 'Dimethyl laurylbenzene ammonium bromide', 'EPA Pesticide Chemical Code 069123', 'Ammonium, benzyldodecyldimethyl-, bromide', 'Bromek dwumetylolaurylobenzyloamoniowy [Polish]', 'DSSTox_CID_28624', 'DSSTox_RID_82894', 'DSSTox_GSID_48698', 'Q-200699', 'Benzenemethanaminium, N-dodecyl-N,N-dimethyl-, bromide (1:1)', 'BenzyldodecyldimethylammoniumBromide', 'CAS-7281-04-1', 'NCGC00164245-02', 'Dimethyl benzyl lauryl ammoni', 'SCHEMBL119589', 'CHEMBL2355417', 'DTXSID4048698', 'CTK3F0668', 'KS-00000XC8', 'Tox21_113091', 'benzyl-dodecyldimethylammonium bromide', 'Bromek dwumetylolaurylobenzyloamoniowy', 'MFCD00011768', 'AKOS015891185', 'Tox21_113091_1', 'NCGC00164245-03', 'AK113027', 'I017', 'LS-16828', 'SC-81486', 'AX8105470', 'DB-056433', 'B3748', 'FT-0733931', 'N-Benzyl-N,N-dimethyldodecan-1-amonium bromide', 'N-Benzyl-N,N-dimethyldodecan-1-ammonium bromide', 'Q4890794', 'UNII-151T1GQ42D component KHSLHYAUZSPBIU-UHFFFAOYSA-M']</t>
  </si>
  <si>
    <t>Compound(23705)</t>
  </si>
  <si>
    <t>C21H38BrN</t>
  </si>
  <si>
    <t>dodecyldimethylbenzylammonium chloride</t>
  </si>
  <si>
    <t>benzyl-dodecyl-dimethylazanium;chloride</t>
  </si>
  <si>
    <t>['139-07-1', 'N-Benzyl-N,N-dimethyldodecan-1-aminium chloride', 'Benzyldimethyldodecylammonium chloride', 'Benzododecinium chloride', 'Cequartyl A', 'Catigene OM', 'Benzyldodecyldimethylammonium chloride', 'ZEPHIROL', 'Dodecyl dimethyl benzyl ammonium chloride', 'Dehyquart LDB', 'Catiogen PAN', 'Vantoc CL', 'Noramium DA 50', 'Triton K60', 'Catinal CB 50', 'Rolcril', 'Alkyldimethylbenzylammonium chloride', 'Benzododecinii Chloridum', 'Retarder N', 'Orthosan HM', 'Amoryl BR 1244', 'dodecyldimethylbenzylammonium chloride', 'Laurylbenzalkonium chloride', 'Catiolite BC 50', 'Loraquat B 50', 'Rewoquat B 50', 'Tetranil BC 80', 'Texnol R 5', 'Lauryldimethylbenzylammonium chloride', 'Bas 2631', 'Caswell No. 073A', 'Caswell No. 416C', 'Swanol CA 100', 'Swanol CA 101', 'Cloruro de Benzododecinio', 'Chlorure de Benzododecinium', 'Benzyldimethyllaurylammonium chloride', 'Laurylbenzyldimethylammonium chloride', 'Dimethylbenzyldodecylammonium chloride', 'Dimethyldodecylbenzylammonium chloride', 'Dodecylbenzyldimethylammonium chloride', 'Benzenemethanaminium, N-dodecyl-N,N-dimethyl-, chloride', 'N-Lauryldimethylbenzylammonium chloride', 'UNII-Y5A751G47H', 'Benzododecinio cloruro [DCIT]', 'N-Dodecyldimethylbenzylammonium chloride', 'Benzododecinium chloride [INN]', 'N-Dodecyl-N,N-dimethylbenzenemethanaminium chloride', 'Dodecyldimethylbenzylammonium chloride (ACN)', 'DYK 1125', 'QBA 1211', 'EINECS 205-351-5', 'Benzododecinii chloridum [INN-Latin]', 'Benzyl-lauryldimethylammonium chloride', 'NSC 85508', 'EPA Pesticide Chemical Code 069124', 'Dodecyl-dimethyl-benzylammonium chloride', 'Cloruro de benzododecinio [INN-Spanish]', 'Chlorure de benzododecinium [INN-French]', 'Ammonium, benzyldimethyldodecyl-, chloride', 'Ammonium, benzyldodecyldimethyl-, chloride', 'N-Benzyl-N-dodecyl-N,N-dimethylammonium chloride', 'N-Dodecyl-N,N-dimethyl-N-benzylammonium chloride', 'Y5A751G47H', 'D-Dodecyl-N,N-dimethylbenzenemethanaminium chloride', 'MFCD00137276', 'Lauryl dimethyl benzyl ammonium chloride', 'AK-41375', 'DSSTox_CID_14317', 'N,N-Dimethyl-N-dodecylbenzenemethanaminium chloride', 'W-108223', 'Benzododecinium chloride (INN)', 'Benzenemethanaminium, N,N-dimethyl-N-dodecyl-, chloride', 'Benzenemethanaminium, N-dodecyl-N,N-dimethyl-, chloride (1:1)', 'C21H38N.Cl', 'benzyl-dodecyl-dimethylazanium;chloride', 'Benzododecinio cloruro', 'Euchlorine', 'SCHEMBL914', 'Benzododecinium (Chloride)', 'DSSTox_RID_79142', 'DSSTox_RID_79599', 'DSSTox_GSID_34317', 'DSSTox_GSID_40787', 'benzyl-dodecyl-dimethylazanium', 'KSC174O0R', 'n-Dodecyl-n,n-Dimethyl-Benzenemethanaminium Chloride', 'CHEMBL1885899', 'DTXSID2040787', 'CTK0H4708', 'Lauryldimethylbenzoammonium chloride', 'Benzyllauryldimethylammonium chloride', 'KS-00000IT9', 'NSC85508', 'Tox21_301369', 'Tox21_302065', 'ANW-59242', 'NSC-85508', 'dodecyldimethylbenzyl ammonium chloride', 'AKOS015902768', 'benzyl-dodecyl-dimethylammonium chloride', 'MCULE-8886547021', 'SC10035', 'NCGC00164245-01', 'NCGC00255209-01', 'NCGC00255472-01', 'AK175982', 'CAS-139-07-1', 'LS-16795', 'CAS-8001-54-5', 'AX8018228', 'DB-029696', 'FT-0602836', 'D07210', 'n-dodecyl-n-benzyl-n,n-dimethylammonium chloride', 'Ammonium, benzyldodecyldimethyl-, chloride (8CI)', 'Q408727', 'UNII-9U1Q4T4ZYS component JBIROUFYLSSYDX-UHFFFAOYSA-M', 'UNII-F5UM2KM3W7 component JBIROUFYLSSYDX-UHFFFAOYSA-M', 'Dimethylaurylbenzylammonium chloride; Dimethylbenzyldodecylammonium chloride; Dimethylbenzyllaurylammonium chloride']</t>
  </si>
  <si>
    <t>Compound(8753)</t>
  </si>
  <si>
    <t>C21H38ClN</t>
  </si>
  <si>
    <t>didecyldimethylammonium bromide</t>
  </si>
  <si>
    <t>didecyl(dimethyl)azanium;bromide</t>
  </si>
  <si>
    <t>['Didecyldimethylammonium bromide', '2390-68-3', 'N-Decyl-N,N-dimethyldecan-1-aminium bromide', 'Di-n-decyldimethylammonium bromide', 'Didecyldimonium bromide', 'DDAB', 'Didecyl Dimethyl Ammonium Bromide', 'UNII-72L098XL5Y', '1-Decanaminium, N-decyl-N,N-dimethyl-, bromide', '72L098XL5Y', 'MFCD00012194', 'AK114154', 'didecyldimethylamine, bromide', 'W-107370', 'NCGC00166066-01', 'EINECS 219-234-1', 'ACMC-209g6w', 'C22H48BrN', 'DSSTox_CID_26528', 'DSSTox_RID_81693', 'DSSTox_GSID_46528', 'KSC491M5R', 'SCHEMBL192116', 'didecyl(dimethyl)azanium,bromide', 'didecyl-dimethyl-azanium bromide', 'CHEMBL2358929', 'DTXSID9046528', 'CTK3J1658', 'Di-n-decyl dimethylammonium bromide', 'KS-000000XK', 'Tox21_112302', 'ANW-25254', 'SBB061628', 'AKOS015914941', 'MCULE-8675285977', 'AS-17727', 'DA-17513', 'CAS-2390-68-3', 'AB0020623', 'D2363', 'FT-0624753', 'ST51047635', 'V1571', 'A19433', '157485-EP2277507A1', '157485-EP2286795A1', '157485-EP2375479A1', 'C-45848', 'Q27266076']</t>
  </si>
  <si>
    <t>Compound(16957)</t>
  </si>
  <si>
    <t>C22H48BrN</t>
  </si>
  <si>
    <t>didecyldimethylammonium chloride</t>
  </si>
  <si>
    <t>didecyl(dimethyl)azanium;chloride</t>
  </si>
  <si>
    <t>['7173-51-5', 'Didecyl dimethyl ammonium chloride', 'Didecyldimethylammonium chloride', 'N-decyl-N,N-dimethyldecan-1-aminium chloride', 'Astop', 'DDAC', 'Quaternium 12', 'Arquad 10', 'Bardac 22', 'Britewood Q', 'Dimethyldidecylammonium chloride', 'Bio-Dac', 'Quaternium-12', 'Odex Q', 'Quartamin D 10E', 'Quartamin D 10P', 'Nissan Cation 2DB', 'Timbercote 2000', 'Slaoff 91', 'Aliquat 203', 'Querton 210CL', '1-Decanaminium, N-decyl-N,N-dimethyl-, chloride', 'Dodigen 1881', 'Bardac 2270E', 'Calgon H 130', 'Caswell No. 331A', 'Maquat 4480E', 'Bardac 2250', 'Bardac 2280', 'H 130 (molluscicide)', 'Arquad 210-50', 'Bio-dac 50-22', 'Tret-O-Lite XC 507', 'UNII-JXN40O9Y9B', 'DIDECYLDIMETHYLAMMONIUMCHLORIDE', 'DIDECYLDIMONIUM CHLORIDE', 'BTC 99', 'DDC 80', 'didecyl dimethylammonium chloride', 'BTCO 1010', 'D 10P', 'BTC 1010', 'N-Decyl-N,N-dimethyl-1-decanaminium chloride', 'Ammonium, didecyldimethyl-, chloride', 'EINECS 230-525-2', 'EPA Pesticide Chemical Code 069149', 'JXN40O9Y9B', 'CHEBI:79935', '1-Decanaminium, N-decyl-N,N-dimethyl-, chloride (1:1)', 'AK112217', 'W-104509', 'Acticide', 'Sporekill', 'KleenGrow', 'Britewood XL', 'Acticide DDQ', 'Catiogen DDM', 'Cation DDC', 'Catiogen DDM-PG', 'Asepas 3', 'Septapav KhS 70', 'Acticide DDQ 40', 'Microbiocide B 74', 'Stenquat 1010', 'Arquad 210', 'Cation DDC 50', 'Cation DDC-80', 'Macrotrol MT 200', 'Microbiocide N 750', 'New Des 50', 'Bardac 2240', 'Kamin RM 2D50A', 'K-Sanit BP 80', 'Arquad 210-50E', 'Arquad 210-80E', 'Arquad 210-85E', 'Fentacare 1021-80', 'Arquad 210-80', 'Nissan Cation 2DB500E', 'Nissan Cation 2DB800E', 'Dairyland brand chg teat dip', 'Didecyldimethylammounium chloride', 'didecyl(dimethyl)azanium chloride', 'didecyl(dimethyl)azanium;chloride', 'HSDB 7611', '2DB500E', 'didecyl(dimethyl)ammonium chloride', 'BTC 2250', 'AQ 210', 'Bardac-22', 'Alfa Bergamon (TN)', 'Calgon H130', 'Querton 2100L', 'didecyl(dimethyl)ammonium', 'H 130', 'EC 230-525-2', 'C22H48ClN', 'DSSTox_CID_12537', 'DSSTox_RID_78974', 'DSSTox_GSID_32537', 'M 21080', 'N,N-DIDECYL-N,N-DIMETHYLAMMONIUM CHLORIDE', 'SCHEMBL20265', 'KSC377I8F', 'CHEMBL224987', 'DTXSID9032537', 'CTK2H7482', 'KS-000001CD', 'Tox21_300598', 'GK7231', 'KM1428', 'AKOS015901447', 'CS-W022921', 'DIDECYLDIMETHYL AMMONIUM CHLORIDE', 'NCGC00254240-01', 'DA-17489', 'LS-17335', 'P137', 'SC-23378', 'CAS-7173-51-5', 'FT-0629457', 'N-Decyl-N,N-dimethyl 1-decanaminium chloride', '1-Decanaminium,N-decyl-N,N-dimethyl-,chloride', 'C15436', 'D07822', 'N-Decyl-N,N-dimethyldecan-1-ammonium chloride', 'A837307', 'C-28115', 'Q418930', 'Didecyldimethylammonium chloride, analytical standard', 'Didecyl dimethyl ammonium chloride, 80% aqueous solution', 'UNII-9R9SEN53W6 component RUPBZQFQVRMKDG-UHFFFAOYSA-M']</t>
  </si>
  <si>
    <t>Compound(23558)</t>
  </si>
  <si>
    <t>C22H48ClN</t>
  </si>
  <si>
    <t>verdyl acetate</t>
  </si>
  <si>
    <t>8-tricyclo[5.2.1.02,6]dec-4-enyl acetate</t>
  </si>
  <si>
    <t>['2500-83-6', '4,7-Methano-1H-inden-5-ol, 3a,4,5,6,7,7a-hexahydro-, acetate', 'tricyclo[5.2.1.02,6]dec-4-en-8-yl acetate', '4,7-Methano-1H-inden-5-ol, 3a,4,5,6,7,7a-hexahydro-, 5-acetate', 'Tricyclo(5.2.1.02,6)dec-3-en-9-yl acetate', '3a,4,5,6,7,7a-hexahydro-1H-4,7-methanoinden-5-yl acetate', 'tricyclo[5.2.1.0~2,6~]dec-4-en-8-yl acetate', 'W-109794', 'Tricyclo(5.2.1.02,6)dec-4-en-8-yl acetate', '4,7-Methanoinden-5-ol, 3a,4,5,6,7,7a-hexahydro-, acetate', 'EINECS 219-700-4', 'NSC 142428', 'TRICYCLODECENYLACETATE', 'NCIOpen2_001430', 'SCHEMBL112485', 'DTXSID3051917', '3a,4,5,6,7,7a-Hexahydro-4,7-methano-1H-inden-5-yl acetate', 'KS-000027UF', 'NSC94573', 'NSC-94573', 'NSC142428', 'AKOS015994099', 'FCH1817259', 'MCULE-8218822760', 'MS-0719', 'NSC-142428', 'NS00013329', 'Tricyclo[5.2.1.02,6]dec-4-en-8-yl Acetate;', 'tricyclo[5.2.1.0^{2,6}]dec-4-en-8-yl acetate', '3a,4,5,6,7,7a-Hexahydro-4,7-methano-1H-inden-5-ol acetate', '3a,5,6,7,7a-Hexahydro-4,7-methano-1H-inden-5-yl acetate', 'Tricyclo[5.2.1.02,6]dec-4-en-8-yl acetate;Tricyclo[5.2.1.02,6]dec-4-en-8-yl Acetate;;tricyclo[5.2.1.02,6]dec-4-en-8-yl acetate']</t>
  </si>
  <si>
    <t>Compound(98478)</t>
  </si>
  <si>
    <t>C12H16O2</t>
  </si>
  <si>
    <t>Flow fraction</t>
  </si>
  <si>
    <t>diethyldithiocarbamate</t>
  </si>
  <si>
    <t>sodium;N,N-diethylcarbamodithioate</t>
  </si>
  <si>
    <t>['148-18-5', 'SODIUM DIETHYLDITHIOCARBAMATE', 'Ditiocarb sodium', 'Sodium N,N-diethyldithiocarbamate', 'Sodium diethylcarbamodithioate', 'Dithiocarb', 'Imuthiol', 'Carbamodithioic acid, diethyl-, sodium salt', 'UNII-A5304YEB5E', 'Thiocarb', 'Cupral', 'Kupral', 'Na-ddtc', 'Nocceler SDC', 'Soxinol ESL', 'Sodium DEDT', 'Diethyldithiocarbamic acid, sodium salt', 'DDTC', 'DEDC', 'Carbamodithioic acid, N,N-diethyl-, sodium salt (1:1)', 'A5304YEB5E', 'Ditiocarb sodium [INN]', 'Sodium N,N-Diethyldithiocarbamate (25% solution in water)', 'Usaf ek-2596', 'CHEBI:82587', 'Diethyldithiocarbamate sodium', 'Ditiocarbe sodique [French]', 'Ditiocarbo sodico [Spanish]', 'Ditiocarbum natricum [Latin]', 'Diethyl sodium dithiocarbamate', 'CCRIS 235', 'NCI CO2835', 'Sodium diethylaminocarbodithioate', 'HSDB 4091', 'Diethyldithiocarbamic acid, sodium', 'GS 694A', 'Diethyl dithiocarbamate sodium salt', 'EINECS 205-710-6', 'DSSTox_CID_2956', 'Diethyldithiocarbamic acid sodium salt', 'NSC 38583', 'DSSTox_RID_76806', 'Diethylcarbamodithioic acid, sodium salt', 'DSSTox_GSID_22956', 'AI3-14688', 'Carbamic acid, diethyldithio-, sodium salt', 'N,N-Diethyldithiocarbamic acid, sodium salt', 'Sodium salt of N,N-diethyldithiocarbamic acid', 'Ditiocarbo sodico', 'CHEMBL107217', 'Ditiocarbe sodique', 'NSC4857', 'CAS-148-18-5', 'Ditiocarbum natricum', 'NCGC00166328-01', 'DTC', 'sodium (diethylcarbamothioyl)sulfanide', 'PubChem16843', 'C5H10NNaS2', 'EC 205-710-6', 'KSC175K6T', 'SCHEMBL168133', 'DTXSID3022956', 'CTK0H5569', 'KS-00000ZCE', 'HY-B1637', 'Tox21_112412', 'Tox21_200403', 'AKOS015897389', 'AKOS016358586', 'AKOS025310122', 'N,N-diethyl(sodiosulfanyl)carbothioamide', 'NCGC00257957-01', 'AS-12092', 'SC-65385', 'CS-0013580', 'FT-0631848', 'C19599', 'K-4713', 'Q413008', 'J-008449', 'F8880-1809', 'Z1522566622']</t>
  </si>
  <si>
    <t>Compound(533728)</t>
  </si>
  <si>
    <t>C5H10NNaS2</t>
  </si>
  <si>
    <t>Sub-sample</t>
  </si>
  <si>
    <t>diethyl toluamide</t>
  </si>
  <si>
    <t>N,N-diethyl-3-methylbenzamide</t>
  </si>
  <si>
    <t>['DEET', 'N,N-Diethyl-3-methylbenzamide', 'Diethyltoluamide', '134-62-3', 'N,N-Diethyl-m-toluamide', 'Dieltamid', 'Metadelphene', 'Delphene', 'Flypel', 'Diethyl toluamide', 'Detamide', '3-Methyl-N,N-diethylbenzamide', 'Autan', 'm-Delphene', 'Benzamide, N,N-diethyl-3-methyl-', 'DETA', 'Repudin-Special', 'Repel', 'M-Det', 'Naugatuck DET', 'm-DETA', 'm-Toluic acid diethylamide', 'Repper-DET', 'Diethyl-m-toluamide', 'Muscol', 'N,N-Diethyl-meta-toluamide', 'Repper DET', 'Amincene C-EM', 'Mgk diethyltoluamide', 'Dietiltoluamida', 'Amincene C 140', 'm-Toluamide, N,N-diethyl-', 'Diethyltoluamidum', 'DETA-20', 'DET (insect repellant)', 'ENT 22542', 'Bepper DET', 'N,N-diethyl-3-methyl-benzamide', 'Caswell No. 346', 'ENT 20,218', 'UNII-FB0C1XZV4Y', 'NSC 33840', 'Diethyltoluamidum [INN-Latin]', 'Dietiltoluamida [INN-Spanish]', 'CCRIS 6018', 'HSDB 1582', 'AI 3-22542', 'Diethyltoluamide (DEET)', 'EINECS 205-149-7', 'FB0C1XZV4Y', 'Off', 'EPA Pesticide Chemical Code 080301', 'BRN 2046711', 'CHEBI:7071', 'MFCD00009046', 'NSC-33840', 'NCGC00091219-02', 'N,N-Diethyl-meta-toluamide and other isomers', 'DSSTox_CID_1995', 'A.I. 3-22542', 'DSSTox_RID_76448', 'DSSTox_GSID_21995', 'N,N-Diethyl-m-toluamide, 98%', 'CAS-134-62-3', 'SMR000777931', 'N,N-Diethyl-m-toluamide, analytical standard', 'Diethyltoluamide [USP:INN:BAN]', 'Diethyltoluamide [USAN:INN:BAN]', 'Off!', 'PubChem15448', 'Spectrum_001989', '3n7h', 'DIELTAMID(R)', '(N,N-diethyltoluamide)', 'DELPHENE(R)', 'DETAMIDE(R)', 'm-Toluamide,N-diethyl-', 'n,n-diethyl m-toluamide', 'n-diethyl-meta-toluamide', 'DEET (Diethyltoluamide)', 'DEET / Diethyltoluamide', 'FEYPEL(R)', 'META-DELPHENE(R)', 'Spectrum2_001072', 'Spectrum4_000439', 'Spectrum5_002076', 'DEET, analytical standard', 'OFF(R)', 'ACMC-1BV02', 'Diethyltoluamide (USP/INN)', 'SCHEMBL29976', 'KBioGR_000798', 'KBioSS_002555', 'KSC174Q2D', 'MLS001333179', 'MLS001333180', 'MLS002207091', 'MLS002415750', 'DivK1c_000157', 'SPECTRUM1601020', 'SPBio_001084', 'Benzamide,N-diethyl-3-methyl-', 'DEET;N,N-Diethyl-m-toluamide', 'N,N-DITHYL-M-TOLUAMIDE', 'ZINC1291', 'CHEMBL1453317', 'DTXSID2021995', 'N,N-DIETHYL-3-TOLUAMIDE', 'CTK0H4821', 'DEET 10 microg/mL in Methanol', 'HMS500H19', 'KBio1_000157', 'KBio2_002546', 'KBio2_005114', 'KBio2_007682', 'NINDS_000157', 'WLN: 2N2 &amp; VR C1', 'DEET 100 microg/mL in Methanol', 'HMS2094E11', 'HMS2231H11', 'HMS3372F07', 'Pharmakon1600-01601020', 'DEET (N,N-Diethyl-meta-toluamid)', 'HY-B0978', 'KS-00000IS6', 'NSC33840', 'Tox21_111103', 'Tox21_201980', 'Tox21_300917', 'ANW-19692', 'ENT-20218', 'ENT-22542', 'LS-780', 'NSC759564', 's4521', 'AKOS003852835', 'N,N-Diethyl-3-methylbenzamide, 97%', 'Tox21_111103_1', 'AS01242', 'CCG-213639', 'CS-4468', 'DB11282', 'N,N-diethyl(3-methylphenyl)carboxamide', 'NSC-759564', 'VZ36454', 'IDI1_000157', '3-METHYLBENZOIC ACID DIETHYLAMIDE', 'Diethyltoluamide;N,N-diethyl-m-toluamide', 'NCGC00091219-01', 'NCGC00091219-03', 'NCGC00091219-04', 'NCGC00091219-05', 'NCGC00091219-06', 'NCGC00091219-08', 'NCGC00254820-01', 'NCGC00259529-01', 'AC-11315', 'AK-41340', 'DEET, PESTANAL(R), analytical standard', 'DS-13831', 'SC-21727', 'SBI-0051886.P002', 'DB-042245', 'N,N-DIETHYL-M-METHYL PHENYLFORMAMIDE', 'D0097', 'FT-0629479', 'FT-0665567', 'ST50406384', 'C10935', 'D02379', 'AB00052406_06', 'Q408389', 'SR-05000001887', 'Q-200984', 'SR-05000001887-1', 'BRD-K94080537-001-05-5', 'Z31723661', 'Diethyltoluamide, United States Pharmacopeia (USP) Reference Standard', 'DE3']</t>
  </si>
  <si>
    <t>Compound(4284)</t>
  </si>
  <si>
    <t>C12H17NO</t>
  </si>
  <si>
    <t>bis (2-ethylhexyl) phthalate (DEHP)</t>
  </si>
  <si>
    <t>bis(2-ethylhexyl) benzene-1,2-dicarboxylate</t>
  </si>
  <si>
    <t>['Bis(2-ethylhexyl) phthalate', '117-81-7', 'DEHP', 'Di(2-ethylhexyl) phthalate', 'Di(2-ethylhexyl)phthalate', 'BIS(2-ETHYLHEXYL)PHTHALATE', 'Diethylhexyl phthalate', 'Di-sec-octyl phthalate', 'Octyl phthalate', '2-Ethylhexyl phthalate', 'Fleximel', 'Octoil', 'Ethylhexyl phthalate', 'Palatinol AH', 'Celluflex DOP', 'Vestinol AH', 'Bisoflex DOP', 'Kodaflex DOP', 'Staflex DOP', 'Truflex DOP', 'Flexol DOP', 'Vinicizer 80', 'Bisoflex 81', 'Eviplast 80', 'Eviplast 81', 'Hercoflex 260', 'Etalon', 'RC plasticizer DOP', 'Compound 889', 'Witcizer 312', 'Platinol dop', 'Di-2-ethylhexyl phthalate', 'Nuoplaz dop', 'Platinol ah', 'Hatcol dop', 'Reomol dop', 'Pittsburgh PX-138', 'Sansocizer DOP', 'Ergoplast FDO', 'Monocizer DOP', 'Plasthall DOP', 'Flexol plasticizer DOP', 'Mollan O', 'Jayflex DOP', 'Sicol 150', 'Ergoplast FDO-S', 'Di(2-ethylhexyl)orthophthalate', 'Good-rite gp 264', 'Reomol D 79P', 'Bis(2-ethylhexyl) benzene-1,2-dicarboxylate', 'Sconamoll DOP', 'Diacizer DOP', 'Kodaflex DEHP', 'Di(ethylhexyl) phthalate', 'Bis(ethylhexyl) phthalate', 'Rcra waste number U028', 'Px-138', 'Phthalic acid dioctyl ester', 'NCI-C52733', 'Etalon (plasticizer)', 'Di(2-ethylhexyl) o-phthalate', 'Sansocizer R 8000', 'Caswell No. 392K', '1,2-Benzenedicarboxylic acid, bis(2-ethylhexyl) ester', 'Behp', 'Di-2-ethylhexylphthalate', 'DOF [Russian plasticizer]', 'Bis(2-ethylhexyl) 1,2-benzenedicarboxylate', 'DOP', 'UNII-C42K0PH13C', 'Phthalic acid di(2-ethylhexyl) ester', 'CCRIS 237', 'Di-(2-ethylhexyl) phthalate', 'Bis(2-ethylhexyl) o-phthalate', 'Phthalic acid, bis(2-ethylhexyl) ester', 'Ethyl hexyl phthalate', 'HSDB 339', 'Di(2-ethylhexyl) orthophthalate', 'CHEBI:17747', '1,2-Benzenedicarboxylic acid bis(2-ethylhexyl) ester', 'Di(2-ethylhexyl)phthalate (DEHP)', 'EINECS 204-211-0', 'MFCD00009493', 'NSC 17069', 'Benzenedicarboxylic acid, bis(2-ethylhexyl) ester', 'RCRA waste no. U028', 'Union carbide flexol 380', 'EPA Pesticide Chemical Code 295200', 'Phthalic Acid Bis(2-ethylhexyl) Ester', 'BRN 1890696', 'Bis-(2-ethylhexyl)ester kyseliny ftalove', 'AI3-04273', 'C42K0PH13C', 'DAF 68', '1,2-Benzenedicarboxylic acid, 1,2-bis(2-ethylhexyl) ester', 'DTXSID5020607', 'Bis-(2-ethylhexyl)ester kyseliny ftalove [Czech]', 'BIS-(2-ETHYLHEXYL) PHTHALATE', 'NCGC00091499-05', '15495-94-0', '8033-53-2', 'Phthalic acid, bis-2-ethylhexyl ester', 'SMR000777878', 'Bis-(2-ethylhexyl)ester kyseliny ftalove (czech)', '2-ethylhexyl 2-[(2-ethylhexyl)oxycarbonyl]benzoate', 'bis(2-ethylhexyl)phthalat', 'Diethylhexylphthalate (Bis-(2-ethylhexyl) Phthalate)', 'ergoplas t fdo', 'octyl ph thalate', 'Palatinol DOP', 'Polycizer DOP', 'Merrol DOP', 'Palatinol AH-L', 'Hatco DOP', 'Vinycizer 80', 'N-Dioctyl phthalate', 'Corflex 400', 'ACMC-1BUXH', 'Dioctyl phthalate, 99%', 'DSSTox_CID_607', '1, bis(ethylhexyl) ester', 'Epitope ID:140107', 'EC 204-211-0', 'WLN: 8OVR BVO8', 'Di(2-Ethylhexyl phthalate)', 'DSSTox_RID_75688', 'Union carbide flexo l 380', 'DSSTox_GSID_20607', 'SCHEMBL20271', '14C -DEHP', 'MLS001333173', 'MLS001333174', 'MLS002454397', 'bis (2-Etheylexyl) Phthalate', 'Dioctyl phthalate, &gt;=99.5%', '1,2-Benzenedicarboxylic acid, bis-(1-ethylhexyl) ester', 'CHEMBL1242017', 'SCHEMBL21733281', 'CTK4B0443', 'HMS2233C15', 'HMS3374J09', 'HY-B1945', 'NSC17069', 'Bis(2-Ethylhexyl)phthalate - DEHP', 'Tox21_400084', 'ANW-17048', 'Bis(2-ethylhexyl)ester phthalic acid', 'LS-592', 'NSC-17069', 'SBB061417', 'AKOS024318875', 'MCULE-4692716107', 'NCGC00091499-01', 'NCGC00091499-02', 'NCGC00091499-04', 'NCGC00091499-06', 'NCGC00091499-07', 'AK116900', 'CAS-117-81-7', 'I887', 'Bis(2-ethylhexyl) 1, 2-benzenedicarboxylate', 'bis-(2-ethylhexyl) 1,2-benzenedicarboxylate', 'CS-0014050', 'FT-0624576', 'FT-0663286', 'P0297', 'ST50406397', 'WLN: 4Y2 &amp; 1OVR BVO1Y4 &amp; 2', 'bis-(2-ethylhexyl) 1,2-benzenedicar boxylate', 'Bis(2-ethylhexyl) phthalate, Selectophore(TM)', 'C03690', 'Bis (2-Ethylhexyl) Phthalate (Dioctyl phthalate)', 'Q418492', '1,2-Benzenedicarboxylic acid bis-(1-ethylhexyl) ester', 'benzene-1,2-dicarboxylic acid bis(2-ethylhexyl) ester', 'BRD-A89471977-001-05-2', 'Bis(2-ethylhexyl) phthalate 100 microg/mL in Methanol', 'Bis(2-ethylhexyl) phthalate 5000 microg/mL in Methanol', 'F0001-0292', 'Bis(2-ethylhexyl) phthalate, SAJ first grade, &gt;=98.0%', 'Bis(2-ethylhexyl) phthalate, PESTANAL(R), analytical standard', 'DI(2-ETHYLHEXYL) PHTHALATE (SEE ALSO CAS 103-23-1)', 'Diplast O; ESBO-D 82; Ergoplast FDO; Ergoplast FDO-S; Etalon', 'Phthalic acid, bis-2-ethylhexyl ester 10 microg/mL in Cyclohexane', 'Plastic additive 01, European Pharmacopoeia (EP) Reference Standard', 'TRANSGENIC MODEL EVALUATION (DI(2-ETHYLHEXYL) PHTHALATE)', 'Bis(2-ethylhexyl) phthalate, certified reference material, TraceCERT(R)', 'Plastic additive 14, United States Pharmacopeia (USP) Reference Standard', '1,2-Benzenedicarboxylic acid, bis(2-ethylhexyl) ester, labeled with carbon-14', '50885-87-5', '82208-43-3']</t>
  </si>
  <si>
    <t>Compound(8343)</t>
  </si>
  <si>
    <t>Denitrification rate</t>
  </si>
  <si>
    <t>Denitrification time</t>
  </si>
  <si>
    <t>Metal destruction performed</t>
  </si>
  <si>
    <t>Destruction performed</t>
  </si>
  <si>
    <t>diphenylamine</t>
  </si>
  <si>
    <t>N-phenylaniline</t>
  </si>
  <si>
    <t>['Diphenylamine', 'N-Phenylaniline', '122-39-4', 'N-Phenylbenzenamine', 'Anilinobenzene', 'Benzenamine, N-phenyl-', 'N,N-DIPHENYLAMINE', 'Phenylaniline', 'Scaldip', 'N-Phenylbenzeneamine', 'Big Dipper', 'No-Scald', 'Styrenated diphenylamine', 'Benzene, anilino-', 'Deccoscald 282', 'Difenylamin', 'Naugalube 428L', 'Benzene, (phenylamino)-', 'Aniline, N-phenyl-', 'N-Fenylanilin', 'Shield DPA', 'No-Scald DPA 283', 'DIPHENYL-AMINE', '(phenylamino)benzene', 'Difenylamin [Czech]', 'Caswell No. 398', 'DIPHENYL AMINE', 'N-Fenylanilin [Czech]', 'No scald', 'UNII-9N3CBB0BIQ', 'Benzenamine, N-phenyl-, styrenated', 'C.I. 10355', 'Poly(diphenylamine)', 'NSC 215210', 'C6H5-NH-C6H5', 'CCRIS 4699', 'CHEBI:4640', 'N-Phenylbenzenamine, styrenated', 'Diphenylamine indicator', 'HSDB 1108', 'EINECS 204-539-4', 'MFCD00003014', '9N3CBB0BIQ', 'EPA Pesticide Chemical Code 038501', 'CI 10355', 'AI3-00781', 'Styrene, reaction product with diphenylamine', 'EINECS 270-485-3', 'Diphenylamine, reaction product with 2,2,4-trimethylpentene', 'DSSTox_CID_1975', 'Diphenylamine, ACS reagent', 'Diphenylamine, 99%, pure', 'DSSTox_RID_76436', 'DSSTox_GSID_21975', 'CAS-122-39-4', 'Diphenylamine, 99+%, extra pure, Redox-indicator', 'DIPHENYLAMINE, ACS', 'phenyl aniline', 'Anilino-Benzene', 'n-phenyl-aniline', 'Diphenylamine redox', 'N-(phenyl)aniline', 'n,n-diphenyl amine', 'N,N-di-phenylamine', 'n-phenyl-benzenamine', 'DIPHENYAMINE', 'Diphenylamine, p.a.', '(phenylamino)-Benzene', 'No scald dpa 283', 'Ph2NH', 'ACMC-20aj4p', 'Diphenylamine, &gt;=98%', 'WLN: RMR', 'Diphenylamine, ACS grade', 'N-Phenylbenzenamine, 9CI', 'SCHEMBL229', 'Epitope ID:115002', 'EC 204-539-4', 'N-PHENYLBENZENENAMINE', 'Oprea1_815288', 'DPA / Diphenylamine (DFA)', 'MLS002152913', 'ARONIS24999', 'BIDD:ER0338', 'CHEMBL38688', 'QSPL 033', 'SCHEMBL3685153', 'SCHEMBL6255037', 'SCHEMBL7527678', 'DTXSID4021975', 'SCHEMBL10932134', 'CTK0H5366', 'KS-00000VID', '2-Biphenylyl-N-pyridyl-Acetamide', 'ATTERCOP-CHM AT130117', 'HMS1788N11', 'HMS3034E05', 'LABOTEST-BB LTBB000505', 'ZINC967716', 'EBD25081', 'KS-000046WS', 'Tox21_201611', 'Tox21_301026', 'LABOTEST-BB LT03328529', 'LS-665', 'NSC215210', 'SBB058673', 'STK301666', 'Diphenylamine, ACS reagent, &gt;=99%', 'Diphenylamine, ReagentPlus(R), 99%', 'AKOS000119099', 'AS01428', 'MCULE-8347316415', 'NC-0220', 'NE10251', 'NSC-215210', 'NCGC00090889-01', 'NCGC00090889-02', 'NCGC00090889-03', 'NCGC00090889-04', 'NCGC00090889-05', 'NCGC00254928-01', 'NCGC00259160-01', 'AC-16417', 'LS-28419', 'SC-19016', 'SMR000777939', 'Diphenylamine 10 microg/mL in Cyclohexane', 'D0872', 'D1229', 'Diphenylamine 100 microg/mL in Acetonitrile', 'FT-0625252', 'NS00010366', 'ST45053747', 'V0082', 'Diphenylamine, Vetec(TM) reagent grade, 98%', 'C11016', 'Diphenylamine, PESTANAL(R), analytical standard', 'A804887', 'Q412265', 'J-004797', 'J-520383', 'F2190-0411', 'Diphenylamine, puriss. p.a., redox indicator, ACS reagent, reag. Ph. Eur., &gt;=98% (GC)']</t>
  </si>
  <si>
    <t>Compound(11487)</t>
  </si>
  <si>
    <t>diphenyl nitrosamine</t>
  </si>
  <si>
    <t>N,N-diphenylnitrous amide</t>
  </si>
  <si>
    <t>['N-NITROSODIPHENYLAMINE', '86-30-6', 'Diphenylnitrosamine', 'Nitrosodiphenylamine', 'Benzenamine, N-nitroso-N-phenyl-', 'Vultrol', 'Redax', 'Vulcatard A', 'Retarder J', 'N-Nitroso-N-phenylaniline', 'Ortard', 'Sconoc', 'N,N-diphenylnitrous amide', 'Diphenylamine, N-nitroso-', 'Vulcalent A', 'Vulkalent A', 'Curetard A', 'Diphenylnitrosamin', 'Naugard TJB', 'Delac J', 'N,N-Diphenylnitrosamine', 'N-Nitrosodifenylamin', 'Vulcatard', 'Difenylnitrosamin', 'Diphenyl N-nitrosoamine', 'N-NITROSO-DIPHENYLAMINE', 'NCI-C02880', 'N-Nitroso-N-phenylbenzenamine', 'Vulkalent A [Czech]', 'NdphA', 'NSC 585', 'Difenylnitrosamin [Czech]', 'UNII-AP2V89J1DA', 'Diphenylnitrosamin [German]', 'CCRIS 464', 'N-Nitrosodifenylamin [Czech]', 'HSDB 2875', 'EINECS 201-663-0', 'BRN 0909531', 'AP2V89J1DA', 'AI3-00698', 'CHEBI:34875', 'TJB', 'DSSTox_CID_1030', 'DSSTox_RID_75915', 'DSSTox_GSID_21030', 'CAS-86-30-6', 'diphenyl-N-nitrosoamine', 'WLN: ONNR&amp;R', 'N-Nitroso-N-diphenylamine', 'ACMC-209q9a', 'N,N-Diphenyl-N-nitrosoamine', 'SCHEMBL80329', 'BIDD:ER0645', 'N-nitroso-N-phen ylbenzenamine', 'N-Nitrosodiphenylamine (NDPA)', 'CHEMBL165491', 'NSC585', 'N-Nitrosodiphenylamine (NDPhA)', 'DTXSID6021030', '2-Oxo-1,1-diphenylhydrazine #', 'NSC-585', 'KS-000016DQ', 'ZINC3875600', 'Tox21_201457', 'Tox21_300574', 'ANW-38300', 'STL453728', 'AKOS015915016', 'LS-1853', 'MCULE-3830429582', 'Nitrosodiphenylamine;nitrosodiphenylamine', 'NCGC00091777-01', 'NCGC00091777-02', 'NCGC00091777-03', 'NCGC00091777-04', 'NCGC00254349-01', 'NCGC00259008-01', '382165-80-2', 'CC-33020', 'N-Nitrosodiphenylamine, analytical standard', 'BB0294640', 'D0899', 'FT-0629592', 'NS00000623', 'C14742', 'C-34244', 'N-Nitrosodiphenylamine, technical, &gt;=97.0% (N)', 'Q4995308']</t>
  </si>
  <si>
    <t>Compound(6838)</t>
  </si>
  <si>
    <t>diphenyltin (cation)</t>
  </si>
  <si>
    <t>2-[[3-(oxiran-2-ylmethoxy)phenoxy]methyl]oxirane</t>
  </si>
  <si>
    <t>['Resorcinol diglycidyl ether', '101-90-6', 'DIGLYCIDYL RESORCINOL ETHER', 'm-Bis(2,3-epoxypropoxy)benzene', 'Diglycidyl ether of resorcinol', 'Resorcinyl diglycidyl ether', 'Araldite ERE 1359', '1,3-Diglycidyloxybenzene', 'm-Bis(glycidyloxy)benzene', '1,3-Bis(2,3-epoxypropoxy)benzene', 'NCI-C54966', 'meta-Bis(glycidyloxy)benzene', 'Benzene, m-bis(2,3-epoxypropoxy)-', 'Resorcinol bis(2,3-epoxypropyl) ether', "2,2'-[1,3-phenylenebis(oxymethylene)]dioxirane", 'Diglycidylresorcinol ether', 'UNII-FXN2Y6QZ2W', "2,2'-(1,3-Phenylenebis(oxymethylene))bisoxirane", 'Diglycidyl resorcinol ether (DGRE)', 'ERE 1359', "Oxirane, 2,2'-[1,3-phenylenebis(oxymethylene)]bis-", 'NSC 76621', 'DGRE', 'RDGE', 'CCRIS 1424', 'HSDB 4166', 'Resorcinol, diglycidyl-', 'Resorcinol glycidyl ether', 'meta-Bis(2,3-epoxypropoxy benzene)', 'EINECS 202-987-5', 'FXN2Y6QZ2W', 'BRN 0203671', '1,3-bis(glycidyloxy)benzene', '1,3-Bis(glycidyloxy) benzene', 'CHEBI:82318', '1,3-Bis(oxiran-2-ylmethoxy)benzene', 'Diglycidyl resorcinol ether, technical grade', "2,2'-(1,3-Phenylenebis(oxymethylene)bisoxirane)", "Oxirane, 2,2'-(1,3-phenylenebis(oxymethylene))bis-", '1,3-BENZENDIOL BIS(2-PROPENYL)ETHER BISEPOXIDE', "2,2'-[1,3-Phenylenebis(oxymethylene)]bisoxirane", 'diglycidylresorcinol', '2-[[3-(oxiran-2-ylmethoxy)phenoxy]methyl]oxirane', 'ACMC-20aok8', 'DSSTox_CID_470', '1,3-epoxypropoxy)benzene', 'DSSTox_RID_75612', 'NCIOpen2_003997', 'DSSTox_GSID_20470', 'SCHEMBL37802', 'diglycidyl  ether of resorcinol', 'CHEMBL1338613', 'DTXSID2020470', 'NSC76621', 'Tox21_200668', 'LS-342', 'NSC-76621', 'resorcinol bis(2,3-epoxypropyl)ether', 'AKOS005207195', 'WLN: T3OTJ B1OR CO1-BT3OTJ', 'MCULE-4775039012', 'NCGC00091808-01', 'NCGC00091808-02', 'NCGC00091808-03', 'NCGC00091808-04', 'NCGC00258222-01', '2,3-Phenylenebis(oxymethylene)]bisoxirane', 'CAS-101-90-6', 'Benzene, m-bis(2,3-epoxypropoxy)- (8CI)', 'FT-0768828', 'NS00020363', '2,2-[1,3-Phenylenebis(oxymethylene)]dioxirane', 'C19228', 'C-56075', "Oxirane,2'-[1,3-phenylenebis(oxymethylene)]bis-", '2-([3-(2-Oxiranylmethoxy)phenoxy]methyl)oxirane #', 'J-000515', 'Q2956475', 'm-bis(2,3-epoxypropoxy)benzene;RESORCINOL DIGLYCIDYL ETHER']</t>
  </si>
  <si>
    <t>Compound(7586)</t>
  </si>
  <si>
    <t>(5S,8R,9S,10S,13S,14S,17S)-17-hydroxy-10,13-dimethyl-1,2,4,5,6,7,8,9,11,12,14,15,16,17-tetradecahydrocyclopenta[a]phenanthren-3-one</t>
  </si>
  <si>
    <t>['dihydrotestosterone', 'STANOLONE', 'Androstanolone', '521-18-6', 'Andractim', 'Androlone', 'Anaboleen', 'Anabolex', 'Proteina', 'Stanaprol', 'Neodrol', 'Protona', 'Cristerona MB', '4-Dihydrotestosterone', '5alpha-Dihydrotestosterone', '17beta-Hydroxy-5alpha-androstan-3-one', 'DHT', 'Androstanolona', 'Androstanolonum', '5alpha-Androstan-17beta-ol-3-one', '5-alpha-Dihydrotestosterone', 'Testosterone, dihydro-', '4,5alpha-Dihydrotestosterone', 'Stanolon', 'Stanorone', 'Dihydrotestosteron', '17beta-Hydroxyandrostan-3-one', '5alpha-DHT', 'LG 152', '17beta-Hydroxy-3-androstanone', '5alpha-Dihydroxytestosterone', 'Androstan-17beta-ol-3-one', 'NSC 10972', '5alpha,17beta-Hydroxyandrostan-3-one', 'Androstanolonum [INN-Latin]', 'Androstanolona [INN-Spanish]', '4,5-alpha-Dihydrotestosterone', 'UNII-08J2K08A3Y', 'CHEBI:16330', '17-beta-Hydroxy-5-alpha-androstan-3-one', '5alpha-dihydrotesosterone', '5alpha dihydrotestosterone', 'EINECS 208-307-3', '5alpha,17eta-Hydroxyandrostan-3-one', '5-alpha-Androstan-17-beta-ol-3-one', '5.alpha.-Dihydrotestosterone', 'CHEMBL27769', '(5S,8R,9S,10S,13S,14S,17S)-17-hydroxy-10,13-dimethyl-1,2,4,5,6,7,8,9,11,12,14,15,16,17-tetradecahydrocyclopenta[a]phenanthren-3-one', '4,5.alpha.-Dihydrotestosterone', '(5alpha,17beta)-17-hydroxyandrostan-3-one', '17beta-Hydroxy-androstan-3-one', '5-alpha-Androstan-3-one, 17-beta-hydroxy-', 'Androstan-3-one, 17-hydroxy-, (5a,17b)-', '17.beta.-Hydroxy-3-androstanone', '(5-alpha,17-beta)-17-Hydroxyandrostan-3-one', '08J2K08A3Y', 'Androstan-3-one, 17-hydroxy-, (5alpha,17beta)-', 'NSC-10972', 'Androstanolone (INN)', 'Androstanolone [INN]', '17beta-Hydroxy-5alpha-androstane-3-one', '5.alpha.-Androstan-17.beta.-ol-3-one', 'NCGC00091013-01', '5alpha-Androstan-3-one, 17beta-hydroxy-', '5.alpha.,17.beta.-Hydroxyandrostan-3-one', 'DSSTox_CID_2364', 'DSSTox_RID_76558', 'DSSTox_GSID_22364', '[3H]DHT', 'Stanolone [BAN]', 'CAS-521-18-6', '5-.alpha.-Androstanolone', '5.alpha.-Androstan-3-one, 17.beta.-hydroxy-', '17-Hydroxyandrostan-3-one', '[3H]dihydrotestosterone', '[3H]-dihydrotestosterone', 'Androstan-17.beta.-ol-3-one', '17-beta-hydroxyandrostan-3-one', 'Andrin', '(+)-Androstan-17.beta.-ol-3-one', '1kdk', '2ama', 'Andractim (TN)', '(5S,8R,9S,10S,13S,14S,17S)-17-hydroxy-10,13-dimethyltetradecahydro-1H-cyclopenta[a]phenanthren-3(2H)-one', '5-a-Androstanolone', '5alpha-Androstanolone', '5a-Dihydrotestosterone', 'Androstanolone (DHT)', '17-.beta.-Hydroxy-5-.alpha.-androstan-3-one', '5-alpha-Androstanolone', '1d2s', '1t5z', '1t7r', 'dihydrotestosterone (dht)', '(5.alpha.,17.beta.)-17-Hydroxy-androstan-3-one', '4,5a-Dihydrotestosterone', 'Androstan-17b-ol-3-one', 'Epitope ID:135868', '17-Hydroxyandrostan-3-one, (5.alpha.,17.beta.)- #', 'EC 208-307-3', '17b-Hydroxy-3-androstanone', 'BIDD:PXR0075', 'SCHEMBL15163', '17-Hydroxy-androstan-3-one', 'MLS001304063', '5a-Androstan-17b-ol-3-one', 'BIDD:ER0136', '5.alpha.-Dihydroxytestosterone', '5A-Androstan-3-on-17B-ol', '5B-Androstan-3-on-17B-ol', 'GTPL2856', 'GTPL3455', 'DTXSID9022364', 'BDBM18161', 'Dihydrotestosterone;androstanolone', '1t63', '(+)-Androstan-17beta-ol-3-one', 'HMS2272H05', 'HY-A0120', 'NSC10972', 'ZINC3814360', 'Tox21_111056', 'Tox21_200987', 'Tox21_303655', 'BDBM50366473', 'LMST02020042', 's4757', 'AKOS015894892', 'API0004234', 'CCG-267385', 'CS-5096', 'DB02901', 'EBD2157869', 'GS-6587', 'MCULE-5987413622', 'NCGC00091013-02', 'NCGC00091013-03', 'NCGC00257456-01', 'NCGC00258540-01', '17beta-hydroxy-3-oxo-5alpha-androstanone', 'AC-16144', 'AK173346', 'CC-34536', 'LS-19384', 'SC-16121', 'SMR000058342', 'AB0108935', '5alpha-Androstan-17beta-ol-3-one, &gt;=97.5%', 'C03917', 'D07456', 'Z-2983', '521S186', '5alpha-Androstan-3-one, 17beta-hydroxy- (8CI)', 'C-18235', 'Q411054', 'Androstanolone (5alpha-Dihydrotestosterone; Stanolone)', 'Androstan-3-one, 17-hydroxy-, (5alpha,17beta)- (9CI)', '5alpha-Androstan-17beta-ol-3-one, purum, &gt;=99.0% (TLC)', '5alpha-Androstan-17beta-ol-3-one, VETRANAL(TM), analytical standard', 'Androstanolone (5alpha-Dihydrotestosterone; Stanolone) 1.0 mg/ml in Acetonitrile', '(1S,2S,7S,10R,11S,14S,15S)-14-hydroxy-2,15-dimethyltetracyclo[8.7.0.0;{2,7}.0;{11,15}]heptadecan-5-one', '(1S,2S,7S,10R,11S,14S,15S)-14-hydroxy-2,15-dimethyltetracyclo[8.7.0.0^{2,7}.0^{11,15}]heptadecan-5-one', '(5S,8R,10S,13S,17S)-17-Hydroxy-10,13-dimethyl-hexadecahydro-cyclopenta[a]phenanthren-3-one', '17-hydroxy-10,13-dimethyl-1,2,4,5,6,7,8,9,10,11,12,13,14,15,16, 17-hexadecahydrocyclopenta[a]phenanthren-3-one', '5alpha-Dihydrotestosterone (DHT) solution, 1.0 mg/mL in methanol, ampule of 1 mL, certified reference material']</t>
  </si>
  <si>
    <t>Compound(10635)</t>
  </si>
  <si>
    <t>C19H30O2</t>
  </si>
  <si>
    <t>di (hydrogenated tallow alkyl) dimethylammonium chlorides</t>
  </si>
  <si>
    <t>(3S,5S,8R,9S,10S,13R,14S,17R)-10,13-dimethyl-17-[(2R)-6-methylheptan-2-yl]-2,3,4,5,6,7,8,9,11,12,14,15,16,17-tetradecahydro-1H-cyclopenta[a]phenanthren-3-ol</t>
  </si>
  <si>
    <t>['Dihydrocholesterol', '80-97-7', 'beta-Cholestanol', 'Zymostanol', '5alpha-Cholestanol', '5alpha-Cholestan-3beta-ol', 'CHOLESTANOL', 'Cholestan-3beta-ol', 'Dihydrocholesterin', 'Cholestan-3-ol, (3beta,5alpha)-', '5-alpha-Cholestan-3-beta-ol', 'Cholestan-3-ol, (3b,5a)-', '3beta-Hydroxy-5alpha-cholestane', '3beta-Cholestanol', 'UNII-8M308U816E', 'NSC 18188', '(5alpha)-cholestan-3beta-ol', '(3beta,5alpha)-cholestan-3-ol', 'CHEBI:86570', '8M308U816E', 'Epicholestanol', '29466-38-4', 'Cholestan-3-ol, (3.beta.,5.alpha.)-', 'MFCD00066413', 'Cholestanol (VAN)', '5-a-cholestan-3-ss-ol', '3beta-Hydroxycholestane', '5alpha-Dihydrocholesterol', 'Cholestan-3-ol, (3.beta.)- #', '5a-Cholestanol', 'Cholestan-3b-ol', 'EINECS 201-315-8', '3b-Hydroxycholestane', '5a-Dihydrocholesterol', '5a-Cholestan-3b-ol', '3b-Hydroxy-5a-cholestane', 'bmse000541', '(3b,5a)-Cholestan-3-ol', 'SCHEMBL133951', '(+)-Dihydrocholesterol solution', 'CHEMBL1289436', 'CTK3E8365', '5^a-Cholestan-3^b-ol, 98%', 'DTXSID40883258', 'ZINC4262223', 'ANW-41621', 'LMST01010077', 's5123', '5alpha-Cholestan-3beta-ol, &gt;=95%', 'Cholestane, 3beta-hydroxy-, 5alpha-', 'AKOS016036214', 'ACN-048867', 'API0001978', 'CCG-268506', 'AS-58118', 'HY-107819', 'CS-0030696', 'Q27159255', '1814DD66-70FE-4610-86FB-FA8455101768', 'Cholestanol, United States Pharmacopeia (USP) Reference Standard', 'Cholestanol solution, certified reference material, 10 mg/mL in chloroform', '(3S,5S,8R,9S,10S,13R,14S,17R)-17-((R)-1,5-dimethylhexyl)-10,13-dimethylhexadecahydrocyclopenta[a]phenanthren-3-ol', 'Cholestan-3-ol, (3.beta.,5.alpha.)-;5-a-cholestan-3-ss-ol;Cholestanol;5-?-cholestan-3-?-ol']</t>
  </si>
  <si>
    <t>Compound(6665)</t>
  </si>
  <si>
    <t>C27H48O</t>
  </si>
  <si>
    <t>2,6-dimethyloct-7-en-2-ol</t>
  </si>
  <si>
    <t>['Dihydromyrcenol', '2,6-Dimethyl-7-octen-2-ol', '18479-58-8', '2,6-Dimethyloct-7-en-2-ol', '7-OCTEN-2-OL, 2,6-DIMETHYL-', '1,1,5-trimethyl-6-heptenol', 'BRN 1840872', 'EINECS 242-362-4', 'EINECS 246-787-6', 'CHEBI:87528', '(1)-2,6-Dimethyloct-7-en-2-ol', 'DSSTox_CID_9317', 'W-107790', 'Dihydromyrcenol, 99%', 'Dihydromyrcenol, &gt;=99%', 'Myrcenol, 6,10-dihydro', 'EC 242-362-4', 'DSSTox_RID_78761', 'DSSTox_RID_79776', 'DSSTox_GSID_29317', 'DSSTox_GSID_41557', 'SCHEMBL29192', '2.6-dimethyl-7-octene-2-ol', '3,7-Dimethyl-1-octen-7-ol', 'CHEMBL3184487', 'DTXSID8029317', '2,6-Dimethyl-oct-7-en-2-ol', '2,6-Dimethyloct-7-en-2-ol.', 'CTK5J3245', 'Dihydromyrcenol, analytical standard', 'Tox21_200132', 'Tox21_302391', 'AKOS015903381', '(+/-)-2,6-dimethyloct-7-en-2-ol', 'NCGC00248536-01', 'NCGC00255603-01', 'NCGC00257686-01', '25279-08-7', 'AS-56700', 'CC-26821', 'LS-98117', 'CAS-18479-58-8', 'CAS-53219-21-9', 'FT-0624964', 'FT-0640140', 'A812889', 'C-33851', 'Q4465009', '2,6-Dimethyl-7-Octen-2-Ol;2,6-dimethyloct-7-en-2-ol;7-Octen-2-ol, 2,6-dimethyl-;2,6-DIMETHYL-7-OCTEN-2-OL;2,6-Dimethyloct-7-en-2-ol;(+/-)-2,6-dimethyloct-7-en-2-ol']</t>
  </si>
  <si>
    <t>Compound(29096)</t>
  </si>
  <si>
    <t>5-propyl-1,3-benzodioxole</t>
  </si>
  <si>
    <t>['Dihydrosafrole', '5-Propyl-1,3-benzodioxole', '94-58-6', 'Dihydrosafrol', '1,3-Benzodioxole, 5-propyl-', 'Safrole, dihydro-', "2',3'-Dihydrosafrole", '5-Propylbenzo[d][1,3]dioxole', 'RCRA waste number U090', 'NSC 27867', 'UNII-2ML63PLH7G', '1,2-(METHYLENEDIOXY)-4-PROPYLBENZENE', 'CCRIS 244', 'HSDB 2939', '4-Propyl-1,2-methylenedioxybenzene', 'EINECS 202-344-9', 'RCRA waste no. U090', 'BRN 0131188', '2ML63PLH7G', 'AI3-03435', 'Dihydroisosafrole', '5-propyl-2H-1,3-benzodioxole', '1-(3,4-Methylenedioxyphenyl)propane', '4-Propyl-1,2-(methylenedioxy)benzene', 'Benzene, 1,2-methylenedioxy-4-propyl-', '[1,2-(Methylenedioxy)-4-propyl]benzene', '1, 5-propyl-', 'Benzene, 1,2-(methylenedioxy)-4-propyl-', 'W-100191', 'WLN: T56 BO DO CHJ G3', 'Benzene,2-(methylenedioxy)-4-propyl-', 'EC 202-344-9', '1,3-Benzodioxole-5-propyl', '5-19-01-00473 (Beilstein Handbook Reference)', '1,3-Benzodioxole,5-propyl-', 'SCHEMBL429483', 'DTXSID7020475', '3,4-methylene-dioxyphenylpropane', '3,4-Methylenedioxy phenylpropane', 'CHEBI:82319', 'CTK5H6839', 'NSC27867', 'NSC33707', 'ZINC1641645', '1,2-Methylenedioxy-4-propyl benzene', 'FCH837629', 'NSC-27867', 'NSC-33707', 'AKOS000276810', 'LS-7337', 'Dihydrosafrol 10 microg/mL in Methanol', '2-(3,4-methylenedioxyphenyl)ethyl methane', 'AX8125073', 'NS00009114', 'C19229', 'Q27155872']</t>
  </si>
  <si>
    <t>Compound(7197)</t>
  </si>
  <si>
    <t>C10H12O2</t>
  </si>
  <si>
    <t>Diatome</t>
  </si>
  <si>
    <t>Density (specific mass)</t>
  </si>
  <si>
    <t>Depth</t>
  </si>
  <si>
    <t>diethoxy-hydroxy-sulfanylidene-lambda5-phosphane</t>
  </si>
  <si>
    <t>['DETP', 'Diethylthiophosphoric acid', 'O,O-Diethyl hydrogen phosphorothioate', 'O,O-Diethyl phosphorothionate', 'diethylthiophosphate', 'O,O-DIETHYL HYDROGEN THIOPHOSPHATE', 'O,O-Diethyl thiophosphate', '2465-65-8', 'Diethyl hydrogen phosphorothionate', 'UNII-FND2ADQ374', 'O, O-Diethyl thiophosphate', 'Phosphorothioic acid, O,O-diethyl ester', 'FND2ADQ374', 'CHEBI:28006', 'diethoxy(sulfanylidene)phosphinous acid', 'diethyl thiophosphate', 'DEPTh', 'DETP (ester)', 'Diethyl phosphothionate', 'Diethyl phosphorothionate', 'O,O-Diethyl phosphorothiolate', 'DPJ', 'Diethylthiophosphorate', 'Ethyl phosphorothioate ((EtO)2(HS)PO)', 'diethyl phos-phorothioate', 'Thiophosphoric acid diethyl', 'SCHEMBL466088', 'CHEMBL1232328', 'DTXSID9052844', 'ZINC1565280', 'NSC289403', 'NSC289404', 'NSC289407', 'NSC289411', 'AKOS006278530', 'DB07674', 'NSC-289403', 'NSC-289404', 'NSC-289407', 'NSC-289411', 'NS00014896', 'C06607', 'O,O-DIETHYL S-HYDROGEN PHOSPHOROTHIOATE', 'Q26840832', '4486-42-4']</t>
  </si>
  <si>
    <t>Compound(655)</t>
  </si>
  <si>
    <t>C4H11O3PS</t>
  </si>
  <si>
    <t>Animal track</t>
  </si>
  <si>
    <t>dipotassium endothall</t>
  </si>
  <si>
    <t>dipotassium;7-oxabicyclo[2.2.1]heptane-2,3-dicarboxylate</t>
  </si>
  <si>
    <t>['Endothal-potassium', 'Endothal-dipotassium', 'Aquathol', 'Dipotassium endothall', '2164-07-0', 'Caswell No. 625B', 'Endothall dipotassium salt', 'Endothal-dipotassium [ISO]', '7-Endothall, dipotassium salt', 'HSDB 7311', 'EINECS 218-498-5', 'EPA Pesticide Chemical Code 038904', '7-Oxabicyclo(2.2.1)heptane-2,3-dicarboxylic acid, dipotassium salt', 'SCHEMBL5933997', '7-Oxabicyclo[2.2.1]heptane-2,3-dicarboxylic acid, potassium salt (1:2)', 'DTXSID0034568', 'LS-98733']</t>
  </si>
  <si>
    <t>Compound(62431)</t>
  </si>
  <si>
    <t>C8H8K2O5</t>
  </si>
  <si>
    <t>1-(dimethylsulfamoylamino)-4-methylbenzene</t>
  </si>
  <si>
    <t>["N,N-Dimethyl-N'-p-tolylsulphamide", '66840-71-9', 'DMST solution', 'DMST', 'UNII-IOS7W692N5', '1-(dimethylsulfamoylamino)-4-methylbenzene', "N,N-dimethyl-N'-(4-methylphenyl)sulfamide", 'IOS7W692N5', 'CHEBI:83470', "N,N-dimethyl-N'-(4-methylphenyl)sulfuric diamide", "N,N-Dimethyl-N'-tolylsulfonyldiamide", 'F1196-0085', 'EINECS 266-491-0', 'Maybridge3_004003', 'dimethyl-n-p-tolylsulfamide', 'DMST (II)', 'Cambridge id 6182799', 'MLS000067488', 'SCHEMBL3467606', 'CHEMBL1458342', 'CTK8F9320', 'DTXSID00891450', "N,N-dimethyl-N'-p-tolylsulfamide", 'HMS1442F21', 'HMS2185F21', 'ZINC171167', 'CCG-45644', 'STK036039', 'DMST 100 microg/mL in Acetonitrile', 'Tolylfluanid DMST (AE F033672)', 'AKOS000646866', 'MCULE-5899538359', 'IDI1_015390', 'dimethyl[(4-methylphenyl)sulfamoyl]amine', 'NCGC00245332-01', 'SMR000125003', '1-(dimethylsulfamoylamino)-4-methyl-benzene', "DMST (N.N-Dimethyl-N'-p-tolylsulphamide)", 'FT-0706683', 'NS00000288', 'ST50263450', '[(dimethylamino)sulfonyl](4-methylphenyl)amine', "DMST / N,N-Dimethyl-N'-p-tolylsulfonyldiamide", "Sulfamide, N,N-dimethyl-N'-(4-methylphenyl)-", 'AP-124/10330009', "N,N-dimethyl-N'-(4-methylphenyl)-sulfamide (DMST)", "N,N-Dimethyl-N'-(4-methylphenyl)sulfamide (DMST)", 'SR-01000635398-1', 'W-111276', 'Q27156853', 'Z57744695', 'DMST solution, 100 ng/muL in acetonitrile, PESTANAL(R), analytical standard']</t>
  </si>
  <si>
    <t>Compound(738302)</t>
  </si>
  <si>
    <t>C9H14N2O2S</t>
  </si>
  <si>
    <t>2-methyl-4,6-dinitrophenol</t>
  </si>
  <si>
    <t>['2-Methyl-4,6-dinitrophenol', '4,6-DINITRO-O-CRESOL', 'DNOC', '534-52-1', 'Antinonnin', 'Sinox', 'Dinitrocresol', 'Winterwash', 'Antinonin', 'Arborol', 'Capsine', 'Degrassan', 'Dekrysil', 'Dinitro', 'Dinitrol', 'Dinurania', 'Ditrosol', 'Effusan', 'Elgetol', 'Hedolit', 'Hedolite', 'Kresamone', 'Nitrador', 'Nitrofan', 'Prokarbol', 'Raphatox', 'Sandolin', 'Selinon', 'Trifocide', 'Detal', 'Dillex', 'Dinoc', 'Elipol', 'Extrar', 'Lipan', 'Rafex', 'Dinitrodendtroxal', '2,4-Dinitro-6-methylphenol', '6-Methyl-2,4-dinitrophenol', 'Sandolin A', '2-methyl-4,6-dinitro-phenol', '3,5-Dinitro-2-hydroxytoluene', 'Krezotol 50', 'Elgetol 30', 'Trifrina', 'Dnok', 'Kresonite-E', 'Rafex 35', 'Dn-dry mix no. 2', 'Effusan 3436', 'Chemsect DNOC', 'Dwunitro-o-krezol', '2,4-Dinitro-o-cresol', 'K III', 'K IV', '4,6-Dinitrokresol', 'Kreozan', 'Oranz viktoria', 'Flavin-Samdoz', 'Le dinitrocresol-4,6', 'Zahlreiche bezeichnungen', '4,6-Dinitro-o-kresol', '4,6-Dinitro-o-cresolo', 'Rcra waste number P047', 'Phenol, 2-methyl-4,6-dinitro-', 'Neudorff DN 50', 'o-Cresol, 4,6-dinitro-', 'DNOK [Czech]', 'Caswell No. 390', 'Oranz viktoria [Czech]', 'ENT 154', 'Dinitro-o-cresol (VAN)', 'DNOC [BSI:ISO]', 'Dwunitro-o-krezol [Polish]', '4,6-Dinitrokresol [Dutch]', 'DNOC (pesticide)', 'o-Cresol, 4,6,-dinitro-', 'Dinitro-ortho-cresol', 'UNII-1604ZJR09T', 'CCRIS 6822', '4,6-Dinitro-o-kresol [Czech]', 'LE dinitrocresol-4,6 [French]', 'HSDB 1596', 'Zahlreiche bezeichnungen [German]', '4,6-Dinitro-o-cresolo [Italian]', 'C.I. 10310', 'Dinitro-o-cresol, solid', 'Toluene, 3,5-dinitro-2-hydroxy-', 'NSC 2082', 'EINECS 208-601-1', 'UN1598', 'Dinitro-o-cresol, solution', 'RCRA waste no. P047', 'EPA Pesticide Chemical Code 037507', 'BRN 2054389', 'AI3-00154', 'AI3-01567', 'CHEBI:39349', '1604ZJR09T', '4,6-Dinitro-o-cresol, and salts', 'NCGC00091775-03', 'Phenol, 2-methyl-4,6-dinitro-, and salts', 'DSSTox_CID_2053', 'DSSTox_RID_76471', 'DSSTox_GSID_22053', 'DNOC (2-Methyl-4,6-dinitrophenol)', 'CAS-534-52-1', 'Dinitrosol', '4,6-Dinitro-2-methylphenol', 'Elgetox', 'Detol', 'Dinok', 'Dinitro Cresol', 'Flavin-Sandoz', '4,6-Dinitrocresol', 'o-Cresol,6-dinitro-', 'EC 208-601-1', 'NCIOpen2_004211', 'SCHEMBL20734', 'Dinitromethyl cyclohexyltrienol', 'WLN: WNR BQ C1 ENW', '4,6-DNOC', 'CHEMBL419564', 'DTXSID1022053', 'DNOC (2,4-Dinitro-o-kresol)', 'DNOC (4.6-dinitro-o-cresol)', 'DNOC / 2,4-Dinitro-o-kresol', 'NSC2082', 'DNOC 100 microg/mL in Methanol', 'Phenol, 2-methyl, 4,6-dinitro-', 'Phenol, 2-methyl-4,6-dinitro-,', 'NSC-2082', 'DNOC 10 microg/mL in Acetonitrile', 'Tox21_300327', 'Tox21_400068', 'BBL005491', 'SBB057255', 'STK295371', 'ZINC12405045', 'AKOS000120494', 'LS-2150', 'MCULE-2404871763', 'NCGC00091775-01', 'NCGC00091775-02', 'NCGC00091775-04', 'NCGC00091775-05', 'NCGC00254265-01', 'AC-13097', 'DNOC, PESTANAL(R), analytical standard', 'U119', 'BB 0244855', 'D0828', 'FT-0617271', 'H2773', 'ST50308330', 'Dinitro-o-cresol, solid [UN1598] [Poison]', 'C18653', 'Dinitro-o-cresol, solid [UN1598]  [Poison]', '2-Methyl-4,6-dinitrophenol, analytical standard', '33149-EP2275422A1', '33149-EP2305655A2', '33149-EP2311815A1', '33149-EP2371823A1', 'Dinitro-o-cresol, solution [UN1598] [Poison]', 'A829601', 'Dinitro-o-cresol, solution [UN1598]  [Poison]', 'Q209437', 'W-105735', '2-Methyl-4,6-dinitrophenol 1000 microg/mL in Methanol']</t>
  </si>
  <si>
    <t>Compound(10800)</t>
  </si>
  <si>
    <t>C7H6N2O5</t>
  </si>
  <si>
    <t>disodium cyanodithioimidocarbonate</t>
  </si>
  <si>
    <t>disodium;cyanoiminomethanedithiolate</t>
  </si>
  <si>
    <t>['Disodium cyanodithioimidocarbonate', 'Busanat 586', '138-93-2', 'Caswell No. 402A', 'Disodium cyanodithioimidocarbamate', 'UNII-5RZ472939T', 'HSDB 6946', 'Carbamodithioic acid, cyano-, disodium salt', 'EINECS 205-346-8', 'EPA Pesticide Chemical Code 063301', 'Cyanodithioimidocarbonic acid disodium salt', 'DISODIUM CYANODITHIOCARBAMATE', 'Disodium cyanodithioamideocarbonate', 'Imidocarbonic acid, cyanodithio-, disodium salt', '5RZ472939T', 'SCHEMBL1532413', 'DTXSID6034423', 'CTK4C1464', 'AKOS004123015', 'LS-2701', 'Sodiocyanodithiocarbamic acid sodium salt', 'FT-0667713', 'Carbamodithioic acid,N-cyano-, sodium salt (1:2)', 'Q27262791']</t>
  </si>
  <si>
    <t>Compound(61088)</t>
  </si>
  <si>
    <t>C2N2Na2S2</t>
  </si>
  <si>
    <t>dimethyldioctadecylammonium chloride</t>
  </si>
  <si>
    <t>dimethyl(dioctadecyl)azanium;chloride</t>
  </si>
  <si>
    <t>['107-64-2', 'DIMETHYLDIOCTADECYLAMMONIUM CHLORIDE', 'Dimethyldistearylammonium chloride', 'N,N-dimethyl-N-octadecyloctadecan-1-aminium chloride', 'Talofloc', 'Distearyldimonium chloride', 'Cation DS', 'Varisoft 100', 'Aliquat 207', 'Dioctadecyl dimethyl ammonium chloride', 'Distearyldimethylammonium chloride', 'Arquad R 40', 'Arosurf TA 100', 'Dioctadecyldimethylammonium chloride', 'Dehyquart DAM', 'Quaternium 5', 'Quaternium-5', 'Surfroyal DSAC', 'Genamin DSAC', 'Quartamin D 86', 'Cedequat TD 75', '1-Octadecanaminium, N,N-dimethyl-N-octadecyl-, chloride', 'Quartamin DM 86P', 'DODAC', 'Varisoft TA 100', 'Sokalan 9200', 'Adogen TA 100', 'DODA(Cl)', 'Kemamine Q 9702CLP', 'Ammonyx 2200P100', 'Arquad 218-100P', 'KD 83', 'Arquad 218-100', 'Distearyl dimethyl ammonium chloride', 'UNII-OM9573ZX3X', 'Dimethyl dioctadecyl ammonium chloride', 'HSDB 5380', 'Q-D 86P', 'Dimethyl distearylammonium chloride', 'Distearyl dimethylammonium chloride', 'EINECS 203-508-2', 'NSC 61374', 'Di-n-octadecyldimethylammonium chloride', 'CA 3475', 'Ammonium, dimethyldioctadecyl-, chloride', 'OM9573ZX3X', 'N,N-Dioctadecyl-N,N-dimethylammonium chloride', 'N,N-Dimethyl-N-octadecyl-1-octadecanaminium chloride', 'AK114149', 'W-108740', '1-Octadecanaminium, N,N-dimethyl-N-octadecyl-, chloride (1:1)', 'C38H80N.Cl', 'Arosurf TA-100', 'ACMC-1BX8I', 'C38H80ClN', 'SCHEMBL24409', 'N,N-dimethylammonium chloride', 'KSC491C0B', 'DTXSID8026771', 'CTK3J1100', 'KS-00000WAK', 'dioctadecyldimethylammoniumchloride', 'NSC61374', 'ANW-15834', 'NSC-61374', 'AKOS015833170', 'LS-17711', 'DS-002685', 'D1630', 'FT-0629553', 'V0587', 'Di-n-alkyldimethylammonium Chloride (mixture)', 'Q5277336', '1-Octadecanaminium,N-dimethyl-N-octadecyl-, chloride', 'Dimethyldioctadecylammonium chloride, &gt;=97.0% (AT)', 'UNII-9R9SEN53W6 component REZZEXDLIUJMMS-UHFFFAOYSA-M', 'UNII-O7757NO1VL component REZZEXDLIUJMMS-UHFFFAOYSA-M', 'UNII-W0375C05H9 component REZZEXDLIUJMMS-UHFFFAOYSA-M', '76723-98-3']</t>
  </si>
  <si>
    <t>Compound(7879)</t>
  </si>
  <si>
    <t>C38H80ClN</t>
  </si>
  <si>
    <t>dioctyldimethylammonium chloride</t>
  </si>
  <si>
    <t>dimethyl(dioctyl)azanium;chloride</t>
  </si>
  <si>
    <t>['5538-94-3', 'Dimethyldioctylammonium chloride', 'N,N-Dimethyl-N-octyloctan-1-aminium chloride', 'Bisoctyl dimethyl ammonium chloride', 'Dioctyldimonium chloride', 'Dioctyldimethylammonium chloride', 'Querton 28CL', 'Dioctyl dimethyl ammonium chloride', '1-Octanaminium, N,N-dimethyl-N-octyl-, chloride', 'Dodigen 2617', 'Caswell No. 392H', 'UNII-0X0RL40Y6H', 'Dimethyl dioctyl ammonium chloride', 'HOE-S 2617', 'EINECS 226-901-0', 'EPA Pesticide Chemical Code 069166', 'RC 5626', '0X0RL40Y6H', '1-Octanaminium, N,N-dimethyl-N-octyl-, chloride (1:1)', 'N,N-Dimethyl-N-octyl-1-octanaminium chloride', 'DSSTox_CID_15491', 'DSSTox_RID_79260', 'DSSTox_GSID_35491', 'CAS-5538-94-3', 'NCGC00182056-02', 'NCGC00182056-03', 'dimethyl(dioctyl)azanium;chloride', 'Ammonium, dimethyldioctyl-, chloride', 'C18H40ClN', 'SCHEMBL33353', 'KSC494A8P', 'dioctyldimethyl ammonium chloride', 'CHEMBL2357351', 'DTXSID6035491', 'CTK3J4087', 'Disoctyl Dimethyl Ammonium Chloride', 'Tox21_112930', 'Tox21_113024', 'AC-129', 'AKOS015901426', 'DA-17490', 'LS-97840', 'SC-15757', 'Ammonium, dimethyldioctyl-, chloride (8CI)', 'FT-0660874', 'V0583', 'W-110045', 'Q27231207', 'UNII-9R9SEN53W6 component FARBQUXLIQOIDY-UHFFFAOYSA-M']</t>
  </si>
  <si>
    <t>Compound(62581)</t>
  </si>
  <si>
    <t>C18H40ClN</t>
  </si>
  <si>
    <t>trifluoro-3- (hexafluoro-3- ( trifluoromethoxy) propoxy) propanoic acid</t>
  </si>
  <si>
    <t>2,2,3-trifluoro-3-[1,1,2,2,3,3-hexafluoro-3-(trifluoromethoxy)propoxy]propanoic acid</t>
  </si>
  <si>
    <t>['4,8-Dioxa-3H-perfluorononanoic acid', '919005-14-4', 'Propanoic acid, 2,2,3-trifluoro-3-[1,1,2,2,3,3-hexafluoro-3-(trifluoromethoxy)propoxy]-', 'SCHEMBL1681505', 'DTXSID40881350', '4,8-dioxa-3H-perfluorooctanoic acid', 'HOOC-CF2-CHF-O-(CF2)3-O-CF3', 'NS00011374', '2,2,3-Trifluoro-3-(1,1,2,2,3,3-hexafluoro-3-(trifluoromethoxy)propoxy)propanoic acid', '2,2,3-Trifluoro-3-(1,1,2,2,3,3-hexafluoro-3-trifluoromethoxy-propoxy)-propionic acid', '3H-perfluoro-3-((3-methoxy-propoxy)propanoic acid) ammonium salt / CF3OCF2CF2CF2OCHFCF2COONH4', 'ADO3H-Perfluoro-3-[(3-methoxy-propoxy)propanoic acid], ammonium salt;2,2,3-trifluoro-3-[1,1,2,2,3,3-hexafluoro-3-(trifluoromethoxy)propoxy]propanoic acid']</t>
  </si>
  <si>
    <t>Compound(52915299)</t>
  </si>
  <si>
    <t>C7H2F12O4</t>
  </si>
  <si>
    <t>Cause of death</t>
  </si>
  <si>
    <t>Flow height</t>
  </si>
  <si>
    <t>Dosing factor</t>
  </si>
  <si>
    <t>[2-(1,3-dioxolan-2-yl)phenyl] N-methylcarbamate</t>
  </si>
  <si>
    <t>['DIOXACARB', 'Dioxacarbe', 'Dioxocarb', 'Rovlinka', 'Elocron', 'Famid', 'Elocron 50WP', 'MCDP', 'Elocron 8353', '6988-21-2', 'Du Pont 1519', 'Ciba 8353', 'Dioxokarb [Polish]', 'Ciba C 8353', 'Du Pont insecticide 1519', 'Caswell No. 393A', 'Dioxacarbe [ISO-French]', 'Phenol, 2-(1,3-dioxolan-2-yl)-, methylcarbamate', 'Dioxacarb [ANSI:BSI:ISO]', 'ENT 27,389', 'NSC 190981', 'UNII-698BEK3133', '2-(1,3-Dioxolan-2-yl)phenyl methylcarbamate', 'o-(1,3-Dioxolan-2-yl)phenyl methylcarbamate', 'EINECS 230-253-4', 'C-8353', 'EPA Pesticide Chemical Code 392100', 'BRN 1348191', 'AI3-27389', 'Carbamic acid, methyl-, o-(1,3-dioxolan-2-yl)phenyl ester', '2-(1,3-Dioxolan-2-yl)phenol methylcarbamate', 'CHEBI:82093', '2-(1,3-Dioxolan-2-yl)phenyl-N-methylcarbamat', 'C 8353', '698BEK3133', '2-(1,3-Dioxolan-2-yl)phenyl-N-methylcarbamat [German]', 'Carbamic acid, methyl-, o-1,3-dioxolan-2-ylphenyl ester', 'Dioxokarb', 'Elecron 50', 'DSSTox_CID_21886', 'DSSTox_RID_79866', 'DSSTox_GSID_41886', '[2-(1,3-dioxolan-2-yl)phenyl] N-methylcarbamate', '5-19-02-00547 (Beilstein Handbook Reference)', 'SCHEMBL119641', 'CHEMBL3188645', 'DTXSID2041886', 'ZINC2029696', 'Tox21_302420', 'AKOS015902513', 'NCGC00255496-01', 'LS-50164', 'CAS-6988-21-2', 'FT-0667620', 'NS00009374', 'O-(1,3-dioxalan-2-yl)phenyl methylcarbamate', '2-(1,3-Dioxolan-2-yl)phenyl methylcarbamate #', '2-(1,3-dioxolan-2-yl)phenyl N-methylcarbamate', '2-(1,3-Dioxolane-2-yl)phenyl N-methylcarbamate', '2-(1,3-dioxolan-2-yl)-phenyl N-methyl-carbamate', 'Q22807435', 'Pesticide3_Dioxacarb_C11H13NO4_Phenol, 2-(1,3-dioxolan-2-yl)-, methylcarbamate']</t>
  </si>
  <si>
    <t>Compound(23421)</t>
  </si>
  <si>
    <t>C11H13NO4</t>
  </si>
  <si>
    <t>dioxabenzophos</t>
  </si>
  <si>
    <t>2-methoxy-2-sulfanylidene-4H-1,3,2lambda5-benzodioxaphosphinine</t>
  </si>
  <si>
    <t>['Salithion', 'Dioxabenzofos', '3811-49-2', 'Salithion-sumitomo', 'Fenphosphorin', 'Dioxabenzofos [BSI:ISO]', '4H-1,3,2-Benzodioxaphosphorin, 2-methoxy-, 2-sulfide', 'CCRIS 9111', 'EINECS 223-292-3', 'BRN 1875270', '2-Methoxy-4H-1,2,3-benzodioxaphosphorine-2-sulfide', '2-Methoxy-4H-1,3,2-benzodioxaphosphorin 2-sulphide', 'AI3-27204', 'CHEBI:82120', 'Phosphorothioic acid, cyclic O,O-(methylene-o-phenylene) O-methyl ester', '2-Methoxy-4H-benzo-1,3,2-dioxaphosphorin 2-sulphide', 'K-9', '4H-(1.3.2)Benzodioxaphosphorine, 2-methoxy-, 2-sulfide', 'Dioxabenzophos', '2-Methoxy-4H-1,3,2-lambda-5-benzodioxaphosphinine 2-sulfide', '2-Methoxy-4H-1,3,2-lambda-5-benzodioxaphosphinine 2-sulphide', '2-methoxy-4H-1,3,2-benzodioxaphosphorin-2-sulfide', '(R)-Salithion', '(S)-Salithion', '(R)-(+)-Salithion', '2-methoxy-2-sulfanylidene-4H-1,3,2?^{5}-benzodioxaphosphinine', '(+)-Salithion', '(-)-Salithion', 'SCHEMBL83406', '2-Methoxy-4H-1,3,2-benzodioxaphosphorin 2-sulfide', 'CHEMBL226967', 'DTXSID7041885', 'OUNSASXJZHBGAI-UHFFFAOYSA-', '2-Methoxy-4H-1,3,2-benzodioxaphosphorin 2-sulfide (9CI)', 'Cyclic O,O-(methylene-o-phenylene) phosporothioate O-methyl ester (8CI)', 'Saligenin cyclic methyl phosphorothionate', '90293-10-0', '90293-16-6', 'LS-34503', 'Dioxabenzofos 10 microg/mL in Cyclohexane', 'NS00022125', 'C18981', '26863-EP2274983A1', '26863-EP2280009A1', '26863-EP2292608A1', '26863-EP2308858A1', '26863-EP2311816A1', '26863-EP2311817A1', '26863-EP2314583A1', 'Dioxabenzofos, PESTANAL(R), analytical standard', '2-Methoxy-4H-1,3,2-benzodioxaphosphorin-2-thione', 'Q27155757', '2-Methoxy-4H-1,3,2-benzodioxaphosphinine 2-sulfide #', 'o-methyl cyclic o,o-(methylene-o-phenylene)phosphorothioate', 'UNII-6ZWK96BZW6 component OUNSASXJZHBGAI-LBPRGKRZSA-N', '4H-1,3,2-Benzodioxaphosphorin, 2-methoxy-, 2-sulfide, (R)-', '4H-1,3,2-Benzodioxaphosphorin, 2-methoxy-, 2-sulfide, (S)-', 'Cyclic O,O-(methylene-o-phenylene) phosporothioate O-methyl ester', '8-methoxy-8-sulfanylidene-7,9-dioxa-8$l^{5}-phosphabicyclo[4.4.0]deca-1,3,5-trie', 'Phosphorothioic acid, O-methyl ester, cyclic O,O-ester with o-hydroxybenzyl alcohol']</t>
  </si>
  <si>
    <t>Compound(19657)</t>
  </si>
  <si>
    <t>C8H9O3PS</t>
  </si>
  <si>
    <t>(3-diethoxyphosphinothioylsulfanyl-1,4-dioxan-2-yl)sulfanyl-diethoxy-sulfanylidene-lambda5-phosphane</t>
  </si>
  <si>
    <t>['DIOXATHION', 'Dioxation', 'Navadel', 'Deltic', '78-34-2', 'Dioxane phosphate', 'Delnatex', 'Delnav', 'Kavadel', 'Hercules ac528', 'Hercules 528', 'Delanov', 'Co-Nav', 'Caswell No. 393', 'Dioxationum [INN-Latin]', 'NCI-C00395', 'UNII-J2DF82JA7N', 'AC 528', 'CCRIS 270', 'ENT 22,897', 'HSDB 1599', 'p-Dioxane-2,3-diyl ethyl phosphorodithioate', "Phosphorodithioic acid, S,S'-1,4-dioxane-2,3-diyl O,O,O',O'-tetraethyl ester", 'EINECS 201-107-7', '2,3-Bis(diethoxyphosphinothioylthio)-1,4-dioxane', 'EPA Pesticide Chemical Code 037801', 'J2DF82JA7N', 'Dioxathion [ANSI:BSI:ISO]', 'AI3-22897', '1,4-Dioxan-2,3-diyl bis(O,O-diethyl phosphorothiolothionate)', '2,3-p-Dioxandithiol S,S-bis(O,O-diethyl phosphorodithioate)', '2,3-p-Dioxanedithiol S,S-bis(O,O-diethyl phosphorodithioate)', 'CHEBI:81364', 'p-Dioxane-2,3-dithiol, S,S-diester with O,O-diethyl phosphorodithioate', "Phosphorodithioic acid, S,S'-p-dioxane-2,3-diyl O,O,O',O'-tetraethyl ester", '1,4-Diossan-2,3-diyl-bis(O,O-dietil-ditiofosfato)', "2,3-P-Dioxan-S,S'-bis(O,O-diaethyldithiophosphat)", 'AC-528', '1,4-Dioxaan-2,3-diyl-bis(O,O-diethyl-dithiofosfaat)', '1,4-Dioxan-2,3-diyl-bis(O,O-diaethyl-dithiophosphat)', '1,4-Dioxan-2,3-diyl bis(O,O-diethylphosphorothiolothionate)', '1,4-Dioxan-2,3-diyl S,S-di(O,O-diethyl phosphorodithioate)', "2,3-P-Dioxan-S,S'-bis(O,O-diaethyldithiophosphat) [German]", '1,4-Diossan-2,3-diil-bis(O,O-dietil-ditiofosfato) [Italian]', '1,4-Diossan-2,3-diyl-bis(O,O-dietil-ditiofosfato) [Italian]', '1,4-Dioxaan-2,3-diyl-bis(O,O-diethyl-dithiofosfaat) [Dutch]', '1,4-Dioxan-2,3-diyl-bis(O,O-diaethyl-dithiophosphat) [German]', "1,4-Dioxan-2,3-diyl O,O,O',O'-tetraethyl di(phosphorodithioate)", "Bis(dithiophosphate de O,O-diethyle) de S,S'-(1,4-dioxanne-2,3-diyle)", "S,S'-(1,4-Dioxane-2,3-diyl) O,O,O',O'-tetraethyl bis(phosphorodithioate)", "S,S'-(1,4-Dioxane-2,3-diyl) O,O,O',O'-tetraethyl di(phosphorodithioate)", "Bis(dithiophosphate de O,O-diethyle) de S,S'-(1,4-dioxanne-2,3-diyle) [French]", "A mixture consisting essentially of cis- and trans-S,S'-5,5'-p-dioxane-2,3-diyl bis(O,O-diethyl phosphorodithioate)", '2,3-p-Dioxane S,S-bis(O,O-diethylphosphorodithioate)', 'Dioxationum', 'Dioxothion', "S,S'-(p-Dioxane-2,3-diyl)bis(O,O-diethylphosphorodithioate)", "1,4-Dioxan-2,3-diyl O,O,O',O'-tetraethyl di(phosphoromithioate)", "S,S'-1,4-dioxane-2,3-diyl O,O,O',O'-tetraethyl bis(dithiophosphate)", 'Dioxation [INN]', 'Dioxation [INN:BAN]', 'Delnav(R)', 'Cooper Del-Tox Delnav', 'Calcium arsenate (as As)', 'SCHEMBL15999', '1,4-Diossan-2,3-diil-bis(O,O-dietil-ditiofosfato)', 'CHEMBL2106286', 'DTXSID9020534', "S,S'-1,4-Dioxane-2,3-diyl O,O,O',O'-tetraethyl bis(phosphorodithioate)", 'ENT 22897', "S,S'-p-Dioxane-2,3-diyl bis(O,O-diethyl phosphorodithioate) (8CI)", "S,S'-1,4-Dioxane-2,3-diyl bis(O,O-diethyl phosphorodithioate) (9CI)", 'LS-1744', 'CC-27083', 'DB-056303', 'NS00003530', 'p-dioxane-2,3-d iyl ethyl phosphorodithioate', 'C17877', 'C-22552', 'Q2779034', "2,3-p-Dioxane S,S'-bis(O,O-diethyl phosphorodithioate)", '1,4-Dioxan-2,3-diyl bis(O,O-diethyl phosphorodithioate)', '1,4-Dioxanedithiol S,S-bis(O,O-diethyl phosphorodithioate)', '1,4-Dioxan-2,3-diyl-bis(O,O-diethyl phosphorothiolothionate)', "1,4-Dioxane-2,3-diyl O,O,O',O'-tetraethyl phosphorodithioate", '2, 3-p-dioxanedithiol S,S-bis(O,O-diethyl phosphorodithioate)', "S,S'-p-Dioxane-2,3-diyl bis(O,O-diethyl phosphorodithioate)", "S,S'-1,4-Dioxane-2,3-diyl bis(O,O-diethyl phosphorodithioate)", "S,S'-1,4-dioxane-2,3-diyl O,O,O',O'-tetraethyl phosphorodithioate", '1,4-Dioxane-2,3-dithiol, S,S-diester with O,O-diethyl phosphorodithioate', 'p-dioxane-2,3-dithiol, S,S-diester with O,O-diethyl phoshorodithioate', "phosphorodithioic acid S,S'-p-dioxane-2,3-diyl O,O,O',O'-tetraethyl ester", "S,S'-1,4-Dioxane-2,3-diyl O,O,o',o'-tetraethyl bis(dithiophosphate) #", "S,S'-1,4-dioxane-2,3-diyl O,O,O',O'-tetraethyl diphosphorodithioate", "S,S'-1,4-dioxane-2,3-diyl O,O,O',O'-tetraethyl phosph orodithioate", "Phosphorod ithioic acid S,S'-1,4-dioxane-2,3-diyl O,O,O',O'-tetraethyl ester", "Phosphorodithioic acid S,S'-1,4-dioxane-2,3-diyl O,O,O',O'-tetraethyl ester", '(3-diethoxyphosphinothioylsulfanyl-1,4-dioxan-2-yl)sulfanyl-diethoxy-sulfanylidene-?^{5}-phosphane', '(3-diethoxyphosphinothioylsulfanyl-1,4-dioxan-2-yl)sulfanyl-diethoxy-sulfanylidene-phosphorane']</t>
  </si>
  <si>
    <t>Compound(6531)</t>
  </si>
  <si>
    <t>C12H26O6P2S4</t>
  </si>
  <si>
    <t>1,1,2,3,3-pentamethyl-2,5,6,7-tetrahydroinden-4-one</t>
  </si>
  <si>
    <t>['Cashmeran', '33704-61-9', '1,2,3,5,6,7-Hexahydro-1,1,2,3,3-pentamethyl-4H-inden-4-one', 'Casmierone', '4H-Inden-4-one, 1,2,3,5,6,7-hexahydro-1,1,2,3,3-pentamethyl-', '1,1,2,3,3-Pentamethyl-2,3,6,7-tetrahydro-1H-inden-4(5H)-one', '6,7-Dihydro-1,1,2,3,3-pentamethyl-4(5H)-indanone', '1,1,2,3,3-pentamethyl-2,5,6,7-tetrahydroinden-4-one', 'dihydro pentamethylindanone', 'EINECS 251-649-3', 'DTXSID8047399', 'Dihydro-1,1,2,3,3-pentamethyl-4(5H)-indanone', 'Musk indanone', '(+-)-Cashmeran', 'CCRIS 8406', '1,1,2,3,3-pentamethyl-1,2,3,5,6,7-hexahydro-4h-inden-4-one', '6,7-Dihydro-1,1,2,3,3-pentamethyl-4-(5H)indanone', 'EC 251-649-3', 'DSSTox_CID_27399', 'DSSTox_RID_82319', 'DSSTox_GSID_47399', 'SCHEMBL232766', 'CHEMBL3183584', 'CTK4H1099', 's559', 'DPMI 10 microg/mL in Cyclohexane', 'Tox21_302677', 'AKOS022171974', 'ACM33704619', 'NCGC00256636-01', 'AS-16133', 'CAS-33704-61-9', 'LS-166764', 'FT-0664402', 'NS00005325', '704D619', 'J-019301', 'Q1047397', '1,1,2,3,3-pentamethyl-1,2,3,5,6,7-hexahydro-inden-4-one', '1,1,2,3,3-pentamethyl-2,3,4,5,6,7-hexahydroinden-4-one', '1,2,3,5,6,7-Hexahydro-1,1,2,3,3-pentamethyl-4H-inden-4-one.', '4H-Inden-4-one,1,2,3,5,6,7-hexahydro-1,1,2,3,3-pentamethyl-', '6,7-dihydro-1,1,2,3,3-pentamethyl-4(5H)-indanone, AldrichCPR', 'DIHYDRO PENTAMETHYLINDANONE;DPMI;6,7-dihydro-1,1,2,3,3-pentamethyl-4(5H)indanone;1,2,3,5,6,7-hexahydro-1,1,2,3,3-pentamethyl-4H-inden-4-one']</t>
  </si>
  <si>
    <t>Compound(92292)</t>
  </si>
  <si>
    <t>Thread algae</t>
  </si>
  <si>
    <t>Direction of rotation</t>
  </si>
  <si>
    <t>Running time</t>
  </si>
  <si>
    <t>Floating leaf plants</t>
  </si>
  <si>
    <t>Prohibition</t>
  </si>
  <si>
    <t>Dry state water course</t>
  </si>
  <si>
    <t>Degree of drying-out</t>
  </si>
  <si>
    <t>Busy</t>
  </si>
  <si>
    <t>Dry matter</t>
  </si>
  <si>
    <t>Ratio of dry matter / undissolved matter</t>
  </si>
  <si>
    <t>diethylenetriaminepentaacetic acid (DTPA)</t>
  </si>
  <si>
    <t>2-[bis[2-[bis(carboxymethyl)amino]ethyl]amino]acetic acid</t>
  </si>
  <si>
    <t>['Pentetic acid', 'diethylenetriaminepentaacetic acid', 'DTPA', '67-43-6', 'Detapac', 'Detarex', 'Complexon V', 'Titriplex V', 'Perma kleer', 'Monaquest CAI', 'Hamp-Ex Acid', 'Penthanil', 'Dabeersen 503', 'CHEL 330 acid', 'Pentacarboxymethyldiethylenetriamine', 'Diethylenetriamine Pentaacetic Acid', 'Chel DTPA', 'Penthamil', 'Dissolvine D', 'H5dtpa', '(Diethylenetrinitrilo)pentaacetic acid', 'Penthamil (VAN)', "Diethylenetriamine-N,N,N',N'',N''-pentaacetic acid", 'DETPA', 'Monaquest', 'Pentetate', '1,1,4,7,7-Diethylenetriaminepentaacetic acid', 'N,N-bis{2-[bis(carboxymethyl)amino]ethyl}glycine', 'NSC 7340', 'Glycine, N,N-bis[2-[bis(carboxymethyl)amino]ethyl]-', 'UNII-7A314HQM0I', '2-[bis[2-[bis(carboxymethyl)amino]ethyl]amino]acetic acid', 'Acide pentetique [INN-French]', 'Acido pentetico [INN-Spanish]', 'Acidum penteticum [INN-Latin]', 'Diethylenetriaminepentacetic acid', 'DTP-A', 'C14H23N3O10', 'Zinc-DTPA', 'EINECS 200-652-8', '3,6,9-Triazaundecanedioic acid, 3,6,9-tris(carboxymethyl)-', 'MFCD00004289', 'N,N-bis[2-[bis(carboxymethyl)amino]ethyl]glycine', 'Ca-DTPA', 'BRN 1810219', 'N,N-Bis(2-(bis-(carboxymethyl)amino)ethyl)-glycine', 'Glycine, N,N-bis(2-(bis(carboxymethyl)amino)ethyl)-', 'AN-DTPA', '7A314HQM0I', 'N-Carboxymethyliminobis(ethylenenitrilo)tetra(acetic acid)', 'Diethylenetriaminepentaaceticacid', 'Acetic acid, ((carboxymethylimino)bis(ethylenenitrilo))tetra-', 'CHEBI:35739', 'Calcium trisodium pentetate', 'NSC7340', '(Diethylenetriamine)pentaacetic acid', 'Diethylene triamine pentaacetic acid', 'N,N-Bis(2-(bis(carboxymethyl)amino)ethyl)glycine', 'NSC-7340', "Acetic acid, 2,2',2'',2'''-(((carboxymethyl)imino)bis(2,1-ethanediylnitrilo))tetrakis-", "2,2'-(Carboxymethylimino)bis(ethyliminodiessigsaeure)", 'Gadopentetic acid', 'CAS-67-43-6', 'NCGC00015360-05', '(((Carboxymethyl)imino)bis(ethylenenitrilo))tetraacetic acid', 'AK109574', 'DSSTox_CID_3434', 'Acidum penteticum', 'DSSTox_RID_77025', 'DSSTox_GSID_23434', 'N,N-Bis(2-[bis(carboxymethyl)amino]ethyl)glycine', "N,N,N',N'',N''-diethylenetriaminepentaacetic acid", 'Pentetates', '[[(Carboxymethyl)imino]bis(ethylenenitrilo)]tetraacetic acid', 'Pentaind', 'diethylenetriaminepentaacetate', 'Acido pentetico', 'Acide pentetique', '[[(carboxymethyl)imino]bis(1,2-ethanediylnitrilo)tetraacetic acid]', "2,2',2'',2''',2''''-(ethane-1,2-diylnitrilo)pentaacetic acid", 'Mn-Dtpa', 'Indium-DTPA', 'Diethylenetriaminepentaacetic acid, 98+%', 'CaNa-DTPA', 'Sn-DTPA', 'SR-01000075826', '2-(bis{2-[bis(carboxymethyl)amino]ethyl}amino)acetic acid', 'Acetic acid, [(carboxymethylimino)bis(ethylenenitrilo)]tetra-', 'MPI DTPA KIT - CHELATE', 'Pentetic acid [USAN:INN:BAN]', "Acetic acid, 2,2',2'',2'''-[[(carboxymethyl)imino]bis(2,1-ethanediylnitrilo)]tetrakis-", 'Penta(carboxymethyl)diethylenetriamine', 'Pentetic acid [USAN:USP:INN:BAN]', 'Pentetic acid; DTPA', 'TECHNETIUM TC-99M PENTETATE KIT', 'DTPA (Pentetic Acid)', 'Plexene D (Salt/Mix)', 'Syntron C (Salt/Mix)', 'Kiresuto P (Salt/Mix)', 'Tetralon B (Salt/Mix)', '12111-24-9', 'Prestwick0_000941', 'Prestwick1_000941', 'Prestwick2_000941', 'Prestwick3_000941', 'Lopac-D-6518', 'Chel 330 (Salt/Mix)', 'CHEMBL780', 'EC 200-652-8', 'Pentetic acid (USP/INN)', 'Lopac0_000431', 'SCHEMBL17138', 'BSPBio_000902', '4-04-00-02454 (Beilstein Handbook Reference)', 'SPBio_003061', 'BPBio1_000994', '(Carboxymethylimino)bis(ethylenenitrilo)tetraacetic acid', 'DTXSID2023434', 'HMS1570N04', 'HMS2094E03', 'HMS2097N04', 'HMS3261G04', 'HMS3714N04', 'Pharmakon1600-01506082', 'KS-00000G1N', 'Tox21_110131', 'Tox21_500431', 'AC-333', 'BBL002988', 'NSC759314', 's4824', 'SBB008753', 'STK373226', 'ZINC19419017', 'WLN: QV1N1VQ2N1VQ2N1VQ1VQ', 'AKOS005446652', 'Diethylenetriaminepentaacetic acid;DTPA', 'Tox21_110131_1', 'API0002345', 'CCG-204523', 'DB14007', 'LP00431', 'LS41179', 'MCULE-4554913963', 'NSC-759314', 'SDCCGSBI-0050416.P003', 'Diethylenetriaminepentaacetic acid, 99%', 'NCGC00015360-01', 'NCGC00015360-02', 'NCGC00015360-03', 'NCGC00015360-04', 'NCGC00015360-06', 'NCGC00015360-08', 'NCGC00015360-09', 'NCGC00093852-01', 'NCGC00093852-02', 'NCGC00093852-03', 'NCGC00261116-01', 'LS-72297', 'M299', 'VS-01284', 'SBI-0050416.P002', '1,4,7,7-Diethylenetriaminepentaacetic acid', 'AX8124884', 'AB00375916', 'CS-0013088', 'D0504', 'EU-0100431', 'FT-0624901', 'ST50868315', 'D 6518', 'D05422', 'Diethylenetriaminepentaacetic acid, p.a., 99%', 'AB00375916-04', 'AB00375916_05', 'C-33800', "Diethylenetriamine-N,N',N'',N''-pentaacetic acid", 'Glycine,N-bis[2-[bis(carboxymethyl)amino]ethyl]-', 'Q416487', 'N,N-bis {2-[bis(carboxymethyl)amino]ethyl}glycine', 'SR-01000075826-1', 'SR-01000075826-4', 'BRD-K40621224-001-01-8', 'Diethylenetriaminepentaacetic acid, &gt;=98% (titration)', 'Diethylenetriaminepentaacetic acid, &gt;=99% (titration)', 'N, {N-Bis[2-[bis(carboxymethyl)amino]ethyl]glycine}', 'Glycine, {N,N-bis[2-[bis(carboxymethyl)amino]ethyl]-}', '3,9-Triazaundecanedioic acid, 3,6,9-tris(carboxymethyl)-', '(((Carboxymethyl)imino)bis(ethylenenitrilo))-tetraacetic acid', '{[[(Carboxymethyl)imino]bis(ethylenenitrilo)]tetraacetic} acid', '2-[bis({2-[bis(carboxymethyl)amino]ethyl})amino]acetic acid', 'Acetic acid, {[(carboxymethylimino)bis(ethylenenitrilo)]tetra-}', 'Diethylenetriaminepentaacetic acid, for complexometry, &gt;=99.0%', 'Pentetic acid, United States Pharmacopeia (USP) Reference Standard', "Acetic acid,2',2'',2'''-[[(carboxymethyl)imino]bis(2,1-ethanediylnitrilo)]tetrakis-", '1004765-76-7', "2,2',2'',2'''-(2,2'-(carboxymethylazanediyl)bis(ethane-2,1-diyl)bis(azanetriyl))tetraacetic acid", '2-{[2-({2-[bis(carboxymethyl)amino]ethyl}(carboxymethyl)amino)ethyl](carboxyme thyl)amino}acetic acid', 'Diethylenetriaminepentaacetic acid. (Note-The sodium salts are named as follows: pentetate monosodium (1 Na ion); pentetate disodium (2 Na ions); pentetate trisodium (3 Na ions); pentetate tetrasodium (4 Na ions); pentetate pentasodium (5 Na ions).)']</t>
  </si>
  <si>
    <t>Compound(3053)</t>
  </si>
  <si>
    <t>C14H23N3O10</t>
  </si>
  <si>
    <t>diethylenetriamine penta (methylene phosphonic acid) (DTPMP)</t>
  </si>
  <si>
    <t>[bis[2-[bis(phosphonomethyl)amino]ethyl]amino]methylphosphonic acid</t>
  </si>
  <si>
    <t>['15827-60-8', 'Diethylenetriaminepenta(methylene-phosphonic acid)', 'UNII-0Q75589TM3', 'diethylenetriamine pentamethylene phosphonic acid', 'Diethylenetriaminepenta(methylenephosphonic) acid', 'Phosphonic acid, [[(phosphonomethyl)imino]bis[2,1-ethanediylnitrilobis(methylene)]]tetrakis-', '0Q75589TM3', 'Diethylenetriaminepentakis(methylphosphonic acid) solution', '(((Phosphonomethyl)imino)bis(ethane-2,1-diylnitrilobis(methylene)))tetrakisphosphonic acid', '[[(phosphonomethyl)imino]bis[ethane-2,1-diylnitrilobis(methylene)]]tetrakisphosphonic acid', 'C9H28N3O15P5', 'Phosphonic acid, (((phosphonomethyl)imino)bis(2,1-ethanediylnitrilobis(methylene)))tetrakis-', "Phosphonic acid, P,P',P'',P'''-(((phosphonomethyl)imino)bis(2,1-ethanediylnitrilobis(methylene)))tetrakis-", "Phosphonic acid, P,P',P'',P'''-[[(phosphonomethyl)imino]bis[2,1-ethanediylnitrilobis(methylene)]]tetrakis-", 'EINECS 239-931-4', 'DETPMP', '[bis[2-[bis(phosphonomethyl)amino]ethyl]amino]methylphosphonic acid', 'EC 239-931-4', 'SCHEMBL22924', 'Diethylenetriamine, pentamethylenepentaphosphonic acid', 'DTXSID0027775', 'ZINC59129438', 'AKOS025310980', 'P074', 'SC-47238', 'FT-0624891', 'NS00004368', 'diethylenetriamine pentamethylenephosphonic acid', '827D608', 'A809915', 'diethylene triamine penta(methylene phosphonic acid)', 'J-009490', 'Q3011490', '[(bis{2-[bis(phosphonomethyl)amino]ethyl}amino)methyl]phosphonic acid', 'Diethylenetriaminepentakis(methylphosphonic acid) solution 50% in 15% HCl: 35% H2O', 'Diethylenetriaminepentakis(methylphosphonic acid) solution, technical, ~50% (T)', '244775-22-2', '67774-91-8']</t>
  </si>
  <si>
    <t>Compound(85128)</t>
  </si>
  <si>
    <t>C9H28N3O15P5</t>
  </si>
  <si>
    <t>Expensive</t>
  </si>
  <si>
    <t>diacetone-L-sorbose</t>
  </si>
  <si>
    <t>[(1R,2S,6S,8S)-4,4,11,11-tetramethyl-3,5,7,10,12-pentaoxatricyclo[6.4.0.02,6]dodecan-6-yl]methanol</t>
  </si>
  <si>
    <t>['Diacetone L-sorbose', '17682-70-1', '2,3:4,6-Di-O-isopropylidene-alpha-L-sorbofuranose', '2,3:4,6-Di-O-isopropylidene-L-sorbofuranose', '2,3,4,6-Di-O-Isopropylidene-alpha-L-sorbofuranose', '2,3:4,6-Di-O-isopropylidene-a-L-sorbofuranose', "((3aS,3bR,7aS,8aS)-2,2,5,5-Tetramethyltetrahydro-3aH-[1,3]dioxolo[4',5':4,5]furo[3,2-d][1,3]dioxin-8a-yl)methanol", 'alpha-L-Sorbofuranose, 2,3:4,6-bis-o-(1-methylethylidene)-', 'Diaceton-L-sorbose', 'PubChem6039', 'SCHEMBL3307263', 'CTK8F3767', 'DTXSID60891870', 'ACT03915', 'ZINC1608611', 'AKOS015896913', 'O501', '682D701', 'C-16235', '2-O,3-O:4-O,6-O-Diisopropylidene-alpha-L-sorbofuranose', '2,3:4,6-Di-O-isopropylidene-alpha-L-sorbofuranose, &gt;=98% (TLC)', '2,3,4,6-Di-O-isopropylidene-|A inverted exclamation mark-L-sorbofuranose', '((3aS,3bR,7aS,8aS)-2,2,5,5-Tetramethyltetrahydro-3aH-[1,3]dioxolo[4,5:4,5]furo[3,2-d][1,3]dioxin-8a-yl)methanol']</t>
  </si>
  <si>
    <t>Compound(11043496)</t>
  </si>
  <si>
    <t>C12H20O6</t>
  </si>
  <si>
    <t>2-(2-chloro-1-diethoxyphosphinothioylsulfanylethyl)isoindole-1,3-dione</t>
  </si>
  <si>
    <t>['Dialifos', 'DIALIFOR', 'Dialiphos', 'Dialiphor', 'Torak', 'Hercules 14503', '10311-84-9', 'Caswell No. 280A', 'ENT 27320', 'Dialiphos [ISO-French]', 'Dialifor [ANSI:BSI:ISO]', 'HSDB 1559', 'EINECS 233-689-3', 'O,O-Diethyl S-(2-chloro-1-phthalimidoethyl)phosphorodithioate', 'EPA Pesticide Chemical Code 102501', 'BRN 1550800', 'AI3-27320', 'CHEBI:82158', 'S-(2-Chloro-1-phthalimidoethyl) O,O-diethyl phosphorodithioate', 'Phosphorodithioic acid, S-(2-chloro-1-phthalimidoethyl) O,O-diethyl ester', 'Phosphorodithioic acid, O,O-diethyl ester, S-ester with N-(2-chloro-1-mercaptoethyl)phthalimide', 'S-(2-Chloro-1-(1,3-dihydro-1,3-dioxo-2H-isoindol-2-yl)ethyl)O,O-diethyl phosphorodithioate', 'Phosphorodithioic acid, S-[2-chloro-1-(1,3-dihydro-1,3-dioxo-2H-isoindol-2-yl)ethyl] O,O-diethyl ester', 'N-(2-Chloro-1-(diethoxyphosphinothioylthio)ethyl)phthalimide', 'S-(2-Chloro-1-phthalmidoethyl)-O,O-diethylphosphorothionate', 'O,O-Diaethyl-S-2-chlor-1-(phthalimido)-aethyl-dithiophosphat', '2-(2-chloro-1-diethoxyphosphinothioylsulfanylethyl)isoindole-1,3-dione', 'O,O-Diaethyl-S-2-chlor-1-(phthalimido)-aethyl-dithiophosphat [German]', 'Phosphorodithioic acid, S-(2-chloro-1-phthalimidoethyl)-O,O-diethyl ester', 'O,O-Diethyl phosphorodithioate S-ester with N-(2-chloro-1-mercaptoethyl) phthalimide', 'O,O-Diethyl phosphorodithioate S-ester with N-(2-chloro-1-mercaptoethyl)phthalimide', 'Phosphorodithioic acid, S-(2-chloro-1-(1,3-dihydro-1,3-dioxo-2H-isoindol-2-yl)ethyl) O,O-diethyl ester', 'dialifos;Dialifor', 'DSSTox_CID_17522', 'DSSTox_RID_79328', 'DSSTox_GSID_37522', 'SCHEMBL122099', 'CHEMBL1901826', 'DTXSID0037522', 'CTK8F9122', 'Tox21_300794', 'Dialifos 10 microg/mL in Cyclohexane', 'NCGC00160634-01', 'NCGC00160634-02', 'NCGC00160634-03', 'NCGC00254698-01', 'S-(2-Chloro-1-(1,3-dihydro-1,3-dioxo-2H-isoindol-2-yl)ethyl) O,O-diethyl phosphorodithioate (9CI)', 'CAS-10311-84-9', 'DB-040418', 'LS-108054', 'Dialifos, PESTANAL(R), analytical standard', 'NS00005664', 'C19028', 'C-21600', 'J-000876', 'Q5270555', 'S-2-chloro-1-(1,3-dioxoisoindolin-2-yl)ethyl O,O-diethyl phosphorodithioate', 'S-(2-Chloro-1-(1,3-dihydro-1,3-dioxo-2H-isoindol-2-yl)ethyl) O,O-diethyl phosphorodithioate', 'S-[2-Chloro-1-(1,3-dioxo-1,3-dihydro-2H-isoindol-2-yl)ethyl] O,O-diethyl dithiophosphate #', 'S-[2-Chloro-1-(1,3-dioxo-1,3-dihydro-2H-isoindol-2-yl)ethyl] O,O-diethyl phosphorodithioate']</t>
  </si>
  <si>
    <t>Compound(25146)</t>
  </si>
  <si>
    <t>C14H17ClNO4PS2</t>
  </si>
  <si>
    <t>diallate</t>
  </si>
  <si>
    <t>S-[(Z)-2,3-dichloroprop-2-enyl] N,N-di(propan-2-yl)carbamothioate</t>
  </si>
  <si>
    <t>['di-Allate', 'DIALLATE', 'Diallat', 'Pyradex', 'Avadex', 'cis-DIALLATE', 'Diallaat', '2,3-Dcdt', 'Diallaat [Dutch]', 'Diallat [German]', 'RCRA waste number U062', 'Caswell No. 299', 'Diallate [ISO-French]', 'Di-allate [BSI:ISO]', '(Z)-diallate', 'Dichloroallyl diisopropylthiocarbamate', 'CCRIS 198', 'UNII-0R9V496Q48', 'CP 15,336', 'HSDB 1566', 'HSDB 3431', 'EINECS 218-961-1', '2,3-Dichloroallyl N,N-diisopropylthiolcarbamate', '2303-16-4', 'RCRA waste no. U062', 'EPA Pesticide Chemical Code 078801', 'BRN 2210954', '2,3-Dichloro-2-propene-1-thiol, diisopropylcarbamate', 'Carbamothioic acid, bis(1-methylethyl)-, S-(2,3-dichloro-2-propenyl) ester', '2-Propene-1-thiol, 2,3-dichloro-, diisopropylcarbamate', 'Diisopropylthiocarbamic acid, S-(2,3-dichloroallyl) ester', 'S-2,3-Dichloroallyl diisopropylthiocarbamate', '17708-57-5', 'Carbamic acid, diisopropylthio-, S-(2,3-dichloroallyl) ester', 'CHEBI:82216', 'Bis(1-methylethyl) carbamothioic acid, S-(2,3-dichloro-2-propenyl)ester', 'S-2,3-Dichloroallyl N,N-diisopropylthiolcarbamate', '0R9V496Q48', 'Di-isopropylthiolocarbamate de S-(2,3-dichloro allyle)', 'S-(2,3-Dichlor-allyl)-N,N-diisopropyl-monothiocarbamaat', '2,3-Dichlorallyl-N,N-(diisopropyl)-thiocarbamat [German]', 'S-(2,3-Dichloro-allil)-N,N-diisopropil-monotiocarbammato', 'Di-isopropylthiolocarbamate de S-(2,3-dichloro allyle) [French]', 'S-(2,3-Dichlor-allyl)-N,N-diisopropyl-monothiocarbamaat [Dutch]', 'S-(2,3-Dichloro-allil)-N,N-diisopropil-monotiocarbammato [Italian]', 'Bis(1-methylethyl)carbamothioic acid, S-(2,3-dichloro-2-propenyl) ester', 'Carbamic acid, diisopropylthio-, S-(2,3-dichloroallyl) ester, (Z)-', 'Carbamothioic acid, bis(1-methylethyl)-, S-(2,3-dichloro-2-propenyl) ester, (Z)-', 'Carbamic acid, diisopropylthio-, S-(2,3-dichloroallyl)ester, (Z)-', 'Diallate I', '2,3-Dichlorallyl-N,N-(diisopropyl)-thiocarbamat', 'Di-allate;Diallate;di-allate', 'SCHEMBL116715', 'CHEMBL2252931', 'DTXSID8058326', 'Carbamothioic acid, bis(1-methylethyl)-, S-((2Z)-2,3-dichloro-2-propenyl) ester', 'ZINC1850877', 'S-(2,3-Dichloro-2-propenyl) bis(1-methylethyl)carbamothioate (9CI)', 'AKOS015898747', 'LS-7305', 'NCGC00248775-01', 'CP 15336', 'LS-49395', '2,3-Dichloroallyl Diisopropylthiocarbamate', 'NS00003628', 'C19094', 'S-(2,3-Dichloroallyl) Diisopropylthiocarbamate', '2,3-Dichloroallyl N,N-diisopropylthiolcar bamate', 'S-(2,3-Dichloroallyl) diisopropyl-thiocarbamate', '2,3-Dichlorallyl-N,N-(diisopropyl)-thiocarbamate', 'Q1208433', 'Propene-1-thiol, 2,3-dichloro-, diisopropylcarbamate', 'S-[2,3-Dichloro-2-propenyl] diisopropylthiocarbamate #', 'S-[2,3-dichloroprop-2-en-1-yl] diisopropylthiocarbamate', 'UNII-77003KI5VJ component SPANOECCGNXGNR-UITAMQMPSA-N', '2,3-Dichloro-2-Propene-1-Thiol, S-2,3-Diisopropyl carbamate', 'Diisopropylthiocarbamic acid S-[(Z)-2,3-dichloroallyl] ester', 'S-(2,3-dichloro-2-prope nyl) bis(1-methylethyl)carbamothioate', 'S-(2,3-Dichloro-2-propenyl) bis(1-methylethyl)carbamothioate', 'S-[(2Z)-2,3-dichloroprop-2-en-1-yl] bis(1-methylethyl)thiocarbamate', 'Carbamothioic acid, bis(1-methylethyl)-, S-(2,3-dichloro-2-propenyl) ester, (Z)- (9CI)', 'Carbamothioic Acid, Bis-(1-Methyl-ethyl)-S-(2,3-Dichloro-2-Propenyl) Ester']</t>
  </si>
  <si>
    <t>Compound(5284376)</t>
  </si>
  <si>
    <t>C10H17Cl2NOS</t>
  </si>
  <si>
    <t>diazomethane</t>
  </si>
  <si>
    <t>['DIAZOMETHANE', 'Azimethylene', 'Methane, diazo-', 'Acomethylene', 'Diazonium methylide', '334-88-3', 'EINECS 206-382-7', 'CCRIS 205', 'UNII-60A625P70P', 'HSDB 1628', 'BRN 0102415', '60A625P70P', 'METHANE,DIAZO', 'diazomethan', 'diazo methane', 'diazo-methane', 'Diazoniomethanide', 'CNN radical', 'CNN', 'DIAZOMETHYL GROUP', '4-01-00-03056 (Beilstein Handbook Reference)', 'Methane, diazo-(8CI,9CI)', 'DTXSID0024008', 'CHEBI:73716', 'CTK4H0664', 'AKOS015901056', 'LS-90022', 'FT-0693203', 'NS00029498', 'C19387', 'Q413683']</t>
  </si>
  <si>
    <t>Compound(9550)</t>
  </si>
  <si>
    <t>CH2N2</t>
  </si>
  <si>
    <t>diazacholesterol dihydrochloride</t>
  </si>
  <si>
    <t>(3S,8R,9S,10R,13S,14S,17S)-17-[3-(dimethylamino)propyl-methylamino]-10,13-dimethyl-2,3,4,7,8,9,11,12,14,15,16,17-dodecahydro-1H-cyclopenta[a]phenanthren-3-ol;dihydrochloride</t>
  </si>
  <si>
    <t>['Azacosterol hydrochloride', 'Azacosterol HCl', '1249-84-9', 'UNII-B32804UAUQ', '20,25-Diazacholesterol dihydrochloride', 'Azasterol', 'Ornitrol', 'B32804UAUQ', 'Azacosterol hydrochloride [USAN]', 'Caswell No. 286A', 'IMD 760', 'SC 12937', 'SC-12937', 'Azacosterol dihydrochloride', 'Diazacosterol hydrochloride', 'Azacosterol hydrochloride (USAN)', 'DiazaCon', 'EPA Pesticide Chemical Code 098101', 'AI3-52592', 'Azocosterol HCl', '17-beta-((3-(Dimethylamino)-propyl)methylamino)androst-5-en-3-beta-ol dihydrochloride', '17beta-((3-(Dimethylamino)-propyl)methylamino)androst-5-en-3beta-ol dihydrochloride', '20,25-Diazachlolestenol dihydrochloride', 'Azocosterol 2HCL', 'Diazacholesterol Dihydrochloride', 'C25H46Cl2N2O', 'SCHEMBL1424026', 'CHEMBL3989621', 'DTXSID8058297', 'Androst-5-en-3-beta-ol, 17-beta-((3-(dimethylamino)propyl)methylamino)-, dihydrochloride', 'Androst-5-en-3-ol, 17-((3-(dimethylamino)propyl)methylamino)-, dihydrochloride, (3beta,17beta)-', 'Y1122', 'D03024', 'Q27274292']</t>
  </si>
  <si>
    <t>Compound(11954297)</t>
  </si>
  <si>
    <t>C25H46Cl2N2O</t>
  </si>
  <si>
    <t>diethoxy-(6-methyl-2-propan-2-ylpyrimidin-4-yl)oxy-sulfanylidene-lambda5-phosphane</t>
  </si>
  <si>
    <t>['diazinon', 'Dimpylate', '333-41-5', 'Diazinone', 'Oleodiazinon', 'Neocidol', 'Ciazinon', 'Dassitox', 'Diazitol', 'Ektoband', 'Nedcidol', 'Spectracide', 'Antigal', 'Basudin', 'Bazuden', 'Dacutox', 'Dazzel', 'Diazide', 'Diazol', 'Exodin', 'Flytrol', 'Galesan', 'Nucidol', 'Sarolex', 'Dicid', 'Alfa-tox', 'Diazajet', 'Dimpylat', 'Garden Tox', 'Neocidol (oil)', 'Bassadinon', 'Terminator', 'Compass', 'Disonex', 'Dizinon', 'Drawizon', 'Kayazinon', 'Kayazol', 'Meodinon', 'Dyzol', 'Nipsan', 'Diazinon ag 500', 'Knox-out', 'Delzinon', 'Dimpylatum', 'Dipofene', 'Dizictol', 'Neodinon', 'Optimizer', 'Bazudin', 'Dizinil', 'Srolex', 'Basudin 10 G', 'Geigy 24480', 'Basudin S', 'Knox Out 2FM', 'Bazudine', 'Diagran', 'Fezudin', 'Neotsidol', 'NCI-C08673', 'Kleen-Dok', 'AG-500', 'ENT 19,507', 'Isopropylmethylpyrimidyl diethyl thiophosphate', 'G-24480', 'KFM Blowfly Dressing', 'Compass (insecticide)', 'Caswell No. 342', 'gardentox', 'Diziktol', 'Diaterr-fos', 'Dimpylatum [INN-Latin]', 'O,O-Diethyl 2-isopropyl-4-methylpyrimidyl-6-thiophosphate', "Cooper's Flystrike Powder", 'Dimpilato [INN-Spanish]', 'NSC 8938', 'G 301', 'O,O-Diethyl O-(2-isopropyl-6-methyl-4-pyrimidinyl) phosphorothioate', 'UNII-YUS1M1Q929', 'Dimpylate [INN]', 'Diazinon [ANSI:BSI:ISO]', 'CCRIS 204', 'Diethyl 4-(2-isopropyl-6-methylpyrimidinyl)phosphorothionate', 'O-2-Isopropyl-4-methylpyrimidyl-O,O-diethyl phosphorothioate', 'HSDB 303', 'Knox Out Yellow Jacket Contorl', 'O,O-Diethyl O-(2-isopropyl-4-methyl-6-pyrimidyl) thionophosphate', 'CHEBI:34682', 'O,O-Diethyl O-6-methyl-2-isopropyl-4-pyrimidinyl phosphorothioate', 'OMS 469', 'EINECS 206-373-8', 'PT 265', 'EPA Pesticide Chemical Code 057801', 'Phosphorothioate, O,O-diethyl O-6-(2-isopropyl-4-methylpyrimidyl)', 'BRN 0273790', 'Thiophosphate de O,O-diethyle et de O-2-isopropyl-4-methyl-6-pyrimidyle', '4-Pyrimidinol, 2-isopropyl-6-methyl-, O-ester with O,O-diethyl phosphorothioate', 'AI3-19507', 'Phosphorothioic acid, O,O-diethyl O-(6-methyl-2-(1-methylethyl)-4-pyrimidinyl) ester', 'YUS1M1Q929', 'Diethyl 2-isopropyl-4-methyl-6-pyrimidinyl phosphorothionate', 'NSC8938', 'Dimpylate (INN)', 'O,O-Diethyl-O-(2-isopropyl-4-methyl-pyrimidin-6-yl)-monothiofosfaat', 'G 24480', 'Phosphorothioic acid, O,O-diethyl O-(2-isopropyl-6-methyl-4-pyrimidinyl) ester', 'Diethyl 2-isopropyl-4-methyl-6-pyrimidyl thionophosphate', 'NCGC00091073-01', 'O,O-Diethyl 2-isopropyl-6-methyl-4-pyrimidinylphosphorothioate', 'DSSTox_CID_407', 'O,O-Diethyl O-(2-isopropyl-6-methyl-4-pyrimidinyl)phosphorothioate', 'O,O-Diethyl-O-(2-isopropyl-4-methyl-6-pyrimidyl)phosphorothioate', 'Thiophosphoric acid 2-isopropyl-4-methyl-6-pyrimidyl diethyl ester', 'O,O-Diethyl O-(2-isopropyl-4-methyl-6-pyrimidinyl) phosphorothioate', 'O,O-diethyl O-[6-methyl-2-(1-methylethyl)pyrimidin-4-yl] thiophosphate', 'O,O-Diethyl-O-(2-isopropyl-4-methyl-6-pyrimidinyl)-phosphorothioate', 'Phosphorothioic acid, O,O-diethyl O-(isopropylmethylpyrimidinyl) ester', 'O,O-Diaethyl-O-(2-isopropyl-4-methyl)-6-pyrimidyl-thionophosphat [German]', 'O,O-Diaethyl-O-(2-isopropyl-4-methyl-pyrimidin-6-yl)-monothiophosphat [German]', 'O,O-Diethyl O-(6-methyl-2-(1-methylethyl)-4-pyrimidinyl)phosphorothioate', 'O,O-Diethyl-O-(2-isopropyl-4-methyl-pyrimidin-6-yl)-monothiofosfaat [Dutch]', 'O,O-Dietil-O-(2-isopropil-4-metil-pirimidin-6-il)-monotiofosfato [Italian]', 'DSSTox_RID_75567', 'Phosphorothioic acid, O,O-diethyl O-[6-methyl-2-(1-methylethyl)-4-pyrimidinyl] ester', 'Thiophosphate de O,O-diethyle et de O-2-isopropyl-4-methyl-6-pyrimidyle [French]', 'DSSTox_GSID_20407', 'Diazinon, analytical standard', 'Q-200952', 'Dimpilato', 'O,O-Diaethyl-O-(2-isopropyl-4-methyl-pyrinidin-6-yl)-monothiophosphat', 'O,O-Diethyl O-(2-isopropyl-4-methyl-6-pyrimidyl) phosphorothioate', 'O,O-diethyl O-[6-methyl-2-(propan-2-yl)pyrimidin-4-yl] phosphorothioate', 'Phosphorothioic acid, O,O-diethylO-[6-methyl-2-(1-methylethyl)-4-pyrimidinyl] ester', 'CAS-333-41-5', 'Spertacide', 'Bazanon', 'Antlak', 'C12H21N2O3PS', 'Root guard', 'Fl ytrol', 'Di aterr-fos', 'Knox Out', 'Diethyl dimpylatum', 'diethoxy-(6-methyl-2-propan-2-ylpyrimidin-4-yl)oxy-sulfanylidene-?^{5}-phosphane', 'Dimpylate, INN', 'Basudin 5G', 'Spectracide 25EC', 'Agridin 60', 'Basudin 10G', 'Diazinon (Dimpylate)', 'Spectrum_001777', 'Dimpylate [INN:BAN]', 'New Z Diazinon (TN)', 'SpecPlus_000344', 'Spectrum2_001226', 'Spectrum3_000802', 'Spectrum4_000642', 'Spectrum5_001929', 'Optimizer Insecticide (TN)', 'SCHEMBL17453', 'BSPBio_002263', 'KBioGR_000983', 'KBioSS_002258', '5-23-11-00187 (Beilstein Handbook Reference)', 'MLS002207243', 'BIDD:ER0457', 'DivK1c_006440', 'SPBio_001072', 'CHEMBL388560', 'ZINC1309', 'DTXSID9020407', 'CTK1C2496', 'FHIVAFMUCKRCQO-UHFFFAOYSA-', 'KBio1_001384', 'KBio2_002257', 'KBio2_004825', 'KBio2_007393', 'KBio3_001763', 'HMS3264I04', 'Pharmakon1600-00330017', 'EBD29972', 'HY-B1113', 'NSC-8938', 'O,O-Diaethyl-O-(2-isopropyl-4-methyl)-6-pyrimidyl-thionophosphat', 'o,o-diethyl o-2-isopropyl-6-methylpyrimidin-4-yl phosphorothioate', 'Tox21_111077', 'Tox21_201409', 'Tox21_300730', 'ACM333415', 'BDBM50005409', 'CCG-39143', 'ENT 19507', 'NSC755893', 'O,O-Diaethyl-O-(2-isopropyl-4-methyl-pyrimidin-6-yl)-monothiophosphat', 'O,O-Dietil-O-(2-isopropil-4-metil-pirimidin-6-il)-monotiofosfato', 'Diazinon 10 microg/mL in Cyclohexane', 'Diazinon 1000 microg/mL in Toluene', 'AKOS025311513', 'Diazinon 1000 microg/mL in Methanol', 'diethoxy-(2-isopropyl-6-methyl-pyrimidin-4-yl)oxy-thioxo-$l^{5}-phosphane', 'Tox21_111077_1', 'CS-4712', 'Diazinon 10 microg/mL in Acetonitrile', 'Diazinon 100 microg/mL in Cyclohexane', 'LS-1209', 'NSC-755893', 'PST0000180', 'Diazinon 100 microg/mL in Acetonitrile', 'Phosphorothioic acid O,O-diethyl O-[6-methyl-2-(1-methylethyl)-4-pyrimidinyl] ester', 'NCGC00091073-02', 'NCGC00091073-03', 'NCGC00091073-04', 'NCGC00091073-05', 'NCGC00091073-06', 'NCGC00091073-07', 'NCGC00254636-01', 'NCGC00258960-01', 'CC-26452', 'SMR000777921', 'SBI-0052498.P002', 'DB-048387', 'Diazinon, PESTANAL(R), analytical standard', 'FT-0603088', 'FT-0778116', 'NS00008266', 'C14324', 'D07856', 'AB00053004_04', '333D415', 'C-18970', 'Q411202', 'SR-01000872734', 'SR-01000872734-1', 'BRD-K60567437-001-04-5', 'Diazinon, certified reference material, TraceCERT(R)', '4-Pyrimidinol, O-ester with O,O-diethyl phosphorothioate', 'WLN: T6N CNJ BY1 &amp; 1 DOPS &amp; O2 &amp; O2 F1', 'Diethyl 2-isopropyl-4-met hyl-6-pyrimidyl thionophosphate', 'O, O-Diethyl 2-isopropyl-4-methylpyrimidyl-6-thiophosphate', 'O,O-Diethyl-O-(2-isopropyl-4-methylpyrimidyl)thiophosphate', 'diethyl 2-isopropyl-6-methyl-4-pyrimidinyl phosphorothionate', 'O,O-diethyl O-2-isopropyl-4-methyl-6-pyrimidyl thiophosphate', 'o,o-Dietil-o-(2-isopropil-4-metil-pirimidin-il)-monotiofosato', 'Phosphorothioate,O-diethyl O-6-(2-isopropyl-4-methylpyrimidyl)', 'Diethyl O-(2-isopropyl-6-methyl-4-pyrimidinyl) phosphorothioate', 'O,O-Diethyl O-(2-isopropyl-6-methyl-4-primidinyl)phosphorothioate', 'O,O-Diethyl O-(2-isopropyl-6-methyl-4-pyrimidinyl) thiophosphate', 'O,O-Diethyl o-(2-isopropyl-6-methyl-4-pyrimidinyl) thiophosphate #', 'O,O-diethyl O-(2-isopropyl-6-methyl-4-pyrimidinyl)thio-phosphate', 'O,O-diethyl O-(2-isopropyl-6-methylpyrimidin-4-yl) thiophosphate', 'O,O-Diethyl-O-(2-isopropyl-4-methyl-6-pyrimidyl) thiophosphate', 'diethoxy-(6-methyl-2-propan-2-ylpyrimidin-4-yl)oxy-sulfanylidenephosphorane', 'O,O-Diethyl O-(2-isopropyl-4-methyl-6-pyrimidinyl) thiophosphoric acid', 'O,O-Diethyl O-(2-isopropyl-6-methyl-4-pyrimidinyl), phosphorothioa te', 'O,O-Diethyl O-(2-isopropyl-6-methyl-4-pyrimidinyl), phosphorothioate', 'O,O-Diethyl O-(6-methyl-2-(1-methylethyl)-4-pyrimidinyl) phosophorothioate', 'O,O-diethyl O-(6-methyl-2-(1-methylethyl)-4-pyrimidinyl) phosphorothioate', 'o,o-Diethyl-O-(6-methyl-2-(1-methylethyl)-4-pyrimidinyl)phosophorothioate', 'Phosphorothioic acid, O,O-diethyl 2-isopropyl-6-methyl-4-pyrimidinyl ester', 'Phosphorothioic acid,O-diethyl O-(2-isopropyl-6-methyl-4-pyrimidinyl) ester', 'Diazinon solution, 100 mug/mL in acetonitrile, PESTANAL(R), analytical standard', 'diethoxy-(6-methyl-2-propan-2-ylpyrimidin-4-yl)oxy-sulfanylidene-$l^{5-phosphane', 'diethoxy-(6-methyl-2-propan-2-ylpyrimidin-4-yl)oxy-sulfanylidene-$l^{5}-phosphane', 'ethyl 6-methyl-2-(propan-2-yl)pyrimidin-4-yl ethoxy(sulfanylidene)phosphonite', 'Phosphorothioic acid O,O-diethyl O-[6-methyl- 2-(1-methylethyl)-4-pyrimidinyl] ester', 'Phosphorothioic acid, O,O-diethyl {O-[6-methyl-2-(1-methylethyl)-4-pyrimidinyl]} ester', 'PHOSPHOROTHIOIC ACID,O-DIETHYL O-[6-METHYL-2-(1-METHYLETHYL)-4-PYRIMIDINYL] ESTER', 'O,O-Diethyl O-2-isopropyl-4-methyl-6-pyrimidyl thiophosphate; O,O-Diethyl O-(6-methyl-2-(1-methylethyl)-4-pyrimidinyl) phosophorothioate']</t>
  </si>
  <si>
    <t>Compound(3017)</t>
  </si>
  <si>
    <t>C12H21N2O3PS</t>
  </si>
  <si>
    <t>N-benzyl-1-phenylmethanamine</t>
  </si>
  <si>
    <t>['Dibenzylamine', '103-49-1', 'Benzenemethanamine, N-(phenylmethyl)-', 'N-benzyl-1-phenylmethanamine', 'N-Benzylbenzylamine', 'Bibenzylamine', 'DIBENZYL-AMINE', 'bisbenzylamine', 'N,N-Dibenzylamine', '(N-Benzylaminomethyl)benzene', 'UNII-3G0YFX01C6', 'N-(Phenylmethyl)benzenemethanamine', 'NSC 4811', '3G0YFX01C6', 'Dibenzylamine, 98%', 'N,N-Dibenylamine', 'DIBENZYL AMINE', 'DBA (VAN)', 'dibenzylamin', 'Accelerator DBA', 'benzyl benzylamine', 'Vulcaid 28', 'EINECS 203-117-7', 'MFCD00004770', 'Dibenzylamine, 97%', 'PubChem7523', 'Bn2NH', 'AI3-15327', 'ACMC-1BZV7', '(PhCH2)2NH', 'NH(CH2Ph)2', 'EC 203-117-7', 'N-Benzyl(phenyl)methanamine', 'SCHEMBL1654', 'DSSTox_CID_24355', 'DSSTox_RID_80164', 'DSSTox_GSID_44355', 'Oprea1_559431', 'N-Benzyl(phenyl)methanamine #', 'CHEMBL3182419', 'DTXSID6044355', 'NSC4811', 'BCP22185', 'KS-000009MR', 'NSC-4811', 'ZINC1504123', 'Tox21_301089', 'ANW-14918', 'BBL027475', 'SBB058838', 'STK397784', 'AKOS000119097', 'CS-W020085', 'EBD3039486', 'MCULE-8716946307', 'MP-2116', 'NCGC00248284-01', 'NCGC00254989-01', 'AK105940', 'AS-14038', 'CAS-103-49-1', 'SC-00144', 'D0152', 'FT-0607180', 'FT-0627187', 'FT-0629439', 'NS00007138', 'ST45255384', 'Dibenzylamine, Vetec(TM) reagent grade, 97%', '10.14272/BWLUMTFWVZZZND-UHFFFAOYSA-N', 'doi:10.14272/BWLUMTFWVZZZND-UHFFFAOYSA-N', 'J-000988', 'Dibenzylamin;dibenzylamine;Dibenzylamine hydrochloride', 'Q27257174', 'Z57127894', 'F2190-0321']</t>
  </si>
  <si>
    <t>Compound(7656)</t>
  </si>
  <si>
    <t>C14H15N</t>
  </si>
  <si>
    <t>dibenz (a , h ) acridine</t>
  </si>
  <si>
    <t>2-azapentacyclo[12.8.0.03,12.04,9.015,20]docosa-1(14),2,4,6,8,10,12,15,17,19,21-undecaene</t>
  </si>
  <si>
    <t>['Dibenz[a,h]acridine', '226-36-8', 'DIBENZ(A,H)ACRIDINE', 'Dibenzo[a,H]acridine', 'Dibenz(a,d)acridine', '1,2,5,6-Dibenzacridine', '7-Azadibenz(a,h)anthracene', 'DB(a,h)AC', '1,2,5,6-Dibenzoacridine', 'UNII-I64KK77PZY', '1,2,5,6-Dinaphthacridine', 'CCRIS 206', 'HSDB 4038', '7-Azadibenz[A,H]antracene', 'BRN 0209261', 'I64KK77PZY', 'Dibenz(a,h)acridine [Polycyclic aromatic compounds]', 'Dibenz(a,h)acridine [Polycyclic aromatic hydrocarbons]', 'Dibenzo[a,H]acridine #', '1,2,5,6-Dibenzacridin', '5-20-08-00657 (Beilstein Handbook Reference)', 'SCHEMBL606941', 'DTXSID3059761', 'CHEBI:82310', 'CTK1A2135', 'ZINC3876020', 'ACM226368', 'LS-60276', 'DB-045957', 'FT-0624624', 'NS00014404', 'C19219', 'C-28688', 'Dibenzo[a,h]acridine 10 microg/mL in Cyclohexane', 'J-014790', 'Q26840760', 'Dibenz(a,h)acridine, vial of 25 mg, analytical standard', 'Dibenz[a,h]acridine, BCR(R) certified Reference Material', 'Dibenzo[a,h]acridine;dibenz[a , h]acridine;dibenzo[a,h]acridine;DIBENZ[A,H]ACRIDINE']</t>
  </si>
  <si>
    <t>Compound(9183)</t>
  </si>
  <si>
    <t>C21H13N</t>
  </si>
  <si>
    <t>dibenz (a , j ) acridine</t>
  </si>
  <si>
    <t>13-azapentacyclo[12.8.0.03,12.04,9.017,22]docosa-1(14),2,4,6,8,10,12,15,17,19,21-undecaene</t>
  </si>
  <si>
    <t>['Dibenz[a,j]acridine', 'Dibenzo[a,j]acridine', '224-42-0', 'DIBENZ(A,J)ACRIDINE', '1,2:7,8-Dibenzacridine', 'DB(a,j)AC', '1,2,7,8-Dibenzacridine', 'Dibenz(a,f)acridine', '3,4,5,6-Dibenzacridine', '7-Azadibenz(a,j)anthracene', '7-Azadibenz[a,j]anthracene', '3,4,6,7-Dinaphthacridine', 'CCRIS 207', 'Dibenz[a,f]acridine', 'NSC 114903', 'UNII-088X9K64S8', 'HSDB 4036', 'BRN 0018508', '088X9K64S8', 'Dibenz(a,j)acridine [Polycyclic aromatic compounds]', 'Dibenz(a,j)acridine [Polycyclic aromatic hydrocarbons]', '1,8-Dibenzacridine', '1,7,8-Dibenzacridine', '3,5,6-Dibenzacridine', '3,6,7-Dinaphthacridine', '1.2,7,8-Dibenzacridin', 'SCHEMBL604812', 'DTXSID4059758', 'CHEBI:82311', 'CTK1A2604', 'Dibenz[a,j]acridine;dibenzacridine', 'ZINC3876016', 'NSC114903', 'WLN: T E6 D6 B666 NNJ', 'NSC-114903', 'LS-60277', 'FT-0624625', 'NS00014412', 'ST45022190', 'C19220', 'J-014720', 'Q26840806', 'Dibenz(a,j)acridine, vial of 25 mg, analytical standard', 'Dibenz[a,j]acridine, BCR(R) certified Reference Material']</t>
  </si>
  <si>
    <t>Compound(9177)</t>
  </si>
  <si>
    <t>dibenzyl phthalate</t>
  </si>
  <si>
    <t>dibenzyl benzene-1,2-dicarboxylate</t>
  </si>
  <si>
    <t>['DIBENZYL PHTHALATE', '523-31-9', 'Benzyl phthalate', '1,2-Benzenedicarboxylic acid, bis(phenylmethyl) ester', 'Phthalic acid, dibenzyl ester', 'dibenzyl benzene-1,2-dicarboxylate', 'Phthalic Acid Dibenzyl Ester', '1,2-BENZENEDICARBOXYLIC ACID DIBENZYL ESTER', 'Q63399813', 'EINECS 208-344-5', 'AI3-00364', '1, bis(phenylmethyl) ester', 'ACMC-1B21B', 'SCHEMBL50441', 'Phthalic acid, bis-benzyl ester', 'DTXSID80870581', 'NSC4057', 'KS-000010LW', 'NSC-4057', 'ZINC1470694', '6638AF', 'MFCD00014437', 'AKOS024437919', 'Dibenzyl phthalate, analytical standard', 'MCULE-8999412781', '1,2-dibenzyl benzene-1,2-dicarboxylate', 'AS-57076', 'CC-26493', 'phenylmethyl 2-[benzyloxycarbonyl]benzoate', 'SC-94406', 'DB-052112', 'FT-0624644', 'NS00020092', 'ST50407899', 'Dibenzyl ester of 1,2-benzenedicarboxylic acid', 'C-20509']</t>
  </si>
  <si>
    <t>Compound(220773)</t>
  </si>
  <si>
    <t>C22H18O4</t>
  </si>
  <si>
    <t>['dibenzofuran', 'Dibenzo[b,d]furan', '132-64-9', 'diphenylene oxide', 'Dibenzofurans', "2,2'-Biphenylene oxide", "2,2'-Biphenylylene oxide", 'Dibenzo(b,d)furan', 'Dibenzol(b,d)furan', 'dibenzofurane', "(1,1'-Biphenyl)-2,2'-diyl oxide", "[1,1'-Biphenyl]-2,2'-diyl oxide", 'UNII-8U54U639VI', 'CCRIS 1436', 'HSDB 2163', 'NSC 1245', 'EINECS 205-071-3', 'AI3-00039', 'CHEBI:28145', '8U54U639VI', 'DSSTox_CID_1993', 'DSSTox_RID_76446', 'DSSTox_GSID_21993', '8-oxatricyclo[7.4.0.0^{2,7}]trideca-1(9),2(7),3,5,10,12-hexaene', 'CAS-132-64-9', 'Dibenzo[b]furan', 'dibenzo[bd]furan', 'Dibenzofuran, 98%', 'PubChem7058', "[1,2'-diyl oxide", 'Industry fluorene oxide', 'ACMC-1BNIJ', 'bmse000548', 'SCHEMBL8207', 'KSC154C7P', 'CHEMBL277497', 'DTXSID2021993', 'Dibenzofuran, analytical standard', 'NSC1245', 'EBD29106', 'NSC-1245', 'ZINC3861058', 'Tox21_202116', 'Tox21_300052', 'ANW-19449', 'BDBM50408362', 'LS-757', 'MFCD00004968', 'SBB060835', 'STL185574', 'AKOS000120971', 'CS-W017802', 'MCULE-9430669072', 'NE10370', 'PS-5378', 'KS-0000016U', 'NCGC00164102-01', 'NCGC00164102-02', 'NCGC00164102-03', 'NCGC00254221-01', 'NCGC00259665-01', 'AC-19766', 'AK112050', 'I961', 'SC-47120', 'DB-042123', 'D0147', 'FT-0624634', 'NS00010742', 'ST50824932', 'C07729', 'Q419513', 'Q-101160', 'Z57127512', 'Dibenzo[b,d]furan, BCR(R) certified Reference Material', '8-oxatricyclo[7.4.0.0(2),]trideca-1(9),2(7),3,5,10,12-hexaene', '8-oxatricyclo[7.4.0.0?,?]trideca-1(9),2(7),3,5,10,12-hexaene', '1IT']</t>
  </si>
  <si>
    <t>Compound(568)</t>
  </si>
  <si>
    <t>C12H8O</t>
  </si>
  <si>
    <t>dicamba sodium salt</t>
  </si>
  <si>
    <t>sodium;3,6-dichloro-2-methoxybenzoate</t>
  </si>
  <si>
    <t>['Sodium dicamba', 'Dicamba-sodium', 'Dicamba sodium salt', '1982-69-0', 'Dicamba-sodium [ISO]', 'Sodium 3,6-dichloro-2-methoxybenzoate', 'Sodium 3,6-dichloro-o-anisate', 'UNII-4U752K13RR', 'HSDB 5861', 'EINECS 217-846-3', 'Benzoic acid, 3,6-dichloro-2-methoxy-, sodium salt', '3,6-Dichloro-o-anisic acid, sodium salt', 'o-Anisic acid, 3,6-dichloro-, sodium salt', 'SODIUM 2-METHOXY-3,6-DICHLOROBENZOATE', '2-Methoxy-3,6-dichlorobenzoic acid sodium salt', '3,6-Dichloro-2-methoxybenzoic acid, sodium salt', '4U752K13RR', 'Benzoic acid, 3,6-dichloro-2-methoxy-, sodium salt (1:1)', 'SCHEMBL1702086', 'DTXSID8027450', 'SB-541', 'LS-36875', 'Q27260510']</t>
  </si>
  <si>
    <t>Compound(23680611)</t>
  </si>
  <si>
    <t>3,6-dichloro-2-methoxybenzoic acid</t>
  </si>
  <si>
    <t>['dicamba', '3,6-Dichloro-2-methoxybenzoic acid', '1918-00-9', 'Mdba', 'Benzoic acid, 3,6-dichloro-2-methoxy-', 'Mediben', 'Banvel', 'Dianat', '3,6-Dichloro-o-anisic acid', 'Banlen', 'Brush buster', 'Banvel herbicide', 'Banvel CST', 'Banvel SGF', 'Compound B dicamba', 'Velsicol compound R', 'Banvel II herbicide', 'Banvel 70WP', 'o-Anisic acid, 3,6-dichloro-', 'Banvel 480', 'Velsicol 58-CS-11', 'Dianat [Russian]', '2,5-Dichloro-6-methoxybenzoic acid', '2-Methoxy-3,6-dichlorobenzoic acid', 'Caswell No. 295', 'Compound B [Velsicol]', 'UNII-SJG3M6RY6H', 'Dicamba [ANSI:BSI:ISO]', 'CCRIS 1471', 'HSDB 311', '3,6-Dichloor-2-methoxy-benzoeizuur', '3,6-Dichlor-3-methoxy-benzoesaeure', 'EINECS 217-635-6', 'SJG3M6RY6H', 'EPA Pesticide Chemical Code 029801', 'BRN 2453039', 'Kyselina 3,6-dichlor-2-methoxybenzoova', 'Acido (3,6-dicloro-2-metossi)-benzoico', 'AI3-27556', '3,6-Dichloor-2-methoxy-benzoeizuur [Dutch]', '3,6-Dichlor-3-methoxy-benzoesaeure [German]', 'CHEBI:81856', 'Kyselina 3,6-dichlor-2-methoxybenzoova [Czech]', 'Acido (3,6-dicloro-2-metossi)-benzoico [Italian]', '3,6-bis(chloranyl)-2-methoxy-benzoic acid', 'DSSTox_CID_4018', 'DSSTox_RID_77260', 'DSSTox_GSID_24018', 'Aviator', 'Celebrity B', 'Mais Banvel WG', 'CAS-1918-00-9', 'Velsicol 58CS11', 'Velsicol Compound "R"', 'D3M', 'Banex (Salt/Mix)', 'Spectrum_001827', 'Banvel D (Salt/Mix)', 'SpecPlus_000428', 'Banvel 4S (Salt/Mix)', 'Spectrum2_001882', 'Spectrum3_000824', 'Spectrum4_000664', 'Spectrum5_001960', 'Fallow master (Salt/Mix)', "Velsicol Compound ''R''", 'Banvel 200 (Salt/Mix)', 'Oprea1_626816', 'SCHEMBL18336', 'BSPBio_002347', 'KBioGR_001067', 'KBioSS_002332', 'SPECTRUM330032', 'DivK1c_006524', 'SPBio_001784', 'CHEMBL476936', '3,6 Dichloromethoxybenzoic Acid', 'DTXSID4024018', 'CTK4E0804', 'IWEDIXLBFLAXBO-UHFFFAOYSA-', 'KBio1_001468', 'KBio2_002329', 'KBio2_004897', 'KBio2_007465', 'KBio3_001847', 'BID0159', 'ZX-AFC000367', 'ZINC126322', 'ZX-AL002214', 'Tox21_201356', 'Tox21_300661', 'CCG-39335', 'LS-964', 'SBB003348', 'STL455891', '2-methoxy-3,6-dichloro-benzoic acid', 'Dicamba 10 microg/mL in Acetonitrile', 'AKOS000273802', 'Dicamba 100 microg/mL in Acetonitrile', 'FCH1320123', 'KS-5270', 'MCULE-7734465675', 'NCGC00094526-01', 'NCGC00094526-02', 'NCGC00094526-03', 'NCGC00094526-04', 'NCGC00094526-05', 'NCGC00094526-06', 'NCGC00094526-07', 'NCGC00254569-01', 'NCGC00258908-01', '62610-39-3', 'I021', 'SC-80020', 'AX8005862', 'DB-022124', 'Dicamba, PESTANAL(R), analytical standard', 'CS-0081338', 'D4800', 'DICAMBA (PESTICIDE/FERTILIZERMIXTURE)', 'FT-0633910', 'FT-0666529', 'NS00000253', 'ST50188109', 'BENZOIC ACID,3,6-DICHLORO-2-METHOXY-', 'Dicamba (3,6-dichloro-2-methoxybenzoic acid)', '18D009', 'C18597', 'Dicamba, plant cell culture tested, BioReagent', 'J10234', 'M-1952', '3,6-dichloro-O-anisic acid plant cell*culture tes', 'A813521', 'Q424684', 'Dicamba, certified reference material, TraceCERT(R)', 'J-012397']</t>
  </si>
  <si>
    <t>Compound(3030)</t>
  </si>
  <si>
    <t>2,6-dichlorobenzonitrile</t>
  </si>
  <si>
    <t>['2,6-Dichlorobenzonitrile', 'dichlobenil', '1194-65-6', 'Dichlobanil', 'Benzonitrile, 2,6-dichloro-', 'Casoron', 'Casaron', 'Prefix D', 'DU-Sprex', 'Decabane', 'Surfassol', 'Casoron 133', 'DBN (the herbicide)', '2,6-Dichlorophenyl cyanide', '2,6-DBN', 'Niagara 5,996', 'DBN (pesticide)', '2,6-DICHLOROBENZNITRILE', 'Code H 133', 'Cyclomec', 'Dyclomec', 'Norosac', 'Casoron gsr', 'Nia 5996', 'Casoron G-4', 'Casoron G-10', 'Casoron G20 SR', 'Casoron W-50', 'Caswell No. 297', 'Carsoron', '2,6-Dichlorbenzonitril', '2,6-Dichlorobenzoic acid nitrile', 'H 133', 'NSC 521490', 'UNII-N42NR4196R', 'Dichlobenil [ANSI:BSI:ISO]', 'CCRIS 1470', 'HSDB 312', 'Niagara 5006', '2,6-Dichlorbenzonitril [German]', 'EINECS 214-787-5', '2,6-dichloro-benzonitrile', 'EPA Pesticide Chemical Code 027401', 'BRN 1909167', 'CHEBI:943', 'AI3-26665', 'N42NR4196R', 'MFCD00001781', 'H 1313', '2,6-dichlorobenzenecarbonitrile', 'Casoron G', '(14-C)2,6-Dichlorobenzonitrile', 'Casoron G4', 'BH Prefix D', 'DICHLORBENIL', 'DICLOBENIL', 'Fyducit (Salt/Mix)', 'Fydumas (Salt/Mix)', 'Dichlobenil;dichlobenil', 'DBN STANDARD', 'Spectrum_001835', 'dichlobenil, dichlobanil', 'CASORON(R)', 'Fydulan G (Salt/Mix)', 'SpecPlus_000436', 'Benzonitrile,6-dichloro-', 'Spectrum2_001886', 'Spectrum3_000828', 'Spectrum4_000668', 'Spectrum5_001968', 'WLN: NCR BG FG', 'ACMC-209a2v', 'EC 214-787-5', '2,4-Dbn', 'DSSTox_CID_12365', 'DSSTox_RID_78927', 'DSSTox_GSID_32365', 'SCHEMBL55606', 'BSPBio_002355', 'KBioGR_001075', 'KBioSS_002340', 'SPECTRUM330036', 'KSC174Q7N', 'DivK1c_006532', 'SPBio_001792', '2,6-DCBN', 'CHEMBL3039332', 'DTXSID5032365', '2,6-Dichlorobenzonitrile, 97%', 'CTK0H4876', 'KBio1_001476', 'KBio2_002337', 'KBio2_004905', 'KBio2_007473', 'KBio3_001855', 'KS-00000ECV', 'TIMTEC-BB SBB041083', 'ZINC157318', '2-NITRO-N-PHENYLBENZENAMINE', 'AKOS BBS-00004654', 'Tox21_300791', 'ANW-17333', 'BBL011045', 'CCG-39424', 'CK1056', 'LABOTEST-BB LT01148261', 'LABOTEST-BB LT03333499', 'NSC521490', 'SBB041083', 'STK802216', '2,6-bis(chloranyl)benzenecarbonitrile', 'AKOS000269672', 'AS02651', 'LS11439', 'MCULE-1360009724', 'NE18461', 'NSC-521490', 'PS-5306', 'Dichlobenil 10 microg/mL in Cyclohexane', 'NCGC00094529-01', 'NCGC00094529-02', 'NCGC00094529-03', 'NCGC00094529-04', 'NCGC00094529-05', 'NCGC00094529-06', 'NCGC00254695-01', '104809-79-2', 'AC-10715', 'AK-49303', 'Dichlobenil 100 microg/mL in Cyclohexane', 'I898', 'LS-38675', 'SC-25936', 'CAS-1194-65-6', 'Dichlobenil 100 microg/mL in Acetonitrile', 'AB0013926', 'DB-030805', 'CS-0014086', 'D1137', 'FT-0610598', 'FT-0695514', 'H-133', 'NS00002192', 'ST45027659', 'C11040', 'Dichlobenil, PESTANAL(R), analytical standard', '33182-EP2305655A2', '33182-EP2311815A1', '33182-EP2371823A1', 'Q416231', 'Q-200960', 'Q-200961', 'BRD-K43714461-001-02-8']</t>
  </si>
  <si>
    <t>Compound(3031)</t>
  </si>
  <si>
    <t>C7H3Cl2N</t>
  </si>
  <si>
    <t>diclobutrazole</t>
  </si>
  <si>
    <t>1-(2,4-dichlorophenyl)-4,4-dimethyl-2-(1,2,4-triazol-1-yl)pentan-3-ol</t>
  </si>
  <si>
    <t>['DICLOBUTRAZOL', 'Vigil', 'Vigilex', 'Dicyclobutrazole', 'Dichlobutrazol', 'Diclobutrazol [BSI:ISO]', '1-(2,4-Dichlorophenyl)-4,4-dimethyl-2-(1,2,4-triazol-1-yl)pentan-3-ol', 'PP296', '75736-33-3', 'CHEBI:4506', '66345-62-8', 'ALPHA-TERT-BUTYL-BETA-[(2,4-DICHLOROPHENYL)METHYL]-1H-1,2,4-TRIAZOL-1-ETHANOL', 'alpha-tert-Butyl-beta-((2,4-dichlorophenyl)methyl)-1H-1,2,4-triazol-1-ethanol', 'Diclobutrazole', '(2RS,3RS)-1-(2,4-Dichlorophenyl)-4,4-dimethyl-2-(1H-1,2,4-triazol-1-yl)pentan-3-ol', '(R*,R*)-(+-)-beta-((2,4-Dichlorophenyl)methyl)-alpha-(1,1-dimethylethyl)-1H-1,2,4-triazole-1-ethanol', 'EINECS 266-324-1', 'SCHEMBL21654', 'CHEMBL1553129', 'CTK5C4316', '1H-1,2,4-Triazole-1-ethanol, beta-((2,4-dichlorophenyl)methyl)-alpha-(1,1-dimethylethyl)-, (alphaR,betaR)-rel-', '1H-1,2,4-Triazole-1-ethanol, beta-((2,4-dichlorophenyl)methyl)-alpha-(1,1-dimethylethyl)-, (R*,R*)-', '1H-1,2,4-Triazole-1-ethanol, beta-((2,4-dichlorophenyl)methyl)-alpha-(1,1-dimethylethyl)-, (R*,R*)-(+-)-', 'NCGC00166314-01', '1H-1,2,4-Triazole-1-ethanol, .beta.-[(2,4-dichlorophenyl)methyl]-.alpha.-(1,1-dimethylethyl)-, (.alpha.R,.beta.R)-rel-', 'CC-26528', 'DB-055986', 'LS-155981', 'FT-0603083', 'NS00005802', 'C11235', 'Diclobutrazol, PESTANAL(R), analytical standard', 'C-19924', 'Q3026668', 'a-tert-butyl-ss-[(2,4-dichlorophenyl)methyl]-1H-1,2,4-triazol-1-ethanol', '1-(2,4-Dichlorophenyl)-4,4-dimethyl-2-(1H-1,2,4-triazol-1-yl)-3-pentanol #', 'beta-[(2,4-Dichlorophenyl)methyl]-alpha-(1,1-dimethylethyl)-1H-1,2,4-triazole-1-ethanol', '1H-1,2,4-Triazole-1-ethanol, .beta.-((2,4-dichlorophenyl)methyl)-.alpha.-(1,1-dimethylethyl)-,(R*,R*)-(.+/-.)-', '1H-1,2,4-Triazole-1-ethanol, beta-((2,4-dichlorophenyl)methyl)-alpha-(1,1-dimethylethyl)-', 'Diclobutrazol;(2RS, 3RS)-1-(2,4-dichlorophenyl)-4,4-dimethyl-2-(1H-1,2,4-triazol-1yl)pentan-3-ol;1H-1,2,4-Triazole-1-ethanol, .beta.-[(2,4-dichlorophenyl)methyl]-.alpha.-(1,1-dimethylethyl)-, (.alpha.R,.beta.R)-rel-;diclobutrazole', 'Pesticide6_Diclobutrazol_C15H19Cl2N3O_1-(2,4-Dichlorophenyl)-4,4-dimethyl-2-(1H-1,2,4-triazol-1-yl)-3-pentanol']</t>
  </si>
  <si>
    <t>Compound(53309)</t>
  </si>
  <si>
    <t>C15H19Cl2N3O</t>
  </si>
  <si>
    <t>dicyclohexyl phthalate</t>
  </si>
  <si>
    <t>dicyclohexyl benzene-1,2-dicarboxylate</t>
  </si>
  <si>
    <t>['DICYCLOHEXYL PHTHALATE', '84-61-7', 'Ergoplast FDC', 'Unimoll 66', 'Ergoplast.fdc', 'Howflex CP', 'Phthalic acid, dicyclohexyl ester', 'Dicyclohexyl benzene-1,2-dicarboxylate', 'Phthalic Acid Dicyclohexyl Ester', 'Dicyclohexylphthalate', 'HF 191', 'KP 201', '1,2-Benzenedicarboxylic acid, dicyclohexyl ester', 'UNII-CGD15M7H2N', 'NSC 6101', 'CCRIS 6190', 'HSDB 5246', 'Diclohexyl 1,2-benzenedicarboxylate', 'AI3-00515 (USDA)', 'EINECS 201-545-9', 'BRN 1889288', 'CGD15M7H2N', 'Dicyclohexyl phthalate, 99%', 'AI3-00515', 'MLS000736536', 'DTXSID5025021', 'CHEBI:34693', '1,2-Benzenedicarboxylic acid, 1,2-dicyclohexyl ester', 'W-104111', 'DCHP', 'Morflex 150', 'Unimoll 66 M', 'Uniplex 250', '1, dicyclohexyl ester', 'ACMC-209pvy', 'Phthalic acid dicyclohexyl', 'DSSTox_CID_5021', 'EC 201-545-9', 'DSSTox_RID_77631', 'DSSTox_GSID_25021', 'SCHEMBL29302', 'KSC199E2T', 'BIDD:ER0638', 'CHEMBL3185893', 'VOWAEIGWURALJQ-UHFFFAOYSA-', 'NSC6101', 'KS-00000G0Y', 'NSC-6101', 'Phthalic acid, bis-cyclohexyl ester', 'ZINC1693279', 'ZX-AT015572', 'Tox21_303132', 'ANW-37820', 'MFCD00003849', 'AKOS015840876', 'LS-1835', 'MCULE-6607324429', 'OR61028', 'CAS-84-61-7', 'NCGC00257008-01', 'AK307696', 'CC-26567', 'DS-11413', 'SMR000528061', 'Dicyclohexyl phthalate, analytical standard', 'cyclohexyl 2-(cyclohexyloxycarbonyl)benzoate', 'DB-056812', 'FT-0624741', 'NS00004690', 'P0293', 'ST50319862', 'X6822', 'C14529', 'C-30080', 'Q1210373', 'Dicyclohexyl phthalate;dicyclohexyl phthalate;Dicyclohexyl phthalate (DCHP)']</t>
  </si>
  <si>
    <t>Compound(6777)</t>
  </si>
  <si>
    <t>C20H26O4</t>
  </si>
  <si>
    <t>dicyclohexyltin (cation)</t>
  </si>
  <si>
    <t>dicyclopentadiene</t>
  </si>
  <si>
    <t>tricyclo[5.2.1.02,6]deca-3,8-diene</t>
  </si>
  <si>
    <t>['DICYCLOPENTADIENE', '77-73-6', 'Cyclopentadiene dimer', 'Bicyclopentadiene', 'Biscyclopentadiene', 'Dicyklopentadien', 'Dimer cyklopentadienu', '4,7-Methano-1H-indene, 3a,4,7,7a-tetrahydro-', 'DCPD', '3a,4,7,7a-tetrahydro-1H-4,7-methanoindene', '1,3-Cyclopentadiene, dimer', '3a,4,7,7a-Tetrahydro-4,7-methanoindene', 'Dicyklopentadien [Czech]', 'NSC 7352', '4,7-Methanoindene, 3a,4,7,7a-tetrahydro-', 'Dimer cyklopentadienu [Czech]', 'CCRIS 4790', 'HSDB 321', '1,3-CPD', 'alpha-Dicyclopentadiene (endo form)', 'EINECS 201-052-9', 'UN2048', 'Tricyclo(5.2.1.0)-3,8-decadiene', 'BRN 1904092', '4,7-Methano-3a,4,7,7a-tetrahydroindene', 'AI3-03386', 'CHEBI:34695', 'endo-Dicyclopentadiene', 'NCGC00090776-02', 'Tricyclo[5.2.1.0(2,6)]deca-3,8-diene', 'Q-200967', 'Bis[cyclopentadiene]', '1755-01-7', 'Prometa XP 100', 'EXO-DICYCLOPENTADIENE', '3a,4,7,7a-Tetrahydro-4,7-methano-1H-indene', 'Dicyclopentadiene homopolymer', 'MFCD00078246', 'Dicyclopentadiene, 95%, stabilized with 100-200 ppm 4-tert-Butylcatechol', '4,7-Methano-1H-indene, 3a,4,7,7a-tetrahydro-, homopolymer', 'UN 2048', '933-60-8', '1, dimer', '25038-78-2', 'Tricyclo[5.2.1.0&lt;2,6&gt;]deca-3,8-diene', 'ACMC-20p1dy', 'Dicyclopentadiene; DCPD', 'DSSTox_CID_5023', 'EC 201-052-9', 'DSSTox_RID_77632', 'DSSTox_GSID_25023', '2-05-00-00391 (Beilstein Handbook Reference)', 'KSC005O9N', 'MLS001055376', '(3aa,4a,7a,7aa)-3a,4,7,7a-tetrahydro-4,7-methano-1H-indene', 'CHEMBL1570502', 'DTXSID5025023', 'CTK9A5796', 'NSC7352', 'HMS3039J06', 'WLN: L C555 A DU IUTJ', 'KS-00000UE6', 'NSC-7352', 'Tox21_400017', 'STL445669', 'AKOS000119974', 'AKOS022186108', 'EBD2156423', 'FCH2252112', 'LS-1712', 'MCULE-9069962871', '3a,7,7a-Tetrahydro-4,7-methanoindene', '4,7-Methano-1H-indene, 3a,4,7,7a-tetrahydro-, (3a.alpha.,4.alpha.,7.alpha.,7a.alpha.)-', 'CAS-77-73-6', 'NCGC00090776-01', 'NCGC00090776-03', 'AC-16096', 'BBV-75779320', 'SC-25599', 'SMR000677942', 'Tricyclo[5.2.1.02,6]deca-3,8-diene', 'Dicyclopentadiene contains BHT as stabilizer', 'D0443', '4,7-methano-3a-4,7,7a-tetrahydro-1H-indene', 'C14411', 'Dicyclopentadiene [UN2048] [Flammable liquid]', 'Dicyclopentadiene [UN2048]  [Flammable liquid]', 'Q419053', 'J-520256', 'F0001-1975', '(3a.alpha.,4.alpha.,7.alpha.,7a.alpha.)-3a,4,7,7a-Tetrahydro-4,7-methano-1H-indene']</t>
  </si>
  <si>
    <t>Compound(6492)</t>
  </si>
  <si>
    <t>2-(diethylamino)ethyl 1-cyclohexylcyclohexane-1-carboxylate</t>
  </si>
  <si>
    <t>['dicyclomine', 'Dicycloverin', 'Dicycloverine', 'Bentyl', 'Bentylol', 'Diocyl', 'Wyovin', 'Di-syntramine', 'Dicicloverina', '77-19-0', 'Dicycloverinum', 'Merbentyl', 'Dicycloverinum [INN-Latin]', 'Dicicloverina [INN-Spanish]', 'Bentyl hydrochloride', 'Dicycloverine [INN:BAN]', 'UNII-4KV4X8IF6V', 'Bentylol hydrochloride', 'Dicycloverin hydrochloride', "[1,1'-Bicyclohexyl]-1-carboxylic acid, 2-(diethylamino)ethyl ester", 'HSDB 3058', 'EINECS 201-009-4', "(1,1'-Bicyclohexyl)-1-carboxylic acid, 2-(diethylamino)ethyl ester", "Bicyclohexyl-1-carbonsaeure-2'diethylaminoethylester", '4KV4X8IF6V', 'CHEMBL1123', '2-(diethylamino)ethyl 1-cyclohexylcyclohexanecarboxylate', "2-(diethylamino)ethyl 1,1'-bi(cyclohexyl)-1-carboxylate", 'CHEBI:4514', '(Bicyclohexyl)-1-carboxylic acid, 2-(diethylamino)ethyl ester', 'C19H35NO2', 'Bicyclohexyl-1-carboxylic acid 2-diethylamino-ethyl ester', 'NCGC00015368-06', 'DSSTox_CID_2926', 'DSSTox_RID_76790', 'DSSTox_GSID_22926', 'CAS-77-19-0', 'Dicymine (TN)', 'Dicyclomine [INN]', 'Dicycloverine (INN)', '2-(diethylamino)ethyl 1-cyclohexylcyclohexane-1-carboxylate', 'Byclomine', '[Bicyclohexyl]-1-carboxylic acid, 2-(diethylamino)ethyl ester', '2-diethylaminoethyl 1-cyclohexylcyclohexane-1-carboxylate', 'Spectrum_000934', 'Prestwick0_000048', 'Prestwick1_000048', 'Prestwick2_000048', 'Prestwick3_000048', 'Spectrum2_000590', 'Spectrum3_000388', 'Spectrum4_000509', 'Spectrum5_000873', 'Lopac-D-7909', 'Dicycloverine (Dicyclomine)', 'SCHEMBL3317', 'Lopac0_000432', 'BSPBio_000175', 'BSPBio_002175', 'GTPL355', 'KBioGR_001057', 'KBioSS_001414', 'DivK1c_000162', 'SPBio_000440', 'SPBio_002096', 'BPBio1_000193', 'DTXSID1022926', 'CURUTKGFNZGFSE-UHFFFAOYSA-', 'KBio1_000162', 'KBio2_001414', 'KBio2_003982', 'KBio2_006550', 'KBio3_001395', 'NINDS_000162', 'HMS3604H12', 'ZINC1530613', 'Tox21_113571', '2-diethylaminoethyl 1-cyclohexylcyclohexane-1-carboxylate hydrochloride', 'BDBM50010101', 'NSC404381', 'STL356799', '[Bicyclohexyl]-1-carboxylic acid, 2-(diethylamino)ethyl ester hydrochloride', 'AKOS022107181', 'Tox21_113571_1', 'CCG-204524', 'DB00804', 'MCULE-9110194493', 'NSC-404381', 'SDCCGSBI-0050417.P005', 'CAS-67-92-5', 'IDI1_000162', 'NCGC00015368-01', 'NCGC00015368-02', 'NCGC00015368-03', 'NCGC00015368-04', 'NCGC00015368-05', 'NCGC00015368-07', 'NCGC00015368-08', 'NCGC00015368-11', 'NCGC00016300-01', 'NCGC00024386-03', 'NCGC00024386-04', 'LS-56640', 'SBI-0050417.P004', 'LS-177325', 'AB00053456', 'NS00005175', 'ST45026134', 'WLN: L6TJ A- AL6TJ AVO2N2&amp;2 &amp;GH', '(Bicyclohexyl)-1-carboxylic acid, hydrochloride', 'C06951', 'D07820', '[1, 2-(diethylamino)ethyl ester, hydrochloride', 'AB00053456_14', 'AB00053456_15', 'Bentylol; Dicyclomine; Dicycloverin; Dicycloverine', 'L000680', 'Q2662662', '2-diethylaminoethyl 1-cyclohexylcyclohexanecarboxylate', 'BRD-K68507560-003-05-5', 'BRD-K68507560-003-15-4', "2-(Diethylamino)ethyl [1,1'-bi(cyclohexane)]-1-carboxylate", '.beta.-Diethylaminoethyl-1-cyclohexylhexahydrobenzoate hydrochloride', '.beta.-Diethylaminoethyl 1-cyclohexylcyclohexanecarboxylate hydrochloride', '[2-[[[1,1-bicyclohexyl]-1-ylcarbonyl]oxy]ethyl]diethylammonium chloride;2-Diethylaminoethyl bicyclohexyl-1-carboxylate hydrochloride;dicyclomine;Dicyclomine;Dicycloverine', '104959-55-9']</t>
  </si>
  <si>
    <t>Compound(3042)</t>
  </si>
  <si>
    <t>C19H35NO2</t>
  </si>
  <si>
    <t>methyl 2-[4-(2,4-dichlorophenoxy)phenoxy]propanoate</t>
  </si>
  <si>
    <t>['DICLOFOP-METHYL', 'Diclofop methyl', 'Illoxan', '51338-27-3', 'Dichlorfop-methyl', 'Hoegrass', 'Methyldiclofop', 'Hoelon', 'Methyl diclofop', 'Hoelon 3EC', 'Methyl 2-[4-(2,4-dichlorophenoxy)phenoxy]propanoate', 'Dichlordiphenprop', 'Diclofop methyl ester', 'Caswell No. 319A', '(+-)-Diclofop-methyl', 'Methyl 2-(4-(2,4-dichlorophenoxy)phenoxy)propionate', 'HOE 23408', 'HOE 23408 oh', 'HSDB 6607', 'Hoe-023408', 'EINECS 257-141-8', 'EPA Pesticide Chemical Code 110902', 'BRN 2224754', 'Methyl 2-(4-(2,4-dichlorophenoxy)phenoxy)propanoate', '2-(4-(2,4-Dichlorophenoxy)phenoxy)propanoic acid methyl ester', 'Propanoic acid, 2-[4-(2,4-dichlorophenoxy)phenoxy]-, methyl ester', 'Propionic acid, 2-(4-(2,4-dichlorophenoxy)phenoxy)-, methyl ester', '(+ or -)-Methyl 2-(4-(2,4-dichlorophenoxy)phenoxy)propionate', '2-(4-(2,4-Dichlorophenoxy)phenoxy)propanoic acid, methyl ester', 'Diclofop-methyl [ISO]', 'Iloxan', 'C16H14Cl2O4', 'Propanoic acid, 2-(4-(2,4-dichlorophenoxy)phenoxy)-, methyl ester', 'Diclofop, methyl ester', 'DSSTox_CID_12605', 'DSSTox_RID_79001', 'DSSTox_GSID_32605', 'SCHEMBL55275', '(.+/-.)-Diclofop-methyl', 'CHEMBL34474', 'CHEBI:4510', 'DTXSID0032605', 'CTK8F9153', 'CHEBI:145412', 's224', 'ACT03319', 'Tox21_300779', 'AKOS015903182', 'DB13918', 'MCULE-2962221360', 'ACM51338273', 'NCGC00163855-01', 'NCGC00163855-02', 'NCGC00163855-03', 'NCGC00163855-04', 'NCGC00163855-05', 'NCGC00254683-01', 'CC-26560', 'DA-03097', 'DA-03361', 'CAS-51338-27-3', 'DB-051949', 'Diclofop-methyl 100 microg/mL in Methanol', 'LS-124625', 'FT-0630644', 'FT-0772759', 'FT-0773550', 'NS00005450', 'ST50981057', 'C11021', '338D273', 'C-20351', 'Diclofop-methyl, PESTANAL(R), analytical standard', 'J-521908', 'Q1210263', '2-(4-(2,4-Dichlorophenoxy)phenoxy)-methyl-propionate', 'Methyl 2-[4-(2,4-dichlorophenoxy)phenoxy]propanoate #', 'Methyl 2-(4-(2,4-dichlorophenoxy)phenoxy)propionate;Methyl 2-[4-(2,4-dichlorophenoxy)phenoxy]propionat;Methyl 2(4-(2,4-dichlorophenoxy)phenoxy)propionate;diclofop-methyl;dichlorfop-methyl']</t>
  </si>
  <si>
    <t>Compound(39985)</t>
  </si>
  <si>
    <t>C16H14Cl2O4</t>
  </si>
  <si>
    <t>N-[dichloro(fluoro)methyl]sulfanyl-N-(dimethylsulfamoyl)aniline</t>
  </si>
  <si>
    <t>['DICHLOFLUANID', 'Dichlofluanide', '1085-98-9', 'Elvaron', 'Euparen', 'Euparene', 'Oiparen', 'Pecudin', 'Eparen', 'Dichlorfluanid', 'Bayer 47531', 'Diparen', 'BAY 47531', 'KUE 13032c', 'KU 13-O32-C', 'Caswell No. 297A', 'Dichlorfluanid [Czech]', 'NSC 218451', 'Dichlofluanid [BSI:ISO]', 'Dichlofluanide [ISO-French]', 'N-Dichloroacetyl-N-phenylsemicarbazide', 'UNII-76A92XU36Y', 'CCRIS 3647', 'HSDB 1565', 'EINECS 214-118-7', 'N-[dichloro(fluoro)methyl]sulfanyl-N-(dimethylsulfamoyl)aniline', 'EPA Pesticide Chemical Code 128844', 'BRN 2947992', 'KU 13-032-C', '1,1-Dichloro-N-((dimethylamino)sulfonyl)-1-fluoro-N-phenylmethanesulfenamide', 'N-(Dichlorofluoromethylthio)-N-(dimethylsulfamoyl)-aniline', "N,N-Dimethyl-N'-phenyl-N'-fluorodichloromethylthiosulfamide", 'CHEBI:74875', "N-(Dichlorofluoromethylthio)-N',N'-dimethyl-N-phenylsulfamide", '76A92XU36Y', 'Aniline, N-((dichlorofluoromethyl)thio)-N-((dimethylamino)sulfonyl)-', 'Methanesulfenamide, 1,1-dichloro-N-[(dimethylamino)sulfonyl]-1-fluoro-N-phenyl-', "N-(Dichlor-fluor-methyl-thio)-N',N'-dimethyl-N-phenyl-schwefel-saeurediamid", "N-Dichlorofluoromethylthio-N',N'-dimethyl-N-phenylsulphamide", "N-Dichlorofluoromethanesulphenyl-N',N'-dimethyl-N-phenylsulphamide", "Sulfamide, N-((dichlorofluoromethyl)thio)-N',N'-dimethyl-N-phenyl-", "N-Dichlorfluormethylthio-N',N'-dimethylaminosulfonsaeureanilid [German]", '1,1-Dichloro-N-((dimethylamino)sulfonyl)-1-fluoro-N-phenylmethane sulfenamide', 'Methanesulfenamide, 1,1-dichloro-N-((dimethylamino)sulfonyl)-1-fluoro-N-phenyl-', "N-(Dichlor-fluor-methyl-thio)-N',N'-dimethyl-N-phenyl-schwefel-saeurediamid [German]", "Sulfamide, N-[(dichlorofluoromethyl)thio]-N',N'-dimethyl-N-phenyl-", '1,1-Dichloro-N-[(dimethylamino)sulfonyl]-1-fluoro-N-phenylmethanesulfenamide', 'Diclofluanide', "N,N-Dimethyl-N'-phenyl-N'-((fluorodichloromethyl)thio)sulfamide", "N,N-Dimethyl-N'-phenyl-N'-[(fluorodichloromethyl)thio]sulfamide", "N-((Dichlorofluoromethyl)thio)-N',N'-dimethyl-N-phenylsulfamide", "N-[(Dichlorofluoromethyl)thio]-N',N'-dimethyl-N-phenylsulfamide", 'Aniline, N-[(dichlorofluoromethyl)thio]-N-[(dimethylamino)sulfonyl]-', 'Eparen; Euparen; Euparene', 'DSSTox_CID_21851', 'DSSTox_RID_79858', 'DSSTox_GSID_41851', 'SCHEMBL20684', 'WLN: GXGFSNR&amp;SWN1&amp;1', 'CHEMBL1269177', 'DTXSID5041851', "Sulfamide,N'-dimethyl-N-phenyl-", 'WURGXGVFSMYFCG-UHFFFAOYSA-', "N-Dichlorfluormethylthio-N',N'-dimethylaminosulfonsaeureanilid", 'BCP28604', 'ZINC1755316', 'Tox21_300960', 'NSC218451', 'AKOS015888203', 'NSC-218451', 'NCGC00248229-01', 'NCGC00254862-01', 'AS-35177', 'CC-26530', 'Dichlofluanid 100 microg/mL in Isooctane', 'CAS-1085-98-9', 'DB-040835', 'LS-147702', 'FT-0603081', 'NS00008817', 'C18820', '26837-EP2274983A1', '26837-EP2275422A1', '26837-EP2305033A1', '26837-EP2305662A1', '26837-EP2308857A1', '26837-EP2314583A1', '88529-EP2298077A1', '88529-EP2301353A1', '88529-EP2305031A1', '88529-EP2305035A1', 'Dichlofluanid, PESTANAL(R), analytical standard', 'C-20107', 'Q421444', 'J-002166', "N'-Dichlorofluoromethylthio-NN-dimethyl-N'-phenylsulphamide", 'N-(dichloro-fluoromethyl)sulfanyl-N-(dimethylsulfamoyl)aniline', "N-([Dichloro(fluoro)methyl]sulfanyl)-N',N'-dimethyl-N-phenylsulfamide #", "N-(Dichlor-fluor-methyl-thio)-N',N'-dimethyl-N-phenylschwefel-saeurediamid", 'Dichlofluanid solution, 100 mug/mL in acetonitrile, PESTANAL(R), analytical standard', 'Methanesulfenamide,1-dichloro-N-[(dimethylamino)sulfonyl]-1-fluoro-N-phenyl-', "N-{[dichloro(fluoro)methyl]sulfanyl}-N',N'-dimethyl-N-phenylsulfuric diamide"]</t>
  </si>
  <si>
    <t>Compound(14145)</t>
  </si>
  <si>
    <t>C9H11Cl2FN2O2S2</t>
  </si>
  <si>
    <t>2,2,2-trichloro-1,1-bis(4-chlorophenyl)ethanol</t>
  </si>
  <si>
    <t>['DICOFOL', 'Kelthane', '115-32-2', 'Acarin', 'Mitigan', 'Dichlorokelthane', 'Keltane', '2,2,2-Trichloro-1,1-bis(4-chlorophenyl)ethanol', 'DTMC', 'Kelthanethanol', 'Cekudifol', 'Carbax', 'Milbol', 'CPCA', 'Kelthane A', 'Kelthane dust base', "para,para'-Kelthane", 'Dicomite', 'Tricofol', 'Hilfol', 'Hilfol 18.5 ec', 'p,p-Dicofol', '1,1-Bis(p-chlorophenyl)-2,2,2-trichloroethanol', 'Di-(p-chlorophenyl)trichloromethylcarbinol', '1,1-Bis(4-chlorophenyl)-2,2,2-trichloroethanol', 'Caswell No. 093', 'Dicofol [BSI:ISO]', 'Agrothane', 'Decofol', 'Hifol', '2,2,2-Trichloro-1,1-bis(p-chlorophenyl)ethanol', 'NCI-C00486', 'UNII-W4WMM0WS91', 'FW 293', 'CCRIS 231', 'ENT 23,648', "4,4'-Dichloro-alpha-(trichloromethyl)benzhydrol", 'HSDB 631', 'EINECS 204-082-0', '4-Chloro-alpha-(4-chlorophenyl)-alpha-(trichloromethyl)benzenemethanol', 'BRN 1886299', 'W4WMM0WS91', 'Ethanol, 2,2,2-trichloro-1,1-bis(p-chlorophenyl)-', 'AI3-23648', 'CHEBI:34692', '1,1-Bis(chlorophenyl)-2,2,2-trichloroethanol', '1,1,1-Trichlor-2,2-bis(4-chlorphenyl)-aethanol', '2,2,2-Trichloro-1,1-di-(4-chlorophenyl)ethanol', 'Benzenemethanol, 4-chloro-alpha-(4-chlorophenyl)-alpha-(trichloromethyl)-', '2,2,2-Trichlor-1,1-bis(4-chlor-phenyl)-aethanol', '2,2,2-Trichloro-1,1-bis(4-cloro-fenil)-etanolo', "Benzhydrol, 4,4'-dichloro-alpha-(trichloromethyl)-", '1,1,1-Trichlor-2,2-bis(4-chlorphenyl)-aethanol [German]', '2,2,2-Trichloor-1,1-bis(4-chloor-fenyl)-ethanol [Dutch]', '2,2,2-Trichlor-1,1-bis(4-chlor-phenyl)-aethanol [German]', '2,2,2-Trichloro-1,1-bis(4-chlorophenyl)-ethanol [French]', '2,2,2-Trichloro-1,1-bis(4-cloro-fenil)-etanolo [Italian]', '4-Chloro-alpha-(4-chlorophenyl)-alpha-(trichloromethyl)benzyl alcohol', 'Benzenemethanol, 4-chloro-.alpha.-(4-chlorophenyl)-.alpha.-(trichloromethyl)-', "4,4'-Dichloro-.alpha.-(trichloromethyl)benzhydrol", 'Dicofol (kelthane)', 'Carbox', 'Mifol', 'Fumite Dicofol', "p,p'-Kelthane", "p,p'-Dicofol", "p,p'-Di cofol", 'DSSTox_CID_450', 'Dicofol, PESTANAL(R)', 'dicofol;Dicofol = Kelthane', 'DSSTox_RID_75599', '2,2,2-Trichloro-1,1-di(4-chlorophenyl)ethanol', 'DSSTox_GSID_20450', 'SCHEMBL26640', '2,2,2-Trichloro-1,1-bis(4-chlorophenyl)-ethanol', 'BIDD:ER0014', '2,2,2-Trichloor-1,1-bis(4-chloor-fenyl)-ethanol', 'CHEMBL228511', 'DTXSID4020450', 'UOAMTSKGCBMZTC-UHFFFAOYSA-', 'Dicofol 10 microg/mL in Isooctane', 'ZINC2041041', 'Tox21_300988', 'Dicofol 10 microg/mL in Cyclohexane', 'LS-575', 'AKOS015903771', 'Dicofol 100 microg/mL in Cyclohexane', 'AGR0000029', 'NCGC00091084-01', 'NCGC00091084-02', 'NCGC00091084-03', 'NCGC00091084-04', 'NCGC00254890-01', 'Bis(chlorophenyl)-2,2,2-trichloroethanol', 'CAS-115-32-2', 'Bis(chlorophenyl)-2,2,2-trichl oroethanol', 'DB-041258', 'FT-0624733', 'NS00004774', 'C14301', '1,1-bis-(chlorophenyl)-2,2,2-trichloroethanol', '1,1-Bis-(p-chlorophenyl)-2,2,2-trichloroethanol', '115D322', 'C-21131', 'Q418183', '2,2,2-Trichloor-1,1-bis(4-chloor fenyl)-ethanol', '2,2,2-trichloro-1,1-bis (4-chlorophenyl)ethanol', 'Dicofol, certified reference material, TraceCERT(R)', 'Ethanol,1,1-bis(p-chlorophenyl)-2,2,2-trichloro-', 'J-003282', '2,2,2-trichloro-1,1-bis(4-chlorophenyl)ethan-1-ol', "Benzhydrol, 4,4'-dichloro-.alpha.-(trichloromethyl)-", 'Ethanol, 2,2,2-Trichloro-1,1-bis(4-chlorophenyl)-', '4-Chloro-.alpha.-(4-chlorophenyl)-.alpha.-(trichloromethyl)benzenemethanol', 'Dicofol solution, 100 mug/mL in methanol, PESTANAL(R), analytical standard']</t>
  </si>
  <si>
    <t>Compound(8268)</t>
  </si>
  <si>
    <t>C14H9Cl5O</t>
  </si>
  <si>
    <t>2-[4-(2,4-dichlorophenoxy)phenoxy]propanoic acid</t>
  </si>
  <si>
    <t>['Diclofop', '40843-25-2', 'Diclofop acid', 'DICHLORFOP ACID', 'Caswell No. 328B', 'Diclofop [ANSI:BSI:ISO]', 'HOE 21079', '2-(4-(2,4-Dichlorophenoxy)phenoxy)propanoic acid', '2-[4-(2,4-Dichlorophenoxy)phenoxy]propanoic acid', 'BRN 2338390', 'Methyl 2-(4-(2,4-Dichlorophenyoxy)phenoxy)propanoate', '(RS)-2-(4-(2,4-Dichlorophenoxy)phenoxy)propionic acid', 'Propanoic acid, 2-(4-(2,4-dichlorophenoxy)phenoxy)-', 'Propanoic acid, 2-[4-(2,4-dichlorophenoxy)phenoxy]-', 'Diclofop methyl (free acid)', 'HOE-021079', 'Diclofop (free acid)', 'SCHEMBL66474', 'CHEMBL2288781', 'DTXSID5041859', 'CHEBI:81909', 'CHEBI:145406', '(+/-)-Diclofop, analytical standard', 'AKOS024354406', 'MCULE-4664611041', 'ACM40843252', 'NCGC00164481-01', 'CC-26559', 'DB-049669', 'LS-121352', 'FT-0639674', 'NS00002767', 'NS00099437', 'ST50981058', 'C18716', '2-(4-(2,4-dichlorophenoxy)phenoxy)propionic acid', '843D252', 'C-28105', "2-[4'-(2,4-dichlorophenoxy)-phenoxy]-propionic acid", '2-[4-(2,4-Dichlorophenoxy)phenoxy]propanoic acid #', 'Q27155655', '2-[4\'-(2",4"-dichlorophenoxy)-phenoxy]propionic acid', "4-(2',4'-dichlorophenoxy)-alpha-phenoxy-propionic acid"]</t>
  </si>
  <si>
    <t>Compound(38687)</t>
  </si>
  <si>
    <t>C15H12Cl2O4</t>
  </si>
  <si>
    <t>(2,4-dichlorophenoxy)-diethoxy-sulfanylidene-lambda5-phosphane</t>
  </si>
  <si>
    <t>['DICHLOFENTHION', '97-17-6', 'Hexanema', 'Mobilawn', 'Nemacide', 'Tri-vc 13', 'ECP (pesticide)', 'Nemacide VC-13', 'VC13 Nemacide', 'VC 13', 'Caswell No. 321', 'V-C 13', 'Dichlofenthion [ANSI]', 'Dichlofention', 'Dichlorofenthion', 'v-C-13', 'Diethyl 2,4-dichlorophenyl phosphorothionate', 'ENT 17470', 'NSC 52964', 'UNII-64234GT8TT', 'VC-13 Nemacide', 'Phosphorothioic acid, O-(2,4-dichlorophenyl) O,O-diethyl ester', 'HSDB 1576', 'EINECS 202-564-5', 'EPA Pesticide Chemical Code 028601', 'O-2,4-Dichlorophenyl O,O-diethyl phosphorothioate', 'BRN 1993440', 'O,O-Diethyl O-(2,4-dichlorophenyl) phosphorothioate', 'V-Cl 13', 'AI3-17470', 'ECP', '2,4-Dichloro-phenyl diethyl phosphorothionate', 'CHEBI:81730', 'Phenol, 2,4-dichloro-, O-ester with O,O-diethyl phosphorothioate', 'v-c 1-13', 'O,O-Diethyl O-2,4-dichlorophenyl thiophosphate', '64234GT8TT', 'O,O-Diaethyl-O-2,4-dichlorphenyl-thionophosphat', 'O,O-Dietil-O-(2,4-dicloro-fenil)-monotiofosfato', 'O,O-Diethyl-O-(2,4-dichloor-fenyl)-monothiofosfaat', 'ENT 17,470', 'O-(2,4-Dichlorophenyl)-O,O-diethyl phosphorothioic acid', 'O,O-Diaethyl-O-2,4-dichlorphenyl-thionophosphat [German]', 'Thiophosphate de o-2,4-dichlorophenyle et de O,o-diethyle', 'O,O-Diaethyl-O-2,4-dichlor-phenyl-monothiophosphat [German]', 'O,O-Diethyl-O-(2,4-dichloor-fenyl)-monothiofosfaat [Dutch]', 'O,O-Dietil-O-(2,4-dicloro-fenil)-monotiofosfato [Italian]', '2,4-Dichlorophenyl diethyl phosphorothionate', 'Thiophosphate de O-2,4-dichlorophenyle et de O,O-diethyle [French]', 'O-(2,4-Dichlorophenyl) O,O-Diethyl phosphorothioate', 'Dichlofenthion [ANSI:ISO]', 'C10H13Cl2O3PS', 'Dichlorfenthion', 'Diclofenthion', '(2,4-dichlorophenoxy)-diethoxy-sulfanylidene-?^{5}-phosphane', 'Dichlofenthion [BAN]', 'DSSTox_CID_20274', 'DSSTox_RID_79465', 'DSSTox_GSID_40274', 'O,o-Diaethyl-o-2,4-dichlor-phenyl-monothiophosphat', 'Dichlofenthion;Dichlorofenthion', 'SCHEMBL117873', 'O-2,O-diethyl phosphorothioate', 'CHEMBL1396626', 'DTXSID8040274', 'O-(2,O-diethyl phosphorothioate', 'Thiophosphate de o-2,o-diethyle', 'O,4-dichlorophenyl) thiophosphate', 'O,4-dicloro-fenil)-monotiofosfato', 'O,4-dichlorophenyl)phosphorothioate', 'NSC52964', 'O,4-dichlor-phenyl-monothiophosphat', 'O,4-dichloor-fenyl)-monothiofosfaat', 'O,4-dichlorophenyl) phosphorothioate', 'Tox21_301160', 'NSC-52964', 'AKOS015902498', 'Phosphorothioic acid, O-(2,4-dichlorophenyl) O,O-diethyl ester (8CI)(9CI)', 'CAS-97-17-6', 'NCGC00166316-01', 'NCGC00166316-02', 'NCGC00255058-01', 'WLN: GR CG DOPS &amp; O2 &amp; O2', 'Dichlofenthion 1000 microg/mL in Acetone', 'DB-057666', 'Dichlofenthion 10 microg/mL in Cyclohexane', 'LS-108544', 'FT-0603082', 'NS00000123', 'C18398', '097D176', 'Dichlofenthion, PESTANAL(R), analytical standard', 'O,O-Diethyl O-(2,4-dichlorophenyl) thiophosphate', 'SR-01000883721', 'O-(2,4-Dichlorophenyl)O,O-diethylphosphorothionate', 'Q3026533', 'SR-01000883721-1', 'o-(2,4-Dichlorophenyl) O,O-diethyl thiophosphate #', 'Phosphorothioic acid,4-dichlorophenyl) O,O-diethyl ester', 'Phosphorothioic acid,4-dichlorophenyl)-O,O-diethyl ester', 'Phenol,4-dichloro-, O-ester with O,O-diethyl phosphorothioate', 'Phosphorothioic acid, O-(2,4-dichlorophenyl) O,O-diethyl ester (8CI)']</t>
  </si>
  <si>
    <t>Compound(7328)</t>
  </si>
  <si>
    <t>C10H13Cl2O3PS</t>
  </si>
  <si>
    <t>2-[2-(2,6-dichloroanilino)phenyl]acetic acid</t>
  </si>
  <si>
    <t>['diclofenac', '15307-86-5', 'Diclofenac acid', 'dichlofenac', 'Voltaren', 'Diclofenacum', 'Diclophenac', '2-(2-((2,6-Dichlorophenyl)amino)phenyl)acetic acid', 'Diclofenaco', 'ProSorb-D', 'Voltarol', 'Diclofenac resinate', 'Pennsaid', 'Benzeneacetic acid, 2-[(2,6-dichlorophenyl)amino]-', '2-((2,6-Dichlorophenyl)amino)benzeneacetic acid', '2-(2,6-Dichloroanilino)phenylacetic Acid', 'Diclofenacum [INN-Latin]', 'Diclofenaco [INN-Spanish]', '2-[2-(2,6-dichloroanilino)phenyl]acetic acid', 'Solaraze', 'UNII-144O8QL0L1', '{2-[(2,6-dichlorophenyl)amino]phenyl}acetic acid', 'CHEBI:47381', 'Voltaren-XR', '2-{2-[(2,6-dichlorophenyl)amino]phenyl}acetic acid', 'HSDB 7234', '[2-(2,6-Dichloroanilino)phenyl]acetic acid', 'EINECS 239-348-5', '2-[(2,6-Dichlorophenyl)amino]benzeneacetic acid', 'CHEMBL139', 'BRN 2146636', '2-[2,6-DICHLOROPHENYL)AMINO]BENZENEACETIC ACID', 'ACETIC ACID, (o-(2,6-DICHLOROANILINO)PHENYL)-', '144O8QL0L1', 'Arthrotec', 'Olfen', '2-[2-(2,6-dichlorophenyl)aminophenyl]ethanoic acid', 'Benzeneacetic acid, 2-((2,6-dichlorophenyl)amino)-', 'Novapirina', 'Solaraze (TN)', '2-[(2,6-dichlorophenyl)amino]-benzeneacetic acid', '2-[2-[(2,6-dichlorophenyl)amino]phenyl]acetic acid', 'Dichlofenal', 'Dicrofenac', 'Zorovolex', 'Zorvolex', 'Diclonate P', 'Diclofenamic acid', 'DIF', 'CGP-45840B', 'Diclofenac [INN:BAN]', 'GP-45840', '(2-((2,6-Dichlorophenyl)amino-phenyl)acetic acid (HD)', 'Diclofenac [USAN:INN:BAN]', 'ISV-205', 'SR-38', 'Zorvolex (TN)', 'Spectrum_000930', 'GP-45,840', 'Diclofenac (USAN/INN)', 'Prestwick0_000594', 'Prestwick1_000594', 'Prestwick2_000594', 'Prestwick3_000594', 'Spectrum2_000991', 'Spectrum3_000385', 'Spectrum4_000506', 'Spectrum5_000867', 'ACMC-209d8r', 'Epitope ID:116873', 'EC 239-348-5', 'SCHEMBL2799', 'Lopac0_000441', 'Oprea1_011155', 'BSPBio_000468', 'BSPBio_002169', 'KBioGR_001051', 'KBioGR_002306', 'KBioSS_001410', 'KBioSS_002308', 'MLS006011795', 'BIDD:GT0380', 'DivK1c_000272', 'DivK1c_000402', 'SPBio_001081', 'SPBio_002687', 'BPBio1_000516', 'GTPL2714', 'ZINC1281', 'DTXSID6022923', 'BDBM13066', 'CTK8B0851', 'HMS501E04', 'KBio1_000272', 'KBio1_000402', 'KBio2_001410', 'KBio2_002306', 'KBio2_003978', 'KBio2_004874', 'KBio2_006546', 'KBio2_007442', 'KBio3_001389', 'KBio3_002786', '2b17', 'cMAP_000014', 'NINDS_000272', 'NINDS_000402', 'HMS2090C10', 'BCP09087', 'BCP13860', 'EBD50236', 'KS-000001OB', 'ANW-21433', 's6073', 'STK984493', 'AKOS001579542', 'CS-2862', 'DB00586', 'KS-1258', 'MCULE-1824024270', 'IDI1_000272', 'IDI1_000402', 'NCGC00021125-01', 'NCGC00021125-02', 'AC-27673', 'AK-75694', 'HY-15036', 'LS-11575', 'o-(2,6-dichloroanilino)phenylacetic acid', 'SC-16284', 'SMR001550371', 'SBI-0051341.P003', 'D3748', 'FT-0624731', 'FT-0666643', 'NS00000212', 'ST51039044', 'UNM000001216103', '[2-(2,6-Dichloroanilino)phenyl]acetic acid #', 'C01690', 'D07816', 'M-7482', '[o-(2,6-dichloro-anilino)-phenyl]-acetic acid', '2-[(2,6-dichlorophenyl)amino]phenylacetic acid', '2-[2-(2,6-dichloroanilino)phenyl]acetic acid.', 'AB01275502-01', 'AB01275502_02', '056D694', '2-(2-(2,6-dichlorophenylamino)phenyl)acetic acid', '2-[(2,6-dichlorophenyl)amino]-phenyl-acetic acid', 'Enfenamic acid; N-Phenethylanthranilic acid; RH 8', 'Q244408', '[2-(2,6-dichloro-phenylamino)-phenyl]-acetic acid', '2-[(2,6-dichlorophenyl)-amino]-benzeneacetic acid', '2-[(2,6-dichlorophenyl)-amino]-phenyl-acetic acid', '2-[2-(2,6-dichlorophenylamino)phenyl]-acetic acid', 'SR-01000003041-3', '2-[2-(2,6-dichlorophenylamino)-phenyl]-acetic acid', 'BRD-K08252256-236-05-6', 'BRD-K08252256-236-17-1', 'Z57664869', 'F0722-0745', 'Benzeneacetic acid, 2-((2,6-dichlorophenyl)amino)- (9CI)', '2-[2-[(2,6-Dichlorophenyl)amino]phenyl]acetic Acid (Diclofenac)', '128402-48-2', 'Diclofenac sodium;sodium [2-[(2,6-dichlorophenyl)amino]phenyl]acetate;Diclofenac Potassium;Diclofenac']</t>
  </si>
  <si>
    <t>Compound(3033)</t>
  </si>
  <si>
    <t>C14H11Cl2NO2</t>
  </si>
  <si>
    <t>dicloxacillin</t>
  </si>
  <si>
    <t>(2S,5R,6R)-6-[[3-(2,6-dichlorophenyl)-5-methyl-1,2-oxazole-4-carbonyl]amino]-3,3-dimethyl-7-oxo-4-thia-1-azabicyclo[3.2.0]heptane-2-carboxylic acid</t>
  </si>
  <si>
    <t>['dicloxacillin', 'Dicloxacycline', '3116-76-5', 'Dicloxacilina', 'Dicloxacilline', 'Dicloxacillinum', 'Dicloxacilin', 'Diclossacillina [DCIT]', 'Dynapen', 'Dicloxacilina [INN-Spanish]', 'Dicloxacilline [INN-French]', 'Dicloxacillinum [INN-Latin]', 'Dicloxacillin sodium', 'Maclicine', 'Methyldichlorophenylisoxazolylpenicillin', 'Dicloxacillin [USAN:INN:BAN]', 'UNII-COF19H7WBK', 'R-13423', 'CHEBI:4511', 'HSDB 3222', 'EINECS 221-488-3', 'COF19H7WBK', 'BRL 1702', '3-(2,6-Dichlorophenyl)-5-methyl-4-isoxazolylpenicillin', '(2S,5R,6R)-6-({[3-(2,6-dichlorophenyl)-5-methyl-1,2-oxazol-4-yl]carbonyl}amino)-3,3-dimethyl-7-oxo-4-thia-1-azabicyclo[3.2.0]heptane-2-carboxylic acid', 'Diclossacillina', '6-(3-(2,6-Dichlorophenyl)-5-methyl-4-isoxazolecarboxamido)penicillanic acid', '4-Thia-1-azabicyclo(3.2.0)heptane-2-carboxylic acid, 6-(((3-(2,6-dichlorophenyl)-5-methyl-4-isoxazolyl)carbonyl)amino)-3,3-dimethyl-7-oxo-, (2S-(2alpha,5alpha,6beta))-', 'Dicloxaciclin', 'Dichloroxacillin', '6-(3-(2,6-Dichlorophenyl)-5-methyl-4-isoxazolecarboxamido)-3,3-dimethyl-7-oxo-4-thia-1-azabicyclo(3.2.0)heptane-2-carboxylic acid', 'Dicloxacillin (USAN/INN)', 'Dicloxacillin, Monosodium Salt, Mono-Hydrate', 'NM|| Dicloxacillin', 'Spectrum_000932', '13412-64-1', 'Prestwick0_000450', 'Prestwick1_000450', 'Prestwick2_000450', 'Prestwick3_000450', 'Spectrum2_000981', 'Spectrum3_000386', 'Spectrum4_000507', 'Spectrum5_000869', 'CHEMBL893', 'Epitope ID:181860', 'SCHEMBL23955', 'BSPBio_000500', 'BSPBio_002171', 'KBioGR_001053', 'KBioSS_001412', 'DivK1c_000658', 'SPBio_001041', 'SPBio_002439', 'BPBio1_000550', 'DTXSID1022924', 'KBio1_000658', 'KBio2_001412', 'KBio2_003980', 'KBio2_006548', 'KBio3_001391', 'NINDS_000658', 'ZINC3978006', 'BDBM50350476', 'AKOS016010072', 'API0004676', 'DB00485', 'IDI1_000658', '(2S,5R,6R)-6-({[3-(2,6-dichlorophenyl)-5-methylisoxazol-4-yl]carbonyl}amino)-3,3-dimethyl-7-oxo-4-thia-1-azabicyclo[3.2.0]heptane-2-carboxylic acid', '(2S,5R,6R)-6-[3-(2,6-dichlorophenyl)-5-methyl-1,2-oxazole-4-amido]-3,3-dimethyl-7-oxo-4-thia-1-azabicyclo[3.2.0]heptane-2-carboxylic acid', '6beta-{[3-(2,6-dichlorophenyl)-5-methyl-1,2-oxazol-4-yl]carboxamido}-2,2-dimethylpenam-3alpha-carboxylic acid', 'CC-26562', 'SBI-0051342.P003', 'AX8110166', 'LS-174329', 'C06950', 'D02348', '116D765', 'C-22698', 'Q2313471', 'BRD-K05673000-323-02-8', '3-(2,6-Dichlorophenyl)-5-methyl-4-isooxazolylpenicillin', '(2S,5R,6R)-6-(3-(2,6-dichlorophenyl)-5-methylisoxazole-4-carboxamido)-3,3-dimethyl-7-oxo-4-thia-1-azabicyclo[3.2.0]heptane-2-carboxylic acid', '4-Thia-1-azabicyclo [3.2.0] heptane -2-caboxylic acid, 6-[[[3-(2,6- dichlorophenyl)-5-methyl-4-isoxazolyl] carbonyl] amino]-3,3- dimethyl-7-oxo-, monosodium salt, monohydrate, [2S-(2alpha, 5alpha, 6-beta)]-', '4-Thia-1-azabicyclo[3.2.0]heptane-2-carboxylic acid,6-[[[3-(2,6-dichlorophenyl)-5-methyl-4-isoxazolyl]carbonyl]amino]-3,3-dimethyl-7-oxo-,(2S,5R,6R)-']</t>
  </si>
  <si>
    <t>Compound(18381)</t>
  </si>
  <si>
    <t>C19H17Cl2N3O5S</t>
  </si>
  <si>
    <t>dicrotophos</t>
  </si>
  <si>
    <t>[(E)-4-(dimethylamino)-4-oxobut-2-en-2-yl] dimethyl phosphate</t>
  </si>
  <si>
    <t>['DICROTOPHOS', 'Bidrin', 'Carbicron', 'Carbomicron', 'Diapadrin', 'Karbicron', 'Oleobidrin', 'Ektafos', '141-66-2', 'Dicrotofos', 'Shell sd-3562', 'Ciba 709', 'Dicrotofos [Dutch]', 'Caswell No. 376', 'Dicrotophos [BSI:ISO]', 'OMS 253', 'UNII-B541I65WBL', '3-(Dimethoxyphosphinyloxy)-N,N-dimethyl-cis-crotonamide', 'ENT 24,482', 'SD 3562', '3-Dimethoxyphosphinoyloxy-N,N-dimethylisocrotonamide', '(E)-3-(Dimethylamino)-1-methyl-3-oxoprop-1-enyl dimethyl phosphate', 'HSDB 1637', 'C 709', '(E)-2-Dimethylcarbamoyl-1-methylvinyl dimethyl phosphate', 'Dimethyl (E)-2-dimethyl-carbamoyl-1-methylvinyl phosphate', 'EINECS 205-494-3', '3-Hydroxydimethyl crotonamide dimethyl phosphate', 'EPA Pesticide Chemical Code 035201', 'BRN 1880084', 'Dimethyl 1-dimethylcarbamoyl-1-propen-2-yl phosphate', 'cis-2-Dimethylcarbamoyl-1-methylvinyl dimethylphosphate', '(E)-Phosphoric acid, 3-(dimethylamino)-1-methyl-3-oxo-1-propenyl dimethyl ester', 'Phosphoric acid, 3-(dimethylamino)-1-methyl-3-oxo-1-propenyl dimethyl ester, (E)-', 'AI3-24482', '3-Hydroxy-N,N-dimethyl-cis-crotonamide dimethyl phosphate', 'B541I65WBL', '2-Dimethyl cis-2-dimethyl-carbamoyl-1-methylvinyl phosphate', 'Dimethyl phosphate of 3-hydroxy-N,N-dimethyl-cis-crotonamide', 'CHEBI:38658', 'Crotonamide, 3-hydroxy-N-N-dimethyl-, dimethyl phosphate, cis-', 'O,O-Dimethyl O-(N,N-dimethylcarbamoyl-1-methylvinyl) phosphate', 'O,O-Dimethyl-O-(1,4-dimethyl-3-oxo-4-aza-pent-1-enyl)phosphate', 'Dimethyl phosphate ester with 3-hydroxy-N,N-dimethyl-cis-crotonamide', '3-Dimethoxyphosphinyloxy-N,N-dimethylisocrotonamide', 'Phosphoric acid, dimethyl ester, ester with (E)-3-hydroxy-N,N-dimethylcrotonamide', 'Dimethyl 2-dimethylcarbamoyl-1-methyl-vinyl phosphate', 'O,O-Dimethyl-O-(1,4-dimethyl-3-oxo-4-aza-pent-1-enyl)fosfaat', 'O,O-Dimetil-O-(1,4-dimetil-3-oxo-4-aza-pent-1-enil)-fosfato', 'Phosphate de dimethyle et de 2-dimethylcarbamoyl 1-methyl vinyle', 'Crotonamide, 3-hydroxy-N-N-dimethyl-, dimethyl phosphate, (E)-', 'O,O-Dimethyl-O-(1-methyl-2-N,N-dimethyl-carbamoyl)-vinyl-phosphat', '(1E)-3-(dimethylamino)-1-methyl-3-oxoprop-1-en-1-yl dimethyl phosphate', 'O,O-Dimethyl-O-(1,4-dimethyl-3-oxo-4-aza-pent-1-enyl)fosfaat [Dutch]', 'O,O-Dimethyl-O-(2-dimethyl-carbamoyl-1-methyl-vinyl)phosphat [German]', '3-(Dimethylamino)-1-methyl-3-oxo-1-propenyl dimethyl phosphate (E)-isomer', 'Dimethyl ester with (E)-3-hydroxy-N,N-dimethylcrotonamide phosphoric acid', 'O,O-Dimethyl-O-(1-methyl-2-N,N-dimethyl-carbamoyl)-vinyl-phosphat [German]', 'O,O-Dimetil-O-(1,4-dimetil-3-oxo-4-aza-pent-1-enil)-fosfato [Italian]', 'Phosphate de dimethyle et de 2-dimethylcarbamoyl 1-methyl vinyle [French]', 'W-109506', 'Phosphoric acid, (1E)-3-(dimethylamino)-1-methyl-3-oxo-1-propenyl dimethyl ester', 'Phosphoric acid, dimethyl 1-methyl-N,N-(dimethylamino)-3-oxo-1-propenyl ester, (E)-', 'Phosphoric acid, dimethyl ester, ester with 3-hydroxy-N,N-dimethylcrotonamide, (E)-', 'Dicrotophos (Bidrin)', 'Bidirl', 'trans-Bidrin', 'DSSTox_CID_3914', 'DSSTox_RID_77230', 'DSSTox_GSID_23914', 'SCHEMBL26457', 'SCHEMBL3734382', 'CHEMBL1876467', 'DTXSID9023914', 'O,O-Dimethyl-O-(2-dimethyl-carbamoyl-1-methyl-vinyl)phosphat', '[(E)-4-(dimethylamino)-4-oxobut-2-en-2-yl] dimethyl phosphate', 'Tox21_301078', 'ACM141662', 'NSC370784', 'ZINC13827844', '(E)-3-(Dimethylamino)-1-methyl-3-oxo-1-propenyl dimethyl phosphate (9CI)', 'AKOS015904059', 'Dimethyl phosphate ester with (E)-3-hydroxy-N,N-dimethylcrotonamide (8CI)', 'ACM3735782', 'NSC-370784', 'PHOSPHORIC ACID,(1E)-3-(DIMETHYLAMINO)-1-METHYL-3-OXO-1-PROPEN-1-YL DIMETHYL ESTER', 'NCGC00163830-01', 'NCGC00163830-02', 'NCGC00163830-03', 'NCGC00254979-01', 'CAS-141-66-2', 'LS-107788', 'NS00007208', 'C18656', 'Dicrotophos, PESTANAL(R), analytical standard', '97640-EP2275422A1', '97640-EP2292608A1', '97640-EP2305662A1', 'Q411748', 'Dimethyl 2-Dimethylcarbamoyl-1-methylvinyl phosphate', '(2E)-4-(Dimethylamino)-4-oxobut-2-en-2-yl dimethyl phosphate', '(E)-4-(dimethylamino)-4-oxobut-2-en-2-yl dimethyl phosphate', 'Crotonamide, 3-hydroxy-N,N-dimethyl-, cis-, dimethyl phosphate', 'O,O-Dimethyl-O-(2-dimethyl-carbamoyl-1-methyl-vinyl)phosphate', '(E)-3-(Dimethylamino)-1-methyl-3-oxo-1-propenyl dimethyl phosphate', 'Dimethyl phosphate ester with (E)-3-hydroxy-N,N-dimethylcrotonamide', '(1E)-3-(Dimethylamino)-1-methyl-3-oxo-1-propenyl dimethyl phosphate #', '3-(Dimethylamino)-1-methyl-3-oxo-1-propenyl dimethyl phosphate, (E)-', 'Dicrotophos;3-(dimethylamino)-1-methyl-3-oxoprop-1-enyl dimethyl phosphate', 'Phosphoric acid 3-(dimethylamino)-1-methyl-3-oxo-1-propenyl dimethyl ester, (E)-', 'Phosphoric acid, dimethyl 1-methyl-N,N-(dimethylamino)-3-oxo-1-propenyl ester, (E)- (9CI)', 'Pesticide1_Dicrotophos_C8H16NO5P_(2E)-4-(Dimethylamino)-4-oxo-2-buten-2-yl dimethyl phosphate']</t>
  </si>
  <si>
    <t>Compound(5371560)</t>
  </si>
  <si>
    <t>C8H16NO5P</t>
  </si>
  <si>
    <t>dienochlor</t>
  </si>
  <si>
    <t>1,2,3,4,5-pentachloro-5-(1,2,3,4,5-pentachlorocyclopenta-2,4-dien-1-yl)cyclopenta-1,3-diene</t>
  </si>
  <si>
    <t>['Dienochlor', '2227-17-0', 'Decachlor', 'PENTAC', 'Pentac SP', 'Pentac WP', 'Dienochlore', 'Hooker hrs-16', 'Hooker HRS 1654', 'Bis(pentachlorocyclopentadienyl)', 'HRS 16A', 'Decachlorobi-2,4-cyclopentadien-1-yl', 'HRS 1654', 'Bis(pentachloro-2,4-cyclopentadien-1-yl)', 'Caswell No. 274', 'Pentac (50WP)', 'Decachlorobi-2,4-cyclopentadiene-1-yl', 'ENT 25,718', 'Dienochlor [BSI:ISO]', 'Decachlorobis(2,4-cyclopentadiene-1-yl)', 'Bis(pentachlor-2,4-cyclopentadien-1-yl)', 'Dienochlore [ISO-French]', 'NSC 26106', 'NSC 41880', "Bi-2,4-cyclopentadien-1-yl, 1,1',2,2',3,3',4,4',5,5'-decachloro-", 'UNII-243Z2SVZ40', 'CCRIS 9112', 'HRS-16', 'Bi-2,4-cyclopentadien-1-yl, decachloro-', 'HSDB 1557', 'EINECS 218-763-5', 'EPA Pesticide Chemical Code 027501', 'BRN 2064747', 'Decachlorobis(2,4-cyclopentadien-1-yl)', "Perchloro-1,1'-bicyclopenta-2,4-diene", "Perchloro-1,1'-bicyclopenta-2,4-dienyl", 'AI3-25718', 'HRS 16', 'CHEBI:81753', '243Z2SVZ40', "1,1',2,2',3,3',4,4',5,5'-Decachlorobi-2,4-cyclopentadien-1-yl", '1,2,3,4,5-pentachloro-5-(1,2,3,4,5-pentachlorocyclopenta-2,4-dien-1-yl)cyclopenta-1,3-diene', 'Bi-2, decachloro-', "Bi-2, 1,1',2,2',3,3',4,4',5,5'-decachloro-", 'Pentac aquaflow', 'WLN: L5 AHJ AG BG CG DG EG A- AL5 AHJ AG BG CG DG EG', '4-05-00-01542 (Beilstein Handbook Reference)', 'SCHEMBL117767', 'CHEMBL1355965', 'DTXSID9032371', 'NSC26106', 'NSC41880', 'NSC-26106', 'NSC-41880', 'ZINC17654963', 'AKOS015903347', 'MCULE-6209629508', 'NCGC00166129-01', 'LS-43825', "perchloro-1,1'-bi(cyclopenta-2,4-diene)", 'DB-045862', 'FT-0634148', 'NS00021868', 'Dienochlor, PESTANAL(R), analytical standard', 'C18446', 'C-58074', 'J-014617', 'Q3032700', "Bi-2,4-cyclopentadien-1-yl, 1,1',2,2',3,3',4,4',5,5'-decachloro- (8CI)", "Bi-2,4-cyclopentadien-1-yl, 1,1',2,2',3,3',4,4',5,5'-decachloro- (8CI)(9CI)"]</t>
  </si>
  <si>
    <t>Compound(16686)</t>
  </si>
  <si>
    <t>C10Cl10</t>
  </si>
  <si>
    <t>Diepoxybutane</t>
  </si>
  <si>
    <t>2-(oxiran-2-yl)oxirane</t>
  </si>
  <si>
    <t>["2,2'-Bioxirane", 'Diepoxybutane', '1,3-Butadiene diepoxide', '1464-53-5', 'Butadiene diepoxide', 'Butadiene dioxide', 'Dioxybutadiene', 'Bioxirane', 'Butane diepoxide', '1,2:3,4-DIEPOXYBUTANE', 'Bioxiran', '1,2,3,4-Diepoxybutane', 'Butadiendioxyd', '1,2:3,4-Butadiene diepoxide', 'Butane, 1,2:3,4-diepoxy-', 'D,L-Diepoxybutane', 'RCRA waste number U085', "1,1'-Bi(ethylene oxide)", "1,1'-Bi[ethylene oxide]", 'Erythritol anhydride', 'Butadiendioxyd [German]', 'CB 1181', 'NSC 629', 'Threitol, 1,2:3,4-dianhydro-', 'R 181', 'ENT-26592', 'CCRIS 234', 'M 8838', 'D,L-1,2:3,4-Diepoxybutane', 'HSDB 4046', 'EINECS 215-979-1', 'RCRA waste no. U085', 'BRN 0079833', '1,2,3,4-Diepoxybutane DL', 'AI3-26592', 'CHEBI:23704', 'Diepoxybutane, dl-', 'dl-Butadiene dioxide', '298-18-0', 'UNII-60OB65YNAB', '2-(oxiran-2-yl)oxirane', 'J-503880', 'J-640017', 'CCRIS 2782', '1,2:3,4-Dianhydro-DL-threitol', '(+-)-1,2:3,4-Diepoxybutane', 'EINECS 206-060-6', "2,2'-Bioxirane, (2R,2'R)-rel-", 'Butane, (+-)-1,2:3,4-diepoxy-', "(R*,R*)-(+-)-2,2'-Bioxirane", 'Butane,2:3,4-diepoxy-', 'meso-1,2,3,4-Diepoxybutane', 'CCRIS 5879', 'WLN: T3OTJ B- BT3OTJ', 'Erythritol, 1,2:3,4-dianhydro-', 'Butane, meso-1,2:3,4-diepoxy-', 'NSC 32607', 'Butane, 1,2:3,4-diepoxy-, meso-', "2,2'-Bioxirane, (2R,2'S)-rel-", 'BRN 0079832', '1,4-Diepoxybutane', '2,4-Diepoxybutane', "2,2'-Bioxirane, (theta,theta)-(+/-)-", "2,2'-Bioxirane, (R*,R*)-(.+/-.)-", '1,3,4-Diepoxybutane', '1,2:3,4-dianhydrothreitol', 'Threitol,2:3,4-dianhydro-', '5-19-01-00185 (Beilstein Handbook Reference)', 'NSC629', 'CHEMBL1964283', 'DTXSID0041307', '1,3-Butadiene diepoxide, 97%', 'CTK0H5398', 'ZFIVKAOQEXOYFY-UHFFFAOYSA-', 'NSC-629', "2,2'-Bioxirane, (R*,S*)-", '5-(DimEtNmEt)furfuryl alcohol HCl', '1,2:3,4-Diepoxybutane, (DL)-', 'MFCD00005120', '(A+/-)-1,2;3,4-diepoxy-butane', 'AKOS017342854', 'FCH1118637', 'LS-1144', 'VA10447', 'KS-0000124K', 'CC-25276', 'LS-45689', 'LS-45691', 'NCI60_009412', '1,3-Butadiene diepoxide, analytical standard', 'B0234', 'D3410', 'FT-0606590', 'NS00024792', '1,3-Butadiene diepoxide, 98+%, AcroSeal(R)', 'Butane, 1,2:3,4-diepoxy-, (.+/-.)-', 'C-00085', 'J-800012', 'Q5274970', 'ERYTHRITHOL ANHYDRIDE (OLD NAME); 1,3-BUTADIENE DIEPOXIDE', '1,2,3,4-DIEPOXYBUTANE DL ( (SEE ALSO: 1,2,3,4-DIEPOXYBUTANE, CAS 564-00-1))', "2,2'-bioxirane;2,2-bioxirane;dl-Diepoxybutane;1,2,3,4-diepoxybutane;POLYETADENE"]</t>
  </si>
  <si>
    <t>Compound(11254)</t>
  </si>
  <si>
    <t>propan-2-yl N-(3,4-diethoxyphenyl)carbamate</t>
  </si>
  <si>
    <t>['Diethofencarb', '87130-20-9', 'powmil', 'Isopropyl (3,4-diethoxyphenyl)carbamate', 'Powmyl WP', 'Diethofencarb [ISO]', 'Isopropyl 3,4-diethoxycarbanilate', 'Isopropyl 3,4-diethoxyphenylcarbamate', 'propan-2-yl N-(3,4-diethoxyphenyl)carbamate', 'UNII-421BLT77U4', 'Isopropyl N-(3,4-diethoxyphenyl)carbamate', '1-Methylethyl (3,4-diethoxyphenyl)carbamate', 'CHEBI:4520', 'S-165', 'S-1605', '421BLT77U4', 'S 32165', 'Carbamic acid, (3,4-diethoxyphenyl)-, 1-methylethyl ester', 'propan-2-yl (3,4-diethoxyphenyl)carbamate', 'Powmyl', 'Diethofenacarb', 'DIETHENOFENCARB', 'DSSTox_CID_17527', 'DSSTox_RID_79330', 'DSSTox_GSID_37527', 'SCHEMBL22967', 'CHEMBL1880404', 'DTXSID5037527', 'LNJNFVJKDJYTEU-UHFFFAOYSA-', 'ZINC900770', 'Tox21_301915', 'AKOS015889914', 'VA10729', 'NCGC00163730-01', 'NCGC00255515-01', 'LS-49258', 'S373', 'SC-18146', 'Diethofencarb 10 microg/mL in Cyclohexane', 'AX8124483', 'CAS-87130-20-9', 'DB-056972', 'Diethofencarb 10 microg/mL in Acetonitrile', 'Pesticide3_Diethofencarb_C14H21NO4_Powmil', 'FT-0630949', 'NS00010585', '1-methylethyl N-(3,4-diethoxyphenyl)carbamate', 'C11077', 'Diethofencarb, PESTANAL(R), analytical standard', '130D209', 'Q2372095', 'diethofencarb;1-Methylethyl 3,4-diethoxyphenylcarbamate']</t>
  </si>
  <si>
    <t>Compound(91742)</t>
  </si>
  <si>
    <t>C14H21NO4</t>
  </si>
  <si>
    <t>ethyl 2-(N-(2-chloroacetyl)-2,6-diethylanilino)acetate</t>
  </si>
  <si>
    <t>['Diethatyl-ethyl', 'Diethatyl ethyl', 'Antor', '38727-55-8', 'BAY nnt 6867', 'HERCULES 22234', 'Caswell No. 179D', 'Diethatyl-ethyl [ISO]', 'Bay NTN 6867', 'UNII-U79T955O9J', 'Glycine, N-(chloroacetyl)-N-(2,6-diethylphenyl)-, ethyl ester', 'EINECS 254-105-3', 'H 22234', 'EPA Pesticide Chemical Code 279500', 'BRN 2153901', 'Ethyl N-(chloroacetyl)-N-(2,6-diethylphenyl)glycinate', 'N-Chloroacetyl-N-(2,6-diethylphenyl)glycine ethyl ester', 'AC 22,234', 'U79T955O9J', 'Ethyl N-chloroacetyl-2,6-diethylanilinoacetate', 'N-Chloroacetyl-N-(2,6-diethylphenyl)glycine, ethyl ester', 'Diethatylethyl', 'Diethacine-ethyl', 'Nevirex G', 'Diethatyl Ethyl Ester', 'Diethatyl-ethyl (Antor)', 'SCHEMBL144145', 'DTXSID9032539', 'ethyl 2-(N-(2-chloroacetyl)-2,6-diethylanilino)acetate', 'CHEBI:82178', 'ZINC2007709', 'ACM38727558', 'LS-72376', 'NS00022134', 'C19051', 'Ethyl [(chloroacetyl)-2,6-diethylanilino]acetate #', 'Q27155787', 'N-chloroacetyl-N-(2,6-diethylphenyl)glycine ethylester', 'ethyl 2-(2-chloro-N-(2,6-diethylphenyl)acetamido)acetate', 'Ethyl N-(2,6-diethylphenyl)-N-(chloroacetyl)aminoacetate', 'Ethyl N-(chloroacetyl)-N-(2,6-diethylphenyl)glycinate;ethyl N-(chloroacetyl)-N-(2,6-diethylphenyl)glycinate']</t>
  </si>
  <si>
    <t>Compound(38090)</t>
  </si>
  <si>
    <t>C16H22ClNO3</t>
  </si>
  <si>
    <t>2-(N-(2-chloroacetyl)-2,6-diethylanilino)acetic acid</t>
  </si>
  <si>
    <t>['Diethatyl', '38725-95-0', 'UNII-JL34LTZ963', 'Diethatyl [ANSI:BSI:ISO]', 'N-(Chloroacetyl)-N-(2,6-diethylphenyl)glycine', 'BRN 2871790', 'JL34LTZ963', '2-[(2-CHLOROACETYL)-(2,6-DIETHYLPHENYL)AMINO]ACETIC ACID', 'Glycine, N-(chloroacetyl)-N-(2,6-diethylphenyl)-', 'SCHEMBL131683', '2-(N-(2-chloroacetyl)-2,6-diethylanilino)acetic acid', 'CTK4I0376', 'DTXSID80192018', 'Glycine, N-(chloroacetyl)-N-(2,6-diethylphenyl)- (9CI)', 'ZINC5956540', 'ACM38725950', 'LS-72375', 'Glycine,N-(2-chloroacetyl)-N-(2,6-diethylphenyl)-', 'Q22807422']</t>
  </si>
  <si>
    <t>Compound(91627)</t>
  </si>
  <si>
    <t>C14H18ClNO3</t>
  </si>
  <si>
    <t>diphenamide</t>
  </si>
  <si>
    <t>N,N-dimethyl-2,2-diphenylacetamide</t>
  </si>
  <si>
    <t>['DIPHENAMID', 'N,N-Dimethyl-2,2-diphenylacetamide', '957-51-7', 'Diphenamide', 'Dimid', 'Fenam', 'Diherbid', 'Rideon', 'Dymid', 'Enide', 'Zarur', 'Difenamide', 'Trefmid', 'Enide 50', 'Enide 50W', 'Dif 4', 'Difenamid [Czech]', 'Lilly 34,314', 'N,N-Dimethyldiphenylacetamide', 'Caswell No. 395', 'Acetamide, N,N-dimethyl-2,2-diphenyl-', 'Difenamide [ISO-French]', 'UNII-6Z3R6EGA2B', 'Diphenamid [ANSI:BSI:ISO]', 'HSDB 367', '2,2-Diphenyl-N,N-dimethylacetamide', 'N,N,Dimethyl-2,2-diphenylacetamide', 'EINECS 213-482-4', 'Benzeneacetamide, N,N-dimethyl-.alpha.-phenyl-', 'ENT-28567', 'L-34314', 'EPA Pesticide Chemical Code 036601', 'BRN 2052009', '6Z3R6EGA2B', 'N,N-Dimethyl-alpha-phenylbenzeneacetamide', 'Dimethylamid kyseliny difenyloctove [Czech]', 'CHEBI:81915', 'U 4513', 'Benzeneacetamide, N,N-dimethyl-alpha-phenyl-', 'DSSTox_CID_4072', 'DSSTox_RID_77279', 'DSSTox_GSID_24072', '80W', 'Difenamid', 'CAS-957-51-7', 'Dimethylamid kyseliny difenyloctove', 'CBMicro_004881', 'Cambridge id 5104314', 'SCHEMBL39339', 'CHEMBL2252192', 'DTXSID8024072', 'ZINC155224', 'SMSF0003236', 'Tox21_201282', 'Tox21_303077', 'ICCB1_000103', 'SBB057280', 'AKOS002959926', 'CB06865', 'LS-9352', 'MCULE-4101229832', 'N,N-dimethyl-a-phenylbenzene ethanamide', 'NCGC00249013-01', 'NCGC00256969-01', 'NCGC00258834-01', 'BIM-0004804.P001', 'N,N-Dimethyl-alpha,alpha-Diphenylacetamide', 'DB-057604', 'FT-0633188', 'NS00008365', 'ST50319812', 'Diphenamid, PESTANAL(R), analytical standard', 'C18722', 'N,N-Dimethyl-.alpha.,.alpha.-Diphenylacetamide', '957D517', 'SR-01000195224', 'Benzeneacetamide, N,N-dimethyl-alpha-phenyl- (9CI)', 'Q2111674', 'SR-01000195224-1', '5104-31-4']</t>
  </si>
  <si>
    <t>Compound(13728)</t>
  </si>
  <si>
    <t>C16H17NO</t>
  </si>
  <si>
    <t>N-[(4-chlorophenyl)carbamoyl]-2,6-difluorobenzamide</t>
  </si>
  <si>
    <t>['DIFLUBENZURON', '35367-38-5', 'Difluron', 'Dimilin', 'Larvakil', 'Duphacid', 'Micromite', 'Astonex', 'Dimilin G1', 'Dimilin G4', 'Dimilin ODC-45', 'Dimilin WP-25', 'Thompson Hayward 6040', 'Thompson-hayward TH6040', 'Philips-duphar PH 60-40', '1-(4-Chlorophenyl)-3-(2,6-difluorobenzoyl)urea', 'N-(4-Chlorophenylcarbamoyl)-2,6-difluorobenzamide', 'Caswell No. 346A', 'N-[(4-chlorophenyl)carbamoyl]-2,6-difluorobenzamide', 'Diflubenzuron [ANSI:BSI:ISO]', 'TH 6040', 'UNII-J76U6ZSI8D', 'OMS 1804', '1-(p-Chlorophenyl)-3-(2,6-difluorobenzoyl)urea', 'PH 60-40', 'AI3-29054', 'DU 112307', 'HSDB 6611', 'PDD 6040I', 'Thompson-Hayward 6040', 'EINECS 252-529-3', 'ENT 29054', 'EPA Pesticide Chemical Code 108201', 'BRN 2162461', 'C14H9ClF2N2O2', 'J76U6ZSI8D', 'N-(((4-Chlorophenyl)amino)carbonyl)-2,6-difluorobenzamide', 'Benzamide, N-(((4-chlorophenyl)amino)carbonyl)-2,6-difluoro-', 'CHEBI:34703', 'n-[[(4-chlorophenyl)amino]carbonyl]-2,6-difluorobenzamide', 'Benzamide, N-[[(4-chlorophenyl)amino]carbonyl]-2,6-difluoro-', 'DSSTox_CID_4049', 'DSSTox_RID_77268', 'DSSTox_GSID_24049', 'Q-200985', 'Urea, 1-(p-chlorophenyl)-3-(2,6-difluorobenzoyl)-', 'N-[[(4-Chlorophenyl)amno]carbonyl]-2,6-difluorobenzamide', 'N-{[(4-chlorophenyl)amino]carbonyl}-2,6-difluorobenzamide', 'Dioflubenzuron', 'CAS-35367-38-5', 'Cambridge id 5259978', 'SCHEMBL42416', 'CBDivE_015152', 'BIDD:ER0460', 'CHEMBL49338', 'SPECTRUM1505171', 'Diflubenzuron suspensoid (20%)', 'DTXSID1024049', 'CTK8F0020', 'PDD 6040-I', 'ZINC236891', 'HY-B1973', 'ZX-AP007134', 'Tox21_201969', 'Tox21_303138', 'ENT-29054', 'PC2299', 'AKOS015889632', 'CCG-214525', 'MCULE-6280315206', 'VA10733', 'NCGC00094569-01', 'NCGC00094569-02', 'NCGC00094569-03', 'NCGC00094569-04', 'NCGC00257143-01', 'NCGC00259518-01', 'AC-12072', 'AS-15364', 'CC-26782', 'P041', 'SC-81737', 'LS-159551', 'CS-0014072', 'FT-0658005', 'NS00009540', 'C14427', 'D07829', 'J10222', 'AB00077275-01', 'Diflubenzuron, PESTANAL(R), analytical standard', '367D385', 'A822757', 'C-34277', "N-(4-Chlorophenyl)-N'-(2,6-difluorobenzoyl)urea", 'Q424939', 'SR-01000201647', '1-(p-Chlorophenyl)-3-(2,6-difluorobenzoyl)-Urea', 'SR-01000201647-1', "N-(4-Chlorophenyl)-N'-(2,6-difluorobenzoyl)urea #", 'N-[(4-chloroanilino)-oxomethyl]-2,6-difluorobenzamide', '3-(4-chlorophenyl)-1-[(2,6-difluorophenyl)carbonyl]urea', 'Diflubenzuron, certified reference material, TraceCERT(R)', 'N-[(4-chlorophenyl)carbamoyl]-2,6-bis(fluoranyl)benzamide', '1-(4-Chlorophenyl)-3-(2,6-difluorobenzoyl)urea (diflubenzuron)', 'N-[[(4-Chlorophenyl)amino]carbonyl]-2,6-difluorobenzamide, 9CI', 'N-[[(4-chlorophenyl)amino]carbonyl]-2,6-difluorobenzamide;diflubenzuron', 'Diflubenzuron;N-[[(4-Chlorophenyl)amino]carbonyl]-2,6-di-fluorobenzamide;1-(4-Chlorophenyl)-3-(2,6-difluorobenzoyl)urea;Difluron;Dimilin']</t>
  </si>
  <si>
    <t>Compound(37123)</t>
  </si>
  <si>
    <t>C14H9ClF2N2O2</t>
  </si>
  <si>
    <t>N-(2,4-difluorophenyl)-2-[3-(trifluoromethyl)phenoxy]pyridine-3-carboxamide</t>
  </si>
  <si>
    <t>['Diflufenican', '83164-33-4', 'N-(2,4-Difluorophenyl)-2-(3-(trifluoromethyl)phenoxy)nicotinamide', 'Diflufenicanil', 'N-(2,4-difluorophenyl)-2-[3-(trifluoromethyl)phenoxy]pyridine-3-carboxamide', 'Diflufenican [BSI:ISO]', 'UNII-3T8D1VDO6K', 'BRN 4212494', '3T8D1VDO6K', "2',4'-Difluoro-2-(alpha,alpha,alpha-trifluoro-m-tolyloxy)nicotinanilide", 'M&amp;B 38544', 'CHEBI:81824', 'N-(2,4-Difluorophenyl)-2-(3-(trifluoromethyl)phenoxy)-3-pyridinecarboxamide', 'AK-72922', 'N-(2,4-difluorophenyl)-2-[3-(trifluoromethyl)phenoxy]nicotinamide', '3-Pyridinecarboxamide, N-(2,4-difluorophenyl)-2-(3-(trifluoromethyl)phenoxy)-', '3-Pyridinecarboxamide, N-(2,4-difluorophenyl)-2-[3-(trifluoromethyl)phenoxy]-', 'C19H11F5N2O2', 'PELICAN', 'DSSTox_CID_21494', 'DSSTox_RID_79752', 'DSSTox_GSID_41494', 'SCHEMBL22023', 'MLS000327776', 'CHEMBL1425995', 'DTXSID4041494', 'CTK8B4611', 'HMS2460K07', 'KS-00000G1Q', 'N-(2,4-difluorophenyl)-2-(3-trifluoromethylphenoxy)nicotinamide', 'ZINC4110301', 'Tox21_300818', 'ANW-45660', 'MFCD01311804', 'Diflufenican 10 microg/mL in Acetone', 'AKOS005110259', 'AS06237', 'CM13910', 'CS-W020946', 'DS-1276', 'HY-W040206', 'MCULE-1511268316', 'MS-3566', 'diflufenican:2,4-difluoro-2-( a , a , a -trifluoro-m-tolyloxy)-nicotinanilide', 'NCGC00166198-01', 'NCGC00166198-02', 'NCGC00254722-01', 'AC-19982', 'BR-72922', 'CC-26784', 'I446', 'SMR000180823', 'Diflufenican 10 microg/mL in Acetonitrile', 'AX8124956', 'CAS-83164-33-4', 'DB-056688', 'Diflufenican 100 microg/mL in Acetonitrile', 'LS-130595', 'D4108', 'FT-0630919', 'NS00008837', 'C18549', 'M-1072', 'Diflufenican, PESTANAL(R), analytical standard', '164D334', 'C-21607', 'Q424793', 'N-(2,4-Difluorophenyl)-2-(3-(trifluoromethyl)-phenoxy)nicotinamide', '2,4-DIFLUORO-2-(A , A , A-TRIFLUORO-M-TOLYLOXY)-NICOTINANILIDE', "Diflufenican,2',4'-difluoro-2-(alpha,alpha,alpha,trifluoro-m-tolyloxy) nicotinanilide.", 'diflufenican;N-(2,4-difluorophenyl)-2-[3-(trifluoromethyl)phenoxy]-3-pyridinecarboxamide']</t>
  </si>
  <si>
    <t>Compound(91735)</t>
  </si>
  <si>
    <t>C19H11F5N2O2</t>
  </si>
  <si>
    <t>diphenhydramine</t>
  </si>
  <si>
    <t>2-benzhydryloxy-N,N-dimethylethanamine</t>
  </si>
  <si>
    <t>['diphenhydramine', '58-73-1', 'Benadryl', 'Benzhydramine', 'Alledryl', 'Probedryl', 'Dihidral', '2-(Benzhydryloxy)-N,N-dimethylethanamine', 'Antistominum', 'Benzhydraminum', 'Benzhydroamina', 'Diphantine', 'Difenhydramin', 'Allergical', 'Bagodryl', 'Baramine', 'Benachlor', 'Benadrin', 'Benodine', 'Benzantine', 'Benzhydril', 'Betramin', 'Debendrin', 'Dermistina', 'Dermodrin', 'Desentol', 'Diabenyl', 'Diabylen', 'Dibondrin', 'Difedryl', 'Drylistan', 'Histaxin', 'Hyadrine', 'Ibiodral', 'Medidryl', 'Mephadryl', 'Novamina', 'Syntedril', 'Amidryl', 'Antomin', 'Benapon', 'Benodin', 'Benylan', 'Benylin', 'Dabylen', 'Dylamon', 'Nausen', 'Diphenylhydramine', 'Difenidramina', 'Automin', 'Dimedrol base', 'Difenhidramina', 'Allergina', 'Benzhydryl', 'Diphenhydraminum', 'Ethanamine, 2-(diphenylmethoxy)-N,N-dimethyl-', 'Antitussive', '2-(Benzhydryloxy)-N,N-dimethylethylamine', 'Dibenil', 'Hydramine', 'O-Benzhydryldimethylaminoethanol', 'Silphen', 'Beldin', 'Diphen', 'Belix', 'Dimehydrinate', 'Difenidramina [Italian]', 'FAR 90X2', 'Dibendrin', '2-(diphenylmethoxy)-N,N-dimethylethanamine', 'Difenhidramina [INN-Spanish]', 'Diphenhydraminum [INN-Latin]', 'alpha-(2-Dimethylaminoethoxy)diphenylmethane', 'PM 255', 'beta-Dimethylaminoethanol diphenylmethyl ether', 'Diphenhydramine [INN:BAN:JAN]', 'N-(2-(Diphenylmethoxy)ethyl)-N,N-dimethylamine', '2-(Diphenylmethoxy)-N,N-dimethylethylamine', 'beta-Dimethylaminoethylbenzhydrylether', 'UNII-8GTS82S83M', 'N-(Benzhydryloksy-etylo)dwumetyloamina', '[2-(diphenylmethoxy)ethyl]dimethylamine', 'CCRIS 1959', '2-Diphenylmethoxy-N,N-dimethylethylamine', 'HSDB 3066', 'EINECS 200-396-7', 'Ethylamine, N,N-dimethyl-2-(diphenylmethoxy)-', 'N-(Benzhydryloksy-etylo)dwumetyloamina [Polish]', 'CHEMBL657', '2-diphenylmethoxy-N,N-demthylethanamine', 'beta-dimethylaminoethyl benzhydryl ether', 'beta-Dimethylamino-aethyl-benzhydryl-aether [German]', 'BRN 1914136', 'N-[2-(BENZHYDRYLOXY)ETHYL]-N,N-DIMETHYLAMINE', '8GTS82S83M', 'CHEBI:4636', 'Allerdryl', 'Ethylamine, 2-(diphenylmethoxy)-N,N-dimethyl-', 'Allergan', 'S51', 'NCGC00015335-07', 'Benhydramin', 'AK113999', 'Allergeval', 'Dimedryl', 'Dryistan', 'Rigidil', 'Syntodril', 'Aleryl', 'Diphenylhydramin', 'Ben-allergin', 'Allergan B', 'DSSTox_CID_2949', 'DSSTox_RID_76803', 'DSSTox_GSID_22949', 'Q-201002', 'CAS-58-73-1', 'Restamin (TN)', 'N-[2-(Diphenylmethoxy)ethyl]-N,N-dimethylamine', 'Benadryl (hydrochloride)', 'NCGC00015335-09', 'CAS-147-24-0', 'Difenhydramine', 'Dobacen', 'beta-Dimethylamino-aethyl-benzhydryl-aether', 'Allergan (Salt/Mix)', 'Eldadryl (Salt/Mix)', 'Histacyl (Salt/Mix)', 'Restamin (Salt/Mix)', 'Spectrum_000980', '2-benzhydryloxyethyl-N,N-dimethylammonium', 'Antitussive (Salt/Mix)', 'Prestwick0_000065', 'Prestwick1_000065', 'Prestwick2_000065', 'Prestwick3_000065', 'Spectrum2_000961', 'Spectrum3_000400', 'Spectrum4_000520', 'Spectrum5_000915', 'Lopac-D-3630', '2-[(diphenylmethyl)oxy]-N,N-dimethylethanamine', 'EC 200-396-7', 'Cambridge id 6699980', 'SCHEMBL4064', 'Lopac0_000377', 'Oprea1_254625', 'BSPBio_000249', 'BSPBio_002219', 'Dimethylamine benzhydryl ester', 'KBioGR_001099', 'KBioSS_001460', '2PM', 'MLS002222276', 'BIDD:GT0152', 'Diphenhydramine (JP17/INN)', 'DivK1c_000368', 'SPBio_000961', 'SPBio_002170', 'BPBio1_000275', 'GTPL1224', '2-(Benzhydryloxy)-N,N-dimethylethylamine, hydrochloride', 'DTXSID4022949', 'KBio1_000368', 'KBio2_001460', 'KBio2_004028', 'KBio2_006596', 'KBio3_001439', 'ZINC20244', 'N,N-Dimethyl-2-(diphenylmethoxy)-ethylamine hydrochloride', 'NINDS_000368', 'O-Benzhydryl(dimethylamino)ethanol', 'HMS2089E06', 'HMS2230L19', 'HMS3373E03', 'KS-00000G2T', 'Tox21_110127', 'BDBM50017674', 'MFCD31699960', 'NSC665800', 'SBB068439', 'STK103720', 'AKOS003658554', 'Tox21_110127_1', '(2-Benzhydryloxy-ethyl)-dimethyl-amine', 'CCG-204472', 'DB01075', 'GS-3196', 'MCULE-6260910826', 'NSC-665800', 'SDCCGSBI-0050365.P005', 'IDI1_000368', 'NCGC00015335-01', 'NCGC00015335-02', 'NCGC00015335-03', 'NCGC00015335-04', 'NCGC00015335-05', 'NCGC00015335-06', 'NCGC00015335-08', 'NCGC00015335-10', 'NCGC00015335-11', 'NCGC00015335-12', 'NCGC00015335-13', 'NCGC00015335-14', 'NCGC00015335-17', 'NCGC00024414-03', 'NCGC00024414-04', 'NCGC00024414-06', 'AC-13704', 'LS-68208', 'NCI60_002916', 'NCI60_022782', 'S 51', 'SC-35671', 'SMR001307259', 'ST024741', 'SY246339', '2-(Benzohydryloxy)-N,N-dimethylethylamine', 'N,N-Dimethyl-2-diphenylmethyloxyethylamine', 'SBI-0050365.P004', '2-(Benzhydryloxy)-N,N-dimethylethanamine #', '.beta.-(Dimethylamino)ethyl benzhydryl ether', '.beta.-Dimethylamino-aethyl-benzhydryl-aether', '2-(diphenylmethyl)oxy-N,N-dimethylethanamine', 'AB00053460', 'D4744', 'Ethylamine, 2-diphenylmethoxy-N,N-dimethyl-', 'FT-0625221', '2-(diphenylmethyl)oxy-N,N-dimethyl-ethanamine', '2-[di(phenyl)methoxy]-N,N-dimethylethanamine', '.alpha.-(2-Dimethylaminoethoxy)diphenylmethane', '2-(Diphenylmethoxy)-N,N-dimethylethan-1-amine', 'C06960', 'D00300', 'AB00053460-22', 'AB00053460-23', 'AB00053460_24', 'AB00053460_25', '.beta.-(Dimethylamino)ethanol diphenylmethyl ether', '274D173', 'A831996', 'DIPHENHYDRAMINE; ANTISTOMINUM; BENZHYDRAMINE', 'Diphenylmethanol, (N,N-dimenthylaminoethyl) ether', 'L000227', 'Q413486', 'BRD-K47278471-003-05-7', 'BRD-K47278471-003-15-6', '2-[(Phenyl-4-D)(phenyl)methoxy]-N,N-dimethylethanamine', '110491-04-8', '2122800-18-2', 'Diphenhydramine hydrochloride;DIPHENHYDRAMINE HCL;Dimenhydrinate;Diphenhydramine;[2-(diphenylmethoxy)ethyl]dimethylammonium dihydrogen 2-hydroxypropane-1,2,3-tricarboxylate;Diphenhydramine citrate [USP]']</t>
  </si>
  <si>
    <t>Compound(3100)</t>
  </si>
  <si>
    <t>C17H21NO</t>
  </si>
  <si>
    <t>4-hydroxy-3-[3-(4-phenylphenyl)-1,2,3,4-tetrahydronaphthalen-1-yl]chromen-2-one</t>
  </si>
  <si>
    <t>['Difenacoum', 'Neosorexa', '56073-07-5', 'Diphenacoum', 'Neosorexa PP580', 'Difenakum', 'Difenakum [Czech]', 'Difenacoum [BSI:ISO]', 'UNII-SBA3K9U26B', 'WBA 8107', 'HSDB 6609', '3-(3-Biphenyl-4-yl-1,2,3,4-tetrahydro-1-naphthyl)-4-hydroxycoumarin', 'EINECS 259-978-4', 'SBA3K9U26B', "3-(3-(1,1'-Biphenyl)-4-yl-1,2,3,4-tetrahydro-1-naphthalenyl)-4-hydroxy-2H-1-benzopyran-2-one", '3-(3-p-Diphenyl-1,2,3,4-tetrahydronaphth-1-yl) -4-hydroxycoumarin', 'COUMARIN, 3-(3-(4-BIPHENYLYL)-1,2,3,4-TETRAHYDRO-1-NAPHTHYL)-4-HYDROXY-', "2H-1-Benzopyran-2-one, 3-(3-(1,1'-biphenyl)-4-yl-1,2,3,4-tetrahydro-1-naphthalenyl)-4-hydroxy-", "2H-1-Benzopyran-2-one, 3-(3-[1,1'-biphenyl]-4-yl-1,2,3,4-tetrahydro-1-naphthalenyl)-4-hydroxy-", 'Neosorex', '4-hydroxy-3-[3-(4-phenylphenyl)-1,2,3,4-tetrahydronaphthalen-1-yl]chromen-2-one', 'C31H24O3', 'SCHEMBL122474', 'SCHEMBL122475', 'DTXSID2058128', 'BDBM85791', 'CHEBI:80743', 'Difenacoum 10 microg/mL in Methanol', 'MFCD01632770', 'PP 580', 'AKOS015960905', 'Difenacoum 100 microg/mL in Methanol', 'CM10932', 'AC-12415', 'LS-55122', 'NS00015683', 'Difenacoum, PESTANAL(R), analytical standard', 'C16807', '073D075', 'Q424775', '3-(3-(4-Biphenylyl)-1,2,3,4-tetrahydro-1-naphthyl)-4-hydroxycoumarin', "3-(3-[1,1'-Biphenyl]-4-yl-1,2,3,4-tetrahydro-1-naphthalenyl)-4-hydroxy-2H-chromen-2-one #"]</t>
  </si>
  <si>
    <t>Compound(54676884)</t>
  </si>
  <si>
    <t>C31H24O3</t>
  </si>
  <si>
    <t>difenoconazole</t>
  </si>
  <si>
    <t>1-[[2-[2-chloro-4-(4-chlorophenoxy)phenyl]-4-methyl-1,3-dioxolan-2-yl]methyl]-1,2,4-triazole</t>
  </si>
  <si>
    <t>['Difenoconazole', '119446-68-3', '1-((2-(2-Chloro-4-(4-chlorophenoxy)phenyl)-4-methyl-1,3-dioxolan-2-yl)methyl)-1H-1,2,4-triazole', 'Dividend', 'Plover', 'Score', 'Bardos Neu', 'Score EC 250', 'Dividend (fungicide)', 'Difenoconazole [ISO]', 'CGA 169374', '1-[[2-[2-chloro-4-(4-chlorophenoxy)phenyl]-4-methyl-1,3-dioxolan-2-yl]methyl]-1,2,4-triazole', 'C19H17Cl2N3O3', '1H-1,2,4-Triazole, 1-[[2-[2-chloro-4-(4-chlorophenoxy)phenyl]-4-methyl-1,3-dioxolan-2-yl]methyl]-', 'Difenoconazol', 'CHEBI:81760', '1-({2-[2-chloro-4-(4-chlorophenoxy)phenyl]-4-methyl-1,3-dioxolan-2-yl}methyl)-1H-1,2,4-triazole', '1H-1,2,4-Triazole, 1-((2-(2-chloro-4-(4-chlorophenoxy)phenyl)-4-methyl-1,3-dioxolan-2-yl)methyl)-', 'Difenconazole', 'Difenoconazole (I)', 'Difenoconazole (II)', 'DSSTox_CID_12372', 'DSSTox_RID_78928', 'DSSTox_GSID_32372', 'SCHEMBL22125', 'cc-171', 'CHEMBL466426', 'DTXSID4032372', 'CTK8B6847', 'HSDB 8370', 'BCP21450', 'HY-B0850', 'Tox21_301110', 'ANW-54592', 'MMV688943', 'AKOS015907773', 'PST0000083', 'NCGC00163894-01', 'NCGC00163894-02', 'NCGC00163894-03', 'NCGC00255010-01', 'AK-56107', 'AS-13948', 'CC-26778', 'P745', 'AX8017724', 'DB-061566', 'Difenoconazole 10 microg/mL in Acetonitrile', 'Difenoconazole 10 microg/mL in Cyclohexane', 'LS-155877', 'CAS-119446-68-3', 'CS-0012864', 'Difenoconazole 100 microg/mL in Cyclohexane', 'FT-0652542', 'NS00000433', 'C18459', 'Difenoconazol, PESTANAL(R), analytical standard', '446D683', 'A804285', 'C-34276', 'J-004130', 'Q3027717', '1-((2-[2-Chloro-4-(4-chlorophenoxy)phenyl]-4-methyl-1,3-dioxolan-2-yl)methyl)-1H-1,2,4-triazole #', '1-[[2-[2-chloranyl-4-(4-chloranylphenoxy)phenyl]-4-methyl-1,3-dioxolan-2-yl]methyl]-1,2,4-triazole', '1h-1,2,4-triazole,1-((2-(2-chloro-4(4-chlorophenoxy)phenyl)-4-methyl-1,3-dioxolan-2-yl)methyl)-', 'difenoconazole;1-({2-[2-Chloro-4-(4-chlorophenoxy)phenyl]-4-methyl-1,3-dioxolan-2-yl}methyl)-1H-1,2,4-triazole;Difeconazole']</t>
  </si>
  <si>
    <t>Compound(86173)</t>
  </si>
  <si>
    <t>C19H17Cl2N3O3</t>
  </si>
  <si>
    <t>3-[4-(4-methoxyphenoxy)phenyl]-1,1-dimethylurea</t>
  </si>
  <si>
    <t>['DIFENOXURON', 'Difenoxurone', 'Lironion', 'Pinoran', '14214-32-5', 'Caswell No. 551C', 'Difenoxuron [BSI:ISO]', 'UNII-C74279E50O', 'EINECS 238-068-0', 'C 3470', 'EPA Pesticide Chemical Code 551400', 'BRN 5574828', '3-[4-(4-methoxyphenoxy)phenyl]-1,1-dimethylurea', 'N-(4-(4-Methoxyphenoxy)phenyl)-N,N-dimethylurea', '1,1-Dimethyl-3-(4-(4-methoxyphenoxy)phenyl)urea', '3-(4-(4-Methoxyphenoxy)phenyl)-1,1-dimethylurea', "N-(4-(p-Methoxy-phenoxy)-phenyl)-N,N'-dimethylurea", 'Urea, 1,1-dimethyl-3-(p-(p-methoxyphenoxy)phenyl)-', "Urea, N'-[4-(4-methoxyphenoxy)phenyl]-N,N-dimethyl-", 'C74279E50O', "Urea, N'-(4-(4-methoxyphenoxy)phenyl)-N,N-dimethyl-", 'SCHEMBL55713', '3-(p-(p-Methoxyphenoxy)phenyl)-1,1-dimethylurea (8CI)', 'DTXSID9041863', 'ZINC2019269', 'AKOS015904102', 'Difenoxuron 10 microg/mL in Acetonitrile', 'LS-160005', 'NS00009323', 'Difenoxurone, PESTANAL(R), analytical standard', '3-(p-(p-Methoxyphenoxy)phenyl)-1,1-dimethylurea', 'J-007605', "N'-(4-(4-Methoxyphenoxy)phenyl)-N,N-dimethylurea"]</t>
  </si>
  <si>
    <t>Compound(26576)</t>
  </si>
  <si>
    <t>C16H18N2O3</t>
  </si>
  <si>
    <t>difethialone</t>
  </si>
  <si>
    <t>3-[3-[4-(4-bromophenyl)phenyl]-1,2,3,4-tetrahydronaphthalen-1-yl]-2-hydroxythiochromen-4-one</t>
  </si>
  <si>
    <t>['Difethialone', '104653-34-1', 'Difethialone [ISO]', 'HSDB 7119', 'CHEBI:81893', "2H-1-Benzothiopyran-2-one, 3-(3-(4'-bromo(1,1'-biphenyl)-4-yl)-1,2,3,4-tetrahydro-1-naphthalenyl)-4-hydroxy-", "3-(3-(4'-Bromo(1,1'-biphenyl)-4-yl)-1,2,3,4-tetrahydro-1-naphthalenyl)-4-hydroxy-2H-1-benzothiapyran-2-one", "2H-1-Benzothiapyran-2-one, 3-(3-(4'-bromo(1,1'-biphenyl)-4-yl)-1,2,3,4-tetrahydro-1-naphthalenyl)-4-hydroxy-", "2H-1-Benzothiopyran-2-one, 3-[3-(4'-bromo[1,1'-biphenyl]-4-yl)-1,2,3,4-tetrahydro-1-naphthalenyl]-4-hydroxy-", 'Difethialon', 'Difethiaro', '3-[3-[4-(4-bromophenyl)phenyl]-1,2,3,4-tetrahydronaphthalen-1-yl]-4-hydroxythiochromen-2-one', 'Difethiarol (JAN)', 'Baraki;LM 2219', 'DSSTox_CID_12374', 'DSSTox_RID_97556', 'DSSTox_GSID_32374', 'SCHEMBL435721', 'SCHEMBL435722', 'CHEMBL3188653', 'DTXSID4032374', 'Tox21_113950', 'AKOS015896551', 'NCGC00262959-01', 'LS-41399', 'CAS-104653-34-1', 'FT-0666804', 'C18695', 'D09807', 'Q424845', 'Difethialone 10 microg/mL in Acetonitrile. Short expiry date due to chemical nature of component(s)']</t>
  </si>
  <si>
    <t>Compound(91771)</t>
  </si>
  <si>
    <t>C31H23BrO2S</t>
  </si>
  <si>
    <t>1-tert-butyl-3-[4-phenoxy-2,6-di(propan-2-yl)phenyl]thiourea</t>
  </si>
  <si>
    <t>['Diafenthiuron', '80060-09-9', 'Polo', 'Pegasus (pesticide)', 'Diafenthiuron [ISO]', 'Pegasus', 'CGA 106630', '1-tert-butyl-3-(2,6-diisopropyl-4-phenoxyphenyl)thiourea', 'UNII-22W5MDB01G', '3-(2,6-Diisopropyl-4-phenoxyphenyl)-1-tert-butylthiourea', "N-(2,6-Bis(1-methylethyl)-4-phenoxyphenyl)-N'-(1,1-dimethylethyl)thiourea", '22W5MDB01G', '1-tert-butyl-3-[4-phenoxy-2,6-di(propan-2-yl)phenyl]thiourea', '1-tert-Butyl-3-(2,6-di-isopropyl-4-phenoxyphenyl)thiourea', "Thiourea, N-[2,6-bis(1-methylethyl)-4-phenoxyphenyl]-N'-(1,1-dimethylethyl)-", "Thiourea, N-(2,6-bis(1-methylethyl)-4-phenoxyphenyl)-N'-(1,1-dimethylethyl)-", 'C23H32N2OS', 'SCHEMBL27926', 'DTXSID1041845', 'CHEBI:39299', 'ZINC2243726', 'CG 167', 'AKOS015895255', 'CC-26427', 'P607', 'DB-056403', 'LS-153455', 'FT-0603093', 'NS00002975', 'C18781', '26908-EP2274983A1', '26908-EP2275422A1', '26908-EP2280009A1', '26908-EP2292608A1', '26908-EP2308857A1', '26908-EP2308858A1', '26908-EP2311816A1', '26908-EP2311817A1', '26908-EP2314583A1', 'Diafenthiuron, PESTANAL(R), analytical standard', '060D099', 'A839826', 'C-21411', 'Q15632894', '1-(tert-Butyl)-3-(2,6-diisopropyl-4-phenoxyphenyl)thiourea', '1-t-Butyl-3-(2,6-diisopropyl-4-phenoxyphenyl)thiourea;diafenthiuron']</t>
  </si>
  <si>
    <t>Compound(3034380)</t>
  </si>
  <si>
    <t>C23H32N2OS</t>
  </si>
  <si>
    <t>diphenyl sulfone</t>
  </si>
  <si>
    <t>benzenesulfonylbenzene</t>
  </si>
  <si>
    <t>['Diphenyl sulfone', '127-63-9', 'Phenyl sulfone', 'Sulfonyldibenzene', 'DIPHENYLSULFONE', 'Diphenyl sulphone', "Benzene, 1,1'-sulfonylbis-", 'Sulfobenzide', "1,1'-sulfonyldibenzene", 'benzenesulfonylbenzene', 'Sulfone, diphenyl', 'Phenyl sulphone', "1,1'-Sulfonylbisbenzene", 'phenylsulfone', 'Difenylsulfon', '(Phenylsulfonyl)benzene', 'Difenylsulfon [Czech]', 'Caswell No. 399D', 'UNII-V25W2CFS3M', 'NSC 6780', 'NSC 627706', 'EINECS 204-853-1', 'EPA Pesticide Chemical Code 399500', 'BRN 1910573', 'V25W2CFS3M', 'S-97', 'AI3-00637', 'S-127', 'CHEBI:78360', 'NSC627706', 'Phenyl sulfone, 97%', 'AK114761', "Benzene,1'-sulfonylbis-", 'W-108380', 'phenylsulfonylbenzene', 'bis-(phenyl)-sulfone', 'PubChem10827', 'ACMC-209bcq', 'Ph-SO2-Ph', '1,1 Sulphonylbisbenzene', 'Diphenyl sulfone, 97%', '1-(phenylsulfonyl)benzene', 'EC 204-853-1', "1,1'-Sulfonyl bis benzene", 'DSSTox_CID_21892', 'DSSTox_RID_79870', 'DSSTox_GSID_41892', 'SCHEMBL30255', '4-06-00-01490 (Beilstein Handbook Reference)', 'KSC185A3D', 'ARONIS27109', 'CHEMBL263327', 'Diphenylsulfone;diphenyl sulphone', 'DTXSID6041892', 'NSC6780', 'dioxo(diphenyl)-lambda~6~-sulfane', 'ZINC154638', 'ACT08477', 'KS-00000G2U', 'KS-000048LI', 'NSC-6780', 'ZX-AT020507', 'Tox21_301190', 'ANW-18984', 'BBL001821', 'MFCD00007548', 'SBB056773', 'STK331804', 'AKOS005439508', 'DS-3893', 'LS41217', 'MCULE-3713103022', 'NSC-627706', 'OR17026', 'NCGC00248325-01', 'NCGC00255088-01', 'CAS-127-63-9', 'CC-27106', 'I941', 'Diphenyl sulfone, Vetec(TM) reagent grade', 'AX8125842', 'DB-041867', 'LS-105886', 'FT-0625239', 'NS00008550', 'P0231', 'ST50827810', 'T7368', 'A805721', 'AE-562/13465017', 'C-31096', 'Diphenyl sulfone, PESTANAL(R), analytical standard', 'Q5279737']</t>
  </si>
  <si>
    <t>Compound(31386)</t>
  </si>
  <si>
    <t>C12H10O2S</t>
  </si>
  <si>
    <t>1,2-dimethyl-3,5-diphenylpyrazol-1-ium</t>
  </si>
  <si>
    <t>['DIFENZOQUAT', '49866-87-7', '1,2-Dimethyl-3,5-diphenyl-1H-pyrazolium', 'UNII-54NE792QN5', 'Difenzoquat [ANSI:BSI:ISO]', '1H-Pyrazolium, 1,2-dimethyl-3,5-diphenyl-', 'EINECS 256-505-3', '1,2-Dimethyl-3,5-diphenylpyrazolium ion', 'CHEBI:81910', '54NE792QN5', '1H-Pyrazolium, (1,2-dimethyl-3,5-diphenyl)-', 'Difenzoquat (Ion 1+)', 'SCHEMBL56176', '1H-Pyrazolium, 1,2-dimethyl-3,5-diphenyl- (9CI)', 'CHEMBL2096924', 'DTXSID6043965', 'ZINC2006083', 'AKOS015903526', 'AKOS015960946', 'NCGC00168302-02', 'NCGC00168302-03', 'LS-128922', 'FT-0726124', 'NS00008298', '1,2-dimethyl-3,5-diphenyl-1H-pyrazol-2-ium', 'C18717', '866D877', 'Q27155656', 'Difenzoquat metilsulfate;Difenzoquat;1,2-dimethyl-3,5-diphenyl-1H-pyrazolium']</t>
  </si>
  <si>
    <t>Compound(39425)</t>
  </si>
  <si>
    <t>C17H17N2+</t>
  </si>
  <si>
    <t>difenzoquat methyl sulfate</t>
  </si>
  <si>
    <t>1,2-dimethyl-3,5-diphenylpyrazol-1-ium;methyl sulfate</t>
  </si>
  <si>
    <t>['Difenzoquat metilsulfate', 'Difenzoquat methyl sulfate', '43222-48-6', 'Finaven', 'AVENGE', 'Yeh-Yan-Ku', 'Caswell No. 363A', 'Difenzoquat methyl sulphate', 'UNII-6Y5I03RK7C', 'Difenzoquat metilsulfate [ISO]', 'EINECS 256-152-5', 'EPA Pesticide Chemical Code 106401', '1,2-Dimethyl-3,5-diphenylpyrazolium methylsulphate', 'AC 84777', '6Y5I03RK7C', 'DIFENZOQUAT METHYLSULFATE', '1H-Pyrazolium, 1,2-dimethyl-3,5-diphenyl-, methyl sulfate', '1,2-Dimethyl-3,5-Diphenylpyrazolium methyl sulfate', '1,2-Dimethyl-3,5-diphenyl-1H-pyrazolinium methyl sulfate', 'DSSTox_CID_4048', 'DSSTox_RID_77267', 'DSSTox_GSID_24048', '1,2-dimethyl-3,5-diphenyl-1H-pyrazol-2-ium methyl sulfate', 'CAS-43222-48-6', 'Aveng', 'Difenzoquat-methyl-sulfate', 'SCHEMBL125711', '1,2-dimethyl-3,5-diphenylpyrazol-1-ium;methyl sulfate', 'CHEMBL1867054', 'DTXSID6024048', 'CTK8F9189', 'Tox21_201486', 'Tox21_300708', 'AC01013', 'ACM43222486', 'NCGC00168302-01', 'NCGC00254616-01', 'NCGC00259037-01', 'DB-051058', 'LS-128923', 'CS-0084962', 'FT-0602861', '1,2-Dimethyl-3,5-diphenylpyrazolium Methylsulfate', 'C-20890', 'Q1224329', 'Difenzoquat methyl sulfate, PESTANAL(R), analytical standard']</t>
  </si>
  <si>
    <t>Compound(39424)</t>
  </si>
  <si>
    <t>C18H20N2O4S</t>
  </si>
  <si>
    <t>di (hydrogenetalkalkyl) dimethyl ammonium hectorite</t>
  </si>
  <si>
    <t>di (hydrogenetalkalkyl) dimethylammonium montmorillonite</t>
  </si>
  <si>
    <t>diisodecyl phthalate</t>
  </si>
  <si>
    <t>diisoundecyl phthalate</t>
  </si>
  <si>
    <t>bis(9-methyldecyl) benzene-1,2-dicarboxylate</t>
  </si>
  <si>
    <t>['Diisoundecyl phthalate', '96507-86-7', '1,2-Benzenedicarboxylic acid, diisoundecyl ester', 'NSC17081', 'SCHEMBL36892', '1, bis(9-methyldecyl) ester', 'CTK5H8754', 'DTXSID90242295', 'ZINC4683300', 'EINECS 306-165-8', 'NSC-17081', 'AKOS015889548', 'Phthalic acid bis(9-methyldecyl) ester', 'NS00020359', 'Diisoundecyl Phthalate (Mixture of Branched Isomers)']</t>
  </si>
  <si>
    <t>Compound(175686)</t>
  </si>
  <si>
    <t>C30H50O4</t>
  </si>
  <si>
    <t>diisotridecyl phthalate</t>
  </si>
  <si>
    <t>N-propan-2-ylpropan-2-amine</t>
  </si>
  <si>
    <t>['DIISOPROPYLAMINE', '108-18-9', '2-Propanamine, N-(1-methylethyl)-', 'N-(1-Methylethyl)-2-propanamine', 'N,N-Diisopropylamine', 'N-isopropylpropan-2-amine', 'di-isopropylamine', 'diisopropyl amine', 'Bis(Propan-2-Yl)Amine', 'N-Isopropyl-1-amino-2-methylethane', 'UNII-BR9JLI40NO', 'NSC 6758', 'bis(isopropyl)amine', 'CCRIS 6235', 'HSDB 931', 'Diisopropylamine, 99%', 'EINECS 203-558-5', 'UN1158', 'BR9JLI40NO', 'AI3-15345', 'N-(propan-2-yl)propan-2-amine', 'bis(methylethyl)amine', 'MFCD00008862', '2-Propaneamine, N-(1-methylethyl)-', 'NCGC00091070-01', 'NCGC00091070-02', 'DSSTox_CID_5085', 'DSSTox_RID_77658', 'DSSTox_GSID_25085', 'bis(propan-2-yl)azanide', 'C6H15N', 'Diisopropylamin', 'CAS-108-18-9', 'Diisopropylamine, 99.5%, redistilled, AcroSeal(R)', 'Diisoproylamine', 'diisoproplyamine', 'diisopropyiamine', 'diisopropylarnine', 'Diisoproyl amine', 'diiso-propylamine', 'diisoproply amine', 'diisopropyl-amine', 'diisopropylamine-', 'di-i-propylamine', 'di(isopropyl)amine', 'di-iso-propylamine', 'di-isopropyl amine', 'Diiso propyl amine', 'di-iso-propyl amine', 'di-iso-propyl-amine', 'HNiPr2', 'iPr2NH', 'N,N-diisoproplyamine', 'i-Pr2NH', 'N, N-diisopropylamine', 'N,N-di-isopropylamine', 'N,N-diisopropyl amine', 'N,N-diisopropyl-amine', 'di(1-methylethyl)amine', 'N,N,-di-isopropylamine', 'N,N-di-iso-propylamine', '(iPr)2NH', 'HN(iPr)2', 'Diisopropylamine, 99+%', 'N-isopropyl-isopropylamine', '(i-Pr)2NH', 'HN(i-Pr)2', 'NH(i-Pr)2', '(iso-C3H7)2NH', 'Diisopropylamine, &gt;=99%', 'N-isopropylpropane-2-amine', 'EC 203-558-5', 'SCHEMBL2020', 'KSC175O6B', 'Diisopropylamine Reagent Grade', 'Diisopropylamine, &gt;=99.5%', 'ACMC-1C066', 'CHEMBL1450356', 'DTXSID9025085', 'N-(1-Methylethyl)-2-propamine', 'SCHEMBL11097419', 'CTK0H5760', 'KS-00000WTZ', 'NSC6758', 'WLN: 1Y1&amp;MY1&amp;1', 'N-(1-methylethyl)propan-2-amine', 'N-(1-methylethyl)--2-propanamine', 'NSC-6758', 'STR01875', 'ZINC4674523', 'Diisopropylamine, analytical standard', 'Tox21_111075', 'Tox21_200216', 'ANW-15905', 'LS-454', 'SBB059763', 'STL264227', 'AKOS000120153', 'Tox21_111075_1', 'MCULE-9048109449', 'UN 1158', 'NCGC00091070-03', 'NCGC00257770-01', 'BP-31036', 'SC-22422', 'D0925', 'FT-0625007', 'NS00002942', 'ST45255383', 'Diisopropylamine, SAJ first grade, &gt;=98.0%', '9645-EP2269989A1', '9645-EP2269990A1', '9645-EP2270001A1', '9645-EP2270004A1', '9645-EP2270006A1', '9645-EP2270011A1', '9645-EP2270012A1', '9645-EP2270013A1', '9645-EP2272509A1', '9645-EP2272825A2', '9645-EP2272832A1', '9645-EP2272841A1', '9645-EP2274983A1', '9645-EP2275398A1', '9645-EP2275403A1', '9645-EP2275411A2', '9645-EP2275414A1', '9645-EP2275423A1', '9645-EP2275424A1', '9645-EP2277865A1', '9645-EP2279741A2', '9645-EP2279750A1', '9645-EP2280000A1', '9645-EP2280012A2', '9645-EP2281823A2', '9645-EP2284159A1', '9645-EP2289868A1', '9645-EP2289885A1', '9645-EP2289891A2', '9645-EP2289894A2', '9645-EP2292589A1', '9645-EP2292597A1', '9645-EP2292610A1', '9645-EP2292619A1', '9645-EP2292624A1', '9645-EP2292628A2', '9645-EP2295401A2', '9645-EP2295412A1', '9645-EP2295413A1', '9645-EP2295417A1', '9645-EP2295428A2', '9645-EP2298743A1', '9645-EP2298747A1', '9645-EP2298758A1', '9645-EP2298759A1', '9645-EP2298761A1', '9645-EP2298767A1', '9645-EP2298770A1', '9645-EP2301939A1', '9645-EP2305640A2', '9645-EP2305652A2', '9645-EP2305664A1', '9645-EP2305672A1', '9645-EP2305681A1', '9645-EP2305682A1', '9645-EP2305684A1', '9645-EP2308562A2', '9645-EP2308812A2', '9645-EP2308844A2', '9645-EP2308845A2', '9645-EP2308846A2', '9645-EP2308851A1', '9645-EP2308861A1', '9645-EP2308869A1', '9645-EP2308872A1', '9645-EP2308873A1', '9645-EP2308874A1', '9645-EP2308877A1', '9645-EP2308879A1', '9645-EP2308882A1', '9645-EP2311814A1', '9645-EP2311815A1', '9645-EP2311830A1', '9645-EP2311831A1', '9645-EP2311838A1', '9645-EP2314587A1', '9645-EP2316829A1', '9645-EP2374788A1', 'Diisopropylamine [UN1158] [Flammable liquid]', '40931-EP2275398A1', '40931-EP2292628A2', '40931-EP2295424A1', '40931-EP2301940A1', '40931-EP2308861A1', '40931-EP2311830A1', 'Diisopropylamine [UN1158]  [Flammable liquid]', '101072-EP2298761A1', '101072-EP2301544A1', '191174-EP2270014A1', '191174-EP2280008A2', 'Diisopropylamine, puriss. p.a., &gt;=99.0% (GC)', 'Q420331', 'J-520332', 'Diisopropylamine, purified by redistillation, 99.95%', 'F2190-0304']</t>
  </si>
  <si>
    <t>Compound(7912)</t>
  </si>
  <si>
    <t>diisopropyl ether</t>
  </si>
  <si>
    <t>2-propan-2-yloxypropane</t>
  </si>
  <si>
    <t>['Diisopropyl ether', 'ISOPROPYL ETHER', '108-20-3', "Propane, 2,2'-oxybis-", '2-Isopropoxypropane', 'diisopropylether', 'Diisopropyl oxide', 'Ether, isopropyl', "2,2'-oxydipropane", 'Isopropylether', 'Bis(isopropyl) ether', 'Izopropylowy eter', 'Ether isopropylique', "2,2'-Oxybis-propane", '2-propyl ether', 'Izopropylowy eter [Polish]', '2-(propan-2-yloxy)propane', 'Di-isopropyl ether', 'Ether isopropylique [French]', 'DIPE', 'HSDB 624', "2,2'-Oxybispropane", 'UNII-DO7Y998826', 'DIISOPROPYL-ETHER', '2-propan-2-yloxypropane', 'EINECS 203-560-6', 'UN1159', 'AI3-24270', 'DO7Y998826', 'di-iso-propylether', 'Isopropyl ether, for analysis, stabilized', 'Isopropyl ether, 98+%, pure, stabilized with BHT', 'Isopropyl ether, 99+%, extra pure, stabilized with BHT', 'diisoproylether', 'diisopropyloxide', 'isopropy ether', 'i-propyl ether', 'di-isopropylether', 'diisoproply ether', 'Diiospropyl ether', 'iso-propyl ether', 'di-isopropyl-ether', 'Diisopropyl ether, contains either BHT or hydroquinone as stabilizer, ACS reagent, &gt;=99.0%', 'Di Isopropyl Ether', 'di-iso-propyl ether', 'di-iso-propyl-ether', 'iPr2O', 'Di(2-propyl) ether', 'i-Pr2O', 'ACMC-209sup', 'bis(1-methylethyl)ether', 'DSSTox_CID_1890', '(i-Pr)2O', '(iso-C3H7)2O', 'EC 203-560-6', 'SCHEMBL1296', "1,1'-Dimethyldiethyl ether", 'DSSTox_RID_76388', 'DSSTox_GSID_21890', 'KSC178A3N', 'Diisopropyl ether, LR, 98%', 'CHEMBL3185565', 'DTXSID4021890', 'CTK0H8036', 'KS-00000WDF', 'Diisopropyl ether, LR, &gt;=98%', 'ZINC2041093', 'Tox21_202551', 'ANW-41663', 'STL280503', 'Diisopropyl ether, analytical standard', 'AKOS009031514', 'EBD2761136', 'MCULE-2250230766', 'UN 1159', 'NCGC00166211-01', 'NCGC00260100-01', 'CAS-108-20-3', "Propane, 2,2'-oxybis-;diisopropyl ether", 'SC-65190', 'LS-120892', 'FT-0627486', 'I0172', 'I0917', 'NS00003939', 'Z3658', 'Diisopropyl ether, SAJ first grade, &gt;=99.0%', '17485-EP2269986A1', '17485-EP2269989A1', '17485-EP2269990A1', '17485-EP2269993A1', '17485-EP2272817A1', '17485-EP2272822A1', '17485-EP2272830A1', '17485-EP2274983A1', '17485-EP2275404A1', '17485-EP2275407A1', '17485-EP2275411A2', '17485-EP2275414A1', '17485-EP2277858A1', '17485-EP2280000A1', '17485-EP2280001A1', '17485-EP2281821A1', '17485-EP2283811A1', '17485-EP2284169A1', '17485-EP2284174A1', '17485-EP2287147A2', '17485-EP2287152A2', '17485-EP2287154A1', '17485-EP2287161A1', '17485-EP2287162A1', '17485-EP2289868A1', '17485-EP2292596A2', '17485-EP2292612A2', '17485-EP2295406A1', '17485-EP2295414A1', '17485-EP2298731A1', '17485-EP2298752A1', '17485-EP2298761A1', '17485-EP2298763A1', '17485-EP2298768A1', '17485-EP2298772A1', '17485-EP2298777A2', '17485-EP2298778A1', '17485-EP2299326A1', '17485-EP2301544A1', '17485-EP2301918A1', '17485-EP2305641A1', '17485-EP2305642A2', '17485-EP2305646A1', '17485-EP2305651A1', '17485-EP2305660A1', '17485-EP2305667A2', '17485-EP2305672A1', '17485-EP2305673A1', '17485-EP2305676A1', '17485-EP2305680A2', '17485-EP2305687A1', '17485-EP2305825A1', '17485-EP2308838A1', '17485-EP2308839A1', '17485-EP2308854A1', '17485-EP2308857A1', '17485-EP2308858A1', '17485-EP2308867A2', '17485-EP2308869A1', '17485-EP2308870A2', '17485-EP2308880A1', '17485-EP2311801A1', '17485-EP2311802A1', '17485-EP2311803A1', '17485-EP2311809A1', '17485-EP2311816A1', '17485-EP2311817A1', '17485-EP2311834A1', '17485-EP2311842A2', '17485-EP2314585A1', '17485-EP2314586A1', '17485-EP2371811A2', '17485-EP2371814A1', '17485-EP2380568A1', '23080-EP2287153A1', '23080-EP2298747A1', '23080-EP2314591A1', '23080-EP2371814A1', '41295-EP2269993A1', '41295-EP2270016A1', '41295-EP2272822A1', '41295-EP2275411A2', '41295-EP2280007A1', '41295-EP2281821A1', '41295-EP2281899A2', '41295-EP2283811A1', '41295-EP2284161A1', '41295-EP2284169A1', '41295-EP2284174A1', '41295-EP2287161A1', '41295-EP2287162A1', '41295-EP2289509A2', '41295-EP2298743A1', '41295-EP2298745A1', '41295-EP2298755A1', '41295-EP2301909A1', '41295-EP2305651A1', '41295-EP2305652A2', '41295-EP2305672A1', '41295-EP2308839A1', '41295-EP2308854A1', '41295-EP2308873A1', '41295-EP2311824A1', '41295-EP2311831A1', '45174-EP2277858A1', '45174-EP2277868A1', '45174-EP2277869A1', '45174-EP2277870A1', '45174-EP2284169A1', '45174-EP2287161A1', '45174-EP2287162A1', '45174-EP2292608A1', '45174-EP2295422A2', '45174-EP2298305A1', '45174-EP2298747A1', '45174-EP2298749A1', '45174-EP2298769A1', '45174-EP2301922A1', '45174-EP2305254A1', '45174-EP2305649A1', '45174-EP2305688A1', '45174-EP2308852A1', '45174-EP2308866A1', '45174-EP2308867A2', '45174-EP2308870A2', '45174-EP2311821A1', '45174-EP2311840A1', '45174-EP2371823A1', '45174-EP2371831A1', '45174-EP2380874A2', 'Diisopropyl ether [UN1159] [Flammable liquid]', 'Diisopropyl ether, JIS special grade, &gt;=99.0%', 'Diisopropyl ether [UN1159]  [Flammable liquid]', 'Q418989', 'Diisopropyl ether, puriss. p.a., &gt;=98.5% (GC)', 'J-002069', 'F0001-0159', 'Z1258948180', 'Diisopropyl ether, p.a., 99.0%, contains 0.0004-0.0007% BHT', 'Diisopropyl ether, anhydrous, 99%, contains either BHT or hydroquinone as stabilizer', 'Diisopropyl ether, ReagentPlus(R), 99%, contains either BHT or hydroquinone as stabilizer', 'Diisopropyl ether, UV HPLC spectroscopic, 99.8%, contains 0.0004-0.0007% BHT']</t>
  </si>
  <si>
    <t>Compound(7914)</t>
  </si>
  <si>
    <t>diisopropyl phthalate</t>
  </si>
  <si>
    <t>dipropan-2-yl benzene-1,2-dicarboxylate</t>
  </si>
  <si>
    <t>['DIISOPROPYL PHTHALATE', '605-45-8', 'Phthalic acid, diisopropyl ester', 'di-i-propyl phthalate', 'Diisopropyl phthalic acid', 'DIISOPROPYLPHTHALATE', 'UNII-BFC138Q4PX', 'dipropan-2-yl benzene-1,2-dicarboxylate', '1,2-Benzenedicarboxylic acid, bis(1-methylethyl) ester', 'EINECS 210-086-3', 'NSC 15315', 'BRN 1972723', 'BFC138Q4PX', 'AI3-01766', 'Phthalic Acid Diisopropyl Ester', 'CHEBI:34712', '1,2-Benzenedicarboxylic acid, 1,2-bis(1-methylethyl) ester', 'methylethyl 2-[(methylethyl)oxycarbonyl]benzoate', 'Di-iso-propyl phthalate', 'ACMC-209mki', 'Phthalic acid diisopropyl', 'DSSTox_CID_20731', 'DSSTox_RID_79576', 'DSSTox_GSID_40731', 'BIDD:ER0177', 'SCHEMBL137907', 'CHEMBL2130656', 'DTXSID2040731', 'CTK3I9940', 'Phthalic acid, bis-isopropyl ester', 'ZINC391884', 'NSC15315', 'Tox21_301512', '6207AF', 'ANW-33520', 'NSC-15315', 'SBB060336', 'AKOS015888288', 'MCULE-4121976681', 'KS-000016E8', 'Diisopropyl phthalate, &gt;=97.0% (GC)', 'NCGC00164332-01', 'NCGC00255529-01', 'AK175884', 'CAS-605-45-8', 'Diisopropyl phthalate, analytical standard', 'LS-109350', 'NS00015593', 'P0301', 'ST51046538', 'C14468', '1,2-BENZENEDICARBOXYLIC ACID DIISOPROPYL ESTER', 'Q27116238', 'Diisopropyl phthalate, TraceCERT(R), certified reference material']</t>
  </si>
  <si>
    <t>Compound(11799)</t>
  </si>
  <si>
    <t>diisobutoxymethane</t>
  </si>
  <si>
    <t>2-methyl-1-(2-methylpropoxymethoxy)propane</t>
  </si>
  <si>
    <t>['Methane, diisobutoxy-', 'Diisobutoxymethane', "Propane, 1,1'-[methylenebis(oxy)]bis[2-methyl-", '2568-91-4', 'Diisobutyloxymethane', 'Methane, diisobutyloxy', 'Bis(2-methylpropoxy)methane', 'SCHEMBL723652', 'CTK0J3839', 'DTXSID70334288', '1-(Isobutoxymethoxy)-2-methylpropane #', "Propane, 1,1'-[methylenebis(oxy)]bis*2-methyl-", 'Propane, 2-methyl-1-[(2-methylpropoxy)methoxy]-']</t>
  </si>
  <si>
    <t>Compound(520226)</t>
  </si>
  <si>
    <t>C9H20O2</t>
  </si>
  <si>
    <t>diisobutyl phthalate</t>
  </si>
  <si>
    <t>bis(2-methylpropyl) benzene-1,2-dicarboxylate</t>
  </si>
  <si>
    <t>['DIISOBUTYL PHTHALATE', '84-69-5', 'Palatinol IC', 'DIBP', 'Isobutyl phthalate', 'Phthalic Acid Diisobutyl Ester', 'Hexaplas M/1B', 'Kodaflex DIBP', 'Di-iso-butyl phthalate', 'Phthalic acid, diisobutyl ester', 'Di(i-butyl)phthalate', 'Hatcol DIBP', '1,2-Benzenedicarboxylic acid, bis(2-methylpropyl) ester', 'Diisobutylester kyseliny ftalove', 'UNII-IZ67FTN290', 'NSC 15316', 'bis(2-methylpropyl) phthalate', 'isobutyl-o-phthalate', 'CCRIS 6193', 'HSDB 5247', 'AI3-04278 (USDA)', 'EINECS 201-553-2', '1,2-Benzenedicarboxylic acid, 1,2-bis(2-methylpropyl) ester', 'di-2-methylpropyl phthalate', 'BRN 2054802', 'Diisobutylester kyseliny ftalove [Czech]', 'di-l-butyl phthalate (DIBP)', 'AI3-04278', 'IZ67FTN290', 'DTXSID9022522', 'CHEBI:79053', 'bis(2-methylpropyl) benzene-1,2-dicarboxylate', 'Diisobutylphthalate', 'DSSTox_CID_2522', 'DSSTox_RID_76609', 'DSSTox_GSID_22522', 'J-503794', '1,2-benzenedicarboxylic acid bis(2-methylpropyl) ester', '1,2-Benzenedicarboxylic acid, di(2-methylpropyl) ester', 'CAS-84-69-5', 'SMR000112470', 'di-isobutyl phthalate', 'Di-iso-butyl phtalate', 'Phthalic acid diisobutyl', 'Isobutyl phthalate (VAN)', 'ACMC-209pw3', 'EC 201-553-2', 'Diisobutyl phthalate, 99%', 'SCHEMBL42787', '4-09-00-03177 (Beilstein Handbook Reference)', 'KSC489Q5J', 'MLS000516002', 'MLS002152902', 'BIDD:ER0640', 'Di-isobutyl phthalate - DiBP', '1, bis(2-methylpropyl) ester', 'CHEMBL1370662', 'CTK3I9854', 'C4-13-Branched alkyl phthalates', 'Phthalic acid, bis-isobutyl ester', 'HMS2269D07', 'ZINC388318', 'KS-000011FS', 'NSC15316', 'EINECS 273-157-8', 'Tox21_202429', 'Tox21_300612', 'ANW-37825', 'MFCD00026480', 'NSC-15316', 'AKOS015837516', 'Diisobutyl phthalate (ACD/Name 4.0)', 'WLN: 1Y1&amp;1OVR BVO1Y1&amp;1', 'LS-1839', 'NCGC00091360-01', 'NCGC00091360-02', 'NCGC00091360-03', 'NCGC00091360-04', 'NCGC00254487-01', 'NCGC00259978-01', 'CC-26835', 'FT-0689059', 'NS00010605', 'P0298', 'ST50405544', 'C15205', 'C-34310', 'Q162259', '1,2-bis(2-methylpropyl) benzene-1,2-dicarboxylate', '1,2-benzenedicarboxylic acid di(2-methylpropyl) ester', '2-methylpropyl 2-[(2-methylpropyl)oxycarbonyl]benzoate', '(C4-C13) Branched alkyl alcohols, phthalic anhydride ester', 'Phthalic acid, bis-isobutyl ester 10 microg/mL in Cyclohexane', 'Diisobutyl phthalate, certified reference material, TraceCERT(R)']</t>
  </si>
  <si>
    <t>Compound(6782)</t>
  </si>
  <si>
    <t>di-isooctyl phthalate</t>
  </si>
  <si>
    <t>bis(6-methylheptyl) benzene-1,2-dicarboxylate</t>
  </si>
  <si>
    <t>['Diisooctyl phthalate', 'Bis(6-methylheptyl) phthalate', '27554-26-3', 'Isooctyl phthalate', 'Diop', 'Di-iso-octyl phthalate', 'Flexol Plasticizer DIOP', 'Hexaplas M/O', 'Phthalic acid, diisooctyl ester', 'Corflex 880', '1,2-Benzenedicarboxylic acid, diisooctyl ester', 'UNII-6A121LGB40', 'Phthalic acid, bis(6-methylheptyl)ester', 'HSDB 588', 'Diisooctyl 1,2-benzenedicarboxylate', 'NSC 6381', 'EINECS 248-523-5', 'AI3-27697-X (USDA)', '131-20-4', 'CHEBI:34710', 'bis(6-methylheptyl) benzene-1,2-dicarboxylate', '6A121LGB40', 'AK105955', '1,2-Benzenedicarboxylic acid, 1,2-diisooctyl ester', '1,2-Benzenedicarboxylic acid, bis(6-methylheptyl) ester', 'DSSTox_CID_7933', 'Hexaplas M/O (Salt/Mix)', 'DSSTox_RID_78618', 'DSSTox_GSID_27933', 'Phthalic acid diisoctyl ester', 'BIDD:ER0438', 'SCHEMBL109014', 'QSPL 045', 'QSPL 083', 'CHEMBL3186540', 'CTK0C1027', 'DTXSID50873226', 'Phthalic Acid Di-iso-Octyl Ester', 'Phthalic acid bis(6-methylheptyl)', 'KS-00000G1Z', 'ZINC4655188', 'Tox21_200466', 'ANW-73191', 'MFCD00036241', 'AKOS015916164', 'NCGC00248637-01', 'NCGC00258020-01', 'AS-17769', 'SC-47029', 'AX8125140', 'CAS-27554-26-3', 'LS-109348', 'FT-0624988', 'NS00015578', 'V1732', '1,2-Benzenedicarboxylic acid,diisooctyl ester', '1,2Benzenedicarboxylic acid, diisooctyl ester', 'Phthalic acid, bis-isooctyl ester (technical)', 'C14577', 'Q2532970', 'Phthalic acid, diisooctyl ester;Diisooctyl phthalate;Di(isooctyl) phthalate;diisooctyl phthalate']</t>
  </si>
  <si>
    <t>Compound(33934)</t>
  </si>
  <si>
    <t>diisononyl phthalate</t>
  </si>
  <si>
    <t>bis(7-methyloctyl) benzene-1,2-dicarboxylate</t>
  </si>
  <si>
    <t>['DIISONONYL PHTHALATE', '28553-12-0', 'Diisononylphthalate', 'Bis(7-methyloctyl) phthalate', '20548-62-3', 'bis(7-methyloctyl) benzene-1,2-dicarboxylate', '1,2-Benzenedicarboxylic acid, diisononyl ester', '1,2-Benzenedicarboxylic acid, 1,2-diisononyl ester', 'DINP branched', 'CHEBI:35459', '1,2-Benzenedicarboxylic acid, di-C8-10-branched alkyl esters, C9-rich', 'Diisononyl phthalate, technical grade', 'DSSTox_CID_2521', 'DSSTox_RID_78653', 'DSSTox_GSID_28665', 'CAS-68515-48-0', 'di-isononyl phthalate', 'aromatic ester', 'Di-iso-nonyl phtalate', 'Phthalic Acid Bis(7-methyloctyl) Ester', 'Di(C8-10, C9 rich) branched alkyl phthalates', 'DSSTox_RID_76608', 'DSSTox_GSID_22521', 'SCHEMBL21592', 'BIDD:ER0440', 'CCRIS 7927', 'Di(isononyl) phthalate branched', '1,2-Benzenedicarboxylic acid, bis(7-methyloctyl) ester', 'Bis(7-methyloctyl) phthalate #', 'CHEMBL1905899', 'DTXSID60860420', 'ZINC4538442', 'EINECS 271-090-9', 'Tox21_200745', 'Tox21_202296', 'Tox21_303462', 'ANW-41626', 'AKOS015838981', 'Di(C8-C10) branched alkyl phthalate', 'MCULE-4536480907', 'Phthalic acid, bis-7-methyloctyl ester', 'NCGC00163810-01', 'NCGC00163810-02', 'NCGC00257365-01', 'NCGC00258299-01', 'NCGC00259845-01', 'Phthalic acid, bis(7-methyloctyl) ester', 'K143', 'CAS-28553-12-0', "di-'isononyl' phthalate, mixture of esters", 'FT-0624987', 'FT-0667184', 'FT-0667185', 'FT-0698830', 'C15221', 'EC 271-090-9', 'Baylectrol 4200;ENJ 2065;Phthalisocizer DINP;', 'Bis(7-methyloctyl)??phthalate, analytical standard', 'Q410393', 'W-104664', '1,2-benzenedicarboxylic acid,1,2-bis(7-methyloctyl)ester', '1,2-Benzenedicarboxylic acid, di-C8-C10-branched alkyl ester, C9-rich']</t>
  </si>
  <si>
    <t>Compound(590836)</t>
  </si>
  <si>
    <t>(1R,2S,6R,8S)-4,4,11,11-tetramethyl-3,5,7,10,12-pentaoxatricyclo[6.4.0.02,6]dodecane-6-carboxylic acid</t>
  </si>
  <si>
    <t>['Dikegulac', 'Diprogulic Acid', 'UNII-3981541LXD', '18467-77-1', 'CHEBI:81986', '3981541LXD', '(-)-2,3:4,6-Di-O-isopropylidene-2-keto-L-gulonic Acid', 'Acido diprogulico', '(-)-2,3:4,6-Di-O-isopropylidene-alpha-L-xylo-2-hexulofuranosonic Acid', 'Acide diprogulique', 'Acidum diprogulicum', 'Diprogulic acid [INN]', 'Acide diprogulique [INN-French]', 'Acido diprogulico [INN-Spanish]', 'Acidum diprogulicum [INN-Latin]', 'Diacetone-2-keto-1-gulonic acid', 'EINECS 242-348-8', 'Dikegulac [BSI:ISO]', '2,3:4,6-Diacetone-2-keto-L-gulonic acid', 'DSSTox_CID_27454', 'DSSTox_RID_82358', 'DSSTox_GSID_47454', 'Diaceton-2-keto-L-gulonsaure', 'SCHEMBL120792', 'CHEMBL2110720', 'DTXSID0047454', 'ZINC1825020', 'Tox21_300935', '2,3,4,6-di-O-Isopropylidene-alpha-L-xylo-2-hexulofuranosonic acid', 'AKOS015955669', '2,3,4,6-bis-O-(1-Methylethylidene)-alpha-L-xylo-2-hexulofuranosonic acid (9CI)', 'NCGC00166284-02', 'NCGC00254837-01', 'CAS-18467-77-1', 'C18825', 'Q3027939', '2,3:4,6-Di-O-isopropylidene-alpha-L-xylo-hexulofuranosonic acid', 'alpha-L-xylo-2-Hexulofuranosonic acid, 2,3:4,6-bis-O-(1-methylethylidene)-', 'odium 2,3:4,6-di-O-isopropylidene-?-L-xylo-2-hexulofuranosonate;Sodium 2,3:4,6-di-O-isopropylidene-a-L-xylo-2-hexulofuranosonate']</t>
  </si>
  <si>
    <t>Compound(65420)</t>
  </si>
  <si>
    <t>C12H18O7</t>
  </si>
  <si>
    <t>dimetridazole</t>
  </si>
  <si>
    <t>1,2-dimethyl-5-nitroimidazole</t>
  </si>
  <si>
    <t>['dimetridazole', '1,2-Dimethyl-5-nitroimidazole', '551-92-8', '1,2-DIMETHYL-5-NITRO-1H-IMIDAZOLE', 'Dimetridazol', 'Emtrylvet', 'Emtrymix', 'Emtryl', 'Unizole Soluble', 'Dimetridazolum', '1H-Imidazole, 1,2-dimethyl-5-nitro-', '5-Nitro-1,2-dimethylimidazole', 'Dimetridazolo [DCIT]', 'Caswell No. 371A', 'RP 8595', 'Dimetridazole [INN:BAN]', 'UNII-K59P7XNB8X', 'Dimetridazol [INN-Spanish]', 'Dimetridazolum [INN-Latin]', 'CCRIS 997', 'NSC 226253', 'C5H7N3O2', '1,2-dimethyl-5-nitro-imidazole', '8595 R.P.', 'Imidazole, 1,2-dimethyl-5-nitro-', 'EINECS 209-001-2', 'EPA Pesticide Chemical Code 371200', 'BRN 0130665', 'K59P7XNB8X', 'AI3-27217', 'MFCD00047046', 'NSC226253', 'Dimetridazolo', 'DSSTox_CID_497', 'DSSTox_RID_75623', 'DSSTox_GSID_20497', '1,2-Dimethyl-5-nitroimidazole, 98%', 'CAS-551-92-8', 'Demetridazole', 'Dimetrizadole', 'component of Emtryl', 'Dimetridazole (INN)', 'PubChem21333', 'Alazol [veterinary] (TN)', 'SCHEMBL63278', '5-23-05-00058 (Beilstein Handbook Reference)', 'KSC495S0D', 'CHEMBL38938', 'Imidazole,2-dimethyl-5-nitro-', 'ZINC1307', 'DTXSID5020497', 'CTK3J5901', 'CHEBI:141155', '1H-Imidazole,2-dimethyl-5-nitro-', 'ACT06679', 'HY-B1244', 'KS-00000K1D', 'WLN: T5N CNJ A1 B1 ENW', 'Tox21_113657', 'Tox21_201618', 'Tox21_302989', 'ANW-32256', 'BBL028012', 's5541', 'SBB006915', 'STL259130', 'AKOS000121461', 'AM87060', 'CCG-266155', 'CS-4956', 'LS-7347', 'MCULE-7577683694', 'NE24547', 'NSC-226253', 'RP-8595', 'NCGC00249084-01', 'NCGC00249084-02', 'NCGC00256615-01', 'NCGC00259167-01', '8595 R.P', 'AC-12771', 'AK-44305', 'H793', 'AB0013266', 'D1564', 'D4081', 'EU-0033396', 'FT-0606425', 'FT-0667567', 'NS00000126', 'ST45018343', '1H-Imidazole, 1,2-dimethyl-5-nitro- (9CI)', 'D07855', 'A830512', 'Dimetridazole, VETRANAL(TM), analytical standard', 'SR-01000944778', 'Q5277356', 'SR-01000944778-1', 'W-105582', 'W-205401', 'Dimetridazole;1,2-Dimethyl-5-nitroimidazole;dimetridazole;1,2-dimethyl-5-nitro-1H-imidazolium methanesulphonate']</t>
  </si>
  <si>
    <t>Compound(3090)</t>
  </si>
  <si>
    <t>C5H7N3O2</t>
  </si>
  <si>
    <t>3-[4-(5-tert-butyl-2-oxo-1,3,4-oxadiazol-3-yl)-3-chlorophenyl]-1,1-dimethylurea</t>
  </si>
  <si>
    <t>['Dimefuron', '34205-21-5', 'Pradone TS', 'Pradone kombi', 'Pradone plus', 'Legurame TS', 'Dimefuron [BSI:ISO]', 'UNII-39TXE38663', 'Vt 2809', 'EINECS 251-879-4', 'BRN 0628305', 'RP 23465', 'CHEBI:81957', '39TXE38663', '3-(4-(5-tert-Butyl-2,3-dihydro-2-oxo-1,3,4-oxadiazol-3-yl)-3-chlorophenyl)-1,1-dimethylurea', '3-[4-(5-tert-butyl-2-oxo-1,3,4-oxadiazol-3-yl)-3-chlorophenyl]-1,1-dimethylurea', '3-(4-(5-(tert-Butyl)-2-oxo-1,3,4-oxadiazol-3(2H)-yl)-3-chlorophenyl)-1,1-dimethylurea', '3-[4-[5-(tert-butyl)-2-oxo-1,3,4-oxadiazol-3(2H)-yl]-3-chlorophenyl]-1,1-dimethylurea', 'Urea, 3-(4-(2-tert-butyl-5-oxo-delta(sup 2)-1,3,4-oxadiazolin-4-yl)-3-chlorophenyl)-1,1-dimethyl-', "Urea, N'-(3-chloro-4-(5-(1,1-dimethylethyl)-2-oxo-1,3,4-oxadiazol-3(2H)-yl)phenyl)-N,N-dimethyl-", "Urea, N'-[3-chloro-4-[5-(1,1-dimethylethyl)-2-oxo-1,3,4-oxadiazol-3(2H)-yl]phenyl]-N,N-dimethyl-", 'SCHEMBL68325', 'CHEMBL1087751', 'DTXSID6058059', 'ZINC2516873', 'AKOS015903089', 'Pradone TS;RP 23465;Vt 2809', 'ACM34205215', 'Dimefuron 10 microg/mL in Acetonitrile', 'NCGC00166318-01', 'CC-26869', "N'-(3-Chloro-4-(5-(1,1-dimethylethl)-2-oxo-1,3,4-oxadiazol-3(2H)-yl)phenyl)-N,N-dimethylurea (9CI)", 'DB-048582', 'LS-159270', 'FT-0630580', 'NS00010458', 'Dimefuron, PESTANAL(R), analytical standard', 'C18783', 'C-20286', 'J-019497', 'Q3028190', '3-(4-(5-tert-butyl-2-oxo-1,3,4-oxadiazol-3(2H)-yl)-3-chlorophenyl)-1,1-dimethylurea', '3-[4-(5-tert-butyl-2-keto-1,3,4-oxadiazol-3-yl)-3-chloro-phenyl]-1,1-dimethyl-urea', '3-[4-(5-tert-butyl-2-oxo-1,3,4-oxadiazol-3-yl)-3-chloro-phenyl]-1,1-dimethyl-urea', "N'-(3-Chloro-4-(5-(1,1-dimethylethl)-2-oxo-1,3,4-oxadiazol-3(2H)-yl)phenyl)-N,N-dimethylurea", "N'-[4-(5-tert-Butyl-2-oxo-1,3,4-oxadiazol-3(2H)-yl)-3-chlorophenyl]-N,N-dimethylcarbamimidic acid"]</t>
  </si>
  <si>
    <t>Compound(91612)</t>
  </si>
  <si>
    <t>C15H19ClN4O3</t>
  </si>
  <si>
    <t>dimethenamid</t>
  </si>
  <si>
    <t>2-chloro-N-(2,4-dimethylthiophen-3-yl)-N-(1-methoxypropan-2-yl)acetamide</t>
  </si>
  <si>
    <t>['Dimethenamid', '87674-68-8', 'Frontier Herbicide', 'Dimethenamide', 'Dimethenamid [ISO]', 'San 682H', '2-Chloro-N-(2,4-dimethyl-3-thienyl)-N-(2-methoxy-1-methylethyl)acetamide', 'Acetamide, 2-chloro-N-(2,4-dimethyl-3-thienyl)-N-(2-methoxy-1-methylethyl)-', 'EPA Pesticide Chemical Code 129051', '2-chloro-N-(2,4-dimethylthiophen-3-yl)-N-(1-methoxypropan-2-yl)acetamide', 'CHEBI:83638', 'NCGC00163935-02', 'DSSTox_CID_12376', 'DSSTox_RID_78930', 'DSSTox_GSID_32376', 'CAS-87674-68-8', 'Dimethenamid (SAN 582H)', 'SCHEMBL53864', 'CHEMBL1565335', 'DTXSID4032376', 'HSDB 8451', 'Tox21_112076', 'Tox21_300705', 'AKOS015902456', 'Dimethenamid 10 microg/mL in Methanol', 'LS-8514', 'NCGC00163935-01', 'NCGC00163935-03', 'NCGC00163935-04', 'NCGC00163935-05', 'NCGC00254613-01', 'SC-67396', 'FT-0667218', 'FT-0667219', 'C18499', 'Dimethenamid, PESTANAL(R), analytical standard', '674D688', 'Q3028201', 'N-(2,4-Dimethylthien-3-yl)-N-(1-methoxyprop-2-yl)-chloroacetamide', '(s)-2-chloro-n-(2,4-dimethyl-3-thienyl)-n-(2-methoxy-1-methylethyl)acetamide', 'Dimethenamid-P;Dimethenamid;Acetamide, 2-chloro-N-(2,4-dimethyl-3-thienyl)-N-(2-methoxy-1-methylethyl)-']</t>
  </si>
  <si>
    <t>Compound(91744)</t>
  </si>
  <si>
    <t>C12H18ClNO2S</t>
  </si>
  <si>
    <t>dimethachlor</t>
  </si>
  <si>
    <t>2-chloro-N-(2,6-dimethylphenyl)-N-(2-methoxyethyl)acetamide</t>
  </si>
  <si>
    <t>['DIMETHACHLOR', '50563-36-5', '2-Chloro-N-(2,6-dimethylphenyl)-N-(2-methoxyethyl)acetamide', 'Teridox', 'Dimethachlore', 'Dimethachlor [BSI:ISO]', 'Acetamide, 2-chloro-N-(2,6-dimethylphenyl)-N-(2-methoxyethyl)-', 'Dimethachlore [ISO-French]', 'UNII-3G91ARZ496', 'EINECS 256-625-6', 'BRN 2982991', 'CHEBI:81911', 'A 4766', 'A 5089', '3G91ARZ496', '2,6-Dimethyl-N-(2-methoxyethyl)chloroacetanilide', "2-Chloro-N-(2-methoxyethyl)acet-2',6'-xylidide", '2,6-Acetoxylidide, 2-chloro-N-(2-methoxyethyl)-', '55353-08-7', 'W-110998', 'Dimetachlor', 'Dimethachloro', 'SCHEMBL67002', 'CHEMBL1374401', 'DTXSID3058111', 'ZINC2005705', 'LS-8509', 'ACM50563365', 'Dimethachlor 100 microg/mL in Methanol', 'NCGC00166184-01', 'Dimethachlor 10 microg/mL in Cyclohexane', 'NS00007718', 'C18718', 'Dimethachlor, PESTANAL(R), analytical standard', 'A828176', 'Q3028193', '2-chloranyl-N-(2,6-dimethylphenyl)-N-(2-methoxyethyl)ethanamide', '2-Chloro-N-(2,6-dimethylphenyl)-N-(2-methoxyethyl)acetamide #']</t>
  </si>
  <si>
    <t>Compound(39722)</t>
  </si>
  <si>
    <t>C13H18ClNO2</t>
  </si>
  <si>
    <t>dimethoate</t>
  </si>
  <si>
    <t>2-dimethoxyphosphinothioylsulfanyl-N-methylacetamide</t>
  </si>
  <si>
    <t>['dimethoate', '60-51-5', 'Phosphamide', 'Rogor', 'Aadimethoal', 'Fosfamid', 'Fosfotox', 'Perfecthion', 'Perfekthion', 'Phosphamid', 'Rebelate', 'Sinoratox', 'Sistemin', 'Systoate', 'Daphene', 'Dimeton', 'Dimevur', 'Racusan', 'Roxion', 'Cygon', 'Lurgo', 'Tara', 'Fosfatox R', 'Fosfotox R', 'Cygon insecticide', 'De-fend', 'Fostion MM', 'Rogor L', 'Rogor P', 'Cygon 4E', 'Fosfotox R 35', 'Cekuthoate', 'Devigon', 'Dimetate', 'Dimethogen', 'Ferkethion', 'Rogodan', 'Sevigor', 'Trimetion', 'Cygon 2-E', 'Rogor 40', 'Salut', 'Solut', 'Cygon 400', 'Fortion NM', 'Roxion UA', 'Tara 909', 'Fosfamid (USSR)', 'American cyanamid 12880', 'Dimethoaat [Dutch]', 'Dimethoat [German]', 'Dimethoate 30 EC', '8014 Bis HC', 'Demos-L40', 'Rogor 20L', 'Dimate 267', 'Caswell No. 358', 'Dimethoat Tech 95%', 'PEI 75', 'BI 58', 'BI-58', 'RCRA waste number P044', 'CCRIS 245', '2-Dimethoxyphosphinothioylthio-N-methylacetamide', 'C5H12NO3PS2', 'Dimethoate [ANSI:BSI:ISO]', 'UNII-W6U08B045O', 'BI 58 EC', 'OMS 94', '2-dimethoxyphosphinothioylsulfanyl-N-methylacetamide', 'CL 12880', 'HSDB 1586', 'Experimental Insecticide 12,880', 'NCI-C00135', 'EINECS 200-480-3', 'RCRA waste no. P044', 'ENT 24,650', 'EPA Pesticide Chemical Code 035001', 'BRN 1785339', 'AC-12880', 'AC-18682', 'EI-12880', 'Phosphorodithioic acid, O,O-dimethyl S-(2-(methylamino)-2-oxoethyl) ester', 'O,O-Dimethyl S-methylcarbamoylmethyl phosphorodithioate', 'S-Methylcarbamoylmethyl O,O-Dimethyl phosphorodithioate', 'O,O-Dimethyl S-(N-methylcarbamoylmethyl) dithiophosphate', 'AI3-24650', 'Phosphorodithioic acid, O,O-dimethyl ester, S-ester with 2-mercapto-N-methylacetamide', 'O,O-Dimethyl S-(N-methylcarbamoylmethyl) phosphorodithioate', 'L-395', 'CHEBI:34714', 'o,o-Dimethyl S-[2-(methylamino)-2-oxoethyl] dithiophosphate', 'W6U08B045O', 'Phosphorodithioic acid, O,O-dimethyl S-[2-(methylamino)-2-oxoethyl] ester', 'O,O-Dimethyl methylcarbamoylmethyl phosphorodithioate', 'FIP', 'O,O-Dimethyl S-((methylcarbamoyl)methyl)phosphorodithioate', 'N-Monomethylamide of O,O-dimethyldithiophosphorylacetic acid', 'O,O-Dimethyl S-(N-methylcarbamylmethyl) thiothionophosphate', 'O,O-Dimethyl-S-(2-oxo-3-aza-butyl)-dithiophosphat [German]', 'O,O-Dimethyl S-(2-(methylamino)-2-oxoethyl) phosphorodithioate', 'O,O-dimethyl S-[2-(methylamino)-2-oxoethyl] phosphorodithioate', 'O,O-Dimethyl-dithiophosphorylessigsaeure monomethylamid [German]', 'O,O-Dimethyl-S-(N-monomethyl)-carbamyl methyl dithiophosphate', 'O,O-Dimethyldithiophosphorylacetic acid, N-monomethylamide salt', 'O,O-Dimetil-S-(N-metil-carbamoil-metil)-ditiofosfato [Italian]', 'Acetic acid, O,O-dimethyldithiophosphoryl-, N-monomethylamide salt', 'DSSTox_CID_479', 'O,O-Dimethyl-S-(N-methyl-carbamoyl)-methyl-dithiofosfaat [Dutch]', 'Dithiophosphate de O,O-dimethyle et de S(-N-methylcarbamoyl-methyle) [French]', 'DSSTox_RID_75615', 'Phosphorodithioic acid O,O-dimethyl ester, ester with 2-mercapto-N-methylacetamide', 'DSSTox_GSID_20479', 'Dimethoaat', 'Dimethoat', 'Phosphorodithioic acid, O,O-dimethyl S-[2-(methylamino)-2-oxoethyl]ester', 'CAS-60-51-5', 'Turbair', 'Defend', 'Fostion M M', 'Rogor 20 L', 'Spectrum_001793', 'SpecPlus_000384', 'Spectrum2_001861', 'Spectrum3_000812', 'Spectrum4_000652', 'Spectrum5_001934', 'SCHEMBL18159', 'BSPBio_002303', 'KBioGR_001023', 'KBioSS_002286', 'SPECTRUM330020', 'MLS002207196', 'BIDD:ER0567', 'Dimercaptan Triethylene Glycol', 'DivK1c_006480', 'O,O-Dimethyl-S-(2-oxo-3-aza-butyl)-dithiophosphat', 'SPBio_001702', 'Dimethoate, analytical standard', 'O,O-Dimethyl-dithiophosphorylessigsaeure monomethylamid', 'O,O-Dimetil-S-(N-metil-carbamoil-metil)-ditiofosfato', 'CHEMBL1569524', 'DTXSID7020479', 'SCHEMBL20525536', 'Experimental Insecticide 12880', 'KBio1_001424', 'KBio2_002284', 'KBio2_004852', 'KBio2_007420', 'KBio3_001803', 'MCWXGJITAZMZEV-UHFFFAOYSA-', 'O,O-Dimethyl-S-(N-methyl-carbamoyl)-methyl-dithiofosfaat', 'O,O-Dimethyl-S-(N-methyl-carbamoyl-methyl)-dithiophosphat', 'HY-B1946', 'Tox21_202246', 'Tox21_301161', 'CCG-39399', 'Dithiophosphate de O,O-dimethyle et de S(-N-methylcarbamoyl-methyle)', 'ENT-24650', 'KM0411', 'LS-262', 'O,O-Dimethyl-S-(N-methyl-carbamoyl-methyl)-dithiophosphat  [German]', 'Dimethoate 100 microg/mL in Acetone', 'AKOS015960721', 'Dimethoate 1000 microg/mL in Acetone', 'Dimethoate 10 microg/mL in Cyclohexane', 'Dimethoate 1000 microg/mL in Methanol', 'O,O-Dimethyl phosphorodithioate S-ester with 2-mercapto-N-methylacetamide (8CI)', 'NCGC00094518-01', 'NCGC00094518-02', 'NCGC00094518-03', 'NCGC00094518-04', 'NCGC00094518-05', 'NCGC00094518-06', 'NCGC00094518-07', 'NCGC00094518-08', 'NCGC00255059-01', 'NCGC00259795-01', 'AS-16078', 'CC-26881', 'Dimethoate 100 microg/mL in Acetonitrile', 'S245', 'SMR000777935', 'DB-053635', 'CS-0014051', 'FT-0603252', 'FT-0667209', 'NS00000384', 'Dimethoate, PESTANAL(R), analytical standard', 'C14326', '26852-EP2274983A1', '26852-EP2275422A1', '26852-EP2280009A1', '26852-EP2305662A1', '26852-EP2308857A1', '26852-EP2308858A1', '26852-EP2311816A1', '26852-EP2311817A1', '26852-EP2314583A1', '26852-EP2374786A1', '42068-EP2311808A1', '42068-EP2311829A1', '053D676', 'C-13239', 'Q421371', 'BRD-K94763113-001-02-5', 'Dimethyl S-((methylcarbamoyl)methyl) phosphorodithioate', 'Dimethyl S-(N-(methylcarbamoyl)methyl) phosphorodithioate', 'Dimethyl  S-(N-(methylcarbamoyl)methyl) phosphorodithioate', 'O,O-Dimethyl S-(N-Methyl carbamoylmethyl) Phosphorodithioate', 'O,O-Dimethyl S-[2-(methylamino)-2-oxoethyl] dithiophosphate #', 'O,O-dimethyl S-[2-(methylamino)-2-oxoethyl]phosphorodithioate', 'O,O-dimethyl S-2-(methylamino)-2-oxoethyl phosphorodithioate', 'O,O-Dimethyl-S-(N-methyl-carbamoyl-methyl)-dithiophosphat [German]', 'Dimethyl phosphorodithioate, S-ester with 2-mercapto-N-methylacetamide', 'O,O-Dimethyl phosphorodithioate S-ester with 2-mercapto-N-methylacetamide', 'Phosphorodithio ic Acid O,O-Dimethyl S-(2-(Methylamino)-2-Oxoethyl) Ester', 'Phosphorodithioic Acid O,O-Dimethyl S-(2-(Methylamino)-2-Oxoethyl) Ester', 'Ditimur 40; ENT 24650; Experimental Insecticide 12880; FIP; Fosfatox R; Fosfotox']</t>
  </si>
  <si>
    <t>Compound(3082)</t>
  </si>
  <si>
    <t>C5H12NO3PS2</t>
  </si>
  <si>
    <t>dimethomorph</t>
  </si>
  <si>
    <t>(E)-3-(4-chlorophenyl)-3-(3,4-dimethoxyphenyl)-1-morpholin-4-ylprop-2-en-1-one</t>
  </si>
  <si>
    <t>['Dimethomorph', '(E)-Dimethomorph', '110488-70-5', 'Dimethomorph E', 'E-Dimethomorph', 'Dimethomorph, (E)-', 'UNII-NU7EH56J7K', 'NU7EH56J7K', '113210-97-2', 'CHEBI:83426', 'Dimethomorph, mixture of E + Z isomers', 'Dimethomorphe', '(E)-3-(4-chlorophenyl)-3-(3,4-dimethoxyphenyl)-1-morpholin-4-ylprop-2-en-1-one', 'CHEBI:81848', 'Acrobat', 'Akrobat', 'Forum', 'Festival C', '3-(4-Chlorophenyl)-3-(3,4-dimethoxyphenyl)-1-morpholinoprop-2-en-1-one', '4-(3-(4-Chlorophenyl)-3-(3,4-dimethoxyphenyl)-1-oxo-2-propenyl)morpholine', '4-[3-(4-CHLOROPHENYL)-3-(3,4-DIMETHOXYPHENYL)-1-OXO-2-PROPENYL]MORPHOLINE', 'Dimethomorph isomer 1', 'Dimethomorph estereoisomer 1', 'SCHEMBL22863', 'CHEMBL1870371', 'DTXSID10150323', '2-Propen-1-one, 3-(4-chlorophenyl)-3-(3,4-dimethoxyphenyl)-1-(4-morpholinyl)-', 'ZINC2382938', 'AKOS015900286', 'KS-5361', 'Morpholine, 4-((2E)-3-(4-chlorophenyl)-3-(3,4-dimethoxyphenyl)-1-oxo-2-propen-1-yl)-', 'Morpholine, 4-((2E)-3-(4-chlorophenyl)-3-(3,4-dimethoxyphenyl)-1-oxo-2-propenyl)-', 'Morpholine, 4-(3-(4-chlorophenyl)-3-(3,4-dimethoxyphenyl)-1-oxo-2-propenyl)-, (E)-', 'NCGC00163797-01', 'NCGC00163797-02', 'NCGC00163797-03', 'NCGC00163797-04', 'Dimethomorph 10 microg/mL in Cyclohexane', 'I849', 'Dimethomorph 10 microg/mL in Acetonitrile', 'C18583', '26813-EP2275422A1', '26813-EP2280009A1', '26813-EP2292608A1', '26813-EP2305033A1', '26813-EP2305662A1', '26813-EP2308857A1', '26813-EP2314583A1', 'Dimethomorph, PESTANAL(R), analytical standard', '488D705', 'A802203', 'Q14850344', 'UNII-3EXL2158GV component QNBTYORWCCMPQP-NBVRZTHBSA-N', '4-[3-(4-Chlorophenyl)-3-(3,4-dimethoxyphenyl)acroyl]morpholine', '(2E)-3-(4-chlorophenyl)-3-(3,4-dimethoxyphenyl)-1-(morpholin-4-yl)prop-2-en-1-one', '(2Xi)-3-(4-chlorophenyl)-3-(3,4-dimethoxyphenyl)-1-(morpholin-4-yl)prop-2-en-1-one', '(E)-3-(4-chlorophenyl)-3-(3,4-dimethoxyphenyl)-1-(4-morpholinyl)-2-propen-1-one', '(E)-3-(4-chlorophenyl)-3-(3,4-dimethoxyphenyl)-1-morpholin-4-yl-prop-2-en-1-one', '(E)-3-(4-chlorophenyl)-3-(3,4-dimethoxyphenyl)-1-morpholinoprop-2-en-1-one', '(Z)-3-(4-chlorophenyl)-3-(3,4-dimethoxyphenyl)-1-(4-morpholinyl)-2-propen-1-one', '4-[(2E)-3-(4-chlorophenyl)-3-(3,4-dimethoxyphenyl)prop-2-enoyl]morpholine', '(E,Z) 4-[3-(4-chlorophenyl)-3-(3,4-dimethoxyphenyl)acryloyl] morpholine;dimethomorph;Dimethomorph, (E)-;CIS-DIMETHOMORPH']</t>
  </si>
  <si>
    <t>Compound(5889665)</t>
  </si>
  <si>
    <t>C21H22ClNO4</t>
  </si>
  <si>
    <t>dimethenamid ethanesulfonic acid</t>
  </si>
  <si>
    <t>2-[(2,4-dimethylthiophen-3-yl)-(1-methoxypropan-2-yl)amino]-2-oxoethanesulfonic acid</t>
  </si>
  <si>
    <t>['dimethenamide ESA', 'Dimethenamid-ESA', 'Dimethenamid ESA', '205939-58-8', 'AC1O52R5', 'Dimethenamide-ESA', 'CHEBI:83461', 'DTXSID50891445', '2-[(2,4-dimethylthiophen-3-yl)-(1-methoxypropan-2-yl)amino]-2-oxoethanesulfonic acid', 'NS00000242', 'Q27156845', '[(2,4-dimethylthiophen-3-yl)(1-methoxypropan-2-yl)carbamoyl]methanesulfonic acid', '2-[(2,4-Dimethyl-3-thienyl)(1-methoxy-2-propanyl)amino]-2-oxoethanesulfonic acid', '2-[(2,4-dimethylthiophen-3-yl)(1-methoxypropan-2-yl)amino]-2-oxoethanesulfonic acid']</t>
  </si>
  <si>
    <t>Compound(6426850)</t>
  </si>
  <si>
    <t>C12H19NO5S2</t>
  </si>
  <si>
    <t>dimethenamid oxo acetic acid</t>
  </si>
  <si>
    <t>2-[(2,4-dimethylthiophen-3-yl)-(1-methoxypropan-2-yl)amino]-2-oxoacetic acid</t>
  </si>
  <si>
    <t>['dimethenamid OXA', 'Dimethenamid OA', 'Dimethenamid-OXA', '380412-59-9', '[(2,4-dimethylthiophen-3-yl)(1-methoxypropan-2-yl)amino](oxo)acetic acid', '2-[(2,4-dimethylthiophen-3-yl)-(1-methoxypropan-2-yl)amino]-2-oxoacetic acid', 'Dimethenamide OXA', 'Dimethenamide-OXA', 'Dimethenamid M23', 'Dimethenamid oxalamid', 'Dimethenamid-oxalamid', 'DTXSID4037530', 'CHEBI:83460', 'NS00000241', 'Q27156844', 'N-(2,4-Dimethyl-3-thienyl)-N-(2-methoxy-1-methylethyl)-oxamic acid']</t>
  </si>
  <si>
    <t>Compound(86290064)</t>
  </si>
  <si>
    <t>C12H17NO4S</t>
  </si>
  <si>
    <t>2-chloro-N-(2,4-dimethylthiophen-3-yl)-N-[(2S)-1-methoxypropan-2-yl]acetamide</t>
  </si>
  <si>
    <t>['Dimethenamid-P', 'Dimethenamide-P', '163515-14-8', 'Dimethenamid-P [ISO]', '(S)-dimethenamid', 'UNII-9H95J2H62E', 'CHEBI:83640', '9H95J2H62E', '2-chloro-N-(2,4-dimethylthiophen-3-yl)-N-[(2S)-1-methoxypropan-2-yl]acetamide', 'dimethenamide P', 'HSDB 7935', '(+)-dimethenamid', 'DSSTox_CID_14542', 'DSSTox_GSID_34542', 'SCHEMBL18223', 'CHEMBL1903453', 'DTXSID2034542', 'CTK8E8703', '(S)-2-Chloro-N-(2,4-dimethylthiophen-3-yl)-N-(1-methoxypropan-2-yl)acetamide', 'ZINC6072113', 'Tox21_303923', 'ACETAMIDE,2-CHLORO-N-(2,4-DIMETHYL-3-THIENYL)-N-[(1S)-2-METHOXY-1-METHYLETHYL]-', 'NCGC00163792-01', 'NCGC00357002-01', 'Dimethenamid-P 10 microg/mL in Methanol', 'LS-181884', 'CAS-163515-14-8', 'Dimethenamide-P, PESTANAL(R), analytical standard', 'J-010050', 'Q27157042', 'UNII-8504Z6C4XZ component JLYFCTQDENRSOL-VIFPVBQESA-N', '2-chloro-n-(2,4-dimethyl-3-thienyl)-n-[(1s)-2-methoxy-1-methylethyl]-acetamide', 'Acetamide, 2-chloro-N-(2,4-dimethyl-3-thienyl)-N-((1S)-2-methoxy-1-methylethyl)-', '(R)-2-chloro-N-(2,4-dimethyl-3-thienyl)-N-(2-methoxy-1-methylethyl)-acetamide;Acetamide, 2-chloro-N-(2,4-dimethyl-3-thienyl)-N-[(1S)-2-methoxy-1-methylethyl]-']</t>
  </si>
  <si>
    <t>Compound(13633097)</t>
  </si>
  <si>
    <t>5,6-dimethyl-2,3-dihydro-1,4-dithiine 1,1,4,4-tetraoxide</t>
  </si>
  <si>
    <t>['DIMETHIPIN', 'Oxidimethiin', 'Tetrathiin', 'Harvade', '55290-64-7', 'Oxydimethiin', 'Tetrathiin (desiccant)', 'Oxydimethin', 'Caswell No. 472AA', 'UBI-N 252', 'UNII-HLV651AHBB', 'N 252', 'Dimethipin [ANSI:BSI:ISO]', 'UNI-N252', '5,6-Dimethyl-2,3-dihydro-1,4-dithiine 1,1,4,4-tetraoxide', 'HSDB 6615', 'EINECS 259-572-7', 'HLV651AHBB', '1,4-Dithiin, 2,3-dihydro-5,6-dimethyl-, 1,1,4,4-tetraoxide', 'EPA Pesticide Chemical Code 118901', '2,3-Dihydro-5,6-dimethyl-1,4-dithiin 1,1,4,4-tetraoxide', '2,3-Dihydro-5,6-dimethyl-1,4-dithiine 1,1,4,4-tetraoxide', 'CHEBI:81912', 'p-Dithiane, 2,3-dehydro-2,3-dimethyl-, tetroxide', '2,3-Dihydro-5,6-dimethyl-1,4-dithiin-1,1,4,4-tetraoxide', 'DSSTox_CID_4052', 'DSSTox_RID_77270', 'DSSTox_GSID_24052', '2,3-Dihydro-5,6-dimethyl-1,4-dithi-ine-1,1,4,4-tetraoxide', 'CAS-55290-64-7', 'Harvade-5F (9CI)', 'Harvade-5F', 'SCHEMBL119508', 'CHEMBL3183474', 'DTXSID0024052', 'ZINC262300', 'Tox21_201644', 'Tox21_300423', 'CCG-15173', 'STK833417', 'AKOS000583006', 'Dimethipin 100 microg/mL in Methanol', 'FCH1329683', 'MCULE-4386964921', 'NCGC00160477-01', 'NCGC00160477-02', 'NCGC00160477-03', 'NCGC00254274-01', 'NCGC00259193-01', 'LS-63114', 'DB-052712', 'FT-0630677', 'NS00002214', 'C18719', '83434-EP2371823A1', 'C-10865', 'SR-01000390589', 'Q3028191', 'SR-01000390589-1', '2,3-Dihydro-5,6-dimethyl-1,4-dithiin 1,1,4,4-tetroxide', '5,6-Dimethyl-2,3-dihydro-1,4-dithiine 1,1,4,4-tetraoxide #', '5,6-Dimethyl-2,3-dihydro-1lambda~6~,4lambda~6~-dithiine-1,1,4,4-tetrone']</t>
  </si>
  <si>
    <t>Compound(41385)</t>
  </si>
  <si>
    <t>C6H10O4S2</t>
  </si>
  <si>
    <t>5-butyl-2-(dimethylamino)-4-methyl-1H-pyrimidin-6-one</t>
  </si>
  <si>
    <t>['DIMETHIRIMOL', 'Methyrimol', '5221-53-4', 'Milcurb', 'Dimethyrimol', 'Melkeb', 'PP 675', 'Caswell No. 128A', 'Dimethirimol [BSI:ISO]', 'Dimethyrimol [ISO-French]', 'UNII-1V1RC2A67P', '5-Butyl-2-(dimethylamino)-6-methyl-4(1H)-pyrimidinone', '4(1H)-Pyrimidinone, 5-butyl-2-(dimethylamino)-6-methyl-', 'NSC 263490', '5-Butyl-2-(dimethylamino)-6-methyl-4-pyrimidinol', '2-Dimethylamino-4-methyl-5-n-butyl-6-hydroxypyrimidine', '2-(Dimethylamino)-4-hydroxy-5-N-butyl-6-methylpyrimidine', 'EINECS 226-021-7', 'EPA Pesticide Chemical Code 228200', 'BRN 0746334', '5-Butyl-2-dimethylamino-4-hydroxy-6-methylpyrimidine', '2-Dimethylamino-4-hydroxy-5-n-butyl-6-methylpyrimidine', '5-n-Butyl-2-dimethylamino-4-hydroxy-6-methylpyrimidine', '1V1RC2A67P', 'CHEBI:81958', '4-Pyrimidinol, 5-butyl-2-(dimethylamino)-6-methyl-', '4-Pyrimidinol, 5-butyl-2-dimethylamino-6-methyl-', '5-butyl-2-(dimethylamino)-6-methylpyrimidin-4-ol', '5-n-Butyl-2-(dimethylamino)-4-hydroxy-6-methylpyrimidine', '5-butyl-2-dimethylamino-6-methylpyrimidin-4-ol', 'SCHEMBL54527', 'CHEMBL2288252', 'DTXSID8041874', 'CTK8E5210', 'NSC263490', 'PP-675', 'ZINC17061406', 'AKOS015892472', 'ACM5221534', 'NSC-263490', 'WLN: T6N CNJ BN1&amp;1 DQ E4 F1', 'LS-135781', 'NS00015272', 'C18784', 'Dimethirimol, PESTANAL(R), analytical standard', 'Q19278310', '2-dimethylamino-6-methyl-5-n-butyl-4-hydroxy-pyrimidine', '5-butyl-2-(dimethylamino)-6-methylpyrimidin-4(1H)-one', '4(1H)-Pyrimidinone, 5-butyl-2-(dimethylamino)-6-methyl- (9CI)']</t>
  </si>
  <si>
    <t>Compound(135424353)</t>
  </si>
  <si>
    <t>C11H19N3O</t>
  </si>
  <si>
    <t>(2E)-2-[2-[(2,5-dimethylphenoxy)methyl]phenyl]-2-methoxyimino-N-methylacetamide</t>
  </si>
  <si>
    <t>['Dimoxystrobin', 'UNII-27J9BR16KU', '149961-52-4', '27J9BR16KU', 'CHEBI:83218', 'Benzeneacetamide, 2-((2,5-dimethylphenoxy)methyl)-alpha-(methoxyimino)-N-methyl-, (alphaE)-', 'SSF-129', '(2E)-2-[2-[(2,5-dimethylphenoxy)methyl]phenyl]-2-methoxyimino-N-methylacetamide', '(2E)-2-{2-[(2,5-dimethylphenoxy)methyl]phenyl}-2-(methoxyimino)-N-methylacetamide', 'Dimoxystrobin [MI]', 'dimoxystrobine', 'BAS-505', 'SCHEMBL18420', 'CHEMBL2269453', 'DTXSID3057981', 'dimoxystrobin;(E)-2-(methoxyimino)-N-methyl-2-[a-(2,5-xylyloxy)-o-tolyl]acetamide;Benzeneacetamide, 2-[(2,5-dimethylphenoxy)methyl]-?-(methoxyimino)-N-methyl-, (?E)-', 'ZINC25759157', 'Dimoxystrobin 10 microg/mL in Acetonitrile', 'NS00008293', 'J-008646', 'Q1226123', '(E)-2-(methoxyimino)-N-methyl-2-[alpha-(2,5-xylyloxy)-o-tolyl]acetamide', '2-Methoxyimino-N-methyl-2-[2-(2,5-dimethylphenoxymethyl)phenyl]acetamide', '(2E)-2-{2-[(2,5-dimethylphenoxy)methyl]phenyl}-2-(methoxyimino)-N-methylethanamide', '(alphaE)-2-[(2,5-dimethylphenoxy)methyl]-alpha-(methoxyimino)-N-methylbenzeneacetamide', '(Z)-N-methyl-2-[2-(2,5-dimethylphenoxymethyl)phenyl]-2-methoxyiminoacetamide', 'Benzeneacetamide, 2-((2,5-dimethylphenoxy)methyl)-alpha-(methoxyimino)-N-methyl-', 'Benzeneacetamide,2-[(2,5-dimethylphenoxy)methyl]-a-(methoxyimino)-N-methyl-,(ae)-', 'Pesticide4_Dimoxystrobin_C19H22N2O3_(2E)-2-{2-[(2,5-Dimethylphenoxy)methyl]phenyl}-2-(methoxyimino)-N-methylacetamide']</t>
  </si>
  <si>
    <t>Compound(10936292)</t>
  </si>
  <si>
    <t>C19H22N2O3</t>
  </si>
  <si>
    <t>(2-butan-2-yl-4,6-dinitrophenyl) propan-2-yl carbonate</t>
  </si>
  <si>
    <t>['Dinobuton', 'Drawinol', 'Kasebon', 'Sytasol', '973-21-7', 'Acrex', 'Akrex', 'Isophen (pesticide)', 'DESSIN', 'Dinofen', 'Talan', 'Union Carbide 19786', 'Caswell No. 128F', 'Dinobuton [BSI:ISO]', '2-sec-Butyl-4,6-dinitrophenyl isopropyl carbonate', 'MC 1053', 'UC 19786', 'HSDB 1527', 'OMS 1056', 'EINECS 213-546-1', 'ENT 27,244', 'EPA Pesticide Chemical Code 228700', '2,4-Dinitro-6-sec-butylphenyl isopropyl carbonate', 'Isopropyl 2,4-dinitro-6-sec-butylphenyl carbonate', 'BRN 2065340', 'Carbonic acid, 1-methylethyl 2-(1-methylpropyl)-4,6-dinitrophenyl ester', 'DS 18302', 'Dinitro-sec-butylphenyl isopropyl carbonate', 'AI3-27244', 'Carbonic acid, 2-sec-butyl-4,6-dinitrophenyl isopropyl ester', 'CHEBI:81914', 'Phenol, 2-sec-butyl-4,6-dinitro-, isopropylcarbonate', '(2-sek.Butyl-4,6-dinitrofenyl)-isopropylkarbonat [Czech]', '2,4-Dinitro-6-sek.butyl-isopropylphenylcarbonat [German]', '2-(1-Methyl-2-propyl)-4,6-dinitrophenyl isopropylcarbonate', 'Isopropyl-2-(1-methyl-n-propyl)-4,6-dinitrophenyl carbonate', '1-Methylethyl 2-(1-methylpropyl)-4,6-dinitrophenyl carbonate', 'Isothion', 'Isofen', 'methylethyl [6-(methylpropyl)-2,4-dinitrophenoxy]formate', '(2-butan-2-yl-4,6-dinitrophenyl) propan-2-yl carbonate', '2,4-Dinitro-6-sek.butyl-isopropylphenylcarbonat', 'DSSTox_CID_20268', 'DSSTox_RID_79461', '(2-sek.Butyl-4,6-dinitrofenyl)-isopropylkarbonat', 'DSSTox_GSID_40268', 'SCHEMBL14906', 'CBDivE_000527', 'CHEMBL1358468', 'DTXSID4040268', 'CTK5H9223', 'Tox21_302224', 'STK757852', 'AKOS001766460', 'MCULE-3067648387', 'NCGC00166186-01', 'NCGC00255564-01', '62655-72-5', 'CAS-973-21-7', 'LS-51932', 'Propanedioic acid, 1,3-dithiolan-2-ylidene-, bis(1-methylethyl) ester, mixt. with O,O-dimethyl O-(3-methyl-4-(methylthio)phenyl)phosphorothioate', 'ST008222', 'ST4037768', 'NS00005284', 'Dinobuton, PESTANAL(R), analytical standard', 'C18721', 'Q1226658', '2-(sec-Butyl)-4,6-dinitrophenyl isopropyl carbonate', '2-(butan-2-yl)-4,6-dinitrophenyl propan-2-yl carbonate', 'CARBONIC ACID-2-SEC-BUTYL-4,6-DINITRO-PHENYL ISOPROPYL ESTER', 'Carbonic acid, 1-methylethyl 2-(1-methylpropyl)-4,6-dinitrophenyl ester (9CI)']</t>
  </si>
  <si>
    <t>Compound(13783)</t>
  </si>
  <si>
    <t>C14H18N2O7</t>
  </si>
  <si>
    <t>diniconazole</t>
  </si>
  <si>
    <t>(E)-1-(2,4-dichlorophenyl)-4,4-dimethyl-2-(1,2,4-triazol-1-yl)pent-1-en-3-ol</t>
  </si>
  <si>
    <t>['Diniconazole', 'Spotless', 'Mixor', 'Ortho spotless', 'Sumi', '83657-24-3', 'Nb (pesticide)', 'Diniconazole [ISO]', 'Sumi-8', 'Nb 2', '76714-88-0', 'Sumi 8-12.5WP', 'S-3308L', 'XE-779 L', 'XE 779', 'Diclopentezol', '70217-36-6', 'CHEBI:83909', 'S-3308-10', '(E)-1-(2,4-Dichlorophenyl)-4,4-dimethyl-2-(1,2,4-triazol-1-yl)-1-penten-3-ol', '(E)-1-(2,4-dichlorophenyl)-4,4-dimethyl-2-(1,2,4-triazol-1-yl)pent-1-en-3-ol', '(1E)-1-(2,4-dichlorophenyl)-4,4-dimethyl-2-(1,2,4-triazol-1-yl)pent-1-en-3-ol', '(1E)-1-(2,4-dichlorophenyl)-4,4-dimethyl-2-(1H-1,2,4-triazol-1-yl)pent-1-en-3-ol', '(e)-(rs)-1-(2,4-dichlorophenyl)-4,4-dimethyl-2-(1h-1,2,4-triazol-1-yl)pent-1-en-3-ol', '1H-1,2,4-Triazole-1-ethanol, beta-((2,4-dichlorophenyl)methylene)-alpha-(1,1-dimethylethyl)-, (betaE)-', '1H-1,2,4-Triazole-1-ethanol, beta-((2,4-dichlorophenyl)methylene)-alpha-(1,1-dimethylethyl)-, (E)-', '1H-1,2,4-Triazole-1-ethanol, beta-((2,4-dichlorophenyl)methylene)-alpha-(1,1-dimethylethyl)-, (E)-(+-)-', 'S 3308', 'Diniconazole (I)', 'DSSTox_CID_20363', 'DSSTox_RID_79486', 'DSSTox_GSID_40363', 'SCHEMBL21284', 'SCHEMBL21286', 'CHEMBL135386', 'DTXSID2040363', 'HY-B1948', 'Tox21_300887', 'AKOS025310613', 'CS-5213', 'Diniconazole 10 microg/mL in Isooctane', 'NCGC00168303-01', 'NCGC00168303-02', 'NCGC00254791-01', '1H-1,2,4-Triazole-1-ethanol, beta-((2,4-dichlorophenyl)methylene)-alpha-(1,1-dimethylethyl)-', 'AS-14255', 'K492', 'CAS-83657-24-3', 'LS-155982', 'LS-155983', 'NS00010212', 'C18720', '657D243', 'A838806', 'A840628', 'Q27157324', '(+)-(E)-1-(2,4-dichlorophenyl)-2-(1,2,4-triazol-1-yl)-4,4-dimethyl-1-penten-3-ol', '(-)-(E)-1-(2,4-dichlorophenyl)-2-(1,2,4-triazol-1-yl)-4,4-dimethyl-1-penten-3-ol', '(E)-1-(2,4-dichlorophenyl)-2-(1,2,4-triazol-1-yl)-4,4-dimethyl-1-penten-3-ol', 'Diniconazole;(E)-beta-((Dichlorophenyl)methylen)-alpha-(1,1-dimethyl-ethyl)-1H-1,2,4-triazol-1-ethanol;1H-1,2,4-Triazole-1-ethanol, ?-[(2,4-dichlorophenyl)methylene]-?-(1,1-dimethylethyl)-, (?E)-', 'Pesticide6_Diniconazole_C15H17Cl2N3O_(1E)-1-(2,4-Dichlorphenyl)-4,4-dimethyl-2-(1H-1,2,4-triazol-1-yl)pent-1-en-3-ol']</t>
  </si>
  <si>
    <t>Compound(6436605)</t>
  </si>
  <si>
    <t>C15H17Cl2N3O</t>
  </si>
  <si>
    <t>1,3-dinitroimidazolidine</t>
  </si>
  <si>
    <t>['1,3-Dinitroimidazolidine', 'DNCP', 'IMIDAZOLIDINE, 1,3-DINITRO-', '1,3-Dinitro-2-methylimidazoline', 'Imidazoline, 1,3-dinitro-', '1,3-Dinitro-1,3-diazacyclopentane', 'BRN 0174033', '1,3-Dinitro-tetrahydroimidazole', 'SCHEMBL10847684', 'DTXSID40973082', 'LS-79054', '5-23-01-00016 (Beilstein Handbook Reference)']</t>
  </si>
  <si>
    <t>Compound(21981)</t>
  </si>
  <si>
    <t>C3H6N4O4</t>
  </si>
  <si>
    <t>dinoseb acetate</t>
  </si>
  <si>
    <t>(2-butan-2-yl-4,6-dinitrophenyl) acetate</t>
  </si>
  <si>
    <t>['DINOSEB ACETATE', 'Aretit', 'Dinoseb-acetate', 'Dinosebe acetate', 'Ivosit', '2813-95-8', '2-sec-Butyl-4,6-dinitrophenyl acetate', 'Dinoseb acetate [BSI:ISO]', '4,6-Dinitro-2-s-butylphenyl acetate', '2-sec-Butyl-4,6-dinitrophenylacetate', '6-sec-Butyl-2,4-dinitrophenylacetate', 'O-Acetyl-2-sec-butyl-4,6-dinitrophenol', 'HOE 2904', '2,4-Dinitro-6-sek.butyl-phenylacetat', '2-(1-Methylpropyl)-4,6-dinitrophenyl acetate', 'Phenol, 2-(1-methylpropyl)-4,6-dinitro-, acetate (ester)', 'Dinosebe acetate [ISO-French]', 'Acetic acid, (2,4-dinitro-6-s-butylphenyl) ester', 'Acetic acid, (4,6-dinitro-2-s-butylphenyl) ester', 'Acetic acid, 2-(sec-butyl)-4,6-dinitrophenyl ester', 'EINECS 220-560-1', '2-sec-Butyl-4,6-dinitrophenol acetate (ester)', '2,4-Dinitro-6-s-butylfenylester kyseliny octove', 'beta-(2-Hydroxy-3,5-dinitrophenyl)butane acetate', '2-sek.Butyl-4,6-dinitrofenylester kyseliny octove', 'BRN 2337708', 'Phenol, 2-sec-butyl-4,6-dinitro-, acetate (ester)', 'CHEBI:82240', '2,4-Dinitro-6-sek.butyl-phenylacetat [German]', 'Phenol, 2-(1-methylpropyl)-4,6-dinitro-, acetate', '2,4-Dinitro-6-s-butylfenylester kyseliny octove [Czech]', '2-sek.Butyl-4,6-dinitrofenylester kyseliny octove [Czech]', 'Phenol, 2-sec-butyl-4,6-dinitro-, acetate', '2-(2-Hydroxy-3,5-dinitrophenyl)butane acetate', 'Phenol, 2-sec-butyl-4,6-dinitro-, acetate (ester) (8CI)', 'dinoseb-acetat', 'DNBPA, JMAF', '(2-butan-2-yl-4,6-dinitrophenyl) acetate', 'dinoseb acetate;Dinoseb-acetat', 'SCHEMBL164208', 'CHEMBL1591909', 'DTXSID3074816', 'AKOS015888326', 'ACM2813958', 'NCGC00166168-01', 'LS-11206', 'Dinoseb acetate, ANSI, BSI, ISO, WSSA', '2-(butan-2-yl)-4,6-dinitrophenyl acetate', 'NS00010052', 'C19119', 'Dinoseb acetate, PESTANAL(R), analytical standard', 'Q13573069', 'Phenol, 2-(1-methylpropyl)-4,6-dinitro-, acetate (ester) (9CI)']</t>
  </si>
  <si>
    <t>Compound(17776)</t>
  </si>
  <si>
    <t>C12H14N2O6</t>
  </si>
  <si>
    <t>2-butan-2-yl-4,6-dinitrophenol</t>
  </si>
  <si>
    <t>['DINOSEB', '2-sec-Butyl-4,6-dinitrophenol', '88-85-7', 'Butaphene', 'Basanite', 'Hivertox', 'Caldon', 'Dibutox', 'Kiloseb', 'Sparic', 'Spurge', 'Subitex', 'Aatox', '4,6-Dinitro-2-sec-butylphenol', 'Desicoil', 'Gebutox', 'Phenotan', 'Premerge', 'Dytop', 'Laseb', 'Dow General', 'Nitropone C', 'DNBP', 'DINITROBUTYLPHENOL', 'Liro DNBP', 'Blaartox', 'Dinitrall', 'Dinosebe', 'Ladob', 'DBNF', 'DNOSBP', 'DNSBP', 'Elgetol 318', 'Unicrop dnbp', '2-(1-Methylpropyl)-4,6-dinitrophenol', 'Hel-fire', '2,4-Dinitro-6-sec-butylphenol', 'Dow general weed killer', 'Dow selective weed killer', 'Dibutox 20CE', '4,6-Dinitro-o-sec-butylphenol', 'Chemox P.E.', 'Phenol, 2-(1-methylpropyl)-4,6-dinitro-', 'Knox-weed', 'BNP 20', 'BNP 30', 'Ent 1,122', 'Rcra waste number P020', 'Dinosebe [French]', 'Vertac dinitro weed killer', 'Vertac general weed killer', 'Gebutox; knox-weed', '2,4-Dinitro-6-(1-methylpropyl)phenol', '2-butan-2-yl-4,6-dinitrophenol', 'Vertac selective weed killer', '4,6-Dinitro-2-(1-methyl-n-propyl)phenol', 'Phenol, 2-sec-butyl-4,6-dinitro-', 'DN 289', 'Dinitro-ortho-sec-butyl phenol', 'Dinitrax', 'Premerg', 'Tubotox', '4,6-Dinitro-2-sec.butylfenol', 'Caswell No. 392DD', 'Dinosebe [ISO-French]', 'Sinox general', 'Dinitro-3', 'Dinoseb [ANSI:BSI:ISO]', 'DNPB', '6-(1-Methyl-propyl)-2,4-dinitrofenol', '4,6-Dinitro-2-(1-methyl-propyl)phenol', '6-(1-Metil-propil)-2,4-dinitro-fenolo', 'HSDB 1445', 'WSX 8365', 'WSX-8365', 'Dinitro-o-sec-butylphenol', 'EINECS 201-861-7', '2-(butan-2-yl)-4,6-dinitrophenol', 'RCRA waste no. P020', 'EPA Pesticide Chemical Code 037505', 'NSC 202753', '4,6-Dinitro-2-sec.butylfenol [Czech]', 'BRN 3211812', 'Phenol,2-(1-methylpropyl)-4,6-dinitro-', 'AI3-01122', '6-sec-Butyl-2,4-dinitrophenol', 'CHEBI:83632', '6-(1-Methyl-propyl)-2,4-dinitrofenol [Dutch]', '6-(1-Metil-propil)-2,4-dinitro-fenolo [Italian]', '2-[1-methylpropyl]-4,6-dinitrophenol', '2,4-Dinitro-6-(1-methyl-propyl)phenol', '2-sec-Butyl-4,6-dinitrophenol (dinoseb)', 'DSSTox_CID_207', 'Dinoseb, analytical standard', 'DSSTox_RID_75433', 'DSSTox_GSID_20207', 'W-100386', 'CAS-88-85-7', 'pnosbp', 'Chemsect', 'Dynanap', 'unicorp dnbp', 'Dinoseb Phenol', 'Klean Krop', 'Premerge 3', 'Chemox P.E', 'Dinoseb (Subitex)', 'Drexel Dynamite 3', 'Aretit (Salt/Mix)', 'Ivosit (Salt/Mix)', 'Elget ol 318', 'Chemox General &amp; PE', 'F-ISO', 'EC 201-861-7', 'SCHEMBL54664', 'CHEMBL1892987', 'DTXSID3020207', 'CTK5G1958', 'BNP  30', '2-Sec-butyl-4,6-dinitro-Phenol', '4,6-Dinitro-2-(2-butyl)phenol', '2-butan-2-yl-4,6-dinitro-phenol', 'WLN: WNR BQ ENW C1Y1&amp;1', 'Tox21_201878', 'Tox21_300421', 'NSC202753', 'Dinoseb 10 microg/mL in Acetonitrile', 'AKOS015902632', 'Dinoseb 100 microg/mL in Acetonitrile', 'LS-1886', 'MCULE-9741488281', 'NSC-202753', 'NCGC00164373-01', 'NCGC00164373-02', 'NCGC00164373-03', 'NCGC00254442-01', 'NCGC00259427-01', '2-(1-Methylpropyl)-4,6-dinitro-Phenol', 'CC-17410', 'Vertac General and Selective Weed  Killer', 'Dinoseb, PESTANAL(R), analytical standard', 'DINOSEB (PESTICIDE/FERTILIZERMIXTURE)', 'NS00000239', 'C14302', '(+/-)-2-(1-Methylpropyl)-4,6-dinitrophenol', '024D246', 'A842973', 'C-34430', 'Q415111', 'Dinoseb solution, 200 mug/mL in methylene chloride, analytical standard']</t>
  </si>
  <si>
    <t>Compound(6950)</t>
  </si>
  <si>
    <t>C10H12N2O5</t>
  </si>
  <si>
    <t>2-tert-butyl-4,6-dinitrophenol</t>
  </si>
  <si>
    <t>['DINOTERB', '2-tert-Butyl-4,6-dinitrophenol', '1420-07-1', 'Dinoterbe', 'Stirpan forte', 'Herbogil', 'Dntbp', '2,4-Dinitro-6-tert-butylphenol', 'Phenol, 2-(1,1-dimethylethyl)-4,6-dinitro-', 'Phenol, 2-tert-butyl-4,6-dinitro-', 'Caswell No. 392F', 'Dinoterb [BSI:ISO]', 'Dinoterbe [ISO-French]', 'Phenol, o-t-butyl-4,6-dinitro-', 'Phenol, o-tert-butyl-4,6-dinitro-', 'UNII-2O5H456CFI', 'NSC 166496', 'HSDB 1598', '2-(1,1-Dimethylethyl)-4,6-dinitrophenol', 'EINECS 215-813-8', 'EPA Pesticide Chemical Code 228400', 'BRN 1887173', '2-tert-Butyl-4,6-dinitrophenol [ISO]', '2O5H456CFI', 'CHEBI:81883', 'Phenol,2-(1,1-dimethylethyl)-4,6-dinitro-', 'DSSTox_CID_21883', 'DSSTox_RID_79864', 'DSSTox_GSID_41883', 'SCHEMBL53794', '4-06-00-03293 (Beilstein Handbook Reference)', 'CHEMBL1994620', 'DTXSID7041883', '4,6-Dinitro-2-tert-butylphenol', 'CTK4C2893', '2-tert-butyl-4,6-dinitro-phenol', 'Phenol, 2-t-butyl-4,6-dinitro-', 'ZINC1655733', 'Tox21_300743', 'NSC166496', 'AKOS015994017', 'Dinoterb 10 microg/mL in Acetonitrile', 'HF-0007', 'MCULE-5591921524', 'NSC-166496', 'Phenol,1-dimethylethyl)-4,6-dinitro-', 'Dinoterb 100 microg/mL in Acetonitrile', 'KS-000026M0', 'NCGC00160578-01', 'NCGC00160578-02', 'NCGC00254649-01', 'CC-11947', 'NCI60_001301', 'CAS-1420-07-1', 'DB-042599', 'LS-104135', 'Dinoterb, PESTANAL(R), analytical standard', 'NS00009297', 'Phenol, 2-tert-butyl-4,6-dinitro- (8CI)', 'C18671', 'C-14377', 'Q1226713', 'Phenol, 2-(1,1-dimethylethyl)-4,6-dinitro- (9CI)']</t>
  </si>
  <si>
    <t>Compound(14994)</t>
  </si>
  <si>
    <t>di-o-tolyl sulfone</t>
  </si>
  <si>
    <t>1-methyl-2-(2-methylphenyl)sulfonylbenzene</t>
  </si>
  <si>
    <t>['Bis(methylphenyl) sulphone', 'Di-o-Tolyl sulfone', '25551-17-1', "Benzene, 1,1'-sulfonylbis[2-methyl-", '5097-12-1', 'o-Tolyl sulfone', 'ditolylsulfone', 'EINECS 247-100-2', 'SCHEMBL475089', "2,2'-Dimethyldiphenyl sulfone", 'CTK1G5754', 'DTXSID70180247', 'ZINC32221350', "Benzene, 1,1'-sulfonylbis*2-methyl-", 'NS00020615', '1-Methyl-2-[(2-methylphenyl)sulfonyl]benzene', '1-Methyl-2-[(2-methylphenyl)sulfonyl]benzene #']</t>
  </si>
  <si>
    <t>Compound(601881)</t>
  </si>
  <si>
    <t>C14H14O2S</t>
  </si>
  <si>
    <t>di-p-toluenesulfonate-ethylene glycol</t>
  </si>
  <si>
    <t>2-(4-methylphenyl)sulfonyloxyethyl 4-methylbenzenesulfonate</t>
  </si>
  <si>
    <t>['6315-52-2', '1,2-Bis(tosyloxy)ethane', 'Ethane-1,2-diyl bis(4-methylbenzenesulfonate)', 'Ethylene glycol ditosylate', 'Ethylene ditosylate', 'Ethylene glycol di-p-toluenesulfonate', 'Ethylene di(p-toluenesulfonate)', 'NSC21094', '1,2-Ethanediol, bis(4-methylbenzenesulfonate)', 'Ethylene glycol bis-p-toluenesulfonate', '1,2-Bis(p-toluenesulfonyloxy)ethane', 'MFCD00008549', '2-[(4-methylbenzenesulfonyl)oxy]ethyl 4-methylbenzene-1-sulfonate', 'NSC 21094', 'ACMC-209ndg', '1,2 bis(tosyloxy)ethane', 'CBMicro_029350', '1,2-ethanediol bistosylate', 'SCHEMBL241884', '2-(p-tolylsulfonyloxy)ethyl 4-methylbenzenesulfonate', 'Ethylene bis(p-toluenesulfonate)', 'ethylene di(p-toluenesulphonate)', 'DTXSID70979133', 'Ethyleneglycol-di-p-tosylate 95%', 'BCP05849', 'ZINC1577346', 'ANW-34562', 'BBL104204', 'NSC-21094', 'RW2726', 'STL558038', '1,2-ethanediol di-p-toluenesulfonate', 'AKOS000352583', 'Ethylene di(p-toluenesulfonate), 97%', 'ACN-025221', 'FCH2711203', 'MCULE-2592251459', 'Ethylene Glycol Bis(p-toluenesulfonate)', 'AK-54438', 'BP-13400', 'DS-14469', 'OR323302', 'SC-48693', 'SY057081', '1,2-bis(4-methylbenzenesulfonyloxy)ethane', 'BIM-0029358.P001', 'E0438', 'FT-0698720', 'ST50409182', 'Ethane-1,2-diyl bis(4-methylbenzene-1-sulfonate)', 'J-802210', 'F0771-0304', 'Poly(ethylene glycol)-di-p-tosylate, (PEG), M.W. 1.000', 'Poly(ethylene glycol)-di-p-tosylate, (PEG), M.W. 2.000', 'Poly(ethylene glycol)-di-p-tosylate, (PEG), M.W. 3.400', 'Poly(ethylene glycol)-di-p-tosylate, (PEG), M.W. 6.000', 'Poly(ethylene glycol)-di-p-tosylate, (PEG), M.W. 8.000', '2-[(4-methylphenyl)sulfonyloxy]ethyl 4-methylbenzenesulfonate', 'Poly(ethylene glycol)-di-p-tosylate, (PEG), M.W. 20.000', '2-(((4-Methylphenyl)sulfonyl)oxy)ethyl 4-methylbenzenesulfonate', '2-([(4-Methylphenyl)sulfonyl]oxy)ethyl 4-methylbenzenesulfonate #', '2-{[(4-methylphenyl)sulfonyl]oxy}ethyl 4-methyl-1-benzenesulfonate', '93728-50-8']</t>
  </si>
  <si>
    <t>Compound(228289)</t>
  </si>
  <si>
    <t>C16H18O6S2</t>
  </si>
  <si>
    <t>2,4,6-trinitro-N-(2,4,6-trinitrophenyl)aniline</t>
  </si>
  <si>
    <t>['Dipicrylamine', 'Hexyl', 'Hexanitrodiphenylamine', 'Aurantia', 'Hexil', 'Hexite', 'Bis(2,4,6-trinitrophenyl)amine', '131-73-7', 'Hexyl (reagent)', 'Esanitrodifenilamina', 'Diphenylamine, hexanitro-', 'Hexanitrodifenylamine', 'Dipikrylamin', 'Hexamine (potassium reagent)', 'Dipikrylamin [Czech]', 'Hexyl (VAN)', "2,2',4,4',6,6'-HEXANITRODIPHENYLAMINE", 'Hexyl [German, Dutch]', 'UNII-14STR4KG8T', 'NSC 1786', 'Hexanitrodifenylamine [Dutch]', 'Esanitrodifenilamina [Italian]', 'CCRIS 5347', 'Hexanitrodiphenylamine [French]', '2,4,6-Trinitro-N-(2,4,6-trinitrophenyl)aniline', "2,4,6,2',4',6'-Hexanitrodiphenylamine", 'HSDB 2873', 'Bis(2,4,6-trinitro-phenyl)-amin', 'C.I. 10360', 'Benzenamine, 2,4,6-trinitro-N-(2,4,6-trinitrophenyl)-', "Diphenylamine, 2,2',4,4',6,6'-hexanitro-", 'EINECS 205-037-8', 'UN0079', '2,2,4,4,6,6-Hexanitrodiphenylamine', 'BRN 0735589', '14STR4KG8T', '2,4,6-Trinitro-N-(2,4,6-trinitrophenyl)benzenamine', "2,2',4,4',6,6'-Hexanitrodifenylamin", 'Bis(2,4,6-trinitro-phenyl)-amin [German]', "2,2',4,4',6,6'-Hexanitrodifenylamin [Czech]", 'Dipicrylamin', '4-12-00-01737 (Beilstein Handbook Reference)', 'Bis(2,6-trinitrophenyl)amine', 'Ex104', 'SCHEMBL2218947', 'Bis(2,6-trinitro-phenyl)-amin', 'DTXSID4059621', 'NSC1786', 'NSC-1786', 'ANW-73045', 'STK664288', 'ZINC85433131', 'AKOS003404771', 'Bis(2,4,6-trinitrophenyl)amine anion', 'ZINC263584632', "2,4,4',6,6'-Hexanitrodiphenylamine", 'MCULE-2937255456', "2,6,2',4',6'-Hexanitrodiphenylamine", 'ACM33012292', 'CC-27146', 'LS-62876', 'WLN: WNR CNW ENW BMR BNW DNW FNW', "Diphenylamine,2',4,4',6,6'-hexanitro-", 'DB-042053', 'ST4027015', 'FT-0631764', 'NS00006346', 'Hexanitrodiphenylamine or dipicrylamine or hexyl', 'C-30957', 'Q414335', 'SR-01000089828', '2,6-Trinitro-N-(2,4,6-trinitrophenyl)benzenamine', 'Bis(2,4,5-trichloro-6-carbopentoxyphenyl Oxalate)', 'SR-01000089828-1', '2,4,6-Trinitro-N-(2,4,6-trinitrophenyl)aniline #', 'Benzenamine,4,6-trinitro-N-(2,4,6-trinitrophenyl)-', 'dipicrylamine;Dipicrylamine;Dipicrylamin;Dipicrylamine, ammonium salt', 'Hexanitrodiphenylamine or dipicrylamine or hexyl [UN0079] [Explosive 1.1D]', 'Hexanitrodiphenylamine or dipicrylamine or hexyl [UN0079]  [Explosive 1.1D]']</t>
  </si>
  <si>
    <t>Compound(8576)</t>
  </si>
  <si>
    <t>C12H5N7O12</t>
  </si>
  <si>
    <t>dipyridamole</t>
  </si>
  <si>
    <t>2-[[2-[bis(2-hydroxyethyl)amino]-4,8-di(piperidin-1-yl)pyrimido[5,4-d]pyrimidin-6-yl]-(2-hydroxyethyl)amino]ethanol</t>
  </si>
  <si>
    <t>['dipyridamole', '58-32-2', 'Dipyridamol', 'Dipyridamine', 'Persantin', 'Dipyudamine', 'Persantine', 'Curantyl', 'Stimolcardio', 'Cardoxin', 'Kurantil', 'Stenocardil', 'Cardioflux', 'Dipiridamol', 'Dipyridan', 'Peridamol', 'Anginal', 'Apricor', 'Coribon', 'Corosan', 'Coroxin', 'Stenocardiol', 'Agilease', 'Chilcolan', 'Justpertin', 'Permiltin', 'Piroan', 'Cleridium 150', 'Coronarine', 'Gulliostin', 'Prandiol', 'Natyl', 'Prandiol 75', 'Usaf Ge-12', 'Dypyridamol', 'Iv Persantine', 'Dipyridamolum', 'RA 8', "2,2',2'',2'''-((4,8-Di(piperidin-1-yl)pyrimido[5,4-d]pyrimidine-2,6-diyl)bis(azanetriyl))tetraethanol", 'RA-8', 'Dipiridamol [INN-Spanish]', 'Dipyridamolum [INN-Latin]', 'Dipyridamole (Persantine)', 'UNII-64ALC7F90C', 'NSC 515776', 'NSC-515776', 'MLS000028420', 'C24H40N8O4', 'Cleridium', 'EINECS 200-374-7', 'CHEMBL932', '2,6-Bis(diethanolamino)-4,8-dipiperidinopyrimido(5,4-d)pyrimidine', 'BRN 0068373', 'SMR000058382', '64ALC7F90C', 'CHEBI:4653', '2-({6-[bis(2-hydroxyethyl)amino]-4,8-bis(piperidin-1-yl)pyrimido[5,4-d][1,3]diazin-2-yl}(2-hydroxyethyl)amino)ethan-1-ol', 'Cardoxil', 'Pyrimido(5,4-d)pyrimidine, 2,6-bis(bis(2-hydroxyethyl)amino)-4,8-dipiperidino-', 'NSC515776', '2-[[2-[bis(2-hydroxyethyl)amino]-4,8-di(piperidin-1-yl)pyrimido[5,4-d]pyrimidin-6-yl]-(2-hydroxyethyl)amino]ethanol', "Ethanol, 2,2',2'',2'''-[(4,8-di-1-piperidinylpyrimido[5,4-d]pyrimidine-2,6-diyl)dinitrilo]tetrakis-", 'CAS-58-32-2', 'NCGC00015385-12', 'Antistenocardin', 'Dipyramidole', 'Dypyridamole', 'Coridil', 'Curantil', 'Protangix', '2,6-Bis(diethanolamino)-4,8-dipiperidinopyrimido[5,4-d]pyrimidine', "2,2',2'',2'''-((4,8-Dipiperidinopyrimido(5,4-d)pyrimidine-2,6-diyl)dinitrilo)tetraethanol", 'DSSTox_CID_20668', 'DSSTox_RID_79531', 'DSSTox_GSID_40668', "2,2',2'',2'''-((4,8-di(piperidin-1-yl)pyrimido[5,4-d]pyrimidine-2,6-diyl)bis(azanetriyl))tetrakis(ethan-1-ol)", "2,2',2'',2'''-{[4,8-di(piperidin-1-yl)pyrimido[5,4-d]pyrimidine-2,6-diyl]dinitrilo}tetraethanol", "Ethanol, 2,2',2'',2'''-((4,8-di-1-piperidinylpyrimido(5,4-d)pyrimidine-2,6-diyl)dinitrilo)tetrakis-", "Ethanol,2,2',2'',2'''-[(4,8-di-1-piperidinylpyrimido[5,4-d]pyrimidine-2,6-diyl)dinitrilo]tetrakis-", 'Permole', 'Persantine (TN)', "2,2',2'',2'''-((4,8-Di(piperidin-1-yl)pyrimido[5,4-d]-pyrimidine-2,6-diyl)bis(azanetriyl))tetraethanol", "Ethanol, 2,2',2'',2'''-((4,8-dipiperidinopyrimido(5,4-d)pyrimidine-2,6-diyl)dinitrilo)tetra-", 'SR-01000003065', 'Dipyridamole [USAN:INN:BAN:JAN]', 'Dipridacot', 'Prestwick_145', 'Dipyridamole [USAN:USP:INN:BAN:JAN]', 'Spectrum_001004', 'Tocris-0691', 'Opera_ID_494', 'Prestwick0_000142', 'Prestwick1_000142', 'Prestwick2_000142', 'Prestwick3_000142', 'Spectrum2_000972', 'Spectrum3_000402', 'Spectrum4_000522', 'Spectrum5_000839', 'Lopac-D-9766', 'UPCMLD-DP072', 'D 9766', 'cid_3108', 'Lopac0_000464', 'SCHEMBL16119', 'BSPBio_000244', 'BSPBio_001554', 'BSPBio_001924', 'KBioGR_001123', 'KBioSS_001484', '4-26-00-03840 (Beilstein Handbook Reference)', 'MLS001076306', 'MLS001333724', 'MLS002548866', 'DivK1c_000696', 'SPECTRUM1500259', 'SPBio_001003', 'SPBio_002183', 'BPBio1_000270', 'GTPL4807', 'DTXSID6040668', 'Thymidine,6-dihydro-6-methoxy-', 'UPCMLD-DP072:001', 'BDBM23620', 'CTK8B5592', 'Dipyridamole (JP17/USP/INN)', 'HMS502C18', 'IZEKFCXSFNUWAM-UHFFFAOYSA-', 'KBio1_000696', 'KBio2_001484', 'KBio2_004052', 'KBio2_006620', 'KBio3_001144', 'KS-00000KNA', 'B01AC07', 'NINDS_000696', 'BCPP000256', 'HMS1568M06', 'HMS1791N16', 'HMS1920I10', 'HMS1989N16', 'HMS2089N15', 'HMS2091O18', 'HMS2095M06', 'HMS2232E19', 'HMS3259C03', 'HMS3261M10', 'HMS3266J17', 'HMS3371J03', 'HMS3402N16', 'HMS3411B03', 'HMS3655I20', 'HMS3675B03', 'HMS3712M06', 'HMS3742O03', 'HMS3867F13', 'Pharmakon1600-01500259', 'ZINC643046', 'BCP26947', 'EBD20789', 'HY-B0312', 'Tox21_110133', 'Tox21_500464', '2,6-Bis(diethanolamine)-4,8-dipiperidinopyrimido[5,4-d]pyrimidine', 'ANW-49242', 'BBL027781', 'CCG-40190', 'MFCD00010555', 'NSC756743', 's1895', 'STL377790', 'AKOS000509426', 'Tox21_110133_1', 'BCP9000613', 'CS-2352', 'DB00975', 'Dipyridamole, &gt;=98% (TLC), powder', 'HS-0041', 'LP00464', 'MCULE-3112669573', 'MP-0582', 'NC00448', 'NSC-619103', 'NSC-756743', 'SDCCGSBI-0050449.P005', 'VA10749', 'IDI1_000696', 'SMP2_000208', 'NCGC00015385-01', 'NCGC00015385-02', 'NCGC00015385-03', 'NCGC00015385-04', 'NCGC00015385-05', 'NCGC00015385-06', 'NCGC00015385-07', 'NCGC00015385-08', 'NCGC00015385-09', 'NCGC00015385-10', 'NCGC00015385-11', 'NCGC00015385-13', 'NCGC00015385-14', 'NCGC00015385-15', 'NCGC00015385-16', 'NCGC00015385-18', 'NCGC00023914-02', 'NCGC00023914-04', 'NCGC00023914-05', 'NCGC00023914-06', 'NCGC00023914-07', 'NCGC00023914-08', 'NCGC00023914-09', 'NCGC00023914-10', 'NCGC00023914-11', 'NCGC00261149-01', "2,2',2'',2'''-((4,8-Di(piperidin-1-yl)pyrimido[5,4-d]pyrimidine-2,6-diyl)bis(azanetriyl))tetraethano", '2-({6-[bis(2-hydroxyethyl)amino]-4,8-bis(piperidin-1-yl)-[1,3]diazino[5,4-d]pyrimidin-2-yl}(2-hydroxyethyl)amino)ethan-1-ol', '2-[[2-[bis(2-hydroxyethyl)amino]-4,8-bis(1-piperidyl)pyrimido[5,4-d]pyrimidin-6-yl]-(2-hydroxyethyl)amino]ethanol', 'AC-18100', 'AK-76609', 'BR-76609', 'H843', 'LS-66732', 'NCI60_005689', 'SC-18455', 'ST078856', 'SBI-0050449.P004', '2,8-dipiperidinopyrimido[5,4-d]pyrimidine', 'AB0013300', 'AB00051974', 'B1933', 'EU-0100464', 'FT-0603242', 'NS00010369', 'SW196456-3', 'W1467', 'EN300-70723', 'BIM-0050449.0001', 'D00302', 'J10379', '54290-EP2277865A1', '54290-EP2298773A1', '54290-EP2305653A1', '54290-EP2308562A2', 'AB00051974-18', 'AB00051974-19', 'AB00051974_20', 'AB00051974_21', '58-32-2,763-39-4(XHCl)', 'A828156', 'Q419374', 'SR-01000003065-2', 'SR-01000003065-4', 'SR-01000003065-5', 'SR-01000003065-7', 'W-105400', 'BRD-K86301799-001-04-1', 'BRD-K86301799-001-19-9', 'BRD-K86301799-001-24-9', 'Z1259192074', 'Dipyridamole, British Pharmacopoeia (BP) Reference Standard', 'Dipyridamole, European Pharmacopoeia (EP) Reference Standard', 'Dipyridamole, United States Pharmacopeia (USP) Reference Standard', 'Pyrimido(5, 2,6-bis[bis(2-hydroxyethyl)amino]-4,8-diperidino-', "2,2'',2'''-[4,8-Dipiperidinopyrimido[5,4-d]pyrimidine-2,6-diyl]dinitrilotetraethanol", "2,2',2'',2'''-(4,8-Dipiperidinopyrimido(5,4-d)pyrimidine-2,6-diyl)dinitrilotetraethanol", "2,2',2',2'''-((4,8-Dipiperidinopyrimido(5,4-d)pyrimidine-2,6-diyl)dinitrilo)tetraethanol", '2-[[2-(bis(2-hydroxyethyl)amino)-4,8-di(piperidin-1-yl)pyrimido[6,5-e]pyrimidin-', 'Dipyridamole for peak identification, European Pharmacopoeia (EP) Reference Standard', "Ethanol,2',2'',2'''-(4,8-dipiperidinopyrimido[5,4-d]pyrimidine-2,6-diyldinitrilo)tetra-", 'WLN: T66 BN DN GN INJ CCN HCN E- AT6NTJ B2Q F2Q&amp; J- AT6NTJ B2Q F2Q', '(3E)-3-[[(1S,4aS,8aS)-Decahydro-5,5,8a-trimethyl-2-methylene-1-naphthalenyl]methylene]dihydro-5-methoxy-2(3H)3-[(1E)-2-[(1S,4aS,8aS)-Decahydro-5,5,8a-trimethyl-2-methylene-1-naphthalenyl]ethenyl]furan; (+)-Coronarin E-furanone; Coronarin D methyl ethe', "2,2',2'',2'''-(4,8-di(piperidin-1-yl)pyrimido[5,4-d]pyrimidine-2,6-diyl)bis(azanetriyl)tetraethanol", "2,2',2'',2'''-[(4,8-dipiperidin-1-ylpyrimido[5,4-d]pyrimidine-2,6-diyl)dinitrilo]tetraethanol", "2,2',2'',2'''-[(4,8-Dipiperidinylpyrimido[5,4-d]pyrimidine-2,6-diyl)dinitrilo]tetraethanol", "2,2',2'',2'''-[(4,8-Dipiperidinylpyrimido[5,4-d]pyrimidine-2,6-diyl)dinitrilo]tetrakisethanol", "2,2',2'',2'''-{[4,8-Di(1-piperidinyl)pyrimido[5,4-d]pyrimidine-2,6-diyl]dinitrilo}tetraethanol", "2,2',2'',2'''-{[4,8-Di(piperidin-1-yl)pyrimido[5,4-d]pyrimidine-2,6-diyl]dinitrilo}tetra(ethan-1-ol)", '2-({6-[bis(2-hydroxyethyl)amino]-4,8-dipiperidylpyrimidino[5,4-d]pyrimidin-2-y l}(2-hydroxyethyl)amino)ethan-1-ol', '2-[[2-[bis(2-hydroxyethyl)amino]-4,8-bis(1-piperidinyl)-6-pyrimido[5,4-d]pyrimidinyl]-(2-hydroxyethyl)amino]ethanol', '2-[[2-[bis(2-hydroxyethyl)amino]-4,8-di(piperidin-1-yl)pyrimido[5,4-d]pyrimidin-6-yl]-(2-hydroxyethyl)amino]ethanol;', "Ethanol, 2,2',2'',2'''-(4,8-dipiperidinopyrimido(5,4-d)pyrimidine-2,6-diyldinitrilo)tetra-", "Ethanol, 2,2',2',2'''-((4,8-di-1-iperidinylpyrimido(5,4-d)pyrimidine-2,6-diyl)dinitrilo)tetrakis-", "Ethanol, 2,2',2',2'''-((4,8-di-1-piperidinylpyrimido(5,4-d)pyrimidine-2,6-diyl)dinitrilo)tetrakis-", "Ethanol,2',2'',2'''-[(4,8-di-1-piperidinylpyrimido[5,4-d]pyrimidine-2,6-diyl)dinitrilo]tetrakis-", "Ethanol,2',2'',2'''-[(4,8-dipiperidinopyrimido[5,4-d]pyrimidine-2,6-diyl)dinitrilo]tetra-"]</t>
  </si>
  <si>
    <t>Compound(3108)</t>
  </si>
  <si>
    <t>C24H40N8O4</t>
  </si>
  <si>
    <t>diquat dibromide</t>
  </si>
  <si>
    <t>7,10-diazoniatricyclo[8.4.0.02,7]tetradeca-1(14),2,4,6,10,12-hexaene;dibromide</t>
  </si>
  <si>
    <t>['DIQUAT DIBROMIDE', '85-00-7', 'DIQUAT', 'Aquacide', 'Deiquat', 'Detrone', 'Preeglone', 'Reglone', 'Reglon', 'Reglox', 'Ortho-Diquat', 'Weedtrine-D', 'Caswell No. 402', 'Reglon dibromide (USSR)', 'Deiquat dibromide (USSR)', 'UNII-6BDV3T272W', 'Ethylene dipyridylium dibromide', 'HSDB 1700', 'EINECS 201-579-4', 'PP 100', 'EPA Pesticide Chemical Code 032201', 'NSC 116553', '6BDV3T272W', "1,1'-Ethylene 2,2'-dipyridylium dibromide", "1,1'-Ethylene-2,2'-bipyridinium dibromide", "1,1'-Ethylene-2,2'-bipyridylium dibromide", "1,1'-Ethylene-2,2'-dipyridylium dibromide", '9,10-Dihydro-8a,10a-diazoniaphenanthrene dibromide', "1,1'-Aethylen-2,2'-bipyridinium-dibromid [German]", "6,7-Dihydrodipyrido(1,2-a:2',1'-c)pyrazinedium dibromide", "6,7-Dihydrodipyrido[1,2-a:2',1'-c]pyrazine-5,8-diium bromide", "Dipyrido(1,2-a:2',1'-c)pyrazinediium, 6,7-dihydro-, dibromide", "9,10-Dihydro-8a,10a-diazoniaphenanthrene(1,1'-ethylene-2,2'-bipyridylium)dibromide", "Dipyrido(1,2-a;2',1'-c)pyrazinediium, 6,7-dihydro-, dibromide", "Dipyrido[1,2-a:2',1'-c]pyrazinediium, 6,7-dihydro-, dibromide", 'Diquat dibromide [ISO]', "6,7-dihydrodipyrido[1,2-b:1',2'-e]pyrazine-5,8-diium;dibromide", 'C12H12N2.2Br', "1,1'-Aethylen-2,2'-bipyridinium-dibromid", 'SCHEMBL52886', 'CHEMBL1599022', 'DTXSID3024075', 'AKOS015902672', 'MCULE-3116450640', "Dipyrido(1,2-a:2',1'-c)pyrazinediium, 6,7-dihydro-, labeled with carbon-14, dibromide", 'NCGC00163714-01', '34417-68-0', 'AS-15492', 'CC-27167', 'Diquat dibromide 100 microg/mL in Water', 'LS-62970', 'P595', 'ST020587', 'FT-0729120', 'C-23893', 'Q910903', "6,7-dihydrodipyrido[1,2-a:2',1'-c]pyrazinediium dibromide", '6,7-dihydropyridino[1,2-a]pyridino[2,1-c]pyrazine, bromide, bromide']</t>
  </si>
  <si>
    <t>Compound(6794)</t>
  </si>
  <si>
    <t>C12H12Br2N2</t>
  </si>
  <si>
    <t>diquat dibromide monohydrate</t>
  </si>
  <si>
    <t>7,10-diazoniatricyclo[8.4.0.02,7]tetradeca-1(14),2,4,6,10,12-hexaene;dibromide;hydrate</t>
  </si>
  <si>
    <t>['Diquat dibromide monohydrate', '6385-62-2', 'UNII-KU81Z1B8QW', 'KU81Z1B8QW', "6,7-dihydro-dipyrido(1,2-1:2',1'-c)pyrazinedium dibromide monohydrate", 'DIQUAT', "Dipyrido(1,2-1:2',1'-c)pyrazinedium, 6,7-dihydro-, dibromide, monohydrate", 'CCRIS 8141', "6,7-dihydrodipyrido[1,2-a:2',1'-c]pyrazinediium dibromide hydrate", 'Diquat dibromide hydrate', 'DSSTox_CID_11248', 'DSSTox_RID_78868', 'DSSTox_GSID_31248', 'CHEMBL3186290', 'DTXSID7031248', 'ZX-AT016085', 'Tox21_301145', 'NCGC00248381-01', 'NCGC00255043-01', 'CAS-6385-62-2', 'LS-182897', 'FT-0667712', 'Diquat dibromide monohydrate, analytical standard', 'Q27282442', 'Diquat dibromide monohydrate, PESTANAL(R), analytical standard', "6,7-dihydrodipyrido[1,2-a:2',1'-c]pyrazine-5,8-diium bromide hydrate", '7??,10??-diazatricyclo[8.4.0.0?,?]tetradeca-1(14),2,4,6,10,12-hexaene-7,10-bis(ylium) hydrate dibromide']</t>
  </si>
  <si>
    <t>Compound(115268)</t>
  </si>
  <si>
    <t>C12H14Br2N2O</t>
  </si>
  <si>
    <t>7,10-diazoniatricyclo[8.4.0.02,7]tetradeca-1(14),2,4,6,10,12-hexaene</t>
  </si>
  <si>
    <t>['DIQUAT', 'Diquat dication', '2764-72-9', 'Diquat ion', "1,1'-Ethylene-2,2'-bipyridylium ion", "1,1'-Ethylene-2,2'-bipyridyldylium ion", '9,10-Dihydro-8a,10a-diazoniaphenanthrene', 'Diquat [ANSI:BSI:ISO]', 'UNII-A9A615U4MP', 'EINECS 220-433-0', "6,7-Dihydrodipyrido[1,2-A:2',1'-C]pyrazinediylium", "Dipyrido(1,2-a:2',1'-c)pyrazinediium, 6,7-dihydro-", 'A9A615U4MP', 'CHEBI:64163', '9,10-Dihydro-8a,10a-diazoniaphenanthrene ion', "6,7-Dihydrodipyrido(1,2-a:2',1'-c)pyrazinediium", "6,7-dihydrodipyrido[1,2-a:2',1'-c]pyrazinediium", "6,7-Dihydrodipyrido(1,2-a:2',1'-c)pyrazine-5,8-di-ium", "6,7-Dihydrodipyrido(1,2-a:2',1'-c)pyrazinediylium", "Dipyrido[1,2-a:2',1'-c]pyrazinediium, 6,7-dihydro-", 'Diquat (Deiquat)', 'Diquat (Ion 2+)', 'SCHEMBL52885', 'CHEMBL1625720', 'DTXSID6034554', 'ZINC43472', "Dipyrido(1,2-a:2',1'-c)pyrazinediium, 6,7-dihydro- (8CI)(9CI)", 'C12H12N2+2', 'MCULE-1928612410', 'NCGC00163714-02', 'NCGC00163714-03', '231-36-7', 'LS-62969', 'P596', 'NS00008841', 'C18577', '764D729', 'Q2285491', 'W-109136', "Dipyrido(1,2-a:2',1'-c)pyrazinediium, 6,7-dihydro- (8CI)"]</t>
  </si>
  <si>
    <t>Compound(6795)</t>
  </si>
  <si>
    <t>C12H12N2+2</t>
  </si>
  <si>
    <t>disulfoton sulfoxide</t>
  </si>
  <si>
    <t>diethoxy-(2-ethylsulfinylethylsulfanyl)-sulfanylidene-lambda5-phosphane</t>
  </si>
  <si>
    <t>['OXYDISULFOTON', 'Disulfoton-sulfoxide', 'Disyston S', 'Disulfoton sulfoxide', 'Disyston sulfoxide', 'Disulfoton disulide', 'Disyston sulphoxide', '2497-07-6', 'DEPD', 'Ethylthiometon sulfoxide', 'Diston S', 'Oxydisulfoton [ISO]', 'Caswell No. 340A', 'Oxidisulfoton [Spanish]', 'BAY 23323', 'Oxidissulfotao [Portugese]', 'S 309', 'HSDB 6425', 'EINECS 219-679-1', 'L 16/184', 'O,O-Diethyl-S-((ethylsulfinyl)ethyl)phosphorodithioate', 'EPA Pesticide Chemical Code 340200', 'BRN 1712528', 'O,O-Diethyl S-(2-(ethylsulfinyl)ethyl) phosphorodithioate', 'Phosphorodithioic acid, O,O-diethyl S-((ethylsulfinyl)ethyl) ester', 'Phosphorodithioic acid, O,O-diethyl S-[2-(ethylsulfinyl)ethyl] ester', 'O,O-Diethyl S-2-((ethylsulfinyl)ethyl)phosphorodithioate', 'O,O-Diethyl-S-2-ethylsulfinyl-ethyl-dithiophosphat (Danish)', 'O,O-Diethyl-S-2-ethylsulfinyl-ethyl-dithiophosphat (Deutsch)', 'Ditiofosfato de O,O-dietilo y de S-(2-etilsulfinil)etilo [Spanish]', 'Ditiofosfato de O,O-dietiloe de S-(2-etilsulfiniletilo) [Portugese]', 'Ditiofosfato di O,O-dietile et di S-2-(etilsulfinil)-etile [Italian]', 'O,O-Diethyl-S-(2-(ethylsulfinyl)-ethyl)dithiofosfaat [Netherlands]', 'Phosphorodithioic acid, O,O-diethyl S-(2-(ethylsulfinyl)ethyl) ester', 'Dithiophosphate de O,O-diethyle et de S-(2-ethylsulfinyl-ethyle) [French]', 'Oxidissulfotao', 'Oxidisulfoton', 'diethoxy-(2-ethylsulfinylethylsulfanyl)-sulfanylidene-?^{5}-phosphane', 'Disulfoton Sulphoxide', 'SCHEMBL118240', 'DTXSID4037536', 'CHEBI:82143', 'CTK8F9269', 'oxydisulfoton;Disulfoton Sulphoxide', 'NCGC00163857-01', 'LS-108137', 'NS00008435', 'C19009', 'Disulfoton-sulfoxide 10 microg/mL in Cyclohexane', 'Disulfoton-sulfoxide 1000 microg/mL in Acetone', 'B-23323', 'J-015755', 'Q7115921', 'O,O-Diethyl-S-(2-(ethylsulfinyl)-ethyl)dithiofosfaat', 'Disulfoton-sulfoxide, PESTANAL(R), analytical standard', 'Ditiofosfato de O,O-dietiloe de S-(2-etilsulfiniletilo)', 'O,O-Diethyl S-(2-ethylthionylethyl) phosphorodithioate', 'Ditiofosfato de O,O-dietilo y de S-(2-etilsulfinil)etilo', 'Ditiofosfato di O,O-dietile et di S-2-(etilsulfinil)-etile', 'O O-Diethyl S-[2-(ethylsulphinyl)ethyl] phosphorodithioate', 'O,O-Diethyl S-[2-(ethylsulfinyl)ethyl] dithiophosphate #', 'Dithiophosphate de O,O-diethyle et de S-(2-ethylsulfinyl-ethyle)', 'diethyl {[2-(ethanesulfinyl)ethyl]sulfanyl}(sulfanylidene)phosphonite']</t>
  </si>
  <si>
    <t>Compound(17242)</t>
  </si>
  <si>
    <t>C8H19O3PS3</t>
  </si>
  <si>
    <t>diethoxy-(2-ethylsulfanylethylsulfanyl)-sulfanylidene-lambda5-phosphane</t>
  </si>
  <si>
    <t>['disulfoton', '298-04-4', 'Thiodemeton', 'Di-syston', 'Dithiodemeton', 'Dithiosystox', 'Glebofos', 'Solvigran', 'Solvirex', 'Dution', 'Frumin', 'Ethyl thiometon', 'Ethylthiometon B', 'Frumin G', 'Insyst-D', 'Ekatin TD', 'Frumin AL', 'Di-Syston G', 'Ekatine', 'Rcra waste number P039', 'Bayer 19639', 'VUagT 1-4', 'VUagT 1964', 'Caswell No. 341', 'BAY 19639', 'M-74 (Pesticide)', 'Disulfoton [BSI:ISO]', 'UNII-3CY5EKL6MT', 'O,O-Diethyl S-(2-ethylmercaptoethyl) dithiophosphate', 'O,O-Diethyl 2-ethylthioethyl phosphorodithioate', 'ENT 23,437', 'CCRIS 1011', 'HSDB 379', 'O,O-Diethyl S-(2-(ethylthio)ethyl) dithiophosphate', 'S 276', 'EINECS 206-054-3', 'ENT 23437', '3CY5EKL6MT', 'RCRA waste no. P039', 'EPA Pesticide Chemical Code 032501', 'O,O-Diethyl S-(2-eththioethyl) phosphorodithioate', 'Phosphorodithioic acid, O,O-diethyl S-(2-(ethylthio)ethyl) ester', 'BRN 1709167', 'O,O-Diethyl S-(2-eththioethyl) thiothionophosphate', 'O,O-Diethyl S-2-(ethylthio)ethyl phosphorodithioate', 'M-74', 'AI3-23437', 'O,O-Dietil-S-(2-etiltio-etil)-ditiofosfato', 'CHEBI:38661', 'Phosphorodithioic acid, O,O-diethyl S-[2-(ethylthio)ethyl] ester', 'S-2-(Ethylthio)ethyl O,O-diethyl ester of phosphorodithioic acid', 'O,O-Diaethyl-S-(3-thia-pentyl)-dithiophosphat', 'O,O-Diethyl-S-(2-ethylthio-ethyl)-dithiofosfaat', 'O,O-Diethyl-S-ethylmercapto-ethyl dithiophosphate', 'O,O-Diaethyl-S-(2-aethylthio-aethyl)-dithiophosphat', 'O,O-Diethyl S-[2-(Ethylthio)ethyl] dithiophosphate', 'O,O-Diethyl S-(2-(ethylthio)ethyl)phosphorodithioate', 'O,O-Dietil-S-(2-etiltio-etil)-ditiofosfato [Italian]', 'O,O-Diaethyl-S-(3-thia-pentyl)-dithiophosphat [German]', 'O,O-Diethyl-S-(2-ethylthio-ethyl)-dithiofosfaat [Dutch]', 'Disulfaton', 'Dithiophosphate de O,O-diethyle et de S-(2-ethylthio-ethyle)', 'O,O-Diaethyl-S-(2-aethylthio-aethyl)-dithiophosphat [German]', 'Dithiophosphate de O,O-diethyle et de S-(2-ethylthio-ethyle) [French]', 'DSSTox_CID_2018', 'DSSTox_RID_76462', 'DSSTox_GSID_22018', 'Disulfoton, analytical standard', 'o,o-Diethyl S-[2-(ethylsulfanyl)ethyl] dithiophosphate', 'PHOSPHORODITHIOIC ACID O,O-DIETHYL S-(2-(ETHYLTHIO)ETHYL) ESTER', 'CAS-298-04-4', 'Thiodemetron', 'Disipton', 'Disystox', 'Dimaz', 'diethoxy-(2-ethylsulfanylethylsulfanyl)-sulfanylidene-?^{5}-phosphane', 'M 74 (Pesticide)', 'Spectrum_001771', 'SpecPlus_000354', 'Spectrum2_001856', 'Spectrum3_000807', 'Spectrum4_000647', 'Spectrum5_001926', 'SCHEMBL27180', 'BSPBio_002273', 'KBioGR_000993', 'KBioSS_002252', 'MLS001065622', 'DivK1c_006450', 'SPBio_001672', 'CHEMBL1332314', 'DTXSID0022018', 'DOFZAZXDOSGAJZ-UHFFFAOYSA-', 'KBio1_001394', 'KBio2_002251', 'KBio2_004819', 'KBio2_007387', 'KBio3_001773', 'HMS3039H04', 'Tox21_202343', 'Tox21_300861', 'ACM298044', 'CCG-39394', 'ENT-23437', 'AKOS015898788', 'Disulfoton 10 microg/mL in Cyclohexane', 'Disulfoton 1000 microg/mL in Methanol', 'Disulfoton 100 microg/mL in Cyclohexane', 'NCGC00091485-01', 'NCGC00091485-02', 'NCGC00091485-03', 'NCGC00091485-04', 'NCGC00091485-05', 'NCGC00091485-06', 'NCGC00254764-01', 'NCGC00259892-01', 'CC-27183', 'Disulfoton 100 microg/mL in Acetonitrile', 'M 74', 'SMR000568480', 'DB-047654', 'LS-108141', 'NS00002187', 'Disulfoton, PESTANAL(R), analytical standard', 'C18400', 'O,O-diethyl 2-(ethylthio)ethyl dithiophosphate', '31339-EP2274983A1', '31339-EP2275422A1', '31339-EP2292608A1', '31339-EP2305662A1', '31339-EP2308857A1', '31339-EP2308858A1', '31339-EP2311815A1', '31339-EP2311816A1', '31339-EP2311817A1', '31339-EP2371823A1', 'O,O-Ethyl S-2(ethylthio)ethyl phosphorodithioate', 'C-17302', 'O,O-diethyl S-[2-(ethylthio)ethyl]dithiophosphate', 'Q413904', 'J-017649', 'O,O-Diethyl S-[2-(ethylthio)ethyl] phosphorodithioate', 'O,O-Diethyl S-[2-(ethylsulfanyl)ethyl] dithiophosphate #', 'O,O-Diethyl S-[2-(ethylsulfanyl)ethyl] phosphorodithioate', 'diethoxy-(2-ethylsulfanylethylsulfanyl)-sulfanylidenephosphorane', 'Phosphorodithioic acid,o,o-diethyl s-[2-(ethylthio)ethyl]ester', 'Phosphonodithioic acid, O,O-diethyl S-[2-(ethylthio)ethyl] ester', 'Phosphorodithionic acid, S-2-(ethylthio)ethyl-O,O-diethyl ester']</t>
  </si>
  <si>
    <t>Compound(3118)</t>
  </si>
  <si>
    <t>C8H19O2PS3</t>
  </si>
  <si>
    <t>disulfoton sulfone</t>
  </si>
  <si>
    <t>diethoxy-(2-ethylsulfonylethylsulfanyl)-sulfanylidene-lambda5-phosphane</t>
  </si>
  <si>
    <t>['DISULFOTON SULFONE', 'Disulfoton-sulfone', 'Disyston sulfone', '2497-06-5', 'UNII-9A9M9083NL', '9A9M9083NL', 'O,O-Diethyl S-(2-ethsulfonylethyl) phosphorodithioate', 'O,O-Diethyl S-(2-ethsulfonylethyl) thiothionophosphate', 'BRN 1713538', 'Phosphorodithioic acid, O,O-diethyl S-[2-(ethylsulfonyl)ethyl] ester', 'Ethanethiol, 2-(ethylsulfonyl)-, S-ester with O,O-diethyl phosphorodithioate', 'O,O-Diethyl S-(2-ethylsulfonylethyl)thionophosphate', 'O,O-Diethyl-S-(2-ethylsulfonylethyl)phosphorodithioate', 'Phosphorodithioic acid, O,O-diethyl S-(2-(ethylsulfonyl)ethyl)ester', 'diethoxy-(2-ethylsulfonylethylsulfanyl)-sulfanylidene-?^{5}-phosphane', 'Phosphorodithioic acid, O,O-diethyl S-(2-(ethylsulfonyl)ethyl) ester', 'Disulfoton Sulfona', 'DSSTox_CID_21901', 'DSSTox_GSID_41901', 'SCHEMBL1713316', 'CHEMBL3560887', 'DTXSID8041901', 'Tox21_304043', 'Disulfoton-sulfone;Disulfoton sulfone', 'NCGC00357250-01', 'SC-67406', 'CAS-2497-06-5', 'LS-108139', 'NS00003539', 'Disulfoton-sulfone 1000 microg/mL in Acetone', 'Disulfoton-sulfone 10 microg/mL in Cyclohexane', 'J-015754', 'Disulfoton-sulfone, PESTANAL(R), analytical standard', 'O,O-Diethyl S-(2-ethylsulfonylethyl) thionophosphate', 'Q27272269', 'O,O-Diethyl S-(2-ethylsulfonylethyl) phosphorodithioate', 'o,o-Diethyl S-[2-(ethylsulfonyl)ethyl] dithiophosphate', 'diethyl {[2-(ethanesulfonyl)ethyl]sulfanyl}(sulfanylidene)phosphonite', 'Phosphorodithioic acid, O,O-diethyl ester S-[2-(ethylsulfonyl)ethyl] ester']</t>
  </si>
  <si>
    <t>Compound(17241)</t>
  </si>
  <si>
    <t>C8H19O4PS3</t>
  </si>
  <si>
    <t>5,10-dioxobenzo[g][1,4]benzodithiine-2,3-dicarbonitrile</t>
  </si>
  <si>
    <t>['DITHIANON', '3347-22-6', 'Dithianone', 'Delan', 'Merkdelan', 'Thynon', 'Delan-col', 'Delan WP', 'Stauffer MV-119A', 'Delan (fungicide)', '5,10-Dioxo-5,10-dihydronaphtho[2,3-b][1,4]dithiine-2,3-dicarbonitrile', '1,4-Dithiaanthraquinone-2,3-dinitrile', '2,3-Dinitrilo-1,4-dithia-9,10-anthraquinone', 'Dithianon [BSI:ISO]', '1,4-Dithiaanthraquinone-2,3-dicarbonitrile', 'MV 119A', '2,3-Dinitrilo-1,4-dithia-anthraquinone', '2,3-Dicarbonitrilo-1,4-diathiaanthrachinon', 'IT 931', 'Caswell No. 349B', '2,3-Dinitrilo-1,4-dithioanthrachinon', '2,3-Dicyano-1,4-dithia-anthraquinone', 'UNII-3ESS44NI1F', 'NSC 218452', 'HSDB 1583', 'EINECS 222-098-6', '2,3-Dicyano-1,4-dithiaanthraquinone', 'EPA Pesticide Chemical Code 099201', '2,3-Dinitrilo-1,4-dithiaanthraquinone', 'BRN 1325563', '3ESS44NI1F', 'AI3-28720', 'CHEBI:81842', '2,3-Dinitrilo-1,4-dithioanthrachinon [German]', '5,10-Dihydro-5,10-dioxonaphtho(2,3-b)-p-dithiin-2,3-dicarbonitrile', '2,3-Dicarbonitrilo-1,4-diathiaanthrachinon [German]', '5,10-dioxobenzo[g][1,4]benzodithiine-2,3-dicarbonitrile', 'Naphtho(2,3-b)-1,4-dithiin-2,3-dicarbonitrile, 5,10-dihydro-5,10-dioxo-', 'Naphtho(2,3-b)-p-dithiin-2,3-dicarbonitrile, 5,10-dihydro-5,10-dioxo-', 'Naphtho[2,3-b]-1,4-dithiin-2,3-dicarbonitrile, 5,10-dihydro-5,10-dioxo-', '5,10-Dihydro-5,10-dioxonaphtho(2,3-b)-1,4-dithiin-2,3-dicarbonitrile', '5,10-dihydro-5,10-dioxonaphtho[2,3-b]-1,4-dithiin-2,3-dicarbonitrile', 'Naphtho[2,3-b]-p-dithiin-2,3-dicarbonitrile, 5,10-dihydro-5,10-dioxo-', '1,3-dinitrile', '2,4-dithioanthrachinon', '2,4-diathiaanthrachinon', '2,4-dithiaanthraquinone', 'DSSTox_CID_20270', 'DSSTox_RID_79463', 'DSSTox_GSID_40270', 'SCHEMBL20978', '5-19-08-00189 (Beilstein Handbook Reference)', 'CHEMBL2228641', 'DTXSID8040270', 'Dithiaanthraquinone-2,3-dinitrile', 'HY-B1975', 'ZINC1755317', 'Tox21_302405', 'BBL010985', 'NSC218452', 'STK802107', '5,10-dihydro-5,10-dioxonaphtho(2,3-b)-1,4-dithiin- 2,3-dicarbonitrile', 'AKOS004119899', '2,3-Dicyano-1, 4-dithiaanthraquinone', 'ACM3347226', 'KS-5359', 'MCULE-3547299996', 'NSC-218452', '1, 4-Dithiaanthraquinone-2,3-dinitrile', 'NCGC00255557-01', 'LS-95278', 'CAS-3347-22-6', 'AX8126204', 'DB-048417', 'CS-0014074', 'FT-0634790', 'NS00008842', 'WLN: T C666 BV DS GS IVJ ECN FCN', 'Dithianon, PESTANAL(R), analytical standard', '47D226', 'C18574', '2, 3-Dinitrilo-1,4-dithioanthrachinon (GERMAN)', 'C-24257', 'J-019204', 'Q1230269', '2,3-Dicarbonitrilo-1, 4-diathiaanthrachinon (GERMAN)', '5,10-dioxonaphtho[2,3-b]-p-dithiin-2,3-dicarbonitrile', 'Naphtho[2,3-dicarbonitrile, 5,10-dihydro-5,10-dioxo-', 'Naphtho[2,4-dithiin-2,3-dicarbonitrile, 5,10-dihydro-5,10-dioxo-', '5,10-dioxo-5,10-dihydronaphtho[2,3-b][1,4]dithiin-2,3-dicarbonitrile', '5,10-Dioxo-5,10-dihydronaphtho[2,3-b][1,4]dithiine-2,3-dicarbonitrile #', '5,10-dioxo-5H,10H-naphtho[2,3-b][1,4]dithiine-2,3-dicarbonitrile', '5,10-Dihydro-5,10-dioxonaphtho[2,3-b]-1,4-dithiin-2,3-dicarbonitrile, 9CI']</t>
  </si>
  <si>
    <t>Compound(18771)</t>
  </si>
  <si>
    <t>C14H4N2O2S2</t>
  </si>
  <si>
    <t>ditalimphos</t>
  </si>
  <si>
    <t>2-diethoxyphosphinothioylisoindole-1,3-dione</t>
  </si>
  <si>
    <t>['Ditalimfos', 'Millie', 'Plondrel', 'Laptran', 'O,O-Diethyl phthalimidophosphonothioate', '5131-24-8', 'DITALIMPHOS', 'Frutogard', 'Leucon', 'Ortho 199', 'Ditalimfos [ANSI]', 'Dowco-199', 'UNII-80DYL6I8WW', 'O,O-Diethyl phthalimidothiophosphate', 'RE 199', 'SF 101', 'O,O-diethyl phthalimidophosphonothionate', 'O 199', 'EINECS 225-875-8', 'EPA Pesticide Chemical Code 106301', 'O,O-Diaethyl-N-phtalimido-thiophosphat', 'BRN 1542822', 'O,O-Diethyl phthalimido-phosphonothioate', '80DYL6I8WW', 'Phosphonothioic acid, phthalimido-, O,O-diethyl ester', 'Phosphonothioic acid, (1,3-dihydro-1,3-dioxo-2H-isoindol-2-yl)-, O,O-diethyl ester', '2-diethoxyphosphinothioylisoindole-1,3-dione', 'M-2452', 'O,O-Diaethyl-N-phtalimido-thiophosphat [German]', 'O,O-Diethyl (1,3-dihydro-1,3-dioxo-2H-isoindol-2-yl)phosphonothioate', '(1,3-Dihydro-1,3-dioxo-2H-isoindol-2-yl)phosphonothioic acid O,O-diethyl ester', 'Ditalimfos [ANSI:ISO]', 'Ditalimfos (Plondrel)', 'Dowco 199', 'SCHEMBL22128', '5-21-11-00141 (Beilstein Handbook Reference)', 'DTXSID3041902', 'CHEBI:82067', 'Diethyl phthalimidophosphonothioate', 'Phosphonothioic acid, phthalimido-, O,O-diethyl ester (8CI)', 'ACM5131248', 'FCH3751545', 'Ditalimfos 10 microg/mL in Cyclohexane', 'Phosphonothioic acid, (1,3-dihydro-1,3-dioxo-2H-isoindol-2-yl)-, O,O-diethyl ester (9CI)', 'Phthalimide, N-(diethoxyphosphinothioyl)-', 'LS-107275', 'NS00002659', 'Ditalimfos, PESTANAL(R), analytical standard', 'C18925', 'M 2452', 'Q15632709', 'O,O-diethyl (1,3-dioxo-1,3-dihydro-2H-isoindol-2-yl)phosphonothioate', 'O,O-Diethyl 1,3-dioxo-1,3-dihydro-2H-isoindol-2-ylphosphonothioate #', 'Ditalimfos solution, 100 mug/mL in acetonitrile, PESTANAL(R), analytical standard']</t>
  </si>
  <si>
    <t>Compound(21207)</t>
  </si>
  <si>
    <t>C12H14NO4PS</t>
  </si>
  <si>
    <t>carbamothioylthiourea</t>
  </si>
  <si>
    <t>['Dithiobiuret', '541-53-7', '2,4-DITHIOBIURET', 'Thioimidodicarbonic diamide', 'carbamothioylthiourea', 'Biuret, dithio-', 'Imidodicarbonodithioic diamide', 'Biuret, 2,4-dithio-', 'Imidodicarbonimidothioic diamide', 'RCRA waste number P049', 'Urea, 2-thio-1-(thiocarbamoyl)-', 'Allophanimidic acid, dithio-', 'Dithioallophanimidic acid', 'NSC 7761', 'UNII-T40X2KXL53', 'HSDB 6047', 'EINECS 208-784-8', 'RCRA waste no. P049', 'Dicarbonodithioimidic diamide', 'AI3-14762', 'T40X2KXL53', 'Thioimidodicarbonic diamide (((H2N)C(S))2NH)', 'Thioimidodicarbonic diamide ([(H2N)C(S)]2NH)', '(carbamothioylamino)methanethioamide', 'NSC-7761', 'Thioimidodicarbonic diamide ((H2N)C(S))2NH', 'amino[(aminothioxomethyl)amino]methane-1-thione', 'C2H5N3S2', '1-carbamothioylthiourea', 'WLN: SUYZMYZUS', 'ACMC-1ATTB', 'Dithiobiuret;dithiobiuret', 'Amino[(aminocarbothioyl)amino]thioxomethane', 'Biuret, dithio- (8CI)', 'Dithiobiuret, 97%, solid', 'DSSTox_CID_14968', 'DSSTox_RID_79230', 'DSSTox_GSID_34968', '2-Imidodithiodicarbonic diamide', 'Dicarbonodithioimidic diamide #', 'CHEMBL501562', 'SCHEMBL3077015', 'DTXSID2034968', 'CTK3J0739', 'NSC7761', 'STR04620', 'ZINC4018161', '[(H2-N)C(S)]2-NH', 'Tox21_301949', 'MFCD00037832', 'SBB069238', 'STK370075', 'AKOS005445295', 'MCULE-5725707827', 'VZ31975', 'NCGC00255476-01', 'CAS-541-53-7', 'LS-44799', 'Q598', 'ST013920', 'DB-052500', 'FT-0610224', 'NS00042749', '541D537', 'A829998', 'Q5283662']</t>
  </si>
  <si>
    <t>Compound(2758725)</t>
  </si>
  <si>
    <t>C2H5N3S2</t>
  </si>
  <si>
    <t>3-(3,4-dichlorophenyl)-1,1-dimethylurea</t>
  </si>
  <si>
    <t>['diuron', '3-(3,4-Dichlorophenyl)-1,1-dimethylurea', '330-54-1', 'DCMU', 'Duran', 'Dynex', 'Dichlorfenidim', 'Herbatox', 'Vonduron', 'Dailon', 'Karmex', 'Marmer', 'Karmex DW', 'Di-on', 'Cekiuron', 'Crisuron', 'Lucenit', 'Unidron', 'Diuron Nortox', 'Karmex D', "Urea, N'-(3,4-dichlorophenyl)-N,N-dimethyl-", 'Karmex Diuron Herbicide', '1,1-Dimethyl-3-(3,4-dichlorophenyl)urea', '1-(3,4-Dichlorophenyl)-3,3-dimethylurea', 'Preventol A 6', 'Urox D', 'Diuron 4L', 'Direx 4L', 'DP Hardener 95', 'Telvar Diuron Weed Killer', 'Anduron', 'Ansaron', 'Dirurol', 'Durashield', 'Herburon', 'Seduron', 'Bioron', 'Drexel', "N'-(3,4-Dichlorophenyl)-N,N-dimethylurea", 'Farmco diuron', "Sup'r flo", "N-(3,4-Dichlorophenyl)-N',N'-dimethylurea", 'DCMU 99', 'Diuron 900', 'Caswell No. 410', 'HW 920', 'Ditox-800', 'Karamex', 'Aguron', 'Diater', 'Dichlorfenidim [Russian]', 'UNII-9I3SDS92WY', 'USAF P-7', 'Diuron [ANSI:BSI:ISO]', "N,N,-Dimethyl-N'-(3,4-dichlorophenyl)urea", 'USAF XR-42', '3-(3,4-Dichlor-phenyl)-1,1-dimethyl-harnstoff', 'CCRIS 1012', 'HSDB 382', 'Direx 80W', '1-(3,4-Dichlorophenyl)-3,3-dimethyluree', '3-(3,4-dichlorophenyl)-1,1-dimethyl-urea', 'NSC 8950', 'EINECS 206-354-4', 'AF 101', 'Urea, 3-(3,4-dichlorophenyl)-1,1-dimethyl-', 'EPA Pesticide Chemical Code 035505', 'BRN 2215168', '9I3SDS92WY', 'AI3-61438', '3-(3,4-Dicloro-fenyl)-1,1-dimetil-urea', '3-(3,4-Dichloor-fenyl)-1,1-dimethylureum', 'DTXSID0020446', 'CHEBI:116509', '1-(3,4-Dichlorophenyl)-3,3-dimethyluree [French]', '3-(3,4-Dichloor-fenyl)-1,1-dimethylureum [Dutch]', '3-(3,4-Dicloro-fenyl)-1,1-dimetil-urea [Italian]', 'MFCD00018136', '3-(3,4-Dichlor-phenyl)-1,1-dimethyl-harnstoff [German]', 'NCGC00094525-01', 'DSSTox_CID_446', '3-(3,4-Dichloro-phenyl)-1,1-dimethyl-urea', 'DSSTox_RID_75595', 'DSSTox_GSID_20446', 'CAS-330-54-1', 'Xarmex', 'Desdimethyldiuron', 'Xarmex, Krovar', 'M Velpar', 'Karmex DL', 'D rexel diuron 4L', 'Karmex 80W', 'Spectrum_001823', '1-(3,3-dimethylurea', '3-(3,1-dimethylurea', 'ACMC-1CQJF', 'N-(3,4-Dichlorophenyl)-N,N-Dimethylurea', 'SpecPlus_000424', "N'-(3,N-dimethylurea", "N-(3,N'-dimethylurea", '1,4-dichlorophenyl)urea', '3-(3,1-dimethylureum', "n,n-dimethyl-n'-(3,4-dichlorophenyl)urea", '3-(3,1-dimetil-urea', 'Spectrum2_001229', 'Spectrum3_000822', 'Spectrum4_000662', 'Spectrum5_001956', 'Diuron, &gt;=98%', 'EC 206-354-4', 'Cambridge id 5104305', 'SCHEMBL7279', '3-(3,1-dimethyl-harnstoff', 'BSPBio_002343', 'KBioGR_001063', 'KBioSS_002328', 'SPECTRUM330030', 'MLS002207110', 'DivK1c_006520', 'SPBio_001078', 'CHEMBL278489', 'URE002', 'CTK7G2120', 'KBio1_001464', 'KBio2_002325', 'KBio2_004893', 'KBio2_007461', 'KBio3_001843', 'ZINC57287', 'NSC8950', 'WLN: GR BG DMVN1 &amp; 1', 'HY-B0860', 'NSC-8950', 'Tox21_111292', 'Tox21_201438', 'Tox21_301016', 'ANW-27531', 'BBL003847', 'CCG-39151', 'Diuron 10 microg/mL in Acetonitrile', 'STK077954', 'AKOS001303464', 'Diuron 100 microg/mL in Acetonitrile', 'Tox21_111292_1', 'Urea,4-dichlorophenyl)-N,N-dimethyl-', 'LS-7325', 'MCULE-1921281405', 'Urea,4-dichlorophenyl)-1,1-dimethyl-', 'KS-0000105P', 'NCGC00094525-02', 'NCGC00094525-03', 'NCGC00094525-04', 'NCGC00094525-05', 'NCGC00094525-06', 'NCGC00094525-07', 'NCGC00094525-08', 'NCGC00094525-09', 'NCGC00254918-01', 'NCGC00258989-01', 'AS-15493', 'P597', 'SMR000777941', 'Diuron, PESTANAL(R), analytical standard', '3-(3,4-Dichlorophenol)-1,1-dimethylurea', 'DB-048327', 'Diuron solution 100 ng/muL in acetonitrile', 'CS-0012874', 'D1328', 'FT-0603378', 'FT-0667750', "N,N-dimethyl-N'-(3,4-dichlorophenyl)-urea", 'NS00000265', 'ST50409103', 'T7706', "N-(3,4-dichlorophenyl)-N',N'-dimethyl urea", 'C18428', '33329-EP2274983A1', '33329-EP2305655A2', '33329-EP2305662A1', '33329-EP2311815A1', '33329-EP2371823A1', 'N-(3,4-dichlorophenyl)(dimethylamino)carboxamide', 'A821585', 'Q425389', 'SR-01000195223', 'Diuron, certified reference material, TraceCERT(R)', 'J-018992', 'SR-01000195223-1', 'BRD-K75330923-001-02-6', 'diuron;PIPERONYL BUTOXIDE, MIXT. WITH PYRETHRINS', 'Diuron ( 3-(3,4-Dichlorophenyl)-1,1-dimethylurea) Fragm 187', 'Diuron solution, 100 mug/mL in acetonitrile, PESTANAL(R), analytical standard', 'W9M']</t>
  </si>
  <si>
    <t>Compound(3120)</t>
  </si>
  <si>
    <t>C9H10Cl2N2O</t>
  </si>
  <si>
    <t>Extinction</t>
  </si>
  <si>
    <t>(E)-dimethomorph</t>
  </si>
  <si>
    <t>ethyl butylactetylamino propionate</t>
  </si>
  <si>
    <t>ethyl 3-[acetyl(butyl)amino]propanoate</t>
  </si>
  <si>
    <t>['52304-36-6', 'Ethyl butylacetylaminopropionate', 'ethyl 3-(N-butylacetamido)propanoate', 'Ethyl 3-(N-butylacetamido)propionate', 'Quwenzhi', 'EBAAP', 'UNII-65GQA237EH', 'Ethyl N-acetyl-N-butyl-beta-alaninate', 'N-Acetyl-N-butyl-beta-alanine ethyl ester', '65GQA237EH', 'CHEBI:81991', 'Q-201664', 'Repellent 3535', 'BAAPE', 'Merck 3535', 'ethyl n-acetyl-n-butyl-|A-alaninate', 'IR3535', 'EINECS 257-835-0', 'EUS 26-15', 'ethyl 3-[acetyl(butyl)amino]propanoate', 'IR 3535', 'N-Acetyl-N-butyl-beta-alanine, ethyl ester', 'AI 3-70763', 'DSSTox_CID_15753', 'DSSTox_RID_79268', 'DSSTox_GSID_35753', 'SCHEMBL16475', 'Ethyl butylacetylaminopropanoate', 'CHEMBL2230259', 'DTXSID9035753', 'HSDB 8318', 'KS-00000NFS', 'ZINC2558693', 'Ethyl N-acetyl-N-butyl-ss-alaninate', 'Tox21_301772', 'AKOS015914988', 'Ethyl butylacetylaminopropionate (JAN)', 'DS-3340', 'ETHYL BUTYLACETYLA- MINOPROPIONATE', 'ethyl N-acetyl-N-butyl-.beta.-alaninate', 'NCGC00255638-01', 'AK550852', 'CC-32322', 'SC-15786', 'CAS-52304-36-6', 'Ethyl-3-(N-n-butyl-N-acetyl)aminopropionate', 'FT-0630653', 'NS00008005', 'beta-alanine, N-acetyl-N-butyl-, ethyl ester', 'C18830', 'D11818', '304N366', 'C-11518', 'Q5973365', '3-(N,N-Butyl-N-acetyl)aminopropionic acid ethyl ester', '3-(N-n-Butyl-N-acetyl)aminopropionic acid ethyl ester', '3-[N-n-Butyl-N-acetyl]aminopropionic acid-ethyl ester', 'Nb[n-N-butyl-N-acetyl]aminopropionic acid ethyl ester', '3-[n-N-butyl-N-acetyl]aminopropionic acid ethyl ester, AldrichCPR', 'Ethyl butylacetylaminopropionate, PESTANAL(R), analytical standard', 'ethyl N-acetyl-N-butyl-?-alaninate;ethyl N-acetyl-N-butyl-.beta.-alaninate;ETHYL BUTYLACETYLAMINOPROPIONATE;Ethyl N-acetyl-N-butyl-ss-alaninate']</t>
  </si>
  <si>
    <t>Compound(104150)</t>
  </si>
  <si>
    <t>C11H21NO3</t>
  </si>
  <si>
    <t>Ecology status or potential</t>
  </si>
  <si>
    <t>ethylenediaminetetraethanoic acid (EDTA)</t>
  </si>
  <si>
    <t>2-[2-[bis(carboxymethyl)amino]ethyl-(carboxymethyl)amino]acetic acid</t>
  </si>
  <si>
    <t>['EDTA', 'Edetic acid', 'Ethylenediaminetetraacetic acid', '60-00-4', 'Edathamil', 'Endrate', 'Versene', 'Havidote', 'Titriplex', 'EDTA acid', 'Sequestrol', 'Cheelox', 'Sequestric acid', 'Warkeelate acid', 'Gluma cleanser', 'Sequestrene aa', 'Komplexon ii', 'Quastal Special', 'Tetrine acid', 'Versene acid', 'Metaquest A', 'Trilon bw', 'Complexon II', 'Hamp-ene acid', 'Titriplex II', 'Cheelox BF acid', 'Trilon BS', 'Celon A', 'Chelest 3A', 'Questex 4H', 'Celon ATH', 'Chemcolox 340', 'Versenate', 'Universne acid', 'Vinkeil 100', 'Dissolvine E', 'Nullapon B acid', 'Nullapon bf acid', 'Perma kleer 50 acid', 'Nervanaid B acid', 'Clewat TAA', '(Ethylenedinitrilo)tetraacetic acid', 'EDTA (chelating agent)', 'Ethylenedinitrilotetraacetic acid', 'Calcium disodium versenate', 'Acidum edeticum', 'Acide edetique', 'Acido edetico', 'Caswell No. 438', 'Disodium EDTA', 'Chelaton 3', 'ICRF 185', "Glycine, N,N'-1,2-ethanediylbis[N-(carboxymethyl)-", 'Cheladrate', 'SEQ 100', 'Edetate calcium', 'Ethylenebisiminodiacetic acid', 'YD 30', 'Acide edetique [INN-French]', 'Acido edetico [INN-Spanish]', 'Acidum edeticum [INN-Latin]', 'CCRIS 946', 'Edetate', 'ETHYLENEDIAMINE TETRAACETIC ACID', 'HSDB 809', 'Acide ethylenediaminetetracetique', "Ethylenediamine-N,N,N',N'-tetraacetic acid", 'UNII-9G34HU7RV0', 'Acetic acid, (ethylenedinitrilo)tetra-', 'Calcium disodium edetate', 'EPA Pesticide Chemical Code 039101', 'Edta disodium', 'Disodium edetate', 'Disodium versene', 'Endrate disodium', 'Kyselina ethylendiamintetraoctova', 'Sodium versenate', 'Edetic acid disodium salt', 'Ethylenediaminetetraacetate', 'Kyselina ethylendiamintetraoctova [Czech]', 'Acide ethylenediaminetetracetique [French]', 'Metaquest B', 'Kiresuto B', 'Chelaplex III', 'Complexon III', 'Diso-Tate', '2-[2-[bis(carboxymethyl)amino]ethyl-(carboxymethyl)amino]acetic acid', '3,6-Diazaoctanedioic acid, 3,6-bis(carboxymethyl)-', 'AI3-17181', 'Chelaton III', 'Potassium EDTA', 'Versene NA', 'Triplex III', 'Disodium versenate', 'Edathamil disodium', 'Trilon BD', 'Versene Na2', 'C10H16N2O8', '{[-(BIS-CARBOXYMETHYL-AMINO)-ETHYL]-CARBOXYMETHYL-AMINO}-ACETIC ACID', 'Disodium sequestrene', 'Disodium tetracemate', 'EDTA disodium salt', 'EINECS 200-449-4', 'F 1 (complexon)', 'MFCD00003541', 'EDTA, ion(4-)', 'CHEMBL858', 'Sequestrene sodium 2', "Acetic acid, 2,2',2'',2'''-(1,2-ethanediyldinitrilo)tetrakis-", "N,N'-1,2-Ethanediylbis(N-(carboxymethyl)glycine)", 'BRN 1716295', "Glycine, N,N'-1,2-ethanediylbis(N-(carboxymethyl)-", "N,N'-1,2-Ethane diylbis-(N-(carboxymethyl)glycine)", '9G34HU7RV0', 'Perma Kleer Di Crystals', 'Calcium disodium versenate (TN)', 'ethylene diamine tetraacetic acid', 'ethylene-diamine tetraacetic acid', "2,2',2'',2'''-(ethane-1,2-diyldinitrilo)tetraacetic acid", 'CHEBI:42191', '2-({2-[bis(carboxymethyl)amino]ethyl}(carboxymethyl)amino)acetic acid', '4-04-00-02449 (Beilstein Handbook Reference)', 'Ethylenediaminetetraacetic acid disodium salt', 'Edetate calcium disodium (USP)', 'Sequestrene Na2', 'Trilon B', 'Selekton B2', 'Disodium ethylenediaminetetraacetate', '(ethylenedinitrilo)tetraacetic acid, ion(4-)', 'Perma kleer 50 crystals disodium salt', 'Disodium (ethylenedinitrilo)tetraacetate', 'Disodium ethylenediaminetetraacetic acid', 'SODIUM ETHYLENEDIAMINETETRAACETATE', 'CBC 50152966', 'DR-16133', 'Ethylenediaminetetraacetate, disodium salt', 'Disodium diacid ethylenediaminetetraacetate', 'J-610078', "D'E.d.t.a. disodique", 'Disodium (ethylenedinitrilo)tetraacetic acid', "Ethylenediamine-N,N,N',N'-tetraacetic Acid-13C4", "2,2',2'',2'''-(ethane-1,2-diyldinitrilo)tetraacetate", 'Disodium dihydrogen ethylenediaminetetraacetate', 'Tetracemate', 'Edetates', 'Disodium dihydrogen(ethylenedinitrilo)tetraacetate', '139-33-3', 'Calcium Tetacine', 'Distannous EDTA', 'Chromium EDTA', 'Stannous EDTA', 'Gallium EDTA', 'Copper EDTA', 'NSC2760', 'CaEDTA', 'Ethylenediaminetetraacetic acid, 99%, pure', 'Disodium Calcitetracemate', "N,N'-1,2-ethanediylbis[N-(carboxymethyl)glycine]", 'NCGC00159485-02', '10058-42-1', 'Edetic acid [INN:BAN]', 'Ethylene Dinitrilotetraacetate', 'disodium-edta', 'Edetic acid [INN:BAN:NF]', 'Ethylenebis(iminodiacetic acid)', '(Ethylenedinitrilo)tetraacetic acid, disodium salt', '2-[2-(bis(carboxymethyl)amino)ethyl-(carboxymethyl)amino]acetic acid', 'Tricon bw', '([2-(Bis-carboxymethyl-amino)-ethyl]-carboxymethyl-amino)-acetic acid', '{[2-(Bis-carboxymethyl-amino)-ethyl]-carboxymethyl-amino}-acetic acid', 'Calcium Disodium Edetate (JAN)', 'Techrun DO', 'H4edta', 'Zonon AO', 'EDTA, free acid', 'EDTA, free base', 'Versene acid (TN)', 'ethylenediaminetetraacetic acid (edta)', 'Disodium Ethylene Dinitrilotetraacetate', 'Edetic Acid, Disodium, Magnesium Salt', '470462-56-7', "Iron(3+) hydrogen N,N'-ethylenebis[N-(carboxylatomethyl)aminoacetate]", 'Acroma DH 700', 'Spectrum_001018', 'ACMC-209mhe', 'Edetic acid (NF/INN)', '53632-26-1', 'Spectrum2_000003', 'Spectrum3_000412', 'Spectrum4_000531', 'Spectrum5_000955', 'Edetic acid [BAN:INN]', 'DSSTox_CID_2977', 'EC 200-449-4', 'DSSTox_RID_76814', 'DSSTox_GSID_22977', 'ethylenediaminetetracetic acid', 'BSPBio_001964', 'Diaminoethanetetra-acetic acid', 'Ethylenediamineteraacetic Acid', 'KBioGR_001161', 'KBioSS_001498', 'KSC352S1H', 'MLS001249457', 'BIDD:ER0565', 'DivK1c_000777', 'ethylenediamine tetracetic acid', 'SPBio_000005', 'ethylenediamine-tetraacetic acid', "Glycine, N,N'-1,2-ethanediylbis(N-(carboxymethyl))-", 'DTXSID6022977', 'EDTA, 500 mM Solution, pH 8.0, ULTROL&amp;reg; Grade', 'CTK2F2913', 'KBio1_000777', 'KBio2_001498', 'KBio2_004066', 'KBio2_006634', 'KBio3_001184', 'BIE0729', 'EBD3431', '(Ethylenedintrilo)tetraacetic acid', 'ethylen-ediamine tetra-acetic acid', 'NINDS_000777', 'ZX-AFC000762', 'KS-00000G4L', 'STR08855', 'Tox21_202736', 'ANW-33408', 'BDBM50330325', 'GE4011', 'SBB008807', 'STK386291', 'ZINC19364242', 'AKOS001574475', "Glycine, (N,N'-1,2-ethanediylbis(N-(carboxymethyl)-, labeled with carbon-14", '(ethane-1,2-diyldinitrilo)tetraacetate', 'CHM0029903', 'DB00974', 'MCULE-1868494404', 'CAS-60-00-4', 'IDI1_000777', 'NCGC00159485-03', 'NCGC00159485-04', 'NCGC00260284-01', '688-55-1', 'AC-10615', 'ACM470462567', 'AK109916', 'LS-12098', 'SC-18421', 'SMR000058776', 'ST072179', 'SBI-0051360.P003', '(ethane-1,2-diyldinitrilo)tetraacetic acid', 'DB-084840', 'DS-003836', 'B7197', 'E0084', 'Ethylenediaminetetraacetic acid, 2Na (EDTA)', 'Ethylenediaminetetraacetic acid, LR, &gt;=98%', 'FT-0626319', 'FT-0668253', 'FT-0668254', 'NS00003929', 'C00284', 'D00052', 'Ethylenediaminetetraacetic acid, p.a., 98.0%', 'AB00053468_03', 'Ethylenediaminetetraacetic acid solution, 0.02 N', 'Ethylenediaminetetraacetic acid, &gt;=98.0% (KT)', 'A832566', "N,N'-1,2-Ethanediylbis[N-(carboxymethyl)]glycine", 'Q408032', 'SR-01000883946', 'SR-01000883946-1', '37C3C5E7-D921-445F-82D6-FEBF1AE5AEF5', 'Ethylenediaminetetraacetic acid, 99.5%, ACS reagent', 'Z2688689169', 'Ethylenediaminetetraacetic acid, BioUltra, &gt;=99.0% (KT)', 'Ethylenediaminetetraacetic acid, 99.995% trace metals basis', 'Ethylenediaminetetraacetic acid, SAJ special grade, &gt;=99.0%', 'Ethylenediaminetetraacetic acid, Vetec(TM) reagent grade, 98%', '[{2-[bis(carboxymethyl)amino]ethyl}(carboxymethyl)amino]acetic acid', "2,2',2'',2'''-(ethane-1,2-diylbis(azanetriyl))tetraacetic acid", 'Edetic acid, United States Pharmacopeia (USP) Reference Standard', 'Edetic acid; EDTA; (Ethylenedinitrilo)tetraacetic acid; Edathamil', 'Ethylenediaminetetraacetic acid, ACS reagent, 99.4-100.6%, powder', 'Ethylenediaminetetraacetic acid, purified grade, &gt;=98.5%, powder', "2,2'',2'''',2''''''-(ethane-1,2-diylbis(azanetriyl))tetraacetic acid", 'Ethylenediaminetetraacetic acid, BioUltra, anhydrous, &gt;=99% (titration)', "Glycine, N,N'-1, {2-ethanediylbis[N-(carboxymethyl)-,} disodium salt", '{[2-(Bis-carboxymethyl-amino)-ethyl]-carboxymethyl-amino}-acetic acid(EDTA)', '2-[2-[bis(2-hydroxy-2-oxoethyl)amino]ethyl-(2-hydroxy-2-oxoethyl)amino]ethanoic acid', 'Ethylenediaminetetraacetic acid, anhydrous, free-flowing, Redi-Dri(TM), &gt;=98%', '124949-23-1', 'Ethylenediamine-N,N,N inverted exclamation mark ,N inverted exclamation mark -tetraacetic Acid-13C4 (|A-labels)', 'Ethylenediaminetetraacetic acid solution, 0.02% in DPBS (0.5 mM), sterile-filtered, BioReagent, suitable for cell culture', 'Ethylenediaminetetraacetic acid solution, BioUltra, for molecular biology, pH 8.0, ~0.5 M in H2O', 'Ethylenediaminetetraacetic acid, anhydrous, crystalline, BioReagent, suitable for cell culture', 'Ethylenediaminetetraacetic acid, anhydrous, free-flowing, powder, Redi-Dri(TM), ACS reagent, 99.4-100.6%']</t>
  </si>
  <si>
    <t>Compound(6049)</t>
  </si>
  <si>
    <t>C10H16N2O8</t>
  </si>
  <si>
    <t>ethylenediamine tetra (methylene phosphonic acid) (EDTMP)</t>
  </si>
  <si>
    <t>[2-[bis(phosphonomethyl)amino]ethyl-(phosphonomethyl)amino]methylphosphonic acid</t>
  </si>
  <si>
    <t>['1429-50-1', 'edtmp', 'Lexidronam', '((Ethane-1,2-diylbis(azanetriyl))tetrakis(methylene))tetraphosphonic acid', 'UNII-V4CP8RSX7V', 'V4CP8RSX7V', 'Ethylenediamine tetrakis(methylene phosphonic acid)', 'EINECS 215-851-5', 'Ethylenediaminetetra(methylenephosphonic acid)', '(Ethylenedinitrilo)-tetramethylenephosphonic acid', '15142-96-8', 'ETHYLENEDIAMINE TETRAMETHYLENEPHOSPHONIC ACID', '[1,2-Ethanediylbis[Nitrilobis-(Methylene)]]Tetrakis-Phosphonic Acid', "N,N,N',N'-Ethylenediaminetetrakis(methylenephosphonic Acid)", '(Ethane-1,2-diylbis(nitrilobis(methylene)))tetrakisphosphonic acid', 'Phosphonic acid, (1,2-ethanediylbis(nitrilobis(methylene)))tetrakis-', 'Hexasodium dihydrogen [ethane-1,2-diylbis[nitrilobis(methylene)]]tetrakisphosphonate', 'Masquol P 430NA', 'Tetrasodium tetrahydrogen (ethane-1,2-diylbis(nitrilobis(methylene)))tetrakisphosphonate', '61827-49-4', '[ethane-1,2-diylbis(nitrilodimethanediyl)]tetrakis(phosphonic acid)', 'Hexasodium dihydrogen (ethane-1,2-diylbis(nitrilobis(methylene)))tetrakisphosphonate', "Phosphonic acid, P,P',P'',P'''-(1,2-ethanediylbis(nitrilobis(methylene)))tetrakis-", "Phosphonic acid, P,P',P'',P'''-[1,2-ethanediylbis[nitrilobis(methylene)]]tetrakis-", 'EINECS 239-204-1', 'EINECS 263-254-3', '[2-[bis(phosphonomethyl)amino]ethyl-(phosphonomethyl)amino]methylphosphonic acid', 'EDTMPA', 'POTASSIUM EDTMP', 'Ethylenediamine tetrakis(methylene phosphonic acid) hexasodium salt', "Phosphonic acid, P,P',P'',P'''-(1,2-ethanediylbis(nitrilobis(methylene)))tetrakis-, sodium salt (1:6)", 'SCHEMBL22492', 'CHEMBL1208647', 'DTXSID3061689', 'KS-00000ZAJ', 'C6H20N2O12P4', 'Ethylenediaminetetrakis(methylenephosphonic acid) hexasodium salt', 'EINECS 244-742-5', 'BBL000007', 'Ethylene bis(nitrilodimethylene)tetraphosphonic acid, hexasodium salt', 'STK368766', 'ZINC19855121', 'AKOS000365812', 'API0015319', 'FC-2091', 'MCULE-1371753227', 'ethylendiamintetra(methylenphosphonsaure)', 'Phosphonic acid, (1,2-ethanediylbis(nitrilobis(methylene)))tetrakis-, hexasodium salt', 'AS-15020', 'N654', 'SC-18917', 'ST011995', 'DB-042657', 'LS-164749', 'BB 0218127', 'E0393', 'FT-0626290', 'NS00009310', '[1,2-Ethanediylbis(nitrilobis-(methylene))]t', 'EC 244-742-5', 'K-4582', 'SR-01000944825', 'J-007725', 'Q3045881', 'SR-01000944825-1', 'bis(phosphonomethyl){2-[bis(phosphonomethyl)amino]ethyl}amine', '(ethane-1,2-diylbis(azanetriyl))tetrakis(methylene)tetraphosphonic acid', 'EDTMP ,Ethylenediamine tetrakis(methylene phosphonic acid) ,[2-[bis(phosphonomethyl)amino]ethyl-(phosphonomethyl)amino]methylphosphonic acid']</t>
  </si>
  <si>
    <t>Compound(15025)</t>
  </si>
  <si>
    <t>C6H20N2O12P4</t>
  </si>
  <si>
    <t>Electrical energy</t>
  </si>
  <si>
    <t>Electric current</t>
  </si>
  <si>
    <t>Electrical voltage</t>
  </si>
  <si>
    <t>Emers plants</t>
  </si>
  <si>
    <t>Energy</t>
  </si>
  <si>
    <t>ethyl p-nitrophenyl thiobenzene phosphonate</t>
  </si>
  <si>
    <t>ethoxy-(4-nitrophenoxy)-phenyl-sulfanylidene-lambda5-phosphane</t>
  </si>
  <si>
    <t>['2104-64-5', 'EPN', 'O-Ethyl O-(4-nitrophenyl) phenylphosphonothioate', 'EPN 300', 'O-Ethyl O-(p-nitrophenyl) phenylphosphonothioate', 'Tsumaphos', 'ENT 17,798', 'Kasutop Dust', 'Ethyl p-nitrophenyl benzenethiophosphonate', 'Meidon 15 Dust', 'MAPJ', 'Phosphonothioic acid, phenyl-, O-ethyl O-(4-nitrophenyl) ester', 'Caswell No. 454', 'Ethyl p-nitrophenyl benzenethionophosphonate', 'OMS 219', 'NSC 8943', 'O-ethyl O-p-nitrophenyl phenylphosphonothioate', 'O-Ethyl O-4-nitrophenyl phenylphosphonothioate', 'O-Ethyl O-(p-nitrophenyl) benzenethiophosphonate', 'NSC 404840', 'O-Ethyl O-(4-nitrophenyl) benzenethionophosphonate', 'O-Ethyl phenylphosphonothioic acid O-(4-nitrophenyl) ester', 'CHEBI:34733', 'HSDB 4049', 'Phosphonothioic acid, phenyl-, O-ethyl O-(p-nitrophenyl) ester', 'O-(4-Nitrophenyl) O-ethyl phenyl thiophosphonate', 'EINECS 218-276-8', 'O-Ethyl-O-((4-nitro-fenyl)-fenyl)-monothiofosfonaat', 'O-Aethyl-O-(4-nitro-phenyl)-phenyl-monothiophosphonat', 'Phenylthiophosphonate de O-ethyle et O-4-nitrophenyle', 'EPA Pesticide Chemical Code 041801', 'Ethyl p-nitrophenyl benzenethiophosphate', 'Phenylphosphonothioic acid O-ethyl O-p-nitrophenyl ester', 'PIN', 'BRN 2542580', 'Ethyl-p-nitrophenylthionobenzenephosphate', 'Ethyl p-nitrophenyl phenylphosphonothioate', 'Ethyl p-nitrophenyl thionobenzenephosphate', 'Ethyl p-nitrophenylthiobenzene phosphonate', 'Phenylphosphonothioic Acid, 2-Ethyl 2-(4-Nitrophenyl) Ester', 'Ethyl (p-nitrophenyl) benzenethiophosphate', 'Phenol, p-nitro-, O-ester with O-ethyl phenyl phosphonothioate', 'AI3-17798', 'Ethoxy-4-nitrophenoxyphenylphosphine sulfide', 'Ethyl (p-nitrophenyl) benzenethiophosphonate', 'Ethyl (p-nitrophenyl) phenylphosphonothioate', 'Ethyl (p-nitrophenyl) thionobenzenephosphate', 'O-Ethyl phenyl p-nitrophenyl thiophosphonate', 'Ethyl (p-nitrophenyl)thionobenzenephosphonate', 'O-Ethyl-O-p-nitrophenylphenylphosphonothioate', 'Ethyl (p-nitrophenyl) benzenethionophosphonate', 'Ethyl (p-nitrophenyl) thionobenzenephosphonate', 'O-Ethyl O-p-nitrophenyl phenylphosphorothioate', 'o-Ethyl o-(4-nitrophenyl)phenylphosphonothioate', 'O-Ethyl O-p-nitrophenyl phenylphosphonothiolate', 'O-Ethyl phenyl (p-nitrophenyl) thiophosphonate', 'o-ethyl o-(p-nitrophenyl phenyl)phosphonothioate', 'O-Ethyl O-(p-nitrophenyl) phenylphosphorothioate', 'Phenylphosphonothioate, O-ethyl-O-p-nitrophenyl-', 'O-Ethyl O-(4-nitrophenyl)benzenethionophosphonate', 'O-Ethyl O-(p-nitrophenyl) phenylphosphonothiolate', 'O-Ethyl O-(p-nitrophenyl) phenylphosphonothionate', 'O-Etil-O-((4-ntiro-fenil)-fenil)-monotiofosfonato', 'WLN: WNR DOPS&amp;R&amp;O2', 'Benzenephosphothionic acid, ethyl-4-nitrophenyl ester', 'O-Ethyl-O-p-nitrofenylester kyseliny fenylthiofosfonove', 'Benzenephosphonic acid, thiono-, ethyl-p-nitrophenyl ester', 'Phenylphosphonothioic acid O-ethyl O-(4-nitrophenyl) ester', 'O-Ethyl-O-((4-nitro-fenyl)-fenyl)-monothiofosfonaat [Dutch]', 'O-Etil-O-((4-nitro-fenil)-fenil)-monotiofosfonato [Italian]', 'O-Aethyl-O-(4-nitro-phenyl)-phenyl-monothiophosphonat [German]', 'O-Ethyl-O-p-nitrofenylester kyseliny fenylthiofosfonove [Czech]', 'Phenylthiophosphonate de O-ethyle et O-4-nitrophenyle [French]', 'Benzenephosphonic acid, ethyl-(p-nitrophenyl) ester', 'Ethoxy-(((4-nitrophenoxy)phenyl)phosphine) sulfide', 'Ethoxy-[[(4-nitrophenoxy)phenyl]phosphine] sulfide', 'Phenol, O-ester with O-ethyl phenyl phosphonothioate', 'Phosphonothioic acid, O-ethyl O-(4-nitrophenyl) ester', 'Phosphonothioic acid, O-ethyl O-(p-nitrophenyl) ester', 'Phosphonothioic acid, O-ethyl O-(p-nitrophenyl)ester', 'ethoxy-(4-nitrophenoxy)-phenyl-sulfanylidene-?^{5}-phosphane', 'PHENYLPHOSPHONOTHIOIC ACID, O-ETHYL O-(4-NITROPHENYL) ESTER', 'EPN-300', 'EPN / Tsumaphos', 'ENT-17,798', 'DSSTox_CID_2174', 'O-Ethyl-O-(4-nitrophenyl)phenylphosphonothioate', 'DSSTox_RID_76514', 'DSSTox_GSID_22174', 'C14H14NO4PS', 'SCHEMBL2124407', 'CHEMBL3184641', 'DTXSID7022174', 'CTK8F9471', 'NSC8943', 'EPN 10 microg/mL in Cyclohexane', 'EPN 100 microg/mL in Cyclohexane', 'NSC-8943', 'EPN 100 microg/mL in Acetonitrile', 'Tox21_300424', 'NSC404840', 'AKOS015888311', 'NSC-404840', 'EPN, PESTANAL(R), analytical standard', 'NCGC00248026-01', 'NCGC00254507-01', 'Ethyl p-nitrophenyl phenylphosphorothioate', 'CAS-2104-64-5', 'DB-045460', 'LS-107254', 'NS00002189', 'C14434', 'O-ethyl O-(4-nitrophenyl)benzenethiophosphonate', 'C-19761', 'J-013797', 'O-Etil-O-((4-nitro-fenil)-fenil)-monotiofosfonato', 'Q2007270', 'UNII-9Y6HP0HYA8 component AIGRXSNSLVJMEA-HXUWFJFHSA-N', 'Benzenephosphonic acid, thiono-, ethyl-(p-nitrophenyl) ester', 'Phosphonothioic acid, phenyl-, O-ethyl O-(p-nitrophenyl)ester', 'EPN, 100 mug/mL in acetonitrile, PESTANAL(R), analytical standard', 'Phosphonothioic acid, P-phenyl-, O-ethyl O-(4-nitrophenyl) ester']</t>
  </si>
  <si>
    <t>Compound(16421)</t>
  </si>
  <si>
    <t>C14H14NO4PS</t>
  </si>
  <si>
    <t>ethyl dipropyl thiocarbamate</t>
  </si>
  <si>
    <t>S-ethyl N,N-dipropylcarbamothioate</t>
  </si>
  <si>
    <t>['EPTC', 'S-Ethyl dipropylthiocarbamate', '759-94-4', 'EPTAM', 'Torbin', 'Eptam 6E', 'Alirox', 'Niptan', 'Witox', 'Stauffer R 1608', 'Genep EPTC', 'S-Ethyl-N,N-dipropylthiocarbamate', 'S-Ethyl N,N-di-n-propylthiocarbamate', 'EPTC (herbicide)', 'S-Ethyl N,N-dipropylthiocarbamate', 'FDA 1541', 'Caswell No. 435', 'Dipropylcarbamothioic acid S-ethyl ester', 'EPTC [BSI:ISO]', 'Ethyl dipropylthiocarbamate', 'S-ethyl N,N-dipropylcarbamothioate', 'S-Aethyl-N,N-dipropylthiolcarbamat', 'N,N-Dipropylthiocarbamic acid S-ethyl ester', 'Carbamic acid, dipropylthio-, S-ethyl ester', 'Carbamothioic acid, dipropyl-, S-ethyl ester', 'NSC 40486', 'R 1608', 'UNII-R7PI3287F4', 'CCRIS 6035', 'HSDB 394', 'EINECS 212-073-8', 'R-1608', 'EPA Pesticide Chemical Code 041401', 'Dipropylthiocarbamic acid S-ethyl ester', 'BRN 1762751', 'S-Ethyl dipropylcarbamothioate', 'Ethyl di-n-propylthiolcarbamate', 'CHEBI:4738', 'S-Aethyl-N,N-dipropylthiolcarbamat [German]', 'Ethyl N,N-dipropylthiolcarbamate', 'R7PI3287F4', 'Carbamothioic acid, N,N-dipropyl-, S-ethyl ester', 'DSSTox_CID_4091', 'DSSTox_RID_77285', 'DSSTox_GSID_24091', 'W-104378', 'CAS-759-94-4', 'Epthame', 'EPTC (pesticide)', 'EPTC / Epthame', 'Genep (Salt/Mix)', 'Knoxweed (Salt/Mix)', 'Eradicane (Salt/Mix)', 'EC 212-073-8', 's-ethyl-dipropylthiocarbamate', 'SCHEMBL66482', 'Carbamic acid, S-ethyl ester', 'MLS002415729', 'WLN: 3N3&amp;VS2', 'CHEMBL1371350', 'DTXSID1024091', 'CTK8E7904', 'EPTC;S-Ethyl dipropylthiocarbamate', 'EPTC 10 microg/mL in Cyclohexane', 'Ethyl N,N-di-n-propylthiocarbamate', 'NSC40486', 'ZINC1532147', 'Ethyl N,N-di-n-propylthiolcarbamate', 'S-ethyl N,N-di-propyl-thiocarbamate', 'Tox21_201962', 'Tox21_300727', 'AC-398', 'MFCD00053780', 'NSC-40486', 'AKOS006228453', 'S-Ethyl N,N-di-n-propylthiolcarbamate', 'LS-1686', 'NCGC00091900-01', 'NCGC00091900-02', 'NCGC00091900-03', 'NCGC00091900-04', 'NCGC00091900-05', 'NCGC00091900-06', 'NCGC00254633-01', 'NCGC00259511-01', 'EPTC, PESTANAL(R), analytical standard', 'SMR000777891', 'Eptam (S-Ethyl-N,N-dipropylthiocarbamate)', 'DB-056011', 'FT-0632900', 'NS00005221', 'C11081', '33252-EP2274983A1', '33252-EP2305655A2', '33252-EP2311815A1', '33252-EP2371823A1', '(dipropyl-amino)-methanethioic acid S-ethyl ester', '759E944', 'Q424784']</t>
  </si>
  <si>
    <t>Compound(12968)</t>
  </si>
  <si>
    <t>C9H19NOS</t>
  </si>
  <si>
    <t>Epithelial cell- dog specific</t>
  </si>
  <si>
    <t>Ethoxyresorufin-O-deethylase activity</t>
  </si>
  <si>
    <t>(E)-2-ethyl-4-(2,2,3-trimethylcyclopent-3-en-1-yl)but-2-en-1-ol</t>
  </si>
  <si>
    <t>['28219-61-6', '2-ethyl-4-(2,2,3-trimethylcyclopent-3-en-1-yl)but-2-en-1-ol', '2-Ethyl-4-(2,2,3-trimethylcyclopent-3-en-yl)-but-2-en-1-ol', '(E)-2-ethyl-4-(2,2,3-trimethylcyclopent-3-en-1-yl)but-2-en-1-ol', 'Balinol', '106185-75-5', 'W-107063', '2-Ethyl-4-(2,2,3-trimethylcyclopent-3-en-1-yl)-but-2-en-1-ol', '(2E)-2-Ethyl-4-(2,2,3-trimethyl-3-cyclopenten-1-yl)-2-buten-1-ol', 'Balinol (natural)', '2-Ethyl-4-(2,2,3-trimethyl-3-cyclopenten-1-yl)-2-buten-1-ol', 'Sandacanol', 'Sandranol', 'Sanderol RH', 'EINECS 248-908-8', 'Sandenol 208(Bacdanol)', 'EC 248-908-8', 'SCHEMBL112882', 'CHEMBL3729014', 'DTXSID30860412', "2-Buten-1-ol, 2-ethyl-4-(2,2,3-trimethyl-3-cyclopenten-1-yl)-;ETHYL TRIMETHYLCYCLOPENTENE BUTENOL;2-Ethyl-4-(2',2',3-trimethylcyclopent-3'-enyl)but-2-enol", 'ACM28219616', 'J647.437C', 'NS00001518', 'V0559', 'A819377', 'Q27894694', '2-Ethyl-4-(2,2,3-trimethyl-3-cyclopentenyl)-2-buten-1-ol.', '2-Ethyl-4-(2,2,3-trimethyl-3-cyclopentenyl)-2-butene-1-ol', '(e)-2-ethyl-4-(2,2,3-trimethylcyclopent-3-enyl)but-2-en-1-ol', '2 Ethyl-4-(2,2,3-trimethyl-3-cyclopenten-1-yl)-2-buten-1-ol', '(E)-2-ethyl-4-(2,2,3-trimethyl-1-cyclopent-3-enyl)-2-buten-1-ol', '2-Buten-1-ol, 2-ethyl-4-(2,2,3-trimethyl-3-cyclopenten-1-yl)-, (2E)-', '2-Buten-1-ol, 2-ethyl-4-(2,2,3-trimethyl-3-cyclopenten-1-yl)-, (E)-', '2-Ethyl-4-(2,2,3-trimethylcyclopent-3-en-1-yl)-but-2-en-1-ol, (E)-', '2-Ethyl-4-(2,2,3-trimethylcyclopent-3-en-1-yl)but-2-en-1-ol, (E)-']</t>
  </si>
  <si>
    <t>Compound(6438196)</t>
  </si>
  <si>
    <t>C14H24O</t>
  </si>
  <si>
    <t>Evapotranspiration</t>
  </si>
  <si>
    <t>Exhibition duration</t>
  </si>
  <si>
    <t>Extinction coefficient according to Lambert-Beer's law</t>
  </si>
  <si>
    <t>Extinction coefficient according to Lambert's law</t>
  </si>
  <si>
    <t>Extraction after weigh-in</t>
  </si>
  <si>
    <t>Weight based extraction</t>
  </si>
  <si>
    <t>Volume based extraction</t>
  </si>
  <si>
    <t>einsteinium-254</t>
  </si>
  <si>
    <t>['Einsteinium-254', '15840-03-6', 'Einsteinium, isotope of mass 254', '(~254~Es)Einsteinium', 'DTXSID30935912']</t>
  </si>
  <si>
    <t>Compound(167472)</t>
  </si>
  <si>
    <t>N-ethyl perfluorooctane sulfonamide</t>
  </si>
  <si>
    <t>N-ethyl-1,1,2,2,3,3,4,4,5,5,6,6,7,7,8,8,8-heptadecafluorooctane-1-sulfonamide</t>
  </si>
  <si>
    <t>['Sulfluramid', '4151-50-2', 'N-ethyl-1,1,2,2,3,3,4,4,5,5,6,6,7,7,8,8,8-heptadecafluorooctane-1-sulfonamide', 'Finitron', 'Mirex S', 'N-Ethylperfluorooctanesulfonamide', 'N-Ethylperfluorooctylsulfonamide', 'Alstar (pesticide)', 'Sulfluramid [ISO]', 'N-Ethyl perfluorooctanesulphonamide', 'UNII-IPX089YR0A', 'GX 071', 'N-Ethylheptadecafluorooctanesulphonamide', 'HSDB 7100', 'AI 3-29757', 'N-Ethyl-1,1,2,2,3,3,4,4,5,5,6,6,7,7,8,8,8-heptadecafluoro-1-octanesulfonamide', '1-Octanesulfonamide, N-ethyl-1,1,2,2,3,3,4,4,5,5,6,6,7,7,8,8,8-heptadecafluoro-', 'EINECS 223-980-3', 'ETHYL PERFLUOROOCTYLSULFONAMIDE', 'EPA Pesticide Chemical Code 128992', 'BRN 2317462', 'IPX089YR0A', 'AI3-29757', 'CHEBI:81945', 'N-ethylperfluorooctane-1-sulfonamide', 'GX-071', 'N-Ethylperfluoroctansulfonamid (N-EtFOSA)', 'Q-201766', 'Volcano', 'Alstar', 'N-Et-FOSA', 'Sulfluramid [ANSI:ISO]', 'sulfiuramid', 'Sulfluramide', 'Fluramin', 'C10H6F17NO2S', 'ethyl[(1,1,2,2,3,3,4,4,5,5,6,6,7,7,8,8,8-heptadecafluorooctyl)sulfonyl]amine', 'FX 12', 'DSSTox_CID_12646', 'DSSTox_RID_79022', 'DSSTox_GSID_32646', 'SCHEMBL26873', 'CHEMBL177726', 'Sulfluramid, analytical standard', 'C8F17SO2N(C2H5)H', 'DTXSID1032646', 'N-Ethyl perfluorooctylsulfonamide', 'N-Ethylperfluorooctanesulphonamide', 'N-Ethyl perfluorooctanesulfonamide', 'n-ethyl perfluorooctyl sulphonamide', 'n-Ethyl Perfluorooctane Sulphonamide', 'ZX-AP007558', 'Tox21_300377', 'ANW-58346', 'SBB057947', 'ZINC38141480', 'AKOS007930417', 'ES-2017', 'LS40736', 'MCULE-3993146561', 'N-ethyl perfluoro-octane-1-sulfonamide', 'perfluorooctylsulfonic acid-n-ethylamide', 'NCGC00164466-01', 'NCGC00164466-02', 'NCGC00254305-01', 'CC-32703', 'LS-97929', 'SC-16963', 'CAS-4151-50-2', 'DB-007762', 'FT-0635156', 'NS00000371', 'ST51007271', 'C18766', '151S502', 'A825576', 'C-23086', 'Q15632828', 'Sulfluramid;N-Ethylperfluoroctansulfonamid (N-EtFOSA)', 'N-ethyl-1,1,2,2,3,3,4,4,5,5,6,6,7,7,8,8,8-heptadecakis(fluoranyl)octane-1-sulfonamide']</t>
  </si>
  <si>
    <t>Compound(77797)</t>
  </si>
  <si>
    <t>C10H6F17NO2S</t>
  </si>
  <si>
    <t>perfluorooctane sulfonylamide (N-ethyl) acetate</t>
  </si>
  <si>
    <t>2-[ethyl(1,1,2,2,3,3,4,4,5,5,6,6,7,7,8,8,8-heptadecafluorooctylsulfonyl)amino]acetic acid</t>
  </si>
  <si>
    <t>['2991-50-6', 'N-ethylperfluorooctane sulfonamidoacetic acid', 'N-ETHYL-N-[(HEPTADECAFLUOROOCTYL)SULPHONYL]GLYCINE', 'Glycine, N-ethyl-N-((heptadecafluorooctyl)sulfonyl)-', 'Glycine, N-ethyl-N-[(heptadecafluorooctyl)sulfonyl]-', '2-[ethyl(1,1,2,2,3,3,4,4,5,5,6,6,7,7,8,8,8-heptadecafluorooctylsulfonyl)amino]acetic acid', '2-(N-Ethylperfluorooctanesulfonamido)acetic acid', '1336-61-4', 'Glycine, N-ethyl-N-((1,1,2,2,3,3,4,4,5,5,6,6,7,7,8,8,8-heptadecafluorooctyl)sulfonyl)-', 'Glycine, N-ethyl-N-[(1,1,2,2,3,3,4,4,5,5,6,6,7,7,8,8,8-heptadecafluorooctyl)sulfonyl]-', 'N-Ethyl-N-((heptadecafluorooctyl)sulphonyl)glycine', 'EINECS 221-061-1', 'EtFOSAA', '2-(N-ethyl-perfluorooctane sulfonamido) acetic acid', 'SCHEMBL2892539', 'DTXSID5062760', 'CHEBI:83507', 'ZINC95787530', 'Ethylperfluorooctane sulfonamidoacetic acid', 'N-(Heptadecafluorooctylsulfonyl)-N-ethylglycine', '2-(N-ethyl-perfluorooctanesulfonamido) acetic acid', '2-(N-Ethyl-perfluorooctane sulfanamido) acetic acid', 'n-(ethyl)n-(perfluorooctylsulfonyl)-aminoacetic acid', 'N-(ethyl)-N-(perfluorooctylsulfonyl)-aminoacetic acid', 'Q27156890', 'N-Ethylperfluoro-1-octanesulfonamidoacetic acid (N-EtPFOSAA)', 'N-Ethyl-N-(1,1,2,2,3,3,4,4,5,5,6,6,7,7,8,8,8-heptadecafluorooctane-1-sulfonyl)glycine']</t>
  </si>
  <si>
    <t>Compound(18134)</t>
  </si>
  <si>
    <t>C12H8F17NO4S</t>
  </si>
  <si>
    <t>europium-152</t>
  </si>
  <si>
    <t>['14683-23-9', 'Europium-152', 'Europium, isotope of mass 152', '152Eu', '(~152~Eu)Europium', 'DTXSID00932933']</t>
  </si>
  <si>
    <t>Compound(104907)</t>
  </si>
  <si>
    <t>europium-154</t>
  </si>
  <si>
    <t>['154Eu', '15585-10-1', 'Europium-154', 'Europium, isotope of mass 154', '(~154~Eu)Europium', 'DTXSID10935298']</t>
  </si>
  <si>
    <t>Compound(105012)</t>
  </si>
  <si>
    <t>europium-155</t>
  </si>
  <si>
    <t>['14391-16-3', 'Europium-155', 'Europium, isotope of mass 155', '(~155~Eu)Europium', 'DTXSID30932143']</t>
  </si>
  <si>
    <t>Compound(105088)</t>
  </si>
  <si>
    <t>difluoro</t>
  </si>
  <si>
    <t>molecular fluorine</t>
  </si>
  <si>
    <t>['7782-41-4', 'F', 'Fluorine', 'difluorine', 'Fluorine-19', 'Fluor', 'bifluoriden', 'Fluoro [Italian]', 'Bifluoriden [Dutch]', 'Fluorures acide [French]', 'Fluoruri acidi [Italian]', 'Saeure fluoride [German]', 'RCRA waste number P056', 'HSDB 541', 'UNII-284SYP0193', 'EINECS 231-954-8', 'UN1045', 'RCRA waste no. P056', 'Fluor [Dutch, French, German, Polish]', '284SYP0193', 'F2', 'fluoro', 'Fluorures acide', 'Saeure fluoride', 'Fluoruri acidi', 'Fluorine-elemental', 'Fluorine (soluble fluoride)', 'Fluorine, compressed', 'DTXSID3024106', 'CHEBI:30236', 'PXGOKWXKJXAPGV-UHFFFAOYSA-', 'LS-69349', 'Fluorine, compressed [UN1045] [Poison gas]', 'Fluorine, compressed [UN1045]  [Poison gas]', '782F414', 'Q1963030']</t>
  </si>
  <si>
    <t>Compound(24524)</t>
  </si>
  <si>
    <t>heptafluoropropyl 1,2, 2,2-tetrafluoroethyl ether</t>
  </si>
  <si>
    <t>1,1,1,2,2,3,3-heptafluoro-3-(1,2,2,2-tetrafluoroethoxy)propane</t>
  </si>
  <si>
    <t>['3330-15-2', 'heptafluoropropyl 1,2,2,2-tetrafluoroethyl ether', 'Propane, 1,1,1,2,2,3,3-heptafluoro-3-(1,2,2,2-tetrafluoroethoxy)-', '1,1,1,2,2,3,3-heptafluoro-3-(1,2,2,2-tetrafluoroethoxy)propane', 'Ether, heptafluoropropyl 1,2,2,2-tetrafluoroethyl', 'Perfluoro-3-(1H-perfluoroethoxy)propane', 'Heptafluoropropyl1,2,2,2-tetrafluoroethylether', 'heptafluoropropyl-1,2,2,2-tetrafluoroethyl ether', 'Propane,1,1,1,2,2,3,3-heptafluoro-3-(1,2,2,2-tetrafluoroethoxy)-', 'Freon E-1', 'C3F7OCHFCF3', 'SCHEMBL92464', 'DTXSID8052017', 'CTK4H0354', 'ZX-AP002381', 'AKOS015852662', 'ACM3330152', 'VZ32340', 'CC-29229', 'DB-048382', 'LS-120822', 'FT-0626910', 'NS00010612', 'Y-9742', 'C-18006', 'Q47455840']</t>
  </si>
  <si>
    <t>Compound(94258)</t>
  </si>
  <si>
    <t>C5HF11O</t>
  </si>
  <si>
    <t>Pheophytin a</t>
  </si>
  <si>
    <t>methyl (3R,21S,22S)-16-ethenyl-11-ethyl-4-hydroxy-12,17,21,26-tetramethyl-22-[3-oxo-3-[(E,7R,11R)-3,7,11,15-tetramethylhexadec-2-enoxy]propyl]-7,23,24,25-tetrazahexacyclo[18.2.1.15,8.110,13.115,18.02,6]hexacosa-1,4,6,8(26),9,11,13(25),14,16,18(24),19-undecaene-3-carboxylate</t>
  </si>
  <si>
    <t>['Pheophytin a', 'UNII-PLU1CG1U91', 'PLU1CG1U91', 'CHEBI:44898', '603-17-8', '3-Phorbinepropanoic acid, 9-ethenyl-14-ethyl-21-(methoxycarbonyl)-4,8,13,18-tetramethyl-20-oxo-, (2E,7R,11R)-3,7,11,15-tetramethyl-2-hexadecen-1-yl ester, (3S,4S,21R)-', '3,7,11,15-Tetramethylhexadec-2-en-1-yl [3S-[3(2E,7S*,11S*),4,21]]-14-ethyl -21-(methoxycarbonyl)-4,8,13,18-tetramethyl-20-oxo-9-viny lphorbine-3-propionate', 'pheophytin-a', 'EINECS 210-031-3', 'SCHEMBL416234', 'CHEMBL3349047', 'DTXSID50883461', '3,7,11,15-tetramethylhexadec-2-en-1-yl [3S-[3a(2E,7S*,11S*),4ss,21ss]]-14-ethyl-21-(methoxycarbonyl)-4,8,13,18-tetramethyl-20-oxo-9-vinylphorbine-3-propionate', '3-Phorbinepropanoic acid, 9-ethenyl-14-ethyl-21-(methoxycarbonyl)-4,8,13,18-tetramethyl-20-oxo-, (2E,7R,11R)-3,7,11,15-tetramethyl-2-hexadecenyl ester, (3S,4S,21R)-', 'J1.867.850K', 'C05797', 'Q3382146', 'W-109566', '(7S,25R)-2,8alpha,12,17-Tetramethyl-13-vinyl-18-ethyl-25-(methoxycarbonyl)-26-oxo-3,5-ethano-7,8-dihydro-21H,23H-porphyrin-7beta-propionic acid (2E,7R,11R)-3,7,11,15-tetramethyl-2-hexadecenyl ester', '3,7,11,15-Tetramethylhexadec-2-en-1-yl (3S-(3alpha(2E,7S*,11S*),4beta,21beta))-14-ethyl-21-(methoxycarbonyl)-4,8,13,18-tetramethyl-20-oxo-9-vinylphorbine-3-propionate', 'methyl (3S,4S,21R)-9-ethenyl-14-ethyl-4,8,13,18-tetramethyl-20-oxo-3-(3-oxo-3-{[(2E,7R,11R)-3,7,11,15-tetramethylhexadec-2-en-1-yl]oxy}propyl)phorbine-21-carboxylate']</t>
  </si>
  <si>
    <t>Compound(135398712)</t>
  </si>
  <si>
    <t>C55H74N4O5</t>
  </si>
  <si>
    <t>Pheophytin b</t>
  </si>
  <si>
    <t>methyl (3R,12Z,21S,22S)-16-ethenyl-11-ethyl-12-(hydroxymethylidene)-17,21,26-trimethyl-4-oxo-22-[3-oxo-3-[(E,7R,11R)-3,7,11,15-tetramethylhexadec-2-enoxy]propyl]-7,23,24,25-tetrazahexacyclo[18.2.1.15,8.110,13.115,18.02,6]hexacosa-1,5(26),6,8,10,13(25),14,16,18(24),19-decaene-3-carboxylate</t>
  </si>
  <si>
    <t>['Phaeophytin b', 'Phaeophytin-b', 'pheophytin b', 'methyl (3S,4S,21R)-14-ethyl-13-formyl-4,8,18-trimethyl-20-oxo-3-(3-oxo-3-{[(2E,7R,11R)-3,7,11,15-tetramethylhexadec-2-en-1-yl]oxy}propyl)-9-vinylphorbine-21-carboxylate', '3147-18-0', 'CHEBI:38256', 'DTXSID20883958', '3-Phorbinepropanoic acid, 9-ethenyl-14-ethyl-13-formyl-21-(methoxycarbonyl)-4,8,18-trimethyl-20-oxo-, (2E,7R,11R)-3,7,11,15-tetramethyl-2-hexadecen-1-yl ester, (3S,4S,21R)-', 'W-109869', '3,7,11,15-Tetramethylhexadec-2-en-1-yl[3S[3(2E,7S*,11S*),4,21-14-ethyl-13-formyl-21-(methoxycarbonyl)-4,8,18-trimethyl-20-oxo-9-viny lphorbine-3-propionate']</t>
  </si>
  <si>
    <t>Compound(135410870)</t>
  </si>
  <si>
    <t>C55H72N4O6</t>
  </si>
  <si>
    <t>Filtration glass fiber filter performed</t>
  </si>
  <si>
    <t>Filtration paper filter performed</t>
  </si>
  <si>
    <t>Fluorescence</t>
  </si>
  <si>
    <t>Photon flux density</t>
  </si>
  <si>
    <t>ammonium 2,3, 3,3-tetrafluoro-2- (heptafluoropropoxy) propanoate</t>
  </si>
  <si>
    <t>azanium;2,3,3,3-tetrafluoro-2-(1,1,2,2,3,3,3-heptafluoropropoxy)propanoate</t>
  </si>
  <si>
    <t>['62037-80-3', 'AMMONIUM 2,3,3,3-TETRAFLUORO-2-(HEPTAFLUOROPROPOXY)PROPANOATE', 'GenX', 'Ammonium perfluoro-2-methyl-3-oxahexanoate', 'Ammonium perfluoro(2-methyl-3-oxahexanoate)', 'Propanoic acid, 2,3,3,3-tetrafluoro-2-(1,1,2,2,3,3,3-heptafluoropropoxy)-, ammonium salt (1:1)', 'EC 700-242-3', 'SCHEMBL1580151', 'DTXSID40108559', 'AKOS005259942', 'ammonium 2,3,3,3-tetrafluoro-2-(heptafluoropropoxy) propanoate', '2,3,3,3-Tetrafluoro-2-(1,1,2,2,3,3,3-heptafluoropropoxy)propanoic acid, ammonium salt (1:1)']</t>
  </si>
  <si>
    <t>Compound(51342034)</t>
  </si>
  <si>
    <t>C6H4F11NO3</t>
  </si>
  <si>
    <t>2,3, 3,3-tetrafluoro-2- (heptafluoropropoxy) propionic acid</t>
  </si>
  <si>
    <t>2,3,3,3-tetrafluoro-2-(1,1,2,2,3,3,3-heptafluoropropoxy)propanoic acid</t>
  </si>
  <si>
    <t>['13252-13-6', '2,3,3,3-tetrafluoro-2-(heptafluoropropoxy)propanoic acid', 'GenX', 'PERFLUORO(2-METHYL-3-OXAHEXANOIC) ACID', 'UNDECAFLUORO-2-METHYL-3-OXAHEXANOIC ACID', '2,3,3,3-tetrafluoro-2-(1,1,2,2,3,3,3-heptafluoropropoxy)propanoic acid', '2,3,3,3-Tetrafluoro-2-(heptafluoropropoxy)propionic acid', 'Propanoic acid, 2,3,3,3-tetrafluoro-2-(1,1,2,2,3,3,3-heptafluoropropoxy)-', 'Perfluoro(2-methyl-3-oxahexanoic)acid', 'NSC676909', '2-(Heptafluoropropoxy)-2,3,3,3-tetrafluoropropionic acid', '2-(Heptafluoropropoxy)-2,3,3,3-tetrafluoropropionic acid polymer', 'Propionic acid, 2-(heptafluoropropoxy)-2,3,3,3-tetrafluoro-, polymer', 'Propanoic acid, 2,3,3,3-tetrafluoro-2-(heptafluoropropoxy)-, homopolymer', '26099-32-1', 'HFPO-DA', 'hexafluoropropylene oxide dimer acid', 'EINECS 236-236-8', '2-(Heptafluoropropoxy)tetrafluoropropionic acid', 'C6HF11O3', 'SCHEMBL2887903', 'CHEMBL2008338', 'CTK8D6209', 'perfluoro-2-propoxypropionic acid', 'DTXSID70880215', 'CHEBI:143205', 'ZX-AP002743', '3763AD', 'BBL102039', 'MFCD00236734', 'PC4326', 'STL555838', 'AKOS016016018', 'Perfluoro-2-methyl-3-oxahexanoic acid', 'MS-20355', 'NCI60_027327', 'LS-124688', 'FT-0677618', '2-(Heptafluoropropoxy)tetrafluoropropionicacid', 'K-4160', 'Perfluoro-2-propoxypropanoic acid (PFPrOPrA )', 'Q29387971', '2,3,3,3-tetrafluoro-2-(perfluoropropoxy)propanoic acid', '2,3,3,3-tetrafluoro-2-(1,1,2,2,3,3,3-heptafluoropropoxy)propionic acid', 'Ammonium perfluoro(2-methyl-3-oxahexanoate) / CF3CF2CF2OCF(CF3)COONH4', '2,3,3,3-Tetrafluoro-2-(1,1,2,2,3,3,3-heptafluoropropoxy)propanoic acid compound with N,N,N-triethylamine (1:1)']</t>
  </si>
  <si>
    <t>Compound(114481)</t>
  </si>
  <si>
    <t>C6HF11O3</t>
  </si>
  <si>
    <t>2,3, 3,3-tetrafluoro-2- (heptafluoropropoxy) propanoate (anion)</t>
  </si>
  <si>
    <t>Frequency</t>
  </si>
  <si>
    <t>F-specific phages</t>
  </si>
  <si>
    <t>Phytobenthos- Species Specific Pollution Sensitivity Index</t>
  </si>
  <si>
    <t>Phytobenthos- species for disturbance and eutrophication (neg.)</t>
  </si>
  <si>
    <t>Phytobenthos- kind of positive</t>
  </si>
  <si>
    <t>Phytobenthos- species Trophy Index</t>
  </si>
  <si>
    <t>Phytobenthos- species for acidification (neg.)</t>
  </si>
  <si>
    <t>General physico-chemical parameters</t>
  </si>
  <si>
    <t>Phytobenthos quality</t>
  </si>
  <si>
    <t>Phytoplankton quality</t>
  </si>
  <si>
    <t>Phytoplankton</t>
  </si>
  <si>
    <t>Phytoplankton abundance</t>
  </si>
  <si>
    <t>Species composition of phytoplankton</t>
  </si>
  <si>
    <t>Phytopl.- flowering variety (01-02) Planktothrix agardhii</t>
  </si>
  <si>
    <t>Phytopl.- flowering variety (10) Scenedesmus species poor</t>
  </si>
  <si>
    <t>Phytopl.- flowering variety (11) Cyclotella meneghiniana</t>
  </si>
  <si>
    <t>Phytopl.- flowering variety (12) Stephanodiscus binderanus</t>
  </si>
  <si>
    <t>Phytopl.- flower variety (13) Gonyostomum semen</t>
  </si>
  <si>
    <t>Phytopl.- flowering variety (14) Aphanizomenon gracile</t>
  </si>
  <si>
    <t>Phytopl.- flowering species (15) small Chlorococcales species rich</t>
  </si>
  <si>
    <t>Phytopl.- flowering variety (16) Anabaenopsis</t>
  </si>
  <si>
    <t>Phytopl.- flowering variety (17-18) Prymnesium</t>
  </si>
  <si>
    <t>Phytopl.- flowering species (19) small Cryptophyceae</t>
  </si>
  <si>
    <t>Phytopl.- flowering variety (20) Cryptomonas</t>
  </si>
  <si>
    <t>Phytopl.- flowering variety (21) Skeletonema</t>
  </si>
  <si>
    <t>Phytopl.- flowering type (22) Diatoma tenuis</t>
  </si>
  <si>
    <t>Phytopl.- flowering species (23) small Chroococcales species rich</t>
  </si>
  <si>
    <t>Phytopl.- flowering variety (24-25) Aphanizomenon flos-aquae</t>
  </si>
  <si>
    <t>Phytopl.- flowering variety (26) Anabaena</t>
  </si>
  <si>
    <t>Phytopl.- flowering variety (27) Aulacoseira granulata / ambigua</t>
  </si>
  <si>
    <t>Phytopl.- flowering species (28) ornamental algae Staurodesmus extensus</t>
  </si>
  <si>
    <t>Phytopl.- flowering species (29) ornamental algae Teilingia granulata</t>
  </si>
  <si>
    <t>Phytopl.- flowering variety (03) Planktothrix rubescens</t>
  </si>
  <si>
    <t>Phytopl.- flowering variety (30) Ankyra</t>
  </si>
  <si>
    <t>Phytopl.- flowering variety (31) Monomastix</t>
  </si>
  <si>
    <t>Phytopl.- flowering variety (32) Pedinomonas</t>
  </si>
  <si>
    <t>Phytopl.- flowering variety (33) Pyramimonas</t>
  </si>
  <si>
    <t>Phytopl.- flowering variety (34) Woronichinia naegeliana</t>
  </si>
  <si>
    <t>Phytopl.- flower species (35) Chrysochromulina parva</t>
  </si>
  <si>
    <t>Phytopl.- flowering variety (36) Cyclotella radiosa</t>
  </si>
  <si>
    <t>Phytopl.- flower species (37) Asterionella formosa</t>
  </si>
  <si>
    <t>Phytopl.- flowering type (04) thin filamentous blue-green algae</t>
  </si>
  <si>
    <t>Phytopl.- flowering variety (40) Aulacoseira islandica / subarctica</t>
  </si>
  <si>
    <t>Phytopl.- flowering variety (41) Cyclotella ocellata</t>
  </si>
  <si>
    <t>Phytopl.- flowering variety (42) Chaetoceros</t>
  </si>
  <si>
    <t>Phytopl.- flowering variety (43) Synura</t>
  </si>
  <si>
    <t>Phytopl.- flowering variety (44) Mallomonas</t>
  </si>
  <si>
    <t>Phytopl.- flowering variety (45) Dinobryon</t>
  </si>
  <si>
    <t>Phytopl.- flowering variety (46) Ochromonas</t>
  </si>
  <si>
    <t>Phytopl.- bloom variety (47) thecate dinoflagellate Ceratium</t>
  </si>
  <si>
    <t>Phytopl.- flowering variety (48) thecate dinoflagellate Peridinium</t>
  </si>
  <si>
    <t>Phytopl.- flowering variety (49) Desmidium swartzii</t>
  </si>
  <si>
    <t>Phytopl.- flowering variety (05) Thalassiosira pseudonana</t>
  </si>
  <si>
    <t>Phytopl.- flowering variety (50) Eudorina</t>
  </si>
  <si>
    <t>Phytopl.- flowering species (51) Botryococcus</t>
  </si>
  <si>
    <t>Phytopl.- flower variety (52) Chlorococcales</t>
  </si>
  <si>
    <t>Phytopl.- bloom variety (53) Chromulina</t>
  </si>
  <si>
    <t>Phytopl.- flowering variety (54) Chlamydomonas</t>
  </si>
  <si>
    <t>Phytopl.- flowering variety (56) Hyalotheca dissiliens</t>
  </si>
  <si>
    <t>Phytopl.- flowering variety (57) Syncrypta</t>
  </si>
  <si>
    <t>Phytopl.- flowering variety (58) Bambusina borreri</t>
  </si>
  <si>
    <t>Phytopl.- flower variety (06) Stephanodiscus hantzschii</t>
  </si>
  <si>
    <t>Phytopl.- flower species (07-08) Microcystis</t>
  </si>
  <si>
    <t>Phytopl.- flower species (09) Microcystis wesenbergii</t>
  </si>
  <si>
    <t>iron 55</t>
  </si>
  <si>
    <t>iron-55</t>
  </si>
  <si>
    <t>['Iron Fe-55', 'UNII-V53IRR2O5Y', 'V53IRR2O5Y', '14681-59-5', 'IRON-55', 'Iron, isotope of mass 55', '55Fe', 'Iron 55', 'DTXSID80891771', 'Q27291537']</t>
  </si>
  <si>
    <t>Compound(26815)</t>
  </si>
  <si>
    <t>iron 59</t>
  </si>
  <si>
    <t>iron-59</t>
  </si>
  <si>
    <t>['Iron fe-59', 'UNII-YDY2K6MECD', 'YDY2K6MECD', '14596-12-4', 'Iron-59', '59Fe', '(~59~Fe)Iron', 'DTXSID20932733', 'Q27294483']</t>
  </si>
  <si>
    <t>Compound(104784)</t>
  </si>
  <si>
    <t>iron (II) chloride</t>
  </si>
  <si>
    <t>dichloroiron</t>
  </si>
  <si>
    <t>['Iron(II) chloride', 'Iron chloride (FeCl2)', 'Ferrous dichloride', 'FeCl2', 'Iron(2+) chloride', 'Iron protochloride', 'Natural lawrencite', 'Iron (II) chloride', 'Ferro 66', 'Iron(II) chloride (1:2)', 'HSDB 459', 'EINECS 231-843-4', 'NA1759', 'NA1760', 'Dichloroiron', 'iron(II)chloride', 'Fe(II) chloride', 'Cl2Fe', 'iron (11) chloride', 'Ferrous chloride, solid', '[FeCl2]', 'Ferrous chloride, solution', 'Iron(II)chloridetetrahydrate', 'Iron(II) chloride, 98%', 'Iron(II) chloride, anhydrous', 'CHEBI:30812', '8312AF', 'AKOS015902899', 'SC10849', 'NCGC00248559-01', 'LS-84230', 'FT-0689813', 'EC 231-843-4', 'Ferrous chloride, solid [NA1759]  [Corrosive]', 'Ferrous chloride, solid [NA1759] [Corrosive]', 'Ferrous chloride, solution [NA1760] [Corrosive]', 'Q407867', 'Ferrous chloride, solution [NA1760]  [Corrosive]', 'Iron(II) chloride, anhydrous, beads, -10 mesh, 99.9% trace metals basis', 'Iron(II) chloride, anhydrous, beads, -10 mesh, 99.99% trace metals basis', 'Iron(II) chloride, anhydrous, beads, -10 mesh, 99.998% trace metals basis']</t>
  </si>
  <si>
    <t>Compound(24458)</t>
  </si>
  <si>
    <t>Cl2Fe</t>
  </si>
  <si>
    <t>iron (III) chloride</t>
  </si>
  <si>
    <t>trichloroiron</t>
  </si>
  <si>
    <t>['FERRIC CHLORIDE', 'Iron trichloride', 'Iron(III) chloride', 'trichloroiron', 'Flores martis', 'Iron perchloride', 'Chlorure perrique', 'Iron (III) chloride', 'Perchlorure de fer', 'Iron chloride (FeCl3)', 'Natural molysite', 'FERRIC CHLORIDE, ANHYDROUS', 'Iron chloride (Fe2Cl3)', 'Iron(III) chloride, solution', 'Caswell No. 459', 'Ferric chloride solution', 'Ferric chloride solutions', 'Ferric chloride, solution', 'Iron sesquichloride (DOT)', 'Chlorure ferrique [French]', 'Chlorure perrique [French]', 'Perchlorure de fer [French]', 'CCRIS 2299', 'HSDB 449', 'Ferric trichloride', 'Iron sesquichloride', 'EINECS 231-729-4', 'NSC 51150', 'UN1773', 'UN2582', 'Iron chloride, solid', 'EPA Pesticide Chemical Code 034901', 'NSC 135798', 'Ferric chloride, solid', 'AI3-51902', 'WLN: FE G3', 'FeCl3', 'Chlorure ferrique', 'Iron(III)chloride', 'Fe(III) chloride', 'iron (III)chloride', 'iron(3+) chloride', 'MFCD00011005', 'iron (III) cloride', 'iron-(III) chloride', 'iron-(III)-chloride', 'iron (III) trichloride', '[FeCl3]', 'Iron(III) chloride, CP', 'Iron(III) chloride anhydrous', 'TDA Reagent, for microbiology', 'CHEBI:30808', 'NSC51150', 'Iron(III) chloride, p.a., 98%', 'Fe/ppm Pd for nitro group reductions', 'NSC-51150', 'NSC135798', 'AKOS015902743', 'DB15536', 'LS-1717', 'NE10692', 'NSC-135798', 'SC10850', 'Iron(III) chloride solution, CP, 38%', 'NCGC00249131-01', 'Iron(III) chloride, reagent grade, 97%', 'Iron(III) chloride, technical grade, 58%', 'FT-0627302', 'Iron(III) chloride, LR, anhydrous, &gt;=97%', 'EC 231-729-4', 'Ferric chloride, anhydrous [UN1773] [Corrosive]', 'Ferric chloride, solution [UN2582]  [Corrosive]', 'Ferric chloride, solution [UN2582] [Corrosive]', 'Iron (III) chloride, Trace metals grade, 99.9%', 'Q399771', 'Ferric chloride, anhydrous [UN1773]  [Corrosive]', 'Iron(III) chloride solution, purum, 45% FeCl3 basis', 'Iron(III) chloride solution, 0.2 M in 2-methyltetrahydrofuran', 'Iron(III) chloride, sublimed grade, &gt;=99.9% trace metals basis', 'Iron(III) chloride, anhydrous, powder, &gt;=99.99% trace metals basis', 'Iron(III) chloride on silica gel, powder, extent of labeling: 5 wt. % loading', 'Iron atomic spectroscopy standard concentrate 10.00 g Fe, 10.00 g/L, for 1L standard solution, analytical standard']</t>
  </si>
  <si>
    <t>Compound(24380)</t>
  </si>
  <si>
    <t>Cl3Fe</t>
  </si>
  <si>
    <t>iron (bivalent)</t>
  </si>
  <si>
    <t>iron(2+)</t>
  </si>
  <si>
    <t>['ferrous ion', 'Iron(2+)', 'Ferrous cation', 'Iron divalent ion', 'Fe2+', 'Ferrous', 'Iron dication', 'Ferrous ions', 'Iron (II) ion', 'Iron(II)', 'Iron ion(2+)', 'Iron, ion (Fe2+)', 'Iron (Fe 2+)', 'Iron(2+)ions', 'IRON, ION(Fe 2+)', '15438-31-0', 'UNII-GW89581OWR', 'iron(2+) ion', 'Fe+2', 'GW89581OWR', 'Fe(2+)', 'Limonite', 'Taconite', 'Infed', 'Malleable iron', 'Wrought iron', 'iron(II) cation', 'FeII', 'Iron(II) ion', 'Iron(2+) ions', 'iron (II)', 'Fe +2 ion', 'Iron ion (2+)', 'Fe(II)', 'Fe++', 'Fe +2', 'DTXSID4042672', 'CHEBI:29033', 'DB14510', 'LS-84255', 'C14818', 'Q428946']</t>
  </si>
  <si>
    <t>Compound(27284)</t>
  </si>
  <si>
    <t>Fe+2</t>
  </si>
  <si>
    <t>iron (III) oxide</t>
  </si>
  <si>
    <t>iron pentacarbonyl</t>
  </si>
  <si>
    <t>['Iron(0) pentacarbonyl', 'Iron carbonyl compounds', 'UNII-6WQ62TAQ6Z', 'FER pentacarbonyle [French]', 'HSDB 6347', 'EINECS 236-670-8', 'UN1994', '6WQ62TAQ6Z', 'Iron carbonyl, (Fe(CO)5)', 'DTXSID3027746', 'Iron carbonyl, (TB-5-11)-', 'AKOS015955453', 'Iron pentacarbonyl [UN1994] [Poison]', 'LS-84229', 'Q412278', 'Iron(0) pentacarbonyl, &gt;99.99% trace metals basis']</t>
  </si>
  <si>
    <t>Compound(26040)</t>
  </si>
  <si>
    <t>C5FeO5</t>
  </si>
  <si>
    <t>iron (II) sulfate</t>
  </si>
  <si>
    <t>iron(2+);sulfate</t>
  </si>
  <si>
    <t>['FERROUS SULFATE', 'Iron(II) sulfate', 'Iron sulfate', 'Iron(2+) sulfate', '7720-78-7', 'Iron sulphate', 'Ferrosulfate', 'Feosol', 'Ferrous sulfate anhydrous', 'Iron sulfate (1:1)', 'Combiron', 'Duretter', 'Duroferon', 'Feospan', 'Ferobuff', 'Ferolix', 'Ferralyn', 'Fersolate', 'Ferulen', 'Ferusal', 'Irospan', 'Odophos', 'Sulferrous', 'Kesuka', 'FeSO4', 'Sal chalybis', 'Ferro-Theron', 'Ferrous sulphate', 'Iron monosulfate', 'Sorbifer durules', 'Green Salts', 'Mol-Iron', 'Quickfloc (salt)', 'Slow Fe', 'Fer-In-Sol', 'Iron(2+) sulphate', 'Ferrosulfat [German]', 'Iron(II) sulfate (1:1)', 'Sulfuric acid, iron(2+) salt', 'Iron sulfate (FeSO4)', 'Ferrous sulfate (1:1)', 'UNII-2IDP3X9OUD', 'Exsiccated ferrous sulphate', 'Iron(2+) sulfate (1:1)', 'CCRIS 6796', 'HSDB 465', 'Sulfuric acid, iron(2+) salt (1:1)', 'SFE 171', 'EINECS 231-753-5', 'NSC 57631', '2IDP3X9OUD', 'NSC 146177', 'AI3-51903', 'iron(2+) sulfate (anhydrous)', '16547-58-3', 'Ferrosulfat', 'Sulfuric acid, iron(2+) salt (1:?)', 'iron(II)sulphate', 'Fe(II) sulphate', 'iron(II) sulphate', 'EINECS 240-616-9', 'iron (II) sulphate', 'errous hydrogen sulfide', 'ferrous sulfate (anh.)', 'Fe.SO4', 'Fe(II)SO4', 'DSSTox_CID_9688', 'EC 231-753-5', 'ferrous sulfate (anhydrous)', 'DSSTox_RID_78808', 'iron(2+) sulfate (anh.)', 'DSSTox_GSID_29688', 'DTXSID0029688', 'CHEBI:75832', 'CTK8H1828', 'Iron vitriol; Iron(2+) sulfate', 'Tox21_202580', '8644AF', 'DB13257', 'NCGC00260129-01', 'LS-84277', 'CAS-7720-78-7', 'FT-0626420', 'Q214863', '8063-79-4']</t>
  </si>
  <si>
    <t>Compound(24393)</t>
  </si>
  <si>
    <t>FeO4S</t>
  </si>
  <si>
    <t>phenanthrene</t>
  </si>
  <si>
    <t>['PHENANTHRENE', '85-01-8', 'Phenanthren', 'Phenanthrin', 'Phenanthracene', 'Ravatite', 'Phenanthren [German]', 'Phenanthrene, pure', 'UNII-448J8E5BST', 'CCRIS 1233', 'HSDB 2166', 'EINECS 201-581-5', 'NSC 26256', 'CHEMBL46730', 'AI3-00790', '448J8E5BST', 'CHEBI:28851', 'MFCD00001168', 'NSC-26256', 'Phenanthrene, 97%', 'Coal tar pitch volatiles: phenanthrene', 'Phenantrin', 'DSSTox_CID_4254', 'DSSTox_RID_77342', 'DSSTox_GSID_24254', 'CAS-85-01-8', 'PEY', 'Phenanthrenato', 'phenanthroline;', '9-Phenanthrene', 'phenanthrene-ring', 'Phenanthrene, 98%', 'ACMC-20ajxi', 'Phenanthrene-[U-13C]', '9,10-Dehydrophenanthrene', 'bmse000560', 'KSC146C5L', 'MLS002454437', 'WLN: L B666J', 'DTXSID6024254', 'HMS2268O22', 'ZINC967819', 'HY-B1727', 'KS-00000F9Y', 'NSC26256', 'Tox21_201638', 'Tox21_300573', 'BDBM50159266', 'SBB058516', 'STL453632', 'AKOS008967330', 'EBD2205101', 'LS-1845', 'MCULE-8033936622', 'Phenanthrene, zone-refined, &gt;=99.5%', 'NCGC00091177-01', 'NCGC00091177-02', 'NCGC00091177-03', 'NCGC00091177-04', 'NCGC00254398-01', 'NCGC00259187-01', 'Phenanthrene, sublimed grade, &gt;=99.5%', 'AC-11346', 'AK113960', 'AS-12847', 'Phenanthrene 10 microg/mL in Cyclohexane', 'SC-18157', 'SMR000112025', 'Phenanthrene 10 microg/mL in Acetonitrile', 'DB-043112', 'Phenanthrene 100 microg/mL in Acetonitrile', 'CS-0013733', 'FT-0631391', 'FT-0633623', 'FT-0673667', 'FT-0673668', 'NS00009484', 'P0079', 'P0331', 'P1310', 'ST50827630', 'C11422', 'A841054', 'Q422037', 'W-104097', 'Phenanthrene, certified reference material, TraceCERT(R)', 'Phenanthrene, purum, for fluorescence, &gt;=97.0% (HPLC)', 'UNII-0TNN3Q0D4D component YNPNZTXNASCQKK-UHFFFAOYSA-N', 'Phenanthrene, analytical standard, for environmental analysis', 'Phenanthrene solution, 100 mug/mL in cyclohexane, analytical standard', 'Phenanthrene solution, certified reference material, 200 mug/mL in dichloromethane', 'Phenanthrene solution, certified reference material, 5000 mug/mL in methanol']</t>
  </si>
  <si>
    <t>Compound(995)</t>
  </si>
  <si>
    <t>fluorene</t>
  </si>
  <si>
    <t>9H-fluorene</t>
  </si>
  <si>
    <t>['FLUORENE', '9H-Fluorene', '86-73-7', 'Diphenylenemethane', 'o-Biphenylenemethane', '2,3-Benzindene', "2,2'-Methylenebiphenyl", 'o-Biphenylmethane', 'Methane, diphenylene-', 'Fluoren', 'Fluorenyl radical', 'flourene', 'CCRIS 947', 'UNII-3Q2UY0968A', 'HSDB 2165', 'NSC 6787', 'alpha-diphenylenemethane-9H-fluorene', 'EINECS 201-695-5', 'MFCD00001111', 'AI3-09074', 'CHEBI:28266', '3Q2UY0968A', 'Fluorene, 98+%', 'DSSTox_CID_4105', 'DSSTox_RID_77291', 'DSSTox_GSID_24105', 'CAS-86-73-7', 'polyfluorene', '9H - Fluorene', 'C13H10', 'Fluorene, 98%', 'ACMC-209qba', 'bmse000524', 'EC 201-695-5', 'Fluorene, analytical standard', 'KSC110O1J', 'CHEMBL16236', 'ghl.PD_Mitscher_leg0.1322', 'DTXSID8024105', 'NSC6787', 'ZINC968333', 'Fluorene, &gt;=99.0% (HPLC)', 'ACT08954', 'KS-000000ZJ', 'NSC-6787', 'STR04556', 'Tox21_202140', 'Tox21_300572', 'ANW-38372', 'BBL027323', 'SBB040920', 'STK802351', 'Fluorene 10 microg/mL in Cyclohexane', 'AKOS000119854', 'AC-5810', 'EBD2217016', 'Fluorene 10 microg/mL in Acetonitrile', 'MCULE-2124580251', 'NE10079', 'Fluorene 100 microg/mL in Acetonitrile', 'NCGC00164052-01', 'NCGC00164052-02', 'NCGC00164052-03', 'NCGC00254303-01', 'NCGC00259689-01', '2299-68-5', 'LS-69188', 'SC-46765', 'CS-0070796', 'F0017', 'F0061', 'FT-0626447', 'FT-0668575', 'NS00010698', 'ST50214526', 'C07715', 'Q417934', 'Q-201117', 'Fluorene, certified reference material, TraceCERT(R)', 'F1313-0006', 'UNII-0TNN3Q0D4D component NIHNNTQXNPWCJQ-UHFFFAOYSA-N', 'Fluorene solution, certified reference material, 5000 mug/mL in methanol', '9FL']</t>
  </si>
  <si>
    <t>Compound(6853)</t>
  </si>
  <si>
    <t>C13H10</t>
  </si>
  <si>
    <t>fluoranthene</t>
  </si>
  <si>
    <t>['FLUORANTHENE', '206-44-0', 'Idryl', '1,2-Benzacenaphthene', 'Benzo(jk)fluorene', 'Benzo[jk]fluorene', 'RCRA waste number U120', '1,2-(1,8-Naphthylene)benzene', 'Benzene, 1,2-(1,8-naphthalenediyl)-', 'NSC 6803', '1,2-(1,8-Naphthalenediyl)benzene', 'Benzene, 1,2-(1,8-naphthylene)-', 'UNII-360UOL779Z', 'CCRIS 1034', 'Fluoranthene, 98%', 'HSDB 5486', 'EINECS 205-912-4', 'RCRA waste no. U120', 'CHEBI:33083', '360UOL779Z', 'DSSTox_CID_4104', 'DSSTox_RID_77290', 'DSSTox_GSID_24104', 'W-107604', 'Fluoranthene, analytical standard', 'Benzacenaphthylene', 'Benzo[j,k]fluorene', 'CAS-206-44-0', 'fluoranthen', 'Fluoranthrene', 'Fluroanthene', 'ClusterCarbon', 'ACMC-1CBEU', '1,8-Naphthylene)benzene', 'KSC203I3F', 'MLS002177805', 'CHEMBL355014', 'DTXSID3024104', '1,2-(1,8-Naphthalene)benzene', 'Benzene,2-(1,8-naphthylene)-', 'CTK1A3432', 'NSC6803', 'HMS2268M14', 'NSC-6803', 'WLN: L C6566 1A PJ', 'ZINC8585874', 'Benzene,2-(1,8-naphthalenediyl)-', 'Tox21_201835', 'Tox21_300480', 'CCG-50891', 'STL570455', 'AKOS003617663', 'MCULE-8741992230', 'KS-00000V10', '1,2 - (1,8 - napthalenediyl)benzene', 'NCGC00090998-01', 'NCGC00090998-02', 'NCGC00090998-03', 'NCGC00090998-04', 'NCGC00254498-01', 'NCGC00259384-01', '76774-50-0', 'AS-39328', 'CC-28476', 'Fluoranthene 10 microg/mL in Cyclohexane', 'LS-69112', 'SB 00542', 'SC-47055', 'SMR000112026', 'Fluoranthene 10 microg/mL in Acetonitrile', 'Fluoranthene 100 microg/mL in Acetonitrile', 'F0016', 'FT-0626446', 'NS00010700', 'C19425', 'EN300-177281', 'A814763', 'C-34897', 'Fluoranthene, BCR(R) certified Reference Material', 'Q423462', 'SR-01000640231-1', 'F0074-0087', 'Fluoranthene, certified reference material, TraceCERT(R)', '1D41162B-880B-494F-9960-6EEAC8E4EEE3', 'UNII-0TNN3Q0D4D component GVEPBJHOBDJJJI-UHFFFAOYSA-N', 'Fluoranthene solution, 5000 mug/mL in methanol, analytical standard', 'Fluoranthene solution, certified reference material, 200 mug/mL in methylene chloride']</t>
  </si>
  <si>
    <t>Compound(9154)</t>
  </si>
  <si>
    <t>C16H10</t>
  </si>
  <si>
    <t>phenol</t>
  </si>
  <si>
    <t>['phenol', '108-95-2', 'carbolic acid', 'Hydroxybenzene', 'Phenic acid', 'Oxybenzene', 'Phenylic acid', 'Benzenol', 'Monophenol', 'Phenyl hydrate', 'Phenylic alcohol', 'Phenyl hydroxide', 'PhOH', 'Monohydroxybenzene', 'Paoscle', 'Phenole', 'Izal', 'Phenol alcohol', 'Phenyl alcohol', 'Phenol, liquefied', 'Acide carbolique', 'Fenolo', 'Carbolsaure', 'Fenosmolin', 'Fenosmoline', 'Phenosmolin', 'Fenol', 'Liquid phenol', 'Carbolic oil', 'Phenol, pure', 'Phenol homopolymer', 'Fenolo [Italian]', 'Phenole [German]', 'Benzene, hydroxy-', 'Rcra waste number U188', 'Campho-Phenique Gel', 'Phenic', 'Carbolsaure [German]', 'Campho-Phenique Liquid', 'NCI-C50124', 'Phenol, molten', "Baker's P &amp; S liquid &amp; Ointment", 'Fenol [Dutch, Polish]', "Baker's P and S Liquid and Ointment", 'Monohydroxy benzene', 'Un 2812 (solution)', 'UN 2312 (molten)', 'Acide carbolique [French]', 'UN 1671 (solid)', 'Phenol [JAN]', 'Caswell No. 649', 'NSC 36808', 'Campho-Phenique Cold Sore Gel', 'Phenic alcohol', 'Liquefied phenol', 'Synthetic phenol', 'Phenol, liquid', 'Phenol, solid', 'RCRA waste no. U188', "Baker's p and s", 'UNII-339NCG44TV', 'UN1671', 'UN2312', 'UN2821', 'CCRIS 504', 'FEMA No. 3223', 'HSDB 113', 'AI3-01814', 'EINECS 203-632-7', 'MFCD00002143', 'EPA Pesticide Chemical Code 064001', 'CHEMBL14060', '339NCG44TV', 'DTXSID5021124', 'CHEBI:15882', 'Phenol (or solutions with 5% or more phenol)', 'NSC-36808', 'Hydroxybenzene solution', 'Phenol, solid [UN1671]  [Poison]', 'Phenol, molten [UN2312]  [Poison]', 'NCGC00091454-04', 'Phenol solutions [UN2821]  [Poison]', 'DSSTox_CID_1124', 'Phenol, &gt;=99.0%', 'Phenol, 99%, extra pure', 'DSSTox_RID_75955', 'Phenol, sulfurated', 'DSSTox_GSID_21124', '27073-41-2', 'phenylalcohol', 'hydroxy benzene', 'Phenol 100 microg/mL in Methanol', 'CAS-108-95-2', '(14C)Phenol', 'Phenol [USP:JAN]', 'Phenol, 99+%, for biochemistry, loose crystals', 'Phenol, 99.5%, extra pure, loose crystals, unstabilized', 'Benzophenol', 'Carbolsaeure', 'Karbolsaeure', 'acide phenique', 'Hydroxy-benzene', 'Phenol solution', 'Phenol liquid', 'Phenol molten', 'Phenol solutions', 'Phenol synthetic', 'Phenolated water', "Pandy's reagent", 'Liquified Phenol', 'Carbolicum acidum', 'Cepastat lozenges', 'Phenol,industrial', 'Phenol, labeled with carbon-14', 'Phenol (liquid)', '2-phenyl alcohol', 'Phenol, synthetic', 'Phenol ACS grade', 'EINECS 262-972-4', 'Liquefied phenol BP', 'Paoscle (TN)', 'Carbolic acid liquid', 'Phenol polymer-bound', 'Phenol (TN)', 'Phenol,(S)', 'Phenol, ACS reagent', 'Carbolic acid, liquid', 'PHENOL REAGENT', 'PHENOL REAGE NT', '1ai7', '1li2', '4i7l', 'Liquefied phenol (TN)', 'Phenol (JP17/USP)', 'Phenol, &gt;=99%', 'WLN: QR', 'ACMC-1CE2K', 'Liquefied phenol (JP17)', 'bmse000290', 'bmse010026', 'C6H5OH', 'Fenol(DUTCH, POLISH)', 'EC 203-632-7', 'PHENOL, 80% in ethanol', 'Phenol, LR, &gt;=99%', '61788-41-8', 'MLS001065591', 'Phenol, for molecular biology', 'BIDD:ER0293', 'Phenol for disinfection (TN)', 'Phenol, natural, 97%, FG', 'Phenol, 90% aqueous solution', 'phenylic acid, phenyl hydroxide', 'Cuticura pain relieving ointment', 'Phenol, AR, &gt;=99.5%', 'BDBM26187', 'CTK0H5673', 'KS-00000VIO', 'Phenol for disinfection (JP17)', 'Phenolated water for disinfection', 'Salicylic acid related compound c', '3f39', 'Phenol 10 microg/mL in Methanol', 'Phenol solution, 1.0 M in THF', 'ENT-1814', 'NSC36808', 'ZINC5133329', 'Tox21_113463', 'Tox21_201639', 'Tox21_300042', 'ANW-15995', 'BBL019774', 'CS0062', 'LS-476', 'Phenol 5000 microg/mL in Methanol', 'STL194294', 'Phenol, solid [UN1671] [Poison]', 'AKOS000119025', 'Phenol, molten [UN2312] [Poison]', 'Tox21_113463_1', 'DB03255', 'MCULE-9943948107', 'NA 2821', 'Phenol solutions [UN2821] [Poison]', 'Phenol, BioXtra, &gt;=99.5% (GC)', 'Phenol, SAJ first grade, &gt;=98.0%', 'UN 1671', 'UN 2312', 'UN 2821', 'Phenol, BP grade 80% aqueous solution', 'NCGC00091454-01', 'NCGC00091454-02', 'NCGC00091454-03', 'NCGC00091454-05', 'NCGC00091454-06', 'NCGC00091454-07', 'NCGC00254019-01', 'NCGC00259188-01', 'Phenol solution, 1 M in dichloromethane', 'Phenol, JIS special grade, &gt;=99.0%', '63496-48-0', '73607-76-8', 'AM802906', 'BP-30160', 'SC-26791', 'SMR000568492', 'Phenol, PESTANAL(R), analytical standard', 'Liquified Phenol (contains 7-10 % water)', 'LS-105199', '582-EP2269975A2', '582-EP2269977A2', '582-EP2269997A2', '582-EP2270003A1', '582-EP2270101A1', '582-EP2270113A1', '582-EP2272813A2', '582-EP2272817A1', '582-EP2272822A1', '582-EP2272849A1', '582-EP2272935A1', '582-EP2272972A1', '582-EP2272973A1', '582-EP2274983A1', '582-EP2275105A1', '582-EP2275395A2', '582-EP2275403A1', '582-EP2275404A1', '582-EP2275411A2', '582-EP2275415A2', '582-EP2275420A1', '582-EP2277565A2', '582-EP2277566A2', '582-EP2277567A1', '582-EP2277568A2', '582-EP2277569A2', '582-EP2277570A2', '582-EP2277867A2', '582-EP2277872A1', '582-EP2277879A1', '582-EP2277881A1', '582-EP2279750A1', '582-EP2280001A1', '582-EP2280003A2', '582-EP2280004A1', '582-EP2280006A1', '582-EP2280010A2', '582-EP2280012A2', '582-EP2280020A1', '582-EP2280021A1', '582-EP2281817A1', '582-EP2281819A1', '582-EP2284146A2', '582-EP2284147A2', '582-EP2284148A1', '582-EP2284157A1', '582-EP2284160A1', '582-EP2284165A1', '582-EP2284169A1', '582-EP2284178A2', '582-EP2286811A1', '582-EP2286812A1', '582-EP2287158A1', '582-EP2287161A1', '582-EP2287162A1', '582-EP2287165A2', '582-EP2287166A2', '582-EP2287167A1', '582-EP2289509A2', '582-EP2289868A1', '582-EP2289879A1', '582-EP2289883A1', '582-EP2289891A2', '582-EP2289892A1', '582-EP2289896A1', '582-EP2289965A1', '582-EP2292280A1', '582-EP2292597A1', '582-EP2292608A1', '582-EP2292620A2', '582-EP2295399A2', '582-EP2295411A1', '582-EP2295424A1', '582-EP2295426A1', '582-EP2295427A1', '582-EP2295428A2', '582-EP2295429A1', '582-EP2295434A2', '582-EP2295437A1', '582-EP2295438A1', '582-EP2298734A2', '582-EP2298742A1', '582-EP2298744A2', '582-EP2298750A1', '582-EP2298753A1', '582-EP2298758A1', '582-EP2298759A1', '582-EP2298775A1', '582-EP2298776A1', '582-EP2298778A1', '582-EP2301536A1', '582-EP2301538A1', '582-EP2301919A1', '582-EP2301924A1', '582-EP2301926A1', '582-EP2301929A1', '582-EP2301935A1', '582-EP2301937A1', '582-EP2301983A1', '582-EP2302015A1', '582-EP2305033A1', '582-EP2305243A1', '582-EP2305625A1', '582-EP2305627A1', '582-EP2305633A1', '582-EP2305640A2', '582-EP2305648A1', '582-EP2305649A1', '582-EP2305662A1', '582-EP2305664A1', '582-EP2305668A1', '582-EP2305673A1', '582-EP2305674A1', '582-EP2305679A1', '582-EP2305684A1', '582-EP2305685A1', '582-EP2305687A1', '582-EP2305689A1', '582-EP2305695A2', '582-EP2305696A2', '582-EP2305697A2', '582-EP2305698A2', '582-EP2305808A1', '582-EP2308471A1', '582-EP2308510A1', '582-EP2308838A1', '582-EP2308840A1', '582-EP2308848A1', '582-EP2308861A1', '582-EP2308865A1', '582-EP2308872A1', '582-EP2308873A1', '582-EP2308875A1', '582-EP2308877A1', '582-EP2308878A2', '582-EP2308880A1', '582-EP2311455A1', '582-EP2311464A1', '582-EP2311494A1', '582-EP2311808A1', '582-EP2311811A1', '582-EP2311814A1', '582-EP2311822A1', '582-EP2311824A1', '582-EP2311829A1', '582-EP2311831A1', '582-EP2311834A1', '582-EP2314295A1', '582-EP2314571A2', '582-EP2314576A1', '582-EP2314579A1', '582-EP2314588A1', '582-EP2315502A1', '582-EP2316452A1', '582-EP2316470A2', '582-EP2316824A1', '582-EP2316829A1', '582-EP2316831A1', '582-EP2316832A1', '582-EP2316833A1', '582-EP2316836A1', '582-EP2316937A1', '582-EP2316974A1', '582-EP2371806A1', '582-EP2371807A1', '582-EP2371811A2', '582-EP2372017A1', '582-EP2374784A1', '582-EP2374785A1', '582-EP2377842A1', '582-EP2380872A1', 'FT-0645154', 'FT-0673707', 'FT-0693833', 'H2391', 'NS00010045', 'P1610', 'Phenol stock solution, 100 mg/dL, standard', 'C00146', 'C15584', 'D00033', 'Phenol, unstabilized, ReagentPlus(R), &gt;=99%', '78049-EP2272846A1', '78049-EP2277868A1', '78049-EP2277869A1', '78049-EP2277870A1', '78049-EP2287158A1', '78049-EP2292608A1', '78049-EP2308866A1', '78049-EP2371806A1', '78049-EP2371807A1', '97694-EP2305662A1', 'Phenol, p.a., ACS reagent, 99.5-100.5%', 'Phenol, &gt;=96.0% (calc. on dry substance, T)', 'Q130336', 'J-610001', 'Phenol, for molecular biology, ~90% (T), liquid', 'F1908-0106', 'Phenol, unstabilized, purified by redistillation, &gt;=99%', 'Phenol, BioUltra, for molecular biology, &gt;=99.5% (GC)', 'Phenol, United States Pharmacopeia (USP) Reference Standard', 'UNII-3JYG22FD73 component ISWSIDIOOBJBQZ-UHFFFAOYSA-N', 'Liquified Phenol, meets USP testing specifications, &gt;=89.0%', 'Phenol, BioUltra, for molecular biology, TE-saturated, ~73% (T)', 'phenol;phenol [jan];phenol, pure;phenol phenol [jan] phenol, pure', 'Phenol solution, 5000 mug/mL in methanol, certified reference material', 'Phenol solution, certified reference material, 500 mug/mL in methanol', 'Phenol, puriss. p.a., ACS reagent, reag. Ph. Eur., 99.0-100.5%', 'p-Hydroxy polystyrene (100-200 mesh, 0.5-1.5 mmol/g)@CRLFMFCD03703209', 'Phenol solution, 100 mug/mL in acetonitrile, PESTANAL(R), analytical standard', 'Phenol, contains hypophosphorous as stabilizer, loose crystals, ACS reagent, &gt;=99.0%', 'Phenol, puriss., meets analytical specification of Ph. Eur., BP, USP, 99.5-100.5% (GC)', 'Phenol solution, BioReagent, Equilibrated with 10??mM Tris HCl, pH??8.0, 1??mM EDTA, for molecular biology', 'Phenol solution, BioReagent, Saturated with 0.1 M citrate buffer, pH??4.3 +/- 0.2, for molecular biology', 'Phenol water saturated sol., for molecular biology, DNAse, RNAse, Protease free, stab., free of oxides', 'Phenol, polymer-bound, 100-200 mesh, extent of labeling: 0.5-1.5 mmol/g loading, 1 % cross-linked with divinylbenzene', 'Phenol, puriss., meets analytical specification of Ph. Eur., BP, USP, &gt;=99.5% (GC), crystalline (detached)']</t>
  </si>
  <si>
    <t>Compound(996)</t>
  </si>
  <si>
    <t>C6H6O</t>
  </si>
  <si>
    <t>phenolic index</t>
  </si>
  <si>
    <t>Wave frequency at maximum vh variance density spectrum</t>
  </si>
  <si>
    <t>1-(2-amino-3-phenylpropanoyl)pyrrolidine-2-carboxylic acid</t>
  </si>
  <si>
    <t>['Phenylalanylproline', 'SCHEMBL7375090', '1-(2-amino-3-phenylpropanoyl)pyrrolidine-2-carboxylic acid', 'DTXSID40398993', 'FP', 'AKOS010404665', 'MCULE-6392222135', 'ST51015105']</t>
  </si>
  <si>
    <t>Compound(4069131)</t>
  </si>
  <si>
    <t>C14H18N2O3</t>
  </si>
  <si>
    <t>francium-223</t>
  </si>
  <si>
    <t>['15756-98-6', 'Francium-223', 'Francium, isotope of mass 223', '223Fr', '(~223~Fr)Francium', 'DTXSID10935713']</t>
  </si>
  <si>
    <t>Compound(6337087)</t>
  </si>
  <si>
    <t>phenylmethylethanolamine</t>
  </si>
  <si>
    <t>2-(N-methylanilino)ethanol</t>
  </si>
  <si>
    <t>['93-90-3', '2-(N-Methylanilino)ethanol', '2-(Methyl(phenyl)amino)ethanol', 'N-(2-Hydroxyethyl)-N-methylaniline', '2-(Methylphenylamino)ethanol', 'ETHANOL, 2-(METHYLPHENYLAMINO)-', 'Phenylmethylethanolamine', 'N-Methyl-N-hydroxyethylaniline', '2-(N-Methylaniline)ethanol', 'Phenylmethyl ethanol amine', '2-(N-Methyl-N-phenylamino)ethanol', 'N-Methyl-N-(2-hydroxyethyl)aniline', 'Ethanol, 2-(N-methylanilino)-', 'NSC 9274', 'UNII-48PV5540EO', '2-[methyl(phenyl)amino]ethanol', '2-(N-Fenyl-N-methylamino)ethanol', '2-[methyl(phenyl)amino]ethan-1-ol', 'EINECS 202-285-9', 'BRN 2803140', 'N-Hydroxyethyl-N-methylaniline', '2-(N-Fenyl-N-methylamino)ethanol [Czech]', 'AI3-23878', 'N-Methyl-N-(hydroxyethyl)aniline', '48PV5540EO', 'N-Methyl-N-.beta.-hydroxyethylaniline', '2-(methylphenylamino)ethan-1-ol', 'N-Methyl-N-phenylethanolamine', 'n-Methyl-n-hydroxyethyl aniline', 'NSC9274', 'hydroxyethylmethylaniline', '2-N-Methylanilinoethanol', 'ACMC-209ro1', '2-(Methylanilino)ethanol #', 'SCHEMBL56003', 'N-Methyl-N-2-ethanolaniline', '4-12-00-00280 (Beilstein Handbook Reference)', 'KSC486S4J', 'WLN: Q2N1&amp;R', 'DTXSID9059094', 'CTK3I6944', 'N-(hydroxyethyl)-N-methylaniline', 'ZINC403418', '2(N-Methyl-N-phenyl amino)ethanol', 'NSC-9274', '2-(Methylphenylamino)ethanol, 98%', 'ANW-40127', 'SBB007818', 'AKOS009067250', 'MCULE-7604168976', 'NE10810', 'KS-000011N4', 'AS-14307', 'K709', 'LS-66873', 'SC-76538', 'FT-0629144', 'NS00039746', 'ST50827974', 'A844732', 'Q27259164', 'Z138702688']</t>
  </si>
  <si>
    <t>Compound(62340)</t>
  </si>
  <si>
    <t>C9H13NO</t>
  </si>
  <si>
    <t>phenyl ether</t>
  </si>
  <si>
    <t>phenoxybenzene</t>
  </si>
  <si>
    <t>['DIPHENYL ETHER', 'Diphenyl oxide', '101-84-8', 'Phenoxybenzene', 'Phenyl ether', 'Oxydibenzene', "Benzene, 1,1'-oxybis-", "1,1'-oxydibenzene", 'Phenyl oxide', 'Oxybisbenzene', 'Biphenyl oxide', 'Oxydiphenyl', 'Geranium crystals', 'Ether, diphenyl-', 'Chemcryl JK-EB', 'Benzene, phenoxy-', 'Diphenylether', "1,1'-Oxybis(benzene)", 'Phenyl ether, vapor', "1,1'-Oxybisbenzene", 'Ether, diphenyl', 'Diphenylaether', 'Diphenyloxid', 'phenoxy-benzene', '1-Phenoxybenzene', 'NSC 19311', 'UNII-3O695R5M1U', 'FEMA No. 3667', 'CCRIS 5912', 'HSDB 934', 'Phenyl ether (8CI)', "1,1'-oxybis-benzene", 'EINECS 202-981-2', 'BRN 1364620', 'AI3-00749', 'CHEBI:39258', '3O695R5M1U', 'MFCD00003034', 'Phenyl ether, 99%', 'DSSTox_CID_1847', 'DSSTox_RID_76363', 'DSSTox_GSID_21847', 'diphenyl-ether', 'CAS-101-84-8', 'diphenyether', 'diphenyloxide', 'phenylether', 'di-phenyl ether', 'Diphenyl ether.', '4-phenoxybenzene', 'PhOPh', '1-phenoxy benzene', '1,1-Oxybisbenzene', '(4-Phenoxy)benzene', 'Phenyl ether, 8CI', "Benzene,1'-oxybis-", 'PubChem9111', 'Ph2O', 'WLN: ROR', 'EC 202-981-2', "1,1'-Oxybisbenzene, 9CI", 'SCHEMBL12286', '4-06-00-00568 (Beilstein Handbook Reference)', 'KSC176E1H', 'ARONIS25147', 'CHEMBL38934', 'ACMC-2097x5', 'Diphenyl ether, &gt;=99%, FG', 'DTXSID9021847', 'CTK0H6213', 'FEMA 3667', 'KS-00000WJX', 'EBD47295', 'NSC19311', 'STR00684', 'ZINC1504642', 'Tox21_202277', 'Tox21_302777', 'ANW-14535', 'LS-341', 'NSC-19311', 'NSC174083', 'SBB040808', 'STL199168', 'AKOS000120215', 'Diphenyl ether, ReagentPlus(R), 99%', 'MCULE-3010711232', 'NSC-174083', 'NCGC00091303-01', 'NCGC00091303-02', 'NCGC00091303-03', 'NCGC00256450-01', 'NCGC00259826-01', 'Diphenyl ether, ReagentPlus(R), &gt;=99%', 'SC-19163', 'CS-0015060', 'FT-0617056', 'FT-0625233', 'NS00010729', 'P0177', 'ST45053934', 'AZ0001-0008', 'Diphenyl ether, SAJ first grade, &gt;=98.0%', 'Diphenyl ether, Selectophore(TM), &gt;=99.9%', 'KS-00004720', 'Diphenyl ether, Vetec(TM) reagent grade, 98%', 'A800474', 'Q419453', 'J-000505', 'J-520381', 'Z57127518', 'F1908-0183', '32576-61-7']</t>
  </si>
  <si>
    <t>Compound(7583)</t>
  </si>
  <si>
    <t>phenylacetone</t>
  </si>
  <si>
    <t>1-phenylpropan-2-one</t>
  </si>
  <si>
    <t>['Phenylacetone', '1-phenylpropan-2-one', '1-Phenyl-2-propanone', '103-79-7', 'Benzyl methyl ketone', 'Methyl benzyl ketone', 'Phenyl-2-propanone', '1-Phenylacetone', '2-Propanone, 1-phenyl-', '3-Phenyl-2-propanone', 'Phenylmethyl methyl ketone', 'phenyl acetone', '1-phenyl-propan-2-one', 'UNII-O7IZH10V9Y', 'NSC 9827', 'EINECS 203-144-4', 'O7IZH10V9Y', 'AI3-02938', 'DEA No. 8501', 'CHEMBL3800510', 'P2P', 'Phenylacetone, 99%', '(phenyl)acetone', 'methylbenzyl ketone', 'phenyl 2-propanone', 'PubChem20843', '1-Phenylpropane-2-one', 'SCHEMBL43943', 'ghl.PD_Mitscher_leg0.660', 'DTXSID1059280', 'SCHEMBL13341529', 'CHEBI:52052', 'CTK0H4858', 'HSDB 8385', 'NSC9827', 'Phenylacetone, analytical standard', 'BCP22277', 'NSC-9827', 'ZINC1700205', 'BBL027835', 'BDBM50167968', 'STL373560', 'AKOS004905656', 'MCULE-2102027204', 'LS-123152', 'FT-0673719', 'NS00017966', 'C15512', 'phenylacetone;1-Phenylpropan-2-one;Phenylacetone', 'A800807', 'Q418831', 'F0000-0002', 'Dextroamphetamine Related Compound B, United States Pharmacopeia (USP) Reference Standard']</t>
  </si>
  <si>
    <t>Compound(7678)</t>
  </si>
  <si>
    <t>phenylhydrazine</t>
  </si>
  <si>
    <t>['PHENYLHYDRAZINE', '100-63-0', 'Hydrazinobenzene', 'Hydrazine, phenyl-', '1-Phenylhydrazine', 'phenyl hydrazine', 'Phenylhydrazin', 'Monophenylhydrazine', 'Hydrazine-benzene', 'Fenilidrazina', 'Fenylhydrazine', 'Fenylhydrazine [Dutch]', 'Phenyldiazane', 'Fenilidrazina [Italian]', 'Phenylhydrazin [German]', 'phenyl-hydrazine', 'CCRIS 511', 'PhNHNH2', 'UNII-064F424C9K', 'CHEBI:27924', 'HSDB 1117', 'Phenylhydrazine, 97%', 'EINECS 202-873-5', 'UN2572', 'BRN 0606080', 'Phenylhydrazine and its salts', 'AI3-15399', '064F424C9K', 'UN 2572', 'DSSTox_CID_1147', 'DSSTox_RID_75975', 'DSSTox_GSID_21147', '1-phenylhydrazine hydrochloride', 'CAS-100-63-0', 'NCGC00159378-02', 'NCGC00159378-04', 'aminoaniline', 'penylhydrazine', 'phenyihydrazine', 'Phenylhydrazne', 'anilino nitrogen', 'phenylhy-drazine', 'N-phenylhydrazine', '2-phenylhydrazine', 'HYDRAZINE,PHENYL', 'ACMC-2097re', 'EC 202-873-5', 'SCHEMBL7099', '4-15-00-00050 (Beilstein Handbook Reference)', 'KSC174S7D', 'BIDD:ER0251', 'SCHEMBL491697', 'CHEMBL456807', 'DTXSID8021147', 'CTK0H4971', 'KS-00000WII', 'ZINC388099', 'Tox21_201977', 'Tox21_303018', 'ANW-14328', 'BBL011601', 'BDBM50444455', 'MFCD00007573', 'SBB040886', 'STL163333', 'Phenylhydrazine [UN2572] [Poison]', 'AKOS000268993', 'AD-0218', 'LS-7655', 'MCULE-1663221893', 'Phenylhydrazine [UN2572]  [Poison]', 'NCGC00159378-03', 'NCGC00159378-05', 'NCGC00159378-06', 'NCGC00256354-01', 'NCGC00259526-01', 'BP-13438', 'S662', 'SC-43904', 'Phenylhydrazine, purum, &gt;=95.0% (GC)', 'AB0018724', 'FT-0645290', 'FT-0673782', 'NS00001148', 'P0183', 'ST50214481', 'A23856', 'C02304', 'Phenylhydrazine, purum p.a., &gt;=95.0% (GC)', '67098-EP2269989A1', '67098-EP2284172A1', '67098-EP2289876A1', '67098-EP2292597A1', '67098-EP2295406A1', '67098-EP2308839A1', 'Q290862', 'J-000183', 'J-523951', 'F2121-0389', 'Phenylhydrazine;Phenylhydrazine hydrochloride;Phenylhydrazinium sulphate (2:1);Phenylhydrazinium chloride']</t>
  </si>
  <si>
    <t>Compound(7516)</t>
  </si>
  <si>
    <t>Hearing damage</t>
  </si>
  <si>
    <t>Conductivity</t>
  </si>
  <si>
    <t>Geological surface</t>
  </si>
  <si>
    <t>Tidal extreme type</t>
  </si>
  <si>
    <t>Tidal phase</t>
  </si>
  <si>
    <t>Tidal abandonment</t>
  </si>
  <si>
    <t>Odor</t>
  </si>
  <si>
    <t>Fragrance intensity</t>
  </si>
  <si>
    <t>Odor dilution factor</t>
  </si>
  <si>
    <t>Average wave height in the time domain</t>
  </si>
  <si>
    <t>Average wave period in the time domain</t>
  </si>
  <si>
    <t>[(2S,3R,4R,6R)-6-[[(1S,8S,10S,17S,18S,19R,21S)-17-[(2S,4R,5S,6S)-5-acetyl-4,5-dihydroxy-6-methyloxan-2-yl]oxy-19-(dimethoxymethyl)-10,13,18-trihydroxy-6-methoxy-3,18-dimethyl-11-oxo-16,20,22-trioxahexacyclo[17.2.1.02,15.05,14.07,12.017,21]docosa-2(15),3,5(14),6,12-pentaen-8-yl]oxy]-4-hydroxy-2,4-dimethyloxan-3-yl] acetate</t>
  </si>
  <si>
    <t>['GGT']</t>
  </si>
  <si>
    <t>Compound(24801861)</t>
  </si>
  <si>
    <t>C42H54O20</t>
  </si>
  <si>
    <t>Global radiation</t>
  </si>
  <si>
    <t>Wave height</t>
  </si>
  <si>
    <t>Glow residue</t>
  </si>
  <si>
    <t>2-amino-9-[(2R,3R,4S,5R)-3,4-dihydroxy-5-(hydroxymethyl)oxolan-2-yl]-1H-purin-6-one</t>
  </si>
  <si>
    <t>['guanosine', '118-00-3', 'guanine riboside', 'vernine', 'Guanozin', 'Guanosin', 'Inosine, 2-amino-', 'USAF CB-11', 'Vernine (VAN)', 'L-GUANOSINE', '9-beta-D-Ribofuranosylguanine', 'Guanine-9-beta-D-ribofuranoside', 'beta-D-Ribofuranoside, guanine-9', 'Guanine, 9-beta-D-ribofuranosyl-', '2(3H)-Imino-9-beta-D-ribofuranosyl-9H-purin-6(1H)-one', 'Inosine, 2-amino- (VAN)', 'Ribofuranoside, guanine-9, beta-D-', '2-Amino-1,9-dihydro-9-beta-D-ribofuranosyl-6H-purin-6-one', 'GUANINE-9:BETA-D-RIBOFURANOSIDE', 'Guo', 'AI3-52065', '2-Amino-9-((2R,3R,4S,5R)-3,4-dihydroxy-5-(hydroxymethyl)tetrahydrofuran-2-yl)-1H-purin-6(9H)-one', 'MFCD00010182', 'NSC 19994', '9-beta-D-ribofuranosyl-guanine', 'Guanine, 9-beta-D-ribofuranosyl- (VAN)', 'UNII-12133JR80S', 'CHEBI:16750', 'EINECS 204-227-8', '6H-Purin-6-one, 2-amino-1,9-dihydro-9-beta-D-ribofuranosyl-', '9-(beta-D-Ribofuranosyl)guanine', 'Guanosine, Anhydrous', 'Guanosine, 99%', '12133JR80S', '85-30-3', 'ST057098', '26578-09-6', '2-AMINO-9-[(2R,3R,4S,5R)-3,4-DIHYDROXY-5-(HYDROXYMETHYL)OXOLAN-2-YL]-6,9-DIHYDRO-1H-PURIN-6-ONE', 'GR', '2-amino-9-beta-D-ribofuranosyl-1,9-dihydro-6H-purin-6-one', 'DL-Guanosine', '9-[(4S,2R,3R,5R)-3,4-dihydroxy-5-(hydroxymethyl)oxolan-2-yl]-2-aminohydropurin -6-one', '9-.beta.-D-ribofuranosylguanine', 'Ribonucleoside', 'Guanine, 9.beta.-d-ribofuranosyl-', '.beta.-D-Ribofuranoside, guanine-9', '3h-guanosine', '2-amino-Inosine', '1odj', '2fqx', '2-amino-9-[(2R,3R,4S,5R)-3,4-dihydroxy-5-(hydroxymethyl)oxolan-2-yl]-1H-purin-6-one', '[3H]-guanosine', 'Inosine, 2-amino', '38819-10-2', 'AK-54659', 'guanosine-1-15N', 'guanosine-2-13C', 'guanosine-3-15N', 'guanosine-8-13C', 'guanosine-9-15N', 'guanosine-N-15N-', "guanosine-1'-13C", 'PubChem9300', 'Guanosine, &gt;=98%', 'guanosine-N,1-15N2', 'bmse000091', 'bmse001018', 'Epitope ID:141493', '9-b-D-ribofuranosyl-Guanine', 'SCHEMBL21217', '2(3H)-Imino-9-.beta.-D-ribofuranosyl-9H-purin-6(1H)-one', 'b-D-Ribofuranoside guanine-9', 'KSC175I9F', '9-beta-D-ribofuranosyl guanine', 'CHEMBL375655', 'GTPL4567', 'SGCUT00093', '9-bet.-D-Ribofuranosyl-guanine', 'Guanine-9-ss--D-ribofuranoside', 'SCHEMBL12212184', '9-(ss--D-Ribofuranosyl)guanine', 'CTK0H5492', 'Guanine-9-bet.-D-ribofuranoside', 'BIG2502', 'DTXSID00893055', 'guanosine-2-13C-N,1-15N2', 'ZX-AFC000652', '9-B-D-RIBOFURANOSYLGUANINE', '9-beta-delta-ribofuranosyl-Guanine', 'Guanine-9-.beta.-D-ribofuranoside', 'GUANOSINE ULTRA PURE 100G', '197227-95-5', '2-Amino-9-((2R,3S,4S,5R)-3,4-dihydroxy-5-(hydroxymethyl)tetrahydrofuran-2-yl)-1H-purin-6(9H)-one', 'beta-delta-Ribofuranoside guanine-9', 'Guanosine, &gt;=97.0% (HPLC)', 'HY-N0097', 'KS-000017MP', 'STR04471', 'to_000053', 'ZINC1550030', 'ZX-AT019677', 'ANW-17077', 'BBL033925', 'BDBM50366814', 'GE8690', 'guanosine-2-13C-N,1,3-15N3', 'OR4880', 's2439', 'SBB003009', 'STK801927', 'AKOS005622500', 'AKOS007930368', 'AKOS015896931', 'AKOS032949764', '9-beta-D-ArabinofuranosylguanineHydrate', 'AM83933', 'CCG-267277', 'CS-W020018', 'DB02857', 'MCULE-2959607047', 'Ribofuranoside, guanine-9, .beta.-D-', 'NCGC00142496-01', 'NCGC00142496-02', 'CC-29093', 'I890', 'LS-73951', 'SC-00504', 'AB0013923', 'AX8008614', 'DB-029875', 'G0171', 'Guanosine, Vetec(TM) reagent grade, &gt;=98%', 'A12000', 'C00387', 'EN300-204342', 'M-6019', 'Guanosine, suitable for cell culture, BioReagent', 'C-17812', 'Q422462', 'Q-201301', '2-Amino-9-bet.-D-ribofuranosyl-9H-purine-6-(1H)-one', '2-Amino-1,9-dihydro-9-b-D-ribofuranosyl-6H-purin-6-one', '2-Amino-9-.beta.-D-ribofuranosyl-9-H-purine-6(1H)-one', '2-Amino-1,9-dihydro-9.beta.-d-ribofuranosyl-6H-purin-6-one', '6H-Purin-6-one, 2-amino-1,9-dihydro-9-beta-D-ribofuranosyl', '2-Amino-1,9-dihydro-9-beta-delta-ribofuranosyl-6H-purin-6-one', '6H-Purin-6-one, 2-amino-1,9-dihydro-9-.beta.-D-ribofuranosyl-', '2-Amino-9-beta-D-ribofuranosyl-1,9-dihydro-6H-purin-6-one (Guanosine)', '103654-69-9', '103654-70-2', '146849-94-7', '197227-93-3', '2-Amino-9-((2R,3R,4S,5R)-3,4-dihydroxy-5-(hydroxy-methyl)tetrahydrofuran-2-yl)-1H-purin-6(9H)-one', '2-amino-9-[(2R,3R,4S,5R)-3,4-dihydroxy-5-(hydroxymethyl)tetrahydrofuran-2-yl]-1H-purin-6-one', '202933-46-8', '244769-87-7', '247226-75-1', '250586-91-5', '250586-97-1', '30747-23-0']</t>
  </si>
  <si>
    <t>Compound(135398635)</t>
  </si>
  <si>
    <t>C10H13N5O5</t>
  </si>
  <si>
    <t>Soil type admixture gravel</t>
  </si>
  <si>
    <t>Soil type admixture humus</t>
  </si>
  <si>
    <t>Soil type admixture lutum</t>
  </si>
  <si>
    <t>Soil type median</t>
  </si>
  <si>
    <t>Soil type</t>
  </si>
  <si>
    <t>Large leaf floating plants</t>
  </si>
  <si>
    <t>Loss on ignition</t>
  </si>
  <si>
    <t>2-[dimethylamino(fluoro)phosphoryl]oxy-N,N-dimethylethanamine</t>
  </si>
  <si>
    <t>['141102-74-1', 'GV Substance', 'GV', 'GV-Phosphoramidofluoridate', 'SCHEMBL16428101', 'DTXSID30930987', '2-Dimethylaminoethyl-(dimethylamido)fluorophosphate', 'Q413596', '2-(Dimethylamino)ethyl N,N-dimethylphosphoramidofluoridate', 'Dimethylphosphoramidofluoridic acid 2-(dimethylamino)ethyl ester', 'Phosphoramidofluoridic acid, dimethyl-, 2-(dimethylamino)ethyl ester']</t>
  </si>
  <si>
    <t>Compound(132333)</t>
  </si>
  <si>
    <t>C6H16FN2O2P</t>
  </si>
  <si>
    <t>General groundwater chemical status</t>
  </si>
  <si>
    <t>Final groundwater verdict</t>
  </si>
  <si>
    <t>Interaction of groundwater with surface water</t>
  </si>
  <si>
    <t>Interaction of groundwater with terrestrial ecosystems</t>
  </si>
  <si>
    <t>Groundwater intrusions (quantity)</t>
  </si>
  <si>
    <t>Influence of groundwater on drinking water extraction</t>
  </si>
  <si>
    <t>Influence of groundwater on surface water</t>
  </si>
  <si>
    <t>Influence of groundwater on terrestrial ecosystems</t>
  </si>
  <si>
    <t>Groundwater quality status</t>
  </si>
  <si>
    <t>Groundwater quantity status</t>
  </si>
  <si>
    <t>Stage measures groundwater</t>
  </si>
  <si>
    <t>Trends in groundwater rise heights</t>
  </si>
  <si>
    <t>Groundwater water balance</t>
  </si>
  <si>
    <t>Salt intrusions and other groundwater intrusions</t>
  </si>
  <si>
    <t>gadolinium-153</t>
  </si>
  <si>
    <t>['Gadolinium-153', '14276-65-4', 'Gadolinium, isotope of mass 153', '153Gd', '(~153~Gd)Gadolinium', 'UNII-LL26V5648W', 'DTXSID90931632', 'LL26V5648W', 'Q2357049']</t>
  </si>
  <si>
    <t>Compound(161049)</t>
  </si>
  <si>
    <t>1H, 1H, 2H, 2H-perfluorodecane sulfonic acid</t>
  </si>
  <si>
    <t>3,3,4,4,5,5,6,6,7,7,8,8,9,9,10,10,10-heptadecafluorodecane-1-sulfonic acid</t>
  </si>
  <si>
    <t>['39108-34-4', '3,3,4,4,5,5,6,6,7,7,8,8,9,9,10,10,10-heptadecafluorodecane-1-sulfonic acid', '3,3,4,4,5,5,6,6,7,7,8,8,9,9,10,10,10-Heptadecafluorodecanesulphonic acid', '8:2 FTSA', '8:2 Fluorotelomer sulfonic acid', '1H,1H,2H,2H-Perfluorodecanesulphonic acid', 'EINECS 254-295-8', '1H,1H,2H,2H-Perfluorodecanesulfonic acid', '481071-78-7', 'n:2 FTSAs n=8', 'SCHEMBL1826986', 'CTK4I0934', 'DTXSID00192353', 'ZX-AP009420', 'PC6902', 'ZINC100045862', 'n:2 fluorotelomer sulfonic acids, n=8', '1-Decanesulfonic acid, 3,3,4,4,5,5,6,6,7,7,8,8,9,9,10,10,10-heptadecafluoro-', '2-(Perfluorooctyl)ethane-1-sulfonic acid', 'NS00011092', 'Q66828157', '1-Decanesulfonic acid,3,3,4,4,5,5,6,6,7,7,8,8,9,9,10,10,10-heptadecafluoro-', '1H,1H,2H,2H-perfluorodecan sulfonate (8:2) (8:2 Fluorotelomer sulfonic acid)', '3,3,4,4,5,5,6,6,7,7,8,8,9,9,10,10,10-Heptadecafluorodecanesulfonic acid', '3,3,4,4,5,5,6,6,7,7,8,8,9,9,10,10,10-heptadecafluorodecanesulphonic acid;3,3,4,4,5,5,6,6,7,7,8,8,9,9,10,10,10-Heptadecafluorodecanesulphonic acid;3,3,4,4,5,5,6,6,7,7,8,8,9,9,10,10,10-Heptadecafluorodecane-1-sulfonate']</t>
  </si>
  <si>
    <t>Compound(3016044)</t>
  </si>
  <si>
    <t>C10H5F17O3S</t>
  </si>
  <si>
    <t>1H, 1H, 2H, 2H-perfluorododecane sulfonic acid</t>
  </si>
  <si>
    <t>3,3,4,4,5,5,6,6,7,7,8,8,9,9,10,10,11,11,12,12,12-henicosafluorododecane-1-sulfonic acid</t>
  </si>
  <si>
    <t>['120226-60-0', '10:2 Fluorotelomer sulfonic acid', '2-(Perfluorodecyl)ethane-1-sulfonic acid', 'n:2 FTSAs n=10', 'SCHEMBL1826363', 'DTXSID50892578', 'ZINC164680829', 'PC52093', 'n:2 fluorotelomer sulfonic acids, n=10', 'NS00011093', '1H,1H,2H,2H-Perfluorododecanesulphonic acid', '1-Dodecanesulfonic acid, 3,3,4,4,5,5,6,6,7,7,8,8,9,9,10,10,11,11,12,12,12-heneicosafluoro-', '3,3,4,4,5,5,6,6,7,7,8,8,9,9,10,10,11,11,12,12,12-henicosafluorododecane-1-sulfonic acid']</t>
  </si>
  <si>
    <t>Compound(23136180)</t>
  </si>
  <si>
    <t>C12H5F21O3S</t>
  </si>
  <si>
    <t>1H, 1H, 2H, 2H-perfluorohexanesulfonic acid</t>
  </si>
  <si>
    <t>3,3,4,4,5,5,6,6,6-nonafluorohexane-1-sulfonic acid</t>
  </si>
  <si>
    <t>['1H,1H,2H,2H-Perfluorohexanesulphonic acid', '757124-72-4', '4:2 Fluorotelomer sulfonic acid', '3,3,4,4,5,5,6,6,6-nonafluorohexane-1-sulfonate', '414911-30-1', 'SCHEMBL775639', 'DTXSID30891564', 'ZX-AP009421', 'PC6901', 'ZINC100045861', '2-(Perfluorobutyl)ethane-1-sulfonic acid', 'NS00011094', '1-Hexanesulfonic acid, 3,3,4,4,5,5,6,6,6-nonafluoro-', '3,3,4,4,5,5,6,6,6-Nonafluorohexane-1-sulfonic acid;3,3,4,4,5,5,6,6,6-nonafluorohexane-1-sulfonic acid']</t>
  </si>
  <si>
    <t>Compound(20734543)</t>
  </si>
  <si>
    <t>C6H5F9O3S</t>
  </si>
  <si>
    <t>2H, 2H-perfluorodecanoic acid</t>
  </si>
  <si>
    <t>3,3,4,4,5,5,6,6,7,7,8,8,9,9,10,10,10-heptadecafluorodecanoic acid</t>
  </si>
  <si>
    <t>['27854-31-5', '2H,2H-PERFLUORODECANOIC ACID', '82FTA', '2-Perfluorooctyl ethanoic acid', '3,3,4,4,5,5,6,6,7,7,8,8,9,9,10,10,10-heptadecafluorodecanoic Acid', 'Decanoic acid, 3,3,4,4,5,5,6,6,7,7,8,8,9,9,10,10,10-heptadecafluoro-', 'Q63395966', '8:2 Fluorotelomer carboxylic acid', '82Fluorotelomer Acid', 'n:1 FTCA n=8', '8:2FTCA', 'SCHEMBL3864225', 'CTK0J2365', 'H2PFDA 2H,2H-Perfluordecanoat', '8:2 perfluorooctyl ethanoic acid', 'DTXSID50451109', 'ZINC117486813', 'n:1 fluorotelomer carboxylic acids, n=8', 'NS00011081']</t>
  </si>
  <si>
    <t>Compound(10994425)</t>
  </si>
  <si>
    <t>C10H3F17O2</t>
  </si>
  <si>
    <t>2H, 2H, 3H, 3H-perfluoro-undecanoic acid</t>
  </si>
  <si>
    <t>4,4,5,5,6,6,7,7,8,8,9,9,10,10,11,11,11-heptadecafluoroundecanoic acid</t>
  </si>
  <si>
    <t>['34598-33-9', '4,4,5,5,6,6,7,7,8,8,9,9,10,10,11,11,11-Heptadecafluoroundecanoic acid', '2H,2H,3H,3H-Perfluoroundecanoic acid', '2H,2H,3H,3H-Heptadecafluoroundecanoic Acid', '8:3 Fluorotelomer carboxylic acid', 'EINECS 252-108-4', 'Heptadecafluoroundecanoic acid', 'SCHEMBL934065', 'CTK1C6407', 'DTXSID50188165', 'ZX-AP000754', 'PC3338', 'ZINC95671251', '3-(Heptadecafluorooctyl)propionic acid', 'AKOS015893219', 'ACM34598339', 'AS-72521', 'I640', 'FT-0676905', 'NS00002588', 'K-7877', 'J-019672', 'Undecanoic acid, 4,4,5,5,6,6,7,7,8,8,9,9,10,10,11,11,11-heptadecafluoro-', 'Undecanoicacid, 4,4,5,5,6,6,7,7,8,8,9,9,10,10,11,11,11-heptadecafluoro-', '4,4,5,5,6,6,7,7,8,8,9,9,10,10,11,11,11-Heptadecafluoroundecanoic acid, &gt;=95.0% (NT)', 'Heptadecafluoroundecanoic acid;4,4,5,5,6,6,7,7,8,8,9,9,10,10,11,11,11-heptadecafluoroundecanoic acid;Potassium 4,4,5,5,6,6,7,7,8,8,9,9,10,10,11,11,11-heptadecafluoroundecanoate']</t>
  </si>
  <si>
    <t>Compound(2782413)</t>
  </si>
  <si>
    <t>C11H5F17O2</t>
  </si>
  <si>
    <t>Avg. height of highest 1/10 part of the waves (time domain)</t>
  </si>
  <si>
    <t>Avg. height of highest 1/3 part of the waves (time domain)</t>
  </si>
  <si>
    <t>Avg. height of highest 1/50 part of the waves (time domain)</t>
  </si>
  <si>
    <t>hydrogen peroxide</t>
  </si>
  <si>
    <t>['hydrogen peroxide', '7722-84-1', 'perhydrol', 'oxydol', 'Superoxol', 'Interox', 'Hydrogen dioxide', 'hydroperoxide', 'Inhibine', 'Peroxaan', 'Albone', 'Hioxyl', 'Kastone', 'Albone 35', 'Albone DS', 'Dihydrogen dioxide', 'T-Stuff', 'Lensept', 'Elawox', 'Perone', 'Hydrogen peroxide (H2O2)', 'Albone 50', 'Albone 70', 'Perone 50', 'Albone 35CG', 'Albone 50CG', 'Albone 70CG', 'H2O2', 'Peroxide', 'Peroxan', 'Hydrogen peroxide, 30%', 'Hydrogen dioxide solution', 'Hydrogen peroxide, 90%', 'Perone 30', 'Perone 35', 'Hydrogen peroxide, solution', 'Waterstofperoxyde', 'Hydrogen peroxide, 3%', 'Wasserstoffperoxid', 'Caswell No. 486AAA', 'Hydrogen peroxide solution', "Peroxyde d'hydrogene", 'Perossido di idrogeno', 'Asepticper', 'Baquashock', 'Crystacide', 'Peroxclean', 'CCRIS 1060', 'Dentasept', 'HSDB 547', 'Hybrite', 'Metrokur', 'Mirasept', 'Oxigenal', 'Oxyfull', 'Oxysept', 'Pegasyl', 'Puresept', 'Hipox', 'Select Bleach', 'Hydrogen peroxide, solution, 3%', 'Hydrogen peroxide solution (DOT)', 'Waterstofperoxyde [Dutch]', 'Xtra White', 'Hydrogen peroxide (conc &gt; 52%)', 'Oxysept I', 'Hydrogen peroxide solutions', 'Hydrogen peroxide, solution, 30%', 'Hydrogen peroxide, solution, 35%', 'Lensan A', 'Odosat D', 'UNII-BBX060AN9V', 'Adeka Super EL', 'Wasserstoffperoxid [German]', 'Crestal Whitestrips', 'UN2014', 'UN2015', 'UN2984', 'EPA Pesticide Chemical Code 000595', "Peroxyde d'hydrogene [French]", 'Anti-Keim 50', 'Perossido di idrogeno [Italian]', 'Hydrogen peroxide, 8% to 20%', 'Hydrogen peroxide, 20% to 60%', 'Hydrogen peroxide (&gt; 52% conc.)', 'Hydrogen peroxide [USP]', 'EINECS 231-765-0', 'MFCD00011333', 'NSC 19892', 'UN 2015 (&gt;52%)', 'BBX060AN9V', 'UN 2984 (8%-20%)', 'UN 2014 (20%-52%)', 'CHEBI:16240', 'Hydrogen peroxide (conc &gt;52%)', 'NSC-19892', 'Hydrogen peroxide solutions (over 8% but not over 60%)', 'Hydrogen peroxide solutions (over 60% but not over 70%)', 'Hydrogen peroxide (USP)', 'PEO', 'dioxidane', 'hydrogenperoxide', 'Accel Concentrate', 'Astri-UC', 'HTP [peroxide]', 'High Test Peroxide', 'CIX', 'Hydrogen peroxide, aqueous solutions with &gt;40% but not &gt;60% hydrogen peroxide (stabilized as necessary) [UN2014] [Oxidizer]', 'Hydrogen peroxide, aqueous solutions with not &lt;20% but not &gt;40% hydrogen peroxide (stabilized as necessary) [UN2014] [Oxidizer]', 'Hydrogen peroxide, aqueous solutions with not &lt;8% but &lt;20% hydrogen peroxide (stabilized as necessary) [UN2984] [Oxidizer]', 'Hydrogen peroxide, stabilized or hydrogen peroxide aqueous solutions, stabilized with &gt;60% hydrogen peroxide [UN2015] [Oxidizer]', 'Teat dip HP 5', 'Pre milk HP 0.5', 'Pre milk HP 1.0', 'Hydrogen peroxide 35%', 'Hydrogen peroxide, 3 wt.% solution in water, stabilized', 'Pre milk HP 0.5 10', 'Whitespeed', 'Eskata', 'Hydrogen peroxide, pure, 50 wt% solution in water, stabilized', 'Hioxy', 'Magic Bleaching', 'Clarigel Gold', 'Lase Peroxide', 'Quasar Brite', 'Opalescence Xtra', 'Whiteness HP', 'Hydrogen peroxide, ACS reagent, 30 wt% solution in water, nonstabilized', 'Deslime LP', 'hydrogen per oxide', 'dihydrogen peroxide', 'dihydrogen(peroxide)', 'Oxyfull (TN)', 'HOOH', 'hydrogen hydroperoxide', 'ACMC-20akqy', 'Nite White Excel 2', 'Oxydol (JP17)', 'Hydrogen peroxide 50%', 'HYDROGEN-PEROXIDE', 'Hydrogen Peroxide, 50%', 'Hydrogen peroxide (8CI)', 'MolMap_000025', 'bis(hydridooxygen)(O--O)', 'EC 231-765-0', '30 %Hydrogen peroxide(aq)', 'CHEMBL71595', '[OH(OH)]', 'DTXSID2020715', 'Hydrogen peroxide, 6% in water', 'CTK2H7501', 'Hydrogen peroxide (H2O2) (9CI)', 'NSC19892', 'WLN: H2 O2 90%', 'Hydrogen Peroxide [Topical Solution]', 'AKOS015856794', 'DB11091', 'LS-2428', 'QTL1_000041', '8007-30-5', 'FT-0627133', 'NS00013746', 'C00027', 'D00008', 'Hydrogen peroxide solution, 3%, for microbiology', 'Hydrogen peroxide solution, for ultratrace analysis', 'Q171877', 'Q1088474', 'Hydrogen peroxide solution, extra pure, 30.0-32.0%', 'Hydrogen peroxide solution, purum p.a., &gt;=30% (RT)', 'Hydrogen peroxide solution, purum p.a., &gt;=35% (RT)', 'Hydrogen peroxide solution, &gt;=30%, for trace analysis', 'Hydrogen peroxide solution, SAJ first grade, &gt;=30.0%', 'Hydrogen peroxide solution, tested according to Ph.Eur.', 'Hydrogen peroxide solution, 50 wt. % in H2O, stabilized', 'Hydrogen peroxide solution, JIS special grade, 30.0-35.5%', 'Hydrogen peroxide solution, 30 % (w/w) in H2O, contains stabilizer', 'Hydrogen peroxide solution, contains inhibitor, 35 wt. % in H2O', 'Hydrogen peroxide solution, p.a., ACS reagent, reag. ISO, 30.0%', 'Hydrogen peroxide, technical, 35 wt% solution in water, stabilized', 'Hydrogen Peroxide Solution, 30% (w/w), puriss. p.a., reag. ISO, reag. Ph. Eur.', 'Hydrogen peroxide solution, AR, contains sodium pyrophosphate as stabilizer, &gt;=30 % (w/v)', 'Hydrogen peroxide solution, contains ~200 ppm acetanilide as stabilizer, 3 wt. % in H2O', 'Hydrogen peroxide solution, contains inhibitor, 30 wt. % in H2O, ACS reagent', 'Hydrogen peroxide solution, LR, contains sodium pyrophosphate as stabilizer, &gt;=30 % (w/v)', 'Hydrogen peroxide solution, LR, contains sodium pyrophosphate as stabilizer, &gt;=50 % (w/v)', 'Hydrogen peroxide solution, meets analytical specification of Ph. Nord., 34.5-36.5%', 'Hydrogen peroxide solution, puriss. p.a., ACS reagent, not stabilized, &gt;=30% (RT)', 'Hydrogen peroxide solution, semiconductor grade MOS PURANAL(TM) (Honeywell 17937), &gt;=30%', 'Hydrogen peroxide solution, semiconductor grade PURANAL(TM) (Honeywell 17948), &gt;=30%', 'Hydrogen peroxide solution, semiconductor grade ULSI PURANAL(TM) (Honeywell 17024), &gt;=30%', 'Hydrogen peroxide solution, semiconductor grade VLSI PURANAL(TM) (Honeywell 17606), &gt;=30%', 'Hydrogen peroxide solution, contains inhibitor, 30 wt. % in H2O, meets USP testing specifications', 'Hydrogen peroxide solution, contains potassium stannate as inhibitor, 30-32 wt. % in water, semiconductor grade, 99.999% trace metals basis', 'Hydrogen peroxide, aqueous solutions with &gt;40% but not &gt;60% hydrogen peroxide (stabilized as necessary)', 'Hydrogen peroxide, aqueous solutions with &gt;40% but not &gt;60% hydrogen peroxide (stabilized as necessary) [UN2014]  [Oxidizer]', 'Hydrogen peroxide, aqueous solutions with not &lt;20% but not &gt;40% hydrogen peroxide (stabilized as necessary)', 'Hydrogen peroxide, aqueous solutions with not &lt;20% but not &gt;40% hydrogen peroxide (stabilized as necessary) [UN2014]  [Oxidizer]', 'Hydrogen peroxide, aqueous solutions with not &lt;8% but &lt;20% hydrogen peroxide (stabilized as necessary)', 'Hydrogen peroxide, aqueous solutions with not &lt;8% but &lt;20% hydrogen peroxide (stabilized as necessary) [UN2984]  [Oxidizer]', 'Hydrogen peroxide, stabilized or hydrogen peroxide aqueous solutions, stabilized with &gt;60% hydrogen peroxide', 'Hydrogen peroxide, stabilized or hydrogen peroxide aqueous solutions, stabilized with &gt;60% hydrogen peroxide [UN2015]  [Oxidizer]']</t>
  </si>
  <si>
    <t>Compound(784)</t>
  </si>
  <si>
    <t>sulphuric acid</t>
  </si>
  <si>
    <t>sulfuric acid</t>
  </si>
  <si>
    <t>['SULFURIC ACID', 'Sulphuric acid', '7664-93-9', 'Oil of vitriol', 'Dihydrogen sulfate', 'Mattling acid', 'Battery acid', 'Dipping acid', 'Acide sulfurique', 'Electrolyte acid', 'Acidum sulfuricum', 'Vitriol Brown Oil', 'Schwefelsaeure', 'Acido solforico', 'Acido sulfurico', 'Schwefelsaeureloesungen', 'H2SO4', 'Oil of vitreol', 'Zwavelzuuroplossingen', 'Sulfuric acid [NF]', 'Caswell No. 815', 'Sulfuric acid concentrate', 'UNII-O40UQP6WCF', 'Acide sulfurique [French]', 'Acido solforico [Italian]', 'Acido sulfurico [Spanish]', 'Zwavelzuuroplossingen [Dutch]', 'tetraoxosulfuric acid', 'Sulfuric acid, spent', 'Schwefelsaeureloesungen [German]', 'Sulfuric acid solution', 'HSDB 1811', 'EINECS 231-639-5', 'MFCD00064589', 'UN1830', 'UN1832', 'O40UQP6WCF', 'EPA Pesticide Chemical Code 078001', 'BOV', 'CHEBI:26836', 'UN2796', 'Sulfuric acid (NF)', 'Acid Detergent Solution', 'Sulfuric acid [Strong inorganic acid mists containing sulfuric acid]', '12772-98-4', 'Sulfuric acid contained in strong inorganic acid mists', 'sulfuricacid', 'H2 (S O4)', 'Sulphuricum acidum', 'sulfuric acid (acid aerosols including mists, vapors, gas, fog and other airborne forms of any particle size)', 'Sulfuric acid, ACS reagent, 95.0-98.0%', 'Sulfur oxide (SO4)', 'Oil of vitriol solution; Hydrogen sulfate solution', 'Sulfuric acid, 0.1N (0.05M) standard solution', 'Sulfuric acid, 96%, extra pure, solution in water', 'Sulfuric acid, ACS reagent, 95% solution in water', 'Sulfuric acid, for analysis, ca. 96% solution in water', 'debacterol', 'Opsonat', 'suiphuric acid', 'Sulfuric acid, pure, 96.00% (+/- 0.15%) solution in water', 'sulfuric aicd', 'sulfuric-acid', 'Nordhausen acid', 'Brimstone acid', 'suIfuric acid', 'Matting acid', 'sulphur-ic acid', 'G-sulfuric acid', 'Spirit of alum', 'Vitriol, oil of', 'Spirit of vitriol', 'Dihydrogen sulphate', 'Sulfuric acid 50%', 'dihydroxidodioxidosulfur', 'Sulfuric acid, 60%', 'Sulfuric Acid, 96%', 'dihydrogen tetraoxosulfate', 'DSSTox_CID_9683', 'Sulfuric Acid Reagent ACS', 'Sulfuric Acid, ACS Grade', 'EC 231-639-5', 'Sulfuric acid, 95-99%', 'DSSTox_RID_78807', 'hydrogen tetraoxosulfate(VI)', 'NCIOpen2_006177', 'DSSTox_GSID_29683', 'hydrogen tetraoxosulfate(2-)', 'KSC378E6L', 'Sulfuric acid solution, 1 M', 'Sulfuric acid, 99.999%', 'UN 1830 (Salt/Mix)', 'UN 1832 (Salt/Mix)', 'UN 2796 (Salt/Mix)', 'Sulfuric acid solution, 70%', 'Sulfuric acid solution, 5 mM', 'CHEMBL572964', 'O2S(OH)2', 'Sulfuric acid with &gt;51% acid', 'Sulfuric acid, AR, &gt;=98%', 'Sulfuric acid, LR, &gt;=98%', 'DTXSID5029683', 'Sulfuric acid solution, 0.1 M', 'Sulfuric acid solution, 0.5 M', 'Sulfuric acid solution, 1.5 M', 'CTK2H8265', 'H2 S O4', 'Sulfuric acid solution, 0.01 M', 'Sulfuric acid solution, 0.05 M', 'Sulfuric acid solution, 0.25 M', '[S(OH)2O2]', '[SO2(OH)2]', 'Sulfuric acid, 90.0-91.0%', 'Sulfuric acid, 95.0-97.0%', 'Sulfuric acid with not &gt;51% acid', 'ACT13112', 'NSC38965', 'Sulfuric acid solution, 0.025 M', 'Sulfuric acid, p.a., 93-98%', 'Tox21_200483', '8696AF', 'NSC-38965', 'NSC248648', 'Sulfuric acid solution, 0.0125 M', 'Sulfuric acid, extra pure, 95.5%', '2M Sulfuric acid (+/- 0.1 M)', '7M Sulfuric acid (+/- 0.3 M)', 'Methanolic sulfuric acid 10% (v/v)', 'Sulfuric acid, technical grade, 95%', 'CCG-221344', 'DB11309', 'LS-3225', 'MCULE-1504889908', 'NSC-248648', 'NCGC00248653-01', 'NCGC00258037-01', 'E513', 'CAS-7664-93-9', 'DS-002649', 'FT-0688260', 'FT-0698948', 'NS00007262', 'Q4118', 'Sulfuric acid, 1.25% v/v aqueous solution', 'Sulfuric acid, purum p.a., 95-97% (T)', 'Sulfuric acid, SAJ first grade, &gt;=95.0%', 'Sulfuric acid solution, purum, ~30% in H2O', 'Sulfuric acid, 1N (0.5M) standard solution', 'Sulfuric acid, JIS special grade, &gt;=95.0%', 'Sulfuric acid, spent [UN1832] [Corrosive]', 'C00059', 'D05963', 'Sulfuric acid solution, p.a., 18.0-24.0%', 'Sulfuric acid, puriss. p.a., 95-97% (T)', 'Sulfuric acid, spent [UN1832]  [Corrosive]', 'Sulfuric acid, puriss. p.a. plus, &gt;=95% (T)', 'Sulfuric acid (1+1), ~64.0 % (w/w) in H2O', 'Sulfuric acid (1+2), ~47.0 % (w/w) in H2O', 'Sulfuric acid solution, puriss. p.a., &gt;=25% (T)', 'Sulfuric acid, &gt;=97.0%, SAJ super special grade', 'Sulfuric acid, for analysis, 25% solution in water', 'Q27110052', 'Sulfuric acid with &gt;51% acid [UN1830] [Corrosive]', 'Sulfuric acid, 99.9999% (metals basis), 92% min', 'Sulfuric acid with &gt;51% acid [UN1830]  [Corrosive]', '7370A083-F259-4C3E-A455-B5FA1E3C8CB7', 'Sulfuric acid with not &gt;51% acid [UN2796]  [Corrosive]', 'Sulfuric acid with not &gt;51% acid [UN2796] [Corrosive]', 'Sulfuric acid, for the determination of nitrogen, &gt;=97.5%', 'Sulfuric acid solution, SAJ first grade, 32.2-36.8% in H2O', 'Sulfuric acid, puriss. p.a., ACS reagent, 95.0-98.0% (T)', 'Methanolic H2SO4, 10 % (v/v) in methanol, for GC derivatization', 'Sulfuric acid, &gt;=97.0%, suitable for determination of toxic metals', 'Sulfuric acid concentrate, 0.1 M H2SO4 in water (0.2N), eluent concentrate for IC', 'Sulfuric acid, Acculute Standard Volumetric Solution, Final Concentration 2.0N', 'Sulfuric acid, puriss., meets analytical specification of Ph. Eur., BP, 95-97%', 'Sulfuric acid, semiconductor grade PURANAL(TM) (Honeywell 17831), 95-97%', 'Sulfuric acid, semiconductor grade VLSI PURANAL(TM) (Honeywell 17611), 95-97%', "Zinc(2+),1',1'',1'''-(1,2-ethanediyldinitrilo)tetrakis[2-propanol]]-, sulfate (1:1)", 'Sulfate atomic spectroscopy standard concentrate 10.00 g SO42-, 10.00 g/L, for 1 l standard solution, analytical standard', 'Sulfuric acid, puriss. p.a., for determination of Hg, ACS reagent, reag. ISO, reag. Ph. Eur., 95.0-97.0%']</t>
  </si>
  <si>
    <t>Compound(1118)</t>
  </si>
  <si>
    <t>H2O4S</t>
  </si>
  <si>
    <t>['TRITIUM', 'UNII-YGG3Y3DAG1', '10028-17-8', 'Hydrogen-3', 'YGG3Y3DAG1', 'Triterium', 'Tritium, Radioactive', 'ditritium', 'Tritium-', 'hydrogen 3', 'HSDB 6467', 'EINECS 233-070-8', 'TRITIUM (HYDROGEN-3)', 'CHEBI:29298', 'DTXSID80881374', '(3)H2']</t>
  </si>
  <si>
    <t>Compound(24824)</t>
  </si>
  <si>
    <t>H2</t>
  </si>
  <si>
    <t>phosphoric acid</t>
  </si>
  <si>
    <t>['Phosphoric acid', 'ORTHOPHOSPHORIC ACID', '7664-38-2', 'o-Phosphoric acid', 'Sonac', 'Phosphorsaeure', 'Acidum phosphoricum', 'Evits', 'Wc-reiniger', 'Acide phosphorique', 'Polyphosphoric acids', 'POLYPHOSPHORIC ACID', 'White phosphoric acid', 'Acido fosforico', 'Phosphorsaeureloesungen', 'Acido fosforico [Italian]', 'Superphosphoric acid', 'Fosforzuuroplossingen', 'ortho-phosphoric acid', 'Fosforzuuroplossingen [Dutch]', 'Caswell No. 662', 'Phosphoric acid 75%', 'FEMA No. 2900', 'Phosphoric acid, ortho-', 'Phosphorsaeureloesungen [German]', '8017-16-1', 'Acide phosphorique [French]', 'UNII-E4GA8884NN', 'CCRIS 2949', 'poly(phosphoric acid)', 'Phosphoric acid 85%', 'HSDB 1187', 'Phosphoric acid [NF]', 'trihydroxidooxidophosphorus', 'EINECS 231-633-2', 'NSC 80804', 'UN1805', 'EPA Pesticide Chemical Code 076001', 'H3PO4', 'dihydroxidodioxidophosphorus(.)', 'E4GA8884NN', 'CHEBI:26078', 'MFCD00011340', 'NSC-80804', 'Phosphoric acid (NF)', 'NCGC00091005-01', 'Phosphoric acid solution', 'DSSTox_CID_4263', 'DSSTox_RID_77346', 'DSSTox_GSID_24263', 'acide phosphorique (FRENCH)', '9044-08-0', 'Phosphoric acid, 98+%, pure', 'Phosphoricum acidum', 'CAS-7664-38-2', 'Phosphoric acid, ACS reagent, &gt;=85 wt. % in H2O', 'Phosphoric acid, extra pure, 85% solution in water', 'Phosphoric acid, for analysis, 85 wt% solution in water', 'Phospholeum', 'Marphos', 'phosphoric cid', 'Ortho-phosphate', 'phosphor-ic acid', 'Phosphate hydrogen', 'Polyphosphorc acds', 'NFB Orthophosphate', '2HP', 'Phosphate dihydrogen', 'Phosphoric acid ion', 'Orthophosphate(3-)', 'ortho phosphoric acid', 'Phosphate ion(3-)', 'Monohydrogen phosphate', 'diphosphate tetrasodium', 'tetraoxophosphoric acid', 'Phosphate anion(3-)', 'ortho- phosphoric acid', 'Phosphate (PO43-)', 'ACMC-20heq4', 'Hydrogen phosphate anion', 'Phosphoric acid, 75%', 'Phosphoric acid, 85%', 'Condensed phosphoric acid', 'tetra-Sodium pyrophosphate', 'Orthophosphate (PO43-)', 'Phosphoric acid ion(3-)', 'Phosphate ion (PO43-)', 'EC 231-633-2', 'CHEMBL1187', 'Phosphoric acid, 10% v/v', '68891-72-5', 'Isooctanol, reaction products with phosphorus oxide (P2O5) and polyethylene glycol monotridecyl ether', 'DIAMMONIUM PHOS- PHATE', 'D-Mannan, dihydrogen phosphate', '[DID-no:2565]', 'INS NO.338', 'DTXSID5024263', 'Phosphoric acid, AR, &gt;=88%', 'Phosphoric acid, technical grade', '[PO(OH)3]', 'BDBM14671', 'CHEBI:52641', 'CTK2H7098', 'Phosphoric acid,standard solution', 'H3 P O4', 'INS-338', 'trihydrogen tetraoxophosphate(3-)', 'Phosphoric acid solution, 1.0 M', 'Phosphoric acid, AR, 88-93%', 'Phosphoric acid, LR, 88-93%', 'phosphoric acid (ACD/Name 4.0)', 'Phosphoric Acid (Fragrance Grade)', 'Phosphoric Acid 85% Reagent ACS', 'KS-00000VA1', 'NSC80804', 'Phosphoric acid, 85%, ACS grade', 'Phosphoric acid, puriss., &gt;=99%', 'Tetrasodium pyrophosphate 10-hydrate', 'Tox21_111053', 'Tox21_202285', 'Tox21_303246', 'ANW-44010', 'Phosphoric acid, ACS reagent, 85%', 'Phosphoric acid, for HPLC, &gt;=85%', 'AKOS028109726', 'DB09394', 'LS-2425', 'MCULE-5726619687', 'Y-11A06', 'NCGC00091005-02', 'NCGC00257071-01', 'NCGC00259834-01', 'Phosphoric acid [UN1805] [Corrosive]', 'E338', 'Phosphoric acid [UN1805]  [Corrosive]', 'Phosphoric acid, BioUltra, &gt;=85% (T)', 'SC-57851', 'Sodium pyrophosphate decahydrate BioChemica', 'E 338', 'E-338', 'NS00013561', 'P1745', 'Phosphoric acid, SAJ first grade, &gt;=85.0%', 'C00009', 'D05467', 'Phosphoric acid, JIS special grade, &gt;=85.0%', 'Q184782', 'J-523994', 'Phosphoric acid, ACS reagent, 85+% solution in water', 'Q27110336', 'Phosphoric acid solution, 85 wt. % in H2O, FCC, FG', 'Phosphoric acid, p.a., ACS reagent, reag. ISO, 85%', '730A9101-D5DE-4668-97CA-7B6178B84417', 'Phosphoric acid, crystalline, &gt;=99.999% trace metals basis', 'Phosphoric acid, puriss. p.a., crystallized, &gt;=99.0% (T)', 'Phosphoric acid, 85 wt. % in H2O, 99.99% trace metals basis', 'Phosphoric acid, BioReagent, suitable for insect cell culture, 85%', 'Phosphoric acid, United States Pharmacopeia (USP) Reference Standard', 'Phosphoric acid, &gt;=85 wt. % in H2O, &gt;=99.999% trace metals basis', 'Phosphoric acid, semiconductor grade VLSI PURANAL(TM) (Honeywell 17644)', 'Phosphoric acid, puriss. p.a., ACS reagent, reag. ISO, reag. Ph. Eur., &gt;=85%', 'Phosphoric acid, semiconductor grade MOS PURANAL(TM) (Honeywell 17938), &gt;=85%', 'Phosphoric acid, semiconductor grade PURANAL(TM) (Honeywell 17861), &gt;=85%', '62046-92-8', 'NFB', 'Phosphate atomic spectroscopy standard concentrate 1.00 g PO43-, 1.00 g/L, for 1L standard solution, analytical standard', 'Phosphate atomic spectroscopy standard concentrate 10.00 g PO43-, 10.00 g/L, for 1 l standard solution, analytical standard', 'Phosphoric acid solution, NMR reference standard, 85% in D2O (99.9 atom % D), NMR tube size 3 mm x 8 in.', 'Phosphoric acid solution, NMR reference standard, 85% in D2O (99.9 atom % D), NMR tube size 4.2 mm x 8 in. , WGS-5BL Coaxial NMR tube', 'Phosphoric acid solution, NMR reference standard, 85% in D2O (99.9 atom % D), NMR tube size 5 mm x 8 in.', 'Phosphoric acid, puriss. p.a., ACS reagent, packed in coated, shock- and leak-protected glass bottle, &gt;=85% (T)', 'Phosphoric acid, puriss., meets analytical specification of Ph. Eur., BP, NF, FCC, 85.0-88.0%']</t>
  </si>
  <si>
    <t>Compound(1004)</t>
  </si>
  <si>
    <t>H3O4P</t>
  </si>
  <si>
    <t>Habitat diversity</t>
  </si>
  <si>
    <t>acetic acid</t>
  </si>
  <si>
    <t>['acetic acid', 'ethanoic acid', '64-19-7', 'Ethylic acid', 'Glacial acetic acid', 'Acetic acid, glacial', 'Methanecarboxylic acid', 'Acetic acid glacial', 'Vinegar acid', 'Acetasol', 'Essigsaeure', 'Acide acetique', 'Aci-jel', 'Azijnzuur', 'Vinegar', 'Acido acetico', 'Kyselina octova', 'Octowy kwas', 'Pyroligneous acid', 'HOAc', 'Azijnzuur [Dutch]', 'Ethanoic acid monomer', 'acetyl alcohol', 'Essigsaeure [German]', 'ethoic acid', 'Caswell No. 003', 'Otic Tridesilon', 'Octowy kwas [Polish]', 'Otic Domeboro', 'Acetic acid (natural)', 'Acide acetique [French]', 'Acido acetico [Italian]', 'Kyselina octova [Czech]', 'AcOH', 'Acetic acid, water solutions', 'FEMA No. 2006', 'FEMA Number 2006', 'acetic acid-', 'ethanoate', 'UN2789', 'UN2790', 'MeCOOH', 'HSDB 40', 'EPA Pesticide Chemical Code 044001', 'NSC 132953', 'UNII-Q40Q9N063P', 'BRN 0506007', 'CCRIS 5952', 'AI3-02394', 'methane carboxylic acid', 'CH3COOH', 'CH3-COOH', 'EINECS 200-580-7', 'CH3CO2H', 'MFCD00036152', 'CHEMBL539', 'CHEBI:15366', 'Q40Q9N063P', 'Ethanoat', 'Shotgun', 'Acetic acid, diluted', 'Acetic acid, of a concentration of more than 10 per cent, by weight, of acetic acid', 'Acetic acid [JAN]', 'NSC-132953', 'NSC-406306', 'Perchloric acid solution', 'Orlex', 'Vosol', 'E 260', 'E-260', 'WLN: QV1', 'Acetic acid solution, not less than 50% but more than 80% acid, by mass [UN2790] [Corrosive]', 'Acetic acid solution, with more than 10% and less than 50% acid, by mass [UN2790] [Corrosive]', 'Acetic acid, glacial or acetic acid solution, &gt;80% acid, by mass [UN2789]  [Corrosive]', 'Acetic acid, &gt;=99.7%', 'Acetic acid, aqueous solution', 'Acetic acid, 99.5%, pure', 'aceticacid', 'Acetic acid, 99+%, extra pure', 'Aceticum acidum', 'Acetic acid, 99.6%, for analysis', 'Acetic acid, 99.8%, for analysis', 'Carboxylic acids, C2-3', 'Acetic acid, 25%, solution in water', 'Acetic acid, 50%, solution in water', 'Acetic acid, 99.8%, for biochemistry', 'Acetic acid, ACS reagent, &gt;=99.7%', 'ACY', 'Acetic acid, 80% vol., solution in water', 'NSC-111201', 'NSC-112209', 'NSC-115870', 'NSC-127175', 'Acetic acid 0.25% in plastic container', 'Ethylate', 'acetic aicd', 'acetic-acid', 'Glacial acetate', 'acetic cid', 'actic acid', 'Aceticacidglacial', 'acetic -acid', 'Methanecarboxylate', 'Acetic acid, glacial [USP:JAN]', 'Nat. Acetic Acid', 'Acetasol (TN)', 'Acetic acid, glacial [USAN:JAN]', 'Acetic Acid Natural', 'Vinegar (Salt/Mix)', 'Acetic acid, propionic acid distillate', 'MeCO2H', 'Undiluted Acetic Acid', '68475-71-8', "3,3'-(1,4-phenylene)dipropiolic acid", 'HOOCCH3', 'PubChem22173', 'Acetic Acid (Recovered)', '2570-63-0', '10.Methanecarboxylic acid', 'Acetic acid, ACS reagent', 'DSSTox_CID_4394', 'Acetic Acid Solution, 1N', 'bmse000191', 'bmse000817', 'bmse000857', 'Otic Domeboro (Salt/Mix)', 'EC 200-580-7', 'Acetic acid (JP17/NF)', 'ACMC-1B1E4', 'DSSTox_RID_77386', 'NCIOpen2_000659', 'NCIOpen2_000682', 'DSSTox_GSID_24394', 'Acetic acid, glacial (USP)', 'Buffer Solution, pH 4.64', '4-02-00-00094 (Beilstein Handbook Reference)', 'Glacial acetic acid (JP17)', 'KSC491S8N', 'UN 2790 (Salt/Mix)', 'INS No. 260', 'GTPL1058', 'INS NO.260', 'Acetic Acid Glacial HPLC Grade', 'Acetic acid solution, for HPLC', 'Acetic acid, analytical standard', 'DTXSID5024394', 'Acetic acid, Environmental Grade', 'CTK3J1986', 'KS-00000XBD', 'Acetic acid, puriss., &gt;=80%', 'INS-260', 'Acetic acid, 99.8%, anhydrous', 'Acetic acid, AR, &gt;=99.8%', 'Acetic acid, LR, &gt;=99.5%', 'Acetic Acid, Glacial Reagent ACS', 'Acetic acid solution, 1 N, 1 M', 'Acetic acid, extra pure, 99.8%', 'Acetic acid, 99.5-100.0%', 'Acetic acid, Glacial, ACS Reagent', 'STR00276', 'ZINC5224164', 'Acetic acid, puriss., 99-100%', 'Tox21_301453', 'Acetic acid, glacial, &gt;=99.85%', 'ANW-41557', 'ANW-44008', 'BDBM50074329', 'LMFA01010002', 'NSC132953', 'NSC406306', 'STL264240', 'TCLP extraction fluid 2 (Salt/Mix)', 'Acetic acid, 99.7+%, ACS reagent', 'Acetic acid, for HPLC, &gt;=99.8%', 'AKOS000268789', 'Buffer Solution (Acetate), pH 4.01', 'DB03166', 'LS-1541', 'LS-2535', 'MCULE-8295936189', 'Sodium acetate, anhydrous or trihydrate', 'UN 2789', 'Acetic acid, &gt;=99.5%, FCC, FG', 'Acetic acid, natural, &gt;=99.5%, FG', 'Acetic acid, ReagentPlus(R), &gt;=99%', 'CAS-64-19-7', 'Acetic acid, USP, 99.5-100.5%', 'NCGC00255303-01', '4843-45-2', 'C2:0', 'Acetic acid, SAJ first grade, &gt;=99.0%', 'Buffer Solution (Acetate), pH 4.0-4.6', 'DB-085748', '612-EP0930075A1', '612-EP1441224A2', '612-EP2269610A2', '612-EP2269977A2', '612-EP2269978A2', '612-EP2269985A2', '612-EP2269986A1', '612-EP2269988A2', '612-EP2269989A1', '612-EP2269990A1', '612-EP2269991A2', '612-EP2269992A1', '612-EP2269993A1', '612-EP2269994A1', '612-EP2269998A2', '612-EP2270001A1', '612-EP2270002A1', '612-EP2270006A1', '612-EP2270008A1', '612-EP2270010A1', '612-EP2270011A1', '612-EP2270012A1', '612-EP2270013A1', '612-EP2270014A1', '612-EP2270015A1', '612-EP2270016A1', '612-EP2270018A1', '612-EP2270113A1', '612-EP2270505A1', '612-EP2272509A1', '612-EP2272516A2', '612-EP2272517A1', '612-EP2272537A2', '612-EP2272813A2', '612-EP2272817A1', '612-EP2272822A1', '612-EP2272825A2', '612-EP2272827A1', '612-EP2272831A1', '612-EP2272832A1', '612-EP2272834A1', '612-EP2272835A1', '612-EP2272841A1', '612-EP2272842A1', '612-EP2272847A1', '612-EP2272848A1', '612-EP2272849A1', '612-EP2272935A1', '612-EP2272972A1', '612-EP2272973A1', '612-EP2274983A1', '612-EP2275102A1', '612-EP2275105A1', '612-EP2275401A1', '612-EP2275403A1', '612-EP2275404A1', '612-EP2275407A1', '612-EP2275409A1', '612-EP2275410A1', '612-EP2275411A2', '612-EP2275412A1', '612-EP2275413A1', '612-EP2275414A1', '612-EP2275417A2', '612-EP2275420A1', '612-EP2275421A1', '612-EP2275469A1', '612-EP2277507A1', '612-EP2277622A1', '612-EP2277848A1', '612-EP2277858A1', '612-EP2277861A1', '612-EP2277862A2', '612-EP2277864A1', '612-EP2277866A1', '612-EP2277867A2', '612-EP2277871A1', '612-EP2277872A1', '612-EP2277874A1', '612-EP2277875A2', '612-EP2277877A1', '612-EP2277878A1', '612-EP2277880A1', '612-EP2277881A1', '612-EP2279750A1', '612-EP2280000A1', '612-EP2280001A1', '612-EP2280003A2', '612-EP2280004A1', '612-EP2280006A1', '612-EP2280008A2', '612-EP2280009A1', '612-EP2280010A2', '612-EP2280012A2', '612-EP2280013A1', '612-EP2280020A1', '612-EP2280021A1', '612-EP2281563A1', '612-EP2281813A1', '612-EP2281815A1', '612-EP2281817A1', '612-EP2281818A1', '612-EP2281819A1', '612-EP2281820A2', '612-EP2281821A1', '612-EP2281823A2', '612-EP2281824A1', '612-EP2284146A2', '612-EP2284147A2', '612-EP2284149A1', '612-EP2284150A2', '612-EP2284151A2', '612-EP2284152A2', '612-EP2284153A2', '612-EP2284155A2', '612-EP2284156A2', '612-EP2284157A1', '612-EP2284159A1', '612-EP2284160A1', '612-EP2284161A1', '612-EP2284162A2', '612-EP2284163A2', '612-EP2284164A2', '612-EP2284167A2', '612-EP2284168A2', '612-EP2284169A1', '612-EP2284170A1', '612-EP2284174A1', '612-EP2284178A2', '612-EP2284179A2', '612-EP2284920A1', '612-EP2286795A1', '612-EP2286811A1', '612-EP2287140A2', '612-EP2287147A2', '612-EP2287148A2', '612-EP2287150A2', '612-EP2287152A2', '612-EP2287153A1', '612-EP2287155A1', '612-EP2287156A1', '612-EP2287160A1', '612-EP2287161A1', '612-EP2287162A1', '612-EP2287163A1', '612-EP2287165A2', '612-EP2287166A2', '612-EP2287167A1', '612-EP2287940A1', '612-EP2289509A2', '612-EP2289510A1', '612-EP2289518A1', '612-EP2289868A1', '612-EP2289876A1', '612-EP2289879A1', '612-EP2289883A1', '612-EP2289885A1', '612-EP2289890A1', '612-EP2289892A1', '612-EP2289893A1', '612-EP2289894A2', '612-EP2289897A1', '612-EP2289965A1', '612-EP2292088A1', '612-EP2292227A2', '612-EP2292228A1', '612-EP2292231A1', '612-EP2292233A2', '612-EP2292234A1', '612-EP2292576A2', '612-EP2292586A2', '612-EP2292589A1', '612-EP2292590A2', '612-EP2292592A1', '612-EP2292593A2', '612-EP2292595A1', '612-EP2292596A2', '612-EP2292597A1', '612-EP2292599A1', '612-EP2292602A1', '612-EP2292603A1', '612-EP2292604A2', '612-EP2292606A1', '612-EP2292610A1', '612-EP2292611A1', '612-EP2292615A1', '612-EP2292617A1', '612-EP2292619A1', '612-EP2292620A2', '612-EP2292621A1', '612-EP2292622A1', '612-EP2292628A2', '612-EP2295053A1', '612-EP2295055A2', '612-EP2295401A2', '612-EP2295402A2', '612-EP2295406A1', '612-EP2295409A1', '612-EP2295411A1', '612-EP2295412A1', '612-EP2295413A1', '612-EP2295414A1', '612-EP2295415A1', '612-EP2295416A2', '612-EP2295417A1', '612-EP2295418A1', '612-EP2295419A2', '612-EP2295421A1', '612-EP2295423A1', '612-EP2295425A1', '612-EP2295426A1', '612-EP2295427A1', '612-EP2295430A2', '612-EP2295431A2', '612-EP2295432A1', '612-EP2295433A2', '612-EP2295434A2', '612-EP2295437A1', '612-EP2295438A1', '612-EP2295439A1', '612-EP2295441A2', '612-EP2295503A1', '612-EP2298312A1', '612-EP2298729A1', '612-EP2298731A1', '612-EP2298734A2', '612-EP2298735A1', '612-EP2298742A1', '612-EP2298743A1', '612-EP2298744A2', '612-EP2298745A1', '612-EP2298746A1', '612-EP2298747A1', '612-EP2298748A2', '612-EP2298750A1', '612-EP2298754A1', '612-EP2298755A1', '612-EP2298756A1', '612-EP2298757A2', '612-EP2298758A1', '612-EP2298759A1', '612-EP2298761A1', '612-EP2298763A1', '612-EP2298766A1', '612-EP2298767A1', '612-EP2298768A1', '612-EP2298770A1', '612-EP2298771A2', '612-EP2298772A1', '612-EP2298775A1', '612-EP2298776A1', '612-EP2298777A2', '612-EP2298778A1', '612-EP2298779A1', '612-EP2298780A1', '612-EP2298828A1', '612-EP2301533A1', '612-EP2301534A1', '612-EP2301536A1', '612-EP2301538A1', '612-EP2301544A1', '612-EP2301912A2', '612-EP2301916A2', '612-EP2301918A1', '612-EP2301922A1', '612-EP2301923A1', '612-EP2301928A1', '612-EP2301929A1', '612-EP2301931A1', '612-EP2301933A1', '612-EP2301934A1', '612-EP2301935A1', '612-EP2301937A1', '612-EP2301938A1', '612-EP2301939A1', '612-EP2301940A1', '612-EP2301983A1', '612-EP2302382A2', '612-EP2302383A2', '612-EP2305219A1', '612-EP2305248A1', '612-EP2305250A1', '612-EP2305254A1', '612-EP2305257A1', '612-EP2305260A1', '612-EP2305627A1', '612-EP2305633A1', '612-EP2305636A1', '612-EP2305637A2', '612-EP2305640A2', '612-EP2305641A1', '612-EP2305643A1', '612-EP2305646A1', '612-EP2305647A1', '612-EP2305648A1', '612-EP2305649A1', '612-EP2305650A1', '612-EP2305651A1', '612-EP2305652A2', '612-EP2305653A1', '612-EP2305654A1', '612-EP2305655A2', '612-EP2305657A2', '612-EP2305659A1', '612-EP2305660A1', '612-EP2305662A1', '612-EP2305663A1', '612-EP2305664A1', '612-EP2305666A1', '612-EP2305667A2', '612-EP2305668A1', '612-EP2305670A1', '612-EP2305671A1', '612-EP2305672A1', '612-EP2305673A1', '612-EP2305674A1', '612-EP2305675A1', '612-EP2305676A1', '612-EP2305678A1', '612-EP2305679A1', '612-EP2305681A1', '612-EP2305682A1', '612-EP2305683A1', '612-EP2305684A1', '612-EP2305687A1', '612-EP2305689A1', '612-EP2305695A2', '612-EP2305696A2', '612-EP2305697A2', '612-EP2305698A2', '612-EP2305769A2', '612-EP2305808A1', '612-EP2305825A1', '612-EP2308479A2', '612-EP2308492A1', '612-EP2308510A1', '612-EP2308562A2', '612-EP2308812A2', '612-EP2308828A2', '612-EP2308831A1', '612-EP2308833A2', '612-EP2308838A1', '612-EP2308839A1', '612-EP2308841A2', '612-EP2308842A1', '612-EP2308847A1', '612-EP2308848A1', '612-EP2308849A1', '612-EP2308850A1', '612-EP2308851A1', '612-EP2308854A1', '612-EP2308855A1', '612-EP2308857A1', '612-EP2308858A1', '612-EP2308861A1', '612-EP2308864A1', '612-EP2308865A1', '612-EP2308867A2', '612-EP2308869A1', '612-EP2308870A2', '612-EP2308872A1', '612-EP2308873A1', '612-EP2308874A1', '612-EP2308875A1', '612-EP2308877A1', '612-EP2308879A1', '612-EP2308880A1', '612-EP2308882A1', '612-EP2308883A1', '612-EP2308960A1', '612-EP2309584A1', '612-EP2311451A1', '612-EP2311453A1', '612-EP2311455A1', '612-EP2311494A1', '612-EP2311796A1', '612-EP2311797A1', '612-EP2311798A1', '612-EP2311799A1', '612-EP2311801A1', '612-EP2311802A1', '612-EP2311803A1', '612-EP2311805A1', '612-EP2311806A2', '612-EP2311807A1', '612-EP2311808A1', '612-EP2311809A1', '612-EP2311810A1', '612-EP2311811A1', '612-EP2311814A1', '612-EP2311816A1', '612-EP2311817A1', '612-EP2311818A1', '612-EP2311820A1', '612-EP2311821A1', '612-EP2311822A1', '612-EP2311823A1', '612-EP2311824A1', '612-EP2311825A1', '612-EP2311826A2', '612-EP2311827A1', '612-EP2311829A1', '612-EP2311830A1', '612-EP2311831A1', '612-EP2311834A1', '612-EP2311835A1', '612-EP2311837A1', '612-EP2311838A1', '612-EP2311839A1', '612-EP2311840A1', '612-EP2311842A2', '612-EP2311850A1', '612-EP2314295A1', '612-EP2314571A2', '612-EP2314574A1', '612-EP2314575A1', '612-EP2314576A1', '612-EP2314577A1', '612-EP2314578A1', '612-EP2314579A1', '612-EP2314581A1', '612-EP2314582A1', '612-EP2314583A1', '612-EP2314585A1', '612-EP2314586A1', '612-EP2314587A1', '612-EP2314588A1', '612-EP2314589A1', '612-EP2314590A1', '612-EP2314593A1', '612-EP2315303A1', '612-EP2316450A1', '612-EP2316452A1', '612-EP2316457A1', '612-EP2316458A1', '612-EP2316459A1', '612-EP2316824A1', '612-EP2316825A1', '612-EP2316826A1', '612-EP2316827A1', '612-EP2316828A1', '612-EP2316829A1', '612-EP2316831A1', '612-EP2316834A1', '612-EP2316835A1', '612-EP2316836A1', '612-EP2316837A1', '612-EP2316905A1', '612-EP2316906A2', '612-EP2316937A1', '612-EP2371797A1', '612-EP2371798A1', '612-EP2371799A1', '612-EP2371800A1', '612-EP2371802A1', '612-EP2371803A1', '612-EP2371804A1', '612-EP2371810A1', '612-EP2371811A2', '612-EP2371814A1', '612-EP2372017A1', '612-EP2374454A1', '612-EP2374526A1', '612-EP2374538A1', '612-EP2374786A1', '612-EP2374895A1', '612-EP2377510A1', '612-EP2377842A1', '612-EP2377843A1', '612-EP2380568A1', '612-EP2380661A2', '612-EP2380867A1', '612-EP2380874A2', 'Acetic acid, &gt;=99.99% trace metals basis', 'Acetic acid, JIS special grade, &gt;=99.7%', 'Acetic acid, purified by double-distillation', 'FT-0621735', 'FT-0621743', 'FT-0621764', 'FT-0661109', 'FT-0661110', 'Y1308', 'Acetic acid, UV HPLC spectroscopic, 99.9%', '8426-EP2269978A2', '8426-EP2269985A2', '8426-EP2269991A2', '8426-EP2270001A1', '8426-EP2270006A1', '8426-EP2272509A1', '8426-EP2272825A2', '8426-EP2272848A1', '8426-EP2275102A1', '8426-EP2275105A1', '8426-EP2275403A1', '8426-EP2275413A1', '8426-EP2275421A1', '8426-EP2277848A1', '8426-EP2277867A2', '8426-EP2277874A1', '8426-EP2280003A2', '8426-EP2280008A2', '8426-EP2281819A1', '8426-EP2284150A2', '8426-EP2284151A2', '8426-EP2284152A2', '8426-EP2284153A2', '8426-EP2284155A2', '8426-EP2284156A2', '8426-EP2284157A1', '8426-EP2284164A2', '8426-EP2286811A1', '8426-EP2286812A1', '8426-EP2287140A2', '8426-EP2287148A2', '8426-EP2287150A2', '8426-EP2287156A1', '8426-EP2289893A1', '8426-EP2292589A1', '8426-EP2292593A2', '8426-EP2292603A1', '8426-EP2292604A2', '8426-EP2295409A1', '8426-EP2295410A1', '8426-EP2295412A1', '8426-EP2295413A1', '8426-EP2295419A2', '8426-EP2295428A2', '8426-EP2295432A1', '8426-EP2295433A2', '8426-EP2295437A1', '8426-EP2295503A1', '8426-EP2298312A1', '8426-EP2298743A1', '8426-EP2298762A2', '8426-EP2298770A1', '8426-EP2298775A1', '8426-EP2298776A1', '8426-EP2298780A1', '8426-EP2298783A1', '8426-EP2301928A1', '8426-EP2301930A1', '8426-EP2301933A1', '8426-EP2301940A1', '8426-EP2305250A1', '8426-EP2305637A2', '8426-EP2305640A2', '8426-EP2305660A1', '8426-EP2305682A1', '8426-EP2305689A1', '8426-EP2305695A2', '8426-EP2305696A2', '8426-EP2305697A2', '8426-EP2305698A2', '8426-EP2308840A1', '8426-EP2308841A2', '8426-EP2308861A1', '8426-EP2308867A2', '8426-EP2308870A2', '8426-EP2308879A1', '8426-EP2311806A2', '8426-EP2311807A1', '8426-EP2311808A1', '8426-EP2311818A1', '8426-EP2311826A2', '8426-EP2311829A1', '8426-EP2311831A1', '8426-EP2311840A1', '8426-EP2311842A2', '8426-EP2314295A1', '8426-EP2314576A1', '8426-EP2314586A1', '8426-EP2316824A1', '8426-EP2316831A1', '8426-EP2316834A1', 'Acetic acid, Vetec(TM) reagent grade, &gt;=99%', 'Bifido Selective Supplement B, for microbiology', 'C00033', 'D00010', 'Q47512', '12812-EP2295402A2', '12812-EP2316470A2', '12812-EP2316831A1', 'A834671', 'Acetic acid, &gt;=99.7%, SAJ super special grade', 'SR-01000944354', 'SR-01000944354-1', 'Acetic acid solution, SAJ first grade, 27.0-33.0%', 'Glacial acetic acid, meets USP testing specifications', 'Acetic acid, &gt;=99.7%, suitable for amino acid analysis', 'Acetic acid, &gt;=99.7%, for titration in non-aqueous medium', 'Acetic acid, for luminescence, BioUltra, &gt;=99.5% (GC)', 'UNII-00IBG87IQW component QTBSBXVTEAMEQO-UHFFFAOYSA-N', 'UNII-2AY78S427U component QTBSBXVTEAMEQO-UHFFFAOYSA-N', 'UNII-4U092XZF0K component QTBSBXVTEAMEQO-UHFFFAOYSA-N', 'UNII-726I6TE06G component QTBSBXVTEAMEQO-UHFFFAOYSA-N', 'UNII-EGV6V52K6N component QTBSBXVTEAMEQO-UHFFFAOYSA-N', 'UNII-F6R2N217HS component QTBSBXVTEAMEQO-UHFFFAOYSA-N', 'UNII-IEU56G3J9C component QTBSBXVTEAMEQO-UHFFFAOYSA-N', 'UNII-LGW5H38VE3 component QTBSBXVTEAMEQO-UHFFFAOYSA-N', 'UNII-N4G9GAT76C component QTBSBXVTEAMEQO-UHFFFAOYSA-N', 'UNII-NSF067KU1M component QTBSBXVTEAMEQO-UHFFFAOYSA-N', 'UNII-T2I226K69M component QTBSBXVTEAMEQO-UHFFFAOYSA-N', 'Acetic acid, glacial or acetic acid solution, &gt;80% acid, by mass', 'Acetic acid solution, not less than 50% but more than 80% acid, by mass', 'Acetic acid solution, with more than 10% and less than 50% acid, by mass', 'Acetic acid, p.a., ACS reagent, reag. ISO, reag. Ph. Eur., 99.8%', 'Acetic acid, semiconductor grade MOS PURANAL(TM) (Honeywell 17926)', 'Glacial acetic acid, United States Pharmacopeia (USP) Reference Standard', 'Acetic acid, Acculute Standard Volumetric Solution, Final Concentration 1.0N', 'Acetic acid, glacial or acetic acid solution, &gt;80% acid, by mass [UN2789] [Corrosive]', 'Acetic acid, puriss. p.a., ACS reagent, reag. ISO, reag. Ph. Eur., &gt;=99.8%', 'Glacial Acetic Acid, Pharmaceutical Secondary Standard; Certified Reference Material', '158461-04-2', 'Acetic acid, glacial, PharmaGrade, USP, JP, Ph Eur, Manufactured under appropriate GMP controls for pharma or biopharmaceutical production.', 'Acetic acid, puriss., meets analytical specification of Ph. Eur., BP, USP, FCC, 99.8-100.5%']</t>
  </si>
  <si>
    <t>Compound(176)</t>
  </si>
  <si>
    <t>sum HBCD (technical mixture, unspecified bromine positions)</t>
  </si>
  <si>
    <t>1,1,2,2,3,3-hexabromocyclododecane</t>
  </si>
  <si>
    <t>['1,1,2,2,3,3-hexabromocyclododecane', '25637-99-4', '1235106-66-7', 'Cyclododecane,hexabromo-', 'hexabromocyclododecane;1,1,2,2,3,3-hexabromocyclododecane;cyclododecane, hexabromo-;hexabromocyclododecane 1,1,2,2,3,3-hexabromocyclododecane cyclododecane, hexabromo-', '1,1,2,2,3,3-hexakis(bromanyl)cyclododecane', 'SCHEMBL25668', 'CTK4F6161', '4489AA', 'ANW-65164', 'AKOS016005093', 'ZINC150344337', 'FT-0626945', 'A817938', 'A821065']</t>
  </si>
  <si>
    <t>Compound(15724678)</t>
  </si>
  <si>
    <t>C12H18Br6</t>
  </si>
  <si>
    <t>hexachlorobenzene</t>
  </si>
  <si>
    <t>1,2,3,4,5,6-hexachlorobenzene</t>
  </si>
  <si>
    <t>['HEXACHLOROBENZENE', 'Perchlorobenzene', '118-74-1', 'Hexachlorbenzol', 'Anticarie', 'Benzene, hexachloro-', 'Sanocide', 'Phenyl perchloryl', 'Snieciotox', 'Amatin', 'Bunt-cure', '1,2,3,4,5,6-Hexachlorobenzene', 'Bunt-no-more', 'NO Bunt liquid', 'Smut-Go', 'NO Bunt', 'Sanocid', 'CO-OP Hexa', 'Granox NM', "Julin's carbon chloride", 'Esaclorobenzene', 'NO Bunt 40', 'NO Bunt 80', 'Granox', 'Pentachlorophenyl chloride', 'Saatbeizfungizid', 'Voronit C', 'Hexa C.B.', 'Hexa CB', 'HCB', 'Rcra waste number U127', 'CEKU C.B.', 'Caswell No. 477', 'Hexachlorobenzene [BSI:ISO]', 'Hexcachlorbenzen', 's anocide', 'Hexachlorbenzol [German]', 'Esaclorobenzene [Italian]', 'Saatbeizfungizid [German]', "Julin's chloride", 'UNII-4Z87H0LKUY', 'hexa c.b', 'NSC 9243', 'CCRIS 325', 'Ceku C.B', 'HSDB 1724', 'ENT-1719', "Julian's carbon chloride", 'EINECS 204-273-9', 'UN2729', 'RCRA waste no. U127', 'EPA Pesticide Chemical Code 061001', 'Benzene, 1,2,3,4,5,6-hexachloro-', 'BRN 1912585', '4Z87H0LKUY', 'Hexachlorobenzol', 'CHEBI:5692', 'AI 3.01719', '1,2,3,4,5,6-hexachloro-benzene', 'Hexachlorobenzene [UN2729] [Poison]', 'Hexachlorobenzene, analytical standard', 'Hexachlorobenzene 100 microg/mL in Methanol', 'C6Cl6', 'hexachloro-benzene', 'Hexachlorbenzol(german)', "Julen's carbon chloride", 'HCB / Hexachlorobenzene', 'DSSTox_CID_682', 'DSSTox_RID_75730', 'DSSTox_GSID_20682', 'SCHEMBL26562', '4-05-00-00670 (Beilstein Handbook Reference)', 'BIDD:ER0320', 'CHEMBL228514', 'DTXSID2020682', 'CTK3J1583', 'NSC9243', 'WLN: GR BG CG DG EG FG', 'NSC-9243', 'ZINC1532127', 'Tox21_202995', 'LS-603', 'STL264107', 'AKOS001076004', 'MCULE-7566429812', 'UN 2729', 'Hexachlorobenzene [UN2729]  [Poison]', 'NCGC00166224-01', 'NCGC00260540-01', 'CAS-118-74-1', 'U131', 'DB-030645', 'FT-0626951', 'NS00010702', 'Hexachlorobenzene 10 microg/mL in Cyclohexane', 'Hexachlorobenzene 100 microg/mL in Isooctane', 'C11042', 'Hexachlorobenzene 10 microg/mL in Acetonitrile', '135649-EP2275422A1', '135649-EP2292608A1', 'Q409682', 'Hexachlorobenzene, PESTANAL(R), analytical standard', 'W-108538', 'ED10ADC2-A7A7-431F-96D9-BEC65F8D2C6A', 'Hexachlorobenzene (HCB);Benzene, hexachloro-;hexachlorobenzene']</t>
  </si>
  <si>
    <t>Compound(8370)</t>
  </si>
  <si>
    <t>C6Cl6</t>
  </si>
  <si>
    <t>hexachlorcyclopentadiene (HCCPD)</t>
  </si>
  <si>
    <t>1,2,3,4,5,5-hexachlorocyclopenta-1,3-diene</t>
  </si>
  <si>
    <t>['HEXACHLOROCYCLOPENTADIENE', '77-47-4', 'Graphlox', 'Perchlorocyclopentadiene', 'Hccpd', '1,2,3,4,5,5-hexachlorocyclopenta-1,3-diene', 'Hexachlorcyklopentadien', '1,3-Cyclopentadiene, 1,2,3,4,5,5-hexachloro-', 'Cyclopentadiene, hexachloro-', 'Perchloro-1,3-cyclopentadiene', 'Hexachloro-1,3-cyclopentadiene', 'RCRA waste number U130', 'NCI-C55607', 'C 56', 'HRS 1655', 'Caswell No. 478', '1,2,3,4,5,5-Hexachloro-1,3-cyclopentadiene', '1,3-Cyclopentadiene, hexachloro-', 'UNII-IP6ATU242I', 'NSC 9235', 'CCRIS 5919', 'Hexachlorcyklopentadien [Czech]', 'HSDB 4011', 'EINECS 201-029-3', 'UN2646', 'RCRA waste no. U130', 'EPA Pesticide Chemical Code 027502', 'BRN 0976722', 'IP6ATU242I', 'C-56', 'AI3-15558', 'C56', 'DSSTox_CID_688', 'DSSTox_RID_75736', '1,2,3,4,5,5-Hexachloro-cyclopenta-1,3-diene', 'DSSTox_GSID_20688', 'CAS-77-47-4', 'Perchlorocyclopentadie ne', 'hexachloro-cyclopentadiene', 'Cyclopentadiene hexachkoride', '4-05-00-00381 (Beilstein Handbook Reference)', 'perchlorocyclopenta-1,3-diene', 'SCHEMBL165983', 'hexachlorocyclopenta-1,3-diene', 'Hexachlorocyclopentadiene, 98%', 'CHEMBL1526721', 'DTXSID2020688', 'CTK6G5982', 'NSC9235', 'NSC-9235', 'ZINC1699874', 'Tox21_202279', 'Tox21_302780', 'SBB061405', '1, 1,2,3,4,5,5-hexachloro-', 'AKOS009156868', 'LS-1709', 'MCULE-1886627022', 'UN 2646', '1,2,3,4,5,5-Hexachlorocyclopentadiene', 'NCGC00091545-01', 'NCGC00091545-02', 'NCGC00091545-03', 'NCGC00091545-04', 'NCGC00091545-05', 'NCGC00256512-01', 'NCGC00259828-01', 'WLN: L5 AHJ AG AG BG CG DG EG', 'DB-056221', '1,3,4,5,5-Hexachloro-1,3-cyclopentadiene', 'NS00009501', 'ST51047424', 'EN300-61293', 'Hexachlorocyclopentadiene [UN2646] [Poison]', 'Hexachlorocyclopentadiene [UN2646]  [Poison]', 'Q408998', 'Hexachlorocyclopentadiene 10 microg/mL in Isooctane', 'Hexachlorocyclopentadiene 100 microg/mL in Isooctane', 'Hexachlorocyclopentadiene 1000 microg/mL in Acetone', 'W-104314', 'Hexachlorocyclopentadiene;Cyclopentadiene, hexachloro-']</t>
  </si>
  <si>
    <t>Compound(6478)</t>
  </si>
  <si>
    <t>C5Cl6</t>
  </si>
  <si>
    <t>1,1, 2,2-tetrachloro-1-fluoroethane</t>
  </si>
  <si>
    <t>1,1,2,2-tetrachloro-1-fluoroethane</t>
  </si>
  <si>
    <t>['1-Fluoro-1,1,2,2-tetrachloroethane', '354-14-3', '1,1,2,2-Tetrachloro-1-fluoroethane', 'HCFC-121', 'Freon 121', 'UNII-5N0U1X0S7J', 'ETHANE, 1,1,2,2-TETRACHLORO-1-FLUORO-', '1,1,2,2-Tetrachlorofluoroethane', '5N0U1X0S7J', 'Hcfc 121', 'HSDB 6975', 'EINECS 206-546-8', 'Fluorotetrachloroethane', 'SCHEMBL339702', 'DTXSID6059863', 'CTK4H4487', 'ACM354143', 'FCH919177', 'ZINC95707654', 'AKOS006230036', '1,1,2,2-tetrachloro-1-fluoro-ethane', 'Ethane,1,1,2,2-tetrachloro-1-fluoro-', 'DB-048798', 'FT-0607769', 'NS00041429', '1,1,2,2-tetrakis(chloranyl)-1-fluoranyl-ethane', 'A822780', 'C-50954', 'Q27262580']</t>
  </si>
  <si>
    <t>Compound(61105)</t>
  </si>
  <si>
    <t>C2HCl4F</t>
  </si>
  <si>
    <t>1,1,1,2-tetrachloro-2-fluoroethane</t>
  </si>
  <si>
    <t>['1,1,1,2-Tetrachloro-2-fluoroethane', 'HCFC-121a', '354-11-0', 'ETHANE, 1,1,1,2-TETRACHLORO-2-FLUORO-', 'Hcfc 121a', 'EINECS 206-545-2', 'SCHEMBL339701', 'DTXSID6042020', 'CTK8I3766', 'ACM354110', 'FCH1200427', 'NS00041428', 'Q27261931']</t>
  </si>
  <si>
    <t>Compound(61104)</t>
  </si>
  <si>
    <t>2,2-dichloro- 1,1,1-trifluoroethane</t>
  </si>
  <si>
    <t>2,2-dichloro-1,1,1-trifluoroethane</t>
  </si>
  <si>
    <t>['2,2-DICHLORO-1,1,1-TRIFLUOROETHANE', '306-83-2', '1,1-Dichloro-2,2,2-trifluoroethane', 'DICHLOROTRIFLUOROETHANE', 'Freon 123', 'Solkane 123', 'HCFC-123', 'Dichlorotrifluoromethylmethane', 'Ethane, 2,2-dichloro-1,1,1-trifluoro-', 'Hcfc 123', 'Hydrochlorofluorocarbon', 'Refrigerant R 123', '1,1,1-Trifluoro-2,2-dichloroethane', 'Chlorofluorocarbon 123', 'Refrigerant HCFC-123', 'CFC-123', 'HFA 123', 'FC-123', 'UNII-6S7C791U3V', 'CCRIS 7216', 'Dichloro(trifluoromethyl)methane', 'HSDB 6752', 'R 123', 'EINECS 206-190-3', 'FC 123', 'Hydrochlorofluorocarbon 123', 'BRN 1736763', 'Ethane,2,2-dichloro-1,1,1-trifluoro-', '34077-87-7', '6S7C791U3V', '2,2-Dichloro-1,1,1,2-tetrafluoroethane', 'Freon-123', 'Fluorocarbon 123', 'Khladon 123', 'C2HCl2F3', 'Ethane, dichlorotrifluoro-', 'Genetron 123', '2,2-dichloro-1,1,1-trifluoro-ethane', 'CF3CHCl2', 'CHCl2CF3', 'Flon-123', 'F 123', 'EC 206-190-3', 'SCHEMBL65852', 'DTXSID7020712', 'CTK4G5571', 'Dichlorotrifluoroethane (Related)', '9679AD', 'FCH918503', 'ZINC60040243', 'AKOS006228609', 'ACM34077877', 'LS-65499', 'D2384', 'FT-0606099', 'FT-0694949', 'NS00006664', 'R-123', 'Y-9342', '2,2-bis(chloranyl)-1,1,1-tris(fluoranyl)ethane', 'A820478', 'J-018055', 'Q1869625', '2,2-dichloro-1,1,1-trifluoroethane;Ethane, 2,2-dichloro-1,1,1-trifluoro-']</t>
  </si>
  <si>
    <t>Compound(9385)</t>
  </si>
  <si>
    <t>C2HCl2F3</t>
  </si>
  <si>
    <t>1,2-dichloro- 1,1,2-trifluoroethane</t>
  </si>
  <si>
    <t>1,2-dichloro-1,1,2-trifluoroethane</t>
  </si>
  <si>
    <t>['1,2-Dichloro-1,1,2-trifluoroethane', '1,2-Dichlorotrifluoroethane', '354-23-4', 'HCFC-123A', 'HCFC 123a', 'Ethane, 1,2-dichloro-1,1,2-trifluoro-', 'CFC 123a', '1,1,2-Trifluoro-1,2-dichloroethane', 'F 123a', 'HSDB 6871', 'R 123a', 'EINECS 206-549-4', 'BRN 1698496', 'CF2ClCHFCl', '4-01-00-00136 (Beilstein Handbook Reference)', 'SCHEMBL166828', 'DTXSID1042021', 'CTK4H4508', 'ACM354234', 'FCH922196', 'SBB086879', 'AKOS006345010', 'Ethane,1,2-dichloro-1,1,2-trifluoro-', 'LS-65498', 'DB-048801', 'FT-0606370', 'FT-0695759', 'NS00042120', 'C-50952', 'Q27282088']</t>
  </si>
  <si>
    <t>Compound(9631)</t>
  </si>
  <si>
    <t>1,1-dichloro- 1,2, 2-trifluoroethane</t>
  </si>
  <si>
    <t>1,1-dichloro-1,2,2-trifluoroethane</t>
  </si>
  <si>
    <t>['1,1-Dichloro-1,2,2-trifluoroethane', '812-04-4', 'UNII-6NR3OZL5ZZ', 'HCFC-123B', '6NR3OZL5ZZ', 'Ethane, 1,1-dichloro-1,2,2-trifluoro-', 'HSDB 6873', '1,1-DICHLORO-1,2,2-TRIFLUORO-ETHANE', 'SCHEMBL166827', 'DTXSID6042022', 'CTK5E8554', 'Ethane, dichloro-1,1,2-trifluoro-', 'AKOS006276137', 'ZINC104373552', 'Ethane,1,1-dichloro-1,2,2-trifluoro-', 'Q27265203', 'UNII-33K4NXE866 component AFTSHZRGGNMLHC-UHFFFAOYSA-N']</t>
  </si>
  <si>
    <t>Compound(13132)</t>
  </si>
  <si>
    <t>2-chloro- 1,1, 1,2-tetrafluoroethane</t>
  </si>
  <si>
    <t>2-chloro-1,1,1,2-tetrafluoroethane</t>
  </si>
  <si>
    <t>['2-CHLORO-1,1,1,2-TETRAFLUOROETHANE', '2837-89-0', 'HCFC-124', 'Freon 124', 'CHLOROTETRAFLUOROETHANE', 'Ethane, 2-chloro-1,1,1,2-tetrafluoro-', '1-Chloro-1,2,2,2-tetrafluoroethane', '1,1,1,2-Tetrafluorochloroethane', 'CF3CHFCl', 'HCFC 124', 'Hfa-124', '1,1,1,2-Tetrafluoro-2-chloroethane', 'HSDB 6754', 'R 124', 'EINECS 220-629-6', 'UN1021', 'UNII-N00845EG42', 'CCRIS 8516', 'N00845EG42', 'SCHEMBL254501', 'DTXSID7029245', 'CTK4G1326', 'CFC 124', 'FCH918952', 'AKOS006228032', 'ACM2837890', '2-Chloro-1,1,1,2-tetrafluoroethane #', 'Ethane,2-chloro-1,1,1,2-tetrafluoro-', 'LS-65252', 'DB-047386', 'FT-0611669', 'NS00020291', 'C-36306', 'Q752098', '1-Chloro-1,2,2,2-tetrafluoroethane or Refrigerant gas R 124', 'Ethane, 2-chloro-1,1,1,2-tetrafluoro-;2-Chloro-1,1,1,2-tetrafluoroethane', '1-Chloro-1,2,2,2-tetrafluoroethane or Refrigerant gas R 124 [UN1021]  [Nonflammable gas]', '1-Chloro-1,2,2,2-tetrafluoroethane or Refrigerant gas R 124 [UN1021] [Nonflammable gas]']</t>
  </si>
  <si>
    <t>Compound(17822)</t>
  </si>
  <si>
    <t>C2HClF4</t>
  </si>
  <si>
    <t>1-chloro- 1,1, 2,2-tetrafluoroethane</t>
  </si>
  <si>
    <t>1-chloro-1,1,2,2-tetrafluoroethane</t>
  </si>
  <si>
    <t>['1-Chloro-1,1,2,2-tetrafluoroethane', '354-25-6', 'HCFC-124A', 'Ethane, 1-chloro-1,1,2,2-tetrafluoro-', 'F 124a', 'R 124a', 'HCFC 124a', 'HSDB 6872', 'UNII-4X1142270I', 'EINECS 206-552-0', '1,1,2,2-Tetrafluoro-1-chloroethane', 'BRN 1736683', 'Ethane,1-chloro-1,1,2,2-tetrafluoro-', '4X1142270I', 'CHF2CClF2', 'SCHEMBL246615', 'DTXSID1042023', 'CTK4H4513', '1,1,2,2-Tetrafluorochloroethane', 'ACM354256', 'FCH918944', 'ZINC63148511', 'AKOS006227826', '1-chloro-1,1,2,2-tetrafluoro-ethane', 'VZ21338', 'CC-04318', 'LS-65253', 'DB-048805', 'FT-0607571', 'NS00041653', '1-chloranyl-1,1,2,2-tetrakis(fluoranyl)ethane', 'A822791', 'C-01674', 'UNII-6272DG9IPQ component JQZFYIGAYWLRCC-UHFFFAOYSA-N']</t>
  </si>
  <si>
    <t>Compound(9632)</t>
  </si>
  <si>
    <t>1,2,2-trichlorofluoroethane (Fc-131)</t>
  </si>
  <si>
    <t>1,1,2-trichloro-2-fluoroethane</t>
  </si>
  <si>
    <t>['1-Fluoro-1,2,2-trichloroethane', '1,1,2-TRICHLORO-2-FLUOROETHANE', '359-28-4', 'HCFC-131', 'Ethane, 1,1,2-trichloro-2-fluoro-', '2-Fluoro-1,1,2-trichloroethane', 'HCFC 131', '1,1,2-Trichloro-2-fluorethane', 'R 131 (refrigerant)', 'R 131', 'SCHEMBL177915', 'CTK4H5586', 'ORMSTDJYMPIZAO-UHFFFAOYSA-', '1,2,2-trichloro-1-fluoroethane', 'ACM359284', 'Ethane,1,1,2-trichloro-2-fluoro-', 'FCH918983', 'SBB086798', 'AKOS006228644', 'FT-0607770', 'R-131', 'C-47495', 'Q27279414']</t>
  </si>
  <si>
    <t>Compound(9666)</t>
  </si>
  <si>
    <t>C2H2Cl3F</t>
  </si>
  <si>
    <t>1,2-dichloro-1,2-difluoroethane</t>
  </si>
  <si>
    <t>['1,2-Dichloro-1,2-difluoroethane', '431-06-1', 'EINECS 207-070-3', 'HCFC-132', 'Ethane, 1,2-dichloro-1,2-difluoro-', 'Ethane,1,2-dichloro-1,2-difluoro-', 'SCHEMBL201983', '1,2-difluor-1,2-dichlorethan', 'CTK4I7012', 'DTXSID70861928', '1,2-Difluoro-1,2-dichloroethane', '1,2-dichloro-1,2-difluoro-ethane', '3271AE', 'ACM431061', 'FCH918942', 'SBB085879', 'AKOS006227825', 'VZ20427', 'CC-02890', 'SC-54139', 'DB-051026', 'LS-185335', 'FT-0606373', 'NS00043881', '1,2-bis(chloranyl)-1,2-bis(fluoranyl)ethane', 'A826156', 'C-01543']</t>
  </si>
  <si>
    <t>Compound(33241)</t>
  </si>
  <si>
    <t>C2H2Cl2F2</t>
  </si>
  <si>
    <t>1,2-dichloro-1,1-difluoroethane</t>
  </si>
  <si>
    <t>['1,2-DICHLORO-1,1-DIFLUOROETHANE', '1649-08-7', 'HCFC-132b', 'Ethane, 1,2-dichloro-1,1-difluoro-', 'UNII-K90K8VM1NQ', 'DICHLORODIFLUOROETHANE', 'HSDB 6758', '1,2-dichloro-1,1-difluoro-ethane', 'EINECS 216-714-2', 'BRN 1733206', 'K90K8VM1NQ', '1,1-Difluoro-1,2-dichloroethane', 'CF2ClCH2Cl', 'SCHEMBL201982', 'DTXSID5031393', 'CTK1E2278', 'Ethane, dichloro-1,1-difluoro-', 'R-132b', '5293AD', 'FCH918814', 'LS-921', 'ZINC63148406', 'AKOS006230231', 'VZ20426', 'CC-02889', 'DB-043604', 'FT-0606372', 'NS00048189', '1,2-bis(chloranyl)-1,1-bis(fluoranyl)ethane', 'Y-9181', '1,2-Dichloro-1,1-difluoroethane (HCFC-132b)', 'A810601', 'C-01542', 'Q27282103', 'HALOGENATED ETHANES CS (1,2-DICHLORO-1,1-DIFLUOROETHANE)', '1,2-DICHLORO-1,1-DIFLUOROETHANE (SEE ALSO HALOGENATED ETHANES CS (1,2-DICHLORO-1,1-DIFLUOROETHANE))', '55949-45-6']</t>
  </si>
  <si>
    <t>Compound(15442)</t>
  </si>
  <si>
    <t>2-chloro- 1,1, 1-trifluoroethane</t>
  </si>
  <si>
    <t>2-chloro-1,1,1-trifluoroethane</t>
  </si>
  <si>
    <t>['2-Chloro-1,1,1-trifluoroethane', '75-88-7', '1-Chloro-2,2,2-trifluoroethane', 'Chlorotrifluoroethane', 'Genetron 133a', 'Forane 133a', 'Freon 133a', 'HCFC-133a', '1,1,1-TRIFLUORO-2-CHLOROETHANE', 'Ethane, 2-chloro-1,1,1-trifluoro-', 'HCFC 133a', 'CFC 133a', '2,2,2-Trifluorochloroethane', 'FC 133a', 'Chloro-1,1,1-trifluoroethane', '1,1,1-Trifluoroethyl chloride', 'R 133a', 'CCRIS 154', 'UNII-H86O899T9B', '2,2,2-Trifluoroethyl chloride', 'HSDB 6949', 'CF3CH2Cl', 'EINECS 200-912-0', 'UN1983', 'BRN 1733200', 'CHEBI:82423', 'H86O899T9B', '2-chloro-1,1,1-trifluoro-ethane', 'Fluorocarbon 133a', '1,1,1-trifluorochloroethane', '(Chloromethyl)trifluoromethane', '4-01-00-00128 (Beilstein Handbook Reference)', 'SCHEMBL297295', 'CHEMBL142556', 'DTXSID5020289', 'CTK5E2156', '1-Chloro-2,2,2-trifluoroethene', 'Ethane,2-chloro-1,1,1-trifluoro-', 'FCH176030', 'ZINC40135787', 'AKOS007930324', 'LS-7264', 'CC-04325', '1-Chloro-2,2,2-Trifluoroethane (133a)', 'DB-019110', 'FT-0607583', 'FT-0623701', 'NS00041091', 'C19367', 'C-00728', 'Q3596740', '1-Chloro-2,2,2-trifluoroethane or Refrigerant gas R 133a', '2-Chloro-1,1,1-trifluoroethane 100 microg/mL in Methanol', '1-Chloro-2,2,2-trifluoroethane or Refrigerant gas R 133a [UN1983]  [Non-flammable gas]', '1-Chloro-2,2,2-trifluoroethane or Refrigerant gas R 133a [UN1983] [Non-flammable gas]', 'chloro-1,1,1-trifluoroethane;Chloro-1,1,1-trifluoroethane;Ethane, 2-chloro-, 1,1,1-trifluoro-']</t>
  </si>
  <si>
    <t>Compound(6408)</t>
  </si>
  <si>
    <t>C2H2ClF3</t>
  </si>
  <si>
    <t>1,1-dichloro-1-fluoroethane</t>
  </si>
  <si>
    <t>['1,1-DICHLORO-1-FLUOROETHANE', 'Dichlorofluoroethane', '1717-00-6', 'HCFC-141b', 'Ethane, 1,1-dichloro-1-fluoro-', 'Refrigerant 141b', 'Isotron 141b', 'Solkane 141b', 'HCFC 141b', 'Freon-141', 'R 141b', 'UNII-O1A3ASY5PW', 'CFC 141b', 'CCRIS 7208', 'HSDB 6757', 'CFC-141', 'O1A3ASY5PW', 'BRN 1731585', '1,1-dichloro-1-fluoro-ethane', 'Genetron 141b', 'Freon 141b', 'EC 404-080-1', 'SCHEMBL27944', '4-01-00-00134 (Beilstein Handbook Reference)', 'DTXSID2020422', 'CTK1A6323', 'FRCHKSNAZZFGCA-UHFFFAOYSA-', 'FCH917803', 'ZINC45329269', 'AKOS006229792', '1,1-bis(chloranyl)-1-fluoranyl-ethane', 'LS-65493', 'DB-064827', 'D2139', 'FT-0606096', 'NS00004762', 'A811341', 'C-47594', 'Q385448', '1,1-Dichloro-1-fluoroethane 100 microg/mL in Methanol', 'Ethane, 1,1-dichloro-1-fluoro-;1,1-DICHLORO-1-FLUOROTHANE;1,1-dichloro-1-fluoroethane']</t>
  </si>
  <si>
    <t>Compound(15586)</t>
  </si>
  <si>
    <t>C2H3Cl2F</t>
  </si>
  <si>
    <t>1-chloro-1,1-difluoroethane</t>
  </si>
  <si>
    <t>['1-Chloro-1,1-difluoroethane', '75-68-3', 'Ethane, 1-chloro-1,1-difluoro-', 'Freon 142b', 'HCFC-142b', 'Propellant 142b', 'Genetron 142b', 'Genetron 101', 'Gentron 142B', 'Fluorocarbon FC142b', 'Chloroethylidene fluoride', 'Fluorocarbon 142b', 'Isotron 142b', 'CFC 142b', 'Hydrochlorofluorocarbon 142b', '1,1-Difluoro-1-chloroethane', 'FREON 142', 'Monochlorodifluoroethane', 'Difluoro-1-chloroethane', 'UNII-FUC3XHA6GY', 'R-142b', 'FC142b', 'HSDB 2881', 'Chlorofluorocarbon 142b', 'FUC3XHA6GY', 'EINECS 200-891-8', 'UN2517', 'BRN 1731584', '1-Chloro-1,1-difluorothane', '.alpha.-Chloroethylidene fluoride', 'F 142b', 'Dymel 142', 'CH3CClF2', 'CH3CF2Cl', 'refrigerant gas R142b', 'EC 200-891-8', 'HCFC 142b', 'SCHEMBL30184', 'FC 142b', 'DTXSID9023960', 'CTK1A4880', 'R 142b', 'ZINC45329281', '1-Chloro-1,1-difluoroethane, 98%', 'AKOS007930004', 'EBD2014223', 'FCH1116692', 'HYDROCHLOROFLUORO- CARBON 142B', 'UN 2517', 'LS-65235', 'DB-055977', 'FT-0607575', 'NS00005610', 'C-00234', 'Q161601', '1-Chloro-1,1-difluoroethane 100 microg/mL in Methanol', '1-Chloro-1,1-difluoroethane or Refrigerant gas R 142b', '1-Chloro-1,1-difluoroethane or Refrigerant gas R 142b [UN2517]  [Flammable gas]', '1-Chloro-1,1-difluoroethane or Refrigerant gas R 142b [UN2517] [Flammable gas]', 'HYDROCHLOROFLUOROCARBON 142B;Ethane, 1-chloro-1,1-difluoro-;1-chloro-1,1-difluoroethane']</t>
  </si>
  <si>
    <t>Compound(6388)</t>
  </si>
  <si>
    <t>C2H3ClF2</t>
  </si>
  <si>
    <t>dichlorofluoromethane</t>
  </si>
  <si>
    <t>dichloro(fluoro)methane</t>
  </si>
  <si>
    <t>['Dichlorofluoromethane', 'Fluorodichloromethane', 'Dichloromonofluoromethane', '75-43-4', 'Methane, dichlorofluoro-', 'Refrigerant 21', 'Monofluorodichloromethane', 'Algofrene type 5', 'Arcton 7', 'Genetron 21', 'dichloro(fluoro)methane', 'R 21 (refrigerant)', 'Freon F 21', 'Halon 112', 'Fluorocarbon 21', 'Dwuchlorofluorometan', 'FREON 21', 'HCFC-21', 'Racon 21', 'UNII-7GAO4CRJ0B', 'Dwuchlorofluorometan [Polish]', 'HCFC 21', 'CFC-21', 'HSDB 142', 'F 21', 'Dichloro-fluoro-methane', 'FC-21', 'EINECS 200-869-8', 'UN1029', '7GAO4CRJ0B', 'BRN 1731041', 'CHCl2F', 'Methane,dichlorofluoro-', 'Fluorocarbon-21', 'CHFCl2', 'Dichlorofluoromethane, 98%', 'SCHEMBL9376', '4-01-00-00039 (Beilstein Handbook Reference)', 'CHEMBL116813', 'DTXSID7052498', 'CTK5E1560', 'FC 21', 'ZINC43356624', 'AKOS015915816', 'UN 1029', 'LS-90031', 'SC-96523', 'Dichlorofluoromethane or Refrigerant gas R21', 'FT-0624712', 'NS00020118', 'Dichlorofluoromethane 100 microg/mL in Methanol', 'Q418163', 'Dichlorofluoromethane or Refrigerant gas R21 [UN1029]  [Nonflammable gas]', 'Dichlorofluoromethane or Refrigerant gas R21 [UN1029] [Nonflammable gas]']</t>
  </si>
  <si>
    <t>Compound(6370)</t>
  </si>
  <si>
    <t>CHCl2F</t>
  </si>
  <si>
    <t>chlorodifluoromethane</t>
  </si>
  <si>
    <t>chloro(difluoro)methane</t>
  </si>
  <si>
    <t>['CHLORODIFLUOROMETHANE', 'Difluorochloromethane', '75-45-6', 'chloro(difluoro)methane', 'Methane, chlorodifluoro-', 'Frigen', 'Frigen 22', 'Fluorocarbon 22', 'Fluorocarbon-22', 'Difluoromonochloromethane', 'Monochlorodifluoromethane', 'Propellant 22', 'Algofrene type 6', 'HCFC-22', 'Algofrene 22', 'Arcton 4', 'Genetron 22', 'Daiflon 22', 'Eskimon 22', 'Flugene 22', 'Haltron 22', 'Isotron 22', 'Khladon 22', 'Refrigerant R 22', 'Algeon 22', 'Arcton 22', 'Forane 22', 'Isceon 22', 'Electro-CF 22', 'Dymel 22', 'Freon 22', 'F 22 (halocarbon)', 'Ucon 22', 'HCFC 22', 'Racon 22', 'Chlorofluorocarbon 22', 'Forane 22 B', 'Chloro-difluoro-methane', 'R 22 (refrigerant)', 'CFC 22', 'FKW 22', 'HFA-22', 'FC 22', 'Hydrochlorofluorocarbon 22', 'UNII-ZFO627O6CN', 'Halocarbon 22', 'CCRIS 858', 'HSDB 143', 'CHF2Cl', 'F 22', 'R-22', 'EINECS 200-871-9', 'UN1018', 'FREON-22', 'BRN 1731036', 'ZFO627O6CN', 'CHEBI:82417', 'Algofrene 6', 'Refrigerant 22', 'chloro-difluoromethane', 'CHClF2', 'Methane,chlorodifluoro-', 'Refrigerant R22', 'Diflurochloromethane', 'Khaladon 22', 'difiuorochloromethane', 'Freon22', 'HCF2Cl', 'Difluoromethyl chloride', 'chloro-difluoro methane', 'Monochlorodifluormethane', 'Flon 22', 'Freon R-22', 'EC 200-871-9', 'chloranyl-bis(fluoranyl)methane', 'CHEMBL116155', 'DTXSID6020301', 'CTK5E1582', 'HYDROCHLOROFLUORO- CARBON 22', 'LEAK DETECTION STANDARD LD-2', 'ZINC43356566', 'AKOS006228558', 'R22 [UN1018] [Nonflammable gas]', 'GF10004', 'LS-7266', 'UN 1018', 'R22 [UN1018]  [Nonflammable gas]', 'R 22', 'NS00011371', 'C19361', 'Chlorodifluoromethane 100 microg/mL in Methanol', 'A838420', 'Q422994', 'Chlorodifluoromethane [R22] [UN1018] [Nonflammable gas]', 'Chlorodifluoromethane [R22]  [UN1018]  [Nonflammable gas]', 'Refrigerant 502;Chlorodifluoromethane;HYDROCHLOROFLUOROCARBON 22;Methane, chlorodifluoro-']</t>
  </si>
  <si>
    <t>Compound(6372)</t>
  </si>
  <si>
    <t>CHClF2</t>
  </si>
  <si>
    <t>dichloropentafluoropropane</t>
  </si>
  <si>
    <t>3,3-dichloro-1,1,1,2,2-pentafluoropropane</t>
  </si>
  <si>
    <t>['3,3-DICHLORO-1,1,1,2,2-PENTAFLUOROPROPANE', 'HCFC-225ca', '422-56-0', '1,1-Dichloro-2,2,3,3,3-pentafluoropropane', 'Fron 225', 'HCFC 225ca', 'R 225ca', 'Propane, 3,3-dichloro-1,1,1,2,2-pentafluoro-', 'HSDB 6976', 'R 225b', 'UNII-0976Z0010M', 'EINECS 207-016-9', 'Propane,dichloropentafluoro-', 'DICHLOROPENTAFLUOROPROPANE', '127564-92-5', '0976Z0010M', 'CCRIS 8666', 'ACMC-1AL75', 'SCHEMBL62551', 'Propane, dichloropentafluoro-', 'DTXSID1042027', 'CTK4B5646', 'ACM422560', 'SBB093029', 'ZINC95679003', 'AKOS025310243', 'FCH1320463', 'CC-12885', 'DB-050884', 'LS-119967', 'FT-0606100', 'NS00002843', '1,1-dichloro-2,2,3,3,3-pentafluoro-propane', '3,3-Dichloro-1,1,1,2,2-pentafluoropropane #', 'A825827', 'C-27544', 'Q27236466', '3,3-bis(chloranyl)-1,1,1,2,2-pentakis(fluoranyl)propane', '3,3-DICHLORO-1,1,1,2,2-PENTAFLUOROPROPANE;1,1-dichloro-2,2,3,3,3-pentafluoropropane']</t>
  </si>
  <si>
    <t>Compound(61112)</t>
  </si>
  <si>
    <t>C3HCl2F5</t>
  </si>
  <si>
    <t>2,2-dichloro-1,1, 1,3, 3-pentafluoropropane</t>
  </si>
  <si>
    <t>2,2-dichloro-1,1,1,3,3-pentafluoropropane</t>
  </si>
  <si>
    <t>['2,2-DICHLORO-1,1,1,3,3-PENTAFLUOROPROPANE', 'HCFC-225aa', '128903-21-9', 'UNII-801K277HE4', 'Propane, 2,2-dichloro-1,1,1,3,3-pentafluoro-', '801K277HE4', 'Propane,2,2-dichloro-1,1,1,3,3-pentafluoro-', 'HCFC 225aa', 'pentafluorodichloropropane', 'ACMC-1BZ0G', 'SCHEMBL224372', 'DTXSID6042024', 'CTK4B6093', 'ZINC111385393', '2,2-DICHLORO-1,1,1,3,3-PENTAFLUORO-PROPANE', 'Q27894274']</t>
  </si>
  <si>
    <t>Compound(62315)</t>
  </si>
  <si>
    <t>2,3-dichloro-1,1, 1,2,3-pentafluoropropane</t>
  </si>
  <si>
    <t>2,3-dichloro-1,1,1,2,3-pentafluoropropane</t>
  </si>
  <si>
    <t>['422-48-0', 'HCFC-225ba', '2,3-DICHLORO-1,1,1,2,3-PENTAFLUOROPROPANE', '1,2-Dichloro-1,2,3,3,3-pentafluoropropane', 'Propane, 2,3-dichloro-1,1,1,2,3-pentafluoro-', '2,3-dichloro-1,1,1,2,3-pentafluoro-propane', '2,3-dichloropentafluoropropane', 'SCHEMBL1993217', 'DTXSID1042025', 'CTK4I5926', 'ACM422480', 'SBB093030', 'AKOS025310409', 'FCH1335359', 'Propane,2,3-dichloro-1,1,1,2,3-pentafluoro-']</t>
  </si>
  <si>
    <t>Compound(61111)</t>
  </si>
  <si>
    <t>1,2-dichloro-1,1, 2,3, 3-pentafluoropropane</t>
  </si>
  <si>
    <t>1,2-dichloro-1,1,2,3,3-pentafluoropropane</t>
  </si>
  <si>
    <t>['HCFC-225bb', '1,2-DICHLORO-1,1,2,3,3-PENTAFLUOROPROPANE', '422-44-6', 'Propane, 1,2-dichloro-1,1,2,3,3-pentafluoro-', 'SCHEMBL94227', 'DTXSID6042026', 'CTK4I5920', 'ACM422446', 'FCH2261931', '1,1,2,3,3-Pentafluoro-1,2-dichloropropane', 'Propane,1,2-dichloro-1,1,2,3,3-pentafluoro-', '1,2-DICHLORO-1,1,2,3,3-PENTAFLUORO-PROPANE', 'Q27286774']</t>
  </si>
  <si>
    <t>Compound(61110)</t>
  </si>
  <si>
    <t>3,3-dichloro-1,1, 1,2,2-pentafluoropropane</t>
  </si>
  <si>
    <t>1,3-dichloro-1,1, 2,2, 3-pentafluoropropane</t>
  </si>
  <si>
    <t>1,3-dichloro-1,1,2,2,3-pentafluoropropane</t>
  </si>
  <si>
    <t>['1,3-Dichloro-1,1,2,2,3-pentafluoropropane', 'HCFC-225cb', '507-55-1', 'HCFC 225cb', 'HCFC 225bc', 'Propane, 1,3-dichloro-1,1,2,2,3-pentafluoro-', 'R 225cb', 'HSDB 6977', 'R 225a', 'EINECS 208-076-9', '1,3-DICHLORO-1,2,2,3,3-PENTAFLUOROPROPANE', 'UNII-G6975BUY8I', 'CCRIS 8667', 'G6975BUY8I', 'ClCF2CF2CHClF', 'SCHEMBL64666', 'DTXSID6042028', 'CTK4J3124', 'ACM507551', 'MFCD00153117', 'SBB093031', 'FCH1321478', 'LS-119966', 'FT-0606635', 'NS00043484', '1,3-Dichloro-1,1,2,2,3-pentafluoropropane #', 'Propane,1,3-dichloro-1,1,2,2,3-pentafluoro-', '1,3-DICHLORO-1,1,1,2,3-PENTAFLUOROPROPANE', 'Q27278838']</t>
  </si>
  <si>
    <t>Compound(62353)</t>
  </si>
  <si>
    <t>1,1-dichloro-1,2, 2,3, 3-pentafluoropropane</t>
  </si>
  <si>
    <t>1,1-dichloro-1,2,2,3,3-pentafluoropropane</t>
  </si>
  <si>
    <t>['HCFC-225cc', '1,1-DICHLORO-1,2,2,3,3-PENTAFLUOROPROPANE', '13474-88-9', 'UNII-N35Z25BTGL', 'N35Z25BTGL', 'Propane,1,1-dichloro-1,2,2,3,3-pentafluoro-', 'Propane, 1,1-dichloro-1,2,2,3,3-pentafluoro-', 'SCHEMBL94226', 'DTXSID1042029', 'CTK4B9388', 'ZINC111385046', 'Q27893567']</t>
  </si>
  <si>
    <t>Compound(61627)</t>
  </si>
  <si>
    <t>1,2-dichloro-1,1, 3,3, 3-pentafluoropropane</t>
  </si>
  <si>
    <t>1,2-dichloro-1,1,3,3,3-pentafluoropropane</t>
  </si>
  <si>
    <t>['1,2-DICHLORO-1,1,3,3,3-PENTAFLUOROPROPANE', '431-86-7', 'HCFC-225da', 'Asahiklin AK 225', 'Propane, 1,2-dichloro-1,1,3,3,3-pentafluoro-', '141563-84-0', 'Hcfc 225da', '1,2-bis(chloranyl)-1,1,3,3,3-pentakis(fluoranyl)propane', 'ACMC-20dsd2', 'C3HCl2F5', 'ASAHIKLIN AK-225', 'SCHEMBL1990356', 'DTXSID0042030', 'CTK4C2683', '3299AE', 'AKOS007930295', 'FT-0606371', 'FT-0624723', '1,1,1,3,3-pentafluoro-2,-3-dichloropropane', 'Z-0135', 'A805714', 'A826204', 'Q27893566']</t>
  </si>
  <si>
    <t>Compound(61115)</t>
  </si>
  <si>
    <t>1,3-dichloro-1,1, 2,3, 3-pentafluoropropane</t>
  </si>
  <si>
    <t>1,3-dichloro-1,1,2,3,3-pentafluoropropane</t>
  </si>
  <si>
    <t>['136013-79-1', '1,3-DICHLORO-1,1,2,3,3-PENTAFLUOROPROPANE', 'HCFC-225ea', 'Propane, 1,3-dichloro-1,1,2,3,3-pentafluoro-', 'UNII-J6Y2TGH7I4', 'J6Y2TGH7I4', 'Propane,1,3-dichloro-1,1,2,3,3-pentafluoro-', 'HCFC 225ea', 'ACMC-20mvza', '1,3-DICHLORO-1,1,2,3,3-PENTAFLUORO-PROPANE', 'SCHEMBL1990694', 'DTXSID5042031', 'CTK4C0117', 'ZINC96347668', '1,1,2,3,3-Pentafluoro-1,3-dichloropropane', 'Q27893605']</t>
  </si>
  <si>
    <t>Compound(62318)</t>
  </si>
  <si>
    <t>1,1-dichloro-1,2, 3,3, 3-pentafluoropropane</t>
  </si>
  <si>
    <t>1,1-dichloro-1,2,3,3,3-pentafluoropropane</t>
  </si>
  <si>
    <t>['1,1-DICHLORO-1,2,3,3,3-PENTAFLUOROPROPANE', 'HCFC-225eb', '111512-56-2', '1,1-Dichloropentafluoropropane', 'Propane, 1,1-dichloro-1,2,3,3,3-pentafluoro-', 'Propane,1,1-dichloro-1,2,3,3,3-pentafluoro-', 'HCFC 225eb', 'ACMC-20mefj', 'SCHEMBL1990236', 'DTXSID0042032', 'CTK4A7397', '1,1-DICHLORO-1,2,3,3,3-PENTAFLUORO-PROPANE', 'Q27894273']</t>
  </si>
  <si>
    <t>Compound(62310)</t>
  </si>
  <si>
    <t>3-chloro- 1,1, 1-trifluoropropane</t>
  </si>
  <si>
    <t>3-chloro-1,1,1-trifluoropropane</t>
  </si>
  <si>
    <t>['3-Chloro-1,1,1-trifluoropropane', '460-35-5', '1-Chloro-3,3,3-trifluoropropane', 'PROPANE, 3-CHLORO-1,1,1-TRIFLUORO-', 'Freon 253', 'HCFC-253fb', '1,1,1-Trifluoro-3-chloropropane', 'HCFC-253', 'Monochlorotrifluoropropane', 'UNII-5C535H1OII', 'EINECS 207-307-0', 'BRN 1734941', '5C535H1OII', '3,3,3-Trifluoro-1-chloropropane', 'Chlorotrifluoropropane', 'Propane,3-chloro-1,1,1-trifluoro-', 'Freon-253', 'CF3CH2CH2Cl', '4-01-00-00193 (Beilstein Handbook Reference)', 'SCHEMBL578425', 'DTXSID5042033', 'CTK4I9105', 'ALBB-025818', 'ZINC2040580', 'FD2078', 'SBB072694', 'AKOS005063772', 'AB02799', 'EF10048', 'AS-60539', 'SC-36354', 'DB-008293', 'LS-119680', 'FT-0607609', 'NS00043630', 'R1948', 'ST45028954', '3-Chloro-1,1,1-trifluoropropane, AldrichCPR', 'Q27261813']</t>
  </si>
  <si>
    <t>Compound(10000)</t>
  </si>
  <si>
    <t>C3H4ClF3</t>
  </si>
  <si>
    <t>hydrogen cyanide</t>
  </si>
  <si>
    <t>hydrochloric acid</t>
  </si>
  <si>
    <t>chlorane</t>
  </si>
  <si>
    <t>['hydrochloric acid', 'hydrogen chloride', '7647-01-0', 'Muriatic acid', 'Chlorohydric acid', 'Acide chlorhydrique', 'Chlorwasserstoff', 'Spirits of salt', 'Hydrogen chloride (HCl)', 'chlorane', 'Anhydrous hydrochloric acid', 'Chloorwaterstof', 'Chlorowodor', 'Acido cloridrico', 'Bowl Cleaner', 'Aqueous hydrogen chloride', "chlorure d'hydrogene", '4-D Bowl Sanitizer', 'Chlorowodor [Polish]', 'Hydrochloric acid gas', 'Emulsion Bowl Cleaner', 'Caswell No. 486', 'Chloorwaterstof [Dutch]', 'Marine acid', 'monohydrochloride', 'Hydrochloric acid [JAN]', 'Chlorwasserstoff [German]', 'Spirit of salt', 'UN 1789 (solution)', 'UN 1050 (anhydrous)', 'mono hydrochloride', 'Acido cloridrico [Italian]', 'White Emulsion Bowl Cleaner', 'Acido clorhidrico [Spanish]', 'Varley Poly-Pak Bowl Creme', 'UNII-QTT17582CB', 'NSC 77365', 'Acide chlorhydrique [French]', 'Hydrogen chloride (gas only)', "Chlorure d'hydrogene [French]", 'HSDB 545', 'Chloruro de hidrogeno [Spanish]', 'Hygeia Creme Magic Bowl Cleaner', 'Percleen Bowl and Urinal Cleaner', 'Hydrogen chloride (acid)', '[HCl]', 'EINECS 231-595-7', 'MFCD00011324', 'UN1050', 'UN1789', 'UN2186', 'HCl', 'Wuest Bowl Cleaner Super Concentrated', "Chlorure d'hydrogene anhydre [French]", 'Cloruro de hidrogeno anhidro [Spanish]', 'EPA Pesticide Chemical Code 045901', 'UN 2186 (refrigerated liquefied gas)', 'QTT17582CB', 'CHEBI:17883', "Varley's Ocean Blue Scented Toilet Bowl Cleaner", 'Now South Safti-Sol Brand Concentrated Bowl Cleanse with Magic Actio', 'Hydrochloric acid 36% by weight or more HCl', 'Hydrochloric Acid Solution, 1N', 'Hydrogenchlorid', 'hydrochloricacid', 'o-Tolidine Dihydrochloride Solution', 'Hydrogen Chloride - Methanol Reagent', 'Titanium, Reference Standard Solution', 'Vanadium, Reference Standard Solution', 'Acido clorhidrico', 'Muriaticum acidum', 'Hydrochloric acid, ACS reagent, 37%', 'Platinum Cobalt Color Standard Solution', 'Hydrochloric acid (acid aerosols including mists, vapors, gas, fog, and other airborne forms of any particle size)', 'Hydrochloric Acid Solution, 0.2N (N/5)', 'Hydrochloric Acid Solution, 0.5N (N/2)', 'Hydrochloric acid, 0.1 N standard solution', 'Chloruro de hidrogeno', 'Hydrochloric Acid Solution, 0.1N (N/10)', 'Hydrochloric acid, pure, 25% solution in water', 'Hydrogen chloride, ca. 0.5M solution in methanol', 'Anhydrous hydrogen chloride', 'Hydrochloric acid, 4N solution in 1,4-Dioxane/water', 'Hydrochloric acid, for analysis, 25% solution in water', 'Hydrochloric acid, pure, fuming, 37% solution in water', "Chlorure d'hydrogene anhydre", 'Cloruro de hidrogeno anhidro', 'chloro', 'chlorum', 'hydochloride', 'hydrochlorie', 'hydrochoride', 'hydrocloride', 'Hydrochloric acid, ACS reagent, ca. 37% solution in water', 'Hydrogen chloride, 1.25M solution in ethanol, AcroSeal(R)', 'Hydrogen chloride, pure, 5 to 6N solution in 2-propanol', 'Salzsaeure', 'Hydrochloric acid [JAN:NF]', 'chloridohydrogen', 'hydro chloride', 'hydro-chloride', 'Hydrochloric acid, for analysis, fuming, 37% solution in water', 'Hydrogen chloride, 4N solution in 1,4-dioxane, AcroSeal(R)', 'Hydrogen chloride, technical, 4 to 6N solution in 2-propanol', 'hydrogenchloride', 'Chloro radical', 'Soldering acid', 'chlorhydric acid', 'hydochloric acid', 'hydogen chloride', 'hydrochoric acid', 'hydrocloric acid', 'hydrogen chlorid', 'hydrogen choride', 'hydrogen cloride', 'hyrochloric acid', 'hyrogen chloride', 'Liriopesides-B', 'Hydrogen chloride, 5 to 6N solution in 2-propanol, AcroSeal(R)', 'Hydrogen chloride, pure, 1N solution in diethyl ether, AcroSeal(R)', 'Hydrogen chloride, pure, 2N solution in diethyl ether, AcroSeal(R)', 'AescinIIB', 'hvdrochloric acid', 'hvdrogen chloride', 'hydorchloric acid', 'hydrochioric acid', 'hydrochloric aicd', 'hydrochloric-acid', 'hydrogen-chloride', 'hyrdochloric acid', 'Hydrochloric ccid', 'Spirits of salts', 'Wasserstoffchlorid', 'monohydro-chloride', 'Sibiricose-A6', 'hydrogen ch1oride', 'hydro chloric acid', 'hydro-chloric acid', 'hydrochloric ac id', 'cloruro de hidrogeno', 'hydro- chloric acid', 'Hydrogen chloride - methanol solution', 'H-Cl', 'Hydrochloric acid 37%', 'HCL]', 'Hydrochloric acid, 37%', 'TSE-5 HCl', 'Hydrogen chloric anhydrous', '17Cl', 'EC 231-595-7', 'Hydrochloric acid, solution', 'Hydrochloric acid, anhydrous', 'Hydrogen chloride, anhydrous', 'Hydrogen-chloride-anhydrous-', 'hydrochloric acid for technical', 'Hydrochloric acid (JP15/NF)', 'Hydrochloric Acid Solution, 2N', 'CHEMBL1231821', 'DTXSID2020711', 'Hydrochloric acid (JP17/USP)', 'CHEBI:23116', 'CTK2H7250', 'Hydrochloric acid solution, 1 M', 'Hydrochloric acid solution, 2 M', 'Hydrochloric acid solution, 6 M', 'hydrogen chloride ethanol solution', 'DTXSID801014230', 'Hydrochloric Acid Concentrate, 1N', 'Hydrochloric acid solution, 12 M', 'Hydrochloric Acid Solution, 0.1N', 'Hydrochloric acid, AR, 35-37%', 'Hydrochloric acid, LR, 35-38%', 'Hydrochloric Acid Concentrate, 10N', 'Hydrochloric acid solution, 0.1 M', 'Hydrochloric acid solution, 0.1 N', 'Hydrochloric acid solution, 0.2 M', 'Hydrochloric acid solution, 0.5 M', 'Hydrochloric acid solution, 1.0 N', 'Hydrochloric acid, 36%, technical', 'NSC77365', 'Hydrogen Chloride - Butanol Reagent', 'Hydrochloric acid solution, 0.01 M', 'Hydrochloric acid solution, 0.02 M', 'Hydrochloric acid solution, 0.05 M', 'Hydrochloric acid, 37%, extra pure', 'NSC-77365', 'STL282413', 'Hydrochloric acid, p.a., 31-33%', 'Hydrogen chloride, refrigerated liquid', 'AKOS015843726', 'CCG-221928', 'DB13366', 'Hydrochloric acid, puriss., 30-33%', 'Hydrochloric acid, reagent grade, 37%', 'LS-7438', 'MCULE-7728164114', 'NA 1789', 'UN 1050', 'UN 1789', 'UN 2186', 'Hydrochloric acid, 1N standard solution', 'Hydrogen chloride, puriss., &gt;=99.7%', 'Hydrogen chloride, puriss., &gt;=99.8%', 'Hydrochloric acid ACS grade 36.5-38%', 'Hydrochloric acid, technical grade, 30%', '2647-01-0', 'E507', 'SC-18111', 'SC-18200', 'SC-20745', 'SC-30339', 'SC-52592', 'SC-57921', 'SC-74300', 'Hydrochloric acid solution, puriss., 36%', '1-(4-Amino-2-methoxy-phenyl)-acetic acid', '1N Hydrochloric Acid aqueous (+/-0.1N)', '3N Hydrochloric Acid aqueous (+/-0.2N)', '5N Hydrochloric Acid aqueous (+/-0.2N)', 'DS-002721', 'Hydrochloric acid, puriss. p.a., &gt;=32%', 'Hydrogen chloride solution 3.3M in ethanol', 'Hydrogen chloride solution 4.0M in dioxane', 'LS-192652', 'FT-0627124', 'FT-0628063', 'FT-0699355', 'FT-0699890', 'FT-0699899', 'FT-0700010', 'Hydrochloric acid, puriss., 24.5-26.0%', 'Hydrochloric acid, puriss., 37.0-38.0%', 'Hydrogen chloride solution 1.25M in ethanol', 'Hydrogen chloride solution 3.0M in Methanol', 'Hydrogen chloride, ReagentPlus(R), &gt;=99%', 'NS00040788', 'Hydrochloric Acid Solution, 0.02N (N/50)', 'Hydrogen chloride solution, 4.0 M in dioxane', 'C01327', 'D02057', 'Hydrochloric Acid Solution, 0.01N (N/100)', 'Hydrogen chloride solution 1.0M in acetic acid', 'Hydrogen chloride solution 1.0M in ethyl acetate', 'Hydrogen chloride solution 1.25M in isopropanol', 'Hydrogen chloride, 1M solution in ethyl acetate', '4-methyl-pyridine-2-carboxylic acid hydrochloride', 'Hydrochloric acid solution, puriss. p.a., &gt;=25%', 'Hydrogen chloride solution 1.0 M in diethyl ether', 'Hydrogen chloride solution 2.0 M in diethyl ether', 'Hydrogen chloride solution, 1.0 M in acetic acid', 'Q211086', 'Hydrochloric acid solution, 32 wt. % in H2O, FCC', 'Hydrochloric acid, pure, ca. 32% solution in water', 'Hydrochloric acid, SAJ first grade, 35.0-37.0%', 'Hydrochloric acid, solution [UN1789]  [Corrosive]', 'Hydrochloric acid, solution [UN1789] [Corrosive]', 'Hydrogen chloride - ethanol solution, 3% in ethanol', 'Hydrogen chloride anhydrous [UN1050] [Poison gas]', 'Hydrogen chloride solution 3.95M-4.40M in dioxane', 'Hydrogen chloride solution 5.0-6.0M in isopropanol', 'Hydrogen chloride solution, 1.0 M in diethyl ether', 'Hydrogen chloride solution, 2.0 M in diethyl ether', 'J-006148', 'Hydrochloric acid solution, BioXtra, ~0.1 M in H2O', 'Hydrochloric acid, Environmental Grade Plus, 33-36%', 'Hydrochloric acid, JIS special grade, 35.0-37.0%', 'Hydrochloric acid, p.a., ACS reagent, 36.5-38.0%', 'Hydrochloric acid, SAJ super special grade, &gt;=35.0%', 'Hydrogen chloride, 3M solution in CPME, AcroSeal(R)', 'Hydrogen chloride, anhydrous [UN1050]  [Poison gas]', 'Hydrogen chloride, anhydrous [UN1050] [Poison gas]', 'Hydrogen chloride - ethanol solution, 0.1 M in ethanol', 'Hydrochloric acid solution, protein sequencing grade, liquid', 'Hydrochloric acid solution, SAJ first grade, 9.5-10.0%', 'Hydrochloric acid, for analysis, ca. 32% solution in water', 'Hydrochloric acid, purum p.a., fuming 37%, &gt;=37% (T)', 'Hydrogen chloride, 1M solution in acetic acid, AcroSeal(R)', 'Hydrochloric acid solution, 0.1 M, for 3S adapter technology', 'Hydrochloric acid, 37%, for analysis, (max. 0.000001% Hg)', 'Hydrogen chloride, 1M solution in ethyl acetate, AcroSeal(R)', 'Hydrogen chloride, ca. 0.5M solution in methanol, AcroSeal(R)', 'Hydrogen chloride, refrigerated liquid [UN2186]  [Poison gas]', 'Hydrogen chloride, refrigerated liquid [UN2186] [Poison gas]', 'Hydrochloric acid solution, ~6 M in H2O, for amino acid analysis', 'Hydrochloric acid, 36.5-38.0%, BioReagent, for molecular biology', 'Hydrochloric acid, 37 wt. % in H2O, 99.999% trace metals basis', 'Hydrochloric acid, BioUltra, &gt;=32% (T), suitable for luminescence', 'Hydrochloric acid, suitable for amino acid analysis, 35.0-37.0%', 'Hydrochloric acid, suitable for arsenic determination, 35.0-37.0%', 'Hydrogen chloride solution 3.0M in cyclopentyl methyl ether (CPME)', 'Hydrogen chloride solution, 3 M in cyclopentyl methyl ether (CPME)', 'Hydrogen chloride solution, 3 M in methanol, for GC derivatization', 'Hydrochloric acid solution, 1.0 N, BioReagent, suitable for cell culture', 'Hydrochloric acid solution, volumetric, 0.1 M HCl (0.1N), endotoxin free', 'Hydrochloric acid, suitable for determination of toxic metals, &gt;=35.0%', 'Hydrogen chloride - ethanol solution, ~1.25 M HCl, for GC derivatization', 'Hydrogen chloride - methanol solution, ~1.25 M HCl, for GC derivatization', 'Hydrogen chloride solution, 0.5 M in methanol, for GC derivatization', 'Hydrochloric acid, meets analytical specification of Ph. Eur., BP, NF, fuming, 36.5-38%', 'Hydrochloric acid, p.a., ACS reagent, reag. ISO, reag. Ph. Eur., 37.0-38.0%', 'Hydrochloric acid, semiconductor grade PURANAL(TM) (Honeywell 17823), fuming 37%, 37-38%', 'Hydrochloric acid, semiconductor grade PURANAL(TM) (Honeywell 17863), &gt;=32%', 'Hydrochloric acid, semiconductor grade SLSI PURANAL(TM) (Honeywell 17302), fuming 37%', 'Hydrochloric acid, semiconductor grade VLSI PURANAL(TM) (Honeywell 17610), fuming 37%', 'Hydrogen chloride - 1-butanol solution, ~3 M in 1-butanol, for GC derivatization', 'Hydrogen chloride - 2-propanol solution, ~1.25 M HCl (T), for GC derivatization', '185912-82-7', 'Chloride atomic spectroscopy standard concentrate 10.00 g Cl-, 10.00 g/L, for 1 l standard solution, analytical standard', 'Hydrochloric acid concentrate, 0.1N, Dissolution Media Concentrate, Dilute to 25L to conform to USP &amp; EP', 'Hydrochloric acid concentrate, 0.1N, Dissolution Media Concentrate, Dilute to 6L to conform to USP &amp; EP', 'Hydrochloric acid, puriss. p.a., ACS reagent, reag. ISO, reag. Ph. Eur., fuming, &gt;=37%, APHA: &lt;=10']</t>
  </si>
  <si>
    <t>Compound(313)</t>
  </si>
  <si>
    <t>ClH</t>
  </si>
  <si>
    <t>hydrochlorothiazide</t>
  </si>
  <si>
    <t>6-chloro-1,1-dioxo-3,4-dihydro-2H-1lambda6,2,4-benzothiadiazine-7-sulfonamide</t>
  </si>
  <si>
    <t>['hydrochlorothiazide', '58-93-5', 'HCTZ', 'Hypothiazide', 'Esidrix', 'Oretic', 'Dichlotiazid', 'Hidrotiazida', 'Hydrochlorothiazid', 'Hydrochlorthiazide', 'Hydrodiuretic', 'Hydrosaluric', 'Servithiazid', 'Aquarills', 'Aquarius', 'Dichlotride', 'Diclotride', 'Disalunil', 'Hypothiazid', 'Idrotiazide', 'Maschitt', 'Megadiuril', 'Newtolide', 'Thiuretic', 'Vetidrex', 'Drenol', 'Esidrex', 'Hidril', 'Hydril', 'Nefrix', 'Chlorosulthiadil', 'Hidrochlortiazid', 'Hydro-Diuril', 'Hydro-Aquil', 'Dihydrochlorothiazide', 'Jen-Diril', 'HydroDIURIL', 'Dihydrochlorothiazid', 'Dihydrochlorothiazidum', 'Apresazide', 'Carozide', 'Chlorzide', 'Dichlorosal', 'Hidroronol', 'Hydrothide', 'Hydrozide', 'Moduretic', 'Neoflumen', 'Urodiazin', 'Bremil', 'Cidrex', 'Diaqua', 'Direma', 'Dyazide', 'Fluvin', 'Ivaugan', 'Panurin', 'Ro-hydrazide', 'Neo-codema', 'Acuretic', 'Caplaril', 'Hydrocot', 'Microzide', 'Thlaretic', 'Timolide', '6-Chloro-3,4-dihydro-2H-1,2,4-benzothiadiazine-7-sulfonamide 1,1-dioxide', 'Aquazide H', 'Lotensin HCT', '3,4-Dihydrochlorothiazide', 'Thiaretic', 'Vaseretic', 'Ziac', 'Zide', 'Diu-melusin', 'Apo-Hydro', 'Lopressor HCT', 'Hydro-D', 'Hydrochlorothiazidum', 'Hidrosaluretil', 'Acesistem', 'Aldazida', 'Briazide', 'Catiazida', 'Chlorizide', 'Chlothia', 'Condiuren', 'Dihydran', 'Disothiazid', 'Diurogen', 'Dixidrasi', 'Esoidrina', 'Hyclosid', 'Indroclor', 'Medozide', 'Mikorten', 'Modurcen', 'Natrinax', 'Novodiurex', 'Pantemon', 'Saldiuril', 'Selozide', 'Spironazide', 'Acuilix', 'Clorana', 'Didral', 'Hytrid', 'Manuril', 'Mictrin', 'Nefrol', 'Tandiur', 'Unazid', 'Unipres', 'Urozide', 'Dihydrochlorurit', 'Hidro-Niagrin', 'Hydro-Saluric', 'Dihydrochlorurite', 'Hidroclorotiazida', 'Raunova Plus', 'Concor Plus', 'Aquazide-H', 'Neo-Flumen', 'Neo-Minzil', 'Hydro Par', 'Hydro-T', 'Hydrochlorthiazidum', 'HCT-Isis', 'Su 5879', 'Mazide 25 mg', 'Aldactazide', 'Inderide', 'Maxzide', 'Prinzide', 'Hydrochlorothiazide Intensol', 'Diu 25 Vigt', 'Aldactazide 25/25', 'Aldectazide 50/50', 'Inderide 80/25', 'NCI-C55925', 'Idroclorotiazide [DCIT]', 'component of Cyclex', 'component of Esimil', 'Esidrix (TN)', 'Ser-Ap-Es', 'component of Aldoril', 'component of Dyazide', 'component of Caplaril', 'HCZ', 'Chlorsulfonamidodihydrobenzothiadiazine dioxide', 'component of Aldactazide', 'Hydrozide Injection, Veterinary', 'Hidroclorotiazida [INN-Spanish]', 'Hydrochlorothiazidum [INN-Latin]', 'UNII-0J48LPH2TH', 'C7H8ClN3O4S2', 'component of Butizide Prestabs', '2H-1,2,4-Benzothiadiazine-7-sulfonamide, 6-chloro-3,4-dihydro-, 1,1-dioxide', 'CCRIS 2082', 'HSDB 3096', 'EINECS 200-403-3', 'NSC 53477', 'BRN 0625101', '0J48LPH2TH', '6-chloro-1,1-dioxo-3,4-dihydro-2H-1$l^{6},2,4-benzothiadiazine-7-sulfonamide', '6-Chloro-3,4-dihydro-(2H)-1,2,4-benzothiadiazine-7-sulfonamide 1,1-Dioxide', 'MLS000069619', 'CHEBI:5778', 'Dichlothiazide', 'H.H. 25/25', 'H.H. 50/50', '3,4-Dihydro-6-chloro-7-sulfamyl-1,2,4-benzothiadiazine-1,1-dioxide', '6-Chloro-7-sulfamyl-3,4-dihydro-1,2,4-benzothiadiazine 1,1-dioxide', '6-Chloro-3,4-dihydro-7-sulfamoyl-2H-1,2,4-benzothiadiazine 1,1-dioxide', '6-Chloro-7-sulfamoyl-3,4-dihydro-2H-1,2,4-benzothiadiazine 1,1-dioxide', 'NSC53477', 'MFCD00051765', 'NSC-53477', 'HCT', 'CAS-58-93-5', 'NCGC00015508-08', 'Hydrochlorat', 'Hydrochlorot', 'Sectrazide', 'SMR000035778', 'Idroclorotiazide', 'Hydrex-semi', 'Dihydroxychlorothiazidum', 'DSSTox_CID_713', 'Hydrochlorothiazide form II', '2H-1,2,4-Benzothiadiazine-7-sulfonamide, 6-chloro-3,4-dihydro-, 1, 1-dioxide', '2H-1,2,4-Benzothiadiazine-7-sulfonamide, 6-chloro-3,4-dihydro-,1,1-dioxide', '6-chloro-1,1-dioxo-3,4-dihydro-2H-1lambda6,2,4-benzothiadiazine-7-sulfonamide', '6-chloro-3,4-dihydro-2H-1,2,4-benzothiadiazine-7-sulfonamide-1,1-dioxide', '6-chloro-3,4-dihydro-2H-benzo[e][1,2,4]thiadiazine-7-sulfonamide 1,1-dioxide', 'DSSTox_RID_75752', 'DSSTox_GSID_20713', 'Q-201210', 'Hydrochlorzide', 'Ezide', 'diclot ride', 'Hydro-chlor', '3,4-dihydro-6-chloro-7-sulfamoyl-1,2,4-benzothiadiazine-1,1-dioxide', '6-Chloro-7-sulfamyl-3,4-dihydro-1,2,4-benzothiadiazine-1,1-dioxide', 'panurin dichloride', 'Microzide (TN)', 'SR-01000000119', 'Hydrochlorothiazide [INN:BAN:JAN]', 'Hydroklortiazid', 'Hydrokraft', 'Idrodiuvis', 'Aquazide', 'Manschitt', 'Urirex', 'HydroPar', '6-chloro-1,1-dioxo-2H,3H,4H-benzo[e]1,2,4-thiadiazine-7-sulfonamide', '6-chloro-1,1-dioxo-3,4-dihydro-2H-1?^{6},2,4-benzothiadiazine-7-sulfonamide', 'Prestwick_263', 'Hydrochloro Thiazide', 'Hyzaar (Salt/Mix)', 'Aldoril (Salt/Mix)', 'Dutoprol (Salt/Mix)', 'Inderide (Salt/Mix)', 'Prinzide (Salt/Mix)', 'Accuretic (Salt/Mix)', 'Hydropres (Salt/Mix)', 'Thiazide, hydrochloro-', 'Hydrochlorothiazide [USP:INN:BAN:JAN]', 'Spectrum_000877', 'Opera_ID_168', 'Maybridge1_004336', 'Prestwick0_000009', 'Prestwick1_000009', 'Prestwick2_000009', 'Prestwick3_000009', 'Spectrum2_001040', 'Spectrum3_000456', 'Spectrum4_000006', 'Spectrum5_000824', 'Lopac-H-4759', 'Hydrochlorothiazide (NH4)', 'CHEMBL435', 'Tekturna HCT (Salt/Mix)', 'H 4759', 'cid_3639', 'SCHEMBL9349', 'Lopac0_000614', 'Oprea1_357174', 'BSPBio_000017', 'BSPBio_002132', 'KBioGR_000351', 'KBioSS_001357', 'AF-614/30832002', 'KSC492I2H', 'ARONIS24316', 'BIDD:GT0153', 'DivK1c_000289', 'SPECTRUM1500335', 'BMCL182567 Compound 6a', 'SPBio_001259', 'SPBio_001938', 'BPBio1_000019', 'GTPL4836', 'Hydrochlorothiazide, crystalline', 'DTXSID2020713', 'BDBM13076', 'component of Dyazide (Salt/Mix)', 'CTK3J2423', 'HMS500O11', 'HMS553N04', 'KBio1_000289', 'KBio2_001357', 'KBio2_003925', 'KBio2_006493', 'KBio3_001352', 'KS-00000VPM', 'BBC/472', 'component of Caplaril (Salt/Mix)', 'NINDS_000289', 'HMS1568A19', 'HMS1920D19', 'HMS2091L05', 'HMS2095A19', 'HMS2235I09', 'HMS3259O17', 'HMS3261L10', 'HMS3370P11', 'HMS3428A05', 'HMS3655M21', 'HMS3712A19', 'Pharmakon1600-01500335', 'ZINC896569', 'BCP22001', 'EBD18905', 'HY-B0252', 'JFD00715', 'ZX-AS004676', 'ZX-AT004440', 'Tox21_110165', 'Tox21_201565', 'Tox21_300292', 'Tox21_500614', 'BG0215', 'CCG-40240', 'IMED56428485', 'LS-243', 'NSC757059', 'OR0507', 's1708', 'SBB056984', 'STK315354', '3,2,4-benzothiadiazine-1,1-dioxide', 'Hydrochlorothiazide (JP17/USP/INN)', 'AKOS000121373', 'Tox21_110165_1', 'AC-8114', 'API0002941', 'CS-2232', 'DB00999', 'LP00614', 'MCULE-6585933943', 'NC00510', 'NSC-757059', 'PS-3162', 'SDCCGSBI-0050596.P005', 'SU-5879', '6-chloro-1,1-dioxo-1,2,3,4-tetrahydro-1lambda~6~,2,4-benzothiadiazine-7-sulfonamide', 'IDI1_000289', 'KS-0000477T', 'WLN: T66 BSWM EM DHJ HG ISZW', 'NCGC00015508-01', 'NCGC00015508-02', 'NCGC00015508-03', 'NCGC00015508-04', 'NCGC00015508-05', 'NCGC00015508-06', 'NCGC00015508-07', 'NCGC00015508-09', 'NCGC00015508-10', 'NCGC00015508-11', 'NCGC00015508-12', 'NCGC00015508-13', 'NCGC00015508-14', 'NCGC00015508-16', 'NCGC00015508-17', 'NCGC00021906-03', 'NCGC00021906-04', 'NCGC00021906-05', 'NCGC00021906-06', 'NCGC00021906-07', 'NCGC00021906-08', 'NCGC00254017-01', 'NCGC00259114-01', 'NCGC00261299-01', 'NCI60_004317', 'SC-16312', 'SC-60934', 'ST033548', 'component of Butizide Prestabs (Salt/Mix)', 'Hydrochlorothiazide 1.0 mg/ml in Methanol', 'SBI-0050596.P004', 'AB00052012', 'EU-0100614', 'FT-0650564', 'NS00000343', 'SW196569-3', '6-Chloro-3,2,4-benzothiadiazine 1,1-dioxide', 'A19550', 'C07041', 'D00340', 'J10079', 'AB00052012-15', 'AB00052012_16', 'AB00052012_17', 'BENZENEETHANIMIDAMIDE,3-CHLORO-N-HYDROXY-', '051H765', 'Q423930', 'Hydrochlorothiazide, meets USP testing specifications', 'SR-01000000119-2', 'SR-01000000119-4', 'SR-01000000119-6', 'BRD-K13078532-001-05-2', 'Z56347248', '6-Chloro-3,2,4-benzothiadiazine-7-sulfonamide 1,1-dioxide', '6-Chloro-7-sulfamoyl-3,2,4-benzothiadiazine 1,1-dioxide', 'Hydrochlorothiazide, drug standard, 1.0 mg/mL in methanol', '6-chloro-3,4-dihydro-1,1-dioxo-7-sulfamoyl-1,2,4-benzothiadiazine', 'Hydrochlorothiazide, British Pharmacopoeia (BP) Reference Standard', 'Hydrochlorothiazide, European Pharmacopoeia (EP) Reference Standard', '3,4-Dihydro-6-chloro-7-sulfamyl-1,2, 4-benzothiadiazine-1,1-dioxide', '6-chloro-3,4-dihydro-2h-1,2,4-benzothiadiazine-7-sulphonamide-1,1-dioxide', '6-Chloro-3,4-dihydro-7-sulfamoyl-2H-1,2, 4-benzothiadiazine 1,1-dioxide', '6-chloro-3,4-dihydro-7-sulfamoyl-2H-1,2,4-benzothiadiazine-1,1-dioxide', '6-Chloro-7-sulfamoyl-3, 4-dihydro-2H-1,2,4-benzothiadiazine 1,1-dioxide', '6-Chloro-7-sulfamoyl-3,4-dihydro-(2H)-1,2,4-benzothiadiazine 1,1-Dioxide', '6-Chloro-7-sulfamoyl-3,4-dihydrobenzo-1,2,4-thiadiazine-1,1-dioxide', 'Hydrochlorothiazide, United States Pharmacopeia (USP) Reference Standard', '2H-1,2, 4-Benzothiadiazine-7-sulfonamide, 6-chloro-3,4-dihydro-, 1, 1-dioxide', '2H-1,2,4-Benzothiadiazine, 6-chloro-3,4-dihydro-7-sulfamoyl-2, 1,1-dioxide', '2H-1,4-Benzothiadiazine-7-sulfonamide, 6-chloro-3,4-dihydro-, 1,1-dioxide', '6-chloro-1,1-dioxo-1,2,3,4-tetrahydro-1lambda,2,4-benzothiadiazine-7-sulfonamide', '6-chloro-1,1-dioxo-3,4-dihydro-2H-1$l^{6,2,4-benzothiadiazine-7-sulfonamide', '6-Chloro-3,4-dihydro-2H-1,2,4-benzothiadiazine-7-sulfonamide 1, 1-dioxide', '7-(Aminosulfonyl)-6-chloro-3,4-dihydro-(2H)-1,2,4-benzothiadiazine 1,1-Dioxide', 'Hydrochlorothiazide for peak identification, European Pharmacopoeia (EP) Reference Standard', 'Hydrochlorothiazide, Pharmaceutical Secondary Standard; Certified Reference Material', '125727-50-6', '3,4-Dihydro-6-chloro-7-sulfamoyl-1,2,4-benzothiadiazine-1,1-dioxide; 6-Chloro-3,4-dihydro-7-sulfamoyl-2H-1,2,4-benzothiadiazine-1,1-dioxide; 3,4-Dihydrochlorothiazide', '6-chloranyl-1,1-bis(oxidanylidene)-3,4-dihydro-2H-1$l^{6},2,4-benzothiadiazine-7-sulfonamide', 'Hydrochlorothiazide solution, 1.0 mg/mL in methanol, ampule of 1 mL, certified reference material']</t>
  </si>
  <si>
    <t>Compound(3639)</t>
  </si>
  <si>
    <t>C7H8ClN3O4S2</t>
  </si>
  <si>
    <t>Bondage</t>
  </si>
  <si>
    <t>1-hydroxyethylidene-1,1-diphosphonic acid</t>
  </si>
  <si>
    <t>(1-hydroxy-1-phosphonoethyl)phosphonic acid</t>
  </si>
  <si>
    <t>['Etidronic acid', 'etidronate', '2809-21-4', 'HEDP', '1-Hydroxyethylidene-1,1-diphosphonic acid', 'EHDP', 'Etidronsaeure', 'Acetodiphosphonic acid', 'Hydroxyethanediphosphonic acid', 'Turpinal SL', 'Oxyethylidenediphosphonic acid', 'Didronel', 'Dequest 2015', 'Dequest Z 010', 'Acido etidronico', 'Ferrofos 510', 'Acide etidronique', '1-Hydroxyethane-1,1-diphosphonate', '1-Hydroxyethane-1,1-diphosphonic acid', 'Phosphonic acid, (1-hydroxyethylidene)bis-', 'Diphosphonate (base)', '(1-Hydroxyethane-1,1-diyl)diphosphonic acid', '1-Hydroxyethanediphosphonic acid', 'Dequest 2010', 'Ethane-1-hydroxy-1,1-diphosphonic acid', '(Hydroxyethylidene)diphosphonic acid', 'Ethane-1-hydroxy-1,1-diphosphonate', '(1-Hydroxyethylene)diphosphonic acid', 'Acide etidronique [INN-French]', 'Acido etidronico [INN-Spanish]', 'Acidum etidronicum [INN-Latin]', '(1-Hydroxyethylidene)diphosphonic acid', '1,1,1-Ethanetriol diphosphonate', '1-Hydroxyethylidene-1,1-bisphosphonate', '1-Hydroxyethane-1,1-bisphosphonic acid', '1-HYDROXY-1,1-DIPHOSPHONOETHANE', '(1-Hydroxyethylidene)bis(phosphonic acid)', 'Acidum etidronicum', '(1-Hydroxyethylidene)bisphosphonic acid', '(1-hydroxyethane-1,1-diyl)bis(phosphonic acid)', 'Hydroxyethane-1,1-diphosphonic acid', '1000SL', '(1-Hydroxyethylidene)diphoshonic acid', 'Etidronic acid [USAN:INN:BAN]', 'RP 61', 'UNII-M2F465ROXU', '(1-hydroxy-1-phosphonoethyl)phosphonic acid', '1-Hydroxyethylidene-1,1-biphosphonate', 'Phosphonic acid, (1-hydroxyethylidene)di-', 'HSDB 5898', 'EINECS 220-552-8', 'Ethane-1-hydroxy-1,1-bisphosphonate', 'MFCD00070585', 'Phosphonic acid, 1-hydroxy-1,1-ethanediyl ester', 'CHEMBL871', 'NSC 227995', 'BRN 1789291', 'M2F465ROXU', 'ethane-1-hydroxy-1,1-bisphosphonic acid', 'CHEBI:4907', '(1-hydroxy-1-phosphono-ethyl)phosphonic acid', '1-hydroxyethane 1,1-diphosphonic acid', 'NSC-227995', '1-HydroxyEthylidene-1,1-DiphosphonicAcid', '(1-Hydroxy-1,1-ethanediyl)bis(phosphonic acid)', "Phosphonic acid, P,P'-(1-hydroxyethylidene)bis-", 'SMR000038750', 'NCGC00159352-02', 'Etidronic acid (USAN/INN)', 'C2H8O7P2', '1-Hydroxyethylidenediphosphonic acid', '1-hydroxy ethylidene', 'HDEPA', 'OEDFK', 'Etidronate (Didronel)', 'Prestwick0_000863', 'Prestwick1_000863', 'Prestwick2_000863', 'Prestwick3_000863', 'DSSTox_CID_3028', 'EC 220-552-8', 'DSSTox_RID_76837', 'DSSTox_GSID_23028', 'SCHEMBL18607', 'BSPBio_000905', '0-02-00-00171 (Beilstein Handbook Reference)', 'MLS002207267', 'MLS002695948', 'SPBio_002826', 'BPBio1_000997', 'GTPL7184', 'DTXSID6023028', 'CTK5C3439', 'M05BA01', 'HMS3604E03', 'HY-B0302', 'KS-00000WG2', 'ZINC3830813', 'Tox21_200417', 'ANW-46810', 'BBL028139', 'BDBM50115102', 'DL-390', 'Etidronic acid 60% aqueous solution', 'NSC227995', 's1857', 'STK721995', 'AKOS005524039', 'Etidronic acid, 60% aqueous solution', 'CCG-266618', 'CS-2337', 'DB01077', 'MCULE-3037955142', '(1-hydroxy-ethylidene)diphosphonic acid', 'NCGC00159352-04', 'NCGC00159352-05', 'NCGC00257971-01', 'K958', 'SC-25504', '1-hydroxyethane-1,1-diyldiphosphonic acid', 'CAS-2809-21-4', '1-hydroxy ethylidene-1,1-diphosphonic acid', 'LS-106637', 'FT-0607934', 'FT-0668439', 'NS00006820', '(1-Hydroxy-1-phosphono-ethyl)-phosphonic acid', 'A11684', 'A23202', 'C07736', 'D02373', '(1-Hydroxyethylidene)bisphosphonic acid monohydrate', 'J-504794', 'Q2758338', '1-Hydroxy Ethylidene-1,1-Diphosphonic Acid (Powder)', '(1-Hydroxyethane-1,1-diyl)diphosphonic acid monohydrate', '1-Hydroxyethylidenediphosphonic acid  60% aqueous solution', '1-Hydroxyethane-1,1,-diphosphonic acid 60% aqueous solution']</t>
  </si>
  <si>
    <t>Compound(3305)</t>
  </si>
  <si>
    <t>C2H8O7P2</t>
  </si>
  <si>
    <t>Lift height</t>
  </si>
  <si>
    <t>Helicobacter bacteria</t>
  </si>
  <si>
    <t>Helicobacter- bird-specific strain</t>
  </si>
  <si>
    <t>Brightness</t>
  </si>
  <si>
    <t>THE ACID</t>
  </si>
  <si>
    <t>1,4,5,6,7,7-hexachlorobicyclo[2.2.1]hept-5-ene-2,3-dicarboxylic acid</t>
  </si>
  <si>
    <t>['CHLORENDIC ACID', '115-28-6', '1,4,5,6,7,7-Hexachlorobicyclo[2.2.1]hept-5-ene-2,3-dicarboxylic acid', 'HET acid', 'Kyselina het', 'NCI-C55072', 'Kyselina het [Czech]', 'Chlorendic acid (VAN)', 'Bicyclo[2.2.1]hept-5-ene-2,3-dicarboxylic acid, 1,4,5,6,7,7-hexachloro-', '1,4,5,6,7,7-Hexachloro-5-norbornene-2,3-dicarboxylic acid', 'Hexachloroendomethylenetetrahydrophthalic acid', 'NSC 22231', 'CCRIS 896', 'Hexachloro-endo-methylenetetrahydrophthalic acid', 'HSDB 2915', 'EINECS 204-078-9', '5-Norbornene-2,3-dicarboxylic acid, 1,4,5,6,7,7-hexachloro-', 'MLS002152895', 'MLS002637518', 'CHEBI:76603', '1,4,5,6,7,7-Hexachloro-8,9,10-trinorborn-5-ene-2,3-dicarboxylic acid', '1,4,5,6,7,7-Hexachlorobicyclo(2.2.1)-5-heptene-2,3-dicarboxylic acid', 'SMR001224506', 'DSSTox_CID_268', 'Bicyclo(2.2.1)hept-5-ene-2,3-dicarboxylic acid, 1,4,5,6,7,7-hexachloro-', 'Kyselina 1,2,3,4,7,7-hexachlorbicyklo(2,2,1)hept-2-en-5,6-dikarboxylova', 'DSSTox_RID_75476', 'Kyselina 1,2,3,4,7,7-hexachlorbicyklo(2,2,1)hept-2-en-5,6-dikarboxylova [Czech]', 'Kyselina 3,6-endomethylen-3,4,5,6,7,7-hexachlor-delta(sup 4)-tetrahydroftalova [Czech]', 'Kyselina 3,6-endomethylen-3,4,5,6,7,7-hexachlor-delta(sup 4)-tetrahyroftalova [Czech]', 'DSSTox_GSID_20268', '1,4,5,6,7,7-Hexachlorobicyclo-(2,2,1)hept-5-en-2,3-dicarboxylic acid', 'CAS-115-28-6', 'NSC-22225', 'WLN: L55 A CUTJ AG AG BG CG DG EG FVQ GVQ', 'Kyselina 3,4,5,6,7,7-hexachlor-.delta.(sup 4)-tetrahyroftalova', 'NSC-22231', 'NSC-41876', '1,2,3,4,7,7-hexachlorobicyclo[2.2.1]hept-2-ene-5,6-dicarboxylic acid', 'cid_8266', 'KSC489Q1T', 'SCHEMBL159505', '2H,3H-Hexachlorobicyclo[2.2.1]hept-5-ene-2,3-dicarboxylic acid', 'CHEMBL462314', 'NSC519', 'DTXSID2020268', 'Hexachloroendomethylenetetrahydrop', 'BDBM94954', 'CTK3I9819', 'KS-00000YWL', 'NSC-519', '(1R,4S)-1,4,5,6,7,7-hexachlorobicyclo[2.2.1]hept-5-ene-2,3-dicarboxylic acid', 'HMS3039F04', 'LS-56', 'NSC22231', 'NSC41876', 'Tox21_202339', 'Tox21_300190', 'ANW-43682', 'SBB057154', 'STK266636', 'AKOS003363272', 'MCULE-6470741047', 'Kyselina 3,6-endomethylen-3,4,5,6,7,7-hexachlor-delta(sup 4)-tetrahydroftalova', 'Kyselina 3,6-endomethylen-3,4,5,6,7,7-hexachlor-delta(sup 4)-tetrahyroftalova', 'NCGC00091276-01', 'NCGC00091276-03', 'NCGC00253973-01', 'NCGC00259888-01', 'AS-72784', 'NCI60_001839', 'SC-79171', 'DB-060716', 'FT-0626941', 'NS00004196', 'ST50997508', 'EN300-35506', 'C19204', 'Q1854296', '1,4,5,6,7,7-bicyclo[2.2.1]-5-heptene-2,3-dicarboxylic acid', '1,4,5,6,7,7-bicyclo[2.2.1]hept-5-ene-2,3-dicarboxylic acid', '1,5,6,7,7-HEXACHLORO-5-NORBORNENE-2,3-DICARBOXYLIC ACID', '1,4,5,6,7,7-Hexachlor obicyclo(2.2.1)-5-heptene-2,3-dicarboxylic acid', '1,4,5,6,7,7-hexachlorobicyclo-(2,2,1)-hept-5-ene-2,3-dicarboxylic acid', '1,4,5,6,7,7-hexachlorobicyclo[2.2.1]-hept-5-ene-2,3-dicarboxylic acid', '1,4,5,6,7,7-Hexachlorobicyclo[2.2.1]hept-5-ene-2,3-dicarboxylic acid #', '1,2,3,4,7,7-hexakis(chloranyl)bicyclo[2.2.1]hept-2-ene-5,6-dicarboxylic acid', 'Bicyclo[2.2.1]-5-heptene-2,3-dicarboxylic acid, 1,4,5,6,7,7-hexachloro-', 'Kyselina 3,6-endomethylen-3,4,5,6,7,7-hexachlor-.delta.(4)-tetrahydroftalova', 'Kyselina 3,6-endomethylen-3,4,5,6,7,7-hexachlor-.delta.(4)-tetrahyroftalova', '1,4,5,6,7,7-Hexachlorobicyclo-(2,2,1)hept-5-en-2,3-dicarboxylic acid;Chlorendic acid;Bicyclo[2.2.1]hept-5-ene-2,3-dicarboxylic acid, 1,4,5,6,7,7-hexachloro-, polymer with 2,2-bis(hydroxymethyl)-1,3-propanediol and 1,3-isobenzofurandione']</t>
  </si>
  <si>
    <t>Compound(8266)</t>
  </si>
  <si>
    <t>C9H4Cl6O4</t>
  </si>
  <si>
    <t>hydrogen fluoride</t>
  </si>
  <si>
    <t>fluorane</t>
  </si>
  <si>
    <t>['HYDROFLUORIC ACID', 'Hydrogen fluoride', '7664-39-3', 'Fluorhydric acid', 'fluorane', 'Hydrofluoride', 'Rubigine', 'Fluorwasserstoff', 'Hydrogen-fluoride', 'Antisal 2B', 'Fluorowodor [Polish]', 'Caswell No. 484', 'Fluorwaterstof [Dutch]', 'Hydrogen fluoride (HF)', 'Fluorwasserstoff [German]', 'UNII-RGL5YE86CZ', 'UN 1790 (solution)', 'UN 1052 (anhydrous)', 'RCRA waste number U134', 'Acido fluoridrico [Italian]', 'Acide fluorhydrique [French]', 'Acido fluorhidrico [Spanish]', 'HSDB 546', 'EINECS 231-634-8', 'UN1052', 'UN1790', 'RGL5YE86CZ', "Fluorure d'hydrogene anhydre [French]", 'RCRA waste no. U134', 'EPA Pesticide Chemical Code 045601', 'Hydrogen fluoride, anhydrous', 'Fluoruro de hidrogeno anhidro [Spanish]', 'CHEBI:29228', 'Fluohydric Acid', 'Hydrofluoric acid 70% by weight or more HF', 'Hydrogen fluoride/Hydrofluoric acid (conc 50% or greater)', 'Hydrogenfluorid', 'Fluorowodor', 'Fluorwaterstof', 'hydrogenfluoride', 'MFCD00011346', 'Acido fluoridrico', 'Hydrofluoric acid, ACS reagent, 48%', 'Acido fluorhidrico', 'Acide fluorhydrique', 'Hydrofluoricum acidum', "Fluorure d'hydrogene anhydre", 'fluorum', 'Hydrofluoric acid, ACS reagent, 48-51% solution in water', 'Fluoruro de hidrogeno anhidro', 'Hydridofluorine', 'fluoridohydrogen', 'Hydrofluoric acid, for analysis, 48 to 51% solution in water', 'Fluoro radical', 'hyrofluoric acid', 'Fluorohydric acid', "fluorure d'hydrogene", 'ACMC-1BAS6', 'Hydrogen fluoride,anhydrous', 'EC 231-634-8', 'KSC207Q2H', 'Hydrofluoric acid, 55%, CP', '[HF]', '60% HF/DMF', 'CHEMBL1232767', 'DTXSID1049641', 'CHEBI:24061', 'CTK1A7823', 'HYDROFLUORIC ACID SOLUTION', 'DTXSID60872462', 'Hydrofluoric acid, AR, &gt;=40%', 'Hydrofluoric acid, LR, 39-43%', 'Hydrofluoric acid, SAJ first grade', 'Hydrofluoric acid, 48% ACS reagent', 'Hydrofluoric acid, JIS special grade', 'NSC750679', 'HYDROFLUORIC ACID ANTIDOTE GEL', 'AKOS024438092', 'DB11072', 'GF10001', 'MCULE-2361956978', 'NSC-750679', 'Hydrofluoric acid, technical, 40-45%', '32057-09-3', '37249-79-9', 'LS-77246', 'SC-75315', 'FLUORINE, ISOTOPE OFMASS 18, AT.', 'Hydrofluoric acid, technical grade, 68.0%', 'FT-0627129', 'Q2468', 'C16487', 'Hydrofluoric acid, with more than 60% strength', 'Hydrofluoric acid, with not more than 60% strength', 'Hydrogen fluoride, anhydrous [UN1052] [Corrosive]', 'Hydrogen fluoride, anhydrous [UN1052]  [Corrosive]', 'Hydrofluoric acid, for ultratrace analysis, 47-51% (T)', 'Hydrofluoric acid, Environmental Grade, (47-51 wt% in water)', 'Hydrofluoric acid, 48 wt. % in H2O, &gt;=99.99% trace metals basis', 'Hydrofluoric acid, Environmental Grade Plus, (47-51wt % in water)', 'Hydrofluoric acid, puriss. p.a., reag. ISO, reag. Ph. Eur., &gt;=40%', 'Hydrofluoric acid, semiconductor grade VLSI PURANAL(TM) (Honeywell 17601)', 'Hydrofluoric acid, with more than 60% strength [UN1790]  [Corrosive]', 'Hydrofluoric acid, with more than 60% strength [UN1790] [Corrosive]', 'Hydrofluoric acid, with not more than 60% strength [UN1790]  [Corrosive]', 'Hydrofluoric acid, with not more than 60% strength [UN1790] [Corrosive]', 'Hydrofluoric acid, p.a., ACS reagent, reag. ISO, reag. Ph. Eur., 48.0-51.0%', 'Hydrofluoric acid, puriss. p.a., ACS reagent, reag. ISO, reag. Ph. Eur., &gt;=48%', 'Hydrofluoric acid, semiconductor grade MOS PURANAL(TM) (Honeywell 17928), 49.5-50.5%', 'Hydrofluoric acid, semiconductor grade PURANAL(TM) (Honeywell 17735), 40-41%', 'Hydrofluoric acid, semiconductor grade PURANAL(TM) (Honeywell 17736), 49.5-50.5%', 'Cytoreg (r) is pharmacologically active solution composed by 6 acids in an aqueous medium. The Active ingredient is Hydrofluoric Acid.']</t>
  </si>
  <si>
    <t>Compound(14917)</t>
  </si>
  <si>
    <t>FH</t>
  </si>
  <si>
    <t>hexafluoropropylene</t>
  </si>
  <si>
    <t>1,1,2,3,3,3-hexafluoroprop-1-ene</t>
  </si>
  <si>
    <t>['Hexafluoropropylene', 'Hexafluoropropene', 'Perfluoropropene', '116-15-4', 'Perfluoropropylene', 'Propene, hexafluoro-', 'Perfluoro-1-propene', '1-Propene, 1,1,2,3,3,3-hexafluoro-', 'Propylene, hexafluoro-', '1,1,2,3,3,3-HEXAFLUORO-1-PROPENE', 'Hexfluoropropylene', '1,1,2,3,3,3-hexafluoroprop-1-ene', 'UNII-TRW23XOS20', 'HSDB 5582', 'EINECS 204-127-4', 'UN1858', 'CF3CF=CF2', 'TRW23XOS20', 'Perfluoroprop-1-ene', '1,1,2,3,3,3-hexafluoropropyl', 'hexafluoro-1-propene', 'Hexafluoroprop-1-ene', '1,1,2,3,3,3-hexakis(fluoranyl)prop-1-ene', '1-Propene,1,1,2,3,3,3-hexafluoro-', 'hexafluoro-propene', 'HFC 1216', 'CF2=CFCF3', 'EC 204-127-4', 'Hexafluoropropene, &gt;=99%', 'ACMC-1C91Z', 'DTXSID2026949', 'CTK4A9653', '1,1,2,3,3,3-hexafluoropropene', 'ZINC2041032', '1,1,2,3,3,3-hexafluoropropylene', 'FD2019', 'SBB086676', 'Hexafluoropropene, purum, &gt;=99.0%', 'AKOS009157872', 'UN 1858', '1,1,2,3,3,3-hexafluoro-prop-1-ene', 'AS-48912', 'R1216 [UN1858] [Nonflammable gas]', 'SC-79954', 'R1216 [UN1858]  [Nonflammable gas]', 'LS-123480', 'FT-0605970', 'NS00011106', '30598-EP2308857A1', '30598-EP2308858A1', '30598-EP2311816A1', '30598-EP2311817A1', '30598-EP2371831A1', 'A803566', 'Q417982', '1,1,2,3,3,3-Hexafluoro-1-propene;HEXAFLUOROPROPENE;1-Propene, hexafluoro-;1-Propene, 1,1,2,3,3,3-hexafluoro-, polymer with 1,1-difluoroethene and 1,1,2,2-tetrafluoroethene;POLY(1,1-DIFLUOROETHENE-CO- HEXAFLUOROPROPENE-CO-TETRAFLUOROETHENE);PUBCHEM_16212380', 'Hexafluoropropylene compressed or Refrigerant gas R1216 [R1216]  [UN1858]  [Nonflammable gas]', 'Hexafluoropropylene compressed or Refrigerant gas R1216 [R1216] [UN1858] [Nonflammable gas]']</t>
  </si>
  <si>
    <t>Compound(8302)</t>
  </si>
  <si>
    <t>C3F6</t>
  </si>
  <si>
    <t>trifluoromethane</t>
  </si>
  <si>
    <t>fluoroform</t>
  </si>
  <si>
    <t>['Fluoroform', 'TRIFLUOROMETHANE', 'Methane, trifluoro-', 'Carbon trifluoride', '75-46-7', 'Freon 23', 'Methyl trifluoride', 'Halocarbon 23', 'Fluoryl', 'Freon F-23', 'Refrigerant 23', 'Propellant 23', 'Arcton 1', 'CHF3', 'R 23 (halocarbon)', 'FC 23 (fluorocarbon)', 'Genetron-23', 'Freon R 23', 'UNII-ZJ51L9A260', 'HFC-23', 'R 23', 'HSDB 5207', 'CF3H', 'EINECS 200-872-4', 'UN1984', 'UN3136', 'BRN 1731035', 'ZJ51L9A260', 'R-23', 'Arcton', 'trifluoromethane-', 'Genetron 23', 'Genetron HFC23', 'Trifluoromethane, &gt;=98%', 'EC 200-872-4', '4-01-00-00024 (Beilstein Handbook Reference)', 'HFC 23', 'DTXSID0026410', 'CHEBI:41550', 'CTK2H7453', 'FC 23', 'ZX-AP006324', 'Trifluoromethane, refrigerated liquid', 'KM1695', 'PC7400', 'ZINC58632420', 'AKOS015853018', 'Trifluoromethane or Refrigerant gas R 23 [UN1984]  [Nonflammable gas]', 'FCH1115410', 'UN 1984', 'LS-90434', 'Trifluoromethane or Refrigerant gas R 23', 'FT-0626477', 'NS00007216', 'Q410612', 'Trifluoromethane, refrigerated liquid [UN3136]  [Nonflammable gas]', 'Trifluoromethane, refrigerated liquid [UN3136] [Nonflammable gas]', 'Trifluoromethane or Refrigerant gas R 23 [UN1984] [Nonflammable gas]']</t>
  </si>
  <si>
    <t>Compound(6373)</t>
  </si>
  <si>
    <t>CHF3</t>
  </si>
  <si>
    <t>Hardness</t>
  </si>
  <si>
    <t>2-[[2-amino-3-(1H-imidazol-5-yl)propanoyl]amino]-3-(1H-imidazol-5-yl)propanoic acid</t>
  </si>
  <si>
    <t>['Histidylhistidine', 'Histidinyl-Histidine', "N'alpha-Histidylhistidine", 'L-Histidine, N-D-histidyl-', 'HH dipeptide', 'H-H Dipeptide', 'Histidinylhistidine', "N'a-histidylhistidine", 'ACMC-20leg3', 'dl-histidyl-dl-histidine', 'L-Histidinyl-L-Histidine', 'Histidine Histidine dipeptide', 'Histidine-Histidine dipeptide', 'SCHEMBL2962003', '88853-88-7', 'HH', 'EINECS 206-179-3', 'NSC523374', 'NSC-523374', '2733-45-1', 'NS00041806']</t>
  </si>
  <si>
    <t>Compound(101638)</t>
  </si>
  <si>
    <t>C12H16N6O3</t>
  </si>
  <si>
    <t>4,6,6,7,8,8-hexamethyl-1,3,4,7-tetrahydrocyclopenta[g]isochromene</t>
  </si>
  <si>
    <t>['Galaxolide', '1222-05-5', 'Galoxolide', 'Abbalide', '4,6,6,7,8,8-Hexamethyl-1,3,4,6,7,8-hexahydrocyclopenta[g]isochromene', 'Pearlide', 'Galaxolide White', 'HHCB', 'Cyclopenta[g]-2-benzopyran, 1,3,4,6,7,8-hexahydro-4,6,6,7,8,8-hexamethyl-', 'hexamethylindanopyran', 'UNII-14170060AT', 'EINECS 214-946-9', 'Hexahydrohexamethyl cyclopentabenzopyran', '1,3,4,6,7,8-Hexahydro-4,6,6,7,8,8-hexamethyl-cyclopenta-gamma-2-benzopyran', 'CHEBI:83784', 'indeno[5,6-c]pyran, 1,3,4,6,7,8-hexahydro-4,6,6,7,8,8-hexamethyl-', '1,3,4,6,7,8-Hexahydro-4,6,6,7,8,8-hexamethylcyclopenta[g]-2-benzopyran', 'Hexahydro-4,6,6,7,8,8-hexamethylcyclopenta-gamma-2-benzopyran', '14170060AT', '1,3,4,6,7,8-Hexahydro-4,6,6,7,8,8-hexamethylindeno(5,6-c)pyran', '1,3,4,6,7,8-hexahydro-4,6,6,7,8,8-hexamethylindeno[5,6-c]pyran', '1,3,4,6,7,8-Hexahydro-4,6,6,7,8,8-hexamethylcyclopenta(g)-2-benzopyran', 'Cyclopenta(g)-2-benzopyran, 1,3,4,6,7,8-hexahydro-4,6,6,7,8,8-hexamethyl-', '1,3,4,6,7,8-Hexahydro-4,6,6,7,8,8-hexamethylcyclopenta[g]-2-benzopyran (ca. 50% in Diethyl Phthalate)', 'CCRIS 8402', 'Galaxolide 1', 'HSDB 7514', 'Galaxolide 1+2', '4,6,6,7,8,8-hexamethyl-1,3,4,7-tetrahydrocyclopenta[g]isochromene', 'EC 214-946-9', 'SCHEMBL115118', 'CHEMBL1883305', 'DTXSID8027373', 'CTK8D8677', 'KS-000012UD', 'AKOS016010343', 'NCGC00164416-01', 'NCGC00164416-02', 'AK116277', 'LS-57737', 'AX8131799', 'FT-0623819', 'G0415', 'NS00008760', 'CC1(C)C2=CC3=C(COCC3C)C=C2C(C)(C)C1C', 'Q2268349', '1,3,4,6,7,8-Hexahydro-4,6,6,7,8,8-hexamethylindeno(5,6-c)pyran;', '4,6,6,7,8,8-Hexamethyl-1,3,4,6,7,8-hexahydrocyclopenta[g]isochromene #', '4,6,6,7,8,8-Hexamethyl-1,3,4,6,7,8-hexahydroindeno[5,6-c]pyran', '4,6,6,7,8,8-hexamethyl-1H,3H,4H,6H,7H,8H-indeno[5,6-c]pyran', '1,3,4,6,7,8-hexahydro-4,6,6,7,8,8-hexamethyl-cyclopenta[G]-2-benzopyran', '1,3,4,6,7,8-Hexahydro-4,6,6,7,8,8-hexamethylcyclopenta(g)-2-benzopyrane', 'galaxolide;4,6,6,7,8,8-hexamethyl-1,3,4,6,7,8-hexahydrocyclopenta[g]isochromene', '1,3,4,6,7,8-Hexahydro-4,6,6,7,8,8-hexamethylcyclopenta[g]-2-benzopyran(ca.50%inDiethylPhthalate)', '1,3,4,6,7,8-hexahydro-4,6,6,7,8,8-hexamethylindeno[5,6-c]pyran;Cyclopenta[g]-2-benzopyran, 1,3,4,6,7,8-hexahydro-;1,3,4,6,7,8-Hexahydro-4,6,6,7,8,8-hexamethylcyclopenta(g)-2-benzopyrane;HEXAMETHYLINDANOPYRAN;HHCB;1,3,4,6,7,8-hexahydro-4,6,6,7,8,8-hexamethylin-deno[5,6-c]pyran']</t>
  </si>
  <si>
    <t>Compound(91497)</t>
  </si>
  <si>
    <t>Hardness temporary</t>
  </si>
  <si>
    <t>River continuity</t>
  </si>
  <si>
    <t>Tidal regime</t>
  </si>
  <si>
    <t>Morphology</t>
  </si>
  <si>
    <t>Hydrological regime</t>
  </si>
  <si>
    <t>Total hydromorphology</t>
  </si>
  <si>
    <t>nitric acid</t>
  </si>
  <si>
    <t>['NITRIC ACID', '7697-37-2', 'Azotic acid', 'Hydrogen nitrate', 'Salpetersaeure', 'Aqua fortis', 'Acidum nitricum', 'Nital', 'Acide nitrique', 'Nitrous fumes', 'Nitryl hydroxide', "Engraver's acid", 'HNO3', 'RFNA', 'nitrooxidanyl', 'Red fuming nitric acid', 'Azotowy kwas [Polish]', 'Salpetersaure [German]', 'Acide nitrique [French]', 'Acido nitrico [Italian]', 'Acido nitrico [Spanish]', 'Kyselina dusicne [Czech]', 'UNII-411VRN1TV4', 'Nitric acid [NF]', 'Salpeterzuuroplossingen [Dutch]', 'HSDB 1665', 'Nitric acid, anhydrous', 'HONO2', 'EINECS 231-714-2', 'Nitric acid (conc 80% or greater)', 'MFCD00011349', 'Nitric acid (red fuming)', 'UN2031', 'UN2032', 'CHEMBL1352', 'Nitric acid (70% or less)', '411VRN1TV4', 'CHEBI:48107', 'Nitric acid (greater than 70%)', 'Nitric acid (NF)', 'Nitric acid (HNO3) 94.5% by weight or more HNO3', 'Nitric acid, ACS reagent, 70%', 'Salpetersaure', 'Zinc, Reference Standard Solution', 'Nitricum acidum', 'Acido nitrico', 'Cobalt, Reference Standard Solution', 'Azotowy kwas', 'Kyselina dusicne', 'Nitric acid, 70%, pure, in water', 'Nitric acid, ACS reagent, &gt;=90.0%', 'Rare earth nitrate', 'Nitric acid, rare earth salts', 'Salpeterzuuroplossingen', 'Nitric acid, extra pure, 60% solution in water', 'Nitric acid, ACS reagent, 68-70% solution in water', 'Nitric acid, for analysis, ca. 65% solution in water', 'nitroalcohol', 'acide azotique', 'nitro-alcohol', 'Nitro Alcohol', 'nitric -acid', 'trioxonitric acid', 'Nitrosonitric acid', 'Cl6SubPc', 'Nitric acid,fuming', 'NO3 anion', 'EINECS 270-173-7', 'DPNTDA', 'Nitric acid, 1 M', '(-)-pareruptorin A', 'Nitric acid, 65%', 'hydroxidodioxidonitrogen', 'Nitric acid (67%)', 'ACMC-1AXGK', 'Nitric acid, red fuming', 'Nitric acid, 0.1 M', 'Nitric Acid Reagent ACS', 'EC 231-714-2', 'hydrogen trioxonitrate(1-)', 'Nitric Acid Concentrate, 1N', 'WLN: PR N-O3X3', '68412-17-9', 'Nitric acid, p.a., 65%', 'Nitric Acid: Electronic Grade', 'Nitric acid, 90% ACS Grade', 'Nitric acid, fuming, 99.5%', 'DTXSID5029685', 'Nitric acid, AR, 69-72%', 'Nitric acid, gallium salt ( )', 'Nitric acid, LR, 69-72%', '[NO2(OH)]', 'CTK1G9304', 'Nitric acid, puriss., 64-66%', 'Nitric acid, reagent grade, &gt;90%', 'BDBM50152970', 'AKOS015833449', 'Nitric acid, technical grade, 50.0%', 'NSC-177677', 'Nitric acid other than red fuming with &gt;70% nitric acid [UN2031]  [Corrosive]', 'Nitric Acid Solution, 0.1N (N/10)', '52583-42-3', '78989-43-2', 'LS-96711', 'Nitric acid, 2.0N Standardized Solution', 'SC-46811', 'Nitric acid, 90+%, ACS reagent, fuming', 'Nitric acid, extra pure, 69.0-71.0%', 'Nitric acid, red, fuming, HNO3 &gt;90 %', 'Nitric acid, reagent grade, fuming, &gt;90%', 'Nitrogen hydroxideoxide (N(OH)2O) (9CI)', 'FT-0689223', 'N0806', 'N1916', 'Nitric acid, puriss. p.a., &gt;=65% (T)', 'NS00010065', 'C00244', 'D02313', 'Nitric acid, technical, 60% solution in water', 'Q83320', 'Nitric acid solution, ~32.5%, special quality', 'Nitric acid, Environmental Grade Plus, 68-70%', 'Nitric acid, red fuming [UN2032] [Corrosive]', 'Nitric acid, 70%, purified by double-distillation', 'Nitric acid, p.a., ACS reagent, 68.0-70.0%', 'Nitric acid, red fuming [UN2032]  [Corrosive]', "4,4-Dioctyl-cyclopenta[2,1-b :3,4-b' ]dithiophene", 'Q27110015', 'Nitric acid other than red fuming with &gt;70% nitric acid', 'Nitric acid, SAJ first grade, 69-70%, density: 1.42', '3088A493-74F8-4D19-8ABC-E572420B5F29', 'Nitric acid other than red fuming with not &gt;70% nitric acid', 'Nitric acid, JIS special grade, 60.0-61.0%, density: 1.38', 'Nitric acid, JIS special grade, 65.0-66.0%, density: 1.40', 'Nitric acid, JIS special grade, 69.0-70.0%, density: 1.42', 'Nitric acid, puriss. p.a., ACS reagent, fuming, &gt;=99.5%', 'Nitric acid, puriss. p.a., ACS reagent, reag. ISO, &gt;=69%', 'Nitric acid, SAJ first grade, 60.0-62.0%, density: 1.38', 'Nitric acid, SAJ first grade, 65.0-66.0%, density: 1.40', '2,3,9,10,16,17-Hexachlorinated boron subphthalocyanine chloride', 'Nitric acid, 68-70%, Certified ACS Plus Grade Trace metal analyzed', 'Nitric acid, JIS special grade, &gt;=97.0%, fuming, density: 1.52', 'Nitric acid, SAJ first grade, &gt;=97.0%, fuming, density: 1.52', '2,7-Diphenylbenzo[lmn ][3,8]phenanthroline-1,3,6,8(2H ,7H )-tetraone', 'Nitric acid, 60.0-62.0%, SAJ super special grade, density: 1.38', 'Nitric acid, JIS special grade, 90.0-94.0%, fuming, density: 1.50', 'Nitric acid, puriss. p.a., 65% (Hg &lt;=0.0000005%), &gt;=65% (T)', 'Nitric acid, SAJ first grade, 90.0-94.0%, fuming, density: 1.50', 'Nitric acid, semiconductor grade PURANAL(TM) (Honeywell 17818), &gt;=65%', 'Nitric acid, semiconductor grade PURANAL(TM) (Honeywell 17952), &gt;=69%', 'Nitric acid concentrate, 0.1 M HNO3 in water (0.1N), eluent concentrate for IC', 'Nitric acid other than red fuming with &gt;70% nitric acid [UN2031] [Corrosive]', 'Nitric acid other than red fuming with not &gt;70% nitric acid [UN2031]  [Corrosive]', 'Nitric acid other than red fuming with not &gt;70% nitric acid [UN2031] [Corrosive]', 'Nitric acid, 60.0-62.0%, suitable for determination of toxic metals, density: 1.38', 'Nitric acid, 70%, purified by redistillation, &gt;=99.999% trace metals basis', 'Nitric acid, p.a., ACS reagent, reag. ISO, reag. Ph. Eur., 68.5-69.5%', 'Nitric acid, semiconductor grade MOS PURANAL(TM) (Honeywell 17920), &gt;=69%', 'Nitric acid, semiconductor grade VLSI PURANAL(TM) (Honeywell 17512), 69-71%', '153312-87-9', '309963-65-3', 'Nitric acid, 70%, meets analytical specification of BP, Ph??Eur, Ph??Fran??, USP, FCC, E339', 'Nitric acid, puriss. p.a., reag. ISO, reag. Ph. Eur., for determinations with dithizone, &gt;=65%', 'Nitric acid, purum p.a., fuming, packed in coated, shock- and leak-protected glass bottle, &gt;=99% (T)']</t>
  </si>
  <si>
    <t>Compound(944)</t>
  </si>
  <si>
    <t>hypochlorous acid</t>
  </si>
  <si>
    <t>['HYPOCHLOROUS ACID', 'HClO', '7790-92-3', 'HOCl', 'chloranol', 'hydroxidochlorine', 'hypochloric acid', 'oxidochlorine(.)', 'UNII-712K4CDC10', 'EINECS 232-232-5', 'CHEBI:24757', '712K4CDC10', 'ClHO', 'hydroxychloride', 'oxylchloride', 'chloro-alcohol', 'oxyl chloride', 'Epicyn HydroGel', 'Hydroxy chloride', 'Hypochlorite anion', 'Chlor(I)-saeure', 'hypochlorige Saeure', '[ClOH]', 'Chlorine oxide (ClO1-)', 'Hypochlorous acid ion(1-)', 'CHEMBL1616046', 'DTXSID3036737', 'CTK2H8340', 'DB14135', 'LS-77540', 'FT-0695042', 'FT-0775244', 'Y1732', 'C19697', 'Q407318', 'Q2535800', '8TR']</t>
  </si>
  <si>
    <t>Compound(24341)</t>
  </si>
  <si>
    <t>ClHO</t>
  </si>
  <si>
    <t>Angle</t>
  </si>
  <si>
    <t>Height</t>
  </si>
  <si>
    <t>High tide day</t>
  </si>
  <si>
    <t>High tide night</t>
  </si>
  <si>
    <t>7H-perfluoroheptanoic acid</t>
  </si>
  <si>
    <t>2,2,3,3,4,4,5,5,6,6,7,7-dodecafluoroheptanoic acid</t>
  </si>
  <si>
    <t>['7H-Dodecafluoroheptanoic acid', '1546-95-8', '2,2,3,3,4,4,5,5,6,6,7,7-Dodecafluoroheptanoic acid', '7h-perfluoroheptanoic acid', 'Dodecafluoroheptanoic acid', 'EINECS 216-283-0', 'omega-Monohydroperfluoroheptanoic acid', '7-H-Dodekafluorheptansaeure [German]', 'BRN 1807664', 'omega-H-Dodekafluorheptansaeure [German]', 'HEPTANOIC ACID, 2,2,3,3,4,4,5,5,6,6,7,7-DODECAFLUORO-', '7-H-Dodekafluorheptansaeure', 'omega-H-Dodekafluorheptansaeure', 'C7H2F12O2', 'HPFHpA', '7-H-Perfluoroheptanoic acid', 'SCHEMBL198881', '7H-dodecafluoro-heptanoic acid', 'CTK8E9143', 'DTXSID70165670', 'ZX-AP005560', '4843AD', 'PC3131', 'ZINC95681622', 'AKOS002662655', 'LS-74388', 'DB-043232', 'FT-0621415', 'NS00009073', 'A809563', 'C-20494', '2,2,3,3,4,4,5,5,6,6,7,7-dodecakis(fluoranyl)heptanoic acid', 'HPFHpA;2,2,3,3,4,4,5,5,6,6,7,7-dodecafluoroheptanoic acid;Sodium 2,2,3,3,4,4,5,5,6,6,7,7-dodecafluoroheptanoate;Ammonium 2,2,3,3,4,4,5,5,6,6,7,7-dodecafluoroheptanoate']</t>
  </si>
  <si>
    <t>Compound(15243)</t>
  </si>
  <si>
    <t>C7H2F12O2</t>
  </si>
  <si>
    <t>Significant swell height in the spectral domain</t>
  </si>
  <si>
    <t>4-hydroxy-2,5,6- trichloroisophthalonitrile</t>
  </si>
  <si>
    <t>2,4,5-trichloro-6-hydroxybenzene-1,3-dicarbonitrile</t>
  </si>
  <si>
    <t>['28343-61-5', '4-Hydroxy-2,5,6-trichloroisophthalonitrile', '2,4,5-trichloro-6-hydroxybenzene-1,3-dicarbonitrile', 'CHLOROTHALONIL-4-HYDROXY', 'Hydroxy Chlorothalonil', 'UNII-IQJ3P52AEE', 'BRN 2653044', '4-Hydroxy-2,5,6-trichloro-1,3-benzenedicarbonitrile', '4-hydroxychlorothalonil', 'IQJ3P52AEE', '1,3-Benzenedicarbonitrile, 4-hydroxy-2,5,6-trichloro-', 'EN300-59735', 'hydroxychlorothalonil', 'chlorthalonil-4-hydroxy', 'Isophthalonitrile, 2,4,5-trichloro-6-hydroxy-', 'SCHEMBL8886111', '1,3-Benzenedicarbonitrile, 2,4,5-trichloro-6-hydroxy-', 'CHEMBL3248146', 'CTK7C6765', 'DTXSID90182586', 'CHEBI:133542', 'ZINC2012006', 'AKOS033199375', 'FCH1324998', 'MCULE-4866524744', 'NE41495', 'ACM28343615', 'LS-29694', '4-hydroxy-2,5,6-trichloroisophtalonitrile', 'FT-0669339', 'NS00002719', '2,4,5-Trichloro-6-hydroxyisophthalonitrile #', 'R182281 (SDS-19221)', 'J-017049', 'Chlorothalonil-4-hydroxy 10 microg/mL in Acetonitrile', 'Q27280855', 'Z1258578364', '2,4,5-Trichloro-6-hydroxyisophthalonitrile, analytical standard', '4-hydroxy-2,5,6-trichloroisophthalonitrile;chlorthalonil-4-hydroxy']</t>
  </si>
  <si>
    <t>Compound(34217)</t>
  </si>
  <si>
    <t>C8HCl3N2O</t>
  </si>
  <si>
    <t>Pet</t>
  </si>
  <si>
    <t>4-[2-[2-(4-carbamimidoylphenoxy)ethoxy]ethoxy]benzenecarboximidamide</t>
  </si>
  <si>
    <t>['1,5-Di(4-Amidinophenoxy)-3-Oxa-Pentane', 'PET', 'CHEMBL1088659', 'SCHEMBL12348113', '1,5-bis(4-amidinophenoxy)-3-oxapentane', "4,4'-Oxybis[ethylene(oxy)]bis(benzamidine)", 'Q27464387', "4,4'-[oxybis(ethane-2,1-diyloxy)]dibenzenecarboximidamide"]</t>
  </si>
  <si>
    <t>Compound(444075)</t>
  </si>
  <si>
    <t>C18H22N4O3</t>
  </si>
  <si>
    <t>Humic acid</t>
  </si>
  <si>
    <t>2-nitrobicyclo[2.2.1]hept-5-ene-2,3-dicarboxylic acid</t>
  </si>
  <si>
    <t>['Humic acid', '308067-45-0', 'ACM308067450']</t>
  </si>
  <si>
    <t>Compound(90472028)</t>
  </si>
  <si>
    <t>C9H9NO6</t>
  </si>
  <si>
    <t>Hybrid fish</t>
  </si>
  <si>
    <t>helium-3</t>
  </si>
  <si>
    <t>['Helium-3', '(3He)helium', 'Helium He-3', 'Helium, isotope of mass 3', 'UNII-I83W8ELB18', 'I83W8ELB18', '14762-55-1', 'helium-3 atom', 'EINECS 238-822-9', 'Helium, He-3', '(3)He', 'Helium-3He, 99.8 atom %', '(3)2He', 'CHEBI:30218', 'DB12940', 'Helium-3He, 99.95 atom %, 99.9% (CP)', 'Q533498', 'Helium-3He, 99.95 atom %, 99.995% (CP)', 'Helium-3He, 99.95 atom %, 99.999% (CP)', 'Helium-3He, 99.9999 atom %, 99.995% (CP)']</t>
  </si>
  <si>
    <t>Compound(6857639)</t>
  </si>
  <si>
    <t>mercury 203</t>
  </si>
  <si>
    <t>mercury-203</t>
  </si>
  <si>
    <t>['13982-78-0', 'Mercury-203', 'Mercury, isotope of mass 203', '203-Mercury vapour', '(~203~Hg)Mercury', 'DTXSID90930640']</t>
  </si>
  <si>
    <t>Compound(104771)</t>
  </si>
  <si>
    <t>Significant wave height in the spectral domain</t>
  </si>
  <si>
    <t>Maximum wave height in the time domain</t>
  </si>
  <si>
    <t>2-[2-[4-[(4-chlorophenyl)-phenylmethyl]piperazin-1-yl]ethoxy]ethanol</t>
  </si>
  <si>
    <t>['hydroxyzine', '68-88-2', 'Hydroxizine', 'Hydroxyzin', 'Hydroxycine', 'Hydroxine', 'Hychotine', 'Atarax', 'Hydroxizinum', 'Vistaril', 'Ataraxoid', 'Atarazoid', 'Neurozina', 'Nevrolaks', 'Pamazone', 'Paxistil', 'Placidol', 'Plaxidol', 'Tranquizine', 'Traquizine', 'Atarox', 'Atazina', 'Aterax', 'Deinait', 'Atara', 'neo-Calma', 'Equipoise', 'Idrossizina', 'Parenteral', 'Vesparaz-Wirkstoff', 'Tran-Q', 'Atarax base', 'Hydroxyzinum', 'Hydroxyzyne', 'Orgatrax', 'Idrossizina [DCIT]', 'Hydroksyzyny [Polish]', 'Hydroksyzyny', 'Hidroxizina', 'Hydroxyzine base', 'Hydroxyzinum [INN-Latin]', 'Hidroxizina [INN-Spanish]', 'UCB 492', 'Hydroxyzine hydrochloride', 'NP 212', 'Hydroxyzine [INN:BAN]', 'U.C.B 4492', 'UCB 4492', 'U.CB 4492', 'C21H27ClN2O2', "N-(4-Chlorobenzhydryl)-N'-(hydroxyethoxyethyl)piperazine", 'HSDB 3098', 'EINECS 200-693-1', '1-(p-Chlorobenzhydryl)-4-(2-(2-hydroxyethoxy)ethyl)piperazine', 'CHEMBL896', 'NSC 169188', '1-(p-Chlorodiphenylmethyl)-4-(2-(2-hydroxyethoxy)ethyl)piperazine', '1-(p-Chlorobenzhydryl)-4-(2-(2-hydroxyethoxy)ethyl)diethylenediamine', 'BRN 0321392', 'Ethanol, 2-[2-[4-[(4-chlorophenyl)phenylmethyl]-1-piperazinyl]ethoxy]-', 'HYDROXYZINE TRANQUIZINE', 'CHEBI:5818', "N-(4-Chlorobenzhydryl)-N'-(hydroxyethyloxyethyl)piperazine", '1-(p-Chloro-alpha-phenylbenzyl)-4-(2-hydroxyethoxyethyl)piperazine', '2-(2-(4-(p-Chloro-alpha-phenylbenzyl)-1-piperazinyl)ethoxy)ethanol', '1-(p-Chloro-alpha-phenylbenzyl)-4-(2-(2-hydroxyethoxy)ethyl)piperazine', '2-(2-(4-((4-Chlorophenyl)(phenyl)methyl)piperazin-1-yl)ethoxy)ethanol', 'Ethanol, 2-(2-(4-((4-chlorophenyl)phenylmethyl)-1-piperazinyl)ethoxy)-', '2-(2-{4-[(4-chlorophenyl)(phenyl)methyl]piperazin-1-yl}ethoxy)ethan-1-ol', 'NSC-169188', 'NCGC00018255-04', '2-(2-{4-[(4-chlorophenyl)(phenyl)methyl]piperazin-1-yl}ethoxy)ethanol', '2-[2-[4-[(4-chlorophenyl)-phenyl-methyl]piperazin-1-yl]ethoxy]ethanol', 'DSSTox_CID_3137', 'Ethanol, 2-(2-(4-(p-chloro-alpha-phenylbenzyl)-1-piperazinyl)ethoxy)-', 'DSSTox_RID_76887', 'DSSTox_GSID_23137', '1-(p-Chlorobenzhydryl)-4-[2-(2-hydroxyethoxy)ethyl]piperazine', '1-(p-Chlorobenzhydryl)-4-[2-(2-hydroxyethoxy)ethyl]diethylenediamine', '1-(p-Chlorodiphenylmethyl)-4-[2-(2-hydroxyethoxy)ethyl]piperazine', '2-[2-[4-(p-Chloro-.alpha.-phenylbenzyl)-1-piperazinyl]ethoxy]ethanol', '1-(p-Chloro-.alpha.-phenylbenzyl)-4-[2-[(2-hydroxyethoxy)ethyl]piperazine', 'Ethanol, 2-[2-[4-(p-chloro-.alpha.-phenylbenzyl)-1-piperazinyl]ethoxy]-', 'CAS-68-88-2', 'Hydroxyzine (INN)', 'Marex (TN)', '1-(p-Chloro-.alpha.-phenylbenzyl)-4-(2-((2-hydroxyethoxy)ethyl)piperazine', '2-(2-(4-(p-Chloro-.alpha.-phenylbenzyl)-1-piperazinyl)ethoxy)ethanol', 'Hydroxyzine, (R)', 'Atarax (Salt/Mix)', 'Disron (Salt/Mix)', 'Durrax (Salt/Mix)', 'Vistaril (Salt/Mix)', '163837-38-5', 'Prestwick0_000133', 'Prestwick1_000133', 'Prestwick2_000133', 'Prestwick3_000133', '2-(2-(4-((4-Chlorophenyl)phenylmethyl)-1-piperazinyl)ethoxy)ethanol', 'SCHEMBL4491', 'BSPBio_000206', '5-23-01-00462 (Beilstein Handbook Reference)', 'SPBio_002145', 'BPBio1_000228', 'ETH012', 'GTPL7199', 'DTXSID8023137', 'BDBM22875', 'CTK8G0241', 'HMS3604B10', 'HY-B0548', 'KS-000019VL', 'UCB-4492', 'Tox21_113569', '0635AC', 'BBL034752', 'NSC169188', 'STL417960', '1-(4-Chloro-alpha-phenylbenzyl)-4-((2-(2-hydroxyethoxy)ethyl)piperazine)', '2-[(2-{4-[(4-chlorophenyl)(phenyl)methyl]piperazin-1-yl}ethyl)oxy]ethanol', 'AKOS003334349', 'Tox21_113569_1', 'CS-2650', 'DB00557', 'MRF-0000015', 'NCGC00018255-02', 'NCGC00018255-03', 'NCGC00018255-06', 'NCGC00021152-06', 'NCGC00089816-03', 'LS-66601', 'ST059726', 'WLN: T6N DNTJ AYR&amp;R D6&amp; D2O2Q', 'DB-049942', 'AB00053485', 'FT-0670239', 'C07045', 'D08054', '24155-EP2275420A1', '24155-EP2295409A1', '24155-EP2298764A1', '24155-EP2298765A1', '24155-EP2314590A1', 'AB00053485_24', 'AB00053485_25', '242H772', 'L000930', 'Q421937', 'BRD-A62428732-096-02-6', 'BRD-A62428732-300-03-0', 'Ethanol, 2-[2-[4-(p-chloro-phenylbenzyl)-1-piperazinyl]ethoxy]-', '2-(2-(4-((4-Chlorophenyl)(phenyl)methyl)-piperazin-1-yl)ethoxy)ethanol', '2-(2-(4-[(4-Chlorophenyl)(phenyl)methyl]-1-piperazinyl)ethoxy)ethanol #', '2-(2-{4-[(4-Chlorophenyl)(phenyl)methyl]-1-piperazinyl}ethoxy)ethanol', '2-(2-{4-[(4-chlorophenyl)phenylmethyl]piperazinyl}ethoxy)ethan-1-ol', 'Ethanol,2-[2-[4-[(4-chlorophenyl)phenylmethyl]-1-piperazinyl]ethoxy]-', 'Ethanol, 2-(2-(4-((4-chlorophenyl)phenylmethyl)-1-piperazinyl)ethoxy)- (9CI)', '2-[2-[4-[(4-chlorophenyl)phenylmethyl]piperazin-1-yl]ethoxy]ethanol hydrochloride;Hydroxyzine dihydrochloride;hydroxyzine dihydrochloride;Hydroxyzine;hydroxyzine']</t>
  </si>
  <si>
    <t>Compound(3658)</t>
  </si>
  <si>
    <t>C21H27ClN2O2</t>
  </si>
  <si>
    <t>heptachlor</t>
  </si>
  <si>
    <t>1,5,7,8,9,10,10-heptachlorotricyclo[5.2.1.02,6]deca-3,8-diene</t>
  </si>
  <si>
    <t>['heptachlor', 'Heptachlorane', 'Heptamul', '3-Chlorochlordene', '76-44-8', 'Rhodiachlor', 'Aahepta', 'Agroceres', 'Heptagran', 'Hepta', 'Velsicol heptachlor', 'GPKh', 'Technical heptachlor', 'Eptacloro', 'Heptachloor', 'Heptachlore', 'Heptox', 'Velsicol 104', 'Arbinex 30TN', 'Heptagranox', 'Basaklor', 'Heptamak', 'Heptasol', 'Soleptax', 'Rcra waste number P059', 'NCI-C00180', 'Eptacloro [Italian]', 'Heptachloor [Dutch]', 'Heptachlore [French]', 'Caswell No. 474', 'Latka 104', 'ENT 15,152', 'Heptachlor [BSI:ISO]', 'Heptachlorotetrahydro-4,7-methanoindene', 'Latka 104 [Czech]', 'H-34', 'Heptachlore [ISO-French]', 'NSC 8930', 'Gold Crest H-60, Termide', 'Heptachlor (technical grade)', 'CCRIS 324', '4,7-Methano-1H-indene, 1,4,5,6,7,8,8-heptachloro-3a,4,7,7a-tetrahydro-', 'E 3314', 'HSDB 554', 'Drinox H-34', 'H-60', 'OMS 193', '1,4,5,6,7,8,8-Heptachloro-3a,4,7,7a-tetrahydro-4,7-methanoindene', '3,4,5,6,7,8,8a-Heptachlorodicyclopentadiene', 'EINECS 200-962-3', 'Heptachlor and metabolites', 'RCRA waste no. P059', 'EPA Pesticide Chemical Code 044801', 'Dicyclopentadiene, 3,4,5,6,7,8,8a-heptachloro-', '1,4,5,6,7,8,8-heptachloro-3a,4,7,7a-tetrahydro-1H-4,7-methanoindene', '1,4,5,6,7,8,8-Heptachloro-3a,4,7,7a-tetrahydro-4,7-methano-1H-indene', 'AI3-15152', 'CHEBI:34785', '1,4,5,6,7,10,10-Heptachloro-4,7,8,9-tetrahydro-4,7-methyleneindene', '1,4,5,6,7,8,8a-Heptachloro-3a,4,7,7a-tetrahydro-4,7-methanoindane', '4,7-Methanoindene, 1,4,5,6,7,8,8-heptachloro-3a,4,7,7a-tetrahydro-', '1(3a),4,5,6,7,8,8-Heptachloro-3a(1),4,7,7a-tetrahydro-4,7-methanoindene', 'alpha-Dicyclopentadiene, 3,4,5,6,7,8,8A-heptachloro-', '1,4,5,6,7,8,8-Heptachlorotetrahydro-4,7-methanoindene', 'DSSTox_CID_679', '1,4,5,6,7,8,8-Eptacloro-3a,4,7,7a-tetraidro-4,7-endo-metano-indene', '1,4,5,6,7,10,10-Heptachloro-4,7,8,9-tetrahydro-4,7-endomethyleneindene', '1,4,5,6,7,8,8-Heptachloor-3a,4,7,7a-tetrahydro-4,7-endo-methano-indeen', '1,4,5,6,7,8,8-Heptachlor-3a,4,7,7,7a-tetrahydro-4,7-endo-methano-inden', '1,4,5,6,7,8,8-Heptachloro-3a,4,7,7a-tetrahydro-4,7-endomethanoindene', '1,4,5,6,7,8,8-Heptachloro-3a,4,7,7a-tetrahydro-4,7-methanol-1H-indene', '1,4,5,6,7,8,8-Eptacloro-3a,4,7,7a-tetraidro-4,7-endo-metano-indene [Italian]', '1,4,5,6,7,8,8-Heptachloor-3a,4,7,7a-tetrahydro-4,7-endo-methano-indeen [Dutch]', '1,4,5,6,7,8,8-Heptachlor-3a,4,7,7,7a-tetrahydro-4,7-endo-methano-inden [German]', 'DSSTox_RID_75727', 'DSSTox_GSID_20679', 'heptaklor', '1,5,7,8,9,10,10-heptachlorotricyclo[5.2.1.0(2,6)]deca-3,8-diene', 'CAS-76-44-8', 'Tetrahydro', 'hepta klor', 'Spectrum_001951', 'SpecPlus_000590', 'Spectrum2_001891', 'Spectrum3_000865', 'Spectrum4_000705', 'Spectrum5_002052', 'SCHEMBL65124', 'BSPBio_002509', 'KBioGR_001229', 'KBioSS_002505', 'SPECTRUM330078', 'MLS002454407', 'DivK1c_006686', 'SPBio_001822', 'CHEMBL194400', 'DTXSID3020679', 'KBio1_001630', 'KBio2_002497', 'KBio2_005065', 'KBio2_007633', 'KBio3_002009', 'NSC8930', 'NSC-8930', 'Tox21_201911', 'Tox21_300534', 'BDBM50410521', 'CCG-39341', 'LS-1694', 'NCGC00091514-01', 'NCGC00094549-01', 'NCGC00094549-02', 'NCGC00094549-03', 'NCGC00094549-04', 'NCGC00094549-05', 'NCGC00254523-01', 'NCGC00259460-01', 'SMR001372010', '3,5,6,7,8,8-Heptachlorodicyclopentadiene', 'NS00008168', 'C14185', 'Dicyclopentadiene,4,5,6,7,8,8a-heptachloro-', 'Q417891', 'WLN: L C555 A DU IUTJ AG AG BG FG HG IG JG', '4, 1,4,5,6,7,8,8-heptachloro-3a,4,7,7a-tetrahydro-', '1,5,6,7,8,8-Heptachloro-3a,4,7,7a-tetrahydro-4,7-methanoindene', '3a,5,6,7,8,8-Heptachloro-3a,4,7,7a-tetrahydro-4,7-methanoindene', '1(3a),5,6,7,8,8-Heptachloro-3a(1),4,7,7a-tetrahydro-4,7-methanoindene', '1,4,5,6,7,10,10-hept achloro-4,7,8,9-tetrahydro-4,7-methyleneindene', '1,4,5,6,7,8,8-h eptachloro-3a,4,7,7a-tetrahydro-4,7-endomethanoindene', '1,4,5,6,7,8,8-Heptachloro-3a,4,7,7,7a-tetrahydro-4,7-methylene indene', '1,4,5,6,7,8,8-heptachloro-3a,4,7,7,7a-tetrahydro-4,7-methyleneindene', '1,4,5,6,7,8,8-Heptachloro-3a,4,7,7a-tetrahydro-4,7-endo-methanoindene', '1,4,5,6,7,8,8a-heptachloro-3a,4,7,7a-tetrahydro-4,7-methanoindene', '1,5,6,7,10,10-Heptachloro-4,7,8,9-tetrahydro-4,7-endo-methyleneindene', '1,5,6,7,10,10-Heptachloro-4,7,8,9-tetrahydro-4,7-methyleneindene', '1,5,6,7,8,8-Eptacloro-3a,4,7,7a-tetraidro-4,7-endo-metano-indene', '1,5,6,7,8,8-Heptachloor-3a,4,7,7a-tetrahydro-4,7-endo-methano-indeen', '1,5,6,7,8,8-Heptachlor-3a,4,7,7,7a-tetrahydro-4,7-endo-methano-inden', '1,5,6,7,8,8-Heptachloro-3a,4,7,7,7a-tetrahydro-4,7-methylene indene', '1,5,6,7,8,8-Heptachloro-3a,4,7,7a- tetrahydro-4,7-methanoindene', '1,5,6,7,8,8-Heptachloro-3a,4,7,7a-tetrahydro-4,7-endo-methanoindene', '1H-1,4,5, 6,7,8,8-Heptachloro-3a,4,7,7a-tetrahydro-4,7-methanoindene', '1H-1,4,5,6,7,8,8-Heptachloro-3a,4,7,7a-tetrahydro-4,7-methanoindene', '1H-1,4,5,6,7,8,8-heptachloro-3a,4,7,7a-tetrahydro-4-methanoindene', '(4S,7S)-1,4,5,6,7,8,8-heptachloro-3a,4,7,7a-tetrahydro-1H-4,7-methanoindene', '1,4,5,6,7,10,10-Heptachloro-4,7,8,9-tetrahydro-4,7-endo-methyleneindene', 'Indene, 1,4,5,6,7,8,8-heptachloro-3alpha,4,7,7alpha-tetrahydro-4,7-methano-', '6,7,8,9,10,10-hexachloro-1,5,5a,6,9,9a-hexahydro-3-methyl-4,7-Methano-1H-ind ene, 1,4,5,6,7,8,8-heptachloro-3a,4,7,7a-tetrahydro-6,9-methano-2,4,3-benzodioxathiepin', '6,7,8,9,10,10-hexachloro-1,5,5a,6,9,9a-hexahydro-3-methyl-4,7-Methano-1H-indene, 1,4,5,6,7,8,8-heptachloro-3a,4,7,7a-tetrahydro-6,9-methano-2,4,3-benzodioxathiepin']</t>
  </si>
  <si>
    <t>Compound(3589)</t>
  </si>
  <si>
    <t>C10H5Cl7</t>
  </si>
  <si>
    <t>heptachloronaphthalene</t>
  </si>
  <si>
    <t>1,2,3,4,5,6,7-heptachloronaphthalene</t>
  </si>
  <si>
    <t>['1,2,3,4,5,6,7-Heptachloronaphthalene', '32241-08-0', '58863-14-2', 'Naphthalene, 1,2,3,4,5,6,7-heptachloro', '1H-Heptachloronaphthalene', 'Naphthalene,heptachloro-', 'PCN-73', 'Heptachloronapthalene (PCN 73)', 'SCHEMBL11343864', 'CTK4G8408', 'DTXSID10871440', 'Naphthalene, 1,2,3,4,5,6,7-heptachloro-', '1 , 2 , 3 , 4 , 5 , 6 , 7-heptachloronaphthalene']</t>
  </si>
  <si>
    <t>Compound(107818)</t>
  </si>
  <si>
    <t>C10HCl7</t>
  </si>
  <si>
    <t>heptachlornorbornene</t>
  </si>
  <si>
    <t>hexabromo-1,1'-biphenyl</t>
  </si>
  <si>
    <t>1,2,3-tribromo-4-(2,3,4-tribromophenyl)benzene</t>
  </si>
  <si>
    <t>["2,2',3,3',4,4'-Hexabromo-1,1'-biphenyl", 'UNII-DVU362DL6H', "2,2',3,3',4,4'-Hexabromobiphenyl", 'DVU362DL6H', '82865-89-2', "Hexabromo-1,1'-biphenyl", 'SCHEMBL26722', "1,1'-Biphenyl, 2,2',3,3',4,4'-hexabromo-", 'CTK5F0157', 'DTXSID40858926', 'NS00058195', 'Q1616644', 'UNII-687K2822O7 component PTJQVJQAZSLKJO-UHFFFAOYSA-N', "Hexabromo-1,1'-biphenyl;hexabromo-1,1-biphenyl;2,2',3,3',4,4'-Hexabromobiphenyl"]</t>
  </si>
  <si>
    <t>Compound(154482)</t>
  </si>
  <si>
    <t>C12H4Br6</t>
  </si>
  <si>
    <t>hexabromobenzene</t>
  </si>
  <si>
    <t>1,2,3,4,5,6-hexabromobenzene</t>
  </si>
  <si>
    <t>['HEXABROMOBENZENE', '87-82-1', 'Benzene, hexabromo-', 'Perbromobenzene', 'UNII-T01859XWIR', 'CCRIS 5917', 'HSDB 2912', '1,2,3,4,5,6-Hexabromobenzene', 'EINECS 201-773-9', 'NSC 113975', 'AI3-60220', 'T01859XWIR', 'Benzene, 1,2,3,4,5,6-hexabromo-', 'HXBBZ', 'HexaBioomobenzene', 'Hexabromobenzene, 98%', 'ACMC-20aj0o', 'DSSTox_CID_4128', 'DSSTox_RID_77302', 'DSSTox_GSID_24128', 'SCHEMBL27124', 'KSC491S5T', 'CHEMBL375600', 'DTXSID1024128', 'CTK3J1959', 'KS-00000UHV', 'ZINC1704332', 'ZX-AT020615', 'Hexabromobenzene, analytical standard', 'Tox21_203003', 'ANW-75574', 'MFCD00000058', 'NSC113975', '1,2,3,4,5,6-Hexabromobenzene #', 'AKOS015834911', 'FCH1320495', 'LS-1872', 'MCULE-1745081340', 'NSC-113975', 'OR22849', 'CAS-87-82-1', 'NCGC00164035-01', 'NCGC00260548-01', 'FT-0626943', 'NS00009992', 'Hexabromobenzene 100 microg/mL in Cyclohexane', 'Hexabromobenzene, PESTANAL(R), analytical standard', 'Q1616640']</t>
  </si>
  <si>
    <t>Compound(6905)</t>
  </si>
  <si>
    <t>C6Br6</t>
  </si>
  <si>
    <t>hexa (methoxymethyl) melamine</t>
  </si>
  <si>
    <t>hexamethyldisiloxane</t>
  </si>
  <si>
    <t>trimethyl(trimethylsilyloxy)silane</t>
  </si>
  <si>
    <t>['HEXAMETHYLDISILOXANE', '107-46-0', 'Disiloxane, hexamethyl-', 'Oxybis(trimethylsilane)', 'Hexamethyl disiloxane', 'HMDSO', 'Fluka AG', 'Bis(trimethylsilyl)ether', 'Belsil DM 0.65', 'Bis(trimethylsilyl) ether', 'Bis(trimethylsilyl)oxide', '1,1,1,3,3,3-Hexamethyldisiloxane', 'Bistrimethylsilyl ether', 'KF 96L', 'Bis-trimethylsilyl oxide', 'SWS-F 221', 'Bis(trimethylsilyl) oxide', 'OS 10', 'Silane, oxybis(trimethyl-', 'UNII-D7M4659BPU', 'NSC 43346', 'trimethylsilyl ether', 'hexamethyl-disiloxane', 'CCRIS 1325', 'Disiloxane, 1,1,1,3,3,3-hexamethyl-', 'HSDB 5378', 'EINECS 203-492-7', 'Silane, oxybis(trimethyl)-', 'AI3-51466', 'D7M4659BPU', '((CH3)3Si)2O', 'CHEBI:78002', 'MFCD00008265', 'NCGC00164086-01', 'DSSTox_CID_6769', 'DSSTox_RID_78209', 'Hexamethyldisiloxane, 98+%', 'DSSTox_GSID_26769', 'CAS-107-46-0', 'C6H18OSi2', 'bis-tms ether', 'di-tms ether', 'TMS ether', 'trimethyl(trimethylsilyloxy)silane', 'trimethylsilylether', 'Dimethicone, BAN', 'HMDO', 'Dimethyl silicone oil', 'Poly(dimethyl siloxane)', 'ACMC-2098wd', 'EC 203-492-7', 'DISILOXANE,HEXAMETHYL', 'SCHEMBL6413', 'Dow corning 200/0.65', 'KSC175M0R', 'Hexamethyldisiloxane, &gt;=98%', 'SCHEMBL3965314', 'CHEMBL3184090', 'DTXSID4026769', 'CTK0H5608', 'DC 200 FLUID (Salt/Mix)', 'KS-00000WJC', 'Hexamethyldisiloxane (HM or HMDS)', 'BCP11630', 'NSC43346', 'trimethyl[(trimethylsilyl)oxy]silane', 'Tox21_112082', 'Tox21_201713', 'Tox21_303119', 'ANW-15803', 'NSC-43346', 'AKOS000119927', 'ZINC169743072', '1,1,1,3,3,3-Hexamethyldisiloxane #', 'NCGC00164086-02', 'NCGC00257007-01', 'NCGC00259262-01', 'K634', 'LS-62990', 'SC-46751', 'SC-47186', '1-Methoxy-1,1,2,2,2-pentamethyldisilane', 'DB-040758', 'FT-0627020', 'Hexamethyldisiloxane, NMR grade, &gt;=99.5%', 'NS00041276', 'WLN: 1-SI-1&amp;1&amp;O-SI-1&amp;1&amp;1', '22975-EP2275469A1', '22975-EP2287940A1', '22975-EP2289965A1', '22975-EP2295421A1', '22975-EP2298828A1', '22975-EP2299785A1', '22975-EP2306788A1', '22975-EP2306789A1', '22975-EP2308926A1', '22975-EP2309564A1', '22975-EP2314558A1', '22975-EP2315502A1', '22975-EP2371810A1', '22975-EP2371812A1', 'Hexamethyldisiloxane, puriss., &gt;=98.5% (GC)', 'A801702', 'Hexamethyldisiloxane, viscosity 0.65 cSt (25 C)', 'Q419440', 'J-503692', 'J-802221', 'F0001-0143', 'Hexamethyldisiloxane, for GC derivatization, &gt;=98% (GC)', 'hexamethyldisiloxane;DISILOXANE;Hexamethyldisiloxane;Dimethicone;dimethicone 350', 'Hexamethyldisiloxane solution, NMR reference standard, 25% in benzene-d6 (99.6 atom % D), NMR tube size 5 mm x 8 in.']</t>
  </si>
  <si>
    <t>Compound(24764)</t>
  </si>
  <si>
    <t>C6H18OSi2</t>
  </si>
  <si>
    <t>hexamethyl phosphoramide</t>
  </si>
  <si>
    <t>N-[bis(dimethylamino)phosphoryl]-N-methylmethanamine</t>
  </si>
  <si>
    <t>['HEXAMETHYLPHOSPHORAMIDE', '680-31-9', 'HMPA', 'Hexamethylphosphoric triamide', 'Hexametapol', 'Hempa', 'HMPT', 'HMPTA', 'Hexamethylphosphoric acid triamide', 'Phosphoric triamide, hexamethyl-', 'Hexamethylphosphorictriamide', 'Hexamethylphosphotriamide', 'Phosphoric hexamethyltriamide', 'Hexamethylphosphorotriamide', 'Phosphoric acid hexamethyltriamide', 'Tris(dimethylamino)phosphine oxide', 'Phosphoric tris(dimethylamide)', 'Eastman Inhibitor HPT', 'Hexamethylorthophosphoric triamide', 'Phosphoryl hexamethyltriamide', "N,N,N',N',N'',N''-hexamethylphosphoric triamide", 'Tris(dimethylamino)phosphorus oxide', 'Hexamethyl phosphoramide', 'Hexamethylfosforamid', 'NSC 7967', 'Hexamethylfosforamid [Czech]', 'ENT 50882', 'CCRIS 332', 'NSC 113131', 'UNII-M42TU5843Z', 'Hexamethylphosphoramid', 'HSDB 2031', 'hexamethyltriamidophosphate', 'EINECS 211-653-8', 'ENT 50,882', 'Tris-(dimethylamid) kyseliny fosforecne', 'hexamethyl phosphoric triamide', 'Hexamethylphosphorsaeuretriamid', '[bis(dimethylamino)phosphoryl]dimethylamine', 'AI3-50882', 'hexamethylphosphoramide triamide', 'N,N,N,N,N,N-Hexamethylphosphoric triamide', 'CHEBI:24565', 'NSC7967', 'Tris-(dimethylamid) kyseliny fosforecne [Czech]', 'M42TU5843Z', "N,N,N',N',N'',N''-Hexamethylphosphorotriamide", 'N-[bis(dimethylamino)phosphoryl]-N-methyl-methanamine', 'N-[bis(dimethylamino)phosphoryl]-N-methylmethanamine', "phosphoric triamide, N,N,N',N',N'',N''-hexamethyl-", 'HPT', 'DSSTox_CID_694', 'DSSTox_RID_75740', 'DSSTox_GSID_20694', 'phosphinotris(dimethylamino)-1-one', 'N,N,N,N,N-Hexamethylphosphoric triamide', 'WLN: 1N1&amp;PO&amp;N1&amp;1&amp;N1&amp;1', 'CAS-680-31-9', 'C6H18N3OP', 'Hexamethylphosphamide', 'Hexmethylphosphoramide', 'Hexamethyl Phosphoryl Triamide(Hmpa )', 'hexamethyiphosphoramide', 'hexarnethylphosphoramide', 'hex amethylphosphoramide', 'hexamethyl-phosphoramide', 'hexamethylpho-sphoramide', 'hexamethylphos-phoramide', 'Hexamethylphosphor-amide', 'PubChem13752', 'ACMC-1AU7R', 'hexamethyl phosphorotriamide', 'hexamethylphophoric triamide', 'Hexamethylphosphoramide-d18', 'hexamethyl phosphorictriamide', 'hexamethylphosphoric-triamide', 'SCHEMBL3277', 'phoric triamide, hexamethyl-', 'Hexamethyl phosphoryl triamide', 'Hexamethylphosphoramide, 99%', 'KSC353C3F', 'phosphoric-tris-(dimethylamide)', 'Tri(dimethylamino)phosphineoxide', 'hexamethylphosphoric cid triamide', 'CHEMBL3187047', 'DTXSID6020694', 'Tris(dimethylamino)oxophosphorane', 'CTK2F3132', '((CH3)2N)3PO', 'hexamethyl phosphoric acid triamide', 'hexamethyl-phosphoric acid triamide', 'Phosphoric acid hexameth yltriamide', 'ACT04115', 'KS-000000FQ', 'NSC-7967', 'STR04996', 'Tox21_201837', 'Tox21_302785', 'ANW-35433', 'NSC113131', 'RW2122', 'SBB058682', 'STL268870', 'ZINC38141467', 'AKOS000120202', 'LS-1579', 'MCULE-2181766574', 'NSC-113131', 'NCGC00164320-01', 'NCGC00164320-02', 'NCGC00256318-01', 'NCGC00259386-01', 'BP-21334', 'SC-18321', 'AB0007224', 'DB-009751', 'DS-002650', 'CS-0017155', 'FT-0627025', 'N,N,N,N,N, N-Hexamethylphosphoric triamide', 'NS00022666', 'ST51037295', 'N,N,N\',N\',N",N\'-Hexamethylphosphorotriamide', '1917-EP1441224A2', '1917-EP2269989A1', '1917-EP2272509A1', '1917-EP2272826A1', '1917-EP2275401A1', '1917-EP2281820A2', '1917-EP2292576A2', '1917-EP2298754A1', '1917-EP2298763A1', '1917-EP2298772A1', '1917-EP2305640A2', '1917-EP2305682A1', '1917-EP2308812A2', '1917-EP2308828A2', '1917-EP2308849A1', '1917-EP2308850A1', '1917-EP2308861A1', '1917-EP2308879A1', '6522-EP1441224A2', '6522-EP2272509A1', '6522-EP2272517A1', '6522-EP2272826A1', '6522-EP2275102A1', '6522-EP2281820A2', '6522-EP2292576A2', '6522-EP2295428A2', '6522-EP2298745A1', '6522-EP2298754A1', '6522-EP2298783A1', '6522-EP2301930A1', '6522-EP2305640A2', '6522-EP2305648A1', '6522-EP2305682A1', '6522-EP2305684A1', '6522-EP2308812A2', '6522-EP2308861A1', '6522-EP2308879A1', '6522-EP2311806A2', 'C19250', '53331-EP2275407A1', '53331-EP2277881A1', '53331-EP2298731A1', '53331-EP2298772A1', '53331-EP2305648A1', '53331-EP2305651A1', '53331-EP2308854A1', '53331-EP2308877A1', '53331-EP2371831A1', '68063-EP2280007A1', '68063-EP2308874A1', '77959-EP2298762A2', '77959-EP2308866A1', 'Hexamethylphosphoramide, purum, &gt;=98.0% (GC)', 'A835982', 'Q416086', 'Hexamethylphosphoric triamide;Hexamethylphosphoramide', 'J-521457', 'N-Bis(dimethylamino)phosphoryl-N-methyl-methanamine', 'F1908-0085', 'Hexamethylphosphoramide, absolute, over molecular sieve (H2O &lt;=0.01%), &gt;=98.0% (GC)']</t>
  </si>
  <si>
    <t>Compound(12679)</t>
  </si>
  <si>
    <t>C6H18N3OP</t>
  </si>
  <si>
    <t>hexamethylene diisocyanate</t>
  </si>
  <si>
    <t>1,6-diisocyanatohexane</t>
  </si>
  <si>
    <t>['1,6-Diisocyanatohexane', 'HEXAMETHYLENE DIISOCYANATE', '822-06-0', '1,6-Hexamethylene diisocyanate', 'HMDI', 'Hexane, 1,6-diisocyanato-', 'Hexane 1,6-diisocyanate', '1,6-Hexylene diisocyanate', 'Hexamethylene-1,6-diisocyanate', '1,6-Hexanediol diisocyanate', 'Isocyanic acid, hexamethylene ester', 'hexamethylenediisocyanate', 'HDI', 'Szesciometylenodwuizocyjanian', 'TL 78', 'Metyleno-bis-fenyloizocyjanian', 'UNII-0I70A3I1UF', 'NSC 11687', 'Hexamethylendiisokyanat [Czech]', 'CHEBI:53578', 'HSDB 6134', 'Isocyanic acid, diester with 1,6-hexanediol', '1,6-diisocyanato-hexane', 'EINECS 212-485-8', 'MFCD00002047', 'UN2281', 'hexamethylene di-isocyanate', 'Szesciometylenodwuizocyjanian [Polish]', 'Metyleno-bis-fenyloizocyjanian [Polish]', 'BRN 0956709', 'AI3-28285', '0I70A3I1UF', 'Hexamethylene 1,6-diisocyanate', 'Hexamethylene diisocyanate, 1,6-', 'DSSTox_CID_4143', 'Hexamethylene-1,6-diisocyanate [Diisocyanates]', 'DSSTox_RID_77303', 'DSSTox_GSID_24143', 'W-104184', '1,6-Diisocyanatohexane, 99+%', 'CAS-822-06-0', 'Hexamethylendiisokyanat', 'CCRIS 8431', 'Desmodur H', 'Hexane,6-diisocyanato-', 'ACMC-209pnj', '1,6-diisocyanato hexane', 'hexane-1,6-diisocyanate', 'WLN: OCN6NCO', 'Epitope ID:115018', 'EC 212-485-8', 'Isocyanic acid,6-hexanediol', 'SCHEMBL15038', 'OCN-(CH2)6-NCO', 'KSC489S1T', '1,6-hexamethylene-diisocyanate', '1,6-Diisocyanatohexane, 98%', 'GTPL6291', 'CHEMBL1896533', 'DTXSID4024143', 'HEXANE,1,6-DIISOCYANATE', 'CTK3I9919', 'KS-00000UYJ', 'NSC11687', 'ZINC1718505', 'Tox21_202206', 'Tox21_300161', '0163AF', '0164AF', '2718AC', '2719AC', 'ANW-37517', 'NSC-11687', 'SBB069499', 'STL301890', 'AKOS000120355', 'MCULE-6968884658', 'NCGC00164175-01', 'NCGC00164175-02', 'NCGC00164175-03', 'NCGC00254122-01', 'NCGC00259755-01', '88357-62-4', 'LS-75070', 'SC-74930', 'Isocyanic acid, hexamethylene ester (8CI)', 'FT-0627021', 'NS00008899', 'Hexamethylene diisocyanate [UN2281] [Poison]', '55478-EP2270113A1', '55478-EP2272935A1', '55478-EP2284165A1', '55478-EP2292597A1', '55478-EP2295399A2', '55478-EP2295438A1', '55478-EP2308865A1', 'Hexamethylene diisocyanate [UN2281]  [Poison]', 'A840272', 'Q418197', 'Hexamethylene diisocyanate, purum, &gt;=98.0% (GC)', 'Hexamethylene diisocyanate, puriss., &gt;=99.0% (GC)']</t>
  </si>
  <si>
    <t>Compound(13192)</t>
  </si>
  <si>
    <t>C8H12N2O2</t>
  </si>
  <si>
    <t>hexamethylenetetramine (Urotropine)</t>
  </si>
  <si>
    <t>1,3,5,7-tetrazatricyclo[3.3.1.13,7]decane</t>
  </si>
  <si>
    <t>['methenamine', 'Hexamethylenetetramine', '100-97-0', 'Hexamine', 'Urotropine', 'Hexamethylenamine', 'Hexamethylene tetramine', '1,3,5,7-Tetraazaadamantane', 'Aminoform', 'Methenamin', 'Urotropin', 'Hexamethylenetetraamine', 'Formamine', 'HMTA', 'Uritone', 'Aminoformaldehyde', 'Ammonioformaldehyde', 'Ammoform', 'Antihydral', 'Cystamin', 'Cystogen', 'Duirexol', 'Hexaform', 'Hexaloids', 'Metramine', 'Resotropin', 'Uratrine', 'Urodeine', 'Xametrin', 'Formin', 'Heterin', 'Hexasan', 'Uramin', 'Hexamethylentetramin', 'Preparation AF', 'Hexamethyleneamine', 'Hexilmethylenamine', 'Hexa-Flo-Pulver', 'Ekagom H', 'methenaminum', 'Aceto HMT', 'Herax UTS', 'Metenamina', 'Hexaminum', 'Formin (heterocycle)', 'Nocceler H', 'Sanceler H', 'Hexamine (heterocycle)', '1,3,5,7-Tetraazatricyclo[3.3.1.13,7]decane', 'Vulkacit H 30', 'Hexamethylentetraminum', 'Hexamethylentetramine', 'Hexasan (VAN)', 'Mandelamine', 'S 4 (heterocycle)', 'Hexamethylenetetraminum', 'Uro-phosphate', '1,3,5,7-tetraazatricyclo[3.3.1.1~3,7~]decane', 'Esametilentetramina', 'Caswell No. 482', 'Metenamine', 'Methamin', 'Vesaloin', 'Hexa (vulcanization accelerator)', 'Hexamine Silver', 'Methenamine [USAN:INN]', 'Metenamina [INN-Spanish]', 'Methenaminum [INN-Latin]', 'UNII-J50OIX95QV', 'Methenamine Silver', 'Silver Methenamine', 'Hexamine (JAN)', 'Hexamine (TN)', 'Esametilentetramina [Italian]', 'Hexamethylentetramin [German]', 'CCRIS 2297', 'HSDB 563', 'HMT', 'Hexamethylenetetramine (aliphatic)', 'Methenamine (USP/INN)', 'EINECS 202-905-8', 'NSC 26346', 'UN1328', 'EPA Pesticide Chemical Code 045501', 'NSC 403347', 'J50OIX95QV', '1,3,5,7-Tetraazatricyclo (3.3.1.1(3,7))decane', '1,3,5,7-Tetraazatricyclo(3.3.1.1(sup 37))decane', 'AI3-09611', 'Hexamethylenetetramine solutions', 'CHEBI:6824', 'H.M.T.', 'C6H12N4', 'Formin (the heterocyclic compound)', '1,3,5,7-Tetraazatricyclo(3.3.1.13,7)decane', 'NSC26346', '1,3,5,7-tetraazatricyclo[3.3.1.1^{3,7}]decane', 'MFCD00006895', 'NSC-26346', '1,3,5,7-Tetraazatricyclo(3.3.1.1(sup 3,7))decane', 'NCGC00094719-04', 'E239', 'DSSTox_CID_692', 'Hexamethylenetetramine-palladium chloride adduct', 'DSSTox_RID_75739', 'Hexamethylenetetramine, 99%', '1,3,5,7-tetraazatricyclo[3.3.1.1?,?]decane', 'DSSTox_GSID_20692', 'Hexamethylenetetramine [UN1328] [Flammable solid]', '1,3,5,7-Tetraazatricyclo[3.3.1.1(3,7)]decane', 'Sanceler HT', 'Heksa K', 'Hexamine Superfine', 'Nocceler H-PO', 'Sanceler HT-PO', 'Hexa B', 'CAS-100-97-0', 'SMR000857139', 'Cohedur H 30', 'hexamethylene-tetramine', 'NSC403347', 'Rhenogran HEXA 80', 'Thixon 715B', 'NSC-403347', '1,3,5,7-Tetraazotricyclo[3.3.1.13,7]decane', 'SR-05000002024', 'Methenamine [USP:INN]', '1,3,5,7-tetraazatricyclo[3.3.1.1&lt;3,7&gt;]decane', '1,3,5,7-Tetraazatricyclo[3.3.1.1{3,7}]decane', '1,3,5,7-Tetraazatricyclo[3.3.1.1(sup 3,7)]decane', 'Hexamethylenetetramine, 98.5%, contains an anticaking agent', 'Hexamethylamine', 'Naphthamine', 'Vesalvine', 'Urisol', 'Carin', 'EL 10 (corrosion inhibitor)', 'HEXAMETHYLENETETRAMINE, ACS', 'EL 10', 'Prestwick_79', 'Vulkacit H30', '1,3,5,7-Tetraazatricyclo[3.3.1.13,7 ]decane', 'Grasselerator 102', 'Cystex (Salt/Mix)', 'hexam-ethylenetetraamine', 'hexamethylene tetraamine', 'PubChem20918', 'Spectrum_000991', 'ACMC-20ahs9', 'Spectrum2_000827', 'Spectrum3_001730', 'Spectrum4_000872', 'Spectrum5_001603', 'Methenamine (Mandelamine)', 'Formaldehyde-ammonia 6:4', '[16]-Adamazane, INN', 'component of Uro-Phosphate', 'Uro-phosphate (Salt/Mix)', '1,5,7-Tetraazaadamantane', 'EC 202-905-8', 'Hexamethylentetramin(german)', 'Hexamethylenetetramine, 8CI', 'SCHEMBL33785', 'BSPBio_003380', 'Hexamethylenetetramine, tech.', 'KBioGR_001563', 'KBioSS_001471', 'KSC925A7R', 'MLS001332361', 'MLS001332362', 'MLS002207085', 'DivK1c_000322', 'SPECTRUM1500394', 'SPBio_000753', 'Hexamethylenetetramine, BioXtra', 'INS NO.239', 'CHEMBL1201270', 'DTXSID6020692', 'CTK8C5078', 'GTPL10913', 'HMS501A04', 'KBio1_000322', 'KBio2_001471', 'KBio2_004039', 'KBio2_006607', 'KBio3_002600', 'KS-00000URE', 'INS-239', 'NINDS_000322', 'HMS1920L13', 'HMS2091D08', 'HMS2233B09', 'HMS3371O15', 'HMS3652A05', 'HMS3715D17', 'Pharmakon1600-01500394', 'HY-B0514', 'STR00289', 'Tox21_113455', 'Tox21_201606', 'Tox21_300502', 'ANW-73975', 'CCG-40289', 'Hexamethylenetetramine, LR, &gt;=99%', 'LS-313', 'NSC757101', 's3139', 'SBB008794', 'STL197471', 'ZINC86040406', 'AKOS000120003', 'AKOS005169648', 'Tox21_113455_1', 'Urotropine 100 microg/mL in Methanol', 'CS-2724', 'DB06799', 'MCULE-8414341610', 'NE10461', 'NSC-757101', 'IDI1_000322', 'NCGC00094719-01', 'NCGC00094719-02', 'NCGC00094719-03', 'NCGC00094719-05', 'NCGC00094719-06', 'NCGC00094719-08', 'NCGC00254463-01', 'NCGC00259155-01', 'H722', 'SC-19168', 'SBI-0051439.P003', 'E-239', 'FT-0627024', 'FT-0669190', 'Hexamethylenetetramine, ReagentPlus(R), 99%', 'NS00006016', 'ST50823696', 'SW199604-2', '1,5,7-Tetraazatricyclo[3.3.1.13,7]decane', '3070-EP2269990A1', '3070-EP2295550A2', '3070-EP2298734A2', '3070-EP2371811A2', '3070-EP2377849A2', 'D00393', 'Hexamethylenetetramine, ACS reagent, &gt;=99.0%', 'Q71969', '22128-EP2272817A1', '22128-EP2275404A1', '22128-EP2280000A1', '22128-EP2305652A2', '22128-EP2308848A1', '22128-EP2314593A1', '34431-EP2301536A1', '34431-EP2301538A1', '34431-EP2311455A1', '34543-EP2301536A1', '34543-EP2301538A1', '34543-EP2311455A1', 'AB00052038_08', 'AB00052038_09', '1,3,5,7-tetraaza-tricyclo[3.3.1.13,7]decane', '1,3,5,7-tetraazatricyclo-[3.3.1.13,7]decane', '1,3,5,7-tetraazatricyclo[3,3,1,13,7]decane', '1,3,5,7-tetraazatricyclo[3.3.1.1(3),]decane', '1,5:3,7-Dimethano-1,3,5,7-tetraazacyclooctane', 'AE-641/00560026', 'WLN: T66 B6 A B-C 1B I BN DN FN HNTJ', 'Hexamethylenetetramine [UN1328]  [Flammable solid]', 'Hexamethylenetetramine, analytical reference material', 'Hexamethylenetetramine, p.a., ACS reagent, 99.0%', 'Hexamethylenetetramine, SAJ first grade, &gt;=98.5%', 'J-000293', 'J-521456', 'SR-05000002024-1', 'SR-05000002024-3', '1,3,5,7-tetraaza-tricyclo[3.3.1.1*3,7*]decane', '1,3,5,7-Tetraazatricyclo-[3.3.1.1(3,7)]decane', 'BRD-K30114692-001-10-0', 'Hexamethylenetetramine, JIS special grade, &gt;=99.0%', 'F2173-0429', 'Z362014242', 'Methenamine, European Pharmacopoeia (EP) Reference Standard', 'Methenamine, United States Pharmacopeia (USP) Reference Standard', 'Hexamethylenetetramine, anhydrous, free-flowing, Redi-Dri(TM), ACS reagent, &gt;=99.0%', '67931-01-5', 'Hexamethylenetetramine, meets analytical specification of Ph.??Eur., BP, 99-100.5% (calc. to the dried substance)', 'Hexamethylenetetramine, puriss. p.a., Reag. Ph. Eur., &gt;=99.5% (calc. to the dried substance)']</t>
  </si>
  <si>
    <t>Compound(4101)</t>
  </si>
  <si>
    <t>C6H12N4</t>
  </si>
  <si>
    <t>hexachloroethane</t>
  </si>
  <si>
    <t>1,1,1,2,2,2-hexachloroethane</t>
  </si>
  <si>
    <t>['HEXACHLOROETHANE', '67-72-1', 'Perchloroethane', 'Ethane, hexachloro-', 'Avlothane', '1,1,1,2,2,2-Hexachloroethane', 'Carbon hexachloride', 'Hexachlorethane', 'Mottenhexe', 'Distokal', 'Distopan', 'Distopin', 'Falkitol', 'Phenohep', 'Egitol', 'Ethylene hexachloride', 'Hexachloroethylene', 'Ethane hexachloride', 'C2Cl6', 'Hexachlor-aethan', 'Hexachlorethan', 'Fron 110', 'Rcra waste number U131', 'NCI-C04604', 'Caswell No. 479', 'Hexachlor-aethan [German]', 'UNII-G30K3QQT4J', 'NSC 9224', 'CCRIS 330', 'Ethane, 1,1,1,2,2,2-hexachloro-', 'HSDB 2033', 'Hexachloroethane, 99%', 'EINECS 200-666-4', 'RCRA waste no. U131', 'EPA Pesticide Chemical Code 045201', 'BRN 1740341', 'G30K3QQT4J', 'AI3-00633', 'CHEBI:39227', '1,1,1,2,2,2-Hexachloro-ethane', 'hexachoroethane', 'Hexachloraethan', 'p henohep', 'hexachloro ethane', 'CCl3CCl3', 'Cl3CCCl3', 'WLN: GXGGXGGG', 'ACMC-1BIBY', 'DSSTox_CID_689', 'DSSTox_RID_75737', 'DSSTox_GSID_20689', 'SCHEMBL23458', '4-01-00-00148 (Beilstein Handbook Reference)', 'KSC353E3F', 'CHEMBL160929', '1,1,2,2,2-Hexachloroethane', 'DTXSID7020689', 'CTK2F3232', 'NSC9224', 'LS-69', 'KS-00000UH6', 'NSC-9224', 'ZINC8585890', 'Hexachloroethane, analytical standard', 'Tox21_200724', 'ANW-35392', 'BBL020093', 'MFCD00000799', 'SBB059978', 'STL199166', 'AKOS009158985', 'EBD2321312', 'MCULE-4607049304', 'NA 9037', 'CAS-67-72-1', 'NCGC00091377-01', 'NCGC00091377-02', 'NCGC00258278-01', '1,1,1,2,2,2-hexakis(chloranyl)ethane', 'M552', 'SC-46856', 'Hexachloroethane 10 microg/mL in Isooctane', 'Hexachloroethane 100 microg/mL in Methanol', 'Hexachloroethane, technical, &gt;=95% (AT)', 'FT-0626954', 'NS00008134', 'R-110', 'ST51046240', 'C19248', 'Hexachloroethane;Hexachlorethan;hexachloroethane', '28363-EP2377610A2', '28363-EP2377611A2', 'HALOGENATED ETHANES CS (HEXACHLOROETHANE)', '107306-EP2295411A1', '107306-EP2298766A1', '107306-EP2380568A1', 'A835861', 'Q415988', 'Hexachloroethane, VETRANAL(TM), analytical standard', 'J-521434', 'F8880-4299', 'HEXACHLOROETHANE (SEE ALSO HALOGENATED ETHANES CS (HAXACHLOROETHANE))']</t>
  </si>
  <si>
    <t>Compound(6214)</t>
  </si>
  <si>
    <t>C2Cl6</t>
  </si>
  <si>
    <t>hexachloronaphthalene</t>
  </si>
  <si>
    <t>1,2,3,4,5,6-hexachloronaphthalene</t>
  </si>
  <si>
    <t>['HEXACHLORONAPHTHALENE', '58877-88-6', '1,2,3,4,5,6-Hexachloronaphthalene', 'Naphthalene, 1,2,3,4,5,6-hexachloro', 'Halowax 1014', 'PCN-63', 'SCHEMBL1077252', 'CTK3I8952', 'Halowax 1014;hexachloronaphthalene', 'ZINC2382940', 'Naphthalene, 1,2,3,4,5,6-hexachloro-', 'NS00007120']</t>
  </si>
  <si>
    <t>Compound(108177)</t>
  </si>
  <si>
    <t>C10H2Cl6</t>
  </si>
  <si>
    <t>hexachloro-biclyclo ( 2,2, 1)-2,5-heptadiene</t>
  </si>
  <si>
    <t>1,2,3,4,5,6-hexachlorobicyclo[2.2.1]hepta-2,5-diene</t>
  </si>
  <si>
    <t>['28680-44-6', 'Hex-bch', 'SCHEMBL11749916', '1,2,3,4,5,6-hexachlorobicyclo[2.2.1]hepta-2,5-diene', 'DTXSID80951344', 'Bicyclo(2.2.1)hepta-2,5-diene, hexachloro-']</t>
  </si>
  <si>
    <t>Compound(3036943)</t>
  </si>
  <si>
    <t>C7H2Cl6</t>
  </si>
  <si>
    <t>hexachlorobutadiene</t>
  </si>
  <si>
    <t>1,1,2,3,4,4-hexachlorobuta-1,3-diene</t>
  </si>
  <si>
    <t>['HEXACHLORO-1,3-BUTADIENE', 'Hexachlorobutadiene', '87-68-3', 'Perchlorobutadiene', 'Hexachlorobuta-1,3-diene', 'HCBD', '1,1,2,3,4,4-hexachlorobuta-1,3-diene', 'Dolen-pur', '1,3-Butadiene, 1,1,2,3,4,4-hexachloro-', 'Hexachlorbutadiene', 'Hexachlor-1,3-butadien', '1,3-Hexachlorobutadiene', '1,1,2,3,4,4-Hexachloro-1,3-butadiene', 'RCRA waste number U128', 'C 46', '1,3-Butadiene, hexachloro-', 'perchlorobuta-1,3-diene', 'UNII-CQ8AAO9MO1', 'NSC 3701', 'CCRIS 326', 'GP-40-66:120', 'HSDB 2870', 'Hexachlor-1,3-butadien [Czech]', 'Perchloro-1,3-butadiene', 'EINECS 201-765-5', 'UN2279', 'CQ8AAO9MO1', 'RCRA waste no. U128', 'BRN 1766570', 'C-46', 'AI3-05773', 'CHEBI:5691', 'DSSTox_CID_683', 'DSSTox_RID_75731', 'DSSTox_GSID_20683', 'CAS-87-68-3', 'C4Cl6', 'Perchlorob utadiene', 'Butadiene, hexachloro-', 'PubChem22647', 'WLN: GYGUYGYGUYGG', 'Hexachlorobutadiene-(1,3)', 'HEXACHLOROBUTADIENE13', 'SCHEMBL80889', '4-01-00-00988 (Beilstein Handbook Reference)', 'BIDD:ER0650', 'CHEMBL389950', 'DTXSID7020683', 'HEXACHLOR-1,3 BUTADIENE', 'CTK3J0454', 'NSC3701', 'Hexachloro-1,3-butadiene, 96%', 'ZINC900779', 'NSC-3701', 'ZX-AT007806', 'Tox21_201725', 'Tox21_302736', '7104AF', 'MFCD00000836', 'SBB061422', '1, 1,1,2,3,4,4-hexachloro-', 'AKOS005063338', 'EF10111', 'FCH1319895', 'LS-1871', 'MCULE-6627588056', 'OR30649', 'UN 2279', 'KS-000011I7', '1,2,3,4,4-Hexachloro-1,3-butadiene', 'Hexachlorobutadiene [UN2279] [Poison]', 'NCGC00091311-01', 'NCGC00091311-02', 'NCGC00091311-03', 'NCGC00091311-04', 'NCGC00256488-01', 'NCGC00259274-01', 'Hexachlorobutadiene [UN2279]  [Poison]', 'DB-001381', '1,1,2,3,4,4-Hexachloro-buta-1,3-diene', 'FT-0626950', 'NS00001523', 'ST51047440', 'Hexachloro-1,3-butadiene, analytical standard', 'C11091', 'Hexachlorobutadiene 5000 microg/mL in Methanol', 'Q416393', 'Hexachloro-1,3-butadiene 10 microg/mL in Methanol', 'J-521433', 'Hexachloro-1,3-butadiene 10 microg/mL in Cyclohexane', 'Hexachloro-1,3-butadiene 100 microg/mL in Methanol', 'Hexachloro-1,3-butadiene 100 microg/mL in Cyclohexane', 'Hexachloro-1,3-butadiene, PESTANAL(R), analytical standard', 'hexachlorobuta-1,3-diene;Hexachlorobuta1,3-diene;Hexachlorobuta-1,3-diene;Hexachloro-1,3-butadiene;Hexachlorobutadiene']</t>
  </si>
  <si>
    <t>Compound(6901)</t>
  </si>
  <si>
    <t>C4Cl6</t>
  </si>
  <si>
    <t>hexachlorophene</t>
  </si>
  <si>
    <t>3,4,6-trichloro-2-[(2,3,5-trichloro-6-hydroxyphenyl)methyl]phenol</t>
  </si>
  <si>
    <t>['hexachlorophene', '70-30-4', 'Hexachlorofen', 'Hexachlorophen', 'Nabac', 'Almederm', 'Exofene', 'Fostril', 'pHisoHex', 'Gamophene', 'Hexophene', 'Steraskin', 'Tersaseptic', 'Acigena', 'Dermadex', 'Distodin', 'Gamophen', 'Hexabalm', 'Hexafen', 'Phisodan', 'Septisol', 'Septofen', 'Surofene', 'Hexide', 'Steral', 'Turgex', 'Germa-Medica', 'Surgi-Cen', 'Surgi-Cin', 'Cotofilm', 'Ritosept', 'Hexosan', 'Fomac', 'Fesia-sin', 'Soy-dome', 'Ster-zac', 'Neosept V', 'G-Eleven', 'Hexachlorophane', 'Hexascrub', 'Bilevon', 'Phiso-Scrub', 'Septi-Soft', 'Hexa-Germ', 'TRICHLOROPHENE', "6,6'-Methylenebis(2,4,5-trichlorophenol)", 'Hexaclorofeno', 'Armohex', 'Hexachlorophenum', 'Compound G-11', 'Nabac 25 ec', 'Staphene O', 'Solu-Heks', 'Pre-Op', 'Esaclorofene', 'Trisophen', 'Bivelon', 'G-II', 'Hexaphene-LV', 'Hilo Flea Powder', "2,2'-Methylenebis(3,4,6-trichlorophenol)", 'At-17', 'Rcra waste number U132', 'Enditch Pet Shampoo', 'Esaclorofene [DCIT]', 'Hexachlorofen [Czech]', 'Hilo Cat Flea Powder', "2,2'-methanediylbis(3,4,6-trichlorophenol)", 'Scrubteam Surgical Spongebrush', 'PRE-OP II', 'AT-7', 'Pedigree Dog Shampoo Bar', 'Bis(2-hydroxy-3,5,6-trichlorophenyl)methane', 'Bis(3,5,6-trichloro-2-hydroxyphenyl)methane', 'NCI-C02653', 'G-11', 'Hexaclorofeno [INN-Spanish]', "2,2',3,3',5,5'-Hexachloro-6,6'-dihydroxydiphenylmethane", 'Caswell No. 566', 'Hexachlorophenum [INN-Latin]', 'Blockade Anti Bacterial Finish', 'AT 7', 'UNII-IWW5FV6NK2', "2,2'-Dihydroxy-3,5,6,3',5',6'-hexachlorodiphenylmethane", 'B 32 (VAN)', 'B &amp; b Flea Kontroller for Dogs Only', 'C13H6Cl6O2', 'CCRIS 331', "Phenol, 2,2'-methylenebis[3,4,6-trichloro-", "2,2'-Dihydroxy-3,3',5,5',6,6'-hexachlorodiphenylmethane", 'HSDB 224', 'MLS000028433', 'SMR000058356', '3,4,6-trichloro-2-[(2,3,5-trichloro-6-hydroxyphenyl)methyl]phenol', 'Brevity Blue Liquid Sanitizing Scouring Cream', 'En-Viron D Concentrated Phenolic Disinfectant', 'EINECS 200-733-8', 'NSC 49115', 'UN2875', 'IWW5FV6NK2', 'Hexachlorophene [UN2875] [Poison]', "Phenol, 2,2'-methylenebis(3,4,6-trichloro)-", 'Brevity Blue Liquid Bacteriostatic Scouring Cream', 'RCRA waste no. U132', 'EPA Pesticide Chemical Code 044901', 'Bis-2,3,5-trichloro-6-hydroxyfenylmethan [Czech]', 'BRN 2064407', 'B 32', 'AI3-02372', 'MLS002152906', 'CHEBI:5693', 'Thera-Groom Pet Shampoo for Dogs for Veterinary Use Only', "2,2'-Methylenebis[3,4,6-trichlorophenol]", "2,2'-Methylene bis(3,4,6-trichlorophenol)", 'Bis(3,5,6-trichloro-2-hydroxyphenyl)-methane', "Phenol, 2,2'-methylenebis(3,4,6-trichloro-", 'Methane, bis(2,3,5-trichloro-6-hydroxyphenyl)', 'Methane, bis(2,3,5-trichloro-6-hydroxyphenyl)-', 'NCGC00091195-04', 'Eleven', 'Fascol', 'DSSTox_CID_690', '2,4,6-trichlorophenol]', '2,5,6-trichlorophenol)', 'DSSTox_RID_75738', 'DSSTox_GSID_20690', 'B32', 'Hexachlorophene [INN]', 'Fo stril', 'Bis-2,5-trichlor-6-hydroxyfenylmethan', 'CAS-70-30-4', 'Methane,3,5-trichloro-6-hydroxyphenyl)', 'Bis(2-hydroxy-3,6-trichlorophenyl)methane', 'Bis(3,6-trichloro-2-hydroxyphenyl)methane', "Phenol,2'-methylenebis[3,4,6-trichloro-", "Phenol,2'-methylenebis[3,5,6-trichloro-", 'WLN: QR BG DG EG F1R BQ CG EG FG', "2,3',5,5',6,6'-hexachlorodiphenylmethane", "2,5,6,3',5',6'-hexachlorodiphenylmethane", 'SR-01000721924', "2,3,3',5,5'-Hexachloro-6,6'-dihydroxydiphenylmethane", 'Hexachlorophene (USP/INN)', 'Bis-2,3,5-trichloro-6-hydroxyfenylmethan', '3,4,6-trichloro-2-[(3,5,6-trichloro-2-hydroxyphenyl)methyl]phenol', 'Hexachlorophene [USP:INN:BAN]', 'KUC106447N', 'Phisohex (TN)', 'Methylenebis(3,4,6-trichlorophenol)', 'KSC-19-051', 'Spectrum_000867', 'Bis-2,3,5-trichlor-6-hydroxyfenylmethan', 'Opera_ID_504', 'Spectrum2_001105', 'Spectrum3_000450', 'Spectrum4_000573', 'Spectrum5_000792', 'M0219', 'Bis(2,3,5-trichloro-6-hydroxyphenyl)methane', 'CHEMBL496', 'GERMA-MEDICA "MG"', 'Bis(2,3,5-tric hloro-6-hydroxyphenyl)methane', 'cid_3598', 'REGID_for_CID_3598', 'SCHEMBL15579', 'BSPBio_002100', 'KBioGR_001006', 'KBioSS_001347', 'MLS001148404', 'BIDD:ER0608', 'BIDD:GT0722', 'DivK1c_000630', 'SPECTRUM1500328', 'SPBio_001210', 'DTXSID6020690', 'BDBM31712', 'CTK9A1850', 'GTPL11069', 'HMS501P12', 'KBio1_000630', 'KBio2_001347', 'KBio2_003915', 'KBio2_006483', 'KBio3_001320', 'NSC9887', 'NINDS_000630', "3,3',5,5',6,6'-Hexachloro-2,2'-dihydroxydiphenylmethane", 'HMS1920D07', 'HMS2091J13', 'HMS3259C19', 'HMS3715P21', 'KUC112427N', 'Pharmakon1600-01500328', 'NSC-9887', 'NSC49115', 'ZINC1530968', 'Tox21_111099', 'Tox21_201350', 'Tox21_302741', '0895AC', '3,4,6-trichloro-2-[(2,3,5-trichloro-6-hydroxy-phenyl)methyl]phenol', 'CCG-39768', 'MFCD00002171', 'NSC-49115', 'NSC757055', 's4632', 'SBB058855', 'STK377478', 'AKOS005449243', 'Tox21_111099_1', 'API0002904', 'CS-3866', 'DB00756', 'LS-1597', 'MCULE-3028228047', 'NC00512', 'NSC-757055', 'UN 2875', 'IDI1_000630', 'NCGC00091195-01', 'NCGC00091195-02', 'NCGC00091195-03', 'NCGC00091195-05', 'NCGC00091195-06', 'NCGC00091195-07', 'NCGC00091195-08', 'NCGC00256580-01', 'NCGC00258902-01', 'AS-10068', 'BP-30177', 'HY-12637', 'SC-51022', '6,6-Methylenebis(2,4,5-trichlorophenol)', 'Inh 1 [PMID: 32284327]', 'KSC-285-117-1', 'SBI-0051403.P003', 'Hexachlorophene 5000 microg/mL in Methanol', 'FT-0626955', 'NS00009113', 'ST50880633', 'bis(3,5,6-trichloro-2-hydroxy phenyl)methane', 'Bis-(2-hydroxy-3,5,6-trichlorophenyl)methane', 'C08039', 'D00859', 'MLS-0072923.0001', 'AB00052010_17', "Bis[3,4,6-trichlorophenol], 2,2'-methylene-", 'Hexachlorophene 5000 microg/mL in Dichloromethane', 'Hexachlorophene, PESTANAL(R), analytical standard', 'Q425362', 'SR-01000721924-2', 'SR-01000721924-5', 'SR-01000721924-6', 'BRD-K99792991-001-02-6', 'BRD-K99792991-001-18-2', 'disodium 2,2-methylenebis[3,4,6-trichlorophenolate]', 'Hexachlorophene, United States Pharmacopeia (USP) Reference Standard', '139411-96-4']</t>
  </si>
  <si>
    <t>Compound(3598)</t>
  </si>
  <si>
    <t>C13H6Cl6O2</t>
  </si>
  <si>
    <t>hexaconazole</t>
  </si>
  <si>
    <t>2-(2,4-dichlorophenyl)-1-(1,2,4-triazol-1-yl)hexan-2-ol</t>
  </si>
  <si>
    <t>['Hexaconazole', '79983-71-4', 'Contaf', 'Sitara', 'Anvil', 'Anvil L', 'Contaf 5EC', 'Chlortriafol', 'Anvil Liquid', 'Anvil (fungicide)', 'PP 523', 'Hexaconazole [BSI:ISO]', '2-(2,4-dichlorophenyl)-1-(1H-1,2,4-triazol-1-yl)hexan-2-ol', 'FD 4053', 'R 154523', '2-(2,4-dichlorophenyl)-1-(1,2,4-triazol-1-yl)hexan-2-ol', 'CHEBI:83711', '(RS)-2-(2,4-Dichlorophenyl)-1-(1H-1,2,4-triazol-1-yl)hexan-2-ol', 'alpha-Butyl-alpha-(2,4-dichlorophenyl)-1H-1,2,4-triazole-1-ethanol (+-)-', 'Hexaconazol', '1H-1,2,4-Triazole-1-ethanol, alpha-butyl-alpha-(2,4-dichlorophenyl)-, (+-)-', '(-)-Hexaconazol', 'Hexaconazole (I)', 'EC 413-050-7', 'DSSTox_CID_14653', 'DSSTox_RID_79183', 'DSSTox_GSID_34653', 'SCHEMBL21992', 'C14H17Cl2N3O', 'CHEMBL1898860', 'DTXSID4034653', 'CTK8C6852', 'EBD29613', 'HY-A0278', 'Tox21_300684', '1H-1,2,4-Triazole-1-ethanol, .alpha.-butyl-.alpha.-(2,4-dichlorophenyl)-', '1H-1,2,4-Triazole-1-ethanol, alpha-butyl-alpha-(2,4-dichlorophenyl)-', 'AKOS015895354', 'APN0000313', 'AT-7312', 'CS-5814', 'VZ32347', 'KS-00001F67', 'NCGC00164270-01', 'NCGC00164270-02', 'NCGC00164270-03', 'NCGC00254592-01', 'AC-16157', 'CC-29256', 'Hexaconazole 10 microg/mL in Cyclohexane', 'CAS-79983-71-4', 'Hexaconazole 100 microg/mL in Acetonitrile', 'LS-155975', 'FT-0655723', 'NS00001263', 'C18466', 'Hexaconazol, PESTANAL(R), analytical standard', '983H714', 'A839797', 'C-34970', 'Q424794', '2-(2,4-dichlorophenyl)-1-(1,2,4-triazol-1-yl)-2-hexanol', '2-(2,4-Dichlorophenyl)-1-(1H-1,2,4-triazol-1-yl)-2-hexanol #', '(RS)-2-(2,4-Dichlorophenyl)-1-(1H-1,2,4-triazol-1-yl)hexan-2-ol;hexaconazole', '.alpha.-Butyl-.alpha.-(2,4-dichlorophenyl)-1H-1,2,4-triazole-1-ethanol (.+/-.)-', '1H-1,2,4-Triazole-1-ethanol, .alpha.-butyl-.alpha.-(2,4-dichlorophenyl)-, (.+/-.)-', 'Pesticide6_Hexaconazole_C14H17Cl2N3O_2-(2,4-Dichlorophenyl)-1-(1H-1,2,4-triazol-1-yl)-2-hexanol']</t>
  </si>
  <si>
    <t>Compound(66461)</t>
  </si>
  <si>
    <t>C14H17Cl2N3O</t>
  </si>
  <si>
    <t>N-[[3,5-dichloro-4-(1,1,2,2-tetrafluoroethoxy)phenyl]carbamoyl]-2,6-difluorobenzamide</t>
  </si>
  <si>
    <t>['Hexaflumuron', '86479-06-3', 'Hexafluoron', 'N-((3,5-Dichloro-4-(1,1,2,2-tetrafluoroethoxy)phenyl)carbamoyl)-2,6-difluorobenzamide', 'Hexafluron', 'Recruit', 'Sentricon', 'Hexaflumuron [ISO]', 'XRD 473', 'UNII-4GW50R449T', 'N-[[3,5-dichloro-4-(1,1,2,2-tetrafluoroethoxy)phenyl]carbamoyl]-2,6-difluorobenzamide', 'HSDB 7049', 'OMS 3031', 'EPA PEsticide Chemical Code 118202', 'AI3-29832', 'NAF-46', 'CHEBI:39383', '4GW50R449T', 'Sonet', '1-(3,5-Dichloro-4-(1,1,2,2-tetrafluoroethoxy)phenyl)-3-(2,6-difluorobenzoyl)urea', '1-(3,5-Dichloro-4-(1,1,2,2-tetrafluoroethoxy)phenyl)-3-(2,6-difluorobenzoyl)urea (IUPAC)', 'N-(((3,5-dichloro-4-(1,1,2,2-tetrafluoroethoxy)phenyl)amino)carbonyl)-2,6-difluorobenzamide', 'Benzamide, N-[[[3,5-dichloro-4-(1,1,2,2-tetrafluoroethoxy)phenyl]amino]carbonyl]-2,6-difluoro-', 'N-({[3,5-dichloro-4-(1,1,2,2-tetrafluoroethoxy)phenyl]amino}carbonyl)-2,6-difluorobenzamide', 'Benzamide, N-(((3,5-dichloro-4-(1,1,2,2-tetrafluoroethoxy)phenyl)amino)carbonyl)-2,6-difluoro-', 'N-{[3,5-Dichloro-4-(1,1,2,2-tetrafluoroethoxy)phenyl]carbamoyl}-2,6-difluorobenzamide', 'EC 401-400-1', 'DSSTox_CID_12620', 'DSSTox_RID_79008', 'DSSTox_GSID_32620', 'SCHEMBL26793', 'C16H8Cl2F6N2O3', 'CHEMBL1892746', 'DTXSID3032620', 'HY-B1848', 'ZINC2383308', 'Tox21_300411', 'AKOS015895485', 'NCGC00095089-03', 'NCGC00248023-01', 'NCGC00254327-01', 'AC-12560', 'AS-15486', 'CC-31065', 'LS-26376', 'P560', 'AX8022893', 'CAS-86479-06-3', 'Pesticide3_Hexaflumuron_C16H8Cl2F6N2O3_', 'CS-0013916', 'FT-0657502', 'NS00002470', 'A19705', 'C18861', 'Hexaflumuron, PESTANAL(R), analytical standard', '479H063', 'A841678', 'C-35409', 'Q2717971', 'N-(3,5-dichloro-4-(1,1,2,2-tetrafluoroethoxy)phenylcarbamoyl)-2,6-difluorobenzamide', 'N-[[3,5-dichloro-4-(1,1,2,2-tetrafluoroethoxy)anilino]-oxomethyl]-2,6-difluorobenzamide', '1-(3,5-dichloro-4-(1,1,2,2-tetrafluoroethoxy)phenyl)-3-(2,6-difluorobenzoyl)urea/ Hexaflumuron', 'hexafluoron;1-(3,5-dichloro-4-(1,1,2,2-tetrafluoroethoxy)phenyl)-3-(2,6-difluorobenzoyl)urea/ Hexaflumuron;hexaflumuron', 'N-[[3,5-bis(chloranyl)-4-[1,1,2,2-tetrakis(fluoranyl)ethoxy]phenyl]carbamoyl]-2,6-bis(fluoranyl)benzamide']</t>
  </si>
  <si>
    <t>Compound(91741)</t>
  </si>
  <si>
    <t>C16H8Cl2F6N2O3</t>
  </si>
  <si>
    <t>hexazinone</t>
  </si>
  <si>
    <t>3-cyclohexyl-6-(dimethylamino)-1-methyl-1,3,5-triazine-2,4-dione</t>
  </si>
  <si>
    <t>['HEXAZINONE', '51235-04-2', 'Velpar', '3-Cyclohexyl-6-(dimethylamino)-1-methyl-1,3,5-triazine-2,4(1H,3H)-dione', 'Brushkiller', 'Velpar L', 'Velpar weed killer', 'Gridball', '1,3,5-Triazine-2,4(1H,3H)-dione, 3-cyclohexyl-6-(dimethylamino)-1-methyl-', 'Hexazinoe', 'Hexazinon', 'Caswell No. 271AA', 'DPX 3674', '3-cyclohexyl-6-(dimethylamino)-1-methyl-1,3,5-triazine-2,4-dione', 'Hexazinone [ANSI:BSI:ISO]', 'UNII-Y51727MR1Y', 'CCRIS 5273', 'HSDB 6670', 'EINECS 257-074-4', 'EPA Pesticide Chemical Code 107201', 'SHA 107201', '3-Cyclohexyl-1-methyl-6-(dimethylamino)-s-trazine-2,4(1H,3H)-dione', 'BRN 0618801', 'CHEBI:5705', 'Y51727MR1Y', '3-Cyclohexyl-6-(dimethylamino)-1-methyl-s-triazine-2,4(1H,3H)-dione', '3-Cyclohexyl-6-dimethylamino-1-methyl-1,2,3,4-tetrahydro-1,3,5-triazine-2,4-dione', 'DSSTox_CID_4145', 's-Triazine-2,4(1H,3H)-dione, 3-cyclohexyl-6-(dimethylamino)-1-methyl-', 'DSSTox_RID_77304', 'DSSTox_GSID_24145', 'CAS-51235-04-2', 'hexazinone;Hexazinone', 'SCHEMBL66377', '5-26-10-00171 (Beilstein Handbook Reference)', 'CHEMBL2252598', 'DTXSID4024145', 'ZINC900553', 'HY-B1849', 'Tox21_201665', 'Tox21_300745', 'AKOS015914992', 'ACM51235042', 'Hexazinone 10 microg/mL in Acetonitrile', 'NCGC00164460-01', 'NCGC00168317-01', 'NCGC00168317-02', 'NCGC00168317-03', 'NCGC00254651-01', 'NCGC00259214-01', 'AC-16229', 'Hexazinone 100 microg/mL in Acetonitrile', 'AX8133327', 'DB-051928', 'LS-155388', 'CS-0013917', 'FT-0630643', 'NS00000457', 'X6781', 'Hexazinone, PESTANAL(R), analytical standard', 'C10926', '235H042', 'A828499', 'C-15588', 'Q408234', '1-methyl-3-cyclohexyl-6-dimethylamino-s-triazine-2,4(1H,3H)-dione', '3-Cyclohexy-6-(dimethylamino)-1-methyl-1,3,5-triazine-2,4(1H,3H)-dione', '3-cyclohexyl-6-(methylamino)-1-methyl-1,3,5-triazine-2,4-(1H,3H)-dione', 'Hexazinone solution, PESTANAL(R), analytical standard, 100 ng/muL in methanol']</t>
  </si>
  <si>
    <t>Compound(39965)</t>
  </si>
  <si>
    <t>C12H20N4O2</t>
  </si>
  <si>
    <t>International toxic equivalent according to NATO / CCMS</t>
  </si>
  <si>
    <t>iodine 125</t>
  </si>
  <si>
    <t>iodane</t>
  </si>
  <si>
    <t>['Iodine-125', 'Iodine I-125', 'Iodine, isotope of mass 125', '14158-31-7', 'Iodine, isotope of mass 125, at.', '(~125~I)Hydrogen iodide', 'CHEMBL4298559', 'DTXSID10931134', 'Q27279305']</t>
  </si>
  <si>
    <t>Compound(104800)</t>
  </si>
  <si>
    <t>HI</t>
  </si>
  <si>
    <t>iodine 126</t>
  </si>
  <si>
    <t>['Iodine-126', 'UNII-3S9U4JQN53', '3S9U4JQN53', '14158-32-8', 'Iodine, isotope of mass 126', 'Iodine I-126', '126I', '(~126~I)Hydrogen iodide', 'DTXSID70931135', 'Q2437869']</t>
  </si>
  <si>
    <t>Compound(161029)</t>
  </si>
  <si>
    <t>iodine 129</t>
  </si>
  <si>
    <t>['Iodine-129', '15046-84-1', 'iodine-129 atom', 'Iodine, isotope of mass 129, at.', '129I', '(~129~I)Hydrogen iodide', 'CHEBI:52636', 'DTXSID10933951', '(129)I', '(129)53I', 'Q2515411']</t>
  </si>
  <si>
    <t>Compound(6433622)</t>
  </si>
  <si>
    <t>iodine 131</t>
  </si>
  <si>
    <t>['UNII-I5X6L61HUT', 'IODINE-131', 'I5X6L61HUT', 'I-131', '10043-66-0', 'Iodine 131', 'Iodine I 131', 'Radioactive iodine-I131', 'Radioactive iodine (131I)', 'Iodine, mol. (131I2)', 'Iodine, isotope of mass 131', 'Iodine, labeled with iodine-131', 'I 131', '(~131~I_2_)Iodine', 'DTXSID30905493', '15124-39-7']</t>
  </si>
  <si>
    <t>Compound(24855)</t>
  </si>
  <si>
    <t>molecular iodine</t>
  </si>
  <si>
    <t>['7553-56-2', 'I', 'Iodine', 'Diiodine', 'Molecular iodine', 'Iodine crystals', 'Iodine sublimed', 'Tincture iodine', 'Vistarin', 'Eranol', 'Iodio', 'Iodine solution', 'Iode', 'Iosan superdip', 'Jood', 'Iodine-127', 'Iodine tincture', 'Iodine colloidal', 'Iodine Tincture USP', 'Actomar', 'Ethanolic solution of iodine', 'Iodio [Italian]', 'Jood [Dutch]', 'IODE [French]', 'Iodine ((127)I2)', 'Caswell No. 501', 'Jod [German, Polish]', 'I2', 'HSDB 34', 'Iodine (resublimed)', 'CCRIS 9223', 'UNII-9679TC07X4', 'EINECS 231-442-4', 'MFCD00011355', 'NSC 42355', 'Jod', 'EPA Pesticide Chemical Code 046905', 'AI3-08544', 'CHEBI:17606', 'NSC-42355', '9679TC07X4', 'Iodine Solution, Wijs', 'Jod (GERMAN, POLISH)', 'diiodane', 'Iodine, 99.5+%, for analysis', 'Iodine [JAN]', 'Iodine [USP:JAN]', 'iodine-iodide', 'iodonium iodide', 'Diatomic iodine', 'Iodum', 'Iodine, specified according to the requirements of Ph.Eur, BP, USP', '12190-71-5', 'Iodine, elemental', 'Iodine, resublimed', 'I2I', 'Cadex (TN)', 'Iodine, ACS reagent', 'Iodine Solution, 1N', 'IODINE-MOLECULE', 'Iodine solution, 5 mM', 'Iodine (JP17/USP)', 'Iodine solution, 0.5 M', 'EC 231-442-4', 'DSSTox_CID_14672', 'DSSTox_RID_79188', 'Iodine solution, 0.05 M', 'DSSTox_GSID_34672', 'Iodine Solution, 5%, Lugol', 'Iodine 0.1N Standard Solution', 'CHEMBL1201225', 'DTXSID7034672', 'Iodine, AR, &gt;=99.8%', 'Iodine, LR, &gt;=99.5%', "Iodine , LUGOL's Solution 5%", 'Iodine, 99.8+%, ACS reagent', 'BCP31677', 'KS-000002PF', 'NSC42355', 'Tox21_301294', 'MFCD00164163', 'Iodine Solution, 0.02N (N/50)', 'AKOS015902439', 'DB05382', 'Iodine, 99.999% trace metals basis', 'Iodine, SAJ first grade, &gt;=99.0%', 'MCULE-3297948557', 'Iodine, &gt;=99.99% trace metals basis', 'Iodine, USP, 99.8-100.5%', 'Iodine, 99.5%, extra pure, resublimed', 'Iodine, JIS special grade, &gt;=99.8%', 'Iodine, Vetec(TM) reagent grade, 99%', 'NCGC00257544-01', 'BP-21210', 'Iodine, ACS reagent, &gt;=99.8%, solid', 'Iodine, ReagentPlus(R), &gt;=99%, chips', 'LS-84139', 'CAS-7553-56-2', 'Iodine, purum p.a., &gt;=99.5% (RT)', 'Diiodine;IODUM; Jood; Iode; Jod; LUGOL', 'FT-0627248', 'FT-0696506', 'I0604', 'ST51037308', 'C01382', 'D00108', 'Iodine, 1.0N Standardized Solution in Ethanol', 'Iodine, ReagentPlus(R), &gt;=99.8% (titration)', 'Q2064483', 'Iodine, puriss., &gt;=99.5% (RT), particles (round)', 'Iodine, anhydrous, beads, -10 mesh, 99.999% trace metals basis', 'Iodine, ReagentPlus(R), 99.7% trace metals basis, beads, 1-3 mm', 'Iodide, Ion chromatography standard solution, Specpure, I- 1000g/ml', 'Iodine Solution (0.02M in THF/pyridine/H2O 70:20:10), for DNA synthesis', 'Iodine Solution (0.05M in THF/H2O/pyridine 70:20:10), for DNA synthesis', 'Iodine, puriss., meets analytical specification of Ph. Eur., BP, USP, 99.8-100.5%']</t>
  </si>
  <si>
    <t>Compound(807)</t>
  </si>
  <si>
    <t>iodomethane</t>
  </si>
  <si>
    <t>['IODOMETHANE', 'Methyl iodide', '74-88-4', 'Methane, iodo-', 'Monoiodomethane', 'Methyljodid', 'Jod-methan', 'Methyliodide', 'Methyl iodine', 'Methyljodide', 'Iodometano', 'Joodmethaan', 'Metylu jodek', 'Iodure de methyle', 'CH3I', 'Monoioduro di metile', 'Halon 10001', 'Methyliodid', 'iodo methane', 'iodo-methane', 'RCRA waste number U138', 'Joodmethaan [Dutch]', 'Iodometano [Italian]', 'Methyljodid [German]', 'Methyljodide [Dutch]', 'Jod-methan [German]', 'Metylu jodek [Polish]', 'Monoiodmethan', 'Iodmethan', 'UNII-DAT010ZJSR', 'NSC 9366', 'Iodure de methyle [French]', 'CCRIS 395', 'Monoioduro di metile [Italian]', 'HSDB 1336', 'EINECS 200-819-5', 'UN2644', 'DAT010ZJSR', 'RCRA waste no. U138', 'CHEBI:39282', 'MFCD00001073', 'MEI', 'Iodomethane, 99%, stabilized', 'iodmethane', 'iodometane', 'iodomethan', 'iodornethane', 'methiodide', 'methyliodine', 'Iodocarbon', 'carbon-iodine', 'mehyl iodide', 'methy iodide', 'metyl iodide', 'Methyl-iodide', 'meth-yl iodide', '1-iodomethane', 'Iodomethylidyneradical', 'ICH3', 'EC 200-819-5', 'WLN: I1', 'CHEMBL115849', 'DTXSID0024187', 'Iodomethane, ampule of 100 mg', 'CTK2H8218', 'KS-00000XFT', 'NSC9366', 'ACT10179', 'BCP26570', 'NSC-9366', 'ANW-56407', 'BBL034228', 'Iodomethane, for synthesis, 99.0%', 'Methyl iodide [UN2644] [Poison]', 'STL281179', 'AKOS009031541', 'Methyl iodide [UN2644]  [Poison]', 'MCULE-1718786667', 'UN 2644', 'Iodomethane, purum, &gt;=99.0% (GC)', 'Iodomethane contains copper as stabilizer', 'BP-11384', 'LS-90046', 'SC-49382', 'Iodomethane, SAJ first grade, &gt;=93.0%', 'Iodomethane, SAJ special grade, &gt;=99.5%', 'FT-0688171', 'I0060', 'NS00001340', 'C18448', 'Iodomethane, puriss., redist., &gt;=99.5% (GC)', 'Q421729', 'F2190-0170', 'Iodomethane, contains copper as stabilizer, ReagentPlus(R), 99%', 'Iodomethane, contains copper as stabilizer, ReagentPlus(R), 99.5%', 'Iodomethane, 2000 mug/mL in methanol: water (4:1), analytical standard', 'Iodomethane solution, 2.0 M in tert-butyl methyl ether, contains copper as stabilizer', 'Iodomethane solution, certified reference material, 2000 mug/mL in methanol: water (4:1)']</t>
  </si>
  <si>
    <t>Compound(6328)</t>
  </si>
  <si>
    <t>CH3I</t>
  </si>
  <si>
    <t>Wire formers identification carried out in activated sludge</t>
  </si>
  <si>
    <t>Ice deck</t>
  </si>
  <si>
    <t>Iron ore</t>
  </si>
  <si>
    <t>iron(3+);oxygen(2-)</t>
  </si>
  <si>
    <t>['HEMATITE', 'Raphisiderite', 'Iron ore', 'Specularite', 'Haematite', 'Oligist', 'Miox', 'Blood stone', 'Iron oxides', 'Iron, specular', 'Red Iron ORE', 'Hematite (Fe2O3)', 'CCRIS 4377', '1317-60-8', 'HSDB 2964', 'EINECS 215-275-4', 'Iron oxide fume', 'Haematite, underground mining with exposure to radon [Haematite and ferric oxide]', 'Ferricoxide', 'Iron(III)oxide', 'ACMC-20p1cs', 'EC 215-275-4', 'DTXSID0029632', 'CTK9A5766', 'KS-00000UMS', 'AKOS025296075', 'LS-74134', 'LS-84266', 'LS-84268', 'FT-0627296', 'Q103223', 'Q419170', 'Haematite, underground mining with exposure to radon', 'Hematite underground mining (with exposure to radon)', 'UNII-2RF6EJ0M85 component LIKBJVNGSGBSGK-UHFFFAOYSA-N']</t>
  </si>
  <si>
    <t>Compound(14833)</t>
  </si>
  <si>
    <t>Fe2O3</t>
  </si>
  <si>
    <t>Imposex stage</t>
  </si>
  <si>
    <t>In operation</t>
  </si>
  <si>
    <t>Indication on / off</t>
  </si>
  <si>
    <t>Open / close indication</t>
  </si>
  <si>
    <t>Furnishing and management</t>
  </si>
  <si>
    <t>Design</t>
  </si>
  <si>
    <t>Intersex stage</t>
  </si>
  <si>
    <t>Weigh in</t>
  </si>
  <si>
    <t>Weight-based bet</t>
  </si>
  <si>
    <t>Deployment on a volume basis</t>
  </si>
  <si>
    <t>Ion balance</t>
  </si>
  <si>
    <t>Ion ratio</t>
  </si>
  <si>
    <t>Ion strength</t>
  </si>
  <si>
    <t>Specific Pollution Sensitivity Index (IPS)</t>
  </si>
  <si>
    <t>Insulation</t>
  </si>
  <si>
    <t>iodophor</t>
  </si>
  <si>
    <t>2-[[2-[(2-amino-3-methylpentanoyl)amino]-3-phenylpropanoyl]amino]-5-(diaminomethylideneamino)pentanoic acid</t>
  </si>
  <si>
    <t>['Ile-Phe-Arg', 'isoleucylphenylalanylarginine', 'IFR']</t>
  </si>
  <si>
    <t>Compound(18221847)</t>
  </si>
  <si>
    <t>C21H34N6O4</t>
  </si>
  <si>
    <t>indium-111</t>
  </si>
  <si>
    <t>['Indium-111', 'Indium In-111', 'UNII-E9NGC49E0T', 'E9NGC49E0T', 'Indium, isotope of mass 111', '111In', '15750-15-9', 'Indium (111 In)', 'DB11916', 'Q6025171']</t>
  </si>
  <si>
    <t>Compound(5462099)</t>
  </si>
  <si>
    <t>indium 114m (metastable)</t>
  </si>
  <si>
    <t>indeno ( 1,2,3-cd) pyrene</t>
  </si>
  <si>
    <t>hexacyclo[16.3.1.02,7.08,21.011,20.014,19]docosa-1(22),2,4,6,8(21),9,11(20),12,14(19),15,17-undecaene</t>
  </si>
  <si>
    <t>['Indeno[1,2,3-cd]pyrene', '193-39-5', 'INDENO(1,2,3-CD)PYRENE', 'o-Phenylenepyrene', '1,10-(o-Phenylene)pyrene', '1,10-(1,2-Phenylene)pyrene', '2,3-Phenylenepyrene', '2,3-o-Phenylenepyrene', 'RCRA waste number U137', '1,10-(ortho-Phenylene)pyrene', 'UNII-T4SWX8I0U2', 'Indeno[1,2,3-c,d]pyrene', 'CCRIS 345', 'HSDB 5101', 'INDENO(1,2,3-C,D)PYRENE', 'EINECS 205-893-2', 'RCRA waste no. U137', 'BRN 1879312', 'T4SWX8I0U2', 'Indeno(1,2,3-cd)pyrene [Polycyclic aromatic compounds]', 'Indeno(1,2,3-cd)pyrene [Polycyclic aromatic hydrocarbons]', 'indeno(1,2,3-cd)pyrene in methanol', 'DSSTox_CID_4153', '2,3-(o-Phenylene)pyrene', 'DSSTox_GSID_24153', 'CHEMBL3561582', 'DTXSID8024153', 'CHEBI:82335', 'CTK0I3412', 'ZINC2516903', 'Tox21_304020', 'AKOS015902991', 'MCULE-3222035827', 'NCGC00357288-01', 'CAS-193-39-5', 'LS-81874', 'SC-50901', 'Indeno(1,2,3-cd)pyrene standard solution', 'CS-0102979', 'FT-0670326', 'NS00008394', 'ST45022191', 'Indeno[1,2,3-cd]pyrene, analytical standard', 'C19251', 'J-012519', 'Q1838431', 'Indeno[1,2,3-c,d]pyrene 1000 microg/mL in Acetone', 'Indeno[1,2,3-c,d]pyrene 10 microg/mL in Acetonitrile', 'Indeno[1,2,3-c,d]pyrene 10 microg/mL in Cyclohexane', 'Indeno[1,2,3-c,d]pyrene 100 microg/mL in Acetonitrile', 'Indeno[1,2,3-c,d]pyrene 100 microg/mL in Cyclohexane', 'Indeno[1,2,3-cd]pyrene, vial of 1 g, analytical standard', 'Indeno[1,2,3-cd]pyrene, vial of 25 mg, analytical standard', 'Indeno[1,2,3-cd]pyrene, certified reference material, TraceCERT(R)', 'Indeno[1,2,3-c,d]pyrene solution, 100 mug/mL in cyclohexane, analytical standard', 'Indeno[1,2,3-c,d]pyrene solution, certified reference material, 200 mug/mL in methanol', 'Indeno[1,2,3-cd]pyrene;indeno[1 , 2 , 3-cd]pyrene;indeno[1,2,3-cd]pyrene', 'hexacyclo[16.3.1.0^{2,7.0^{8,21.0^{11,20.0^{14,19]docosa-1(22),2,4,6,8(21),9,11(20),12,14(19),15,17-undecaene']</t>
  </si>
  <si>
    <t>Compound(9131)</t>
  </si>
  <si>
    <t>iodopropynyl butyl carbamate</t>
  </si>
  <si>
    <t>3-iodoprop-2-ynyl N-butylcarbamate</t>
  </si>
  <si>
    <t>['55406-53-6', '3-iodoprop-2-yn-1-yl butylcarbamate', 'Iodopropynyl butylcarbamate', 'Iodocarb', 'Ipbc', '3-Iodo-2-propynyl butylcarbamate', 'Woodlife', '1-Iodoprop-1-yn-3-yl N-n-butylcarbamate', 'Carbamic acid, butyl-, 3-iodo-2-propynyl ester', 'Troysan KK-108A', 'Troysan polyphase anti-mildew', 'Caswell No. 501A', '3-iodoprop-2-ynyl N-butylcarbamate', 'UNII-603P14DHEB', 'HSDB 7314', 'Butyl-3-iodo-2-propynylcarbamate', '3-Iodo-2-propynyl butyl carbamate', '3-Iodo-2-propynyl-N-butylcarbamate', 'EINECS 259-627-5', 'EPA Pesticide Chemical Code 107801', 'BRN 2248232', '603P14DHEB', 'CHEBI:83279', '3-iodoprop-2-ynyl butylcarbamate', 'Carbamic acid, N-butyl-, 3-iodo-2-propyn-1-yl ester', 'AK-49902', 'DSSTox_CID_8038', 'Carbamic acid, butyl-3-iodo-2-propynyl ester', 'DSSTox_RID_78646', 'DSSTox_GSID_28038', 'W-105563', 'CAS-55406-53-6', 'iodocarbe', '3-iodo-2-propynyl-N-butyl carbamate', 'ACMC-209uq3', 'SCHEMBL114369', 'CHEMBL1893913', 'DTXSID0028038', 'KS-00000LXO', 'ZINC1850357', '3-Iodo-2-propynyl butylcarbamate #', 'IODOPROPYNYL BUTYL- CARBAMATE', 'Tox21_201864', 'Tox21_301117', 'ANW-44089', 'AKOS015905567', 'GS-3240', '3-iodo-2-propyn-1-yl N-butylcarbamate', '3-iodoprop-2-yn-1-yl N-butylcarbamate', 'NCGC00164376-01', 'NCGC00164376-02', 'NCGC00164376-03', 'NCGC00164376-04', 'NCGC00164376-05', 'NCGC00255017-01', 'NCGC00259413-01', 'LS-49101', '3-Iodo-2-propynyl N-butylcarbamate, 97%', '3-IODO-2-PROPYNYL BUTYL CARBBAMATE', 'AX8005349', 'FT-0615885', 'I0666', 'N-Butylcarbamic Acid 3-Iodo-2-propynyl Ester', '06I536', 'M-7688', 'Q2928998', '3-Iodo-2-propynyl N-butylcarbamate, analytical standard', '85045-09-6']</t>
  </si>
  <si>
    <t>Compound(62097)</t>
  </si>
  <si>
    <t>C8H12INO2</t>
  </si>
  <si>
    <t>iridium-190</t>
  </si>
  <si>
    <t>['14981-91-0', 'Iridium-190', 'Iridium, isotope of mass 190', '(~190~Ir)Iridium', '190Ir', 'Ir-190', 'DTXSID50933753']</t>
  </si>
  <si>
    <t>Compound(167220)</t>
  </si>
  <si>
    <t>iridium-192</t>
  </si>
  <si>
    <t>['Iridium-192', 'UNII-064LI0IBFL', '064LI0IBFL', 'Iridium ir 192 [USAN]', '14694-69-0', 'Iridium Ir 192 (USAN)', 'Iriditope', 'Iridium Ir 192', 'Iridium, isotope of mass 192', '192-Ir', 'Ir-192', 'Iriditope (TN)', 'Iridium, radioactive', 'Iridium Radioisotopes', '(~192~Ir)Iridium', 'HSDB 7396', 'DTXSID60932979', 'D04613', 'Q18883042', 'D007496000']</t>
  </si>
  <si>
    <t>Compound(66373)</t>
  </si>
  <si>
    <t>methyl 4-iodo-2-[(4-methoxy-6-methyl-1,3,5-triazin-2-yl)carbamoylsulfamoyl]benzoate</t>
  </si>
  <si>
    <t>['Iodosulfuron-methyl', '185119-76-0', 'methyl 4-iodo-2-(N-(4-methoxy-6-methyl-1,3,5-triazin-2-ylcarbamoyl)sulfamoyl)benzoate', '144550-06-1', 'Q63395500', 'Iodosulfuron Methyl Ester', 'SCHEMBL733383', 'C14H14IN5O6S', 'CHEMBL3580410', 'DTXSID1043968', 'CTK8B8785', 'ZINC2526773', 'ANW-61259', 'Methyl 4-iodo-2-[(4-methoxy-6-methyl-1,3,5-triazin-2-yl)carbamoylsulfamoyl]benzoate', 'AK-50398', 'SC-13946', 'AX8134781', 'FT-0741275', 'NS00000651', 'methyl 4-iodo-2-(N-((4-methoxy-6-methyl-1,3,5-triazin-2-yl)carbamoyl)sulfamoyl)benzoate', 'Methyl 4-iodo-2-{[(4-methoxy-6-methyl-1,3,5-triazin-2-yl)carbamoyl]sulfamoyl}benzoatato', 'iodosulfuron-methyl-sodium;Benzoic acid, 4-iodo-2-[[[[(4-methoxy-6-methyl-1,3,5-triazin-2-yl)amino]carbonyl]amino]sulfonyl]-, methyl ester, sodium salt (1:1);Iodosulfuron-methyl;iodosulfuron', 'Methyl 2-[[[[(4-methoxy-6-methyl-1,3,5-triazin-2-yl)-amino]-carbonyl]-amino]-sulfonyl]-4-iodobenzoate', 'Methyl 2-[[[[(4-methoxy-6-methyl-1,3,5-triazin-2-yl)amino]carbonyl]amino]sulfonyl]-4-iodobenzoate', 'methyl 4-iodo-2-[[[[(4-methoxy-6-methyl-1,3,5-triazin-2-yl)amino]carbonyl]amino]sulfonyl]benzoate', 'Methyl 4-iodo-2-{N-[N-(4-methoxy-6-methyl-1,3,5-triazin-2-yl)-aminocarbonyl]aminosulfonyl}benzoate']</t>
  </si>
  <si>
    <t>Compound(11027582)</t>
  </si>
  <si>
    <t>C14H14IN5O6S</t>
  </si>
  <si>
    <t>iodosulfuron-methyl-sodium</t>
  </si>
  <si>
    <t>sodium;(5-iodo-2-methoxycarbonylphenyl)sulfonyl-[(4-methoxy-6-methyl-1,3,5-triazin-2-yl)carbamoyl]azanide</t>
  </si>
  <si>
    <t>['Iodosulfuron-methyl-sodium', '144550-36-7', 'Iodosulfuron-methyl Sodium', 'Iodosulfuron methyl sodium', 'UNII-V040QSW5XF', 'V040QSW5XF', 'C14H13IN5NaO6S', 'DSSTox_CID_14673', 'DSSTox_RID_79189', 'DSSTox_GSID_34673', 'SCHEMBL116869', 'CHEMBL3560439', 'DTXSID2034673', 'Tox21_300726', 'AKOS015900340', 'AKOS015963513', 'AKOS025311212', 'NCGC00164458-01', 'NCGC00254632-01', 'AC-18029', 'M577', 'DB-042738', 'Iodosulfuron-methyl sodium, Technical grade', 'CAS-144550-36-7', 'FT-0631167', 'Iodosulfuron-methyl-sodium, CAS#144550-36-7', '550I367', 'C-23103', 'Q27155588', 'Iodosulfuron-methyl-sodium, PESTANAL(R), analytical standard', 'sodium (5-iodo-2-(methoxycarbonyl)phenylsulfonyl)(4-methoxy-6-methyl-1,3,5-triazin-2-ylcarbamoyl)amide', 'sodium {[5-iodo-2-(methoxycarbonyl)phenyl]sulfonyl}[(4-methoxy-6-methyl-1,3,5-triazin-2-yl)carbamoyl]azanide', 'sodium;(5-iodo-2-methoxycarbonylphenyl)sulfonyl-[(4-methoxy-6-methyl-1,3,5-triazin-2-yl)carbamoyl]azanide']</t>
  </si>
  <si>
    <t>Compound(16760189)</t>
  </si>
  <si>
    <t>C14H13IN5NaO6S</t>
  </si>
  <si>
    <t>potassium 40</t>
  </si>
  <si>
    <t>potassium-40</t>
  </si>
  <si>
    <t>['Potassium-40', 'Potassium K-40', 'UNII-A720OX923I', '13966-00-2', 'A720OX923I', 'Potassium, isotope of mass 40', 'DTXSID10904161', 'Q27273713']</t>
  </si>
  <si>
    <t>Compound(6328542)</t>
  </si>
  <si>
    <t>potassium bromate</t>
  </si>
  <si>
    <t>potassium;bromate</t>
  </si>
  <si>
    <t>['POTASSIUM BROMATE', '7758-01-2', 'Bromic acid, potassium salt', 'Bromate, potassium', 'Potassium bromate(DOT)', 'MFCD00011359', 'UNII-04MB35W6ZA', 'CCRIS 529', 'EEC No. E924', '04MB35W6ZA', 'CHEBI:38211', 'HSDB 1253', 'EINECS 231-829-8', 'Bromic acid, potassium salt (1:1)', 'UN1484', 'NSC 215200', 'Potassium bromate, ACS reagent', 'Potassiumbromate', 'Potassium bromate, 99+%, extra pure', 'Potassium bromate, 99.5%, for analysis', 'Kaliumbromat', 'potassium trioxobromate', 'BrKO3', 'ACMC-1BFBH', 'potassium bromate-bromide', 'KSC377E8B', 'Potassium bromate ACS reagent', 'potassium trioxidobromate(1-)', 'CHEMBL2311074', 'DTXSID6020195', 'CTK2H7280', 'Potassium bromate,standard solution', 'potassium bromate/potassium bromide', 'KS-00000UI9', 'BR1192', 'AKOS015904451', 'LS-1721', 'BP-30178', 'E924', 'K355', 'Potassium bromate [UN1484] [Oxidizer]', 'SC-75053', 'SC-75132', 'Potassium bromate [UN1484]  [Oxidizer]', 'POTASSIUM BROMATE BAKER ANAL ACS Rgnt', 'FT-0693866', 'C19295', 'EC 231-829-8', 'Q409241']</t>
  </si>
  <si>
    <t>Compound(23673461)</t>
  </si>
  <si>
    <t>BrKO3</t>
  </si>
  <si>
    <t>potassium chloride</t>
  </si>
  <si>
    <t>potassium;chloride</t>
  </si>
  <si>
    <t>['potassium chloride', '7447-40-7', 'Enseal', 'Muriate of potash', 'Klotrix', 'Sylvite', 'Slow-K', 'Klor-Con', 'Chlorvescent', 'Kalitabs', 'Kaochlor', 'Potavescent', 'Kloren', 'Pfiklor', 'Rekawan', 'Chloropotassuril', 'Potassium chloride (KCl)', 'KCl-retard Zyma', 'Klor-Lyte', 'K-Contin', 'Kay Ciel', 'Monopotassium chloride', 'Potassium monochloride', 'Kaon-Cl', 'Chloride of potash', 'Kaliglutol', 'Miopotasio', 'Neobakasal', 'Steropotassium', 'Acronitol', 'Durekal', 'Durules', 'Kadalex', 'Kalcorid', 'Kaleorid', 'Kaliduron', 'Kalilente', 'Kalinorm', 'Kaliolite', 'Kalipor', 'Kalipoz', 'Keylyte', 'Klorvess', 'Potasion', 'Potasol', 'Celeka', 'Enpott', 'Natural sylvite', 'Kato', 'K-Lor', 'Kalium Duriles', 'Kalium Durules', 'Kalium-Durettes', 'Rekawan Retard', 'Kalium Retard', 'Kay-EM', 'Lento-Kalium', 'Peter-kal', 'Kalitrans Retard', 'Potassium muriate', 'Durules-K', 'Kalium-R', 'Kay-Ciel', 'Repone K', 'Kalinor-Retard P', 'Kalium SR', 'Ultra K Chlor', 'Ultra-K-Chlor', 'Diffu-K', 'K-Lease', 'Kaon Cl', 'KCL Retard', 'Lento-K', 'Micro-K', 'Super K', 'Addi-K', 'Cena-K', 'K-Care', 'K-Grad', 'K-Norm', 'Span-K', 'Clor-K-Zaf', 'Kaliumchlorid', 'Micro-K Extentcaps', 'Plus Kalium Retard', 'Infalyte', 'Apo-K', 'K Tab', 'K-Dur', 'K-Lyte Cl', 'K-Sol', 'K-Tab', 'Kay-Cee-L', 'Kayciel', 'Leo-K', 'Micro-Kalium Retard', 'Rum-K', 'Ten-K', 'Emplets potassium chloride', 'Potassiumchloride', 'Nu-K', 'Slow-K tablets', 'Kalinorm Depottab', 'Kaon-Cl 10', 'Tripotassium trichloride', 'K-SR', 'Chlorid draselny [Czech]', 'Super K (salt)', 'Kaon-Cl TABS', 'Potassium chloride solution', 'Potassium chloride (K3Cl3)', 'Caswell No. 686', 'KCL', 'MFCD00011360', 'CCRIS 1962', 'K-10', 'UNII-660YQ98I10', 'HSDB 1252', 'EINECS 231-211-8', 'NSC 77368', 'EPA Pesticide Chemical Code 013904', 'Potassium chloride, FCC grade', 'Potassium chloride, ACS reagent', 'CHEBI:32588', 'NSC-77368', '660YQ98I10', 'Micro-K LS', 'Kalium S.R.', 'Klor-Con M20', 'Chlorid draselny', 'Potassium Cl', 'Buffer Solution, pH 2.00', 'Buffer Solution, pH 9.00', 'Potassium chloride, extra pure', 'Klor-Con M10', 'Klor-Con M15', 'Kaon Cl-10', 'Micro-K 10', 'Epiklor', 'Kali muriaticum', 'Kali Chloratum', 'Kali Chloridum', 'Potassium chloride, for biochemistry', 'Potassium chloride [JAN]', 'Potassium, Reference Standard Solution', 'Potassii Chloridum', 'Potassium chloride, 99+%, ACS reagent', 'Potassium chloride, 99+%, for analysis', 'Kalium S.R', 'Sylvite (KCl)', 'Klotrix (TN)', 'Klor-con (TN)', 'Klor-Con 10', 'Kaon-Cl (TN)', 'K-dur (TN)', 'Potassium Chloride 10meq in Plastic Container', 'Potassium chloride, 99.999%, (trace metal basis)', 'Potassium thallium chloride (KTlCl)', '[KCl]', 'KCL (TN)', 'Potassium Chloride in Plastic Container', 'K+10', 'Potassium chloride [USP:JAN]', 'Potassium chloride 30meq in plastic container', 'Potassium chloride 40meq in plastic container', 'Cl.K', 'K.Cl', 'potassium chloride salt', 'ACMC-1CUXX', 'Potassium Chloride,(S)', 'Potassium chloride 20meq in plastic container', 'WLN: KA G', 'EC 231-211-8', 'Buffer Solution, pH 1.01', 'K+8', 'KSC377E6P', 'INS NO.508', 'Potassium Chloride, Food Grade', 'CHEMBL1200731', 'DTXSID5021178', 'Potassium Chloride (FRU Grade)', 'Buffer Concentrate, pH 10.01', 'CTK2H7267', 'Potassium chloride (JP17/USP)', 'INS-508', 'Potassium chloride solution, 1 M', 'Potassium chloride solution, 20%', 'Potassium chloride, LR, &gt;=99%', 'CS-B1714', 'KS-00000X5F', 'NSC77368', 'Potassium Chloride - Drilling Grade', 'Potassium chloride solution, 3.3 M', '1992AH', '8784AF', 'Potassium chloride, AR, &gt;=99.5%', 'AKOS015902779', 'AKOS024438069', 'AKOS024457458', 'Potassium chloride solution, 0.01 M', 'DB00761', 'LS-1643', 'Potassium chloride, BioXtra, &gt;=99.0%', 'Potassium chloride, BP, Ph. Eur. grade', '14336-88-0', 'E508', 'Potassium chloride Biochemical Grade = 99%', 'B7289', 'E 508', 'E-508', 'FT-0645107', 'P1757', 'Potassium chloride, ACS reagent, &gt;=99.0%', 'Potassium chloride, p.a., 99.0-100.5%', 'Potassium Chloride (Technical Grade, Type A)', 'Potassium Chloride (Technical Grade, Type B)', 'D02060', 'Potassium chloride, BioUltra, &gt;=99.5% (AT)', 'Potassium chloride, ReagentPlus(R), &gt;=99.0%', 'Potassium chloride solution, in H2O (saturated)', 'Potassium chloride, 99.999% trace metals basis', 'Potassium chloride, SAJ first grade, &gt;=99.0%', 'Potassium chloride, tested according to Ph.Eur.', 'Potassium chloride, Trace metals grade 99.99%', 'Potassium chloride, &gt;=99.99% trace metals basis', 'Potassium chloride, 0.85M, Conductivity Standard', 'Potassium chloride, ACS reagent, 99.0-100.5%', 'Potassium chloride, JIS special grade, &gt;=99.5%', 'Potassium chloride, USP special, 99.0-100.5%', 'Potassium chloride, Vetec(TM) reagent grade, 99%', 'Q184630', 'Potassium chloride, 0.007M, Conductivity Standard', 'Potassium chloride, 0.0375M, Conductivity Standard', 'Potassium chloride, 0.159M, Conductivity Standard', 'Potassium chloride, puriss. p.a., &gt;=99.5% (AT)', 'Potassium chloride solution, BioUltra, ~3 M in H2O', 'Potassium chloride, for molecular biology, &gt;=99.0%', 'Potassium chloride, ~0.000027M, Conductivity Standard', 'Potassium chloride, meets EP, USP testing specifications', 'UNII-HJT620308C component WCUXLLCKKVVCTQ-UHFFFAOYSA-M', 'ISA (ionic strength adjustment solution: 1 M KCl), 1 M KCl', 'Potassium chloride crystal optic disc, 13mm x 2mm, unpolished', 'Potassium chloride crystal optic disc, 32mm x 3mm, unpolished', 'Potassium chloride solution, standard, solution (volumetric), 1.0 M', 'Potassium chloride, BioUltra, for molecular biology, &gt;=99.5% (AT)', 'Potassium standard for AAS, ready-to-use, traceable to BAM, in H2O', 'Potassium chloride crystal optic disc, 13mm x 1mm, polished both sides', 'Potassium chloride crystal optic disc, 25mm x 2mm, polished both sides', 'Potassium chloride crystal optic disc, 32mm x 3mm, polished both sides', 'Potassium chloride crystal optic disc, 38mm x 6mm, polished both sides', 'Potassium chloride solution, BioUltra, for molecular biology, ~1 M in H2O', 'Potassium chloride, anhydrous, beads, -10 mesh, 99.99% trace metals basis', 'Potassium chloride, NIST SRM 1655, KCl (cr) for solution calorimetry', 'Potassium chloride, United States Pharmacopeia (USP) Reference Standard', 'Potassium chloride crystal optic disc, 32mm x 3mm (drilled), polished both sides', 'Potassium chloride crystal optic rectangle, 30mm x 15mm x 4mm, polished both sides', 'Potassium chloride crystal optic rectangle, 38.5mm x 19.5mm x 4mm, polished both sides', 'Potassium chloride crystal optic rectangle, 38.5mm x 19.5mm x 4mm, unpolished', 'Potassium chloride crystal optic rectangle, 41mm x 23mm x 6mm, polished both sides', 'Potassium chloride solution, 0.075 M, sterile-filtered, BioXtra, suitable for cell culture', 'Potassium chloride solution, conductance standard A acc. to ISO 7888, 0.1 M KCl', 'Potassium chloride solution, conductance standard B acc. to ISO 7888, 0.01 M KCl', 'Potassium chloride solution, conductance standard C acc. to ISO 7888, 0.001 M KCl', 'Potassium chloride solution, conductivity 11.67 mS/cm at 20 C, analytical standard', 'Potassium chloride, anhydrous, beads, -10 mesh, 99.999% trace metals basis', 'Potassium chloride, anhydrous, free-flowing, Redi-Dri(TM), ACS reagent, &gt;=99%', 'Potassium chloride, anhydrous, free-flowing, Redi-Dri(TM), ReagentPlus(R), &gt;=99%', 'Potassium Chloride, Pharmaceutical Secondary Standard; Certified Reference Material', 'Potassium chloride, puriss. p.a., reag. ISO, reag. Ph. Eur., 99.5-100.5%', 'Potassium atomic spectroscopy standard concentrate 1.00 g K, for 1 l standard solution, 1.00 g/L, analytical standard', 'Potassium atomic spectroscopy standard concentrate 10.00 g K, 10.00 g/L, for 1L standard solution, analytical standard', 'Potassium chloride crystal optic rectangle, 30mm x 15mm x 4mm, (drilled), polished both sides', 'Potassium chloride, powder, BioReagent, suitable for cell culture, suitable for insect cell culture, &gt;=99.0%', 'Potassium chloride, puriss., meets analytical specification of Ph. Eur., BP, USP, FCC, E508, 99-100.5% (AT), &lt;=0.0001% Al', 'Potassium standard solution, suitable for atomic absorption spectrometry, 1000 ppm K+, 1 mg/mL K+']</t>
  </si>
  <si>
    <t>Compound(4873)</t>
  </si>
  <si>
    <t>ClK</t>
  </si>
  <si>
    <t>potassium dimethyl dithiocarbamate</t>
  </si>
  <si>
    <t>potassium;N,N-dimethylcarbamodithioate</t>
  </si>
  <si>
    <t>['POTASSIUM DIMETHYLDITHIOCARBAMATE', '128-03-0', 'Busan 85', 'Potassium dimethyl dithiocarbamate', 'Caswell No. 691', 'UNII-A3XR795ZSD', 'Potassium N,N-dimethyldithiocarbamate', 'HSDB 7307', 'EINECS 204-875-1', 'EPA Pesticide Chemical Code 034803', 'A3XR795ZSD', 'Carbamodithioic acid, dimethyl-, potassium salt', 'Carbamodithioic acid,N,N-dimethyl-, potassium salt (1:1)', 'Carbamodithioic acid, N,N-dimethyl-, potassium salt (1:1)', 'N,N-Dmethyldthocarbamate', 'EC 204-875-1', 'C3H6KNS2', 'SCHEMBL409998', 'DTXSID7034834', 'CTK4B5845', 'Potassium dimethylcarbamodithioate', 'ZX-AT011701', '3466AD', 'potassium,N,N-dimethylcarbamodithioate', 'AKOS015914245', 'LS-49538', 'FT-0631747', '128P030', 'J-005563', 'J-523272', 'Q27273583', 'Carbamic acid, dimethyldithio-, potassium salt, hydrate']</t>
  </si>
  <si>
    <t>Compound(23662387)</t>
  </si>
  <si>
    <t>C3H6KNS2</t>
  </si>
  <si>
    <t>Characteristic</t>
  </si>
  <si>
    <t>Grain size fraction</t>
  </si>
  <si>
    <t>Colony count</t>
  </si>
  <si>
    <t>Dress</t>
  </si>
  <si>
    <t>Color</t>
  </si>
  <si>
    <t>Color intensity</t>
  </si>
  <si>
    <t>potassium N-methyl dithiocarbamate</t>
  </si>
  <si>
    <t>potassium;N-methylcarbamodithioate</t>
  </si>
  <si>
    <t>['Metam-potassium', 'Potassium methyldithiocarbamate', '137-41-7', 'Metam potassium', 'Caswell No. 696', 'POTASSIUM N-METHYLDITHIOCARBAMATE', 'Metam-potassium [ISO]', 'Carbamodithioic acid, methyl-, monopotassium salt', 'UNII-8AL3E5450Y', 'Monopotassium methyldithiocarbamate', 'Monopotassium methylcarbamodithioate', 'EINECS 205-292-5', 'EPA Pesticide Chemical Code 039002', 'Carbamic acid, N-methyldithio-, potassium salt', '8AL3E5450Y', 'Carbamic acid, methyldithio-, monopotassium salt', 'C2H4NS2.K', 'Metham potassium', 'SCHEMBL202666', 'potassium methylcarbamodithioate', 'Potassium methyl dithiocarbamate', 'DTXSID1034424', 'CTK8G8826', 'AKOS015914592', 'LS-118357', 'FT-0694942', '137P417', 'Q21045317']</t>
  </si>
  <si>
    <t>Compound(23690432)</t>
  </si>
  <si>
    <t>C2H4KNS2</t>
  </si>
  <si>
    <t>potassium hydroxide</t>
  </si>
  <si>
    <t>potassium;hydroxide</t>
  </si>
  <si>
    <t>['POTASSIUM HYDROXIDE', 'Caustic potash', '1310-58-3', 'Potash lye', 'Potassium hydrate', 'Hydroxyde de potassium', 'Potassium hydroxide (K(OH))', 'Potassa', 'Potasse caustique', 'Potassium hydroxide solution', 'Caswell No. 693', 'Cyantek CC 723', 'Caustic potash solution', 'potassiumhydroxide', 'UNII-WZH3C48M4T', 'Potasse caustique [French]', 'MFCD00003553', 'CCRIS 6569', 'Hydroxyde de potassium [French]', 'HSDB 1234', 'Potassio (idrossido di) [Italian]', 'Potassium (hydroxyde de) [French]', 'EINECS 215-181-3', 'UN1813', 'UN1814', 'EPA Pesticide Chemical Code 075602', 'WZH3C48M4T', 'CHEBI:32035', 'KOH', 'Potassium hydroxide, 1N solution in water', 'Potassium hydroxide, 1N solution in ethanol', 'Potassium hydroxide, pure, 8N solution in water', 'Potassio (idrossido di)', 'Potassium hydroxide, ca. 85%, extra pure, flakes', 'Potassium (hydroxyde de)', 'Potassium hydroxide, ca. 85%, ACS reagent, pellets', 'Potassium hydroxide, ca. 85%, for analysis, pellets', 'Potassium hydroxide [JAN]', 'Kaliumhydroxid', 'Aetzkali', 'Kalilauge', 'Potassium hydroxide [JAN:NF]', 'hydroxyl potassium', 'potasium hydroxide', 'potassium hydoxide', 'potassium hydroxid', 'potassium hyroxide', 'potassium hydorxide', 'Potassium-hydroxide', 'potassium -hydroxide', 'ACMC-20ajum', 'Potassium hydroxide (TN)', 'Potassium Hydroxide Flakes', 'Potassium hydroxide, solid', 'Potassium hydroxide pellets', 'EC 215-181-3', 'Potassium hydroxide, solution', 'KSC174S0R', 'Potassium hydroxide on alumina', 'CHEMBL2103983', 'DTXSID5029633', 'CTK0H4908', 'Potassium hydroxide (JP17/NF)', 'Potassium hydroxide solution, 1 M', 'Potassium hydroxide solution, 5 M', 'Potassium hydroxide, p.a., 85%', 'Alkaline Iodide-Sodium Azide Solution', 'Potassium hydroxide solution, 0.1 M', 'Potassium hydroxide solution, 0.5 M', 'AKOS015904616', 'DB11153', 'LS-3211', 'KS-00000W24', 'Potassium hydroxide, pellet, ACS reagent', 'Potassium Hydroxide Pellets Reagent Grade', 'Potassium hydroxide, pellets, ACS reagent', 'SC-26695', 'Potassium hydroxide, AR, flakes, &gt;=85%', 'Potassium hydroxide, LR, flakes, &gt;=85%', 'Potassium hydroxide, technical grade, 80%', 'Potassium hydroxide, AR, pellets, &gt;=85%', 'Potassium hydroxide, LR, pellets, &gt;=85%', 'FT-0645097', 'POTASSIUM HYDROXIDE REAGENT GRADE 1KG', 'C12568', 'D01168', 'Potassium hydroxide solution 45 wt. % in H2O', 'Potassium hydroxide, technical, &gt;=85%, lumps', 'Potassium hydroxide, technical, &gt;=85%, powder', 'Potassium hydroxide solution, 0.02 M in ethanol', 'Potassium hydroxide solution, 0.1 M in ethanol', 'Potassium hydroxide solution, 0.5 M in ethanol', 'Potassium hydroxide solution, 45 wt. % in H2O', 'Potassium hydroxide, BioXtra, &gt;=85% KOH basis', 'Potassium hydroxide, ca. 50% solution in water', 'Potassium hydroxide, reagent grade, 90%, flakes', 'Potassium hydroxide, SAJ first grade, &gt;=85.0%', 'Potassium hydroxide, tested according to Ph.Eur.', 'Potassium hydroxide, JIS special grade, &gt;=85.0%', 'Potassium hydroxide, solid [UN1813] [Corrosive]', 'Q132298', 'J-005928', 'Potassium hydroxide solution, 0.1 M in isopropanol', 'Potassium hydroxide, ACS reagent, &gt;=85%, pellets', 'Potassium hydroxide, solid [UN1813]  [Corrosive]', 'Potassium hydroxide, solution [UN1814]  [Corrosive]', 'Potassium hydroxide, solution [UN1814] [Corrosive]', 'Potassium hydroxide, Vetec(TM) reagent grade, &gt;=85%', 'Potassium hydroxide, &gt;=85% KOH basis, pellets, white', 'Potassium hydroxide solution, 28.5%, for flue-gas analysis', 'Potassium hydroxide, 1N solution in ethanol, AcroSeal(R)', 'Potassium hydroxide, pellets, Trace Metals Grade 99.97%', 'Potassium hydroxide, puriss. p.a., &gt;=86% (T), pellets', 'Potassium hydroxide solution, volumetric, 8.0 M KOH (8.0N)', 'Potassium hydroxide, anhydrous, &gt;=99.97% trace metals basis', 'Potassium hydroxide, puriss. p.a., Reag. Ph. Eur., &gt;=85%, pellets', 'Potassium hydroxide, semiconductor grade PURANAL(TM) (Honeywell 17851)', 'Potassium hydroxide concentrate, 0.1 M KOH in water (0.1N), Eluent concentrate for IC', 'Potassium hydroxide, puriss., meets analytical specification of Ph. Eur., BP, NF, 85-100.5%, pellets', 'Potassium hydroxide, semiconductor grade, pellets, 99.99% trace metals basis (Purity excludes sodium content.)']</t>
  </si>
  <si>
    <t>Compound(14797)</t>
  </si>
  <si>
    <t>HKO</t>
  </si>
  <si>
    <t>Duckweed</t>
  </si>
  <si>
    <t>Herb coating</t>
  </si>
  <si>
    <t>Crown height</t>
  </si>
  <si>
    <t>Quality feature</t>
  </si>
  <si>
    <t>Acreage salt marshes</t>
  </si>
  <si>
    <t>Quality salt marshes</t>
  </si>
  <si>
    <t>Salt marsh vegetation (zone)- brackish</t>
  </si>
  <si>
    <t>Salt marsh vegetation (zone)- broke with reeds</t>
  </si>
  <si>
    <t>Salt marsh vegetation (zone)</t>
  </si>
  <si>
    <t>Salt marsh vegetation (zone)- high</t>
  </si>
  <si>
    <t>Salt marsh vegetation (zone)- high with sea culture</t>
  </si>
  <si>
    <t>Salt marsh vegetation (zone)- low</t>
  </si>
  <si>
    <t>Salt marsh vegetation (zone)- middle</t>
  </si>
  <si>
    <t>Salt marsh vegetation (zone)- pioneer</t>
  </si>
  <si>
    <t>Salt marsh vegetation (zone)- reed</t>
  </si>
  <si>
    <t>Salt marsh vegetation (zone)- marine cultivation</t>
  </si>
  <si>
    <t>Salt marsh</t>
  </si>
  <si>
    <t>Seepage indication</t>
  </si>
  <si>
    <t>potassium oleate</t>
  </si>
  <si>
    <t>potassium;(Z)-octadec-9-enoate</t>
  </si>
  <si>
    <t>['Potassium oleate', '143-18-0', 'Trenamine D-200', 'Trenamine D-201', 'Caswell No. 698B', 'Oleic acid potassium salt', 'Oleic acid, potassium salt', 'UNII-74WHF607EU', 'Potassium cis-9-octadecenoate', 'POTASSIUM CIS-9-OCTADECENOIC ACID', 'HSDB 5643', '9-Octadecenoic acid (9Z)-, potassium salt', 'Potassium 9-octadecenoate, (Z)-', 'Potassium 9-octadecenoate', 'EINECS 205-590-5', 'EPA Pesticide Chemical Code 079095', '9-Octadecenoic acid (Z)-, potassium salt', '74WHF607EU', '9-Octadecenoic acid, potassium salt', 'potassium 9-(Z)-octadecenoate', 'CHEMBL3122151', '9-Octadecenoic acid (9Z)-, potassium salt (1:1)', 'SCHEMBL36767', 'DTXSID0025949', 'C18H33O2.K', 'LS-94', '6475AF', 'O0056', 'J-007758', 'Q27266310', 'UNII-3H8EO46QKE component MLICVSDCCDDWMD-KVVVOXFISA-M', 'UNII-CH428W5O62 component MLICVSDCCDDWMD-KVVVOXFISA-M', 'UNII-F8U72V8ZXP component MLICVSDCCDDWMD-KVVVOXFISA-M', 'UNII-RR41KZ6DG5 component MLICVSDCCDDWMD-KVVVOXFISA-M']</t>
  </si>
  <si>
    <t>Compound(23665571)</t>
  </si>
  <si>
    <t>C18H33KO2</t>
  </si>
  <si>
    <t>Low tide day</t>
  </si>
  <si>
    <t>Land use</t>
  </si>
  <si>
    <t>Landscape location</t>
  </si>
  <si>
    <t>Dilution in which 50 percent of individuals die</t>
  </si>
  <si>
    <t>Age</t>
  </si>
  <si>
    <t>2-(prop-2-enoxymethyl)oxirane</t>
  </si>
  <si>
    <t>['ALLYL GLYCIDYL ETHER', '106-92-3', 'Glycidyl allyl ether', 'Allyl 2,3-epoxypropyl ether', 'Allylglycidaether', 'Oxirane, [(2-propenyloxy)methyl]-', 'Allil-glicidil-etere', 'Neoallyl G', 'Santolin XI', 'Epiol A', '1,2-Epoxy-3-allyloxypropane', '1-Allyloxy-2,3-epoxypropane', 'Denacol EX 111', '1-Allyloxy-2,3-epoxypropan', 'Ether, allyl 2,3-epoxypropyl', "Oxyde d'allyle et de glycidyle", 'Propane, 1-(allyloxy)-2,3-epoxy-', '1-Allilossi-2,3 epossipropano', '1-Allyloxy-2,3-epoxy-propaan', '1-(Allyloxy)-2,3-epoxypropane', 'NCI-C56666', 'Allylglycidaether [German]', 'Poly(allyl glycidyl ether)', 'allylglycidyl ether', 'M 560', 'Allyl glycidyl ether polymer', 'Ether, poly(allyl-glycidyl)', 'NSC 18596', 'Allyl glycidyl ether oligomer', 'PAGE 10', 'Allil-glicidil-etere [Italian]', 'CCRIS 2375', 'HSDB 505', '2,3-Epoxypropyl-1-allyl ether', '2-Allyloxymethyl-oxirane', 'Oxirane, ((2-propenyloxy)methyl)-', 'EINECS 203-442-4', 'UN2219', '1-Allyloxy-2,3-epoxypropan [German]', '1-Allyloxy-2,3-epoxy-propaan [Dutch]', 'BRN 0105871', "Oxyde d'allyle et de glycidyle [French]", '2-[(Allyloxy)methyl]oxirane', '1-Allilossi-2,3 epossipropano [Italian]', 'AI3-37791', '[(2-Propenyloxy)methyl]oxirane', 'AGE', 'Ether,3-epoxypropyl', 'Oxirane, 2-[(2-propen-1-yloxy)methyl]-', 'Allyl glycidyl ether, 99+%', 'WLN: T3OTJ B1O2U1', 'Oxirane,[(2-propenyloxy)methyl]-', 'Allyl glycidyl ether, 99+%, AcroSeal(R)', 'Oxirane, 2-((2-propen-1-yloxy)methyl)-', 'allylglycidylether', 'Ageflex AGE', 'Allylglycide ether', 'Sipomer AGE', 'Oxirane, [(2-propenyloxy)methyl]-, (2S)-', 'ACMC-20lzc2', 'DSSTox_CID_46', 'Propane, 1-(allyloxy)-2,3-epoxy-, polymers', 'ACMC-2098mt', 'EC 203-442-4', '1-Allyl-2,3-epoxypropane', 'DSSTox_RID_79427', 'DSSTox_GSID_39232', 'SCHEMBL15162', '25639-25-2', '5-17-03-00012 (Beilstein Handbook Reference)', 'KSC490I8H', 'Allyl glycidyl ether, &gt;=99%', 'NSC631', '2-[(Allyloxy)methyl]oxirane #', 'CHEMBL1528174', 'DTXSID9039232', 'CTK3J0483', '95043-55-3', 'NSC18596', '2,3-EPOXYPROPYL ALLYL ETHER', 'Tox21_200389', '7474AF', 'ANW-15459', 'LS-412', 'MFCD00005143', 'NSC-18596', 'AKOS015901458', 'FCH1115785', 'UN 2219', 'KS-00000V49', 'NCGC00091526-01', 'NCGC00091526-02', 'NCGC00257943-01', 'CAS-106-92-3', 'CC-23876', 'LS-67886', 'SC-19120', 'A0221', 'FT-0622001', 'NS00002883', 'Propane, 1-(allyloxy)-2,3-epoxy- (8CI)', 'Oxirane, ((2-propenyloxy)methyl)-, homopolymer', 'C-35033', 'Allyl glycidyl ether [UN2219]  [Flammable liquid]', 'Allyl glycidyl ether [UN2219] [Flammable liquid]', 'Q2467070', 'Propane, 1-(allyloxy)-2,3-epoxy-, polymers (8CI)', 'Allyl Glycidyl Ether-Ethylene Glycol Prepolymer(18/1)', 'F1995-0410', 'Oxirane, ((2-propenyloxy)methyl)-, homopolymer (9CI)', 'Propane, 1-(allyloxy)-2,3-epoxy-;Allyl glycidyl ether;Oxirane, methyl-, polymer with [(2-propenyloxy)methyl]oxirane']</t>
  </si>
  <si>
    <t>Compound(7838)</t>
  </si>
  <si>
    <t>Tap water</t>
  </si>
  <si>
    <t>Length</t>
  </si>
  <si>
    <t>Length fraction</t>
  </si>
  <si>
    <t>Liveliness</t>
  </si>
  <si>
    <t>Life stage</t>
  </si>
  <si>
    <t>Light emission</t>
  </si>
  <si>
    <t>light reflection fraction</t>
  </si>
  <si>
    <t>Light attenuation</t>
  </si>
  <si>
    <t>L / S ratio cumulative</t>
  </si>
  <si>
    <t>Air pressure</t>
  </si>
  <si>
    <t>Air speed</t>
  </si>
  <si>
    <t>Luminance</t>
  </si>
  <si>
    <t>perfluoro-1-butanesulfonate (linear)</t>
  </si>
  <si>
    <t>1,1,2,2,3,3,4,4,4-nonafluorobutane-1-sulfonic acid</t>
  </si>
  <si>
    <t>['375-73-5', 'perfluorobutanesulfonic acid', 'Nonafluorobutanesulfonic acid', 'Nonafluoro-1-butanesulfonic acid', '1-Perfluorobutanesulfonic acid', '1,1,2,2,3,3,4,4,4-nonafluorobutane-1-sulfonic acid', 'Nonafluorobutane-1-sulfonic acid', 'PFBS', '1,1,2,2,3,3,4,4,4-Nonafluoro-1-butanesulfonic acid', 'perfluorobutane sulfonic acid', 'Butanesulfonic acid, nonafluoro-', '1,1,2,2,3,3,4,4,4-Nonafluorobutane-1-sulphonic acid', '1-Butanesulfonic acid, 1,1,2,2,3,3,4,4,4-nonafluoro-', 'EINECS 206-793-1', 'UNII-1FV02N6NVO', '1FV02N6NVO', '59933-66-3', 'Perfluorobutane sulfonic acid (PFBuS)', 'Pentyl perfluorobutanoate', 'nonafluorobutanesulphonic acid', 'Perfluoro-1-butanesulfonic Acid', 'FC-98', 'ACMC-1AGMT', 'perfluorobutyl sulfonic acid', 'perfluorobutanesulphonic acid', 'SCHEMBL23932', 'nonafluorobutane sulfonic acid', 'Nonafluoro-1-butanesulfonicAcid', 'perfluorobutane-1-sulfonic acid', 'CHEMBL1198521', 'DTXSID5030030', 'CTK4H8423', 'HSDB 8294', 'CHEBI:132446', '1-Butanesulfonic acid, nonafluoro-', 'CS-B0899', 'KS-000015JB', 'ZINC6827719', 'ZX-AP010785', 'ANW-28677', 'PC9086', 'AKOS015852768', 'LS40031', 'Nonafluorobutane-1-sulfonic acid, 97%', 'LS-45989', 'NCI60_006096', 'SC-13908', 'AX8145393', 'FT-0676348', 'FT-0676859', 'N0709', 'NS00010276', 'V2176', 'Y-9106', '97807-EP2305685A1', '97807-EP2305686A1', 'Q410426', '1-Butanesulfonic acid, nonafluoro- (6CI,7CI,8CI)']</t>
  </si>
  <si>
    <t>Compound(67815)</t>
  </si>
  <si>
    <t>C4HF9O3S</t>
  </si>
  <si>
    <t>perfluoro-1-decane sulfonate (linear)</t>
  </si>
  <si>
    <t>1,1,2,2,3,3,4,4,5,5,6,6,7,7,8,8,9,9,10,10,10-henicosafluorodecane-1-sulfonic acid</t>
  </si>
  <si>
    <t>['perfluorodecane sulfonic acid', '335-77-3', 'Henicosafluorodecanesulphonic acid', 'UNII-HAI638LYMV', 'HAI638LYMV', '1,1,2,2,3,3,4,4,5,5,6,6,7,7,8,8,9,9,10,10,10-henicosafluorodecane-1-sulfonic acid', '1-Decanesulfonic acid, 1,1,2,2,3,3,4,4,5,5,6,6,7,7,8,8,9,9,10,10,10-heneicosafluoro-', 'EINECS 206-401-9', 'Heneicosafluoro-1-decanesulfonic acid', 'PFDS', 'perfluordecansulfonsaure', '126105-34-8', 'perfluorodecanesulfonic acid', 'SCHEMBL646633', 'Henicosafluorodecanesulfonic acid', 'DTXSID3040148', 'CTK4H0907', 'Perfluorodecane sulfonate (anion)+', 'Henicosafluorodecane-1-sulfonic acid', 'Perfluorodecane sulfonic acid (PFDS)', 'AKOS030242349', 'ZINC100141211', 'Perfluoro-1-decanesulfonic acid (PFDS)', 'FT-0774648', 'NS00011418', 'Q27279828']</t>
  </si>
  <si>
    <t>Compound(67636)</t>
  </si>
  <si>
    <t>C10HF21O3S</t>
  </si>
  <si>
    <t>perfluoro-1-heptane sulfonate (linear)</t>
  </si>
  <si>
    <t>1,1,2,2,3,3,4,4,5,5,6,6,7,7,7-pentadecafluoroheptane-1-sulfonic acid</t>
  </si>
  <si>
    <t>['perfluoroheptanesulfonic acid', '375-92-8', 'perfluoroheptane sulfonic acid', '1,1,2,2,3,3,4,4,5,5,6,6,7,7,7-pentadecafluoroheptane-1-sulfonic acid', '1,1,2,2,3,3,4,4,5,5,6,6,7,7,7-Pentadecafluoroheptane-1-sulphonic acid', '1-Heptanesulfonic acid, 1,1,2,2,3,3,4,4,5,5,6,6,7,7,7-pentadecafluoro-', '1-Heptanesulfonic acid,1,1,2,2,3,3,4,4,5,5,6,6,7,7,7-pentadecafluoro-', 'Pentadecafluoro-1-heptanesulfonic acid', 'PFHps', 'EINECS 206-800-8', 'SCHEMBL466749', 'DTXSID8059920', 'CTK4H8465', 'CS-B0913', 'AKOS030255152', 'ZINC100424529', 'PC53170', 'Perfluoroheptane sulfonic acid (PFHpS)', 'NS00011291', 'Perfluoroheptanesulfonic acid 100 microg/mL in Acetonitrile', '1,1,2,2,3,3,4,4,5,5,6,6,7,7,7-Pentadecafluoro-1-heptanesulfonic acid']</t>
  </si>
  <si>
    <t>Compound(67820)</t>
  </si>
  <si>
    <t>C7HF15O3S</t>
  </si>
  <si>
    <t>perfluoro-1-hexanesulfonate (linear)</t>
  </si>
  <si>
    <t>1,1,2,2,3,3,4,4,5,5,6,6,6-tridecafluorohexane-1-sulfonic acid</t>
  </si>
  <si>
    <t>['Perfluorohexanesulfonic acid', '355-46-4', '1,1,2,2,3,3,4,4,5,5,6,6,6-Tridecafluorohexane-1-sulfonic acid', 'Perfluorohexane-1-sulphonic acid', 'perfluorohexane sulfonic acid', 'PFHxS', 'UNII-ZU6Y1E592S', '1-Hexanesulfonic acid, 1,1,2,2,3,3,4,4,5,5,6,6,6-tridecafluoro-', 'perfluorohexanesulphonic acid', 'ZU6Y1E592S', 'Perfluorohexane-1-sulfonic acid', 'tridecafluorohexane-1-sulfonic acid', 'C6HF13O3S', 'EINECS 206-587-1', 'Acid sulfonic perfluorohexane', 'SCHEMBL332726', 'CHEMBL1906987', 'DTXSID7040150', 'CTK4H4770', 'HSDB 8274', 'Perfluorhexansulfonsaeure (PFHxS)', 'CHEBI:132448', 'CS-B0907', '4434AB', 'ANW-65167', 'ZINC38141431', 'AKOS016005064', 'Perfluorohexane sulfonic acid (PFHxS)', 'LS41238', 'PC53169', 'Perfluoro-1-hexanesulfonic acid (PFHxS)', 'Perfluorohexane sulfonate (PFHxS) (anion)', 'NS00010279', 'Z-1469', 'Q26833878', 'Perfluorohexanesulfonic acid 100 microg/mL in Acetonitrile', '1-Hexanesulfonic acid,1,1,2,2,3,3,4,4,5,5,6,6,6-tridecafluoro-']</t>
  </si>
  <si>
    <t>Compound(67734)</t>
  </si>
  <si>
    <t>C6HF13O3S</t>
  </si>
  <si>
    <t>lanthanum 140</t>
  </si>
  <si>
    <t>lanthanum-140</t>
  </si>
  <si>
    <t>['13981-28-7', 'Lanthanum-140', 'Lanthanum, isotope of mass 140', '(~140~La)Lanthanum', 'DTXSID70930608']</t>
  </si>
  <si>
    <t>Compound(104882)</t>
  </si>
  <si>
    <t>lithium carbonate</t>
  </si>
  <si>
    <t>dilithium;carbonate</t>
  </si>
  <si>
    <t>['LITHIUM CARBONATE', '554-13-2', 'Dilithium carbonate', 'Lithonate', 'Lithane', 'Lithobid', 'Eskalith', 'Lithotabs', 'Carbonic acid, dilithium salt', 'Carbonic acid lithium salt', 'Liskonum', 'Lithizine', 'Micalith', 'Priadel', 'Limas', 'Eskalith CR', 'Camcolit', 'Carbolitium', 'Neurolepsin', 'Candamide', 'Carbolith', 'Ceglution', 'Eutimin', 'Hypnorex', 'Lithicarb', 'Lithinate', 'Lithionate', 'Liticar', 'Manialith', 'Maniprex', 'Litard', 'Lithea', 'Phasal', 'Plenur', 'Quilonum retard', 'Pfi-lithium', 'Lithium Phasal', 'Pfl-Lithium', 'Litho-Carb', 'Quilonorm', 'Teralithe [French]', 'NSC-16895', 'Carbolithium', 'UNII-2BMD2GNA4V', 'Carbonic acid, lithium salt', 'CP-15467-61', 'Lithium carbonate (Li2CO3)', 'CCRIS 3153', 'HSDB 3351', 'EINECS 209-062-5', '2BMD2GNA4V', 'Carbonic acid lithium salt (Li2CO3)', 'Lithium carbonate (2:1)', 'CHEBI:6504', 'CP 15467-61', 'Carbonic acid, lithium salt (1:2)', 'Lithium carbonate, 99%, pure', 'CP-15,467-61', 'Teralithe', 'Lithium, Reference Standard Solution', 'Lithium carbonicum', 'Li2 (C O3)', 'Lithium carbonate, 98+%, for analysis', 'Lithium carbonate, 99+%, ACS reagent', 'Carbonic Acid Dilithium Salt', 'Lithium carbonate, 99.999%, (trace metal basis), extra pure', 'Lithium carbonate [USAN:JAN]', 'Carbolithium IFI', 'Lithium QD', 'Eskalith (TN)', 'Lithobid (TN)', 'Lithium carbonate [USAN:USP:JAN]', 'MFCD00011084', 'ACMC-209lmw', 'CLi2O3', 'Li2CO3', 'dilithium trioxidocarbonate', 'EC 209-062-5', 'KSC269O0H', 'Lithium Carbonate Nanoparticles', 'CHEMBL1200826', 'DTXSID1023784', 'Lithium carbonate (JP17/USP)', 'CTK1G9703', 'ANW-32310', 'GK3300', 'AKOS015904647', 'ANGC-554-13-2', 'DB14509', 'KS-0000025D', 'I494', 'LS-88061', 'AK00285039', 'B7705', 'CP-1546761', 'FT-0627895', 'L0224', 'C07964', 'D00801', 'Dilithium Carbonate, Dilithium Salt, Carbonic Acid', 'Q410174']</t>
  </si>
  <si>
    <t>Compound(11125)</t>
  </si>
  <si>
    <t>CLi2O3</t>
  </si>
  <si>
    <t>lutetium-173</t>
  </si>
  <si>
    <t>['14391-24-3', 'Lutetium-173', 'Lutetium, isotope of mass 173', '173Lu', '(~173~Lu)Lutetium', 'DTXSID90932149']</t>
  </si>
  <si>
    <t>Compound(177429)</t>
  </si>
  <si>
    <t>lutetium-177</t>
  </si>
  <si>
    <t>['Lutetium-177', 'Lutetium Lu-177', 'UNII-BRH40Y9V1Q', '177Lu', 'Lu 177', 'Lu-177', 'BRH40Y9V1Q', '14265-75-9', 'Lutetium, isotope of mass 177', '(~177~Lu)Lutetium', 'DTXSID30931570', 'DB13982', 'Q18882670']</t>
  </si>
  <si>
    <t>Compound(161046)</t>
  </si>
  <si>
    <t>lutetium 177m (metastable)</t>
  </si>
  <si>
    <t>mono (2-ethylhexyl) hexanedioate</t>
  </si>
  <si>
    <t>6-(2-ethylhexoxy)-6-oxohexanoic acid</t>
  </si>
  <si>
    <t>['2-Ethylhexyl hydrogen adipate', '4337-65-9', 'Mono(2-ethylhexyl) adipate', '2-ethylhexyl adipate', 'CCRIS 4296', 'EINECS 224-386-7', 'Mono(2-ethylhexyl)adipate', 'Hexanedioic acid, mono(2-ethylhexyl) ester', 'Hexanedioic acid, mono(2-ethylhexyl)ester', '6-[(2-Ethylhexyl)oxy]-6-oxohexanoic acid', '6-((2-Ethylhexyl)oxy)-6-oxohexanoic acid', 'MEHA', '5-((2-ethylhexyloxy)carbonyl)pentanoic acid', 'Mono-2-ethylhexyl adipate', 'SCHEMBL433435', 'DTXSID3025679', 'CTK4I7289', 'LS-117', 'AKOS032961420', 'Hexanedioic acid,1-(2-ethylhexyl) ester', 'AS-59653', 'hexanedioic acid mono(2-ethylhexyl) ester', 'NS00022190', '6-[(2-Ethylhexyl)oxy]-6-oxohexanoic acid #', 'Q27893579']</t>
  </si>
  <si>
    <t>Compound(20342)</t>
  </si>
  <si>
    <t>C14H26O4</t>
  </si>
  <si>
    <t>Ground level</t>
  </si>
  <si>
    <t>Macroalgae quality</t>
  </si>
  <si>
    <t>Macrophytes</t>
  </si>
  <si>
    <t>Macrofauna quality</t>
  </si>
  <si>
    <t>Macrophyte quality</t>
  </si>
  <si>
    <t>General disturbance of macrofauna</t>
  </si>
  <si>
    <t>Macrofauna- species sensitive according to AMBI Borja</t>
  </si>
  <si>
    <t>Macrofauna diversity</t>
  </si>
  <si>
    <t>Sediment pollution macrofauna</t>
  </si>
  <si>
    <t>Freshwater species macrofauna</t>
  </si>
  <si>
    <t>Macrofauna- family Ephemeroptera, Plecoptera, Trichoptera</t>
  </si>
  <si>
    <t>Macrofauna- genera</t>
  </si>
  <si>
    <t>Macrofauna- food guilds</t>
  </si>
  <si>
    <t>Macrofauna- kind of dominant negative</t>
  </si>
  <si>
    <t>Macrofauna- kind of dominant positive</t>
  </si>
  <si>
    <t>Macrofauna- species characteristic</t>
  </si>
  <si>
    <t>Macrofauna- species characteristically and / or dominantly positive</t>
  </si>
  <si>
    <t>Macrofauna- brackish water species littoral</t>
  </si>
  <si>
    <t>Macrofauna- indicating species- indifferent</t>
  </si>
  <si>
    <t>Macrofauna- Indicating Species- (1) Clean Sediment</t>
  </si>
  <si>
    <t>Macrofauna- Indicating Species- (3) contaminated sediment</t>
  </si>
  <si>
    <t>Macrofauna- freshwater littoral species</t>
  </si>
  <si>
    <t>Macrofauna- freshwater species profundal</t>
  </si>
  <si>
    <t>Macrofauna- Indicating Species- (2) weakly polluted sediment</t>
  </si>
  <si>
    <t>Macrofauna- food guild (A) grazers and scrapers</t>
  </si>
  <si>
    <t>Macrofauna- food guild (B) miners</t>
  </si>
  <si>
    <t>Macrofauna- food guild (C) wood eaters</t>
  </si>
  <si>
    <t>Macrofauna- Food Guild (D) Clippers</t>
  </si>
  <si>
    <t>Macrofauna- food guild (E) collectors</t>
  </si>
  <si>
    <t>Macrofauna- food guild (F) active filterers</t>
  </si>
  <si>
    <t>Macrofauna- Food Guild (G) passive filterers</t>
  </si>
  <si>
    <t>Macrofauna- food guild of (H) predators</t>
  </si>
  <si>
    <t>Macrofauna- food guild (I) parasites</t>
  </si>
  <si>
    <t>Macrofauna- food guild (J) different</t>
  </si>
  <si>
    <t>Mass</t>
  </si>
  <si>
    <t>Mass fraction</t>
  </si>
  <si>
    <t>Mass per area</t>
  </si>
  <si>
    <t>Mass flow</t>
  </si>
  <si>
    <t>(5R,8S,11R,12S,15S,18S,19S,22R)-18-[(1E,3E,5S,6S)-6-methoxy-3,5-dimethyl-7-phenylhepta-1,3-dienyl]-1,5,12,15,19-pentamethyl-2-methylidene-8-(2-methylpropyl)-3,6,9,13,16,20,25-heptaoxo-1,4,7,10,14,17,21-heptazacyclopentacosane-11,22-dicarboxylic acid</t>
  </si>
  <si>
    <t>['Cyanoginosin LA', 'Cyanoginosin-LA', 'Microcystin LA', 'Microcystin-LA', 'Toxin BE 4', 'Toxin BE 4 (Microcystis aeruginosa)', 'UNII-3E7C54U3SY', '3E7C54U3SY', 'CHEMBL421377', '96180-79-9', 'Cyanoginosin-LA;Microcystin-LA', 'Microcystin-leucine-alanine', 'HY-P0219', 'BDBM50135699', 'ZINC169365917', '(5R,8S,11R,12S,15S,18S,19S,22R)-18-[(1E,3E,5S,6S)-6-methoxy-3,5-dimethyl-7-phenylhepta-1,3-dienyl]-1,5,12,15,19-pentamethyl-2-methylidene-8-(2-methylpropyl)-3,6,9,13,16,20,25-heptaoxo-1,4,7,10,14,17,21-heptazacyclopentacosane-11,22-dicarboxylic acid', 'LS-55781', 'CS-0021541', 'Q27894661', '(10S,13S,18S,19S,22R)-8-Isobutyl-18-((1E,3E)-(5S,6S)-6-methoxy-3,5-dimethyl-7-phenyl-hepta-1,3-dienyl)-1,5,12,15-tetramethyl-19-(R)-methyl-2-methylene-3,6,9,13,16,20,25-heptaoxo-1,4,7,10,14,17,21heptaaza-cyclopentacosane-11,22-dicarboxylic acid', '(5R,8S,11R,12S,15S,18S,19S,22R)-8-Isobutyl-18-((1E,3E)-(5S,6S)-6-methoxy-3,5-dimethyl-7-phenyl-hepta-1,3-dienyl)-1,5,12,15,19-pentamethyl-2-methylene-3,6,9,13,16,20,25-heptaoxo-1,4,7,10,14,17,21heptaaza-cyclopentacosane-11,22-dicarboxylic acid']</t>
  </si>
  <si>
    <t>Compound(6437382)</t>
  </si>
  <si>
    <t>C46H67N7O12</t>
  </si>
  <si>
    <t>microcystin-LF</t>
  </si>
  <si>
    <t>(5R,8S,11R,12S,15S,18S,19S,22R)-15-benzyl-18-[(1E,3E,5S,6S)-6-methoxy-3,5-dimethyl-7-phenylhepta-1,3-dienyl]-1,5,12,19-tetramethyl-2-methylidene-8-(2-methylpropyl)-3,6,9,13,16,20,25-heptaoxo-1,4,7,10,14,17,21-heptazacyclopentacosane-11,22-dicarboxylic acid</t>
  </si>
  <si>
    <t>['Microcystin LF', '154037-70-4', 'MCYST-LF', 'Microcystin-LF, Microcystis aeruginosa', 'MC-LF', 'SCHEMBL12105264', 'DTXSID00891475', 'CHEBI:133297', 'ZINC169731043', 'Microcystin-LF solution, 5-8 mug/mL in methanol, analytical standard', '(5R,8S,11R,12S,15S,18S,19S,22R)-15-benzyl-18-[(1E,3E,5S,6S)-6-methoxy-3,5-dimethyl-7-phenylhepta-1,3-dien-1-yl]-1,5,12,19-tetramethyl-2-methylidene-8-(2-methylpropyl)-3,6,9,13,16,20,25-heptaoxo-1,4,7,10,14,17,21-heptaazacyclopentacosane-11,22-dicarboxylic acid', 'cyclo[D-alanyl-L-leucyl-(3S)-3-methyl-D-beta-aspartyl-L-phenylalanyl-(2S,3S,4E,6E,8S,9S)-3-amino-4,5,6,7-tetradehydro-9-methoxy-2,6,8-trimethyl-10-phenyldecanoyl-D-gamma-glutamyl-2,3-didehydro-N-methylalanyl]']</t>
  </si>
  <si>
    <t>Compound(16760563)</t>
  </si>
  <si>
    <t>C52H71N7O12</t>
  </si>
  <si>
    <t>microcystin-LR</t>
  </si>
  <si>
    <t>(5R,8S,11R,12S,15S,18S,19S,22R)-15-[3-(diaminomethylideneamino)propyl]-18-[(1E,3E,5S,6S)-6-methoxy-3,5-dimethyl-7-phenylhepta-1,3-dienyl]-1,5,12,19-tetramethyl-2-methylidene-8-(2-methylpropyl)-3,6,9,13,16,20,25-heptaoxo-1,4,7,10,14,17,21-heptazacyclopentacosane-11,22-dicarboxylic acid</t>
  </si>
  <si>
    <t>['Microcystin-LR', 'Microcystin LR', '101043-37-2', 'Cyanoginosin LR', 'Toxin-LR', 'MCYST-LR', 'Microcystis aeruginosa toxin', 'UNII-EQ8332842Y', 'Akerstox', 'Microcystin-a', 'CHEBI:6925', 'CHEMBL444092', 'C49H74N10O12', 'EQ8332842Y', 'Toxin I (Microcystis aeruginosa)', 'Cyanoginosin-LR', '5-L-Argininecyanoginosin LA', 'toxin I, cyanobacterium', 'Toxin T 17 (Microcystis aeruginosa)', 'BRN 4779759', '1,7-anhydro[D-alanyl-L-leucyl-(3S)-3-methyl-D-beta-aspartyl-L-arginyl-(2S,3S,4E,6E,8S,9S)-3-amino-4,5,6,7-tetradehydro-9-methoxy-2,6,8-trimethyl-10-phenyldecanoyl-D-gamma-glutamyl-2,3-didehydro-N-methylalanine]', 'cyclo[2,3-didehydro-N-methylalanyl-D-alanyl-L-leucyl-erythro-3-methyl-D-beta-aspartyl-L-arginyl-(2S,3S,4E,6E,8S,9S)-3-amino-4,5,6,7-tetradehydro-9-methoxy-2,6,8-trimethyl-10-phenyldecanoyl-D-gamma-glutamyl]', 'cyclo[D-alanyl-L-leucyl-(3S)-3-methyl-D-beta-aspartyl-L-arginyl-(2S,3S,4E,6E,8S,9S)-3-amino-4,5,6,7-tetradehydro-9-methoxy-2,6,8-trimethyl-10-phenyldecanoyl-D-gamma-glutamyl-2,3-didehydro-N-methylalanyl]', 'Toxin, blue green alga, Microcystis aeruginosa', 'Cyanoginosin LA, 5-L-arginine-', '5-L-Arginine-microcystin LA', 'cyclo(Ala-Leu-MAsp-Arg-Adda-isoGlu-Mdha)', 'HSDB 7751', 'Microcystin-LR, Microcystis aeruginosa', 'Cyanoginosin-LR;MC-LR;Toxin T 17 (Microcystis aeruginosa)', 'GTPL4735', 'SCHEMBL21245230', 'HY-P0072', '1859AH', '2545AH', 'BDBM50061067', 'NSC733608', 'ZINC169715525', 'CS-5404', 'NSC-733608', '(5R,8S,11R,12S,15S,18S,19S,22R)-15-[3-(diaminomethylideneamino)propyl]-18-[(1E,3E,5S,6S)-6-methoxy-3,5-dimethyl-7-phenylhepta-1,3-dienyl]-1,5,12,19-tetramethyl-2-methylidene-8-(2-methylpropyl)-3,6,9,13,16,20,25-heptaoxo-1,4,7,10,14,17,21-heptazacyclopentacosane-11,22-dicarboxylic acid', 'M2912', 'C05371', 'Q6839436', 'Microcystin-LR solution, 10 mug/mL in methanol, analytical standard', '(5R,8R,11R,12S,15S,18S,19S,22R)-15-{3-[(Diaminomethylene)amino]propyl}-8-isobutyl-18-[(1E,3E,5S,6S)-6-methoxy-3,5-dimethyl-7-phenyl-1,3-heptadien-1-yl]-1,5,12,19-tetramethyl-2-methylene-3,6,9,13,16,20 ,25-heptaoxo-1,4,7,10,14,17,21-heptaazacyclopentacosane-11,22-dicarboxylic acid', '(5R,8S,11R,12S,15S,18S,19S,22R)-15-(3-guanidinopropyl)-8-isobutyl-3,6,9,13,16,20,25-heptaketo-18-[(1E,3E,5S,6S)-6-methoxy-3,5-dimethyl-7-phenyl-hepta-1,3-dienyl]-1,5,12,19-tetramethyl-2-methylene-1,4,7,10,14,17,21-heptazacyclopentacosane-11,22-dicarboxylic acid', '15-(3-Guanidino-propyl)-8-isobutyl-18-((1E,3E)-6-methoxy-3,5-dimethyl-7-phenyl-hepta-1,3-dienyl)-1,5,12,19-tetramethyl-2-methylene-3,6,9,13,16,20,25-heptaoxo-1,4,7,10,14,17,21heptaaza-cyclopentacosane-11,22-dicarboxylic acid', '15-(3-Guanidino-propyl)-8-isobutyl-18-(6-methoxy-3,5-dimethyl-7-phenyl-hepta-1,3-dienyl)-1,5,12,19-tetramethyl-2-methylene-3,6,9,13,16,20,25-heptaoxo-1,4,7,10,14,17,21heptaaza-cyclopentacosane-11,22-dicarboxylic acid', '8-[3-amino(imino)methylaminopropyl]-15-isobutyl-5-[6-methoxy-3,5-dimethyl-7-phenyl-(1E,3E)-1,3-heptadienyl]-4,11,18,22-tetramethyl-21-methylene-3,7,10,14,17,20,23-heptaoxo-2,6,9,13,16,19,22-heptaazacyclopentacosane-1,12-dicarboxylic acid']</t>
  </si>
  <si>
    <t>Compound(445434)</t>
  </si>
  <si>
    <t>C49H74N10O12</t>
  </si>
  <si>
    <t>microcystin-LW</t>
  </si>
  <si>
    <t>(5R,8S,11R,12S,15S,18S,19S,22R)-15-(1H-indol-3-ylmethyl)-18-[(1E,3E,5S,6S)-6-methoxy-3,5-dimethyl-7-phenylhepta-1,3-dienyl]-1,5,12,19-tetramethyl-2-methylidene-8-(2-methylpropyl)-3,6,9,13,16,20,25-heptaoxo-1,4,7,10,14,17,21-heptazacyclopentacosane-11,22-dicarboxylic acid</t>
  </si>
  <si>
    <t>['Microcystin LW', '157622-02-1', 'MCYST-LW', 'Microcystin-LW solution', 'MCLW', 'Microcystin-LW, Microcystis aeruginosa', 'MC-LW', 'SCHEMBL12105089', 'DTXSID70891285', 'CHEBI:133298', '(5R,8S,11R,12S,15S,18S,19S,22R)-15-[(1H-indol-3-yl)methyl]-18-[(1E,3E,5S,6S)-6-methoxy-3,5-dimethyl-7-phenylhepta-1,3-dien-1-yl]-1,5,12,19-tetramethyl-2-methylidene-8-(2-methylpropyl)-3,6,9,13,16,20,25-heptaoxo-1,4,7,10,14,17,21-heptaazacyclopentacosane-11,22-dicarboxylic acid', 'cyclo[D-alanyl-L-leucyl-(3S)-3-methyl-D-beta-aspartyl-L-tryptophanyl-(2S,3S,4E,6E,8S,9S)-3-amino-4,5,6,7-tetradehydro-9-methoxy-2,6,8-trimethyl-10-phenyldecanoyl-D-gamma-glutamyl-2,3-didehydro-N-methylalanyl]']</t>
  </si>
  <si>
    <t>Compound(16760564)</t>
  </si>
  <si>
    <t>C54H72N8O12</t>
  </si>
  <si>
    <t>microcystin-LY</t>
  </si>
  <si>
    <t>15-[(4-hydroxyphenyl)methyl]-18-[(1Z,3E)-6-methoxy-3,5-dimethyl-7-phenylhepta-1,3-dienyl]-1,5,12,19-tetramethyl-2-methylidene-8-(2-methylpropyl)-3,6,9,13,16,20,25-heptaoxo-1,4,7,10,14,17,21-heptazacyclopentacosane-11,22-dicarboxylic acid</t>
  </si>
  <si>
    <t>['Microcystin-LY', 'Microcystin LY', '123304-10-9', 'MCLY', 'Microcystin LA, 5-L-tyrosine-', '15-[(4-hydroxyphenyl)methyl]-18-[(1Z,3E)-6-methoxy-3,5-dimethyl-7-phenylhepta-1,3-dienyl]-1,5,12,19-tetramethyl-2-methylidene-8-(2-methylpropyl)-3,6,9,13,16,20,25-heptaoxo-1,4,7,10,14,17,21-heptazacyclopentacosane-11,22-dicarboxylic acid', 'NS00000582']</t>
  </si>
  <si>
    <t>Compound(6440826)</t>
  </si>
  <si>
    <t>C52H71N7O13</t>
  </si>
  <si>
    <t>microcystin-RR</t>
  </si>
  <si>
    <t>(5R,8S,11R,12S,15S,18S,19S,22R)-8,15-bis[3-(diaminomethylideneamino)propyl]-18-[(1E,3E,5S,6S)-6-methoxy-3,5-dimethyl-7-phenylhepta-1,3-dienyl]-1,5,12,19-tetramethyl-2-methylidene-3,6,9,13,16,20,25-heptaoxo-1,4,7,10,14,17,21-heptazacyclopentacosane-11,22-dicarboxylic acid</t>
  </si>
  <si>
    <t>['microcystin RR', 'Cyanoginosin RR', 'Cyanoginosin-RR', '111755-37-4', 'UNII-CZ021GH33H', 'Cyanoginosin LA, 3-arginyl-5-arginine-', 'Microcystin-RR', 'CZ021GH33H', 'Cyanoginosin LA, 3-L-arginyl-5-L-arginine', 'Cyanoginosin LA, 3-L-arginine-5-L-arginine-', '(5R,8S,11R,12S,15S,18S,19S,22R)-8,15-bis(3-carbamimidamidopropyl)-18-[(1E,3E,5S,6S)-6-methoxy-3,5-dimethyl-7-phenylhepta-1,3-dien-1-yl]-1,5,12,19-tetramethyl-2-methylidene-3,6,9,13,16,20,25-heptaoxo-1,4,7,10,14,17,21-heptaazacyclopentacosane-11,22-dicarboxylic acid', 'MCYST-RR', 'MCRR', 'Microcystin-RR, Microcystis aeruginosa', 'MC-RR', 'SCHEMBL12105241', 'DTXSID40880085', 'CHEBI:133296', 'LS-182802', 'C19995', 'Microcystin RR from algae, &gt;=90% (HPLC), solid', 'Q27275898', 'Microcystin-RR solution, 10 mug/mL in methanol, analytical standard', 'cyclo[D-alanyl-L-arginyl-(3S)-3-methyl-D-beta-aspartyl-L-arginyl-(2S,3S,4E,6E,8S,9S)-3-amino-4,5,6,7-tetradehydro-9-methoxy-2,6,8-trimethyl-10-phenyldecanoyl-D-gamma-glutamyl-2,3-didehydro-N-methylalanyl]']</t>
  </si>
  <si>
    <t>Compound(6438357)</t>
  </si>
  <si>
    <t>C49H75N13O12</t>
  </si>
  <si>
    <t>microcystin-YR</t>
  </si>
  <si>
    <t>(5R,8S,11R,12S,15S,18S,19S,22R)-15-[3-(diaminomethylideneamino)propyl]-8-[(4-hydroxyphenyl)methyl]-18-[(1E,3E,5S,6S)-6-methoxy-3,5-dimethyl-7-phenylhepta-1,3-dienyl]-1,5,12,19-tetramethyl-2-methylidene-3,6,9,13,16,20,25-heptaoxo-1,4,7,10,14,17,21-heptazacyclopentacosane-11,22-dicarboxylic acid</t>
  </si>
  <si>
    <t>['Microcystin YR', 'Cyanoginosin YR', 'Cyanoginosin-YR', 'Microcystin-YR', 'UNII-4G08121T5U', 'Cyanoginosin LA, 3-tyrosyl-5-arginine-', '101064-48-6', 'cyanoginosin LA, 3-L-tyrosyl-5-L-arginine', '4G08121T5U', 'Cyanoginosin LA, 3-L-tyrosine-5-L-arginine', 'MCYR', 'DTXSID00880086', 'LS-182803', 'C19997', 'Q27259546', '(5R,8S,11R,12S,15S,18S,19S,22R)-15-(3-Carbamimidamidopropyl)-8-[(4-hydroxyphenyl)methyl]-18-[(1E,3E,5S,6S)-6-methoxy-3,5-dimethyl-7-phenylhepta-1,3-dien-1-yl]-1,5,12,19-tetramethyl-2-methylidene-3,6,9,13,16,20,25-heptaoxo-1,4,7,10,14,17,21-heptaazacyclopentacosane-11,22-dicarboxylic acid']</t>
  </si>
  <si>
    <t>Compound(6437088)</t>
  </si>
  <si>
    <t>C52H72N10O13</t>
  </si>
  <si>
    <t>methanamine</t>
  </si>
  <si>
    <t>['METHYLAMINE', 'Methanamine', 'Aminomethane', 'Monomethylamine', '74-89-5', 'Carbinamine', 'Mercurialin', 'N-Methylamine', 'Methylaminen', 'Metilamine', 'Metyloamina', 'Methylamine aq', 'monomethyl amine', 'Anhydrous Methylamine', 'Methylamine solutions', 'Methylaminen [Dutch]', 'Metilamine [Italian]', 'Metyloamina [Polish]', 'methyl-amine', 'UNII-BSF23SJ79E', 'CCRIS 2508', 'HSDB 810', 'MeNH2', 'Methylamine, anhydrous', 'EINECS 200-820-0', 'UN1061', 'UN1235', 'CH3NH2', 'AI3-15637-X', 'BSF23SJ79E', 'Methylamine, in aqueous solution', 'CHEBI:16830', 'Methylamine solution (42% or less)', 'NME', 'methylamin', 'methyl amine', 'methaneamine', 'methlamine', 'methlyamine', 'methyamine', 'methylammonia', 'methylarnine', 'metylamine', 'methyl group', 'methylamine-', 'mono-methylamine', 'N-methyl amine', 'mono methyl amine', 'mono-methyl amine', 'Methylamine solution', 'Methylamine anhydrous', 'Aminomethylidyneradical', 'H2NMe', 'NH2Me', 'ACMC-1BEIQ', 'DEA Code 8520', 'H2NCH3', 'NH2CH3', 'EC 200-820-0', 'Methylamine aqueous solution', 'Methylamine, &gt;=99.0%', 'CH3-NH2', 'Methylamine, aqueous solution', 'Integrase inhibitor, R3{3}', 'KSC377M9L', 'UN 1235 (Salt/Mix)', 'CHEMBL43280', 'Methylamine, purum, &gt;99.5%', 'DTXSID7025683', 'Methylamine, solution in ethanol', 'CTK2H7695', 'Methylamine, anhydrous, &gt;=98%', 'Methylamine, purum, &gt;=99.0%', 'Methanamine-d2;Methyl(2H2)amine', 'Methyl Of Gamma-N-Methylasparagine', 'BCP31897', 'KS-00000UF8', 'STR00032', 'BDBM50416492', 'BP-11399B', 'MFCD00008104', 'STL281863', 'Methylamine solution, 2.0 M in THF', 'AKOS009031510', 'DB01828', 'LS-1634', 'MCULE-1379281060', 'UN 1061', 'Methylamine solution, 2.0 M in methanol', 'Methylamine solution, 40 wt. % in H2O', 'SC-46830', 'FT-0628859', 'M0137', 'M1016', 'M2108', 'M2323', 'M2324', 'NS00004846', 'A23960', 'C00218', 'Methylamine, anhydrous [UN1061] [Flammable gas]', 'Q409304', 'Methylamine solution, 33 wt. % in absolute ethanol', 'Methylamine, anhydrous [UN1061]  [Flammable gas]', 'Methylamine, aqueous solution [UN1235] [Flammable liquid]', 'Methylamine, aqueous solution [UN1235]  [Flammable liquid]', 'Polystyrene AM-NH2, macrobeads, extent of labeling: 0.8-1.4 mmol/g N loading', '3P8', 'JandaJel(TM)-NH2, 100-200 mesh, extent of labeling: 1.0 mmol/g N loading, 2 % cross-linked', 'JandaJel(TM)-NH2, 200-400 mesh, extent of labeling: 1.0 mmol/g N loading, 2 % cross-linked', 'JandaJel(TM)-NH2, 50-100 mesh, extent of labeling: 1.0 mmol/g N loading, 2 % cross-linked', 'MEN']</t>
  </si>
  <si>
    <t>Compound(6329)</t>
  </si>
  <si>
    <t>CH5N</t>
  </si>
  <si>
    <t>monomethyl arsenic acid</t>
  </si>
  <si>
    <t>methylarsonic acid</t>
  </si>
  <si>
    <t>['Methylarsonic acid', 'Monomethylarsonic acid', 'METHANEARSONIC ACID', 'Arsonic acid, methyl-', '124-58-3', 'Monomethylarsinic acid', 'Monomethylarsonate', 'Methylarsenic acid', 'Methylarsinic acid', 'Kyselina methylarsonova', 'DSMA (JMAF)', 'Methylarsonic acid [ISO]', 'methyl Arsonic acid', 'Methylarsonate', 'Kyselina methylarsonova [Czech]', 'UNII-J37VJ5709S', 'HSDB 845', 'MeAsO(OH)2', 'EINECS 204-705-6', 'BRN 1739373', 'CHEBI:29852', 'J37VJ5709S', 'CCRIS 9324', 'NCIOpen2_000482', 'NCIOpen2_000522', 'NCIOpen2_004484', 'NCIOpen2_008444', '4-04-00-03682 (Beilstein Handbook Reference)', 'Arsonic acid, methyl-(9CI)', 'SCHEMBL122145', 'CHEMBL1743208', 'DTXSID4020903', 'CTK4B4001', 'LS-89971', 'C07294', 'Q1976186', '4950-59-8']</t>
  </si>
  <si>
    <t>Compound(8948)</t>
  </si>
  <si>
    <t>CH5AsO3</t>
  </si>
  <si>
    <t>2-aminoethanol</t>
  </si>
  <si>
    <t>['Ethanolamine', '2-aminoethanol', 'monoethanolamine', '141-43-5', 'colamine', 'Aminoethanol', 'Glycinol', '2-Hydroxyethylamine', '2-Amino-1-ethanol', 'Ethanol, 2-amino-', 'Olamine', '2-Aminoethan-1-ol', 'Ethylolamine', 'beta-Hydroxyethylamine', '2-Hydroxyethanamine', '1-Amino-2-hydroxyethane', '2-Aminoethyl alcohol', 'beta-Aminoethyl alcohol', 'Aethanolamin', '2-Ethanolamine', 'Thiofaco M-50', 'beta-Aminoethanol', '2-amino-ethanol', 'MEA (alcohol)', 'beta-ethanolamine', 'Kolamin [Czech]', 'USAF EK-1597', 'Kolamin', 'Monoaethanolamin', 'Aethanolamin [German]', 'Caswell No. 426', 'Etanolamina [Italian]', '2-Aminoaethanol', '2-Amino ethanol', 'Monoaethanolamin [German]', '2-Aminoaethanol [German]', '2-Aminoetanolo [Italian]', 'Glycinol (monoethanolamine)', 'UN2491', 'CCRIS 6260', 'HSDB 531', 'Hydroxyethylamine', 'AI3-24219', 'EPA Pesticide Chemical Code 011601', 'UNII-5KV86114PT', 'ETHANOL AMINE', 'CHEBI:16000', 'EINECS 205-483-3', 'MFCD00008183', 'CHEMBL104943', 'Envision Conditioner PDD 9020', '5KV86114PT', 'ethanol-amine', 'Ethanolamine, 99%', 'UN 2491', 'Monoethanolamine (NF)', 'Monoethanolamine [NF]', 'NCGC00090789-02', 'Ethanolamine or ethanolamine solutions [UN2491] [Corrosive]', 'Ethanolamine, ACS reagent', '2-Aminoethanol (Ethanolamine)', '2-Aminoethanol Reagent ACS Grade', 'Etanolamina', 'Ethanolamine or ethanolamine solutions [UN2491]  [Corrosive]', 'Ethanolamine, 99%, AcroSeal(R)', '2-Aminoetanolo', 'MEA-LCI', 'ethanolamin', 'ethanolarnine', 'hydoxyethylamine', 'b-Aminoethanol', 'b-Ethanolamine', 'MEA 90', 'H-Glycinol', 'monoethanol amine', '2 -aminoethanol', 'b-Hydroxyethylamine', 'ethanol, 2-amino', '2-hydroxylethylamine', 'H-Gly-ol', 'Olamine [INN]', '.beta.-Aminoethanol', '.beta.-Ethanolamine', 'b-Aminoethyl alcohol', 'Ethanolamine solution', '2-hydroxy-ethylamine', '2-hydroxyethyl amine', '2-hydroxyethyl-amine', '2-amino-ethan-1-ol', '2-hydroxy- ethylamine', '2-hydroxy-1-ethylamine', 'ACMC-1ADOH', '.beta.-Hydroxyethylamine', 'Ethanolamine, &gt;=98%', 'Ethanolamine, &gt;=99%', 'NH2CH2CH2OH', '.beta.-Aminoethyl alcohol', 'DSSTox_CID_2000', 'Ethanolamine, AR, 99%', 'bmse000276', 'C2H7NO', 'Epitope ID:120354', 'NH2C2H4OH', 'EC 205-483-3', '2-aminoethanol,hydrochloride', 'DSSTox_RID_76452', 'DSSTox_GSID_22000', 'Ethanolamine: 2-aminoethanol', 'KSC174O2L', 'BIDD:ER0367', 'Ethanolamine, LR, &gt;=99%', 'BDBM7973', 'DTXSID6022000', 'CTK0H4725', 'Ethanolamine, analytical standard', 'Ethanol, 2-amino- (8CI,9CI)', 'KS-00000XF1', 'STR00417', 'ZINC8214617', 'Tox21_400020', 'ANW-20621', 'c0594', 'LS-829', 'STL199164', 'Ethanolamine or ethanolamine solutions', 'Ethanolamine, for synthesis, 99.0%', 'AKOS000245055', 'DB03994', 'MCULE-5175116598', 'NE10561', 'Ethanolamine, ACS reagent, &gt;=99.0%', 'Ethanolamine, ReagentPlus(R), &gt;=99%', 'Ethanolamine, USP, 98.0-100.5%', 'beta-Aminoethyl alcohol beta-Ethanolamine', 'NCGC00090789-01', 'NCGC00090789-03', 'BP-21017', 'BP-24368', 'BP-31055', 'BR-59260', 'CAS-141-43-5', 'SC-47107', 'Ethanolamine, SAJ first grade, &gt;=99.0%', 'A0297', 'Ethanolamine, JIS special grade, &gt;=99.0%', 'FT-0777922', 'EN300-19392', '3319-EP2277622A1', '3319-EP2281816A1', '3319-EP2281818A1', '3319-EP2295426A1', '3319-EP2295427A1', '3319-EP2305642A2', '3319-EP2308510A1', '3319-EP2308562A2', '3319-EP2308828A2', '3319-EP2311815A1', '3319-EP2371809A1', '3319-EP2371811A2', 'C00189', 'D05074', '27253-EP2281563A1', '27253-EP2281818A1', '27253-EP2286811A1', '27253-EP2292611A1', '27253-EP2298731A1', '27253-EP2298755A1', '27253-EP2298767A1', '27253-EP2305660A1', '27253-EP2305679A1', '27253-EP2308828A2', '27253-EP2311818A1', '27253-EP2314575A1', '27253-EP2314587A1', '27253-EP2371811A2', '66285-EP2272516A2', '66285-EP2289892A1', '66285-EP2292597A1', '66285-EP2295399A2', '66285-EP2298728A1', '66285-EP2308851A1', '91851-EP2281822A1', '91851-EP2305668A1', '91851-EP2377847A1', 'Q410387', 'Ethanolamine, purified by redistillation, &gt;=99.5%', 'J-508043', '587CE5AA-008A-469C-AB39-82CC4D0CA779', 'F2190-0367', 'Ethanolamine, puriss. p.a., ACS reagent, &gt;=99.0% (GC/NT)', 'Ethanolamine, liquid, BioReagent, suitable for cell culture, &gt;=98%', 'Trolamine impurity A, European Pharmacopoeia (EP) Reference Standard', 'Ethanolamine solution, for peptide synthesis, ~74% (T), ~70% in methanol', 'Monoethanolamine, United States Pharmacopeia (USP) Reference Standard', 'Monoethanolamine, Pharmaceutical Secondary Standard; Certified Reference Material', 'Ethanolamine, PharmaGrade, USP/NF, Manufactured under appropriate GMP controls for Pharma or biopharmaceutical production']</t>
  </si>
  <si>
    <t>Compound(700)</t>
  </si>
  <si>
    <t>C2H7NO</t>
  </si>
  <si>
    <t>monobutyl tin (cation)</t>
  </si>
  <si>
    <t>monooctyltin (cation)</t>
  </si>
  <si>
    <t>octyltin(3+)</t>
  </si>
  <si>
    <t>['94410-07-8', 'Monooctylzinn-Kation', 'Stannanetriylium, octyl-', 'Tin(3 ), octyl-, ion', 'ZINC195766643']</t>
  </si>
  <si>
    <t>Compound(185342)</t>
  </si>
  <si>
    <t>C8H17Sn+3</t>
  </si>
  <si>
    <t>monocarbamide dihydrogen sulfate</t>
  </si>
  <si>
    <t>sulfuric acid;urea</t>
  </si>
  <si>
    <t>['Urea sulfate', 'Urea sulphate', 'Urea, sulfate (1:1)', 'Enquik', 'Uronium hydrogen sulphate', 'N-Tac', 'Monocarbamide dihydrogen sulfate', 'Monourea sulfuric acid adduct', 'Monocarbamide dihydrogensulfate', 'UNII-087CN75V0L', '19082-42-9', '087CN75V0L', 'EINECS 244-343-6', 'EPA Pesticide Chemical Code 128961', 'Urea Sulfuric Acid', 'EINECS 242-803-0', 'EC 242-803-0', 'SCHEMBL379310', 'DTXSID4027816', 'CTK0I1682', 'AKOS024342559', 'MCULE-6244740108', 'ACM19082429', 'sulfuric acid compound with urea (1:1)', 'LS-160709', 'EC 244-343-6', 'Q27236384']</t>
  </si>
  <si>
    <t>Compound(159909)</t>
  </si>
  <si>
    <t>CH6N2O5S</t>
  </si>
  <si>
    <t>2-methyl-4-chlorophenoxyacetic acid</t>
  </si>
  <si>
    <t>2-(4-chloro-2-methylphenoxy)acetic acid</t>
  </si>
  <si>
    <t>['MCPA', '94-74-6', '2-METHYL-4-CHLOROPHENOXYACETIC ACID', 'Agroxone', '(4-Chloro-2-methylphenoxy)acetic acid', '2-(4-Chloro-2-methylphenoxy)acetic acid', 'Metaxon', 'Zelan', 'Bordermaster', 'Agroxon', 'Chiptox', 'Emcepan', 'Hornotuho', 'Krezone', 'Linormone', 'Mephanac', 'Netazol', 'Raphone', 'Rhomenc', 'Rhomene', 'Rhonox', 'Trasan', 'Anicon kombi', 'Herbicide M', 'Dicopur-M', 'Hedarex M', 'Hedonal M', 'Okultin M', 'Anicon M', 'Cornox-M', 'B-Selektonon M', 'Acetic acid, (4-chloro-2-methylphenoxy)-', '2,4-MCPA', 'Leuna M', 'Hormotuho', 'Leyspray', 'Kilsem', 'Shamrox', 'Ustinex', 'Vacate', 'Empal', 'Hedapur M 52', 'Legumex db', 'Phenoxylene plus', 'Seppic mmd', 'Vesakontuho mcpa', '4-Chloro-2-methylphenoxyacetic acid', 'Phenoxylene super', 'Phenoxylene 50', 'Razol dock killer', 'Weedone mcpa ester', '2-Methyl-4-chlorphenoxyessigsaeure', 'BH Mcpa', 'Chwastox 30', 'Brominal M &amp; plus', '2M-4Ch', '2M-4Kh', 'Acme MCPA Amine 4', 'Chwastox Extra', 'Weedar mcpa concentrate', 'Banvel M', '[(4-Chloro-o-tolyl)oxy]acetic acid', '(4-Chloro-o-toloxy)acetic acid', 'U 46 M-FLUID', '((4-Chloro-o-tolyl)oxy)acetic acid', 'Caswell No. 557C', 'Dikotes', 'MCPA [BSI:ISO]', 'Soviet technical herbicide 2M-4C', '4K-2M', 'Kilsem4k-2m', 'Methylchlorophenoxyacetic acid', '4-Chloro-o-toloxyacetic acid', 'Dikotex', '(2-Methyl-4-chlorophenoxy)acetic acid', '4-Chloro-o-cresoxyacetic acid', 'UNII-D888C394VO', 'CCRIS 1022', 'M 40', 'HSDB 1127', 'Aceticacid, 2-(4-chloro-2-methylphenoxy)-', 'NSC 2351', 'Kwas 4-chloro-2-metylofenoksyoctowy', 'EINECS 202-360-6', 'Kyselina 4-chlor-2-methylfenoxyoctova', 'EPA Pesticide Chemical Code 030501', 'BRN 2051752', 'Acetic acid, ((4-chloro-o-tolyl)oxy)-', '2-(4-chloro-2-methyl-phenoxy)acetic acid', 'MLS000054403', 'CHEMBL394657', '2-Methyl-4-chlorphenoxyessigsaeure [German]', 'MCPA [Chlorophenoxy herbicides]', 'Acetic acid, 2-(4-chloro-2-methylphenoxy)-', 'CHEBI:50099', 'Kwas 4-chloro-2-metylofenoksyoctowy [Polish]', '(4-Chloro-o-cresoxy)acetic acid', 'Kyselina 4-chlor-2-methylfenoxyoctova [Czech]', 'D888C394VO', 'Acetic acid, [(4-chloro-o-tolyl)oxy]-', 'SMR000066149', 'DSSTox_CID_4195', 'DSSTox_RID_77324', 'DSSTox_GSID_24195', 'CAS-94-74-6', 'MCPA ((4-Chloro-2-methylphenoxy)acetic Acid)', 'Hormoneste', 'Cekherbex', 'Mecaphar', 'Verdone', 'Selektonon M', 'Albar-M', 'Weedar MCPA', 'Atlas MCPA', 'Agritox 50', 'Agricorn 500 II', 'ACMC-209rtg', 'Opera_ID_1492', '2-Methyl-4-chlorophenoxyacetic acid (MCPA)', 'Dow MCP amine weed killer', 'WLN: QV1OR DG B1', 'KSC486O2L', 'MLS000881211', 'SCHEMBL117877', "Campbell's MCPA 25, 50", 'Methyl chlorophenoxy acetic acid', 'DTXSID4024195', 'CTK3I6725', 'NSC2351', '2M-4C', 'HMS2232I09', 'HMS3372K10', 'ZINC404797', 'ALBB-032879', 'KS-00000JS3', 'NSC-2351', 'MCPA 10 microg/mL in Acetonitrile', 'Tox21_202272', 'Tox21_300746', 'Acetic acid, (4-chloro-o-toloxy)-', 'ANW-40322', 'BBL002969', 'BDBM50213927', 'STK373011', 'MCPA 100 microg/mL in Acetonitrile', '((4-chloro-o-tolyl)oxy)acetic acid,', 'AKOS000119470', 'KS-5262', 'MCULE-3405120876', '(4-chloro-2-methylphenoxy)ethanoic acid', 'NCGC00036782-02', 'NCGC00036782-03', 'NCGC00036782-04', 'NCGC00036782-05', 'NCGC00254652-01', 'NCGC00259821-01', '(4-chloro-2-methyl-phenoxy)-acetic acid', 'BP-11952', 'LS-11463', 'MCPA, PESTANAL(R), analytical standard', 'P430', 'DB-057526', 'FT-0618033', 'MCPA (4-chloro-2-methylphenoxyacetic acid)', 'ST50072295', 'T8312', 'C18528', '33204-EP2305662A1', '33204-EP2311815A1', '33204-EP2371823A1', 'AB00425449-11', '181961-EP2269987A1', '181961-EP2272828A1', '181961-EP2274983A1', 'Q149413', 'W-100186', 'Z56824184', 'MCPA Standard 2000 microg/mL in Methyl tert-butyl ether', '4-Chloro-2-methylphenoxyacetic acid, technical, &gt;=95.0% (T)', 'MCPA solution, 100 ng/muL in acetonitrile, PESTANAL(R), analytical standard']</t>
  </si>
  <si>
    <t>Compound(7204)</t>
  </si>
  <si>
    <t>C9H9ClO3</t>
  </si>
  <si>
    <t>MCPA sodium salt</t>
  </si>
  <si>
    <t>sodium;2-(4-chloro-2-methylphenoxy)acetate</t>
  </si>
  <si>
    <t>['MCPA-sodium', 'MCPA sodium', 'MCPA sodium salt', '3653-48-3', 'Phenoxylene', 'Chwastoks', 'Chwastox', 'Dicotex', 'Dikoteks', 'Estermine', 'Metaxone', 'Methoxon', 'Methoxone sodium salt', 'MCP sodium salt', 'Agroxone 3', 'Sodium MCPA', 'Methoxone 30', 'Chwastox 80', 'Dicotex 80', 'Dikotex 30', 'Dikotex', 'Hedonal M80', 'Chwastox plynny 30', 'Hedonal M 80', '2M-4KH sodium salt', 'DIKOTEX P', 'Caswell No. 557K', 'UNII-4E2KB6UGRM', 'SYS 67ME', 'Sodium (4-chloro-2-methylphenoxy)acetate', 'U 46M', 'EINECS 222-895-9', '4E2KB6UGRM', 'EPA Pesticide Chemical Code 030502', 'Sodium 2-methyl-4-chlorophenoxyacetate', 'Sodium (2-methyl-4-chlorophenoxy)acetate', '4-Chloro-o-tolyloxyacetic acid, sodium salt', '(p-Chloro-o-tolyloxy)acetic acid sodium salt', '4-Chloro-2-methylphenoxyacetic acid sodium salt', '(2-Methyl-4-chlorophenoxy)acetic acid, sodium salt', 'Acetic acid, (4-chloro-2-methylphenoxy)-, sodium salt', '4-Chloro-2-methylphenoxyacetate sodium salt', '(4-Chloro-2-methylphenoxy) acetate sodium salt', 'Acetic acid, ((4-chloro-o-tolyl)oxy)-, sodium salt', 'Acetic acid, 2-(4-chloro-2-methylphenoxy)-, sodium salt (1:1)', 'MCPA-sodium [ISO]', '2-(4-chloro-2-methylphenoxy)acetic acid, sodium salt', 'C9H8ClNaO3', 'sodium 2-(4-chloro-2-methylphenoxy)acetate', 'DSSTox_CID_14700', 'DSSTox_RID_79194', 'DSSTox_GSID_34700', 'SCHEMBL5475058', 'CHEMBL2135017', 'DTXSID2034700', '2M-4X', 'Tox21_302386', 'SBB060925', 'AKOS003052577', 'AKOS022190758', 'MCULE-8822562838', 'NCGC00164000-01', 'NCGC00255502-01', 'LS-11472', 'S510', 'CAS-3653-48-3', 'sodium;2-(4-chloro-2-methylphenoxy)acetate', 'ST50411989', 'W-109924', 'Q27259471']</t>
  </si>
  <si>
    <t>Compound(2724048)</t>
  </si>
  <si>
    <t>C9H8ClNaO3</t>
  </si>
  <si>
    <t>2-methyl-4-chlorophenoxybutyric acid</t>
  </si>
  <si>
    <t>4-(4-chloro-2-methylphenoxy)butanoic acid</t>
  </si>
  <si>
    <t>['MCPB', '4-(4-Chloro-2-methylphenoxy)butanoic acid', '94-81-5', 'Trifolex', 'Legumex', 'Thitrol', 'Bexone', 'Trotox', 'MCP-butyric', '4MCPB', '2M 4KhM', 'U46 MCPB', 'Butanoic acid, 4-(4-chloro-2-methylphenoxy)-', '2-Methyl-4-chlorophenoxybutyric acid', '4-(4-Chloro-2-methylphenoxy)butyric acid', '2,4-MCPB', 'gamma-MCPB', 'Caswell No. 558', 'Tritrol', 'Bexane', 'MCPB [BSI:ISO]', '4-(2-Methyl-4-chlorophenoxy)butyric acid', 'NSC 102796', 'UNII-OA1Z4N1842', '.gamma.-MCPB', 'CCRIS 1463', 'HSDB 1737', 'Butyric acid, 4-[(4-chloro-o-tolyl)oxy]-', '(4-Chloro-o-tolyloxy)butyric acid', 'EINECS 202-365-3', '4-(4-Chloro-o-tolyloxy)butyric acid', 'EPA Pesticide Chemical Code 019201', 'BRN 2215202', '4-((4-Chloro-o-tolyl)oxy)butyric acid', '4-(2-Methyl-4-chlorphenoxy)-buttersaeure', '4-(4-Chlor-2-methylphenoxy)-buttersaeure', '2M-4XM', '2-Methyl-4-chlorophenoxy gamma-butyric acid', '4-(2-Methyl-4-chlorophenoxy) butyric acid', 'Kyselina 4-(4-chlor-2-methylfenoxy)maselna', 'PDQ', 'CHEBI:81806', 'gamma-(4-Chloro-2-methylphenoxy)butyric acid', 'OA1Z4N1842', '4-(2-Methyl-4-chlorphenoxy)-buttersaeure [German]', '4-(4-Chlor-2-methylphenoxy)-buttersaeure [German]', 'Kyselina 4-(4-chlor-2-methylfenoxy)maselna [Czech]', '[(4-Chloro-o-tolyl)oxy]butyric acid', '(2-Methyl-4-chlorophenoxy)butyric acid', '(4-Chloro-2-methylphenoxy)butyric acid', '4-(4-Chlor-2-methyl-phenoxy)-buttersaeure', 'Butyric acid, 4-((4-chloro-o-tolyl)oxy)-', 'DSSTox_CID_4193', 'Butanoic acid,4-(4-chloro-2-methylphenoxy)-', '.gamma.-(2-Methyl-4-chlorophenoxy)butyric acid', '.gamma.-(4-Chloro-2-methylphenoxy)butyric acid', 'DSSTox_RID_77322', 'DSSTox_GSID_24193', 'AJ-087/13102034', 'CAS-94-81-5', '4-[(4-Chloro-o-tolyl)oxy]butyric acid', 'MCPB (4-(4-Chloro-2-methylphenoxy)butanoic Acid)', 'Thistrol', 'Belmac straight', 'MCPB acid', 'Tropotox (Salt/Mix)', 'Can-Trol (Salt/Mix)', 'MCPB, analytical standard', 'Fisons 18-15, MCPB', 'WLN: QV3OR DG B1', '4-06-00-01996 (Beilstein Handbook Reference)', 'SCHEMBL117879', 'CHEMBL3187228', 'DTXSID4024193', 'CTK7J3910', 'KS-00003SMG', 'LLWADFLAOKUBDR-UHFFFAOYSA-', '4-(MCB)', 'ZINC1680053', 'MCPB 10 microg/mL in Acetonitrile', 'Tox21_201319', 'Tox21_303338', 'NSC102796', 'SBB071678', 'STK400097', 'MCPB 100 microg/mL in Acetonitrile', 'AKOS000119780', '4-(4-chloro-o-tolyloxy) butyric acid', '4-CHLORO-O-TOLYLOXYBUTYRIC ACID', 'MB 3046', 'MCULE-6682605397', 'NSC-102796', 'NCGC00160367-01', 'NCGC00160367-02', 'NCGC00257214-01', 'NCGC00258871-01', 'LS-47926', 'MCPB, PESTANAL(R), analytical standard', 'TS-00587', '4-(4-chloro-2-methyl-phenoxy)-butyric acid', 'EU-0069075', 'FT-0616607', 'NS00008169', 'ST45026797', '4-(4-chloranyl-2-methyl-phenoxy)butanoic acid', 'A23210', 'C18529', '(1Z,4Z)-cyclohexa-2,5-diene-1,4-dione dioxime', 'Q424951', 'SR-01000408139', '4-(4-CHLORO-2-METHYLPHENOXY)-BUTYRIC ACID', '4-(4-chloro-o-tolyloxy) butyric acid (2,4-mcpb)', 'SR-01000408139-1', 'Butanoic acid, 4-(4-chloro-2-methylphenoxy)- (9CI)', 'odium 4-(4-chloro-o-tolyloxy)butyrate;Potassium 4-(4-chloro-o-tolyloxy)butyrate;MCPB;4-(4-Chloro-2-methylphenoxy)butanoic acid;4-(4-chloro-o-tolyloxy) butyric acid (2,4-mcpb)']</t>
  </si>
  <si>
    <t>Compound(7207)</t>
  </si>
  <si>
    <t>C11H13ClO3</t>
  </si>
  <si>
    <t>monochlorohydrin</t>
  </si>
  <si>
    <t>3-chloropropane-1,2-diol</t>
  </si>
  <si>
    <t>['3-Chloro-1,2-propanediol', '3-Chloropropane-1,2-diol', '96-24-2', 'alpha-Chlorohydrin', 'Chlorodeoxyglycerol', 'Glycerol alpha-monochlorohydrin', '1,2-Propanediol, 3-chloro-', 'Epibloc', 'a-chlorohydrin', '3-Chloropropanediol', '3-Chloropropylene glycol', 'Glycerol chlorohydrin', 'Glyceryl chloride', '1-Chloro-2,3-dihydroxypropane', '1-Chloropropane-2,3-diol', 'alpha-Chlorohydrine', 'Monochlorohydrin', '1-Chloro-2,3-propanediol', 'Glycerin epichlorohydrin', 'Glycerol 3-chlorohydrin', '2,3-Dihydroxypropyl chloride', '1-Chloro-1-deoxyglycerol', 'Chlorhydrin', 'Monochlorhydrin', '3-MCPD', 'alpha-Monochlorohydrin', '3-CHLORO-1,2-DIHYDROXYPROPANE', '3-Monochloropropane-1,2-diol', '1,2-Dihydroxy-3-chloropropane', '3-Chloro-1,2-propylene glycol', 'Glyceryl alpha-chlorohydrin', 'Glyceryl-alpha-chlorohydrin', 'u 5897', 'Glycerin alpha-monochlorhydrin', 'Caswell No. 214A', '1,2-Propanediol, 3-dichloro-', '(RS)-3-chloro-1,2-propanediol', '(+-)-2,3-Dihydroxychloropropane', '3-Chloro-1,2-propandiol', 'a-Monochlorohydrin', "beta,beta'-Dihydroxyisopropyl chloride", 'U-5897', '3-Monochloro-1,2-propanediol', '.alpha.-Chlorohydrin', 'CCRIS 4607', 'Chloropropylene glycol', 'a-Glycerol chlorohydrin', 'HSDB 2052', 'Chloro-1,2-propanediol', 'EINECS 202-492-4', '(+/-)-3-Chloro-1,2-propanediol', 'UN2689', '(+/-)-alpha-chlorohydrin', 'EPA Pesticide Chemical Code 117101', 'BRN 0635684', 'Chloro-1,2-dihydroxypropane', 'AI3-11200', 'Glycerine alpha-monochlorohydrin', 'CHEBI:18721', '(S)-( )-3-Chloro-1,2-propanediol', 'DSSTox_CID_664', 'C3H7ClO2', 'DSSTox_RID_75718', '3-chloro-propane-1,2-diol', 'DSSTox_GSID_20664', '3-Chloro-1,2-propanediol, 99%', 'CAS-96-24-2', '3-MCDP', 'U5897', '2=Monochloropropane, 1,2-diol', 'AK-50745', 'AK-98823', 'MFCD00004712', 'PubChem21311', 'ACMC-209lvy', 'ACMC-209mmh', '.alpha.-Monochlorohydrine', '3-chloro1,2-propanediol', 'alpha-Glycerol chlorohydrin', 'Glycerol a-monochlorohydrin', 'EC 202-492-4', '3-chloro-1,2-propan-diol', 'Glycerol alpha -chlorohydrin', 'Glyceryl alpha -chlorohydrin', '3-Chloropropandiol-(1,2)', '3-chloro-1,2-propane diol', '3-chloro-1,2-propane-diol', 'SCHEMBL19213', '3-Dichloro-1,2-Propanediol', '4-01-00-02484 (Beilstein Handbook Reference)', 'Glycerol .alpha.-chlorohydrin', 'Glyceryl .alpha.-chlorohydrin', 'MLS000028887', 'Glycerin alpha -monochlorhydrin', 'Glycerol-alpha -monochlorohydrin', 'CHEMBL3185949', 'DTXSID4020664', 'Glycerin .alpha.-monochlorhydrin', 'CTK3J4624', 'Glycerol-.alpha.-monochlorohydrin', 'racemic 3-chloro-1,2-propanediol', '3-chloro-1,2-dihydroxy-n-propane', 'ACT05631', 'BCP31835', 'KS-000011OB', 'Tox21_202262', 'Tox21_302959', 'ANW-56378', 'BBL011374', 'SBB060480', 'STL146471', 'AKOS000121375', '(.+/-.)-2,3-Dihydroxychloropropane', 'LS-2004', 'MCULE-7895191088', 'UN 2689', 'NCGC00249201-01', 'NCGC00256557-01', 'NCGC00259811-01', 'K736', 'SMR000059152', 'VS-02932', '(+/-)-3-Chloro-1,2-propanediol, 98%', ".beta.,.beta.'-Dihydroxyisopropyl chloride", 'DB-028420', 'LS-120252', '3-Chloro-1,2-propanediol   Monochlorhydrin', 'FT-0605055', 'FT-0605261', 'NS00002140', 'ST51046658', '3-Chloropropane-1,2-diol;Chlorodeoxyglycerol', 'C18676', '131143-EP2284146A2', '131143-EP2284147A2', '131143-EP2295399A2', '157414-EP2275417A2', '157414-EP2284162A2', '157414-EP2284163A2', 'Q223066', '(+/-)-3-Chloro-1,2-propanediol, analytical standard', '(+/-)-3-Chloro-1,2-propanediol, purum, &gt;=98.0% (GC)', 'Glycerol alpha-monochlorohydrin [UN2689]  [Keep away from food]', 'Glycerol alpha-monochlorohydrin [UN2689] [Keep away from food]', '3-Chloro-1,2-propanediol;3-chloropropane-1,2-diol;U 5897;1,2-Propanediol, 3-chloro-;alpha-chlorohydrin']</t>
  </si>
  <si>
    <t>Compound(7290)</t>
  </si>
  <si>
    <t>C3H7ClO2</t>
  </si>
  <si>
    <t>monoethylhexyl phthalate (MEHP)</t>
  </si>
  <si>
    <t>2-(2-ethylhexoxycarbonyl)benzoic acid</t>
  </si>
  <si>
    <t>['4376-20-9', '2-(((2-Ethylhexyl)oxy)carbonyl)benzoic acid', 'Mehp', 'Mono(2-ethylhexyl) phthalate', 'Mono(2-ethylhexyl)phthalate', 'PHTHALIC ACID MONO-2-ETHYLHEXYL ESTER', '2-Ethylhexyl hydrogen phthalate', 'Monoethylhexyl phthalate', 'MONO-2-ETHYLHEXYL PHTHALATE', 'Mono-(2-ethylhexyl)phthalate', '(2-Ethylhexyl) hydrogen phthalate', '1,2-Benzenedicarboxylic acid, mono(2-ethylhexyl) ester', 'mono(ethylhexyl) phthalate', 'BAR 1', 'Phthalate, mono(2-ethylhexyl)', 'CCRIS 1742', 'EINECS 224-477-1', '2-(2-ethylhexoxycarbonyl)benzoic acid', 'Monoethylhexyl phthalic acid', 'Phthalic acid, mono-(2-ethylhexyl) ester', '2-{[(2-ethylhexyl)oxy]carbonyl}benzoic acid', 'CHEBI:17243', 'Phthalic acid mono-2-ethylhexylester', 'Phthalic acid, mono-2-ethylhexyl ester', 'NCGC00090773-04', 'AK-81908', 'Phthalic acid, 2-ethylhexyl ester (6CI,7CI)', '2-([(2-Ethylhexyl)oxy]carbonyl)benzoic acid', 'mono-ethylhexyl', 'Mono-(2-ethylhexyl) phthalate', 'PHTHALIC ACID MONOOCTYL ESTER', 'Mono 2 ethyl hexylphthalate (MEHP)', 'monoethylhexylphthalate', 'mono-ethylhexylphthalate', 'DSSTox_CID_5680', 'DSSTox_RID_77879', 'DSSTox_GSID_25680', 'phthalicacidmonoethylhexylester', 'phthalicacid,2-ethylhexylester', 'SCHEMBL472689', 'Diethylhexyl phthalate (DEHP)', 'mono-(2-ethyl)hexyl phthalate', 'PHTHALICACIDMONOETHYLHEXYL', 'CHEMBL1867438', 'DTXSID2025680', 'Monoethylhexyl phthalate (mEHP)', 'CTK4I7715', 'phthalic acid, 2-ethylhexyl ester', 'Mono-(2-ethylhexyl) phthalate-d4', 'ACT03365', 'Tox21_400076', 'ANW-46711', 'mono(2-ethylhexyl) phthalate (mehp)', 'AKOS015902975', 'CS-W019178', 'HY-W018392', 'LS-1260', 'OR19495', '2-(2-ethylhexyloxycarbonyl)benzoic acid', 'PHTHALICACIDMONO-2-ETHYLEXYLESTER', 'NCGC00090773-01', 'NCGC00090773-02', 'NCGC00090773-03', 'NCGC00090773-05', 'NCGC00090773-06', 'CC-33766', 'DS-16446', 'CAS-4376-20-9', 'AX8016476', 'DB-007821', 'FT-0600523', 'Phthalic acid mono-2-ethylhexyl ester, 97%', 'W6291', 'KS-00000260', 'C03343', 'Phthalic acid hydrogen 1-(2-ethylhexyl) ester', '2-([(2-Ethylhexyl)oxy]carbonyl)benzoic acid #', 'C-17516', 'Phthalic acid 1-hydrogen 2-(2-ethylhexyl) ester', 'phthalic acid mono-2-ethylhexyl ester, AldrichCPR', '1,2-benzenedicarboxylicacid,mono(2-ethylhexyl)ester', '1,2-Benzenedicarboxylicacid, 1-(2-ethylhexyl) ester', 'BRD-A18246003-001-01-1', 'Q26841225', '1,2-Benzenedicarboxylic acid, mono(2-ethylhexyl) ester (9CI)']</t>
  </si>
  <si>
    <t>Compound(20393)</t>
  </si>
  <si>
    <t>Abundance of growth forms of macrophytes</t>
  </si>
  <si>
    <t>Macrophytes- types of rush</t>
  </si>
  <si>
    <t>Species composition of macrophytes</t>
  </si>
  <si>
    <t>Macrophytes- scoring species</t>
  </si>
  <si>
    <t>monophenyltin (cation)</t>
  </si>
  <si>
    <t>M number</t>
  </si>
  <si>
    <t>methyl 3-hydroxyphenyl carbamate</t>
  </si>
  <si>
    <t>methyl N-(3-hydroxyphenyl)carbamate</t>
  </si>
  <si>
    <t>['13683-89-1', 'methyl N-(3-hydroxyphenyl)carbamate', 'MHPC', 'Methyl (3-hydroxyphenyl)carbamate', 'Methyl (3-hydroxyphenyl)-carbamate', 'methyl 3-hydroxyphenylcarbamate', 'Methyl 3-hydroxycarbanilate', 'Methyl (m-hydroxyphenyl)carbamate', '3-((Methoxycarbonyl)amino)phenol', 'EINECS 237-196-4', 'Methyl N-(3-hydroxyphenyl)-carbamate', 'BRN 2414735', 'Carbamic acid, (3-hydroxyphenyl)-, methyl ester (9CI)', 'Carbamic acid,N-(3-hydroxyphenyl)-,methyl ester', 'CARBANILIC ACID, m-HYDROXY-, METHYL ESTER', 'methyl m-hydroxycarbanilate', 'EC 237-196-4', 'Carbamic acid, (3-hydroxyphenyl)-, methyl ester', 'SCHEMBL8017782', 'CTK4C0503', 'DTXSID60159967', 'ZINC2019518', 'methyl-(N-3-hydroxyphenyl)-carbamate', 'AKOS009221621', 'MCULE-8648847328', 'NE18298', 'Phenmedipha m MHPC (AE B038210)', 'LS-51315', '(3-Hydroxyphenyl)carbamic acid methyl ester', 'FT-0693494', 'NS00003544', 'EN300-43020', 'Carbamic acid, N-(3-hydroxyphenyl)-, methyl ester', 'J-006922', 'Z444349994', 'Methyl N-(3-hydroxyphenyl)carbamate 10 microg/mL in Cyclohexane']</t>
  </si>
  <si>
    <t>Compound(26181)</t>
  </si>
  <si>
    <t>C8H9NO3</t>
  </si>
  <si>
    <t>Microscopic examination of activated sludge performed</t>
  </si>
  <si>
    <t>Microphytes</t>
  </si>
  <si>
    <t>Molar concentration</t>
  </si>
  <si>
    <t>Molar fraction</t>
  </si>
  <si>
    <t>Sampling depth</t>
  </si>
  <si>
    <t>Sampling length</t>
  </si>
  <si>
    <t>Sampling performed bacteriological analyzes</t>
  </si>
  <si>
    <t>Sampling physico-chemical analyzes performed</t>
  </si>
  <si>
    <t>Sampling hydrobiological analyzes performed</t>
  </si>
  <si>
    <t>Sample weighting factor</t>
  </si>
  <si>
    <t>Moss layer</t>
  </si>
  <si>
    <t>Wall plants</t>
  </si>
  <si>
    <t>monocrotophos</t>
  </si>
  <si>
    <t>dimethyl [(E)-4-(methylamino)-4-oxobut-2-en-2-yl] phosphate</t>
  </si>
  <si>
    <t>['MONOCROTOPHOS', 'Azodrin', 'Nuvacron', 'Corophos', 'Monocron', 'Monostar', 'Parryfos', 'Apadrin', '6923-22-4', 'Pillardrin', 'Biloborn', 'Bilobran', 'Crisodrin', 'Hazodrin', 'Monocil', 'Monodrin', 'Plantdrin', 'Susvin', 'Ulvair', 'Monocil 40', 'Croton 36', 'Azodrin 202R', 'Azodrin insecticide', 'Nuvacron 20', 'Aimocron', 'Azodrin-71', 'Glore phos 36', 'Crotos', 'Pandar', 'Rapid X', 'Shell sd 9129', '(E)-monocrotophos', 'N-Desmethyl bidrin', 'Monocrotophos 40 EC', 'Monokrotofosz (Hungarian)', 'Monocrotophos [BSI:ISO]', 'Ciba 1414', 'Caswell No. 377', 'Monokrotofosz', 'Crisodin', 'SD 9129', 'E-Monocrotophos', 'OMS 834', 'Dimethyl (E)-3-hydroxy-N-methylcrotonamide', 'Nuvacron-20', 'C 1414', 'ENT 27,129', 'UNII-5Q3PE07Z18', 'CCRIS 1164', '3-(Dimethoxyphosphinyloxy)N-methyl-cis-crotonamide', 'HSDB 1591', 'Dimethyl phosphate of 3-hydroxy-N-methyl-cis-crotonamide', 'Dimethyl (E)-1-methyl-2-(methylcarbamoyl)vinyl phosphate', 'Dimethyl 1-methyl-2-(methylcarbamoyl)vinyl phosphate, cis', 'Phosphoric acid, dimethyl 1-methyl-3-(methylamino)-3-oxo-1-propenyl ester, (E)-', 'Des-N-Methyl dicrotophos', 'EINECS 230-042-7', '3-Dimethoxyphosphinoyloxy-N-methylisocrotonamide', 'cis-1-Methyl-2-methyl carbamoyl vinyl phosphate', 'EPA Pesticide Chemical Code 058901', 'BRN 2331934', 'Phosphoric acid, dimethyl ester, ester with 3-hydroxy-N-methylcrotonamide, (E)-', 'AI3-27129', 'O,O-Dimethyl cis-1-methyl-2-methylcarbamoylvinylphosphate', 'O,O-Dimetil-O-(2-N-metilcarbamoil-1-metil-vinil)-fosfato', '3-Hydroxy-N-methyl-cis-crotonamide dimethyl phosphate ester', 'CHEBI:38728', 'Dimethyl phosphate ester of 3-hydroxy-N-methyl-cis-crotonamide', 'O,O-Dimethyl-O-(2-N-methylcarbamoyl-1-methyl-vinyl) phosphate', 'O,O-Dimethyl-O-(2-N-methylcarbamoyl-1-methyl-vinyl)-fosfaat', 'Dimethyl phosphate ester with (E)-3-hydroxy-N-methylcrotonamide', '(E)-Dimethyl 1-methyl-3-(methylamino)-3-oxo-1-propenyl phosphate', '5Q3PE07Z18', 'Phosphoric acid, dimethyl ester, ester with (E)-3-hydroxy-N-methylcrotonamide', 'Phosphoric acid, dimethyl ester, ester with cis-3-hydroxy-N-methylcrotonamide', '3-Hydroxy-N-methyl-cis-crotonamide dimethyl phosphate', 'Monokrotofos', 'Crotonamide, 3-hydroxy-N-methyl-, dimethylphosphate, (E)-', 'dimethyl [(E)-4-(methylamino)-4-oxobut-2-en-2-yl] phosphate', 'O,O-Dimethyl-O-(1-methyl-2-N-methyl-carbamoyl)-vinyl-phosphat', 'O,O-Dimethyl-O-(2-N-methylcarbamoyl-1-methyl)-vinyl-phosphat', 'Sufos', 'O,O-Dimethyl-O-(1-methyl-2-N-methyl-carbamoyl)-vinyl-phosphat [German]', 'O,O-Dimethyl-O-(2-N-methylcarbamoyl-1-methyl)-vinyl-phosphat [German]', 'O,O-Dimethyl-O-(2-N-methylcarbamoyl-1-methyl-vinyl)-fosfaat [Dutch]', 'O,O-Dimetil-O-(2-N-metilcarbamoil-1-metil-vinil)-fosfato [Italian]', 'Phosphate de dimethyle et de 2-methylcarbamoyl 1-methylvinyle [French]', 'Phosphoric acid, dimethyl (1E)-1-methyl-3-(methylamino)-3-oxo-1-propenyl ester', 'Kadett 36', '(2E)-3-[(dimethoxyphosphoryl)oxy]-N-methylbut-2-enamide', 'Monochrotophos', 'Monocrotophos, analytical standard', 'Dominator', 'Macabre', 'Megatron', 'Phoskill', 'Plandrin', 'Devi', 'dimethyl (1E)-1-methyl-3-(methylamino)-3-oxoprop-1-en-1-yl phosphate', 'Azadrin', 'C7H14NO5P', '2157-98-4', 'SD-9,129', 'Monocrotophos (Azodrin)', 'DSSTox_CID_14816', 'DSSTox_RID_79205', 'DSSTox_GSID_34816', 'SCHEMBL27294', 'SCHEMBL4918485', 'CHEMBL2272785', 'DTXSID9034816', 'KRTSDMXIXPKRQR-AATRIKPKSA-', 'Phosphate de dimethyle et de 2-methylcarbamoyl 1-methylvinyle', 'Tox21_300806', 'ZINC13827879', 'AKOS015902924', 'ACM2157984', 'LS-1590', 'Monocrotophos 100 microg/mL in Methanol', 'NCGC00163869-01', 'NCGC00163869-02', 'NCGC00163869-03', 'NCGC00254710-01', 'CC-30993', 'CAS-6923-22-4', 'Monocrotophos 1000 microg/mL in Methanol', 'Monocrotophos 10 microg/mL in Acetonitrile', 'Monocrotophos 100 microg/mL in Acetonitrile', 'NS00000065', 'C18663', 'Monocrotophos 1000 microg/mL in Ethyl acetate', '26876-EP2274983A1', '26876-EP2275422A1', '26876-EP2280009A1', '26876-EP2292608A1', '26876-EP2308857A1', '26876-EP2308858A1', '26876-EP2311816A1', '26876-EP2311817A1', '26876-EP2314583A1', 'Monocrotophos, PESTANAL(R), analytical standard', 'Q412441', '3-Hydroxy-N-methyl-dimethylphosphate(E)-Crotonamide', '3-Hydroxy-N-methyl-dimethylphosphatecis-Crotonamide', 'Crotonamide, 3-hydroxy-N-methyl-, dimethylphosphate, cis-', 'dimethyl (E)-1-methyl-2-(methylcarbamoyl)ethenyl phosphate', '(E)-dimethyl 4-(methylamino)-4-oxobut-2-en-2-yl phosphate', 'Dimethyl (2E)-4-(methylamino)-4-oxobut-2-en-2-yl phosphate', 'dimethyl [(E)-4-methylamino-4-oxobut-2-en-2-yl] phosphate', 'Phosphate de dimethyle et de 2-methylcarbamoyl 1-methyl vinyle', 'Dimethyl (1E)-1-methyl-3-(methylamino)-3-oxo-1-propenyl phosphate #', 'Monocrotophos solution, 10 mug/mL in acetonitrile, PESTANAL(R), analytical standard', 'Phosphoric acid, dimethyl (E)-1-methyl-3-(methylamino)-3-oxo-1-propenyl ester', 'phosphoric acid, dimethyl 1-methyl-3-(methylamino)-3-oxo-1-propenylester, (E)-', 'PHOSPHORIC ACID,DIMETHYL (1Z)-1-METHYL-3-(METHYLAMINO)-3-OXO-1-PROPEN-1-YL ESTER', 'dimethyl 1-methyl-3-(methylamino)-3-oxoprop-1-enyl phosphate;(E)-Monocrotophos;Monocrotophos;monocrotophos']</t>
  </si>
  <si>
    <t>Compound(5371562)</t>
  </si>
  <si>
    <t>C7H14NO5P</t>
  </si>
  <si>
    <t>perfluorobutanesulfonylamide (N-methyl) acetate</t>
  </si>
  <si>
    <t>2-[methyl(1,1,2,2,3,3,4,4,4-nonafluorobutylsulfonyl)amino]acetic acid</t>
  </si>
  <si>
    <t>['MeFBSAA', 'SCHEMBL769587', 'N-methyl perfluorobutane sulfonamido acetic acid, n=4']</t>
  </si>
  <si>
    <t>Compound(22286935)</t>
  </si>
  <si>
    <t>C7H6F9NO4S</t>
  </si>
  <si>
    <t>N-methyl perfluorooctane sulfonamide</t>
  </si>
  <si>
    <t>1,1,2,2,3,3,4,4,5,5,6,6,7,7,8,8,8-heptadecafluoro-N-methyloctane-1-sulfonamide</t>
  </si>
  <si>
    <t>['31506-32-8', 'Heptadecafluoro-N-methyloctanesulphonamide', 'n-methylperfluorooctanesulfonamide', '1-Octanesulfonamide, 1,1,2,2,3,3,4,4,5,5,6,6,7,7,8,8,8-heptadecafluoro-N-methyl-', 'N-Methyl-perfluorooctane-1-sulphonamide', '1,1,2,2,3,3,4,4,5,5,6,6,7,7,8,8,8-heptadecafluoro-N-methyloctane-1-sulfonamide', 'Fluorad FX 12', 'N-Me-FOSA', 'EINECS 250-665-8', 'Heptadecafluoro-N-methyl-1-octanesulfonamide', 'AI 3-29758', 'SCHEMBL3145913', 'DTXSID1067629', 'CTK8I1567', 'N-methyl-perfluorooctanesulfonamide', 'N-methylperfluorooctane sulfonamide', 'ZINC103630542', 'Methyl(heptadecafluorooctylsulfonyl)amine', 'NS00010968', 'N-methylperfluorooctanesulfonamide (N-MeFOSA)', 'heptadecafluoro-N-methyloctanesulphonamide;1-Octanesulfonamide, 1,1,2,2,3,3,4,4,5,5,6,6,7,7,8,8,8-heptadecafluoro-N-methyl-;1,1,2,2,3,3,4,4,5,5,6,6,7,7,8,8,8-heptadecafluoro-N-methyloctane-1-sulfonamide']</t>
  </si>
  <si>
    <t>Compound(3034468)</t>
  </si>
  <si>
    <t>C9H4F17NO2S</t>
  </si>
  <si>
    <t>magnesium chloride</t>
  </si>
  <si>
    <t>magnesium;dichloride</t>
  </si>
  <si>
    <t>['MAGNESIUM CHLORIDE', '7786-30-3', 'Magnesium chloride anhydrous', 'MAGNESIUM CHLORIDE, ANHYDROUS', 'MgCl2', 'MFCD00011106', 'CHEBI:6636', 'Magnesium chloride, pure', 'Cl2Mg', 'Chloromagnesite', 'Magnesiumchlorid', 'Magnesium chloride, 99.9%, (trace metal basis), pure, anhydrous', 'magnesium(II)chloride', 'magnesium(II) chloride', 'magnesium (II) chloride', '[MgCl2]', 'ACMC-1BE2K', 'Anhydrous magnesium chloride', 'Magnesium chloride,anhydrous', 'CHEMBL2219642', 'DTXSID5034690', 'CTK0H4732', 'KS-00000GIG', 'ANW-56406', 'AKOS015833135', 'DB09407', 'Magnesium Chloride, Powder, &lt; 200um', 'AK550052', 'K371', 'SC-18226', 'FT-0628077', 'FT-0628078', 'FT-0697724', 'C07755', 'Q265414', 'SR-01000944482', 'SR-01000944482-1', 'Magnesium chloride solution 1M in water (+/- 0.05M)', 'Magnesium chloride, dry, 99.99% (metals basis)   -10 Mesh beads', '17638-61-8', '56491-84-0']</t>
  </si>
  <si>
    <t>Compound(5360315)</t>
  </si>
  <si>
    <t>Cl2Mg</t>
  </si>
  <si>
    <t>magnesium oxide</t>
  </si>
  <si>
    <t>oxomagnesium</t>
  </si>
  <si>
    <t>['Magnesia', 'oxomagnesium', 'Periclase', 'Seawater magnesia', 'Magnesium oxide (MgO)', 'Causmag', 'Granmag', 'Maglite', 'Seasorb', 'Animag', 'Magcal', 'Marmag', 'Oxymag', 'Heavy magnesia', 'Light magnesia', 'BayMag', 'Maglite de', 'Calcined brucite', 'Magnesa preprata', 'Akro-mag', 'Liquimag A', 'Liquimag B', 'Calcined magnesia', 'Caustic magnesite', 'Maglite D', 'Maglite K', 'Maglite S', 'Maglite Y', 'Magnesia monoxide', 'Anscor P', 'Magnesia USTA', 'Hamag LP', 'Magox OP', 'FloMag HP', 'Fert-O-Mag', 'Kyowamag 20', 'Kyowamag 30', 'Kyowamag 40', 'Kyowamag 60', 'Elastomag 100', 'Elastomag 170', 'FloMag HP-ER', 'Kyowamag 100', 'Kyowamag 150', 'Kyowamag 150B', 'Kyowaway 150', 'Magnesium oxide fume', 'Kyowaad 100', 'Luvatol MK 35', 'Magchem 100', 'Heavy magnesium oxide', 'Magox 85', 'Magox 90', 'Magox 95', 'Magox 98', 'Mag Chem 10', 'Mag Chem 35', 'Heavy calcined magnesia', 'Mag Chem 200AD', 'KM 3 (oxide)', 'KMACH-F', 'Mag Chem 200D', 'FMR-PC', 'HP 10 (oxide)', '100A (oxide)', 'Magnezu tlenek [Polish]', 'Mag Chem 10-40', 'AM 2 (cement additive)', 'Mag Chem 10-200', 'Mag Chem 10-325', 'CCRIS 3659', 'Magnesium oxide, fume', 'HSDB 1652', 'SLO 369', 'SLO 469', 'KM 40', 'EINECS 215-171-9', 'MFCD00011109', 'KMB 100-200', 'Magnesia grooves', '1317-74-4', 'Magnesium oxide, 98%, pure', 'Magnesium oxide, p.a., 95.0%', 'Magmilax bolus', 'Magnezu tlenek', 'Magnesium oxide, 95+%, ACS reagent', 'Magnesium oxide, 97+%, for analysis', 'Uro-Mag', 'Periclase (MgO)', 'Magnesium oxide [JAN]', 'Magnesium oxide [USP:JAN]', 'Magnesium oxide, 99.99%, (trace metal basis), extra pure', 'Magnesium oxide, 98%, extra pure, powder, particle size: 99% &lt;150 microm (-100 mesh)', 'Magmitt (TN)', 'Magnesium oxide, CP', 'Magnesium oxide, heavy', 'Magnesium oxide, 97%', 'Magnesium Oxide DC USP', 'Magnesium oxide ACS Reagent', 'Magnesium Oxide DC Granular', 'Magnesium Oxide Light, USP', 'Magnesium oxide (JP17/USP)', 'Magnesium oxide, light, 95%', 'Active Magnesium Oxide RA 40', 'INS NO.530', 'CHEMBL1200572', 'Active Magnesium Oxide RA 110', 'Active Magnesium Oxide RA 150', 'CTK5E9608', 'INS-530', 'Magnesium Oxide-Technical Grade KP', 'Light Active Magnesium Oxide RA 70', 'Magnesium oxide, ACS reagent, 97%', 'LS-2401', 'Pharmaceutical Grade Magnesium Oxide HA4', 'E530', 'Magnesium oxide, -10-+50 mesh, 98%', 'Magnesium oxide, Vetec(TM) reagent grade', 'E-530', 'FT-0628095', 'Magnesium Oxide Special Industrial Grade SIG', 'Magnesium oxide, 99.99% trace metals basis', 'Active Pharmaceutical Magnesium Oxide PHRA50', 'Magnesium Oxide Reactive Technical Grade KPLL', 'Magnesium oxide, SAJ first grade, &gt;=96.0%', 'Magnesium oxide, SAJ first grade, &gt;=98.0%', 'D01167', 'Magnesium oxide, &gt;=99.99% trace metals basis', 'Magnesium oxide, SAJ special grade, &gt;=99.0%', 'Pharmaceutical Magnesium Oxide Grade HA and HA5', 'Magnesium oxide, fused, 150-325 mesh, &gt;=95%', 'Q214769', 'Magnesium oxide, tested according to Ph.Eur., heavy', 'Magnesium oxide, &gt;=99% trace metals basis, -325 mesh', 'Magnesium oxide, nanopowder, &lt;50 nm particle size (BET)', 'Magnesium oxide, BioUltra, &gt;=97.0% (calcined substance, KT)', 'Magnesia sticks, for pearl-tests, package of 100 magnesia sticks', 'Magnesia sticks, for pearl-tests, package of 25 magnesia sticks', 'Magnesium oxide, fused, chips, -4 mesh, 99.9% trace metals basis', 'Magnesium oxide, puriss. p.a., &gt;=98.0% (based on calcined substance, KT)', 'Magnesium oxide, purum, &gt;=97.0% (based on calcined substance, KT), light', 'Magnesia Rectangular Plate,Length (mm), 105,Width (mm), 50,Thickness (mm), 10', 'Magnesia Rectangular Plate,Length (mm), 115,Width (mm), 115,thickness (mm), 15', 'Magnesia Rectangular Plate,Length (mm), 145,Width (mm), 70,Thickness (mm), 15', 'Magnesium oxide Crucible, Cylindrical, Flat Base, HtxOD (mm), 37x20, Vol (ml), 5', 'Magnesium oxide Crucible, Cylindrical, Flat Base, HtxOD (mm), 43x24, Vol (ml), 10', 'Magnesium Oxide Crucible, Cylindrical, Flat Base,OD (mm), 38,Height (mm), 38', 'Magnesium Oxide Crucible, Cylindrical, Flat Base,OD (mm), 51,Height (mm), 51', 'Magnesium Oxide Crucible, Cylindrical, Flat Base,OD (mm), 76,Height (mm), 76', 'Magnesium Oxide Rectangular Tray,Length (mm), 100,Width (mm), 100,Height (mm), 25.4', 'Magnesium Oxide Rectangular Tray,Length (mm), 100,Width (mm), 50,Height (mm), 12.7', 'Magnesium Oxide Rectangular Tray,Length (mm), 150,Width (mm), 100,Height (mm), 25.4', 'Magnesium Oxide Rectangular Tray,Length (mm), 150,Width (mm), 75,Height (mm), 25.4', 'Magnesium Oxide Rectangular Tray,Length (mm), 50,Width (mm), 50,Height (mm), 12.7', 'Magnesium Oxide Rectangular Tray,Length (mm), 75,Width (mm), 75,Height (mm), 25.4', 'Magnesium oxide sputtering target, 50.8mm (2.0in) dia x 3.18mm (0.125in) thick', 'Magnesium oxide sputtering target, 50.8mm (2.0in) dia x 6.35mm (0.250in) thick', 'Magnesium oxide sputtering target, 76.2mm (3.0in) dia x 3.18mm (0.125in) thick', 'Magnesium oxide sputtering target, 76.2mm (3.0in) dia x 6.35mm (0.250in) thick', 'Magnesium oxide substrate, 10x10x0.5mm, polished two sides, 100 orientation', 'Magnesium oxide, puriss. p.a., ACS reagent, &gt;=97% (calcined substance, KT)', '82375-77-7', 'Magnesium oxide, (single crystal substrate), &amp;#60;111&amp;#62;, &gt;=99.9% trace metals basis, L x W x thickness 10 mm x 10 mm x 0.5 mm', 'Magnesium oxide, (single crystal substrate), &gt;=99.9% trace metals basis, &amp;#60;100&amp;#62;, L x W x thickness 10 mm x 10 mm x 0.5 mm', 'Magnesium oxide, puriss., meets analytical specification of Ph. Eur., BP, USP, FCC, E 530, light, 98.0-100.5% (calc. for dried substance)']</t>
  </si>
  <si>
    <t>Compound(14792)</t>
  </si>
  <si>
    <t>magnesium hydroxide</t>
  </si>
  <si>
    <t>magnesium;dihydroxide</t>
  </si>
  <si>
    <t>['MAGNESIUM HYDROXIDE', '1309-42-8', 'Milk of magnesia', 'Magnesiumhydroxide', 'CHEBI:6637', 'Magnesium hydroxide suspension', 'Magnesium Hydroxide (GILUMAG)', 'Magnesium hydroxide, 95%, pure', 'Magnesiumhydroxid', 'Magnesium-hydroxide', 'ACMC-1BQGA', 'magnesium(2+) hydroxide', 'Magnesium Hydroxide powder', 'Mg(OH)2', 'KSC175A6B', 'CHEMBL1200718', 'DTXSID4049662', 'CTK0H5060', 'MAGNESIUM HYDROXIDE 100G', 'KS-00000UN8', 'Magnesium Hydroxide GILUMAG D211', 'Magnesium Hydroxide GILUMAG D212', 'Magnesium Hydroxide GILUMAG D213', 'Magnesium Hydroxide GILUMAG D214', 'Magnesium Hydroxide GILUMAG D611', 'Magnesium Hydroxide GILUMAG D661', 'Magnesium Hydroxide GILUMAG D671', 'AKOS015904092', 'DB09104', 'E528', 'LS-96054', 'FT-0628085', 'FT-0693469', 'C07876', 'Pharmaceutical Grade Magnesium Hydroxide HD ~ USP', 'Q407548', 'J-005906', 'PHENOL,2-[4,6-BIS(2,4-DIMETHYLPHENYL)-1,3,5-TRIAZIN-2-YL]-5-(2-BUTEN-1-YLOXY)-']</t>
  </si>
  <si>
    <t>Compound(73981)</t>
  </si>
  <si>
    <t>H2MgO2</t>
  </si>
  <si>
    <t>magnesium phosphide</t>
  </si>
  <si>
    <t>trimagnesium;phosphorus(3-)</t>
  </si>
  <si>
    <t>['Magnesium phosphide', 'Fumi-Cel', 'Magnesium phosphide (Mg3P2)', 'Caswell No. 532B', 'Trimagnesium diphosphide', 'Magnesiumfosfide [Dutch]', 'Fosfuri di magnesio [Italian]', 'Phosphure de magnesium [French]', 'UNII-Q846538H9E', 'EINECS 235-023-7', 'UN2011', '12057-74-8', 'EPA Pesticide Chemical Code 066504', 'Q846538H9E', 'Magnesiumfosfide', 'Fosfuri di magnesio', 'Phosphure de magnesium', 'HSDB 7779', 'DTXSID0034691', 'LS-88601', 'Q412216', 'Magnesium phosphide [UN2011] [Dangerous when wet]', 'Magnesium phosphide [UN2011]  [Dangerous when wet]']</t>
  </si>
  <si>
    <t>Compound(61546)</t>
  </si>
  <si>
    <t>Mg3P2</t>
  </si>
  <si>
    <t>3-(4-chlorophenyl)-1-methoxy-1-methylurea</t>
  </si>
  <si>
    <t>['MONOLINURON', '1746-81-2', '3-(4-Chlorophenyl)-1-methoxy-1-methylurea', 'Monorotox', 'Arezin', 'Premalin', 'Aresin', 'Arezine', "Urea, N'-(4-chlorophenyl)-N-methoxy-N-methyl-", 'Caswell No. 207D', 'Monolinuron [BSI:ISO]', 'UNII-6KJJ4XAD6M', 'HOE 2747', "N'-(4-Chlorophenyl)-N-methoxy-N-methylurea", 'Urea, 3-(p-chlorophenyl)-1-methoxy-1-methyl-', 'HSDB 5030', '3-(p-Chlorophenyl)-1-methoxy-1-methylurea', "N-(4-Chlorophenyl)-N'-methoxy-N-methylurea", 'EINECS 217-129-5', 'HOE 02747', '6KJJ4XAD6M', 'EPA Pesticide Chemical Code 207500', 'BRN 2212523', 'CHEBI:81965', '3-(4-Chlorphenyl)-1-methoxy-1-methylharnstoff', '3-(4-Chlorphenyl)-1-methoxy-1-methylharnstoff [German]', 'Arresin', 'Afesin', 'Monolinuron (Phenylurea)', '3-(p-chlorophenyl)-1-methoxy-1-methyl urea', 'DSSTox_CID_17576', 'DSSTox_RID_79340', 'DSSTox_GSID_37576', 'SCHEMBL65568', 'MLS000058831', 'CHEMBL1320234', 'DTXSID0037576', 'CTK8E4248', 'HMS2402C08', 'ZINC213098', 'BCP05312', 'KS-00000GO6', 'Tox21_301360', 'AKOS001686898', 'MCULE-1558350876', 'SDCCGMLS-0013702.P002', 'NCGC00255518-01', 'AK-60908', 'DS-16467', 'Monolinuron 10 microg/mL in Acetonitrile', 'SMR000069097', 'CAS-1746-81-2', 'Monolinuron 100 microg/mL in Acetonitrile', 'LS-159573', '1-(4-chlorophenyl)-3-methoxy-3-methylurea', '1-Methoxy-1-methyl-3-(4-chlorophenyl)urea', 'NS00010426', '3-(4-chlorophenyl)-1-methoxy-1-methyl-urea', 'C18794', 'Monolinuron, PESTANAL(R), analytical standard', '33338-EP2305655A2', '33338-EP2311815A1', '33338-EP2371823A1', 'J-011027', 'Q6901670', "UREA,N'-(4-CHLOROPHENYL)-N-METHOXY-N-METHYL-", 'Monolinuron;monolinuron;4,4-Bipyridinium, 1,1-dimethyl-, dichloride, mixt. with N-(4-chlorophenyl)-N-methoxy-N-methylurea']</t>
  </si>
  <si>
    <t>Compound(15629)</t>
  </si>
  <si>
    <t>C9H11ClN2O2</t>
  </si>
  <si>
    <t>manganese 52</t>
  </si>
  <si>
    <t>manganese-52</t>
  </si>
  <si>
    <t>['Manganese Mn-52', 'UNII-6SK7L99AAC', '6SK7L99AAC', 'Manganese-52', '14092-99-0', 'Manganese, isotope of mass 52', '(~52~Mn)Manganese', 'DTXSID90930948', 'Q27265446']</t>
  </si>
  <si>
    <t>Compound(115131)</t>
  </si>
  <si>
    <t>manganese 54</t>
  </si>
  <si>
    <t>manganese-54</t>
  </si>
  <si>
    <t>['Manganese Mn-54', 'UNII-5XON30A6LH', '5XON30A6LH', 'Manganese-54', '13966-31-9', 'Manganese, isotope of mass 54', 'Manganese 54', 'DTXSID00891753', 'Q27263015']</t>
  </si>
  <si>
    <t>Compound(104743)</t>
  </si>
  <si>
    <t>molybdenum 99</t>
  </si>
  <si>
    <t>molybdenum-99</t>
  </si>
  <si>
    <t>['Molybdenum-99', 'Molybdenum Mo-99', 'UNII-6634O61GOI', '14119-15-4', '6634O61GOI', 'Molybdenum, isotope of mass 99', '99Mo', 'Technelite', '(~99~Mo)Molybdenum', 'Mo-99', 'DTXSID70931019', 'CHEBI:135936', 'Q2341055']</t>
  </si>
  <si>
    <t>Compound(104976)</t>
  </si>
  <si>
    <t>molybdenum trioxide</t>
  </si>
  <si>
    <t>trioxomolybdenum</t>
  </si>
  <si>
    <t>['MOLYBDENUM TRIOXIDE', 'Molybdenum(VI) oxide', '1313-27-5', 'Molybdic anhydride', 'Molybdic trioxide', 'Molybdenum oxide (MoO3)', 'Molybdena', 'trioxomolybdenum', 'MoO3', 'Molybdic oxide', 'Molybdic acid anhydride', 'Molybdenum peroxide', 'Molybdenum (VI) oxide', 'Molybdenumperoxide', 'Natural molybdite', 'Molybdenum oxide (MoO5)', 'Mo-1202T', 'UNII-22FQ3F03YS', 'CCRIS 1163', 'HSDB 1661', 'EINECS 215-204-7', 'MFCD00003469', 'NSC 215191', '22FQ3F03YS', 'Mo 1202T', 'Molybdenum(VI) oxide, 99+%', 'Molybdenum, Reference Standard Solution', 'Molybdenum(VI) oxide, 99.5+%, ACS reagent', 'Molybdenumtrioxide', 'n atural molybdite', 'Molybdenum anhydride', 'molybdenum(VI)oxide', 'molybdenum(6+) oxide', 'DSSTox_CID_899', 'ACMC-1BST7', 'EC 215-204-7', '[MoO3]', 'DSSTox_RID_75854', 'WLN: MO O3', 'DSSTox_GSID_20899', 'KSC492S8T', 'Molybdic Oxide Refined (MoO3)', 'DTXSID7020899', 'CHEBI:30627', 'CTK3J2989', 'KS-00000VOD', 'Molybdenum(VI) oxide, Puratronic', 'Tox21_202785', 'LS-745', 'NSC215191', 'AKOS015904164', 'NSC-215191', 'MOLYBDENUM TRIOXIDE, 99.998%', 'Molybdenum(VI) oxide, p.a., 99.0%', 'NCGC00260331-01', 'CAS-1313-27-5', 'FT-0696536', 'Molybdenum(VI) oxide, puriss. p.a., 99.5%', 'Molybdenum(VI) oxide, Vetec(TM) reagent grade', 'Molybdenum(VI) oxide, ACS reagent, &gt;=99.5%', 'Molybdenum(VI) oxide, 99.97% trace metals basis', 'Molybdenum(VI) oxide, ReagentPlus(R), &gt;=99.5%', 'Q416416', 'J-005978', 'Molybdenum oxide concentrate, NIST(R) SRM(R) 423', 'Molybdenum(VI) oxide, p.a., ACS reagent, 99.5%', 'Molybdenum(VI) oxide, nanopowder, 100 nm (TEM), 99.5% trace metals basis']</t>
  </si>
  <si>
    <t>Compound(14802)</t>
  </si>
  <si>
    <t>MoO3</t>
  </si>
  <si>
    <t>perfluorooctane sulfonylamide (N-methyl) acetate</t>
  </si>
  <si>
    <t>2-[1,1,2,2,3,3,4,4,5,5,6,6,7,7,8,8,8-heptadecafluorooctylsulfonyl(methyl)amino]acetic acid</t>
  </si>
  <si>
    <t>['N-methylperfluorooctane sulfonamidoacetic acid', '2355-31-9', 'Glycine, N-[(1,1,2,2,3,3,4,4,5,5,6,6,7,7,8,8,8-heptadecafluorooctyl)sulfonyl]-N-methyl-', '2-(N-Methylperfluorooctanesulfonamido)acetic acid', 'N-[(heptadecafluorooctyl)sulfonyl]-N-methylglycine', 'MeFOSAA', '2-(N-methyl-perfluorooctane sulfonamido) acetic acid', 'Glycine, N-[(heptadecafluorooctyl)sulfonyl]-N-methyl-', 'SCHEMBL6337946', 'CHEBI:83506', 'CTK0J5570', 'DTXSID10624392', 'NS00000427', 'N-methylperfluorooctane sulfonamido acetic acid', 'N-(Heptadecafluorooctylsulfonyl)-N-methylglycine', '2-(N-Methyl-perfluorooctane sulfanamido) acetic acid', 'N-methyl perfluorooctane sulfonamido acetic acid, n=8', 'Q27156889', 'N-Methylperfluoro-1-octanesulfonamidoacetic acid (N-MePFOSAA)', '2-[1,1,2,2,3,3,4,4,5,5,6,6,7,7,8,8,8-heptadecafluorooctylsulfonyl(methyl)amino]acetic acid', 'N-(1,1,2,2,3,3,4,4,5,5,6,6,7,7,8,8,8-Heptadecafluorooctane-1-sulfonyl)-N-methylglycine', 'Potassium N-((heptadecafluorooctyl)sulphonyl)-N-methylglycinate;Potassium N-[(heptadecafluorooctyl)sulphonyl]-N-methylglycinate;N-methylperfluorooctane sulfonamidoacetic acid']</t>
  </si>
  <si>
    <t>Compound(22286931)</t>
  </si>
  <si>
    <t>C11H6F17NO4S</t>
  </si>
  <si>
    <t>N- (1-methylpropyl)-2-butanamine</t>
  </si>
  <si>
    <t>N-butan-2-ylbutan-2-amine</t>
  </si>
  <si>
    <t>['DI-SEC-BUTYLAMINE', '626-23-3', '2-Butanamine, N-(1-methylpropyl)-', 'MPBA', 'Bis(1-methylpropyl)amine', 'N-(1-Methylpropyl)-2-butanamine', 'di-sec-butyl amine', 'Di-sec.-butylamine', 'bis(methylpropyl)amine', 'N-butan-2-ylbutan-2-amine', 'di-s-butylamine', 'di-sec.butylamine', 'di-sec-butyl-amine', 'NSC 8703', 'EINECS 210-937-9', 'bis(butan-2-yl)amine', 'ACMC-1AEWH', 'AI3-28514', '(sec-C4H9)2NH', 'bis(1-methyl-propyl)-amine', 'N-butan-2-yl-2-butanamine', 'SCHEMBL49756', 'N-(Sec-butyl)-2-butanamine #', 'CTK3J0416', 'DTXSID90870719', 'NSC8703', 'NSC-8703', '8014AF', 'ANW-34301', 'SBB059801', 'AKOS000120370', 'AKOS017278326', 'MCULE-8710688298', 'SC-16454', 'D1604', 'FT-0625312', 'ST51046071', 'KS-00001698', '1-Propanamine, 1-methyl, N-(1-methylpropyl)', 'A833893', 'Di-sec-butylamine, mixture of (+/-) and meso, 99%', 'Q23978210', 'F2190-0523']</t>
  </si>
  <si>
    <t>Compound(12277)</t>
  </si>
  <si>
    <t>nitrous</t>
  </si>
  <si>
    <t>molecular nitrogen</t>
  </si>
  <si>
    <t>['7727-37-9', 'N', 'Nitrogen', 'Nitrogen gas', 'Molecular nitrogen', 'Dinitrogen', 'Nitrogen-14', 'MOL Nitrogen', 'Azote [French]', 'Nitrogeno [Spanish]', 'nitrogen molecule', 'Diatomic nitrogen', 'Nitrogen, liquid', 'Nitrogen (liquified)', 'HSDB 5060', 'UNII-N762921K75', 'EINECS 231-783-9', 'UN1066', 'UN1977', 'N2', 'CHEBI:17997', 'N762921K75', 'Nitrogeno', 'Nitrogen [NF]', 'Nitrogen (TN)', 'Nitrogen, elemental', 'Nitrogen, compressed', 'Nitrogen (JP17/NF)', 'Nitrogen, &gt;=99.998%', 'Nitrogen, &gt;=99.999%', 'CHEMBL142438', 'INS NO.941', 'DTXSID4036304', 'INS-941', 'DB09152', 'UN 1066', 'UN 1977', 'E941', 'LS-96743', 'Nitrogen, Messer(R) CANGas, 99.999%', 'E-941', 'C00697', 'D00083', 'Nitrogen, refrigerated liquid (cryogenic liquid)', 'Nitrogen, compressed [UN1066]  [Nonflammable gas]', 'Nitrogen, compressed [UN1066] [Nonflammable gas]', 'Q2370426', 'UNII-K21NZZ5Y0B component IJGRMHOSHXDMSA-UHFFFAOYSA-N', 'Nitrogen, refrigerated liquid (cryogenic liquid) [UN1977]  [Nonflammable gas]', 'Nitrogen, refrigerated liquid (cryogenic liquid) [UN1977] [Nonflammable gas]', 'N#N']</t>
  </si>
  <si>
    <t>Compound(947)</t>
  </si>
  <si>
    <t>N, 2-dimethylaniline</t>
  </si>
  <si>
    <t>['N,2-Dimethylaniline', 'N-Methyl-o-toluidine', '611-21-2', '2,N-Dimethylaniline', 'Benzenamine, N,2-dimethyl-', 'o-Toluidine, N-methyl-', 'N,o-Dimethylaniline', 'UNII-E41NZ1ZY58', "n,n'-dimethylaniline", '2-(Methylamino)toluene', 'n-methyl-o-methylaniline', 'n-methyl-ortho-toluidine', 'E41NZ1ZY58', 'o,N-Dimethylaniline', 'N-methyltoluidine', 'NSC9395', 'NSC 9395', 'EINECS 210-260-9', 'methyl-o-tolyl-amine', 'n-methyl-2-toluidine', '2,N-dimethyl-aniline', 'ACMC-209mpd', 'N,2-Dimethylbenzenamine', 'methyl-(o-tolyl)-amine', 'Benzenamine,2-dimethyl-', '2-Methyl-N-methylaniline', 'methyl(2-methylphenyl)amine', 'SCHEMBL172153', 'DTXSID4060600', 'GUAWMXYQZKVRCW-UHFFFAOYSA-', 'KS-00000WNX', 'N-Methyl-o-toluidine, &gt;=95%', 'o-Toluidine, N-methyl- (8CI)', 'ALBB-006234', 'NSC-9395', 'ZINC1699965', 'ANW-33695', 'STK503780', 'AKOS000258549', 'MCULE-9641999076', 'NC-0217', 'VZ36619', 'U026', 'DB-053797', 'FT-0632549', 'M0445', 'NS00034574', 'ST50410586', 'Benzenamine, N,2-dimethyl-;N-methyl-o-toluidine', 'Q1959580', 'W-105191']</t>
  </si>
  <si>
    <t>Compound(69137)</t>
  </si>
  <si>
    <t>nitrous oxide (laughing gas)</t>
  </si>
  <si>
    <t>nitrous oxide</t>
  </si>
  <si>
    <t>['nitrous oxide', 'Dinitrogen oxide', 'Dinitrogen monoxide', 'Laughing gas', 'Nitrogen oxide (N2O)', 'Factitious air', '10024-97-2', 'Hyponitrous acid anhydride', 'Nitrogen hypoxide', 'Stickdioxyd', 'oxyde nitreux', 'Oxido nitroso', "protoxyde d'azote", 'Nitrous oxide, compressed', 'Lachgas', 'gaz hilarant', 'Stickdioxyd [German]', 'Nitrous oxide [JAN]', 'Diazyne 1-oxide', 'Distickstoffmonoxid', 'Oxido nitroso [Spanish]', 'Stickstoff(I)-oxid', 'Nitrous oxide, refrigerated liquid', "Protoxyde d'azote [French]", 'nitrogenium oxydulatum', 'Nitrous oxide (TN)', 'FEMA No. 2779', 'N2O', 'Nitrous oxide [Anaesthetics, volatile]', 'UNII-K50XQU1029', 'NITRAL', 'CCRIS 1225', 'HSDB 504', 'oxidodinitrogen(N--N)', 'EINECS 233-032-0', 'UN1070', 'UN2201', 'Nitrous oxide [UN1070] [Nonflammable gas]', 'CHEBI:17045', 'K50XQU1029', 'E942', 'Oxide, Nitrous', 'Gas, Laughing', 'NNO', 'NITROUS-OXIDE', 'Nitrous oxide [USP:JAN]', 'Nitrous oxide (JP15/USP)', 'Nitrious oxide', 'Diazyne 1-oxide #', 'oxodiazen-2-ium-1-ide', '1,2-Diazaethyne1-oxide', 'Oxo-1lambda~5~-diazyne', 'EC 233-032-0', 'Nitrous oxide, JAN, USAN', 'Nitrous oxide (JP17/USP)', 'INS NO.942', 'CHEMBL1234579', 'DTXSID8021066', 'CTK5I1468', 'CTK5I1600', 'FEMA 2779', 'INS-942', 'Nitrous oxide, refrigerated liquid [UN2201] [Nonflammable gas]', 'R-744A', 'AKOS015903682', 'DB06690', 'LS-7622', 'UN 1070', 'UN 2201', 'E-942', 'NS00013894', 'Nitrous oxide [UN1070]  [Nonflammable gas]', 'C00887', 'D00102', 'Q905750', 'Nitrous oxide, refrigerated liquid [UN2201]  [Nonflammable gas]']</t>
  </si>
  <si>
    <t>Compound(948)</t>
  </si>
  <si>
    <t>N- (3-aminopropyl)-N-dodecylpropane-1,3-diamine</t>
  </si>
  <si>
    <t>N'-(3-aminopropyl)-N'-dodecylpropane-1,3-diamine</t>
  </si>
  <si>
    <t>['2372-82-9', 'Laurylamine dipropylenediamine', 'N-(3-Aminopropyl)-N-dodecylpropane-1,3-diamine', '1,3-Propanediamine, N-(3-aminopropyl)-N-dodecyl-', 'Bis(aminopropyl)laurylamine', 'N,N-bis(3-aminopropyl)dodecylamine', 'N1-(3-aminopropyl)-N1-dodecylpropane-1,3-diamine', 'UNII-PCJ6308JUE', 'EINECS 219-145-8', 'N-(3-Aminopropyl)-N-dodecyl-1,3-propanediamine', 'PCJ6308JUE', 'EC 219-145-8', '1,3-Propanediamine,N1-(3-aminopropyl)-N1-dodecyl-', '1,3-Propanediamine, N1-(3-aminopropyl)-N1-dodecyl-', '1,3-Propanediamine, N-(3-aminopropyl)-N-dodecyl', 'Lonzabec-12', 'N,N-Bis-(3-aminopropyl)-dodecylamine', 'SCHEMBL24179', 'bis(3-aminopropyl)dodecylamine', '[DID-no:2421]', 'bis-(3-aminopropyl)-laurylamine', 'DTXSID3041243', 'CTK4F2125', 'BCP23852', 'ZINC95803226', 'AKOS015894470', 'FS-6129', 'LAURYLAMINE DIPROPY- LENEDIAMINE', 'DA-43112', 'LS-185543', 'FT-0629417', 'NS00003278', "N'-(3-aminopropyl)-N'-dodecyl-propane-1,3-diamine", 'W-109775', 'Q27286479', 'F1905-6424', 'LAURYLAMINE DIPROPYLENEDIAMINE;N-(3-aminopropyl)-N-dodecylpropane-1,3-diamine']</t>
  </si>
  <si>
    <t>Compound(75407)</t>
  </si>
  <si>
    <t>C18H41N3</t>
  </si>
  <si>
    <t>N, 3-dimethylaniline</t>
  </si>
  <si>
    <t>['N,3-Dimethylaniline', 'N-Methyl-m-toluidine', '696-44-6', '3-(Methylamino)toluene', 'Benzenamine, N,3-dimethyl-', 'm,N-Dimethylaniline', 'm-Toluidine, N-methyl-', 'N-Methyl-3-methylaniline', 'N-3-Dimethylbenzenamine', 'Aniline, N,m-dimethyl-', '3,N-Dimethylaniline', 'N-Methyl-m-methylaniline', 'N-METHYL-META-TOLUIDINE', 'Q63392765', 'N-Methyl-3-toluidine', 'NSC9396', 'NSC 9396', 'EINECS 211-795-0', 'Aniline,m-dimethyl-', 'N-Methyl-m-toluidin', 'Methyl-m-tolyl-amine', 'Tolnaflate Impurity D', '3,N-dimethyl-aniline', 'N,3-Dimethylbenzenamine', 'Benzenamine,3-dimethyl-', 'N-methyl-N-m-tolylamine', 'methyl(3-methylphenyl)amine', 'ACMC-1B11R', 'N-Methyl-m-toluidine, 97%', 'SCHEMBL306337', 'DTXSID2061014', 'CTK2F4774', 'FBGJJTQNZVNEQU-UHFFFAOYSA-', 'm-Toluidine, N-methyl- (8CI)', 'N-methyl-N-(3-methylphenyl)amine', 'KS-00000WN8', 'NSC-9396', 'ZINC1699966', 'ANW-35735', 'AKOS000253221', 'MCULE-9634089160', 'NE10912', 'AS-31121', 'SC-23237', 'U209', 'DB-055312', 'FT-0632830', 'FT-0667309', 'M0446', 'N,3-Dimethylaniline (N-Methyl-m-toluidine)', 'NS00036909', 'ST45026140', 'EN300-59272', 'W-104611', 'Z1262237486']</t>
  </si>
  <si>
    <t>Compound(69675)</t>
  </si>
  <si>
    <t>N, 4-dimethylaniline</t>
  </si>
  <si>
    <t>['N-Methyl-p-toluidine', 'N,4-DIMETHYLANILINE', '623-08-5', 'Benzenamine, N,4-dimethyl-', '4-Methyl-N-methylaniline', '4-(Methylamino)toluene', 'p-Toluidine, N-methyl-', 'UNII-R9R0B2849P', 'n-methyl-p-methylaniline', 'N,4-dimethyl-benzenamine', 'R9R0B2849P', 'N,p-Dimethylaniline', 'p,N-Dimethylaniline', 'EINECS 210-769-6', 'n-methyl-p-toluidin', 'methyl-p-tolyl-amine', 'N-methyl-p-tolylamine', '4,N-dimethyl-aniline', 'N,4-Dimethylbenzenamine', 'N,4-Dimethylaniline #', 'p-methyl-N-methylaniline', 'N-Methyl-4-methylaniline', 'SCHEMBL44533', 'KSC493E8F', 'N-Methyl-p-toluidine, 98%', 'ACMC-209n20', 'DTXSID6060763', 'CTK3J3282', 'QCIFLGSATTWUQJ-UHFFFAOYSA-', 'KS-000000EZ', 'ZINC2034345', 'ANW-34150', 'KM0596', 'STL183338', 'AKOS000258848', 'CS-W022904', 'MCULE-3084750931', 'NC-0213', 'VZ36621', 'AK112079', 'SC-74931', 'SC-80667', 'U093', 'Product English Name: N,4-Dimethylaniline', 'DB-054125', 'FT-0632615', 'M1315', 'NS00020530', 'EN300-59273', 'Q114603', 'W-105015', 'Z1262237484']</t>
  </si>
  <si>
    <t>Compound(12165)</t>
  </si>
  <si>
    <t>N-methyl perfluorobutanesulfonamide</t>
  </si>
  <si>
    <t>1,1,2,2,3,3,4,4,4-nonafluoro-N-methylbutane-1-sulfonamide</t>
  </si>
  <si>
    <t>['N-(Methyl)nonafluorobutanesulfonamide', '68298-12-4', '1-Butanesulfonamide, 1,1,2,2,3,3,4,4,4-nonafluoro-N-methyl-', 'N-Methylperfluorobutanesulfonamide', 'MeFBSA', 'C4F9SO2NHCH3', 'SCHEMBL155471', 'DTXSID1071373', 'CTK5C7737', 'methyl perfluorobutane sulfonamide', 'N-Methylnonafluorobutanesulfonamide', '1,1,2,2,3,3,4,4,4-nonafluoro-N-methylbutane-1-sulfonamide', 'NS00011240', '1,1,2,2,3,3,4,4,4-Nonafluoro-N-methyl-1-butanesulfonamide']</t>
  </si>
  <si>
    <t>Compound(109968)</t>
  </si>
  <si>
    <t>C5H4F9NO2S</t>
  </si>
  <si>
    <t>N-methylacetamide</t>
  </si>
  <si>
    <t>['N-METHYLACETAMIDE', '79-16-3', 'Acetamide, N-methyl-', 'Methylacetamide', 'Monomethylacetamide', 'Methyl acetamide', 'N-Acetyl-N-methylamine', 'Acetylmethylamine', 'N-Methyl acetamide', 'N-Methyl-acetamide', 'Acetamide, methyl-', 'N-Monomethylacetamide', 'X 44', 'HSDB 94', 'Acetic acid, amide, N-methyl', 'UNII-V0T777481M', 'NSC 747', 'EINECS 201-182-6', 'AI3-18019', 'DTXSID0047167', 'CHEBI:87321', 'n-methylacetylamine', 'N-MethylAcetylamide', 'V0T777481M', 'Sodium N-methylacetamidate', 'n-methylacetamide;acetamide, n-methyl-;nmethylacetamide;n-methylacetamide acetamide, n-methyl- nmethylacetamide', 'NML', 'n-acetylmethylamine', 'PubChem10938', 'CH3CONHCH3', 'ACMC-1BL6E', 'EC 201-182-6', 'DSSTox_CID_27167', 'DSSTox_RID_82168', 'DSSTox_GSID_47167', 'N-Methylacetamide, &gt;=99%', 'KSC378I1F', 'WLN: 1VM1', 'ACETIC ACID METHYLAMIDE', 'CHEMBL11544', 'NSC747', 'CTK2H8412', 'KS-00000WOJ', 'NSC-747', 'N-methylacetamide;N-Methylacetamide', 'ACT06308', 'ZINC1587576', 'Tox21_300192', 'ANW-37265', 'MFCD00008683', 'AKOS008933407', 'LS-9862', 'MCULE-2612997941', 'NE10601', 'CAS-79-16-3', 'NCGC00247922-01', 'NCGC00254149-01', 'DB-002828', 'A9897', 'FT-0654956', 'M0133', 'N-Methylacetamide, purum, &gt;=98.0% (GC)', 'NS00002688', 'Z1772', '25533-EP2272846A1', '25533-EP2275422A1', '25533-EP2277868A1', '25533-EP2277869A1', '25533-EP2277870A1', '25533-EP2284166A1', '25533-EP2289881A1', '25533-EP2292608A1', '25533-EP2292625A1', '25533-EP2295422A2', '25533-EP2295436A1', '25533-EP2298076A1', '25533-EP2298077A1', '25533-EP2298305A1', '25533-EP2298749A1', '25533-EP2298769A1', '25533-EP2298773A1', '25533-EP2301353A1', '25533-EP2305031A1', '25533-EP2305034A1', '25533-EP2305035A1', '25533-EP2305657A2', '25533-EP2308852A1', '25533-EP2308866A1', '25533-EP2308878A2', '25533-EP2314580A1', '25533-EP2371823A1', '25533-EP2374791A1', '40336-EP2305668A1', '40336-EP2311830A1', '131067-EP2295399A2', '156762-EP2284178A2', '156762-EP2284179A2', 'W-104266', 'Q12871952', 'Z32016274']</t>
  </si>
  <si>
    <t>Compound(6582)</t>
  </si>
  <si>
    <t>N-ethyl-4-methylbenzenesulfonamide</t>
  </si>
  <si>
    <t>['N-ETHYL-P-TOLUENESULFONAMIDE', '80-39-7', 'N-Ethyl-4-methylbenzenesulfonamide', 'Santicizer 3', 'N-Ethyl-p-tolylsulfonamide', 'Benzenesulfonamide, N-ethyl-4-methyl-', 'N-Tosylethylamine', 'N-Ethyl-4-toluenesulfonamide', 'p-Tolueneethylsulfonamide', 'Ethyl tosylamide', 'p-Toluenesulfonyl-N-ethylamide', 'N-Ethyl-p-methylbenzenesulfonamide', 'N-Ethyltoluene-4-sulphonamide', 'p-Toluenesulfonamide, N-ethyl-', 'Ketjenflex 8', 'Santicizer 8', 'N-Ethyl-4-methyl benzenesulfonamide', 'NSC 68803', 'UNII-992S798SJB', 'TOLUENE ETHYLSULFONAMIDE', 'CCRIS 6037', 'N-Ethyl-4-methyl-benzenesulfonamide', 'EINECS 201-275-1', 'n-ethyl-p-toluene sulfonamide', 'CCRIS 6102', '992S798SJB', 'EINECS 232-465-2', 'N-Ethyl-o(or p)-toluenesulphonamide', 'N-ethyl-4-methylbenzene-1-sulfonamide', '1321-54-6', 'N-Ethyl-2(or 4)-methylbenzenesulfonamide', 'AI3-04487', 'AI3-08014', 'Benzenesulfonamide, N-ethyl-2(or 4)-methyl-', 'Unipex 108', 'Ethyl toluenesulfonamide', 'ACMC-209pjd', 'DSSTox_CID_5310', 'N-Ethyl-2-tolylsulfonamide', 'DSSTox_RID_77744', 'NCIOpen2_000527', 'DSSTox_GSID_25310', 'KSC494E4L', 'N-ethyl-4-toluene sulfonamide', 'SCHEMBL126985', '4-Toluenesulfonamide, N-ethyl-', 'CHEMBL1492809', 'DTXSID5025310', 'CTK3J4245', 'KS-00000WHT', 'OHPZPBNDOVQJMH-UHFFFAOYSA-', 'HMS1661F02', 'ZINC134748', 'N-Ethyl-p-toluenesulfonamide, 98%', 'NSC68803', 'Tox21_200366', 'ANW-37367', 'ethyl[(4-methylphenyl)sulfonyl]amine', 'MFCD00048511', 'n-Ethyl-o (or p)-toluenesulfonamide', 'NSC-68803', 'STK416319', 'N-ethyl(4-methyl phenyl) sulfonamide', 'AKOS000431178', 'LS-1794', 'LS-1803', 'MCULE-4784335266', 'NE11038', 'p-Toluenesulfonamide, N-ethyl- (8CI)', 'CAS-80-39-7', 'NCGC00091206-01', 'NCGC00091206-02', 'NCGC00257920-01', 'AS-14234', 'K431', 'DB-056430', 'E0674', 'FT-0631358', 'ST50915634', 'A839926', 'W-104236', 'Q27272165', 'Z45528338', 'UNII-X3491OQT7S component OHPZPBNDOVQJMH-UHFFFAOYSA-N', 'N-ETHYL-P-TOLUENESULFONAMIDE;N-ethyltoluene-4-sulphonamide;N-Ethyl-4-methylbenzenesulfonamide;N-ethyl-o(or p)-toluenesulphonamide;Benzenesulfonamide, N-ethyl-4-methyl-']</t>
  </si>
  <si>
    <t>Compound(6637)</t>
  </si>
  <si>
    <t>N-propyl-1-butanamine</t>
  </si>
  <si>
    <t>N-propylbutan-1-amine</t>
  </si>
  <si>
    <t>['N-Butyl-N-propylamine', 'N-Propylbutylamine', '20193-21-9', '1-Butanamine, N-propyl-', 'Butylamine, N-propyl-', 'Butylpropylamine', 'N-propylbutan-1-amine', 'N-Propyl-1-butylamine', 'N-propyl-1-butanamine', 'UNII-Y441J3U9FB', 'Y441J3U9FB', 'propylbutylamine', 'butyl(propyl)amine', 'EINECS 243-575-5', 'N-Propylbutylamine, 98%', 'ACMC-20ak16', 'SCHEMBL74704', 'DTXSID7066566', 'CTK1A4776', 'ZINC2146751', '6811AD', 'SBB059822', 'AKOS000177540', 'MCULE-6342731867', 'DA-08492', 'FT-0693120', 'NS00026544', 'ST51046089', 'J-013106', 'Q9048300']</t>
  </si>
  <si>
    <t>Compound(88399)</t>
  </si>
  <si>
    <t>C7H17N</t>
  </si>
  <si>
    <t>Fiber fraction hemicellulose + cellulose + lignin (+ cutin)</t>
  </si>
  <si>
    <t>(2R)-2-(oxaloamino)-3-phenylpropanoic acid</t>
  </si>
  <si>
    <t>['N-(CARBOXYCARBONYL)-D-PHENYLALANINE', '1yci', 'NOFD', 'NDF', 'N-Oxalyl-D-phenylalanine, 1b', 'CHEMBL486146', 'SCHEMBL3505515', 'BDBM26107', 'ZINC26637924', 'DB08263', '(2R)-2-(formamidoformic acid)-3-phenylpropanoic acid', 'BRD-K76188144-001-01-2', 'Q27097485', '856680-67-6']</t>
  </si>
  <si>
    <t>Compound(5288998)</t>
  </si>
  <si>
    <t>C11H11NO5</t>
  </si>
  <si>
    <t>Precipitation</t>
  </si>
  <si>
    <t>Precipitation surplus</t>
  </si>
  <si>
    <t>Precipitation deficit</t>
  </si>
  <si>
    <t>Precipitation form</t>
  </si>
  <si>
    <t>Net precipitation</t>
  </si>
  <si>
    <t>N-phenylformamide</t>
  </si>
  <si>
    <t>['Formanilide', 'N-PHENYLFORMAMIDE', '103-70-8', 'Formamide, N-phenyl-', 'N-Formylaniline', 'Phenyl formamide', 'Formamidobenzene', 'Formylaniline', 'Carbanilaldehyde', 'Aniline, N-formyl-', 'N-phenyl-formamide', 'phenylformamide', 'N-phenylmethanamide', 'UNII-2805XEA9CL', 'CCRIS 4650', 'HSDB 5355', 'NSC 8862', 'EINECS 203-136-0', 'BRN 0906934', 'AI3-01089', 'MLS002415732', 'N-benzamide', '2805XEA9CL', 'CHEBI:42416', 'Formanilide, 99+%', 'SMR001370900', 'formanilid', 'forrnanilide', 'N-Formanilide', 'anilineformaldehyde', 'N-Formyl-aniline', 'Formanilide, 99%', 'MFCD00003276', 'N-phenylformimidic acid', 'WLN: VHMR', 'DSSTox_CID_5338', 'cid_7671', 'SCHEMBL2463', 'ACMC-1C24N', 'DSSTox_RID_77756', 'DSSTox_GSID_25338', '4-12-00-00368 (Beilstein Handbook Reference)', 'KSC181O3B', 'BIDD:GT0244', 'ghl.PD_Mitscher_leg0.1270', 'CHEMBL1232659', 'DTXSID3025338', 'SCHEMBL17211133', 'BDBM74419', 'CTK0I1730', 'KS-00000VUP', 'NSC8862', 'NSC-8862', 'Tox21_200271', 'ANW-14959', 'LS-365', 'SBB058769', 'ZINC13550498', 'AKOS000297095', 'MCULE-2492783132', 'NCGC00091354-01', 'NCGC00091354-02', 'NCGC00257825-01', 'AS-56859', 'CAS-103-70-8', 'DB-040480', 'F0047', 'FT-0626529', 'NS00023256', 'ST51037929', 'A800788', 'AR-360/40233696', 'Q2689660', 'W-109055', 'FAN']</t>
  </si>
  <si>
    <t>Compound(7671)</t>
  </si>
  <si>
    <t>C7H7NO</t>
  </si>
  <si>
    <t>Wet weight</t>
  </si>
  <si>
    <t>1,3-dinitrooxypropan-2-yl nitrate</t>
  </si>
  <si>
    <t>['nitroglycerin', 'Glyceryl trinitrate', 'Trinitroglycerin', 'Nitroglycerine', 'Nitroglycerol', 'Nitrostat', 'Trinitroglycerol', 'Glycerol trinitrate', 'Nitro-dur', '55-63-0', 'Minitran', 'Nitroderm', 'Nitroglyn', 'Nitronet', 'Nitrospan', 'Tridil', 'Transderm-nitro', 'Transderm Nitro', 'Epinitril', 'Lenitral', 'Natispray', 'Nitrocine', 'Nitrolan', 'Nitrolingual', 'Perlinganit', 'Susadrin', 'Sustonit', 'Trinitrin', 'Nitrong', 'Niong', 'Nitro-Bid', 'Nitroderm TTS', 'Angiolingual', 'Cordipatch', 'Corditrine', 'Gilustenon', 'Klavikordal', 'Myoglycerin', 'Nitroglicerina', 'Nitroletten', 'Nitroplast', 'Nitrorectal', 'Nitroretard', 'Nitrostabilin', 'Nysconitrine', 'Perglottal', 'Rectogesic', 'Temponitrin', 'Trinitrolong', 'Trinitrosan', 'Adesitrin', 'Angibid', 'Angorin', 'Cardamist', 'Chitamite', 'Deponit', 'Glonoin', 'Glytrin', 'Millisrol', 'Niglycon', 'Nitrodisc', 'Nitrogard', 'Nitroglin', 'Nitrolowe', 'Nitromel', 'Nitromex', 'Nitromint', 'Percutol', 'Suscard', 'Trinalgon', 'Triniplas', 'Trinitrol', 'Vasoglyn', 'Myocon', 'Niglin', 'Nitora', 'Sustak', 'NitroMist', 'Gilucor nitro', 'NitroBid', 'NitroCor', 'Soup', 'Blasting oil', 'Blasting gelatin', 'Glyceryl nitrate', 'Nitro-lent', 'Nitrozell retard', 'Transiderm-nitro', 'propane-1,2,3-triyl trinitrate', 'Coro-Nitro', 'Nitro-Span', 'Nitrine-TDC', 'Spirit of glonoin', 'Nitrolingual Spray', 'Glycerin trinitrate', 'Glycerylnitrat', 'Lentonitrina', 'Nitrogliceryna', 'Nitropercuten', 'Nitroperlinit', 'Nitroprontan', 'Aldonitrin', 'Angiplex', 'Angonist', 'Cardabid', 'Cardinit', 'Cardiodisco', 'Colenitral', 'Diafusor', 'Discotrine', 'Glyceryl', 'Herwicard', 'Minitram', 'Mionitrat', 'Nitradisc', 'Nitroard', 'Nitrobaat', 'Nitrobukal', 'Nitrocerin', 'Nitroclyn', 'Nitrocontin', 'Nitrocot', 'Nitrodyl', 'Nitrolin', 'Nitronal', 'Nitropatch', 'Nitropen', 'Nitroprol', 'Nitropront', 'Nitrorex', 'Nitrovis', 'Perganit', 'Plastranit', 'Polnitrin', 'Ratiopharm', 'Trinipatch', 'Trinitron', 'Turicard', 'Vasolator', 'Anglix', 'Buccard', 'Dauxona', 'Herzer', 'Myovin', 'Nirmin', 'Nitrek', 'Sustac', 'Vernies', 'Willong', 'Nitrol Ointment', 'Transderm-Nitro TTS', 'Trinitrina Erba', 'Nitradisc Pad', 'Nitro-Pflaster', 'Nitrobid Oint', 'Nitrong Retard', 'Niong Retard', 'Nitro Retard', 'Aquo-Trimitrosan', 'Nitro Rorer', 'Nitromack Retard', 'Nitromint Retard', 'Nitronal Aqueous', 'Nitro-Time', 'Nitrogard-SR', 'Glyceroltrinitraat', 'Mi-Trates', 'Nitradisc TTS', 'Nitriderm TTS', 'Nitro-Par', 'Top-Nitro', 'Nitrocine 5', 'Nitrodyl TTS', 'Nitromint Aerosol', 'Propanetriol Trinitrate', 'Nitrong-SR', '1,2,3-Propanetriol, trinitrate', 'Neos nitro OPT', 'Nit-Ret', 'Nitroglycerin-ACC', '1,2,3-Propanetriyl nitrate', 'Deponit 5', 'Deponit-5', 'Transderm-N TTS', 'Nitro Mack Retard', 'Nitro-M-Bid', 'Nitro-Mack Retard', 'Gepan Nitroglicerin', 'Nitro Dur TTS', 'Nitroderm TTS-5', 'GTN-Pohl', 'Glycerol, nitric acid triester', 'Nitroderm TTS Ext', 'Deponit TTS 5', 'Nitro-Dur 5', 'Nitrocontin Continus', 'Nitro-Gesanit Retard', 'Deponit TTS 10', 'Nitro-Dur 10', 'Rectiv', 'NITRO IV', 'Nitroglycerin, spirits of', 'Spirit of trinitroglycerin', 'NG', 'Rcra waste number P081', 'SK-106N', 'Solution glyceryl trinitrate', 'Corangin Nitrokapseln', '1,3-dinitrooxypropan-2-yl nitrate', 'Spirit of glyceryl trinitrate', 'NK-843', 'Trinitroglicerina Fabra', 'Glycerol(trinitrate de)', 'Nitrogliceryna [Polish]', 'Nitroglycerine [French]', 'Nitrol (pharmaceutical)', 'Trinitrine Simple Laleuf', 'Nitroglicerina [Italian]', 'Nitroglicerina [Spanish]', 'Glycerintrinitrate [Czech]', 'Glyceroltrinitraat [Dutch]', 'NTG', 'NITROLINGUAL PUMPSPRAY', 'UNII-G59M7S0WS3', '1,2,3-propanetrioltrinitrate', 'Glycerol Nitric Acid Triester', 'HSDB 30', 'Nitroglycerin in Dextrose 5%', 'SDM No. 17', 'CCRIS 4089', '1,2,3-Propanetriol trinitrate', 'Nitric acid triester of gylcerol', 'Glycerol(trinitrate de) [French]', 'Glycerol (trinitrate de) [French]', 'EINECS 200-240-8', 'UN0143', 'UN1204', 'UN3064', 'UN3319', 'GTN', 'RCRA waste no. P081', 'BRN 1802063', 'Spirits of Nitroglycerin, (1 to 10%)', '1,2,3-Propanetriol, 1,2,3-trinitrate', 'G59M7S0WS3', 'TNG', 'DTXSID1021407', 'CHEBI:28787', 'UN0144', 'Cellegesic', 'Nitrangin', 'Nitrocap', 'Nitrocard', 'NitroQuick', 'NitroQuik', 'Glycerintrinitrate', 'Percutol Oint.', 'Nitrong parenteral', 'NitrocapT.D.', 'Glycerine trinitrate', 'NTS', 'Nitroglycerin, liquid, not desensitized [Forbidden]', 'Nitroglycerin (NG)', 'Anogesic', 'Glonoinum', 'Gonitro', 'Minitro', 'Nitriderm', 'Nitroject', 'Vascana', 'Buccal', 'Tridil sublin', 'Aquo-trinitrosan', 'Percutol Oint', 'NitrocapT.D', 'Nitroglycerin, solution in alcohol with &gt; 5% but not &gt; 10% nitroglycerin', 'Trinitrin Tablets', 'Nitromist (TN)', 'Minitran (TN)', 'Nitro-bid (TN)', 'Nitro-dur (TN)', 'nitroglycerin ointment', 'Transderm-nitro (TN)', 'Glycerol (trinitrate de)', 'Nitroglycerin [USP:JAN]', 'Nitroglycerin [USAN:JAN]', '2,3-dinitrooxypropyl nitrate', 'Nitrofortin', 'Nitrolande', 'Nitrosigma', 'Reminitrol', 'Solinitrina', 'Corangil', 'Nitrolar', 'Nitromed', 'Sutonit', 'Myocor', 'trans-nitro', 'Glonoine oil', 'C3H5N3O9', 'Nitro mack', 'S.N.G.', '2,3-bis(nitrooxy)propyl nitrate', 'Glycerol-trinitrat', 'IMX-150', 'MQX-503', 'Nitro-PRN', 'MED-2002', 'Diluted nitroglycerin', 'Nitroglycerin tablets', 'SK-866', 'SK-878', 'Nitroglycerin Injection', 'Spirits of nitroglycerin', 'Nitroglycerine, spirit of', '1,2,3-trinitrooxypropane', 'CHEMBL730', 'EC 200-240-8', 'Nitroglycerin (JP17/USP)', '1,2,3-trinitroglycerin-d5', 'SCHEMBL15421', 'Nitroglycerin;Trinitroglycerin', '4-01-00-02762 (Beilstein Handbook Reference)', 'UN 0143 (Salt/Mix)', 'UN 0144 (Salt/Mix)', 'UN 1204 (Salt/Mix)', 'BIDD:GT0142', 'Ex168', 'SDM No. 17 (Salt/Mix)', 'SDM No. 27 (Salt/Mix)', '1,2,3-Propanetriol trinatrate', '1,2,3-tris-nitryloxy-propane', 'GTPL7053', 'Trinitrate 1,2,3-propanetriol', 'Nitric acid triester of glycerol', 'CTK1H0320', 'C01DA02', 'HMS2094M15', 'ZINC8214625', 'c0061', 'AKOS030254238', 'DB00727', 'LS-7741', 'Nitroglycerin, liquid, not desensitized', 'CC-32897', 'FT-0752897', 'NS00004622', 'C07455', 'D00515', '49060-EP2280014A2', '49060-EP2287168A2', '49060-EP2311823A1', '141831-EP2292593A2', 'C-34233', 'Q162867', 'SR-01000944510', 'SR-01000944510-1', 'Nitroglycerin, solution in alcohol, with not &gt;1% nitroglycerin', 'Nitroglycerin, solution in alcohol, with &gt;1% but not &gt;10% nitroglycerin', 'Nitroglycerin, solution in alcohol, with &gt;1% but not &gt;5% nitroglycerin', 'Nitroglycerin mixture with &gt;2% but not &gt;10% nitroglycerin, by mass, desensitized', 'Nitroglycerin, desensitized with not &lt;40% non-volatile water insoluble phlegmatizer, by mass', 'Nitroglycerin, solution in alcohol, with not &gt;1% nitroglycerin [UN1204] [Flammable liquid]', '27906-99-6', 'Nitroglycerin 100 microg/mL in Acetonitrile. Short expiry date due to chemical nature of component(s)', 'Nitroglycerin mixture with &gt;2% but not &gt;10% nitroglycerin, by mass, desensitized [UN3319]  [Flammable solid]', 'Nitroglycerin mixture with &gt;2% but not &gt;10% nitroglycerin, by mass, desensitized [UN3319] [Flammable solid]', 'Nitroglycerin, desensitized with not &lt;40% non-volatile water insoluble phlegmatizer, by mass [UN0143]  [Explosive 1.1D, Poison]', 'Nitroglycerin, desensitized with not &lt;40% non-volatile water insoluble phlegmatizer, by mass [UN0143] [Explosive 1.1D, Poison]', 'Nitroglycerin, solution in alcohol, with &gt;1% but not &gt;10% nitroglycerin [UN0144]  [Explosive 1.1D]', 'Nitroglycerin, solution in alcohol, with &gt;1% but not &gt;10% nitroglycerin [UN0144] [Explosive 1.1D]', 'Nitroglycerin, solution in alcohol, with &gt;1% but not &gt;5% nitroglycerin [UN3064]  [Flammable liquid]', 'Nitroglycerin, solution in alcohol, with &gt;1% but not &gt;5% nitroglycerin [UN3064] [Flammable liquid]', 'Nitroglycerin, solution in alcohol, with not &gt;1% nitroglycerin [UN1204]  [Flammable liquid]', 'Trinitroglycerin solution, 1 % (w/w) in propylene glycol, ampule of 1 mL, certified reference material', 'Trinitroglycerin solution, 1 % (w/w) in propylene glycol, ampule of 5 x 0.2 mL, certified reference material', 'Trinitroglycerin solution, 1000 mug/mL in acetonitrile, ampule of 1 mL, certified reference material']</t>
  </si>
  <si>
    <t>Compound(4510)</t>
  </si>
  <si>
    <t>C3H5N3O9</t>
  </si>
  <si>
    <t>ammonia</t>
  </si>
  <si>
    <t>azane</t>
  </si>
  <si>
    <t>['ammonia', '7664-41-7', 'azane', 'Ammonia gas', 'Spirit of hartshorn', 'Nitro-sil', 'Ammonia, anhydrous', 'Ammoniakgas', 'Ammonia anhydrous', 'Anhydrous ammonia', 'Ammoniak', 'AM-Fol', 'Liquid Ammonia', 'Ammoniak Kconzentrierter', 'Amoniak [Polish]', 'Ammoniac [French]', 'Ammoniak [German]', 'ammoniac', 'Ammoniaca [Italian]', 'Caswell No. 041', 'Ammonia (conc 20% or greater)', 'NH3', 'CCRIS 2278', 'HSDB 162', 'UN 2073 (&gt;44% solution)', 'UN1005', 'Aminomethyl Polystyrene Resin', 'azanediyl (triplet)', 'EPA Pesticide Chemical Code 005302', 'UNII-5138Q19F1X', 'R 717', 'UN 1005 (anhydrous gas or &gt;50% solution)', 'UN 2672 (between 12% and 44% solution)', 'EINECS 231-635-3', 'CHEBI:16134', 'MFCD00011418', '5138Q19F1X', 'Ammonia-14N', 'Ammonia solution, strong (NF)', 'Ammonia solution, strong [NF]', 'amoniaco', 'Ammoniaca', 'Amoniak', 'Ammonia, ca. 7N solution in methanol', 'Ammonia (includes anhydrous ammonia and aqueous ammonia from water dissociable ammonium salts and other sources; 10% of total aqueous ammonia is reportable under this listing)', 'Ammonia, anhydrous, liquefied or ammonia solutions, relative density &lt;0.880 at 15 C in water, with &gt;50% ammonia [UN1005] [Nonflammable gas]', 'Ammonia, anhydrous, liquefied or ammonia solutions, relative density &lt;0.880 at 15 C in water, with &gt;50% ammonia [UN1005] [Poison gas, Corrosive]', 'Ammonia, 2M solution in methanol, AcroSeal(R)', '(Aminomethyl)polystyrene', 'Ammonia, ca. 7N solution in methanol, AcroSeal(R)', 'Ammonia, 0.5M solution in 1,4-dioxane, AcroSeal(R)', 'tertiaeres Amin', 'Aminyl radical', 'ammonia ca', 'primaeres Amin', 'Ammonia inhalant', 'Ammoniacum gummi', 'sekundaeres Amin', 'anyhydrous ammonia', '(Aminomethyl)polystyrene, 100-200 mesh, extent of labeling: ~0.5 mmol/g amine loading', 'NH4', 'UNX', 'Refrigerent R717', 'Strong Ammonia Solution', 'ACMC-1BKZC', 'Ammonia (8CI,9CI)', 'Ammonia water (JP15)', 'Aromatic ammonia vaporole', 'Dowex(R) 66 free base', 'Aromatic Ammonia, Vaporole', 'EC 231-635-3', 'Ammonia solution strong (NF)', 'Ammonia solution strong [usan]', 'INS NO.527', 'N H3', 'ammonium isovalerate 30% in pg', 'CHEMBL1160819', 'DTXSID0023872', 'CTK0I1955', 'Ammonia solution, strong [USAN]', 'DTXSID40912315', 'DTXSID80420101', 'INS-527', '[NH3]', 'NH(3)', 'Ammonia solution, 0.4 M in THF', 'Ammonia solution, 4 M in methanol', 'Ammonia solution, 7 N in methanol', 'Ammonia, anhydrous, &gt;=99.98%', 'ACT02989', 'Ammonia solution 2.0 M in ethanol', 'Ammonia solution 2.0 M in methanol', 'Ammonia solution, 0.5 M in dioxane', 'Ammonia solution, 2.0 M in ethanol', 'AKOS015916403', 'Ammonia anhydrous 170g Lecture bottle', 'Ammonia solution, 2.0 M in methanol', 'Ammonia solution 2.0 M in isopropanol', 'MCULE-5646000632', 'Ammonia 0.5M solution in 1,4-Dioxane', 'Ammonia solution, 2.0 M in isopropanol', 'Ammonia, puriss., anhydrous, &gt;=99.9%', 'LS-16633', 'SC-46302', 'Ammonia solution 0.25M in tetrahydrofuran', 'Ammonia, puriss., anhydrous, &gt;=99.95%', 'E-527', 'NS00013356', 'Q4087', 'R-717', 'Ammonia, 0.5M solution in THF, AcroSeal(R)', 'C00014', 'D02916', 'Dowex(R) Marathon(TM) WBA free base, free base', 'Q4832241', 'Q6004010', 'Q27110025', '(Aminomethyl)polystyrene, 100-200 mesh, extent of labeling: ~2 mmol/g amine loading', '(Aminomethyl)polystyrene, 200-400 mesh, extent of labeling: ~0.6 mmol/g amine loading', '(Aminomethyl)polystyrene, 200-400 mesh, extent of labeling: ~1.5 mmol/g amine loading', '(Aminomethyl)polystyrene, 400-500 mum, extent of labeling: 1-2 mmol/g amine loading', '(Aminomethyl)polystyrene, 100-200 mesh, extent of labeling: 0.5-1.0 mmol/g N loading, 1 % cross-linked', '(Aminomethyl)polystyrene, 100-200 mesh, extent of labeling: 1.0 mmol/g N loading, 1 % cross-linked', '(Aminomethyl)polystyrene, 200-400 mesh, extent of labeling: 1.0-1.5 mmol/g N loading, 1 % cross-linked', '(Aminomethyl)polystyrene, 200-400 mesh, extent of labeling: 1.0-2.0 mmol/g loading, 2 % cross-linked', '(Aminomethyl)polystyrene, 200-400 mesh, extent of labeling: 4.0 mmol/g loading, 2 % cross-linked', '(Aminomethyl)polystyrene, 50-100 mesh, extent of labeling: 2.0 mmol/g loading, 1 % cross-linked', '(Aminomethyl)polystyrene, 70-90 mesh, extent of labeling: 1.0-1.5 mmol/g N loading, 1 % cross-linked', '(Aminomethyl)polystyrene, 70-90 mesh, extent of labeling: 1.5-2.0 mmol/g N loading, 1 % cross-linked', '(Aminomethyl)polystyrene, macroporous, 30-60 mesh, extent of labeling: 1.5-3.0 mmol/g loading', '(Aminomethyl)polystyrene, macroporous, 70-90 mesh, extent of labeling: 1.5-3.0 mmol/g loading', 'Ammonia (includes anhydrous ammonia and aqueous ammonia from water dissociable ammonium salts and other sources 10% of total aqueous ammonia is reportable under this listing)', 'Ammonia, anhydrous, liquefied or ammonia solutions, relative density &lt;0.880 at 15 C in water, with &gt;50% ammonia', 'Ammonia, anhydrous, liquefied or ammonia solutions, relative density &lt;0.880 at 15 C in water, with &gt;50% ammonia [UN1005]  [Nonflammable gas]', 'Ammonia, anhydrous, liquefied or ammonia solutions, relative density &lt;0.880 at 15 C in water, with &gt;50% ammonia [UN1005]  [Poison gas, Corrosive]', 'StratoSpheres(TM) PL-AMS resin, 100-200 mesh, extent of labeling: ~1.0 mmol/g loading, 1 % cross-linked with divinylbenzene', 'StratoSpheres(TM) PL-AMS resin, 100-200 mesh, extent of labeling: 2.0 mmol/g loading, 1 % cross-linked', 'StratoSpheres(TM) PL-AMS resin, 30-40 mesh, extent of labeling: 1.0 mmol/g loading, 1 % cross-linked', 'StratoSpheres(TM) PL-AMS resin, 30-40 mesh, extent of labeling: 2.0 mmol/g loading, 1 % cross-linked', 'StratoSpheres(TM) PL-AMS resin, 50-100 mesh, extent of labeling: 2.0 mmol/g loading, 1 % cross-linked']</t>
  </si>
  <si>
    <t>Compound(222)</t>
  </si>
  <si>
    <t>H3N</t>
  </si>
  <si>
    <t>ammonium chloride</t>
  </si>
  <si>
    <t>azanium;chloride</t>
  </si>
  <si>
    <t>['AMMONIUM CHLORIDE', '12125-02-9', 'Salmiac', 'Sal ammoniac', 'Ammonium muriate', 'Ammoniumchlorid', 'Ammoneric', 'Darammon', 'Amchlor', 'Ammonium chloride ((NH4)Cl)', 'Ammoniumklorid', 'Chlorammonic', 'Salammonite', 'Ammonchlor', 'Chloramon', 'Elektrolyt', 'Sal ammonia', 'Ammon Chlor', 'Ammonii Chloridum', 'Ammonium Chloratum', 'Cloruro de Amonio', 'Muriate of Ammonia', 'Gen-Diur (Spain)', 'Ammonium chloride fume', 'Chlorammonic [France]', 'ammoniumchloride', 'Chlorid amonny [Czech]', 'Ammoniumchlorid [German]', 'Chlorid ammonia [Czech]', 'Ammonium Chloride Tablets', 'Ammonium Chloride Injection', 'UNII-01Q9PC255D', 'CCRIS 7262', 'HSDB 483', 'NH4Cl', 'EINECS 235-186-4', 'AI3-08937', '01Q9PC255D', 'Ammonium chloride, for analysis', 'Ammonium chloride, 99+%, pure', 'Chlorid ammonia', 'Chlorid amonny', 'azanium chloride', 'Ammonium chloride, 99.5%, extra pure', 'Ammonium chloride, 99.6%, ACS reagent', 'Ammonium chloride ACS', 'Ammonium chloride [USAN]', 'Ammonium chloride 2.14%', 'Ammonium chloride, 99.5%, extra pure, with anti-caking agent', 'Ammonium chloride [USP:JAN]', 'ammonium chlorid', 'ammonium choride', 'ammonium cloride', 'amonium chloride', 'chloride ammonium', 'ammoniurn chloride', 'amrnonium chloride', 'arnmonium chloride', 'Ammonium chloride (NH4)(HCl2))', 'ammonia hydrochloride', 'Conclyte-A (TN)', 'Ammonium chloride in plastic container', 'ammonia hydrochloride-', 'ammonium chloride salt', '39466-62-1', 'Ammonium chloride 0.9% in normal saline', 'Quaternary Ammonium salt', 'ACMC-1BSL5', 'EC 235-186-4', 'Quaternary ammonium chloride', 'KSC174K8R', 'Ammonium chloride (JAN/USP)', 'DTXSID0020078', 'CTK0H4588', 'BCP29846', 'KS-00000X2X', 'AKOS015833109', 'DB06767', 'LS-3167', '54450-56-5', 'SC-80597', 'SC-82461', 'FT-0622314', 'ai3-08937;Chloride, Ammonium;Ammoniac, Sal', 'Ammonia Nitrogen Standard Solution, 1000 ppm', 'C12538', 'D01139', 'AMMONIUM-15N CHLORIDE, 98  ATOM  pound yen 15N', 'Ammonium Ion Chromatography Standard Solution, ready-to-use, traceable to NIST, in H2O', 'Ammonium ion solution for ISE, 0.1 M NH4+, analytical standard (for ion-selective electrodes)', 'Ammonium ion solution for ISE, 1000 mg/kg N, analytical standard (for ion-selective electrodes)']</t>
  </si>
  <si>
    <t>Compound(25517)</t>
  </si>
  <si>
    <t>ClH4N</t>
  </si>
  <si>
    <t>ammonium perchlorate</t>
  </si>
  <si>
    <t>azanium;perchlorate</t>
  </si>
  <si>
    <t>['AMMONIUM PERCHLORATE', '7790-98-9', 'PKHA', 'UNII-Z3DQ8VD57X', 'Perchloric acid, ammonium salt', 'HSDB 474', 'Ammonium perchlorate (NH4ClO4)', 'EINECS 232-235-1', 'UN0402', 'UN1442', 'Z3DQ8VD57X', 'Ammonium chlorate(VII)', 'DSSTox_CID_4515', 'DSSTox_RID_77440', 'DSSTox_GSID_24515', 'CAS-7790-98-9', 'Perchloric acid, ammonium salt (1:1)', 'EC 232-235-1', 'DTXSID4024515', 'CTK2H7696', '(N H4) (Cl O4)', 'Tox21_202293', 'Tox21_303314', 'AKOS015843749', 'NCGC00091931-01', 'NCGC00091931-02', 'NCGC00257019-01', 'NCGC00259842-01', 'SC-74777', 'Ammonium perchlorate [UN1442] [Oxidizer]', 'LS-102367', 'Ammonium perchlorate [UN1442]  [Oxidizer]', 'FT-0698969', 'Ammonium perchlorate [UN0402] [Explosive 1.1D]', 'Q410203', 'Ammonium perchlorate [UN0402]  [Explosive 1.1D]']</t>
  </si>
  <si>
    <t>Compound(24639)</t>
  </si>
  <si>
    <t>ClH4NO4</t>
  </si>
  <si>
    <t>ammonium hydroxide</t>
  </si>
  <si>
    <t>azanium;hydroxide</t>
  </si>
  <si>
    <t>['ammonium hydroxide', '1336-21-6', 'Ammonia water', 'Ammonia aqueous', 'Ammonia solution', 'Ammonium hydroxide ((NH4)(OH))', 'Aquammonia', 'Aqua ammonia', 'Ammonia, aqua', 'Household ammonia', 'Ammonia, aqueous solution', 'Ammonia, monohydrate', 'Ammonia water 29%', 'Caswell No. 044', 'Ammoniumhydroxid', 'Aqueous ammonia', 'NH4OH', 'SX 1 (ammonia water)', 'ammoniumhydroxide', 'Ammonia, aqueous', 'Ammonium hydroxide solution', 'SX 1', 'HSDB 5125', 'EINECS 215-647-6', 'UN2672', 'UN3318', 'EPA Pesticide Chemical Code 005301', 'UN2073', 'Ammonium aqueous (28% or less NH3)', 'Ammonia hydroxide, 25% solution in water', 'Ammonium hydroxide (28% or less ammonia)', 'Ammonia (ammonium hydroxide) 28% by weight or more NH3', 'Ammonia water [JAN]', 'Ammonium hydroxide, extra pure, 5 wt% in water', 'Ammonium hydroxide, extra pure, 10 wt% in water', 'Ammonium hydroxide, extra pure, 25% solution in water', 'Ammonium hydroxide, for analysis, 20% solution in water', 'Ammonium hydroxide, for analysis, 25% solution in water', 'ammoniaque', 'Ammonium hydroxide, ACS reagent, 28-30% solution in water', 'ammonia hydrate', 'water ammonia', 'ammonium hydoxide', 'ammonium hydroxid', 'ammonium hyroxide', 'amonium hydroxide', 'agua de amoniaco', 'Ammonium hydroxide, for analysis, 28-30 wt% solution of NH3 in water', 'ammonium hydorxide', 'amrnonium hydroxide', 'hidroxido de amonio', 'NH3 water', 'water NH3', "hydroxyde d'ammonium", 'Ammonia water (TN)', 'AMINE HYDRATE', 'Ammonia water (JP17)', 'EC 215-647-6', 'ACMC-1C98S', 'NH3 H2O', 'NH3-H2O', 'NH3.H2O', 'KSC175O9F', 'Ammonium Hydroxide Reagent ACS', 'DTXSID4020080', 'CHEBI:18219', 'CTK0H5792', 'KS-00000WFX', 'Ammonium hydroxide, 28% solution', 'MFCD00066650', 'AKOS015903971', 'AKOS030228272', 'LS-3168', 'E527', 'FT-0622304', 'Y1310', 'C01358', 'D04594', 'Ammonium hydroxide, solution 28-30% ACS reagent', 'J-006420', 'Ammonium hydroxide, Environmental Grade, 20-22% NH3', 'Ammonium hydroxide, for HPLC, 35% solution in water', 'Ammonium hydroxide, solution 14-16% w/w Trace Metals Grade', 'Ammonia solution, relative density &lt;0.880 at 15 degree C in water, with &gt;50% ammonia', 'Ammonia solution, relative density &lt;0.880 at 15 degree C in water, with &gt;50% ammonia [UN3318]  [Nonflammable gas, Poison gas]', 'Ammonia solution, relative density &lt;0.880 at 15 degree C in water, with &gt;50% ammonia [UN3318] [Nonflammable gas, Poison gas]', 'Ammonia solutions, relative density &lt;0.880 at 15 C in water, with &gt;35% but not &gt;50% ammonia', 'Ammonia solutions, relative density &lt;0.880 at 15 C in water, with &gt;35% but not &gt;50% ammonia [UN2073]  [Nonflammable gas]', 'Ammonia solutions, relative density &lt;0.880 at 15 C in water, with &gt;35% but not &gt;50% ammonia [UN2073] [Nonflammable gas]', 'Ammonia solutions, relative density between 0.880 and 0.957 at 15 C in water, with &gt;10% but not &gt;35% ammonia', 'Ammonia solutions, relative density between 0.880 and 0.957 at 15 C in water, with &gt;10% but not &gt;35% ammonia [UN2672]  [Corrosive]', 'Ammonia solutions, relative density between 0.880 and 0.957 at 15 C in water, with &gt;10% but not &gt;35% ammonia [UN2672] [Corrosive]']</t>
  </si>
  <si>
    <t>Compound(14923)</t>
  </si>
  <si>
    <t>H5NO</t>
  </si>
  <si>
    <t>Nitrification inhibition</t>
  </si>
  <si>
    <t>Nitrification rate</t>
  </si>
  <si>
    <t>Ratio nitrogen Kjeldahl / ammonium</t>
  </si>
  <si>
    <t>non-methane volatile organic compounds</t>
  </si>
  <si>
    <t>N , N , 2-trimethylaniline</t>
  </si>
  <si>
    <t>['N,N-Dimethyl-o-toluidine', 'N,N,2-TRIMETHYLANILINE', '609-72-3', 'Dimethyl-o-toluidine', 'o-Methyldimethylaniline', 'Benzenamine, N,N,2-trimethyl-', 'o-Toluidine, N,N-dimethyl-', '2-Methyl-N,N-dimethylaniline', 'N,N-Dimethyl-2-methylaniline', 'Benzene, 1-(dimethylamino)-2-methyl-', 'N,N,2-Trimethylbenzamine', 'N,N,2-Trimethylbenzenamine', 'NSC 1784', 'EINECS 210-199-8', 'BRN 2205144', 'UNII-56PT61F2XE', 'AI3-12124', '56PT61F2XE', '29256-93-7', 'trimethylaniline', 'NSC1784', 'Dimethyl-o-toluidin', 'N,2-Trimethylaniline', 'N,N-dimethyltoluidine', 'BENZENAMINE, N,N,?-TRIMETHYL-', '2-Dimethylaminotoluene', 'n,n-dimethyl toluidine', '2,N,N-Trimethylaniline', 'o-Toluidine,N-dimethyl-', 'ortho-dimethylaminotoluene', 'N.N-Dimethyl-o-toluidine', 'ACMC-1B0LR', "N,N'-dimethyl-o-toluidine", 'Benzenamine,N,2-trimethyl-', 'SCHEMBL29239', '4-12-00-01747 (Beilstein Handbook Reference)', 'Benzamine, N,N,2-trimethyl-', 'Benzeneamine,N,N,2-trimethyl-', 'DTXSID8052279', 'WLN: 1N1&amp;R B1', 'CTK3J5515', 'JDEJGVSZUIJWBM-UHFFFAOYSA-', 'N,N-Dimethyl-o-toluidine, 99%', 'KS-00000V2O', 'NSC-1784', 'ZINC1577031', 'ANW-33636', 'AKOS009028848', 'Benzamine, N,N,2-trimethyl- (9CI)', 'M720', 'SC-77866', 'DB-053756', 'LS-154353', 'D0805', 'FT-0629562', 'NS00019616', "N,N,2-Trimethylaniline;N,N-dimethyl-o-toluidine;N,N'-dimethyl-o-toluidine"]</t>
  </si>
  <si>
    <t>Compound(11869)</t>
  </si>
  <si>
    <t>N , N , 3-trimethylaniline</t>
  </si>
  <si>
    <t>['N,N-Dimethyl-m-toluidine', 'N,N,3-Trimethylaniline', '121-72-2', 'Benzenamine, N,N,3-trimethyl-', 'Dimethyl-m-toluidine', 'N,N-Dimethyl-3-methylaniline', 'm-Methyl-N,N-dimethylaniline', 'N,N-Dimethyl-m-methylaniline', 'm,N,N-Trimethylaniline', 'Dimetil-m-toluidina', 'N,N,3-Trimethylbenzenamine', 'Benzene, 1-(dimethylamino)-3-methyl-', 'm-TOLUIDINE, N,N-DIMETHYL-', 'NSC 1788', 'UNII-P0Q446WN3F', 'Dimetil-m-toluidina [Italian]', 'EINECS 204-495-6', 'n,n-dimethyl-meta-toluidine', 'BRN 1422766', 'P0Q446WN3F', 'dimethyl(3-methylphenyl)amine', 'W-109451', 'NSC1788', 'm,N-Trimethylaniline', 'N,3-Trimethylaniline', '3-Dimethylaminotoluene', 'Dimethyl-m-tolyl-amine', 'm-Toluidine,N-dimethyl-', '3-(Dimethylamino)toluene', 'ACMC-1BT9S', 'N,N-Dimethyl-3-toluidine', 'Benzenamine,N,3-trimethyl-', 'DSSTox_CID_30170', 'DSSTox_GSID_51618', 'SCHEMBL12879', '3-methyl-N,N-dimethylaniline', '4-12-00-01815 (Beilstein Handbook Reference)', 'Benzeneamine,N,N,3-trimethyl-', 'DTXSID9051618', 'CTK3J4353', 'N,N-Dimethyl-m-toluidine, 97%', 'NSC-1788', 'ZINC1577033', 'Tox21_303992', 'ANW-17767', 'MFCD00008305', 'SBB008276', 'AKOS016010566', 'FCH1115110', 'MCULE-3579011330', 'VZ36431', 'NCGC00357212-01', 'AK116034', 'CAS-121-72-2', 'CC-31871', 'SC-65125', 'U298', 'AX8142253', 'DB-041627', 'LS-154352', 'D0806', 'FT-0629507', 'NS00023975', 'ST51038007', 'C-31371', 'Q27285968']</t>
  </si>
  <si>
    <t>Compound(8488)</t>
  </si>
  <si>
    <t>N , N , 4-trimethylaniline</t>
  </si>
  <si>
    <t>['N,N-Dimethyl-p-toluidine', 'N,N,4-TRIMETHYLANILINE', '99-97-8', 'Dimethyl-p-toluidine', 'Benzenamine, N,N,4-trimethyl-', '4,N,N-Trimethylaniline', 'N,N-Dimethyl-4-methylaniline', 'N,N-Dimethyl-para-toluidine', 'N,N,4-Trimethylbenzenamine', 'Dimethyl-4-toluidine', 'p-(Dimethylamino)toluene', 'N,N-Dimethyl-4-toluidine', 'N,N-Dimethyl-p-tolylamine', 'p-Methyl-N,N-dimethylaniline', 'p,N,N-Trimethylaniline', 'Dimetil-p-toluidina', 'NSC 1785', 'p-Toluidine, N,N-dimethyl-', 'UNII-S8XC5939VU', 'Dimetil-p-toluidina [Italian]', 'CCRIS 1001', 'EINECS 202-805-4', 'S8XC5939VU', '1-(Dimethylamino)-4-methylbenzene', 'DSSTox_CID_1832', 'DSSTox_RID_76355', 'DSSTox_GSID_21832', 'W-100002', '4-Dimethylaminotoluene', 'N,N-Dimethyl-p-toluidine, 99%', 'p-N,N-Trimethylaniline', 'CAS-99-97-8', 'Benzeneamine,N,N,4-trimethyl-', 'HSDB 8202', 'MFCD00008316', 'N,4-Trimethylaniline', 'nn-dimethyl-p-toluidine', 'PubChem21347', 'ACMC-209sem', 'dimethyl-(p-tolyl)-amine', 'EC 202-805-4', 'Benzenamine,N,4-trimethyl-', 'SCHEMBL28378', 'KSC486S4L', 'MLS001050174', '4-dimethylamino-1-methylbenzene', '4,N,N-Trimethylaniline, 99%', 'CHEMBL1462714', 'DTXSID0021832', 'CTK3I6945', 'N,N-Dimethyl-p-methylphenylamine', 'NSC1785', 'KS-000009SY', 'NSC-1785', 'ZINC1577032', 'Tox21_201370', 'Tox21_300062', 'AC-368', 'ANW-41084', 'AKOS015915159', 'FCH1114870', 'LS-2199', 'NCGC00091397-01', 'NCGC00091397-02', 'NCGC00091397-03', 'NCGC00254201-01', 'NCGC00258922-01', 'AK162399', 'M724', 'SC-25990', 'SMR001216586', 'AX8142287', 'NL 65-100', 'D0807', 'FT-0629511', 'FT-0636092', 'FT-0656134', 'NS00002247', '4,N,N-Trimethylaniline, purum, &gt;=98.0% (GC)', 'Q2051705', 'DIMETHYLTOLYLAMINE;N,N-dimethyl-p-toluidine;Benzenamine, N,N,4-trimethyl-', '4,N,N-Trimethylaniline, catalyst grade (for peroxide polymerization), &gt;=98.5% (GC)', '4,N,N-Trimethylaniline, puriss., catalyst for peroxide polymerisations, &gt;=99.0% (GC)']</t>
  </si>
  <si>
    <t>Compound(7471)</t>
  </si>
  <si>
    <t>N , N-dimethyl- 1-dodecanamine</t>
  </si>
  <si>
    <t>N,N-dimethyldodecan-1-amine</t>
  </si>
  <si>
    <t>['N,N-Dimethyldodecylamine', '112-18-5', 'N,N-dimethyldodecan-1-amine', 'Dimethyl lauramine', 'Dodecyldimethylamine', 'Lauryldimethylamine', 'Antioxidant DDA', '1-Dodecanamine, N,N-dimethyl-', 'N,N-Dimethyl-n-dodecylamine', 'N,N-Dimethyllaurylamine', 'DDA (antioxidant)', 'Barlene 125', 'N-Lauryldimethylamine', 'N-Dodecyldimethylamine', 'Dimethyl-n-dodecylamine', 'Empigen AB', 'Monolauryl dimethylamine', 'DDA (corrosion inhibitor)', 'Armeen DM-12D', 'Farmin DM 20', 'Genamin LA 302D', 'Dodecylamine, N,N-dimethyl-', 'Farmin DM 2098', 'Dimethyldodecylamine', 'ADMA 2', 'Lauryl dimethyl amine', 'Armeen DM 12D', 'RC 5629', 'N,N-DIMETHYL-1-DODECANAMINE', 'NSC 7332', 'UNII-6V2OM30I1Z', 'Dimethyl laurylamine', 'HSDB 5568', 'NSC-7332', 'EINECS 203-943-8', '1-(Dimethylamino)dodecane', 'AI3-16726', '6V2OM30I1Z', 'CHEMBL109737', 'IPL', 'W-108655', 'C12-18-alkyldimethylamines', 'N,N-Dimethyldodecylamine, 95%, pract.', 'Barlene 12S', 'Amines, C12-18-alkyldimethyl', 'Dodecyl dimethyl amine', 'Adma 12', 'Ddacarbonate', '(C12-C18)Alkyldimethylamine', '(C12-C18) Alkyldimethylamine', 'Onamine 12', 'dimethyldodecyl amine', 'dodecyldimethyl amine', 'EINECS 269-923-6', 'MFCD00008970', 'Dodecyl-dimethyl-amine', 'Kemamine T-6902', 'Tertiary amines, C12-18-alkyldimethyl', '1-Dimethylaminododecane', 'Dodecylamine,N-dimethyl-', 'N,N-dimethyl-dodecylamine', 'ACMC-1C8UC', 'dimethylmono-n-dodecylamine', 'DSSTox_CID_6906', 'N,N-dimethyl-1-dodecamine', 'EC 203-943-8', 'EC 269-923-6', '1,1-Dimethyl-aminododecane', '1-Dodecanamine,N-dimethyl-', '12DMA', 'DSSTox_RID_78247', 'DSSTox_GSID_26906', 'N-Dodecyl-N,N-dimethylamine', '68391-04-8', 'KSC495C6L', 'SCHEMBL107058', '(C16-C18)Alkyldimethylamine', 'DTXSID1026906', 'N,N-Dimethyldodecylamine, 97%', 'CTK3J5165', 'KS-00000VME', 'NSC7332', 'BB_SC-06668', 'ZINC1687260', 'EINECS 269-915-2', 'Tox21_303073', 'ANW-16411', 'BBL011370', 'BDBM50147570', 'SBB059992', 'STL146467', 'AKOS005720939', 'WLN: 12N1 &amp; 1', 'MCULE-7234022591', 'NCGC00164121-01', 'NCGC00257196-01', 'CAS-112-18-5', 'CC-31856', 'LS-63562', 'SC-79515', 'VS-02931', 'DB-041048', 'D0002', 'FT-0629557', 'FT-0653316', 'NS00006542', 'ST51046254', 'X0089', 'EC 269-915-2', 'EN300-248170', 'C-28182', 'Q24736495']</t>
  </si>
  <si>
    <t>Compound(8168)</t>
  </si>
  <si>
    <t>C14H31N</t>
  </si>
  <si>
    <t>N , N-dimethylaniline</t>
  </si>
  <si>
    <t>['N,N-dimethylaniline', '121-69-7', 'Dimethylaniline', 'Dimethylphenylamine', 'Benzenamine, N,N-dimethyl-', 'N,N-Dimethylbenzenamine', '(Dimethylamino)benzene', 'N,N-Dimethylphenylamine', 'N,N-Dimethylbenzeneamine', 'Dimethylaminobenzene', 'Dwumetyloanilina', 'N,N-(Dimethylamino)benzene', 'N,N-dimethylanilin', 'Aniline, N,N-dimethyl-', 'Versneller NL 63/10', 'Dimethyl-phenyl-amine', 'NCI-C56428', 'Dimethylaniline, N,N-', 'Dwumetyloanilina [Polish]', 'NSC 7195', 'NL 63-10P', 'CCRIS 2381', 'HSDB 1179', 'EINECS 204-493-5', 'UN2253', 'N,N-Dimethyl-N-phenylamine', 'N,N-DIMETHYL-ANILINE', 'N,N-Dimethylaniline, 99%', 'UNII-7426719369', 'AI3-17284', 'CHEBI:16269', 'DSSTox_CID_507', 'DSSTox_RID_75629', 'DSSTox_GSID_20507', 'dimethyl aniline', 'CAS-121-69-7', 'N-N-Dimethylaniline', 'N, N-Dimethylaniline', 'N,N-dimethylaminobenzene', 'dimethyl-aniline', 'Dimethylphylamine', 'n-dimethylaniline', 'N,N-Dmethylanlne', 'N,N-dimethyaniline', 'N,N-dimethylamline', 'N,N dimethylaniline', 'N,N-dimethylaniiine', 'PhNMe2', 'n,n,-dimethylaniline', 'N,N-dirnethylaniline', 'N,N-dimethyl aniline', 'Dimethylaniline, N-N-', 'Dimethylanilin (N.N-)', 'N,N-dimethyl-Benzenamine', 'ACMC-1AU9Z', 'EC 204-493-5', 'PhN(CH3)2', 'SCHEMBL8277', 'KSC487I6P', 'MLS002222341', 'BIDD:ER0332', 'N,N-Dimethyl-N-phenylamine #', 'CHEMBL371654', 'DTXSID2020507', 'N,N-Dimethylaniline [UN2253]', 'N,N-dimethylaniline,sulfuric acid', 'NSC7195', 'WLN: 1N1 &amp; R', 'LS-21', 'KS-000002LV', 'NSC-7195', 'N,N-Dimethylaniline, LR, &gt;=99%', 'Tox21_201813', 'Tox21_300036', 'MFCD00008304', 'SBB040814', 'STL268843', 'ZINC12358697', 'AKOS000119088', 'MCULE-7231102072', 'UN 2253', 'NCGC00090724-01', 'NCGC00090724-02', 'NCGC00090724-03', 'NCGC00254056-01', 'NCGC00259362-01', 'SC-22778', 'SMR001252235', 'N,N-Dimethylaniline [UN2253] [Poison]', 'N,N-Dimethylaniline [UN2253]  [Poison]', 'N,N-Dimethylaniline, ReagentPlus(R), 99%', 'D0665', 'D3866', 'N,N-Dimethylaniline, for synthesis, 99.5%', 'NS00010833', 'ST45255290', '6124-EP0930075A1', '6124-EP2269977A2', '6124-EP2269989A1', '6124-EP2275411A2', '6124-EP2281563A1', '6124-EP2281815A1', '6124-EP2281817A1', '6124-EP2284174A1', '6124-EP2287160A1', '6124-EP2287165A2', '6124-EP2287166A2', '6124-EP2289868A1', '6124-EP2292620A2', '6124-EP2295415A1', '6124-EP2295430A2', '6124-EP2295431A2', '6124-EP2298731A1', '6124-EP2298750A1', '6124-EP2298763A1', '6124-EP2298772A1', '6124-EP2298774A1', '6124-EP2301926A1', '6124-EP2301933A1', '6124-EP2305633A1', '6124-EP2305647A1', '6124-EP2308562A2', '6124-EP2308839A1', '6124-EP2308857A1', '6124-EP2308867A2', '6124-EP2308870A2', '6124-EP2308926A1', '6124-EP2311827A1', '6124-EP2314586A1', '6124-EP2374783A1', '6124-EP2377813A1', '6124-EP2377841A1', '6124-EP2380869A1', '6124-EP2380870A1', 'C02846', '23555-EP2280000A1', '23555-EP2281818A1', '23555-EP2284169A1', '23555-EP2284174A1', '23555-EP2287161A1', '23555-EP2287162A1', '23555-EP2287165A2', '23555-EP2287166A2', '23555-EP2292597A1', '23555-EP2292606A1', '23555-EP2292620A2', '23555-EP2298768A1', '23555-EP2314582A1', '23555-EP2371811A2', '135609-EP2277868A1', '135609-EP2277869A1', '135609-EP2277870A1', '135609-EP2292608A1', '162125-EP2281821A1', 'N,N-Dimethylaniline, SAJ first grade, &gt;=99.0%', 'N,N-Dimethylaniline;N,N-dimethylanilinium chloride', 'Q310473', 'J-004597', 'J-523266', 'F0001-0348', 'N,N-Dimethylaniline, purified by redistillation, &gt;=99.5%']</t>
  </si>
  <si>
    <t>Compound(949)</t>
  </si>
  <si>
    <t>N , N-diethylaniline</t>
  </si>
  <si>
    <t>['N,N-DIETHYLANILINE', '91-66-7', 'Diethylaniline', 'Benzenamine, N,N-diethyl-', 'N,N-Diethylanilin', 'Diethylphenylamine', 'N,N-Diethyl aniline', 'Diaethylanilin', 'Phenyldiethylamine', 'Aniline, N,N-diethyl-', 'N,N-Diethylaminobenzene', 'N-Phenyldiethylamine', 'N,N-Diethylbenzenamine', 'Diaethylanilin [German]', 'UNII-1WR1HJ2PGW', 'NSC 7205', 'N,N-Diethylanilin [Czech]', 'diethyl-phenyl-amine', 'CCRIS 2847', 'N, N-Diethylaniline', 'HSDB 1639', 'EINECS 202-088-8', 'Benzamine, N,N-diethyl-', 'UN2432', '1WR1HJ2PGW', 'AI3-52227', 'DSSTox_CID_1800', 'N,N-Diethylaniline, 99%', 'DSSTox_RID_76334', 'DSSTox_GSID_21800', 'diethyl aniline', 'CAS-91-66-7', '(N,N-Diethylaniline)trihydroboron', 'N,N-Dethylanlne', 'N,N-diethyianiline', 'diethylamino benzene', 'Et2NPh', 'PhNEt2', 'MFCD00009042', 'N,N-diethyl-aniline', '(diethylamino)benzene', 'ACMC-20aj0h', 'N,N-Diethylaniline-4-D', 'EC 202-088-8', 'N,N-Diethylaniline, 98%', 'SCHEMBL17594', 'KSC493Q5R', 'MLS002303040', 'BIDD:GT0823', 'N,N-Diethyl-N-phenylamine #', 'N,N-Diethylaniline, &gt;=99%', 'CHEMBL252071', 'WLN: 2N2&amp;R', 'DTXSID8021800', 'CTK3J3858', 'KS-00000VEX', 'NSC7205', 'HMS3039C12', 'ADAL1185349', 'NSC-7205', 'ZINC5849806', 'Tox21_201496', 'Tox21_300569', 'ANW-75567', 'MFCD31699978', 'SBB060520', 'STL263867', 'AKOS000119089', 'LS-1927', 'MCULE-5071230260', 'PS-6141', 'UN 2432', 'NCGC00091331-01', 'NCGC00091331-02', 'NCGC00091331-03', 'NCGC00254308-01', 'NCGC00259047-01', 'SC-75389', 'SMR001307329', 'SY246295', 'N, N-Diethylaniline [UN2432] [Poison]', 'D0475', 'FT-0629467', 'N, N-Diethylaniline [UN2432]  [Poison]', 'NS00003372', 'ST45255329', 'N,N-Diethylaniline, purum, &gt;=98.0% (GC)', 'N,N-Diethylaniline, puriss. p.a., &gt;=99.5%', 'J-523236', 'Q1482984', 'Z57770738', 'F0001-2220', '2065185-74-0']</t>
  </si>
  <si>
    <t>Compound(7061)</t>
  </si>
  <si>
    <t>N , N-dibutylformamide</t>
  </si>
  <si>
    <t>['N,N-DIBUTYLFORMAMIDE', '761-65-9', 'Dibutylformamide', 'Formamide, N,N-dibutyl-', 'N,N-Di-n-butylformamide', 'Formamide, N,N-di-n-butyl-', 'Dibutylamid kyseliny mravenci', 'UNII-4315805S5N', 'EINECS 212-090-0', 'Dibutylamid kyseliny mravenci [Czech]', 'NSC 404525', 'BRN 0636100', 'AI3-18810', '4315805S5N', 'N,N-Dibutylformamide, 99+%', 'W-104375', 'formamide, dibutyl-', 'Formamide,N-dibutyl-', 'n,n-dibutyl-formamide', 'ACMC-1BFBY', 'Formamide,N-di-n-butyl-', 'EC 212-090-0', 'SCHEMBL26772', 'N,N-Dibutylformamide, 99%', '4-04-00-00565 (Beilstein Handbook Reference)', 'WLN: VHN4&amp;4', 'DTXSID3022114', 'CTK2H7610', 'KS-00000UNU', 'BCP29821', 'ZINC1597363', 'ZX-AT013676', 'ANW-36742', 'MFCD00003289', 'NSC404525', 'AKOS009157162', 'NSC-404525', 'OR51755', 'Dibutylformamide;Formamide, N,N-dibutyl-', 'AK163260', 'CC-31775', 'LS-69455', 'U184', 'AX8141994', 'DB-075075', 'D2147', 'FT-0629573', 'NS00009641', 'C-29939', 'Q27258593', 'F0001-1929']</t>
  </si>
  <si>
    <t>Compound(12975)</t>
  </si>
  <si>
    <t>C9H19NO</t>
  </si>
  <si>
    <t>N , N-diallyldichloroacetamide</t>
  </si>
  <si>
    <t>2,2-dichloro-N,N-bis(prop-2-enyl)acetamide</t>
  </si>
  <si>
    <t>['Dichlormid', '37764-25-3', 'N,N-Diallyldichloroacetamide', 'N,N-DIALLYL-2,2-DICHLOROACETAMIDE', 'Acetamide, 2,2-dichloro-N,N-di-2-propenyl-', 'Compound R-25788', 'Stauffer R-25788', 'Dichloromide', '2,2-dichloro-N,N-bis(prop-2-enyl)acetamide', 'R-25788', 'UNII-E901J4382O', 'EINECS 253-658-8', 'Acetamide, N,N-diallyl-2,2-dichloro-', 'BRN 1768843', '2,2-Dichloro-N,N-di-2-propenylacetamide', 'Dichloromid', 'CHEBI:81956', 'N,N-Diallyl-2,3-dichloroacetamide', 'E901J4382O', 'DSSTox_CID_7997', 'DSSTox_RID_78634', 'Acetamide, 2,2-dichloro-N,N-di-2-propen-1-yl-', 'DSSTox_GSID_27997', 'CAS-37764-25-3', 'N,N-Diallyldichloracetamide', 'N,N-diallyl dichloroacetamide', 'KSC492G8R', 'SCHEMBL117463', 'CHEMBL2251310', 'DTXSID4027997', 'CTK3J2388', 'HSDB 8428', 'YRMLFORXOOIJDR-UHFFFAOYSA-', 'KS-000010BQ', 'ZINC1843519', 'Tox21_202064', 'Tox21_303463', 'AKOS003254307', 'dichlormid;N,N-diallyldichloroacetamide', 'CS-W015238', 'HY-W014522', 'LS-8794', 'MCULE-3178191432', 'ACM37764253', 'NCGC00257385-01', 'NCGC00259613-01', '2,2-dichloro-N,N-diprop-2-enylacetamide', 'AK129202', 'SC-22690', 'AX8041641', 'DB-049191', '2,2-dichloro-N,N-di(prop-2-enyl)acetamide', 'D3397', 'FT-0639405', 'NS00000071', 'ST50684874', 'Dichlormid, PESTANAL(R), analytical standard', '64D253', 'C18782', '33426-EP2274983A1', '33426-EP2305655A2', '33426-EP2311815A1', '33426-EP2371823A1', 'A823859', 'C-10530', '2,2-bis(chloranyl)-N,N-bis(prop-2-enyl)ethanamide', 'Q3026531']</t>
  </si>
  <si>
    <t>Compound(37829)</t>
  </si>
  <si>
    <t>C8H11Cl2NO</t>
  </si>
  <si>
    <t>N-nitrosomorpholine</t>
  </si>
  <si>
    <t>4-nitrosomorpholine</t>
  </si>
  <si>
    <t>['N-NITROSOMORPHOLINE', '4-Nitrosomorpholine', '59-89-2', 'Morpholine, 4-nitroso-', 'Nitrosomorpholine', 'NMOR', 'N-Nitrosomorpholin', 'Morpholine, N-nitroso-', 'N-Nitrosomorfolin', 'NSC 139', 'N-Nitrosomorfolin [Czech]', 'N-Nitrosomorpholin [German]', 'UNII-3L25FO7FN7', 'CCRIS 473', '4-Nitroso-morpholine', 'HSDB 4308', 'NCI-C02164', 'BRN 0112139', 'N-Nitrosomorpholine (NMOR)', '3L25FO7FN7', 'CHEBI:76326', 'DSSTox_CID_1056', 'DSSTox_RID_75922', 'DSSTox_GSID_21056', 'CAS-59-89-2', 'Molsidomine impurity B', 'ACMC-209mgu', 'NMOR;N-nitrosomorpholine', 'WLN: T6N DOTJ ANO', 'CHEMBL165908', 'NSC139', 'SCHEMBL1578515', 'DTXSID4021056', 'CTK1H1015', 'NSC-139', 'KS-000013MA', 'ZINC3875397', 'Tox21_202132', 'Tox21_302867', 'ANW-33388', 'LS-254', 'STL301087', 'AKOS015903272', 'FCH1116583', 'MCULE-8445460226', 'NCGC00249174-01', 'NCGC00256343-01', 'NCGC00259681-01', 'DB-053489', 'HY-131123', 'CS-0128913', 'FT-0631266', 'N0466', 'NS00010254', 'C19283', 'N-Nitrosomorpholine 100 microg/mL in Methanol', 'C-51142', 'Q22138414', 'Molsidomine impurity B, European Pharmacopoeia (EP) Reference Standard', '1219805-76-1', '67587-56-8']</t>
  </si>
  <si>
    <t>Compound(6046)</t>
  </si>
  <si>
    <t>C4H8N2O2</t>
  </si>
  <si>
    <t>N , N-bis ( 2-methylpropyl) amine</t>
  </si>
  <si>
    <t>2-methyl-N-(2-methylpropyl)propan-1-amine</t>
  </si>
  <si>
    <t>['Diisobutylamine', '110-96-3', '1-Propanamine, 2-methyl-N-(2-methylpropyl)-', 'di-isobutylamine', 'bis(2-methylpropyl)amine', 'Amine, diisobutyl-', 'Bis(beta-methylpropyl)amine', 'N,N-BIS(2-METHYLPROPYL)AMINE', 'UNII-T18Y0A819S', 'diisobutyl-amine', 'HSDB 5543', 'Di(-2-methylpropyl)amine', 'EINECS 203-819-3', 'UN2361', '(i-C4H9)2NH', 'BRN 1209251', 'CCRIS 6232', 'AI3-15330', 'Diisobutylamine, 99%', '2-Methyl-N-(2-methylpropyl)-1-propanamine', 'T18Y0A819S', 'N-isobutyl-2-methylpropan-1-amine', 'disec-butylamine', 'DI-ISO-BUTYLAMINE', 'diisobutylamin', 'di-i-butylamine', 'diisobutyl amine', 'N,N-diisobutylamine', '2-methyl-N-(2-methylpropyl)propan-1-amine', 'DSSTox_CID_5079', 'DSSTox_RID_77655', 'DSSTox_GSID_25079', 'SCHEMBL64203', 'KSC492C0D', 'ACMC-20997v', 'CHEMBL3187581', 'DTXSID5025079', 'CTK3J2101', 'KS-00000VJV', 'STR04304', 'ZINC2041067', 'Tox21_200177', '8013AF', 'ANW-16217', 'LS-521', 'MFCD00008930', 'SBB058770', 'STL183306', 'AKOS000227246', 'N-Isobutyl-2-methyl-1-propanamine #', 'MCULE-7558581759', 'UN 2361', 'NCGC00248551-01', 'NCGC00257731-01', 'CAS-110-96-3', 'SC-16453', 'D0614', 'FT-0624984', 'NS00041299', 'ST51037931', 'Diisobutylamine [UN2361] [Flammable liquid]', 'Diisobutylamine [UN2361]  [Flammable liquid]', 'J-002492', 'Q23978431', 'Z90514122', 'F2190-0306']</t>
  </si>
  <si>
    <t>Compound(8085)</t>
  </si>
  <si>
    <t>N , N'- bis ((5-isocyanate-1,3,3-trimethylcyclohexyl) methyl) urea</t>
  </si>
  <si>
    <t>1,3-bis[(5-isocyanato-1,3,3-trimethylcyclohexyl)methyl]urea</t>
  </si>
  <si>
    <t>['55525-54-7', "Urea, N,N'-bis[(5-isocyanato-1,3,3-trimethylcyclohexyl)methyl]-", "3,3'-(Ureylenedimethylene)bis(3,5,5-trimethylcyclohexyl) diisocyanate", 'W-111105', "N,N'-Bis((5-isocyanato-1,3,3-trimethylcyclohexyl)methyl)urea", "N,N'-Bis[(5-isocyanato-1,3,3-trimethylcyclohexyl)methyl]urea", "3,3'-(Ureylenedimethylene)bis(3,5,5-trimethylcyclohexyl)diisocyanate", "Urea, N,N'-bis((5-isocyanato-1,3,3-trimethylcyclohexyl)methyl)-", 'EINECS 259-695-6', 'SCHEMBL16321574', 'CTK5A3754', 'DTXSID20885750', "N,N'-Bis(5-isocyanato-1,3,3-trimethylcyclohexylmethyl)urea", 'NS00054883', "Urea,N,N'-bis[(5-isocyanato-1,3,3-trimethylcyclohexyl)methyl]-"]</t>
  </si>
  <si>
    <t>Compound(108344)</t>
  </si>
  <si>
    <t>C23H38N4O3</t>
  </si>
  <si>
    <t>nitrobenzene</t>
  </si>
  <si>
    <t>['NITROBENZENE', '98-95-3', 'Nitrobenzol', 'Benzene, nitro-', 'Oil of mirbane', 'Mirbane oil', 'Essence of mirbane', 'nitro-Benzene', 'Nitrobenzeen', 'Oil of myrbane', 'Nitrobenzen', 'Mononitrobenzene', 'Essence of Myrbane', 'RCRA waste number U169', 'p-Nitrobenzene', '1-nitrobenzene', 'Nitrobenzeen [Dutch]', 'Nitrobenzen [Polish]', 'Caswell No. 600', 'UNII-E57JCN6SSY', 'NCI-C60082', 'NSC 9573', 'CCRIS 2841', 'HSDB 104', 'BENZENE,NITRO', 'CHEBI:27798', 'BENZENE-NO2', 'EINECS 202-716-0', 'UN1662', 'E57JCN6SSY', 'RCRA waste no. U169', 'EPA Pesticide Chemical Code 056501', '2-nitrobenzene', 'AI3-01239', 'Nitro(2H5)benzene', 'NCGC00091398-02', 'DSSTox_CID_964', 'DSSTox_RID_75892', 'DSSTox_GSID_20964', 'Nitrobenzene, 99%, extra pure', 'Nitrobenzene, 99+%, ACS reagent', 'Nitrobenzene, 99.5%, for analysis', 'CAS-98-95-3', 'Poly(nitrobenzene)', 'NBZ', 'Benzene, nitro-, homopolymer', 'nitro benzene', 'p-Nitrophenyl', '3-nitrobenzene', '4-nitrobenzene', 'benzene, nitro', 'mono nitro benzene', 'Nitrobenzol, liquid', 'Pnp, p-nitrophenol', 'Nitrobenzeen(DUTCH)', 'Nitrobenzen(POLISH)', 'Oxohydroxyphenylaminium', 'PhNO2', 'MYRBANE OIL', 'WLN: WNR', 'Nitrobenzol, liquid(DOT)', 'bmse000676', 'Epitope ID:117707', 'EC 202-716-0', 'Benzene, nitro-;nitrobenzene', 'SCHEMBL20411', 'ghl.PD_Mitscher_leg0.646', 'KSC175O1B', 'BIDD:ER0702', 'CHEMBL15750', 'Nitrobenzene, LR, &gt;=99%', 'DTXSID3020964', 'SCHEMBL11481750', 'Nitrobenzene, analytical standard', 'TIMTEC-BB SBB040911', 'NSC9573', 'LABOTEST-BB LTBB002583', 'ZINC896426', 'KS-00000X5N', 'Nitrobenzene [UN1662] [Poison]', 'NSC-9573', 'AKOS BBS-00004396', 'Tox21_111127', 'Tox21_201750', 'Tox21_300508', 'BDBM50352162', 'MFCD00007043', 'Nitrobenzene [UN1662]  [Poison]', 'Nitrobenzene, ReagentPlus(R), 99%', 'SBB040911', 'STL282724', 'AKOS000120124', 'AS01461', 'LS-2052', 'MCULE-5706199116', 'Nitrobenzene 10 microg/mL in Methanol', 'UN 1662', 'Nitrobenzene 100 microg/mL in Methanol', 'Nitrobenzene, ACS reagent, &gt;=99.0%', 'NCGC00091398-01', 'NCGC00091398-03', 'NCGC00091398-04', 'NCGC00254526-01', 'NCGC00259299-01', '26969-40-4', 'SC-75249', 'Nitrobenzene, p.a., ACS reagent, 99.0%', 'Nitrobenzene, SAJ first grade, &gt;=99.0%', 'FT-0613200', 'FT-0619248', 'FT-0622346', 'Hydroxy(phenyl)azane oxide (ACD/Name 4.0)', 'N0758', 'Nitrobenzene, JIS special grade, &gt;=99.5%', 'NS00001683', 'ST50214514', 'X6785', '6343-EP2272832A1', '6343-EP2275404A1', '6343-EP2275407A1', '6343-EP2277622A1', '6343-EP2279750A1', '6343-EP2284165A1', '6343-EP2284174A1', '6343-EP2289896A1', '6343-EP2289965A1', '6343-EP2295503A1', '6343-EP2298756A1', '6343-EP2301918A1', '6343-EP2301924A1', '6343-EP2308833A2', '6343-EP2308926A1', '6343-EP2311808A1', '6343-EP2311811A1', '6343-EP2311812A1', '6343-EP2311817A1', '6343-EP2311829A1', '6343-EP2314590A1', '6343-EP2316835A1', 'C06813', 'Nitrobenzene, PESTANAL(R), analytical standard', '112250-EP2284166A1', '112250-EP2298749A1', '170422-EP2272972A1', '170422-EP2272973A1', '170422-EP2275413A1', '170422-EP2277872A1', '170422-EP2287156A1', '177911-EP2277870A1', 'A845934', 'Q407290', 'F0001-2324']</t>
  </si>
  <si>
    <t>Compound(7416)</t>
  </si>
  <si>
    <t>C6H5NO2</t>
  </si>
  <si>
    <t>[(2S,3R,4S,5R,6R)-2-[(2R,3R,4S,5R,6S)-4,5-dinitrooxy-2-(nitrooxymethyl)-6-[(2R,3R,4S,5R,6S)-4,5,6-trinitrooxy-2-(nitrooxymethyl)oxan-3-yl]oxyoxan-3-yl]oxy-3,5-dinitrooxy-6-(nitrooxymethyl)oxan-4-yl] nitrate</t>
  </si>
  <si>
    <t>['Nitrocellulose', 'Piroxilina', 'Pyroxyline', 'Pyroxylinum', 'Pyroxylin', 'gun cotton', 'Cellulose nitrate', 'Cellulose tetranitrate', '9004-70-0', 'CHEBI:53325']</t>
  </si>
  <si>
    <t>Compound(44263835)</t>
  </si>
  <si>
    <t>C18H21N11O38</t>
  </si>
  <si>
    <t>2,4-dichloro-1-(4-nitrophenoxy)benzene</t>
  </si>
  <si>
    <t>['NITROFEN', '1836-75-5', '2,4-Dichloro-1-(4-nitrophenoxy)benzene', 'Nitrochlor', 'Nitrophen', 'Niclofen', 'Nitrophene', 'Trizilin', 'Mezotox', 'Nitrafen', 'Nitraphen', '2,4-Dichlorophenyl 4-nitrophenyl ether', 'Preparation 125', 'Trizilin 25', 'Tokkorn', 'Benzene, 2,4-dichloro-1-(4-nitrophenoxy)-', 'TOK E', 'TOK E 40', "2,4-Dichloro-4'-nitrodiphenyl ether", 'Nitrofene [French]', 'Ether, 2,4-dichlorophenyl p-nitrophenyl', '4-(2,4-Dichlorophenoxy)nitrobenzene', "4'-Nitro-2,4-dichlorodiphenyl ether", "4-Nitro-2',4'-dichlorophenyl ether", 'Caswell No. 323D', 'Nitrofen [BSI:ISO]', '2,4-Dichlorophenyl p-nitrophenyl ether', 'Nitrofene [ISO-French]', 'Nitrofen (technical grade)', 'TOK-2', 'UNII-N71UYG034A', 'FW 925', 'CCRIS 444', 'TOK WP-50', "2',4'-dichloro-4-nitrodiphenyl ether", "4-Nitro-2',4'-dichlorodiphenyl ether", 'TOK E-25', 'HSDB 1578', 'NCI-C00420', "2,4-Dichloro-4'-nitrophenyl ether", 'Nitrofen, technical-grade', 'EINECS 217-406-0', 'EPA Pesticide Chemical Code 038201', "2',4'-Dichloro-4-nitrobiphenyl ether", '2,4-Dechlorophenyl p-nitrophenyl ether', 'BRN 1887356', '2,4-Dichlorophenyl-p-nitro phenyl ether', 'N71UYG034A', 'TOK E 25', 'TOK', '2,4-Dichlorphenyl-4-nitrophenylaether [German]', 'Nitrofene', 'DSSTox_CID_970', '2,4-dichloro-1-[(4-nitrophenyl)oxy]benzene', 'DSSTox_RID_75897', 'DSSTox_GSID_20970', '4-(2,4-dichlorophenoxy)-1-nitrobenzene', "4-Nitro-2',4'-dichloro-diphenyl ether", 'CAS-1836-75-5', 'nitofen', 'Nitrahen', 'Nitrofen solution', 'Nitrofen (NIP)', '2,4-Dichlorphenyl-4-nitrophenylaether', 'PubChem12693', 'Maybridge1_005949', 'Oprea1_309813', 'SCHEMBL38981', 'Nitrofen, analytical standard', 'KSC933Q5J', 'BIDD:ER0399', 'CHEBI:7590', 'CHEMBL561004', 'DTXSID7020970', 'CTK8D3854', 'HMS558G09', 'KS-00000GTD', 'ZINC71446', 'HY-B1877', 'Mezotox; NIP; Niclofen; Nitrochlo', '2,4-Dechlorophenylp-nitrophenylether', 'Tox21_202438', 'Tox21_300276', '9619AA', 'LS-951', 'MFCD00128026', 'SBB058471', 'STK365913', 'Nitrofen 10 microg/mL in Cyclohexane', "2,4-Dichloro-4'-nitrobiphenyl Ether", 'AKOS005442931', "4'-nitro -2,4-dichlorodiphenyl ether", 'MCULE-8777448447', 'Nitrofen 10 microg/mL in Acetonitrile', 'NCGC00163983-01', 'NCGC00163983-02', 'NCGC00163983-03', 'NCGC00253936-01', 'NCGC00259987-01', '1-(2,4-Dichlorophenoxy)-4-nitrobenzene', 'AK-33821', 'DS-12551', '2,4-Dichloro-1-(4-nitrophenoxy)-Benzene', '4-(2,4-dichloro-phenoxy)-1-nitrobenzene', '2,4-Dichloro-1-(4-nitrophenoxy)benzene #', 'DB-005129', 'CS-0013943', 'D3912', 'FT-0601537', 'Nitrofen, PESTANAL(R), analytical standard', 'NS00000514', 'ST50407092', '2,4-bis(chloranyl)-1-(4-nitrophenoxy)benzene', 'A26462', 'C11065', 'L000684', 'Q414023', 'J-011770', '2,4-Dichloro-(4-nitrophenoxy)-Benzene;2,4-dichloro-1-(4-nitrophenoxy)-benzen;2,4-Dichloro-4-nitrophenylether']</t>
  </si>
  <si>
    <t>Compound(15787)</t>
  </si>
  <si>
    <t>C12H7Cl2NO3</t>
  </si>
  <si>
    <t>nitroglycerin</t>
  </si>
  <si>
    <t>Nitrate / nitrite ratio</t>
  </si>
  <si>
    <t>Norm fraction</t>
  </si>
  <si>
    <t>3-[(2S)-1-nitrosopyrrolidin-2-yl]pyridine</t>
  </si>
  <si>
    <t>['N-NITROSONORNICOTINE', '16543-55-8', 'Nitrosonornicotine', "1'-Nitrosonornicotine", 'UNII-X656TZ86DX', "(2S)-N'-Nitrosonornicotine", 'CCRIS 1218', "1'-Demethyl-1'-nitrosonicotine", "1'-Nitroso-1'-demethylnicotine", "1'-Desmethyl-1'-nitrosonicotine", 'HSDB 5114', '(S)-N-nitrosonornicotine', "Nicotine, 1'-demethyl-1'-nitroso-", "Nicotine, 1'-nitroso-1'-demethyl-", '1-Nitroso-2-(3-pyridyl)pyrrolidine', '3-(1-Nitroso-2-pyrrolidinyl)pyridine', 'Pyridine, 3-(1-nitroso-2-pyrrolidinyl)-, (S)-', 'X656TZ86DX', '(S)-3-(1-Nitrosopyrrolidin-2-yl)pyridine', '3-[(2S)-1-nitrosopyrrolidin-2-yl]pyridine', "anti-N'-Nitrosonornicotine", "(S)-N'-Nitrosonornicotine", '(S)-NNN', 'Pyridine, 3-((2S)-1-nitroso-2-pyrrolidinyl)-', 'SCHEMBL166107', 'DTXSID4021476', 'ZINC5420992', '3-(1-Nitroso-2-pyrolidinyl)pyridine', 'AKOS006273165', 'LS-7152', '(2S)-1-Nitroso-2-(3-pyridyl)pyrrolidine', 'J-010203', '(2S)-N inverted exclamation mark -Nitrosonornicotine', 'Q10859673', 'Q55135137']</t>
  </si>
  <si>
    <t>Compound(12613538)</t>
  </si>
  <si>
    <t>C9H11N3O</t>
  </si>
  <si>
    <t>1-nitrosopiperidine</t>
  </si>
  <si>
    <t>['N-NITROSOPIPERIDINE', '1-Nitrosopiperidine', 'Piperidine, 1-nitroso-', '100-75-4', 'Nitrosopiperidin', 'NO-Pip', 'N-Nitroso-piperidin', 'NPIP', 'RCRA waste number U179', 'Pyridine, hexahydro-N-nitroso-', 'N-PIP', 'NSC 138', 'Nitrosopiperidin [German]', 'N-Nitrosopiperidine (NPIP)', 'UNII-6N066XUL4L', 'CCRIS 477', 'N-Nitroso-piperidin [German]', '1-Nitroso-piperidine', 'N-N-Pip', 'HSDB 5115', 'EINECS 202-886-6', 'TL 266', 'RCRA waste no. U179', 'BRN 0110253', '6N066XUL4L', 'CHEBI:76324', 'Piperidine,1-nitroso-', 'N-nitrosohexahydropyridine', 'WLN: T6NTJ ANO', 'DSSTox_CID_1060', 'pyridine,hexahydro-N-nitroso', 'DSSTox_RID_75924', '1-Nitrosopiperidine (NPIP)', 'DSSTox_GSID_21060', '5-20-03-00530 (Beilstein Handbook Reference)', 'MLS002152912', 'SCHEMBL605035', 'CHEMBL165244', 'NSC138', 'DTXSID8021060', 'CTK0H7364', 'NSC-138', 'HMS3039N10', 'ZINC3875687', 'Tox21_200267', 'LS-312', 'AKOS006275616', 'NCGC00091386-01', 'NCGC00091386-02', 'NCGC00257821-01', 'CAS-100-75-4', 'SMR001224515', 'FT-0631528', 'FT-0672988', 'FT-0672989', 'NS00000639', 'N-Nitrosopiperidine 10 microg/mL in Methanol', 'C19284', 'N-Nitrosopiperidine (NPIP);1-nitrosopiperidine', 'Q22138417']</t>
  </si>
  <si>
    <t>Compound(7526)</t>
  </si>
  <si>
    <t>C5H10N2O</t>
  </si>
  <si>
    <t>1-nitrosopyrrolidine</t>
  </si>
  <si>
    <t>['1-Nitrosopyrrolidine', 'N-NITROSOPYRROLIDINE', '930-55-2', 'Pyrrolidine, 1-nitroso-', 'NPYR', 'Nitrosopyrrolidine', 'No-pyr', 'N-Nitrosopyrrolidin', 'N-PYR', '1-Pyrrolidinamine, N-nitroso-', 'N-Nitroso-pyrrolidine', '1-nitroso-Pyrrolidine', 'RCRA waste number U180', 'UNII-SZ4J5WK201', 'NSC 18797', 'CCRIS 478', 'N-Nitrosopyrrolidin [German]', 'N-Nitrosopyrrolidine (NPYR)', 'Pyrrole, tetrahydro-N-nitroso-', 'HSDB 5116', 'EINECS 213-218-8', 'RCRA waste no. U180', 'BRN 0107615', 'AI3-62030', 'SZ4J5WK201', 'CHEBI:82362', 'DSSTox_CID_1062', 'DSSTox_RID_75925', 'DSSTox_GSID_21062', '35884-45-8', 'CAS-930-55-2', 'Pyrrolidine, nitroso-', 'Nitroso-Pyrrolidine', 'N-N-PYR', 'WLN: T5NTJ ANO', '1-Nitrosopyrrolidine, 99%', 'N-Nitroso-1-Pyrrolidinamine', 'Tetrahydro-N-nitroso-Pyrrole', '1-Nitrosopyrrolidine (NPYR)', '5-20-01-00521 (Beilstein Handbook Reference)', 'SCHEMBL606668', 'CHEMBL351175', 'DTXSID8021062', 'CTK3I6756', 'NSC18797', 'ZINC4528554', 'Tox21_202356', 'Tox21_302913', 'FCH831771', 'NSC-18797', 'AKOS006227868', 'LS-7154', 'MCULE-8449068120', 'NCGC00249214-01', 'NCGC00256421-01', 'NCGC00259905-01', 'CC-33024', 'DB-057363', 'LS-194109', 'FT-0633121', 'NS00010284', 'C19285', 'N-Nitrosopyrrolidine 10 microg/mL in Methanol', 'N-Nitrosopyrrolidine 100 microg/mL in Methanol', '157323-EP2284153A2', '157323-EP2284164A2', '157323-EP2287150A2', 'C-29877', 'Q22138421']</t>
  </si>
  <si>
    <t>Compound(13591)</t>
  </si>
  <si>
    <t>C4H8N2O</t>
  </si>
  <si>
    <t>nitrogen oxides</t>
  </si>
  <si>
    <t>hydroxylamine</t>
  </si>
  <si>
    <t>['hydroxylamine', '7803-49-8', 'Oxammonium', 'Nitroxide', 'HYDROXYAMINE', 'NH2OH', 'Oxyammonia', 'hydroxyazanyl', 'UNII-2FP81O2L9Z', 'HSDB 579', 'Nitrogen oxide (NOx)', 'dihydridohydroxidonitrogen', 'EINECS 232-259-2', '2FP81O2L9Z', 'CHEBI:15429', 'Nitrogen oxides', 'Nitrinous acid', 'arninoalcohol', 'hyroxylamine', 'Hydroxylamin', 'amino alcohol', 'amino-alcohol', 'hydroxy amine', 'hydroxyl amine', 'hydroxyl-amine', 'azinous acid', 'N-hydroxyamine', 'amine N-oxide', '(1) hydroxylamine', 'Hydroxylaminesolution', '(hydroxyamino)methanol', 'H2NHO', 'H2NOH', 'HONH2', 'Lopac-H-9876', 'Epitope ID:117722', 'H2N-OH', 'EC 232-259-2', 'Lopac0_000637', '[NH2OH]', 'N H2 O H', 'CHEMBL1191361', 'DTXSID7041043', 'CTK2H8929', 'CTK8G5726', 'BCP03655', 'KS-00000V4I', 'BDBM50082140', 'MFCD00044522', 'AKOS009031565', 'CCG-204724', 'Hydroxylamine (50% solution in water)', 'MCULE-3913133443', 'SDCCGSBI-0050617.P002', 'MRF-0000034', 'NCGC00015527-01', 'NCGC00015527-02', 'NCGC00015527-03', 'NCGC00162208-01', 'LS-77353', 'LS-96747', 'SC-51896', 'DB-080981', 'Hydroxylamine solution, 50 wt. % in H2O', 'FT-0627150', 'NS00009755', 'C00192', 'Q259997', 'J-502073', 'Q27110260', 'Q27110261', '2FFDCFE4-66E9-4869-8F4D-DC8E410797E7', 'Hydroxylamine solution, 50 wt. % in H2O, 99.999%', 'Hydroxylamine hydrochloride in combination with isoniazid and rifampicin']</t>
  </si>
  <si>
    <t>Compound(787)</t>
  </si>
  <si>
    <t>H3NO</t>
  </si>
  <si>
    <t>Nitrogen oxides / nitrite ratio</t>
  </si>
  <si>
    <t>nonylphenol monoethoxylate</t>
  </si>
  <si>
    <t>nonylphenol diethoxylate</t>
  </si>
  <si>
    <t>2-[2-(2-nonylphenoxy)ethoxy]ethanol</t>
  </si>
  <si>
    <t>['27176-93-8', '2-[2-(2-Nonylphenoxy)ethoxy]ethan-1-ol', '2-[2-(NONYLPHENOXY)ETHOXY]ETHANOL', '2-(2-(NONYLPHENOXY)ETHOXY)ETHANOL', 'PONPE-2', 'EINECS 248-291-5', 'Nonylphenol mono(oxyethylene) ethanol', '2-[2-(2-nonylphenoxy)ethoxy]ethanol', 'Diethylene glycol mono(nonylphenyl) ether', 'alpha-Nonylphenyl-omega-hydroxybis(oxyethylene)', 'SCHEMBL7263986', 'CTK4F9220', 'DTXSID00872587', 'Ethanol,2-[2-(nonylphenoxy)ethoxy]-', 'ACM27176938', 'NS00013899', '4-nonylphenol diethoxylate (mixture of isomeres)', '74342-10-2', 'NONOXYNOL-2;/ 68412-54-4 nonylphenol diethoxylate formulation;2-[2-(nonylphenoxy)ethoxy]ethanol']</t>
  </si>
  <si>
    <t>Compound(3032832)</t>
  </si>
  <si>
    <t>nonylphenol triethoxylate</t>
  </si>
  <si>
    <t>2-[2-[2-(2-nonylphenoxy)ethoxy]ethoxy]ethanol</t>
  </si>
  <si>
    <t>['Ethanol, 2-(2-(2-(nonylphenoxy)ethoxy)ethoxy)-', '27176-95-0', 'Triethylene glycol nonylphenyl ether', 'alpha-Nonylphenyl-omega-hydroxytris(oxyethylene)', 'SCHEMBL11002455', 'DTXSID00181646']</t>
  </si>
  <si>
    <t>Compound(176451)</t>
  </si>
  <si>
    <t>C21H36O4</t>
  </si>
  <si>
    <t>nonylphenol tetraethoxylate</t>
  </si>
  <si>
    <t>2-[2-[2-[2-(2-nonylphenoxy)ethoxy]ethoxy]ethoxy]ethanol</t>
  </si>
  <si>
    <t>['Tetraoxyethylene nonylphenyl ether', '27176-97-2', 'Tetraethylene glycol monononylphenol ether', 'alpha-Nonylphenyl-omega-hydroxytetrakis(oxyethylene)', 'SCHEMBL7892842', 'DTXSID60181647', 'Ethanol, 2-(2-(2-(2-(nonylphenoxy)ethoxy)ethoxy)ethoxy)-']</t>
  </si>
  <si>
    <t>Compound(176452)</t>
  </si>
  <si>
    <t>C23H40O5</t>
  </si>
  <si>
    <t>nonylphenol pentaethoxylate</t>
  </si>
  <si>
    <t>2-[2-[2-[2-[2-(2-nonylphenoxy)ethoxy]ethoxy]ethoxy]ethoxy]ethanol</t>
  </si>
  <si>
    <t>['26264-02-8', '3,6,9,12-Tetraoxatetradecan-1-ol, 14-(nonylphenoxy)-', '14-(Nonylphenoxy)-3,6,9,12-tetraoxatetradecan-1-ol', 'EINECS 247-555-7', 'SCHEMBL1741013', 'DTXSID7074826', 'CTK4F7522', '2-[2-[2-[2-[2-(2-nonylphenoxy)ethoxy]ethoxy]ethoxy]ethoxy]ethanol', 'NS00013901', '3,6,9,12-Tetraoxatetradecan-1-ol,14-(nonylphenoxy)-', '14-(nonylphenoxy)-3,6,9,12-tetraoxatetradecan-1-ol;NONOXYNOL-5']</t>
  </si>
  <si>
    <t>Compound(168503)</t>
  </si>
  <si>
    <t>C25H44O6</t>
  </si>
  <si>
    <t>nonylphenol hexaethoxylate</t>
  </si>
  <si>
    <t>2-[2-[2-[2-[2-[2-(2-nonylphenoxy)ethoxy]ethoxy]ethoxy]ethoxy]ethoxy]ethanol</t>
  </si>
  <si>
    <t>['27177-01-1', 'Nonylphenol polyethylene glycol ether', '3,6,9,12,15-Pentaoxaheptadecan-1-ol, 17-(nonylphenoxy)-', 'Nonylphenoxydiglycol', 'SCHEMBL542332', 'DTXSID8067282', 'CTK4F9221', 'hexaethylene glycol nonylphenyl ether', '3,6,9,12,15-Pentaoxaheptadecan-1-ol,17-(nonylphenoxy)-']</t>
  </si>
  <si>
    <t>Compound(168665)</t>
  </si>
  <si>
    <t>C27H48O7</t>
  </si>
  <si>
    <t>nonylphenolo octaethoxylate</t>
  </si>
  <si>
    <t>2-[2-[2-[2-[2-[2-[2-[2-(4-nonylphenoxy)ethoxy]ethoxy]ethoxy]ethoxy]ethoxy]ethoxy]ethoxy]ethanol</t>
  </si>
  <si>
    <t>['Nonoxynol-8', 'Rokafenol N-8', 'Alfenolu 8', 'Alphenol 8', '23-(4-Nonylphenoxy)-3,6,9,12,15,18,21-heptaoxatricosan-1-ol', '27177-05-5', '23-(Nonylphenoxy)-3,6,9,12,15,18,21-heptaoxatricosan-1-ol', 'BRN 2492581', 'Nonoxynol 8', '3,6,9,12,15,18,21-Heptaoxatricosan-1-ol, 23-(4-nonylphenoxy)-', '41506-14-3', 'Nonylphenol octaethoxylate', 'EINECS 248-293-6', 'Nonylphenol hepta(oxyethylene) ethanol', 'NPEO8', '3,6,9,12,15,18,21-Heptaoxatricosan-1-ol, 23-(nonylphenoxy)-', 'PEG-8 Nonyl phenyl ether', 'SCHEMBL2121215', 'CTK3I9226', 'DTXSID40872586', 'Polyoxyethylene (8) nonyl phenyl ether', 'octaethylene glycol monononylphenyl ether', '2-[2-[2-[2-[2-[2-[2-[2-(4-nonylphenoxy)ethoxy]ethoxy]ethoxy]ethoxy]ethoxy]ethoxy]ethoxy]ethanol', 'LS-74536', 'Polyethylene glycol 400 nonyl phenyl ether', 'NS00013904', 'NONOXYNOL-8;23-(4-Nonylphenoxy)-3,6,9,12,15,18,21-heptaoxatricosan-1-ol', 'N8']</t>
  </si>
  <si>
    <t>Compound(72384)</t>
  </si>
  <si>
    <t>C31H56O9</t>
  </si>
  <si>
    <t>nitrilotriacetic acid (NTA)</t>
  </si>
  <si>
    <t>2-[bis(carboxymethyl)amino]acetic acid</t>
  </si>
  <si>
    <t>['NITRILOTRIACETIC ACID', '139-13-9', "2,2',2''-nitrilotriacetic acid", 'Triglycollamic acid', 'Nitrilotriacetate', 'Aminotriacetic acid', 'Complexon I', 'Trilon A', 'NTA', 'N,N-Bis(carboxymethyl)glycine', '2-[bis(carboxymethyl)amino]acetic acid', 'Komplexon I', 'Titriplex I', 'Versene NTA acid', 'Nitrilotriessigsaeure', 'Hampshire NTA acid', 'Nitriloacetate', 'Glycine, N,N-bis(carboxymethyl)-', 'Tri(carboxymethyl)amine', 'Tris(carboxymethyl)amine', 'Acetic acid, nitrilotri-', "Nitrilo-2,2',2''-triacetic acid", 'MFCD00004287', 'CHEL 300', 'NCI-C02766', 'Nitrilotriacetic acid (NTA)', 'CCRIS 436', 'Aminotriethanoic acid', 'UNII-KA90006V9D', "alpha,alpha',alpha''-Trimethylaminetricarboxylic acid", 'HSDB 2853', 'Kyselina nitrilotrioctova [Czech]', 'NSC 2121', 'EINECS 205-355-7', '2-(bis(carboxymethyl)amino)acetic acid', 'BRN 1710776', 'AI3-52483', 'CHEBI:44557', 'KA90006V9D', 'Trilone A', 'DSSTox_CID_939', 'DSSTox_RID_75878', 'Nitrilotriacetic acid, 99%', 'DSSTox_GSID_20939', 'CAS-139-13-9', 'N,N-Bis(carboxymethyl)glysine', 'Kyselina nitrilotrioctova', 'H3nta', 'Potassium cadmium nitrilotriacetate', 'Nitrilotriaceticacid', 'EINECS 256-488-2', 'nitrilotriacetic-acid', 'PubChem15712', 'WLN: QV1N1VQ1VQ', 'EC 205-355-7', 'Cambridge id 5122183', 'NitrilotriessigsA currencyure', 'ACMC-1BQ36', 'N(CH2-COOH)3', 'NTA (Nitrilotriacetic acid)', 'SCHEMBL20409', '4-04-00-02441 (Beilstein Handbook Reference)', 'KSC176I7T', 'MLS000069464', 'BIDD:ER0361', 'Glycine,N-bis(carboxymethyl)-', "Nitrilo-2,2''-triacetic acid", 'CHEMBL1234848', 'DTXSID6020939', 'CTK0H6479', 'NSC2121', 'HMS2232K17', 'CCG-2133', 'NSC-2121', 'STR02791', 'ZINC1849692', 'Nitrilotriacetic acid, p.a., 99%', 'Tox21_202195', 'Tox21_300156', 'ANW-20498', 'BBL002469', 'LS-811', 'SBB006593', 'STK387109', 'AKOS005441655', 'DB03040', 'MCULE-5696288379', 'KS-00000V43', 'NCGC00091141-01', 'NCGC00091141-02', 'NCGC00091141-03', 'NCGC00091141-04', 'NCGC00254116-01', 'NCGC00259744-01', 'BP-30104', 'Cadmate(1-), (N,N-bis((carboxy-kappaO)methyl)glycinato(3-)-kappaN,kappaO)-, potassium (1:1), (T-4)-', 'Cadmate(1-), (N,N-bis((carboxy-kappaO)methyl)glycinato(3-)-kappaN,kappaO)-, potassium, (T-4)-', 'I536', 'SMR000054748', '2-[bis(carboxymethyl)amino]essigs&amp;#xe4;ure', 'DB-042463', 'FT-0631809', 'N0098', 'NITRILOTRIACETIC ACID ACS GRADE 100G', 'Nitrilotriacetic acid, Sigma Grade, &gt;=99%', 'NS00001715', 'ST50306920', 'T7392', 'C14695', 'Nitrilotriacetic acid, ACS reagent, &gt;=99.0%', '84771-EP2270017A1', '84771-EP2301941A1', '84771-EP2305808A1', '90564-EP2272834A1', '90564-EP2301929A1', '90564-EP2301935A1', '90564-EP2305674A1', '90564-EP2372017A1', '90564-EP2374780A1', '90564-EP2374781A1', 'Nitrilotriacetic acid, BioUltra, &gt;=99.0% (T)', ".alpha.,.alpha.''-Trimethylaminetricarboxylic acid", 'Q425340', 'J-007239', 'F1905-6980', 'Z1889996324', 'Nitrilotriacetic acid, ACS reagent, for complexometry, &gt;=98%', 'Nitrilotriacetic acid, United States Pharmacopeia (USP) Reference Standard', "Potassium (N,N-bis(carboxymethyl)glycinato(3-)-N,O,O',O'')cadmate(1-)", 'Nitrilotriacetic acid, Pharmaceutical Secondary Standard; Certified Reference Material']</t>
  </si>
  <si>
    <t>Compound(8758)</t>
  </si>
  <si>
    <t>C6H9NO6</t>
  </si>
  <si>
    <t>nitrogen trichloride</t>
  </si>
  <si>
    <t>['Nitrogen trichloride', 'Trichloramine', 'Agene', 'NITROGEN CHLORIDE', 'Trichlorine nitride', 'Chlorine nitride', 'trichloroazane', 'NCl3', 'Nitrogen chloride (NCl3)', '10025-85-1', 'trichloridonitrogen', 'UNII-VA681HRW8W', 'Nitrogen trichloride [Forbidden]', 'EINECS 233-045-1', '[NCl3]', 'VA681HRW8W', 'trichloroamine', 'DTXSID4074938', 'CHEBI:37382', 'CTK0I9457', 'HSDB 8469', 'ZINC261499688', 'DB14645', 'LS-96744', 'FT-0701448', 'Q409473', '214218-87-8']</t>
  </si>
  <si>
    <t>Compound(61437)</t>
  </si>
  <si>
    <t>Cl3N</t>
  </si>
  <si>
    <t>Non-toxic spherical blue-green algae (chroococcales)</t>
  </si>
  <si>
    <t>Non-toxic filamentous blue-green algae</t>
  </si>
  <si>
    <t>Nutrients</t>
  </si>
  <si>
    <t>sodium 22</t>
  </si>
  <si>
    <t>sodium-22</t>
  </si>
  <si>
    <t>['sodium na-22', 'UNII-N2511Z637B', 'N2511Z637B', '13966-32-0', 'Sodium-22', 'Sodium, isotope of mass 22', 'Sodium 22', '(~22~Na)Sodium', 'DTXSID30930528', 'Q27284412']</t>
  </si>
  <si>
    <t>Compound(6328543)</t>
  </si>
  <si>
    <t>disodium tetraborate</t>
  </si>
  <si>
    <t>disodium;3,7-dioxido-2,4,6,8,9-pentaoxa-1,3,5,7-tetraborabicyclo[3.3.1]nonane</t>
  </si>
  <si>
    <t>['1330-43-4', 'Borax', 'Borax Anhydrous', 'Borax glass', 'Borax, fused', 'Boric acid (H2B4O7), sodium salt', 'Boron sodium oxide (B4Na2O7)', 'Na2B4O7', 'Sodium Tetraborate', 'Sodium Tetraborate, Anhydrous', 'Sodiumtetraborate', 'UNII-8191EN8ZMD', '8191EN8ZMD', 'Komex', 'KS-00000VX5', 'MFCD00081185', 'AKOS015903865', 'AKOS030228253', 'DB14505', 'FT-0696539', 'Sodium tetraborate,Trace metals grade 99.95%', 'J-006292', '12267-73-1']</t>
  </si>
  <si>
    <t>Compound(10219853)</t>
  </si>
  <si>
    <t>B4Na2O7</t>
  </si>
  <si>
    <t>disodium octaborate</t>
  </si>
  <si>
    <t>disodium;(9,11-dioxido-5-oxoboranyloxy-2,4,6,8,10,12,13-heptaoxa-1,3,5,7,9,11-hexaborabicyclo[5.5.1]tridecan-3-yl)oxy-oxoborane</t>
  </si>
  <si>
    <t>['12008-41-2', 'DTXSID6034390', 'HSDB 7707']</t>
  </si>
  <si>
    <t>Compound(90479350)</t>
  </si>
  <si>
    <t>B8Na2O13</t>
  </si>
  <si>
    <t>sodium carbonate</t>
  </si>
  <si>
    <t>disodium;carbonate</t>
  </si>
  <si>
    <t>['SODIUM CARBONATE', '497-19-8', 'Disodium carbonate', 'Soda Ash', 'Carbonic acid disodium salt', 'Calcined soda', 'sodiumcarbonate', 'Washing soda', 'Sodium carbonate, anhydrous', 'Solvay soda', 'Soda, calcined', 'Snowlite I', 'Carbonic acid, disodium salt', 'Light Ash', 'V Soda', 'Carbonic acid sodium salt (1:2)', 'Trona', 'Soda Ash Light 4P', 'Suprapur 6395', 'Crystol carbonate', 'Caswell N0 752', 'Natriumkarbonat', 'Bisodium carbonate', 'Dynamar L 13890', 'Na2CO3', 'Natrium Carbonicum Siccatum', 'Na-X', 'MFCD00003494', 'Natrium Carbonicum Calcinatum', 'Disodium carbonate (Na2CO3)', 'Soda', 'CCRIS 7319', 'Carbonic acid sodium salt', 'Sodium carbonate anhydrous', 'UNII-45P3261C7T', 'Sodium carbonate (2:1)', 'HSDB 5018', 'Sodium carbonate [NF]', 'V 20N', 'EINECS 207-838-8', 'EPA Pesticide Chemical Code 073506', 'NSC 156204', 'Sodium carbonate (Na2(CO3))', 'Sodium Carbonate, Anhydrous ASTM D458', 'Anhydrous soda', 'CHEBI:29377', 'Sodium Carbonate, Anhydrous GE Materials D4D5', '45P3261C7T', 'Sodium carbonate (NF)', 'Celite(R) 545', 'Carbonic acid, sodium salt', 'Sodium carbonate, 99+%, for analysis, granular', 'Sodium carbonate, 99.5%, extra pure, anhydrous', 'Sodium carbonate, 99.95%, extra pure, anhydrous', 'Sodium carbonate, 99.999%, (trace metal basis)', 'Sodium carbonate, 99.8%, for analysis, anhydrous, powder', 'SODIUM CARBONATE, ACS', 'odium carbonate', 'sodium cabonate', 'Sodium carbonat', 'carbonate sodium', 'sodium-carbonate', 'Soda-ash', 'Natrum carbonicum', 'Soda Ash dense', 'Soda Ash Light', 'Caswell No. 752', 'sodium carbonate sodium', 'sodium sodium carbonate', 'Sodium carbonate, dried', 'Sodium carbonate,high-p', 'Sodium Carbonate, dense', 'CNa2O3', 'disodium trioxidocarbonate', 'SCHEMBL25', 'Sodium carbonate solution', '533-96-0', 'Anhydrous sodium carbonate', 'Sodium carbonate,anhydrous', 'ACMC-1AJK4', 'EC 207-838-8', 'Sodium carbonate (anhydrous)', 'Sodium salt of carbonic acid', 'KSC235O4D', 'CHEMBL186314', 'Dried sodium carbonate (JP17)', 'DTXSID1029621', 'CTK1D5741', 'Anhydrous soda,99.999%,powder', 'Sodium carbonate, biochemical grade', 'KS-00000VZ2', 'EINECS 231-420-4', 'AKOS009158235', 'DB09460', 'Sodium carbonate, anhydrous, ACS powder', 'SC-65099', 'DB-017706', 'LS-145527', 'Sodium carbonate, anhydrous, Puratronic(R)', 'FT-0645109', 'S0560', 'Y1280', 'D05283', 'Dicalite(R) speed plus, Diatomaceous filter-aid', 'Q190227', 'Sodium carbonate, 99.6%, ACS reagent, anhydrous', 'Sodium carbonate 5% w/v solution in water (+/- 0.3%)', 'Sodium carbonate, anhydrous, granular Trace Metals Grade, 99.99%', 'Soda ash, (99% as sodium carbonate or 58% as sodium oxide), technical grade, light', 'Sodium carbonate concentrate, 0.1 M Na2CO3 in water, eluent concentrate for IC', 'Sodium carbonate, Acculute Standard Volumetric Solution, Final Concentration 0.1N', '1332-57-6', '7542-12-3', 'Sodium carbonate concentrate, Na2CO3 72 mM in water, IC eluent concentrate (20x) for Metrosep A Supp 7']</t>
  </si>
  <si>
    <t>Compound(10340)</t>
  </si>
  <si>
    <t>CNa2O3</t>
  </si>
  <si>
    <t>sodium bromate</t>
  </si>
  <si>
    <t>sodium;bromate</t>
  </si>
  <si>
    <t>['SODIUM BROMATE', '7789-38-0', 'Bromic acid, sodium salt', 'Dyetone', 'Bromate de sodium', 'Sodium bromate(DOT)', 'Neutralizer K-126', 'Neutralizer K-140', 'Neutralizer K-938', 'Sodium bromate (NaBrO3)', 'Bromate de sodium [French]', 'UNII-U54JK6453O', 'HSDB 2185', 'EINECS 232-160-4', 'NSC 77383', 'UN1494', 'CHEBI:75229', 'Bromic acid, sodium salt (1:1)', 'U54JK6453O', 'Sodium bromate, &gt;=99%', 'Sodiumbromate', 'Sodium bromate, 99+%, extra pure', 'CCRIS 9265', 'NaBrO3', 'ACMC-20ajov', 'Na Br O3', 'DSSTox_CID_3837', 'EC 232-160-4', 'DSSTox_RID_77203', 'DSSTox_GSID_23837', 'KSC378C2N', 'CHEMBL1348453', 'DTXSID9023837', 'CTK2H8126', 'Sodium bromate, p.a., 99.5%', 'KS-00000UM7', 'Tox21_202534', 'BR1198', 'AKOS015833691', 'LS-1740', 'Sodium bromate [UN1494] [Oxidizer]', 'NCGC00090778-01', 'NCGC00090778-02', 'NCGC00260083-01', 'Sodium bromate [UN1494]  [Oxidizer]', 'K374', 'CAS-7789-38-0', 'FT-0699768', 'WATER DISINFECTION MODEL (SODIUM BROMATE)', 'Q414567', 'Sodium bromate, puriss. p.a., &gt;=99.5% (RT)']</t>
  </si>
  <si>
    <t>Compound(23668195)</t>
  </si>
  <si>
    <t>BrNaO3</t>
  </si>
  <si>
    <t>sodium dodecyl benzene sulfonate</t>
  </si>
  <si>
    <t>sodium;2-dodecylbenzenesulfonate</t>
  </si>
  <si>
    <t>['15163-46-9', 'Sodium o-dodecylbenzenesulfonate', '2-Dodecylbenzenesulfonic acid, sodium salt', 'SDBS', 'sodium dodecyl benzene sulfonate', 'Dodecyl benzenesulfonic acid, sodium salt', 'Sodium o-dodecylbenzenesulphonate', 'Benzenesulfonic acid, dodecyl-, sodium salt', 'UNII-2855754K9T', 'Benzenesulfonic acid, 2-dodecyl-, sodium salt', 'Sodium Dodecylbenzenesulfonate (hard type) (mixture)', 'sodium 2-dodecylbenzenesulfonate', '2855754K9T', 'Sulfapolu', 'EINECS 239-219-3', 'Benzenesulfonic acid, 2-dodecyl-, sodium salt (1:1)', '12068-21-2', 'Dodecylbenzensulfonan sodny', 'sodiumdodecylbenzenesulphonate', 'C18H29NaO3S', 'p-Dodecylbenzensulfonan sodny', 'SCHEMBL24015', 'DTXSID0041642', 'CTK8H8306', 'KS-00000WHF', 'Linear Alkylbenzene Sulfonic Acid', 'AKOS015912936', '2-Dodecylbenzenesulfonic acid sodium salt', 'AK143330', 'AK176242', 'Sol sodowa kwasu laurylobenzenosulfonowego', 'DDBSA, LABSA, Dodecylbenzenesulfonic Acid', 'AX8282684', 'EC 246-680-4', "P-1',1',4',4'-Tetramethyloktylbenzensulfonan sodny", 'Q27254266', 'UNII-554127163Y component HFQQZARZPUDIFP-UHFFFAOYSA-M', '11114-21-9', '1323-13-3', '28675-02-7', '37334-89-7', '39316-39-7', '39386-98-6', '39405-16-8', '52624-37-0', '58517-33-2', '60328-33-8', '68445-25-0', '71244-85-4', '82028-94-2', '82785-43-1']</t>
  </si>
  <si>
    <t>Compound(23662403)</t>
  </si>
  <si>
    <t>C18H29NaO3S</t>
  </si>
  <si>
    <t>sodium lauryl ether sulfate</t>
  </si>
  <si>
    <t>disodium;1-dodecoxydodecane;sulfate</t>
  </si>
  <si>
    <t>['68585-34-2', 'lauryl ether sulfate sodium', 'CTK4B8611', 'SC-65735', 'FT-0775147']</t>
  </si>
  <si>
    <t>Compound(21889068)</t>
  </si>
  <si>
    <t>C24H50Na2O5S</t>
  </si>
  <si>
    <t>sodium cyanide</t>
  </si>
  <si>
    <t>sodium;cyanide</t>
  </si>
  <si>
    <t>['SODIUM CYANIDE', '143-33-9', 'Cyanogran', 'Cymag', 'Sodium cyanide (Na(CN))', 'Cyanide of sodium', 'NaCN', 'Cyanobrik', 'Cyanide salts', 'Kyanid sodny', 'Cyanasalt H', 'Cyanasalt S', 'Hydrocyanic acid, sodium salt', 'Cianuro di sodio', 'Cyanure de sodium', 'Caswell No. 758', 'cyanosodium', 'Kyanid sodny [Czech]', 'Sodium cyanide solution', 'Sodium cyanide [ISO]', 'M-44 cyanide capsules', 'UNII-O5DDB9Z95G', 'RCRA waste number P106', 'Cianuro di sodio [Italian]', 'Cyanure de sodium [French]', 'CCRIS 7712', 'HSDB 734', 'Cyanure de sodium [ISO-French]', 'EINECS 205-599-4', 'NSC 77379', 'UN1689', 'RCRA waste no. P106', 'EPA Pesticide Chemical Code 074002', 'BRN 3587243', 'O5DDB9Z95G', 'CHEMBL1644697', 'Sodium cyanide, 98+%, extra pure', 'Sodium cyanide, 95+%, ACS reagent', 'Natriumcyanid', 'Natriumzyanid', 'odium cyanide', 'sodium-cyanide', 'cyano sodium', 'sodium cyanide-', 'MFCD00003523', 'Sodium cyanide, solid', 'Sodium cyanide, granular', 'Sodium cyanide (solution)', 'WLN: NA CN', 'EC 205-599-4', 'WLN: NC-NA-', 'DTXSID4024309', 'CHEBI:33192', 'CTK0H6105', 'NSC77379', 'Sodium cyanide, 98%, for analysis', '8436AF', 'LS-848', 'NSC-77379', 'Sodium cyanide, reagent grade, 97%', 'Sodium cyanide [UN1689] [Poison]', 'AKOS009159016', 'Sodium cyanide [UN1689]  [Poison]', 'Sodium cyanide, ACS reagent, &gt;=95.0%', 'Sodium cyanide, SAJ first grade, &gt;=90.0%', 'C18673', 'Sodium cyanide, JIS special grade, &gt;=97.0%', 'Sodium cyanide, purum p.a., &gt;=96.0% (AT)', 'Q410185', 'Sodium cyanide, puriss. p.a., ACS reagent, &gt;=97.0% (AT)']</t>
  </si>
  <si>
    <t>Compound(8929)</t>
  </si>
  <si>
    <t>CNNa</t>
  </si>
  <si>
    <t>sodium chloride</t>
  </si>
  <si>
    <t>sodium;chloride</t>
  </si>
  <si>
    <t>['sodium chloride', '7647-14-5', 'Halite', 'Salt', 'Table salt', 'Saline', 'Rock salt', 'Common salt', 'Dendritis', 'Purex', 'Sodium chloric', 'Top flake', 'Sodium chloride (NaCl)', 'Hyposaline', 'Flexivial', 'Gingivyl', 'Iodized salt', 'Slow Sodium', 'Sea salt', 'SS salt', 'Sodium monochloride', 'Natriumchlorid', 'Adsorbanac', 'Hypersal', 'Trisodium trichloride', 'White crystal', 'NaCl', 'H.G. blending', 'Salt (ingredient)', 'sodiumchloride', 'Colyte', 'Sodium chloride (Na4Cl4)', 'Caswell No. 754', 'Extra Fine 200 Salt', 'Extra Fine 325 Salt', 'Sodium chloride brine, purified', 'Arm-A-Vial', 'CCRIS 982', 'Natriumchlorid [German]', 'HSDB 6368', 'MFCD00003477', 'EPA Pesticide Chemical Code 013905', 'UNII-451W47IQ8X', 'EINECS 231-598-3', 'NSC 77364', 'Sodium chloride, hypertonic', '10% Sodium Chloride Injection', 'CHEBI:26710', '451W47IQ8X', 'NSC-77364', 'Ayr', 'LS-1700', 'Buffer Solution, TISAB', 'Sodium chloride, extra pure', 'Sodium chloride solution, 5 M', 'Isotonic saline', 'Broncho saline', 'Sodium, Reference Standard Solution', 'ClNa', 'Natrum Muriaticum', 'Sodium chloride, 99+%, ACS reagent', 'Sodium chloride, 99.5%, for analysis', 'Sodium chloride, 99.5%, for biochemistry', 'Sodium chloride, ACS reagent, &gt;=99.0%', 'Sodium-36 chloride', 'Sodium chloride, pure, ca. 26% solution in water', 'Sodium chloride physiological solution, BioUltra, tablet', 'Sodium chloride (Na36Cl)', 'Sodium chloride [USP:JAN]', 'Isotonic', 'Kochsalz', 'Mafiron', 'Rocksalt', 'Titrisol', 'cloruro sodico', 'odium chloride', 'sodium-chloride', 'Solsel', 'Sodium chloride [USAN:JAN]', 'Dendritic salt', 'natrii chloridum', 'Saline Solution', 'Sea water', 'Watesal A', 'Uzushio Biryuu M', 'chlorure de sodium', 'Sodium chloride, 99.85%, for molecular biology, DNAse, RNAse and Protease free', 'Adsorbanac (TN)', 'Brinewate Superfine', 'Sodium chloride in plastic container', 'sodium chloride salt', 'Canners 999', 'Sodium Chloride ACS', 'ACMC-20ajon', 'Sodium chloride 3% in plastic container', 'Sodium chloride 5% in plastic container', 'Saline, sodium chloride', 'Sodium chloride, tablet', 'Sodium chloride solution', 'Sodium chloride (8CI)', 'Sodium chloride 0.9% in plastic container', 'mono-sodium chloride salt', 'Sodium chloride 0.45% in plastic container', 'Sodium chloride 23.4% in plastic container', 'Sodium chloride, isotonic', 'UNII-VR5Y7PDT5W', 'Salt (6CI,7CI)', 'VR5Y7PDT5W', 'Special Salt 100/95', 'WLN: NA G', 'EC 231-598-3', '14762-51-7', 'KSC377C6D', 'Sodium chloride 0.9% in sterile plastic container', 'Sodium chloride, ACS reagent', 'Sodium chloride (JP17/USP)', 'Sodium chloride solution, 1 M', 'Sodium chloride solution, 2 M', 'Bacteriostatic sodium chloride 0.9% in plastic container', 'CHEMBL1200574', 'DTXSID3021271', 'CTK2H7161', 'KS-00000VGU', 'Sodium chloride biochemical grade', 'Sodium chloride solution, 0.1 M', 'Sodium chloride solution, 0.85%', 'Sodium chloride solution, isotonic', 'NSC77364', 'Sodium chloride, AR, &gt;=99.9%', 'Sodium chloride, LR, &gt;=99.5%', 'Sodium chloride, MANAC Incorporated', 'Sodium chloride, &gt;=99%, AR grade', 'Sodium chloride, 99.5%, for HPLC', 'AKOS024438089', 'AKOS024457457', '10% Sodium chloride solution in water', 'DB09153', 'Sodium Chloride saturated solution 26%', 'Sodium chloride, technical grade, 95%', 'Sodium chloride, technical grade, 97%', 'Sodium chloride, Ph. Eur., USP grade', 'Sodium chloride, p.a., 99-100.5%', '32343-72-9', 'Chloride standard solution, 1 mg/mL Cl-', 'Sodium chloride, NIST(R) SRM(R) 919b', 'Sodium chloride, ReagentPlus(R), &gt;=99%', 'Sodium chloride, USP, 99.0-100.5%', 'Sodium chloride, USP, 99.0-101.0%', 'B7288', 'FT-0645114', 'Q2314', 'S0572', 'Sodium chloride, BioXtra, &gt;=99.5% (AT)', 'Z3733', 'Sodium chloride, SAJ first grade, &gt;=99.0%', 'Sodium chloride, tested according to Ph.Eur.', 'C13563', 'D02056', 'Sodium chloride, 99.999% trace metals basis', 'Sodium chloride, JIS special grade, &gt;=99.5%', 'Sodium chloride, Trace metals grade, 99.99%', 'Isotopic standard for chlorine, NIST SRM 975a', 'Sodium chloride, Vetec(TM) reagent grade, 99%', 'Sodanylium and hydrochloric acid, ion(1-) (1:1)', 'Sodium chloride, puriss. p.a., &gt;=99.5% (AT)', 'Sodium chloride, NIST(R) SRM(R) 2201, ion-selective', 'Sodium chloride crystal optic disc, 32mm x 3mm, unpolished', 'UNII-HJT620308C component FAPWRFPIFSIZLT-UHFFFAOYSA-M', 'Sodium chloride, BioUltra, for molecular biology, &gt;=99.5% (AT)', 'Sodium chloride, puriss. p.a., &gt;=99.5% (AT), powder or crystals', 'Sodium chloride, reagent grade, &gt;=98%, +80 mesh particle size', 'Sodium chloride, United States Pharmacopeia (USP) Reference Standard', 'Sodium standard for AAS, ready-to-use, traceable to BAM, in H2O', 'Sodium chloride crystal optic rectangle, 30mm x 15mm x 4mm, unpolished', 'Sodium chloride solution, BioUltra, for molecular biology, ~5 M in H2O', 'Sodium chloride solution, technical, ~26% (saturated in water at 20C, AT)', 'Sodium chloride, anhydrous, beads, -10 mesh, 99.99% trace metals basis', 'Sodium chloride, anhydrous, beads, -10 mesh, 99.999% trace metals basis', 'Sodium chloride, p.a., ACS reagent, reag. ISO, reag. Ph. Eur., 99.5%', 'Sodium chloride, random crystals, optical grade, 99.98% trace metals basis', 'Sodium chloride crystal optic rectangle, 41mm x 23mm x 6mm, polished both sides', 'Sodium chloride solution, 0.9% in water, BioXtra, suitable for cell culture', 'Sodium chloride, anhydrous, free-flowing, Redi-Dri(TM), ReagentPlus(R), &gt;=99%', 'Sodium chloride, anhydrous, Redi-Dri(TM), free-flowing, ACS reagent, &gt;=99%', 'Sodium chloride, BioPerformance Certified, &gt;=99% (titration), Cell Culture Tested', 'Sodium chloride, meets analytical specification of Ph. Eur., BP, USP, 99.0-100.5%', 'Sodium chloride, Pharmaceutical Secondary Standard; Certified Reference Material', 'Sodium chloride, puriss. p.a., ACS reagent, reag. ISO, reag. Ph. Eur., &gt;=99.5%', 'Sodium atomic spectroscopy standard concentrate 1.00 g Na, 1.00 g/L, for 1 l standard solution, analytical standard', 'Sodium atomic spectroscopy standard concentrate 10.00 g Na, 10.00 g/L, for 1 l standard solution, analytical standard', 'Sodium chloride solution, 5 M in H2O, BioReagent, for molecular biology, suitable for cell culture', 'Sodium chloride, BioReagent, suitable for cell culture, suitable for insect cell culture, suitable for plant cell culture, &gt;=99%', 'Sodium chloride, certified reference material for titrimetry, certified by BAM, according to ISO 17025, &gt;=99.5%', 'Sodium chloride, for molecular biology, DNase, RNase, and protease, none detected, &gt;=98% (titration)', 'Sodium chloride, PharmaGrade, USP, Manufactured under appropriate GMP controls for pharma or biopharmaceutical production.', 'Sodium chloride, puriss., meets analytical specification of Ph. Eur., BP, USP, 99.0-100.5% (calc. to the dried substance), &lt;=0.00002% Al', 'Sodium standard solution, suitable for atomic absorption spectrometry, 1000 ppm Na, 1 mg/mL Na']</t>
  </si>
  <si>
    <t>Compound(5234)</t>
  </si>
  <si>
    <t>ClNa</t>
  </si>
  <si>
    <t>sodium chlorate</t>
  </si>
  <si>
    <t>sodium;chlorate</t>
  </si>
  <si>
    <t>['SODIUM CHLORATE', '7775-09-9', 'Chloric acid, sodium salt', 'Asex', 'Chlorate de sodium', 'Chlorsaure', 'Tumbleleaf', 'Atlacide', 'Desolet', 'Kusatol', 'Rasikal', 'Sodakem', 'Tumbleaf', 'Chlorate salt of sodium', 'Dervan', 'Oxycil', 'Travex', 'Defol', 'Fall', 'Soda chlorate', 'Drexel defol', 'Harvest-aid', 'Evau-super', 'Kusa-tohru', 'Weed Killer', 'B-Herbatox', 'Drop-Leaf', 'Granex O', 'Hibar C', 'Shed-A-leaf', 'Leafex 2', 'Leafex 3', 'Chlorsaure [German]', 'Ortho-C-1-Defoliant', 'Caswell No. 753', 'VAL-DROP', 'Natriumchloraat [Dutch]', 'Natriumchlorat [German]', 'Sodium chlorate [ISO]', 'Sodium chlorate solution', 'Chloric acid, sodium salt (1:1)', 'Grain sorghum harvest-aid', 'Natrium chloraat [Dutch]', 'Natrium chlorat [German]', 'Sodium chlorate (NaClO3)', 'UNII-T95DR77GMR', 'T95DR77GMR', 'Sodium(chlorate de) [French]', 'CCRIS 9185', 'HSDB 732', 'Sodio (clorato di) [Italian]', 'Sodium (chlorate de) [French]', 'CHEBI:65242', 'United Chemical Defoliant No. 1', 'Chlorate de sodium [ISO-French]', 'Ortho C-1 defoliant &amp; weed killer', 'EINECS 231-887-4', 'UN1495', 'UN2428', 'EPA Pesticide Chemical Code 073301', 'Sodium chlorate solution (50% or less)', 'Sodium chromate, 98+%, anhydrous', 'Polybor-chlorate', 'Sodium chlorate, 99%, ACS reagent', 'Sodium chlorate, 99+%, extra pure', 'Natriumchloraat', 'Natriumchlorat', 'Natrium chlorat', 'Natrium chloraat', 'Shed-A-Leaf L', 'Sodium(chlorate de)', 'Sodio (clorato di)', 'ACMC-20ajoo', 'Shed-A-Leaf "L"', 'Sodium (chlorate de)', 'ClO3.Na', 'Sodium chlorate [UN1495]  [Oxidizer]', 'DSSTox_CID_6025', 'DSSTox_RID_77987', 'DSSTox_GSID_26025', 'CHEMBL1559268', 'DTXSID7026025', 'CTK5E4859', 'Sodium chlorate, aqueous solution', 'Chloric acid, sodiumsalt (1:1)', 'NSC41881', 'Tox21_202133', '8422AF', 'NSC-41881', 'AKOS015843818', 'LS-1727', 'Sodium chlorate [UN1495] [Oxidizer]', 'NCGC00091465-01', 'NCGC00259682-01', '9011-70-5', 'CAS-7775-09-9', 'Sodium chlorate, ACS reagent, &gt;=99.0%', 'Sodium chlorate, ReagentPlus(R), &gt;=99%', 'LS-117947', 'Sodium chlorate, p.a., ACS reagent, 99%', 'FT-0694099', 'Sodium chlorate, SAJ first grade, &gt;=98.0%', 'C18765', 'EC 231-887-4', 'Q407446', 'Sodium chlorate, puriss. p.a., &gt;=99.0% (T)', 'Sodium chlorate, aqueous solution [UN2428]  [Oxidizer]', 'Sodium chlorate, aqueous solution [UN2428] [Oxidizer]', 'Sodium chlorate - metastable high temperature (255C) phase III', 'SODIUM CHLORATE (SEE ALSO WATER DISINFECTION BYPRODUCTS(SODIUM CHLORATE))', 'WATER DISINFECTION BYPRODUCTS(SODIUM CHLORATE) (SEE ALSO WATER DISINFECTION BYPRODUCTS(DIBROMOACETIC ACID))']</t>
  </si>
  <si>
    <t>Compound(516902)</t>
  </si>
  <si>
    <t>ClNaO3</t>
  </si>
  <si>
    <t>sodium hypochlorite pentahydrate</t>
  </si>
  <si>
    <t>sodium;hypochlorite;pentahydrate</t>
  </si>
  <si>
    <t>['Sodium hypochlorite pentahydrate', '10022-70-5', 'Hypochlorous acid, sodium salt, pentahydrate', 'Hypochlorite salts', 'Sodium hypochlorite pentahydrate [Hypochlorite salts]', 'Na.ClO.5H2O', 'DTXSID4064898', 'BCP25519', '8867AF', 'MFCD01941504', 'SODIUM HYPOCHLORITE SOLUTION CP', 'LS-77547']</t>
  </si>
  <si>
    <t>Compound(23700086)</t>
  </si>
  <si>
    <t>ClH10NaO6</t>
  </si>
  <si>
    <t>sodium dimethyldithiocarbamate</t>
  </si>
  <si>
    <t>sodium;N,N-dimethylcarbamodithioate</t>
  </si>
  <si>
    <t>['Sodium dimethyldithiocarbamate', '128-04-1', 'Sodium dimethylcarbamodithioate', 'Sodium dimethyl dithiocarbamate', 'Carbamodithioic acid, dimethyl-, sodium salt', 'UNII-769GO8W6QQ', 'Dimethyldithiocarbamic acid sodium salt', 'Dibam', 'Methyl namate', 'Thiostop N', 'Vulnopol NM', 'Alcobam NM', 'Dibam A', 'Wing Stop B', 'Sharstop 204', 'Brogdex 555', 'DMDK', 'SDDC', 'Sta-fresh 615', 'Aceto SDD 40', 'Steriseal liquid #40', 'Sodium N,N-dimethyldithiocarbamate', '769GO8W6QQ', 'Sodium dimethyldithiocarbamate solution', 'Dimethyldithiocarbamate sodium dihydrate', 'Carbamodithioic acid, N,N-dimethyl-, sodium salt (1:1)', 'Sodium dimethylaminecarbodithioate', 'Sodium dimethylaminocarbodithioate', 'Dimethyldithiocarbamate sodium salt', 'DSSTox_CID_7050', 'N,N-Dimethyldithiocarbamate sodium salt', 'DSSTox_RID_78294', 'DSSTox_GSID_27050', 'Carbamodithioic acid, dimethyl-, sodium salt, dihydrate', 'DIMETHYLDITHIOCARBAMIC ACID, SODIUM SALT', 'CARBAMIC ACID, DIMETHYLDITHIO-, SODIUM SALT, DIHYDRATE', 'odium dimethyldithiocarbamate', 'CHEMBL569460', 'CAS-128-04-1', 'MSL', 'ACMC-20ajof', 'C3H6NNaS2', 'EC 204-876-7', 'SCHEMBL23192', 'DTXSID6027050', 'CTK4B5847', 'SodiumDimethyldithiocarbamateDihydrate', 'Tox21_201971', 'Tox21_300391', 'AKOS000120803', 'sodium (dimethylcarbamothioyl)sulfanide', 'NCGC00254258-01', 'NCGC00259520-01', 'AS-16148', 'LS-49539', 'S699', 'D0716', 'FT-0631748', 'KS-00001323', '128D041', 'Carbamic acid, dimethyldithio- sodium salt (8CI)', 'J-005564', 'J-013553', 'Carbamodithioic acid,N,N-dimethyl-,sodium salt (1:1)', 'Q27266473', 'Sodium dimethyldithiocarbamate solution, ~40% in H2O']</t>
  </si>
  <si>
    <t>Compound(560256)</t>
  </si>
  <si>
    <t>C3H6NNaS2</t>
  </si>
  <si>
    <t>sodium dihydrogen phosphate</t>
  </si>
  <si>
    <t>sodium;dihydrogen phosphate</t>
  </si>
  <si>
    <t>['Monosodium phosphate', '7558-80-7', 'Sodium dihydrogenorthophosphate', 'SODIUM DIHYDROGEN PHOSPHATE', 'Sodium phosphate monobasic', 'Sodium acid phosphate', 'Sodium phosphate, monobasic', 'Monosodium dihydrogen orthophosphate', 'sodium dihydrogenphosphate', 'Acid sodium phosphate', 'Monosodium monophosphate', 'Sodium phosphate monobasic anhydrous', 'Sodium primary phosphate', 'Monosodium orthophosphate', 'Sodium dihydrogen orthophosphate', 'Monobasic sodium phosphate', 'Monosorb XP-4', 'Phosphoric acid, sodium salt', 'Monosodium dihydrogen phosphate', 'Monosodium phosphate, anhydrous', 'Primary sodium phosphate', 'Phosphoric acid, monosodium salt', 'UNII-KH7I04HPUU', 'Sodium biphosphate anhydrous', 'Monosodium hydrogen phosphate', 'Sodium dihydrogen phosphate, anhydrous', 'Sodium phosphate (NaH2PO4)', 'Sodium orthophosphate, primary', 'Sodium dihydrogen monophosphate', 'HSDB 738', 'Sodium phosphate (Na(H2PO4))', 'NaH2PO4', 'EINECS 231-449-2', 'KH7I04HPUU', 'Sodium dihydrogen phosphate (1:2:1)', 'Sodium monobasic phosphate (NaH2PO4)', 'Sodium dihydrogen phosphate (NaH2PO4)', 'CHEBI:37585', 'MFCD00003527', 'Phosphoric acid, sodium salt (1:1)', 'SODIUM PHOSPHATE, MONOBASIC ANHYDROUS', 'SODIUM PHOSPHATE, MONOBASIC, ANHYDROUS', 'MSP', 'MFCD00146206', 'Sodium phosphate, monobasic, 98%, extra pure, anhydrous', 'Sodium phosphate, monobasic, 99%, for analysis, anhydrous', 'Clicolon', 'Sodium phosphate, monobasic, 99%, for biochemistry, anhydrous', 'ACMC-20ajog', 'sodium dihydrogenphoshate', 'sodium dihydrogenphospate', 'sodium dihydrogenphosphat', 'sodiumdihydrogen phosphate', 'natriumdihydrogen-phosphate', 'Sodium phosphate,monobasic', 'Na.H2PO4', 'sodium dihydrogen-phosphate', 'sodium phosphate mono-basic', 'EC 231-449-2', 'Sodiumdihydrogenorthophosphate', 'odium dihydrogenorthophosphate', 'Monosodium phosphate anhydrous', 'Sodium biphosphate, anhydrous', 'KSC377C7F', 'Sodium orthophosphate monobasic', 'INKP-100', 'DTXSID7035222', 'CTK2H7172', 'KS-00000UWO', 'Monosodium dihydrogen monophosphate', 'Sodium phosphate, monobasic (USP)', 'Anhydrous monobasic sodium phosphate', 'disodium hydrogen phosphate anhydrous', 'Sodium dihydrogen phosphate,anhydrous', '8871AF', 'Sodium phosphate monobasic, anhydrous', 'Phosphoric acid, sodium salt (1:?)', 'AKOS024433265', 'Sodium phosphate monobasic (anhydrate)', 'Sodium phosphate monobasic (anhydrous)', 'DB09449', 'LS-2421', 'Sodium phosphate monobasic, AR, &gt;=98%', 'Sodium phosphate monobasic, LR, &gt;=97%', '89140-32-9', 'E339', 'SC-46820', 'Phosphate, 0.2M buffer solution, pH 6.8', 'Phosphate, 0.2M buffer solution, pH 9.0', 'Phosphate, 0.5M buffer solution, pH 7.6', 'Phosphate, 0.5M buffer solution, pH 8.0', 'phosphoric acid, monosodium salt, anhydrous', 'B7779', 'FT-0698935', 'Sodium phosphate monobasic, for HPLC, 99%', 'D04400', 'Sodium phosphate monobasic, BioXtra, &gt;=99.0%', 'Q415877', 'Sodium phosphate monobasic, USP, 98.0-103.0%', 'Sodium phosphate, 0.2M buffer solution, pH 7.6', 'Sodium phosphate, 0.2M buffer solution, pH 9.0', 'Sodium phosphate, 0.5M buffer solution, pH 9.0', 'Sodium phosphate monobasic, ReagentPlus(R), &gt;=99.0%', 'Sodium phosphate monobasic, 99.999% trace metals basis', 'Sodium phosphate monobasic solution, BioUltra, 5 M in H2O', 'Sodium phosphate monobasic, Vetec(TM) reagent grade, 99%', 'UNII-3980JIH2SW component AJPJDKMHJJGVTQ-UHFFFAOYSA-M', 'UNII-SE337SVY37 component AJPJDKMHJJGVTQ-UHFFFAOYSA-M', 'Sodium phosphate monobasic, SAJ first grade, 98.0-101.0%', 'Sodium phosphate monobasic, SAJ special grade, 99.0-101.0%', 'Sodium phosphate monobasic, purum p.a., anhydrous, &gt;=99.0% (T)', 'Sodium phosphate monobasic, meets USP testing specifications, anhydrous', 'Sodium phosphate monobasic, anhydrous, free-flowing, Redi-Dri(TM), &gt;=99.0%', 'Sodium phosphate monobasic, BioReagent, for molecular biology, anhydrous, &gt;=98%', 'Sodium phosphate monobasic, Biotechnology Performance Certified, Cell Culture Tested', 'Sodium phosphate monobasic Molecular Biology Grade, suitable for cell culture, insect cell culture, and plant cell culture', 'Sodium phosphate monobasic, BioPerformance Certified, suitable for cell culture, suitable for insect cell culture, suitable for plant cell culture, &gt;=99.0% (titration)']</t>
  </si>
  <si>
    <t>Compound(23672064)</t>
  </si>
  <si>
    <t>H2NaO4P</t>
  </si>
  <si>
    <t>sodium fluoracetate</t>
  </si>
  <si>
    <t>sodium;2-fluoroacetate</t>
  </si>
  <si>
    <t>['sodium fluoroacetate', 'Sodium monofluoroacetate', '62-74-8', 'Furatol', 'Yasoknock', 'Compound 1080', 'Fratol', 'Tenate', 'Natriumfluoracetat', 'Fluorakil 3', 'Sodium fluoacetate', 'Sodium fluoracetate', 'Fluoroacetic acid sodium salt', 'Caswell No. 770', 'Ratbane 1080', 'Sodium fluoacetic acid', 'Fluoroctan sodny [Czech]', 'Latka 1080 [Czech]', 'RCRA waste number P058', 'Natriumfluoracetaat [Dutch]', 'Natriumfluoracetat [German]', 'Sodium fluoroacetate [ISO]', 'Fluoroacetic acid, sodium salt', 'HSDB 743', 'UNII-166WTM3843', 'Sodium fluoroacetate de [French]', 'Sodio, fluoracetato di [Italian]', 'Natriumfluoracetaat', 'Fluoroacetic acid sodium', 'Acetic acid, fluoro-, sodium salt', 'EINECS 200-548-2', 'Fluoroacetic acid sodium salt [BSI]', 'Monofluoressigsaures natrium [German]', 'NSC 77690', 'UN2629', 'Fluoroacetate de sodium [ISO-French]', 'RCRA waste no. P058', 'EPA Pesticide Chemical Code 075003', 'Sodio, fluoracetato di', 'Sodium fluoroacetate de', 'AI3-08434', 'CHEBI:38699', 'Monofluoressigsaures natrium', '166WTM3843', 'sodium;2-fluoroacetate', 'Acetic acid, 2-fluoro-, sodium salt (1:1)', 'Fluoroctan sodny', 'Fluoroacetate de sodium', 'Latka 1080', 'Sodium Fluoro-Acetate', 'sodium 2-fluoroacetate', 'Spectrum2_000664', 'Spectrum3_001693', 'Spectrum4_000925', 'Spectrum5_001848', 'DSSTox_CID_4311', 'DSSTox_RID_77363', 'DSSTox_GSID_24311', 'KBioGR_001450', 'SPECTRUM330009', 'SCHEMBL226060', 'SPBio_000727', 'CHEMBL369611', 'DTXSID8024311', 'CTK5B5863', 'KBio3_002466', 'Tox21_301420', 'CCG-40063', 'AKOS025295568', 'CAS-62-74-8', 'NCGC00095771-01', 'NCGC00255312-01', 'LS-12190', 'Sodium fluoroacetate [UN2629] [Poison]', 'Sodium fluoroacetate [UN2629]  [Poison]', 'Acetic acid, 2-fluoro-,sodium salt (1:1)', 'F0031', 'C18588', 'Q410911', 'Fluoroacetic acid sodium 10 microg/mL in Water. Short expiry date due to chemical nature of component(s)']</t>
  </si>
  <si>
    <t>Compound(16212360)</t>
  </si>
  <si>
    <t>C2H2FNaO2</t>
  </si>
  <si>
    <t>sodium hydrogen sulfite</t>
  </si>
  <si>
    <t>sodium;hydrogen sulfite</t>
  </si>
  <si>
    <t>['SODIUM BISULFITE', '7631-90-5', 'Sodium hydrogen sulfite', 'Sodium bisulphite', 'sodium hydrogensulfite', 'Sodium sulhydrate', 'Monosodium sulfite', 'Sulfurous acid, monosodium salt', 'Uantax SBS', 'Caswell No. 750', 'Hydrogen sodium sulfite', 'Hydrogen sulfite sodium', 'Sodium hydrosulfite(DOT)', 'Sodium bisulfite (1:1)', 'Sodium sulfite (NaHSO3)', 'Sodium bisulfite (NaHSO3)', 'UNII-TZX5469Z6I', 'Bisulfite de sodium [French]', 'Fr-62', 'CCRIS 3950', 'HSDB 724', 'NaHSO3', 'EINECS 231-548-0', 'NSC 60680', 'Liquid of Sodium bisulfite', 'EPA Pesticide Chemical Code 078201', 'Sodium hydrogensulphite (aqueous solution)', 'AI3-08582', 'TZX5469Z6I', 'CHEMBL1689285', 'CHEBI:26709', 'Sodium hydrogen sulfite, solution', 'Sulfurous acid, sodium salt (1:1)', 'Sodium hydrogen sulfite solution (45% or less)', 'Sodium bisulfite, ACS reagent, powder', 'sodium hydrogensulphite', 'sodium hydrogen sulphite', 'Sodium bisulfite [JAN]', 'Sodium bisulfite [JAN:NF]', 'sodiumbisulfit', 'sodium bi-sulphite', 'sodiumhydrogensulfit', 'saures Natriumsulfit', 'Natriumhydrogensulfit', 'sodiumhydrogensulphite', 'sodium hydogen sulfite', 'primaeres Natriumsulfit', 'sodium hydrogen-sulfite', 'E222', 'Sodium bisulfite (TN)', 'Sodium bisulfite (JP17)', 'EC 231-548-0', 'DSSTox_CID_14902', 'DSSTox_GSID_47218', 'KSC492I6N', 'DTXSID8034902', 'CTK3J2466', 'Tox21_303826', 'AKOS015856800', 'DB14015', 'LS-2423', 'KS-0000118R', 'NCGC00357103-01', 'Sodium bisulfite solution, purum, ~40%', 'BP-12336', 'FT-0698943', 'D02059', 'Q407891', 'Sodium bisulfite, mixture of NaHSO3 and Na2S2O5']</t>
  </si>
  <si>
    <t>Compound(23665763)</t>
  </si>
  <si>
    <t>HNaO3S</t>
  </si>
  <si>
    <t>sodium iodide</t>
  </si>
  <si>
    <t>sodium;iodide</t>
  </si>
  <si>
    <t>['sodium iodide', '7681-82-5', 'Ioduril', 'Sodium iodide (NaI)', 'sodiumiodide', 'Sodium monoiodide', 'Soiodin', 'Iodure de sodium', 'Natrii iodidum', 'Jodid sodny', 'Jodid sodny [Czech]', 'Caswell No. 777', 'Natriumjodid [German]', 'UNII-F5WR8N145C', 'HSDB 750', 'EINECS 231-679-3', 'MFCD00003532', 'NSC 77388', 'EPA Pesticide Chemical Code 075702', 'F5WR8N145C', 'CHEMBL1644695', 'CHEBI:33167', 'NSC-77388', 'Natriumjodid', 'Sodium iodide (Na131I)', 'Sodium iodide, ACS reagent, anhydrous', 'Sodium iodide, 99+%, pure, anhydrous', 'Sodium iodide [USP:JAN]', 'Sodium iodide [USAN:JAN]', 'Sodium iodide, 99.999%, (trace metal basis), extra pure', 'sodium-iodide', 'odium iodide', 'sodium iodide-', 'Sodium iodide solution', 'Sodium iodide, ACS grade', 'WLN: NA I', 'EC 231-679-3', 'sodium iodine-131(1-)', 'DSSTox_CID_21125', 'DSSTox_RID_79629', 'DSSTox_GSID_41125', 'KSC492A6R', 'Sodium iodide (JP17/USP)', 'DTXSID2041125', 'CTK3J2068', 'Sodium iodide, Trace metals grade', 'BCP22179', 'KS-000002MA', 'NSC77388', 'Tox21_301379', 'ANW-36888', 'AKOS015950612', 'AKOS016015354', 'DB11119', 'LS41973', 'NCGC00255631-01', 'AK323907', 'K326', 'SC-46812', 'CAS-7681-82-5', 'LS-145541', 'CS-0013799', 'FT-0645131', 'S0564', 'C14042', 'D04874', 'Q390305']</t>
  </si>
  <si>
    <t>Compound(5238)</t>
  </si>
  <si>
    <t>INa</t>
  </si>
  <si>
    <t>sodium lauryl sulfate</t>
  </si>
  <si>
    <t>sodium;dodecyl sulfate</t>
  </si>
  <si>
    <t>['Sodium dodecyl sulfate', '151-21-3', 'SODIUM LAURYL SULFATE', 'Sodium dodecylsulfate', 'Sodium lauryl sulphate', 'Sodium dodecyl sulphate', 'Dodecyl sodium sulfate', 'Anticerumen', 'Gardinol', 'Neutrazyme', 'Duponal', 'Irium', 'Stepanol methyl', 'Stepanol wac', 'Stepanol waq', 'Perlandrol L', 'Perlankrol L', 'Standapol wa-ac', 'Stepanol me dry', 'Dodecyl sulfate sodium salt', 'Sintapon L', 'Finasol osr2', 'Standapol WAQ', 'Stepanol WA', 'Incronol SLS', 'Maprobix NEU', 'Duponol QC', 'Duponol WA dry', 'Melanol CL', 'Dupanol WAQ', 'Duponol WAQE', 'Hexamol SLS', 'Dodecyl sulfate, sodium salt', 'Natriumlaurylsulfat', 'Sulfuric acid monododecyl ester sodium salt', 'Sipex SP', 'Sipex UB', 'Sodium n-dodecyl sulfate', 'Sterling WAQ-CH', 'Stepanol WA Paste', 'Avirol 118 conc', 'Duponol', 'Lauyl sodium sulfate', 'Stepanol T 28', 'Dreft', 'Aquarex methyl', 'Duponol methyl', 'Solsol needles', 'Steinapol NLS 90', 'Duponol waqa', 'Empicol LX 28', 'Melanol CL 30', 'NALS', 'Standapol waq special', 'Standapol was 100', 'Duponol qx', 'Jordanol SL-300', 'Richonol af', 'Stepanol WA-100', 'Finasol osr(sub 2)', 'Standapol 112 conc', 'Stepanol ME Dry AW', 'Dodecyl sulfate sodium', 'Perklankrol ESD 60', 'Sipex sb', 'Sipex sd', 'Caswell No. 779', 'Duponol Me', 'Monagen Y 100', 'Richonol A', 'Richonol C', 'Duponol C', 'Maprofix LK', 'Stepanol ME', 'Akyposal SDS', 'Carsonol SLS', 'Maprofix NEU', 'Maprofix WAC', 'Stepanol methyl dry aw', 'Aquarex ME', 'Duponol WA', 'Duponol WAQ', 'Empicol LPZ', 'Natrium laurylsulfuricum', 'Berol 452', 'Duponal WAQE', 'Duponol WAQM', 'Lanette Wax-S', 'Sterling wa paste', 'Conco sulfate WA', 'Conco sulfate WN', 'EMAL O', 'Nikkol SLS', 'Orvus WA Paste', 'Sipex OP', 'Sipon LS', 'Sipon PD', 'Sipon WD', 'Detergent 66', 'Montopol La Paste', 'Sipon LS 100', 'Sipon LSB', 'Maprofix WAC-LA', 'Sodium monolauryl sulfate', 'Cycloryl 21', 'Cycloryl 31', 'Conco Sulfate WAG', 'Conco Sulfate WAN', 'Conco Sulfate WAS', 'Quolac EX-UB', 'Monododecyl sodium sulfate', 'Odoripon Al 95', 'Sodium monododecyl sulfate', 'Sodiumlauryl ether sulfate', 'Cycloryl 580', 'Cycloryl 585N', 'Lauryl sulfate sodium salt', 'Maprofix 563', 'Sinnopon LS 95', 'Laurylsiran sodny [Czech]', 'Empicol LS 30', 'Lauryl sodium sulfate', 'Rewopol NLS 30', 'Sinnopon LS 100', 'Carsonol SLS Special', 'Dehydag sulfate GL emulsion', 'Lauryl sulfate, sodium salt', 'Avirol 101', 'Dehydrag sulfate gl emulsion', 'Dehydag sulphate GL emulsion', 'Emersal 6400', 'Monogen Y 100', 'Carsonol SLS Paste B', 'Emal 10', 'n-Dodecyl sulfate sodium', 'Conco sulfate WA-1200', 'Conco sulfate WA-1245', 'Product no. 75', 'Sodium lauryl sulfate ether', 'Sodium lauryl sulfate 30%', 'Product no. 161', 'MFCD00036175', 'Emulsifier no. 104', 'Sodium Laurylsulfate', 'CCRIS 6272', 'UNII-368GB5141J', 'HSDB 1315', 'P and G Emulsifier 104', 'NCI-C50191', 'Sodium lauryl sulfate, dental grade', 'Dodecyl alcohol, hydrogen sulfate, sodium salt', 'EINECS 205-788-1', 'EPA Pesticide Chemical Code 079011', 'NSC 402488', 'Sulfuric acid monododecyl ester sodium salt (1:1)', 'SLS', 'CP 75424', 'Texapon K 1296', 'AI3-00356', 'CHEBI:8984', 'Laurylsulfuric Acid Sodium Salt', 'Dodecylsulfuric Acid Sodium Salt', '368GB5141J', 'NCGC00091020-03', 'DSSTox_CID_6031', 'DSSTox_RID_77989', 'DSSTox_GSID_26031', 'dodecyl hydroxysulfonate, sodium salt', 'Laurylsiran sodny', 'Rhodapon UB', 'sodiumdodecylsulfate', 'CAS-151-21-3', 'Dodecyl sulfate, sodium salt, 85%, pure', 'Lauryl sulfate sodium', 'NSC-402488', 'Dodecyl sulfate, sodium salt, 99%, for biochemistry', 'Empicol', 'sodium lauryl', 'Sodium lauryl sulfate [JAN:NF]', 'Dodecyl sulfate, sodium salt, 99+%, for molecular biology, DNAse, RNAse and Protease free', 'Dodecyl sulfate, sodium salt, pure, granular, spec. acc. the requirements of Ph.Eur.', 'sodiumlauryl sulfate', 'Sodium laurilsulfate', 'Sodium Lauryl Sulfate [USAN:JAN]', 'sodium dodecylsulphate', 'odium dodecyl sulphate', 'Sodium dedecyl sulfate', 'Sodium-dodecyl-S-SDS', 'IPC-SDS', 'ACMC-1BXOT', 'sodium n-dodecyl sulphate', 'Sodium Lauryl Sulfate NF', 'lauryl sulphate sodium salt', 'EC 205-788-1', 'dodecyl sulphate sodium salt', 'SCHEMBL1102', 'C12H25NaO4S', 'sodium dodecyl sulfate (sds)', 'KSC174S7B', 'n-Dodecyl sulfate sodium salt', 'ARONIS27060', 'CHEMBL23393', 'Sodium dodecyl sulfate, 99%', 'sodium dodecyl sulphate (sds)', 'Sodium dodecyl sulphate solution', 'DTXSID1026031', 'CTK0H4970', 'dodecyl sulfuric acid sodium salt', 'KS-00000VTL', 'Dodecyl sulphuric acid sodium salt', 'Sodium lauryl sulfate (JP17/NF)', 'BCP30594', 'CS-B1770', 'Tox21_111059', 'Tox21_201614', 'Tox21_300149', 'ANW-21329', 'LS-880', 'SBB060993', 'AKOS015897278', 'AKOS025147308', 'Tox21_111059_1', 'DB00815', 'Dodecyl sulfuric acid ester sodium salt', 'NE10918', 'KS-000048K2', 'NCGC00091020-01', 'NCGC00091020-02', 'NCGC00254225-01', 'NCGC00259163-01', 'NCGC00274082-01', 'AS-14730', 'E487', 'M361', 'SC-79934', 'Lauryl Sulfate, Sodium Salt (25% Aq.)', 'D1403', 'FT-0603358', 'FT-0700721', 'I0352', 'Peg-(1-4)lauryl ether sulfate, sodium salt', 'S0588', 'ST51037318', 'C11166', 'D01045', 'Sodium dodecyl sulfate, 10% solution in water', 'SODIUM DODECYL SULFATE BIOTECH GRD 100G', 'Q422241', 'F0001-0539', 'Z1695728983', 'UNII-3599J29ANH component DBMJMQXJHONAFJ-UHFFFAOYSA-M', 'Sodium dodecylsulfate;Sodium lauryl sulphate;Dodecyl sodium sulfate', 'Dodecyl sulfate, sodium salt, 98%, for biochemistry, suitable for electrophoresis', 'Dodecyl sodium sulfate, Dodecyl sulfate sodium salt, Lauryl sulfate sodium salt, SDS, Sodium lauryl sulfate']</t>
  </si>
  <si>
    <t>Compound(3423265)</t>
  </si>
  <si>
    <t>C12H25NaO4S</t>
  </si>
  <si>
    <t>sodium permanganate</t>
  </si>
  <si>
    <t>sodium;permanganate</t>
  </si>
  <si>
    <t>['SODIUM PERMANGANATE', '10101-50-5', 'Sodium permangate', 'Permanganato sodico [Spanish]', 'Sodium permanganate (NaMnO4)', 'Permanganic acid (HMnO4), sodium salt', 'HSDB 762', 'Permanganate de sodium [French]', 'UNII-IZ5356R281', 'EINECS 233-251-1', 'UN1503', 'Permanganic acid, sodium salt', 'IZ5356R281', 'Permanganato sodico', 'Permanganate de sodium', 'Natriumpermanganat', 'NaMnO4', 'MnO4.Na', 'DEA Code 6588', 'EC 233-251-1', 'Sodium tetraoxidomanganate(1-)', 'DTXSID2051504', 'CTK3J9456', '8848AF', 'Permanganic acid(HMnO4), sodium salt', 'Sodium permanganate [UN1503] [Oxidizer]', 'LS-102450', 'FT-0693945', 'Sodium permanganate [UN1503]  [Oxidizer]', 'Q411145']</t>
  </si>
  <si>
    <t>Compound(23673458)</t>
  </si>
  <si>
    <t>MnNaO4</t>
  </si>
  <si>
    <t>sodium nitrite</t>
  </si>
  <si>
    <t>sodium;nitrite</t>
  </si>
  <si>
    <t>['SODIUM NITRITE', '7632-00-0', 'Nitrous acid, sodium salt', 'sodiumnitrite', 'Erinitrit', 'Filmerine', 'Natrium nitrit', 'Nitrito sodico', 'Anti-rust', 'Sodium nitrite solution', 'Nitrite, sodium', 'Diazotizing salts', 'Nitrite de sodium', 'Caswell No. 782', 'Dusitan sodny [Czech]', 'Synfat 1004', 'Azotyn sodowy [Polish]', 'Natrium nitrit [German]', 'Nitrito sodico [Spanish]', 'Nitrite de sodium [French]', 'UNII-M0KG633D4F', 'CCRIS 559', 'HSDB 757', 'NaNO2', 'Sodium nitrite [USP]', 'NCI-C02084', 'Nitrous acid, sodium salt (1:1)', 'EINECS 231-555-9', 'MFCD00011118', 'NSC 77391', 'UN1500', 'EPA Pesticide Chemical Code 076204', 'CHEMBL93268', 'M0KG633D4F', 'CHEBI:78870', 'Sodium nitrite (USP)', 'DSSTox_CID_941', 'DSSTox_RID_75879', 'DSSTox_GSID_20941', 'Azotyn sodowy', 'Sodium nitrite, 97+%, ACS reagent', 'CAS-7632-00-0', 'Sodium nitrite solution, 40 wt. % in H2O', 'Sodium Nitrite [USAN]', 'diazoting salts', 'natrium nitrite', 'odium nitrite', 'sodium nitrit', 'sodium-nitrite', 'Sodium nitrite, 99%, extra pure, contains an anticaking reagent', 'NNaO2', 'Sodium nitrite (TN)', 'Sodium nitrite ACS grade', 'Sodium nitrite,food grade', 'EC 231-555-9', 'KSC377O6J', 'INS NO.250', 'Sodium nitrite, AR, &gt;=98%', 'Sodium nitrite, LR, &gt;=98%', 'DTXSID0020941', 'CTK2H7764', 'KS-00000WUJ', 'INS-250', 's209', 'HMS3652K08', 'Sodium nitrite, analytical standard', 'Sodium nitrite, granular, 99.5%', 'Sodium nitrite, Trace metals grade', 'Tox21_202155', 'Tox21_300025', 'ANW-36776', 's4074', 'AKOS024427981', 'CCG-266007', 'Sodium nitrite [UN1500] [Oxidizer]', 'Sodium nitrite, 98.5%, for analysis', 'NCGC00090737-01', 'NCGC00090737-02', 'NCGC00254137-01', 'NCGC00259704-01', 'Sodium nitrite [UN1500]  [Oxidizer]', 'BP-24357', 'BP-31053', 'E250', 'SC-46815', 'Sodium nitrite, ACS reagent, &gt;=97.0%', 'Sodium nitrite, p.a., ACS reagent, 99%', 'FT-0645124', 'S0565', 'Sodium nitrite, 99.5%, super free-flowing', 'Sodium nitrite, ReagentPlus(R), &gt;=99.0%', 'SW219150-1', 'Sodium nitrite, 99.999% trace metals basis', 'Sodium nitrite, SAJ first grade, &gt;=97.0%', 'D05865', 'Sodium nitrite, &gt;=99.99% trace metals basis', 'Sodium nitrite, JIS special grade, &gt;=98.5%', 'Sodium nitrite, purum p.a., &gt;=98.0% (RT)', 'Q339975', 'Sodium nitrite, puriss. p.a., ACS reagent, &gt;=99.0% (RT)', 'Sodium nitrite, United States Pharmacopeia (USP) Reference Standard', 'Nitrite ion standard solution, 0.01 M NO2-, for ion-selective electrodes', 'Nitrite ion standard solution, 0.1 M NO2-, for ion-selective electrodes', 'Sodium nitrite, anhydrous, free-flowing, Redi-Dri(TM), ACS reagent, &gt;=97%', 'Sodium nitrite, puriss. p.a., ACS reagent, reag. Ph. Eur., &gt;=99%', 'Sodium nitrite, puriss., meets analytical specification of Ph. Eur., BP, USP, FCC, E 250, 99-100.5% (calc. to the dried substance)']</t>
  </si>
  <si>
    <t>Compound(23668193)</t>
  </si>
  <si>
    <t>NNaO2</t>
  </si>
  <si>
    <t>sodium hypochlorite</t>
  </si>
  <si>
    <t>sodium;hypochlorite</t>
  </si>
  <si>
    <t>['SODIUM HYPOCHLORITE', '7681-52-9', 'Antiformin', 'Hypochlorous acid, sodium salt', 'Sodium oxychloride', 'Chlorox', 'Clorox', 'Javex', 'Javelle water', 'Hypochlorite sodium', 'Carrel-dakin solution', 'Chloros', 'Cloralex', 'Cloropool', 'Dispatch', 'Hyclorite', 'Klorocin', 'Parozone', 'Surchlor', 'Youxiaolin', 'Deosan', 'Hypure', 'Milton', 'Dakins solution', 'Hospital Milton', 'Javel water', 'Milton Crystals', 'Neo-cleaner', 'Household bleach', 'Neoseptal CL', "Dakin's solution", 'Hypure N', 'Purin B', 'B-K liquid', "Modified dakin's solution", 'Hyposan and Voxsan', "Solutions, Dakin's", 'AD Gel', 'Clorox liquid bleach', 'Sodium hypochlorite solution', 'Sunnysol 150', 'Caswell No. 776', 'UNII-DY38VHM5OD', 'Dental antiformin', 'NaClO', 'NaOCl', 'sodium hypochloride', 'Sodium hypochlorite (NaClO)', 'Sodium hypochlorite (NaOCl)', 'CCRIS 708', 'Deosan Green Label Steriliser', 'HSDB 748', 'XY 12', 'EINECS 231-668-3', 'DY38VHM5OD', 'EPA Pesticide Chemical Code 014703', 'Hypochlorous acid, sodium salt (1:1)', 'UN 1791', 'CHEBI:32146', 'Chlorinated water (sodium hypochlorite)', 'NCGC00091027-01', 'Sodium hypochlorite [Hypochloride salts]', 'Sodium hypochlorite solution (15% or less)', 'SODIUM HYPOCHLORITE [SOLUTION, DILUTED]', 'Dakins quarter', 'Dakins half', 'sodiumhypochlorite', 'Sodium hypochlorite, 5% active chlorine', 'Di-Dak-Sol', 'Sodium hypochlorite, 10-15% active chlorine', 'Texant', 'Sodium hypochlorite [USP:JAN]', 'odium hypochlorite', 'Sodium hypochlorite [USAN:JAN]', 'sodium hypochiorite', 'Sodium hypo chlorite', 'Texant (TN)', 'ACMC-20ajo6', 'ANTIFORMIN, DENTAL', 'DSSTox_CID_1276', 'EC 231-668-3', 'DSSTox_RID_76052', 'DSSTox_GSID_21276', 'Sodium hypochlorite (JAN/USP)', 'CHEMBL1334078', 'DTXSID8021276', 'CTK3J2241', 'Sodium hypochlorite, 14% solution', 'Sodium Hypochlorite solution 6-14%', 'Tox21_111062', 'AKOS015950665', 'LS-2426', 'S345', 'CAS-7681-52-9', 'S0939', 'D01711', 'Q407204', 'Q-200732']</t>
  </si>
  <si>
    <t>Compound(23665760)</t>
  </si>
  <si>
    <t>ClNaO</t>
  </si>
  <si>
    <t>sodium hydroxide</t>
  </si>
  <si>
    <t>sodium;hydroxide</t>
  </si>
  <si>
    <t>['SODIUM HYDROXIDE', 'Caustic soda', '1310-73-2', 'Sodium hydrate', 'Soda lye', 'White caustic', 'Aetznatron', 'Ascarite', 'Sodium hydroxide (Na(OH))', 'Soda, caustic', 'Natriumhydroxid', 'Rohrputz', 'Sodium hydroxide solution', 'Plung', 'Collo-Grillrein', 'Liquid-plumr', 'Caustic soda solution', 'Collo-Tapetta', 'Fuers Rohr', 'Rohrreiniger Rofix', 'NaOH', 'Hydroxyde de sodium', 'Natriumhydroxyde', 'Sodium hydroxide dimer', 'White caustic solution', 'Sodium hydrate solution', 'Soda, hydrate', 'Natrium causticum', 'Soda, kaustische', 'Lewis-red devil lye', 'Sodio(idrossido di)', 'Caustic soda, liquid', 'Sodium(hydroxyde de)', 'Caswell No. 773', 'sodiumhydroxide', 'Sodium hydroxide (Na2(OH)2)', 'Natriumhydroxid [German]', 'Natriumhydroxyde [Dutch]', 'Natrium-hydroxid, reinstes', 'UN 1823 (solid)', 'UN 1824 (solution)', 'MFCD00003548', 'Hydroxyde de sodium [French]', 'UNII-55X04QC32I', 'HSDB 229', 'Sodio(idrossido di) [Italian]', 'Sodium(hydroxyde de) [French]', 'Sodium hydroxide, solid', 'Sodium hydroxide, pellets', 'EINECS 215-185-5', 'UN1823', 'UN1824', 'LYE', 'EPA Pesticide Chemical Code 075603', 'NSC 135799', 'CHEBI:32145', 'Sodium Hydroxide, 0.1M solution', '55X04QC32I', 'Na (O H)', 'Buffer Solution, pH 8.00', 'Sodium hydroxide, pure, pellets', 'Sodium hydroxide, 98%, pure, flakes', 'Sodium hydroxide, 1N standard solution', 'Sodium hydroxide, extra pure, micropearls', 'Sodium hydroxide, 0.1 N standard solution', 'Sodium hydroxide, 0.2 N standard solution', 'Sodium hydroxide, for analysis, micropearls', 'Sodium hydroxide, 98%, extra pure, pellets', 'Sodium hydroxide, 97+%, ACS reagent, pellets', 'Sodium hydroxide [NF]', 'Sodium hydroxide, 98.5%, for analysis, pellets', 'Sodium Hydroxide [USAN]', 'Sodium hydroxide, for analysis, 50% solution in water', 'Sodium hydroxide, extra pure, 33wt.% solution in water', 'Sodium hydroxide, extra pure, 50 wt% solution in water', 'sodiumhydroxid', 'hydroxyl sodium', 'odium hydroxide', 'sodium hydoxide', 'sodium hydroxid', 'sodium hyroxide', 'soude caustique', 'hydroxide sodium', 'Lye solution', 'Sodium hidroxide', 'Sodium hydroxyde', 'Sodium-hydroxide', 'Natrii hydroxidum', 'Caustic soda, dry', 'Caustic Soda Flake', 'Caustic soda, Lye', 'Caustic soda, bead', 'Caustic soda, flake', 'Caustic soda, solid', 'Caustic soda 50%', 'Sodium hydroxide, dry', 'Sodium hydroxide beads', 'Caustic soda, granular', 'Sodium hydroxide liquid', 'Sodium hydroxide, bead', 'Sodium hydroxide 50%', 'Sodium hydroxide (TN)', 'Sodium hydroxide, flake', 'Sodium hydroxide, pearl', 'ACMC-1BRPG', 'Sodium hydroxide (flake)', 'Sodium hydroxide (liquid)', 'Sodium hydroxide, granular', 'Sodium hydroxide, solution', 'WLN: NA Q', 'EC 215-185-5', '1N Sodium hydroxide solution', 'Sodium hydroxide pellets, EP', 'Sodium hydroxide, micropearls', 'KSC174M8F', 'Sodium hydroxide (JP17/NF)', 'Sodium hydroxide solution 25%', 'CHEMBL2105794', 'DTXSID0029634', 'Sodium Hydroxide 1N Concentrate', 'Sodium hydroxide, 40% solution', 'Sodium hydroxide, 50% solution', 'CTK0H4682', 'Sodium Hydroxide 10N Concentrate', 'Sodium Hydroxide Solution, 2.5N', 'Sodium Hydroxide, 1.0M solution', 'Sodium Hydroxide, 2.0M solution', 'BCP26108', 'ANW-41118', 'NSC135799', 'Sodium hydroxide pellets ACS reagent', 'AKOS015913904', 'AKOS015951419', 'Sodium Hydroxide Pellets Reagent Grade', 'DB11151', 'LS-3220', 'NSC-135799', 'KS-00000V98', 'E-33', 'SC-18974', 'SC-21614', 'Sodium hydroxide pellets Biochemical Grade', 'FT-0645105', 'FT-0689261', 'S0542', 'S0543', 'SODIUM HYDROXIDE BEADS RGT GRADE 1KG', 'X4832', 'C12569', 'D01169', 'Sodium hydroxide, solid [UN1823]  [Corrosive]', 'Sodium hydroxide, solid [UN1823] [Corrosive]', 'Q102769', 'Sodium hydroxide, solution [UN1824] [Corrosive]', 'J-005935', 'Sodium hydroxide, solution [UN1824]  [Corrosive]', 'Sodium hydroxide, technical, 30% solution in water', 'Sodium hydroxide, pellets, Trace Metals Grade 99.99%']</t>
  </si>
  <si>
    <t>Compound(14798)</t>
  </si>
  <si>
    <t>HNaO</t>
  </si>
  <si>
    <t>sodium pentachlorophenate</t>
  </si>
  <si>
    <t>sodium;2,3,4,5,6-pentachlorophenolate</t>
  </si>
  <si>
    <t>['Sodium pentachlorophenate', '131-52-2', 'Sodium pentachlorophenolate', 'Pentachlorophenol sodium salt', 'Sodium pentachlorophenol', 'Pentaphenate', 'Weedbeads', 'Pkhfn', 'Santobrite D', 'Dowicide G', 'Preventol PN', 'Witophen N', 'Napclor-G', 'Mystox D', 'PCP Sodium salt', 'PCP-Sodium', 'Sodium PCP', 'Dowicide G-ST', 'Sodium pentachlorophenoxide', 'Pentanot 25', 'Dow dormant fungicide', 'Sapco 25', 'Caswell No. 784', 'Sodium pentachlorphenate', 'Pentachlorophenate sodium', 'Pentachlorophenoxy sodium', 'Pentachlorphenol sodium salt', 'PENTACHLOROPHENOL, SODIUM SALT', 'Sodium, (pentachlorophenoxy)-', 'UNII-640L8FZO38', 'HSDB 761', 'GR 48-11PS', 'Phenol, pentachloro-, sodium salt', 'NSC 1566', 'EINECS 205-025-2', 'GR 48-32S', 'UN2567', 'EPA Pesticide Chemical Code 063003', 'AI3-16418', '640L8FZO38', 'SPCP', 'Phenol, pentachloro-, sodium salt, monohydrate', 'Phenol, 2,3,4,5,6-pentachloro-, sodium salt (1:1)', 'PENTACHLOROPHENOL SODIUM', 'sodium pentachloropthenol', 'Na-PCP', 'sodium;2,3,4,5,6-pentachlorophenolate', 'odium pentachlorophenolate', 'p-isopropoxy ethyl benzoate', 'DSSTox_CID_20264', 'DSSTox_GSID_40264', 'SCHEMBL73483', 'Sodium Pentachlorophenate Powder', 'CHEMBL3560394', 'DTXSID4040264', 'CTK8E8229', 'RELD 1000', 'Sodium Pentachlorophenate Solution', 'PENTACHLOROPHENOL,SODIUM SALT', 'Tox21_303795', 'LS-740', 'AKOS015963346', 'sodium 2,3,4,5,6-pentachlorophenolate', 'NCGC00357082-01', 'AC-19745', 'CAS-131-52-2', 'pentachlorophenol sodium salt,sodium pentachlorophenate,sodium pentachlorophenolate, sodium pentachlorophenoxide', 'P0034', 'Sodium pentachlorophenate [UN2567] [Poison]', 'Sodium pentachlorophenate [UN2567]  [Poison]', 'J-006014', 'Q22829177', 'Pentachlorophenol sodium salt, technical, &gt;=80% (HPLC/NT)', 'SODIUM PENTACHLOROPHENATE (SEE ALSO CAS 87-86-5)']</t>
  </si>
  <si>
    <t>Compound(23663539)</t>
  </si>
  <si>
    <t>C6Cl5NaO</t>
  </si>
  <si>
    <t>sodium sulfate</t>
  </si>
  <si>
    <t>disodium;sulfate</t>
  </si>
  <si>
    <t>['SODIUM SULFATE', '7757-82-6', 'Disodium sulfate', 'Sodium sulphate', 'Salt cake', 'Sodium sulfate, anhydrous', 'Sulfuric acid disodium salt', 'Sodium sulfate anhydrous', 'Disodium sulphate', 'Sodium sulfate (2:1)', 'sodiumsulfate', 'Sulfuric acid, sodium salt', 'Bisodium sulfate', 'Disodium monosulfate', 'Dibasic sodium sulfate', 'Natriumsulfat (German)', 'Sodium sulphate anhydrous', 'Sulfate, sodium', 'Sulfuric acid sodium salt (1:2)', 'Sodium sulfate (Na2SO4)', '15124-09-1', 'UNII-36KCS0R750', 'HSDB 5042', 'Sodium sulfate anyhdrous', 'Na2SO4', 'MFCD00003504', 'Sodium sulfate, dried [JAN]', 'CHEBI:32149', '36KCS0R750', 'Sodium sulfate, dried (JAN)', 'Na sulphate', 'Natrum sulphuricum', 'Sodium sulfate, 99%, extra pure, anhydrous', 'Sodium sulfate, 99+%, for HPLC, anhydrous', 'Caswell No. 793', 'Sodium sulfate, 99+%, ACS reagent, anhydrous', 'Sodium sulfate, 99%, for biochemistry, anhydrous', 'Sodium sulfate (solution)', 'Thenardite (Na2(SO4))', 'Sodium sulfate, 99+%, ACS reagent, granular, anhydrous', 'Sodium sulfate, 99+%, for analysis, powder, anhydrous', 'Sodium sulfate, 99+%, for analysis, crystalline, anhydrous', 'Natriumsulfat', 'Sodium tallow alcohol sulfate', 'odium sulphate', 'Glaubers salt', 'EINECS 231-820-9', 'EINECS 268-366-6', 'EINECS 268-773-9', 'EINECS 270-211-2', 'Sulfuric acid, monotallow alkyl esters, sodium salts', 'Sulfuric acid, mono-C8-30-alkyl esters, sodium salts', 'EPA Pesticide Chemical Code 005604', 'NSC 403914', 'Sulfuric acid, mono-C14-18-alkyl esters, sodium salts', 'ACMC-1BDYG', 'Sodium Sulfate ACS HE', 'AI3-02398', 'Na2O4S', 'SDA 17-062-04', 'Sulfuric acid sodium salt', 'DSSTox_CID_1291', 'Sodium sulphate, anhydrous', 'EC 231-820-9', 'DSSTox_RID_76063', 'DSSTox_GSID_21291', 'Mixed (C8-C30) alcohols, sulfated, sodium salt', 'Sodium sulfate, ACS reagent', 'Sodium sulfate, dried (TN)', '68081-98-1', '68140-10-3', '68412-82-8', 'KSC377C2B', '(C14-C18) Alkyl alcohol sulfuric acid sodium salt', '(C14-C18) Alkyl alcohol sulfuric acid, sodium salt', '(C14-C18) Alkylalcohol sulfuric acid, sodium salt', 'CHEMBL233406', 'INS NO.514(II)', 'DTXSID1021291', 'INS NO.514(I)', 'Anhydous sodium sulfate (JP17)', 'CTK2H7120', 'INS-514(II)', 'KS-00000VLP', 'Sodium Sulfate - Drilling Grade', 'INS-514(I)', '7757-82-6 (anhyd.)', 'BCP13313', 'Sodium sulfate, for residue analysis', 'Tox21_201045', 'ANW-45832', 'E-514(II)', 'MFCD00149189', 'AKOS015833463', 'Sodium Sulfate Anhydrous Granular ACS', 'Sodium sulfate, BioXtra, &gt;=99.0%', 'Sulfuric acid disodium salt, anhydrous', 'DB09472', 'LS-7707', 'NCGC00258598-01', 'Sodium sulfate, LR, anhydrous, &gt;=99%', '13759-07-4', 'E-514(I)', 'E514', 'K354', 'SC-26422', 'Sodium Sulfate Anhydrous; Sodium sulphate', 'CAS-7757-82-6', 'Sodium sulfate, AR, anhydrous, &gt;=99.5%', 'FT-0645112', 'S0566', 'Sodium sulfate, ReagentPlus(R), &gt;=99.0%', 'Sodium sulfate, for pesticide residue analysis', 'Sodium sulfate, Trace metals grade, 99.99%', 'C13199', 'D01732', 'Sodium sulfate, &gt;=99.99% trace metals basis', 'Sodium sulfate, JIS special grade, &gt;=99.0%', 'Sodium sulfate, Vetec(TM) reagent grade, 99%', 'Sodium sulfate, meets USP testing specifications', 'Q211737', 'Sodium sulfate, for HPLC, 99.0-101.0% (T)', 'Sodium sulfate, purum, anhydrous, &gt;=99.0% (T)', 'Sodium sulfate, SAJ first grade, &gt;=99.0%, beads', 'Sodium sulfate, SAJ first grade, &gt;=99.0%, powder', 'Sodium sulfate, &gt;=99.0%, plant cell culture tested', 'Sodium sulfate, BioUltra, anhydrous, &gt;=99.0% (T)', 'Sodium sulfate, p.a., 99.0-101.0%, reag. ISO', 'Sodium sulfate, for pesticide residue analysis, 99.0%', 'Sodium sulfate, tested according to Ph.Eur., anhydrous', 'Sodium sulfate, ACS reagent, &gt;=99.0%, anhydrous, powder', 'Sodium sulfate, ACS reagent, &gt;=99.0%, anhydrous, granular', 'Sodium sulfate, anhydrous, free-flowing, Redi-Dri(TM), ACS reagent, &gt;=99%', 'Sodium sulfate anhydrous, United States Pharmacopeia (USP) Reference Standard', 'Sodium sulfate, anhydrous, free-flowing, Redi-Dri(TM), ReagentPlus(R), &gt;=99%', 'Sodium sulfate, anhydrous, granular, free-flowing, Redi-Dri(TM), ACS reagent, &gt;=99%', 'Sodium sulfate, puriss. p.a., ACS reagent, reag. ISO, reag. Ph. Eur., anhydrous, &gt;=99.0%', 'Sodium sulfate, puriss., meets analytical specification of Ph. Eur., BP, USP, anhydrous, 99.0-100.5% (calc. to the dried substance)']</t>
  </si>
  <si>
    <t>Compound(24436)</t>
  </si>
  <si>
    <t>Na2O4S</t>
  </si>
  <si>
    <t>sodium silicate</t>
  </si>
  <si>
    <t>disodium;dioxido(oxo)silane</t>
  </si>
  <si>
    <t>['Sodium metasilicate', 'SODIUM SILICATE', 'Waterglass', '6834-92-0', 'Sodium siliconate', 'Sodium polysilicate', '1344-09-8', 'Water glass', 'Disodium metasilicate', 'Sodium sesquisilicate', 'Sodium silicate glass', 'Sodium silicate solution', 'Sodium water glass', 'Britesil', 'Crystamet', 'Orthosil', 'Sikalon', 'Silican', 'Carsil', 'Dryseq', 'Soluble glass', 'Agrosil S', 'Disodium silicate', 'Agrosil LR', 'Portil A', 'Silica E', 'Silica K', 'Silica N', 'Silica R', 'Pyramid 1', 'Pyramid 8', 'Simet A', 'Carsil (silicate)', 'Britesil H 20', 'Britesil H 24', 'Metso beads, drymet', 'Disodium monosilicate', 'Dupont 26', 'Metso pentabead 20', 'Metso 20', 'Metso 99', 'Metso beads 2048', 'Caswell No. 792', '49FG', 'disodium oxosilanediolate', 'Silicic acid (H2SiO3), disodium salt', 'as Bond 1001', 'L 96 (salt)', 'HK 30 (van)', 'Sodium silicate (Na2SiO3)', 'Sodium metasilicate, anhydrous', 'HSDB 753', 'Sodium metasilicate (Na2SiO3)', 'HSDB 5028', 'UNII-052612U92L', 'EINECS 215-687-4', 'EINECS 229-912-9', 'DP 222', 'EPA Pesticide Chemical Code 072603', 'Silicic acid, disodium salt', 'Sodium metasilicate anhydrous', 'Silicic acid (H2SiO3) , disodium salt', 'N 38', 'Q 70', 'CHEBI:60720', 'SOdium silicate solution, reagent grade', '052612U92L', 'Silicic acid (H2SiO3), sodium salt (1:2)', 'Sodium metasilicate, puriss.', 'B-W', 'Silicic acid (H2SiO3), disodium salt, pentahydrate (8CI,9CI)', 'Silicon, Reference Standard Solution', 'UNII-IJF18F77L3', 'sodium meta-silicate', 'Sodium silicon oxide', 'MFCD00003492', 'Na2SiO3', 'Sodium trisilicate solution', 'Epitope ID:158534', 'EC 215-687-4', 'EC 229-912-9', 'IJF18F77L3', 'DTXSID7029669', 'CTK8G3162', 'AKOS024429002', 'LS-1581', 'LS-3222', 'KS-0000190I', 's15025', 'Silicic acid (CH2SiO3), disodium salt', 'P-84', 'S580', 'FT-0778173', 'Q425397', 'Sodium trisilicate, &gt;=18% Na (as Na2O) basis, &gt;=60% Si (as SiO2) basis, powder', '84992-49-4']</t>
  </si>
  <si>
    <t>Compound(23266)</t>
  </si>
  <si>
    <t>Na2O3Si</t>
  </si>
  <si>
    <t>sodium tripolyphosphate</t>
  </si>
  <si>
    <t>pentasodium;[oxido(phosphonatooxy)phosphoryl] phosphate</t>
  </si>
  <si>
    <t>['Sodium tripolyphosphate', '7758-29-4', 'Pentasodium triphosphate', 'Sodium triphosphate', 'STPP', 'Thermphos', 'Armofos', 'Polygon', 'Tripoly', 'PENTASODIUM TRIPOLYPHOSPHATE', 'Rhodiaphos LV', 'Thermphos N', 'Empiphos stp-D', 'Thermphos SPR', 'Triphosphoric acid, pentasodium salt', 'Thermphos L 50', 'Caswell No. 799', 'Poly', 'UNII-9SW4PFD2FZ', 'Natriumtripolyphosphat [German]', 'Sodium phosphate (Na5P3O10)', 'HSDB 1099', 'Sodium tripolyphosphate, anhydrous', 'Sodium triphosphate (Na5P3O10)', 'EINECS 231-838-7', 'Sodium tripolyphosphate (Na5P3O10)', '9SW4PFD2FZ', 'EPA Pesticide Chemical Code 076404', 'Na5P3O10', 'S 400', 'Triphosphoric acid, sodium salt (1:5)', 'Sodium tripolyphosphate, for analysis', 'Natriumtripolyphosphat', 'Sodium tripolyphosphate, 85%, pure, tech.', 'EC 231-838-7', 'DTXSID9036307', 'Sodium tripolyphosphate anhydrous', 'CTK4B9971', 'AKOS015902309', 'AKOS015951376', 'DB11493', 'LS-2434', 'K357', 'FT-0689070', 'Sodium tripolyphosphate, technical grade, 85%', 'Q29145', 'Sodium triphosphate pentabasic, purum p.a., &gt;=98.0% (T)', 'UNII-5HK03SA80J component HWGNBUXHKFFFIH-UHFFFAOYSA-I', 'Sodium triphosphate pentabasic, Vetec(TM) reagent grade, 98%', 'Sodium tripolyphosphate, SAJ first grade, 56.0-61.0% P2O5 basis']</t>
  </si>
  <si>
    <t>Compound(24455)</t>
  </si>
  <si>
    <t>Na5O10P3</t>
  </si>
  <si>
    <t>sodium aluminate</t>
  </si>
  <si>
    <t>sodium;dioxoalumanuide</t>
  </si>
  <si>
    <t>['SODIUM ALUMINATE', 'Sodium aluminum oxide', 'beta-Alumina', 'ALUMINUM SODIUM OXIDE', 'Dynaflock L', 'Monofrax H', 'Alumina-C', 'Sodium polyaluminate', 'Maxifloc 8010', 'Nalco 680', '11138-49-1', 'VSA 45', 'Aluminium sodium dioxide', 'Sodium aluminate solution', 'EINECS 234-391-6', 'UN1819', 'UN2812', 'J 242', 'Torganit', 'Sodium metaaluminate', 'Sodium aluminum oxide (NaAlO2)', 'Aluminate, sodium', 'AlO2.Na', 'Sodium aluminum dioxide', 'Sodium aluminate, solid', 'Sodium aluminate, solution', 'EC 234-391-6', 'Sodium aluminate (NaAlO2)', 'Sodium aluminate (Na2Al2O4)', 'Sodium metaaluminate (NaAlO2)', 'DTXSID3051206', 'HSDB 5023', 'Aluminum sodium oxide (Al2Na2O4)', 'EINECS 215-100-1', '5478AF', 'LS-16501', 'FT-0695291', 'FT-0696529', 'EC 215-100-1', 'Sodium aluminate, solid [UN2812]  [Corrosive]', 'Sodium aluminate, solid [UN2812] [Corrosive]', 'Q411155', 'Sodium aluminate, solution [UN1819] [Corrosive]', 'Sodium aluminate, solution [UN1819]  [Corrosive]']</t>
  </si>
  <si>
    <t>Compound(14766)</t>
  </si>
  <si>
    <t>AlNaO2</t>
  </si>
  <si>
    <t>sodium azide</t>
  </si>
  <si>
    <t>sodium;azide</t>
  </si>
  <si>
    <t>['sodium azide', '26628-22-8', 'Azide, sodium', 'Natriumazid', 'Sodiumazide', 'Nemazyd', 'SMITE', 'Kazoe', 'Azoture de sodium', 'Sodium azide (Na(N3))', 'hydrazoic acid, sodium salt', 'Natriumazid [German]', 'Natriummazide [Dutch]', 'azidosodium', 'Azydek sodu [Polish]', 'Caswell No. 744A', 'Sodium trinitride', 'RCRA waste number P105', 'NSC 3072', 'Azoture de sodium [French]', 'UNII-968JJ8C9DV', 'Sodium, azoture de [French]', 'Sodium, azoturo di [Italian]', 'CCRIS 1261', 'HSDB 695', 'NCI-C06462', 'EINECS 247-852-1', 'UN1687', 'RCRA waste no. P105', 'EPA Pesticide Chemical Code 107701', 'CHEMBL89295', 'AI3-50436', '968JJ8C9DV', 'CHEBI:278547', 'U-3886', 'Sodium Azide-15N3', 'DSSTox_CID_121', 'DSSTox_RID_75383', 'DSSTox_GSID_20121', 'Sodium azide, 99%, extra pure', 'Natriummazide', 'Azydek sodu', 'Sodium azide, 99+%, for biochemistry', 'Sodium, azoture de', 'Sodium, azoturo di', 'CAS-26628-22-8', '1015486-10-8', 'NaN3', 'azido sodium', 'sodium azid', 'sodium-azide', 'Natrium azide', 'sodium azid e', 'EC 247-852-1', 'Sodium azide (nominal conc.)', 'DTXSID8020121', 'CTK1A3263', 'ZX-AFC000540', 'Sodium azide [UN1687] [Poison]', 'Tox21_202461', 'Tox21_300024', 'ANW-56399', 'GE6920', 'Sodium azide [UN1687]  [Poison]', 'AKOS015833396', 'AKOS015951264', 'LS-1109', 'NCGC00090996-01', 'NCGC00254054-01', 'NCGC00260010-01', 'CC-34465', 'sodium triaza-1,2-dien-2-ium-1,3-diide', 'S0489', 'C-24251', 'Q407577', 'J-016500']</t>
  </si>
  <si>
    <t>Compound(33557)</t>
  </si>
  <si>
    <t>N3Na</t>
  </si>
  <si>
    <t>sodium cyclamate</t>
  </si>
  <si>
    <t>sodium;N-cyclohexylsulfamate</t>
  </si>
  <si>
    <t>['SODIUM CYCLAMATE', '139-05-9', 'Sodium cyclohexylsulfamate', 'Sodium N-cyclohexylsulfamate', 'Cyclamate sodium', 'Sulfamic acid, cyclohexyl-, monosodium salt', 'Cyclamic acid sodium salt', 'Assugrin', 'Ibiosuc', 'Suessette', 'Suestamin', 'Sugarin', 'Sugaron', 'Natrii cyclamas', 'Sodium sucaryl', 'Sucaryl sodium', 'Ciclamato sodico', 'Dulzor-Etas', 'Hachi-Sugar', 'Assurgrin feinsuss', 'Assurgrin vollsuss', 'Natrium cyclamicum', 'Sodium cyclohexanesulfamate', 'Sucrum 7', 'Cyclamate de sodium', 'Asugryn', 'Cyclohexylsulfamate sodium', 'Natrium cyclohexylsulfamat', 'Natriumzyklamate [German]', 'Ciclamato sodico [DCIT]', 'Cyclohexylsulphamate sodium', 'Natriumcyclohexylamidosulfat', 'Sodium cyclohexyl sulfamate', 'Sodium cyclohexanesulphamate', 'Cyclamate, sodium', 'Natraiumcyclohexylamidosulfat', 'Sodium cyclohexyl sulphamate', 'Sodium cyclohexylsulphamidate', 'UNII-1I6F42RME1', 'Monosodium cyclohexylsulfamate', 'Cyclamate, sodium salt', 'CCRIS 187', 'Natrii cyclamas [INN-Latin]', 'Sodium cyclohexyl amidosulphate', 'Natriumzyklamate', 'Cyclamate de sodium [INN-French]', 'Cyclamate sodium/ saccharin sodium', 'N-Cyklohexylsulfamat sodny [Czech]', 'Cyclohexylsulfamic acid, sodium salt', 'EINECS 205-348-9', 'Cyclohexanesulfamic acid, sodium salt', 'N-Cyclohexylsulfamic acid sodium salt', 'NSC 42195', 'sodium;N-cyclohexylsulfamate', 'Cyclohexanesulfamic acid, monosodium salt', 'Cyclohexylsulphamic acid, monosodium salt', 'Cyclohexanesulphamic acid, monosodium salt', 'AI3-24213', '1I6F42RME1', 'Sulfamic acid, cylclohexyl-, monosodium salt', 'CHEBI:82431', 'Sodium cyclamate, 99%', 'Sulfamic acid, N-cyclohexyl-, sodium salt (1:1)', 'aminocyclohexylsulfonic acid, sodium salt', 'E952', 'N-Cyklohexylsulfamat sodny', 'sucrosa', 'Sodium cyclamate [INN:BAN]', 'Sodium cyclamate [INN:BAN:NF]', 'sucrun 7', 'sucrun  7', 'Sodium cyclamate (INN)', 'DSSTox_CID_355', 'ACMC-1B8DT', 'C6H12NNaO3S', 'sodium cyclohexylsulfamidate', 'sodium cyclohexanesul famate', 'DSSTox_RID_75534', 'DSSTox_GSID_20355', 'SCHEMBL66221', 'Sodium N-Cyclohexanesulfamate', 'sodium cyclohexyl amidosulfate', 'KSC493S5N', 'MLS004773942', 'CHEMBL273977', 'N-Cyclohexylsulfamic acid sodium', 'DTXSID6020355', 'CTK3J3956', 'bis(1-piperidinecarbodithioato)-zin', 'KS-00000Z8S', 'Tox21_202781', 'zinc-N-pentamethylene dithiocarbamate', 'ANW-20490', 'MFCD00003827', 'AKOS015897277', 'N-Cyclohexanesulfamic Acid Sodium Salt', 'N-Cyclohexylsulphamic acid sodium salt', 'CCG-213831', 'LS-7160', 'cyclohexylsulfamic acid, monosodium salt', 'NCGC00164316-01', 'NCGC00260327-01', 'SODIUM (SULFONATOAMINO)CYCLOHEXANE', '61373-78-2', 'AK115075', 'AS-17602', 'CAS-139-05-9', 'CC-34469', 'S635', 'SC-65197', 'SMR003500667', 'AX8151417', 'FT-0624198', 'ST50997692', 'V0925', 'C19378', 'D02443', 'C-30068', 'Q407786', 'J-007216']</t>
  </si>
  <si>
    <t>Compound(23665706)</t>
  </si>
  <si>
    <t>C6H12NNaO3S</t>
  </si>
  <si>
    <t>N-acetyl-4-aminoantipyrin</t>
  </si>
  <si>
    <t>N-(1,5-dimethyl-3-oxo-2-phenylpyrazol-4-yl)acetamide</t>
  </si>
  <si>
    <t>['4-Acetamidoantipyrine', '83-15-8', '4-Acetaminoantipyrine', 'Acetamidoantipyrine', 'Acetylaminoantipyrine', '4-Acetoaminoantipyrine', '4-Acetylaminophenazone', '4-Acetylaminoantipyrine', 'Antipyrine, 4-acetamido-', '4-Acetamidoantipyrin', 'N-Acetyl-4-aminoantipyrine', 'Acetylated 4-aminoantipyrine', 'N-Acetylaminoantipyrine', 'Acetamide, N-antipyrinyl-', 'Acetamide, N-(antipyrinyl)-', 'UNII-535H9N144Z', 'N-(1,5-dimethyl-3-oxo-2-phenylpyrazol-4-yl)acetamide', 'Acetyl-4-aminoantipyrine', 'NSC 331807', 'CHEBI:83513', 'N-(1,5-Dimethyl-3-oxo-2-phenyl-2,3-dihydro-1H-pyrazol-4-yl)acetamide', '535H9N144Z', 'N-(2,3-Dimethyl-5-oxo-1-phenyl-3-pyrazolin-4-yl)acetamide', 'Acetamide, N-(2,3-dihydro-1,5-dimethyl-3-oxo-2-phenyl-1H-pyrazol-4-yl)-', 'F0034-0117', 'Antipyrine Impurity', 'EINECS 201-457-0', '4-Acetaminoantipyrin', 'PubChem13212', '4-Acetylamino-Antipyrine', 'AI3-52432', '4AAA', '4-Aminoantipyrine-N-acetyl', 'Aminoantipyrine, N-acetyl-', '4-AAA', '4-(N-Acetylamino)antipyrine', 'Oprea1_016919', 'Oprea1_507768', 'SCHEMBL5050992', 'CHEMBL1831257', 'OIAGWXKSCXPNNZ-UHFFFAOYSA-', 'ZINC41021', 'DTXSID40232106', '4-acetyl-amino-antipyrine (AAA)', 'Acetamide, N-antipyrinyl- (8CI)', 'MFCD00003141', 'NSC331807', 'SBB056648', 'AKOS000746331', 'MCULE-5753068927', 'NSC-331807', 'SDCCGMLS-0064808.P001', 'SDCCGMLS-0064808.P002', 'VZ28125', '4-Acetamidoantipyrine, analytical standard', 'MS-10581', 'ST065389', 'DB-056685', 'FT-0631379', 'A840513', 'SR-01000395595', 'SR-01000395595-1', '4-Acetamido-2,3-dimethyl-1-phenyl-3-pyrazolin-5-one', 'Q27156901', 'N-(1,5-dimethyl-3-oxo-2-phenyl-4-pyrazolyl)acetamide', '4-Acetamidoantipyrine ( N-Acetyl-4-Aminoantipyrine 4-AAA)_236_ p', 'Acetamide,3-dihydro-1,5-dimethyl-3-oxo-2-phenyl-1H-pyrazol-4-yl)-', 'N-(1,5-dimethyl-3-oxidanylidene-2-phenyl-pyrazol-4-yl)ethanamide', 'N-(1,5-Dimethyl-3-oxo-2-phenyl-2,3-dihydro-1H-pyrazol-4-yl)acetamide #', 'Acetamide, N-(2,3-dihydro-1,5-dimethyl-3-oxo-2-phenyl-1H-pyrazol-4-yl)- (9CI)']</t>
  </si>
  <si>
    <t>Compound(65743)</t>
  </si>
  <si>
    <t>C13H15N3O2</t>
  </si>
  <si>
    <t>naphthalene</t>
  </si>
  <si>
    <t>['naphthalene', '91-20-3', 'Naphthalin', 'Naphthene', 'Camphor tar', 'Tar camphor', 'White tar', 'Albocarbon', 'Naphthaline', 'Moth flakes', 'Moth balls', 'naphtalene', 'Dezodorator', 'Naftalen', 'Mighty 150', 'napthalene', 'RCRA waste number U165', 'Mighty RD1', 'naftaleno', 'Mothballs', 'Naftalen [Polish]', 'NCI-C52904', 'Caswell No. 587', 'naftalina', 'naphtaline', 'naphthalen', 'Naphthalene [BSI:ISO]', 'Naphtalene [ISO:French]', 'Naphthalene, pure', 'NSC 37565', 'Naphthalene, molten', 'UNII-2166IN72UN', 'Naphthalene, 99%', 'CCRIS 1838', 'HSDB 184', 'Naphthalene (molten)', 'EINECS 202-049-5', 'UN1334', 'UN2304', 'RCRA waste no. U165', 'EPA Pesticide Chemical Code 055801', 'Naphthalene, crude or refined', 'CHEMBL16293', 'AI3-00278', 'CHEBI:16482', '2166IN72UN', 'MFCD00001742', 'NSC-37565', 'NCGC00090793-02', 'DSSTox_CID_913', 'DSSTox_RID_75860', 'DSSTox_GSID_20913', 'Naphthalene, analytical standard', 'Naphtalinum', 'Naphthalinum', 'CAS-91-20-3', 'Naphthalene, 99+%, scintillation grade', '2-naphthalen', '1-Naphthalene', '2-Naphthalene', 'Naphthalene,(S)', 'Naphthalene, crude', 'Naphthalene, 98%', 'Naphthalene;naphthalene', 'ACMC-209r8h', 'EC 202-049-5', 'MLS001055498', 'WLN: L66J', 'BIDD:ER0665', 'DTXSID8020913', 'KS-00000VGR', 'HMS3039N15', 'ZINC967522', 'NSC37565', 'Tox21_111023', 'Tox21_202004', 'Tox21_300008', 'ANW-39567', 'BDBM50159249', 'Naphthalene, for synthesis, 98.5%', 'STL282720', 'AKOS000119977', 'LS-1917', 'MCULE-8231589350', 'Naphthalene 100 microg/mL in Methanol', 'UN 1334', 'UN 2304', 'Naphthalene 10 microg/mL in Cyclohexane', 'NCGC00090793-01', 'NCGC00090793-03', 'NCGC00090793-04', 'NCGC00090793-05', 'NCGC00254058-01', 'NCGC00259553-01', 'Naphthalene 10 microg/mL in Acetonitrile', 'S652', 'SMR000677944', 'Naphthalene 100 microg/mL in Acetonitrile', 'Naphthalene, SAJ first grade, &gt;=98.0%', 'Bicyclo[4.4.0]deca-1,3,5,7,9-pentene', 'FT-0651884', 'FT-0672611', 'FT-0672612', 'N0004', 'N0885', 'NS00008377', 'C00829', 'Naphthalene, suitable for scintillation, &gt;=99%', 'L001166', 'Naphthalene, molten [UN2304]  [Flammable solid]', 'Naphthalene, molten [UN2304] [Flammable solid]', 'Q179724', 'SR-01000854997', 'Melting point standard 79-81C, analytical standard', 'SR-01000854997-2', 'F0001-2217', 'Naphthalene, certified reference material, TraceCERT(R)', 'Naphthalene, crude or refined [UN1334]  [Flammable solid]', 'Naphthalene, crude or refined [UN1334] [Flammable solid]', 'UNII-0TNN3Q0D4D component UFWIBTONFRDIAS-UHFFFAOYSA-N', 'Naphthalene solution, 100 ng/muL in cyclohexane, analytical standard', 'Naphthalene, United States Pharmacopeia (USP) Reference Standard', 'Naphthalene solution, certified reference material, 200 mug/mL in methanol', 'Naphthalene solution, certified reference material, 5000 mug/mL in methanol', 'Naphthalene, Pharmaceutical Secondary Standard; Certified Reference Material', '72931-45-4']</t>
  </si>
  <si>
    <t>Compound(931)</t>
  </si>
  <si>
    <t>C10H8</t>
  </si>
  <si>
    <t>sodium lignosulfonate</t>
  </si>
  <si>
    <t>disodium;(2R)-3-(2-hydroxy-3-methoxyphenyl)-2-[2-methoxy-4-(3-sulfonatopropyl)phenoxy]propane-1-sulfonate</t>
  </si>
  <si>
    <t>['SODIUM LIGNINSULFONATE', 'Lignosulfonic acid, sodium salt', 'Sodium lignosulfonate', '8061-51-6', 'Vanisperse', 'Polyfon', 'Vanicell', 'Reax disperser', 'Dispergator reax', 'Marasperse B', 'Marasperse N', 'Polignate sodium', 'Sodium polignate', 'Maracell C', 'Maracell E', 'Vanisperse CB', 'Marasperse CBS', 'Banirex N', 'Lignosol XD', 'Polyfon F', 'Polyfon H', 'Polyfon O', 'Polyfon T', 'Vanirex N', 'Peritan NA', 'Vanirex HW', 'Polyfon HUN', 'Reveal NM', 'Reveal SM', 'Reveal WM', 'Orzan S', 'Urzan S', 'Wanin S', 'Dispergator ufoxane', 'Sodium lignosulfite', 'Marasperse N 22', 'Lignosite 458', 'Lignosite 854', 'Vanisperse grade CB', 'Lignosol D 10', 'Reveal SM 5', 'Raylig 260LR', 'Sanekis P 213', 'Sanekis P 552', 'Lignin sodium sulfonate', 'Reax 45A', 'Reax 80C', 'Reax 85A', 'Sodium lignin sulfonate', 'Sodium lignosulfonic acid', 'Betz 402', 'Polignate Sodium [USAN]', 'UNII-XY2KOA860T', 'Marasperse N 22 dispersant', 'XY2KOA860T', 'Sulfonated lignin sodium salt', 'CCRIS 5922', 'Sodium base spent sulfite liquor', 'AHR 2438B', 'AHR-2438B', 'Desulfonated spent pulping liquor', 'HSDB 4282', 'UF 10000A']</t>
  </si>
  <si>
    <t>Compound(25113562)</t>
  </si>
  <si>
    <t>C20H24Na2O10S2</t>
  </si>
  <si>
    <t>pentan-1-amine</t>
  </si>
  <si>
    <t>['Amylamine', 'Pentylamine', '1-Pentylamine', '110-58-7', 'pentan-1-amine', '1-Aminopentane', 'N-AMYLAMINE', '1-Pentanamine', 'Norleucamine', 'n-Pentylamine', 'Monoamylamine', 'amyl amine', 'UNII-E05QM3V8EF', 'CCRIS 6210', 'NSC 7906', 'EINECS 203-780-2', 'azahexane', 'BRN 0505953', 'E05QM3V8EF', 'n-C5H11NH2', 'AI3-15379', 'n-Amylamine, 99%', 'monopentylamine', 'Azahexan', 'pentyl amine', 'n-pentyl amine', 'n--Amylamine', '3-ethyl-propylamine', 'Amylamine, 99%', 'Pentylamine;Amylamine', 'n-AmNH2', 'ACMC-1BOY9', 'EC 203-780-2', 'Me(CH2)4NH2', 'Amylamine, &gt;=99%, FG', '4-04-00-00674 (Beilstein Handbook Reference)', 'KSC175Q1P', 'Amylamine, analytical standard', 'CH3(CH2)4NH2', 'DTXSID0021919', 'CHEBI:74848', 'CTK0H5817', 'KS-00000YUL', 'NSC7906', 'NSC-7906', 'STR07758', 'ZINC1586308', '7346AF', 'ANW-16169', 'BBL011398', 'LS-508', 'MFCD00008236', 'STL146502', 'AKOS000119067', 'DB02045', 'MCULE-6547961798', 'Amylamines, mixture of isomers, &gt;=98%', 'SC-26821', 'A0445', 'FT-0622370', 'NS00005040', '11181-EP2316458A1', '11181-EP2316827A1', '12050-EP2289510A1', '12050-EP2316828A1', '14992-EP2287141A1', '14992-EP2289510A1', '14992-EP2316457A1', '10.14272/DPBLXKKOBLCELK-UHFFFAOYSA-N.1', '177854-EP2272830A1', '177854-EP2272831A1', '178577-EP2272830A1', 'Q766883', 'doi:10.14272/DPBLXKKOBLCELK-UHFFFAOYSA-N.1', 'J-002450', 'J-519589', 'F2190-0404']</t>
  </si>
  <si>
    <t>Compound(8060)</t>
  </si>
  <si>
    <t>C5H13N</t>
  </si>
  <si>
    <t>sodium merthiolate</t>
  </si>
  <si>
    <t>sodium;(2-carboxylatophenyl)sulfanyl-ethylmercury</t>
  </si>
  <si>
    <t>['thimerosal', 'Thiomersal', '54-64-8', 'Thiomersalate', 'Mercurothiolate', 'Sodium merthiolate', 'Sodium ethylmercurithiosalicylate', 'MERTHIOLATE', 'Thimerosalate', 'Thimerosalum', 'Thimersalate', 'Thiomersalat', 'Thimerosol', 'Ethylmercurithiosalicylate sodium', 'Ethylmercurithiosalicylic acid sodium salt', 'Thiomersalum', 'Elicide', 'Estivin', 'Merfamin', 'Merphol', 'Mertorgan', 'Merzonin', 'Nosemack', 'Tiomersal', 'Mercurothiolatum', 'Merzonin sodium', 'Aeroaid spray', 'Merthiolate salt', 'Merthiolate sodium', 'Vitaseptol Loesung', 'Merseptyl (VAN)', 'Ethyl(2-mercaptobenzoato-S)mercury sodium salt', 'Elcide 73', 'Elcide 75', 'Tiomersale [DCIT]', 'Caswell No. 766', 'o-(Ethylmercurithio)benzoic acid sodium salt', 'C9H9HgO2S.Na', 'Sodium ethylmercuric thiosalicylate', 'Tiomersal [INN-Spanish]', 'Thiomersalum [INN-Latin]', 'Sodium o-(ethylmercurithio)benzoate', 'Sodium 2-(ethylmercurithio)benzoate', 'Ethylmercurithiosalicylate sodium salt', 'UNII-2225PI3MOV', '((o-Carboxyphenyl)thio)ethylmercury sodium salt', 'CCRIS 4839', 'HSDB 7151', 'NSC 4794', 'EINECS 200-210-4', '[(o-Carboxyphenyl)thio]ethylmercury sodium salt', 'EPA Pesticide Chemical Code 078901', 'Ethylmerkurithiosalicilan sodny [Czech]', 'Ethyl (sodium o-mercaptobenzoato)mercury', 'Ethylmercurithiosalicyclic acid, sodium salt', '2225PI3MOV', 'CHEBI:9546', 'Mercurate(1-), ethyl(2-mercaptobenzoato(2-)-O,S)-, sodium', 'Thiomersal (INN)', 'Thiomersal [INN]', 'Mercury, ethyl(2-mercaptobenzoate-S)-, sodium salt', 'Mercury, ethyl(2-mercaptobenzoato-S)-, sodium salt', 'Mercury, ((o-carboxyphenyl)thio)ethyl-, sodium salt', 'Mercurate(1-), ethyl(o-mercaptobenzoato(2-))-, sodium', 'NCGC00094791-01', 'Tiomersale', 'Vitaseptol', 'Mercurate(1-), ethyl(2-mercaptobenzoate(2-)-O,S)-, sodium salt', 'DSSTox_CID_5540', 'Ethyl(2-mercaptobenzoato-S)mercury, sodium salt', 'Mercury-([o-carboxyphenyl]thio)ethyl sodium salt', 'DSSTox_RID_77823', 'DSSTox_GSID_25540', 'SET', 'Mercury, ethyl (2-mercaptobenzoato-S)-, sodium salt', 'sodium;(2-carboxylatophenyl)sulfanyl-ethylmercury', 'MLS001336050', 'Mercurate(1-), ethyl(2-(mercapto-kappaS)benzoato(2-)-kappaO)-, sodium', 'CAS-54-64-8', 'Ethylmerkurithiosalicilan sodny', '(2-(Ethylmercuriomercapto)benzoic acid sodium salt', 'Thimerosal [USP:JAN]', 'SMR000875330', 'Thimerosal [USAN:JAN]', 'Ethylmercurithiosalicylic acid, sodium salt, 97.0-101.0%', 'Merthiolate (TN)', 'MFCD00013062', 'Prestwick_1021', 'Thimerosal (JAN/USP)', 'Epitope ID:119682', 'SCHEMBL3525', 'sodium (2-carboxylatophenyl)sulfanyl-ethyl-mercury', 'MLS001336049', 'SPECTRUM1500572', 'Thimerosal, EP/BP/USP grade', 'Thimerosal, analytical standard', 'DTXSID3025540', 'Thimerosal, &gt;=97% (HPLC)', 'HMS501O19', 'BIT0151', 'Thimerosal, &gt;=95.0% (Hg)', 'ZX-AFC000481', 'HMS1921E07', 'HMS2092M09', 'HMS2230I04', 'HMS3371N19', 'Thimerosal, BioXtra, 97-101%', 'Tox21_111331', 'Tox21_302176', '8171AF', 'CCG-39725', 'CT0192', 'GA6948', 'AKOS004910446', 'AKOS037503710', 'Tox21_111331_1', 'API0004391', 'DB11590', 'LS-1337', 'NCGC00094791-02', 'NCGC00164425-01', 'NCGC00178879-04', 'NCGC00255169-01', 'BP-30041', 'CC-34985', 'DB-052622', 'FT-0603231', 'ST51015159', 'Thimerosal, meets USP testing specifications', 'sodium (2-carboxylatophenylthio)(ethyl)mercury', '2-(mercurapropylthio)benzoic acid, sodium salt', 'D00864', 'sodium [(2-carboxylatophenyl)thio]-ethylmercury', 'T-3600', 'A830286', 'C-21801', 'Q411046', '((O-CARBOXYPHENYL)THIO) ETHYLMERCURY SODIUM SALT', 'sodium ethyl[2-(mercapto-kS)benzoato(2-)]mercurate(1-)', 'Mercury, ethyl(hydrogen o-mercaptobenzoato)-, sodium salt', 'sodium [(2-carboxylatophenyl)sulfanyl](ethyl)mercurate(1-)', 'Thimerosal, European Pharmacopoeia (EP) Reference Standard', 'Thimerosal, United States Pharmacopeia (USP) Reference Standard', 'Mercury, ethyl(hydrogen o-mercaptobenzoato)-, sodium salt (8CI)', 'Thimerosal Ready Made Solution, 100 mg/mL in water, 0.2 mum filtered', 'Thimerosal, Pharmaceutical Secondary Standard; Certified Reference Material', 'Mercurate(1-), ethyl(2-(mercapto-kappaS)benzoato(2-)-kappaO)-, sodium (1:1)', 'Mercurate(1-), ethyl[2-(mercapto-.kappa.S)benzoato(2-)-.kappa.O]-, sodium (1:1)']</t>
  </si>
  <si>
    <t>Compound(16684434)</t>
  </si>
  <si>
    <t>C9H9HgNaO2S</t>
  </si>
  <si>
    <t>nitrogen inorganic</t>
  </si>
  <si>
    <t>sodium ortho-phenylphenate</t>
  </si>
  <si>
    <t>sodium;2-phenylphenolate</t>
  </si>
  <si>
    <t>['132-27-4', "Sodium [1,1'-biphenyl]-2-olate", 'Sodium 2-biphenylate', 'Sodium o-phenylphenate', '2-Phenylphenol sodium salt', 'Sodium ortho-phenylphenate', 'Sodium 2-phenylphenate', 'Sodium orthophenylphenoxide', 'Bactrol', 'Natriphene', 'o-Phenylphenol sodium', 'Orphenol', 'Sodium o-phenylphenol', 'Sodium 2-biphenylolate', 'Preventol-ON', 'Stopmold B', 'Dowizid A', 'o-Phenylphenate, sodium', 'Sodium o-phenylphenoxide', 'OPP-sodium', '2-Hydroxydiphenyl sodium', 'Mystox WFA', '2-Biphenylol sodium salt', 'Dowicide A Flakes', 'Mil-Du-Rid', 'Preventol ON extra', 'Dowicide', 'o-Phenylphenol, sodium salt', '2-Hydroxybiphenyl sodium salt', 'Caswell No. 787', 'Dowicide A', 'o-Phenylphenate sodium', 'Sodium o-phenylphenolate', 'sodium biphenyl-2-olate', 'Dowicide A &amp; A flakes', 'Sodium 2-hydroxydiphenyl', 'Sodium 2-phenylphenoxide', 'Sodium o-phenylphenyolate', 'Phenylphenol, sodium salt', 'UNII-KFV9K7N7UI', '2-Biphenylol, sodium salt', 'Preventol ON &amp; ON Extra', 'CCRIS 693', 'Sodium, (2-biphenylyloxy)-', "(1,1'-Biphenyl)-2-ol, sodium salt", 'SOPP', '2-Hydroxydiphenyl, sodium salt', 'Sodium-o-phenylphenol', 'Sodium-o-phenylphenate', "Sodium (1,1'-biphenyl)-2-olate", 'NSC 1547', 'EINECS 205-055-6', 'KFV9K7N7UI', "[1,1'-Biphenyl]-2-ol, sodium salt", 'EPA Pesticide Chemical Code 064104', 'o-Phenyl phenol sodium salt', 'AI3-09076', 'Sodium o-phenylphenate tetrahydrate', 'D.C.S.', 'Dorvicide A', '2-BIPHENYLOL, SODIUM SALT, TETRAHYDRATE', 'o-Phenylphenol, sodium', "(1,1'-Biphenyl)-2-ol, sodium salt (1:1)", "[1,1'-Biphenyl]-2-ol, sodium salt (1:1)", 'Sodium 2-Phenylphenolate', 'dowizid', 'preventolon', 'Phenol, o-phenyl-, sodium deriv.', '2-phenylphenol sodium', 'Biphenylol, sodium salt', 'OPP-NA', '(2-biphenylyloxy)sodium', 'Sodium 2-Hydroxybiphenyl', 'C12H9NaO', 'potassium o-phenyl-phenate', 'C12H9O.Na', 'Hydroxydiphenyl, sodium salt', 'D.C.S', 'o-phenylphenol, sodium deriv', '2-Bi phenylol, Sodium Salt', 'SCHEMBL73034', 'Hydroxydip henyl, sodium salt', 'Ortho-phenylphenol, sodium salt', 'DTXSID2021153', 'CHEBI:82371', 'Phenol, o-phenyl-, sodium deriv', 'Sodium 2-biphenylate tetrahydrate', '2-PHENYLPHENOL, SODIUM SALT', 'KS-00000Z4K', 'LS-755', 'AKOS006228608', 'AKOS015913820', 'MP-2169', 'AK-73024', 'BR-73024', 'I548', 'LS-44505', 'AX8118943', 'FT-0743610', 'P0202', 'C19298', "(1,1'-Biphenyl)-2-ol, sodium salt, tetrahydrate", 'J-524265', 'Q6581446']</t>
  </si>
  <si>
    <t>Compound(23675735)</t>
  </si>
  <si>
    <t>C12H9NaO</t>
  </si>
  <si>
    <t>sodium thiocyanate</t>
  </si>
  <si>
    <t>sodium;thiocyanate</t>
  </si>
  <si>
    <t>['SODIUM THIOCYANATE', '540-72-7', 'Sodium rhodanate', 'Sodium rhodanide', 'Sodium sulfocyanate', 'Thiocyanic acid, sodium salt', 'Thiocyanate sodium', 'Scyan', 'Sodium isothiocyanate', 'NaSCN', 'Haimased', 'Natrium rhodanatum', 'Natrium thiocyanat', 'Sodium thiocyanide', 'Sodium sulfocyanide', 'Caswell No. 796A', 'Natriumrhodanid [German]', 'Sodium thiocyanate solution', 'UNII-5W0K9HKA05', 'Thiocyanate, sodium', 'USAF EK-T-434', 'CCRIS 3967', 'EINECS 208-754-4', 'Thiocyanic acid, sodium salt (1:1)', 'EPA Pesticide Chemical Code 068202', '5W0K9HKA05', 'CHEMBL1644028', 'CHEBI:30952', 'MFCD00011123', 'Sodium thiocyanate solution (56% or less)', 'DSSTox_CID_1343', 'DSSTox_RID_76097', 'DSSTox_GSID_21343', 'Natriumrhodanid', 'Sodium thiocyanate, 98%, extra pure', 'Sodium thiocyanate, 98+%, ACS reagent', 'Sodium thiocyanate, 98+%, for analysis', 'CAS-540-72-7', 'Thiocyanate sodium [NF]', 'Sodium thiocy', 'sodiumthiocyanate', 'odium thiocyanate', 'Sodium thiocyanate 2 M solution', 'CNNaS', 'sodium cyanosulfanide', 'ACMC-20ajnf', 'EC 208-754-4', 'KSC269I4T', 'DTXSID4021343', 'CTK1G9449', 'KS-00000VS0', 'Tox21_201621', 'Tox21_302975', 's6281', 'AKOS009128859', 'LS-7722', 'NCGC00256614-01', 'NCGC00259170-01', 'HY-23119', 'SC-46930', 'CS-0044699', 'FT-0658520', 'Sodium thiocyanate, ACS reagent, &gt;=98.0%', 'Sodium thiocyanate, p.a., ACS reagent, 98%', 'Sodium thiocyanate, SAJ first grade, &gt;=98.0%', 'Q425176', 'Sodium thiocyanate, &gt;=99.99% trace metals basis', 'Sodium thiocyanate, JIS special grade, &gt;=99.0%', 'Sodium thiocyanate, Vetec(TM) reagent grade, 98%', 'Sodium thiocyanate solution, BioUltra, 8 M in H2O', 'Sodium thiocyanate, reagent grade, 98-102% (titration)']</t>
  </si>
  <si>
    <t>Compound(516871)</t>
  </si>
  <si>
    <t>CNNaS</t>
  </si>
  <si>
    <t>sodium thiosulfate</t>
  </si>
  <si>
    <t>disodium;dioxido-oxo-sulfanylidene-lambda6-sulfane;pentahydrate</t>
  </si>
  <si>
    <t>['SODIUM THIOSULFATE PENTAHYDRATE', '10102-17-7', 'Ametox', 'Sodium thiosulfate, pentahydrate', 'Disodium thiosulfate pentahydrate', 'Tinver', 'MFCD00149186', 'NSC-45624', 'UNII-HX1032V43M', 'CCRIS 3952', 'Thiosulfuric acid, disodium salt, pentahydrate', 'Thiosulfuric acid (H2S2O3), disodium salt, pentahydrate', 'CHEBI:32150', 'HX1032V43M', 'AK120935', 'Thiosulfuric acid (H2S2O3), sodium salt, hydrate (1:2:5)', 'Sodium Thiosulfate Pentahydrate Solution', 'Sodium thiosulfate pentahydrate, 99+%, extra pure', 'Sodium thiosulfate pentahydrate, 99.5%, for analysis', 'Sodium thiosulfate pentahydrate, 99+%, for biochemistry', 'Na2S2O3.5H2O', 'Sodium thiosulfate pentahydrate, 99.999%, (trace metal basis)', 'Sodium thiosulfate [USP:JAN]', 'Sodium thiosulfate [USAN:JAN]', 'Sulfactol (TN)', 'Detoxol (TN)', 'PEDMARK', 'ACMC-20ajnc', 'Sodium thiosulfate (USP)', 'Sodium thiosulphate hydrate', 'Sodium Thiosulfate, crystal', 'Sodiumthiosulfatepentahydrate', 'KSC175I8H', 'sodium thiosulfate-pentahydrate', 'sodium thio-sulfate pentahydrate', 'CHEMBL2096650', 'DTXSID6044197', 'CTK0H5483', 'KS-00000UDU', 'Sodium thiosulfate (pentahydrate)', 'Sodium thiosulfate pentahydrate ACS', 'Sodium thiosulfate hydrate (JP17)', 'sodium sulfurothioate--water (1/5)', 'AKOS015950633', 'Sodium Thiosulfate (Industrial Grade)', 'LS-2481', 'BP-31031', 'E539', 'S079', 'SC-78803', 'FT-0645119', 'D01091', 'Sodium thiosulfate pentahydrate Biochemical grade', 'J-000310', 'Sodium thiosulfate pentahydrate, 99.5+%, ACS reagent']</t>
  </si>
  <si>
    <t>Compound(61475)</t>
  </si>
  <si>
    <t>H10Na2O8S2</t>
  </si>
  <si>
    <t>niobium 93m (metastable)</t>
  </si>
  <si>
    <t>niobium-94</t>
  </si>
  <si>
    <t>['14681-63-1', 'Niobium-94', 'Niobium, isotope of mass 94', '94Nb', '(~94~Nb)Niobium', 'DTXSID70932925']</t>
  </si>
  <si>
    <t>Compound(115134)</t>
  </si>
  <si>
    <t>['Dibemethine', '102-05-6', 'Dibenzylmethylamine', 'Methyldibenzylamine', 'Dibemethin', 'Revoxyl', 'N-Methyldibenzylamine', 'N-benzyl-N-methyl-1-phenylmethanamine', 'Methyl dibenzylamine', 'Benzenemethanamine, N-methyl-N-(phenylmethyl)-', 'DBMA', 'N,N-Dibenzylmethylamine', 'N-Methyl-N,N-dibenzylamine', 'UNII-67VKG5DY8W', 'L 566', 'Dibenzylamine, N-methyl-', 'NSC 163900', '67VKG5DY8W', 'NCGC00160569-01', 'N-methyl dibenzylamine', 'Dibemethinum', 'Dibemetina', 'Dibemethine [INN:DCF]', '5441-24-7', 'Dibemethinum [INN-Latin]', 'Dibemetina [INN-Spanish]', 'EINECS 203-001-6', 'dibenzyl(methyl)amine', 'AI3-26795', 'DIBENZYL METHYL AMINE', 'DSSTox_CID_26238', 'DSSTox_RID_81465', 'DSSTox_GSID_46238', 'SCHEMBL276863', 'SCHEMBL6555649', 'CHEMBL2106280', 'DTXSID4046238', 'N-benzyl-(+)-methyl-benzylamine', 'Dibenzylamine, N-methyl- (8CI)', 'N-Benzyl-N-methylphenylmethanamine', 'KS-00000G0O', 'ZINC1234761', 'Tox21_111907', 'N-Benzyl-N-methylphenylmethanamine #', 'NSC163900', 'STK283922', 'AKOS005427167', 'MCULE-8128441423', 'NSC-163900', 'AK162499', 'AS-13057', 'CAS-102-05-6', 'BB 0259303', 'L-566', 'NS00023106', '102M056', 'W-108888', 'BRD-K01772856-003-01-7', 'Q27264173']</t>
  </si>
  <si>
    <t>Compound(21583)</t>
  </si>
  <si>
    <t>C15H17N</t>
  </si>
  <si>
    <t>N-cyclohexyl-1,3-benzothiazol-2-amine</t>
  </si>
  <si>
    <t>['N-Cyclohexyl-1,3-benzothiazol-2-amine', '28291-75-0', 'N-Cyclohexyl-2-benzothiazolamine', 'N-Cyclohexyl-2-benzothiazol-amine', '2-Benzothiazolamine, N-cyclohexyl-', 'Q63395290', 'N-Cyclohexylbenzothiazole-2-amine', 'Benzothiazole, 2-(cyclohexylamino)-', 'benzothiazolyl-cyclohexyl-amine', 'N-Cyclohexyl2-benzothiazolamine', 'SCHEMBL1821019', 'CTK0I5245', 'DTXSID50891506', 'N-Cyclohexyl-2-benzothiazole-amine', 'ZINC15015192', 'AKOS000347603', 'NE53470', 'N-Cyclohexyl-1,3-benzothiazol-2-amine #', 'NS00014432', 'EN300-86834', 'J-017034', 'Z55176260']</t>
  </si>
  <si>
    <t>Compound(591790)</t>
  </si>
  <si>
    <t>C13H16N2S</t>
  </si>
  <si>
    <t>N-cyclohexyl acetamide</t>
  </si>
  <si>
    <t>['N-Cyclohexylacetamide', 'Acetamide, N-cyclohexyl-', 'Acetamidocyclohexane', '1124-53-4', 'N-Acetylcyclohexylamine', 'N-Cyclohexyl-acetamide', 'EINECS 214-398-0', 'NSC 12095', 'BRN 1859296', 'AI3-23273', 'NSC12095', 'Acetamide,n-cyclohexyl-', 'n - Cyclohexylacetamide', 'CHEMBL11727', 'SCHEMBL396759', 'DTXSID60150030', 'ZINC388912', 'NSC-12095', 'SBB058211', 'AKOS003853496', 'LS-8741', 'MCULE-8353778142', 'AS-57450', 'ST014491', 'DS-009630', 'NS00023643']</t>
  </si>
  <si>
    <t>Compound(14301)</t>
  </si>
  <si>
    <t>C8H15NO</t>
  </si>
  <si>
    <t>neodymium-147</t>
  </si>
  <si>
    <t>['14269-74-0', 'Neodymium-147', 'Neodymium, isotope of mass 147', '(~147~Nd)Neodymium', '147Nd', 'DTXSID70931599']</t>
  </si>
  <si>
    <t>Compound(114848)</t>
  </si>
  <si>
    <t>nickel chloride</t>
  </si>
  <si>
    <t>chloronickel</t>
  </si>
  <si>
    <t>['Chlornickel', 'Nickel monochloride', '13931-83-4', 'DTXSID20904915']</t>
  </si>
  <si>
    <t>Compound(413826)</t>
  </si>
  <si>
    <t>ClNi</t>
  </si>
  <si>
    <t>nickel sulfate</t>
  </si>
  <si>
    <t>nickel(2+);sulfate</t>
  </si>
  <si>
    <t>['NICKEL SULFATE', 'Nickel sulphate', 'Nickel(II) sulfate', 'Nickelous sulfate', 'Nickel(2+) sulfate', 'Nickel sulfate(1:1)', '7786-81-4', 'NiSO4', 'Nickel(II) sulfate (1:1)', 'Nickel sulfate (VAN)', 'Nickel sulfate (NiSO4)', 'UNII-4FLT4T3WUN', 'Nickel(2+)sulfate(1:1)', 'Sulfuric acid nickel(2+) salt', 'Sulfuric acid, nickel(2+)salt', 'Nickel(2+) sulfate (1:1)', 'Sulfuric acid, nickel(2+) salt (1:1)', 'Caswell No. 596', 'HSDB 1114', 'Sulphuric acid, nickel(II) salt', 'NCI-C60344', 'EINECS 232-104-9', 'NSC 51152', '4FLT4T3WUN', 'Nickelous sulfate hexahydrate', 'Nickel monosulfate hexahydrate', 'CCRIS 3732', 'CHEBI:53001', 'EPA Pesticide Chemical Code 050505', 'Nickel(II) sulfate hexahydrate (1:1:6)', 'Nickel sulfate [Nickel and nickel compounds]', 'Sulfuric acid, nickel(2+) salt, hexahydrate', 'Nickel sulfate hexahydrate [Nickel and nickel compounds]', 'Nickel refinery dust', 'Nckel sulfate', 'Blue salt', 'single nickel salt', 'Nickel(II) sulfate hexa-/ heptahydrate', 'Nickel (2+) sulfate', 'Nickel Sulfate, Liquid', 'ACMC-1CIBU', 'Nickel Sulfate, Crystal', 'Ni.O4S', 'Epitope ID:119679', 'EC 232-104-9', 'Nickelous sulfate, 6-hydrate', 'DTXSID6023787', 'CTK0H4081', 'LS-344', 'AKOS015910995', 'DB14180', 'LS-96339', 'S548', 'sulfuric acid, nickel (2+) salt, hexahydrate', 'Q411337', 'J-523601', 'Sulfuric acid, nickel(2+) salt (1:1), hexahydrate', 'Nickel(II) sulfate, anhydrous, 99.99% trace metals basis', 'Nickel(II) sulfate hexa-/ heptahydrate, for nickel plating, DIN 50970 H, &gt;=20.6% Ni and Co basis']</t>
  </si>
  <si>
    <t>Compound(24586)</t>
  </si>
  <si>
    <t>NiO4S</t>
  </si>
  <si>
    <t>nitrogen organic</t>
  </si>
  <si>
    <t>neptunium-237</t>
  </si>
  <si>
    <t>['Neptunium-237', '13994-20-2', 'Neptunium, isotope of mass 237', '(~237~Np)Neptunium', '237Np', 'DTXSID70930668', 'Neptunium, isotope of mass 237 (237Np5+)', '86954-34-9']</t>
  </si>
  <si>
    <t>Compound(104783)</t>
  </si>
  <si>
    <t>neptunium-238</t>
  </si>
  <si>
    <t>['15766-25-3', 'Neptunium-238', 'Neptunium, isotope of mass 238', '238Np', 'Np-238', '(~238~Np)Neptunium', 'DTXSID60935768']</t>
  </si>
  <si>
    <t>Compound(167422)</t>
  </si>
  <si>
    <t>neptunium-239</t>
  </si>
  <si>
    <t>['13968-59-7', 'Neptunium-239', 'Neptunium, isotope of mass 239', '(~239~Np)Neptunium', 'DTXSID50930545']</t>
  </si>
  <si>
    <t>Compound(104958)</t>
  </si>
  <si>
    <t>nitrogen total</t>
  </si>
  <si>
    <t>oxygen18 water</t>
  </si>
  <si>
    <t>oxidane</t>
  </si>
  <si>
    <t>['Water-18O', 'Oxygen-18', '14314-42-2', 'Water O-18', 'heavy-oxygen water', 'UNII-7QV8F8BYNJ', 'Oxygen, isotope of mass 18', '7QV8F8BYNJ', '14797-71-8', 'Oxygen, isotope of mass 18, at.', 'Water (H218O)', 'Water, heavy (H218O)', 'heavy oxygen', 'Water, labeled with oxygen-18', 'oxygen-18 atom', 'schwerer Sauerstoff', '18O Water', 'PubChem2391', 'water-(18)O', '((18)O)water', '(~18~O)Water', '[O-18]-Water', 'CHEBI:33813', 'CHEBI:33815', 'DTXSID40933267', 'H218O', 'Water-18O, 10 atom % 18O', 'Water-18O, 70 atom % 18O', 'Water-18O, 80 atom % 18O', 'Water-18O, 97 atom % 18O', 'Water-18O, 98 atom % 18O', 'Water-18O, 99 atom % 18O', 'AKOS015903635', '(18)OH2', 'H2(18)O', 'SC-47785', 'Water-(18-O) (97% Isotopic Purity)', '(18)O', '(18)8O', '314W422', 'A808025', 'Q662269', 'J-007751', 'Q27115709']</t>
  </si>
  <si>
    <t>Compound(105142)</t>
  </si>
  <si>
    <t>Bank vegetation</t>
  </si>
  <si>
    <t>Bank protection</t>
  </si>
  <si>
    <t>Bank plants</t>
  </si>
  <si>
    <t>River bank</t>
  </si>
  <si>
    <t>Bank trampling</t>
  </si>
  <si>
    <t>Oil</t>
  </si>
  <si>
    <t>Maintenance</t>
  </si>
  <si>
    <t>Opening time</t>
  </si>
  <si>
    <t>Absorption rate of anoxic phosphate</t>
  </si>
  <si>
    <t>Aerobic phosphate absorption rate</t>
  </si>
  <si>
    <t>Opening rate</t>
  </si>
  <si>
    <t>Test area surface</t>
  </si>
  <si>
    <t>Surface</t>
  </si>
  <si>
    <t>Surface fraction</t>
  </si>
  <si>
    <t>Undissolved substances</t>
  </si>
  <si>
    <t>['7440-04-2', 'Os', 'Osmium', 'osmium(3+)', 'OSMIUM ION', 'Metallic osmium', 'Osmium, elemental', 'UNII-2E7M255OPY', '2E7M255OPY', 'HSDB 7329', 'EINECS 231-114-0', 'Osmium, 99.9%, (trace metal basis)', 'osmio', 'hydrido osmium', 'osmium hydride', 'osmium atom', 'Osmium Nanorods', 'osmium trihydride', 'osmium(3+) ion', 'osmium(III) cation', '76Os', 'ACMC-20ak06', 'Osmium, sponge, 99.8%', 'Osmium, Powder, 99.9%', 'DTXSID5064679', 'CHEBI:30687', 'CHEBI:49812', 'CTK2H9711', 'Os(3+)', '8966AF', 'LS-98514', 'OS4', 'Osmium, powder, 99.9% trace metals basis', 'Q27104722', 'Osmium standard for AAS, ready-to-use, in hydrochloric acid']</t>
  </si>
  <si>
    <t>Compound(23937)</t>
  </si>
  <si>
    <t>Plastic particles, origin of the industry (plastic granulate)</t>
  </si>
  <si>
    <t>Plastic particles, origin of industry and consumer</t>
  </si>
  <si>
    <t>Plastic particles, consumer origin</t>
  </si>
  <si>
    <t>4-pack or 6-pack plastic</t>
  </si>
  <si>
    <t>Plastic (shopping) bag</t>
  </si>
  <si>
    <t>Plastic bag</t>
  </si>
  <si>
    <t>Plastic drink bottle</t>
  </si>
  <si>
    <t>Plastic bottle or container for cleaning products</t>
  </si>
  <si>
    <t>Plastic bottle or container for food</t>
  </si>
  <si>
    <t>Plastic bottle or container for toiletries</t>
  </si>
  <si>
    <t>Plastic packaging or oil barrel for engine oil (&lt;50 cm)</t>
  </si>
  <si>
    <t>Plastic packaging or oil barrel for engine oil (&gt; 50 cm)</t>
  </si>
  <si>
    <t>Plastic jerry can</t>
  </si>
  <si>
    <t>Plastic tube or cartridge for silicone sealant</t>
  </si>
  <si>
    <t>Other plastic bottle, barrel or packaging</t>
  </si>
  <si>
    <t>Plastic crate</t>
  </si>
  <si>
    <t>Plastic car part</t>
  </si>
  <si>
    <t>Plastic cap or lid</t>
  </si>
  <si>
    <t>Lighter</t>
  </si>
  <si>
    <t>(2R)-2-amino-3-methyl-3-sulfanylbutanoic acid</t>
  </si>
  <si>
    <t>['L-Penicillamine', '1113-41-3', '3-Mercapto-L-valine', 'Penicillamine L-form', 'L-(+)-beta-Mercaptovaline', '3-sulfanyl-L-valine', '(2R)-2-amino-3-methyl-3-sulfanylbutanoic acid', 'UNII-NO1YIB7OIG', '3,3-Dimethyl-L-cysteine', 'L-Pen', 'Valine, 3-mercapto-, L-', '(+)-penicillamine', '(R)-2-Amino-3-mercapto-3-methylbutanoic acid', 'H-Pen-OH', 'CCRIS 2902', 'CHEBI:50869', 'NO1YIB7OIG', 'EINECS 214-203-9', 'NSC 241261', 'BRN 1722374', 'CHEMBL207222', 'L-Valine, 3-mercapto-', 'MFCD00064303', 'L(+)-Penicillamine, 98%', 'L-Pen-OH', '4-04-00-03228 (Beilstein Handbook Reference)', 'NSC-241261', '3-mercapto valine', 'L-beta-Mercaptovaline', 'L-(+)-Penicillamine', 'penicillamine disulphide', 'L-LE1ICILLAMINE', 'L-Penicillamine, 99%', 'Epitope ID:116225', 'SCHEMBL4344', 'NCIStruc1_001782', 'NCIStruc2_000062', 'L-beta,beta-Dimethylcysteine', 'CTK0H7688', 'L-Valine, 3-mercapto- (9CI)', 'Pharmakon1600-01500464', 'ZINC114124', 'KS-000015IH', '7338AH', 'ANW-16271', 'BDBM50311534', 'CCG-36579', 'NCGC00014602', 'NCI241261', 'NSC757265', 'SBB000102', 'AKOS015854040', 'NSC-757265', 'NCGC00014602-02', 'NCGC00014602-03', 'NCGC00014602-04', 'NCGC00014602-05', 'NCGC00094751-01', 'NCGC00094751-02', 'NCGC00094751-03', 'AS-49399', 'PEN', 'ST025231', 'LS-161323', 'P1370', 'K-0924', 'P-1300', 'P-1310', '113P413', 'Q27122243', 'UNII-2XOP7Y1H98 component VVNCNSJFMMFHPL-GSVOUGTGSA-N']</t>
  </si>
  <si>
    <t>Compound(92863)</t>
  </si>
  <si>
    <t>C5H11NO2S</t>
  </si>
  <si>
    <t>Comb or hairbrush</t>
  </si>
  <si>
    <t>Chips or candy bag or lollipop stick</t>
  </si>
  <si>
    <t>Children's toys or party popper</t>
  </si>
  <si>
    <t>Plastic cup</t>
  </si>
  <si>
    <t>Plastic cutlery or tray or straw</t>
  </si>
  <si>
    <t>Plastic bag for fertilizer and animal feed</t>
  </si>
  <si>
    <t>Plastic net or net bag for fruit, vegetables or mussels</t>
  </si>
  <si>
    <t>Dishwashing glove</t>
  </si>
  <si>
    <t>Plastic crab trap or lobster trap</t>
  </si>
  <si>
    <t>Plastic squid trap</t>
  </si>
  <si>
    <t>Plastic oyster net or mussel bag</t>
  </si>
  <si>
    <t>Plastic oyster crate</t>
  </si>
  <si>
    <t>Plastic Tahitian (used in mussel farms)</t>
  </si>
  <si>
    <t>Plastic rope (diameter&gt; 1 cm)</t>
  </si>
  <si>
    <t>Plastic strings and cord (diameter &lt;1 cm)</t>
  </si>
  <si>
    <t>Synthetic intertwined nets, rope or cord</t>
  </si>
  <si>
    <t>Plastic fish box</t>
  </si>
  <si>
    <t>Fishing line</t>
  </si>
  <si>
    <t>Luminous stick (light stick)</t>
  </si>
  <si>
    <t>Plastic float or buoy</t>
  </si>
  <si>
    <t>Plastic bucket</t>
  </si>
  <si>
    <t>Straps (straps for industrial packaging)</t>
  </si>
  <si>
    <t>Industrial plastic packaging material</t>
  </si>
  <si>
    <t>Fiberglass or polyester object</t>
  </si>
  <si>
    <t>Safety helmet</t>
  </si>
  <si>
    <t>Cartridge or ammunition case</t>
  </si>
  <si>
    <t>Plastic shoe or sandal</t>
  </si>
  <si>
    <t>Piece of plastic sponge</t>
  </si>
  <si>
    <t>Piece of plastic or polystyrene 2.5- 50 cm</t>
  </si>
  <si>
    <t>Piece of plastic or polystyrene&gt; 50 cm</t>
  </si>
  <si>
    <t>Other plastic or polystyrene item</t>
  </si>
  <si>
    <t>Balloon, including valve, ribbon, rope etc.</t>
  </si>
  <si>
    <t>Rubber boot</t>
  </si>
  <si>
    <t>Rubber band or rubber belt</t>
  </si>
  <si>
    <t>Other rubber item</t>
  </si>
  <si>
    <t>Clothes</t>
  </si>
  <si>
    <t>Furniture fabric</t>
  </si>
  <si>
    <t>Fabric bag (e.g. burlap)</t>
  </si>
  <si>
    <t>Shoe, not plastic</t>
  </si>
  <si>
    <t>Other textile item</t>
  </si>
  <si>
    <t>Paper bag</t>
  </si>
  <si>
    <t>Cardboard</t>
  </si>
  <si>
    <t>Other cardboard beverage packaging, eg Tetra packaging</t>
  </si>
  <si>
    <t>Cigarette pack</t>
  </si>
  <si>
    <t>Cigarette butt</t>
  </si>
  <si>
    <t>Paper cup</t>
  </si>
  <si>
    <t>Newspaper or magazine</t>
  </si>
  <si>
    <t>Other paper item</t>
  </si>
  <si>
    <t>Cork</t>
  </si>
  <si>
    <t>Wooden palette</t>
  </si>
  <si>
    <t>Wooden crate</t>
  </si>
  <si>
    <t>Wooden crab trap or lobster trap</t>
  </si>
  <si>
    <t>Wooden popsicle stick or fork</t>
  </si>
  <si>
    <t>Wooden paint brush</t>
  </si>
  <si>
    <t>Other wood &lt;50 cm</t>
  </si>
  <si>
    <t>Other wood&gt; 50 cm</t>
  </si>
  <si>
    <t>Metal spray can</t>
  </si>
  <si>
    <t>Metal bottle cap</t>
  </si>
  <si>
    <t>Metal beverage can or (drinking) can</t>
  </si>
  <si>
    <t>Electric appliance</t>
  </si>
  <si>
    <t>Fish weight</t>
  </si>
  <si>
    <t>Wrapping film</t>
  </si>
  <si>
    <t>Canned food or food can</t>
  </si>
  <si>
    <t>Industrial waste</t>
  </si>
  <si>
    <t>Metal oil barrel</t>
  </si>
  <si>
    <t>Paint can</t>
  </si>
  <si>
    <t>Metal crab trap or lobster trap</t>
  </si>
  <si>
    <t>Metal wires, nets, mesh or barbed wire</t>
  </si>
  <si>
    <t>Other metal object &lt;50 cm</t>
  </si>
  <si>
    <t>Other metal object&gt; 50 cm</t>
  </si>
  <si>
    <t>Glass bottle</t>
  </si>
  <si>
    <t>Lamp or fluorescent lamp</t>
  </si>
  <si>
    <t>Other glass object</t>
  </si>
  <si>
    <t>Building material (e.g. tile)</t>
  </si>
  <si>
    <t>Squid trap</t>
  </si>
  <si>
    <t>Other earthenware or ceramic object</t>
  </si>
  <si>
    <t>Condom</t>
  </si>
  <si>
    <t>Cotton swab</t>
  </si>
  <si>
    <t>Sanitary napkin or panty liner</t>
  </si>
  <si>
    <t>Tampon or applicator</t>
  </si>
  <si>
    <t>Toilet freshener</t>
  </si>
  <si>
    <t>Other sanitary item</t>
  </si>
  <si>
    <t>Medical sleeve or tube</t>
  </si>
  <si>
    <t>Syringe</t>
  </si>
  <si>
    <t>Other medical item</t>
  </si>
  <si>
    <t>Piece of paraffin or wax 0- 1 cm</t>
  </si>
  <si>
    <t>Piece of paraffin or wax 1- 10 cm</t>
  </si>
  <si>
    <t>Piece of paraffin or wax&gt; 10 cm</t>
  </si>
  <si>
    <t>Other polluting object</t>
  </si>
  <si>
    <t>Collector roll torn off plastic bags</t>
  </si>
  <si>
    <t>Work glove (industrial / professional)</t>
  </si>
  <si>
    <t>Lobster or fish label</t>
  </si>
  <si>
    <t>Net or pieces of net &lt;50 cm</t>
  </si>
  <si>
    <t>Net or pieces of net&gt; 50 cm</t>
  </si>
  <si>
    <t>Pieces of plastic or polystyrene 0-2.5 cm</t>
  </si>
  <si>
    <t>Cardboard beverage packaging for milk, eg tetrapack</t>
  </si>
  <si>
    <t>Wooden fish crate</t>
  </si>
  <si>
    <t>Disposable BBQ</t>
  </si>
  <si>
    <t>Dog poop bag</t>
  </si>
  <si>
    <t>Rope small</t>
  </si>
  <si>
    <t>Rope big</t>
  </si>
  <si>
    <t>Plastic piece</t>
  </si>
  <si>
    <t>Glove</t>
  </si>
  <si>
    <t>Drink packaging</t>
  </si>
  <si>
    <t>Oil barrel- new</t>
  </si>
  <si>
    <t>Oil barrel- old</t>
  </si>
  <si>
    <t>Human faeces</t>
  </si>
  <si>
    <t>Animal feces</t>
  </si>
  <si>
    <t>Clothing cord</t>
  </si>
  <si>
    <t>Organic matter</t>
  </si>
  <si>
    <t>GOOGLE translate error: Organic dust</t>
  </si>
  <si>
    <t>1-(2,3,8,8-tetramethyl-1,3,4,5,6,7-hexahydronaphthalen-2-yl)ethanone</t>
  </si>
  <si>
    <t>['54464-57-2', 'Iso E Super', '1-(2,3,8,8-tetramethyl-1,2,3,4,5,6,7,8-octahydronaphthalen-2-yl)ethanone', 'Isocyclemone E', 'Boisvelone', 'Iso-E super', 'Ethanone, 1-(1,2,3,4,5,6,7,8-octahydro-2,3,8,8-tetramethyl-2-naphthalenyl)-', 'UNII-1GD7ODM28Y', '1-(1,2,3,4,5,6,7,8-Octahydro-2,3,8,8-tetramethyl-2-naphthyl)ethan-1-one', 'EINECS 259-174-3', '1GD7ODM28Y', '1-(2,3,8,8-tetramethyl-1,3,4,5,6,7-hexahydronaphthalen-2-yl)ethanone', '2-Acetonaphthone, 1,2,3,4,5,6,7,8-octahydro-2,3,8,8-tetramethyl-', '1-(1,2,3,4,5,6,7,8-Octahydro-2,3,8,8-tetramethyl-2-naphthalenyl)ethanone', "1',2',3',4',5',6',7',8'-Octahydro-2',3',8',8'-tetramethyl-2'-acetonaphthone", 'DSSTox_CID_11290', 'DSSTox_RID_78869', 'DSSTox_GSID_31290', 'W-111089', '1-(2,3,8,8-tetramethyl-1,2,3,4,5,6,7,8-octahydronaphthalen-2-yl)ethan-1-one', 'Ethanone,1-(1,2,3,4,5,6,7,8-octahydro-2,3,8,8-tetramethyl-2-naphthalenyl)-', 'CAS-54464-57-2', 'Derambrene', 'i-e-super', 'OTNE', 'Boisvelone / Iso-E super', 'SCHEMBL111407', 'Amberix Super (Iso E Super)', 'CHEMBL1423553', 'DTXSID7031290', 'CTK5A1137', 'Tox21_201355', 'Tox21_303483', 'BBL028399', 'STL352821', 'AKOS015955684', 'MCULE-2137893098', 'NCGC00090712-01', 'NCGC00090712-02', 'NCGC00257507-01', 'NCGC00258907-01', 'AM806777', 'VS-08753', 'LS-185877', 'FT-0670449', '464T572', 'Q15720552', 'UNII-2JU6ZH6GRE component FVUGZKDGWGKCFE-UHFFFAOYSA-N', '2-Acetonaphthone-1,2,3,4,5,6,7,8-octahydro-2,3,8,8-tetramethyl', '7-acetyl-1,2,3,4,5,6,7,8-octahydro-1,1,6,7-tetramethyl-naphthalene', '1-(1,2,3,4,5,6,7,8-Octahydro-2,3,8,8-tetramethyl-2-naphthyl)ethan-1-one.', '1-(2,3,8,8-tetramethyl-1,2,3,4,5,6,7,8-octahydro-naphthalen-2-yl)-ethanone']</t>
  </si>
  <si>
    <t>Compound(108242)</t>
  </si>
  <si>
    <t>C16H26O</t>
  </si>
  <si>
    <t>Overflow time</t>
  </si>
  <si>
    <t>Overflow frequency</t>
  </si>
  <si>
    <t>Overhead height</t>
  </si>
  <si>
    <t>Overflow volume</t>
  </si>
  <si>
    <t>Other water flora quality</t>
  </si>
  <si>
    <t>Final assessment of surface water</t>
  </si>
  <si>
    <t>Stage measures surface water</t>
  </si>
  <si>
    <t>['OXAMIDE', 'Ethanediamide', 'Oxalamide', '471-46-5', 'Oxamimidic acid', 'Oxalic acid diamide', 'Diaminoglyoxal', 'Oxamid', 'Amid kyseliny stavelove', 'Oxamicacid amide', 'Formimidic acid, 1-carbamoyl-', 'Oxamid [Czech]', 'NSC 2770', 'UNII-SBE4M0223E', 'Amid kyseliny stavelove [Czech]', 'Oxamide, 98%', 'EINECS 207-442-5', '1-carbamoylformimidic acid', 'AI3-03761', 'SBE4M0223E', 'CHEBI:48248', 'Oxalic diamide', 'Oxamic acid amide', 'Ethanediamide;Oxamide', 'PubChem17273', 'NH2COCONH2', 'WLN: ZVVZ', 'ACMC-1AD4U', 'CHEMBL1995464', 'DTXSID1060051', 'CTK1D6601', 'KS-00000VPI', 'NSC2770', 'NSC-2770', 'ZINC5177750', 'ZX-AT020505', 'ANW-30488', 'FCH931712', 'MFCD00008007', 'AKOS006220951', 'MCULE-9024594322', 'OR16936', 'BP-21125', 'CC-33401', 'LS-99461', 'NCI60_002253', 'P554', 'DB-051430', 'FT-0632177', 'NS00031667', 'O0086', 'C-31231', 'Q423341', 'CB200FB4-BFA6-4C22-A9FF-49E76C262118', 'F8889-2585']</t>
  </si>
  <si>
    <t>Compound(10113)</t>
  </si>
  <si>
    <t>C2H4N2O2</t>
  </si>
  <si>
    <t>5-tert-butyl-3-(2,4-dichloro-5-propan-2-yloxyphenyl)-1,3,4-oxadiazol-2-one</t>
  </si>
  <si>
    <t>['OXADIAZON', '19666-30-9', 'Ronstar', 'Oxadiazone', 'Oxydiazon', 'Caswell No. 624A', 'RP 17623', 'UNII-C6U0E0YTP6', 'Oxadiazon [ANSI:BSI:ISO]', '5-tert-butyl-3-(2,4-dichloro-5-propan-2-yloxyphenyl)-1,3,4-oxadiazol-2-one', 'HSDB 6936', 'G 315', 'EINECS 243-215-7', 'EPA Pesticide Chemical Code 109001', 'BRN 0558070', 'C6U0E0YTP6', '5-(tert-Butyl)-3-(2,4-dichloro-5-isopropoxyphenyl)-1,3,4-oxadiazol-2(3H)-one', '5-tert-Butyl-3-(2,4-dichloro-5-isopropoxyphenyl)-1,3,4-oxadiazol-2(3H)-one', 'CHEBI:81786', '2-tert-Butyl-4-(2,4-dichloro-5-isopropyloxyphenyl)-1,3,4-oxadiazolin-5-one', '1,3,4-Oxadiazol-2(3H)-one, 3-[2,4-dichloro-5-(1-methylethoxy)phenyl]-5-(1,1-dimethylethyl)-', '1,3,4-Oxazol-2(3H)-one, 3-(2,4-dichloro-5-(1-methylethoxy)phenyl)-5-(1,1-dimethylethyl)-', '3-[2,4-Dichloro-5-(1-methylethoxy)phenyl]-5-(1,1-dimethylethyl)-1,3,4-oxadiazol-2(3H)-one', 'DSSTox_CID_4239', '2-tert-Butyl-4-(2,4-dichloro-5-isopropoxyphenyl)-delta(sup 2)-1,3,4-oxadiazolin-5-one', '3-(2,4-Dichloro-5-isopropyloxy-phenyl)-delta(sup 4)-5-(tert-butyl)-1,3,4-oxadiazoline-2-one', 'DSSTox_RID_77336', 'DSSTox_GSID_24239', '2-tert-Butyl-4-(2,4-dichloro-5-isopropoxyphenyl)-delta2-1,3,4-oxadiazoline-5-one', '3-(2,4-Dichloro-5-(1-methylethoxy)phenyl)-5-(1,1-dimethylethyl)-1,3,4-oxadiazol-2(3H)-one', 'delta(sup 2)-1,3,4-Oxadiazolin-5-one, 2-tert-butyl-4-(2,4-dichloro-5-isopropyloxyphenyl)-', '1,3,4-Oxadiazol-2(3H)-one, 3-(2,4-dichloro-5-(1-methylethoxy)phenyl)-5-(1,1-dimethylethyl)-', 'CAS-19666-30-9', 'Scotts OH I', 'Ronstar 50W', 'Ronstar 2G (Salt/Mix)', 'SCHEMBL38813', 'CHEMBL1080648', 'DTXSID3024239', 'CHNUNORXWHYHNE-UHFFFAOYSA-', 'CTK8E5278', 'KS-00001FCH', 'HY-B1880', 'ZINC5442490', 'Tox21_201877', 'Tox21_300668', 'BDBM50359941', '5-tert-butyl-3-(2,4-dichloro-5-isopropoxyphenyl)1,3,4-oxadiazol-2(3h)-one', 'AKOS015917677', 'CS-5211', 'DS-6328', 'Oxadiazon 10 microg/mL in Cyclohexane', '2-tert-Butyl-4-(2,4-dichloro-5-isopropoxyphenyl)-delta2-1,3,4-oxadiazolin-5-one (8CI)', 'ACM19666309', 'Oxadiazon 10 microg/mL in Acetonitrile', 'Oxadiazon 100 microg/mL in Cyclohexane', 'NCGC00163727-01', 'NCGC00163727-02', 'NCGC00163727-03', 'NCGC00163727-04', 'NCGC00163727-05', 'NCGC00254576-01', 'NCGC00259426-01', '17623 RP', '3-(2,4-Dichloro-5-(1-methylethoxy)phenyl)-5-(1,1-dimethylethyl)-1,3,4-oxadiazol-2(3H)-one (9CI)', 'AC-12699', 'AK113633', 'CC-33392', 'LS-99283', 'P237', 'AX8146396', 'DB-044937', 'RP 17,623', 'FT-0630462', 'NS00008448', 'Oxadiazon, PESTANAL(R), analytical standard', 'C18496', '666O309', 'C-20474', 'J-012715', 'Q1691365', '3-(2,4-Dichloro-5-isopropyloxyphenyl)-5-tert-butyl-1,3,4-oxadiazol-2-one', '5-t-butyl-3-(2,4-dichloro-5-isopropoxyphenyl)-1,3,4-oxadiazolin-2-one', '.DELTA.2-1,3,4-Oxadiazolin-5-one, 2-tert-butyl-4-(2,4-dichloro-5-isopropoxyphenyl)-', '.DELTA.2-1,3,4-Oxadiazolin-5-one, 2-tert-butyl-4-(2,4-dichloro-5-isopropyloxyphenyl)-', '2-tert-Butyl-4-(2,4-dichloro-5-isopropoxyphenyl)-delta2-1,3,4-oxadiazolin-5-one', '3-(2,4-Dichloro-5-isopropyloxy-phenyl)-.delta.4-5-(tert-butyl)-1,3,4-oxadiazoline-2-one', '5-tert-Butyl-3-(2,4-dichloro-5-isopropoxyphenyl)-1,3,4-oxadiazol-2(3H)-one #', '5-tert-Butyl-3-{2,4-dichloro-5-[(propan-2-yl)oxy]phenyl}-1,3,4-oxadiazol-2(3H)-one', '3-[2,4-dichloro-5-(1-methyl ethoxy)phenyl]-5-(1,1-dimethylethyl)-1,3,4-oxadiazol-2(3H)-one', 'oxadiazon;3-[2,4-dichloro-5-(1-methylethoxy)phenyl]-5-(1,1-dimethylethyl)-1,3,4-oxadiazol-2(3H)-one']</t>
  </si>
  <si>
    <t>Compound(29732)</t>
  </si>
  <si>
    <t>C15H18Cl2N2O3</t>
  </si>
  <si>
    <t>N-(2,6-dimethylphenyl)-2-methoxy-N-(2-oxo-1,3-oxazolidin-3-yl)acetamide</t>
  </si>
  <si>
    <t>['OXADIXYL', '77732-09-3', 'Sandofan', 'Recoil', 'Ripost', 'Wakil', 'N-(2,6-DIMETHYLPHENYL)-2-METHOXY-N-(2-OXOOXAZOLIDIN-3-YL)ACETAMIDE', 'SAN 371F', 'SAN 371', 'Oxadixyl [BSI:ISO]', 'UNII-236CMA8A12', 'M 10797', 'N-(2,6-Dimethylphenyl)-2-methoxy-N-(2-oxo-3-oxazolidinyl)acetamide', 'N-(2,6-Dimethylphenyl)-2-methoxy-N-(2-oxo-1,3-oxazolidin-3-yl)acetamide', 'Acetamide, N-(2,6-dimethylphenyl)-2-methoxy-N-(2-oxo-3-oxazolidinyl)-', 'CHEBI:81937', "2-Methoxy-N-(2-oxo-1,3-oxazolidin-3-yl)acet-2',6'-xylidide", '236CMA8A12', '2-Methoxy-N-(2-oxo-1,3-oxazolidine-3-yl)-acet-2,6-xylidine', '2-Methoxy-N-(2-oxo-1,3-oxazolidine-3-yl)-acet-2,6-xylidine [French]', 'Anchor', 'OXADIXYL;SANDOFAN', 'SCHEMBL6304', 'DSSTox_CID_12631', 'DSSTox_RID_79015', 'DSSTox_GSID_32631', 'CHEMBL1864998', 'DTXSID2032631', 'ZINC2033450', 'Oxadixyl 100 microg/mL in Acetone', 'Tox21_301853', 'Oxadixyl 10 microg/mL in Cyclohexane', 'AKOS015902934', 'LS-9395', 'Oxadixyl 10 microg/mL in Acetonitrile', 'NCGC00164271-01', 'NCGC00255297-01', 'CC-33393', 'AX8146397', 'CAS-77732-09-3', 'DB-056248', 'FT-0630856', 'NS00000516', 'Oxadixyl, PESTANAL(R), analytical standard', 'C18753', '732O093', 'C-17498', 'Q19297826', '2-Methoxy-N-(2,6-dimethylphenyl)-N-(2-oxo-3-oxazolidinyl)-acetamide', 'N-(2,6-dimethyl-phenyl)-2-methoxy-N-(2-oxo-oxazolidin-3-yl)-acetamide;oxadixyl', 'N-(2,6-dimethylphenyl)-2-methoxy-N-(2-oxidanylidene-1,3-oxazolidin-3-yl)ethanamide', 'N-(2,6-Dimethylphenyl)-2-methoxy-N-(2-oxo-1,3-oxazolidin-3-yl)acetamide #']</t>
  </si>
  <si>
    <t>Compound(53735)</t>
  </si>
  <si>
    <t>C14H18N2O4</t>
  </si>
  <si>
    <t>oxacillin</t>
  </si>
  <si>
    <t>(2S,5R,6R)-3,3-dimethyl-6-[(5-methyl-3-phenyl-1,2-oxazole-4-carbonyl)amino]-7-oxo-4-thia-1-azabicyclo[3.2.0]heptane-2-carboxylic acid</t>
  </si>
  <si>
    <t>['oxacillin', 'Oxazocillin', 'MPI-penicillin', 'Prostaphlin', 'Prostaphlyn', '66-79-5', 'OXACILLIN SODIUM', 'Ossacillina [DCIT]', 'Sodium oxacillin', 'MPi-PC', 'Oxacillin [INN:BAN]', '5-Methyl-3-phenyl-4-isoxazolyl-penicillin', 'Oxacilina [INN-Spanish]', 'Oxacilline [INN-French]', 'Oxacillinum [INN-Latin]', 'Bactocill', 'UNII-UH95VD7V76', 'CHEBI:7809', 'C19H19N3O5S', '(5-methyl-3-phenyl-4-isoxazolyl)penicillin', 'EINECS 200-635-5', 'Penicillin, (5-methyl-3-phenyl-4-isoxazolyl)-', '6beta-(5-methyl-3-phenylisoxazol-4-yl)penicillanic acid', 'UH95VD7V76', '(2S,5R,6R)-3,3-dimethyl-6-[(5-methyl-3-phenyl-1,2-oxazole-4-carbonyl)amino]-7-oxo-4-thia-1-azabicyclo[3.2.0]heptane-2-carboxylic acid', '(2S,5R,6R)-3,3-dimethyl-6-{[(5-methyl-3-phenylisoxazol-4-yl)carbonyl]amino}-7-oxo-4-thia-1-azabicyclo[3.2.0]heptane-2-carboxylic acid', 'Ossacillina', 'Oxacilline', 'Oxacillinum', 'Oxazocilline', 'Oxacilina', '4-Thia-1-azabicyclo(3.2.0)heptane-2-carboxylic acid, 3,3-dimethyl-6-(((5-methyl-3-phenyl-4-isoxazolyl)carbonyl)amino)-7-oxo-, (2S-(2alpha,5alpha,6beta))-', '1173-88-2', 'Oxacilina (TN)', 'Oxacillin (INN)', '4-Thia-1-azabicyclo(3.2.0)heptane-2-carboxylic acid, 3,3-dimethyl-6-(5-methyl-3-phenyl-4-isoxazolecarboxamide)-7-oxo-', 'Penicillin, Methylphenylisoxazolyl', 'Oxacillin, Monosodium Salt, Anhydrous', 'Oxacillin,(S)', '(2S,5R,6R)-3,3-dimethyl-6-[(5-methyl-3-phenyl-isoxazole-4-carbonyl)amino]-7-oxo-4-thia-1-azabicyclo[3.2.0]heptane-2-carboxylic acid', 'CHEMBL819', 'Epitope ID:181859', 'SCHEMBL3817', 'DTXSID8023397', 'GTPL10943', 'phenylisoxazole-4-carboxamido)-7-', 'ZINC3875439', 'BDBM50350483', 'API0004686', 'DB00713', '2,2-dimethyl-6beta-(5-methyl-3-phenyl-1,2-oxazole-4-carboxamido)penam-3alpha-carboxylic acid', '(2S,5R,6R)-3,3-dimethyl-6-(5-methyl-3-phenyl-1,2-oxazole-4-amido)-7-oxo-4-thia-1-azabicyclo[3.2.0]heptane-2-carboxylic acid', '5-Methyl-3-phenyl-4-isooxazolylpenicillin', 'oxo-4-thia-1-azabicyclo[3.2.0]heptane-', 'LS-149809', 'X6829', 'Sodium [2S-(2a,5a,6ss)]-3,3-dimethyl-6-[[(5-methyl-3-phenylisoxazol-4-yl)carbonyl]amino]-7-oxo-4-thia-1-azabicyclo[3.2.0]heptane-2-carboxylate', 'C07334', 'D08307', '(2S,5R,6R)-3,3-dimethyl-6-(5-methyl-3-', 'Q418725', 'BRD-K96786677-236-01-6', 'BRD-K96786677-236-02-4', '(2S,5R,6R)-3,3-Dimethyl-6-{[(5-methyl-3-phenyl-1,2-oxazol-4-yl)carbonyl]amino}-7-oxo-4-thia-1-azabicyclo[3.2.0]heptane-2-carboxylic acid', '4-Thia-1-azabicyclo[3.2.0]heptane-2-carboxylic acid, 3,3-dimethyl-6-(((5-methyl-3-phenyl-4-isoxazolyl)carbonyl)amino)-7-oxo-, (2S-(2.alpha.,5.alpha.,6.beta.))-', '4-Thia-1-azabicyclo[3.2.0]heptane-2-carboxylic acid, 3,3-dimethyl-6-[[(5-methyl-3-phenyl-4-isoxazolyl)carbonyl]amino]-7-oxo-, (2S,5R,6R)-', 'odium [2S-(2?,5?,6?)]-3,3-dimethyl-6-[[(5-methyl-3-phenylisoxazol-4-yl)carbonyl]amino]-7-oxo-4-thia-1-azabicyclo[3.2.0]heptane-2-carboxylate;Oxacillin;OXACILLIN SODIUM']</t>
  </si>
  <si>
    <t>Compound(6196)</t>
  </si>
  <si>
    <t>C19H19N3O5S</t>
  </si>
  <si>
    <t>methyl (1Z)-2-(dimethylamino)-N-hydroxy-2-oxoethanimidothioate</t>
  </si>
  <si>
    <t>['Oximino oxamyl', 'Oxamyl oxime', 'Methyl 2-(dimethylamino)-N-hydroxy-2-oxoethanimidothioate', 'UNII-V2VR7FW48D', '(E)-oxamyl oxime', '2-(Hydroxyimino)-N,N-dimethyl-2-(methylmercapto)acetamide', 'V2VR7FW48D', '30558-43-1', 'Ethanimidothioic acid, 2-(dimethylamino)-N-hydroxy-2-oxo-, methyl ester', '2-(dimethylamino)-N-hydroxy-2-oxo-ethanimidothioic acid methyl ester', 'Oxamyl-oxime', 'Methyl (1Z)-2-(dimethylamino)-N-hydroxy-2-oxoethanimidothioate', 'EINECS 250-239-1', 'BRN 1929813', 'RCRA waste no. U394', 'Methyl 2-(dimethylamino)-N-hydroxy-2-oxothioimidoacetate', '2-(hydroxyimino)-N,N-dimethyl-2-(methylsulfanyl)acetamide', '2-(Dimethylamino)-N-hydroxy-2-oxoethanimidothioic acid methyl ester', 'Formohydroximic acid, (dimethylcarbamoyl)thio-, methyl ester', 'SCHEMBL5718460', 'CHEMBL1876568', 'CHEBI:38542', 'DTXSID50897361', 'ZINC5688677', 'NCGC00163756-01', 'Q27268114', '(Dimethylcarbamoyl)thioformohydroxamic acid, S-methyl ester', '66344-33-0']</t>
  </si>
  <si>
    <t>Compound(6399255)</t>
  </si>
  <si>
    <t>C5H10N2O2S</t>
  </si>
  <si>
    <t>methyl (1Z)-2-(dimethylamino)-N-(methylcarbamoyloxy)-2-oxoethanimidothioate</t>
  </si>
  <si>
    <t>['OXAMYL', '23135-22-0', 'Dioxamyl', '2-Dimethylamino-1-(methylthio)glyoxal O-methylcarbamoylmonoxime', "N',N'-Dimethylcarbamoyl(methylthio)methylenamine N-methylcarbamate", '2-(Dimethylamino)-N-(((methylamino)carbonyl)oxy)-2-oxoethanimidothioic acid methyl ester', 'S-Methyl 1-(dimethylcarbamoyl)-N-((methylcarbamoyl)oxy)thioformimidate', 'Oxamyl, analytical standard', 'methyl 2-(dimethylamino)-N-(methylcarbamoyloxy)-2-oxoethanimidothioate', "N',N'-dimethyl-N-((methylcarbamoyl)oxy)-1-methylthio-oxamimidic acid", "S-Methyl N',N'-dimethyl-N-(methylcarbamoyloxy)-1-thio-oxamimidate", 'Ethanimidothioic acid, 2-(dimethylamino)-N-[[(methylamino)carbonyl]oxy]-2-oxo-, methyl ester', 'N,N-Dimethyl-alpha-methylcarbamoyloxyimino-alpha-(methylthio)acetamide', 'CHEBI:38539', 'methyl (1Z)-2-(dimethylamino)-N-(methylcarbamoyloxy)-2-oxoethanimidothioate', 'S-Methyl 1-(dimethylcarbamoyl)-N-[(methylcarbamoyl)oxy]thioformimidate', 'Oxamyl (pesticide)', 'Nematicide 1410', 'SCHEMBL1765917', 'CHEMBL2140710', 'methyl (1Z)-2-(dimethylamino)-N-{[(methylamino)carbonyl]oxy}-2-oxoethanimidothioate', "N,N-dimethylcarbamoyl(methylthio)methylenamine N-methylcarbamate;oxamyl;N',N'-dimethylcarbamoyl(methylthio)methylenamine N-methylcarbamate", 'ZINC1590888', 'NSC379588', 'AKOS015898748', 'NSC-379588', 'd 1410', 'NCGC00163853-01', 'NCGC00163853-02', 'NCGC00163853-03', 'NCGC00163853-04', 'Pesticide2_Oxamyl_C7H13N3O3S_VYDATE', 'CC-33402', 'Oxamyl, PESTANAL(R), analytical standard', 'NS00001635', 'C18419', 'Oxamyl 10 microg/mL in Methyl-tert-butyl ether', '135O220', 'C-12056', 'W-110557', 'N,N-Dimethyl-.alpha.-methylcarbamoyloxyimino-.alpha.-(methylthio)acetamide', 'Methyl 2-(dimethylamino)-N-([(methylamino)carbonyl]oxy)-2-oxoethanimidothioate #', 'Oxamylmethyl (1Z)-2-(dimethylamino)-N-{[(methylamino)carbonyl]oxy}-2-oxoethanimidothioate']</t>
  </si>
  <si>
    <t>Compound(9595287)</t>
  </si>
  <si>
    <t>C7H13N3O3S</t>
  </si>
  <si>
    <t>oxetan-3-yl 2-[(4,6-dimethylpyrimidin-2-yl)carbamoylsulfamoyl]benzoate</t>
  </si>
  <si>
    <t>['Oxasulfuron', '144651-06-9', 'Expert', 'Oxasulfuron [ISO]', 'CGA-277476 Herbicide', 'Oxetan-3-yl 2-[(4,6-dimethylpyrimidin-2-yl)carbamoylsulfamoyl]benzoate', 'CGA-277476', 'EP-A 0496701', 'UNII-698F069J44', '698F069J44', 'Benzoic acid, 2-(((((4,6-dimethyl-2-pyrimidinyl)amino)carbonyl)amino)sulfonyl)-, 3-oxetanyl ester', 'SCHEMBL66884', 'CHEMBL1903152', 'DTXSID4034364', 'ZINC13831537', 'AKOS015895299', 'NCGC00168326-01', 'CC-33405', 'DB-042741', 'LS-195724', 'FT-0631168', 'NS00010347', 'Oxasulfuron, PESTANAL(R), analytical standard', '651O069', 'A808254', 'C-21829', 'J-007992', 'Q22808495', 'oxetan-3-yl 2-(N-(4,6-dimethylpyrimidin-2-ylcarbamoyl)sulfamoyl)benzoate', 'Oxetan-3-yl 2-{[(4,6-dimethylpyrimidin-2-yl)carbamoyl]sulfamoyl}benzoate', '2-[[[(4,6-dimethyl-2-pyrimidinyl)amino]-oxomethyl]sulfamoyl]benzoic acid 3-oxetanyl ester', 'oxetan-3-yl 2-({[(4,6-dimethylpyrimidin-2-yl)carbamoyl]amino}sulfonyl)benzoate', 'Benzoic acid, 2-[[[[(4,6-dimethyl-2-pyrimidinyl)amino]carbonyl]amino]sulfonyl]-, 3-oxetanyl ester;oxasulfuron (ISO)']</t>
  </si>
  <si>
    <t>Compound(86443)</t>
  </si>
  <si>
    <t>C17H18N4O6S</t>
  </si>
  <si>
    <t>1-[4-[4-[5-(2,6-difluorophenyl)-4,5-dihydro-1,2-oxazol-3-yl]-1,3-thiazol-2-yl]piperidin-1-yl]-2-[5-methyl-3-(trifluoromethyl)pyrazol-1-yl]ethanone</t>
  </si>
  <si>
    <t>['Oxathiapiprolin', '1003318-67-9', '1-(4-{4-[5-(2,6-difluorophenyl)-4,5-dihydro-1,2-oxazol-3-yl]-1,3-thiazol-2-yl}piperidin-1-yl)-2-[5-methyl-3-(trifluoromethyl)-1H-pyrazol-1-yl]ethanone', '1-[4-[4-[5-(2,6-difluorophenyl)-4,5-dihydro-1,2-oxazol-3-yl]-1,3-thiazol-2-yl]piperidin-1-yl]-2-[5-methyl-3-(trifluoromethyl)pyrazol-1-yl]ethanone', 'Oxathiapiprolin [ISO]', 'DPX-QGU42', 'DPX-QGU-42', 'SCHEMBL120216', 'CHEBI:83271', 'DTXSID30893604', '1-(4-(4-((5RS)-5-(2,6-Difluorophenyl)-4,5-dihydro-1,2-oxazol-3-yl)-1,3-thiazol-2-yl)-1-piperidyl)-2-(5-methyl-3-(trifluoromethyl)-1H-pyrazol-1-yl)ethanone', 'Ethanone, 1-(4-(4-(5-(2,6-difluorophenyl)-4,5-dihydro-3-isoxazolyl)-2-thiazolyl)-1-piperidinyl)-2-(5-methyl-3-(trifluoromethyl)-1H-pyrazol-1-yl)-', 'Q27156718', 'Oxathiapiprolin 100 microg/mL in Acetonitrile. Short expiry date due to chemical nature of component(s)']</t>
  </si>
  <si>
    <t>Compound(56945145)</t>
  </si>
  <si>
    <t>C24H22F5N5O2S</t>
  </si>
  <si>
    <t>octamethyltetrasiloxane</t>
  </si>
  <si>
    <t>['1,1,3,3,5,5,7,7-Octamethyltetrasiloxane', '1000-05-1', 'Tetrasiloxane, 1,1,3,3,5,5,7,7-octamethyl-', 'UNII-YB15PH50RH', 'EINECS 213-669-0', 'YB15PH50RH', '1,1,3,3,5,5,7,7-octamethyl tetrasiloxane', 'DSSTox_CID_24759', 'DSSTox_RID_80452', 'DSSTox_GSID_44759', 'SCHEMBL187714', 'CHEMBL3988891', 'DTXSID8044759', 'Tox21_300728', 'AKOS024462460', 'ZINC195815179', 'NCGC00248153-01', 'NCGC00254634-01', 'CAS-1000-05-1', 'LS-149000', 'FT-0633222', 'O0502', 'C-51175', '2,4,4,6,6,8-hexamethyl-3,5,7-trioxa-2,4,6,8-tetrasilanonane', '[[(dimethyl-3-silanyl)oxy-dimethylsilyl]oxy-dimethylsilyl]oxy-dimethylsilicon']</t>
  </si>
  <si>
    <t>Compound(6328651)</t>
  </si>
  <si>
    <t>C8H24O3Si4</t>
  </si>
  <si>
    <t>octamethylcyclotetrasiloxane</t>
  </si>
  <si>
    <t>2,2,4,4,6,6,8,8-octamethyl-1,3,5,7,2,4,6,8-tetraoxatetrasilocane</t>
  </si>
  <si>
    <t>['OCTAMETHYLCYCLOTETRASILOXANE', '556-67-2', 'Cyclotetrasiloxane, octamethyl-', 'Oktamethylcyklotetrasiloxan', '2,2,4,4,6,6,8,8-Octamethyl-1,3,5,7,2,4,6,8-tetraoxatetrasilocane', 'Cyclic dimethylsiloxane tetramer', 'OMCTS', 'NUC silicone VS 7207', 'Union carbide 7207', 'Silicone SF 1173', 'Oktamethylzyklotetrasiloxan', 'octamethyl cyclotetrasiloxane', 'C8H24O4Si4', 'UNII-CZ227117JE', 'CCRIS 1327', 'HSDB 6131', 'Oktamethylcyklotetrasiloxan [Czech]', 'EINECS 209-136-7', 'KF 994', 'NSC 345674', 'octamethyl-cyclotetrasiloxane', 'SF 1173', 'UC 7207', 'VS 7207', 'BRN 1787074', '2,2,4,4,6,6,8,8-octamethyl-1,3,5,7,2,4,6,8-tetroxatetrasilocane', 'CHEBI:25640', 'Octamethylcyclotetrasiloxane, 98%', 'CZ227117JE', 'DSSTox_CID_7205', 'DSSTox_RID_78349', 'DSSTox_GSID_27205', 'Cyclotetrasiloxane, 2,2,4,4,6,6,8,8-octamethyl-', 'CAS-556-67-2', 'volasil(tm) 244', 'ACMC-209loc', 'bmse000765', 'EC 209-136-7', 'SCHEMBL18354', 'KSC269K8F', 'BIDD:ER0157', 'Dimethylsiloxane Cyclic Tetramer', 'CHEMBL1869229', 'DTXSID7027205', 'CTK1G9582', 'HMMGMWAXVFQUOA-UHFFFAOYSA-', 'Octamethylcyclotetrasiloxane (D4)', 'KS-00000VG1', 'Tox21_201398', 'Tox21_300547', '7595AH', 'ANW-32362', 'CO9810', 'MFCD00003269', 'NSC345674', 'AKOS008901191', 'ZINC169743112', 'MCULE-2162943570', 'NSC-345674', 's12400', 'NCGC00164099-01', 'NCGC00164099-02', 'NCGC00164099-03', 'NCGC00254406-01', 'NCGC00258949-01', 'LS-58853', 'SC-81654', 'FT-0688100', 'NS00043628', 'O0142', 'O9810', 'Octamethylcyclotetrasiloxane, analytical standard', 'octamethyl-1,3,5,7,2,4,6,8-tetraoxatetrasilocane', 'Q2013804', 'UNII-NMQ347994Z component HMMGMWAXVFQUOA-UHFFFAOYSA-N', '2,2,4,4,6,6,8,8-Octamethyl-1,3,5,7,2,4,6,8-tetraoxatetrasilocane #', 'Cyclomethicone 4, United States Pharmacopeia (USP) Reference Standard', 'D4 Cyclomethicone, Pharmaceutical Secondary Standard; Certified Reference Material', 'octamethylcyclotetrasiloxane;Cyclotetrasiloxane;Cyclotetrasiloxane, octamethyl-;Cyclotetrasiloxane, octamethyl-, reaction products with silica;Silanamine, 1,1,1-trimethyl-N-(trimethylsilyl)-, reaction products with ammonia, octamethylcyclotetrasiloxane and silica']</t>
  </si>
  <si>
    <t>Compound(11169)</t>
  </si>
  <si>
    <t>C8H24O4Si4</t>
  </si>
  <si>
    <t>octachloronaphthalene</t>
  </si>
  <si>
    <t>1,2,3,4,5,6,7,8-octachloronaphthalene</t>
  </si>
  <si>
    <t>['OCTACHLORONAPHTHALENE', '2234-13-1', 'Perchloronaphthalene', 'Naphthalene, octachloro-', 'Perna', 'Halowax 1051', '1,2,3,4,5,6,7,8-Octachloronaphthalene', 'Octachloro naphthalene', 'UNII-BQ6EO9GJXE', 'HSDB 5457', 'BQ6EO9GJXE', 'EINECS 218-778-7', 'PCN no.75', 'NSC 243655', 'BRN 1653604', 'Naphthalene, 1,2,3,4,5,6,7,8-octachloro-', 'W-107483', 'C10Cl8', 'Octachloronapthalene', 'cis-myrist-7-enoyl-CoA', 'Octachloronaphthalene solution', 'AMBZ0211', 'SCHEMBL2206144', 'DTXSID6025800', 'CTK8D3902', 'ACT05265', 'ZINC1764612', 'ZX-AT007075', 'NSC243655', 'AKOS015850135', 'AC-8953', 'AM85673', 'cis-(3S)-hydroxytetradec-7-enoyl-CoA', 'LS-2291', 'NSC-243655', 'OR30671', '1,3,4,5,6,7,8-Octachloronaphthalene', 'CC-33252', 'P860', 'DB-025255', 'FT-0658076', 'NS00027133', 'K-6300', 'Octachloronaphthalene 10 microg/mL in Isooctane', 'C-34202', 'Octachloronaphthalene 10 microg/mL in Acetonitrile', 'Octachloronaphthalene 10 microg/mL in Cyclohexane', 'Q2148325', 'Octachloronaphthalene;halowax 1051;octachloronaphthalene', 'Octachloronaphthalene solution, 10 mug/mL in cyclohexane, PESTANAL(R), analytical standard']</t>
  </si>
  <si>
    <t>Compound(16692)</t>
  </si>
  <si>
    <t>C10Cl8</t>
  </si>
  <si>
    <t>octachlorostyrene</t>
  </si>
  <si>
    <t>1,2,3,4,5-pentachloro-6-(1,2,2-trichloroethenyl)benzene</t>
  </si>
  <si>
    <t>['OCTACHLOROSTYRENE', '29082-74-4', 'Styrene, octachloro-', 'Trichlorovinylpentachlorobenzene', 'Benzene, pentachloro(trichloroethenyl)-', 'CCRIS 5684', 'UNII-304368U4VH', 'HSDB 6203', 'BRN 2057011', '304368U4VH', '1,2,3,4,5-pentachloro-6-(1,2,2-trichloroethenyl)benzene', '1,2,3,4,5-pentachloro-6-(trichloroethenyl)benzene', 'POLYCHLORINATED STYRENE', 'Perchlorostyrene', 'SCHEMBL93255', 'DTXSID2021074', 'CHEBI:81542', 'CTK4G2689', 'ZINC2566913', 'LS-7626', 'ACM29082744', '62601-62-1', 'Octachlorostyrene 100 microg/mL in Toluene', 'NS00005582', 'Octachlorostyrene 10 microg/mL in Cyclohexane', 'C18148', 'Octachlorostyrene 100 microg/mL in Cyclohexane', '1,2,3,4,5-pentachloro-6-(trichlorovinyl)benzene', 'Octachlorostyrene, vial of 1 g, analytical standard', 'Q27155456', '1,2,3,4,5-Pentachloro-6-(1,2,2-trichlorovinyl)benzene', '1,2,3,4,5-Pentachloro-6-(1,2,2-trichlorovinyl)benzene #', 'Benzene,1,2,3,4,5-pentachloro-6-(1,2,2-trichloroethenyl)-']</t>
  </si>
  <si>
    <t>Compound(34466)</t>
  </si>
  <si>
    <t>C8Cl8</t>
  </si>
  <si>
    <t>oxolinic acid</t>
  </si>
  <si>
    <t>5-ethyl-8-oxo-[1,3]dioxolo[4,5-g]quinoline-7-carboxylic acid</t>
  </si>
  <si>
    <t>['oxolinic acid', '14698-29-4', 'Nidantin', 'Dioxacin', 'Emyrenil', 'Prodoxal', 'Prodoxol', 'Gramurin', 'Oksaren', 'Oxolinic', 'Ossian', 'Uroxol', 'Utibid', 'Acide oxolinique', 'Uritrate', 'Urotrate', 'Oxoboi', 'Pietil', 'Starner', 'Ultibid', 'Acido oxolinico', 'Uro-alvar', 'Acidum oxolinicum', 'Cistopax', 'Orthurine', 'Tiurasin', '5-Ethyl-8-oxo-5,8-dihydro-[1,3]dioxolo[4,5-g]quinoline-7-carboxylic acid', 'NSC-110364', 'Urinox', 'NSC 110364', 'Acido ossolico [DCIT]', '5-Ethyl-8-oxo-5,8-dihydro[1,3]dioxolo[4,5-g]quinoline-7-carboxylic acid', '1-Ethyl-6,7-methylenedioxy-4-quinolone-3-carboxylic acid', 'UNII-L0A22B22FT', 'W 4565', 'Acide oxolinique [INN-French]', 'Acido oxolinico [INN-Spanish]', 'Acidum oxolinicum [INN-Latin]', 'CCRIS 6301', '5-ethyl-8-oxo-[1,3]dioxolo[4,5-g]quinoline-7-carboxylic acid', 'HSDB 3243', '1-Ethyl-1,4-dihydro-6,7-methylenedioxy-4-oxo-3-quinolinecarboxylic acid', '5-Ethyl-5,8-dihydro-8-oxo-1,3-dioxolo(4,5-g)quinoline-7-carboxylic acid', 'EINECS 238-750-8', 'BRN 0620635', '1,3-Dioxolo[4,5-g]quinoline-7-carboxylic acid, 5-ethyl-5,8-dihydro-8-oxo-', 'L0A22B22FT', 'C13H11NO5', 'CHEBI:138856', 'S-0208', '1,3-Dioxolo(4,5-g)quinoline-7-carboxylic acid, 5-ethyl-5,8-dihydro-8-oxo-', 'MFCD00056775', 'NSC110364', 'Oxolinic acid, 98%', 'NCGC00015762-06', 'AK117020', 'Acido ossolico', 'CAS-14698-29-4', 'DSSTox_CID_1089', 'DSSTox_RID_75935', 'DSSTox_GSID_21089', 'W-108119', '5-Ethyl-5,8-dihydro-8-oxo-1,3-dioxolo[4,5-g]quinoline-7-carboxylic acid', '5-ethyl-8-oxo-5-hydro-2H-1,3-dioxoleno[4,5-g]quinoline-7-carboxylic acid', 'SR-01000076042', 'Inoxyl', 'Oxolinic acid [USAN:BAN:INN]', 'Oxolinic acid [USAN:INN:BAN]', 'Aqualinic (TN)', 'quinolone antibiotic', 'Prestwick_629', 'Spectrum_001397', 'Prestwick0_000193', 'Prestwick1_000193', 'Prestwick2_000193', 'Prestwick3_000193', 'Spectrum2_000933', 'Spectrum3_001490', 'Spectrum4_000073', 'Spectrum5_001176', 'Lopac-O-0877', 'Oxolinic acid (USAN/INN)', 'Lopac0_000952', 'Oprea1_169598', 'SCHEMBL24445', 'BSPBio_000145', 'BSPBio_003079', 'KBioGR_000625', 'KBioSS_001877', 'MLS000028501', 'DivK1c_000659', 'SPECTRUM1502030', 'SPBio_000866', 'SPBio_002066', 'BPBio1_000161', 'CHEMBL416755', 'ZINC1875', 'DTXSID1021089', 'HMS502A21', 'KBio1_000659', 'KBio2_001877', 'KBio2_004445', 'KBio2_007013', 'KBio3_002579', 'KS-00000GUT', 'AOB5349', 'NINDS_000659', 'HMS1568H07', 'HMS1921F12', 'HMS2092P09', 'HMS2095H07', 'HMS3262P06', 'HMS3712H07', 'Oxolinic acid, analytical standard', 'Pharmakon1600-01502030', 'Oxolinic acid, quinolone antibiotic', 'ACT03284', 'HY-B1002', 'Tox21_110216', 'Tox21_202787', 'Tox21_500952', 'BBL009934', 'BN0853', 'CCG-39666', 'GA2313', 'NSC758177', 's4537', 'SBB012469', 'STK801351', '5,8-Dihydro-5-ethyl-8-oxo-1,3-dioxolo[4,5-g]quinoline-7-carboxylic acid', 'AKOS000282622', 'Tox21_110216_1', 'API0003716', 'CS-4499', 'DB13627', 'LP00952', 'LS-7635', 'MCULE-2131347036', 'NSC-758177', 'SDCCGSBI-0050926.P004', 'IDI1_000659', 'NCGC00015762-01', 'NCGC00015762-02', 'NCGC00015762-03', 'NCGC00015762-04', 'NCGC00015762-05', 'NCGC00015762-07', 'NCGC00015762-08', 'NCGC00015762-09', 'NCGC00015762-10', 'NCGC00015762-11', 'NCGC00015762-13', 'NCGC00093361-02', 'NCGC00093361-03', 'NCGC00093361-04', 'NCGC00093361-05', 'NCGC00260333-01', 'NCGC00261637-01', 'AS-12087', 'CC-33419', 'SMR000058314', 'ST067125', 'SY066716', 'SBI-0050926.P003', 'AX8014601', 'DB-042865', 'EU-0100952', 'FT-0637128', 'NS00010598', 'T7411', 'VU0243182-3', 'C11342', 'D02301', 'O 0877', 'WLN: T C566 DO FO JN MV EHJ J2 LVQ', '698O294', 'C-16314', 'Q287840', 'SR-01000076042-1', 'SR-01000076042-4', 'SR-01000076042-6', 'BRD-K73394555-001-08-6', '5-Ethyl-5,3-dioxolo[4,5-g]quinoline-7-carboxylic acid', 'F3351-0487', '1-Ethyl-1,7-methylenedioxy-4-oxo-3-quinolinecarboxylic acid', 'Oxolinic acid, European Pharmacopoeia (EP) Reference Standard', '1,5-g]quinoline-7-carboxylic acid, 5-ethyl-5,8-dihydro-8-oxo-', '1.4-Dihydro-1-ethyl-6,7-methylenedioxy-4-oxoquinoline-3-carboxylic acid', '5-Ethy1-5,8-dihydro-8-oxo-1,3-dioxolo[4,5]quinoline-7-carboxylic acid', '5-ETHYL-8-OXO-2H,5H,8H-[1,3]DIOXOLO[4,5-G]QUINOLINE-7-CARBOXYLIC ACID', '5-Ethyl-8-oxo-5,8-dihydro[1,3]dioxolo[4,5-g]quinoline-7-carboxylic acid #', 'W-4565; 5,8-Dihydro-5-ethyl-8-oxo-1,3-dioxolo[4,5-g]quinoline-7-carboxylic acid', 'oxolinic acid;Acide oxolinique;Sodium 5-ethyl-5,8-dihydro-8-oxo-1,3-dioxolo[4,5-g]quinoline-7-carboxylate;sodium 5-ethyl-5,8-dihydro-8-oxo-1,3-dioxolo[4,5-g]quinoline-7-carboxylate']</t>
  </si>
  <si>
    <t>Compound(4628)</t>
  </si>
  <si>
    <t>C13H11NO5</t>
  </si>
  <si>
    <t>osmium-185</t>
  </si>
  <si>
    <t>['15766-50-4', 'Osmium-185', 'Osmium, isotope of mass 185', '185Os', '(~185~Os)Osmium', 'DTXSID30935770']</t>
  </si>
  <si>
    <t>Compound(167423)</t>
  </si>
  <si>
    <t>tetraoxoosmium</t>
  </si>
  <si>
    <t>['OSMIUM TETROXIDE', 'Osmium tetraoxide', 'Osmic acid', '20816-12-0', 'Perosmic oxide', 'Osmic acid anhydride', 'tetraoxoosmium', 'Osmium(VIII) oxide', 'OsO4', 'Perosmic acid anhydride', 'Osmium oxide, (T-4)-', 'Osmium oxide (OsO4), (T-4)-', 'Osmium(VIII)oxide', 'MFCD00011150', 'RCRA waste no. P087', 'RCRA waste number P087', 'UNII-P40W033BGM', 'Perosmic Acid', 'HSDB 719', 'P40W033BGM', 'Osmium oxide (OsO4) (T-4)-', 'EINECS 244-058-7', 'Osmium oxide (OsO4), (beta-4)-', 'UN2471', 'Osmiumtetroxide', 'Osmium tetroxide, 4 wt.% solution in water', 'Osmium tetroxide, 99.9+%, (trace metal basis)', 'OSMIUM (VIII) OXIDE', 'osmiumtetroxid', 'osmiumtetraoxide', 'Osmium tetroxide, 2.5 wt.% solution in tert-Butanol, stabilized', 'Osmium tetra oxide', 'osmium(VIII)tetraoxide', 'Osmium tetroxide on poly(4-vinylpyridine)', 'Osmium(VIII)-tetroxide', 'osmium (VIII) tetraoxide', 'ACMC-209a7a', 'Osmium oxide OsO4 (T-4)', 'ARONIS24161', 'DTXSID5042245', 'CHEBI:88215', 'Osmium tetroxide, Sealed ampule.', 'OSMIUM TETROXIDE, SOLUTION', 'ANW-17492', 'Osmium tetroxide, puriss., 99.9%', 'SBB080660', 'AKOS005267110', 'Osmium tetroxide [UN2471] [Poison]', 'Osmium tetroxide [UN2471]  [Poison]', 'LS-98518', 'Osmium tetroxide, ACS reagent, &gt;=98.0%', 'Osmium tetroxide, ReagentPlus(R), 99.8%', 'BB 0260713', 'Osmium tetroxide solution, 4 wt. % in H2O', 'Q422021', 'J-013644', 'Osmium tetroxide solution, 2.5 wt. % in tert-butanol', 'Os EnCat(R) 40, extent of labeling: 0.3 mmol/g Os loading', 'Osmium tetroxide solution, for electron microscopy, 2% in H2O', 'Osmium tetroxide solution, for electron microscopy, 4% in H2O', 'Osmium tetroxide, 2.5 wt.% sol. in tert-Butanol, stab., AcroSeal(R)']</t>
  </si>
  <si>
    <t>Compound(30318)</t>
  </si>
  <si>
    <t>O4Os</t>
  </si>
  <si>
    <t>oxychlordane</t>
  </si>
  <si>
    <t>1,5,6,8,9,10,11,11-octachloro-4-oxatetracyclo[6.2.1.02,7.03,5]undec-9-ene</t>
  </si>
  <si>
    <t>['Oxychlordan', 'Octachlor epoxide', 'OXYCHLORDANE', '4,7-Methanoindan, 1,2,4,5,6,7,8,8-octachloro-2,3-epoxy-3a,4,7,7a-tetrahydro-, exo,endo-', '27304-13-8', 'HSDB 6771', 'BRN 5596903', '(+/-)-Oxychlordane', 'AI3-25603', '4,7-Methanoindan, 3a,4,7,7a-tetrahydro-2,3-epoxy-1,2,4,5,6,7,8,8-octachloro-, exo,endo-', '1-exo,2-endo,4,5,6,7,8,8-Octachloro-2,3-exo-epoxy-2,3,3a,4,7,7a-hexahydro-4,7-methanoindene', 'ENT 25603', 'SCHEMBL755592', '2,5-Methano-2H-indeno(1,2-b)oxirene, 2,3,4,5,6,6a,7,7-octachloro-1a,1b,5,5a,6,6a-hexahydro-', '2,5-Methano-2H-indeno[1,2-b]oxirene, 2,3,4,5,6,6a,7,7-octachloro-1a,1b,5,5a,6,6a-hexahydro-, (1aR,1bS,2R,5S,5aR,6S,6aS)-rel-', '2,5-Methano-2H-indeno[1,2-b]oxirene, 2,3,4,5,6,6a,7,7-octachloro-1a,1b,5,5a,6,6a-hexahydro-, (1a.alpha.,1b.beta.,2.alpha.,5.alpha.,5a.beta.,6.beta.,6a.alpha.)-', '26940-75-0', '3,6-Methano-2H-indenol(1,2-b)oxirene, 1a,2,3,4,5,6,7,7-octachloro-1a,2a,3,6,6a,6b-hexahydro-', 'LS-90932', 'DB-047196', 'FT-0630531', 'NS00002213', 'oxychlordane;(+/-)-Oxychlordane;Oxychlordane', '1,2,4,5,6,7,8,8-Octachloro-2,3-epoxy-3a,4,7,7a-tetrahydro-4,7-Methanoindan', '1,2,4,5,6,7,8,8-Octachloro-2,3-epoxy-3a,4,7,7a-tetrahydro-exo,endo-4,7-Methanoindan', '4,7-Methanoindan, 1,2,4,5,6,7,8,8-octachloro-2,3-epoxy-3a,4,7,7a-tetrahydro-', '26880-48-8']</t>
  </si>
  <si>
    <t>Compound(33772)</t>
  </si>
  <si>
    <t>C10H4Cl8O</t>
  </si>
  <si>
    <t>2-chloro-1-(3-ethoxy-4-nitrophenoxy)-4-(trifluoromethyl)benzene</t>
  </si>
  <si>
    <t>['Oxyfluorfen', '42874-03-3', 'Oxyfluorofen', '2-Chloro-1-(3-ethoxy-4-nitrophenoxy)-4-(trifluoromethyl)benzene', 'Oxyfluorfene', 'Galigan', 'Koltar', 'Oxygold', 'Goal', 'Goldate', 'Zoomer', 'Hada F', 'Boxer (Obs.)', 'Caswell No. 188AAA', 'Oxyfluorfene [ISO-French]', 'Benzene, 2-chloro-1-(3-ethoxy-4-nitrophenoxy)-4-(trifluoromethyl)-', 'RH-2915', 'Oxyfluorfen [ANSI:BSI:ISO]', 'UNII-46GY4Y6567', 'EINECS 255-983-0', 'EPA Pesticide Chemical Code 111601', 'BRN 2065259', '2-Chloro-1-(3-ethoxy-4-nitrophenoxy)-4-trifluoromethylbenzene', 'CHEBI:82029', '46GY4Y6567', 'DSSTox_CID_4241', '2-Chloro-alpha,alpha,alpha-trifluoro-p-tolyl-3-ethoxy-4-nitrophenyl ether', 'DSSTox_RID_77337', 'DSSTox_GSID_24241', '2-chloranyl-1-(3-ethoxy-4-nitro-phenoxy)-4-(trifluoromethyl)benzene', 'Ether, 2-chloro-alpha,alpha,alpha-trifluoro-p-tolyl 3-ethoxy-4-nitrophenyl', 'Ether, 2-chloro-.alpha.,.alpha.,.alpha.-trifluoro-p-tolyl 3-ethoxy-4-nitrophenyl', 'CAS-42874-03-3', 'HSDB 7507', 'SCHEMBL39004', 'Oxyfluorfen, analytical standard', 'CHEMBL1871400', 'DTXSID7024241', 'CTK8E3837', 'ZINC2006235', 'Tox21_201448', 'Tox21_300827', 'AC-674', 'AKOS015915231', 'Benzene, 2-chloro-1-(3-ethoxy-4-nitrophenoxy)-4-(trifluoromethyl)- (9CI)', 'API0003720', 'Oxyfluorfen 100 microg/mL in Methanol', 'RH 2915', 'ACM42874033', 'NCGC00168327-01', 'NCGC00168327-02', 'NCGC00168327-03', 'NCGC00254731-01', 'NCGC00258999-01', 'Oxyfluorfen 10 microg/mL in Cyclohexane', 'AK326117', 'CC-33430', 'LS-67802', 'M793', 'DB-050982', 'HY-119176', 'CS-0069387', 'FT-0630628', 'NS00000559', 'C18881', 'Oxyfluorfen, PESTANAL(R), analytical standard', '874O033', 'A826045', 'C-20925', 'Q2338639', '2-chloro-4-trifluoromethylphenyl 3-ethoxy-4-nitrophenyl ether', '2-chloro-1-(3-ethoxy-4-nitrophenoxy)-4-(trifiuoromethyl)benzene', '2-Chloro-.alpha.,.alpha.,.alpha.-trifluoro-p-tolyl-3-ethoxy-4-nitrophenyl ether', 'oxyfluorfen;2-chloro-1-(3-ethoxy-4-nitrophenoxy)-4-(trifluoromethyl)benzene;oxyfluorofen']</t>
  </si>
  <si>
    <t>Compound(39327)</t>
  </si>
  <si>
    <t>C15H11ClF3NO4</t>
  </si>
  <si>
    <t>(4S,4aR,5S,5aR,6S,12aR)-4-(dimethylamino)-1,5,6,10,11,12a-hexahydroxy-6-methyl-3,12-dioxo-4,4a,5,5a-tetrahydrotetracene-2-carboxamide;hydrochloride</t>
  </si>
  <si>
    <t>['OXYTETRACYCLINE HYDROCHLORIDE', 'Oxytetracycline HCl', '2058-46-0', 'Biosolvomycin', 'Engemycin', 'Oxamycen', 'Terramycin hydrochloride', 'Bisolvomycin', 'Dalimycin', 'Unimycin', 'Liquamycin injectable', 'Hydrocyclin', 'Chrysocin', 'Elinton', 'Intaloxin', 'Liquachel', 'Macodyn', 'Otetryn', 'Oxlopar', 'Oxyject', 'Oxytetral', 'Oxytetrin', 'Oxytracyl', 'Terraject', 'Toxinal', 'Biotet', 'Oxytet', 'Oxyvet', 'Oxy-Dumocyclin', 'Tetra-Tablinen', 'Oxy-Terachel', 'Bi Steclin', 'Ia-Loxin', 'Oxy-Rivo', 'Uri-Tet', 'Oxytetracycline.HCl', 'Tetran hydrochloride', 'Berkmycen', 'Imperacin', 'Mepatar', 'Oxacycline', 'Oxymykoin', 'Oxysteclin', 'Stecsolin', 'Stevacin', 'Vendarcin', 'Oxy WS', 'Oxydon', 'Oxyject 100', 'Alamycin', 'Dalinmycin', 'Caswell No. 628', 'Oxy-Kesso-tetra', 'Oxy-Tet 50', 'Tetracycline, 5-oxy-', 'OXY-WS', 'Oxy-DE 250', 'Hydroxytetrazyklinhydrochlorid', 'UNII-4U7K4N52ZM', 'Aquacycline', 'Oxybiocycline', 'Oxytetracyclini hydrochloridum', 'Abbocin', 'Oxatets', 'Oxycycline', '5-Hydroxytetracycline monohydrochloride', 'CCRIS 200', 'TM 5 (VAN)', 'EINECS 218-161-2', '5-Hydroxytetracycline hydrochloride', 'EPA Pesticide Chemical Code 006308', 'TM 5', 'component of Terramycin Topical Ointment', 'C22H24N2O9.HCl', 'AI3-50164', 'Oxytetracycline (hydrochloride)', '4U7K4N52ZM', 'NSC 9169', 'Oxytetracycline hydrochloride (internal use)', 'CHEBI:31953', 'NCGC00091268-01', 'Terramycin (TN)', 'DSSTox_CID_1097', 'DSSTox_RID_75939', 'DSSTox_GSID_21097', '(4S,4aR,5S,5aR,6S,12aS)-4-(dimethylamino)-3,5,6,10,12,12a-hexahydroxy-6-methyl-1,11-dioxo-1,4,4a,5,5a,6,11,12a-octahydrotetracene-2-carboxamide hydrochloride', '2-Naphthacenecarboxamide, 4-(dimethylamino)-1,4,4a,5,5a,6,11,12a-octahydro-3,5,6,10,12,12a-hexahydroxy-6-methyl-1,11-dioxo-, monohydrochloride, (4S,4aR,5S,5aR,6S,12aS)-', '2-Naphthacenecarboxamide, 4-(dimethylamino)-1,4,4a,5,5a,6,11,12a-octahydro-3,5,6,10,12,12a-hexahydroxy-6-methyl-1,11-dioxo-, monohydrochloride, (4S-(4alpha,4aalpha,5alpha,5aalpha,6beta,12aalpha))-', '4-(Dimethylamino)-1,4,4a,5,5a,6,11,12a-octahydro-3,5,6,10,12,12a-hexahydroxy-6-methyl-1,11-dioxo-2-naphthacenecarboxamide monohydrochloride', 'Oxatet', '(4S,5S,6S,12aS,4aR,5aR)-4-(dimethylamino)-3,5,6,10,12,12a-hexahydroxy-6-methyl -1,11-dioxo-4,5,6,12a,4a,5a-hexahydronaphthacene-2-carboxamide, chloride', 'CAS-2058-46-0', 'bisolvomyci n', 'Neo-oxy 100/100 MR', '(4S,4aR,5S,5aR,6S,12aS)-4-(dimethylamino)-3,5,6,10,12,12a-hexahydroxy-6-methyl-1,11-dioxo-4,4a,5,5a-tetrahydrotetracene-2-carboxamide;hydrochloride', '2-Naphthacenecarboxamide, 4-(dimethylamino)-1,4,4a,5,5a,6,11,12a-octahydro-3,5,6,10,12,12a-hexahydroxy-6-methyl-1,11-dioxo-, monohydrochloride, [4S-(4alpha,4aalpha,5alpha,5aalpha,6beta,12aalpha)]-', 'Oxytetracycline hydrochloride [USP:JAN]', 'Oxytetracycline hydrochloride [USAN:JAN]', 'SCHEMBL124996', 'SPECTRUM1500457', 'Oxytetracycline Monohydrochloride', 'CHEMBL1607480', 'DTXSID5021097', 'HY-B0275A', 'HMS1920F04', 'Pharmakon1600-01500457', 'Hydroxytetracycline monohydrochloride', 'Tox21_111109', 'Tox21_201850', 'Tox21_300601', 'CCG-40206', 'LS-993', 'NSC757262', 'AKOS015950811', 'MCULE-3329146897', 'NC00526', 'NSC-757262', 'NCGC00164443-01', 'NCGC00254367-01', 'NCGC00259399-01', '2-Naphthacenecarboxamide, 4-(dimethylamino)-1,4,4a,5,5a,6,11,12a-octahydro-3,5,6,10,12,12a-hexahydroxy-6-methyl-1,11-dioxo-, monohydrochloride', 'AC-11614', 'Oxytetracycline hydrochloride (JP17/USP)', 'ST067106', 'AB0011435', 'CS-0013151', 'O0475', 'OTC', 'C13055', 'D01596', 'C-22923', 'Q27114732', 'Oxytetracycline hydrochloride, &gt;=95% (HPLC), crystalline', 'Oxytetracycline hydrochloride, can be used as secondary standard', 'Oxytetracycline hydrochloride, can be used as secondary  standard', "Oxytetracycline hydrochloride, can be used as secondary standard'", 'Oxytetracycline hydrochloride, VETRANAL(TM), analytical standard', 'Oxytetracycline hydrochloride, European Pharmacopoeia (EP) Reference Standard', 'Oxytetracycline hydrochloride, United States Pharmacopeia (USP) Reference Standard', '(4S,5R,6S,12aS)-4-(dimethylamino)-3,5,6,10,12,12a-hexahydroxy-6-methyl-1,11-dioxo-1,4,4a,5,5a,6,11,12a-octahydrotetracene-2-carboxamide hydrochloride', '4- (dimethylamino)-1,4,4a,5,5a,6,11,12a-octahydro-3,5,6,10,12,12a-hexahydroxy-6-methyl-1,11-dioxo-2-naphthacenecarboxamide monohydrochloride', 'Naphthacenecarboxamide, 4-(dimethylamino)-1,4,4a,5,5a,6,11,12a-octahydro-3,5,6,10,12,12a-he xahydroxy-6-methyl-1,11-dioxo-, monohydrochloride, (4S-(4alpha,4aalpha,5alpha,5aalpha,6beta,12aalpha))-', 'Naphthacenecarboxamide, 4-(dimethylamino)-1,4,4a,5,5a,6,11,12a-octahydro-3,5,6,10,12,12a-hexahydroxy-6-methyl-1,11-dioxo-, monohydrochloride, (4S-(4alpha,4aalpha,5alpha,5aalpha,6beta,12aalpha))-', 'Oxytetracycline Hydrochloride, Pharmaceutical Secondary Standard; Certified Reference Material']</t>
  </si>
  <si>
    <t>Compound(54680782)</t>
  </si>
  <si>
    <t>C22H25ClN2O9</t>
  </si>
  <si>
    <t>(4S,4aR,5S,5aR,6S,12aR)-4-(dimethylamino)-1,5,6,10,11,12a-hexahydroxy-6-methyl-3,12-dioxo-4,4a,5,5a-tetrahydrotetracene-2-carboxamide;dihydrate</t>
  </si>
  <si>
    <t>['Oxytetracycline dihydrate', '6153-64-6', 'OXTC', 'Oxytetracyclini dihydras', 'Hydroxytetrazyklindihydrat', 'Oxytetracyclinium dihydricum', 'UNII-X20I9EN955', 'CCRIS 9079', 'Oxytetracycline (dihydrate)', 'X20I9EN955', '(4S,4aR,5S,5aR,6S,12aS)-4-(dimethylamino)-3,5,6,10,12,12a-hexahydroxy-6-methyl-1,11-dioxo-1,4,4a,5,5a,6,11,12a-octahydrotetracene-2-carboxamide dihydrate', 'Terramycin (TN)', 'Oxytetracycline base', 'DSSTox_CID_3412', 'DSSTox_RID_77015', 'DSSTox_GSID_23412', '4-(Dimethylamino)-1,4,4a,5,5a,6,11,12a-octahydro-3,5,6,10,12,12a-hexahydroxy-6-methyl-1,11-dioxo-2-naphthacenecarboxamide dihydrate', 'Oxytetracycline dihydrate, 95%', '2-Naphthacenecarboxamide, 4-(dimethylamino)-1,4,4a,5,5a,6,11,12a-octahydro-3,5,6,10,12,12a-hexahydroxy-6-methyl-1,11-dioxo-, (4S-(4alpha,4aalpha,5alpha,5aalpha,6beta,12aalpha))-, dihydrate', '2-Naphthacenecarboxamide,4-(dimethylamino)-1,4,4a,5,5a,6,11,12a-octahydro-3,5,6,10,12,12a-hexahydroxy-6-methyl-1,11-dioxo-, dihydrate, (4S,4aR,5S,5aR,6S,12aS)-', 'C22H24N2O9', '79-57-2 (ANHYDROUS)', 'Neo-oxy 50/50', 'SR-01000003006', 'C22H24N2O9.2H2O', '(4S,4aR,5S,5aR,6S,12aS)-4-(dimethylamino)-3,5,6,10,12,12a-hexahydroxy-6-methyl-1,11-dioxo-4,4a,5,5a-tetrahydrotetracene-2-carboxamide;dihydrate', 'Prestwick_630', 'CAS-6153-64-6', 'MFCD00151234', 'Oxytetracycline [USP:INN:BAN:JAN]', 'Oxytetracycline [USAN:INN:BAN:JAN]', 'Oxytetracycline hydrate', 'OTC', 'SCHEMBL2898', 'CHEMBL1892210', 'DTXSID4023412', 'HY-B0275B', 'Oxytetracycline (JAN/USP/INN)', 'HMS1568N16', 'HMS2095N16', 'HMS3712N16', 'Tox21_111711', 'Tox21_300679', 's2052', 'AKOS025310865', 'API0009032', 'CCG-220307', 'NCGC00091268-03', 'NCGC00254587-01', '2-Naphthacenecarboxamide, 4-(dimethylamino)-1,4,4a,5,5a,6,11,12a-octahydro-3,5,6,10,12,12a-hexahydroxy-6-methyl-1,11-dioxo-, dihydrate, (4S,4aR,5S,5aR,6S,12aS)-', 'AS-75285', 'Q412', 'LS-176184', 'CS-0013155', 'D00205', '112702-EP2280007A1', '112702-EP2295437A1', '112702-EP2298775A1', 'SR-01000003006-6', '(4S,4aR,5S,5aR,6S,12aS,Z)-2-(amino(hydroxy)methylene)-4-(dimethylamino)-5,6,10,11,12a-pentahydroxy-6-methyl-4a,5a,6,12a-tetrahydrotetracene-1,3,12(2H,4H,5H)-trione dihydrate']</t>
  </si>
  <si>
    <t>Compound(54680691)</t>
  </si>
  <si>
    <t>C22H28N2O11</t>
  </si>
  <si>
    <t>6-methyl-4,4-dioxo-N-phenyl-2,3-dihydro-1,4-oxathiine-5-carboxamide</t>
  </si>
  <si>
    <t>['OXYCARBOXIN', 'Oxycarboxine', 'Dcmod', 'Oxicarboxin', 'Plantvax', 'Vitavax sulfone', '5259-88-1', 'Carboxin sulfone', 'Plant wax', 'F 461 (Pesticide)', 'Plantvax 20', 'Caswell No. 627A', 'Vitavex', 'UNII-NPU5GBN17X', 'Oxycarboxine [ISO-French]', 'F 461', 'Dioxide of vitavax', 'Oxycarboxin [ANSI:BSI:ISO]', 'F461', 'HSDB 1747', '1,4-Oxathiin-3-carboxamide, 5,6-dihydro-2-methyl-N-phenyl-, 4,4-dioxide', 'F 461 (VAN)', 'EINECS 226-066-2', 'NPU5GBN17X', 'EPA Pesticide Chemical Code 090202', 'NSC 232673', 'BRN 1432554', '5,6-Dihydro-2-methyl-N-phenyl-1,4-oxathiin-3-carboxamide 4,4-dioxide', 'CHEBI:7858', '5,6-Dihydro-2-methyl-1,4-oxathiin-3-carboxanilide 4,4-dioxide', '1,4-Oxathiin, 2,3-dihydro-5-carboxanilido-6-methyl-, 4,4-dioxide', '1,4-Oxathiin-3-carboxanilide, 5,6-dihydro-2-methyl-, 4,4-dioxide', '6-methyl-4,4-dioxo-N-phenyl-2,3-dihydro-1,4-oxathiine-5-carboxamide', '5,6-Dihydro-2-methyl-3-carboxanilido-1,4-oxathiin-4,4-dioxid', '2,3-Dihydro-5-carboxanilido-6-methyl-1,4-oxathiin, 4,4-dioxide', '2,3-Dihydro-6-methyl-5-phenylcarbamoyl-1,4-oxathiin 4,4-dioxide', '5,6-Dihydro-2-methyl-1,4-oxathi-ine-3-carboxanilide 4,4-dioxide', '5,6-Dihydro-2-methyl-3-carboxanilido-1,4-oxathiin-4,4-dioxid [German]', 'Methyl-6 phenylcarbamoyl-5 dihydro-2,3 oxathiine-1,4-dioxyde-4,4 [French]', 'Dihydro-2-methyl-1,4-oxathiin-3-carboxanilide 4,4-dioxide', 'Rendor', 'Oxykisvax', '(6-methyl-4,4-dioxo(2,3-dihydro-1,4-oxathiin-5-yl))-N-benzamide', 'Carboxin-Oxy', 'Carboxin sulfone M0', 'DCMOO', 'Maybridge1_000120', 'Plantvax 75 (Salt/Mix)', 'MixCom1_000230', 'DSSTox_CID_14792', 'DSSTox_RID_79203', 'DSSTox_GSID_34792', 'SCHEMBL18897', '2,4-oxathiin 4,4-dioxide', 'MLS000859552', 'CHEMBL1712057', 'DTXSID8034792', 'HMS2794D17', 'ZINC129184', 'DNDI1729592', 'Tox21_301331', 'WLN: T6O DSW BUTJ B1 CVMR', 'Methyl-6 phenylcarbamoyl-5 dihydro-2,3 oxathiine-1,4-dioxyde-4,4', 'NSC232673', 'SBB057022', 'AKOS015903489', 'CCG-249571', 'MCULE-8801750656', 'NSC-232673', 'NSC 2322673', 'NCGC00163731-01', 'NCGC00255599-01', 'LS-99692', 'SMR000461329', 'CAS-5259-88-1', '5,4-oxathiin-3-carboxanilide 4,4-dioxide', '1, 5,6-dihydro-2-methyl-, 4,4-dioxide', 'NS00003349', 'ST50994005', 'C10956', 'Oxycarboxine, PESTANAL(R), analytical standard', '1, 5,6-dihydro-2-methyl-N-phenyl-, 4,4-dioxide', 'Q15965116', '1, 2,3-dihydro-5-carboxanilido-6-methyl-, 4,4-dioxide', 'Oxathiin-3-carboxanilide, 5,6-dihydro-2-methyl-, 4,4-dioxide', '2,3-Dihydro-5-carboxanilido-6-methyl-1,4-oxathiin 4,4-dioxide', '2-methyl-4,4-dioxo-N-phenyl-5,6-dihydro-1,4-oxathiine-3-carboxamide', '2-Methyl-N-phenyl-5,6-dihydro-1,4-oxathiine-3-carboxamide 4,4-dioxide', '2-Methyl-N-phenyl-5,6-dihydro-1,4-oxathiine-3-carboxamide 4,4-dioxide #', 'Oxathiin-3-carboxamide, 5,6-dihydro-2-methyl-N-phenyl-, 4,4-dioxide', '1,4-Oxathiin-3-carboxamide, 5,6-dihydro-2-methyl-N-phenyl-, 4,4-dioxide (9CI)', 'N5-phenyl-6-methyl-4,4-dioxo-3,4-dihydro-2H-1,4lambda~6~-oxathiine-5-carboxamide']</t>
  </si>
  <si>
    <t>Compound(21330)</t>
  </si>
  <si>
    <t>C12H13NO4S</t>
  </si>
  <si>
    <t>2,3,5-trichloro-N-(3,5-dichloro-2-hydroxyphenyl)-6-hydroxybenzamide</t>
  </si>
  <si>
    <t>['Oxyclozanide', '2277-92-1', 'Oxiclozanidum', 'Oxyclozanid', 'Zanil', 'Zanilox', 'Diplin', '2,3,5-Trichloro-N-(3,5-dichloro-2-hydroxyphenyl)-6-hydroxybenzamide', 'Oxyclozanide [INN:BAN]', 'Oxyclozanidum [INN-Latin]', 'Oxiclozanida [INN-Spanish]', 'C13H6Cl5NO3', 'UNII-1QS9G4876X', 'CCRIS 5744', 'EINECS 218-904-0', 'ICI 46638', "3,3',5,5',6-Pentachloro-2'-hydroxysalicylanilide", 'BRN 2014120', '1QS9G4876X', 'Benzamide, 2,3,5-trichloro-N-(3,5-dichloro-2-hydroxyphenyl)-6-hydroxy-', "2,2'-Dihydroxy-3,3',5,5',6-pentachlorobenzanilide", "3,3',5,5',6-Pentachloro-2,2'-dihydroxybenzanilide", "3,5,6,3',5'-Pentachloro-2,2'-dihydroxybenzanilide", "Salicylanilide, 3,3',5,5',6-pentachloro-2'-hydroxy-", "Benzanilide, 2,2'-dihydroxy-3,3',5,5',6-pentachloro-", 'Oxiclozanida', 'Oxyclozanidum', 'Oxyclozanide (INN)', 'Oxyclozanide, 98%', 'Zanil [veterinay] (TN)', 'MLS006010020', 'SCHEMBL166224', 'CHEMBL2105450', 'DTXSID50177312', 'ZINC2038733', 'ICI 46683', 'ICI-46683', 's5017', 'AKOS015889853', 'API0000040', 'CCG-268664', 'CS-3973', 'AS-12188', 'CC-33427', 'HY-17594', 'LS-27644', 'SMR004701204', 'AK00500084', 'FT-0603601', 'NS00017230', 'A16979', 'D08320', 'Oxyclozanide, VETRANAL(TM), analytical standard', '277O921', 'A816351', 'C-21739', 'SR-01000944913', 'J-014851', 'Q7115903', 'SR-01000944913-1', 'Benzamide, 2,3,5-trichloro-N-(3,5-dichloro-2-hydroxyphenyl)-6-hydroxy- (9CI)', 'N-[3,5-bis(chloranyl)-2-oxidanyl-phenyl]-2,3,5-tris(chloranyl)-6-oxidanyl-benzamide']</t>
  </si>
  <si>
    <t>Compound(16779)</t>
  </si>
  <si>
    <t>C13H6Cl5NO3</t>
  </si>
  <si>
    <t>6-tert-butyl-3-(4,5-dihydro-1H-imidazol-2-ylmethyl)-2,4-dimethylphenol</t>
  </si>
  <si>
    <t>['oxymetazoline', 'Oxymethazoline', '1491-59-4', 'Oximetazolinum', 'Oxylazine', 'Rhinofrenol', 'Hazol', 'Iliadin', 'Sinerol', 'Nafrine', 'Navisin', 'Nezeril', 'Oxymetozoline', 'Oxymetazolinum', 'Rhinolitan', 'Oxymetazoline [INN:BAN]', 'Afrin', 'Oxymetazolinum [INN-Latin]', 'Oximetazolina [INN-Spanish]', '6-t-Butyl-3-(2-imidazolin-2-ylmethyl)-2,4-dimethylphenol', '2-(4-tert-Butyl-2,6-dimethyl-3-hydroxybenzyl)-2-imidazoline', 'HSDB 3143', '6-tert-Butyl-3-(4,5-dihydro-1H-imidazol-2-ylmethyl)-2,4-dimethylphenol', 'UNII-8VLN5B44ZY', 'H 990', '6-tert-Butyl-3-(2-imidazolin-2-ylmethyl)-2,4-dimethylphenol', '3-[(4,5-Dihydro-1H-imidazol-2-yl)methyl]-6-(1,1-dimethylethyl)-2,4-dimethylphenol', 'EINECS 216-079-1', 'Phenol, 6-tert-butyl-3-(2-imidazolin-2-ylmethyl)-2,4-dimethyl-', 'BRN 0886303', '8VLN5B44ZY', 'Phenol, 3-((4,5-dihydro-1H-imidazol-2-yl)methyl)-6-(1,1-dimethylethyl)-2,4-dimethyl-', 'CHEBI:7862', 'Navasin', 'Phenol, 3-[(4,5-dihydro-1H-imidazol-2-yl)methyl]-6-(1,1-dimethylethyl)-2,4-dimethyl-', 'Vicks Sinex', 'NCGC00015766-08', 'Oximetazolina', 'oxymeta zoline', 'Phenol, 6-t-butyl-3-(2-imidazolin-2-ylmethyl)-2,4-dimethyl-', 'DSSTox_CID_20691', 'DSSTox_RID_79545', 'DSSTox_GSID_40691', 'CAS-1491-59-4', 'Operil (TN)', 'SCH-9384', 'Oxymetazoline (INN)', 'oxymetazoline hydrochloride crystalline', 'oxymetazolina', 'Oximetazolin', 'Oxymetazolin', '6-tert-butyl-3-((4,5-dihydro-1H-imidazol-2-yl)methyl)-2,4-dimethylphenol', '6-tert-Butyl-3-[(4,5-dihydro-1H-imidazol-2-yl)methyl]-2,4-dimethylphenol', 'Nasivine (Salt/Mix)', 'Spectrum_001051', 'Tocris-1142', '6-tert-butyl-3-(4,5-dihydro-1H-imidazol-2-ylmethyl)-2,4-dimethylphenol;hydrochloride', 'Prestwick0_000224', 'Prestwick1_000224', 'Prestwick2_000224', 'Prestwick3_000224', 'Spectrum2_000998', 'Spectrum3_000533', 'Spectrum4_000464', 'Spectrum5_001114', 'Lopac-O-2378', 'Biomol-NT_000161', 'CHEMBL762', 'Lopac0_000903', 'SCHEMBL24301', 'BSPBio_000267', 'BSPBio_002145', 'GTPL124', 'KBioGR_000908', 'KBioSS_001531', 'cid_66259', 'DivK1c_000567', 'SPBio_001095', 'SPBio_002188', 'BPBio1_000295', 'BPBio1_000419', 'DTXSID3040691', 'BDBM30712', 'KBio1_000567', 'KBio2_001531', 'KBio2_004099', 'KBio2_006667', 'KBio3_001645', 'ZINC57435', 'NINDS_000567', 'HMS2089G03', 'Tox21_110217', 'STK075254', '3-(4,5-dihydro-1H-imidazol-2-ylmethyl)-2,4-dimethyl-6-tert-butyl-phenol', 'AKOS007930348', 'Tox21_110217_1', 'AC-6370', 'CAS-151615', 'CCG-204985', 'DB00935', 'MCULE-8690625159', 'SDCCGSBI-0050878.P005', 'IDI1_000567', 'NCGC00015766-01', 'NCGC00015766-02', 'NCGC00015766-03', 'NCGC00015766-04', 'NCGC00015766-05', 'NCGC00015766-06', 'NCGC00015766-07', 'NCGC00015766-09', 'NCGC00015766-10', 'NCGC00015766-11', 'NCGC00015766-13', 'NCGC00015766-16', 'NCGC00022345-02', 'NCGC00022345-04', 'NCGC00022345-05', 'NCGC00022345-06', 'AK113123', 'CC-33432', 'SBI-0050878.P004', 'LS-104146', 'FT-0601532', 'H-990', 'NS00005342', 'C07363', 'D08322', 'AB00053513-12', 'AB00053513-13', 'AB00053513_14', 'AB00053513_15', 'C-16261', 'L000459', 'Q417813', 'BRD-K16195444-001-01-7', 'BRD-K16195444-003-16-1', '6-tert-butyl-3-(2-imidazolin-2-ylmethyl)-2,4-dimethyl-phenol;hydrochloride', '6-tert-Butyl-3-(4,5-dihydro-1H-imidazol-2-ylmethyl)-2,4-dimethylphenol #', '3-(4,5-Dihydro-1H-imidazol-2-ylmethyl)-2,4-dimethyl-6-(2-methyl-2-propanyl)phenol', '6-tert-butyl-3-(4,5-dihydro-1H-imidazol-2-ylmethyl)-2,4-dimethyl-phenol;hydrochloride', 'Phenol, 6-tert-butyl-3-(2-imidazolin-2-ylmethyl)-2,4-dimethyl- (7CI,8CI)', 'Phenol,3-[(4,5-dihydro-1H-imidazol-2-yl)methyl]-6-(1,1-dimethylethyl)-2,4-dimethyl-', 'Phenol, 3-[(4,5-dihydro-1H-imidazol-2-yl)methyl]-6-(1,1-dimethylethyl)-2,4-dimethyl- (9CI)']</t>
  </si>
  <si>
    <t>Compound(4636)</t>
  </si>
  <si>
    <t>C16H24N2O</t>
  </si>
  <si>
    <t>1,7-dihydropyrazolo[3,4-d]pyrimidine-4,6-dione</t>
  </si>
  <si>
    <t>['Oxypurinol', 'Oxipurinol', '2465-59-0', 'Alloxanthine', '1H-Pyrazolo[3,4-d]pyrimidine-4,6-diol', 'Oxoallopurinol', '4,6-Dihydroxypyrazolo[3,4-d]pyrimidine', 'DHPP', '1H-Pyrazolo[3,4-d]pyrimidine-4,6(5H,7H)-dione', '1H-Pyrazolo[3,4-d]pyrimidine-4,6(2H,5H)-dione', '184764-63-4', 'Alloxanthin (VAN)', 'Ossipurinolo [DCIT]', 'BW 555', 'Oxipurinolum [INN-Latin]', 'B. W. 55-5', 'UNII-G97OZE5068', 'BW 55-5', 'Oxypurinol [USAN]', '2H-Pyrazolo[3,4-d]pyrimidine-4,6(5H,7H)-dione', 'EINECS 219-570-9', '1H,3H,9H-Alloxanthine', 'NSC 76239', 'NSC-76239', 'EPA Pesticide Chemical Code 447509', '4,6-Dihydroxypyrazolo(3,4-d)pyrimidine', '1H-Pyrazolo(3,4-d)pyrimidine-4,6-diol', 'AI3-50432', 'CHEBI:28315', 'G97OZE5068', 'Oxipurinol (INN)', 'Oxipurinol [INN]', 'Oxypurinol (USAN)', '1H-Pyrazolo(3,4-d)pyrimidine, 4,6(5H,7H)-dione', 'MFCD00056934', '187486-05-1', '187486-06-2', '1H-PYRAZOLO(3,4-D)PYRIMIDINE-4,6(5H,7H)-DIONE', '1H-Pyrazolo[3,4-d]Pyrimidin-4,6-diol', '1H-Pyrazolo(3,4-d)pyrimidine,4,6(5H,7H)-dione', '1H,4H,5H,6H,7H-pyrazolo[3,4-d]pyrimidine-4,6-dione', '4,6-Dihydroxypyrazolo[3,4-d]pyrimidine-13C,15N2', 'Ossipurinolo', 'Oxipurinolum', 'SMR000471889', '1217036-71-9', '4,6-Dihydroxypyrazolo[3,4-d]pyrimidine, 99%', 'Oxypurinol [USAN:BAN]', 'MFCD00047205', '6-Hydroxy allopurinol', '1H-Pyrazolo[3,6-diol', 'ACMC-1CEK8', 'CHEMBL859', 'DSSTox_CID_15209', 'DSSTox_RID_79249', 'DSSTox_GSID_35209', 'SCHEMBL39154', 'MLS001332657', 'MLS001332658', 'Oxypurinol, analytical standard', 'SCHEMBL1438699', 'SCHEMBL8256426', 'DTXSID4035209', 'Oxypurinol, &gt;=98% (HPLC)', 'CTK0H1289', 'CTK0H1344', 'CTK1A2367', 'CTK8A0806', 'HMS2234G23', 'HMS3373G16', 'NSC76239', '1H-Pyrazolo[3,6(5H,7H)-dione', 'Tox21_301220', 'ANW-55605', 'BDBM50423777', 'SBB081955', 'ZINC84462581', 'pyrazolo[5,4-d]pyrimidine-4,6-diol', 'AKOS002337397', 'AKOS005166855', 'AKOS022171676', 'AB02032', 'CCG-321461', 'DB05262', 'FCH2241812', 'MCULE-9305301152', '1H-Pyrazolo[3, 4,6(5H,7H)-dione', 'NCGC00247052-01', 'NCGC00255415-01', 'AK-61717', 'BP-30013', 'DS-14873', 'HY-19657', '6-Hydroxypyrazolo[3,4-d]pyrimidin-4-one', 'CAS-2465-59-0', 'AX8258753', 'DB-065490', 'LS-174068', 'CS-0016170', 'FT-0648966', 'FT-0667156', 'FT-0740012', 'NS00006655', 'ST50824307', 'Y8425', 'C07599', 'D02365', 'Z-0683', '1,2-dihydropyrazolo[4,3-e]pyrimidine-4,6-dione', '1,7-dihydropyrazolo[3,4-d]pyrimidine-4,6-dione', '5,7-dihydropyrazolo[5,4-d]pyrimidine-4,6-dione', 'Q410588', '6-hydroxy-1H-pyrazolo[3,4-d]pyrimidin-4(2H)-one', 'W-202026', '2h-pyrazolo-[3,4-d]pyrimidine-4,6-(5h,7h)-dione', '4h-pyrazolo[3,4-d]pyrimidin-4-one,1,2-dihydro-6-hydroxy-', '4,5,6,7-tetrahydro-4,6-dioxo-pyrazolo-[3,4-d]-pyrimidine', '6-Hydroxy-1,5-dihydro-4H-pyrazolo[3,4-d]pyrimidin-4-one #']</t>
  </si>
  <si>
    <t>Compound(135398752)</t>
  </si>
  <si>
    <t>C5H4N4O2</t>
  </si>
  <si>
    <t>tetraphosphorus</t>
  </si>
  <si>
    <t>phosphorus</t>
  </si>
  <si>
    <t>['12185-10-3', '27YLU75U4W', '7723-14-0', 'P', 'phosphorus', 'Red phosphorus', 'Violet phosphorus', 'White Phosphorus', 'ACMC-20ajw2', 'CTK2H7103']</t>
  </si>
  <si>
    <t>Compound(5462309)</t>
  </si>
  <si>
    <t>2,2 ' , 4,5,5'-pentabromobiphenyl</t>
  </si>
  <si>
    <t>1,2,4-tribromo-5-(2,5-dibromophenyl)benzene</t>
  </si>
  <si>
    <t>["2,2',4,5,5'-PENTABROMOBIPHENYL", '67888-96-4', 'UNII-03SL1NG15Q', "1,1'-Biphenyl, 2,2',4,5,5'-pentabromo-", '03SL1NG15Q', "2,4,5,2',5'-Pentabromo-1,1'-biphenyl", '1,2,4-tribromo-5-(2,5-dibromophenyl)benzene', "Biphenyl, 2,2',4,5,5'-pentabromo-", 'CTK5C6852', 'DTXSID50218113', 'ZINC2521608', "2,2',4',5,5'-Pentabromobiphenyl", 'LS-44509', 'PBB-No. 101 10 microg/mL in Cyclohexane', "1,1'-Biphenyl,2,2',4,5,5'-pentabromo-", "2,2',4,5,5'-Pentabromo-1,1'-biphenyl #", "PBB 101 (2,2',4,5,5'-Pentabromobiphenyl)", 'Q27247584', 'UNII-N3QG1GSV88 component OELBLPCWLAWABI-UHFFFAOYSA-N', "2,2,4,5,5-PENTABROMOBIPHENYL;1,1'-Biphenyl, 2,2',4,5,5'-pentabromo-"]</t>
  </si>
  <si>
    <t>Compound(49996)</t>
  </si>
  <si>
    <t>C12H5Br5</t>
  </si>
  <si>
    <t>4,4'-dibromobiphenyl</t>
  </si>
  <si>
    <t>1-bromo-4-(4-bromophenyl)benzene</t>
  </si>
  <si>
    <t>["4,4'-DIBROMOBIPHENYL", '92-86-4', "1,1'-Biphenyl, 4,4'-dibromo-", "p,p'-Dibromobiphenyl", "4,4'-Dibromodiphenyl", '4,4-Dibromobiphenyl', '1-bromo-4-(4-bromophenyl)benzene', 'UNII-POU26V2XT2', "4,4'-Dibromo-1,1'-biphenyl", "4',4-dibromobiphenyl", "4,4'-Dibromo-biphenyl", 'NSC-2098', "Biphenyl, 4,4'-dibromo-", 'POU26V2XT2', 'PBB-NO 15', 'PBB-15', "4,4'-Dibromobiphenyl, 99%", '4-bromo-1-(4-bromophenyl)benzene', "PBB 15 (4,4'-Dibromobiphenyl)", 'PBB 15', 'NSC2098', 'NSC 2098', 'EINECS 202-198-6', "4,4'-Dibromophenyl", 'PubChem8919', "Biphenyl,4'-dibromo-", "4, 4'-dibromobiphenyl", "4,4'-dibromo biphenyl", 'AI3-17378', "1, 4,4'-dibromo-", 'ACMC-209ri0', 'CHEMBL8166', 'SCHEMBL68094', 'PBB No. 15', 'KSC486M8B', 'ARONIS24127', "4,4'-Dibromobiphenyl, 98%", 'DTXSID1059072', 'CTK3I6680', 'KS-00000ETX', 'ZERENEX ZX-AS001261', "4,4'-Dibromobiphenyl homopolymer", 'ZINC388501', "4,4'-Dibromo-1,1'-biphenyl #", 'ACN-S002704', 'CS-D1359', '1-bromo-4-(4-bromophenyl)-benzene', "Biphenyl, 4,4'-dibromo- (8CI)", 'ANW-39910', "Biphenyl, 4,4'-dibromo-, polymers", 'CX1325', 'MFCD00000101', 'SBB080623', 'STK663245', 'AKOS001094738', 'AC-4954', 'AS01424', 'LS10221', 'MCULE-1163499945', 'AS-11941', 'BC003389', 'PBB-No. 15 10 microg/mL in Isooctane', 'SC-15559', "4,4'-Dibromobiphenyl, analytical standard", 'AB0007761', 'DB-014957', 'D1695', 'FT-0616995', 'NS00001131', 'ST45021366', 'Z-0184', 'Q-101202', 'Q27286679', 'UNII-LK7Y8OHE67 component HQJQYILBCQPYBI-UHFFFAOYSA-N', "4,4'-Dibromobiphenyl;4,4'-dibromobiphenyl;4,4-dibromobiphenyl", '1,1 inverted exclamation mark -(biphenyl,4,4 inverted exclamation mark -dibromo-']</t>
  </si>
  <si>
    <t>Compound(7110)</t>
  </si>
  <si>
    <t>C12H8Br2</t>
  </si>
  <si>
    <t>3,3 ', 4,4 ' , 5,5'-Hexabromobiphenyl</t>
  </si>
  <si>
    <t>1,2,3-tribromo-5-(3,4,5-tribromophenyl)benzene</t>
  </si>
  <si>
    <t>["3,3',4,4',5,5'-Hexabromobiphenyl", '60044-26-0', 'CCRIS 5774', 'UNII-O0S2JKE526', 'O0S2JKE526', "3,3',4,4',5,5'-Hexabromo-1,1'-biphenyl", "1,1'-Biphenyl,3,3',4,4',5,5'-hexabromo-", "1,1'-Biphenyl, 3,3',4,4',5,5'-hexabromo-", 'C12H4Br6', 'SCHEMBL7170676', 'CHEMBL4217125', 'CTK5B0890', 'DTXSID10208772', 'PBB-169', 'ZX-AT024121', 'ZINC95681896', 'AKOS030239829', 'LS-44398', "3,3',4,4',5,5'-Hexabromo-1,1'-biphenyl #", "3 , 3' , 4 , 4' , 5 , 5'-hexabromobiphenyl", 'Q27285171', 'UNII-687K2822O7 component UXOOFXUEODCAIP-UHFFFAOYSA-N']</t>
  </si>
  <si>
    <t>Compound(104942)</t>
  </si>
  <si>
    <t>2,2 ', 3,3', 4,4 ', 5,5', 6,6'-decabromobiphenyl</t>
  </si>
  <si>
    <t>1,2,3,4,5-pentabromo-6-(2,3,4,5,6-pentabromophenyl)benzene</t>
  </si>
  <si>
    <t>['DECABROMOBIPHENYL', 'Perbromobiphenyl', '13654-09-6', 'Decabromodiphenyl', "1,1'-Biphenyl, 2,2',3,3',4,4',5,5',6,6'-decabromo-", "Decabromo-1,1'-biphenyl", 'Berkflam B 10', 'Biphenyl, decabromo-', 'Flammex B 10', 'Adine 0102', 'UNII-MID95LP5LV', 'HSDB 7349', 'PBB 209', 'EINECS 237-137-2', 'MID95LP5LV', '1,2,3,4,5-pentabromo-6-(2,3,4,5,6-pentabromophenyl)benzene', "2,2',3,3',4,4',5,5',6,6'-Decabromobiphenyl", 'PBB 209 (Decabromobiphenyl)', 'decabromo-1,1-biphenyl', "Perbromo-1,1'-biphenyl", 'SCHEMBL192021', 'PBB-No. 209', 'DTXSID9065572', 'CTK4C0352', "1,1'-Biphenyl,2,2',3,3',4,4',5,5',6,6'-decabromo-", 'AKOS015903632', 'ZINC150369510', 'LS-44286', 'NS00002686', 'PBB-No. 209 10 microg/mL in Cyclohexane', '1,2,3,4,5-pentabromo-6-(pentabromophenyl)benzene', 'Q26840759', "1,1'-(biphenyl,2,2',3,3',,4',5,5',6,6'-decabromo-", "2,2',3,3',4,4',5,5',6,6'-Decabromobiphenyl;1,2,3,4,5-pentabromo-6-(pentabromophenyl)benzene;decabromo-1,1-biphenyl;Decabromo-1,1'-biphenyl"]</t>
  </si>
  <si>
    <t>Compound(26164)</t>
  </si>
  <si>
    <t>C12Br10</t>
  </si>
  <si>
    <t>2,2 ', 4,5'-tetrabromobiphenyl</t>
  </si>
  <si>
    <t>1,4-dibromo-2-(2,4-dibromophenyl)benzene</t>
  </si>
  <si>
    <t>["2,2',4,5'-TETRABROMOBIPHENYL", '60044-24-8', 'UNII-E944STM85F', 'E944STM85F', "1,1'-Biphenyl, 2,2',4,5'-tetrabromo-", "Biphenyl, 2,2',4',5-tetrabromo-", '1,4-dibromo-2-(2,4-dibromophenyl)benzene', 'PBB No. 49', "2,2'-4',5-Tetrabromobiphenyl", 'CTK5B0888', 'BB-49', 'ZINC2521645', 'AKOS028108692', "1,1'-Biphenyl,2,2',4,5'-tetrabromo-", "2,2',4,5'-Tetrabromo-1,1'-biphenyl #", "PBB 49 (2,2',4,5'-Tetrabromobiphenyl)", 'Q27277032', 'UNII-BWH63Y9C8O component LUASYBWZXWTYKK-UHFFFAOYSA-N']</t>
  </si>
  <si>
    <t>Compound(591320)</t>
  </si>
  <si>
    <t>C12H6Br4</t>
  </si>
  <si>
    <t>2,2 ', 4,4'-tetrabromobiphenyl</t>
  </si>
  <si>
    <t>1,4-dibromo-2-(2,5-dibromophenyl)benzene</t>
  </si>
  <si>
    <t>["2,2',5,5'-Tetrabromobiphenyl", '59080-37-4', 'UNII-Y2L95447R5', "1,1'-biphenyl, 2,2',5,5'-tetrabromo-", 'Y2L95447R5', '1,4-dibromo-2-(2,5-dibromophenyl)benzene', "PBB 52 (2,2',5,5'-Tetrabromobiphenyl)", 'PBB-No. 52', "2,2'-5,5'-Tetrabromobiphenyl", 'CTK5A9393', 'DTXSID201009900', 'ZINC2521646', 'AKOS028108693', "2,2',5,5'-Tetrabromo-1,1'-biphenyl", "1,1'-Biphenyl,2,2',5,5'-tetrabromo-", "1,1-Biphenyl, 2,2',5,5'-tetrabromo-", 'PBB-No. 52 10 microg/mL in Acetonitrile', "2,2',5,5'-Tetrabromo-1,1'-biphenyl #", 'Q27294179', 'UNII-BWH63Y9C8O component XEFMFJLRXHQLEM-UHFFFAOYSA-N']</t>
  </si>
  <si>
    <t>Compound(591322)</t>
  </si>
  <si>
    <t>2,2 ', 4,4', 6-pentabromodiphenyl ether</t>
  </si>
  <si>
    <t>1,3,5-tribromo-2-(2,4-dibromophenoxy)benzene</t>
  </si>
  <si>
    <t>['BDE-100', "2,2',4,4',6-pentabromodiphenyl ether", '1,3,5-Tribromo-2-(2,4-dibromophenoxy)benzene', 'PBDE 100', '189084-64-8', 'BDE 100', 'UNII-YW2W2K0A6U', 'pentabrominated diphenyl ether 100', 'YW2W2K0A6U', "2,2',4,4',6-brominated diphenyl ether", '2,4-Dibromophenyl 2,4,6-Tribromophenyl Ether', 'BDE No 100 solution', 'PBDE-100', '4C8', 'Benzene, 1,3,5-tribromo-2-(2,4-dibromophenoxy)-', 'PBDE100', 'BDE100', 'DTXSID4052689', 'SCHEMBL14938506', 'CHEBI:138065', "2,2',4,4',6-PentaBDE", 'ZINC95619687', '2,2,4,4,6-Pentabromodiphenyl ether', 'ACM189084648', 'NS00001129', "2,2',4,4',6-Penta-BDE (BDE 100)", '1,3,5-Tribromo-2-(2,4-dibromophenoxy)-Benzene', 'J-012193', "2,2',4,4',6-Pentabromodiphenyl ether (BDE-100)", 'Q27294741', 'UNII-7REL09ZX35 component NSKIRYMHNFTRLR-UHFFFAOYSA-N', 'BDE No 100 solution, 50 mug/mL in isooctane, analytical standard', "Serum 2,2,4,4,6-Pentabromodiphenyl ether (BDE 100);2,2',4,4',6-Penta-BDE (BDE 100);2 , 2' , 4 , 4' , 6-pentabromodiphenyl ether"]</t>
  </si>
  <si>
    <t>Compound(154083)</t>
  </si>
  <si>
    <t>C12H5Br5O</t>
  </si>
  <si>
    <t>2,3 ', 4,4', 6-pentabromodiphenyl ether</t>
  </si>
  <si>
    <t>1,3,5-tribromo-2-(3,4-dibromophenyl)benzene</t>
  </si>
  <si>
    <t>["2,3',4,4',6-Pentabromobiphenyl", 'UNII-1RPY5GS61Z', '1RPY5GS61Z', "2,3',4,4',6-pentabromo-1,1'-biphenyl", '86029-64-3', "1,1'-Biphenyl, 2,3',4,4',6-pentabromo-", 'CTK5F6203', 'DTXSID80235358', 'Q27252804', 'UNII-N3QG1GSV88 component PBFOWFPZALCTIY-UHFFFAOYSA-N']</t>
  </si>
  <si>
    <t>Compound(154485)</t>
  </si>
  <si>
    <t>2,2 ', 3,4, 4', 5'-hexabromodiphenyl ether</t>
  </si>
  <si>
    <t>1,2,3-tribromo-4-(2,4,5-tribromophenoxy)benzene</t>
  </si>
  <si>
    <t>['182677-30-1', "2,2',3,4,4',5'-Hexabromodiphenyl ether", 'UNII-G8C1F1S4W9', 'Benzene, 1,2,3-tribromo-4-(2,4,5-tribromophenoxy)-', 'G8C1F1S4W9', 'PBDE 138', "2,2',3,4,4',5'-HexaBDE", 'SCHEMBL14941439', 'BDE-138', 'DTXSID60872265', 'AKOS028109870', 'ZINC150352644', 'NS00005634', 'J-011690', "2,2',3,4,4',5'-Hexa-BDE (BDE 138)", 'Q27278932', "2,2',3,4,4',5'-Hexabromodiphenyl ether (BDE-138)", '1,2,3-TRIBROMO-4-(2,4,5-TRIBROMOPHENOXY)BENZENE', 'UNII-9346I1RE5F component IZFQCEZFGCMHOM-UHFFFAOYSA-N', 'BDE No 138 solution, 50 mug/mL in isooctane, analytical standard']</t>
  </si>
  <si>
    <t>Compound(15254861)</t>
  </si>
  <si>
    <t>C12H4Br6O</t>
  </si>
  <si>
    <t>2,2 ', 4,4 ' , 5,5'-hexabromodiphenyl ether</t>
  </si>
  <si>
    <t>1,2,4-tribromo-5-(2,4,5-tribromophenoxy)benzene</t>
  </si>
  <si>
    <t>["2,2',4,4',5,5'-Hexabromodiphenyl ether", '68631-49-2', 'PBDE 153', 'BDE-153', 'BDE 153', 'UNII-NX58WCQ511', "1,1'-oxybis(2,4,5-tribromobenzene)", 'NX58WCQ511', 'CHEBI:81534', 'hexabrominated diphenyl ether 153', "Benzene, 1,1'-oxybis(2,4,5-tribromo-", 'DSSTox_CID_10047', 'DSSTox_RID_78833', 'DSSTox_GSID_30047', '1,2,4-tribromo-5-(2,4,5-tribromophenoxy)benzene', 'MLS001065604', "2,2',4,4',5,5'-Hexabromodiphenyl ether (BDE-153)", 'CHEMBL1568307', 'DTXSID4030047', 'SCHEMBL14938634', 'HMS3039L14', 'ZINC8585871', 'Tox21_202469', "5,5'-oxybis(1,2,4-tribromobenzene)", "1,1'-Oxybis(2,4,5-tribromo-Benzene", 'NCGC00090916-01', 'NCGC00260018-01', 'SMR000568459', 'CAS-68631-49-2', 'LS-182278', 'NS00008955', "1,1'-Oxybis[2,4,5-tribromo]benzene, 9CI", 'C18137', 'Q27155450', 'UNII-9346I1RE5F component RZXIRSKYBISPGF-UHFFFAOYSA-N', 'BDE No 153 solution, 50 mug/mL in isooctane, analytical standard', "2 , 2' , 4 , 4' , 5 , 5'-hexabromodiphenyl ether;2,2',4,4',5,5'-Hexabromodiphenyl ether (BDE-153);Serum 2,2,4,4,5,5-Hexabromodiphenyl ether (BDE 153)"]</t>
  </si>
  <si>
    <t>Compound(155166)</t>
  </si>
  <si>
    <t>2,2 ', 4,4 ' , 5,6'-hexabromodiphenyl ether</t>
  </si>
  <si>
    <t>1,2,4-tribromo-5-(2,4,6-tribromophenoxy)benzene</t>
  </si>
  <si>
    <t>["2,2',4,4',5,6'-Hexabromodiphenyl ether", '207122-15-4', 'BDE 154', 'BDE-154', 'UNII-OGY508QK5U', 'PBDE 154', 'Benzene, 1,3,5-tribromo-2-(2,4,5-tribromophenoxy)-', '1,3,5-tribromo-2-(2,4,5-tribromophenoxy)benzene', 'OGY508QK5U', 'BDE No 154 solution', 'PBED 154', 'hexabromodiphenyl ether 154', 'DTXSID3052692', 'SCHEMBL14938618', 'CHEBI:81535', 'CTK0J8527', 'ZINC95619686', "2,2',4,4',5,6-hexabromodiphenyl ether", 'NS00001476', 'C18138', 'J-013539', 'Q27155451', "2,2',4,4',5,6'-Hexabromodiphenyl ether (BDE-154)", 'UNII-9346I1RE5F component VHNPZYZQKWIWOD-UHFFFAOYSA-N', 'BDE No 154 solution, 50 mug/mL in isooctane, analytical standard', "2,2',4,4',5,6'-Hexabromodiphenyl ether (BDE-154);Serum 2,2,4,4,5,6-Hexabromodiphenyl ether (BDE 154)"]</t>
  </si>
  <si>
    <t>Compound(15509898)</t>
  </si>
  <si>
    <t>2,2 ', 4-tribromodiphenyl ether</t>
  </si>
  <si>
    <t>2,4-dibromo-1-(2-bromophenoxy)benzene</t>
  </si>
  <si>
    <t>["2,2',4-tribromodiphenyl ether", '2,4-Dibromo-1-(2-bromophenoxy)benzene', 'UNII-MID70C8XSX', 'PBDE 17', '147217-75-2', 'MID70C8XSX', '2,4-Dibromophenyl 2-bromophenyl ether', '2-Bromophenyl(2,4-dibromophenyl) ether', 'BDE-17', 'BDE 17', 'J151.967K', 'Benzene, 2,4-dibromo-1-(2-bromophenoxy)-', "2,2',4-triBDE", 'PBDE-17', 'SCHEMBL16679158', 'DTXSID40872703', 'CHEBI:138001', '2-bromophenyl 2,4-dibromophenyl ether', "2,2',4-Tribromodiphenyl ether (BDE-17)", 'Q27284048', 'UNII-Z770J09VGG component VYBFILXLBMWOLI-UHFFFAOYSA-N']</t>
  </si>
  <si>
    <t>Compound(14274807)</t>
  </si>
  <si>
    <t>C12H7Br3O</t>
  </si>
  <si>
    <t>2,2 ', 3,4, 4', 5 ', 6-heptabromodiphenyl ether</t>
  </si>
  <si>
    <t>1,2,3,5-tetrabromo-4-(2,4,5-tribromophenoxy)benzene</t>
  </si>
  <si>
    <t>["2,2',3,4,4',5',6-heptabromodiphenyl ether", '207122-16-5', 'BDE 183', 'PBDE 183', 'BDE-183', 'UNII-6M82N9DXAI', '6M82N9DXAI', 'CHEBI:81537', 'Benzene, 1,2,3,5-tetrabromo-4-(2,4,5-tribromophenoxy)-', '1,2,3,5-TETRABROMO-4-(2,4,5-TRIBROMOPHENOXY)BENZENE', 'BDE No 183 solution', 'CHEMBL219178', 'DTXSID8052693', 'SCHEMBL14938742', 'CTK0J8526', 'ZINC95543103', 'NS00009517', "2,2',3,4,4',5',6-heptabromodiphenylether", 'C18140', 'J-013540', 'Q27155453', '1,2,3,5-Tetrabromo-4-(2,4,5-tribromophenoxy)-benzene', "2,2',3,4,4',5',6-Heptabromodiphenyl ether (BDE-183)", 'UNII-HV572LY7S8 component ILPSCQCLBHQUEM-UHFFFAOYSA-N', 'BDE No 183 solution, 50 mug/mL in isooctane, analytical standard', "2,2',3,4,4',5',6-Heptabromodiphenyl ether (BDE-183);Serum 2,2,3,4,4,5,6-Heptabromodiphenyl ether (BDE 183);2 , 2' , 3 , 4 , 4' , 5' , 6-heptabromodiphenyl ether"]</t>
  </si>
  <si>
    <t>Compound(15509899)</t>
  </si>
  <si>
    <t>C12H3Br7O</t>
  </si>
  <si>
    <t>2,3, 3 ', 4,4', 5,6-heptabromodiphenyl ether</t>
  </si>
  <si>
    <t>1,2,3,4,5-pentabromo-6-(3,4-dibromophenoxy)benzene</t>
  </si>
  <si>
    <t>["2,3,3',4,4',5,6-Heptabromodiphenyl ether", '189084-68-2', 'UNII-5HLW0A5E2Y', '5HLW0A5E2Y', 'Benzene, pentabromo(3,4-dibromophenoxy)-', 'C12H3Br7O', "2,3,3',4,4,',5,6-Heptabromodiphenyl ether", 'PBDE Congener No. 190', 'BDE-190', 'DTXSID80872267', 'AKOS028108842', 'ACM189084682', '2,3,3,4,4,5,6-Heptabromodiphenyl ether', 'Q27262209', 'UNII-HV572LY7S8 component OUEYHQIMJGHOQN-UHFFFAOYSA-N', '1,2,3,4,5-PENTABROMO-6-(3,4-DIBROMOPHENOXY)BENZENE', "2 , 3 , 3' , 4 , 4' , 5 , 6-heptabromodiphenyl ether"]</t>
  </si>
  <si>
    <t>Compound(12110099)</t>
  </si>
  <si>
    <t>2.2 ', 3.3', 4.4 ', 5.5', 6,6'-decabromodiphenyl ether</t>
  </si>
  <si>
    <t>1,2,3,4,5-pentabromo-6-(2,3,4,5,6-pentabromophenoxy)benzene</t>
  </si>
  <si>
    <t>['Decabromodiphenyl oxide', '1163-19-5', 'Decabromodiphenyl ether', 'Pentabromophenyl ether', "6,6'-Oxybis(1,2,3,4,5-pentabromobenzene)", 'Bis(pentabromophenyl) ether', 'Decabrom', 'Decabromobiphenyl oxide', 'BDE-209', 'Dbdpo', 'Berkflam B 10E', 'Decabromophenyl ether', 'Decabromdiphenyl oxide', 'Bromkal 82-0DE', 'DecaBDE', 'Bromkal 83-10DE', 'Ether, decabromodiphenyl', 'DECABROMOBIPHENYL ETHER', 'Planelon DB 100', 'FR 300BA', 'BDE 209', 'Saytex 102', 'Saytex 102E', 'Tardex 100', 'Ether, bis(pentabromophenyl)', 'Planelon DB', "Benzene, 1,1'-oxybis[2,3,4,5,6-pentabromo-", 'BR 55N', 'FRP 53', 'Plasafety EB 10', 'NCI-C55287', 'De 83R', 'F/R-P 53', 'Planelon DB 101', 'Fire Cut 83D', 'Nonnen DP 10', 'Flame Cut 110R', 'Plasafety EBR 700', 'Adine 505', 'Flame Cut Br 100', 'PBDE 209', 'Nonnen DP 10(F)', 'FR 10 (ether)', 'FR-PE', 'Caliban F/R-P 39P', 'Bis(pentabromophenyl)ether', 'FR-PE(H)', 'UNII-N80BQ29A0H', 'Bromkal 82-ode', 'FR 300', "1,1'-Oxybis(2,3,4,5,6-pentabromobenzene)", 'EB 10FP', 'EB 10WS', 'DPBPO', 'CCRIS 1421', 'DP 10F', 'EB 10W', 'PBED 209', 'Perbromodiphenyl Ether', "1,1'-oxybis(pentabromobenzene)", 'HSDB 2911', 'EBR 700', 'DB 10', 'DE 83', 'EB 10', 'FR 10', 'AFR 1021', 'EINECS 214-604-9', 'DB 101', 'DB 102', 'NSC 82553', 'BRN 2188438', 'AI3-27894', "2,2',3,3',4,4',5,5',6,6'-decabromobiphenyl ether", "2,2',3,3',4,4',5,5',6,6'-decabromodiphenyl ether", 'N80BQ29A0H', "2,2',3,3',4,4',5,5',6,6'-decabrominated diphenyl ether", 'CHEBI:82436', '1,2,3,4,5-pentabromo-6-(2,3,4,5,6-pentabromophenoxy)benzene', "Benzene, 1,1'-oxybis(2,3,4,5,6-pentabromo-", "Benzene, 1,1'-oxybis[pentabromo-", 'AK113820', "1,1'-Oxybis[2,3,4,5,6-pentabromobenzene]", '1,2,4,5,6-pentabromo-3-(2,3,4,5,6-pentabromophenoxy)benzene', 'PBDE 209 (Decabromodiphenyl Ether)', 'Decabromodiphenyl oxide, technical grade (77.4% DBDPO, 21.8% nonabromodiphenyl oxide, 0.8% octabromodiphenyl oxide)', "Benzene,1'-oxybis(2,3,4,5,6-pentabromo-", "Benzene,1'-oxybis[2,3,4,5,6-pentabromo-", 'FR-300-BA', 'C12Br10O', 'BDE209', 'Decabromodiphenyl ether (DBDPE)', 'Thermoguard 505', 'Deca BDE', 'Themoguard 505', 'Bromkal 81', 'Octaguard FR-01', 'Octoguard FR-01', 'decabromodiphenylether', 'PubChem8913', 'Great lakes DE-83R', 'DSSTox_CID_376', 'EC 214-604-9', 'DSSTox_GSID_20376', 'SCHEMBL33901', '1-06-00-00108 (Beilstein Handbook Reference)', 'PBDE No. 209', 'Decabromodiphenyl ether, 98%', 'CHEMBL229975', 'DTXSID9020376', 'BCP07516', 'KS-00000LW8', 'NSC82553', 'Decabromodiphenyl ether (BDE-209)', 'Tox21_303970', 'BR1148', 'LS-585', 'MFCD00000059', 'NSC-82553', 'SBB059065', 'AKOS015910857', 'ZINC150339491', 'DS-6350', 'MCULE-1193062842', 'NCGC00357196-01', 'BC003385', 'I884', 'CAS-1163-19-5', 'AX8052503', 'DB-041309', 'PBDE No. 209 100 microg/mL in Acetone', 'D1388', 'FT-0623082', 'ST51043356', "1,1'-Oxybis (2,3,4,5,6-pentabromobenzene)", 'C19383', "Benzene, 1,1'-oxybis*2,3,4,5,6-pentabromo-", 'WLN: ER BE CE DE EE FOR BE CE DE EE FE', 'C-27421', 'Q905868', '1,2,3,4,5-pentabromo-6-(pentabromophenoxy)benzene', 'J-003425', "2,2',3,3',4,4',5,5',6,6' decabromodiphenylether", "1,1'-Oxybis[2,3,4,5,6-pentabromobenzene] (BDE 209)", '1-(2,3,4,5,6-pentabromophenoxy)-2,3,4,5,6-pentabromobenzene', "Pentabromodiphenyl ether1,1'-oxybis(2,3,4,5,6-pentabromobenzene)", 'BDE No 209 solution, 50 mug/mL in isooctane:toluene (9:1), analytical standard', '109945-70-2', '145538-74-5']</t>
  </si>
  <si>
    <t>Compound(14410)</t>
  </si>
  <si>
    <t>C12Br10O</t>
  </si>
  <si>
    <t>2,4, 4'-tribroomdifenylether</t>
  </si>
  <si>
    <t>2,4-dibromo-1-(4-bromophenoxy)benzene</t>
  </si>
  <si>
    <t>["2,4,4'-tribromodiphenyl ether", '41318-75-6', 'PBDE 28', 'BDE-28', '2,4-Dibromo-1-(4-bromophenoxy)benzene', 'tribromodiphenyl ether 28', 'Benzene, 2,4-dibromo-1-(4-bromophenoxy)-', 'UNII-3XQ4Q434KF', "2,4,4'-tribromodiphenylether", "2,4,4'-TriBDE", '3XQ4Q434KF', 'PBDE-28', "2,4,4'-tribrominated diphenyl ether", 'PBDE Congener No. 28', 'BDE28', '2,4,4-Tribromodiphenyl ether', 'BDE 28', 'CHEMBL217949', 'SCHEMBL7526745', 'DTXSID4052710', 'CHEBI:138036', 'ZINC38858000', '4-bromophenyl 2,4-dibromophenyl ether', '2,4-Bibromophenyl 4-bromophenyl ether', 'BDE No 28, analytical reference material', "2,4,4'-tribromodiphenylether (BDE-28)", "2,4,4'-Tribromodiphenyl ether (BDE 28)", "2,4,4'-Tribromodiphenyl ether (BDE-28)", 'NS00009128', '2,4-Dibromo-1-(4-bromophenoxy)benzene, 9CI', 'Q27258186', 'UNII-Z770J09VGG component UPNBETHEXPIWQX-UHFFFAOYSA-N', 'BDE No 28 solution, 50 mug/mL in isooctane, analytical standard', "2,4,4'-tribromodiphenylether (BDE-28);2 , 4 , 4'-tribromodiphenyl ether;Serum 2,4,4-Tribromodiphenyl ether (BDE 28)"]</t>
  </si>
  <si>
    <t>Compound(12110098)</t>
  </si>
  <si>
    <t>2,2 ', 4,4'-tetrabromodiphenyl ether</t>
  </si>
  <si>
    <t>2,4-dibromo-1-(2,4-dibromophenoxy)benzene</t>
  </si>
  <si>
    <t>['5436-43-1', "2,2',4,4'-Tetrabromodiphenyl ether", "4,4'-Oxybis(1,3-dibromobenzene)", 'BDE-47', 'PBDE 47', 'DIBROMOPHENYL ETHER', "2,2'4,4'-Tetrabromodiphenyl ether", '2,4-dibromo-1-(2,4-dibromophenoxy)benzene', 'BDE 47', "Benzene, 1,1'-oxybis[2,4-dibromo-", 'C12H6Br4O', 'PBDE-47', 'UNII-0N97R5X10X', "1,1'-oxybis(2,4-dibromobenzene)", 'NSC 21724', 'bis(2,4-dibromophenyl) ether', "Benzene, 1,1'-oxybis(2,4-dibromo-", 'CHEBI:81584', '0N97R5X10X', 'NSC21724', "1,1'-Oxybis[2,4-dibromobenzene]", 'AK121881', "PBDE 47 (2,2',4,4'-Tetrabromodiphenyl ether)", 'DSSTox_CID_10056', 'DSSTox_RID_78835', 'PBDE No. 47', "2,2',4,4'-Tetrabromodiphenyl ether (BDE-47)", 'DSSTox_GSID_30056', 'MLS001065577', 'SCHEMBL899494', 'CHEMBL229760', "2,2',4,4'-TetraBDE", 'DTXSID3030056', 'CTK8D9905', 'KS-00000MIH', 'HMS3039P04', 'ZINC1583785', "1,1'-Oxybis(2,4-dibromo-Benzene", "2,2',4,4'-tetrabromodiphenylether", 'Tox21_200327', '7840AB', 'NSC-21724', 'RW2836', "2,2',4,4' tetrabromodiphenyl ether", 'AKOS016011206', 'DS-6407', 'QC-2733', 'NCGC00090912-01', 'NCGC00090912-02', 'NCGC00257881-01', 'BDE No 47, analytical reference material', 'SMR000568461', "1,1'-Oxybis[2,4-dibromobenzene], 9CI", 'CAS-5436-43-1', 'AX8064085', 'LS-182277', 'PBDE No. 47 100 microg/mL in Methanol', 'NS00009638', 'PBDE No. 47 1000 microg/mL in Methanol', 'C18205', "BDE-47(2,2',4,4'-Tetrabromodiphenyl Ether)", 'Q27155474', 'UNII-1J1A90VP8W component XYBSIYMGXVUVGY-UHFFFAOYSA-N', 'BDE No 47 solution, 50 mug/mL in isooctane, analytical standard', "2,2',4,4'-Tetrabromodiphenyl ether (BDE-47);2,2,4,4-Tetrabrominated diphenyl ether (2,2,4,4-tetraBDE);2 , 2' , 4 , 4'-tetrabromodiphenyl ether;2,2,4,4-Tetrabromodiphenyl ether"]</t>
  </si>
  <si>
    <t>Compound(95170)</t>
  </si>
  <si>
    <t>C12H6Br4O</t>
  </si>
  <si>
    <t>2,2 ', 4,5'-tetrabromodiphenyl ether</t>
  </si>
  <si>
    <t>1,4-dibromo-2-(2,4-dibromophenoxy)benzene</t>
  </si>
  <si>
    <t>["2,2',4,5'-Tetrabromodiphenyl ether", '243982-82-3', 'UNII-D24364111Z', 'D24364111Z', 'BDE No 49 solution', 'PBDE 49', 'BDE 49', 'BDE-49', '1,4-dibromo-2-(2,4-dibromophenoxy)benzene', 'SCHEMBL16678817', 'CHEBI:81583', 'DTXSID90873927', 'ZINC34574480', 'ACM243982823', "2 , 2' , 4 , 5'-tetrabromodiphenyl ether", 'C18204', "2,2',4,5'-Tetrabromodiphenyl ether (BDE-49)", 'J-015496', 'Q27155473', 'UNII-1J1A90VP8W component QWVDUBDYUPHNHY-UHFFFAOYSA-N', 'BDE No 49 solution, 50 mug/mL in isooctane, analytical standard']</t>
  </si>
  <si>
    <t>Compound(15509892)</t>
  </si>
  <si>
    <t>2,2 ', 4,6'-tetrabromodiphenyl ether</t>
  </si>
  <si>
    <t>1,3-dibromo-2-(2,4-dibromophenyl)benzene</t>
  </si>
  <si>
    <t>["2,2',4,6'-Tetrabromobiphenyl", '97038-95-4', 'UNII-Q660E25J4A', "1,1'-Biphenyl, 2,2',4,6'-tetrabromo-", 'Q660E25J4A', '2,4-DIBROMO-1-(2,6-DIBROMOPHENYL)BENZENE', "2,2',4,6'-Tetrabromo-1,1'-biphenyl", 'CTK5H9066', 'DTXSID50242675', 'ZINC95934968', '1,1-Biphenyl, 2,2,4,6-tetrabromo-', 'Q27287047', 'UNII-BWH63Y9C8O component HFDOVSPQVPECFP-UHFFFAOYSA-N']</t>
  </si>
  <si>
    <t>Compound(154509)</t>
  </si>
  <si>
    <t>2,3 ', 4,4'-tetrabromodiphenyl ether</t>
  </si>
  <si>
    <t>1,2-dibromo-4-(2,4-dibromophenoxy)benzene</t>
  </si>
  <si>
    <t>["2,3',4,4'-tetrabromodiphenyl ether", '189084-61-5', 'UNII-S7M4IA32XJ', '1,2-DIBROMO-4-(2,4-DIBROMOPHENOXY)BENZENE', 'S7M4IA32XJ', 'BDE-66', 'BDE No 66 solution', 'PBDE 66', 'Benzene, 1,2-dibromo-4-(2,4-dibromophenoxy)-', 'PBDE-66', 'BDE 66', "2,3',4,4'-tetra-BDE", 'DTXSID9052688', 'SCHEMBL14938667', 'CHEBI:138038', 'ZINC34574481', "2,4,3',4`-tetrabromodiphenyl ether", '2,4-dibromophenyl 3,4-dibromophenyl ether', "2,3',4,4'-Tetra-BDE (BDE 66)", '2,4-dibromo-1-(3,4-dibromophenoxy)benzene', 'NS00001012', "2,3',4,4'-Tetrabromodiphenyl ether (BDE-66)", 'J-012190', 'Q27288783', '1-[3,4-bis(bromanyl)phenoxy]-2,4-bis(bromanyl)benzene', 'UNII-1J1A90VP8W component DHUMTYRHKMCVAG-UHFFFAOYSA-N', 'BDE No 66 solution, 50 mug/mL in isooctane, analytical standard', "2,3',4,4'-Tetra-BDE (BDE 66);Serum 2,3,4,4-Tetrabromodiphenyl ether (BDE 66)"]</t>
  </si>
  <si>
    <t>Compound(15509893)</t>
  </si>
  <si>
    <t>2,3 ', 4', 6-tetrabromodiphenyl ether</t>
  </si>
  <si>
    <t>1,2-dibromo-4-(2,6-dibromophenoxy)benzene</t>
  </si>
  <si>
    <t>["2,3',4',6-Tetrabromodiphenyl ether", 'UNII-BYM4VGZ61G', '189084-62-6', 'BYM4VGZ61G', 'BDE No 71 solution', 'PBDE Congener No. 71', '1,3-DIBROMO-2-(3,4-DIBROMOPHENOXY)BENZENE', 'BDE-71', 'SCHEMBL16678754', 'DTXSID90873922', 'ZINC34574482', "2,'3,4',6-Tetrabromodiphenyl ether", 'AKOS015910911', 'ACM189084626', "2,3',4',6-Tetrabromodiphenyl ether (BDE-71)", 'J-012191', 'Q27274967', 'UNII-1J1A90VP8W component COPAGYRSCJVION-UHFFFAOYSA-N', "2 , 3' , 4' , 6-tetrabromodiphenyl ether;2,3,4,6-TetraBDPE", 'BDE No 71 solution, 50 mug/mL in isooctane, analytical standard']</t>
  </si>
  <si>
    <t>Compound(15509894)</t>
  </si>
  <si>
    <t>2,4,4 ', 6-tetrabromodiphenyl ether</t>
  </si>
  <si>
    <t>1,3,5-tribromo-2-(4-bromophenoxy)benzene</t>
  </si>
  <si>
    <t>["2,4,4',6-Tetrabromodiphenyl ether", '189084-63-7', 'UNII-V4E313N2AJ', 'BDE-75', 'V4E313N2AJ', 'BDE No 75 solution', '1,3,5-tribromo-2-(4-bromophenoxy)benzene', 'SCHEMBL75022', 'DTXSID60879895', 'ZINC34574483', 'J-012192', 'Q27291523', 'UNII-1J1A90VP8W component BWCNKMFFUGBFGB-UHFFFAOYSA-N', "2 , 4 , 4' , 6-tetrabromodiphenyl ether;2,4,4,6-TetraBDPE", 'BDE No 75 solution, 50 mug/mL in isooctane, analytical standard']</t>
  </si>
  <si>
    <t>Compound(15509895)</t>
  </si>
  <si>
    <t>3,3 ', 4,4'-tetrabromodiphenyl ether</t>
  </si>
  <si>
    <t>1,2-dibromo-4-(3,4-dibromophenyl)benzene</t>
  </si>
  <si>
    <t>["3,3',4,4'-Tetrabromobiphenyl", '77102-82-0', 'CCRIS 5775', 'UNII-O9I88185BK', 'O9I88185BK', "1,1'-Biphenyl, 3,3',4,4'-tetrabromo-", '3,3,4,4-Tetrabromobiphenyl', 'PBB-77', 'DTXSID4074770', 'SCHEMBL21820782', 'CTK5E3851', 'PBB 077', 'ZINC2566917', 'LS-44542', "1,1'-Biphenyl,3,3',4,4'-tetrabromo-", 'Q27285518', 'UNII-BWH63Y9C8O component BVGDXTYHVRFEQZ-UHFFFAOYSA-N', "3 , 3' , 4 , 4'-tetrabromobiphenyl;3,3,4,4-tetrabromobiphenyl"]</t>
  </si>
  <si>
    <t>Compound(107953)</t>
  </si>
  <si>
    <t>2,2 ' , 3,4,4'-pentabromodiphenyl ether</t>
  </si>
  <si>
    <t>1,2,3-tribromo-4-(2,4-dibromophenoxy)benzene</t>
  </si>
  <si>
    <t>['182346-21-0', "2,2',3,4,4'-Pentabromodiphenyl ether", 'PBDE 85', '1,2,3-tribromo-4-(2,4-dibromophenoxy)benzene', 'UNII-FGO8T80EZ5', 'Benzene, 1,2,3-tribromo-4-(2,4-dibromophenoxy)-', 'BDE 85', 'FGO8T80EZ5', 'BDE-85', "2,2',3,4,4'-Pentabromodiphenyl ether solution", 'PBDE Congener No. 85', 'PBDE-85', 'DTXSID4052685', 'SCHEMBL14938632', 'CTK8E6724', 'CHEBI:138064', "2,2',3,4,4'-penta-BDE", 'AKOS025294766', 'ZINC100183108', 'NS00007365', "2,2',3,4,4'-Penta-BDE (BDE 85)", '2,4-dibromophenyl 2,3,4-tribromophenyl ether', "2,2',3,4,4'-Pentabromodiphenyl ether (BDE 85)", "2,2',3,4,4'-Pentabromodiphenyl ether (BDE-85)", 'J-011669', 'Q27277979', '1-[2,4-bis(bromanyl)phenoxy]-2,3,4-tris(bromanyl)benzene', 'UNII-7REL09ZX35 component DMLQSUZPTTUUDP-UHFFFAOYSA-N', 'BDE No 85 solution, 50 mug/mL in isooctane, analytical standard', "2,2',3,4,4'-Penta-BDE (BDE 85);Serum 2,2,3,4,4-Pentabromodiphenyl ether (BDE 85);2 , 2' , 3 , 4 , 4'-pentabromodiphenyl ether"]</t>
  </si>
  <si>
    <t>Compound(177368)</t>
  </si>
  <si>
    <t>2,2 ', 4,4', 5-pentabromodiphenyl ether</t>
  </si>
  <si>
    <t>1,2,4-tribromo-5-(2,4-dibromophenoxy)benzene</t>
  </si>
  <si>
    <t>["2,2',4,4',5-Pentabromodiphenyl ether", '60348-60-9', 'PBDE 99', 'BDE-99', '1,2,4-Tribromo-5-(2,4-dibromophenoxy)benzene', 'BDE 99', 'UNII-D3A2T91I1E', 'D3A2T91I1E', 'CHEBI:81582', 'DE 71', 'Benzene,1,2,4-tribromo-5-(2,4-dibromophenoxy)-', 'Pentabromodiphenyl oxide (technical)', "Benzene, 1,1'-oxybis-, pentabromo deriv.", 'DSSTox_CID_4246', 'Bromkal G 1', 'PBDE-99', 'DE-71', 'Benzene, 1,2,4-tribromo-5-(2,4-dibromophenoxy)-', 'Planelon PB 501', 'Saytex 125', 'Pentabromophenoxybenzene', 'Pentabromodiphenyl ethers', 'DSSTox_RID_77340', 'DSSTox_RID_78834', 'DSSTox_GSID_24246', 'DSSTox_GSID_30048', 'MLS001065585', "2,2',4,4',5-Pentabromodiphenyl ether (BDE-99)", 'PENTABROMODIPHENYL OXIDE', 'CCRIS 4851', 'CHEMBL374400', 'DTXSID9030048', 'SCHEMBL14938654', 'HSDB 7109', 'BDE No 99, analytical standard', 'HMS3039F12', 'Pentabromodiphenyl Oxide  Repackaged', 'ZINC8602415', 'EINECS 251-084-2', 'Tox21_200156', 'Tox21_201143', 'Diphenyl ether, pentabromo derivative', '2,2,4,4,5-Pentabromodiphenyl ether', 'LS-1197', "2,2',4,4',5 pentabromodiphenyl ether", 'NCGC00091436-01', 'NCGC00091436-02', 'NCGC00091436-03', 'NCGC00091436-04', 'NCGC00091436-05', 'NCGC00257710-01', 'NCGC00258695-01', "2,2',4,4',5,-Penabromodiphenyl ether", 'LS-32210', 'SMR000568490', "Benzene, 1,1'-oxybis-, pentabromo deriv", 'CAS-32534-81-9', 'CAS-60348-60-9', 'NS00004728', 'Pentabromodiphenyl oxide (technical) (DE 71)', '2,4-dibromophenyl 2,4,5-tribromophenyl ether', 'C18203', 'Q412017', '1-[2,4-bis(bromanyl)phenoxy]-2,4,5-tris(bromanyl)benzene', 'UNII-7REL09ZX35 component WHPVYXDFIXRKLN-UHFFFAOYSA-N', 'BDE No 99 solution, 50 mug/mL in isooctane, analytical standard']</t>
  </si>
  <si>
    <t>Compound(36159)</t>
  </si>
  <si>
    <t>2,4,6,8-tetramethyl-1,3,5,7-tetraoxocane</t>
  </si>
  <si>
    <t>['METALDEHYDE', '108-62-3', 'Metacetaldehyde', 'Cekumeta', 'Ariotox', 'Halizan', 'Metason', '1,3,5,7-Tetroxocane, 2,4,6,8-tetramethyl-', 'Acetaldehyde, tetramer', 'Slug-Tox', "Corry's Slug Death", 'Metaldehyd', 'Metaldeide', '2,4,6,8-Tetramethyl-1,3,5,7-tetraoxacyclooctane', 'Acetaldehyde Tetramer', 'Metaldehyd [German]', 'Metaldeide [Italian]', 'Caswell No. 548', '2,4,6,8-Tetramethyl-1,3,5,7-tetraoxocane', 'Metaldehyde [BSI:ISO]', 'UNII-4CI033VJYG', '2,4,6,8-Tetramethyl-1,3,5,7-tetroxocane', 'EINECS 203-600-2', 'UN1332', 'EPA Pesticide Chemical Code 053001', '4CI033VJYG', 'r-2,c-4,c-6,c-8-Tetramethyl-1,3,5,7-tetroxocane', 'AI3-15376', 'Metaldehyde acetaldehyde tetramer', 'CHEBI:81931', 'Metaldehyde, 99%', '9002-91-9', 'Metacetaldehyd', 'Slugfest', 'Aldehyde (meta)', 'HSDB 1735', 'Farmon mini slug pellets', 'SCHEMBL135215', 'CHEMBL2251334', 'DTXSID1034715', 'HY-B1870', 'ZINC1851028', 'MFCD00071549', 'AKOS015914986', 'CS-5210', 'UN 1332', 'Metaldehyde [UN1332] [Flammable solid]', 'LS-149252', 'Metaldehyde [UN1332]  [Flammable solid]', 'FT-0628258', 'FT-0693272', 'M0076', 'NS00006999', '2,4,6,8-tetramethyl-1,3,5,7- tetraoxocane', 'C18744', 'A801902', 'Q412303', 'J-002170', 'UNII-4CI033VJYG component GKKDCARASOJPNG-KVFPUHGPSA-N', 'UNII-4CI033VJYG component GKKDCARASOJPNG-NZVMNLIMSA-N', 'UNII-4CI033VJYG component GKKDCARASOJPNG-ODANAHCNSA-N', 'UNII-4CI033VJYG component GKKDCARASOJPNG-UFYGHTOTSA-N', 'Metaldehyde acetaldehyde tetramer;2,4,6,8-Tetramethyl-1,3,5,7-tetraoxacyclooctane;2,4,6,8-tetramethyl-1,3,5,7-tetraoxacyclooctane']</t>
  </si>
  <si>
    <t>Compound(61021)</t>
  </si>
  <si>
    <t>C8H16O4</t>
  </si>
  <si>
    <t>2-chlorobiphenyl</t>
  </si>
  <si>
    <t>1-chloro-2-phenylbenzene</t>
  </si>
  <si>
    <t>['2-CHLOROBIPHENYL', '2051-60-7', "2-Chloro-1,1'-biphenyl", 'o-Chlorobiphenyl', '2-Chlorodiphenyl', 'o-Chlorodiphenyl', '2-Monochlorobiphenyl', '1-Chloro-2-phenylbenzene', "1,1'-Biphenyl, chloro-", "Chloro-1,1'-biphenyl", "1,1'-Biphenyl, 2-chloro-", 'Biphenyl, 2-chloro-', 'Chlorodiphenyl', 'CHLOROBIPHENYL', 'Diphenylchloride', 'PCB 1', '2-Chlorbiphenyl', 'Monochlorobiphenyl', 'Biphenyl, chloro-', 'Chlorodwufenol [Polish]', '1-chlorobiphenyl', 'UNII-2E08SP4D3P', 'PCB 1 (2-Chlorobiphenyl)', 'Arochlor-1254', 'EINECS 248-405-3', 'NSC 67354', 'PCB No 1', '27323-18-8', '2E08SP4D3P', 'CHEMBL191745', 'CHEBI:34269', 'Chlorodwufenol', 'CCRIS 9343', 'Monochlorobiphenyl (mixed isomers)', '2-Chloro-Biphenyl', 'WLN: GR BR', 'PCB No. 1', "2-chloro-1,1''-biphenyl", '2-PCB', "1,1'-Biphenyl,2-chloro-", '1-chloranyl-2-phenyl-benzene', 'SCHEMBL170230', 'PCB No 1, analytical standard', 'DTXSID6040298', 'CTK1A3329', 'LAXBNTIAOJWAOP-UHFFFAOYSA-', 'NSC67354', 'ZINC1694409', 'ZX-AT004809', 'ANW-63321', 'BDBM50159252', 'MFCD00013626', 'NSC-67354', 'OR7032', "1,1'-Biphenyl, 2-chloro- (9CI)", 'AKOS015890249', 'ACM2051607', 'FCH1117679', 'PS-8430', 'VZ24411', 'ACM27323188', 'PCB No. 1 10 microg/mL in Isooctane', 'CC-10199', 'LS-44276', 'AX8014425', 'DB-028008', 'FT-0611676', 'NS00009139', 'C14353', 'A814630', 'C-07871', 'J-013376', 'Q22137046', 'UNII-9XW97A4F4F component LAXBNTIAOJWAOP-UHFFFAOYSA-N', "PCB 1 (2-Chlorobiphenyl);2-chlorobiphenyl;chloro-1,1-biphenyl;Chloro-1,1'-biphenyl"]</t>
  </si>
  <si>
    <t>Compound(249266)</t>
  </si>
  <si>
    <t>C12H9Cl</t>
  </si>
  <si>
    <t>2,6-dichlorobiphenyl</t>
  </si>
  <si>
    <t>1,3-dichloro-2-phenylbenzene</t>
  </si>
  <si>
    <t>['2,6-DICHLOROBIPHENYL', '33146-45-1', "2,6-Dichloro-1,1'-biphenyl", "1,1'-Biphenyl, 2,6-dichloro-", 'Biphenyl, 2,6-dichloro-', 'UNII-0S2FWS766G', '1,3-dichloro-2-phenylbenzene', 'PCB 10', '0S2FWS766G', 'CHEBI:34249', 'PCB 10 (2,6-Dichlorobiphenyl)', 'C14355', 'PCB No. 10', 'SCHEMBL308199', 'PCB-10', 'CHEMBL1232135', 'DTXSID7038313', 'CTK4H0025', "1,1'-Biphenyl,2,6-dichloro-", 'ZINC2010357', 'FCH1330350', 'ACM33146451', 'PCB No. 10 10 microg/mL in Isooctane', 'Q27115941', 'UNII-6U5234DZND component IYZWUWBAFUBNCH-UHFFFAOYSA-N', 'DC5']</t>
  </si>
  <si>
    <t>Compound(36342)</t>
  </si>
  <si>
    <t>C12H8Cl2</t>
  </si>
  <si>
    <t>2,2 ' , 4,5,5'-pentachlorobiphenyl</t>
  </si>
  <si>
    <t>1,2,4-trichloro-5-(2,5-dichlorophenyl)benzene</t>
  </si>
  <si>
    <t>['37680-73-2', "2,2',4,5,5'-PENTACHLOROBIPHENYL", 'PCB 101', "1,1'-Biphenyl, 2,2',4,5,5'-pentachloro-", 'UNII-803YVI5BNP', "2,4,5,2',5'-Pentachlorobiphenyl", 'PCB-101', '1,2,4-trichloro-5-(2,5-dichlorophenyl)benzene', '803YVI5BNP', "2,2',4,5,5'-Pentachloro-1,1'-biphenyl", "2,2',4,5,5'Pentachlorobiphenyl", "PCB 101 (2,2',4,5,5'-Pentachlorobiphenyl)", 'CHEMBL14041', 'SCHEMBL811509', 'PCB No. 101', 'DTXSID8038304', 'CTK4H8639', 'PCB No 101, analytical standard', "2,2,4,5,5'-Pentochlorobiphenyl", 'ZINC2516093', '2,2`,4,5,5`-Pentachlorobiphenyl', 'CB 101; PCB 101', "2,4,5,2',5'-Pentachloro-biphenyl", 'AKOS015903436', 'LS-44514', 'PCB No. 101 10 microg/mL in Isooctane', 'PCB No. 101 100 microg/mL in Ihexane', 'K 101', 'NS00008675', 'PCB No. 101 100 microg/mL in Isooctane', "1,1'-Biphenyl,2,2',4,5,5'-pentachloro-", "2,2,4,5,5'-Pentochlorobiphenyl (PCB 101)", 'Q27269110', 'UNII-E20W17P8M3 component LAHWLEDBADHJGA-UHFFFAOYSA-N', 'PCB No 101 solution, 10 mug/mL in isooctane, analytical standard', "2,2,4,5,5'-Pentochlorobiphenyl;2,2',4,5,5'-Pentachlorobiphenyl;2,4,5,2,5-pentachlorobiphenyl;2 , 2? , 4 , 5 , 5?-pentachlorobiphenyl"]</t>
  </si>
  <si>
    <t>Compound(37807)</t>
  </si>
  <si>
    <t>C12H5Cl5</t>
  </si>
  <si>
    <t>2,2 ' , 4,6,6'-pentachlorobiphenyl</t>
  </si>
  <si>
    <t>1,3,5-trichloro-2-(2,6-dichlorophenyl)benzene</t>
  </si>
  <si>
    <t>["2,2',4,6,6'-pentachlorobiphenyl", '56558-16-8', 'PCB 104', "1,1'-Biphenyl, 2,2',4,6,6'-pentachloro-", 'UNII-Z4YYF101N3', "2,2',4,6,6'-Pentachloro-1,1'-biphenyl", 'Z4YYF101N3', "PCB 104 (2,2',4,6,6'-Pentachlorobiphenyl)", "2,4,6,2',6'-Pentachlorobiphenyl", '1,3,5-trichloro-2-(2,6-dichlorophenyl)benzene', 'PCB No. 104', 'SCHEMBL4452879', 'DTXSID0074184', 'CTK5A5336', 'PCB-104', 'ZINC2521619', 'NS00008287', "1,1'-Biphenyl,2,2',4,6,6'-pentachloro-", 'Q27294999', 'UNII-E20W17P8M3 component MTCPZNVSDFCBBE-UHFFFAOYSA-N', "PCB 104 (2,2',4,6,6'-Pentachlorobiphenyl);2 , 2' , 4 , 6 , 6'-pentachlorobiphenyl;2,2,4,6,6-Pentachlorobiphenyl"]</t>
  </si>
  <si>
    <t>Compound(91662)</t>
  </si>
  <si>
    <t>2,3, 3 ', 4,4'-pentachlorobiphenyl</t>
  </si>
  <si>
    <t>1,2,3-trichloro-4-(3,4-dichlorophenyl)benzene</t>
  </si>
  <si>
    <t>["2,3,3',4,4'-Pentachlorobiphenyl", '32598-14-4', 'PenCb', 'PCB 105', "2,3,4,3',4'-Pentachlorobiphenyl", 'PCB-105', 'UNII-0S596V3MLH', "3,4,2',3',4'-Pentachlorobiphenyl", '1,2,3-trichloro-4-(3,4-dichlorophenyl)benzene', "Biphenyl, 2,3,3',4,4'-pentachloro-", "1,1'-Biphenyl, 2,3,3'4,4'-pentachloro-", 'BRN 2283442', '0S596V3MLH', 'CHEMBL341816', "2,3,3'4,4'-Pentachloro-1,1'-biphenyl", 'CHEBI:81518', "1,1'-Biphenyl,2,3,3',4,4'-pentachloro-", "1,1'-Biphenyl, 2,3,3',4,4'-pentachloro-", "PCB 105 (2,3,3',4,4'-pentachlorobiphenyl)", "2,3,3',4,4'-PENTACHLORO-1,1'-BIPHENYL", 'PCB No. 105', 'SCHEMBL2282125', 'DTXSID8038306', 'CTK4G8978', 'PCB No 105, analytical standard', 'ZINC2521620', 'BDBM50408330', "2,3,4,3',4'-Pentachloro-biphenyl", 'AKOS015903433', 'LS-44515', 'PCB No. 105 10 microg/mL in Isooctane', 'PCB No. 105 100 microg/mL in Isooctane', 'C18116', "1,1'-Biphenyl, 2,3,3'4,4'-pentachloro- (9CI)", 'Q27155438', 'UNII-E20W17P8M3 component WIDHRBRBACOVOY-UHFFFAOYSA-N']</t>
  </si>
  <si>
    <t>Compound(36188)</t>
  </si>
  <si>
    <t>2,3, 3 ', 4,5-pentachlorobiphenyl</t>
  </si>
  <si>
    <t>1,2,3,4-tetrachloro-5-(3-chlorophenyl)benzene</t>
  </si>
  <si>
    <t>["2,3,3',4,5-PENTACHLOROBIPHENYL", '70424-69-0', 'UNII-B01QEN6U58', 'PCB 106', "2,3,3',4,5-pentachloro-1,1'-biphenyl", 'B01QEN6U58', "1,1'-Biphenyl, 2,3,3',4,5-pentachloro-", 'PCB-106', "2,3,4,5,3'-pentachlorobiphenyl", '1,2,3,4-tetrachloro-5-(3-chlorophenyl)benzene', "PCB 106 (2,3,3',4,5-Pentachlorobiphenyl)", 'C14365', 'PCB No. 106', 'SCHEMBL4445043', 'DTXSID5074212', 'CHEBI:34216', 'CTK5D2373', 'ZINC2568306', 'PCB No. 106 10 microg/mL in Isooctane', 'Q27115911', 'UNII-E20W17P8M3 component BQENMISTWGTJIJ-UHFFFAOYSA-N']</t>
  </si>
  <si>
    <t>Compound(51075)</t>
  </si>
  <si>
    <t>2,3, 3 ', 4', 6-pentachlorobiphenyl</t>
  </si>
  <si>
    <t>1,2,4-trichloro-3-(3,4-dichlorophenyl)benzene</t>
  </si>
  <si>
    <t>["2,3,3',4',6-PENTACHLOROBIPHENYL", '38380-03-9', 'Chlorobiphenyl 110', "1,1'-Biphenyl, 2,3,3',4',6-pentachloro-", 'PCB 110', 'UNII-97RWU5J04P', '97RWU5J04P', "2,3,3',4',6-Pentachloro-1,1'-biphenyl", '1,2,4-trichloro-3-(3,4-dichlorophenyl)benzene', "PCB 110 (2,3,3',4',6-Pentachlorobiphenyl)", 'SCHEMBL463759', 'PCB No. 110', 'DTXSID3038307', 'CTK4H9863', 'PCB-110', 'PCB No 110, analytical standard', 'ZINC2521622', 'LS-44516', 'PCB No. 110 10 microg/mL in Isooctane', 'Q27272032', 'UNII-E20W17P8M3 component ARXHIJMGSIYYRZ-UHFFFAOYSA-N', '2,3,3,4,6-pentachlorobiphenyl;2 , 3 , 3? , 4? , 6-pentachlorobiphenyl']</t>
  </si>
  <si>
    <t>Compound(38015)</t>
  </si>
  <si>
    <t>2,3, 4,4 ', 5-pentachloorbifenyl</t>
  </si>
  <si>
    <t>1,2,3,4-tetrachloro-5-(4-chlorophenyl)benzene</t>
  </si>
  <si>
    <t>["2,3,4,4',5-PENTACHLOROBIPHENYL", '74472-37-0', 'PCB 114', 'UNII-86S23H0DSX', "1,1'-Biphenyl, 2,3,4,4',5-pentachloro-", 'PCB-114', '86S23H0DSX', 'CHEMBL273442', 'CHEBI:81519', "PCB 114 (2,3,4,4',5-pentachlorobiphenyl)", '1,2,3,4-tetrachloro-5-(4-chlorophenyl)benzene', "2,3,4,4'5-pentachlorobiphenyl", 'PCB No. 114', 'SCHEMBL2277002', 'DTXSID9074226', 'CTK5D9919', 'ZINC2521624', "2,3,4,5,4'-Pentachloro-biphenyl", 'BDBM50408360', 'PCB No. 114 10 microg/mL in Isooctane', "2,3,4,4',5-Pentachloro-1,1'-biphenyl", "1,1'-Biphenyl,2,3,4,4',5-pentachloro-", "2,3,4,4',5-Pentachloro-1,1'-biphenyl #", 'C18117', 'Q27155439', 'UNII-E20W17P8M3 component SXZSFWHOSHAKMN-UHFFFAOYSA-N', 'UNII-Z34ZC2K7Q0 component SXZSFWHOSHAKMN-UHFFFAOYSA-N', "2,3,4,4',5-Pentachlorobiphenyl, BZ# 114, vial of 100 mg", "2,3,4,4',5-Pentachlorobiphenyl;2 , 3 , 4 , 4' , 5-pentachlorobiphenyl;2,3,4,45-pentachlorobiphenyl"]</t>
  </si>
  <si>
    <t>Compound(53036)</t>
  </si>
  <si>
    <t>2,3 ', 4,4', 5-pentachlorobiphenyl</t>
  </si>
  <si>
    <t>1,2,4-trichloro-5-(3,4-dichlorophenyl)benzene</t>
  </si>
  <si>
    <t>['31508-00-6', "2,3',4,4',5-PENTACHLOROBIPHENYL", 'PCB 118', "1,1'-Biphenyl, 2,3',4,4',5-pentachloro-", 'PCB-118', 'PCB No 118', 'PCB118', "Biphenyl, 2,3',4,4',5-pentachloro-", 'UNII-2B2AQE8U50', "3,4,2',4',5'-Pentachlorobiphenyl", '1,2,4-trichloro-5-(3,4-dichlorophenyl)benzene', 'BRN 2379471', '2B2AQE8U50', 'CHEMBL137264', 'CHEBI:81520', "2,3',4,4',5-Pentachloro-1,1'-biphenyl", "PCB 118 (2,3',4,4',5-pentachlorobiphenyl)", 'PCB No. 118', 'SCHEMBL2279480', 'DTXSID4032116', 'CDE-99;PCB No 118', 'CTK4G7250', 'ZINC2521627', "2,4,5,3',4'-Pentachlorobiphenyl", 'BDBM50408366', "2',4,4',5,5'-pentachlorobiphenyl", "2,4,5,3',4'-Pentachloro-biphenyl", 'LS-1181', 'NCGC00163737-01', 'PCB No. 118 10 microg/mL in Isooctane', 'PCB No. 118 100 microg/mL in Hexane', 'NS00001962', 'PCB No. 118 100 microg/mL in Isooctane', "1,1'-Biphenyl,2,3',4,4',5-pentachloro-", 'C18118', "2,3',4,4',5-Pentachlorobiphenyl (PCB 118)", 'J-018444', 'Q27155440', 'TOXIC EQUIVALENCY FACTOR EVALUATION (PCB-118)', 'UNII-E20W17P8M3 component IUTPYMGCWINGEY-UHFFFAOYSA-N', "2,3',4,4',5-Pentachlorobiphenyl;2,3,4,4,5-pentachlorobiphenyl;PCB 118 (2,3',4,4',5-pentachlorobiphenyl);2 , 3' , 4 , 4' , 5-pentachlorobiphenyl"]</t>
  </si>
  <si>
    <t>Compound(35823)</t>
  </si>
  <si>
    <t>2,3 ', 4,4 ' , 5'-pentachlorobiphenyl</t>
  </si>
  <si>
    <t>1,2,3-trichloro-5-(2,4-dichlorophenyl)benzene</t>
  </si>
  <si>
    <t>["2,3',4,4',5'-Pentachlorobiphenyl", '65510-44-3', 'PCB 123', 'UNII-1R4Z1DI9BB', "2',3,4,4',5-PENTACHLOROBIPHENYL", '1R4Z1DI9BB', 'CHEMBL137662', 'CHEBI:81521', 'PCB-123', "2,3',4,4',5'-Pentachloro-1,1'-biphenyl", '1,2,3-trichloro-5-(2,4-dichlorophenyl)benzene', "PCB 123 (2,3',4,4',5'-Pentachlorobiphenyl)", "2',3,4,4',5-Pentachloro-1,1'-biphenyl", "1,1'-Biphenyl, 2',3,4,4',5-pentachloro-", 'PCB No. 123', 'SCHEMBL2908267', 'CTK5C2790', 'DTXSID50867160', 'ZINC2568309', 'BDBM50408367', "3,4,5,2',4'-Pentachloro-biphenyl", 'PCB No. 123 10 microg/mL in Isooctane', "1,1'-Biphenyl, 2',3,4,4',5-pentachloro", 'C18119', "1,1'-Biphenyl, 2,3',4,4',5'-pentachloro", "1,1'-Biphenyl,2,3',4,4',5'-pentachloro-", 'Q27155441', 'UNII-E20W17P8M3 component YAHNWSSFXMVPOU-UHFFFAOYSA-N', "2',3,4,4',5-Pentachlorobiphenyl;2,3',4,4',5'-Pentachlorobiphenyl;2 , 3' , 4 , 4' , 5'-pentachlorobiphenyl;PCB 123"]</t>
  </si>
  <si>
    <t>Compound(47650)</t>
  </si>
  <si>
    <t>3.3 ', 4.4', 5-pentachlorobiphenyl</t>
  </si>
  <si>
    <t>1,2,3-trichloro-5-(3,4-dichlorophenyl)benzene</t>
  </si>
  <si>
    <t>["3,3',4,4',5-Pentachlorobiphenyl", 'PCB 126', '57465-28-8', "3,4,5,3',4'-Pentachlorobiphenyl", "3,3',4,4',5-Pentachloro-1,1'-biphenyl", "3,4,3',4',5'-Pentachlorobiphenyl", 'PCB-126', 'UNII-TSH69IA9XF', 'CCRIS 8862', 'PCB126', "3,4,5,3',4'-Penta coplanar polychlorinated biphenyl", "1,1'-Biphenyl, 3,3',4,4',5-pentachloro-", 'TSH69IA9XF', 'BRN 4190261', 'CHEMBL342696', 'CHEBI:34317', '1,2,3-trichloro-5-(3,4-dichlorophenyl)benzene', "PCB 126 (3,3',4,4',5-Pentachlorobiphenyl)", "3,4,5,3',4'-Pentachloro-biphenyl", "3,3',4,4',5-Pentachlorobiphenyl (PCB 126)", 'BIDD:ER0551', 'SCHEMBL308662', 'PCB No. 126', 'DTXSID3032179', 'CTK5A6902', 'PCB 126/PCB118', 'TEF TRANSGENICS (PCB126)', 'ZINC2521632', 'BDBM50214610', 'PCB 126/PCB 153; binary mixture', 'LS-1401', "3,3'',4,4'',5-Pentachlorobiphenyl", "3,3',4,4',5'-Pentachloro-Biphenyl", "3,4,5,3'',4''-Pentachlorobiphenyl", "3,4,3'',4'',5''-Pentachlorobiphenyl", 'PCB No. 126 10 microg/mL in Isooctane', "3,3',4,4',5-PCB", 'NS00007857', "1,1'-Biphenyl, 3,3',4,4',5-pentachloro", "1,1'-Biphenyl,3,3',4,4',5-pentachloro-", "3,3',4,4,',5-Pentachloro-1,1'-biphenyl", 'C14573', "PCB 126- 3,3',4,4',5-pentachlorobiphenyl", "3,3'',4,4'',5-pentachloro-1,1''-biphenyl", 'Q26840924', "3,4,5,3'',4''-Penta coplanar polychlorinated biphenyl", 'UNII-E20W17P8M3 component REHONNLQRWTIFF-UHFFFAOYSA-N', '3,3,4,4,5-PENTACHLOROBIPHENYL(SEE ALSO TOXIC EQUIVALENCY FACTOR EVALUATION (PENTACHLOROBIPHENYL))', "TOXIC EQUIVALENCY FACTOR EVALUATION ((PCB-126)3,3',4, 4',5-PENTACHLOROBIPHENYL) (SEE ALSO TOXIC EQUIVALENCY FACTOR EVALUATION (PENTACHLOROBIPHENYL))"]</t>
  </si>
  <si>
    <t>Compound(63090)</t>
  </si>
  <si>
    <t>2,2 ', 3,3 ' , 4,4'-Hexachlorobiphenyl</t>
  </si>
  <si>
    <t>1,2,3-trichloro-4-(2,3,4-trichlorophenyl)benzene</t>
  </si>
  <si>
    <t>["2,2',3,3',4,4'-HEXACHLOROBIPHENYL", 'AROCLOR 1260', '38380-07-3', 'Phenoclor DP6', 'PCB 128', '11096-82-5', 'Arochlor 1260', "2,3,4,2',3',4'-Hexachlorobiphenyl", "1,1'-Biphenyl, 2,2',3,3',4,4'-hexachloro-", 'Chlorodiphenyl (60% Cl)', 'UNII-PJ11O9J71Y', 'CCRIS 901', "2,2',3,3',4,4'-Hexachloro-1,1'-biphenyl", 'HSDB 1822', 'PCB-1260', '1,2,3-trichloro-4-(2,3,4-trichlorophenyl)benzene', 'BRN 2508232', 'PJ11O9J71Y', 'PCB-128', "PCB 128 (2,2',3,3',4,4'-Hexachlorobiphenyl)", 'Polychlorinated biphenyl (aroclor 1260)', 'Clophen A 60', 'Aroclor 1260 solution', 'PCB 1260', 'DSSTox_CID_101', 'DSSTox_RID_75367', 'DSSTox_GSID_20101', 'SCHEMBL308791', 'polychlorinated biphenyl 1260', 'PCB No. 128', 'CHEMBL3189099', 'CTK4H9866', 'DTXSID50858932', 'ZINC2521556', 'Tox21_200183', 'LS-2210', 'NCGC00248554-01', 'NCGC00257737-01', 'LS-44408', 'PCB No. 128 10 microg/mL in Isooctane', 'CAS-11096-82-5', 'NS00003433', "2,2'3,3',4,4'-Hexachloro-1,1'-biphenyl", 'AROCHLOR 1260 (9CI) (CHEMICALMIXTURE)', "1,1'-Biphenyl,2,2',3,3',4,4'-hexachloro-", "2,2',3,3',4,4'-Hexachloro-1,1'-biphenyl #", "2,2',3,3',4,4'-Hexachlorobiphenyl (PCB 128)", 'J-002495', 'Q26841006', 'UNII-416O992G98 component BTAGRXWGMYTPBY-UHFFFAOYSA-N']</t>
  </si>
  <si>
    <t>Compound(38018)</t>
  </si>
  <si>
    <t>C12H4Cl6</t>
  </si>
  <si>
    <t>2,2 ', 3,3 ' , 4,5'-Hexachlorobiphenyl</t>
  </si>
  <si>
    <t>1,2,3-trichloro-4-(2,3,5-trichlorophenyl)benzene</t>
  </si>
  <si>
    <t>["2,2',3,3',4,5'-HEXACHLOROBIPHENYL", '52663-66-8', "2,2',3,3',4,5'-Hexachloro-1,1'-biphenyl", "1,1'-Biphenyl, 2,2',3,3',4,5'-hexachloro-", 'UNII-6B52906N4U', '6B52906N4U', 'SCHEMBL4450365', 'DTXSID5073539', 'CTK4J6258', 'PCB 130', 'PCB-130', 'ZINC2569345', "2,3,4,2',3',5'-hexachlorobiphenyl", 'ACM52663668', 'DB-052157', 'FT-0640087', "1,1'-Biphenyl, 2,2',3,3',4',5-hexachloro", "1,1'-Biphenyl,2,2',3,3',4,5'-hexachloro-", 'C-42309', "2,2',3,3',4,5'-Hexachloro-1,1'-biphenyl #", 'Q27264436', 'UNII-416O992G98 component YFSLABAYQDPWPF-UHFFFAOYSA-N']</t>
  </si>
  <si>
    <t>Compound(40473)</t>
  </si>
  <si>
    <t>2,2 ', 3,3 ' , 4,6'-Hexachlorobiphenyl</t>
  </si>
  <si>
    <t>1,2,3-trichloro-4-(2,3,6-trichlorophenyl)benzene</t>
  </si>
  <si>
    <t>["2,2',3,3',4,6'-Hexachlorobiphenyl", '38380-05-1', 'PCB 132', 'GPCB 132', "2,2',3,3',4,6'-Hexachloro-1,1'-biphenyl", "1,1'-Biphenyl, 2,2',3,3',4,6'-hexachloro-", 'UNII-814T8D9W95', '814T8D9W95', '1,2,3-trichloro-4-(2,3,6-trichlorophenyl)benzene', "PCB 132 (2,2',3,3',4,6'-Hexachlorobiphenyl)", 'PCB-132', 'PCB No. 132', 'SCHEMBL4453307', 'DTXSID9074141', 'CTK4H9865', 'ZINC2568311', '2,2,3,3,4,6-Hexachlorobiphenyl', 'LS-44400', 'PCB No. 132 10 microg/mL in Isooctane', '2,2,3,3,4,6-Hexachloro-1,1-biphenyl', "2,2',3,3',4,6'-Hexachloro-1,1'-biphenyl #", 'Q27269208', 'UNII-416O992G98 component OKBJVIVEFXPEOU-UHFFFAOYSA-N', "2 , 2' , 3 , 3' , 4 , 6'-hexachlorobiphenyl;2,2,3,3,4,6-hexachlorobiphenyl"]</t>
  </si>
  <si>
    <t>Compound(38017)</t>
  </si>
  <si>
    <t>2,2 ', 3,4, 4', 5-hexachlorobiphenyl</t>
  </si>
  <si>
    <t>1,2,3,4-tetrachloro-5-(2,4-dichlorophenyl)benzene</t>
  </si>
  <si>
    <t>["2,2',3,4,4',5-HEXACHLOROBIPHENYL", '35694-06-5', 'PCB 137', "1,1'-Biphenyl, 2,2',3,4,4',5-hexachloro-", 'UNII-X578739527', "2,2',3,4,4',5-Hexachloro-1,1'-biphenyl", 'X578739527', '1,2,3,4-tetrachloro-5-(2,4-dichlorophenyl)benzene', 'SCHEMBL4456776', 'DTXSID0074138', 'CTK4H5176', 'PCB-137', 'ZINC2521560', "2,2',3,4',4,5-hexachlorobiphenyl", 'LS-44401', 'PCB No. 137 10 microg/mL in Isooctane', "1,1'-Biphenyl,2,2',3,4,4',5-hexachloro-", "PCB 137 (2,2',3,4,4',5-Hexachlorobiphenyl)", 'Q27293567', 'UNII-416O992G98 component CKLLRBPBZLTGDJ-UHFFFAOYSA-N']</t>
  </si>
  <si>
    <t>Compound(37250)</t>
  </si>
  <si>
    <t>2,2 ', 3,4, 4', 5'-Hexachlorobiphenyl</t>
  </si>
  <si>
    <t>1,2,3-trichloro-4-(2,4,5-trichlorophenyl)benzene</t>
  </si>
  <si>
    <t>['35065-28-2', "2,2',3,4,4',5'-HEXACHLOROBIPHENYL", 'PCB 138', 'PCB-138', "2,2',3',4,4',5-Hexachlorobiphenyl", "1,1'-Biphenyl, 2,2',3,4,4',5'-hexachloro-", 'UNII-7Y6JIG1867', 'CCRIS 4039', '1,2,3-trichloro-4-(2,4,5-trichlorophenyl)benzene', "2,2,'3,4,4,'5'-Hexachlorobiphenyl", '7Y6JIG1867', "PCB 138 (2,2',3,4,4',5'-Hexachlorobiphenyl)", 'PCB138', "2,3,4,2',4',5'-Hexachlorobiphenyl", 'PCB No. 138', 'SCHEMBL4459622', 'DTXSID8038300', 'CTK4H3475', "2,2',3,4,4',5'-Hexachlorobiphenyl (IUPAC No. 138)", 'PCB No 138, analytical standard', 'ZINC2516092', "2,2',3,4,4',5'-Hexachlorbiphenyl", '2,2`,3,4,4`,5`-Hexachlorobiphenyl', 'LS-44404', 'PCB No. 138 10 microg/mL in Isooctane', 'PCB No. 138 100 microg/mL in Hexane', 'NS00005294', 'PCB No. 138 100 microg/mL in Isooctane', "2,2',3,4,4',5'-Hexachloro-1,1'-biphenyl", "1,1'-Biphenyl,2,2',3,4,4',5'-hexachloro-", "2,2',3,4,4',5'-Hexachloro-1,1'-biphenyl #", "2,2',3,4,4',5'-Hexachlorobiphenyl (PCB 138)", 'J-019851', 'Q27269013', 'UNII-416O992G98 component RPUMZMSNLZHIGZ-UHFFFAOYSA-N', 'PCB No 138 solution, 10 mug/mL in isooctane, analytical standard', "2,2',3,4,4',5'-Hexachlorobiphenyl, 99%, vial of 25 mg, BZ# 138", "2,2',3,4,4',5'-Hexachlorobiphenyl (IUPAC No. 138), BCR(R) certified Reference Material", "2,2',3,4,4',5'-Hexachlorobiphenyl, 99%, vial of 250 mg, BZ# 138, analytical standard", "2,2',3,4,4',5'-Hexachlorobiphenyl;2,2,3,4,4,5-hexachlorobiphenyl;2,2',3',4,4',5'-hexachlorobiohenyl;2 , 2' , 3 , 4 , 4' , 5'-hexachlorobiphenyl"]</t>
  </si>
  <si>
    <t>Compound(37035)</t>
  </si>
  <si>
    <t>3,5-dichlorobiphenyl</t>
  </si>
  <si>
    <t>1,3-dichloro-5-phenylbenzene</t>
  </si>
  <si>
    <t>['3,5-Dichlorobiphenyl', '34883-41-5', "3,5-DICHLORO-1,1'-BIPHENYL", "1,1'-Biphenyl, 3,5-dichloro-", 'UNII-IXL47709VM', '1,3-dichloro-5-phenylbenzene', 'PCB 14', 'IXL47709VM', 'CHEBI:34326', 'PCB 14 (3,5-Dichlorobiphenyl)', 'PCB No 14', '3,5-Dichloro-Biphenyl', 'C14356', 'PCB No. 14', 'SCHEMBL308200', 'CHEMBL125602', 'PCB-14', 'DTXSID5074137', 'CTK4H3200', "1,1'-Biphenyl,3,5-dichloro-", 'PCB No 14, analytical standard', '3,5-Dichlorobiphenyl (PCB 14)', 'ZINC2009473', 'AKOS015903319', 'FCH1320559', 'ACM34883415', 'PCB No. 14 10 microg/mL in Isooctane', 'NS00004017', 'J-019788', 'Q27115992', 'UNII-6U5234DZND component QHZSDTDMQZPUKC-UHFFFAOYSA-N', "3,5-Dichlorobiphenyl (PCB 14);3 , 5-dichlorobiphenyl;3,5-Dichloro-1,1'-biphenyl;3,5-dichlorobiphenyl"]</t>
  </si>
  <si>
    <t>Compound(36981)</t>
  </si>
  <si>
    <t>2,2 ' , 3,4,5,5'-Hexachlorobiphenyl</t>
  </si>
  <si>
    <t>1,2,3,4-tetrachloro-5-(2,5-dichlorophenyl)benzene</t>
  </si>
  <si>
    <t>["2,2',3,4,5,5'-HEXACHLOROBIPHENYL", '52712-04-6', 'PCB 141', 'UNII-2NOF097W59', "1,1'-Biphenyl, 2,2',3,4,5,5'-hexachloro-", 'PCB-141', '2NOF097W59', '1,2,3,4-tetrachloro-5-(2,5-dichlorophenyl)benzene', "2,2',3,4,5,5'-HEXACHLORO-1,1'-BIPHENYL", "2,3,4,5,2',5'-Hexachlorobiphenyl", "PCB 141 (2,2',3,4,5,5'-Hexachlorobiphenyl)", 'PCB No. 141', 'DTXSID6074174', 'CTK8I9867', 'ZINC2521561', "2,2',3,4,5,5'-Hexachlorbiphenyl", 'PCB No. 141 10 microg/mL in Isooctane', "2,2',3,4,5,5'-Hexachloro-1,1'-biphenyl #", 'Q27255121', 'UNII-416O992G98 component UCLKLGIYGBLTSM-UHFFFAOYSA-N']</t>
  </si>
  <si>
    <t>Compound(40234)</t>
  </si>
  <si>
    <t>2,2 ' , 3,4,6'-hexachlorobiphenyl</t>
  </si>
  <si>
    <t>1,2,3,5-tetrachloro-4-(2,6-dichlorophenyl)benzene</t>
  </si>
  <si>
    <t>["2,2',3,4,6,6'-Hexachlorobiphenyl", '74472-40-5', 'UNII-237640M72H', "1,1'-Biphenyl, 2,2',3,4,6,6'-hexachloro-", 'PCB-145', '237640M72H', '1,2,3,5-tetrachloro-4-(2,6-dichlorophenyl)benzene', 'SCHEMBL4448496', 'DTXSID4074229', 'CTK5D9922', 'PCB 145', 'ZINC2568316', 'Ethylen Glycol mono sec-Butyl Ether', 'PCB No. 145 10 microg/mL in Isooctane', "2,2',3,4,6,6'-Hexachloro-1,1'-biphenyl", 'A22628', "1,1'-Biphenyl,2,2',3,4,6,6'-hexachloro-", "PCB 145 (2,2',3,4,6,6'-Hexachlorobiphenyl)", 'Q27253720', 'UNII-416O992G98 component JZFZCLFEPXCRCA-UHFFFAOYSA-N']</t>
  </si>
  <si>
    <t>Compound(93442)</t>
  </si>
  <si>
    <t>2,2 ', 3,4 ' , 5 ', 6-hexachlorobiphenyl</t>
  </si>
  <si>
    <t>1,2,4-trichloro-3-(2,4,5-trichlorophenyl)benzene</t>
  </si>
  <si>
    <t>["2,2',3,4',5',6-HEXACHLOROBIPHENYL", '38380-04-0', 'PCB 149', 'PCB-149', 'UNII-5JNS37UVGI', "1,1'-Biphenyl, 2,2',3,4',5',6-hexachloro-", "2,2',3,4',5',6-Hexachloro-1,1'-biphenyl", '5JNS37UVGI', "2,2',3',4,5,6'-Hexachlorobiphenyl", '1,2,4-trichloro-3-(2,4,5-trichlorophenyl)benzene', "PCB 149 (2,2',3,4',5',6-Hexachlorobiphenyl)", 'PCB No. 149', 'SCHEMBL4450440', 'DTXSID1073498', 'CTK4H9864', 'PCB No 149, analytical standard', 'ZINC2568318', 'LS-44403', 'PCB No. 149 10 microg/mL in Isooctane', "2,2'3,4',5',6-Hexachloro-1,1'-biphenyl", "1,1'-Biphenyl, 2,2',3',4,5,6'-hexachloro", "1,1'-Biphenyl,2,2',3,4',5',6-hexachloro-", "2,2',3,4',5',6-Hexachloro-1,1'-biphenyl #", 'Q27262462', 'UNII-416O992G98 component LKHLFUVHHXCNJH-UHFFFAOYSA-N', "1,1-Biphenyl, 2,2,3,4,5,6-hexachloro-;2 , 2' , 3 , 4' , 5' , 6-hexachlorobiphenyl;2,2',3,4',5',6-Hexachloro-1,1'-biphenyl"]</t>
  </si>
  <si>
    <t>Compound(38016)</t>
  </si>
  <si>
    <t>2,2 ', 3,5,5 ', 6-hexachlorobiphenyl</t>
  </si>
  <si>
    <t>1,2,4,5-tetrachloro-3-(2,5-dichlorophenyl)benzene</t>
  </si>
  <si>
    <t>["2,2',3,5,5',6-HEXACHLOROBIPHENYL", '52663-63-5', "2,3,5,6,2',5'-Hexachlorobiphenyl", "1,1'-Biphenyl, 2,2',3,5,5',6-hexachloro-", 'PCB-151', 'UNII-R846435E65', 'R846435E65', "2,2',3,5,5',6-Hexachloro-1,1'-biphenyl", '1,2,4,5-tetrachloro-3-(2,5-dichlorophenyl)benzene', 'PCB 151', "PCB 151 (2,2',3,5,5',6-Hexachlorobiphenyl)", "2,2',3,5,5',6-Hcbp", 'PCB No. 151', 'SCHEMBL4453366', 'DTXSID2074160', 'CTK4J6255', 'PCB No 151, analytical standard', 'ZINC2521563', "2,2',3,5,5',6-Hexachlorbiphenyl", 'AKOS015903530', 'PCB No. 151 10 microg/mL in Isooctane', "1,1'-Biphenyl,2,2',3,5,5',6-hexachloro-", "1,1'-Biphenyl, 2,3,5,6,2',5'-hexachloro-", 'Q27287953', 'UNII-416O992G98 component UHCLFIWDCYOTOL-UHFFFAOYSA-N', "2 , 2? , 3 , 5 , 5? , 6-hexachlorobiphenyl;2,2',3,5,5',6'-Hexachloro-1,1'-biphenyl;2,2,3,5,5,6-hexachlorobiphenyl"]</t>
  </si>
  <si>
    <t>Compound(40471)</t>
  </si>
  <si>
    <t>2,2 ', 4,4 ' , 5,5'-Hexachlorobiphenyl</t>
  </si>
  <si>
    <t>1,2,4-trichloro-5-(2,4,5-trichlorophenyl)benzene</t>
  </si>
  <si>
    <t>["2,2',4,4',5,5'-Hexachlorobiphenyl", '35065-27-1', 'PCB 153', "1,1'-Biphenyl, 2,2',4,4',5,5'-hexachloro-", 'HCBP', "2,4,5,2',4',5'-Hexachlorobiphenyl", 'PCB-153', "2,2',4,4',5,5'-Hexachloro-1,1'-biphenyl", 'UNII-ZRU0C9E32O', 'CB-153', "2,2',4,4'5,5'-Hexachlorobiphenyl", 'CCRIS 9204', 'PCB153', 'HSDB 3946', "Biphenyl, 2,2',4,4',5,5'-hexachloro-", 'ZRU0C9E32O', 'CHEMBL14377', 'K 153', 'CHEBI:34202', "2,2',4,4',5,5'-Hexachloro-1,1'biphenyl", '1,2,4-trichloro-5-(2,4,5-trichlorophenyl)benzene', "PCB 153 (2,2',4,4',5,5'-Hexachlorobiphenyl)", "PCB 153- 2,2'-4,4',5,5'-hexachlorobiphenyl (Toxic equivalency factor (TEF) evaluation)", 'DSSTox_CID_12180', 'DSSTox_RID_78907', 'DSSTox_GSID_32180', 'MLS001065598', 'SCHEMBL258301', 'PCB No. 153', 'DTXSID2032180', 'CTK4H3474', "2,2',4,4',5,5'-Hexachlorobiphenyl (IUPAC No. 153)", 'HMS3039F13', 'PCB No 153, analytical standard', 'ZINC2516089', 'Tox21_202470', 'BDBM50408383', 'MFCD00055535', 'AKOS015903320', 'LS-1225', "2,2',4,4',5,5'-hexachlorbiphenyl", "2,2',4,4',5,5' Hexachlorobiphenyl", 'NCGC00091421-01', 'NCGC00091421-02', 'NCGC00260019-01', 'SMR000568460', "2,4,5,2',4',5'-Hexachloro-Biphenyl", 'PCB No. 153 10 microg/mL in Isooctane', 'PCB No. 153 100 microg/mL in Hexane', 'CAS-35065-27-1', 'NS00005442', 'PCB No. 153 100 microg/mL in Isooctane', 'C14201', 'PCB No. 153 100 microg/mL in Acetonitrile', "1,1'-Biphenyl,2,2',4,4',5,5'-hexachloro-", "2,2',4,4',5,5'-Hexachlorobiphenyl (PCB 153)", 'J-019850', "PCB 153- 2,2'-4,4',5,5'-hexachlorobiphenyl", 'Q27115899', "2,2',4,4',5,5'-Hexachloro-1,1'-biphenyl (9CI)", 'UNII-416O992G98 component MVWHGTYKUMDIHL-UHFFFAOYSA-N', 'PCB No 153 solution, 10 mug/mL in isooctane, analytical standard', "2,2',4,4',5,5'-Hexachlorobiphenyl (IUPAC No. 153), BCR(R) certified Reference Material", "2,2',4,4',5,5'-HEXACHLOROBIPHENYL (PCB 153) (SEE ALSO TOXIC EQUIVALENCY FACTOR EVALUATION (HEXACHLOROBIPHENYL))", "2,2',4,4',5,5'-Hexachlorobiphenyl;2 , 2' , 4 , 4' , 5 , 5'-hexachlorobiphenyl;2,4,5,2,4,5-hexachlorobiphenyl;PCB 153 (2,2',4,4',5,5'-Hexachlorobiphenyl)", '51908-10-2', "TOXIC EQUIVALENCY FACTOR EVALUATION (PCB 153- 2,2'-4, 4',5,5'-HEXACHLOROBIPHENYL) (SEE ALSO 2,2',4,4',5,5'-HEXACHLOROBIPHENYL (PCB 153))"]</t>
  </si>
  <si>
    <t>Compound(37034)</t>
  </si>
  <si>
    <t>2,2 ', 4,4 ' , 6,6'-Hexachlorobiphenyl</t>
  </si>
  <si>
    <t>1,3,5-trichloro-2-(2,4,6-trichlorophenyl)benzene</t>
  </si>
  <si>
    <t>["2,2',4,4',6,6'-HEXACHLOROBIPHENYL", '33979-03-2', "2,2',4,4',6,6'-Hexachloro-1,1'-biphenyl", "2,2',4,4',6,6'-Hexachlorodiphenyl", "2,4,6,2',4',6'-Hexachlorobiphenyl", "1,1'-Biphenyl, 2,2',4,4',6,6'-hexachloro-", "Biphenyl, 2,2',4,4',6,6'-hexachloro-", "2,2',4,4',6,6'-Hcb", 'UNII-R9YK3084VS', 'PCB 155', 'EINECS 251-773-8', 'BRN 2058693', 'R9YK3084VS', '1,3,5-trichloro-2-(2,4,6-trichlorophenyl)benzene', "PCB 155 (2,2',4,4',6,6'-Hexachlorobiphenyl)", 'CHEBI:34203', 'PCB No. 155', 'SCHEMBL2937097', 'DTXSID3040302', 'CTK4H1553', 'ZINC2521566', 'LS-44410', 'PCB No. 155 10 microg/mL in Isooctane', 'NS00029587', 'C14202', "1,1'-Biphenyl,2,2',4,4',6,6'-hexachloro-", 'Q27115900', 'UNII-416O992G98 component ICOAEPDGFWLUTI-UHFFFAOYSA-N', "2 , 2' , 4 , 4' , 6 , 6'-hexachlorobiphenyl;2,2,4,4,6,6-hexachlorobiphenyl;2,2',4,4',6,6'-hexachlorobiphenyl"]</t>
  </si>
  <si>
    <t>Compound(36647)</t>
  </si>
  <si>
    <t>2,3, 3 ', 4,4', 5-hexachlorobiphenyl</t>
  </si>
  <si>
    <t>1,2,3,4-tetrachloro-5-(3,4-dichlorophenyl)benzene</t>
  </si>
  <si>
    <t>["2,3,3',4,4',5-HEXACHLOROBIPHENYL", '38380-08-4', 'PCB 156', "1,1'-Biphenyl, 2,3,3',4,4',5-hexachloro-", 'CB 156', "2,3,3',4,4',5-Hexachloro-1,1'-biphenyl", "2,3,4,5,3',4'-Hexachlorobiphenyl", 'UNII-4D6049M2OC', "3,4,2',3',4',5'-Hexachlorobiphenyl", 'PCB-156', 'BRN 2468827', 'CHEMBL136496', 'CHEBI:81522', '4D6049M2OC', "PCB 156 (2,3,3',4,4',5-Hexachlorobiphenyl)", '1,2,3,4-tetrachloro-5-(3,4-dichlorophenyl)benzene', "1,1'-Biphenyl,2,3,3',4,4',5-hexachloro-", 'PCB No. 156', 'SCHEMBL2279549', 'DTXSID0052706', 'CTK4H9867', 'ZINC2521567', 'BDBM50408343', 'AKOS015903523', "2,3,4,5,3',4'-Hexachloro-biphenyl", 'LS-44411', 'PCB No. 156 10 microg/mL in Isooctane', 'NS00003535', 'C18120', "2,3,3',4,4',5-Hexachlorobiphenyl (PCB 156)", 'Q27155442', 'UNII-416O992G98 component LCXMEXLGMKFLQO-UHFFFAOYSA-N', 'PCB No 156 solution, 100 mug/mL in hexane, analytical standard', "2,3,3',4,4',5-Hexachlorobiphenyl, 99%, vial of 100 mg, BZ# 156, analytical standard", "2,3,3',4,4',5-Hexachlorobiphenyl;PCB 156 (2,3,3',4,4',5-Hexachlorobiphenyl);2,3,3,4,4,5-hexachlorobiphenyl;2,3,3',4,4',5-Hexachlorobiphenyl;2 , 3 , 3' , 4 , 4' , 5-hexachlorobiphenyl"]</t>
  </si>
  <si>
    <t>Compound(38019)</t>
  </si>
  <si>
    <t>2,3, 3 ', 4,4', 5'-Hexachlorobiphenyl</t>
  </si>
  <si>
    <t>1,2,3-trichloro-4-(3,4,5-trichlorophenyl)benzene</t>
  </si>
  <si>
    <t>["2,3,3',4,4',5'-HEXACHLOROBIPHENYL", '69782-90-7', 'PCB 157', 'UNII-NX9G1C1FTV', 'NX9G1C1FTV', "1,1'-Biphenyl, 2,3,3',4,4',5'-hexachloro-", 'CHEMBL136129', 'CHEBI:81523', 'PCB-157', "2,3,3',4,4',5'-Hexachloro-1,1'-biphenyl", '1,2,3-trichloro-4-(3,4,5-trichlorophenyl)benzene', "PCB 157 (2,3,3',4,4',5'-Hexachlorobiphenyl)", 'CB 157', "2,3,4,3',4',5'-Hexachlorobiphenyl", 'PCB No. 157', 'SCHEMBL2907676', 'DTXSID6074205', 'CTK5D1336', 'ZINC2568320', 'BDBM50408354', "2,3,4,3',4',5'-Hexachloro-biphenyl", 'PCB No. 157 10 microg/mL in Isooctane', 'C18121', "1,1'-Biphenyl,2,3,3',4,4',5'-hexachloro-", "2,3,3',4,4',5'-Hexachloro-1,1'-biphenyl #", 'Q27155443', 'UNII-416O992G98 component YTWXDQVNPCIEOX-UHFFFAOYSA-N']</t>
  </si>
  <si>
    <t>Compound(50891)</t>
  </si>
  <si>
    <t>2,3, 3 ', 4,4', 6-hexachlorobiphenyl</t>
  </si>
  <si>
    <t>1,2,3,5-tetrachloro-4-(3,4-dichlorophenyl)benzene</t>
  </si>
  <si>
    <t>["2,3,3',4,4',6-Hexachlorobiphenyl", '74472-42-7', 'PCB 158', 'UNII-C2JHN8P01Z', 'C2JHN8P01Z', "1,1'-Biphenyl, 2,3,3',4,4',6-hexachloro-", "2,3,3',4,4',6-Hexachloro-1,1'-biphenyl", '2,3,3,4,4,6-HEXACHLOROBIPHENYL', 'SCHEMBL4449757', 'DTXSID8074231', 'CTK5D9924', 'PCB-158', 'ZINC2521568', "1,1'-Biphenyl, 2,3,3',4,4',6-hexachloro", "1,1'-Biphenyl,2,3,3',4,4',6-hexachloro-", 'Q27275100', 'UNII-416O992G98 component ZQUPQXINXTWCQR-UHFFFAOYSA-N']</t>
  </si>
  <si>
    <t>Compound(63072)</t>
  </si>
  <si>
    <t>2,3,3 ', 4,5, 6-hexachloorbifenyl</t>
  </si>
  <si>
    <t>1,2,3,4,5-pentachloro-6-(3-chlorophenyl)benzene</t>
  </si>
  <si>
    <t>["2,3,3',4,5,6-Hexachlorobiphenyl", '41411-62-5', 'UNII-SN1JM05370', "1,1'-Biphenyl, 2,3,3',4,5,6-hexachloro-", 'SN1JM05370', '1,2,3,4,5-pentachloro-6-(3-chlorophenyl)benzene', "PCB 160 (2,3,3',4,5,6-Hexachlorobiphenyl)", "Biphenyl, 2,3,3',4,5,6-hexachloro-", '2,3,3,4,5,6-HEXACHLOROBIPHENYL', 'PCB No. 160', 'SCHEMBL4450693', 'CTK4I4797', 'DTXSID20866044', 'PCB 160', 'PCB-160', 'ZINC2568321', "2,3,3',4,5,6-Hexachlorbiphenyl", "2,3,3',4,5,6-hexachloro-biphenyl", 'PCB No. 160 10 microg/mL in Isooctane', "1,1'-Biphenyl,2,3,3',4,5,6-hexachloro-", "2,3,3',4,5,6-Hexachloro-1,1'-biphenyl #", 'Q27289295', 'UNII-416O992G98 component JHJMZCXLJXRCHK-UHFFFAOYSA-N']</t>
  </si>
  <si>
    <t>Compound(632312)</t>
  </si>
  <si>
    <t>2,3, 4,4 ', 5,6-hexachloorbifenyl</t>
  </si>
  <si>
    <t>1,2,3,4,5-pentachloro-6-(4-chlorophenyl)benzene</t>
  </si>
  <si>
    <t>["2,3,4,4',5,6-Hexachlorobiphenyl", '41411-63-6', 'PCB 166', 'UNII-00865O20QZ', "1,1'-Biphenyl, 2,3,4,4',5,6-hexachloro-", "1,1'-Biphenyl, 2,3,4,4',5,6,-hexachloro-", '00865O20QZ', "2,3,4,4',5,6-Hexachloro-1,1'-biphenyl", '1,2,3,4,5-pentachloro-6-(4-chlorophenyl)benzene', "PCB 166 (2,3,4,4',5,6-Hexachlorobiphenyl)", '2,3,4,4,5,6-Hexachlorobiphenyl', 'PCB No. 166', 'SCHEMBL4458316', 'DTXSID8074150', 'CTK4I4798', 'PCB-166', 'ZINC2521570', "2,3,4,4',5,6-Hexachlorbiphenyl", 'PCB No. 166 10 microg/mL in Isooctane', "1,1'-Biphenyl,2,3,4,4',5,6-hexachloro-", 'Q27231333', 'UNII-416O992G98 component BTOCFTAWZMMTNB-UHFFFAOYSA-N']</t>
  </si>
  <si>
    <t>Compound(63077)</t>
  </si>
  <si>
    <t>2,3 ', 4,4 ' , 5,5'-Hexachlorobiphenyl</t>
  </si>
  <si>
    <t>1,2,3-trichloro-5-(2,4,5-trichlorophenyl)benzene</t>
  </si>
  <si>
    <t>["2,3',4,4',5,5'-Hexachlorobiphenyl", '52663-72-6', 'PCB 167', 'UNII-HD4MZI40CH', "1,1'-Biphenyl, 2,3',4,4',5,5'-hexachloro-", 'PCB-167', 'HD4MZI40CH', 'CHEMBL136151', 'CHEBI:81524', "2,3',4,4',5,5'-Hexachloro-1,1'-biphenyl", '1,2,3-trichloro-5-(2,4,5-trichlorophenyl)benzene', 'HSDB 3947', "PCB 167 (2,3',4,4',5,5'-Hexachlorobiphenyl)", "2,4,5,3',4',5'-HEXACHLOROBIPHENYL", 'PCB No. 167', 'SCHEMBL2281805', 'DTXSID7074165', 'CTK4J6263', 'ZINC2521571', 'BDBM50408370', "2,4,5,3',4',5'-Hexachloro-biphenyl", 'PCB No. 167 10 microg/mL in Isooctane', "2,3'4,4',5,5'-Hexachloro-1,1'-biphenyl", 'C18122', "1,1'-Biphenyl,2,3',4,4',5,5'-hexachloro-", "2,3',4,4',5,5'-Hexachloro-1,1'-biphenyl #", 'Q27155444', 'UNII-416O992G98 component AZXHAWRMEPZSSV-UHFFFAOYSA-N']</t>
  </si>
  <si>
    <t>Compound(40479)</t>
  </si>
  <si>
    <t>3,3 ', 4,4 ' , 5,5'-Hexachlorobiphenyl</t>
  </si>
  <si>
    <t>1,2,3-trichloro-5-(3,4,5-trichlorophenyl)benzene</t>
  </si>
  <si>
    <t>["3,3',4,4',5,5'-Hexachlorobiphenyl", '32774-16-6', 'PCB 169', "3,4,5,3',4',5'-HEXACHLOROBIPHENYL", 'HSDB 3948', 'UNII-T2P1WH546D', "3,3',4,4',5,5'-Hexachloro-1,1'-biphenyl", "1,1'-Biphenyl, 3,3',4,4',5,5'-hexachloro-", 'PCB-169', "Biphenyl, 3,3',4,4',5,5'-hexachloro-", '1336-36-3', 'BRN 1990183', 'T2P1WH546D', 'CHEBI:81517', "3,4,5,3',4',5'-Hexa coplanar polychlorinated biphenyl", '1,2,3-trichloro-5-(3,4,5-trichlorophenyl)benzene', "PCB 169 (3,3',4,4',5,5'-Hexachlorobiphenyl)", 'PCB169', 'Polychlorinated biphenyls (PCBs)', '3-05-00-01742 (Beilstein Handbook Reference)', 'CHEMBL14658', 'PCB No. 169', 'SCHEMBL2906064', 'DTXSID2038314', 'CTK4G9260', 'ZINC2521572', "3,3',4,4',5,5'-Hexachlorbiphenyl", "3,4,5,3',4',5'-Hexachloro-biphenyl", 'LS-44407', 'Polychlorinated biphenyls (PCBs) - Total', 'PCB No. 169 10 microg/mL in Isooctane', 'NS00005274', 'C18115', "1,1'-Biphenyl,3,3',4,4',5,5'-hexachloro-", "3,3',4,4',5,5'-Hexachlorobiphenyl (PCB 169)", "3,4,5,3',4',5'-Hexachloro-biphenyl(345HCB)", 'Q22137042', "1,1'-Biphenyl, 3,3',4,4',5,5'-hexachloro- (9CI)", 'UNII-416O992G98 component ZHLICBPIXDOFFG-UHFFFAOYSA-N']</t>
  </si>
  <si>
    <t>Compound(36231)</t>
  </si>
  <si>
    <t>2,2 ', 4-trichlorobiphenyl</t>
  </si>
  <si>
    <t>2,4-dichloro-1-(2-chlorophenyl)benzene</t>
  </si>
  <si>
    <t>["2,2',4-TRICHLOROBIPHENYL", '37680-66-3', "1,1'-Biphenyl, 2,2',4-trichloro-", 'UNII-YA6CZ8O8B4', 'PCB 17', 'YA6CZ8O8B4', "2,2',4-Trichloro-1,1'-biphenyl", "1,1'-Biphenyl,2,2',4-trichloro-", 'PCB-17', 'SCHEMBL2934558', 'CHEMBL1797260', 'DTXSID1073492', 'CTK4H8636', 'ZINC2007998', '1,1-Biphenyl, 2,2,4-trichloro-', 'ACM37680663', 'Q27294424', 'UNII-6T1K7FWA8K component YKKYCYQDUUXNLN-UHFFFAOYSA-N']</t>
  </si>
  <si>
    <t>Compound(37804)</t>
  </si>
  <si>
    <t>C12H7Cl3</t>
  </si>
  <si>
    <t>2.2 ', 3.3 ' , 4.4 ', 5-heptachlorobiphenyl</t>
  </si>
  <si>
    <t>1,2,3,4-tetrachloro-5-(2,3,4-trichlorophenyl)benzene</t>
  </si>
  <si>
    <t>["2,2',3,3',4,4',5-HEPTACHLOROBIPHENYL", '35065-30-6', 'PCB 170', "2,2',3,3',4,4',5-Heptachloro-1,1'-biphenyl", "1,1'-Biphenyl, 2,2',3,3',4,4',5-heptachloro-", 'UNII-2I988FUS7H', 'PCB-170', '2I988FUS7H', '1,2,3,4-tetrachloro-5-(2,3,4-trichlorophenyl)benzene', "1,1'-Biphenyl,2,2',3,3',4,4',5-heptachloro-", "PCB 170 (2,2',3,3',4,4',5-Heptachlorobiphenyl)", 'PCB No. 170', 'SCHEMBL2229300', 'DTXSID2073481', 'CTK4H3477', 'PCB No 170, analytical standard', 'ZINC2521545', 'AKOS015903357', 'LS-44393', 'PCB No. 170 10 microg/mL in Isooctane', 'NS00047766', 'Q27254781', 'UNII-1LI0W19NDA component RMPWIIKNWPVWNG-UHFFFAOYSA-N', "2,2',3,3',4,4',5-Heptachlorobiphenyl, 99%, vial of 100 mg, BZ# 170", '2 , 2? , 3 , 3? , 4 , 4? , 5-heptachlorobiphenyl;1,1-Biphenyl, 2,2,3,3,4,4,5-heptachloro-']</t>
  </si>
  <si>
    <t>Compound(37037)</t>
  </si>
  <si>
    <t>C12H3Cl7</t>
  </si>
  <si>
    <t>2.2 ', 3.3 ' , 4.4 ', 6-heptachlorobiphenyl</t>
  </si>
  <si>
    <t>1,2,3,5-tetrachloro-4-(2,3,4-trichlorophenyl)benzene</t>
  </si>
  <si>
    <t>["2,2',3,3',4,4',6-HEPTACHLOROBIPHENYL", '52663-71-5', 'UNII-MQY8EP6V5R', 'PCB 171', "1,1'-Biphenyl, 2,2',3,3',4,4',6-heptachloro-", 'MQY8EP6V5R', "2,2',3,3',4,4',6-Heptachloro-1,1'-biphenyl", '1,2,3,5-Tetrachloro-4-(2,3,4-trichlorophenyl)benzene', 'CHEMBL269000', 'SCHEMBL4449569', 'DTXSID4073540', 'CTK4J6262', 'PCB-171', 'ZINC2521546', 'PCB No. 171 10 microg/mL in Isooctane', "2,2',3',4,4',5,6-heptachlorobiphenyl", "2,3,4,6,2',3',4'-Heptachloro-biphenyl", '1,1-Biphenyl, 2,2,3,3,4,4,6-heptachloro-', "1,1'-Biphenyl,2,2',3,3',4,4',6-heptachloro-", 'Q27284179', "PCB 171 (2,2',3,3',4,4',6-Heptachlorobiphenyl)", 'UNII-1LI0W19NDA component TZMHVHLTPWKZCI-UHFFFAOYSA-N']</t>
  </si>
  <si>
    <t>Compound(40478)</t>
  </si>
  <si>
    <t>2,2 ', 3,3' , 4,5,5'-heptachlorobiphenyl</t>
  </si>
  <si>
    <t>1,2,3,4-tetrachloro-5-(2,3,5-trichlorophenyl)benzene</t>
  </si>
  <si>
    <t>["2,2',3,3',4,5,5'-Heptachlorobiphenyl", '52663-74-8', 'UNII-5MUM06YX8G', "2,2',3,3',4,5,5'-Heptachloro-1,1'-biphenyl", "1,1'-Biphenyl, 2,2',3,3',4,5,5'-heptachloro-", '5MUM06YX8G', '2,2,3,3,4,5,5-HEPTACHLOROBIPHENYL', 'SCHEMBL4453636', 'DTXSID7074167', 'CTK4J6265', 'PCB 172', 'PCB-172', 'ZINC2569347', 'ACM52663748', 'DB-052159', 'FT-0640089', 'C-42311', "1,1'-Biphenyl, 2,2',3,3',4',5,5'-heptachloro", "1,1'-Biphenyl,2,2',3,3',4,5,5'-heptachloro-", "2,2',3,3',4,5,5'-Heptachloro-1,1'-biphenyl #", 'Q27262574', 'UNII-1LI0W19NDA component HOPMUCXYRNOABF-UHFFFAOYSA-N']</t>
  </si>
  <si>
    <t>Compound(40481)</t>
  </si>
  <si>
    <t>2,2 ', 3,3' , 4,5,6'-heptachlorobiphenyl</t>
  </si>
  <si>
    <t>1,2,3,4-tetrachloro-5-(2,3,6-trichlorophenyl)benzene</t>
  </si>
  <si>
    <t>["2,2',3,3',4,5,6'-HEPTACHLOROBIPHENYL", '38411-25-5', 'UNII-OYI6B897Y7', "2,2',3,3',4,5,6'-Heptachloro-1,1'-biphenyl", "1,1'-Biphenyl, 2,2',3,3',4,5,6'-heptachloro-", 'OYI6B897Y7', 'SCHEMBL4449764', '1,2,3,4-tetrachloro-5-(2,3,6-trichlorophenyl)benzene', 'DTXSID4074142', 'CTK4H9913', 'PCB 174', 'PCB-174', 'ZINC2569348', 'AKOS015903557', '2,2,3,3,4,5,6-Heptachlorobiphenyl', 'ACM38411255', 'PCB No. 174 10 microg/mL in Isooctane', 'DB-049282', 'FT-0639466', '2,2,3,3,4,5,6-Heptachloro-1,1-biphenyl', 'C-42312', "2,2',3,3',4,5,6'-Heptachloro-1,1'-biphenyl #", 'Q27285917', "PCB 174 (2,2',3,3',4,5,6'-Heptachlorobiphenyl)", 'UNII-1LI0W19NDA component ZDLMBNHYTPHDLF-UHFFFAOYSA-N']</t>
  </si>
  <si>
    <t>Compound(38025)</t>
  </si>
  <si>
    <t>2,2 ', 3,3', 4,5, 6-heptachlorobiphenyl</t>
  </si>
  <si>
    <t>1,2,3,5-tetrachloro-4-(2,3,5-trichlorophenyl)benzene</t>
  </si>
  <si>
    <t>["2,2',3,3',4,5',6-Heptachlorobiphenyl", '40186-70-7', 'UNII-5C2I5Q45X2', '5C2I5Q45X2', "2,2',3,3',4,5',6-Heptachloro-1,1'-biphenyl", "1,1'-Biphenyl, 2,2',3,3',4,5',6-heptachloro-", 'SCHEMBL4448731', 'DTXSID9074147', 'CTK4I2628', 'PCB 175', 'PCB-175', 'ZINC2569344', 'ACM40186707', 'DB-049545', 'FT-0639619', 'C-42308', "1,1'-Biphenyl, 2,2',3,3',4,5',6-heptachloro", "1,1'-Biphenyl,2,2',3,3',4,5',6-heptachloro-", "2,2',3,3',4,5',6-Heptachloro-1,1'-biphenyl #", 'Q27261807', 'UNII-1LI0W19NDA component KJBDZJFSYQUNJT-UHFFFAOYSA-N']</t>
  </si>
  <si>
    <t>Compound(91633)</t>
  </si>
  <si>
    <t>2,2 ', 3,3' , 4,6,6'-heptachlorobiphenyl</t>
  </si>
  <si>
    <t>1,2,3,5-tetrachloro-4-(2,3,6-trichlorophenyl)benzene</t>
  </si>
  <si>
    <t>["2,2',3,3',4,6,6'-Heptachlorobiphenyl", '52663-65-7', 'UNII-3V6Y9402K1', "2,2',3,3',4,6,6'-Heptachloro-1,1'-biphenyl", "1,1'-Biphenyl, 2,2',3,3',4,6,6'-heptachloro-", '3V6Y9402K1', 'SCHEMBL4459037', 'DTXSID7074161', 'CTK4J6257', 'PCB 176', 'PCB-176', 'ZINC2569349', 'ACM52663657', 'DB-052156', 'FT-0640086', 'C-42313', "1,1'-Biphenyl,2,2',3,3',4,6,6'-heptachloro-", "2,2',3,3',4,6,6'-Heptachloro-1,1'-biphenyl #", 'Q27258075', 'UNII-1LI0W19NDA component HGMYRFJAJNYBRX-UHFFFAOYSA-N', "1,1-Biphenyl, 2,2,3,3,4,6,6-heptachloro-;2 , 2' , 3 , 3' , 4 , 6 , 6'-heptachlorobiphenyl"]</t>
  </si>
  <si>
    <t>Compound(63097)</t>
  </si>
  <si>
    <t>2.2 ', 3.3 ' , 4.5 ', 6-heptachlorobiphenyl</t>
  </si>
  <si>
    <t>1,2,4,5-tetrachloro-3-(2,3,4-trichlorophenyl)benzene</t>
  </si>
  <si>
    <t>["2,2',3,3',4,5',6'-HEPTACHLOROBIPHENYL", 'PCB 177', '52663-70-4', 'UNII-LEE72YP9XF', "2,2',3,3',4,5',6'-Heptachloro-1,1'-biphenyl", "1,1'-Biphenyl, 2,2',3,3',4,5',6'-heptachloro-", 'LEE72YP9XF', "2,2',3,3',4',5,6-HEPTACHLOROBIPHENYL", '1,2,4,5-tetrachloro-3-(2,3,4-trichlorophenyl)benzene', "1.1'-Biphenyl, 2,2',3,3',4,5',6'-heptachloro-", 'SCHEMBL5685708', 'DTXSID2074164', 'CTK4J6261', 'PCB-177', 'ZINC2573812', 'LS-44392', 'PCB No. 177 10 microg/mL in Isooctane', "1,1'-Biphenyl, 2,2',3,3',4',5,6-heptachloro", "1,1'-Biphenyl,2,2',3,3',4,5',6'-heptachloro-", 'Q27282945', "2,2',3,3',4,5',6'-Heptachloro-1,1'-biphenyl #", "PCB 177 (2,2',3,3',4,5',6'-Heptachlorobiphenyl)", 'UNII-1LI0W19NDA component CXOYNJAHPUASHN-UHFFFAOYSA-N']</t>
  </si>
  <si>
    <t>Compound(40477)</t>
  </si>
  <si>
    <t>2.2 ', 3.3 ' , 5.5 ', 6-heptachlorobiphenyl</t>
  </si>
  <si>
    <t>1,2,4,5-tetrachloro-3-(2,3,5-trichlorophenyl)benzene</t>
  </si>
  <si>
    <t>["2,2',3,3',5,5',6-HEPTACHLOROBIPHENYL", '52663-67-9', 'PCB 178', 'UNII-TC6A5D9JJE', "2,2',3,3',5,5',6-Heptachloro-1,1'-biphenyl", "1,1'-Biphenyl, 2,2',3,3',5,5',6-heptachloro-", 'TC6A5D9JJE', "2,3,5,6,2',3',5'-Heptachlorobiphenyl", "2,3,5,2',3',5',6'-Heptachlorobiphenyl", '2,2,3,3,5,5,6-HEPTACHLOROBIPHENYL', 'SCHEMBL4459067', '1,2,4,5-tetrachloro-3-(2,3,5-trichlorophenyl)benzene', 'DTXSID2074162', 'CTK4J6259', 'PCB-178', 'ZINC2569350', 'ACM52663679', 'PCB No. 178 10 microg/mL in Isooctane', 'DB-052158', 'FT-0640088', 'C-42314', "1,1'-Biphenyl,2,2',3,3',5,5',6-heptachloro-", "2,2',3,3',5,5',6-Heptachloro-1,1'-biphenyl #", 'Q27289889', "PCB 178 (2,2',3,3',5,5',6-Heptachlorobiphenyl)", 'UNII-1LI0W19NDA component WCIBKXHMIXUQHK-UHFFFAOYSA-N']</t>
  </si>
  <si>
    <t>Compound(40474)</t>
  </si>
  <si>
    <t>2,2 ', 5-trichlorobiphenyl</t>
  </si>
  <si>
    <t>1,4-dichloro-2-(2-chlorophenyl)benzene</t>
  </si>
  <si>
    <t>["2,2',5-TRICHLOROBIPHENYL", '37680-65-2', 'PCB 18', "2,5,2'-Trichlorobiphenyl", "1,1'-Biphenyl, 2,2',5-trichloro-", 'UNII-6LEV53Y3OX', "2,2',5-Trichloro-1,1'-biphenyl", 'BRN 2453347', "PCB 18 (2,2',5-Trichlorobiphenyl)", '6LEV53Y3OX', '1,4-dichloro-2-(2-chlorophenyl)benzene', "2,2',5-trichlorbiphenyl", "2,2',5'-Trichlorobiphenyl", "2,5,2'-Trichloro-biphenyl", 'PCB No. 18', 'CHEMBL13843', 'SCHEMBL381603', 'PCB-18', 'DTXSID6073491', 'CTK4H8635', 'DCMURXAZTZQAFB-UHFFFAOYSA-', 'PCB No 18, analytical standard', 'ZINC2008000', 'AKOS015903401', "2,2',5-Trichloro-1,1'-biphenyl #", "2,2',5-Trichlorobiphenyl (PCB 18)", 'ACM37680652', 'LS-44566', 'PCB No. 18 10 microg/mL in Isooctane', 'NS00008122', 'Q27265105', 'UNII-6T1K7FWA8K component DCMURXAZTZQAFB-UHFFFAOYSA-N', "2,2',5-Trichlorobiphenyl, 99%, BZ# 18, vial of 250 mg", "PCB 18 (2,2',5-Trichlorobiphenyl);2 , 2' , 5-trichlorobiphenyl;2,2,5-trichlorobiphenyl"]</t>
  </si>
  <si>
    <t>Compound(37803)</t>
  </si>
  <si>
    <t>2,2 ', 3,4, 4', 5,5'-heptachlorobiphenyl</t>
  </si>
  <si>
    <t>1,2,3,4-tetrachloro-5-(2,4,5-trichlorophenyl)benzene</t>
  </si>
  <si>
    <t>['35065-29-3', "2,2',3,4,4',5,5'-HEPTACHLOROBIPHENYL", 'PCB 180', "1,1'-Biphenyl, 2,2',3,4,4',5,5'-heptachloro-", 'PCB-180', 'UNII-52I0CG8IQX', '1,2,3,4-tetrachloro-5-(2,4,5-trichlorophenyl)benzene', "2,2',3,4,4',5,5'-Heptachloro-1,1'-biphenyl", '52I0CG8IQX', 'PCB180', "PCB 180 (2,2',3,4,4',5,5'-Heptachlorobiphenyl)", 'PCB No. 180', "1,1'-Biphenyl,2,2',3,4,4',5,5'-heptachloro-", 'CHEMBL375479', 'SCHEMBL4452334', 'DTXSID6038299', 'CTK4H3476', "2,2',3,4,4',5,5'-Heptachlorobiphenyl (IUPAC No. 180)", 'PCB No 180, analytical standard', 'ZINC2516091', 'AKOS015903356', 'LS-44394', "2,2',3,4,4',5,5'heptachlorobiphenyl", 'PCB No. 180 10 microg/mL in Isooctane', 'PCB No. 180 100 microg/mL in Hexane', '2,2`,3,4,4`,5,5`-Heptachlorobiphenyl', "2,3,4,5,2',4',5'-Heptachlorobiphenyl", 'NS00001212', 'PCB No. 180 100 microg/mL in Isooctane', 'J-019852', "2,2',3,4,4',5,5'-Heptachloro-1,1'-biphenyl #", 'Q27261005', 'UNII-1LI0W19NDA component WBHQEUPUMONIKF-UHFFFAOYSA-N', 'PCB No 180 solution, 10 mug/mL in isooctane, analytical standard', "2,2',3,4,4',5,5'-Heptachlorobiphenyl (IUPAC No. 180), BCR(R) certified Reference Material", "2,2',3,4,4',5,5'-Heptachlorobiphenyl, 99%, vial of 250 mg, BZ# 180, analytical standard", "2,2',3,4,4',5,5'-Heptachlorobiphenyl;Pentachlorbenzol;PCB 180;2 , 2' , 3 , 4 , 4' , 5 , 5'-heptachlorobiphenyl"]</t>
  </si>
  <si>
    <t>Compound(37036)</t>
  </si>
  <si>
    <t>2,2 ', 3,4, 4', 5 ', 6-heptachlorobiphenyl</t>
  </si>
  <si>
    <t>1,2,3,5-tetrachloro-4-(2,4,5-trichlorophenyl)benzene</t>
  </si>
  <si>
    <t>["2,2',3,4,4',5',6-HEPTACHLOROBIPHENYL", '52663-69-1', 'PCB 183', "2,2',3,4,4',5',6-Heptachloro-1,1'-biphenyl", "1,1'-Biphenyl, 2,2',3,4,4',5',6-heptachloro-", 'UNII-RD2022B03O', 'RD2022B03O', '1,2,3,5-tetrachloro-4-(2,4,5-trichlorophenyl)benzene', "PCB 183 (2,2',3,4,4',5',6-Heptachlorobiphenyl)", 'PCB No. 183', 'SCHEMBL4446978', 'DTXSID7074163', 'PCB-183', 'ZINC2521548', '2,2,3,4,4,5,6-Heptachlorobiphenyl', 'LS-44396', 'PCB No. 183 10 microg/mL in Isooctane', 'Q27288061', 'UNII-1LI0W19NDA component KQBFUDNJKCZEDQ-UHFFFAOYSA-N', "2 , 2' , 3 , 4 , 4' , 5' , 6-heptachlorobiphenyl;2,2,3,4,4,5,6-Heptachlorobiphenyl"]</t>
  </si>
  <si>
    <t>Compound(40476)</t>
  </si>
  <si>
    <t>2,2 ', 3,4,5,5 ', 6-heptachlorobiphenyl</t>
  </si>
  <si>
    <t>1,2,3,4,5-pentachloro-6-(2,5-dichlorophenyl)benzene</t>
  </si>
  <si>
    <t>["2,2',3,4,5,5',6-Heptachlorobiphenyl", '52712-05-7', 'UNII-E4GON8Y94S', 'E4GON8Y94S', "1,1'-Biphenyl, 2,2',3,4,5,5',6-heptachloro-", "2,2',3,4,5,5',6-HEPTACHLORO-1,1'-BIPHENYL", '1,2,3,4,5-pentachloro-6-(2,5-dichlorophenyl)benzene', "PCB 185 (2,2',3,4,5,5',6-Heptachlorobiphenyl)", "2,2',3,4,5,5'-Heptachlorobiphenyl", 'PCB No. 185', 'SCHEMBL4445059', 'DTXSID1074175', 'CTK4J6335', 'PCB 185', 'PCB-185', 'ZINC2521549', "2,2',3,4,5,5',6-Heptachlorbiphenyl", "2,3,4,5,6,2',5'-Heptachlorobiphenyl", 'PCB No. 185 10 microg/mL in Isooctane', "1,1'-Biphenyl,2,2',3,4,5,5',6-heptachloro-", "2,2',3,4,5,5',6-Heptachloro-1,1'-biphenyl #", 'Q27276857', 'UNII-1LI0W19NDA component PYZHTHZEHQHHEN-UHFFFAOYSA-N']</t>
  </si>
  <si>
    <t>Compound(40500)</t>
  </si>
  <si>
    <t>2,2 ', 3,4 ' , 5,5 ', 6-heptachlorobiphenyl</t>
  </si>
  <si>
    <t>1,2,4,5-tetrachloro-3-(2,4,5-trichlorophenyl)benzene</t>
  </si>
  <si>
    <t>["2,2',3,4',5,5',6-HEPTACHLOROBIPHENYL", '52663-68-0', 'PCB 187', "2,2',3,4',5,5',6-Heptachloro-1,1'-biphenyl", 'UNII-CIP7BRA48E', "1,1'-Biphenyl, 2,2',3,4',5,5',6-heptachloro-", 'CIP7BRA48E', '1,2,4,5-tetrachloro-3-(2,4,5-trichlorophenyl)benzene', "PCB 187 (2,2'',3,4'',5,5'',6-Heptachlorobiphenyl)", 'DSSTox_CID_31375', 'DSSTox_GSID_52832', 'PCB No. 187', 'SCHEMBL4449767', 'CHEMBL3560538', 'DTXSID5052832', 'CTK4J6260', 'PCB-187', 'ZINC2521551', 'Tox21_303787', 'NCGC00356989-01', 'LS-44397', 'PCB No. 187 10 microg/mL in Isooctane', 'CAS-52663-68-0', "2,2',3, 4',5,5',6-Heptachlorobiphenyl", "1,1'-Biphenyl,2,2',3,4',5,5',6-heptachloro-", 'Q27275485', 'UNII-1LI0W19NDA component UDMZPLROONOSEF-UHFFFAOYSA-N', "2,2',3,4',5,5',6-Heptachlorobiphenyl, 97%, vial of 100 mg, BZ# 187", "2,2',3,4',5,5',6-Heptachlorobiphenyl;2 , 2? , 3 , 4? , 5 , 5? , 6-heptachlorobiphenyl;1,1-Biphenyl, 2,2,3,4,5,5,6-heptachloro-"]</t>
  </si>
  <si>
    <t>Compound(40475)</t>
  </si>
  <si>
    <t>2,3, 3 ', 4,4', 5,5'-heptachlorobiphenyl</t>
  </si>
  <si>
    <t>1,2,3,4-tetrachloro-5-(3,4,5-trichlorophenyl)benzene</t>
  </si>
  <si>
    <t>["2,3,3',4,4',5,5'-HEPTACHLOROBIPHENYL", '39635-31-9', 'PCB 189', "2,3,3',4,4',5,5'-Heptachloro-1,1'-biphenyl", "1,1'-Biphenyl, 2,3,3',4,4',5,5'-heptachloro-", 'UNII-BN8554XK23', 'PCB-189', "2,3,4,5,3',4',5'-Heptachlorobiphenyl", 'BN8554XK23', '1,2,3,4-tetrachloro-5-(3,4,5-trichlorophenyl)benzene', "PCB 189 (2,3,3',4,4',5,5'-Heptachlorobiphenyl)", 'PCB No. 189', 'SCHEMBL2905963', 'DTXSID4074144', 'CHEBI:81525', 'CTK4I1656', 'ZINC2521553', 'LS-44395', 'PCB No. 189 10 microg/mL in Isooctane', 'PCB No. 189 100 microg/mL in Isooctane', 'C18123', "1,1'-Biphenyl,2,3,3',4,4',5,5'-heptachloro-", "2,3,3',4,4',5,5'-Heptachloro-1,1'-biphenyl #", 'Q27155445', 'UNII-1LI0W19NDA component XUAWBXBYHDRROL-UHFFFAOYSA-N', "2,3,3',4,4',5,5'-Heptachlorobiphenyl;2,3,4,5,3,4,5-heptachlorobiphenyl"]</t>
  </si>
  <si>
    <t>Compound(38306)</t>
  </si>
  <si>
    <t>2,3, 3 ', 4,4', 5,6-heptachlorobiphenyl</t>
  </si>
  <si>
    <t>1,2,3,4,5-pentachloro-6-(3,4-dichlorophenyl)benzene</t>
  </si>
  <si>
    <t>["2,3,3',4,4',5,6-HEPTACHLOROBIPHENYL", '41411-64-7', 'UNII-M03P5STJ2P', "2,3,3',4,4',5,6-Heptachloro-1,1'-biphenyl", 'M03P5STJ2P', "1,1'-Biphenyl, 2,3,3',4,4',5,6-heptachloro-", 'PCB-190', '1,2,3,4,5-pentachloro-6-(3,4-dichlorophenyl)benzene', 'DTXSID3074151', 'CTK4I4799', 'PCB 190', 'ZINC2521554', 'PCB No. 190 10 microg/mL in Isooctane', "1,1'-Biphenyl,2,3,3',4,4',5,6-heptachloro-", "PCB 190 (2,3,3',4,4',5,6-Heptachlorobiphenyl)", 'Q27283284', 'UNII-1LI0W19NDA component TYEDCFVCFDKSBK-UHFFFAOYSA-N']</t>
  </si>
  <si>
    <t>Compound(38857)</t>
  </si>
  <si>
    <t>2,2 ', 3,3', 4,4 ', 5,5'-octachlorobiphenyl</t>
  </si>
  <si>
    <t>1,2,3,4-tetrachloro-5-(2,3,4,5-tetrachlorophenyl)benzene</t>
  </si>
  <si>
    <t>["2,2',3,3',4,4',5,5'-OCTACHLOROBIPHENYL", 'PCB 194', '35694-08-7', 'UNII-9UJN9A379B', "1,1'-Biphenyl, 2,2',3,3',4,4',5,5'-octachloro-", "2,2',3,3',4,4',5,5'-Octachloro-1,1'-biphenyl", "2,3,4,5,2',3',4',5'-Octachlorobiphenyl", '9UJN9A379B', '1,2,3,4-tetrachloro-5-(2,3,4,5-tetrachlorophenyl)benzene', "PCB 194 (2,2',3,3',4,4',5,5'-Octachlorobiphenyl)", 'PCB No. 194', 'SCHEMBL2230314', 'DTXSID5074139', 'CTK4G7194', 'PCB-194', 'ZINC2521598', 'LS-44453', 'PCB No. 194 10 microg/mL in Isooctane', 'NS00050975', "2,2',3,3',4,4',5,5'-Octachlorbiphenyl", 'Q27273241', "1,1'-Biphenyl,ar,ar,ar,ar,ar',ar',ar',ar'-octachloro-", "2,2',3,3',4,4',5,5'-Octachloro-1,1'-biphenyl #", 'UNII-R323830CJ5 component DTMRKGRREZAYAP-UHFFFAOYSA-N', "2,2,3,3,4,4,5,5-OCTACHLOROBIPHENYL;2,2',3,3',4,4',5,5',Octachlorobiphenyl"]</t>
  </si>
  <si>
    <t>Compound(37251)</t>
  </si>
  <si>
    <t>C12H2Cl8</t>
  </si>
  <si>
    <t>2,2 ', 3,3 ' , 4,4 ', 5,6-octachlorobiphenyl</t>
  </si>
  <si>
    <t>1,2,3,4,5-pentachloro-6-(2,3,4-trichlorophenyl)benzene</t>
  </si>
  <si>
    <t>["2,2',3,3',4,4',5,6-OCTACHLOROBIPHENYL", '52663-78-2', 'OCTACHLOROBIPHENYL', 'PCB 195', 'UNII-GBU232J61I', "1,1'-Biphenyl, 2,2',3,3',4,4',5,6-octachloro-", "2,2',3,3',4,4',5,6-Octachloro-1,1'-biphenyl", 'GBU232J61I', '1,2,3,4,5-pentachloro-6-(2,3,4-trichlorophenyl)benzene', "PCB 195 (2,2',3,3',4,4',5,6-Octachlorobiphenyl)", 'Octachlorobiphenyl (mixed isomers)', 'PCB No. 195', 'SCHEMBL2230317', 'DTXSID1074171', 'CTK4J6269', 'PCB-195', 'ZINC2521599', 'EINECS 250-646-4', 'PCB No. 195 10 microg/mL in Isooctane', 'Q27279015', "1,1'-Biphenyl,2,2',3,3',4,4',5,6-octachloro-", "2,2',3,3',4,4',5,6-Octachloro-1,1'-biphenyl #", 'UNII-R323830CJ5 component JAHJITLFJSDRCG-UHFFFAOYSA-N', "tetrachloro(tetrachlorophenyl)benzene;2,2',3,3',4,4',5,6-Octachlorobiphenyl;2,2,3,3,4,4,5,6-OCTACHLOROBIPHENYL"]</t>
  </si>
  <si>
    <t>Compound(40485)</t>
  </si>
  <si>
    <t>2,2 ', 3,3', 4,4 ', 5,6'-octachlorobiphenyl</t>
  </si>
  <si>
    <t>1,2,3,4-tetrachloro-5-(2,3,4,6-tetrachlorophenyl)benzene</t>
  </si>
  <si>
    <t>["2,2',3,3',4,4',5,6'-OCTACHLOROBIPHENYL", '42740-50-1', 'PCB 196', 'UNII-3W40E7L2DO', "2,2',3,3',4,4',5,6'-Octachloro-1,1'-biphenyl", "1,1'-Biphenyl, 2,2',3,3',4,4',5,6'-octachloro-", '3W40E7L2DO', 'BIDD:PXR0053', 'SCHEMBL4448789', 'DTXSID3074157', 'CTK4I6562', 'PCB-196', '1,2,3,4-tetrachloro-5-(2,3,4,6-tetrachlorophenyl)benzene', 'ZINC2568332', 'PCB No. 196 10 microg/mL in Isooctane', 'Q27258117', "1,1'-Biphenyl, 2,2',3,3',4,4',5',6-octachloro", "1,1'-Biphenyl,2,2',3,3',4,4',5,6'-octachloro-", "2,2',3,3',4,4',5,6'-Octachloro-1,1'-biphenyl #", "PCB 196 (2,2',3,3',4,4',5,6'-Octachlorobiphenyl)", 'UNII-R323830CJ5 component BQFCCUSDZLKBJG-UHFFFAOYSA-N']</t>
  </si>
  <si>
    <t>Compound(39253)</t>
  </si>
  <si>
    <t>2,2 ', 3,3', 4,5, 6,6'-octachloorbifenyl</t>
  </si>
  <si>
    <t>1,2,3,4,5-pentachloro-6-(2,3,6-trichlorophenyl)benzene</t>
  </si>
  <si>
    <t>["2,2',3,3',4,5,6,6'-OCTACHLOROBIPHENYL", '52663-73-7', 'UNII-7Y7AX4L8DT', '7Y7AX4L8DT', "2,2',3,3',4,5,6,6'-Octachloro-1,1'-biphenyl", "1,1'-Biphenyl, 2,2',3,3',4,5,6,6'-octachloro-", 'PCB 200', '1,2,3,4,5-pentachloro-6-(2,3,6-trichlorophenyl)benzene', "PCB 200 (2,2',3,3',4,5,6,6'-Octachlorobiphenyl)", 'BIDD:PXR0078', 'PCB No. 200', 'SCHEMBL4454468', 'DTXSID2074166', 'CTK4J6264', 'PCB-200', 'ZINC2521601', 'PCB No. 200 10 microg/mL in Isooctane', '1,1-Biphenyl, 2,2,3,3,4,5,6,6-octachloro-', 'Q27269014', "1,1'-Biphenyl,2,2',3,3',4,5,6,6'-octachloro-", "2,2',3,3',4,5,6,6'-Octachloro-1,1'-biphenyl #", 'UNII-R323830CJ5 component HHXNVASVVVNNDG-UHFFFAOYSA-N']</t>
  </si>
  <si>
    <t>Compound(40480)</t>
  </si>
  <si>
    <t>3-chlorobiphenyl</t>
  </si>
  <si>
    <t>1-chloro-3-phenylbenzene</t>
  </si>
  <si>
    <t>['3-CHLOROBIPHENYL', '2051-61-8', 'm-Chlorobiphenyl', '1-chloro-3-phenylbenzene', '3-Chlorodiphenyl', "3-Chloro-1,1'-biphenyl", '3-Monochlorobiphenyl', "1,1'-Biphenyl, 3-chloro-", 'Biphenyl, 3-chloro-', '3-Chlorbiphenyl', 'UNII-WLQ4633SJY', 'PCB 2 (3-Chlorobiphenyl)', 'EINECS 218-126-1', 'WLQ4633SJY', "3-Chloro[1,1'-biphenyl]", "3-monochloro-1,1'-biphenyl", 'm-Chlorodiphenyl', "3'-chlorobiphenyl", '3-chloro-biphenyl', '3-phenylchlorobenzene;', 'ACMC-1CFXM', 'PCB No. 2', 'PCB 2', 'AROCLOR 1221', "1,1'-Biphenyl,3-chloro-", '1-chloranyl-3-phenyl-benzene', 'SCHEMBL170231', 'PCB No 2, analytical standard', 'DTXSID1040299', "1,1'-Biphenyl, 3-monochloro-", 'CHEBI:36716', 'NMWSKOLWZZWHPL-UHFFFAOYSA-', 'EBD22892', 'ZINC2038946', 'ANW-24123', 'AKOS006229877', 'PCB No. 2 10 microg/mL in Isooctane', 'LS-44277', 'LS-44278', 'DB-028455', 'FT-0615290', 'NS00003633', 'ST45022232', 'V4229', 'B-7771', 'A814631', 'Q27891531', 'UNII-9XW97A4F4F component NMWSKOLWZZWHPL-UHFFFAOYSA-N', '11104-28-2', 'aroclor 1221;PCB - Aroclor 1221;3-Chlorobiphenyl;PCB 2 (3-Chlorobiphenyl);3-chlorobiphenyl']</t>
  </si>
  <si>
    <t>Compound(16322)</t>
  </si>
  <si>
    <t>2.3, 3'-trichloorbifenyl</t>
  </si>
  <si>
    <t>1,2-dichloro-3-(3-chlorophenyl)benzene</t>
  </si>
  <si>
    <t>["2,3,3'-TRICHLOROBIPHENYL", '38444-84-7', "1,1'-Biphenyl, 2,3,3'-trichloro-", "2,3,3'-Trichloro-1,1'-biphenyl", 'UNII-3370393855', '1,2-dichloro-3-(3-chlorophenyl)benzene', "PCB 20 (2,3,3'-Trichlorobiphenyl)", "5,5',6-Trichlorobiphenyl", "5,5',6-Tbp", 'PCB No. 20', 'PCB 20', 'PCB-20', 'SCHEMBL4445051', 'DTXSID8073502', 'CTK4H9963', 'ZINC2007785', "1,1'-Biphenyl,2,3,3'-trichloro-", 'AKOS015850177', "2,3,3'-Trichloro-1,1'-biphenyl #", 'ACM38444847', 'PCB No. 20 10 microg/mL in Isooctane', "2,3,3'-trichlorobiphenyl;5,5,6-trichlorobiphenyl", 'Q27231269', 'UNII-6T1K7FWA8K component SXHLTVKPNQVZGL-UHFFFAOYSA-N', "2,3,3'-Trichlorobiphenyl, BCR(R) certified Reference Material"]</t>
  </si>
  <si>
    <t>Compound(38034)</t>
  </si>
  <si>
    <t>2,2 ', 3,3', 4,5 ', 6,6'-octachlorobiphenyl</t>
  </si>
  <si>
    <t>1,2,3,5-tetrachloro-4-(2,3,5,6-tetrachlorophenyl)benzene</t>
  </si>
  <si>
    <t>["2,2',3,3',4,5',6,6'-Octachlorobiphenyl", '40186-71-8', 'PCB 201', 'UNII-N731BPT821', "1,1'-Biphenyl, 2,2',3,3',4,5',6,6'-octachloro-", 'N731BPT821', "2,2',3,3',4,5',6,6'-Octachloro-1,1'-biphenyl", '2,2,3,3,4,5,6,6-OCTACHLOROBIPHENYL', 'SCHEMBL4459306', 'DTXSID4074148', 'CTK4I2629', 'PCB-201', '1,2,3,5-tetrachloro-4-(2,3,5,6-tetrachlorophenyl)benzene', 'ZINC2521602', 'PCB No. 201 10 microg/mL in Isooctane', 'Q27284643', "1,1'-Biphenyl, 2,2',3,3',4',5,6,6'-octachloro", "1,1'-Biphenyl,2,2',3,3',4,5',6,6'-octachloro-", "2,2',3,3',4,5',6,6'-Octachloro-1,1'-biphenyl #", "PCB 201 (2,2',3,3',4,5',6,6'-Octachlorobiphenyl)", 'UNII-R323830CJ5 component LJQOBQLZTUSEJA-UHFFFAOYSA-N']</t>
  </si>
  <si>
    <t>Compound(38410)</t>
  </si>
  <si>
    <t>2,2 ', 3,3', 5,5 ', 6,6'-octachlorobiphenyl</t>
  </si>
  <si>
    <t>1,2,4,5-tetrachloro-3-(2,3,5,6-tetrachlorophenyl)benzene</t>
  </si>
  <si>
    <t>["2,2',3,3',5,5',6,6'-OCTACHLOROBIPHENYL", '2136-99-4', 'PCB 202', 'UNII-79G6GKQ4GC', '79G6GKQ4GC', "2,2',3,3',5,5',6,6'-Octachloro-1,1'-biphenyl", "1,1'-Biphenyl, 2,2',3,3',5,5',6,6'-octachloro-", "Biphenyl, 2,2',3,3',5,5',6,6'-octachloro-", '1,2,4,5-tetrachloro-3-(2,3,5,6-tetrachlorophenyl)benzene', '2,2,3,3,5,5,6,6-OCTACHLOROBIPHENYL', 'CHEMBL14042', 'SCHEMBL4452692', 'DTXSID0074132', 'CTK4E6599', 'PCB-202', 'ZINC2521603', 'PCB No. 202 10 microg/mL in Isooctane', "2,3,5,6,2',3',5',6'-Octachlorobiphenyl", "2,2',3,3', 5,5',6,6'-Octachlorobiphenyl", "2,3,5,6,2',3',5',6'-Octachloro-biphenyl", 'Q27266759', "1,1'-Biphenyl,2,2',3,3',5,5',6,6'-octachloro-", "2,2',3,3',5,5',6,6'-Octachloro-1,1'-biphenyl #", "PCB 202 (2,2',3,3',5,5',6,6'-Octachlorobiphenyl)", 'UNII-R323830CJ5 component JPOPEORRMSDUIP-UHFFFAOYSA-N']</t>
  </si>
  <si>
    <t>Compound(16495)</t>
  </si>
  <si>
    <t>2,2 ', 3,4,4', 5,6, 6'-octachloorbifenyl</t>
  </si>
  <si>
    <t>1,2,3,4,5-pentachloro-6-(2,4,6-trichlorophenyl)benzene</t>
  </si>
  <si>
    <t>["2,2',3,4,4',5,6,6'-Octachlorobiphenyl", '74472-52-9', 'UNII-LJJ2UNV2AD', 'LJJ2UNV2AD', "1,1'-Biphenyl, 2,2',3,4,4',5,6,6'-octachloro-", '1,2,3,4,5-pentachloro-6-(2,4,6-trichlorophenyl)benzene', "PCB 204 (2,2',3,4,4',5,6,6'-Octachlorobiphenyl)", 'PCB No. 204', "2,2',3,4,4',5,6,6'-Octachloro-1,1'-biphenyl", 'SCHEMBL4458192', 'DTXSID7074240', 'CTK5D9934', 'PCB 204', 'PCB-204', 'ZINC2521604', 'PCB No. 204 10 microg/mL in Isooctane', 'PCB No. 204 100 microg/mL in Hexane', "2,2',3, 4,4',5,6,6'-Octachlorobiphenyl", '1,1-Biphenyl, 2,2,3,4,4,5,6,6-octachloro-', 'Q27283031', "1,1'-Biphenyl,2,2',3,4,4',5,6,6'-octachloro-", "2,2',3,4,4',5,6,6'-Octachloro-1,1'-biphenyl #", 'UNII-R323830CJ5 component JDZUWXRNKHXZFE-UHFFFAOYSA-N']</t>
  </si>
  <si>
    <t>Compound(91721)</t>
  </si>
  <si>
    <t>2.2 ', 3.3', 4.4 ', 5.5', 6-Nonachlorobiphenyl</t>
  </si>
  <si>
    <t>1,2,3,4,5-pentachloro-6-(2,3,4,5-tetrachlorophenyl)benzene</t>
  </si>
  <si>
    <t>['Nonachlorobiphenyl', "2,2',3,3',4,4',5,5',6-NONACHLOROBIPHENYL", "NONACHLORO-1,1'-BIPHENYL", '40186-72-9', 'UNII-H6G2D1WHWS', "1,1'-Biphenyl, nonachloro-", "1,1'-Biphenyl, 2,2',3,3',4,4',5,5',6-nonachloro-", 'H6G2D1WHWS', '53742-07-7', "2,2',3,3',4,4',5,5',6-Nonachloro-1,1'-biphenyl", "Biphenyl, 2,2',3,3',4,4',5,5',6-nonachloro-", "PCB 206 (2,2',3,3',4,4',5,5',6-Nonachlorobiphenyl)", '1,2,3,4,5-pentachloro-6-(2,3,4,5-tetrachlorophenyl)benzene', 'Nonachlorobiphenyl (mixed isomers)', 'EINECS 258-738-6', 'SCHEMBL438003', 'PCB No. 206', 'CTK1G8064', 'DTXSID50865989', 'PCB 206', 'PCB-206', 'ZINC2521593', 'PCB No. 206 10 microg/mL in Isooctane', 'NS00056862', "2,2',3,3',4,4',5,5',6-Nonachlorbiphenyl", "2,3,4,5,6,2',3',4',5'-Nonachlorobiphenyl", 'Q27279704', 'UNII-Y78YKW19VW component JFIMDKGRGPNPRQ-UHFFFAOYSA-N', "2,2',3,3',4,4',5,5',6-Nonachloro-1,1'-biphenyl #", "2,2,3,3,4,4,5,5,6-NONACHLOROBIPHENYL;Nonachloro-1,1'-biphenyl;nonachloro-1,1-biphenyl"]</t>
  </si>
  <si>
    <t>Compound(38411)</t>
  </si>
  <si>
    <t>C12HCl9</t>
  </si>
  <si>
    <t>2,2 ', 3,3', 4,4 ', 5,6, 6'-nonachloorbifenyl</t>
  </si>
  <si>
    <t>1,2,3,4,5-pentachloro-6-(2,3,4,6-tetrachlorophenyl)benzene</t>
  </si>
  <si>
    <t>["2,2',3,3',4,4',5,6,6'-Nonachlorobiphenyl", '52663-79-3', 'UNII-5OQL9ZK2JH', 'PCB 207', "2,2',3,3',4,4',5,6,6'-Nonachloro-1,1'-biphenyl", "1,1'-Biphenyl, 2,2',3,3',4,4',5,6,6'-nonachloro-", '5OQL9ZK2JH', '1,2,3,4,5-pentachloro-6-(2,3,4,6-tetrachlorophenyl)benzene', "PCB 207 (2,2',3,3',4,4',5,6,6'-Nonachlorobiphenyl)", "2,3,4,6,2',3',4',5',6'-Nonachlorobiphenyl", 'PCB No. 207', 'SCHEMBL4448782', 'DTXSID6074172', 'CTK4J6270', 'PCB-207', 'ZINC2521594', 'PCB No. 207 10 microg/mL in Isooctane', '2,2,3,3,4,4,5,6,6-Nonachlorobiphenyl', '1,1-Biphenyl, 2,2,3,3,4,4,5,6,6-nonachloro-', 'Q27262656', "1,1'-Biphenyl,2,2',3,3',4,4',5,6,6'-nonachloro-", 'UNII-Y78YKW19VW component YGDPIDTZOQGPAX-UHFFFAOYSA-N', "2,2',3,3',4,4',5,6,6'-Nonachloro-1,1'-biphenyl #"]</t>
  </si>
  <si>
    <t>Compound(91648)</t>
  </si>
  <si>
    <t>2,2 ', 3,3', 4,4 ', 5,5', 6,6'-decachlorobiphenyl</t>
  </si>
  <si>
    <t>1,2,3,4,5-pentachloro-6-(2,3,4,5,6-pentachlorophenyl)benzene</t>
  </si>
  <si>
    <t>['DECACHLOROBIPHENYL', '2051-24-3', 'PCB 209', "Decachloro-1,1'-biphenyl", 'Perchlorobiphenyl', 'UNII-N8AL7T0ATT', 'N8AL7T0ATT', "1,1'-Biphenyl, 2,2',3,3',4,4',5,5',6,6'-decachloro-", "2,2',3,3',4,4',5,5',6,6'-Decachloro-1,1'-biphenyl", 'CHEBI:34666', '1,2,3,4,5-pentachloro-6-(2,3,4,5,6-pentachlorophenyl)benzene', "2,2',3,3',4,4',5,5',6,6'-decachlorobiphenyl", 'PCB 209 (Decachlorobiphenyl)', "2,2',3,3',4,4', 5,5',6,6'-Decachlorobiphenyl", 'PCB No. 209 100 microg/mL in Isooctane', 'Biphenyl, decachloro-', 'EINECS 218-115-1', 'AI3-16253', 'CHEMBL14774', 'SCHEMBL630082', 'PCB No. 209', 'DTXSID4047541', 'CTK8E5762', 'PCB-209', 'PCB No 209, analytical standard', 'ZINC8437741', 'AKOS015850490', 'Decachlorobiphenyl, analytical standard', 'PCB No. 209 10 microg/mL in Isooctane', 'PCB No. 209 100 microg/mL in Hexane', 'NS00026668', 'PCB No. 209 10 microg/mL in Acetonitrile', 'PCB No. 209 10 microg/mL in Cyclohexane', 'Decachlorobiphenyl 1000 microg/mL in Toluene', 'PCB No. 209 100 microg/mL in Cyclohexane', 'C14368', 'J-013371', 'Q27116209', "2,3,4,5,6,2',3',4',5',6'-Decachloro-Biphenyl", 'Decachlorobiphenyl, vial of 1 g, 99%, analytical standard', "Decachloro-1,1'-biphenyl;decachlorobiphenyl;decachloro-1,1-biphenyl", 'PCB No 209 solution, 10 mug/mL in heptane, analytical standard', 'PCB No 209 solution, 10+/-0.5 mug/mL in isooctane, analytical standard', 'Decachlorobiphenyl solution, certified reference material, 200 mug/mL in acetone']</t>
  </si>
  <si>
    <t>Compound(16318)</t>
  </si>
  <si>
    <t>C12Cl10</t>
  </si>
  <si>
    <t>2,3,4-trichlorobiphenyl</t>
  </si>
  <si>
    <t>1,2,3-trichloro-4-phenylbenzene</t>
  </si>
  <si>
    <t>['2,3,4-Trichlorobiphenyl', '55702-46-0', "1,1'-Biphenyl, 2,3,4-trichloro-", 'TRICHLOROBIPHENYL', 'Trichlorodiphenyl', 'UNII-61NYE2032D', 'Biphenyl, trichloro-', 'PCB 21', 'Apirolio 1431 C', 'Pyranol 1499', "2,3,4-TRICHLORO-1,1'-BIPHENYL", "Trichloro-1,1'-biphenyl", 'PCB 21 (2,3,4-Trichlorobiphenyl)', "1,1'-Biphenyl, trichloro-", '1,2,3-trichloro-4-phenylbenzene', '61NYE2032D', '25323-68-6', '2,3,4-trichlorbiphenyl', 'C14357', "1,1'-Biphenyl,trichloro-", 'PCB No. 21', 'SCHEMBL381602', 'DTXSID0074180', 'CHEBI:34222', 'CTK4F5480', 'IUYHQGMDSZOPDZ-UHFFFAOYSA-', 'Trichlorobiphenyl (mixed isomers)', 'ZINC2002642', "1,1'-Biphenyl, trichloro- (9CI)", 'LS-44564', 'PCB No. 21 10 microg/mL in Isooctane', 'NS00005197', 'Q27115917', 'UNII-6T1K7FWA8K component IUYHQGMDSZOPDZ-UHFFFAOYSA-N', 'PCB 21 (2,3,4-Trichlorobiphenyl);2,3,4-TRICHLORO-1,1-BIPHENYL;2 , 3 , 4-trichlorobiphenyl']</t>
  </si>
  <si>
    <t>Compound(41541)</t>
  </si>
  <si>
    <t>2,4, 4'-trichloorbifenyl</t>
  </si>
  <si>
    <t>2,4-dichloro-1-(4-chlorophenyl)benzene</t>
  </si>
  <si>
    <t>['7012-37-5', "2,4,4'-TRICHLOROBIPHENYL", 'Pcb 28', "1,1'-Biphenyl, 2,4,4'-trichloro-", 'Pcb28', '2,4-dichloro-1-(4-chlorophenyl)benzene', 'PCB-28', "Biphenyl, 2,4,4'-trichloro-", "1,1'-Biphenyl,2,4,4'-trichloro-", "4,2',4'-Trichlorobiphenyl", 'UNII-844ODP31Q0', 'EINECS 230-293-2', "2,4,4'-Trichloro-1,1'-biphenyl", 'BRN 1956846', 'K 28', '844ODP31Q0', "PCB 28 (2,4,4'-trichlorobiphenyl)", '2,4,4`-Trichlorobiphenyl', 'PCB No. 28', '2-05-00-00484 (Beilstein Handbook Reference)', 'SCHEMBL2933108', 'DTXSID2038310', 'CTK5D1869', 'PCB No 28, analytical standard', 'ZINC2029667', 'AKOS015902516', 'PCB No. 28 100 microg/mL in Hexane', 'LS-44569', 'PCB No. 28 10 microg/mL in Isooctane', 'PCB No. 28 100 microg/mL in Isooctane', 'FT-0699627', 'NS00004064', 'Q27269486', 'UNII-6T1K7FWA8K component BZTYNSQSZHARAZ-UHFFFAOYSA-N', "2,4,4'-Trichlorobiphenyl, BCR(R) certified Reference Material", 'PCB No 28 solution, 10 mug/mL in isooctane, analytical standard', "2,4,4'-Trichlorobiphenyl;2,4,4'-trichlorobiphenyl;2,4,4-trichlorobiphenyl;PCB 28 (2,4,4'-trichlorobiphenyl);2 , 4 , 4'-trichlorobiphenyl"]</t>
  </si>
  <si>
    <t>Compound(23448)</t>
  </si>
  <si>
    <t>4-chlorobiphenyl</t>
  </si>
  <si>
    <t>1-chloro-4-phenylbenzene</t>
  </si>
  <si>
    <t>['4-CHLOROBIPHENYL', "4-Chloro-1,1'-biphenyl", '2051-62-9', 'p-Chlorobiphenyl', 'p-Chlorodiphenyl', '4-Chlorodiphenyl', "1,1'-Biphenyl, 4-chloro-", '1-Chloro-4-phenylbenzene', 'Biphenyl, 4-chloro-', '4-Monochlorobiphenyl', '4-Chlorbiphenyl', '4-Monochloro-biphenyl', 'UNII-QA22Z3NGLU', '1-chloro-4-phenyl benzene', '4-Chloro-Biphenyl', 'PCB 3 (4-Chlorobiphenyl)', "4-(4'-Chlorophenyl)benzene", 'EINECS 218-127-7', 'NSC 37066', 'PCB No 3', 'QA22Z3NGLU', '4-PCB', "1,1'-Biphenyl,4-chloro-", 'AI3-00135', 'CHEMBL276334', 'CHEBI:27757', 'CCRIS 9311', '1-CHLORO-4-PHENYL-BENZENE', '4-chlorophenylbenzene', 'BALLSCHMITER NO 3', 'WLN: GR DR', 'BZNO 3', 'PCB No. 3', "4-chloro-1,1''-biphenyl", 'DSSTox_CID_20300', 'PCB 3', 'DSSTox_GSID_40300', '1-chloranyl-4-phenyl-benzene', 'SCHEMBL183912', 'PCB No 3, analytical standard', 'DTXSID3040300', 'CTK4E4414', 'TIMTEC-BB SBB007810', 'ZINC968249', 'NSC37066', 'Tox21_303788', 'ANW-53878', 'BBL103159', 'BDBM50159271', 'CX1304', 'MFCD00013640', 'NSC-37066', 'SBB007810', 'STL556969', "1,1'-Biphenyl, 4-chloro- (9CI)", 'AKOS005254766', 'AS01273', 'MCULE-4638303671', 'PS-8431', 'VZ28668', 'ClC1=CC=C(C2=CC=CC=C2)C=C1', 'PCB No. 3 10 microg/mL in Isooctane', 'NCGC00356978-01', 'AC-10360', 'LS-44279', 'CAS-2051-62-9', 'AB0033578', 'DB-028825', 'PCB 3 (4-Chlorobiphenyl);4-chlorobiphenyl', 'FT-0617970', 'NS00009873', 'ST50828043', 'X7238', 'C-5346', 'C06584', '051C629', 'A814632', 'AE-562/43287010', 'W-107615', 'Q27103306', 'UNII-9XW97A4F4F component FPWNLURCHDRMHC-UHFFFAOYSA-N']</t>
  </si>
  <si>
    <t>Compound(16323)</t>
  </si>
  <si>
    <t>2,4,6-trichlorobiphenyl</t>
  </si>
  <si>
    <t>1,3,5-trichloro-2-phenylbenzene</t>
  </si>
  <si>
    <t>['2,4,6-TRICHLOROBIPHENYL', '35693-92-6', "2,4,6-Trichloro-1,1'-biphenyl", "1,1'-Biphenyl, 2,4,6-trichloro-", 'UNII-0BYA65Q6C2', '1,3,5-trichloro-2-phenylbenzene', '0BYA65Q6C2', 'PCB 30 (2,4,6-Trichlorobiphenyl)', 'PCB No. 30 100 microg/mL in Isooctane', '2,4,6-Tcb', "1,1'-Biphenyl,2,4,6-trichloro-", 'PCB No. 30', 'PCB 30', 'PCB-30', 'SCHEMBL2932603', 'CHEMBL1797263', 'DTXSID7073482', 'CTK4H5173', 'ZINC2008638', 'AKOS015902968', 'ACM35693926', 'PCB No. 30 100 microg/mL in Hexane', 'PCB No. 30 10 microg/mL in Isooctane', 'PCB No. 30 10 microg/mL in Cyclohexane', '2,4,6-trichlorobiphenyl;2 , 4 , 6-trichlorobiphenyl', 'Q27236587', 'UNII-6T1K7FWA8K component MTLMVEWEYZFYTH-UHFFFAOYSA-N', 'PCB No 30 solution, 10 mug/mL in heptane, analytical standard', 'PCB No 30 solution, 10+/-0.5 mug/mL in isooctane, analytical standard']</t>
  </si>
  <si>
    <t>Compound(37247)</t>
  </si>
  <si>
    <t>2,4 ', 5-trichlorobiphenyl</t>
  </si>
  <si>
    <t>1,4-dichloro-2-(4-chlorophenyl)benzene</t>
  </si>
  <si>
    <t>["2,4',5-TRICHLOROBIPHENYL", '16606-02-3', 'Delor 103', "1,1'-Biphenyl, 2,4',5-trichloro-", "2,4',5-Trichloro-1,1'-biphenyl", 'PCB 31', "Biphenyl, 2,4',5-trichloro-", "4,2',5'-Trichlorobiphenyl", 'UNII-1ZNA5F571U', 'BRN 1961529', '1,4-dichloro-2-(4-chlorophenyl)benzene', '1ZNA5F571U', "PCB 31 (2,4',5-Trichlorobiphenyl)", "2,5,4'-Trichlorobiphenyl", "2,4',5-trichlorbiphenyl", 'PCB No. 31', 'PCB-31', 'SCHEMBL2473835', 'DTXSID9073410', 'CTK8E3491', 'PCB No 31, analytical standard', 'ZINC2018353', 'AKOS015904145', 'LS-44565', 'PCB No. 31 10 microg/mL in Isooctane', 'PCB No. 31 100 microg/mL in Isooctane', 'PCB No. 31 10 microg/mL in Cyclohexane', 'FT-0751463', "1,1'-Biphenyl, 2,4',5-trichloro- (9CI)", 'C-56176', "2,4',5-Trichloro-biphenyl;2,4,5-trichlorobiphenyl", 'Q27253342', 'UNII-6T1K7FWA8K component VAHKBZSAUKPEOV-UHFFFAOYSA-N']</t>
  </si>
  <si>
    <t>Compound(27960)</t>
  </si>
  <si>
    <t>2,2 ', 3,5'-tetrachlorobiphenyl</t>
  </si>
  <si>
    <t>1,2-dichloro-3-(2,5-dichlorophenyl)benzene</t>
  </si>
  <si>
    <t>["2,2',3,5'-TETRACHLOROBIPHENYL", '41464-39-5', 'PCB 44', 'UNII-486UPI8AXY', "1,1'-Biphenyl, 2,2',3,5'-tetrachloro-", "2,2',3,5'-Tetrachloro-1,1'-biphenyl", '486UPI8AXY', "PCB 44 (2,2',3,5'-Tetrachlorobiphenyl)", 'PCB No 44', "1,1'-Biphenyl,2,2',3,5'-tetrachloro-", 'PCB No. 44', 'PCB-44', 'SCHEMBL4450231', "2,2'3,5'-Tetrachlorobiphenyl", 'DTXSID8038302', "2,2',3,5'-Tetrachlorbiphenyl", 'CTK4I4875', 'PCB No 44, analytical standard', "2,3,2',5'-Tetrachlorobiphenyl", 'ZINC2526154', 'AKOS015903294', 'ACM41464395', 'PCB No. 44 10 microg/mL in Isooctane', "2,2',3,5'-Tetrachloro-1,1'-biphenyl #", 'Q27259116', 'UNII-Z34ZC2K7Q0 component ALDJIKXAHSDLLB-UHFFFAOYSA-N', "2,2',3,5'-Tetrachlorobiphenyl;1,1-Biphenyl, 2,2,3,5-tetrachloro-;2,2',3,5-Tetrachlorobiphenyl;1,1-BIPHENYL, 2,2,3,5-TETRACHLORO-"]</t>
  </si>
  <si>
    <t>Compound(38875)</t>
  </si>
  <si>
    <t>C12H6Cl4</t>
  </si>
  <si>
    <t>2,2 ', 4,4'-tetrachlorobiphenyl</t>
  </si>
  <si>
    <t>2,4-dichloro-1-(2,4-dichlorophenyl)benzene</t>
  </si>
  <si>
    <t>["2,2',4,4'-TETRACHLOROBIPHENYL", '2437-79-8', 'PCB 47', "1,1'-Biphenyl, 2,2',4,4'-tetrachloro-", "2,4,2',4'-Tetrachlorobiphenyl", "Biphenyl, 2,2',4,4'-tetrachloro-", 'UNII-4470AQR07D', "2,2',4,4'-Tetrachloro-1,1'-biphenyl", "2,2',4,4'-Tetrachlorodiphenyl", 'EINECS 219-444-3', 'CHEMBL137283', 'CHEBI:34204', '4470AQR07D', "PCB 47 (2,2',4,4'-Tetrachlorobiphenyl)", '2,4-dichloro-1-(2,4-dichlorophenyl)benzene', '53469-21-9', 'BIDD:PXR0038', 'PCB No. 47', 'BIDD:ER0430', 'SCHEMBL464507', 'PCB-47', 'DTXSID0022513', 'CTK4F3521', "2,4,2',4'-Tetrachloro-Biphenyl", 'PCB 1242', 'ZINC8437706', 'BDBM50408345', 'ACM2437798', 'LS-44547', 'PCB No. 47 10 microg/mL in Isooctane', "1,1'-Biphenyl,2,2',4,4'-tetrachloro-", 'NS00027641', 'C14247', 'Q27115901', 'UNII-Z34ZC2K7Q0 component QORAVNMWUNPXAO-UHFFFAOYSA-N']</t>
  </si>
  <si>
    <t>Compound(17097)</t>
  </si>
  <si>
    <t>2,2 ', 4,5'-Tetrachlorobiphenyl</t>
  </si>
  <si>
    <t>1,4-dichloro-2-(2,4-dichlorophenyl)benzene</t>
  </si>
  <si>
    <t>["2,2',4,5'-TETRACHLOROBIPHENYL", '41464-40-8', 'PCB 49', "1,1'-Biphenyl, 2,2',4,5'-tetrachloro-", 'UNII-BT5E4PD553', "2,2',4,5'-Tcb", 'BT5E4PD553', "2,2',4,5'-Tetrachloro-1,1'-biphenyl", '1,4-dichloro-2-(2,4-dichlorophenyl)benzene', "PCB 49 (2,2',4,5'-Tetrachlorobiphenyl)", 'PCB No. 49', 'PCB-49', 'SCHEMBL4446831', 'DTXSID8073508', 'CTK4I4876', "2,4,2',5'-Tetrachlorobiphenyl", 'ZINC2526156', 'ACM41464408', 'LS-44548', 'PCB No. 49 10 microg/mL in Isooctane', "1,1'-Biphenyl, 2,2',4',5-tetrachloro", "1,1'-Biphenyl,2,2',4,5'-tetrachloro-", "2,2',4,5'-Tetrachloro-1,1'-biphenyl #", 'Q27274860', 'UNII-Z34ZC2K7Q0 component ZWPVHELAQPIZHO-UHFFFAOYSA-N', "2 , 2' , 4 , 5'-tetrachlorobiphenyl;2,2,4,5-tetrachlorobiphenyl"]</t>
  </si>
  <si>
    <t>Compound(38876)</t>
  </si>
  <si>
    <t>2,2 ', 4,6-tetrachlorobiphenyl</t>
  </si>
  <si>
    <t>1,3,5-trichloro-2-(2-chlorophenyl)benzene</t>
  </si>
  <si>
    <t>["2,2',4,6-TETRACHLOROBIPHENYL", '62796-65-0', "1,1'-Biphenyl, 2,2',4,6-Tetrachloro-", 'UNII-PD736T0W8F', 'PD736T0W8F', "2,2',4,6-Tetrachloro-1,1'-biphenyl", '1,3,5-trichloro-2-(2-chlorophenyl)benzene', "PCB 50 (2,2',4,6-Tetrachlorobiphenyl)", 'PCB No. 50', 'PCB 50', 'PCB-50', 'SCHEMBL4450486', 'DTXSID4074194', 'CTK5B6080', 'ZINC2526157', 'PCB No. 50 100 microg/mL in Hexane', 'PCB No. 50 10 microg/mL in Isooctane', "1,1'-Biphenyl,2,2',4,6-tetrachloro-", "2,2',4,6-Tetrachloro-1,1'-biphenyl #", 'Q27286496', 'UNII-Z34ZC2K7Q0 component VLLVVZDKBSYMCG-UHFFFAOYSA-N']</t>
  </si>
  <si>
    <t>Compound(44163)</t>
  </si>
  <si>
    <t>2,2 ', 5,5'-tetrachlorobiphenyl</t>
  </si>
  <si>
    <t>1,4-dichloro-2-(2,5-dichlorophenyl)benzene</t>
  </si>
  <si>
    <t>["2,2',5,5'-TETRACHLOROBIPHENYL", '35693-99-3', 'PCB 52', "1,1'-Biphenyl, 2,2',5,5'-tetrachloro-", "2,5,2',5'-Tetrachlorobiphenyl", 'TCBP', "2,2',5,5'-TCB", 'PCB-52', "2,3',5,6'-Tetrachlorobiphenyl", "2,2',5,5'-Tetrachloro-1,1'-biphenyl", 'CCRIS 6155', 'UNII-1EH557950R', '1,4-dichloro-2-(2,5-dichlorophenyl)benzene', 'BRN 2053828', 'CHEBI:34206', '1EH557950R', "PCB 52 (2,2',5,5'-Tetrachlorobiphenyl)", 'PCB No. 52', '4-05-00-01818 (Beilstein Handbook Reference)', 'SCHEMBL440944', "1,1'-Biphenyl, tetrachloro-", 'CHEMBL273933', 'DTXSID3038305', 'CTK4H5174', '2,2 ,5,5 -tetrachlorobiphenyl', 'PCB No 52, analytical standard', '2,2`,5,5`-Tetrachlorobiphenyl', "2,5,2',5'-Tetrachloro-Biphenyl", 'ZINC2516090', 'AKOS015902969', 'ACM35693993', 'PCB No. 52 100 microg/mL in Hexane', 'LS-44549', 'PCB No. 52 10 microg/mL in Isooctane', 'PCB No. 52 100 microg/mL in Isooctane', "1,1'-Biphenyl,2,2',5,5'-tetrachloro-", "2,2',5,5'-Tetrachlorobiphenyl (PCB 52)", 'NS00001956', 'PCB No. 52 100 microg/mL in Acetonitrile', 'C14199', 'Q27115903', 'UNII-Z34ZC2K7Q0 component HCWZEPKLWVAEOV-UHFFFAOYSA-N', 'PCB No 52 solution, 10 mug/mL in isooctane, analytical standard', "2,2',5,5'-Tetrachlorobiphenyl (IUPAC No. 52), BCR(R) certified Reference Material", "2,2',5,5'-Tetrachlorobiphenyl;2 , 2' , 5 , 5'-tetrachlorobiphenyl;2,5,2,5-tetrachlorobiphenyl;PCB 52 (2,2';5,5'-Tetrachlorobiphenyl)"]</t>
  </si>
  <si>
    <t>Compound(37248)</t>
  </si>
  <si>
    <t>2,3,3 ', 4-tetrachlorobiphenyl</t>
  </si>
  <si>
    <t>1,2,3-trichloro-4-(3-chlorophenyl)benzene</t>
  </si>
  <si>
    <t>["2,3,3',4-Tetrachlorobiphenyl", '74338-24-2', 'UNII-T34626QGG0', 'PCB 55', "1,1'-Biphenyl, 2,3,3',4-tetrachloro-", 'T34626QGG0', "2,3,3',4-Tetrachloro-1,1'-biphenyl", "1,1'-Biphenyl, 2,3,3',4-tetrachloro", '1,2,3-trichloro-4-(3-chlorophenyl)benzene', "PCB 55 (2,3,3',4-Tetrachlorobiphenyl)", 'PCB No. 55', 'PCB-55', 'SCHEMBL4453337', 'DTXSID4074221', 'CTK5D9727', 'ZINC2526160', '1,1-Biphenyl, 2,3,3,4-tetrachloro-', 'PCB No. 55 10 microg/mL in Isooctane', "1,1'-Biphenyl,2,3,3',4-tetrachloro-", 'Q27289603', 'UNII-Z34ZC2K7Q0 component ZKGSEEWIVLAUNH-UHFFFAOYSA-N']</t>
  </si>
  <si>
    <t>Compound(63102)</t>
  </si>
  <si>
    <t>2,3, 3 ', 4'-tetrachlorobiphenyl</t>
  </si>
  <si>
    <t>1,2-dichloro-3-(3,4-dichlorophenyl)benzene</t>
  </si>
  <si>
    <t>["2,3,3',4'-TETRACHLOROBIPHENYL", '41464-43-1', 'UNII-NC04NXT03J', "1,1'-Biphenyl, 2,3,3',4'-tetrachloro-", 'NC04NXT03J', "2,3,3',4'-Tetrachloro-1,1'-biphenyl", 'PCB-56', '1,2-dichloro-3-(3,4-dichlorophenyl)benzene', "PCB 56 (2,3,3',4'-Tetrachlorobiphenyl)", 'PCB No. 56', 'PCB 56', 'SCHEMBL4452887', 'DTXSID3074153', 'CTK4I4879', 'ZINC2566923', 'ACM41464431', 'PCB No. 56 10 microg/mL in Isooctane', "2,3,3',4'-tetrachloro 1,1'-biphenyl", "1,1'-Biphenyl,2,3,3',4'-tetrachloro-", "2,3,3',4'-Tetrachloro-1,1'-biphenyl #", 'Q27284784', 'UNII-Z34ZC2K7Q0 component UNCGJRRROFURDV-UHFFFAOYSA-N']</t>
  </si>
  <si>
    <t>Compound(38879)</t>
  </si>
  <si>
    <t>2,3,4 ', 6-tetrachlorobiphenyl</t>
  </si>
  <si>
    <t>1,2,4-trichloro-3-(4-chlorophenyl)benzene</t>
  </si>
  <si>
    <t>["2,3,4',6-Tetrachlorobiphenyl", '52663-58-8', 'UNII-K2Y92IEV5R', "1,1'-Biphenyl, 2,3,4',6-tetrachloro-", 'K2Y92IEV5R', "2,3,4',6-Tetrachloro-1,1'-biphenyl", "2,3,4',6-Tcbp", 'PCB 64', 'PCB-64', 'SCHEMBL4458291', 'DTXSID3074159', 'CTK4J6250', 'ZINC2566927', 'ACM52663588', "2,3,4',6-Tetrachloro-1,1'-biphenyl #", 'Q27281872', 'UNII-Z34ZC2K7Q0 component FXRXQYZZALWWGA-UHFFFAOYSA-N']</t>
  </si>
  <si>
    <t>Compound(63110)</t>
  </si>
  <si>
    <t>2,3, 4,4-tetrachloorbifenyl</t>
  </si>
  <si>
    <t>1,2-dichloro-4-(2,4-dichlorophenyl)benzene</t>
  </si>
  <si>
    <t>["2,3',4,4'-TETRACHLOROBIPHENYL", '32598-10-0', 'PCB 66', "1,1'-Biphenyl, 2,3',4,4'-tetrachloro-", "Biphenyl, 2,3',4,4'-tetrachloro-", "2,4,3',4'-Tetrachlorobiphenyl", "3,4,2',4'-Tetrachlorobiphenyl", "2,3',4,4'-Tetrachloro-1,1'-biphenyl", 'UNII-K8L6S986MK', "2,4,3',4'-TCB", '1,2-dichloro-4-(2,4-dichlorophenyl)benzene', 'BRN 2371385', 'K8L6S986MK', "PCB 66 (2,3',4,4'-Tetrachlorobiphenyl)", 'PCB No. 66', 'PCB-66', 'SCHEMBL4447113', 'DTXSID3073472', 'CTK4G8974', 'ZINC2526164', 'ACM32598100', 'LS-44544', 'PCB No. 66 10 microg/mL in Isooctane', "1,1'-Biphenyl,2,3',4,4'-tetrachloro-", "1,1'-Biphenyl, 2,3',4,4'-tetrachloro- (9CI)", 'Q27282087', 'UNII-Z34ZC2K7Q0 component RKLLTEAEZIJBAU-UHFFFAOYSA-N']</t>
  </si>
  <si>
    <t>Compound(36185)</t>
  </si>
  <si>
    <t>2,3 ', 4', 5-tetrachlorobiphenyl</t>
  </si>
  <si>
    <t>1,2-dichloro-4-(2,5-dichlorophenyl)benzene</t>
  </si>
  <si>
    <t>["2,3',4',5-TETRACHLOROBIPHENYL", '32598-11-1', "1,1'-Biphenyl, 2,3',4',5-tetrachloro-", 'PCB 70', "2,3',4',5-Tetrachloro-1,1'-biphenyl", 'UNII-BKL573BT98', "Biphenyl, 2,3',4',5-tetrachloro-", 'BKL573BT98', 'PCB-70', '1,2-dichloro-4-(2,5-dichlorophenyl)benzene', "PCB 70 (2,3',4',5-Tetrachlorobiphenyl)", 'PCB No. 70', 'SCHEMBL4445026', 'DTXSID3038309', "2,3',4',5-Tetrachlorbiphenyl", 'CTK4G8975', 'PCB No 70, analytical standard', "2,5,3',4'-Tetrachlorobiphenyl", 'ZINC2526166', 'AKOS015903394', 'ACM32598111', 'LS-44551', 'PCB No. 70 10 microg/mL in Isooctane', "1,1'-Biphenyl,2,3',4',5-tetrachloro-", 'Q27274730', 'UNII-Z34ZC2K7Q0 component KENZYIHFBRWMOD-UHFFFAOYSA-N', '1,1-Biphenyl, 2,3,4,5-tetrachloro-;2 , 3? , 4? , 5-tetrachlorobiphenyl']</t>
  </si>
  <si>
    <t>Compound(36186)</t>
  </si>
  <si>
    <t>2,3 ', 5,5'-tetrachlorobiphenyl</t>
  </si>
  <si>
    <t>1,3-dichloro-5-(2,5-dichlorophenyl)benzene</t>
  </si>
  <si>
    <t>["2,3',5,5'-TETRACHLOROBIPHENYL", '41464-42-0', 'UNII-SJ6P71YB8V', "1,1'-Biphenyl, 2,3',5,5'-tetrachloro-", 'SJ6P71YB8V', "2,3',5,5'-Tetrachloro-1,1'-biphenyl", 'PCB-72', 'PCB 72', 'SCHEMBL4459046', 'DTXSID8074152', 'CTK4I4878', 'ZINC2526167', 'ACM41464420', "2,3',5,5'-tetrachloro 1,1'-biphenyl", "1,1'-Biphenyl,2,3',5,5'-tetrachloro-", "2,3',5,5'-Tetrachloro-1,1'-biphenyl #", 'Q27289237', 'UNII-Z34ZC2K7Q0 component WBTMFEPLVQOWFI-UHFFFAOYSA-N']</t>
  </si>
  <si>
    <t>Compound(38878)</t>
  </si>
  <si>
    <t>2,4,4 ', 5-tetrachlorobiphenyl</t>
  </si>
  <si>
    <t>1,2,4-trichloro-5-(4-chlorophenyl)benzene</t>
  </si>
  <si>
    <t>["2,4,4',5-TETRACHLOROBIPHENYL", '32690-93-0', 'UNII-W0250484DW', "1,1'-Biphenyl, 2,4,4',5-tetrachloro-", 'W0250484DW', "2,4,4',5-Tetrachloro-1,1'-biphenyl", "1,1'-Biphenyl, 2,4,4',5-tetrachloro", 'PCB 74', 'PCB-74', '1,2,4-trichloro-5-(4-chlorophenyl)benzene', "PCB 74 (2,4,4',5-Tetrachlorobiphenyl)", 'SCHEMBL4449938', 'DTXSID8073473', 'CTK4G9133', 'ZINC2526168', "Biphenyl, 2,4,4',5-tetrachloro-", 'ACM32690930', '1,1-Biphenyl, 2,4,4,5-tetrachloro-', 'PCB No. 74 10 microg/mL in Isooctane', "1,1'-Biphenyl,2,4,4',5-tetrachloro-", 'LS-191211', 'Q27292119', 'UNII-Z34ZC2K7Q0 component TULCXSBAPHCWCF-UHFFFAOYSA-N']</t>
  </si>
  <si>
    <t>Compound(36218)</t>
  </si>
  <si>
    <t>3,3 ', 4,4'-tetrachlorobiphenyl</t>
  </si>
  <si>
    <t>1,2-dichloro-4-(3,4-dichlorophenyl)benzene</t>
  </si>
  <si>
    <t>["3,3',4,4'-Tetrachlorobiphenyl", '32598-13-3', 'PCB 77', "3,4,3',4'-TETRACHLOROBIPHENYL", "3,3',4,4'-Tetrachloro-1,1'-biphenyl", "1,1'-Biphenyl, 3,3',4,4'-tetrachloro-", "Biphenyl, 3,3',4,4'-tetrachloro-", '4-CB', 'UNII-Y2I6546TMI', 'PCB-77', "3,4,3',4'-Tetra coplanar polychlorinated biphenyl", 'HSDB 3949', 'CHEBI:1367', 'CHEMBL344161', 'Y2I6546TMI', '1,2-dichloro-4-(3,4-dichlorophenyl)benzene', "3,4,3',4'-Tetrachloro-biphenyl", "PCB 77 (3,3',4,4'-Tetrachlorobiphenyl)", 'PCB No 77', 'CCRIS 8592', "3,3',4,4'-TCB", 'PCB No. 77', 'BIDD:ER0452', 'SCHEMBL137915', 'DTXSID5022514', "3,3',4,4'-Tetrachlorbiphenyl", 'CTK4G8977', 'PCB No 77, analytical standard', "3,3',4,4'-tetrachlorobinphenyl", 'ZINC1532135', 'BDBM50408357', 'AKOS015903432', 'MCULE-8977863883', 'ACM32598133', 'LS-44545', 'PCB No. 77 10 microg/mL in Isooctane', "3,3',4,4'-Tetrachloro(14C-U)biphenyl", 'PCB No. 77 100 microg/mL in Isooctane', "1,1'-Biphenyl,3,3',4,4'-tetrachloro-", 'C11057', "1,1'-Biphenyl, 3,3',4,4'-tetrachloro- (9CI)", 'J-018797', 'Q26841257', 'UNII-Z34ZC2K7Q0 component UQMGJOKDKOLIDP-UHFFFAOYSA-N', "3,3',4,4'-Tetrachloro-1,1'-biphenyl labeled with carbon-14", "1,1'-Biphenyl, 3,3',4,4'-tetrachloro-, labeled with carbon-14", "3,3',4,4'-Tetrachlorobinphenyl;3,3',4,4'-Tetrachlorobiphenyl;PCB 77 (3,3',4,4'-Tetrachlorobiphenyl);3 , 3' , 4 , 4'-tetrachlorobiphenyl;3,4,3,4-tetrachlorobiphenyl", '80333-65-9']</t>
  </si>
  <si>
    <t>Compound(36187)</t>
  </si>
  <si>
    <t>3,3 ', 4,5-tetrachlorobiphenyl</t>
  </si>
  <si>
    <t>1,2,3-trichloro-5-(3-chlorophenyl)benzene</t>
  </si>
  <si>
    <t>["3,3',4,5-Tetrachlorobiphenyl", '70362-49-1', 'UNII-M3Y0MO1SUK', 'M3Y0MO1SUK', 'PCB-78', "1,1'-Biphenyl, 3,3',4,5-tetrachloro-", '1,2,3-trichloro-5-(3-chlorophenyl)benzene', "PCB 78 (3,3',4,5-Tetrachlorobiphenyl)", 'PCB No. 78', 'PCB 78', 'SCHEMBL4449773', 'DTXSID1074208', 'CTK9A1861', 'ZINC2526170', "3,3',4,5-Tetrachloro-1,1'-biphenyl", 'PCB No. 78 10 microg/mL in Isooctane', 'Q27283453', 'UNII-Z34ZC2K7Q0 component SXFLURRQRFKBNN-UHFFFAOYSA-N']</t>
  </si>
  <si>
    <t>Compound(63101)</t>
  </si>
  <si>
    <t>3,4,4 ', 5-tetrachlorobiphenyl</t>
  </si>
  <si>
    <t>1,2,3-trichloro-5-(4-chlorophenyl)benzene</t>
  </si>
  <si>
    <t>["3,4,4',5-TETRACHLOROBIPHENYL", '70362-50-4', 'PCB 81', 'UNII-7R8ZU2864J', 'CHEMBL137799', 'PCB-81', "1,1'-Biphenyl, 3,4,4',5-tetrachloro-", 'CHEBI:81516', '7R8ZU2864J', "3,4,4',5-Tetrachloro-1,1'-biphenyl", "1,1'-Biphenyl, 3,4,4',5-tetrachloro", '1,2,3-trichloro-5-(4-chlorophenyl)benzene', "PCB 81 (3,4,4',5-Tetrachlorobiphenyl)", 'PCB No. 81', 'SCHEMBL307934', 'DTXSID6074209', 'CTK5D2291', "3,4,5,4'-Tetrachloro-biphenyl", 'ZINC2526172', 'BDBM50408379', 'PCB No. 81 10 microg/mL in Isooctane', 'C18114', 'Q27155437', 'UNII-Z34ZC2K7Q0 component BHWVLZJTVIYLIV-UHFFFAOYSA-N', "3,4,4',5-Tetrachlorobiphenyl;3 , 4 , 4' , 5-tetrachlorobiphenyl;PCB 81"]</t>
  </si>
  <si>
    <t>Compound(51043)</t>
  </si>
  <si>
    <t>2,2 ' , 3,4,4'-pentachlorobiphenyl</t>
  </si>
  <si>
    <t>1,2,3-trichloro-4-(2,4-dichlorophenyl)benzene</t>
  </si>
  <si>
    <t>["2,2',3,4,4'-PENTACHLOROBIPHENYL", '65510-45-4', 'PCB 85', 'UNII-978Z792J4S', "2,2',3,4,4'-Pentachloro-1,1'-biphenyl", "1,1'-Biphenyl, 2,2',3,4,4'-pentachloro-", '1,2,3-trichloro-4-(2,4-dichlorophenyl)benzene', '978Z792J4S', "1,1'-Biphenyl, 2,2',3,4,4'-pentachloro", 'PCB No. 85', 'PCB-85', 'SCHEMBL4454517', 'DTXSID9073599', 'CTK2F3164', 'ZINC2566936', "PCB 85 (2,2',3,4,4'-Pentachlorobiphenyl)", 'Q27271984', 'UNII-E20W17P8M3 component LACXVZHAJMVESG-UHFFFAOYSA-N', "2,2',3,4,4'-Pentachlorobiphenyl, BZ# 85, vial of 100 mg", "2,2',3,4,4'-Pentachlorobiphenyl, 99%, vial of 10 mg, BZ# 85, analytical standard"]</t>
  </si>
  <si>
    <t>Compound(47651)</t>
  </si>
  <si>
    <t>2,2 ' , 3,4,5'-pentachlorobiphenyl</t>
  </si>
  <si>
    <t>1,2,3-trichloro-4-(2,5-dichlorophenyl)benzene</t>
  </si>
  <si>
    <t>["2,2',3,4,5'-PENTACHLOROBIPHENYL", '38380-02-8', "2,3,4,2',5'-Pentachlorobiphenyl", 'PCB 87', "1,1'-Biphenyl, 2,2',3,4,5'-pentachloro-", "2,2',3,4,5'-Pentachlorodiphenyl", "2,5,2',3',4'-Pentachlorobiphenyl", 'UNII-X433553891', 'BRN 2507417', 'PCB-87', '1,2,3-trichloro-4-(2,5-dichlorophenyl)benzene', 'X433553891', "PCB 87 (2,2',3,4,5'-Pentachlorobiphenyl)", 'PCB No. 87', 'SCHEMBL4459079', 'DTXSID6073497', 'CTK4H9862', 'ZINC2521611', "2,2',3,4,5'-Pentachlorbiphenyl", 'LS-44513', 'PCB No. 87 10 microg/mL in Isooctane', "2,2',3,4,5'-Pentachloro-1,1'-biphenyl", "2,2',3,4,5'-Pentachloro-1,1'-biphenyl #", 'Q27293540', 'UNII-E20W17P8M3 component OPKYDBFRKPQCBS-UHFFFAOYSA-N']</t>
  </si>
  <si>
    <t>Compound(38014)</t>
  </si>
  <si>
    <t>2,2 ' , 3,5,5'-pentachlorobiphenyl</t>
  </si>
  <si>
    <t>1,2,5-trichloro-3-(2,5-dichlorophenyl)benzene</t>
  </si>
  <si>
    <t>["2,2',3,5,5'-PENTACHLOROBIPHENYL", '52663-61-3', 'UNII-3GHX34QF3C', "1,1'-Biphenyl, 2,2',3,5,5'-pentachloro-", '3GHX34QF3C', "2,2',3,5,5'-Pentachloro-1,1'-biphenyl", 'PCB 92', 'PCB-92', 'SCHEMBL4454535', 'DTXSID5073537', 'CTK4J6253', 'ZINC2566941', "2,3,5,2',5'-Pentachlorobiphenyl", '1,1-Biphenyl, 2,2,3,5,5-pentachloro-', "1,1'-Biphenyl,2,2',3,5,5'-pentachloro-", "2,2',3,5,5'-Pentachloro-1,1'-biphenyl #", 'Q27257182', 'UNII-E20W17P8M3 component CRCBRZBVCDKPGA-UHFFFAOYSA-N']</t>
  </si>
  <si>
    <t>Compound(40469)</t>
  </si>
  <si>
    <t>2,2 ', 3,5', 6-pentachlorobiphenyl</t>
  </si>
  <si>
    <t>1,2,4-trichloro-3-(2,5-dichlorophenyl)benzene</t>
  </si>
  <si>
    <t>["2,2',3,5',6-PENTACHLOROBIPHENYL", 'Pcb-95', '38379-99-6', 'Pcb 95', "1,1'-Biphenyl, 2,2',3,5',6-pentachloro-", 'UNII-0YO8J06WCR', '0YO8J06WCR', "2,3,6,2',5'-Pentachlorobiphenyl", "2,2',3,5',6-Pentachloro-1,1'-biphenyl", '1,2,4-trichloro-3-(2,5-dichlorophenyl)benzene', "PCB 95 (2,2',3,5',6-Pentachlorobiphenyl)", 'PCB No. 95', 'SCHEMBL4450570', 'DTXSID3038301', 'CTK4H9861', 'ZINC2521614', "2,2',3,5',6-Pentachlorbiphenyl", "2,5,2',3',6'-Pentachlorobiphenyl", 'PCB No. 95 10 microg/mL in Isooctane', 'LS-182472', "2,2',3,5',6-Pentachloro-1,1'-biphenyl #", 'Q27237354', 'UNII-E20W17P8M3 component GXNNLIMMEXHBKV-UHFFFAOYSA-N', "2,2,3,5,6-pentachlorobiphenyl;2 , 2' , 3 , 5' , 6-pentachlorobiphenyl"]</t>
  </si>
  <si>
    <t>Compound(38012)</t>
  </si>
  <si>
    <t>2,2 ', 3,4 ' , 5'-pentachlorobiphenyl</t>
  </si>
  <si>
    <t>1,2,4-trichloro-5-(2,3-dichlorophenyl)benzene</t>
  </si>
  <si>
    <t>["2,2',3,4',5'-Pentachlorobiphenyl", "2,2',3',4,5-PENTACHLOROBIPHENYL", '41464-51-1', 'UNII-126JR5ZDQQ', "1,1'-Biphenyl, 2,2',3',4,5-pentachloro-", "1,1'-Biphenyl, 2,2',3,4',5'-pentachloro-", '126JR5ZDQQ', 'PCB-97', 'PCB 97', "2,2',3',4,5-Pentachloro-1,1'-biphenyl", '1,2,4-trichloro-5-(2,3-dichlorophenyl)benzene', 'PCB No. 97', 'SCHEMBL4450490', 'DTXSID2073510', 'CTK4I4884', 'ZINC2521615', "2,2',3',4,5-Pentachlorbiphenyl", "2,2',3',4,5-Pentachlorodiphenyl", "2,4,5,2',3'-Pentachlorobiphenyl", "1,1'-Biphenyl,2,2',3,4',5'-pentachloro-", "2,2',3,4',5'-Pentachloro-1,1'-biphenyl #", "PCB 97 (2,2',3,4',5'-Pentachlorobiphenyl)", 'Q27251377', 'UNII-E20W17P8M3 component JTUSORDQZVOEAZ-UHFFFAOYSA-N']</t>
  </si>
  <si>
    <t>Compound(38881)</t>
  </si>
  <si>
    <t>2,2 ', 4,4', 5-pentachlorobiphenyl</t>
  </si>
  <si>
    <t>1,2,4-trichloro-5-(2,4-dichlorophenyl)benzene</t>
  </si>
  <si>
    <t>["2,2',4,4',5-PENTACHLOROBIPHENYL", '38380-01-7', 'PCB 99', "1,1'-Biphenyl, 2,2',4,4',5-pentachloro-", 'UNII-3PY435PFIO', "2,2',4,4',5-Pentachloro-1,1'-biphenyl", '3PY435PFIO', '1,2,4-trichloro-5-(2,4-dichlorophenyl)benzene', "2,2',4,4'5-Pentachlorobiphenyl", "PCB 99 (2,2',4,4',5-Pentachlorobiphenyl)", 'PCB No. 99', 'PCB-99', 'SCHEMBL4446838', 'CHEMBL2074793', 'DTXSID1073496', 'CTK1C2930', 'POLYCHLORINATED BIPHENYL 99', 'ZINC2566944', 'PCB No. 99 10 microg/mL in Isooctane', '1,1-Biphenyl, 2,2,4,4,5-pentachloro-', 'LS-182490', "2,2',4,4',5-Pentachloro-1,1'-biphenyl #", 'Q27257876', 'UNII-E20W17P8M3 component LMQJBFRGXHMNOX-UHFFFAOYSA-N']</t>
  </si>
  <si>
    <t>Compound(38013)</t>
  </si>
  <si>
    <t>2,3, 7,8-tetrachlorodibenzo-p-dioxin</t>
  </si>
  <si>
    <t>2,3,7,8-tetrachlorodibenzo-p-dioxin</t>
  </si>
  <si>
    <t>['2,3,7,8-TETRACHLORODIBENZO-P-DIOXIN', 'TCDD', 'Dioxin', 'Tetradioxin', 'Tetrachlorodibenzodioxin', '1746-01-6', 'Dioxine', 'TCDBD', '2,3,7,8-Tetrachlorooxanthrene', '2,3,7,8-TCDD', '2,3,7,8-Tetrachlorodibenzodioxin', 'Dioksyny', 'Dioksyny [Polish]', 'Dioxin (herbicide contaminant)', '2,3,7,8-Tetrachlorodibenzo-1,4-dioxin', 'NCI-C03714', 'Dibenzo-p-dioxin, 2,3,7,8-tetrachloro-', 'UNII-DO80M48B6O', 'CCRIS 576', 'PCDD 48', 'HSDB 4151', 'EINECS 217-122-7', '2,3,7,8-Tetrachlorodibenzo[b,e][1,4]dioxin', '2,3,7,8-tetrachloro-dibenzo-p-dioxin', 'BRN 0271116', 'Dibenzo(b,e)(1,4)dioxin, 2,3,7,8-tetrachloro-', '2,3,7,8-Czterochlorodwubenzo-p-dwuoksyny', 'DO80M48B6O', 'CHEBI:28119', '2,3,7,8-Tetrachlorodibenzo(b,e)(1,4)dioxin', '2,3,7,8-Tetra polychlorinated dibenzo-p-dioxin', '2,3,7,8-tetrachlorodibenzodioxine', '2,3,7,8-Czterochlorodwubenzo-p-dwuoksyny [Polish]', 'Dibenzo[b,e][1,4]dioxin, 2,3,7,8-tetrachloro-', '2,3,7,8-Tetrachlorodibenzo-p-dioxin [Dioxin and dioxin-like compounds]', 'Dioxin mixture', '2,3,7,8-Tetrachloro-p-dioxin', 'TCDB D', 'DSSTox_CID_1315', 'SCHEMBL8939', 'DSSTox_RID_76075', 'DSSTox_GSID_21315', '[3H]-TCDD', 'CHEMBL30327', 'Tetrachlorodibenzo-1,4-dioxin', 'TEF TRANSGENICS (TCDD)', 'GTPL9642', 'DTXSID2021315', 'BDBM23927', 'CTK5A5713', 'ZINC897030', '2,3,7,8-Tetrachlorooxanthrene #', 'Tox21_202792', 'LS-938', 'MFCD00152860', '2,3,7,8-T4CDD', 'AKOS022181518', '2,3,7,8-:tetrachlorodibenzo-p-dioxin', 'NCGC00260338-01', '2,3,7,8-Tetrachlorodibenzo[1,4]dioxin', 'CAS-1746-01-6', 'dibenzo-dioxin, 2,3,7,8-tetrachlorinated', '2,3,7,8-Tetrachloro-Dibenzo[1,4]Dioxine', 'NS00020755', 'Y1783', '2,3,7,8-Tetrachlorodibenzo(b,e)(1,4)dioxan', 'C07557', 'Q52822', '2,3,7,8-Tetrachloro-dibenzo[b,e][1,4]dioxin', '2,3,7,8-tetrachlorodibenzo[b,e][1,4]dioxine', 'BRD-K90697689-001-01-5', '2,3,7,8-Tetrachlorodibenzo-p-dioxin (2,3,7,8-T4CDD)', 'UNII-OHF2F5C0ZH component HGUFODBRKLSHSI-UHFFFAOYSA-N', '2,3,7,8-Tetrachlorodibenzo-p-dioxin 10 microg/mL in Toluene', 'TRANSGENIC MODEL EVALUATION (2,3,7,8-TETRACHLORODIBENZODIOXIN)', '2,3,7,8-TETRACHLORODIBENZO-P-DIOXIN (SEE ALSO TRANSGENIC MODEL EVALUATION (2,3,7,8-TETRACHLORODIBENZODIOXIN))', '2,3,7,8-Tetrachlorodibenzo-p-dioxin;2,3,7,8-tetrachlorodibenzo[b,e][1,4]dioxin;2,3,7,8-Tetrachlorodibenzo-p-dioxin (2,3,7,8-TCDD);2 , 3 , 7 , 8-tetrachlorodibenzo-p-dioxin', '56795-67-6', 'TOXIC EQUIVALENCY FACTOR EVALUATION (TCDD) (SEE ALSO TCDD &amp; TRANSGENIC MODEL EVALUATION)']</t>
  </si>
  <si>
    <t>Compound(15625)</t>
  </si>
  <si>
    <t>C12H4Cl4O2</t>
  </si>
  <si>
    <t>1,2, 3,7, 8-pentachloordibenzo-p-dioxin</t>
  </si>
  <si>
    <t>1,2,3,7,8-pentachlorodibenzo-p-dioxin</t>
  </si>
  <si>
    <t>['1,2,3,7,8-PENTACHLORODIBENZO-P-DIOXIN', '40321-76-4', '1,2,3,7,8-Pentachlorodibenzodioxin', '1,2,3,7,8-PeCDD', 'UNII-2NE6H0QPCH', 'BRN 1626844', 'Dibenzo-p-dioxin, 1,2,3,7,8-pentachloro-', '2NE6H0QPCH', '1,2,3,7,8-Penta polychlorinated dibenzo-p-dioxin', 'CHEMBL137220', 'CHEBI:81501', '1,2,3,7,8-Pentachlorodibenzo-p-dioxin [Dioxin and dioxin-like compounds]', '1,2,3,7,8-Pentachlorodibenzo(b,e)(1,4)dioxin', 'Dibenzo[b,e][1,4]dioxin, 1,2,3,7,8-pentachloro-', 'Dibenzo(b,e)(1,4)dioxin, 1,2,3,7,8-pentachloro-', 'PCDD 54', 'SCHEMBL2885718', 'DTXSID7052078', 'CTK8I6034', '1,2,3,7,8-Pentachlorooxanthrene', 'ZINC2569972', 'BDBM50408363', '1,2,3,7,8-Pentachlorooxanthrene #', '1,2,3,7,8-PCDD', 'LS-1251', '1,2,3,7,8-Penta-chlorodibenzo-p-dioxin', 'FT-0673578', '1,2,3,7,8-Pentachloro-dibenzo[1,4]dioxine', 'C18099', 'Q27155426', 'UNII-N9F088KLJF component FSPZPQQWDODWAU-UHFFFAOYSA-N', 'TOXIC EQUIVALENCY FACTOR EVALUATION (PENTACHLORODIBENZO-P-DIOXIN)(SEE ALSO PENTACHLORODIBENZO-P-DIOXIN)']</t>
  </si>
  <si>
    <t>Compound(38439)</t>
  </si>
  <si>
    <t>C12H3Cl5O2</t>
  </si>
  <si>
    <t>1,2, 3,4, 7,8-hexachloordibenzo-p-dioxin</t>
  </si>
  <si>
    <t>1,2,3,4,7,8-hexachlorodibenzo-p-dioxin</t>
  </si>
  <si>
    <t>['1,2,3,4,7,8-Hexachlorodibenzodioxin', '1,2,3,4,7,8-HEXACHLORODIBENZO-P-DIOXIN', '39227-28-6', '1,2,3,4,7,8-HxCDD', 'HEXACHLORODIBENZO-P-DIOXIN', 'D 66', 'UNII-5R0UY33JFS', '5R0UY33JFS', 'Dibenzo-p-dioxin, hexachloro-', 'CHEMBL136116', 'CHEBI:81502', '1,2,3,4,7,8-Hexachlorodibenzo(b,e)(1,4)dioxin', 'Dibenzo(b,e)(1,4)dioxin, 1,2,3,4,7,8-hexachloro-', 'Dibenzo-p-dioxin, 1,2,3,4,7,8-hexachloro-', '1,2,3,4,7,8-Hexachlorodibenzo-p-dioxin [Dioxin and dioxin-like compounds]', 'PCDD 66', 'HCDD', 'SCHEMBL4170319', 'DTXSID8052067', 'ZINC2567226', 'BDBM50408371', '1,2,3,4,7,8-Hexachlorooxanthrene', '1,2,3,4,7,8-Hexachlorooxanthrene #', 'LS-61004', '1,2,3,4,7,8-HCDD', '1,2,3,4,7,8-Hexa-chlorodibenzo-p-dioxin', 'FT-0669144', 'C18100', '1,2,3,4,7,8-Hexachloro-dibenzo[1,4]dioxine', '1,2,3,4,7,8-Hexachloro-dibenzo[b,e][1,4]dioxin', 'Q27155427', 'UNII-K0N0B011UE component WCYYQNSQJHPVMG-UHFFFAOYSA-N']</t>
  </si>
  <si>
    <t>Compound(38251)</t>
  </si>
  <si>
    <t>C12H2Cl6O2</t>
  </si>
  <si>
    <t>1,2, 3,6, 7,8-hexachloordibenzo-p-dioxin</t>
  </si>
  <si>
    <t>1,2,3,6,7,8-hexachlorodibenzo-p-dioxin</t>
  </si>
  <si>
    <t>['1,2,3,6,7,8-HEXACHLORODIBENZO-P-DIOXIN', '1,2,3,6,7,8-Hexachlorodibenzodioxin', '57653-85-7', '1,2,3,6,7,8-HXCDD', 'Hcdd mixture', 'CCRIS 323', 'UNII-B94L7A4G3D', 'HSDB 4154', 'NCI-C03703', 'Dibenzo-p-dioxin, 1,2,3,6,7,8-hexachloro-', 'BRN 1627652', 'Dibenzo(b,e)(1,4)dioxin, 1,2,3,6,7,8-hexachloro-', 'B94L7A4G3D', '1,2,3,6,7,8-Hexachlorodibenzo-para-dioxin', '1,2,3,6,7,8-Hcdd/1,2,3,7,8,9-hcdd', '1,2,3,6,7,8-Hexa polychlorinated dibenzo-p-dioxin', '1,2,3,6,7,8-hexachlorooxanthrene', '1,2,3,6,7,8-Hexachlorodibenzo(b,e)(1,4)dioxin', 'Dibenzo[b,e][1,4]dioxin, 1,2,3,6,7,8-hexachloro-', '1,2,3,6,7,8-Hexachlorodibenzo-p-dioxin [Dioxin and dioxin-like compounds]', 'PCDD 67', 'Dibenzo(b,e)(1,4)dioxin, hexachloro', 'SCHEMBL5967950', 'DTXSID0023824', 'CHEBI:81503', 'ZINC2565414', '1,2,3,6,7,8-Hexachloro-p-dioxin', 'LS-1405', '1,2,3,6,7,8-Hexa-chlorodibenzo-p-dioxin', 'FT-0669145', 'C18101', 'Q26841237', 'UNII-K0N0B011UE component YCLUIPQDHHPDJJ-UHFFFAOYSA-N', '1,2,3,6,7,8-Hexachlorodibenzo-p-dioxin;1,2,3,6,7,8-hexachlorodibenzodioxin']</t>
  </si>
  <si>
    <t>Compound(42540)</t>
  </si>
  <si>
    <t>1,2, 3,7, 8,9-hexachloordibenzo-p-dioxin</t>
  </si>
  <si>
    <t>1,2,3,7,8,9-hexachlorodibenzo-p-dioxin</t>
  </si>
  <si>
    <t>['1,2,3,7,8,9-HEXACHLORODIBENZO-P-DIOXIN', '19408-74-3', '1,2,3,7,8,9-Hexachlorodibenzodioxin', '1,2,3,7,8,9-HxCDD', 'Dibenzo-p-dioxin, 1,2,3,7,8,9-hexachloro-', 'HxCDD', 'UNII-CV865M3P15', 'D 70', 'HSDB 6866', '1,2,3,7,8,9-Hexachlorodibenzo(b,e)(1,4)dioxin', 'BRN 1353896', 'CV865M3P15', '1,2,3,7,8,9-Hexachlorooxanthrene', '1,2,3,7,8,9-Hexachlorodibenzo-p-dioxin [Dioxin and dioxin-like compounds]', 'PCDD 70', 'Hexachlorodibenzo-p-dioxin, Mixture', 'SCHEMBL2464142', 'DTXSID6023781', 'CHEBI:81504', '1,2,3,7,8,9-hcdd', 'ZINC2567227', 'LS-61006', 'HEXACHLOROBENZO-para-DIOXIN (MIXTURE)', '1,2,3,7,8,9-Hexa-chlorodibenzo-p-dioxin', 'FT-0669146', 'Hexachlorodibenzo-p-dioxin, mixture (HxCDD)', 'C18102', 'J-012569', 'Q27155428', 'UNII-K0N0B011UE component LGIRBUBHIWTVCK-UHFFFAOYSA-N', 'Hexachlorodibenzo-p-dioxin; mixture of 1,2,3,6,7,8-HxCDD and 1,2,3,7,8,9-HxCDD']</t>
  </si>
  <si>
    <t>Compound(29575)</t>
  </si>
  <si>
    <t>1,2,3,4, 6,7, 8-heptachloordibenzo-p-dioxin</t>
  </si>
  <si>
    <t>1,2,3,4,6,7,8-heptachlorodibenzo-p-dioxin</t>
  </si>
  <si>
    <t>['1,2,3,4,6,7,8-HEPTACHLORODIBENZO-P-DIOXIN', '35822-46-9', 'Heptachlorodibenzo-p-dioxin', '1,2,3,4,6,7,8-Heptachlorodibenzodioxin', '1,2,3,4,6,7,8-HpCDD', 'CCRIS 9023', 'Dibenzo[b,e][1,4]dioxin, heptachloro-', 'UNII-MM6333103R', 'BRN 1630271', '1,2,3,4,6,7,8-Heptachlorodibenzo-para-dioxin', '1,2,3,4,6,7,8-Heptapolychlorinated dibenzo-p-dioxin', 'MM6333103R', 'Dibenzo(b,e)(1,4)dioxin, 1,2,3,4,6,7,8-heptachloro-', 'Dibenzo-p-dioxin, 1,2,3,4,6,7,8-heptachloro-', '1,2,3,4,6,7,8-Heptachlorodibenzo(b,e)(1,4)dioxin', 'Dibenzo[b,e][1,4]dioxin, 1,2,3,4,6,7,8-heptachloro-', '1,2,3,4,6,7,8-Heptachlorodibenzo-p-dioxin [Dioxin and dioxin-like compounds]', 'PCDD 73', '37871-00-4', 'SCHEMBL2879834', 'DTXSID1052034', 'CHEBI:81505', 'CTK8I4921', 'ZINC2569971', '1,2,3,4,6,7,8-heptachlorooxanthrene', 'LS-61001', '1,2,3,4,6,7,8,-heptachlorodibenzodioxin', 'FT-0669111', '1,2,3,4,6,7,8-heptachloro dibenzo-p-dioxin', 'C18103', '1,2,3,4,6,7,8-Hepta-chlorodibenzo-p-dioxin', 'Q26841244', 'UNII-65NTE40HYO component WCLNVRQZUKYVAI-UHFFFAOYSA-N']</t>
  </si>
  <si>
    <t>Compound(37270)</t>
  </si>
  <si>
    <t>C12HCl7O2</t>
  </si>
  <si>
    <t>1,2,3,4, 6,7, 8,9-octachloordibenzo-p-dioxin</t>
  </si>
  <si>
    <t>1,2,3,4,6,7,8,9-octachlorodibenzo-p-dioxin</t>
  </si>
  <si>
    <t>['OCTACHLORODIBENZO-p-DIOXIN', 'OCDD', '3268-87-9', 'Octachlorodibenzodioxin', '1,2,3,4,6,7,8,9-Octachlorodibenzo-p-dioxin', 'Dibenzo[b,e][1,4]dioxin, octachloro-', 'Dibenzo-p-dioxin, octachloro-', 'Octachlorodibenzo-4-dioxin', 'NCI-C03678', 'NSC 37651', 'Octachlorodibenzo(b,e)(1,4)dioxin', 'octachlorooxanthrene', 'Octachloro-para-dibenzodioxin', 'CCRIS 4687', 'UNII-YW59P10266', 'HSDB 6480', '1,2,3,4,6,7,8,9-Octachlorodibenzodioxin', 'Octachloro-p-dibenzodioxin', '1,2,3,4,6,7,8,9-Octachorodibenzo-p-dioxin', 'Octa polychlorinated dibenzo-p-dioxin', 'BRN 0356027', 'Dibenzo-p-dioxin, 1,2,3,4,6,7,8,9-octachloro-', 'Octachlorodibenzodioxin (OCDD)', 'CHEMBL136461', 'CHEBI:81566', '1,2,3,4,6,7,8,9-Octachlorodibenzo(1,4)dioxin', 'YW59P10266', 'Dibenzo(b,e)(1,4)dioxin, octachloro-', '1,2,3,4,6,7,8,9-Octachlorodibenzo(b,e)(1,4)dioxin', '1,2,3,4,6,7,8,9-dibenzo-p-dioxin [Dioxin and dioxin-like compounds]', '1,2,3,4,6,7,8,9-Octachlorodibenzo[1,4]dioxin', 'PCDD 75', 'Octachlorodibenzo[b,4]dioxin', 'SCHEMBL1954279', 'DTXSID4025799', 'CTK8I2136', 'Dibenzo[b,4]dioxin, octachloro-', 'OCDD (Octachlorodibenzo-p-dioxin)', 'perchlorodibenzo[b,e][1,4]dioxine', 'NSC37651', 'ZINC1670159', 'BDBM50408295', 'NSC-37651', 'Dibenzo-p-dioxin, octachloro- (8CI)', 'LS-1201', '1,2,3,4,6,7,8,9-dibenzo-p-dioxin', '1,3,4,6,7,8,9-Octachlorodibenzodioxin', '1,3,4,6,7,8,9-Octachorodibenzo-p-dioxin', 'FT-0673177', '1,2,3,4,6,7,8,9-Octachlorooxanthrene #', '1,3,4,6,7,8,9-Octachlorodibenzo-p-dioxin', 'C18180', 'Dibenzo(b,e)(1,4)dioxin, octachloro- (9CI)', 'Dibenzo-p-dioxin,2,3,4,6,7,8,9-octachloro-', '1,2,3,4,6,7,8,9-OCDD', 'J-018835', 'Octachlorodibenzo-p-dioxin;octachlorodibenzo-4-dioxin', 'Q7076685', '1,2,3,4,6,7,8,9-Octachloro-dibenzo[1,4]dioxine', 'WLN: T C666 BO IOJ DG EG FG GG KG LG MG NG']</t>
  </si>
  <si>
    <t>Compound(18636)</t>
  </si>
  <si>
    <t>C12Cl8O2</t>
  </si>
  <si>
    <t>2,3, 4,6, 7-pentachloordibenzofuraan</t>
  </si>
  <si>
    <t>2,3,4,6,7-pentachlorodibenzofuran</t>
  </si>
  <si>
    <t>['2,3,4,6,7-PENTACHLORODIBENZOFURAN', 'UNII-SJ4S98BDU6', '57117-43-8', 'SJ4S98BDU6', 'Dibenzofuran, 2,3,4,6,7-pentachloro-', 'Dibenzofuran, 2,3,4,6,7-pentachloro', 'CTK5A6321', '2,3,4,6,7-pentachlor-odibenzofuran', '2,3,4,6,7-Penta-chlorodibenzofuran', '2,3,4,6,7-PCDF', 'Dibenzofuran,2,3,4,6,7-pentachloro-', 'Q27289234', 'UNII-NL836FSQ8U component SJFBZRQKGOGHEV-UHFFFAOYSA-N']</t>
  </si>
  <si>
    <t>Compound(527711)</t>
  </si>
  <si>
    <t>C12H3Cl5O</t>
  </si>
  <si>
    <t>2,3, 4,7, 8-pentachloordibenzofuraan</t>
  </si>
  <si>
    <t>2,3,4,7,8-pentachlorodibenzofuran</t>
  </si>
  <si>
    <t>['2,3,4,7,8-PENTACHLORODIBENZOFURAN', '57117-31-4', 'Dibenzofuran, 2,3,4,7,8-pentachloro-', '4-PeCDF', 'HSDB 7178', '2,3,4,7,8-PeCDF', 'UNII-U4C2RV3124', 'CCRIS 3492', 'CHEMBL335558', '2,3,4,7,8-Pentapolychlorinated dibenzofuran', 'CHEBI:81508', 'U4C2RV3124', 'PeCDF', '2,3,4,7,8-pentachlorodibenzo[b,d]furan', '2,3,4,7,8-Pentachlorodibenzofuran [Dioxin and dioxin-like compounds]', 'PCDF', 'PCB 126 / PECDF mixture', 'PCDF 114', 'SCHEMBL2281485', 'TEF TRANSGENICS (PECDF)', 'DTXSID7030066', 'CTK3I9318', 'ZINC2567230', 'BDBM50408369', '2,3,4,7,8-penta-chlorodibenzofuran', '2,3,4,7,8-Pentachloro-dibenzofuran', 'LS-1395', '2,3,4,7,8-pentachlorodibenzofuran  (PeCDF)', 'C18106', 'Q26841329', 'UNII-NL836FSQ8U component OGBQILNBLMPPDP-UHFFFAOYSA-N', 'TOXIC EQUIVALENCY FACTOR EVALUATION ((PECDF) PENTACHLORODIBENZOFURAN)']</t>
  </si>
  <si>
    <t>Compound(42128)</t>
  </si>
  <si>
    <t>1,2, 3,4, 7,8-hexachloordibenzofuraan</t>
  </si>
  <si>
    <t>1,2,3,4,7,8-hexachlorodibenzofuran</t>
  </si>
  <si>
    <t>['1,2,3,4,7,8-HEXACHLORODIBENZOFURAN', 'HCDF', '70648-26-9', 'Dibenzofuran, 1,2,3,4,7,8-hexachloro-', '1,2,3,4,7,8-HxCDF', 'UNII-BP4Q20NZGY', 'BP4Q20NZGY', 'CHEMBL342717', 'CHEBI:81509', '1,2,3,4,7,8-Hexa polychlorinated dibenzofuran', '1,2,3,4,7,8-hexachlorobenzofuran', '1,2,3,4,7,8-Hexachlorodibenzofuran [Dioxin and dioxin-like compounds]', 'Dibenzofuran,hexachloro-', 'PCDF 118', 'SCHEMBL2280219', 'DTXSID6029915', 'CTK5A4007', 'ZINC2568378', 'BDBM50408291', 'LS-1601', '1,2,3,4,7,8-Hexa-chlorodibenzofuran', '1,2,3,4,7,8-Hexachloro-dibenzofuran', '1,2,3,4,7,8-Hexachlorodibenzo[b,d]furan', 'C18107', 'Q27155431', '1,2,3,4,7,8-Hexachlorodibenzofuran;1,2,3,4,7,8-hexachlorodibenzofuran;1 , 2 , 3 , 4 , 7 , 8-hexachlorodibenzofuran']</t>
  </si>
  <si>
    <t>Compound(51130)</t>
  </si>
  <si>
    <t>C12H2Cl6O</t>
  </si>
  <si>
    <t>1,2, 3,4, 7,9-hexachloordibenzofuraan</t>
  </si>
  <si>
    <t>1,2,3,4,7,9-hexachlorodibenzofuran</t>
  </si>
  <si>
    <t>['1,2,3,4,7,9-HEXACHLORODIBENZOFURAN', '91538-84-0', 'UNII-77JBX1094J', 'Dibenzofuran, 1,2,3,4,7,9-hexachloro-', 'Dibenzofuran, 1,2,3,4,7,9-hexachloro', '77JBX1094J', 'DTXSID6075273', 'CTK5G9763', '1,2,3,4,7,9-HxCDF', 'Q27266586', 'UNII-0SJX3JUT7O component BKIXWRBZCQEZAQ-UHFFFAOYSA-N']</t>
  </si>
  <si>
    <t>Compound(56262)</t>
  </si>
  <si>
    <t>1,2, 3,6, 7,8-hexachloordibenzofuraan</t>
  </si>
  <si>
    <t>1,2,3,6,7,8-hexachlorodibenzofuran</t>
  </si>
  <si>
    <t>['1,2,3,6,7,8-HEXACHLORODIBENZOFURAN', '57117-44-9', '1,2,3,6,7,8-HxCDF', 'UNII-1ZG4RG6I9O', 'PCDF 121', 'Dibenzofuran, 1,2,3,6,7,8-hexachloro-', 'F 121', '2,3,4,7,8,9-Hexachlorodibenzofuran', '1ZG4RG6I9O', 'CHEMBL343494', 'CHEBI:81511', '1,2,3,6,7,8-Hexa polychlorinated dibenzofuran', 'Dibenzofuran, 1,2,3,6,7,8-hexachloro', '1,2,3,6,7,8-Hexachlorodibenzofuran [Dioxin and dioxin-like compounds]', 'SCHEMBL2286823', 'DTXSID2069155', 'CTK3I9290', 'ZINC2569973', 'BDBM50408332', '1,2,3,6,7,8-Hexa-chlorodibenzofuran', '1,2,3,6,7,8-Hexachloro-dibenzofuran', 'LS-61067', '1,2,3,6,7,8-Hexachlorodibenzo[b,d]furan', 'C18109', 'Q27155433', 'UNII-0SJX3JUT7O component JEYJJJXOFWNEHN-UHFFFAOYSA-N', '2,3,4,7,8,9-Hexachlorodibenzofuran;1,2,3,6,7,8-Hexachlorodibenzofuran;1 , 2 , 3 , 6 , 7 , 8-hexachlorodibenzofuran']</t>
  </si>
  <si>
    <t>Compound(42140)</t>
  </si>
  <si>
    <t>1,2, 3,7, 8,9-hexachloordibenzofuraan</t>
  </si>
  <si>
    <t>1,2,3,7,8,9-hexachlorodibenzofuran</t>
  </si>
  <si>
    <t>['1,2,3,7,8,9-HEXACHLORODIBENZOFURAN', '72918-21-9', '1,2,3,7,8,9-HxCDF', 'UNII-HSC1I7996Z', 'PCDF 124', 'Dibenzofuran, 1,2,3,7,8,9-hexachloro-', 'F 124', 'HSC1I7996Z', 'Dibenzofuran, 1,2,3,7,8,9-hexachloro', '1,2,3,7,8,9-hexachlorodibenzo[b,d]furan', '1,2,3,7,8,9-Hexachlorodibenzofuran [Dioxin and dioxin-like compounds]', 'SCHEMBL2461568', 'DTXSID9052470', 'CHEBI:81510', 'CTK5D7052', 'ZINC2569956', 'Dibenzofuran,1,2,3,7,8,9-hexachloro-', 'LS-61068', 'FT-0669114', 'C18108', 'Q27155432', 'UNII-0SJX3JUT7O component PYUSJFJVDVSXIU-UHFFFAOYSA-N', '1,2,3,7,8,9-Hexachlorodibenzofuran;1,2,3,7,8,9-Hexachlorodibenzo[b,d]furan']</t>
  </si>
  <si>
    <t>Compound(51720)</t>
  </si>
  <si>
    <t>2,3, 4,6, 7,8-hexachloordibenzofuraan</t>
  </si>
  <si>
    <t>2,3,4,6,7,8-hexachlorodibenzofuran</t>
  </si>
  <si>
    <t>['2,3,4,6,7,8-HEXACHLORODIBENZOFURAN', '60851-34-5', 'Dibenzofuran, 2,3,4,6,7,8-hexachloro-', '2,3,4,6,7,8-HxCDF', 'UNII-IMR03169ES', 'F 130', 'CHEMBL343049', 'IMR03169ES', 'CHEBI:81512', '2,3,4,6,7,8-Hexachlorodibenzo[b,d]furan', '2,3,4,6,7,8-Hexachlorodibenzofuran [Dioxin and dioxin-like compounds]', 'PCDF 130', 'SCHEMBL2278973', 'DTXSID3052276', 'CTK3I9441', 'ZINC2569974', 'BDBM50408302', '2,3,4,6,7,8-Hexa-chlorodibenzofuran', '2,3,4,6,7,8-Hexachloro-dibenzofuran', 'LS-61069', '2,3,4,6,7,8-Hexachlorodibenzo[b,d]furan #', 'C18110', 'Q27155434', 'UNII-0SJX3JUT7O component XTAHLACQOVXINQ-UHFFFAOYSA-N', '2,3,4,6,7,8-Hexachlorodibenzofuran;2,3,4,6,7,8-Hexachlorodibenzo[b,d]furan;Dibenzofuran, 2,3,4,6,7,8-hexachloro-;2 , 3 , 4 , 6 , 7 , 8-hexachlorodibenzofuran']</t>
  </si>
  <si>
    <t>Compound(43495)</t>
  </si>
  <si>
    <t>1,2,3,4, 6,7, 8-heptachloordibenzofuraan</t>
  </si>
  <si>
    <t>1,2,3,4,6,7,8-heptachlorodibenzofuran</t>
  </si>
  <si>
    <t>['1,2,3,4,6,7,8-HEPTACHLORODIBENZOFURAN', '67562-39-4', 'HEPTACHLORODIBENZOFURAN', 'Dibenzofuran, heptachloro-', 'F 131', '1,2,3,4,6,7,8-HpCDF', 'UNII-58J222A38N', 'Dibenzofuran, 1,2,3,4,6,7,8-heptachloro-', '38998-75-3', '1,2,3,4,6,7,8-Heptachlorodibenzo[b,d]furan', '1,2,3,4,6,7,8-Hepta polychlorinated dibenzofuran', '58J222A38N', '67652-39-5', '1,2,3,4,6,7,8-Heptachlorodibenzofuran [Dioxin and Dioxin-Like compounds]', 'Heptachlorodibenzofurans', 'PCDF 131', 'SCHEMBL3181521', 'DTXSID8052350', 'CHEBI:81513', 'CTK5C6337', 'ZINC2569948', 'ACM38998753', 'LS-61063', 'LS-61064', '1,2,3,4,6,7,8-Hepta-chlorodibenzofuran', 'FT-0669112', 'C18111', '1,2,3,4,6,7,8-Heptachlorodibenzo[b,d]furan #', 'Q27155435', 'UNII-3852E118OU component WDMKCPIVJOGHBF-UHFFFAOYSA-N']</t>
  </si>
  <si>
    <t>Compound(38199)</t>
  </si>
  <si>
    <t>C12HCl7O</t>
  </si>
  <si>
    <t>1,2,3,4, 7,8, 9-heptachloordibenzofuraan</t>
  </si>
  <si>
    <t>1,2,3,4,7,8,9-heptachlorodibenzofuran</t>
  </si>
  <si>
    <t>['1,2,3,4,7,8,9-HEPTACHLORODIBENZOFURAN', '55673-89-7', '1,2,3,4,7,8,9-HpCDF', 'UNII-R443MRN2CG', 'F 134', 'Dibenzofuran, 1,2,3,4,7,8,9-heptachloro-', 'R443MRN2CG', 'Dibenzofuran, 1,2,3,4,7,8,9-heptachloro', '1,2,3,4,7,8,9-Heptachlorodibenzofuran [Dioxin and dioxin-like compounds]', 'PCDF 134', 'SCHEMBL5968024', 'DTXSID9052216', 'CHEBI:81514', 'CTK5A3980', 'ZINC2569952', 'LS-61065', '1,2,3,4,7,8,9-Hepta-chlorodibenzofuran', 'Dibenzofuran,1,2,3,4,7,8,9-heptachloro-', 'FT-0669113', '1,2,3,4,7,8,9-heptachlorodibenzo[b,d]furan', 'C18112', 'Q27155436', 'UNII-3852E118OU component VEZCTZWLJYWARH-UHFFFAOYSA-N']</t>
  </si>
  <si>
    <t>Compound(41510)</t>
  </si>
  <si>
    <t>1,2,3,4, 6,7, 8,9-octachloordibenzofuraan</t>
  </si>
  <si>
    <t>1,2,3,4,6,7,8,9-octachlorodibenzofuran</t>
  </si>
  <si>
    <t>['OCTACHLORODIBENZOFURAN', '1,2,3,4,6,7,8,9-Octachlorodibenzofuran', 'Perchlorodibenzofuran', 'Dibenzofuran, octachloro-', '39001-02-0', 'OCDF', 'Octapolychlorinated dibenzofuran', 'UNII-9C00M3WUEE', 'F 135', '9C00M3WUEE', '1,2,3,4,6,7,8,9-Octachlorodibenzo[b,d]furan', '1,2,3,4,6,7,8,9-Octachlorodibenzofuran [Dioxin and dioxin-like compounds]', 'PCDF 135', 'octachlorodibenzo-furan', 'Perchlorodibenzo[b,d]furan', 'OCDF (Octachlorodibenzofuran)', 'SCHEMBL2405692', 'DTXSID3052062', 'CHEBI:81515', 'CTK4I0808', 'ZINC2521606', 'LS-61077', 'FT-0673178', 'C18113', 'Dibenzofuran,1,2,3,4,6,7,8,9-octachloro-', '1,2,3,4,6,7,8,9-OCDF', 'Q26841222', 'Octachlorodibenzofuran;1,2,3,4,6,7,8,9-Octachlorodibenzo[b,d]furan;octachlorodibenzofuran;1,2,3,4,6,7,8,9-Octachlorodibenzofuran']</t>
  </si>
  <si>
    <t>Compound(38200)</t>
  </si>
  <si>
    <t>C12Cl8O</t>
  </si>
  <si>
    <t>2,3, 7,8-tetrachloordibenzofuraan</t>
  </si>
  <si>
    <t>2,3,7,8-tetrachlorodibenzofuran</t>
  </si>
  <si>
    <t>['2,3,7,8-TETRACHLORODIBENZOFURAN', 'Tcdbf', 'TCDF', '51207-31-9', '2,3,7,8-TCDF', 'Dibenzofuran, 2,3,7,8-tetrachloro-', 'UNII-XZJ41GQI5D', 'NCI-C56611', '2,3,7,8-Tetrapolychlorinated dibenzofuran', 'HSDB 4306', '2,3,7,8-Tetrachloro-dibenzofuran', 'XZJ41GQI5D', 'BRN 1430934', 'CHEMBL136710', 'CHEBI:81506', '2,3,7,8-Tetrachlorodibenzo[b,d]furan', '2,3,7,8-Tetrachlorodibenzofuran [Dioxin and dioxin-like compounds]', 'PCDF 83', 'SCHEMBL548471', 'ACMC-1B053', 'DTXSID3052147', 'CTK3F0526', 'ZINC5784249', '2,3,7,8-TCDF (and congeners)', 'BDBM50408308', 'LS-162', '2,3,7,8-Tetrachlorodibenzo[b,d]furan #', 'FT-0674945', 'NS00009979', 'C18104', 'Q3979428', '2,3,7,8-Tetrachlorodibenzofuran (2,3,7,8-T4CDF)', 'UNII-E657D2E9KI component KSMVNVHUTQZITP-UHFFFAOYSA-N']</t>
  </si>
  <si>
    <t>Compound(39929)</t>
  </si>
  <si>
    <t>C12H4Cl4O</t>
  </si>
  <si>
    <t>1,2, 3,4, 8-pentachloordibenzofuraan</t>
  </si>
  <si>
    <t>1,2,3,4,8-pentachlorodibenzofuran</t>
  </si>
  <si>
    <t>['1,2,3,4,8-PENTACHLORODIBENZOFURAN', 'Dibenzofuran, 1,2,3,4,8-pentachloro-', '67517-48-0', 'UNII-QZZ28029Y7', 'BRN 5079795', 'CHEMBL344919', 'QZZ28029Y7', '1,2,3,4,8-penta-chlorodibenzofuran', 'Dibenzofuran, 1,2,3,4,8-pentachloro', 'DTXSID7075262', 'CTK5C6280', 'BDBM50408333', '1,2,3,4,8-Pentachloro-dibenzofuran', '1,2,3,4,8-PCDF', 'LS-61102', '1 , 2 , 3 , 4 , 8-pentachlorodibenzofuran', 'Q27287582', 'UNII-NL836FSQ8U component ZCTNDJSCLPJCRA-UHFFFAOYSA-N']</t>
  </si>
  <si>
    <t>Compound(49923)</t>
  </si>
  <si>
    <t>1,2, 3,7, 8-pentachloordibenzofuraan</t>
  </si>
  <si>
    <t>1,2,3,7,8-pentachlorodibenzofuran</t>
  </si>
  <si>
    <t>['1,2,3,7,8-PENTACHLORODIBENZOFURAN', '57117-41-6', 'Dibenzofuran, 1,2,3,7,8-pentachloro-', '1,2,3,7,8-PeCDF', 'UNII-QNE7ZLB7SS', 'QNE7ZLB7SS', 'CHEMBL137304', 'CHEBI:81507', '1,2,3,7,8-Pentachlorodibenzofuran [Dioxin and dioxin-like compounds]', 'PCDF 94', 'SCHEMBL2279726', 'DTXSID7052234', 'CTK5A6319', 'ZINC2567229', 'BDBM50408381', '1,2,3,7,8-Penta-chlorodibenzofuran', '1,2,3,7,8-Pentachloro-dibenzofuran', '1,2,3,7,8-PCDF', 'LS-1396', 'Dibenzofuran,1,2,3,7,8-pentachloro-', '1,2,3,7,8-Pentachlorodibenzo[b,d]furan', '1,2,3,7,8-Pentachlorodibenzo[b,d]furan #', 'FT-0673579', 'NS00003985', 'C18105', '1,2,3,7,8-PENTACHLORODIBENZOFURAN (PCDF)', 'Q27155429', '1,2,3,7,8-Pentachlorodibenzofuran (1,2,3,7,8-P5CDF)', 'UNII-NL836FSQ8U component SBMIVUVRFPGOEB-UHFFFAOYSA-N']</t>
  </si>
  <si>
    <t>Compound(42138)</t>
  </si>
  <si>
    <t>pentachlorothioanisole</t>
  </si>
  <si>
    <t>1,2,3,4,5-pentachloro-6-methylsulfanylbenzene</t>
  </si>
  <si>
    <t>['Pentachlorothioanisole', '1825-19-0', 'Pctas', 'Benzene, pentachloro(methylthio)-', 'Methyl pentachlorophenyl sulfide', 'Pentachloro(methylthio)benzene', 'Methylthiopentachlorobenzene', 'Sulfide, methyl pentachlorophenyl', 'Pentachloromethylthiobenzene', 'UNII-9FRH35YH8R', 'Methyl-pentachlorophenylsulfide', 'PENTACHLOROPHENYL METHYL SULFIDE', 'HSDB 4326', 'EINECS 217-363-8', 'BRN 2214412', '9FRH35YH8R', '1,2,3,4,5-pentachloro-6-methylsulfanylbenzene', 'Benzene, 1,2,3,4,5-pentachloro-6-(methylthio)-', '1,2,3,4,5-Pentachloro-6-(methylsulfanyl)benzene', 'ACMC-209ejm', 'DSSTox_CID_22263', 'DSSTox_RID_79980', 'DSSTox_GSID_42263', 'methyl(perchlorophenyl)sulfane', '4-06-00-01643 (Beilstein Handbook Reference)', 'Methyl pentachlorophenylsulfide', 'SCHEMBL754914', 'CHEMBL3185325', 'DTXSID3042263', 'CTK4D8218', 'LGZZJTIUEJNNKV-UHFFFAOYSA-', 'ZINC2039214', 'Tox21_300809', 'ANW-23120', 'AKOS028108388', 'FCH1321932', 'NCGC00248177-01', 'NCGC00254713-01', 'AS-66967', 'Benzene, pentachloro(methylthio)- (9CI)', 'CAS-1825-19-0', 'DB-044465', 'LS-147933', 'FT-0633862', 'NS00021779', 'P1067', '1,2,3,5,6-Pentachloro-4-(methylthio)benzene', 'Benzene,1,2,3,4,5-pentachloro-6-(methylthio)-', 'C-51465', 'J-011679', 'Q27272502', 'Methyl pentachlorophenylsulfide 10 microg/mL in Cyclohexane', 'pentachloro(methylthio)benzene;Pentachloro(methylthio)benzene', 'Methyl pentachlorophenylsulfide 100 microg/mL in Cyclohexane', 'Methyl-pentachlorophenylsulfide, PESTANAL(R), analytical standard']</t>
  </si>
  <si>
    <t>Compound(15766)</t>
  </si>
  <si>
    <t>C7H3Cl5S</t>
  </si>
  <si>
    <t>poly electrolyte</t>
  </si>
  <si>
    <t>Permanence</t>
  </si>
  <si>
    <t>perfluoro-1-iodohexane</t>
  </si>
  <si>
    <t>1,1,1,2,2,3,3,4,4,5,5,6,6-tridecafluoro-6-iodohexane</t>
  </si>
  <si>
    <t>['Perfluorohexyl iodide', '355-43-1', 'perfluoro-1-iodohexane', '1,1,1,2,2,3,3,4,4,5,5,6,6-Tridecafluoro-6-iodohexane', '1-Iodoperfluorohexane', 'Perfluoro-n-hexyl iodide', 'Tridecafluorohexyl iodide', 'UNII-A2A17JUG4R', 'C6F13I', 'Hexane, 1,1,1,2,2,3,3,4,4,5,5,6,6-tridecafluoro-6-iodo-', 'Tridecafluoro-1-iodohexane', 'A2A17JUG4R', 'MFCD00001063', 'AK117865', 'W-109530', 'Perfluoro-1-iodohexane, 97%', 'EINECS 206-586-6', 'ACMC-209ihn', '1-Iodotridecafluorohexane', 'Hexane, tridecafluoroiodo-', 'tridecafluoro-1-iodo-hexane', 'tridecafluoro-n-hexyl iodide', 'Perfluorohexyl iodide, 99%', 'SCHEMBL248899', 'DTXSID7047566', 'CTK0B9389', 'KS-00000GWB', 'ZINC6827731', 'ZX-AP004022', 'ACM355431', 'ANW-28233', 'FD2060', 'AKOS005063450', 'CS-W001921', 'AS-15241', 'O608', 'SY032232', 'DB-048831', 'FT-0607972', 'NS00011171', 'EN300-96405', 'Y-9373', 'C-36410', 'Q27273531', '1,1,1,2,2,3,3,4,4,5,5,6,6-Tridecafluoro-6-iodohexane #', 'Hexane, 1,1,1,2,2,3,3,4,4,5,5,6,6-tridecafluoro-6-iodo- (TSCA, NDSL, ENCS)', '136720-41-7', 'Hexane, 1,1,1,2,2,3,3,4,4,5,5,6,6-tridecafluoro-6-iodo-;1-iodoperfluorohexane;1,1,1,2,2,3,3,4,4,5,5,6,6-tridecafluoro-6-iodohexane;Perfluorohexyl iodide']</t>
  </si>
  <si>
    <t>Compound(67733)</t>
  </si>
  <si>
    <t>C6F13I</t>
  </si>
  <si>
    <t>perfluoro-3,7-dimethyloctanoic acid</t>
  </si>
  <si>
    <t>2,2,3,4,4,5,5,6,6,7,8,8,8-tridecafluoro-3,7-bis(trifluoromethyl)octanoic acid</t>
  </si>
  <si>
    <t>['172155-07-6', 'Perfluoro-3,7-dimethyloctanoic acid', '2,2,3,4,4,5,5,6,6,7,8,8,8-tridecafluoro-3,7-bis(trifluoromethyl)octanoic Acid', 'perfluoro(3,7-dimethyloctanoic acid)', 'PERFLUORO-3,7-DIMETHYLOCTANOICACID', 'Octanoic acid,2,2,3,4,4,5,5,6,6,7,8,8,8-tridecafluoro-3,7-bis(trifluoromethyl)-', 'SCHEMBL756867', 'CTK4D4136', 'DTXSID40379808', 'ZX-AP000625', 'PC1214', 'perfluoro-3,7-dimethyl-octanoic acid', 'AKOS015852650', 'FS-4766', 'FT-0676128', 'NS00018817', 'Perfluoro(3,7-bis(trifluoromethyl))octanoic acid', 'A811380', 'J-010799', '2,2,3,4,4,5,5,6,6,7,8,8,8-tridecakis(fluoranyl)-3,7-bis(trifluoromethyl)octanoic acid', 'Octanoic acid, 2,2,3,4,4,5,5,6,6,7,8,8,8-tridecafluoro-3,7-bis(trifluoromethyl)-']</t>
  </si>
  <si>
    <t>Compound(2776093)</t>
  </si>
  <si>
    <t>C10HF19O2</t>
  </si>
  <si>
    <t>perfluorobutanoic acid</t>
  </si>
  <si>
    <t>2,2,3,3,4,4,4-heptafluorobutanoic acid</t>
  </si>
  <si>
    <t>['Heptafluorobutyric acid', '375-22-4', 'Perfluorobutyric acid', 'Perfluorobutanoic acid', 'Heptafluorobutanoic acid', 'Butanoic acid, heptafluoro-', 'Heptafluoro-1-butanoic acid', 'Perfluoropropanecarboxylic acid', '2,2,3,3,4,4,4-Heptafluorobutanoic acid', 'BUTYRIC ACID, HEPTAFLUORO-', 'Kyselina heptafluormaselna', 'NSC 820', 'Kyselina heptafluormaselna [Czech]', 'heptafluoro-butanoic acid', 'EINECS 206-786-3', 'Butanoic acid, 2,2,3,3,4,4,4-heptafluoro-', 'Heptafluoro-n-butyric acid', 'BRN 1426882', 'UNII-12VHZ8L29I', '12VHZ8L29I', 'CHEBI:39426', 'Heptafluorobutyric acid, 99%', 'Heptafluorobutyric acid, 99%, for protein sequence analysis', 'Heptafluorobutyricacid', 'heptaflurorbutyric acid', 'PubChem12664', 'heptafluoro-butyric acid', 'ACMC-209udx', 'n-heptafluorobutyric acid', 'Perfluorbutanoat (PFBA)', 'WLN: QVXFFXFFXFFF', 'IPC-PFFA-4', 'SCHEMBL37922', 'C4HF7O2', '4-02-00-00810 (Beilstein Handbook Reference)', 'KSC495Q4J', 'Heptafluorobutyric acid, 98%', 'CHEMBL367680', 'NSC820', 'DTXSID4059916', 'CTK3J5844', 'KS-00000UMT', 'YPJUNDFVDDCYIH-UHFFFAOYSA-', 'NSC-820', 'CS-B0896', 'STR03803', 'ZINC3861259', 'ANW-43651', 'MFCD00004171', 'SBB008777', 'STL280430', 'AKOS000121488', 'MCULE-5927217834', 'LS-48052', 'M549', 'SC-20028', 'Heptafluorobutyric acid, &gt;=99.0% (GC)', '2,2,3,3,4,4,4-Heptafluoro-Butyric Acid', 'A2015', 'FT-0626903', 'NS00000364', 'Q0054', '2,2,3,3,4,4,4-Heptafluorobutanoic acid #', 'K-8270', 'J-521427', 'Q5732020', 'Perfluorobutanoic acid 100 microg/mL in Acetonitrile', 'F1980-0014', 'Heptafluorobutyric acid, for ion chromatography, &gt;=99.5% (GC)', 'Heptafluorobutyric acid solution, 0.5 M in H2O, for ion pair chromatography', 'Sodium heptafluorobutyrate;Perfluorobutyric acid;Heptafluorobutyric acid;perfluorobutyric acid;heptafluorobutyric acid;Silver heptafluorobutyrate']</t>
  </si>
  <si>
    <t>Compound(9777)</t>
  </si>
  <si>
    <t>C4HF7O2</t>
  </si>
  <si>
    <t>perfluorohexadecanoic acid</t>
  </si>
  <si>
    <t>2,2,3,3,4,4,5,5,6,6,7,7,8,8,9,9,10,10,11,11,12,12,13,13,14,14,15,15,16,16,16-hentriacontafluorohexadecanoic acid</t>
  </si>
  <si>
    <t>['Perfluorohexadecanoic acid', '67905-19-5', 'Perfluoropalmitic acid', 'Hexadecanoic acid, hentriacontafluoro-', '2,2,3,3,4,4,5,5,6,6,7,7,8,8,9,9,10,10,11,11,12,12,13,13,14,14,15,15,16,16,16-hentriacontafluorohexadecanoic acid', 'Hexadecanoic acid, 2,2,3,3,4,4,5,5,6,6,7,7,8,8,9,9,10,10,11,11,12,12,13,13,14,14,15,15,16,16,16-hentriacontafluoro-', 'hentriacontafluorohexadecanoic acid', 'C16HF31O2', 'EINECS 267-638-1', 'SCHEMBL516892', 'DTXSID1070800', 'CTK2F6404', 'Perfluorohexadecanoic acid (PFHxDA)', '7996AE', 'AKOS015852906', 'ZINC150340810', 'FT-0676291', 'NS00011276', 'Hexadecanoic acid, hentriacontafluoro- (TSCA, NDSL, ENCS)']</t>
  </si>
  <si>
    <t>Compound(106027)</t>
  </si>
  <si>
    <t>C16HF31O2</t>
  </si>
  <si>
    <t>perfluorooctadecanoic acid</t>
  </si>
  <si>
    <t>2,2,3,3,4,4,5,5,6,6,7,7,8,8,9,9,10,10,11,11,12,12,13,13,14,14,15,15,16,16,17,17,18,18,18-pentatriacontafluorooctadecanoic acid</t>
  </si>
  <si>
    <t>['Perfluorooctadecanoic acid', '16517-11-6', 'Perfluorostearic acid', 'Octadecanoic acid, pentatriacontafluoro-', 'Octadecanoic acid, 2,2,3,3,4,4,5,5,6,6,7,7,8,8,9,9,10,10,11,11,12,12,13,13,14,14,15,15,16,16,17,17,18,18,18-pentatriacontafluoro-', '2,2,3,3,4,4,5,5,6,6,7,7,8,8,9,9,10,10,11,11,12,12,13,13,14,14,15,15,16,16,17,17,18,18,18-pentatriacontafluorooctadecanoic acid', 'pentatriacontafluorooctadecanoic acid', 'EINECS 240-582-5', 'Perfluorooctadecanoicacid', 'ACMC-1C7AU', 'SCHEMBL337248', 'DTXSID1066071', 'CTK3J2322', 'Perfluorooctadecanoic acid (PFODA)', 'MFCD00198021', 'AKOS025310277', 'ZINC150344356', 'NS00011277', 'Octadecanoic acid, pentatriacontafluoro- (TSCA, NDSL, ENCS)', 'Octadecanoic acid, pentatriacontafluoro-;Perfluorostearic acid']</t>
  </si>
  <si>
    <t>Compound(167547)</t>
  </si>
  <si>
    <t>C18HF35O2</t>
  </si>
  <si>
    <t>perfluorobutanesulfonamide</t>
  </si>
  <si>
    <t>1,1,2,2,3,3,4,4,4-nonafluorobutane-1-sulfonamide</t>
  </si>
  <si>
    <t>['Perfluorobutylsulphonamide', 'perfluorobutanesulfonamide', '30334-69-1', '1,1,2,2,3,3,4,4,4-nonafluorobutane-1-sulfonamide', '1,1,2,2,3,3,4,4,4-nonakis(fluoranyl)butane-1-sulfonamide', 'FBSA', 'Perfluorobutylsulfonamide', 'C4F9SO2NH2', 'Per?uoro-1-butane-sulfonamide', 'SCHEMBL2021790', 'CHEMBL1076850', 'perfluorobutane sulfonamide, n=4', 'DTXSID30880251', 'ZINC49672458', 'PC50215', 'NS00010969', '1,1,2,2,3,3,4,4,4-Nonafluor-1-butansulfonamid', '1-Butanesulfonamide, 1,1,2,2,3,3,4,4,4-nonafluoro-', 'KPQ']</t>
  </si>
  <si>
    <t>Compound(10958205)</t>
  </si>
  <si>
    <t>C4H2F9NO2S</t>
  </si>
  <si>
    <t>perfluoropentane-1-sulfonic acid</t>
  </si>
  <si>
    <t>1,1,2,2,3,3,4,4,5,5,5-undecafluoropentane-1-sulfonic acid</t>
  </si>
  <si>
    <t>['2706-91-4', 'Perfluoropentane-1-sulphonic acid', '1-Pentanesulfonic acid, 1,1,2,2,3,3,4,4,5,5,5-undecafluoro-', 'perfluoropentanesulfonic acid', 'Perfluoropentane-1-sulfonic acid', '1,1,2,2,3,3,4,4,5,5,5-Undecafluoro-1-pentanesulfonic acid', 'EINECS 220-301-2', '1,1,2,2,3,3,4,4,5,5,5-undecafluoropentane-1-sulfonic acid', 'perfluoropentane sulfonic acid', 'SCHEMBL615754', 'DTXSID8062600', 'CTK4F9044', 'ZINC100424553', 'ACM2706914', 'PC53168', 'Perfluoropentane sulfonic acid (PFPeS)', 'UNDECAFLUOROPENTANE-1-SULFONIC ACID', 'NS00011290', '1-Pentanesulfonic acid,1,1,2,2,3,3,4,4,5,5,5-undecafluoro-']</t>
  </si>
  <si>
    <t>Compound(75922)</t>
  </si>
  <si>
    <t>C5HF11O3S</t>
  </si>
  <si>
    <t>perfluorononane-1-sulfonic acid</t>
  </si>
  <si>
    <t>1,1,2,2,3,3,4,4,5,5,6,6,7,7,8,8,9,9,9-nonadecafluorononane-1-sulfonic acid</t>
  </si>
  <si>
    <t>['Nonadecafluoro-1-nonanesulfonic acid', '68259-12-1', 'perfluorononanesulfonic acid', '1-Nonanesulfonic acid, 1,1,2,2,3,3,4,4,5,5,6,6,7,7,8,8,9,9,9-nonadecafluoro-', '17202-41-4', '474511-07-4', 'SCHEMBL561335', 'DTXSID8071356', 'Nonadecafluorononane-1-sulfonic acid', 'Perfluorononane sulfonic acid (PFNS)', 'NS00011292', '1-Nonanesulfonic acid, 1,1,2,2,3,3,4,4,5,5,6,6,7,7,8,8,9,9,9-nonadecafluoro-, ammonium salt;1-Nonanesulfonic acid, 1,1,2,2,3,3,4,4,5,5,6,6,7,7,8,8,9,9,9-nonadecafluoro-, potassium salt;Perfluorononanesulfonic acid']</t>
  </si>
  <si>
    <t>Compound(86998)</t>
  </si>
  <si>
    <t>C9HF19O3S</t>
  </si>
  <si>
    <t>perfluorodecanoic acid</t>
  </si>
  <si>
    <t>2,2,3,3,4,4,5,5,6,6,7,7,8,8,9,9,10,10,10-nonadecafluorodecanoic acid</t>
  </si>
  <si>
    <t>['Perfluorodecanoic acid', 'Nonadecafluorodecanoic acid', '335-76-2', 'PFDA', 'Ndfda', 'Perfluoro-N-decanoic acid', 'Nonadecafluoro-n-decanoic acid', '2,2,3,3,4,4,5,5,6,6,7,7,8,8,9,9,10,10,10-Nonadecafluorodecanoic acid', 'DECANOIC ACID, NONADECAFLUORO-', 'CCRIS 4417', 'EINECS 206-400-3', 'BRN 1810811', 'CHEBI:35546', 'Decanoic acid, 2,2,3,3,4,4,5,5,6,6,7,7,8,8,9,9,10,10,10-nonadecafluoro-', 'Perfluorocapric acid', 'C10HF19O2', 'PFDeA', 'Acid perfluoro-decanoic', 'Nonadecafluorocapric acid', 'ACMC-1CO99', 'DSSTox_CID_11860', 'DSSTox_RID_78891', 'DSSTox_GSID_31860', 'SCHEMBL24715', 'Perfluorodecanoic acid, 98%', '4-02-00-01052 (Beilstein Handbook Reference)', 'CHEMBL1885037', 'DTXSID3031860', 'CTK3J2373', 'ZINC6845007', 'ZX-AP003977', 'ZX-AP011897', 'Tox21_300608', '0599AE', 'ACM335762', 'ANW-27662', 'MFCD00004175', 'PC5295', 'PC5300', 'AKOS015852877', 'LS-1216', 'NCGC00163709-01', 'NCGC00163709-02', 'NCGC00163709-03', 'NCGC00254470-01', 'CAS-335-76-2', 'CC-33585', 'DB-017152', 'FT-0631977', 'N0607', 'NS00000369', 'Y-9071', 'A821852', 'C-30191', 'J-019261', 'Q27116511', '2,2,3,3,4,4,5,5,6,6,7,7,8,8,9,9,10,10,10-nonadecakis(fluoranyl)decanoic acid']</t>
  </si>
  <si>
    <t>Compound(9555)</t>
  </si>
  <si>
    <t>2,2,3,3,4,4,5,5,6,6,7,7,8,8,9,9,10,10,11,11,12,12,12-tricosafluorododecanoic acid</t>
  </si>
  <si>
    <t>['Perfluorododecanoic acid', '307-55-1', 'Tricosafluorododecanoic acid', 'Perfluorolauric acid', 'Dodecanoic acid, tricosafluoro-', 'PFDoA', 'UNII-P6G1J7NM2D', 'Dodecanoic acid, 2,2,3,3,4,4,5,5,6,6,7,7,8,8,9,9,10,10,11,11,12,12,12-tricosafluoro-', 'EINECS 206-203-2', 'P6G1J7NM2D', 'Perfluorododecanoic acid (PFDOA)', '2,2,3,3,4,4,5,5,6,6,7,7,8,8,9,9,10,10,11,11,12,12,12-Tricosafluorododecanoic acid', 'C12HF23O2', 'Tricosafluorolauric Acid', 'n-perfluorododecanoic acid', 'Perfluorododecanoicacid96%', 'n-C11F23COOH', 'ACMC-1CR59', 'C11F23COOH', 'n-C11F23CO2H', 'SCHEMBL108127', 'C11F23CO2H', 'DTXSID8031861', 'CHEBI:90633', 'CTK3J2364', 'Perfluorododecanoic acid (PFDoDA)', 'Tricosafluorododecanoic acid, 95%', '9765AD', 'ANW-26972', 'MFCD00198081', 'ZINC95669615', 'AKOS015852633', 'MCULE-7609195664', 'AS-74021', 'LS-190474', 'LS-190720', 'LS-194447', 'FT-0676234', 'NS00009617', 'Y-9162', 'Tricosafluorododecanoic acid, analytical standard', 'J-018128', 'Q27162640', '2,2,3,3,4,4,5,5,6,6,7,7,8,8,9,9,10,10,11,11,12,12,12-Tricosafluorododecanoic acid #', 'tricosafluorododecanoic acid;Tricosafluorododecanoic acid;Perfluorododecanoic acid (PFDoA);Ammonium tricosafluorododecanoate']</t>
  </si>
  <si>
    <t>Compound(67545)</t>
  </si>
  <si>
    <t>C12HF23O2</t>
  </si>
  <si>
    <t>perfluoroheptanoic acid</t>
  </si>
  <si>
    <t>2,2,3,3,4,4,5,5,6,6,7,7,7-tridecafluoroheptanoic acid</t>
  </si>
  <si>
    <t>['Perfluoroheptanoic acid', '375-85-9', 'Tridecafluoroheptanoic acid', 'Perfluoroenanthic Acid', 'Heptanoic acid, tridecafluoro-', 'Perfluoro-n-heptanoic acid', '2,2,3,3,4,4,5,5,6,6,7,7,7-Tridecafluoroheptanoic acid', 'Tridecafluoro-1-heptanoic acid', 'CHEBI:35547', 'Heptanoic acid, 2,2,3,3,4,4,5,5,6,6,7,7,7-tridecafluoro-', 'W-106527', 'PFHpA', 'Perfluoroheptanoicacid', 'C7-PFA', 'C7HF13O2', 'EINECS 206-798-9', 'MFCD00039604', 'n-perfluoroheptanoic acid', 'Tridecafluoroenanthic Acid', 'ACMC-1AGQ8', 'IPC-PFFA-7', 'IPC-PFFA-7 HG', 'C6F13COOH', 'DSSTox_CID_17303', 'DSSTox_RID_79319', 'n-Tridecafluoroheptanoic acid', 'DSSTox_GSID_37303', 'SCHEMBL64484', 'Perfluoroheptanoic acid, 96%', 'Perfluoroheptanoic acid, 99%', 'CHEMBL172763', 'DTXSID1037303', 'CTK3J7007', 'HSDB 8293', 'Perfluoroheptanoic Acid High Grade', 'CS-B0909', 'ZX-AL001675', 'ZX-AP004885', 'Tox21_300616', '1924AE', 'ACM375859', 'ANW-43649', 'BBL034243', 'PC6034', 'SBB043553', 'STL417227', 'ZINC43443262', 'AKOS000274171', 'Perfluorheptansaeure (PFHpA)_2716_n', 'Tridecafluoroheptanoic Acid High Grade', 'MCULE-7519380581', 'NCGC00248107-01', 'NCGC00254530-01', 'CAS-375-85-9', 'VS-12462', 'DB-049141', 'A5721', 'FT-0632060', 'NS00000367', 'ST45029113', 'C-51091', 'Q27116513', '2,2,3,3,4,4,5,5,6,6,7,7,7-Tridecafluoro-Heptanoic Acid', '2,2,3,3,4,4,5,5,6,6,7,7,7-Tridecafluoroheptanoic acid #', '72623-77-9']</t>
  </si>
  <si>
    <t>Compound(67818)</t>
  </si>
  <si>
    <t>C7HF13O2</t>
  </si>
  <si>
    <t>perfluorohexanoic acid</t>
  </si>
  <si>
    <t>2,2,3,3,4,4,5,5,6,6,6-undecafluorohexanoic acid</t>
  </si>
  <si>
    <t>['Perfluorohexanoic acid', '307-24-4', 'Undecafluorohexanoic acid', 'Hexanoic acid, undecafluoro-', 'PFHxA', '2,2,3,3,4,4,5,5,6,6,6-undecafluorohexanoic acid', 'Hexanoic acid, 2,2,3,3,4,4,5,5,6,6,6-undecafluoro-', 'Undecafluoro-1-hexanoic acid', 'UNII-ZP34Q2220R', 'Perfluorohexanoic acid (PFHXA)', 'CHEBI:83492', 'ZP34Q2220R', 'IPC-PFFA-6', 'C6HF11O2', 'NSC 5213', 'EINECS 206-196-6', 'Perfluorocaproic acid', '21615-47-4', 'Acid perfluoro-n-hexanoic', 'Hexanoic acid, perfluoro-', 'ACMC-1CLF8', 'IPC-PFFA-6 HG', 'DSSTox_CID_11862', 'DSSTox_RID_78892', 'DSSTox_GSID_31862', 'SCHEMBL62447', 'CHEMBL3183213', 'DTXSID3031862', 'CTK3I9746', 'HSDB 8299', 'NSC5213', 'Perfluorohexanoic Acid High Grade', 'CS-B0904', 'NSC-5213', 'ZX-AP002840', 'Tox21_300394', 'Undecafluorohexanoic Acid High Grade', '9735AD', 'ANW-43650', 'PC3454', 'ZINC38141478', 'Perfluorhexansaeure (PFHxA)_2715_n', 'AKOS015852673', 'LS41242', 'NCGC00164452-01', 'NCGC00164452-02', 'NCGC00254548-01', 'CAS-307-24-4', 'Undecafluorohexanoic acid, &gt;=97.0% (T)', 'FT-0676293', 'NS00000366', 'U0067', 'KS-00001387', 'Y-8751', 'J-018083', 'Perfluorohexanoic acid 100 microg/mL in Acetonitrile', 'Q27156874', 'UndecafluorohexanoicAcid(ca.5mmol)[Ion-PairReagentforLC-MS]']</t>
  </si>
  <si>
    <t>Compound(67542)</t>
  </si>
  <si>
    <t>C6HF11O2</t>
  </si>
  <si>
    <t>perfluornonanoic acid</t>
  </si>
  <si>
    <t>2,2,3,3,4,4,5,5,6,6,7,7,8,8,9,9,9-heptadecafluorononanoic acid</t>
  </si>
  <si>
    <t>['Perfluorononanoic acid', '375-95-1', 'heptadecafluorononanoic acid', 'Nonanoic acid, heptadecafluoro-', 'Perfluoro-n-nonanoic acid', 'PFNA', 'Perfluorononan-1-oic acid', '2,2,3,3,4,4,5,5,6,6,7,7,8,8,9,9,9-Heptadecafluorononanoic acid', 'Heptadecafluoropelargonic Acid', 'PERFLUORONONANOICACID', 'Perfluornonansaeure', 'UNII-5830Z6S63M', 'Heptadecafluornonansaeure', 'Heptadekafluornonansaeure', 'EINECS 206-801-3', 'n-Heptadecafluorononanoic acid', 'Perfluorononanoic acid (PFNA)', 'CHEBI:38397', 'Nonanoic acid, 2,2,3,3,4,4,5,5,6,6,7,7,8,8,9,9,9-heptadecafluoro-', '5830Z6S63M', 'NSC676910', 'HSDB 8040', 'Perfluoropelargonic Acid', 'ACMC-209iu9', 'C8F17COOH', 'DSSTox_CID_11863', 'DSSTox_RID_78893', 'DSSTox_GSID_31863', 'SCHEMBL23557', 'Perfluorononanoic acid, 97%', 'KSC492G8J', 'CHEMBL426404', 'DTXSID8031863', 'CTK3J2384', 'ZX-AP002559', 'Tox21_300380', 'ACM375951', 'ANW-28687', 'MFCD00039605', 'PC6124', 'Perfluornonansaeure (PFNA)_2718_n', 'ZINC38141429', 'AKOS001044966', 'MCULE-6816412377', 'VZ32330', 'NCGC00163900-01', 'NCGC00163900-02', 'NCGC00163900-03', 'NCGC00254315-01', 'CAS-375-95-1', 'CC-29205', 'NCI60_027328', 'Perfluorononanoic acid, analytical standard', 'DB-049145', 'LS-190475', 'LS-190721', 'LS-194448', 'FT-0626892', 'NS00000368', 'A823786', 'C-22627', 'Q7168161', 'Perfluorononanoic acid 100 microg/mL in Acetonitrile', 'Z56871598', '2,2,3,3,4,4,5,5,6,6,7,7,8,8,9,9,9-Heptadecafluoro-Nonanoic Acid', '2,2,3,3,4,4,5,5,6,6,7,7,8,8,9,9,9-heptadecakis(fluoranyl)nonanoic acid', '2,2,3,3,4,4,5,5,6,6,7,7,8,8,9,9,9-Heptadecafluorononanoic acid compound with N,N,N-triethylamine (1:1)']</t>
  </si>
  <si>
    <t>Compound(67821)</t>
  </si>
  <si>
    <t>C9HF17O2</t>
  </si>
  <si>
    <t>perfluorooctanoic acid</t>
  </si>
  <si>
    <t>2,2,3,3,4,4,5,5,6,6,7,7,8,8,8-pentadecafluorooctanoic acid</t>
  </si>
  <si>
    <t>['PERFLUOROOCTANOIC ACID', 'Pentadecafluorooctanoic acid', '335-67-1', 'PFOA', '2,2,3,3,4,4,5,5,6,6,7,7,8,8,8-Pentadecafluorooctanoic acid', 'Perfluorocaprylic acid', 'Octanoic acid, pentadecafluoro-', 'Perfluoroctanoic acid', 'Perfluoroheptanecarboxylic acid', 'Pentadecafluoro-1-octanoic acid', 'Pentadecafluoro-n-octanoic acid', 'Perfluoro-n-octanoic acid', 'IPC-PFFA-8 HG', 'NSC 95114', 'UNII-947VD76D3L', 'CCRIS 4386', 'HSDB 7137', 'n-perfluorooctanoic acid', 'EINECS 206-397-9', 'BRN 1809678', 'AI3-19341', 'CHEBI:35549', 'Hexanoyl fluoride, 3,3,4,4,5,5,6,6,6-nonafluoro-2-oxo-', '947VD76D3L', 'Octanoic acid, 2,2,3,3,4,4,5,5,6,6,7,7,8,8,8-pentadecafluoro-', 'MFCD00004174', '335-93-3', 'Pentadecafluorooctanoic acid, 96%', 'IPC-PFFA-8', 'C8HF15O2', '8PF', 'Pentadecafluorooctanoicacid', 'Acide perfluoro-octanoique', 'ACMC-1CN9C', 'C7F15COOH', 'perfluorooctylcarboxylic acid', 'DSSTox_CID_11865', 'DSSTox_RID_78895', 'DSSTox_GSID_31865', 'SCHEMBL22556', 'Perfluorooctanoic acid, 96%', 'Fluorad FC-26 (Salt/Mix)', 'CHEMBL172988', 'DTXSID8031865', 'CTK1C2449', 'Perfluorooctanoic Acid High Grade', 'CS-B0915', 'KS-00000VX0', 'NSC95114', 'ZINC6844606', 'Tox21_300688', 'NSC-95114', 'AKOS005259894', 'LS-1215', 'LS40741', 'MCULE-1103416295', 'Pentadecafluorooctanoic Acid High Grade', 'NCGC00164448-01', 'NCGC00164448-02', 'NCGC00164448-03', 'NCGC00254596-01', 'AK161799', 'AS-15245', 'CAS-335-67-1', 'O617', 'SC-13661', 'SY049851', 'DB-048447', 'FT-0631976', 'FT-0673629', 'NS00009389', 'P0764', 'Pentadecafluorooctanoic acid, analytical grade', 'K-7733', '97812-EP2305685A1', '97812-EP2305686A1', 'Pentadecafluorooctanoic acid, analytical standard', 'Q418348', 'W-106771', 'Perfluorooctanoic acid 100 microg/mL in Acetonitrile', 'Z1270326259', 'Hexanoyl fluoride,3,4,4,5,5,6,6,6-nonafluoro-2-oxo-', '2,2,3,3,4,4,5,5,6,6,7,7,8,8,8-Pentadecafluoro-Octanoic Acid', '2,2,3,3,4,4,5,5,6,6,7,7,8,8,8-Pentadecafluorooctanoic acid #', 'Pentadecafluorooctanoic acid solution, 100 mug/mL in methanol, analytical standard']</t>
  </si>
  <si>
    <t>Compound(9554)</t>
  </si>
  <si>
    <t>C8HF15O2</t>
  </si>
  <si>
    <t>perfluorooctanoic acid, silver (1plus) salt (1-1)</t>
  </si>
  <si>
    <t>silver;2,2,3,3,4,4,5,5,6,6,7,7,8,8,8-pentadecafluorooctanoate</t>
  </si>
  <si>
    <t>['Silver perfluorooctanoate', '335-93-3', 'Silver(I) perfluorooctanoate', 'Octanoic acid, 2,2,3,3,4,4,5,5,6,6,7,7,8,8,8-pentadecafluoro-, silver(1+) salt (1:1)', 'Octanoic acid, pentadecafluoro-, silver(1+) salt', 'silver(1+) pentadecafluorooctanoate', 'EINECS 206-402-4', 'NSC 18402', 'Silver(1+) perfluorooctanoate', 'SCHEMBL4962941', 'DTXSID00880127', 'LS-193710', 'Pentadecafluorooctanoic acid silver(I) salt', 'C-54376']</t>
  </si>
  <si>
    <t>Compound(71079)</t>
  </si>
  <si>
    <t>C8AgF15O2</t>
  </si>
  <si>
    <t>perfluorooctanoic acid, potassium salt</t>
  </si>
  <si>
    <t>potassium;2,2,3,3,4,4,5,5,6,6,7,7,8,8,8-pentadecafluorooctanoate</t>
  </si>
  <si>
    <t>['Potassium perfluorooctanoate', '2395-00-8', 'EINECS 219-248-8', 'POTASSIUM, 2,2,3,3,4,4,5,5,6,6,7,7,8,8,8-PENTADECAFLUORO-OCTANOATE', 'AI3-50952', 'Octanoic acid, pentadecafluoro-, potassium salt', 'SCHEMBL2234663', 'potassium pentadecafluorooctanoate', 'DTXSID00880026', 'AKOS024420866', 'MCULE-9785031685', 'Pentadecafluorooctanoic acid potassium salt', 'LS-193709', 'Octanoic acid, 2,2,3,3,4,4,5,5,6,6,7,7,8,8,8-pentadecafluoro-, potassium salt (1:1)']</t>
  </si>
  <si>
    <t>Compound(4253803)</t>
  </si>
  <si>
    <t>C8F15KO2</t>
  </si>
  <si>
    <t>perfluorooctanoic acid, ammonium salt</t>
  </si>
  <si>
    <t>azanium;2,2,3,3,4,4,5,5,6,6,7,7,8,8,8-pentadecafluorooctanoate</t>
  </si>
  <si>
    <t>['Ammonium perfluorooctanoate', '3825-26-1', 'Ammonium pentadecafluorooctanoate', 'Ammonium perfluorocaprylate', 'Fluorad FC 143', 'Octanoic acid, pentadecafluoro-, ammonium salt', 'Pentadecafluorooctanoic acid ammonium salt', 'Ammonium perfluorocaprilate', 'Perfluoroammonium octanoate', 'UNII-E904OF18PS', 'EINECS 223-320-4', 'FC-143', 'NSC 35120', 'Perfluorooctanoic acid, ammonium salt', 'E904OF18PS', 'Pentadecafluoro-1-octanoic acid, ammonium salt', 'Perfluorooctanoic acid ammonium salt', 'PFOA, ammonium salt', 'Octanoic acid, 2,2,3,3,4,4,5,5,6,6,7,7,8,8,8-pentadecafluoro-, ammonium salt (1:1)', 'Pentadecafluorooctanoic acid,ammonium salt', 'CCRIS 8803', 'FC-143 surfactant', 'LS-97998', 'ACMC-209iyw', 'DSSTox_CID_17708', 'DSSTox_RID_79359', 'DSSTox_GSID_37708', 'SCHEMBL127605', 'DTXSID8037708', 'CTK8B1584', 'Tox21_300595', 'ANW-28854', 'AKOS015852804', 'NCGC00163859-01', 'NCGC00254249-01', 'CAS-3825-26-1', 'FT-0729803', 'P1449', 'Ammonium salt of perfluorooctanoic acid (APFO)', 'A824083', 'PENTADECAFLUOROOCTANOIC ACID, AMMONIUM SALT', 'W-106493', 'Ammonium pentadecafluorooctanoate; CXR 1002; DS 101; FC 1015', 'ammonium 2,2,3,3,4,4,5,5,6,6,7,7,8,8,8-pentadecafluorooctanoate', 'azanium 2,2,3,3,4,4,5,5,6,6,7,7,8,8,8-pentadecakis(fluoranyl)octanoate']</t>
  </si>
  <si>
    <t>Compound(2776282)</t>
  </si>
  <si>
    <t>C8H4F15NO2</t>
  </si>
  <si>
    <t>perfluorooctanoic acid, sodium salt</t>
  </si>
  <si>
    <t>sodium;2,2,3,3,4,4,5,5,6,6,7,7,8,8,8-pentadecafluorooctanoate</t>
  </si>
  <si>
    <t>['Sodium perfluorooctanoate', '335-95-5', 'Sodium pentadecafluorooctanoate', 'Sodium perfluorocaprylate', 'Octanoic acid, pentadecafluoro-, sodium salt', 'Perfluorooctanoic acid sodium salt', 'UNII-63A7SMF12M', 'EINECS 206-404-5', 'NSC 133451', 'Pentadecafluorooctanoic acid, sodium salt', '63A7SMF12M', 'Octanoic acid, 2,2,3,3,4,4,5,5,6,6,7,7,8,8,8-pentadecafluoro-, sodium salt (1:1)', 'perfluorooctanoic acid, sodium salt', 'MFCD00040394', 'SODIUM PENTADECAFLUORO OCTANOATE', 'sodium perfluoro-n-octanoate', 'Sodium perfluorooctanoic acid', 'Perfluorooctanoicacidsodiumsalt', 'SCHEMBL1238985', 'CTK4H0935', 'DTXSID40880025', 'perfluoroctanonic acid, sodium salt', 'ZX-AP006303', 'ACM335955', 'AKOS005256394', 'Pentadecafluorooctanoic acid sodium salt', 'LS-181655', 'FT-0754816', 'X-4178', 'C-54377', 'J-019264', 'Q27263596', 'sodium 2,2,3,3,4,4,5,5,6,6,7,7,8,8,8-pentadecafluorooctanoate', 'Octanoic acid,2,2,3,3,4,4,5,5,6,6,7,7,8,8,8-pentadecafluoro-, sodium salt (1:1)']</t>
  </si>
  <si>
    <t>Compound(23667657)</t>
  </si>
  <si>
    <t>C8F15NaO2</t>
  </si>
  <si>
    <t>perfluorooctane sulfonate</t>
  </si>
  <si>
    <t>1,1,2,2,3,3,4,4,5,5,6,6,7,7,8,8,8-heptadecafluorooctane-1-sulfonic acid</t>
  </si>
  <si>
    <t>['Perfluorooctanesulfonic acid', '1763-23-1', 'PFOS', 'Perfluorooctane sulfonic acid', 'Perfluorooctane sulfonate', '1,1,2,2,3,3,4,4,5,5,6,6,7,7,8,8,8-heptadecafluorooctane-1-sulfonic acid', 'Perfluorooctylsulfonic acid', 'Heptadecafluorooctanesulfonic acid', 'Heptadecafluoro-1-octanesulfonic acid', '1-Perfluorooctanesulfonic acid', 'Eftop EF 101', '1,1,2,2,3,3,4,4,5,5,6,6,7,7,8,8,8-Heptadecafluoro-1-octanesulfonic acid', 'UNII-9H2MAI21CL', 'Heptadecafluorooctane-1-sulphonic acid', 'C8HF17O3S', 'HSDB 7099', 'heptadecafluorooctane sulphonic acid', '1-Octanesulfonic acid, 1,1,2,2,3,3,4,4,5,5,6,6,7,7,8,8,8-heptadecafluoro-', 'EINECS 217-179-8', 'EF 101', '9H2MAI21CL', 'CHEBI:39421', 'NCGC00164449-04', 'Fluorad FC 95', 'Floral FC 95', 'FC 95', 'NSC18405', 'Perfluorooctanesulfonic acid, potassium salt', 'perfluoro-octylsulphonic acid', 'perfluorooctane sulphonic acid', 'Heptadecafluorooctanesulfonic acid, potassium salt', 'heptadecafluorooctane sulfonic acid', 'nPFOS', 'P8S', 'heptadecafluoro-1-octane sulfonic acid', 'PFOS?', '29081-56-9', 'perfluorooctane-sulfonic acid', 'DSSTox_CID_11864', 'DSSTox_RID_78894', 'DSSTox_GSID_31864', 'SCHEMBL24140', 'C8F17SO3H', 'perfluoro-1-octanesulfonic acid', 'perfluorooctane-1-sulfonic acid', 'CHEMBL1876554', 'DTXSID3031864', 'perfluoro-n-octane sulfonic acid', 'CTK3J2578', '4021-47-0(as Na salt)', 'ACT03388', 'CS-B0918', 'Floral FC 95 (*potassium salt*)', 'Fluorad FC 95 (*potassium salt*)', 'Tox21_400083', '9245AA', 'heptadecafluorooctane-1-sulfonic acid', 'ZINC38141428', 'AKOS016010567', 'Perfluoro-1-octanesulfonic acid (PFOS)', 'NCGC00164449-01', 'NCGC00164449-02', 'NCGC00164449-03', 'NCGC00164449-05', 'LS-97932', 'CAS-1763-23-1', 'FT-0716967', 'NS00010280', 'C18142', '97808-EP2305685A1', '97808-EP2305686A1', 'A812173', 'C-47591', 'Q902094', 'J-011181', 'Perfluorooctane sulfonic acid 100 microg/mL in Methanol', 'Heptadecafluorooctanesulfonic acid solution, ~40% in H2O (T)', '1,1,2,2,3,3,4, 4,5,5,6,6,7,7,8,8,8-Heptadecafluoro-1-octanesulfonic acid', '1,1,2,2,3,3,4,4,5,5,6,6,7,7,8,8,8-heptadecafluoro-octane-1-sulfonic acid', '1,1,2,2,3,3,4,4,5,5,6,6,7,7,8,8,8-heptadecakis(fluoranyl)octane-1-sulfonic acid', 'Heptadecafluorooctanesulfonic acid solution, 100 mug/mL in methanol, analytical standard', '1,1,2,2,3,3,4, 4,5,5,6,6,7,7,8,8,8-Heptadecafluoro-1-octanesulfonic acid, potassium salt', '1-Octanesulfonic acid, 1,1,2,2,3,3,4,4,5,5,6,6,7, 7,8,8,8-heptadecafluoro-, potassium salt']</t>
  </si>
  <si>
    <t>Compound(74483)</t>
  </si>
  <si>
    <t>C8HF17O3S</t>
  </si>
  <si>
    <t>perfluorooctane sulfonamide</t>
  </si>
  <si>
    <t>1,1,2,2,3,3,4,4,5,5,6,6,7,7,8,8,8-heptadecafluorooctane-1-sulfonamide</t>
  </si>
  <si>
    <t>['Perfluorooctanesulfonamide', '754-91-6', '1,1,2,2,3,3,4,4,5,5,6,6,7,7,8,8,8-heptadecafluorooctane-1-sulfonamide', 'Perfluorooctane sulfonamide', 'Perfluoroctylsulfonamide', 'PFOSA', 'Heptadecafluorooctanesulphonamide', 'Perfluorooctanesulfonic acid amide', 'UNII-80AM718FML', 'EINECS 212-046-0', '1-Octanesulfonamide, 1,1,2,2,3,3,4,4,5,5,6,6,7,7,8,8,8-heptadecafluoro-', '80AM718FML', 'AI 3-29759', 'W-104393', 'FOSA', 'Perfluorooctanesulfonamide, 95%', '1,1,2,2,3,3,4,4,5,5,6,6,7,7,8,8,8-Heptadecafluoro-octane-1-sulfonamide', 'C8H2F17NO2S', 'HSDB 8039', 'perfluorooctane sulphonamide', 'DSSTox_CID_18939', 'DSSTox_RID_79421', 'DSSTox_GSID_38939', 'SCHEMBL828147', 'CHEMBL1087375', 'DTXSID3038939', 'CTK5E1615', 'Perfluoroctylsulfonamide (PFOSA)', 'CHEBI:138089', 'heptadecafluorooctane-1-sulfonamide', 'ACT01907', 'ZX-AP000304', 'Perfluorooctane sulfonamide (PFOSA)', 'Tox21_300412', 'KM1696', 'PC6149', 'ZINC38141476', 'perfluorooctanesulfonamide, AldrichCPR', 'AKOS015897505', 'NCGC00164450-01', 'NCGC00164450-02', 'NCGC00254527-01', 'AK114002', 'AS-15244', 'CAS-754-91-6', 'CC-33587', 'LS-97930', 'O614', 'AX8147268', 'DB-008667', 'FT-0632897', 'NS00010967', '754P916', 'A838431', 'C-22933', 'Q7168162', '1,1,2,2,3,3,4,4,5,5,6,6,7,7,8,8,8-heptadecafluoro-1-octanesulfonamide', '1,1,2,2,3,3,4,4,5,5,6,6,7,7,8,8,8-heptadecakis(fluoranyl)octane-1-sulfonamide', '1-Octanesulfonamide,1,1,2,2,3,3,4,4,5,5,6,6,7,7,8,8,8-heptadecafluoro-']</t>
  </si>
  <si>
    <t>Compound(69785)</t>
  </si>
  <si>
    <t>C8H2F17NO2S</t>
  </si>
  <si>
    <t>perfluorooctane sulfonyl fluoride</t>
  </si>
  <si>
    <t>1,1,2,2,3,3,4,4,5,5,6,6,7,7,8,8,8-heptadecafluorooctane-1-sulfonyl fluoride</t>
  </si>
  <si>
    <t>['Perfluorooctanesulfonyl fluoride', '307-35-7', 'Perfluoro-1-octanesulfonyl fluoride', '1,1,2,2,3,3,4,4,5,5,6,6,7,7,8,8,8-heptadecafluorooctane-1-sulfonyl fluoride', 'PERFLUOROOCTYLSULFONYL FLUORIDE', 'UNII-KPV81L86O0', 'Heptadecafluorooctanesulphonyl fluoride', 'perfluorooctane sulfonyl fluoride', 'HSDB 5561', 'N-Perfluorooctanesulfonyl fluoride', '1-Octanesulfonyl fluoride, 1,1,2,2,3,3,4,4,5,5,6,6,7,7,8,8,8-heptadecafluoro-', 'EINECS 206-200-6', 'KPV81L86O0', 'perfluorooctanesulphonyl fluoride', 'heptadecafluorooctane-1-sulfonyl fluoride', '1,1,2,2,3,3,4,4,5,5,6,6,7,7,8,8,8-Heptadecafluoro-1-octanesulfonyl fluoride', 'C8F18O2S', 'ACMC-209tqi', 'EC 206-200-6', 'Perfluorooctylsulfonylfluoride', 'C8F17SO2F', 'KSC222I4B', 'perfluoroctanesulfonyl fluoride', 'SCHEMBL302264', 'perfluorooctyl sulfonyl chloride', 'DTXSID5027140', 'CHEBI:81538', 'CTK1C2440', 'perfluoro n-octylsulfonyl fluoride', 'perfluoro-1-octanesulfonylfluoride', 'Perfluorooctane-1-sulfonyl Fluoride', 'CS-B0917', 'KS-00000VL1', 'ACM307357', 'ANW-42808', 'BBL027790', 'MFCD00012016', 'STK802044', 'ZINC56874988', 'AKOS015912940', 'LS40738', 'MCULE-6223721240', 'Heptadecafluoro-1-octanesulfonyl Fluoride', 'Heptadecafluoro-n-octanesulfonyl Fluoride', 'O615', 'VS-08591', 'LS-195243', 'FT-0626893', 'NS00011151', 'C18143', 'C-45781', 'Q7168165', 'Perfluoro-1-octanesulfonyl fluoride, 95% (sum of isomers)', 'Perfluoro-1-octanesulfonylfluoride(mixtureofn-andiso-isomers)', '1,1,2,2,3,3,4,4,5,5,6,6,7,7,8,8,8-heptadecafluoro-octanesulfonyl fluoride', '1-Octanesulfonyl fluoride, 1,1,2,2,3,3,4,4,5,5,6,6,7,7,8,8,8-heptadecafluoro-;1,1,2,2,3,3,4,4,5,5,6,6,7,7,8,8,8-heptadecafluorooctane-1-sulfonyl fluoride']</t>
  </si>
  <si>
    <t>Compound(9388)</t>
  </si>
  <si>
    <t>C8F18O2S</t>
  </si>
  <si>
    <t>perfluorooctane sulfonate, potassium salt</t>
  </si>
  <si>
    <t>potassium;1,1,2,2,3,3,4,4,5,5,6,6,7,7,8,8,8-heptadecafluorooctane-1-sulfonate</t>
  </si>
  <si>
    <t>['2795-39-3', 'Potassium perfluorooctanesulfonate', 'Perfluorooctanesulfonic acid potassium salt', 'Potassium heptadecafluoro-1-octanesulfonate', 'Potassium PFOS', 'Potassium heptadecafluorooctane-1-sulfonate', 'Fluorad FC 95', 'Potassium heptadecafluorooctane-1-sulphonate', 'Floral FC 95', 'UNII-E617073PI9', 'PFOS-K', 'potassium 1,1,2,2,3,3,4,4,5,5,6,6,7,7,8,8,8-heptadecafluorooctane-1-sulfonate', 'EINECS 220-527-1', 'NSC 18405', '1-Octanesulfonic acid, heptadecafluoro-, potassium salt', 'FC 95', 'AI3-50950', 'Perfluorooctanesulfonic acid, potassium salt', 'E617073PI9', 'Heptadecafluorooctanesulfonic acid, potassium salt', '1,1,2,2,3,3,4,4,5,5,6,6,7,7,8,8,8-Heptadecafluoro-1-octanesulfonic acid, potassium salt', '1-Octanesulfonic acid, 1,1,2,2,3,3,4,4,5,5,6,6,7,7,8,8,8-heptadecafluoro-, potassium salt', '1-Octanesulfonic acid, 1,1,2,2,3,3,4,4,5,5,6,6,7,7,8,8,8-heptadecafluoro-, potassium salt (1:1)', 'W-107085', 'Potasssium perfluorooctanesulfonate', '1,1,2,2,3,3,4,4,5,5,6,6,7,7,8,8,8-Heptadecafluorooctane-1-sulfonic acid, potassium salt', 'DSSTox_CID_17706', 'DSSTox_RID_79357', 'DSSTox_GSID_37706', 'C8F17KO3S', 'KSC202O7P', 'SCHEMBL123125', 'ACMC-209h06', 'CHEMBL1902978', 'DTXSID8037706', 'CTK1A2777', 'KS-00000XCZ', 'FC-95', 'Tox21_300544', 'ANW-26308', 'Potassium Perfluoro-1-octanesulfonate', 'AKOS015852805', 'perfluorooctane sulfonic acid potassium', 'potassium heptadecafluorooctanesulfonate', 'ACM2795393', 'LS40739', 'perfluorooctane sulfonate potassium salt', 'NCGC00163851-01', 'NCGC00254250-01', 'AS-15243', 'LS-97934', 'O612', 'Potassiumheptadecafluoro-1-octanesulfonate', 'CAS-2795-39-3', 'FT-0656008', 'Perfluoro-1-octanesulfonic Acid Potassium Salt', 'Heptadecafluoro-1-octanesulfonic Acid Potassium Salt', 'Perfluorooctane sulfonic acid potassium salt (PFOS)', 'Q27276914', 'potassium;1,1,2,2,3,3,4,4,5,5,6,6,7,7,8,8,8-heptadecafluorooctane-1-sulfonate']</t>
  </si>
  <si>
    <t>Compound(23669238)</t>
  </si>
  <si>
    <t>C8F17KO3S</t>
  </si>
  <si>
    <t>perfluoropentanoic acid</t>
  </si>
  <si>
    <t>2,2,3,3,4,4,5,5,5-nonafluoropentanoic acid</t>
  </si>
  <si>
    <t>['Perfluoropentanoic acid', '2706-90-3', 'Perfluorovaleric acid', 'nonafluoropentanoic acid', 'Nonafluorovaleric acid', 'Pentanoic acid, nonafluoro-', '2,2,3,3,4,4,5,5,5-Nonafluoropentanoic acid', 'n-Perfluoropentanoic acid', 'Nonafluoro-1-pentanoic acid', 'Valeric acid, nonafluoro-', 'Perfluoro-n-pentanoic acid', 'Pentanoic acid, 2,2,3,3,4,4,5,5,5-nonafluoro-', 'CHEBI:83491', '2,2,3,3,4,4,5,5,5-Nonafluoro-pentanoic acid', 'Nonafluoropentanoic acid, 97%', 'PFPeA', 'EINECS 220-300-7', 'NSC 18404', 'Pentanoic acid, 2,2,3,3,4,4,5,5,5-nonafluoro-, sodium salt', 'Nonafluoro-valeric acid', 'ACMC-209guy', 'n-nonafluoropentanoic acid', 'IPC-PFFA-5', 'SCHEMBL64889', 'KSC559A4H', 'Perfluoropentanoic acid, 97%', 'Pentanoic acid,2,2,3,3,4,4,5,5,5-nonafluoro-', 'CHEMBL173263', 'DTXSID6062599', 'Perfluoropentanoic acid (PFPeA)', 'CTK4F9043', 'KS-00000ZZL', 'CS-B0902', 'NSC18404', 'ZX-AP004659', 'ANW-26120', 'MFCD00040211', 'NSC-18404', 'PC6184', 'SBB072755', 'ZINC43443190', 'AKOS005258165', 'ACM2706903', 'FS-4216', 'MCULE-5312197844', 'SC-92143', 'DB-047153', 'FT-0634452', 'N0605', 'NS00000365', 'ST45029114', 'C-51340', '2,2,3,3,4,4,5,5,5-Nonafluoropentanoic acid #', 'J-016667', 'Q27156873']</t>
  </si>
  <si>
    <t>Compound(75921)</t>
  </si>
  <si>
    <t>C5HF9O2</t>
  </si>
  <si>
    <t>perfluorridecanoic acid</t>
  </si>
  <si>
    <t>2,2,3,3,4,4,5,5,6,6,7,7,8,8,9,9,10,10,11,11,12,12,13,13,13-pentacosafluorotridecanoic acid</t>
  </si>
  <si>
    <t>['Perfluorotridecanoic acid', '72629-94-8', 'Pentacosafluorotridecanoic acid', 'Perfluorotridecanoic acid (PFTrDA)', 'PFTrDA', 'EINECS 276-745-2', 'ACMC-20ajxo', 'SCHEMBL105881', 'CHEMBL2447939', 'CTK5D6595', 'DTXSID90868151', 'ZINC96941859', 'PERFLUOROTRIDECANOIC ACID, 97%', 'pentacosafluorotridecanoic acid (EINECS)', '2,2,3,3,4,4,5,5,6,6,7,7,8,8,9,9,10,10,11,11,12,12,13,13,13-pentacosafluorotridecanoic acid', 'NS00011270', 'pentacosafluorotridecanoic acid;Pentacosafluorotridecanoic acid;Perfluorotridecanoic acid', 'Tridecanoic acid, 2,2,3,3,4,4,5,5,6,6,7,7,8,8,9,9,10,10,11,11,12,12,13,13,13-pentacosafluoro-', 'Tridecanoic acid,2,2,3,3,4,4,5,5,6,6,7,7,8,8,9,9,10,10,11,11,12,12,13,13,13-pentacosafluoro-']</t>
  </si>
  <si>
    <t>Compound(3018355)</t>
  </si>
  <si>
    <t>C13HF25O2</t>
  </si>
  <si>
    <t>perfluortetradecanoic acid</t>
  </si>
  <si>
    <t>2,2,3,3,4,4,5,5,6,6,7,7,8,8,9,9,10,10,11,11,12,12,13,13,14,14,14-heptacosafluorotetradecanoic acid</t>
  </si>
  <si>
    <t>['Perfluorotetradecanoic acid', '376-06-7', 'Perfluoromyristic acid', 'Heptacosafluorotetradecanoic acid', 'Tetradecanoic acid, heptacosafluoro-', '2,2,3,3,4,4,5,5,6,6,7,7,8,8,9,9,10,10,11,11,12,12,13,13,14,14,14-heptacosafluorotetradecanoic acid', 'Tetradecanoic acid, 2,2,3,3,4,4,5,5,6,6,7,7,8,8,9,9,10,10,11,11,12,12,13,13,14,14,14-heptacosafluoro-', 'Q63399417', 'PFTeDA', 'EINECS 206-803-4', 'ACMC-20ajxq', 'SCHEMBL517311', 'DTXSID3059921', 'CTK3J2385', 'Perfluorotetradecanoic acid, 96%', 'Perfluorotetradecanoic acid (PFTDA)', 'MFCD00153263', 'Perfluorotetradecanoic acid (PFTeDA)', 'ZINC95719227', 'AKOS025310389', 'FS-4146', 'NS00011273', 'Perfluorotetradecanoic acid, analytical standard', 'Tetradecanoic acid, heptacosafluoro- (TSCA, NDSL, ENCS,)', 'Heptacosafluorotetradecanoic acid;heptacosafluorotetradecanoic acid;Perfluoromyristic acid']</t>
  </si>
  <si>
    <t>Compound(67822)</t>
  </si>
  <si>
    <t>C14HF27O2</t>
  </si>
  <si>
    <t>perfluoro-undecanoic acid</t>
  </si>
  <si>
    <t>2,2,3,3,4,4,5,5,6,6,7,7,8,8,9,9,10,10,11,11,11-henicosafluoroundecanoic acid</t>
  </si>
  <si>
    <t>['Perfluoroundecanoic acid', '2058-94-8', 'Henicosafluoroundecanoic acid', 'Perfluoro-n-undecanoic acid', '2,2,3,3,4,4,5,5,6,6,7,7,8,8,9,9,10,10,11,11,11-henicosafluoroundecanoic acid', 'Undecanoic acid, heneicosafluoro-', 'EINECS 218-165-4', 'CHEBI:83493', 'Undecanoic acid, 2,2,3,3,4,4,5,5,6,6,7,7,8,8,9,9,10,10,11,11,11-heneicosafluoro-', '2,2,3,3,4,4,5,5,6,6,7,7,8,8,9,9,10,10,11,11,11-heneicosafluoroundecanoic acid', 'PFUnA', 'C11HF21O2', 'ACMC-20ajxm', 'Eicosafluorondecanoic acid', '4234-23-5', 'DSSTox_CID_27553', 'DSSTox_RID_82415', 'DSSTox_GSID_47553', 'heneicosafluoroundecanoic acid', 'SCHEMBL82682', 'Perfluoroundecanoic acid, 95%', 'CHEMBL3188332', 'DTXSID8047553', 'CTK4E4617', 'Perfluoroundecanoic acid (PFUdA)', 'ZX-AP001494', 'Tox21_300606', 'Perfluoro-n-undecanoic acid (PFUnA)', 'ZINC95681634', 'AKOS015852634', 'ACM4234235', 'MCULE-5047409382', 'KS-000018O2', 'NCGC00248102-01', 'NCGC00254316-01', 'AS-73731', 'CAS-2058-94-8', 'FT-0676445', 'NS00000370', 'Perfluoroundecanoic acid, analytical standard', 'X3325', 'A814729', 'J-013445', 'Q27156875', 'Undecanoic acid,2,2,3,3,4,4,5,5,6,6,7,7,8,8,9,9,10,10,11,11,11-heneicosafluoro-', '2,2,3,3,4,4,5,5,6,6,7,7,8,8,9,9,10,10,11,11,11-henicosakis(fluoranyl)undecanoic acid', 'henicosafluoroundecanoic acid;Perfluoroundecanoic acid;Ammonium octadecfluoro-9-(trifluoromethyl)decanoate']</t>
  </si>
  <si>
    <t>Compound(77222)</t>
  </si>
  <si>
    <t>C11HF21O2</t>
  </si>
  <si>
    <t>propylene glycol monoethyl ether acetate</t>
  </si>
  <si>
    <t>1-ethoxypropan-2-yl acetate</t>
  </si>
  <si>
    <t>['54839-24-6', '1-ethoxypropan-2-yl acetate', '2-acetoxy-1-ethoxypropane', '2-Ethoxy-1-methylethyl acetate', '2-Propanol, 1-ethoxy-, acetate', '1-ethoxy-2-propanol acetate', '2-Propanol, 1-ethoxy-,2-acetate', 'W-109238', 'EINECS 259-370-9', 'EC 259-370-9', 'SCHEMBL60590', 'CTK5A2643', 'DTXSID40866445', 'FCH831785', 'AKOS006228283', 'propane-1,2-diol ethyl ether ethanoate', 'Acetic acid 1-methyl-2-ethoxyethyl ester', 'FT-0709304', 'NS00008894', 'C-51979', 'Q27286067']</t>
  </si>
  <si>
    <t>Compound(171378)</t>
  </si>
  <si>
    <t>C7H14O3</t>
  </si>
  <si>
    <t>P number</t>
  </si>
  <si>
    <t>propylene glycol monomethyl ether acetate</t>
  </si>
  <si>
    <t>1-methoxypropan-2-yl acetate</t>
  </si>
  <si>
    <t>['1-Methoxy-2-propyl acetate', '108-65-6', 'PGMEA', '1-methoxypropan-2-yl acetate', '2-Acetoxy-1-methoxypropane', 'Propylene glycol monomethyl ether acetate', 'Propylene glycol methyl ether acetate', '1-Methoxy-2-acetoxypropane', '2-Methoxy-1-methylethyl acetate', '2-Propanol, 1-methoxy-, acetate', 'METHOXYISOPROPYL ACETATE', 'Propyleneglycol monomethyl ether acetate', 'NSC 2207', '1-METHOXY-2-PROPANOL ACETATE', 'Acetic acid, 2-methoxy-1-methylethyl ester', '2-Propanol, 1-methoxy-, 2-acetate', 'EINECS 203-603-9', 'PROPYLENEGLYCOLMETHYLETHERACETATE', 'Dowanol (R) PMA glycol ether acetate', 'BRN 1751656', 'AI3-18548', 'MFCD00038500', 'Propylene glycol 1-methyl ether 2-acetate', 'J-504836', '2-(1-Methoxy)propyl acetate, 99%', 'Arcosolv PMA', 'Dowanol PMA', '2-Propanol, acetate', 'Ektasolve PM Acetate', 'PubChem4049', 'FR-0153', 'propylene glycol monomethylether acetate', 'DSSTox_CID_6796', '1-methoxy-2-propylacetate', 'EC 203-603-9', 'Propylene Glycol 1-Monomethyl Ether 2-Acetate', 'DSSTox_RID_78216', '1-methoxy-2-acetoxy propane', 'DSSTox_GSID_26796', 'SCHEMBL15667', 'KSC449M3R', '2-(1-Methoxy)propyl acetate', 'CHEMBL3182130', 'DTXSID1026796', 'CTK3E9638', 'HSDB 8443', 'LLHKCFNBLRBOGN-UHFFFAOYSA-', 'NSC2207', 'KS-00000UZ5', 'NSC-2207', 'propyleneglycol methyl ether acetate', 'Tox21_201436', 'ANW-42711', 'AKOS015837930', 'Glycol Ether PM Acetate Reagent Grade', 'FCH1117327', '1,2-Propanediol monomethyl ether acetate', 'NCGC00249046-01', 'NCGC00258987-01', 'CAS-108-65-6', 'LS-12400', 'FT-0675939', 'NS00011490', 'P1171', 'X6007', '1,2-Propanediol 1-Monomethyl Ether 2-Acetate', '1,2-Propanediol monomethyl ether acetate, 99%', 'Propylene glycol monomethyl ether acetate, 99%', '105107-EP2274983A1', '105107-EP2299326A1', 'C-36616', 'Q2170375', 'Propylene glycol monomethyl ether acetate, &gt;=99.0% (GC)', 'Propylene glycol monomethyl ether acetate, ReagentPlus(R), &gt;=99.5%', 'Propylene glycol monomethyl ether acetate, Vetec(TM) reagent grade', 'METHOXYISOPROPYL ACETATE;2-Propyl, 1-methoxy-, acetate;2-methoxy-1-methylethyl acetate ;2-methoxy-1-methylethyl acetate']</t>
  </si>
  <si>
    <t>Compound(7946)</t>
  </si>
  <si>
    <t>polyhexamethylene biguanide hydrochloride</t>
  </si>
  <si>
    <t>PID values</t>
  </si>
  <si>
    <t>2-phenylindene-1,3-dione</t>
  </si>
  <si>
    <t>['phenindione', '83-12-5', '2-Phenyl-1,3-indandione', '2-Phenyl-1H-indene-1,3(2H)-dione', 'Dindevan', 'Rectadione', 'Phenylindanedione', 'Phenylindione', 'Athrombon', 'Diophindane', 'Emandione', 'Fenhydren', 'Phenhydren', 'Phenillin', 'Phenyline', 'Theradione', 'Danedion', 'Fenilin', 'Pindione', 'Danilone', 'Diadilan', 'Emandion', 'Eridione', 'Fenindion', 'Hemolidione', 'Phenylen', 'Phenylin', 'Tromazal', 'Bindan', 'Dineval', 'Hedulin', 'Indema', 'Trombol', 'Indon', 'Cronodione', 'Thrombasal', 'Indion', '2-Phenylindandione', '2-Phenyl-1,3-diketohydrindene', '1H-Indene-1,3(2H)-dione, 2-phenyl-', 'Phenindionum', 'Fenindiona', 'Phenyllin', '2-Phenyl-1,3-indanedione', 'Fenindiona [INN-Spanish]', 'Phenindionum [INN-Latin]', '2-phenylindene-1,3-dione', '1,3-Indandione, 2-phenyl-', '2-phenyl-2,3-dihydro-1H-indene-1,3-dione', 'PID', '2-phenyl-1,3(2H)-Indenedione', '2-Fenyloindandion-1,3 [Polish]', '2-Phenylindan-1,3-dione', '2-phenylindane-1,3-dione', 'UNII-5M7Y6274ZE', 'HSDB 3155', 'C15H10O2', 'EINECS 201-454-4', 'NSC 41693', 'CHEMBL711', '2-Phenyl-indan-1,3-dione', 'MLS000069422', 'CHEBI:8066', '5M7Y6274ZE', 'NSC-41693', 'CAS-83-12-5', 'NCGC00016329-01', 'SMR000059058', 'DSSTox_CID_3453', 'DSSTox_RID_77033', 'DSSTox_GSID_23453', '2-Fenyloindandion-1,3', 'Phenindione [INN:BAN]', 'Hedulin (TN)', 'Phenindione (INN)', 'Phenindione(Rectadione)', 'SR-01000721861', 'Phenindione [USP:INN:BAN]', 'Prestwick_872', 'Spectrum_000927', 'Phenindione (Rectadione)', 'Opera_ID_1966', 'Prestwick0_000538', 'Prestwick1_000538', 'Prestwick2_000538', 'Prestwick3_000538', 'Spectrum2_000999', 'Spectrum3_000710', 'Spectrum4_000476', 'Spectrum5_001070', 'P1029', 'Rectadione;phenylindandione', 'ACMC-1BM0O', '1H-Indene-1, 2-phenyl-', 'Oprea1_684242', 'SCHEMBL33831', 'BSPBio_000555', 'BSPBio_002499', 'KBioGR_000952', 'KBioSS_001407', 'MLS001148439', 'DivK1c_000307', 'SPECTRUM1500477', 'SPBio_001097', 'SPBio_002476', 'BPBio1_000611', 'GTPL6838', 'DTXSID5023453', 'CTK5F0412', 'HMS500P09', 'KBio1_000307', 'KBio2_001407', 'KBio2_003975', 'KBio2_006543', 'KBio3_001719', 'KS-00000YJG', 'NINDS_000307', 'WLN: L56 BV DV CHJ CR', 'HMS1569L17', 'HMS1920F20', 'HMS2091N22', 'HMS2096L17', 'HMS2234N06', 'HMS3651M04', 'HMS3713L17', 'Pharmakon1600-01500477', '2-Phenyl-1,3-indandione, 97%', 'HY-B0325', 'NSC41693', '1,3(2H)-Indenedione, 2-phenyl-', 'Tox21_110375', 'ANW-13618', 'BBL011710', 'BDBM50280157', 'CCG-40217', 'NSC757269', 's1921', 'STK395038', 'AKOS000445019', 'Tox21_110375_1', 'ZINC100004862', 'CS-2366', 'DB00498', 'MCULE-1090571544', 'NE30721', 'NSC-757269', '1H-Indene-1,3(2H)-dione,2-phenyl-', 'IDI1_000307', 'NCGC00016329-02', 'NCGC00016329-03', 'NCGC00016329-04', 'NCGC00016329-05', 'NCGC00016329-07', 'NCGC00094756-01', 'NCGC00094756-02', 'NCGC00094756-03', 'NCGC00094756-04', 'AK129036', 'LS-81254', 'Q565', 'SBI-0051480.P003', 'AB00052069', 'NS00003441', 'ST45021959', 'SW196997-3', 'C07584', 'D08354', 'AB00052069_13', 'AB00052069_14', 'Q1640947', 'SR-01000721861-2', 'SR-01000721861-3', '2-phenyl-2-hydrocyclopenta[1,2-a]benzene-1,3-dione', 'BRD-K70592963-001-21-7', 'BRD-K70592963-001-26-6', 'Phenindione, United States Pharmacopeia (USP) Reference Standard']</t>
  </si>
  <si>
    <t>Compound(4760)</t>
  </si>
  <si>
    <t>C15H10O2</t>
  </si>
  <si>
    <t>Potassium permanganate consumption</t>
  </si>
  <si>
    <t>(3R)-3-hydroxy-3-methyl-5-phosphonooxypentanoic acid</t>
  </si>
  <si>
    <t>['mevalonate-P', '(R)-5-Phosphomevalonate', 'mevalonate-5P', '(R)-5-Phosphomevaloonic acid', 'mevalonate-5-phosphate', '(R)-Mevalonic acid 5-phosphate', '(3R)-3-hydroxy-3-methyl-5-(phosphonooxy)pentanoic acid', '(R)-5-Phosphomevalonic acid', 'Phosphomevalonate', '3R-methyl-3-hydroxypentanoic acid 5-phosphate', 'Mevalonic acid-5P', '5-phosphomevalonic acid', 'P-mevalonate', 'mevalonate-5-P', '5-phosphomevalonate', 'PMV', '(R)-5-phosphomevaloonate', '(3R)-3-hydroxy-3-methyl-5-phosphonooxypentanoic acid', 'GTPL3046', 'SCHEMBL1286788', 'CHEBI:17436', 'ZINC1532853', 'LMFA01050415', 'C01107', 'Q27464491']</t>
  </si>
  <si>
    <t>Compound(439400)</t>
  </si>
  <si>
    <t>C6H13O7P</t>
  </si>
  <si>
    <t>Pool snail</t>
  </si>
  <si>
    <t>Profile</t>
  </si>
  <si>
    <t>polytetramethyl ether glycol</t>
  </si>
  <si>
    <t>oxolane</t>
  </si>
  <si>
    <t>['TETRAHYDROFURAN', 'Oxolane', '109-99-9', 'Furan, tetrahydro-', 'Furanidine', 'Butylene oxide', 'Hydrofuran', 'Tetramethylene oxide', 'Oxacyclopentane', 'Tetrahydrofuranne', '1,4-Epoxybutane', 'Tetraidrofurano', 'Tetrahydrofuraan', 'Tetrahydrofurane', 'Cyclotetramethylene oxide', 'THF', 'tetrahydro-furan', 'Agrisynth THF', 'Butane, 1,4-epoxy-', 'Cyclotetramethylene', 'RCRA waste number U213', 'Tetrahydrofuraan [Dutch]', 'Tetraidrofurano [Italian]', 'Butane, alpha,delta-oxide', 'NCI-C60560', 'Tetrahydrofuranne [French]', 'UNII-3N8FZZ6PY4', 'Polytetrahydrofuran', 'NSC 57858', 'Butane .alpha.,.delta.-oxide', 'CCRIS 6276', 'HSDB 125', 'Butane alpha,delta-oxide', 'EINECS 203-726-8', 'UN2056', 'RCRA waste no. U213', '3N8FZZ6PY4', 'AI3-07570', 'CHEBI:26911', 'MFCD00005356', '24979-97-3', '[2H4]tetrahydro[2H4]furan', 'Tetrahydrofuran, 99.5+%, for spectroscopy', 'Furan, tetrahydro-, homopolymer', 'Tetrahydrofuran, 99+%, extra pure, stabilized with BHT', 'terahydrofuran', 'terahydrofurane', 'terahyrofuran', 'tetrahydofuran', 'tetrahydofurane', 'tetrahydorfuran', 'tetrahyrdofuran', 'tetrahyrofuran', 'Tetrahydrofuran, 99.5%, for analysis, stabilized with BHT', 'Tetrahydrofuran, 99.6%, ACS reagent, stabilized with BHT', 'Tetrahydrofuran, 99.85%, Extra Dry, stabilized, AcroSeal(R)', 'tetraliydrofuran', 'tetra hydrofuran', 'tetra-hydrofuran', 'tetrahy-drofuran', 'tetrahydro furan', 'tetrahydrof uran', 'tetrahydrofu ran', 'tetrahydrofura n', 'tetrahydrofuran-', 'Tetrahydrofuran, 99.85%, Extra Dry, Unstabilized, AcroSeal(R)', 'tet-rahydrofurane', 'tetra-hydrofurane', 'tetrahydro furane', 'tetrahydro-furane', 'tetrahydrofurane-', 'Tetrahydrofuran, 99.8%, for biochemistry, unstabilized, AcroSeal(R)', 'Tetrahydrofuran, contains 250 ppm BHT as inhibitor, ACS reagent, &gt;=99.0%', 'tetra hydro-furan', 'tetra- hydrofuran', 'tetrahydro- furan', 'Butane a,d-oxide', 'Tetrahydrofuran, 99.5%, Extra Dry over Molecular Sieve, Stabilized, AcroSeal(R)', 'Butane,4-epoxy-', 'Dynasolve 150', 'Tetrahydrofuran ACS', '1,4-epoxy-Butane', 'c0019', 'tetrahydrofuran solvent', 'THF (tetrahydrofuran)', 'PubChem10863', 'ACMC-1BQ3D', 'DSSTox_CID_1328', 'Tetrahydrofuran, 99.9%', 'WLN: T5OTJ', 'Tetrahydrofuran(Stabilized)', 'EC 203-726-8', 'DSSTox_RID_76084', 'DSSTox_GSID_21328', 'Tetrahydrofuran, ACS reagent', 'KSC176G5H', 'Tetrahydrofuran, &gt;=99.5%', 'Tetrahydrofuran, p.a., 99%', 'CHEMBL276521', 'DTXSID1021328', 'CTK0H6353', 'Diethylene oxide 1,4-Epoxybutane', 'Tetrahydrofuran Reagent Grade ACS', 'KS-00000V0Y', 'NSC57858', 'Tetrahydrofuran, analytical standard', 'ZINC3593622', 'Tox21_201026', 'ANW-41453', 'LS-493', 'NSC-57858', 'STL264218', 'AKOS000119982', 'MCULE-3873245085', 'Poly(tetramethylene ether glycol) 650', 'Tetrahydrofuran, (stabilized with BHT)', 'UN 2056', 'Tetrahydrofuran, for HPLC, &gt;=99.9%', 'NCGC00090740-01', 'NCGC00090740-02', 'NCGC00258579-01', 'BP-30232', 'CAS-109-99-9', 'SC-47174', 'Tetrahydrofuran, purum, &gt;=99.0% (GC)', 'DB-038044', '315-EP0930075A1', '315-EP1441224A2', '315-EP2269977A2', '315-EP2269986A1', '315-EP2269988A2', '315-EP2269989A1', '315-EP2269990A1', '315-EP2269992A1', '315-EP2269993A1', '315-EP2269994A1', '315-EP2269995A1', '315-EP2269999A1', '315-EP2270000A1', '315-EP2270001A1', '315-EP2270003A1', '315-EP2270004A1', '315-EP2270006A1', '315-EP2270008A1', '315-EP2270009A1', '315-EP2270010A1', '315-EP2270011A1', '315-EP2270014A1', '315-EP2270015A1', '315-EP2270017A1', '315-EP2270113A1', '315-EP2270114A1', '315-EP2272509A1', '315-EP2272516A2', '315-EP2272517A1', '315-EP2272537A2', '315-EP2272813A2', '315-EP2272817A1', '315-EP2272822A1', '315-EP2272825A2', '315-EP2272827A1', '315-EP2272828A1', '315-EP2272830A1', '315-EP2272831A1', '315-EP2272832A1', '315-EP2272834A1', '315-EP2272835A1', '315-EP2272837A1', '315-EP2272839A1', '315-EP2272840A1', '315-EP2272841A1', '315-EP2272842A1', '315-EP2272843A1', '315-EP2272844A1', '315-EP2272846A1', '315-EP2272847A1', '315-EP2272848A1', '315-EP2272849A1', '315-EP2272935A1', '315-EP2272972A1', '315-EP2272973A1', '315-EP2274983A1', '315-EP2275102A1', '315-EP2275395A2', '315-EP2275398A1', '315-EP2275401A1', '315-EP2275403A1', '315-EP2275404A1', '315-EP2275407A1', '315-EP2275408A1', '315-EP2275409A1', '315-EP2275410A1', '315-EP2275411A2', '315-EP2275412A1', '315-EP2275413A1', '315-EP2275414A1', '315-EP2275418A1', '315-EP2275419A2', '315-EP2275420A1', '315-EP2275422A1', '315-EP2275427A1', '315-EP2275469A1', '315-EP2277507A1', '315-EP2277848A1', '315-EP2277858A1', '315-EP2277861A1', '315-EP2277865A1', '315-EP2277867A2', '315-EP2277868A1', '315-EP2277869A1', '315-EP2277870A1', '315-EP2277871A1', '315-EP2277872A1', '315-EP2277876A1', '315-EP2277878A1', '315-EP2277879A1', '315-EP2277880A1', '315-EP2277881A1', '315-EP2279750A1', '315-EP2280000A1', '315-EP2280001A1', '315-EP2280003A2', '315-EP2280005A1', '315-EP2280006A1', '315-EP2280007A1', '315-EP2280008A2', '315-EP2280009A1', '315-EP2280011A1', '315-EP2280012A2', '315-EP2280014A2', '315-EP2281810A1', '315-EP2281813A1', '315-EP2281815A1', '315-EP2281817A1', '315-EP2281818A1', '315-EP2281819A1', '315-EP2281820A2', '315-EP2281821A1', '315-EP2281823A2', '315-EP2281824A1', '315-EP2281899A2', '315-EP2283898A1', '315-EP2284149A1', '315-EP2284154A1', '315-EP2284158A1', '315-EP2284159A1', '315-EP2284160A1', '315-EP2284165A1', '315-EP2284166A1', '315-EP2284167A2', '315-EP2284168A2', '315-EP2284169A1', '315-EP2284171A1', '315-EP2284174A1', '315-EP2286795A1', '315-EP2286811A1', '315-EP2287141A1', '315-EP2287147A2', '315-EP2287152A2', '315-EP2287153A1', '315-EP2287154A1', '315-EP2287155A1', '315-EP2287156A1', '315-EP2287161A1', '315-EP2287162A1', '315-EP2287164A1', '315-EP2287165A2', '315-EP2287166A2', '315-EP2287167A1', '315-EP2287168A2', '315-EP2287940A1', '315-EP2289509A2', '315-EP2289868A1', '315-EP2289879A1', '315-EP2289881A1', '315-EP2289883A1', '315-EP2289884A1', '315-EP2289885A1', '315-EP2289887A2', '315-EP2289888A2', '315-EP2289890A1', '315-EP2289892A1', '315-EP2289893A1', '315-EP2289894A2', '315-EP2289897A1', '315-EP2289965A1', '315-EP2292228A1', '315-EP2292234A1', '315-EP2292576A2', '315-EP2292589A1', '315-EP2292592A1', '315-EP2292593A2', '315-EP2292596A2', '315-EP2292597A1', '315-EP2292602A1', '315-EP2292606A1', '315-EP2292607A2', '315-EP2292608A1', '315-EP2292609A1', '315-EP2292610A1', '315-EP2292611A1', '315-EP2292612A2', '315-EP2292614A1', '315-EP2292615A1', '315-EP2292616A1', '315-EP2292617A1', '315-EP2292619A1', '315-EP2292620A2', '315-EP2292621A1', '315-EP2292622A1', '315-EP2292625A1', '315-EP2292628A2', '315-EP2292630A1', '315-EP2295053A1', '315-EP2295138A2', '315-EP2295399A2', '315-EP2295401A2', '315-EP2295402A2', '315-EP2295406A1', '315-EP2295408A1', '315-EP2295409A1', '315-EP2295410A1', '315-EP2295411A1', '315-EP2295412A1', '315-EP2295413A1', '315-EP2295414A1', '315-EP2295415A1', '315-EP2295417A1', '315-EP2295418A1', '315-EP2295420A1', '315-EP2295422A2', '315-EP2295423A1', '315-EP2295425A1', '315-EP2295426A1', '315-EP2295427A1', '315-EP2295432A1', '315-EP2295433A2', '315-EP2295436A1', '315-EP2295437A1', '315-EP2295438A1', '315-EP2295441A2', '315-EP2295503A1', '315-EP2295550A2', '315-EP2298305A1', '315-EP2298312A1', '315-EP2298729A1', '315-EP2298731A1', '315-EP2298734A2', '315-EP2298735A1', '315-EP2298738A1', '315-EP2298743A1', '315-EP2298746A1', '315-EP2298747A1', '315-EP2298749A1', '315-EP2298750A1', '315-EP2298752A1', '315-EP2298753A1', '315-EP2298754A1', '315-EP2298755A1', '315-EP2298756A1', '315-EP2298757A2', '315-EP2298758A1', '315-EP2298759A1', '315-EP2298761A1', '315-EP2298763A1', '315-EP2298766A1', '315-EP2298767A1', '315-EP2298768A1', '315-EP2298769A1', '315-EP2298771A2', '315-EP2298772A1', '315-EP2298773A1', '315-EP2298774A1', '315-EP2298775A1', '315-EP2298776A1', '315-EP2298778A1', '315-EP2298779A1', '315-EP2298828A1', '315-EP2299326A1', '315-EP2301534A1', '315-EP2301536A1', '315-EP2301538A1', '315-EP2301544A1', '315-EP2301627A1', '315-EP2301911A1', '315-EP2301918A1', '315-EP2301921A1', '315-EP2301922A1', '315-EP2301924A1', '315-EP2301926A1', '315-EP2301928A1', '315-EP2301929A1', '315-EP2301930A1', '315-EP2301931A1', '315-EP2301933A1', '315-EP2301934A1', '315-EP2301935A1', '315-EP2301936A1', '315-EP2301937A1', '315-EP2301939A1', '315-EP2301940A1', '315-EP2301983A1', '315-EP2302003A1', '315-EP2305219A1', '315-EP2305248A1', '315-EP2305250A1', '315-EP2305254A1', '315-EP2305257A1', '315-EP2305625A1', '315-EP2305629A1', '315-EP2305633A1', '315-EP2305640A2', '315-EP2305641A1', '315-EP2305642A2', '315-EP2305646A1', '315-EP2305647A1', '315-EP2305648A1', '315-EP2305649A1', '315-EP2305650A1', '315-EP2305651A1', '315-EP2305652A2', '315-EP2305655A2', '315-EP2305657A2', '315-EP2305658A1', '315-EP2305659A1', '315-EP2305660A1', '315-EP2305663A1', '315-EP2305664A1', '315-EP2305667A2', '315-EP2305668A1', '315-EP2305669A1', '315-EP2305671A1', '315-EP2305672A1', '315-EP2305673A1', '315-EP2305674A1', '315-EP2305675A1', '315-EP2305676A1', '315-EP2305677A1', '315-EP2305679A1', '315-EP2305680A2', '315-EP2305682A1', '315-EP2305683A1', '315-EP2305684A1', '315-EP2305687A1', '315-EP2305688A1', '315-EP2305695A2', '315-EP2305696A2', '315-EP2305697A2', '315-EP2305698A2', '315-EP2305769A2', '315-EP2305825A1', '315-EP2308479A2', '315-EP2308510A1', '315-EP2308562A2', '315-EP2308812A2', '315-EP2308828A2', '315-EP2308833A2', '315-EP2308838A1', '315-EP2308839A1', '315-EP2308840A1', '315-EP2308843A1', '315-EP2308848A1', '315-EP2308852A1', '315-EP2308853A1', '315-EP2308854A1', '315-EP2308857A1', '315-EP2308858A1', '315-EP2308861A1', '315-EP2308862A1', '315-EP2308865A1', '315-EP2308866A1', '315-EP2308867A2', '315-EP2308868A1', '315-EP2308869A1', '315-EP2308870A2', '315-EP2308871A1', '315-EP2308872A1', '315-EP2308873A1', '315-EP2308874A1', '315-EP2308875A1', '315-EP2308876A1', '315-EP2308877A1', '315-EP2308878A2', '315-EP2308879A1', '315-EP2308880A1', '315-EP2308882A1', '315-EP2308926A1', '315-EP2308960A1', '315-EP2309564A1', '315-EP2309584A1', '315-EP2311451A1', '315-EP2311455A1', '315-EP2311801A1', '315-EP2311802A1', '315-EP2311803A1', '315-EP2311805A1', '315-EP2311806A2', '315-EP2311808A1', '315-EP2311810A1', '315-EP2311811A1', '315-EP2311812A1', '315-EP2311813A1', '315-EP2311814A1', '315-EP2311815A1', '315-EP2311816A1', '315-EP2311817A1', '315-EP2311818A1', '315-EP2311820A1', '315-EP2311821A1', '315-EP2311822A1', '315-EP2311823A1', '315-EP2311824A1', '315-EP2311825A1', '315-EP2311826A2', '315-EP2311827A1', '315-EP2311829A1', '315-EP2311830A1', '315-EP2311831A1', '315-EP2311832A1', '315-EP2311833A1', '315-EP2311834A1', '315-EP2311835A1', '315-EP2311837A1', '315-EP2311839A1', '315-EP2311840A1', '315-EP2311841A1', '315-EP2311842A2', '315-EP2311850A1', '315-EP2314295A1', '315-EP2314558A1', '315-EP2314574A1', '315-EP2314575A1', '315-EP2314576A1', '315-EP2314578A1', '315-EP2314579A1', '315-EP2314580A1', '315-EP2314582A1', '315-EP2314585A1', '315-EP2314586A1', '315-EP2314587A1', '315-EP2314588A1', '315-EP2314589A1', '315-EP2314590A1', '315-EP2314591A1', '315-EP2315303A1', '315-EP2315502A1', '315-EP2316450A1', '315-EP2316452A1', '315-EP2316824A1', '315-EP2316825A1', '315-EP2316826A1', '315-EP2316827A1', '315-EP2316829A1', '315-EP2316830A2', '315-EP2316831A1', '315-EP2316832A1', '315-EP2316833A1', '315-EP2316835A1', '315-EP2316836A1', '315-EP2316837A1', '315-EP2316905A1', '315-EP2316906A2', '315-EP2316974A1', '315-EP2371795A1', '315-EP2371797A1', '315-EP2371798A1', '315-EP2371800A1', '315-EP2371805A1', '315-EP2371811A2', '315-EP2371813A1', '315-EP2371814A1', '315-EP2371823A1', '315-EP2371831A1', '315-EP2374454A1', '315-EP2374783A1', '315-EP2374788A1', '315-EP2374790A1', '315-EP2377841A1', '315-EP2377847A1', '315-EP2378585A1', '315-EP2380568A1', '315-EP2380871A1', '315-EP2380873A1', '315-EP2380874A2', 'FT-0645046', 'FT-0696552', 'NS00009145', 'V2193', 'Tetrahydrofuran [UN2056] [Flammable liquid]', 'Tetrahydrofuran, SAJ first grade, &gt;=99.0%', 'Tetrahydrofuran, Selectophore(TM), &gt;=99.5%', '4434-EP2270008A1', '4434-EP2272491A1', '4434-EP2272509A1', '4434-EP2272537A2', '4434-EP2272826A1', '4434-EP2272827A1', '4434-EP2275403A1', '4434-EP2275423A1', '4434-EP2281822A1', '4434-EP2287153A1', '4434-EP2287154A1', '4434-EP2289883A1', '4434-EP2289891A2', '4434-EP2292589A1', '4434-EP2292617A1', '4434-EP2295423A1', '4434-EP2295428A2', '4434-EP2298761A1', '4434-EP2305647A1', '4434-EP2305660A1', '4434-EP2305679A1', '4434-EP2308849A1', '4434-EP2308850A1', '4434-EP2308851A1', '4434-EP2308874A1', '4434-EP2314576A1', '4434-EP2314577A1', '4434-EP2314591A1', '4434-EP2315502A1', '4434-EP2371797A1', '4434-EP2371798A1', '4434-EP2371813A1', '4434-EP2377847A1', '6961-EP2270010A1', '6961-EP2272813A2', '6961-EP2275395A2', '6961-EP2289887A2', '6961-EP2289888A2', '6961-EP2292593A2', '6961-EP2316470A2', '6961-EP2316832A1', '6961-EP2316833A1', 'Tetrahydrofuran [UN2056]  [Flammable liquid]', 'Tetrahydrofuran HPLC grade stabilized with BHT', 'Tetrahydrofuran, JIS special grade, &gt;=99.5%', '97554-EP2305662A1', '97554-EP2372017A1', '97554-EP2377848A1', 'A802124', 'Q278332', 'Tetrahydrofuran, for HPLC, contains No stabilizer', 'Tetrahydrofuran, inhibitor-free, purification grade', 'Tetrahydrofuran, puriss. p.a., &gt;=99.9% (GC)', 'J-002358', 'Tetrahydrofuran, for luminescence, &gt;=99.5% (GC)', 'Tetrahydrofuran, inhibitor-free, for HPLC, =99.9%', 'Tetrahydrofuran, anhydrous, &gt;=99.9%, inhibitor-free', 'Tetrahydrofuran, for HPLC, &gt;=99.9%, inhibitor-free', 'Tetrahydrofuran, inhibitor-free, for HPLC, &gt;=99.9%', 'Tetrahydrofuran, HPLC grade, &gt;=99.9%, inhibitor-free', 'Tetrahydrofuran, non-UV, HPLC grade stabilized with BHT', 'Tetrahydrofuran, biotech. grade, &gt;=99.9%, Inhibitor-free', 'Tetrahydrofuran, for amino acid analysis, without stabilizer', 'Tetrahydrofuran, p.a., 99%, contains 200-300 ppm BHT', 'Tetrahydrofuran solution, contains 20 % (v/v) 1,2-Propanediol', 'Tetrahydrofuran, 99.9%, extra pure, anhydrous, stabilized with BHT', 'Tetrahydrofuran, anhydrous, inhibitor-free, ZerO2(TM), &gt;=99.9%', 'Tetrahydrofuran, AR, contains 250 ppm BHT as stabilizer, 99.5%', 'Tetrahydrofuran, LR, contains 250 ppm BHT as stabilizer, &gt;=99%', 'Tetrahydrofuran, spectrophotometric grade, &gt;=99.5%, inhibitor-free', 'Tetrahydrofuran, ACS reagent, &gt;=99.0%, contains 250 ppm BHT as inhibitor', 'Tetrahydrofuran, anhydrous, &gt;=99.9%, contains 250 ppm BHT as inhibitor', 'Tetrahydrofuran, anhydrous, contains 250 ppm BHT as inhibitor, &gt;=99.9%', 'Tetrahydrofuran, anhydrous, contains 250 ppm BHT as stabilizer, &gt;=99.5%', 'Tetrahydrofuran, UV HPLC spectroscopic, 99.8%, contains 200-300 ppm BHT', 'Tetrahydrofuran, 99.85%, Extra Dry, stabilized, AcroSeal(R), package of 4x25ML bottles', 'Tetrahydrofuran, Pharmaceutical Secondary Standard; Certified Reference Material', 'Tetrahydrofuran, ReagentPlus(R), &gt;=99.0%, contains 250 ppm BHT as inhibitor', 'Tetrahydrofuran, absolute, over molecular sieve (H2O &lt;=0.005%), contains ~0.025% 2,6-di-tert-butyl-4-methylphenol as stabilizer, &gt;=99.5% (GC)', 'Tetrahydrofuran, contains 250 ppm BHT as inhibitor, puriss. p.a., ACS reagent, Reag. Ph. Eur., &gt;=99.9%', 'Tetrahydrofuran, Vetec(TM) reagent grade, anhydrous, contains 100 ppm BHT as inhibitor, &gt;=99.8%']</t>
  </si>
  <si>
    <t>Compound(8028)</t>
  </si>
  <si>
    <t>Debris</t>
  </si>
  <si>
    <t>Pulse</t>
  </si>
  <si>
    <t>Pulse volume</t>
  </si>
  <si>
    <t>protactinium-230</t>
  </si>
  <si>
    <t>['Protactinium-230', '15766-10-6', 'Protactinium, isotope of mass 230', '230Pa', '(~230~Pa)Protactinium', 'DTXSID00935767']</t>
  </si>
  <si>
    <t>Compound(177681)</t>
  </si>
  <si>
    <t>protactinium-231</t>
  </si>
  <si>
    <t>['Protactinium-231', '14331-85-2', 'Protactinium, isotope of mass 231', '(~231~Pa)Protactinium', '231Pa', 'DTXSID10931811']</t>
  </si>
  <si>
    <t>Compound(105147)</t>
  </si>
  <si>
    <t>protactinium-233</t>
  </si>
  <si>
    <t>['protactinium-233', '13981-14-1', 'Protactinium, isotope of mass 233', '(~233~Pa)Protactinium', '233pa', 'DTXSID70930603']</t>
  </si>
  <si>
    <t>Compound(115129)</t>
  </si>
  <si>
    <t>lead 210</t>
  </si>
  <si>
    <t>lead-210</t>
  </si>
  <si>
    <t>['LEAD-210', 'Lead, isotope of mass 210', '14255-04-0', '210Pb', 'Radium D', 'DTXSID4065739', 'Q18888057']</t>
  </si>
  <si>
    <t>Compound(6328175)</t>
  </si>
  <si>
    <t>lead 211</t>
  </si>
  <si>
    <t>lead-211</t>
  </si>
  <si>
    <t>['Lead-211', 'Actinium B', 'Lead, isotope of mass 211', '211Pb', 'Pb-211', '15816-77-0']</t>
  </si>
  <si>
    <t>Compound(6337094)</t>
  </si>
  <si>
    <t>lead 212</t>
  </si>
  <si>
    <t>lead-212</t>
  </si>
  <si>
    <t>['Lead-212', 'Thorium B', 'Lead, isotope of mass 212', '212Pb', 'Pb 212', 'Pb-212', '15092-94-1']</t>
  </si>
  <si>
    <t>Compound(6335491)</t>
  </si>
  <si>
    <t>lead 214</t>
  </si>
  <si>
    <t>lead-214</t>
  </si>
  <si>
    <t>['Lead-214', 'Lead, isotope of mass 214', '214Pb', 'Radium B', '15067-28-4']</t>
  </si>
  <si>
    <t>Compound(6328551)</t>
  </si>
  <si>
    <t>palladium-103</t>
  </si>
  <si>
    <t>['Palladium-103', 'Palladium Pd-103', 'UNII-68QTV136DF', '68QTV136DF', 'Palladium PD 103', 'Palladium, isotope of mass 103', 'Pd 103', '14967-68-1', 'DB15016', 'Q1974171']</t>
  </si>
  <si>
    <t>Compound(9793711)</t>
  </si>
  <si>
    <t>perylene</t>
  </si>
  <si>
    <t>['PERYLENE', '198-55-0', 'peri-Dinaphthalene', 'Perilene', 'Dibenz[de,kl]anthracene', 'alpha-Perylene', 'Perylen', 'Dibenz(de,kl)anthracene', 'UNII-5QD5427UN7', 'CCRIS 1231', 'HSDB 6767', 'NSC 6512', 'EINECS 205-900-9', '5QD5427UN7', 'MFCD00004142', 'Perylene, 99+%', 'P-2100', 'Perylen;perylene', '.alpha.-Perylene', 'Perylene, &gt;=99%', 'Perylene, analytical standard', 'CHEMBL4296691', 'DTXSID4047753', 'CHEBI:29861', 'CTK0H4918', 'KS-00000UJA', 'NSC6512', 'NSC-6512', 'ZINC1693568', 'ANW-23830', 'SBB061396', 'Perylene 10 microg/mL in Cyclohexane', 'AKOS003617771', 'Perylene, sublimed grade, &gt;=99.5%', 'MCULE-4255418936', 'Perylene 10 microg/mL in Acetonitrile', 'AS-17363', 'CC-33594', 'SC-80601', 'U738', 'BB0295865', 'DB-045012', 'LS-102498', 'Perylene 2000 microg/mL in Dichloromethane', 'FT-0631865', 'NS00007842', 'P0078', 'P1629', 'ST45022189', '7759-EP2275401A1', '7759-EP2275409A1', '7759-EP2275469A1', '7759-EP2276085A1', '7759-EP2281563A1', '7759-EP2284165A1', '7759-EP2287940A1', '7759-EP2289965A1', '7759-EP2292586A2', '7759-EP2292601A1', '7759-EP2292604A2', '7759-EP2295421A1', '7759-EP2298741A1', '7759-EP2298753A1', '7759-EP2298770A1', '7759-EP2298774A1', '7759-EP2298828A1', '7759-EP2301921A1', '7759-EP2301926A1', '7759-EP2301983A1', '7759-EP2305769A2', '7759-EP2308848A1', '7759-EP2309584A1', '7759-EP2311826A2', '7759-EP2314558A1', '7759-EP2315303A1', '7759-EP2315502A1', '7759-EP2316459A1', '7759-EP2316905A1', '7759-EP2316906A2', '7759-EP2371810A1', '7759-EP2371812A1', '7759-EP2372804A1', '7759-EP2378585A1', 'C19497', '198P550', 'A814009', 'C-15589', 'Q417674', 'F0123-0004']</t>
  </si>
  <si>
    <t>Compound(9142)</t>
  </si>
  <si>
    <t>(pentabromophenyl) methyl acrylate</t>
  </si>
  <si>
    <t>(2,3,4,5,6-pentabromophenyl)methyl prop-2-enoate</t>
  </si>
  <si>
    <t>['59447-55-1', '(Pentabromophenyl)methyl acrylate', '2-Propenoic acid, (pentabromophenyl)methyl ester', '59447-57-3', '2-Propenoic acid, (2,3,4,5,6-pentabromophenyl)methyl ester', '2-Propenoic acid, (pentabromophenyl)methyl ester, homopolymer', '2-Propenoic acid, (2,3,4,5,6-pentabromophenyl)methyl ester, homopolymer', 'SCHEMBL251363', '(2,3,4,5,6-pentabromophenyl)methyl prop-2-enoate', '(Perbromophenyl)methyl acrylate', 'Pentabromobenzyl acrylate, 98%', 'DTXSID9052719', 'Acrylic Acid Pentabromobenzyl Ester', 'EINECS 261-767-7', 'AKOS015913193', 'ZINC100654360', 'NS00009134', 'P1877', 'EC 261-767-7', 'Acrylic acid=2,3,4,5,6-pentabromobenzyl ester']</t>
  </si>
  <si>
    <t>Compound(101059)</t>
  </si>
  <si>
    <t>C10H5Br5O2</t>
  </si>
  <si>
    <t>pentaethylene hexamine</t>
  </si>
  <si>
    <t>N'-[2-[2-[2-(2-aminoethylamino)ethylamino]ethylamino]ethyl]ethane-1,2-diamine</t>
  </si>
  <si>
    <t>['PENTAETHYLENEHEXAMINE', '4067-16-7', 'PEHA', '3,6,9,12-Tetraazatetradecane-1,14-diamine', '3,6,9,12-Tetraazatetradecamethylenediamine', "N1,N1'-(Ethane-1,2-diyl)bis(N2-(2-aminoethyl)ethane-1,2-diamine)", 'UNII-9K5VZU43LE', 'CCRIS 6264', 'EINECS 223-775-9', 'BRN 1768042', '9K5VZU43LE', 'W-109943', 'Pentaethylenexamine', 'pentaethylene hexamine', 'ACMC-209u0m', 'EC 223-775-9', 'SCHEMBL26707', 'CHEMBL65184', 'DTXSID7025843', 'CTK1D7223', 'KS-00000ULV', 'STR02872', 'ANW-43172', 'LS-110', 'ZINC22465713', 'Pentaethylenehexamine, technical grade', 'AKOS024462522', "N'-[2-[2-[2-(2-aminoethylamino)ethylamino]ethylamino]ethyl]ethane-1,2-diamine", 'AK161733', 'CC-33539', 'DB-026856', 'FT-0635115', 'NS00007677', 'P0622', '1,14-diamino-3,6,9,12-tetraazatetradecane', 'C-31297', 'Q27272660', 'N1,N1-(Ethane-1,2-diyl)bis(N2-(2-aminoethyl)ethane-1,2-diamine)', "N1,N1'-(Ethane-1,2-diyl);bis(N2-(2-aminoethyl);ethane-1,2-diamine);", 'Pentaethylenehexamine;3,6,9,12-tetraazatetradecane-1,14-diamine acetate']</t>
  </si>
  <si>
    <t>Compound(19990)</t>
  </si>
  <si>
    <t>C10H28N6</t>
  </si>
  <si>
    <t>pentachloroaniline</t>
  </si>
  <si>
    <t>2,3,4,5,6-pentachloroaniline</t>
  </si>
  <si>
    <t>['PENTACHLOROANILINE', '2,3,4,5,6-Pentachloroaniline', '527-20-8', 'Benzenamine, 2,3,4,5,6-pentachloro-', 'Pentachloroaminobenzene', 'PCA (VAN)', 'UNII-UW5QVL647I', '2,3,4,5,6-Pentachlorobenzenamine', 'Aniline, 2,3,4,5,6-pentachloro-', 'HSDB 2693', 'EINECS 208-410-3', 'NSC 49579', 'BRN 2806732', 'UW5QVL647I', 'NCGC00163906-02', 'Pentachloranilin', 'pentachlorobenzenamine', 'DSSTox_CID_17584', 'DSSTox_RID_79345', 'DSSTox_GSID_37584', '4-12-00-01287 (Beilstein Handbook Reference)', '2,4,5,6-Pentachloroaniline', 'SCHEMBL1807810', 'CHEMBL1904605', 'DTXSID4037584', '2,4,5,6-Pentachlorobenzenamine', 'Aniline,3,4,5,6-pentachloro-', 'Pentachloranilin;pentachloroaniline', '2,3,4,5,6-pentachlorophenylamine', 'BCP33627', 'NSC49579', 'ZINC1681451', 'Benzenamine,3,4,5,6-pentachloro-', 'Tox21_400021', 'MFCD00014769', 'NSC-49579', 'AKOS015890361', 'MCULE-1826261537', 'KS-000010M9', 'NCGC00163906-01', 'NCGC00163906-03', 'CAS-527-20-8', 'LS-19942', 'AM20040633', 'FT-0602160', 'NS00002067', 'P0917', 'ST50408979', 'Y9344', 'Benzenamine, 2,3,4,5,6-pentachloro- (9CI)', 'Pentachloroaniline 10 microg/mL in Cyclohexane', 'Pentachloroaniline 100 microg/mL in Cyclohexane', '527P208', '2,3,4,5,6-Pentachloroaniline;Pentachloroaminobenzene', 'Pentachloroaniline, PESTANAL(R), analytical standard', 'Q27291304']</t>
  </si>
  <si>
    <t>Compound(10693)</t>
  </si>
  <si>
    <t>C6H2Cl5N</t>
  </si>
  <si>
    <t>pentachlorobenzene</t>
  </si>
  <si>
    <t>1,2,3,4,5-pentachlorobenzene</t>
  </si>
  <si>
    <t>['PENTACHLOROBENZENE', '1,2,3,4,5-Pentachlorobenzene', '608-93-5', 'Benzene, pentachloro-', 'RCRA waste number U183', 'UNII-D62GWO6832', 'CCRIS 5927', 'HSDB 2863', 'NSC 1857', 'EINECS 210-172-0', 'QCB', 'RCRA waste no. U183', 'BRN 1911550', 'CHEBI:47136', '1,2,3,4,5-pentachloro-benzene', 'D62GWO6832', 'Benzene, 1,2,3,4,5-pentachloro-', 'Maybridge1_002436', 'Pentachlorobenzene, 98%', 'DSSTox_CID_4247', 'ACMC-209mn0', 'DSSTox_RID_77341', 'DSSTox_GSID_24247', '4-05-00-00669 (Beilstein Handbook Reference)', 'MLS002454433', '1,3,4,5-Pentachlorobenzene', 'CHEMBL44628', 'DivK1c_001188', 'SCHEMBL183144', 'WLN: GR BG CG DG EG', 'DTXSID7024247', 'HMS548G16', 'NSC1857', 'HMS3039D10', 'NSC-1857', 'ZINC1577058', 'Tox21_303179', 'ANW-33610', 'CCG-56043', 'SBB061398', 'AKOS009031527', 'Pentachlorobenzene, analytical standard', 'AS04636', 'CM10083', 'LS-1449', 'MCULE-2798269916', 'CDS1_000148', 'NCGC00091369-01', 'NCGC00091369-02', 'NCGC00257145-01', 'CAS-608-93-5', 'SMR001372020', 'NS00010703', 'P0730', 'ST51047417', 'EN300-19630', 'C18141', 'Pentachlorobenzene 10 microg/mL in Acetonitrile', 'Pentachlorobenzene 10 microg/mL in Cyclohexane', 'Pentachlorobenzene 100 microg/mL in Cyclohexane', 'Q425468', 'SR-01000645029-1', 'Pentachlorobenzene, PESTANAL(R), analytical standard', 'Pentachlorobenzene, certified reference material, TraceCERT(R)', 'Pentachlorobenzene, Standard for quantitative NMR, TraceCERT(R)', '5CL']</t>
  </si>
  <si>
    <t>Compound(11855)</t>
  </si>
  <si>
    <t>C6HCl5</t>
  </si>
  <si>
    <t>pentachlorobenzenethiol</t>
  </si>
  <si>
    <t>2,3,4,5,6-pentachlorobenzenethiol</t>
  </si>
  <si>
    <t>['PENTACHLOROTHIOPHENOL', '133-49-3', 'Pentachlorobenzenethiol', 'Benzenethiol, pentachloro-', 'PCTP', 'Pentachlorthiofenol', '2,3,4,5,6-Pentachlorobenzenethiol', 'RPA 6', 'USAF B-51', 'Benzenethiol, 2,3,4,5,6-pentachloro-', 'Pentachloro thiophenol', 'Pentachloro-benzenethiol', 'NSC 5578', 'Pentachlorthiofenol [Czech]', 'UNII-92A1Z48VJB', 'HSDB 6124', 'EINECS 205-107-8', 'BRN 1108638', 'AI3-23118', '92A1Z48VJB', 'Q-201540', 'Akrochem Peptizer PTP', 'C6HCl5S', '117-97-5', 'Pentachlorthiophenol', 'PubChem6794', 'Penta-Chloro Thiophenol', 'Pentachloro benzenethiol', 'ACMC-1BRBJ', 'Renacit 7 (Salt/Mix)', 'pentachlorobenzene-1-thiol', 'SCHEMBL48512', '4-06-00-01642 (Beilstein Handbook Reference)', 'DTXSID3044540', 'CTK3J2298', 'NSC5578', 'WLN: SHR BG CG DG EG FG', 'BB_SC-05494', 'KS-000014CI', 'NSC-5578', 'ZINC3875877', 'ZX-AT007036', 'ACM133493', 'ANW-19556', 'BBL028077', 'OR0794', 'STK530289', '2,3,4,5,6-pentachloro-benzenethiol', 'AKOS005463160', 'FCH1320118', 'MCULE-6962967512', '2,3,4,5,6-Pentachlorobenzenethiol #', 'AC-11106', 'LS-32195', 'M803', 'Pentachlorothiophenol, analytical standard', 'SC-46180', 'VS-08658', 'DB-042184', 'FT-0631773', 'NS00005238', 'P0312', 'K-4195', 'C-42369', 'Q1754155', 'pentachlorobenzenethiol;Benzenethiol, pentachloro-;pentachlorothiophenol']</t>
  </si>
  <si>
    <t>Compound(8620)</t>
  </si>
  <si>
    <t>C6HCl5S</t>
  </si>
  <si>
    <t>pentachloroethane</t>
  </si>
  <si>
    <t>1,1,1,2,2-pentachloroethane</t>
  </si>
  <si>
    <t>['PENTACHLOROETHANE', '1,1,1,2,2-Pentachloroethane', '76-01-7', 'Pentalin', 'Ethane, pentachloro-', 'Ethane pentachloride', 'Pentacloroetano', 'Pentachloraethan', 'Pentachlorethane', 'Pentachloorethaan', 'RCRA waste number U184', 'Caswell No. 639B', 'UNII-QOJ9TH7LDL', 'Pentachloorethaan [Dutch]', 'Pentachloraethan [German]', 'Pentachlorethane [French]', 'Pentacloroetano [Italian]', 'NCI-C53894', 'EINECS 200-925-1', 'ethane, 1,1,1,2,2-pentachloro-', 'CCRIS 494', 'CHCl2CCl3', 'HSDB 2034', '1,1,1,2,2-Pentachloro-ethane', 'QOJ9TH7LDL', 'UN1669', 'RCRA waste no. U184', 'EPA Pesticide Chemical Code 598300', 'BRN 1736845', 'CHEBI:76287', 'C2HCl5', 'Pentaline', 'CCl3CHCl2', 'Cl3CCHCl2', 'Pentachloroethane, 95%', 'Pentachloroethane solution', 'ACMC-1BQ5V', 'DSSTox_CID_1104', 'SCHEMBL4728', 'DSSTox_RID_75943', 'DSSTox_GSID_21104', '4-01-00-00147 (Beilstein Handbook Reference)', 'CHEMBL350040', 'DTXSID7021104', 'CTK3J2238', 'pentachloroethane;Pentachloroethane', '1,1,1,2,2-Pentachloroethane #', 'Tox21_201141', '6885AF', 'ANW-13592', 'MFCD00000846', 'SBB061236', 'STL280308', 'ZINC40454302', 'Pentachloroethane, analytical standard', 'AKOS015848786', '1,1,1,2,2-pentakis(chloranyl)ethane', 'LS-1687', 'MCULE-1196829646', 'Pentachloroethane [UN1669] [Poison]', 'UN 1669', 'CAS-76-01-7', 'NCGC00248935-01', 'NCGC00258693-01', 'Pentachloroethane [UN1669]  [Poison]', 'FT-0654200', 'NS00020348', 'P0031', 'ST51047280', 'Pentachloroethane 2000 microg/mL in Methanol', 'C19496', 'A838584', 'HALOGENATED ETHANES CS (PENTACHLOROETHANE)', 'Pentachloroethane, PESTANAL(R), analytical standard', 'Q4348652', 'PENTACHLOROETHANE (SEE ALSO HALOGENATED ETHANES CS (PENTACHLOROETHANE))']</t>
  </si>
  <si>
    <t>Compound(6419)</t>
  </si>
  <si>
    <t>C2HCl5</t>
  </si>
  <si>
    <t>pentachlorophenol</t>
  </si>
  <si>
    <t>2,3,4,5,6-pentachlorophenol</t>
  </si>
  <si>
    <t>['pentachlorophenol', '2,3,4,5,6-Pentachlorophenol', '87-86-5', 'Chlorophen', 'Lauxtol', 'Permite', 'Pentachlorophenate', 'Dowicide 7', 'Fungifen', 'Liroprem', 'Penchlorol', 'Pentacon', 'Permacide', 'Permagard', 'Permasan', 'Santophen', 'Sinituho', 'Durotox', 'Penwar', 'Peratox', 'Glazd penta', 'Grundier arbezol', 'Penta-Kil', 'Term-i-trol', 'Chem-Tol', 'PENTA', 'Phenol, pentachloro-', 'Santophen 20', 'Pentachlorphenol', 'Preventol P', "Thompson's wood fix", 'PCP (pesticide)', 'Chlon', 'Pentachlorofenol', 'Permatox penta', 'Lauxtol A', 'Dowicide EC-7', 'Santobrite', 'Pentaclorofenolo', 'Penta ready', 'Penta wr', 'Woodtreat A', 'Chem-Penta', 'Witophen P', 'Dura Treet II', 'Pol Nu', 'Permatox DP-2', 'Priltox', 'Pentachloorfenol', 'Penta Concentrate', 'Pentachlorophenol, dp-2', 'Pole topper fluid', 'Dowcide 7', 'Rcra waste number U242', '1-Hydroxypentachlorobenzene', 'NCI-C54933', 'NCI-C55378', 'Ontrack WE Herbicide', 'Caswell No. 641', 'Weed and Brush Killer', 'EP 30 (pesticide)', 'Osmoplastic', 'Forepen', 'Permatox', 'cryptogil oil', 'Dowicide 7 Antimicrobial', 'Pentachloorfenol [Dutch]', 'Dow pentachlorophenol DP-2 antimicrobial', 'Pentachlorphenol [German]', 'UNII-D9BSU0SE4T', 'Dura-Treet', 'EP 30', 'NCI-C56655', '1-Hydroxy-2,3,4,5,6-pentachlorobenzene', 'Pentachlorophenol, purified', 'Pentaclorofenolo [Italian]', 'pentachloro-Phenol', 'Watershed Wood Preservative', 'Pentachlorophenol, technical', 'Forpen-50 Wood Preservative', 'Pentachlorophenol [BSI:ISO]', 'Pol-NU', 'CCRIS 1663', 'HSDB 894', 'Osmose Wood Preserving Compound', 'Pentachlorophenol pure', 'Pentachlorophenol, dowicide ec-7', 'AD 73', 'EINECS 201-778-6', 'Ortho Triox Liquid Vegetation Killer', 'CM 613', 'MB 333', 'Phenol, 2,3,4,5,6-pentachloro-', 'UN3155', 'D9BSU0SE4T', 'RCRA waste no. U242', 'EPA Pesticide Chemical Code 063001', 'NSC 263497', 'CP 1309', 'BRN 1285380', 'Oz-88', 'AI3-00134', 'CHEBI:17642', '2,3,4,5,6-Pentachlorophenol (Dowicide EC-7)', 'NSC40792', 'Pentachloorfenol (DUTCH)', 'DSSTox_CID_1106', 'Pentachlorphenol (GERMAN)', '2,3,4,5,6-Pentachlorophenol, technical grade', 'Pentaclorofenolo (ITALIAN)', 'DSSTox_RID_75945', 'DSSTox_GSID_21106', 'Pentachlorophenol [Polychlorophenols and their sodium salts]', 'Pentachlorophenol, analytical standard', 'CAS-87-86-5', 'SMR000471858', 'Pentachlorophenol (PCP)', 'Perchlorophenol', 'Satophen', 'Acutox', 'lauxt ol', '4rpn', 'Chlorophenasic acid', 'PKhF', 'Pkhfn (Salt/Mix)', 'Penton 70', 'pentachlorophenol dp-2', 'Spectrum_001893', '1y4z', 'Santobrite (Salt/Mix)', 'SpecPlus_000514', 'PCP / Pentachlorophenol', 'Pentachlorophenol, 97%', 'Dowicide G (Salt/Mix)', 'Spectrum2_001870', 'Spectrum3_000847', 'Spectrum4_000687', 'Spectrum5_002010', 'Preventol PN (Salt/Mix)', 'bmse000697', 'Phenol, pentachloro-, pure', 'SCHEMBL1492', '2,4,5,6-Pentachlorophenol', 'BSPBio_002433', 'KBioGR_001153', 'KBioSS_002423', 'SPECTRUM330056', 'MLS001066359', 'MLS002454435', 'BIDD:ER0651', 'CHEMBL75967', 'DivK1c_006610', 'SPBio_001720', 'SGCUT00104', 'DTXSID7021106', 'BDBM92749', 'KBio1_001554', 'KBio2_002417', 'KBio2_004985', 'KBio2_007553', 'KBio3_001933', 'WLN: QR BG CG DG EG FG', '2, 3,4,5,6-Pentachlorophenol', '2,3,4,5,6-Pentachloro-Phenol', 'HMS2232I10', 'HMS3373L22', 'LS-14', 'NCI-C55389', 'to_000075', 'ZINC1529471', 'Tox21_202131', 'Tox21_300023', '3998AC', 'CCG-39355', 'NSC263497', 'AKOS001075639', 'MCULE-1979998413', 'NSC-263497', 'Pentachlorophenol [UN3155] [Poison]', '1-Hydroxy-2,4,5,6-pentachlorobenzene', 'QTL1_000066', 'NCGC00091143-01', 'NCGC00091143-02', 'NCGC00091143-03', 'NCGC00091143-04', 'NCGC00091143-05', 'NCGC00091143-06', 'NCGC00091143-07', 'NCGC00253977-01', 'NCGC00259680-01', 'Pentachlorophenol [UN3155]  [Poison]', 'AC-11105', 'NCI60_003902', 'Pentachlorophenol 10 microg/mL in Methanol', 'NS00009449', 'P0033', 'Pentachlorophenol 100 microg/mL in Methanol', 'EN300-18735', 'Pentachlorophenol 10 microg/mL in Cyclohexane', 'Pentachlorophenol 1000 microg/mL in Methanol', '2646-EP2298313A1', 'C02575', 'Pentachlorophenol 10 microg/mL in Acetonitrile', '33410-EP2275404A1', '33410-EP2305662A1', '33410-EP2311815A1', 'Pentachlorophenol 100 microg/mL in Acetonitrile', '2,3,4,5,6-Pentachlorophenol (ACD/Name 4.0)', 'Q423922', 'W-104003', 'BRD-K50711164-001-02-4', 'BRD-K50711164-001-07-3', 'Z90121614', 'UNII-AZ1041M258 component IZUPBVBPLAPZRR-UHFFFAOYSA-N', 'TRANSGENIC LECM (PENTACHLOROPHENOL) (SEE ALSOPENTACHLOROPHENOL)', 'Pentachlorophenol solution, 100 mug/mL in methanol, PESTANAL(R), analytical standard', 'Pentachlorophenol solution, certified reference material, 500 mug/mL in methanol', 'Pentachlorophenol solution, certified reference material, 5000 mug/mL in methanol']</t>
  </si>
  <si>
    <t>Compound(992)</t>
  </si>
  <si>
    <t>C6HCl5O</t>
  </si>
  <si>
    <t>pentachloronaphthalene</t>
  </si>
  <si>
    <t>1,2,4,5,7-pentachloronaphthalene</t>
  </si>
  <si>
    <t>['1,2,4,5,7-Pentachloronaphthalene', '150224-19-4', 'Naphthalene, 1,2,4,5,7-pentachloro', '1321-64-8', 'Naphthalene, 1,2,4,5,7-pentachloro-', 'ACMC-20n5xn', 'Naphthalene, pentachloro-', 'PCN-58', 'CTK0I3331', 'DTXSID70164502']</t>
  </si>
  <si>
    <t>Compound(114760)</t>
  </si>
  <si>
    <t>C10H3Cl5</t>
  </si>
  <si>
    <t>pentachloroanisole</t>
  </si>
  <si>
    <t>1,2,3,4,5-pentachloro-6-methoxybenzene</t>
  </si>
  <si>
    <t>['PENTACHLOROANISOLE', '1825-21-4', 'Benzene, pentachloromethoxy-', '1,2,3,4,5-Pentachloro-6-methoxybenzene', 'Pentachlorophenyl methyl ether', 'Pentachloranisole', 'Pentachloromethoxybenzene', 'Methyl pentachlorophenate', 'Methyl pentachlorophenyl ester', 'Methyl pentachlorophenyl ether', 'Anisole, 2,3,4,5,6-pentachloro-', 'Ether, methyl pentachlorophenyl', '2,3,4,5,6-Pentachloroanisole', 'NCI-C56520', 'UNII-14D125MH3W', 'CCRIS 2119', 'HSDB 4218', 'BRN 2052667', 'AI3-15752', 'Benzene, 1,2,3,4,5-pentachloro-6-methoxy-', '14D125MH3W', 'DSSTox_CID_1103', 'DSSTox_RID_75942', 'DSSTox_GSID_21103', 'CAS-1825-21-4', 'pentachloranisol', 'PCP methyl ether', 'PCP, Methyl ether', 'Pentachlorophenol methyl ester', '4-06-00-01027 (Beilstein Handbook Reference)', '2,4,5,6-Pentachloroanisole', 'SCHEMBL301807', 'CHEMBL3182755', 'DTXSID2021103', 'Anisole,3,4,5,6-pentachloro-', 'CTK3J1961', 'Phenol, pentachloro-, methylated', 'LS-37', 'WLN: GR BG CG DG EG FO1', 'ZINC1726277', 'Benzene, pentachloromethoxy- (9CI)', 'Tox21_201560', 'Tox21_302835', 'NSC141502', 'AKOS015888397', 'MCULE-9562680705', 'NSC-141502', 'NCGC00249070-01', 'NCGC00256549-01', 'NCGC00259109-01', 'AS-64836', '1,2,3,4,5-Pentachloro-6-methoxy-benzene', '1,2,3,4,5-Pentachloro-6-methoxybenzene #', 'NS00004402', 'Pentachloroanisole 200 microg/mL in n-Hexane', 'Pentachloroanisole 10 microg/mL in Cyclohexane', 'J-011680', 'Q27251610', 'pentachloroanisole;Pentachloranisol;2,3,4,5,6-Pentachloroanisole']</t>
  </si>
  <si>
    <t>Compound(15767)</t>
  </si>
  <si>
    <t>C7H3Cl5O</t>
  </si>
  <si>
    <t>pentaerythritol tetranitrate (PETN)</t>
  </si>
  <si>
    <t>[3-nitrooxy-2,2-bis(nitrooxymethyl)propyl] nitrate</t>
  </si>
  <si>
    <t>['PENTAERYTHRITOL TETRANITRATE', 'PETN', 'Nitropentaerythrite', 'Penthrite', 'Nitropentaerythritol', 'Pentaerithrityl tetranitrate', 'Nitropenta', 'Pentanitrine', 'Pentanitrol', 'Vasodiatol', 'Angicap', 'Baritrate', 'Corpent', 'Penthrit', 'Peritrate', 'Perityl', 'Quintrate', 'Antora', 'Erinit', '78-11-5', 'Peridex-LA', 'Pentaerythrityl tetranitrate', 'Deltrate-20', 'Neopentanetetrayl nitrate', 'Arcotrate', 'Cardiacap', 'Dipentrate', 'Duotrate', 'Hasethrol', 'Kaytrate', 'Lowetrate', 'Metranil', 'Mycardol', 'Niperyth', 'Nitrinal', 'Nitrolong', 'Nitropent', 'Nitropenton', 'Nitrotalans', 'Pentafin', 'Pentitrate', 'Pentrate', 'Pentrite', 'Pentritol', 'Pentryate', 'Pergitral', 'Prevangor', 'Rythritol', 'Subicard', 'Tanipent', 'Tetrasule', 'Angitet', 'Lentrat', 'Niperyt', 'Pencard', 'Terpate', 'Vasolat', 'Extex', 'CHOT', 'PENT', 'Nitro-Riletten', 'Neo-Corovas', 'Pen-Tetra', 'Nitropenta 7W', 'Tetranitropentaerythrite', 'Pentritol tempules', 'Tranite D-Lay', 'Pentestan-80', 'Dilcoran-80', 'Martrate-45', 'Myotrate 10', 'Tentrate-20', 'Pentral 80', 'C 2 (explosive)', 'Pentetrate Unicelles', 'Pentaerythrite tetranitrate', 'Pentanitrolum', 'Erynitum', 'Mikardol', 'Nitrinol', 'Pentarit', 'Pentriol', 'Vasitol', 'Tetranitropentaerythritol', 'Pentaerythritylium tetranitricum', 'Pentryate 80', '1,3-Dinitrato-2,2-bis(nitratomethyl)propane', 'Deltrate 20', 'Dilcoran 80', 'Martrate 45', 'Vaso-80 unicelies', 'El PETN', 'Pentaerythritol nitrate', 'LX 16 (explosive)', '2,2-Bis(hydroxymethyl)-1,3-propanediol tetranitrate', 'Vaso-80', 'Pentaerithrityli tetranitras', 'XTX 8003', 'Pentaerythritol, tetranitrate', 'UNII-10L39TRG1Z', 'SDM No. 23', 'Tetranitrato de pentaeritritilo', 'CCRIS 2387', 'PBXN 301', 'Tetranitrate de pentaerithrityle', 'Tetranitrate de pentaerythrityle', '1,3-Propanediol, 2,2-bis[(nitrooxy)methyl]-, dinitrate (ester)', 'HSDB 6313', 'LX 13', 'NCI-C55743', 'Pentaeritrile tetranitrato [DCIT]', 'PETN, NF', 'EINECS 201-084-3', 'Pentaerythritol tetranitrate, diluted', 'NA0150', 'UN0411', 'LX 02-1', 'LX 08-0', '2,2-Bisdihydroxymethyl-1,3-propanediol tetranitrate', 'BRN 1716886', 'Pentaerithrityli tetranitras [INN-Latin]', '10L39TRG1Z', 'CHEBI:25879', 'Tetranitrate de pentaerithrityle [INN-French]', 'Tetranitrato de pentaeritritilo [INN-Spanish]', '1,3-Propanediol, 2,2-bis((nitrooxy)methyl)-, dinitrate (ester)', 'NCGC00159388-02', 'Pentaerythritol tetranitrate with 80% d-lactose monohydrate', '2,2-Bis((nitrooxy)methyl)-1,3-propanediol dinitrate (ester)', 'DSSTox_CID_1109', 'Pentaerythrite tetranitrate (dry) [Forbidden]', 'DSSTox_RID_77024', 'DSSTox_GSID_23430', '2,2-bis((nitrooxy)methyl)-1,3-propanediol dinitrate', '3-(nitrooxy)-2,2-bis[(nitrooxy)methyl]propyl nitrate', '2,2-bis((nitrooxy)methyl)-1,3-propanediol dinitrate ester', 'Pentaerythrite tetranitrate, with not &lt; 7% water, by mass', '1,3-Propanediol, 2,2-bis((nitrooxy)methyl)-, 1,3-dinitrate', '2,2-Bis[(nitrooxy)methyl]-1,3-propanediol dinitrate (ester)', 'Pentaerithrityl tetranitrate (INN)', 'Pentaerithrityl tetranitrate [INN]', 'CAS-78-11-5', 'Pentaerythrite tetranitrate, wetted with not &lt; 25% water, by mass or desensitized with not &lt; 15% phlegmatizer, by mass', 'TEN [Vasodilator]', 'Myotrate "10"', 'Pentaeritrile tetranitrato', 'Pentafilin', 'Pentalong', 'Pentrinat', '1,3-Propanediol, 2,2-bis[(nitrooxy)methyl]-, 1,3-dinitrate', 'C5H8N4O12', 'delt rate-20', '[3-nitrooxy-2,2-bis(nitrooxymethyl)propyl] nitrate', 'Vaso-80 Unicelles', 'Miltrate (Salt/Mix)', 'Pentaerythritol tetranitrate [BAN:JAN]', 'Pentaerythritol tetranitrate [USP:JAN]', 'Pentritol tempules (TN)', 'Pentaerithritol tetranitrate', 'EC 201-084-3', 'SCHEMBL37177', '4-01-00-02816 (Beilstein Handbook Reference)', 'Ex187', 'SDM No. 23 (Salt/Mix)', 'SDM No. 35 (Salt/Mix)', 'CHEMBL466659', 'P.E.T.N.', 'DTXSID2023430', 'Pentaerythrite tetranitrate (dry)', 'LS-70', 'Pentaerythritol tetranitrate (JAN)', 'ZINC8101167', 'Tox21_111624', 'Tox21_301747', 'c0051', 'DB06154', 'NCGC00159388-03', 'NCGC00159388-04', 'NCGC00159388-05', 'NCGC00255290-01', 'Nitropenta 10 microg/mL in Acetonitrile', 'NS00003407', 'D01721', 'C-46272', 'Q189334', '2,2-Bis(hydroxy-methyl)-1,3-propanediol tetranitrate', 'pentaerithrityl tetranitrate;Pentaerythritol, tetranitrate', '1,3-Propanediol, 2,2-bis[(nitrooxy)methyl]-, dinitrate', '1,3-Propanediol, 2,2-bis[(nitrooxy)methyl]-, dinitrate   (ester)', 'Pentaerythrite tetranitrate or pentaerythritol tetranitrate or PETN, wetted with not &lt;25% water, by mass or pentaerythrite tetranitrate or pentaerythritol tetranitrate or PETN, desensitized with not &lt;15% phlegmatizer by mass', 'Pentaerythrite tetranitrate or pentaerythritol tetranitrate or PETN, wetted with not &lt;25% water, by mass or pentaerythrite tetranitrate or pentaerythritol tetranitrate or PETN, desensitized with not &lt;15% phlegmatizer by mass [NA0150]  [Explosive 1.1A]', 'Pentaerythrite tetranitrate or pentaerythritol tetranitrate or PETN, wetted with not &lt;25% water, by mass or pentaerythrite tetranitrate or pentaerythritol tetranitrate or PETN, desensitized with not &lt;15% phlegmatizer by mass [NA0150] [Explosive 1.1A]', 'Pentaerythrite tetranitrate or pentaerythritol tetranitrate or PETN, with not &lt;7% wax by mass', 'Pentaerythrite tetranitrate or pentaerythritol tetranitrate or PETN, with not &lt;7% wax by mass [UN0411]  [Explosive 1.1D]', 'Pentaerythrite tetranitrate or pentaerythritol tetranitrate or PETN, with not &lt;7% wax by mass [UN0411] [Explosive 1.1D]', 'Pentaerythritol tetranitrate solution, 10 mg/mL in acetonitrile, ampule of 5 mL, certified reference material', 'Pentaerythritol tetranitrate solution, 1000 mug/mL in acetonitrile, ampule of 1 mL, certified reference material']</t>
  </si>
  <si>
    <t>Compound(6518)</t>
  </si>
  <si>
    <t>C5H8N4O12</t>
  </si>
  <si>
    <t>1-methoxy-2-[2-[2-[2-(2-methoxyethoxy)ethoxy]ethoxy]ethoxy]ethane</t>
  </si>
  <si>
    <t>['2,5,8,11,14,17-Hexaoxaoctadecane', '1191-87-3', 'pentaglyme', 'Pentaethyleneglycol dimethyl ether', '1-(2-METHOXY-ETHOXY)-2-{2-[2-(2-METHOXY-ETHOXY]-ETHOXY}-ETHANE', '1,14-dimethoxy-3,6,9,12-tetraoxa-tetradecane', 'EINECS 214-743-5', 'SCHEMBL124091', 'CHEBI:44934', 'CTK0H5221', 'DTXSID80152319', 'KS-000001KY', 'ZINC4530388', '1-methoxy-2-[2-[2-[2-(2-methoxyethoxy)ethoxy]ethoxy]ethoxy]ethane', '2,8,11,14,17-Hexaoxaoctadecane', 'NSC244990', 'AKOS025396478', 'DB02580', 'NSC-244990', 'NS00041929', 'Pentaethylene glycol dimethyl ether (Pentaglyme)', 'Q27093554']</t>
  </si>
  <si>
    <t>Compound(70931)</t>
  </si>
  <si>
    <t>C12H26O6</t>
  </si>
  <si>
    <t>pentanochlorine</t>
  </si>
  <si>
    <t>N-(3-chloro-4-methylphenyl)-2-methylpentanamide</t>
  </si>
  <si>
    <t>['Pentanochlor', 'N-(3-Chloro-4-methylphenyl)-2-methylpentanamide', 'Solane', 'Chlorpentan', 'Pentachlore', 'Dakuron', 'Hortox', '2307-68-8', 'Dutom', 'CMMP', 'SOLAN', 'Pentanochlore', 'Niagara 4512', 'Caswell No. 800', "p-Valerotoluidide, 3'-chloro-2-methyl-", 'Pentanochlor [BSI:ISO]', 'FMC 4512', 'Pentanamide, N-(3-chloro-4-methylphenyl)-2-methyl-', 'Pentanochlore [ISO-French]', "3'-Chloro-2-methyl-p-valerotoluidide", 'EINECS 218-988-9', 'EPA Pesticide Chemical Code 020901', 'BRN 2722779', 'N-(3-Chloro-p-tolyl)-2-methylvaleramide', 'N-(3-Chlor-methylphenyl)-2-methylpentanamid', 'N-(3-Chloro-4-methylphenyl)-2-methylpentamide', 'N-(3-Chlor-methylphenyl)-2-methylpentanamid [German]', 'N-(3- Chloro-4-methylphenyl)-2-methylpentanamide', 'Croptex bronze', 'Solan (Herbicide)', 'Hortox; Dutom; Solane', 'SCHEMBL65512', 'DTXSID3042265', 'CHEBI:82030', "3'Chloro-2-methyl-p-valerotoluidide", 'STK089548', 'AKOS003282707', 'MCULE-5912043887', 'NCGC00160659-01', 'ST043946', 'LS-161249', 'NS00015482', '(3-Chloro-4-(methylphenyl))-2-methylpentamide', 'C18882', 'N~1~-(3-chloro-4-methylphenyl)-2-methylpentanamide', 'Q22808508', 'Pentanochlor solution, 100 mug/mL in acetonitrile, PESTANAL(R), analytical standard']</t>
  </si>
  <si>
    <t>Compound(16826)</t>
  </si>
  <si>
    <t>C13H18ClNO</t>
  </si>
  <si>
    <t>['Polonium-210', 'Polonium, isotope of mass 210', 'UNII-QJW5366Y3Q', '13981-52-7', 'QJW5366Y3Q', '210-Polonium', 'Polonium 210', '210Po', '210-Po', 'Po-210', 'Radium F', 'polonium-210 atom', 'CHEBI:37340', 'DTXSID101009345', '(210)Po', '(210)84Po', 'Q3395430']</t>
  </si>
  <si>
    <t>Compound(6328544)</t>
  </si>
  <si>
    <t>phosphorus organic</t>
  </si>
  <si>
    <t>phosphorus total</t>
  </si>
  <si>
    <t>Ratio Phosphorus Total / Iron</t>
  </si>
  <si>
    <t>Total phosphorus / phosphate ratio</t>
  </si>
  <si>
    <t>plutonium-237</t>
  </si>
  <si>
    <t>['15411-93-5', 'Plutonium-237', 'Plutonium, isotope of mass 237', '(~237~Pu)Plutonium', 'DTXSID20934934']</t>
  </si>
  <si>
    <t>Compound(105138)</t>
  </si>
  <si>
    <t>plutonium-238</t>
  </si>
  <si>
    <t>['13981-16-3', 'PLUTONIUM-238', 'Plutonium, isotope of mass 238', '238Pu', 'Plutonium 238', 'DTXSID80891756']</t>
  </si>
  <si>
    <t>Compound(61709)</t>
  </si>
  <si>
    <t>['PLUTONIUM-239', 'UNII-ET2Z8EJJ1X', '15117-48-3', 'Plutonium, isotope of mass 239', 'ET2Z8EJJ1X', '239Pu', 'Plutonium Pu-239', '239-Plutonium', 'Plutonium dioxide239', 'Plutonium 239', 'Plutonium, isotope of mass 239 (239Pu4+)', 'DTXSID90891762', '19257-39-7', 'Q1141329']</t>
  </si>
  <si>
    <t>Compound(61782)</t>
  </si>
  <si>
    <t>plutonium-240</t>
  </si>
  <si>
    <t>['14119-33-6', 'Plutonium-240', 'Plutonium, isotope of mass 240', 'Plutonium 240', '240Pu', 'DTXSID30891761']</t>
  </si>
  <si>
    <t>Compound(104728)</t>
  </si>
  <si>
    <t>pyrene</t>
  </si>
  <si>
    <t>['PYRENE', '129-00-0', 'Benzo[def]phenanthrene', 'Pyren', 'beta-Pyrene', '.beta.-Pyrene', 'Pyren [German]', 'Benzo(def)phenanthrene', 'UNII-9E0T7WFW93', 'CCRIS 1256', 'CHEBI:39106', 'HSDB 4023', 'Pyrene[def]phenanthrene', 'Pyrene, 98%', 'EINECS 204-927-3', 'NSC 17534', 'AI3-23977', '9E0T7WFW93', 'CHEMBL279564', 'Coal tar pitch volatiles:pyrene', 'Coal tar pitch volatiles: pyrene', 'MFCD00004136', 'NCGC00090910-03', 'Pyren(GERMAN)', 'Pyrene sublimed grade', 'PubChem16489', '{Benzo[def]phenanthrene}', 'DSSTox_CID_4289', 'Epitope ID:119715', 'EC 204-927-3', 'Pyrene, analytical standard', 'Pyrene, crystalline, 95%', 'ACMC-1BV77', 'DSSTox_RID_77357', 'DSSTox_GSID_24289', 'Pyrene (ACD/Name 4.0)', 'KSC112E7F', 'BIDD:ER0347', 'Pyrene, sublimed grade, 99%', 'DTXSID3024289', 'HMS3749I11', 'CS-B1735', 'KS-00000H0A', 'NSC17534', 'NSC66449', 'WLN: L666 B6 2AB PJ', 'ZINC1758808', 'Pyrene 10 microg/mL in Cyclohexane', 'Tox21_400063', 'ANW-19101', 'BDBM50214608', 'LS-719', 'NSC-17534', 'NSC-66449', 'Pyrene 10 microg/mL in Acetonitrile', 'SBB041054', 'STL570454', 'AKOS000269680', 'Pyrene 100 microg/mL in Acetonitrile', 'MCULE-9419042273', 'NCGC00090910-01', 'NCGC00090910-02', 'NCGC00090910-04', 'AK132913', 'AS-13613', 'CAS-129-00-0', 'I946', 'SC-47126', 'FT-0622695', 'FT-0674169', 'NS00010701', 'P1104', 'P2072', 'Pyrene, BCR(R) certified Reference Material', 'ST50214713', 'C14335', 'K-4015', 'A805889', 'AB-131/40897138', 'Pyrene, purum, for fluorescence, &gt;=97.0% (GC)', 'Q415723', 'Pyrene, certified reference material, TraceCERT(R)', 'Q-201641', 'Pyrene, puriss. p.a., for fluorescence, &gt;=99.0% (GC)', 'UNII-0TNN3Q0D4D component BBEAQIROQSPTKN-UHFFFAOYSA-N', 'Pyrene, certified reference material, 1000 mug/mL in methanol', '8P0']</t>
  </si>
  <si>
    <t>Compound(31423)</t>
  </si>
  <si>
    <t>Flow rate</t>
  </si>
  <si>
    <t>quatern. ammonium verb. benzyl-C 12-14 alkyldimethyl chloride</t>
  </si>
  <si>
    <t>Characterization of spectrum width from 30-500 mHz</t>
  </si>
  <si>
    <t>1-(2,5-diamino-5-oxopentanoyl)pyrrolidine-2-carboxylic acid</t>
  </si>
  <si>
    <t>['glutaminylproline', 'L-Proline, 1-L-glutaminyl-', 'ACMC-20myt5', 'SCHEMBL5970696', '139370-58-4', 'QP']</t>
  </si>
  <si>
    <t>Compound(21689256)</t>
  </si>
  <si>
    <t>C10H17N3O4</t>
  </si>
  <si>
    <t>(R)-1-phenylethanol</t>
  </si>
  <si>
    <t>(1R)-1-phenylethanol</t>
  </si>
  <si>
    <t>['(R)-1-phenylethanol', '1517-69-7', '(R)-(+)-1-Phenylethanol', '(1R)-1-PHENYLETHANOL', '(R)-alpha-Methylbenzyl alcohol', '(1R)-1-Phenylethan-1-Ol', '(R)-(+)-sec-Phenethyl Alcohol', 'Benzenemethanol, alpha-methyl-, (R)-', '(R)-(+)-1-Phenylethyl Alcohol', '(+)-Methyl phenyl carbinol', 'R-1-phenylethanol', '(R)-alpha-methylbenzenemethanol', 'UNII-36N222W94B', '(r)-1-phenyl-1-ethanol', 'CHEBI:45616', '(R)-(+)-alpha-Methylbenzyl alcohol', 'MFCD00064263', '36N222W94B', '1-Phenylethanol #', '1-Phenylethanol, (R)-', 'Benzenemethanol, .alpha.-methyl-, (R)-', 'SS2', '(R)-1-phenylethan-1-ol', '(R)phenylethanol', '(R)-phenylethanol', '1-phenethan-1-ol', 'methylphenyl methanol', '(R)1-phenylethanol', 'PubChem6851', '1-(R)-phenylethanol', '1-Phenyl ethan-1-ol', '(R)-1-phenyl ethanol', '(R)-1-phenyl-ethanol', 'Alpha-methylbenzene alcohol', '(R)-1-(phenyl)-ethanol', 'SCHEMBL2165', 'alpha-methyl-benzene methanol', '(R)-(-)-1-phenylethanol', '(R)-1-phenyl ethyl alcohol', 'r-(+)-sec-phenethyl alcohol', '(R)-1-Phenylethanol, 97%', 'CHEMBL151062', 'CTK3I9653', 'DTXSID00164853', '(R)-(+)-a-Methylbenzyl alcohol', 'ZINC896626', 'Benzenemethanol, .alpha.,-methyl-', 'CS-M2101', 'KS-000008XU', '(AlphaR)-alpha-methylbenzenemethanol', 'ANW-21367', 'benzenemethanol, alpha-methyl,(R)-,', 'AKOS010400603', 'AM84475', 'DB04784', 'DS-17629', 'AB0052253', 'P0795', 'ST50411712', 'EN300-87751', '(R)-(+)-1-Phenylethanol;Methylphenyl carbinol', '(R)-13', '177112-EP2275427A1', '517P697', 'A809217', 'J-008843', 'J-501749', 'Q27095522', 'UNII-E6O895DQ52 component WAPNOHKVXSQRPX-SSDOTTSWSA-N', 'UNII-E6O895DQ52 component WAPNOHKVXSQRPX-ZETCQYMHSA-N', '(R)-(+)-1-Phenylethanol, &gt;=98.5% (sum of enantiomers, GC)', '(R)-(+)-1-Phenylethanol, for chiral derivatization, &gt;=99.0%', '(R)-(+)-1-Phenylethanol, ChiPros(R), produced by BASF, 98%']</t>
  </si>
  <si>
    <t>Compound(637516)</t>
  </si>
  <si>
    <t>hexahydro-1,3,5-trinitro- 1,3, 5-triazine (RDX)</t>
  </si>
  <si>
    <t>1,3,5-trinitro-1,3,5-triazinane</t>
  </si>
  <si>
    <t>['CYCLONITE', 'Hexogen', 'Hexolite', '1,3,5-Trinitro-1,3,5-triazinane', 'Geksogen', 'Cyclotrimethylenetrinitramine', 'Hexahydro-1,3,5-trinitro-1,3,5-triazine', '121-82-4', 'Trimethylenetrinitramine', 'Hexogen 5W', 'Heksogen', 'Hexogeen', '1,3,5-Trinitro-1,3,5-triazacyclohexane', 'Hexogen (Explosive)', 'Trimethyleentrinitramine', 'Cyclotrimethylenenitramine', 'Cyklonit', '1,3,5-Triazine, hexahydro-1,3,5-trinitro-', 'Hexahydro-1,3,5-trinitro-s-triazine', 'Cyklonit [Czech]', 'Hexogeen [Dutch]', 'RDX', 'Heksogen [Polish]', 'PBX(AF) 108', 'Trinitrocyclotrimethylene triamine', 'Trinitrotrimethylenetriamine', 'sym-Trimethylene trinitramine', '1,3,5-Trinitrohexahydro-s-triazine', 'CX 84A', 'Cyclonit', 'PE 4', 'PBXW 108(E)', '1,3,5-Triaza-1,3,5-trinitrocyclohexane', '1,3,5-Trinitrohexahydro-1,3,5-triazine', 'Perhydro-1,3,5-trinitro-1,3,5-triazine', 'NSC 312447', 'PBX (af) 108', 'UNII-W91SSV5831', 'Trimethyleentrinitramine [Dutch]', '1,3,5-Trinitroperhydro-1,3,5-triazine', 'HSDB 2079', 'KHP 281', 'Cyclotrimethylenetrinitramine (RDX)', 'EINECS 204-500-1', 'UN0072', 'UN0391', 'UN0483', 'sym-Trimethylenetrinitramine', 'BRN 0288466', 's-Triazine, hexahydro-1,3,5-trinitro-', 'Esaidro-1,3,5-trinitro-1,3,5-triazina', 'Hexahydro-1,3,5-trinitro-1,3,5-triazin', 'DTXSID9024142', 'W91SSV5831', 'Esaidro-1,3,5-trinitro-1,3,5-triazina [Italian]', 'Hexahydro-1,3,5-trinitro-1,3,5-triazin [German]', 'Hexolite, dry or wetted with &lt; 15% water, by mass', 'W-109070', 'Giekfol', 'Cyclotrimethylenetrinitramine, desensitized or cyclonite, desensitized or hexogen, desensitized or RDX, desensitized', 'Cyclotrimethylenetrinitramine, wetted or cyclonite, wetted or hexogen, wetted or RDX, wetted with not &lt; 15% water, by mass', 'A 3 (explosive)', 'CH 6 (explosive)', 'Royal Demolition eXplosive', 'Research Development Explosive', 'CCRIS 9287', 'hexahydro-1', 'Trinitrohexahydrotriazine', 'C-4 (Salt/Mix)', 'EC 204-500-1', 's-Triazine,3,5-trinitro-', 'cyclo-trimethylenetrinitramine', 'SCHEMBL19770', '4-26-00-00022 (Beilstein Handbook Reference)', 'UN 0118 (Salt/Mix)', 'Ex143', 'CHEBI:24556', '1,5-Trinitrohexahydro-s-triazine', 'Hexahydro-1,5-trinitro-s-triazine', '1,3,5-trinitrohexahydro-p-triazine', 'c0639', 'NSC312447', 'STK366162', 'ZINC64622596', 'Hexogen 10 microg/mL in Acetonitrile', 'AKOS015914094', '1,5-Trinitroperhydro-1,3,5-triazine', 'MCULE-5928095574', 'NSC-312447', 'UN 0072', 'WLN: T6N CN ENTJ ANW CNW ENW', '1,5-Triaza-1,3,5-trinitrocyclohexane', '1,5-Trinitro-1,3,5-triazacyclohexane', '1,5-Trinitrohexahydro-1,3,5-triazine', 'Esaidro-1,5-trinitro-1,3,5-triazina', '1,3,5-Trinitro-1,3,5-triazinane #', 'Hexahydro-1,5-trinitro-1,3,5-triazin', 'Hexahydro-1,5-trinitro-1,3,5-triazine', '1,3,5-Triazacyclohexane 1,3,5-trinitro-', '1,5-Triazine, hexahydro-1,3,5-trinitro-', 'LS-155436', 'hexahydro-1,3 ,5-trinitro-1,3 5-triazine', 'NS00001970', 'Hexogen (RDX) 100 microg/mL in Acetonitrile', 'CYCLONITE (CYCLOTRIMETHYLENE TRINITRAMINE)', 'Q190020', 'RDX solution, 10 mg/mL in acetonitrile, ampule of 5 mL, certified reference material', 'RDX solution, 1000 mug/mL in acetonitrile, ampule of 1.2 mL, certified reference material', '82030-42-0', 'C 4', 'Cyclotrimethylenetrinitramine, desensitized or cyclonite, desensitized or hexogen, desensitized or RDX, desensitized [UN0483]  [Explosive 1.1D]', 'Cyclotrimethylenetrinitramine, desensitized or cyclonite, desensitized or hexogen, desensitized or RDX, desensitized [UN0483] [Explosive 1.1D]', 'Cyclotrimethylenetrinitramine, wetted or cyclonite, wetted or hexogen, wetted or RDX, wetted with not &lt;15% water by mass', 'Cyclotrimethylenetrinitramine, wetted or cyclonite, wetted or hexogen, wetted or RDX, wetted with not &lt;15% water by mass [UN0072]  [Explosive 1.1D]', 'Cyclotrimethylenetrinitramine, wetted or cyclonite, wetted or hexogen, wetted or RDX, wetted with not &lt;15% water by mass [UN0072] [Explosive 1.1D]', 'Cyclotrimethylenetrinitramine;perhydro-1,3,5-trinitro-1,3,5-triazine;1,3,5-Triazine, hexahydro-1,3,5-trinitro-;Hexogen [RDX]', 'RDX and HMX mixtures, wetted with not &lt;15% water by mass or RDX and HMX mixtures, desensitized with not &lt;10% phlegmatizer by mass [UN0391] [Explosive 1.1D]']</t>
  </si>
  <si>
    <t>Compound(8490)</t>
  </si>
  <si>
    <t>C3H6N6O6</t>
  </si>
  <si>
    <t>Recirculation factor</t>
  </si>
  <si>
    <t>Cleaning efficiency</t>
  </si>
  <si>
    <t>Relative air humidity</t>
  </si>
  <si>
    <t>Representative day</t>
  </si>
  <si>
    <t>Risk level for cyanobacteria</t>
  </si>
  <si>
    <t>Relative penis length index</t>
  </si>
  <si>
    <t>Relative penis size index</t>
  </si>
  <si>
    <t>Relative peak period</t>
  </si>
  <si>
    <t>[[(2R,3S,4R,5R)-5-(3-carbamoyl-1,2,4-triazol-1-yl)-3,4-dihydroxyoxolan-2-yl]methoxy-hydroxyphosphoryl] phosphono hydrogen phosphate</t>
  </si>
  <si>
    <t>["Ribavirin 5'-triphosphate", 'Ribavirin triphosphate', 'Ribavirin-TP', '63142-71-2', 'CHEMBL398463', 'RTP', '1H-1,2,4-Triazole-3-carboxamide, 1-(5-O-(hydroxy((hydroxy(phosphonooxy)phosphinyl)oxy)phosphinyl)-beta-D-ribofuranosyl)-', '1H-1,2,4-triazole-3-carboxamide, 1-[5-O-[hydroxy[[hydroxy(phosphonooxy)phosphinyl]oxy]phosphinyl]-beta-D-ribofuranosyl]-', '1mn9', '[[(2R,3S,4R,5R)-5-(3-carbamoyl-1,2,4-triazol-1-yl)-3,4-dihydroxy-tetrahydrofuran-2-yl]methoxy-hydroxy-phosphoryl] phosphono hydrogen phosphate', "Virazole 5'-triphosphate", "Ribavirin-5'-triphosphate", 'DTXSID10212490', 'BDBM50370554', 'ZINC12402860', 'W-203347', 'Q27465138', "1-.beta.-D-Ribofuranosyl-1,2,4-triazolo-3-carboxamide-5'-triphosphate", '1-{5-O-[(R)-hydroxy{[(R)-hydroxy(phosphonooxy)phosphoryl]oxy}phosphoryl]-beta-D-ribofuranosyl}-1H-1,2,4-triazole-3-carboxamide', '1H-1,2,4-Triazole-3-carboxamide, 1-[5-O-[hydroxy[[hydroxy(phosphonooxy)phosphinyl]oxy]phosphinyl]-b-D-ribofuranosyl]-']</t>
  </si>
  <si>
    <t>Compound(122108)</t>
  </si>
  <si>
    <t>C8H15N4O14P3</t>
  </si>
  <si>
    <t>radium-223</t>
  </si>
  <si>
    <t>['Radium-223', 'Radium Ra-223', 'UNII-8BR2SOL3L1', '8BR2SOL3L1', '15623-45-7', 'Radium, isotope of mass 223', 'Radium 223', '223Ra', 'CHEMBL4297420', 'DTXSID30912344', 'DB12813', 'Q27270150']</t>
  </si>
  <si>
    <t>Compound(6335825)</t>
  </si>
  <si>
    <t>['RADIUM-224', 'UNII-5SE5NOG2NW', '5SE5NOG2NW', '13233-32-4', 'Thorium X', 'Radium, isotope of mass 224', '224Ra', 'Radium-224 and its decay products', 'CHEBI:80503', 'DTXSID50912341', 'C16455']</t>
  </si>
  <si>
    <t>Compound(6328538)</t>
  </si>
  <si>
    <t>radium-225</t>
  </si>
  <si>
    <t>['Radium-225', 'Radium, isotope of mass 225', '13981-53-8']</t>
  </si>
  <si>
    <t>Compound(6336607)</t>
  </si>
  <si>
    <t>['Radium Ra-226', 'RADIUM-226', 'UNII-PJ44V7L07A', '13982-63-3', 'PJ44V7L07A', 'HSDB 2146', 'Radium, isotope of mass 226', 'Radon-226', '226Ra', 'Radium, radioactive', 'Radium-226 and its decay products', 'DTXSID3051202', 'CHEBI:80504', 'C16456', 'Q27286584', 'D011883000']</t>
  </si>
  <si>
    <t>Compound(9877911)</t>
  </si>
  <si>
    <t>['Radium-228', '15262-20-1', 'Radium, isotope of mass 228', '228Ra', 'Radium-228 and its decay products', 'DTXSID6050415', 'CHEBI:80505', 'C16457']</t>
  </si>
  <si>
    <t>Compound(6328553)</t>
  </si>
  <si>
    <t>rubidium-86</t>
  </si>
  <si>
    <t>['Rubidium Rb-86', 'UNII-EHJ48551WX', 'EHJ48551WX', 'Rubidium-86', '14932-53-7', 'Rubidium, isotope of mass 86', '86Rb', '(~86~Rb)Rubidium', 'DTXSID30933615', 'Q27277192']</t>
  </si>
  <si>
    <t>Compound(6335499)</t>
  </si>
  <si>
    <t>rhenium-186</t>
  </si>
  <si>
    <t>['Rhenium-186', 'UNII-ZU7F1ET6TM', 'ZU7F1ET6TM', '14998-63-1', 'Rhenium, isotope of mass 186', 'Rhenium Re-186', '(~186~Re)Rhenium', '186Re', 'DTXSID60933825', 'Q18882928']</t>
  </si>
  <si>
    <t>Compound(161105)</t>
  </si>
  <si>
    <t>ruthenium-103</t>
  </si>
  <si>
    <t>['13968-53-1', 'Ruthenium-103', 'Ruthenium, isotope of mass 103', '(~103~Ru)Ruthenium', '103Ru', 'DTXSID90930544']</t>
  </si>
  <si>
    <t>Compound(104749)</t>
  </si>
  <si>
    <t>ruthenium-106</t>
  </si>
  <si>
    <t>['13967-48-1', 'RUTHENIUM-106', '106-Ruthenium', 'Ruthenium Ru 106', 'Ruthenium, isotope of mass 106', '(~106~Ru)Ruthenium', 'DTXSID00930530']</t>
  </si>
  <si>
    <t>Compound(26359)</t>
  </si>
  <si>
    <t>Average wave direction distribution in the spectral domain</t>
  </si>
  <si>
    <t>Wave direction spread spectrum</t>
  </si>
  <si>
    <t>sulfur (S6)</t>
  </si>
  <si>
    <t>hexathiane</t>
  </si>
  <si>
    <t>['Hexasulfur', 'Hexathiane', 'Sulfur hexamer', '13798-23-7', 'Sulfur, mol. (S6)', 'Cyclohexasulfur', 'Cyclohexasulfide', 'Sulfur, S6', 'Cyclic hexaatomic sulfur', 'CTK0H9286', 'DTXSID00893333', 'Q5748936', 'S6']</t>
  </si>
  <si>
    <t>Compound(139602)</t>
  </si>
  <si>
    <t>octyl sulfur</t>
  </si>
  <si>
    <t>sulfur</t>
  </si>
  <si>
    <t>['231-722-6', '7704-34-9', '9035-99-8', 'Agri-Sul', 'AN-Sulfur Colloid Kit', 'Aquilite', 'Asulfa-Supra', 'Atomic sulfur', 'Bensulfoid', 'Brimstone', 'Colloidal sulfur', 'Colloidal-S', 'Devisulphur', 'elemental sulfur', 'Flour sulfur', 'Flour sulphur', 'Flowers of sulfur', 'Flowers of sulphur', 'Gofrativ', 'Ground vocle sulfur', 'Ground vocle sulphur', 'Precipitated sulfur', 'S', 'Sofril', 'Solfa', 'Soufre', 'Soufre [ISO-French]', 'Sperlox-S', 'Spersul', 'Spersul thiovit', 'Sublimed sulfur', 'Sublimed sulphur', 'Suffa', 'Sufran', 'Sufran D', 'Sulfex', 'Sulfidal', 'Sulforon', 'Sulfospor', 'Sulfur', 'sulfur (0)', 'Sulfur (JP17)', 'Sulfur (molten)', 'Sulfur [NA1350] [Class 9]', 'Sulfur [UN1350] [Flammable solid]', 'Sulfur 10 microg/mL in Isooctane', 'Sulfur atom', 'Sulfur bactericide,fumigant', 'Sulfur Compounds', 'Sulfur hydride', 'Sulfur hydroxide', 'Sulfur in Isooctane standard solution, Specpure, 100g/g (0.010%)', 'Sulfur in Isooctane standard solution, Specpure, 10g/g (0.001%)', 'Sulfur in Isooctane standard solution, Specpure?, 25?g/g (0.0025%)', 'Sulfur ointment', 'Sulfur precipitated', 'Sulfur Soap', 'Sulfur vapor', 'Sulfur, 99.998% trace metals basis', 'SULFUR, 99.999%', 'Sulfur, colloidal, metastable technetium-99 labeled', 'Sulfur, elemental', 'Sulfur, flakes, &gt;=99.99% trace metals basis', 'Sulfur, LR, &gt;=99%', 'Sulfur, molten [NA2448] [Class 9]', 'Sulfur, molten [UN2448] [Flammable solid]', 'Sulfur, monoclinic', 'Sulfur, PESTANAL(R), analytical standard', 'Sulfur, pharmaceutical', 'Sulfur, powder, 99.98% trace metals basis', 'Sulfur, powder, colloidal', 'Sulfur, precipitated', 'Sulfur, precipitated (USP)', 'Sulfur, precipitated [USP]', 'Sulfur, prilled, &gt;=99.99 trace metals basis', 'Sulfur, puriss., 95.0%', 'Sulfur, puriss., 99.5-100.5%, meets analytical specification of Ph. Eur., BP, USP, precipitated', 'Sulfur, purum p.a., &gt;=99.5% (T)', 'Sulfur, reagent grade, powder, purified by refining, -100 mesh particle size', 'Sulfur, reagent grade, purified by sublimation, -100 mesh particle size, powder', 'Sulfur, rhombic', 'Sulfur, SAJ first grade, &gt;=98.0%', 'Sulfur, solid', 'Sulfur, sublimed', 'Sulfur, sublimed (USP)', 'Sulfur, sublimed [USP]', 'Sulikol', 'Sulkol', 'sulphur', 'Sulphur [ISO]', 'Sulphur, precipitated, sublimed or colloidal', 'Sulsol', 'Sultaf', 'Super cosan', 'Super Six', 'Svovl', 'TechneColl', 'TechneScan Sulfur Colloid', 'Tesuloid', 'Thiolux', 'Thion', 'Thiovit', 'Thiovit S', 'Thiozol', 'Ultra Sulfur', 'Wettasul', 'Zolvis', 'Sulfur, 99.5%, sublimed', 'Sulfur, 99.5+%, refined', 'Sulfur, 99.999%, (trace metal basis)', 'ulfur', 'Lac Sulfur', 'ACMC-20a47y', 'CTK2H7188', 'KS-00000WOT', 'ANW-56396']</t>
  </si>
  <si>
    <t>Compound(5362487)</t>
  </si>
  <si>
    <t>Salinity</t>
  </si>
  <si>
    <t>Circuit</t>
  </si>
  <si>
    <t>Shells- empty</t>
  </si>
  <si>
    <t>Foam</t>
  </si>
  <si>
    <t>fence</t>
  </si>
  <si>
    <t>Screening of non-volatile substances performed</t>
  </si>
  <si>
    <t>Screening for fatty acid composition</t>
  </si>
  <si>
    <t>Screening carried out for volatile substances</t>
  </si>
  <si>
    <t>Sensor height</t>
  </si>
  <si>
    <t>Sexe (gender)</t>
  </si>
  <si>
    <t>sulfur hexafluoride</t>
  </si>
  <si>
    <t>hexafluoro-lambda6-sulfane</t>
  </si>
  <si>
    <t>['SULFUR HEXAFLUORIDE', 'Elegas', 'SonoVue', '2551-62-4', 'Sulphur hexafluoride', 'Sulfur fluoride (SF6)', 'sulfur(VI) fluoride', 'Hexafluorure de soufre', 'hexafluoridosulfur', 'Sulfur fluoride (SF6), (OC-6-11)-', 'UNII-WS7LR3I1D6', 'HSDB 825', 'Hexafluorure de soufre [French]', 'sulfur(6+) fluoride', 'EINECS 219-854-2', 'UN1080', 'Sulfur hexafluoride [USAN]', 'WS7LR3I1D6', 'CHEBI:30496', 'Sulfur fluoride, (OC-6-11)-', 'Hexafluorosulfur', 'Sulfur hexafluoride (USAN)', 'BRI', 'Esaflon', 'Lumason', 'Elagas', 'SF6', 'Sulfur hexafluoride lipid microsphere', 'Svavelhexafluorid', 'SF6 Microbubbles', 'ulphur hexafluoride', 'Lumason (TN)', 'Sonovue (TN)', 'hexafluoro-l6-sulfane', 'ACMC-1CQA3', 'EC 219-854-2', 'R 7146', 'hexafluoro-$l^{6}-sulfane', 'CHEMBL1796998', 'DTXSID8029656', 'CTK1A2580', '[SF6]', 'Sulfur hexafluoride, &gt;=99.75%', 'hexakis(fluoranyl)-$l^{6}-sulfane', 'SBB086453', 'ZINC245224194', 'DB11104', 'OC-6-11', 'UN 1080', 'SonoVue (for the microbubble formulation)', 'Stabilized sulfur hexafluoride microbubbles', 'LS-148165', 'D05962', 'A817889', 'Q279055', 'Sulfur hexafluoride [UN1080] [Nonflammable gas]', 'Sulfur hexafluoride [UN1080]  [Nonflammable gas]']</t>
  </si>
  <si>
    <t>Compound(17358)</t>
  </si>
  <si>
    <t>F6S</t>
  </si>
  <si>
    <t>Snail</t>
  </si>
  <si>
    <t>Sludge</t>
  </si>
  <si>
    <t>Sludge load</t>
  </si>
  <si>
    <t>Silt thickness</t>
  </si>
  <si>
    <t>Sludge age</t>
  </si>
  <si>
    <t>Silt level height</t>
  </si>
  <si>
    <t>Sludge volume index</t>
  </si>
  <si>
    <t>Taste</t>
  </si>
  <si>
    <t>Taste dilution factor</t>
  </si>
  <si>
    <t>Sulphur dioxide</t>
  </si>
  <si>
    <t>sulfur dioxide</t>
  </si>
  <si>
    <t>['sulfur dioxide', 'sulphur dioxide', 'Sulfurous anhydride', '7446-09-5', 'Sulfurous oxide', 'Sulfur superoxide', 'Fermenicide liquid', 'Fermenicide powder', 'Sulfurous acid anhydride', 'Schwefeldioxid', 'Sulfur oxide (SO2)', 'Oxosulfane oxide', 'Siarki dwutlenek', 'Sulfur dioxide (SO2)', 'dioxidosulfur', 'Schwefeldioxyd', 'Surfur dioxide (anhydrous)', 'Sulfur dioxide (NF)', 'SULFUR-DIOXIDE', 'Caswell No. 813', 'Schwefeldioxyd [German]', 'Siarki dwutlenek [Polish]', 'SO2', 'UN 1079', 'UNII-0UZA3422Q4', 'FEMA No. 3039', 'CCRIS 9001', 'HSDB 228', 'CHEBI:18422', '0UZA3422Q4', 'EINECS 231-195-2', 'Sulfur dioxide (SO2) 10% by volume or more SO2', 'UN1079', 'EPA Pesticide Chemical Code 077601', 'Sulfur dioxide [NF]', 'E220', 'Sulfur dioxide [UN1079] [Poison gas]', 'Sulfon', 'Sulfur dioxide, &gt;=99.9%', 'Sulfurdioxide', 'sulfonyl', 'sulfuryl', 'sulphonyl', 'sulfer dioxide', 'Dioxide, Sulfur', 'Fermenticide liquid', 'Oxosulfane oxide #', 'Schwefel(IV)-oxid', 'Anhydride, Sulfurous', 'Sulfur dioxide,liquid', 'ACMC-1BHHQ', 'Dioxo-lambda~4~-sulfane', '67015-63-8', 'Sulfur dioxide, &gt;=99.98%', 'CHEMBL1235997', 'DTXSID6029672', 'CTK2H7729', 'FEMA 3039', 'RAHZWNYVWXNFOC-UHFFFAOYSA-', '[SO2]', 'AKOS015904447', 'Sulfur dioxide, puriss., &gt;=99.9%', 'LS-3224', 'SC-81833', 'Sulfur dioxide [UN1079]  [Poison gas]', 'Q5282', 'R-764', 'C09306', 'D05961', 'EC 231-195-2']</t>
  </si>
  <si>
    <t>Compound(1119)</t>
  </si>
  <si>
    <t>O2S</t>
  </si>
  <si>
    <t>sulfite</t>
  </si>
  <si>
    <t>['sulfite', 'Sulfite ion', 'Sulphite', 'Sulfite ions', '14265-45-3', 'sulfonates', 'trioxosulfate(2-)', 'UNII-15744271E9', 'CHEBI:33543', 'SHO3(-)', '[SHO3](-)', '15744271E9', 'Sulfite anion', 'trioxidosulfate(2-)', 'Sulfite (2-)', 'Sulfiite (SO32-)', 'Sulfite (8CI,9CI)', 'hydridotrioxidosulfate(1-)', 'sulfurous acid, ion(2-)', 'Epitope ID:134837', 'DTXSID4049791', 'CHEBI:17359', 'CTK0H5968', 'SO3-2', 'AKOS032949886', 'SO3(2-)', '[SO3](2-)', 'Q413363', 'Q27115680']</t>
  </si>
  <si>
    <t>Compound(1099)</t>
  </si>
  <si>
    <t>O3S-2</t>
  </si>
  <si>
    <t>Solid Phase Extraction</t>
  </si>
  <si>
    <t>Kind</t>
  </si>
  <si>
    <t>Species proportion</t>
  </si>
  <si>
    <t>Species diversity</t>
  </si>
  <si>
    <t>Specific energy consumption aeration</t>
  </si>
  <si>
    <t>Specific energy consumption, total</t>
  </si>
  <si>
    <t>Specific energy consumption for transport</t>
  </si>
  <si>
    <t>Specific electricity generation</t>
  </si>
  <si>
    <t>Specific drain</t>
  </si>
  <si>
    <t>Specific storage</t>
  </si>
  <si>
    <t>Specific gas production</t>
  </si>
  <si>
    <t>Specific sludge production</t>
  </si>
  <si>
    <t>Specific surface</t>
  </si>
  <si>
    <t>Standard deviation of the wave height in the time domain</t>
  </si>
  <si>
    <t>Standard deviation of the wave period in the time domain</t>
  </si>
  <si>
    <t>Jump layer</t>
  </si>
  <si>
    <t>State of dissolution</t>
  </si>
  <si>
    <t>Staphylococci (coagulase positive)</t>
  </si>
  <si>
    <t>Staphylococci</t>
  </si>
  <si>
    <t>Stone</t>
  </si>
  <si>
    <t>Mortality</t>
  </si>
  <si>
    <t>Ascent height</t>
  </si>
  <si>
    <t>5-(2-chlorophenyl)-7-ethyl-1-methyl-3H-thieno[2,3-e][1,4]diazepin-2-one</t>
  </si>
  <si>
    <t>['clotiazepam', 'Rize', 'Trecalmo', 'Rizen', 'Tienor', 'Rise', 'Clotiazepamum [INN-Latin]', '33671-46-4', 'Clotiazepam [INN:JAN]', 'Y 6047', 'UNII-ZCN055599V', 'EINECS 251-627-3', 'BRN 0623332', '5-(2-Chlorophenyl)-7-ethyl-1-methyl-1,3-dihydro-2H-thieno(2,3-e)(1,4)diazepin-2-one', '5-(o-Chlorophenyl)-7-ethyl-1,3-dihydro-1-methyl-2H-thieno(2,3-e)-1,4-diazepin-2-one', 'DEA No. 2752', 'ZCN055599V', '5-(2-chlorophenyl)-7-ethyl-1-methyl-1,3-dihydro-2H-thieno[2,3-e][1,4]diazepin-2-one', 'Clotiazepamum', 'Distensan', 'Veratran', 'Clozan', '2H-Thieno(2,3-e)(1,4)diazepin-2-one, 1,3-dihydro-5-(o-chlorophenyl)-7-ethyl-1-methyl-', '2H-Thieno(2,3e)(1,4)-diazepin-2-one, 5-(o-chlorophenyl)-7-ethyl-1,3-dihydro-1-methyl-', '2H-Thieno[2,3-e]-1,4-diazepin-2-one, 5-(2-chlorophenyl)-7-ethyl-1,3-dihydro-1-methyl-', 'Rize (TN)', 'Clozan|||Veratran', 'Clotiazepam (JP17/INN)', 'SCHEMBL44592', 'ZINC1207', 'CHEMBL1697737', 'DTXSID0022852', 'CHEBI:31425', 'HY-U00317', 'AKOS005065735', 'API0002085', 'CS-7319', 'DB01559', 'LS-152361', 'NS00009354', 'D01328', 'Q2263999', '2H-Thieno[2,3-E]-1,4-diazepine-2-one, 5-(2-chlorophenyl)-7-ethyl-1,3-dihydro-1-methyl-', '5-(2-chlorophenyl)-7-ethyl-1-methyl-1H,2H,3H-thieno[2,3-e][1,4]diazepin-2-one', '2H-Thieno(2,3e)(1,4)-diazepin-2-one, 5-(o-chlorophenyl)-7-ethyl-1,3-dihydro-1-methyl- (8CI)']</t>
  </si>
  <si>
    <t>Compound(2811)</t>
  </si>
  <si>
    <t>C16H15ClN2OS</t>
  </si>
  <si>
    <t>Other fabrics with EU standard</t>
  </si>
  <si>
    <t>Dust quantity</t>
  </si>
  <si>
    <t>Specific pollutants</t>
  </si>
  <si>
    <t>Total priority substances</t>
  </si>
  <si>
    <t>Priority substances- new from 2013- nos. 34 to 45</t>
  </si>
  <si>
    <t>Priority substances- ubiquitous</t>
  </si>
  <si>
    <t>Priority substances- non-ubiquitous</t>
  </si>
  <si>
    <t>Heating value (net calorific value, combustion heat)</t>
  </si>
  <si>
    <t>Ironing length</t>
  </si>
  <si>
    <t>Current</t>
  </si>
  <si>
    <t>Flow variation</t>
  </si>
  <si>
    <t>Flow ripples</t>
  </si>
  <si>
    <t>Flow direction</t>
  </si>
  <si>
    <t>Structure</t>
  </si>
  <si>
    <t>Shrub layer</t>
  </si>
  <si>
    <t>Submerged plants</t>
  </si>
  <si>
    <t>Substrate differentiation</t>
  </si>
  <si>
    <t>Substrate</t>
  </si>
  <si>
    <t>antimony 122</t>
  </si>
  <si>
    <t>antimony-122</t>
  </si>
  <si>
    <t>['antimony-123 atom', 'Antimony-122', 'Antimory-122', 'Antimony, isotope of mass 122', '14374-79-9', 'Q27123520']</t>
  </si>
  <si>
    <t>Compound(6335836)</t>
  </si>
  <si>
    <t>antimony 124</t>
  </si>
  <si>
    <t>antimony-124</t>
  </si>
  <si>
    <t>['Antimony-124', 'Antimony, isotope of mass 124', '124Sb', '14683-10-4']</t>
  </si>
  <si>
    <t>Compound(6335510)</t>
  </si>
  <si>
    <t>antimony 125</t>
  </si>
  <si>
    <t>antimony-125</t>
  </si>
  <si>
    <t>['Antimony-125', 'Antimony, isotope of mass 125', '14234-35-6', '125Sb', 'DTXSID4074279']</t>
  </si>
  <si>
    <t>Compound(6335317)</t>
  </si>
  <si>
    <t>antimony 127</t>
  </si>
  <si>
    <t>antimony-127</t>
  </si>
  <si>
    <t>['Antimony-127', 'Antimony, isotope of mass 127', '13968-50-8', 'antimony, isotope 127', 'DTXSID4074277']</t>
  </si>
  <si>
    <t>Compound(6335314)</t>
  </si>
  <si>
    <t>scandium-46</t>
  </si>
  <si>
    <t>['Scandium-46', '13967-63-0', 'Scandium, isotope of mass 46', '(~46~Sc)Scandium', 'DTXSID60930531']</t>
  </si>
  <si>
    <t>Compound(107673)</t>
  </si>
  <si>
    <t>selenium 75</t>
  </si>
  <si>
    <t>selenium-75</t>
  </si>
  <si>
    <t>['Selenium Se-75', 'SELENIUM-75', 'Selenium, isotope of mass 75', 'UNII-CPT0VS6XYI', 'CPT0VS6XYI', '14265-71-5', 'Selenium 75', 'DTXSID3074280', 'Q27275615']</t>
  </si>
  <si>
    <t>Compound(6328176)</t>
  </si>
  <si>
    <t>selenite</t>
  </si>
  <si>
    <t>['selenite', 'Selenite ion', '14124-67-5', 'UNII-KXO0259XJ1', 'KXO0259XJ1', 'Selenit', 'trioxoselenate(IV)', 'trioxoselenate(2-)', 'Selenite (9CI)', 'trioxidoselenate(2-)', 'Selenium (IV) trioxide', 'Monohydrated selenuim dioxide', 'DTXSID9074517', 'SeO3(2-)', 'CHEBI:18212', 'CTK0I1856', '[SeO3](2-)', 'C05684', 'Q27102911']</t>
  </si>
  <si>
    <t>Compound(1090)</t>
  </si>
  <si>
    <t>O3Se-2</t>
  </si>
  <si>
    <t>selenate</t>
  </si>
  <si>
    <t>['selenate', 'SELENATE ION', '14124-68-6', 'UNII-6X37R1DB70', '6X37R1DB70', 'Selenate (9CI)', 'Selenic acid dianion', 'sodium selenate(VI)', 'tetraoxidoselenate(2-)', 'Selenium (VI) tetraoxide', 'Dioxylatodioxoselenium(VI)', 'DTXSID4074518', 'SeO4(2-)', 'CHEBI:15075', 'CTK0H6222', 'lambda~4~-selenium oxide; disodium', 'BDBM50130701', 'Q27109020']</t>
  </si>
  <si>
    <t>Compound(26473)</t>
  </si>
  <si>
    <t>O4Se-2</t>
  </si>
  <si>
    <t>S-metolachlor</t>
  </si>
  <si>
    <t>2-chloro-N-(2-ethyl-6-methylphenyl)-N-[(2S)-1-methoxypropan-2-yl]acetamide</t>
  </si>
  <si>
    <t>['S-Metolachlor', '(S)-Metolachlor', '87392-12-9', '(S)-Metolachor', 'S-Metolachlor [ISO]', 'UNII-1O4NMK7I6H', '1O4NMK7I6H', 'CHEBI:83647', '2-Chloro-N-(2-ethyl-6-methylphenyl)-N-[(1S)-2-methoxy-1-methylethyl]acetamide', 'Acetamide, 2-chloro-N-(2-ethyl-6-methylphenyl)-N-(2-methoxy-1-methylethyl)-, (S)-', 'alpha-Metolachlor', '2-chloro-N-(2-ethyl-6-methylphenyl)-N-[(2S)-1-methoxypropan-2-yl]acetamide', 'netolachlor', 'Smmetolachlor', 'Brawl', 'Pennant Magnum', 'S-Metholachlor', 'Dual Gold', 'metolachlor (S)', 'Dual II Magnum', 'DSSTox_CID_12431', 'DSSTox_RID_78946', 'DSSTox_GSID_32431', 'US9144538, Metolachlor', 'BIDD:ER0509', 'SCHEMBL118065', 'CHEMBL2251445', 'DTXSID6032431', '2-CHLORO-N-(2-ETHYL-6-METHYLPHENYL)-N-[(1R)-2-METHOXY-1-METHYLETHYL]ACETAMIDE', 'BDBM181791', 'ACT05630', 'ZINC1532074', 'Tox21_301577', 'AKOS015899745', 'NCGC00255344-01', 'ACM178961201', 'R530', 'S-Metolachlor 10 microg/mL in Cyclohexane', 'CAS-87392-12-9', 'HY-117279', 'LS-181885', 'CS-0064875', '392S129', 'C-58437', 'S-Metolachlor, PESTANAL(R), analytical standard', 'Q27157051', 'UNII-X0I01K05X2 component WVQBLGZPHOPPFO-LBPRGKRZSA-N', '(S)-N-chloroacetyl-N-(1-methoxyprop-2-yl)-2-methyl-6-ethylphenylamine', 'Acetamide, 2-chloro-N-(2-ethyl-6-methylphenyl)-N-((1S)-2-methoxy-1-methylethyl)-', 'N-[(1S)-1-Methyl-2-methoxyethyl]-N-[(aS)-2-ethyl-6-methylphenyl]-2-chloroacetamide', 'S-metolachlor;Acetamide, 2-chloro-N-(2-ethyl-6-methylphenyl)-N-[(1S)-2-methoxy-1-methylethyl]-']</t>
  </si>
  <si>
    <t>Compound(11140605)</t>
  </si>
  <si>
    <t>C15H22ClNO2</t>
  </si>
  <si>
    <t>tin-113</t>
  </si>
  <si>
    <t>['Tin-113', 'UNII-RM5P6D0VEZ', 'RM5P6D0VEZ', 'Tin Sn-113', 'Tin, isotope of mass 113', '113Sn', 'Sn113', '13966-06-8', 'Q2496752']</t>
  </si>
  <si>
    <t>Compound(6335514)</t>
  </si>
  <si>
    <t>tin-125</t>
  </si>
  <si>
    <t>['Tin-125', 'UNII-55753H7KYV', '55753H7KYV', 'Tin, isotope of mass 125', 'Tin Sn-125', '125Sn', '14683-08-0', 'Q2046259']</t>
  </si>
  <si>
    <t>Compound(6336618)</t>
  </si>
  <si>
    <t>strontium-85</t>
  </si>
  <si>
    <t>['Strontium-85', 'UNII-EB8Y4WEK70', 'EB8Y4WEK70', 'Strontium sr 85', 'Strontium Sr 85 [USP]', 'Sr-85', 'Strontium (85Sr)', '13967-73-2', 'CHEMBL2106034', 'Q18845269']</t>
  </si>
  <si>
    <t>Compound(5464271)</t>
  </si>
  <si>
    <t>['Strontium-89', 'UNII-K59O1PY9WF', 'K59O1PY9WF', '14158-27-1', 'Strontium Sr-89', 'Strontium, isotope of mass 89', 'Sr 89', 'Q2404445']</t>
  </si>
  <si>
    <t>Compound(5388880)</t>
  </si>
  <si>
    <t>['Strontium-90', 'UNII-5TZZ77Z4ER', '5TZZ77Z4ER', '10098-97-2', 'Strontium, isotope of mass 90', 'Strontium Sr-90', 'STRONTIUM 90', '90Sr', 'Sr-90', 'Strontium, radioactive', 'Strontium Radioisotopes', 'HSDB 7403', 'Q544529', 'D013326000']</t>
  </si>
  <si>
    <t>Compound(5486204)</t>
  </si>
  <si>
    <t>sulfur total</t>
  </si>
  <si>
    <t>Temperature</t>
  </si>
  <si>
    <t>Avg. wave period longest 1/3 part of the waves (time domain)</t>
  </si>
  <si>
    <t>tri (2-chloroethyl) phosphate</t>
  </si>
  <si>
    <t>tris(2-chloroethyl) phosphate</t>
  </si>
  <si>
    <t>['Tris(2-chloroethyl) phosphate', '115-96-8', 'Tris(2-chloroethyl)phosphate', 'Celluflex', 'Fyrol CEF', 'Disflamoll TCA', 'Celluflex CEF', 'Tris(chloroethyl) phosphate', 'Niax 3CF', 'TRI(2-CHLOROETHYL) PHOSPHATE', 'Trichlorethyl phosphate', '2-Chloroethanol phosphate', 'Tris(chloroethyl)phosphate', 'Niax Flame Retardant 3CF', 'Ethanol, 2-chloro-, phosphate (3:1)', 'Tris(2-chloroethyl) orthophosphate', 'Genomoll P', 'Tris(beta-chloroethyl) phosphate', 'Antiblaze 100', 'NCI-C60128', 'Tris-(2-chlorethyl)fosfat', 'NSC 3213', 'Fyrol CF', 'Tri(2-chloroethyl)phosphate', 'Tri-beta-chloroethyl phosphate', 'UNII-32IVO568B0', 'CCRIS 1302', 'Phosphoric acid, tris(2-chloroethyl)ester', 'HSDB 2577', 'Tris-(2-chlorethyl)fosfat [Czech]', 'EINECS 204-118-5', 'Tris-(2-chloroethyl)fosfat [Czech]', 'BRN 1710938', 'Phosphoric Acid Tris(2-chloroethyl) Ester', 'AI3-15023', "Ethanol, 2-chloro-, 1,1',1''-phosphate", 'DTXSID5021411', 'CHEBI:35037', 'Tri(.beta.-chloroethyl) phosphate', '32IVO568B0', 'Tris(.beta.-chloroethyl) phosphate', '2-Chloro-ethanol phosphate (3:1)', 'Phosphoric acid, tris(2-chloroethyl) ester', 'DSSTox_CID_1411', 'DSSTox_RID_76147', 'DSSTox_GSID_21411', '29716-44-7', '3CF', '68411-66-5', 'tris-(2-chloroethyl)phosphate', 'CAS-115-96-8', 'Tris-(2-chloroethyl)fosfat', 'C6H12Cl3O4P', 'EINECS 249-806-6', 'EC 204-118-5', 'ACMC-1C6K6', 'SCHEMBL26896', '4-01-00-01379 (Beilstein Handbook Reference)', 'Ethanol, 2-chloro-, phosphate (3:1), hydrolyzed', 'MLS001056210', 'BIDD:ER0311', 'tris(2-chloroethyl)-phosphate', 'tri-(2-chloroethyl) phosphate', 'Tris(|A-chloroethyl) phosphate', 'CHEMBL1413786', 'CTK0H5623', 'Tri-.beta.-chloroethyl phosphate', 'WLN: G2OPO &amp; O2GO2G', 'NSC3213', 'NSC-3213', 'ZINC1666648', 'EINECS 270-139-1', 'Phosphoric acid tris(2-chloroethyl)', 'Tox21_201254', 'Tox21_300074', 'ANW-16926', 'LS-577', 'Tris(2-chloroethyl) phosphate(TCEP)', 'Tris(2-chloroethyl) phosphate, 97%', 'AKOS009029110', 'Tri(2-chloroethyl) phosphate - TCEP', 'NE10069', 'TCEP (Tris(2-chloroethyl) phosphate)', 'Tris(2-chloroethyl) phosphate (TCEP)', 'KS-0000011V', 'NCGC00091566-01', 'NCGC00091566-02', 'NCGC00091566-03', 'NCGC00254139-01', 'NCGC00258806-01', 'Phosphoric acid, tri-2-chloroethyl ester', 'SC-79913', 'SMR001216601', 'phosphoric acid, tris(2-chloroethy l)ester', 'FT-0675663', 'NS00010387', 'P0268', 'EN300-19161', '6617-EP2272972A1', '6617-EP2272973A1', '6617-EP2277872A1', 'C14445', 'Tris(2-chloroethyl) phosphate, analytical standard', 'J-003352', 'Q1670500', 'Tris(2-chloroethyl) phosphate 10 microg/mL in Cyclohexane', 'Tris(2-chloroethyl) phosphate, certified reference material, TraceCERT(R)']</t>
  </si>
  <si>
    <t>Compound(8295)</t>
  </si>
  <si>
    <t>C6H12Cl3O4P</t>
  </si>
  <si>
    <t>tetrabromobisphenol A.</t>
  </si>
  <si>
    <t>2,6-dibromo-4-[2-(3,5-dibromo-4-hydroxyphenyl)propan-2-yl]phenol</t>
  </si>
  <si>
    <t>['Tetrabromobisphenol A', '79-94-7', "3,3',5,5'-Tetrabromobisphenol A", 'Bromdian', "4,4'-(propane-2,2-diyl)bis(2,6-dibromophenol)", '2,2-Bis(3,5-dibromo-4-hydroxyphenyl)propane', "4,4'-Isopropylidenebis(2,6-dibromophenol)", 'Firemaster BP 4A', 'Tetrabromodian', 'TBBPA', 'Fire Guard 2000', 'Great Lakes BA-59P', "2,2',6,6'-TETRABROMOBISPHENOL A", 'Saytex RB 100PC', "Phenol, 4,4'-(1-methylethylidene)bis[2,6-dibromo-", 'Tetrabromodiphenylopropane', 'Firemaster BP4A', 'FG 2000', "4,4'-propane-2,2-diylbis(2,6-dibromophenol)", 'UNII-FQI02RFC3A', "4,4'-(1-Methylethylidene)bis(2,6-dibromophenol)", 'BA 59', "3,5,3',5'-Tetrabromobisphenol A", 'NSC 59775', 'CCRIS 6274', 'HSDB 5232', 'Saytex RB-100', "4,4'-Isopropylylidenebis(2,6-dibromophenol)", '2,2-Bis(4-hydroxy-3,5-dibromophenyl)propane', 'EINECS 201-236-9', 'FQI02RFC3A', "2,2',6,6'-Tetrabromo-4,4'-isopropylidenediphenol", '2,6-dibromo-4-[2-(3,5-dibromo-4-hydroxyphenyl)propan-2-yl]phenol', "4,4'-(2,2-PROPANEDIYL)BIS(2,6-DIBROMOPHENOL)", 'CHEMBL184450', 'DTXSID1026081', 'CHEBI:33217', "Phenol, 4,4'-isopropylidenebis(2,6-dibromo-", "Phenol, 4,4'-isopropylidenebis[2,6-dibromo-", "4,4'-(2,2-propanediyl) bis[2,6-dibromo]phenol", 'MFCD00013962', "Phenol, 4,4'-(1-methylethylidene)bis(2,6-dibromo-", 'FR-1524', 'DSSTox_CID_6081', "4,4'-(1-Methylethylidene)bis(2,6-dibromophenol)2,2-bis(3,5-dibromo-4-hydroxyphenyl)propane", 'DSSTox_RID_78008', 'DSSTox_GSID_26081', 'W-104257', '2,6-dibromo-4-[1-(3,5-dibromo-4-hydroxyphenyl)-1-methylethyl]phenol', 'CAS-79-94-7', 'TetrabromobisphenolA', '25639-54-7', 'Tetrabromo bisphenol A', "4,4'-(1-methylethylidene)bis[2,6-dibromophenol]", "3,3',5,5'-Tetrabromo bisphenol A", 'FLAME CUT 120G', "33'55'-Tetrabromobisphenol A", '3osw', 'XDI', '4,6-dibromophenol)', 'Saytex RB-100 ABS', '2,5-dibromophenyl)propane', "TETRABROMO-4,4'-ISOPROPYLIDENEDIPHENOL", 'bmse000567', "Tetrabromobisphenol ''A''", 'EC 201-236-9', 'Oprea1_822733', 'SCHEMBL18647', 'MLS002152878', 'BIDD:ER0631', 'C15H12Br4O2', '330396_ALDRICH', 'ARONIS002155', "2,6,6'-Tetrabromobisphenol A", 'CTK4F6165', 'KS-00003VGG', "3,3',5'-Tetrabromobisphenol A", 'BBC/271', 'ALBB-031649', 'KS-00000WF5', 'NSC59775', 'ZINC1689786', 'ZX-AS004485', 'Tox21_201182', 'Tox21_201981', 'Tox21_300561', '2,5-dibromo-4-hydroxyphenyl)propane', 'BDBM50150793', 'c0763', 'NSC-59775', 'SBB080626', 'STK048486', 'ZINC01689786', '2,6-dibromo-4-[1-(3,5-dibromo-4-hydroxy-phenyl)-1-methyl-ethyl]phenol', 'AKOS000491577', "2,2'',6,6''-Tetrabromobisphenol A", "3,3'',5,5''-tetrabromobisphenol A", "3,3\\',5,5\\'-tetrabromobisphenol A", 'LS-1786', 'MCULE-8578472069', 'NCGC00091463-01', 'NCGC00091463-02', 'NCGC00091463-03', 'NCGC00091463-04', 'NCGC00091463-05', 'NCGC00091463-06', 'NCGC00254356-01', 'NCGC00258734-01', 'NCGC00259530-01', '30496-13-0', 'AC-11719', 'AK113742', 'AS-12834', 'SMR001224492', "Phenol,4'-isopropylidenebis[2,6-dibromo-", "3,3',5,5'-Tetrabromobisphenol A, 97%", 'AX8153220', "phenol, 4,4'-isopropylidenebis (dibromo-)", '2,2-bis(3,5dibromo-4-hydroxyphenyl)propane', "4,4''-Isopropylidenebis(2,6-dibromophenol)", "4,4'-isopropylidene-bis(2,6-dibromophenol)", 'FT-0617111', 'FT-0682679', '2,2-bis(3,5-dibromo-4-hydroxyphenyl)-propane', '2,2-bis-(3,5-dibromo-4-hydroxyphenyl)propane', 'C13620', 'Z-0813', '2,2-bis-(3,5-dibromo-4-hydroxyphenyl)-propane', "Phenol,4'-(1-methylethylidene)bis[2,6-dibromo-", 'Q425246', 'SR-01000596914', 'Tetrabromodian: tetrabromodihydroxy diphenylpropane', "4,4''-(1-Methylethylidene)bis(2,6-dibromophenol)", "4,4''-(2,2-propanediyl) bis[2,6-dibromo]phenol", "4,4''-(propane-2,2-diyl)bis(2,6-dibromophenol)", 'SR-01000596914-1', "2,2',6,6'-Tetrabromo-4,4'-isopropylidene bisphenol", "2,2-bis-(4'-hydroxy-3',5'-dibromophenyl)-propane", "3,3',5,5'-Tetrabromobisphenol A, analytical standard", "Phenol, 4,4'-isopropylidenebis(2,6-dibromo- (8CI)", "3,3',5,5'-Tetrabromo-4,4-dihydroxy-2,2-diphenylpropane", "3,3',5,5'-Tetrabromo-4,4'-dihydroxy-diphenyl-dimethyl-methane", '4-[1-(3,5-dibromo-4-hydroxyphenyl)-isopropyl]-2,6-dibromophenol', "3,3',5,5'-Tetrabromobisphenol A, certified reference material, TraceCERT(R)"]</t>
  </si>
  <si>
    <t>Compound(6618)</t>
  </si>
  <si>
    <t>C15H12Br4O2</t>
  </si>
  <si>
    <t>tetramethyldiaminobenzophenone</t>
  </si>
  <si>
    <t>bis[4-(dimethylamino)phenyl]methanone</t>
  </si>
  <si>
    <t>["Michler's ketone", '90-94-8', "4,4'-BIS(DIMETHYLAMINO)BENZOPHENONE", 'bis[4-(dimethylamino)phenyl]methanone', 'Bis(4-(dimethylamino)phenyl)methanone', 'Michler ketone', "p,p'-Michler's ketone", 'Methanone, bis[4-(dimethylamino)phenyl]-', 'Tetramethyldiaminobenzophenone', 'NCI-C02006', "p,p'-Bis(dimethylamino)benzophenone", 'Michlers Keton', "Benzophenone, 4,4'-bis(dimethylamino)-", 'Michler`s ketone', 'NSC 9602', 'MFCD00008312', 'CCRIS 412', 'UNII-3Z2SN6B347', "N,N,N',N'-Tetramethyl-4,4'-diaminobenzophenone", '4-[4-(dimethylamino)benzoyl]-N,N-dimethylaniline', "p,p'-Bis(N,N-dimethylamino)benzophenone", 'HSDB 2865', '4,4-bis(dimethylamino)benzophenone', 'EINECS 202-027-5', 'Bis(p-(N,N-dimethylamino)phenyl)ketone', 'Bis(p-(N,N-dimethylamino)phenyl) ketone', 'AI3-22412', 'CHEBI:82347', 'NSC9602', '3Z2SN6B347', 'Bis-(4-dimethylamino-phenyl)-methanone', "4,4'-bis(N,N-dimethylamino)benzophenone", 'Bis[p-(N,N-dimethylamino)phenyl] ketone', 'Methanone, bis(4-(dimethylamino)phenyl)-', 'Michlers ketone', 'DSSTox_CID_894', 'DSSTox_RID_75850', 'DSSTox_GSID_20894', "4,4'-Bis(dimethylamino)benzophenone (Michler's ketone)", 'di4-(dimethylamino)phenyl ketone', 'CAS-90-94-8', "4,4'-Bis(dimethylamino)benzophenone, 98%", 'Michler;s ke', 'bis(4-dimethylaminophenyl)methanone', 'PubChem3393', "Michler's ketone, 98%", 'ACMC-209r7n', 'Oprea1_244376', 'SCHEMBL36517', 'MLS000521340', 'CHEMBL15137', 'p,N-dimethylamino)benzophenone', 'di-p-dimethylaminophenyl ketone', '(Tetramethyldiamino)benzophenone', 'di-p-dimethylaminophenyl  ketone', 'DTXSID2020894', 'CTK5G8674', 'ZINC56456', "4,4'-bisdimethylaminobenzophenone", 'WLN: 1N1&amp;R D- 2V', 'HMS2464F09', "p,p'-Tetramethyldiaminobenzophenone", "4,4'-bis-dimethylaminobenzophenone", "4,4'-di(Dimethylamino)benzophenone", "4,4'-tetramethyldiaminobenzophenone", 'KS-00000V0N', 'NSC-9602', 'Tox21_202416', 'Tox21_300279', '4,4[-Bis(dimethylamino)benzophenone', '6399AF', 'ANW-39537', "Benzophenone,4'-bis(dimethylamino)-", 'SBB056915', 'STK366752', "4,4'-bis(dimethylamino)-benzophenone", "(4,4'-Tetramethyldiamino)benzophenone", "4,4\\'-Bis(dimethylamino)benzophenone", 'AKOS000118727', '4,4;-Bis-(dimethylamino)-benzophenone', 'bis[4-(Dimethylamino)phenyl]-methanone', 'CCG-202851', 'LS-1914', 'MCULE-5301682464', 'NE10570', 'NCGC00164065-01', 'NCGC00164065-02', 'NCGC00164065-03', 'NCGC00254018-01', 'NCGC00259965-01', 'SC-54093', 'SMR000131748', 'B0481', 'EU-0033215', 'FT-0628941', 'NS00010897', 'ST50308462', 'C19266', "N,N',N'-Tetramethyl-4,4'-diaminobenzophenone", 'AE-641/00375021', 'Q418109', 'SR-01000596911', 'SR-01000596911-1', 'W-100322', 'MICHLERS KETONE (TETRAMETHYLDIAMINOBENZOPHENONE)', 'F0722-8838', "Michler's ketone, certified reference material, TraceCERT(R)", "4,4-bis(dimethylamino)benzophenone;4,4'-bis(dimethylamino)benzophenone (Michlers ketone);4,4'-bis(dimethylamino)benzophenone"]</t>
  </si>
  <si>
    <t>Compound(7031)</t>
  </si>
  <si>
    <t>C17H20N2O</t>
  </si>
  <si>
    <t>tetramethanol-acetylenediurea</t>
  </si>
  <si>
    <t>1,3,4,6-tetrakis(hydroxymethyl)-3a,6a-dihydroimidazo[4,5-d]imidazole-2,5-dione</t>
  </si>
  <si>
    <t>['5395-50-6', 'Tetramethylol acetylenediurea', '1,3,4,6-Tetrakis(hydroxymethyl)tetrahydroimidazo[4,5-d]imidazole-2,5(1H,3H)-dione', 'Tetramethylolglycoluril', 'Fixapret 140', 'Tetramethylol acetylene diuriene', 'Tetrakis(hydroxymethyl)glycoluril', 'UNII-3BH30G5P9H', 'tetramethylol glycoluril', '1,3,4,6-tetrakis(hydroxymethyl)-3a,6a-dihydroimidazo[4,5-d]imidazole-2,5-dione', '3BH30G5P9H', 'NSC3319', 'Glycoluril, 1,3,4,6-tetrakis(hydroxymethyl)-', 'NSC67452', 'Imidazo[4,5-d]imidazole-2,5(1H,3H)-dione, tetrahydro-1,3,4,6-tetrakis(hydroxymethyl)-', 'AK110740', 'W-105690', '1,3,4,6-Tetrakis(hydroxymethyl)tetrahydroimidazo-[4,5-d]imidazole-2,5(1H,3H)-dione', 'Imidazo(4,5-d)imidazole-2,5(1H,3H)-dione, tetrahydro-1,3,4,6-tetrakis(hydroxymethyl)-', 'tetrahydro-1,3,4,6-tetrakis(hydroxymethyl)imidazo[4,5-d]imidazole-2,5(1h,3h)-dione', 'Glycoluril,3,4,6-tetrakis(hydroxymethyl)-', "N,N'',N'''-Tetrakis(hydroxymethyl)glycoluril", 'NSC 3319', 'Imidazo[4,5(1H,3H)-dione, tetrahydro-1,3,4,6-tetrakis(hydroxymethyl)-', 'C8H14N4O6', 'Tetrahydro-1,3,4,6-tetrakis(hydroxymethyl)imidazo(4,5-d)imidazole-2,5(1H,3H)-dione', 'EINECS 226-408-0', 'NSC 67452', 'AI3-22154', 'NCIOpen2_003449', 'Tetramethylol acetylene diurea', "N,N',N'',N'''-Tetrakis(hydroxymethyl)glycoluril", 'SCHEMBL198235', 'Tetramethylolacetylendiharnstoff', 'DTXSID8063830', 'NSC-3319', 'ZINC1666711', 'NSC-67452', 'AKOS015914920', 'KS-000000Z4', 'AS-15207', 'O477', 'SC-25565', 'AX8041777', 'FT-0656470', 'NS00001583', 'ST50979914', '395T506', 'A829856', "N,N',N'', N'''-Tetrakis(hydroxymethyl)glycoluril", 'Q27257006', 'UNII-3BH30G5P9H component UUGLSEIATNSHRI-IZLXSQMJSA-N', 'UNII-3BH30G5P9H component UUGLSEIATNSHRI-OLQVQODUSA-N', '{Imidazo[4,5-d]imidazole-2,5(1H,3H)-dione,} tetrahydro-1,3,4, 6-tetrakis(hydroxymethyl)-', 'Tetrahydro-1,3,4,6-tetrakis(hydroxymethyl)imidazo[4,5-d]imidazole-2,5(1H,3H)- dione', '1,3,4,6-tetrakis(hydroxymethyl)-1,3,4,6,3a,6a-hexahydro-1,3,4,6-tetraazapental ene-2,5-dione', 'Fixapret 140 / Tetrahydro-1,3,4,6-tetrakis(hydroxymethyl)imidazo[4,5-d]imidazole-2,5(1H,3H)-dione', 'Tetrahydro-1,3,4,6-tetrakis(hydroxymethyl)imidazo[4,5-d]imidazole-2,5(1H,3H)-dione;TETRAMETHYLOLGLYCOLURIL;tetrahydro-1,3,4,6-tetrakis(hydroxymethyl)imidazo[4,5-d]imidazole-2,5(1H,3H)-dione;Tetrahydro-1,3,4,6-tetrakis(hydroxymethyl)imidazo[4,5-d]imidazole-2,5(1H,3H)- dione']</t>
  </si>
  <si>
    <t>Compound(79372)</t>
  </si>
  <si>
    <t>C8H14N4O6</t>
  </si>
  <si>
    <t>tetramethylbenzene</t>
  </si>
  <si>
    <t>tetramethylammonium chloride</t>
  </si>
  <si>
    <t>tetramethylazanium;chloride</t>
  </si>
  <si>
    <t>['TETRAMETHYLAMMONIUM CHLORIDE', '75-57-0', 'Tetramethyl ammonium chloride', 'Tetramine chloride', 'USAF AN-8', 'N,N,N-Trimethylmethanaminium chloride', 'Methanaminium, N,N,N-trimethyl-, chloride', 'UNII-DCQ9S88703', 'EINECS 200-880-8', 'AI3-19012', 'CHEBI:7070', '9050-97-9', 'Ammonium, tetramethyl-, chloride', 'DCQ9S88703', 'Tetramethylammonium chloride (TMACL)', 'MFCD00011628', 'Methanaminium, N,N,N-trimethyl-, chloride (1:1)', 'Tetramethylammonium chloride, 98+%', 'tetramethylazanium chloride', 'Amberlite(R) IRA-900, Cl-form, ion-exchange resin', 'HSDB 7987', 'Me4NCl', 'ACMC-209oyy', '(Me)4NCl', 'tetramethylammoniumchloride', 'tetramethylamonium chloride', 'DSSTox_CID_1749', 'EC 200-880-8', 'AMBERLITE IRA-900', 'tetra-methylammonium chloride', 'tetramethyl-ammonium chloride', 'DSSTox_RID_76303', 'DSSTox_GSID_21749', 'SCHEMBL35736', 'KSC377C1L', 'CHEMBL1209651', 'DTXSID6021749', 'CTK2H7115', 'ACT05647', 'BCP24457', 'KS-000000CI', 'STR05669', 'Tox21_200660', 'ANW-36632', 'AKOS015833138', 'CS-W013670', 'JC10020', 'MP-2118', 'CAS-75-57-0', 'NCGC00258214-01', 'AK106163', 'DA-18304', 'LS-19049', 'SC-18259', 'Tetramethylammonium chloride (nom. Conc.)', 'DB-050419', 'FT-0659748', 'C11335', '74325-EP2295438A1', '74325-EP2308857A1', 'TETRAMETHYLAMMONIUM CHLORIDE(NOM. CONC.)', 'Amberlite(R) IRA-900 chloride form, chloride form', 'J-524887', 'Q2667590', 'Amberlite(R) IRA-900 chloride form, chloride form, strongly basic, 20-50 mesh']</t>
  </si>
  <si>
    <t>Compound(6379)</t>
  </si>
  <si>
    <t>C4H12ClN</t>
  </si>
  <si>
    <t>tetraethyl lead</t>
  </si>
  <si>
    <t>tetraethylplumbane</t>
  </si>
  <si>
    <t>['Tetraethyllead', 'Plumbane, tetraethyl-', 'TETRAETHYL LEAD', 'Tetraethylplumbane', 'Lead tetraethyl', '78-00-2', 'Tetra(methylethyl)lead', 'Czteroetylek olowiu', 'Lead, tetraethyl-', 'Tetraethylolovo', 'Lead tetraethide', 'Piombo tetra-etile', 'RCRA waste number P110', 'NCI-C54988', 'Tetraethylolovo [Czech]', 'Tel-tml, reacted', 'NSC 22314', 'Czteroetylek olowiu [Polish]', 'Piombo tetra-etile [Italian]', 'UNII-13426ZWT6A', 'CCRIS 1565', 'HSDB 841', 'Tetraethyllead, liquid', 'Tetraethyl lead, liquid', 'EINECS 201-075-4', 'NA1649', 'RCRA waste no. P110', 'BRN 3903146', '13426ZWT6A', 'TEL', 'Bleitetraethyl', 'PbEt4', '[PbEt4]', 'EC 201-075-4', '4-04-00-04349 (Beilstein Handbook Reference)', 'NA 1649 (Salt/Mix)', 'UN 1649 (Salt/Mix)', '(C2H5)4Pb', 'Tetraethyllead, &gt;=99.99%', 'DTXSID7023801', 'CHEBI:30182', 'CTK2H7619', 'MRMOZBOQVYRSEM-UHFFFAOYSA-', 'NSC22314', 'NSC-22314', 'WLN: 2-PB-2&amp;2&amp;2', 'LS-1741', 'Tetraethyl lead, liquid [NA1649] [Poison]', 'Tetraethyl lead, liquid [NA1649]  [Poison]', 'tetraethyllead;Tetraethyllead;Lead, tetraethyl-', 'Q266210']</t>
  </si>
  <si>
    <t>Compound(6511)</t>
  </si>
  <si>
    <t>C8H20Pb</t>
  </si>
  <si>
    <t>tetraethylenepentamine</t>
  </si>
  <si>
    <t>N'-[2-[2-(2-aminoethylamino)ethylamino]ethyl]ethane-1,2-diamine</t>
  </si>
  <si>
    <t>['TETRAETHYLENEPENTAMINE', '112-57-2', 'Tetren', '1,4,7,10,13-Pentaazatridecane', 'Tetraethylene pentamine', '3,6,9-Triazaundecamethylenediamine', 'Tetraethylpentylamine', '1,11-Diamino-3,6,9-triazaundecane', '3,6,9-Triazaundecane-1,11-diamine', 'DEH 26', 'UNII-YZD1C9KQ28', 'NSC 88603', "1,2-Ethanediamine, N-(2-aminoethyl)-N'-[2-[(2-aminoethyl)amino]ethyl]-", 'CCRIS 6275', 'HSDB 5171', 'EINECS 203-986-2', 'UN2320', 'BRN 0506966', 'YZD1C9KQ28', "N-(2-aminoethyl)-N'-{2-[(2-aminoethyl)amino]ethyl}ethane-1,2-diamine", 'AI3-10049', 'CHEBI:49798', 'NCGC00090964-02', 'DSSTox_CID_6108', 'N-(2-Aminoethyl)-N-(2-((2-aminoethyl)amino)ethyl-1,2-ethanediamine)', 'Tetraethylenepentamine [UN2320] [Corrosive]', "1,2-Ethanediamine, N-(2-aminoethyl)-N'-(2-((2-aminoethyl)amino)ethyl)-", '1,2-Ethanediamine, N1-(2-aminoethyl)-N2-[2-[(2-aminoethyl)amino]ethyl]-', 'DSSTox_RID_78020', 'DSSTox_GSID_26108', 'Tetraethylenepentamine, tech.', 'J-503958', 'TETRAEN', '(2-aminoethyl)[2-({2-[(2-aminoethyl)amino]ethyl}amino)ethyl]amine', 'CAS-112-57-2', 'PAW', 'Tetrene', 'Poly[imino(1,2-ethanediyl)]', '1,2-Ethanediamine, N1-(2-aminoethyl)-N2-(2-((2-aminoethyl)amino)ethyl)-', "n-(2-aminoethyl)-n'-(2-((2-aminoethyl)amino)ethyl)-1,2-ethanediamine", "N-(2-aminoethyl)-N'-[2-[(2-aminoethyl)amino]ethyl]-1,2-ethanediamine", 'Tetraethylenpentamin', 'Tetraethylenpentamine', 'Texlin 400', 'tetraethylene pentaamine', '1,6,9-triazaundecane', 'Tetraethylenepentamine, CP', 'ACMC-209u0l', 'NCIOpen2_001402', 'SCHEMBL15797', 'WLN: Z2M2M2M2Z', '4-04-00-01244 (Beilstein Handbook Reference)', 'KSC178M7H', 'MLS000028888', 'BIDD:ER0305', 'CHEMBL138297', 'Tetraethylenepentamine(socalled)', '1,7,10,13-Pentaazatridecane', 'DTXSID7026108', 'CTK0H8673', '3,9-Triazaundecane-1,11-diamine', 'NSC88603', 'Tox21_111047', 'Tox21_200669', 'ANW-43171', 'D.E.H. 26', 'LS-557', 'NSC-88603', 'SBB060752', 'STL453738', 'ZINC19363537', 'AKOS015894482', 'Tetraethylenepentamine, technical grade', 'Tox21_111047_1', 'MCULE-5833194114', 'UN 2320', 'KS-000017K6', 'NCGC00090964-01', 'NCGC00090964-03', 'NCGC00090964-04', 'NCGC00258223-01', '26913-06-4', 'SC-43894', 'SMR000059212', 'FT-0657261', 'NS00009971', 'ST51046872', 'C14690', 'Tetraethylenepentamine [UN2320]  [Corrosive]', 'AB00375928_03', 'SR-01000944425', 'SR-01000944425-1', 'BRD-K41298358-395-01-8', 'Q15974770', "1, N-(2-aminoethyl)-N'-[2-[(2-aminoethyl)amino]ethyl]-", 'Phenol-formaldehyde, cross-linked, tetraethylenepentamine activated', 'N1-(2-aminoethyl)-N2-(2-(2-aminoethylamino)ethyl)ethane-1,2-diamine', 'N1-{2-[2-(2-AMINO-ETHYLAMINO)-ETHYLAMINO]-ETHYL}-ETHANE-1,2-DIAMINE']</t>
  </si>
  <si>
    <t>Compound(8197)</t>
  </si>
  <si>
    <t>C8H23N5</t>
  </si>
  <si>
    <t>tetrapropylammonium bromide</t>
  </si>
  <si>
    <t>tetrapropylazanium;bromide</t>
  </si>
  <si>
    <t>['Tetrapropylammonium bromide', '1941-30-6', 'tetra-n-Propylammonium bromide', '1-Propanaminium, N,N,N-tripropyl-, bromide', 'tetrapropylazanium bromide', 'UNII-220T63791N', 'EINECS 217-727-6', 'N,N,N-tripropylpropan-1-aminium bromide', 'Tetrapropylammonium bromide (TPABR)', '1-Propanaminium, N,N,N-tripropyl-, bromide (1:1)', 'MFCD00011840', 'AK106156', '220T63791N', 'tetra propyl ammonium bromide', 'Tetrapropylammonium bromide, 98%', 'N,N,N-tripropyl-1-propanaminium bromide', 'Tetrapropyl ammonium bromide', 'ACMC-209exy', 'Tripropyl ammonium bromide', 'DSSTox_CID_6130', 'EC 217-727-6', 'C12H28BrN', 'DSSTox_RID_78029', 'DSSTox_GSID_26130', 'SCHEMBL82922', 'KSC174O1T', 'CHEMBL3561370', 'DTXSID9026130', 'CHEBI:55318', 'CTK0H4719', 'BCP24456', 'ZX-AT021984', 'Tox21_301504', 'ANW-23636', 'LS-970', 'AKOS015907873', 'DS-3414', 'JC10017', 'KS-00000H63', 'NCGC00255238-01', 'TETRAPROPYLAMMONIUM BROMIDE extrapure', 'ACM1941306|1', 'CAS-1941-30-6', 'DB-050408', 'FT-0651983', 'N,N,N-tripropyl-1-propanaminium bromide (1:1)', 'A813701', 'J-012572', 'J-524898', 'Q27124224']</t>
  </si>
  <si>
    <t>Compound(74745)</t>
  </si>
  <si>
    <t>C12H28BrN</t>
  </si>
  <si>
    <t>tetrabutylammonium chloride</t>
  </si>
  <si>
    <t>tetrabutylazanium;chloride</t>
  </si>
  <si>
    <t>['Tetrabutylammonium chloride', '1112-67-0', 'Tetrabutyl ammonium chloride', 'Tetra-N-butylammonium chloride', 'TBAC', '1-Butanaminium, N,N,N-tributyl-, chloride', 'tetrabutylammoniumchloride', 'tetrabutylazanium chloride', '1-Butanaminium, N,N,N-tributyl-, chloride (1:1)', 'N,N,N-tributyl-1-butanaminium chloride', 'tetra-butyl ammonium chloride', 'CHEBI:51988', 'N,N,N-tributylbutan-1-aminium chloride', 'MFCD00011635', 'AK164110', 'Tetrabutylammonium chloride, 95%, tech., contains also bromide', 'nBu4NCl', 'EINECS 214-195-7', 'Bu4NCl', 'n-Bu4NCl', 'IPC-TBA-Cl', 'tetrabutylammoniumchlorid', '(n-Bu)4NCl', '(Bu)4NCl', 'tetrabuylammonium chloride', 'tetra-butylammonium chloride', 'tetrabutyl-ammonium chloride', 'C16H36ClN', 'SCHEMBL9117', 'tetra butyl ammonium chloride', 'KSC496G3J', 'tetra n-butylammonium chloride', 'tetra n-butyl ammonium chloride', 'tetra(n-butyl)ammonium chloride', 'tetra-n-butyl ammonium chloride', 'tetra-n-butyl-ammonium chloride', 'CHEMBL1078612', 'CTK3J6334', 'tetra-(n-butyl)ammonium chloride', 'DTXSID10883644', 'ACMC-209993', 'ACN-S003618', 'KS-00000W1L', 'STR06155', 'ZX-AT015863', 'ZX-AT021987', 'ANW-16261', 'AKOS015833149', 'CS-W010069', 'JC10050', 'Tetra butyl ammonium chloride 50 % soln', 'CC-34831', 'DA-17483', 'SC-19086', 'FT-0651730', 'I0366', 'K-0921', 'A802333', 'A824632', 'C-17475', 'Tetrabutylammonium chloride 50% solution in water', 'TETRABUTYLAMMONIUM CHLORIDE, 1.0 M AQUEOUS', 'Tetrabutylammonium chloride, 50% aqueous solution', 'Q27123074', 'N,N,N-TRIBUTYL-1-BUTANAMINIUMCHLORIDE HYDRATE;TBAC HYDRATE;TETRA-N-BUTYLAMMONIUM CHLORIDE HYDRATE;TETRABUTYL AMMONIUM CHLORIDE HYDRATE;TETRABUTYLAMMONIUM CHLORIDE MONOHYDRATE;Tetrabutyl ammonium chloride']</t>
  </si>
  <si>
    <t>Compound(70681)</t>
  </si>
  <si>
    <t>C16H36ClN</t>
  </si>
  <si>
    <t>tetrabutylstannane</t>
  </si>
  <si>
    <t>['TETRABUTYLTIN', 'Tetrabutylstannane', '1461-25-2', 'Tetra-n-butyltin', 'Stannane, tetrabutyl-', 'Tin, tetrabutyl-', 'Tetra-N-butylcin', 'Tetra-n-butylcin [Czech]', 'UNII-QJ7Y5V377V', 'CCRIS 6322', 'HSDB 6074', 'EINECS 215-960-8', 'NSC 22330', 'NSC 28131', 'NSC 65524', 'BRN 3648237', 'QJ7Y5V377V', 'Tetra-n-butyltin, 96%', 'EN300-93667', 'WLN: 4-SN-4&amp;4&amp;4', 'Tetra-Normal-Butyltin', 'Tetra-N-butylcin  [Czech]', 'C16H36Sn', 'tetrabutyl tin', 'Tin, tetrabutyl', 'Tetrabutyl tin ion', 'Tin tetra-n-butyl', 'Bu4Sn', 'MFCD00009422', 'DSSTox_CID_2153', 'EC 215-960-8', 'ACMC-1C25D', 'DSSTox_RID_76505', 'NCIOpen2_008184', 'DSSTox_GSID_22153', 'KSC179S7H', '(C4H9)4Sn', 'DTXSID4022153', 'CTK0H9973', 'NSC22330', 'NSC28131', 'NSC65524', 'Tox21_302893', '7236AA', 'ANW-20987', 'NSC-22330', 'NSC-28131', 'NSC-65524', 'Tetrabutyltin, technical grade, 93%', 'AKOS016010486', 'ZINC169743017', 'NCGC00164231-01', 'NCGC00256589-01', 'Terbutyltin 1000 microg/mL in Methanol', 'CAS-1461-25-2', 'Tetrabutyltin 10 microg/mL in Cyclohexane', 'LS-146607', 'NS00044159', 'Q425214', 'tetrabutyltin;Stannane, tetrabutyl-;Tetrabutyltin (TTBT)']</t>
  </si>
  <si>
    <t>Compound(15098)</t>
  </si>
  <si>
    <t>C16H36Sn</t>
  </si>
  <si>
    <t>tetrachlorobenzene</t>
  </si>
  <si>
    <t>tetrachloromethane (tetra)</t>
  </si>
  <si>
    <t>tetrachloromethane</t>
  </si>
  <si>
    <t>['CARBON TETRACHLORIDE', 'Tetrachloromethane', '56-23-5', 'Perchloromethane', 'Tetrasol', 'Methane, tetrachloro-', 'Vermoestricid', 'Benzinoform', 'Necatorine', 'Tetrafinol', 'Carbona', 'Univerm', 'Carbon tet', 'Methane tetrachloride', 'Flukoids', 'Necatorina', 'Tetraform', 'Carbon chloride', 'Tetrachlormethan', 'Tetrachloormetaan', 'Tetrachlorocarbon', 'Freon 10', 'carbontetrachloride', 'CCl4', 'Tetraclorometano', 'Tetrachloorkoolstof', 'Czterochlorek wegla', 'Halon 1040', 'Carbon chloride (CCl4)', 'Chlorid uhlicity', 'R 10 (Refrigerant)', 'Tetrachlorure de carbone', 'Tetracloruro di carbonio', 'Refrigerant R10', 'RCRA waste number U211', 'Tetrachlorkohlenstoff, tetra', 'HSDB 53', 'Caswell No. 164', 'ENT 4,705', 'Thawpit', 'Tetra', 'CC m0', 'Chlorid uhlicity [Czech]', 'Tetrachlormethan [German]', 'R 10', 'Tetraclorometano [Italian]', 'Tetrachloorkoolstof [Dutch]', 'tetrachloro-methane', 'UNII-CL2T97X0V0', 'ENT 27164', 'NSC 97063', 'Czterochlorek wegla [Polish]', 'CCRIS 123', 'Carbon tetrachloride [BSI:ISO]', 'CHEBI:27385', 'Halon 104', 'Tetrachlorure de carbone [French]', 'Tetracloruro di carbonio [Italian]', 'EINECS 200-262-8', 'UN1846', 'Tetrachlorkohlenstoff, tetra [German]', 'RCRA waste no. U211', 'EPA Pesticide Chemical Code 016501', 'Tetrachlorure de carbone [ISO-French]', 'AI3-04705', 'CL2T97X0V0', 'NCGC00091016-02', 'DSSTox_CID_250', 'DSSTox_RID_75464', 'DSSTox_GSID_20250', 'CAS-56-23-5', 'Carbon tetrachloride, analytical standard', 'Kohlenstofftetrachlorid', 'Benzenoform', 'Katharin', 'Seretin', 'perchorormethane', 'tetrachorocarbon', 'tetrachlormethane', 'Carbon chloride?', 'tetrachloridocarbon', 'carbon tetracloride', 'tetra-chloromethane', 'tetrachloro methane', 'Tetrachlorom ethane', 'carbon tetrachioride', 'carbon-tetrachloride', 'F10', 'Tetrachlorkohlenstoff', 'carbon tetra-chloride', 'Cl4C', 'carbon tetra- chloride', 'Tetrachloromethane, 9CI', 'WLN: GXGGG', 'Carbon tetrachloride [NF]', 'EC 200-262-8', 'Carbon tetrachloride, 99%', 'KSC213S2D', 'CHEMBL44814', 'SCHEMBL2466909', 'CCl4, I(2)', 'DTXSID8020250', 'CTK1B3921', 'EBD9380', 'NSC97063', 'ZINC8214515', 'Tox21_111057', 'Tox21_200039', 'BDBM50237610', 'MFCD00000785', 'NSC-97063', 'AKOS015903411', 'LS-1373', 'UN 1846', 'NCGC00091016-01', 'NCGC00091016-03', 'NCGC00091016-04', 'NCGC00257593-01', 'Carbon tetrachloride [UN1846] [Poison]', 'SC-19592', 'Carbon tetrachloride [UN1846]  [Poison]', 'Carbon tetrachloride, anhydrous, &gt;=99.5%', 'Carbon tetrachloride, for HPLC, &gt;=99.9%', 'Carbon tetrachloride, reagent grade, 99.9%', 'NS00005620', 'Tetrachloromethane 100 microg/mL in Methanol', 'C07561', 'Carbon tetrachloride 100 microg/mL in Methanol', 'Carbon tetrachloride 5000 microg/mL in Methanol', 'L023972', 'Q225045', 'BRD-K24169676-001-01-1', 'F0001-1467', '39469-83-5', 'Carbon tetrachloride;carbon tetrachloride;Methane, tetrachloro-;Ethane, 1,2-dichloro-, mixt. with tetrachloromethane']</t>
  </si>
  <si>
    <t>Compound(5943)</t>
  </si>
  <si>
    <t>CCl4</t>
  </si>
  <si>
    <t>tetrachloroethane</t>
  </si>
  <si>
    <t>trichloroacetyl chloride</t>
  </si>
  <si>
    <t>2,2,2-trichloroacetyl chloride</t>
  </si>
  <si>
    <t>['TRICHLOROACETYL CHLORIDE', '76-02-8', 'Acetyl chloride, trichloro-', 'Superpalite', 'Trichloroacetochloride', '2,2,2-trichloroacetyl chloride', 'Trichloroacetic acid chloride', 'CCl3COCl', 'trichloroacetylchloride', 'NSC 190466', 'UNII-9SN86T76Y6', 'CCRIS 6764', 'HSDB 6321', 'Acetyl chloride, 2,2,2-trichloro-', 'EINECS 200-926-7', 'UN2442', 'BRN 0774120', '9SN86T76Y6', 'MFCD00000792', 'Trichloroacetyl Chloride-13C2', '165399-57-5', 'Trichloracetyl chloride', 'trichioroacetyl chloride', 'Trichloro-acetylchloride', 'tnchloro-acetyl chloride', 'trichloro acetyl chloride', 'Trichloro-acetyl chloride', 'trichloro- acetyl chloride', 'ACMC-20a48e', 'EC 200-926-7', 'DSSTox_CID_14070', 'DSSTox_RID_79109', 'DSSTox_GSID_34070', 'SCHEMBL20973', 'KSC379G1F', 'Trichloroacetyl chloride, 99%', 'CHEMBL3186657', 'DTXSID9034070', 'CTK2H9312', 'KS-00000XAX', 'STR00116', 'ZINC3875480', 'Tox21_201070', 'ANW-56412', 'NSC190466', 'STL280344', 'AKOS009029008', 'LS40687', 'MCULE-9966039366', 'NSC-190466', 'UN 2442', '2,2,2-tris(chloranyl)ethanoyl chloride', 'CAS-76-02-8', 'NCGC00090943-01', 'NCGC00090943-02', 'NCGC00258623-01', 'LS-13951', 'SC-25558', 'DB-075056', 'FT-0652957', 'FT-0675427', 'NS00009636', 'W8311', '76T028', 'Trichloroacetyl chloride [UN2442] [Corrosive]', '68122-EP2275404A1', '68122-EP2298734A2', '68122-EP2308874A1', 'Trichloroacetyl chloride [UN2442]  [Corrosive]', 'A838591', 'Q908780', 'Q-201862', 'F8881-0006', 'Trichloroacetyl chloride, for GC derivatization, &gt;=98.5%']</t>
  </si>
  <si>
    <t>Compound(6420)</t>
  </si>
  <si>
    <t>C2Cl4O</t>
  </si>
  <si>
    <t>tetrachlorethylene (per)</t>
  </si>
  <si>
    <t>1,1,2,2-tetrachloroethene</t>
  </si>
  <si>
    <t>['TETRACHLOROETHYLENE', 'Tetrachloroethene', 'Perchloroethylene', '127-18-4', 'Perc', 'Perchlorethylene', 'Ethene, tetrachloro-', 'Tetrachlorethylene', 'Ethylene tetrachloride', '1,1,2,2-Tetrachloroethylene', 'Carbon dichloride', 'Ankilostin', 'Didakene', 'Perclene', 'Tetracap', 'Tetraguer', 'Tetraleno', 'Tetralex', 'Tetropil', 'Perawin', 'Tetlen', 'Tetrachloraethen', 'PerSec', 'Carbon bichloride', 'PERK', 'Percloroetilene', 'Tetracloroetene', 'Fedal-UN', 'Tetrachlooretheen', 'Czterochloroetylen', 'Percosolve', 'Perchlor', 'Perklone', 'Tetravec', 'Tetroguer', 'Nema', '1,1,2,2-Tetrachloroethene', 'Perchloraethylen, per', 'Perchlorethylene, per', 'Perclene D', 'Dow-per', 'Dilatin PT', 'Perchloorethyleen, per', 'Antisol 1', 'Ethylene, tetrachloro-', 'Perchloroethene', 'Antisal 1', 'Rcra waste number U210', 'Percosolv', 'Nema, veterinary', 'NCI-C04580', 'Caswell No. 827', 'ENT 1,860', 'C2Cl4', 'Percloroetilene [Italian]', 'Tetrachlooretheen [Dutch]', 'Tetrachloraethen [German]', 'Tetracloroetene [Italian]', 'Perclene TG', 'UNII-TJ904HH8SN', 'Czterochloroetylen [Polish]', 'Tetrachloroethylene (IUPAC)', 'CCRIS 579', 'UN 1897', 'HSDB 124', 'Perchloorethyleen, per [Dutch]', 'Perchloraethylen, per [German]', 'Perchlorethylene, per [French]', 'Ethene, 1,1,2,2-tetrachloro-', 'NSC 9777', 'EINECS 204-825-9', 'UN1897', 'RCRA waste no. U210', 'EPA Pesticide Chemical Code 078501', 'BRN 1361721', 'TJ904HH8SN', 'AI3-01860', 'CHEBI:17300', 'MFCD00000834', 'Tetrachloroethylene, 99%, extra pure', 'Tetrachloroethylene, 99+%, for HPLC', 'Tetrachloroethene 100 microg/mL in Methanol', 'Tetrachloroethylene, 99+%, spectrophotometric grade', 'Tetrachloroethylene [USP]', 'Tetrachlorathen', 'Dowper', 'Perchlorothylene', 'perawi n', 'Tetrochloroethane', 'tetrachloro-ethene', 'tetrachloro-ethylene', 'Nema (VAN)', 'WLN: GYGUYGG', 'ACMC-209tch', 'Freon 1110', 'Tetrachlooretheen(DUTCH)', 'Tetrachloraethen(GERMAN)', 'Percloroetilene(ITALIAN)', 'Tetracloroetene(ITALIAN)', 'DSSTox_CID_1319', 'bmse000633', 'Czterochloroetylen(POLISH)', 'EC 204-825-9', '1,2,2-Tetrachloroethylene', 'DSSTox_RID_76079', 'DSSTox_GSID_21319', 'SCHEMBL23022', '4-01-00-00715 (Beilstein Handbook Reference)', 'KSC492C1P', 'BIDD:ER0346', '1,1,2,2-tetrachloro-ethene', 'Perchloorethyleen, per(DUTCH)', 'Perchloraethylen, per(GERMAN)', 'Perchlorethylene, per(FRENCH)', 'Perchloroethylene Reagent Grade', 'CHEMBL114062', '1,1,2, 2-Tetrachloroethylene', 'DTXSID2021319', 'Tetrachloroethylene, &gt;=99.5%', 'CTK3J2117', 'NSC9777', 'NSC-9777', 'ZINC8214691', '1,1,2,2-tetrakis(chloranyl)ethene', 'Tox21_201196', 'ANW-42303', 'LS-710', 'AKOS009031593', 'MCULE-3770837074', 'NE10055', 'Tetrachloroethylene, analytical standard', 'Tetrachloroethylene, anhydrous, &gt;=99%', 'KS-00000W68', 'NCGC00090944-01', 'NCGC00090944-02', 'NCGC00090944-03', 'NCGC00258748-01', 'Tetrachloroethylene [UN1897] [Poison]', 'CAS-127-18-4', 'SC-22679', 'Tetrachloroethylene [UN1897]  [Poison]', 'Tetrachloroethylene, for HPLC, &gt;=99.9%', 'Tetrachloroethylene, ReagentPlus(R), 99%', 'DB-041854', 'Tetrachloroethylene, for synthesis, 99.0%', 'FT-0631739', 'FT-0674946', 'NS00004674', 'S0641', 'Tetrachloroethylene, ACS reagent, &gt;=99.0%', 'EN300-19890', 'Tetrachloroethene 1000 microg/mL in Methanol', 'Tetrachloroethene 5000 microg/mL in Methanol', 'C06789', 'F 1110', '1,1,2,2-Tetrachloroethylene (ACD/Name 4.0)', '33441-EP2275417A2', '33441-EP2284162A2', '33441-EP2284163A2', '33441-EP2311815A1', '74304-EP2295399A2', '74304-EP2308857A1', '74304-EP2380568A1', 'Tetrachloroethylene, SAJ first grade, &gt;=98.0%', 'A805656', 'Q410772', 'Tetrachloroethylene, SAJ special grade, &gt;=99.0%', 'J-524851', 'Tetrachloroethylene, UV HPLC spectroscopic, 99.9%', 'BRD-K68386748-001-01-2', 'F0001-0391', 'Density Standard 1623 kg/m3, H&amp;D Fitzgerald Ltd. Quality', 'tetrachloroethylene;Perchloroethylene;Ethene, tetrachloro-;perchloroethylene']</t>
  </si>
  <si>
    <t>Compound(31373)</t>
  </si>
  <si>
    <t>C2Cl4</t>
  </si>
  <si>
    <t>tetrachloronaphthalene</t>
  </si>
  <si>
    <t>1,2,3,4-tetrachloronaphthalene</t>
  </si>
  <si>
    <t>['1,2,3,4-TETRACHLORONAPHTHALENE', '20020-02-4', 'Nibren wax', 'Seekay wax', 'Naphthalene, 1,2,3,4-tetrachloro-', 'TETRACHLORONAPHTHALENE', 'Napthalene, 1,2,3,4-tetrachloro-', 'C10H4Cl4', 'CCRIS 5937', 'UNII-365DE4737Q', 'HSDB 4283', 'NSC 524443', 'AI3-26504', '365DE4737Q', '1335-88-2', 'Naphthalene,tetrachloro-', 'SCHEMBL526943', 'DTXSID5026095', 'Tetrachloronapthalene (PCN 27)', 'CTK4B8618', 'ZINC394777', '6750AD', 'LS-981', 'NSC524443', 'AKOS015849892', 'MCULE-5119708489', 'NSC-524443', 'NAPHTHALENE,1,2,3,4-TETRACHLORO-', 'NS00045347', 'J-012949', 'Q27256527', '1,2,3,4-Tetrachloronaphthalene 10 microg/mL in Isooctane', '1,2,3,4-Tetrachloronaphthalene 100 microg/mL in Cyclohexane', '1,2,3,4-Tetrachloronaphthalene solution, 10 ng/muL in cyclohexane, analytical standard']</t>
  </si>
  <si>
    <t>Compound(29910)</t>
  </si>
  <si>
    <t>C10H4Cl4</t>
  </si>
  <si>
    <t>tetrachlorvinphos (mixed isomers)</t>
  </si>
  <si>
    <t>[(Z)-2-chloro-1-(2,4,5-trichlorophenyl)ethenyl] dimethyl phosphate</t>
  </si>
  <si>
    <t>['Tetrachlorvinphos', 'STIROFOS', 'Gardona', 'Stirophos', '22248-79-9', 'Rabon', 'cis-Gardona', '(Z)-Tetrachlorvinphos', 'Z-Tetrachlorvinphos', 'CVMP', 'Debantic', 'Dietreen', 'Gardcide', 'Stitifos', 'Rabond', 'Vinfos', 'Appex', 'Tetrachlorvinfos', 'Dust M', '(Z)-Tetrachlorovinphos', 'Gordona', 'Stirifos', 'UNII-DM33MW89QU', 'Stirofos [USAN]', '2-Chloro-1-(2,4,5-trichlorophenyl)vinyl dimethyl phosphate', '(Z)-2-Chloro-1-(2,4,5-trichlorophenyl)vinyl dimethyl phosphate', 'Shell SD 8447', 'ENT 25,841', 'SD 8447', 'DM33MW89QU', 'Phosphoric acid, 2-chloro-1-(2,4,5-trichlorophenyl)ethenyl dimethyl ester, (Z)-', '961-11-5', 'CHEBI:35005', 'Stirofos (USAN)', '(Z)-2-Chloro-1-(2,4,5-trichlorophenyl)ethenyl dimethyl phosphate', 'Phosphoric acid, (1Z)-2-chloro-1-(2,4,5-trichlorophenyl)ethenyl dimethyl ester', 'Phosphoric acid, 2-chloro-1-(2,4,5-trichlorophenyl)vinyl dimethyl ester, (Z)-', 'C10H9Cl4O4P', 'Tetrachlorvinphos [BSI:ISO]', 'HSDB 4066', 'OMS-595', 'NCI-C00168', 'EINECS 244-865-4', '(1Z)-2-chloro-1-(2,4,5-trichlorophenyl)ethenyl dimethyl phosphate', 'BRN 2223784', 'ROL', 'Tetrachlorvinphos (Gardona)', 'Dimethyl-1-(2,4,5-trichlorophenyl)-2-chlorovinyl phosphate', 'Dimethyl 2,4,5-trichloro-alpha-(chloromethylene)benzyl phosphate', 'CCRIS 8082', "O-(2-Chlor-1-(2,4,5-trichlorophenyl)vinyl)-O',O''-dimethylphosphate", '2,4,5-Trichloro-alpha-(chloromethylene)benzyl alcohol, dimethyl phosphate', '2-Chloro-1-(2,4,5-trichlorophenyl)vinyl phosphoric acid dimethyl ester', 'cis-Tetrachlorvinphos', 'PubChem16467', 'Tetrachlorvinphos, (Z)', 'DSSTox_CID_28132', 'DSSTox_RID_79024', 'DSSTox_GSID_32648', 'SCHEMBL27470', 'BIDD:ER0420', 'Tetrachlorvinphos (Dietreen T)', 'CHEMBL1452359', 'DTXSID1032648', 'Tox21_301751', 'ZINC13783166', 'ACM22248799', 'NCGC00090844-01', 'NCGC00090844-02', 'NCGC00090844-03', 'NCGC00255177-01', 'CAS-22248-79-9', 'Tetrachlorvinphos 10 microg/mL in Isooctane', 'X6730', 'C14513', 'D05929', '961T115', 'Tetrachlorvinphos, PESTANAL(R), analytical standard', 'Q27887626', 'tetrachlorvinphos;Tetrachlorvinphos = Gardona;Z-Tetrachlorvinphos']</t>
  </si>
  <si>
    <t>Compound(5284462)</t>
  </si>
  <si>
    <t>C10H9Cl4O4P</t>
  </si>
  <si>
    <t>1,2,4-trichloro-5-(4-chlorophenyl)sulfonylbenzene</t>
  </si>
  <si>
    <t>['TETRADIFON', '116-29-0', 'Tetradichlone', 'Duphar', 'Akaritox', 'Polacaritox', 'Roztoczol', 'Roztozol', 'Tetradiphon', 'Tetrafidon', 'Aredion', 'Mition', 'Tedion', 'Roztoczol extra', "2,4,5,4'-Tetrachlorodiphenyl sulfone", '1,2,4-Trichloro-5-((4-chlorophenyl)sulfonyl)benzene', 'Aracnol K', 'Childion', 'Dorvert', 'Tedane', 'Tedion V-18', 'Tedane Combi', 'Turbair Acaricide', "2,4,4',5-Tetrachlorodiphenyl sulfone", 'Caswell No. 836', '4-Chlorophenyl 2,4,5-trichlorophenyl sulfone', 'UNII-TIP8EA8VTS', 'FMC 5488', 'NIA 5488', '1,2,4-Trichloro-5-[(4-chlorophenyl)sulfonyl]benzene', 'p-Chlorophenyl 2,4,5-trichlorophenyl sulfone', "2,4,5,4'-Tetrachlorodiphenylsulphone", 'ENT 23,737', 'Tetradifon [ANSI:BSI:ISO]', 'CCRIS 4026', "Sulfone, 2,4,4',5-tetrachlorodiphenyl", '1,2,4-trichloro-5-(4-chlorophenyl)sulfonylbenzene', 'V-18', 'HSDB 1773', 'TIP8EA8VTS', 'Benzene, 1,2,4-trichloro-5-[(4-chlorophenyl)sulfonyl]-', 'p-Chlorophenyl 2,4,5-trichlorophenyl sulphone', 'Sulfone, p-chlorophenyl 2,4,5-trichlorophenyl', 'EINECS 204-134-2', "3,4,6,4'-Tetrachlor-diphenylsulfon", "2,4,4',5-Tetrachloor-difenyl-sulfon", "2,4,4',5-Tetrachlor-diphenyl-sulfon", "2,4,4',5-Tetracloro-difenil-solfone", 'EPA Pesticide Chemical Code 079202', "2,4,4',5-Tetrachlorodiphenyl sulphone", 'BRN 2292528', 'AI3-23737', 'CHEBI:39330', 'p-Chlorophenyl-2,4,5-trichlorophenyl sulfone', "2,4,4',5-Tetrachloor-difenyl-sulfon [Dutch]", "3,4,6,4'-Tetrachlor-diphenylsulfon [German]", '4-Chlorophenyl 2,4,5-trichlorophenyl sulphone', "2,4,4',5-Tetrachlor-diphenyl-sulfon [German]", "2,4,4',5-Tetracloro-difenil-solfone [Italian]", "2,4,4',5-Tetrachlorodiphenyl sulphone (british)", 'Benzene, 1,2,4-trichloro-5-((4-chlorophenyl)sulfonyl)-', 'DSSTox_CID_1316', 'DSSTox_RID_76076', 'DSSTox_GSID_21316', 'CAS-116-29-0', 'Acarvin', 'Mitifon', 'Acaroil TD', 'Agrex T-7.5', 'SCHEMBL27902', 'Tetradifon, analytical standard', 'CHEMBL437926', 'DTXSID7021316', 'CTK8E8284', 'MLGCXEBRWGEOQX-UHFFFAOYSA-', 'Sulfone, p-chlorophenyl 2,4,5-trichlorophenyl (7CI)(8CI)', 'ZINC2041031', 'Tox21_202396', 'Tox21_302766', 'AKOS015960875', 'LS-7716', 'Tetradifon 10 microg/mL in Cyclohexane', 'NCGC00163708-01', 'NCGC00163708-02', 'NCGC00163708-03', 'NCGC00256511-01', 'NCGC00259945-01', 'Tetradifon 100 microg/mL in Cyclohexane', 'AC-12472', 'CC-34854', 'S354', 'AX8153331', 'DB-041307', 'HY-119725', 'CS-0077874', 'FT-0603317', 'NS00002806', 'Tetradifon, PESTANAL(R), analytical standard', 'C18451', 'p-Chlorophenyl, 2,4,5-trichlorophenyl sulfone', '116T290', 'C-20770', 'Q413684', '1,2,4-trichloro-5-(4-chlorophenylsulfonyl)benzene', 'J-003419', 'Sulfone, p-chlorophenyl 2,4,5-trichlorophenyl (7CI)']</t>
  </si>
  <si>
    <t>Compound(8305)</t>
  </si>
  <si>
    <t>C12H6Cl4O2S</t>
  </si>
  <si>
    <t>tetrafluoroethylene</t>
  </si>
  <si>
    <t>1,1,2,2-tetrafluoroethene</t>
  </si>
  <si>
    <t>['TETRAFLUOROETHYLENE', 'Tetrafluoroethene', 'Perfluoroethylene', 'Perfluoroethene', '116-14-3', 'Ethene, tetrafluoro-', '1,1,2,2-Tetrafluoroethylene', 'Fluoroplast 4', 'Ethylene, tetrafluoro-', 'C2F4', 'Perfluoraethylen', 'Tetrafluoraethen', 'Tetrafluorethene', 'Tetrafluoraethylen', 'Tetrafluoroethylene monomer', 'UNII-OMW63Z518S', 'CCRIS 7738', 'HSDB 844', 'Ethene, 1,1,2,2-tetrafluoro-', 'EINECS 204-126-9', 'UN1081', '9002-84-0', 'F2C=CF2', 'OMW63Z518S', 'CHEBI:38866', 'Polytetrafluoroethylene', '1,1,2,2-tetrafluoroethene', 'Polytef', 'Tetrafluorethylene', 'tetrafluoro ethene', 'TEFLON', 'Tetrafluoroethene (9CI)', 'EC 204-126-9', 'MS-122 (Salt/Mix)', 'Tetrafluoroethyl methyl ether', 'Tetrafluoroethylene, inhibited', 'UN 1081 (Salt/Mix)', 'CHEMBL541730', 'DTXSID6021325', 'Ethene,1,1,2,2-tetrafluoro-', 'CTK4A9642', '1,1,2,2-tetrakis(fluoranyl)ethene', 'LS-580', 'MFCD00084455', 'ZINC40454334', 'Tetrafluorethylene telomer (Salt/Mix)', 'AKOS006227790', 'PTFE sheet, 0.81mm (0.031in) thick', '1,1,2,2-Tetrafluoro-1,2-ethanediylradical', 'NS00011104', 'Z1994', 'C19299', '116T143', '171663-EP2371795A1', '171663-EP2374895A1', '171663-EP2377610A2', '171663-EP2377611A2', 'A803563', 'Ethene,1,1,2,2-tetrafluoro-, oxidized, polymd.', 'Q412460', 'Tetrafluoroethylene, inhibited [UN1081] [Flammable gas]', 'Tetrafluoroethylene, inhibited [UN1081]  [Flammable gas]']</t>
  </si>
  <si>
    <t>Compound(8301)</t>
  </si>
  <si>
    <t>C2F4</t>
  </si>
  <si>
    <t>tetrahydrophthalimide</t>
  </si>
  <si>
    <t>(3aR,7aS)-3a,4,7,7a-tetrahydroisoindole-1,3-dione</t>
  </si>
  <si>
    <t>['1469-48-3', 'cis-1,2,3,6-Tetrahydrophthalimide', 'cis-4-Cyclohexene-1,2-dicarboximide', 'cis-3a,4,7,7a-Tetrahydro-1H-isoindole-1,3(2H)-dione', 'UNII-ES57D28O1U', '4-Cyclohexene-1,2-dicarboximide, cis-', '1H-Isoindole-1,3(2H)-dione, 3a,4,7,7a-tetrahydro-, (3aR,7aS)-rel-', 'ES57D28O1U', '1H-Isoindole-1,3(2H)-dione, 3a,4,7,7a-tetrahydro-, cis-', '27813-21-4', 'cis-.DELTA.4-Tetrahydrophthalimide', 'AK-88733', 'cis-1,2,3,6-Tetrahydrophthalimide, 96%', 'cis-Tetrahydrophthalimide', '(3aR,7aS)-3a,4,7,7a-tetrahydro-1H-isoindole-1,3(2H)-dione', 'THPI', '(3aR,7aS)-3a,4,7,7a-tetrahydroisoindole-1,3-dione', '1,2,3,6-Tetrahydro phthalimide', 'cis-delta4-Tetrahydrophthalimide', 'Captan THPI', 'EINECS 215-999-0', 'NSC 41605', 'AI3-25383', '3a,4,7,7a-Tetrahydro-1H-isoindole-1,3(2H)-dione #', 'DSSTox_CID_21220', 'DSSTox_RID_79652', 'DSSTox_GSID_41220', 'KSC490I2B', '(3aS,7aR)-3a,4,7,7a-tetrahydroisoindole-1,3-dione', 'SCHEMBL1568503', 'CHEMBL3186573', 'DTXSID0041220', 'CTK3J0420', 'KS-00000WNU', 'NSC41605', 'Tox21_302043', 'ANW-45668', 'NSC-41605', 'ZINC84397766', 'AKOS015901316', 'AC-8836', 'FCH1120196', 'MCULE-4665793749', '1.2.3.6-Tetrahydrophthalimide (cis-)', '1alpha,2alpha,3,6-Tetrahydrophthalimide', 'NCGC00255546-01', 'BBV-39692578', 'M184', 'SC-27047', 'CAS-1469-48-3', 'AX8121464', 'Tetrahydrophthalimide (cis-) (1.2.3.6-)', '4-Cyclohexene-1,2-dicarboximide, cis- (8CI)', '1H-Isoindole-1, 3a,4,7,7a-tetrahydro-, cis-', 'A808569', 'CIS-1,2,3,6-TETRAHYDROPHTHALIMIDE,5GM,NEAT', 'Q-101145', 'W-107094', 'Q27277334', 'cis-1,2,3,6-Tetrahydrophthalimide (Captafol artifact)', 'cis-1,2,3,6-Tetrahydrophthalimide, analytical standard', '(3aR,7aS)-3,4,7,7a-tetrahydro-1H-isoindole-1,3(2H)-dione', 'cis-1,2,3,6-tetrahydrophthalimide;cis-1,2,3,6-Tetrahydrophthalimide']</t>
  </si>
  <si>
    <t>Compound(92888)</t>
  </si>
  <si>
    <t>C8H9NO2</t>
  </si>
  <si>
    <t>tetrahydrofuran</t>
  </si>
  <si>
    <t>tetrahydrothiophene 1,1-dioxide</t>
  </si>
  <si>
    <t>thiolane 1,1-dioxide</t>
  </si>
  <si>
    <t>['SULFOLANE', '126-33-0', 'Tetramethylene sulfone', 'Tetrahydrothiophene 1,1-dioxide', 'Sulfolan', 'Sulpholane', '1,1-Dioxothiolan', 'Sulphoxaline', 'Sulfalone', 'Thiophene, tetrahydro-, 1,1-dioxide', 'Dioxothiolan', 'Thiophan sulfone', 'Bondelane A', 'Bondolane A', 'Thiophane dioxide', 'Thiacyclopentane dioxide', 'Cyclotetramethylene sulfone', 'Tetrahydrothiophene dioxide', 'Thiolane-1,1-dioxide', 'Dihydrobutadiene sulfone', 'Cyclic tetramethylene sulfone', '1,1-Dioxidetetrahydrothiophene', 'thiolane 1,1-dioxide', 'Dihydrobutadiene sulphone', '1,1-Dioxidetetrahydrothiofuran', 'Tetrahydrothiophene 1-dioxide', 'Thiocyclopentane-1,1-dioxide', '2,3,4,5-Tetrahydrothiophene-1,1-dioxide', '1-Thiolane-1,1-dione', 'UNII-Y5L06AH4G5', 'NSC 46443', 'C4H8O2S', 'Tetrahydrothiofen-1,1-dioxid', 'CCRIS 2310', 'HSDB 122', 'EINECS 204-783-1', 'MFCD00005484', 'Tetrahydrothiofen-1,1-dioxid [Czech]', '1??-thiolane-1,1-dione', 'BRN 0107765', 'AI3-09541', 'Y5L06AH4G5', 'DTXSID3027037', 'CHEBI:74794', 'thiolane-1,1-dione', 'Tetramethylene sulfone, 99+%', 'sulpholan', 'tetramethylenesulfone', 'tetramethylene sufone', 'tetramethylenesulphone', 'Sulfolane, 99%', 'tetramethylene-sulfone', 'tetramethylene sulphone', 'tetramethylene-sulphone', 'TETRAHYDROTHIOPHENE-1,1-DIOXIDE', 'Thiophane 1,1-dioxide', 'ACMC-1CMZQ', 'WLN: T5SWTJ', 'DSSTox_CID_7037', 'EC 204-783-1', 'DSSTox_RID_78286', '1lambda-thiolane-1,1-dione', 'DSSTox_GSID_27037', 'SCHEMBL14301', '5-17-01-00039 (Beilstein Handbook Reference)', 'KSC490Q3R', 'Sulfolane, analytical standard', 'tetrahydrothiophene1,1-dioxide', 'Tetrahydothiophene-1,1-dioxide', 'tetrahydrothiophen-1,1-dioxide', 'tetrahydrothiophene-S,S-dioxide', '1,1-Dioxide tetrahydrothiofuran', 'CHEMBL3186899', '(CH2)4SO2', 'CTK3J0838', 'Sulfolane, redistilled from glass', 'tetra-hydrothiophene-1,1-dioxide', 'tetrahydro-thiophene-1,1-dioxide', 'Tetrahydrothiophene, 1,1-dioxide', '1lambda~6~-Thiolane-1,1-dione', 'EBD38266', 'NSC46443', 'ZINC3860777', 'Thiophene, 1,1-dioxide-tetrahydro-', 'Tox21_200628', 'ANW-18925', 'NSC-46443', 'SBB057389', 'STL268898', 'AKOS002676003', 'AKOS015955444', 'Sulfolane, purum, &gt;=98.0% (GC)', 'MCULE-3506686856', 'NE10398', 'KS-0000055O', '2,4,5-Tetrahydrothiophene-1,1-dioxide', 'NCGC00248771-01', 'NCGC00258182-01', 'CAS-126-33-0', 'PS-11978', 'R591', 'SC-46369', 'DB-038059', 'LS-153187', 'FT-0689267', 'NS00001349', 'ST50998869', 'EN300-18394', '7668-EP2269986A1', '7668-EP2269993A1', '7668-EP2270002A1', '7668-EP2270113A1', '7668-EP2272832A1', '7668-EP2272849A1', '7668-EP2272935A1', '7668-EP2275407A1', '7668-EP2275414A1', '7668-EP2289897A1', '7668-EP2292596A2', '7668-EP2292597A1', '7668-EP2295399A2', '7668-EP2298763A1', '7668-EP2298772A1', '7668-EP2301924A1', '7668-EP2305651A1', '7668-EP2305667A2', '7668-EP2305685A1', '7668-EP2305686A1', '7668-EP2308838A1', '7668-EP2308839A1', '7668-EP2308854A1', '7668-EP2308867A2', '7668-EP2308870A2', '7668-EP2309584A1', '7668-EP2371797A1', '7668-EP2371798A1', '7668-EP2371800A1', '7668-EP2371804A1', '7668-EP2377842A1', '7668-EP2380568A1', 'Thiophene, tetrahydro-, 1,1-dioxide;Sulfolane', '12641-EP2295402A2', '12641-EP2308840A1', '12641-EP2316831A1', '25535-EP2277868A1', '25535-EP2277869A1', '25535-EP2277870A1', '25535-EP2292608A1', '25535-EP2298769A1', '25535-EP2308857A1', '25535-EP2308878A2', '25535-EP2314580A1', '25827-EP2272517A1', '25827-EP2298746A1', '25827-EP2305250A1', '25827-EP2305682A1', '25827-EP2308879A1', '25827-EP2315303A1', 'Q416239', 'W-108395', 'F1294-0027', 'Tetramethylene sulfone; Tetrahydrothiophene 1,1-dioxide', 'Bondelane A; Bondolane A; Cyclic tetramethylene sulfone; Cyclotetramethylene sulfone; NSC 46443']</t>
  </si>
  <si>
    <t>Compound(31347)</t>
  </si>
  <si>
    <t>C4H8O2S</t>
  </si>
  <si>
    <t>tetrahydrothiophene</t>
  </si>
  <si>
    <t>thiolane</t>
  </si>
  <si>
    <t>['tetrahydrothiophene', 'Thiolane', 'Thiophene, tetrahydro-', '110-01-0', 'Thiophane', 'Thiacyclopentane', 'Tetramethylene sulfide', 'Thilane', 'Tetrahydrothiophen', 'Pennodorant 1013', 'Thiofan', 'Thiolan', 'Tetrahydrothiofen', 'Thiofan [Czech]', 'Tetramethylenesulfide', 'Pennodorant 1073', 'Tetrahydrothiofen [Czech]', 'NSC 5272', 'UNII-744EHT13FM', 'HSDB 6122', 'EINECS 203-728-9', 'UN2412', 'AI3-30989', '744EHT13FM', 'THT', 'CHEBI:48458', 'tetrahydro-thiophene', 'MFCD00005476', 'Tetramethylene sulphide', 'Tetrahydrothiophene, 99%', 'EC 203-728-9', 'CHEMBL1379', 'DSSTox_CID_27743', 'DSSTox_GSID_47760', 'DTXSID3047760', 'CTK0H5040', 'NSC5272', 'ACMC-209956', 'KS-00000X7X', 'NSC-5272', 'ZINC1680812', 'Tox21_304026', 'ANW-16120', 'AKOS006220479', 'MCULE-4519380555', 'Tetrahydrothiophene, analytical standard', 'UN 2412', 'NCGC00357279-01', 'CAS-110-01-0', 'SC-25712', 'Thiophene, tetrahydro-;tetrahydrothiophene', 'LS-153176', 'FT-0659266', 'NS00003128', 'X0371', '6962-EP2270006A1', '6962-EP2270010A1', '6962-EP2272813A2', '6962-EP2275395A2', '6962-EP2289887A2', '6962-EP2289888A2', '6962-EP2292593A2', '6962-EP2316470A2', '6962-EP2316832A1', '6962-EP2316833A1', '12627-EP2270003A1', '12627-EP2270010A1', '12627-EP2272509A1', '12627-EP2272517A1', '12627-EP2272935A1', '12627-EP2280009A1', '12627-EP2281818A1', '12627-EP2284149A1', '12627-EP2292593A2', '12627-EP2292597A1', '12627-EP2292611A1', '12627-EP2295402A2', '12627-EP2295426A1', '12627-EP2295427A1', '12627-EP2298731A1', '12627-EP2298767A1', '12627-EP2305250A1', '12627-EP2305688A1', '12627-EP2308510A1', '12627-EP2308562A2', '12627-EP2308840A1', '12627-EP2308857A1', '12627-EP2311825A1', '12627-EP2314575A1', '12627-EP2314587A1', '12627-EP2316831A1', '12627-EP2371811A2', 'Q412118', 'Tetrahydrothiophene [UN2412]  [Flammable liquid]', 'Tetrahydrothiophene [UN2412] [Flammable liquid]', 'W-108699']</t>
  </si>
  <si>
    <t>Compound(1127)</t>
  </si>
  <si>
    <t>C4H8S</t>
  </si>
  <si>
    <t>(4S,4aS,5aS,6S,12aR)-4-(dimethylamino)-1,6,10,11,12a-pentahydroxy-6-methyl-3,12-dioxo-4,4a,5,5a-tetrahydrotetracene-2-carboxamide</t>
  </si>
  <si>
    <t>['tetracycline', '60-54-8', 'Tetracyclinum', 'Achromycin', 'Tetracyclin', 'Deschlorobiomycin', 'Sumycin', 'Abramycin', 'Tsiklomitsin', 'Achromycin V', 'Panmycin', 'Tetracyn', 'Tetrazyklin', 'Ambramycin', 'Hostacyclin', 'Omegamycin', 'Tetradecin', 'Tetraverine', 'Tsiklomistsin', 'Vetacyclinum', 'Tetrafil', 'Tetracycline base', 'Cefracycline', 'Criseociclina', 'Abricycline', 'Agromicina', 'Ambramicina', 'Biocycline', 'Ciclibion', 'Copharlan', 'Democracin', 'Lexacycline', 'Limecycline', 'Mericycline', 'Micycline', 'Neocycline', 'Orlycycline', 'Polycycline', 'Polyotic', 'Purocyclina', 'Roviciclina', 'Solvocin', 'Tetrabon', 'Tetracycl', 'Amycin', 'Veracin', 'SK-Tetracycline', 'Tetracycline II', 'Tetra-Co', 'UNII-F8VB5M810T', 'Cyclomycin', 'Sustamycin', 'Tetrex', 'Sumycin syrup', 'Tetracycline I', 'Bio-tetra', '(4S,4aS,5aS,6S,12aS)-4-(dimethylamino)-3,6,10,12,12a-pentahydroxy-6-methyl-1,11-dioxo-1,4,4a,5,5a,6,11,12a-octahydrotetracene-2-carboxamide', 'CHEBI:27902', 'Piracaps (base)', 'Centet (base)', 'Polycycline (VAN)', 'Cefracycline suspension', 'Liquamycin (Veterinary)', 'Polycycline (antibiotic)', 'F8VB5M810T', '(4S,4aS,5aS,12aS)-4-(Dimethylamino)-1,4,4a,5,5a,6,11,12a-octahydro-3,6,10,12,12a-pentahydroxy-6-methyl-1,11-dioxo-2-naphthacenecarboxamide', 'Tetraciclina', 'Tetracyclinum [INN-Latin]', 'Tetracycline (internal use)', 'Tetraciclina [INN-Spanish]', 'Supramycin', 'Vetquamycin-324 (free base)', 'NSC-108579', '2-Naphthacenecarboxamide, 4-(dimethylamino)-1,4,4a,5,5a,6,11,12a-octahydro-3,6,10,12,12a-pentahydroxy-6-methyl-1,11-dioxo-, (4S,4aS,5aS,6S,12aS)-', 'E701', 'Achromycin (naphthacene derivative)', 'T-125', 'HSDB 3188', '6-Methyl-1,11-dioxy-2-naphthacenecarboxamide', 'Tetracyclinehydrate', 'EINECS 200-481-9', 'MFCD00151232', '(4S,4aS,5aS,6S,12aS)-4-(Dimethylamino)-3,6,10,12,12a-pentahydroxy-6-methyl-1,11-dioxo-1,4,4a,5,5a,6,11,12a-octahydro-2-tetracenecarboxamide', 'Sumycin (TN)', '2-Naphthacenecarboxamide, 4-(dimethylamino)-1,4,4a,5,5a,6,11,12a-octahydro-3,6,10,12,12a-pentahydroxy-6-methyl-1,11-dioxo-, (4S-(4alpha,4aalpha,5aalpha,6beta,12aalpha))-', '6416-04-2 (3H2O)', 'Economycin', 'Vetquamycin', 'Brodspec', 'Tetracycline (JAN/USP/INN)', 'CCRIS 9483', 'SR-01000000212', 'NSC108579', 'Tetrabid Organon', 'Ala-Tet', 'Tetracycline [USP:INN:BAN:JAN]', '2-Naphthacenecarboxamide, 4-(dimethylamino)-1,4,4a,5,5a,6,11,12a-octahydro-3,6,10,12,12a-pentahydroxy-6-methyl-1,11-dioxo-', '4-(Dimethylamino)-1,4,4a,5,5a,6,11,12a-octahydro-3,6,1 0,12,12a-pentahydroxy-6-methyl-1,11-dioxo-2-naphthacenecarboxamide', 'Spectrum_001034', 'Tetracycline, EP grade', 'Prestwick0_000140', 'Prestwick1_000140', 'Prestwick2_000140', 'Prestwick3_000140', 'Spectrum2_001329', 'Spectrum3_000565', 'Spectrum4_000352', 'Spectrum5_001112', 'DSSTox_CID_3645', 'EC 200-481-9', 'SCHEMBL3098', 'DSSTox_RID_77127', 'DSSTox_GSID_23645', 'BSPBio_000220', 'BSPBio_001950', 'KBioGR_000783', 'KBioSS_001514', 'BIDD:GT0653', 'DivK1c_000827', 'SCHEMBL537050', 'SPBio_001457', 'SPBio_002159', 'Tetracycline/Anhydrotetracycline', 'BPBio1_000242', 'SCHEMBL2116649', 'SCHEMBL2116661', 'DTXSID7023645', 'SCHEMBL21271987', 'GTPL10927', 'KBio1_000827', 'KBio2_001514', 'KBio2_004082', 'KBio2_006650', 'KBio3_001450', 'NINDS_000827', 'HMS2090B04', 'Tetracycline, &gt;=98.0% (NT)', 'HY-A0107', 'RKL10088', 'Tetracycline, &gt;=88.0% (HPLC)', 'Tox21_300150', 'BDBM50237605', 'ZINC84441937', 'AKOS024277860', 'AKOS026749977', 'ZINC100303069', 'ZINC102229720', 'CS-8188', 'DB00759', 'MCULE-3752961261', 'CAS-60-54-8', 'IDI1_000827', 'NCGC00017323-03', 'NCGC00017323-04', 'NCGC00017323-05', 'NCGC00017323-07', 'NCGC00142507-02', 'NCGC00254063-01', 'SC-81153', 'ST019403', 'SBI-0051530.P003', '1369-EP2269978A2', '1369-EP2269985A2', '1369-EP2269991A2', '1369-EP2270008A1', '1369-EP2275420A1', '1369-EP2284150A2', '1369-EP2284151A2', '1369-EP2284152A2', '1369-EP2284153A2', '1369-EP2284155A2', '1369-EP2284156A2', '1369-EP2284164A2', '1369-EP2287140A2', '1369-EP2287148A2', '1369-EP2287150A2', '1369-EP2289871A1', '1369-EP2289891A2', '1369-EP2292088A1', '1369-EP2292590A2', '1369-EP2292612A2', '1369-EP2292617A1', '1369-EP2295402A2', '1369-EP2295419A2', '1369-EP2298732A1', '1369-EP2301534A1', '1369-EP2301912A2', '1369-EP2301913A1', '1369-EP2301914A1', '1369-EP2301916A2', '1369-EP2305637A2', '1369-EP2305640A2', '1369-EP2305662A1', '1369-EP2307027A1', '1369-EP2308832A1', '1369-EP2308863A1', '1369-EP2308883A1', '1369-EP2311451A1', '1369-EP2311796A1', '1369-EP2311797A1', '1369-EP2311798A1', '1369-EP2311799A1', '1369-EP2311822A1', '1369-EP2314583A1', '1369-EP2316450A1', '1369-EP2371797A1', '1369-EP2371798A1', '1369-EP2371800A1', '1369-EP2371804A1', 'C06570', 'D00201', 'AB00053550-04', 'AB00053550_05', 'AB00053550_06', 'Q193045', 'SR-01000000212-3', 'Z2144222809', '(4S,4aS,5aS,6S,12aR)-4-(dimethylamino)-1,6,10,11,12a-pentahydroxy-6-methyl-3,12-dioxo-4,4a,5,5a-tetrahydrotetracene-2-carboxamide', '(4S,4aS,5aS,6S,12aS)-2-[Amino(hydroxy)methylene]-4beta-(dimethylamino)-1,2,3,4,4a,5,5a,6,11,12a-decahydro-6alpha,10,12,12abeta-tetrahydroxy-6-methylnaphthacene-1,3,11-trione', '(4S,4aS,5aS,6S,12aS)-4-(dimethylamino)-3,6,10,12,12a-pentahydroxy-6-methyl-1,11-dioxo-4,4a,5,5a-tetrahydrotetracene-2-carboxamide', '(4S,6S,12aS,4aS,5aS)-4-(dimethylamino)-3,6,10,12,12a-pentahydroxy-6-methyl-1,1 1-dioxo-4,5,6,12a,4a,5a-hexahydronaphthacene-2-carboxamide']</t>
  </si>
  <si>
    <t>Compound(54675776)</t>
  </si>
  <si>
    <t>C22H24N2O8</t>
  </si>
  <si>
    <t>tetraconazole</t>
  </si>
  <si>
    <t>1-[2-(2,4-dichlorophenyl)-3-(1,1,2,2-tetrafluoroethoxy)propyl]-1,2,4-triazole</t>
  </si>
  <si>
    <t>['Tetraconazole', '112281-77-3', 'Eminent', 'Tetraconazole [ISO]', 'AG 4454', 'CHEBI:83999', 'M 14360', '1-[2-(2,4-dichlorophenyl)-3-(1,1,2,2-tetrafluoroethoxy)propyl]-1,2,4-triazole', '1-(2-(2,4-Dichlorophenyl)-3-(1,1,2,2-tetrafluoroethoxy)propyl)-1H-1,2,4-triazole', '1-[2-(2,4-dichlorophenyl)-3-(1,1,2,2-tetrafluoroethoxy)propyl]-1H-1,2,4-triazole', '1-[2-(2,4-dichlorophenyl)-3-(1,1,2,2-tetrafluoroethoxy)propyl]1,2,4-triazole', '1H-1,2,4-Triazole, 1-(2-(2,4-dichlorophenyl)-3-(1,1,2,2-tetrafluoroethoxy)propyl)-', '(+/-) 2-(2,4-Dichlorophenyl)-3-(1H-1,2,4-triazole-1-yl)propyl-1,1,2,2-tetrafluoroethylether', 'HSDB 7612', 'EC 407-760-6', 'DSSTox_CID_14956', 'DSSTox_RID_79226', 'DSSTox_GSID_34956', 'SCHEMBL36997', 'CHEMBL2137654', 'DTXSID8034956', 'Tetraconazole, analytical standard', 'BCP15156', 'Tox21_300995', 'AG4454', 'AKOS025401706', '2-(2,4-Dichlorophenyl)-3-(1H-1,2,4-triazol-1-yl)propyl 1,1,2,2-tetrafluoroethyl ether', 'NCGC00163949-01', 'NCGC00163949-02', 'NCGC00163949-03', 'NCGC00254897-01', 'Tetraconazole 10 microg/mL in Isooctane', 'Tetraconazole 100 microg/mL in Methanol', '1H-1,2,4-Triazole, 1-[2-(2,4-dichlorophenyl)-3-(1,1,2,2-tetrafluoroethoxy)propyl]-, (.+/-.)-', 'AC-24748', 'CC-34845', 'DB-041070', 'LS-155948', 'Tetraconazole 10 microg/mL in Acetonitrile', 'CAS-112281-77-3', 'FT-0631062', 'NS00000709', 'C18490', 'Tetraconazole, PESTANAL(R), analytical standard', '281T773', 'C-21175', 'Q27157376', '(RS)-2-(2,4-Dichlorophenyl)-3-(1H-1,2,4-triazolyl)propyl 1,1,2,2-tetrafluoroethyl ether', '1-[2-(2,4-dichloro-phenyl)-3-(1,1,2,2-tetrafluoro-ethoxy)-propyl]-1.H.-[1,2,4]triazole', '(+/-)-1-[2-(2,4-Dichlorophenyl)-3-(1,1,2,2-tetrafluoroethoxy)propyl]-1H-1,2,4-triazole', '1H-1,2,4-Triazole, 1-(2-(2,4-dichlorophenyl)-3-(1,1,2,2-tetrafluoroethoxy)propyl)-, (+-)-']</t>
  </si>
  <si>
    <t>Compound(80277)</t>
  </si>
  <si>
    <t>C13H11Cl2F4N3O</t>
  </si>
  <si>
    <t>(4S,4aS,5aS,6S,12aR)-4-(dimethylamino)-1,6,10,11,12a-pentahydroxy-6-methyl-3,12-dioxo-4,4a,5,5a-tetrahydrotetracene-2-carboxamide;hydrochloride</t>
  </si>
  <si>
    <t>['TETRACYCLINE HYDROCHLORIDE', '64-75-5', 'Tetracycline HCl', 'Achromycin hydrochloride', 'Tetracycline (hydrochloride)', 'Topicycline', 'Tetrabid', 'Supramycin', 'Sustamycin', 'Sumycin', 'Telotrex', 'UNII-P6R62377KV', 'MFCD00078142', 'Bristacycline', 'Dumocyclin', 'Hostacycline', 'Mephacyclin', 'Quadracycline', 'Remicyclin', 'Stilciclina', 'Tetrabakat', 'Tetracompren', 'Tetralution', 'Tetramavan', 'Triphacyclin', 'Actisite', 'Artomycin', 'Diacycine', 'Partrex', 'Piracaps', 'Ricycline', 'Subamycin', 'Tefilin', 'Tetrablet', 'Tetracaps', 'Tetrakap', 'Tetramed', 'Tetrosol', 'Paltet', 'Qidtet', 'Teline', 'Unicin', 'Retet', 'Tetra-wedel', 'Neocyclin B', 'Ro-Cycline', 'Tetracycline.HCl', 'Polyotic ointment', 'TetraSURE', 'Tet-cy', 'Tetra-D', 'Vetquamycin-324', 'P6R62377KV', 'Cancycline-250', 'Cefracycline tablets', 'Tetracycline chloride', 'Achromycin', 'Sanclomycine', 'Steclin', 'Panmycin hydrochloride', 'T-250 Capsules', 'Tetracyn hydrochloride', 'ALA TET', 'Tetracyclinehydrochloride', 'NCI-C55561', 'Polycycline hydrochloride', 'DSSTox_CID_1321', 'DSSTox_RID_76081', 'DSSTox_GSID_21321', 'CCRIS 2351', '(-)-Tetrahcycline hydrochloride', 'Tetraciclina cloridrato [Italian]', 'Chlorowodorku tetracykliny [Polish]', 'EINECS 200-593-8', 'Chlorhydrate de tetracycline [French]', 'Tetracycline hydrochloride (internal use)', '(4S,6S,12aS,4aS,5aS)-4-(dimethylamino)-3,6,10,12,12a-pentahydroxy-6-methyl-1,1 1-dioxo-4,5,6,12a,4a,5a-hexahydronaphthacene-2-carboxamide, chloride', 'AI3-50120', 'Sentry av ornacycline', 'Tetraciclina cloridrato', 'U-5965', 'Chlorowodorku tetracykliny', 'C22H24N2O8.HCl', 'Chlorhydrate de tetracycline', "Tetracycline hydrochloride, 'can be used as secondary standard'", 'SR-01000000212', 'SR-05000001723', '(4S,4aS,5aS,6S,12aS)-4-(Dimethylamino)-1,4,4a,5,5a,6,11,12a-octahydro-3,6,10,12,12a-pentahydroxy-6-methyl-1,11-dioxo-2-naphthacenecarboxamide monohydrochloride', '(4S,4aS,5aS,6S,12aS)-4-(dimethylamino)-3,6,10,12,12a-pentahydroxy-6-methyl-1,11-dioxo-4,4a,5,5a-tetrahydrotetracene-2-carboxamide;hydrochloride', '2-Naphthacenecarboxamide, 4-(dimethylamino)-1,4,4a,5,5a,6,11,12a-octahydro-3,6,10,12,12a-pentahydroxy-6-methyl-1,11-dioxo-, monohydrochloride, (4S,4aS,5aS,6S,12aS)-', '2-Naphthacenecarboxamide, 4-(dimethylamino)-1,4,4a,5,5a,6,11,12a-octahydro-3,6,10,12,12a-pentahydroxy-6-methyl-1,11-dioxo-, monohydrochloride, (4S-(4alpha,4aalpha,5aalpha,6beta,12aalpha))-', 'Prestwick_434', 'Bristacycline (TN)', 'Tetracycline hydrochloride [USP:JAN]', 'CAS-64-75-5', 'NCGC00016291-01', 'EC 200-593-8', 'SCHEMBL34248', 'SPECTRUM1500566', 'CHEMBL454950', 'DTXSID6021321', 'NCI-c55561;Tetracycline HCl', 'Tetracycline hydrochloride, powder', 'HMS1568K22', 'HMS1921C19', 'Pharmakon1600-01500566', '(4S,4aS,5aS,6S,12aS)-4-(dimethylamino)-3,6,10,12,12a-pentahydroxy-6-methyl-1,11-dioxo-1,4,4a,5,5a,6,11,12a-octahydrotetracene-2-carboxamide hydrochloride', '2-Naphthacenecarboxamide, 4-(dimethylamino)-1,4,4a,5,5a,6,11,12a-octahydro-3,6,10,12,12a-pentahydroxy-6-methyl-1,11-dioxo-, monohydrochloride, (4S-(4alpha,4aalpha,5aalpha,6beta,12alpha))-', '2-Naphthacenecarboxamide,4-(dimethylamino)-1,4,4a,5,5a,6,11,12a-octahydro-3,6,10,12,12a-pentahydroxy-6-methyl-1,11-dioxo-, monohydrochloride,(4S,4aS,5aS,6S,12aS)-', 'HY-B0474', 'Tox21_110355', 'Tox21_200516', 'CCG-39267', 'NSC757338', 's2574', 'SBB006497', 'AKOS015951263', 'Tox21_110355_1', 'BCP9000227', 'CS-2588', 'EBD2198184', 'KS-1431', 'MCULE-8111555447', 'NSC-757338', 'Tetracycline hydrochloride (JP17/USP)', 'NCGC00017323-08', 'NCGC00180907-01', 'NCGC00180907-02', 'NCGC00258070-01', 'K044', 'SC-19458', 'ST057166', 'BCP0726000161', 'SW196293-4', 'D02122', 'SR-01000000212-4', 'SR-05000001723-2', 'Q27286287', 'Tetracycline hydrochloride, meets USP testing specifications', 'Tetracycline hydrochloride, VETRANAL(TM), analytical standard', 'Tetracycline hydrochloride, &gt;=95% (European Pharmacopoeia HPLC assay)', 'Tetracycline hydrochloride, British Pharmacopoeia (BP) Reference Standard', 'Tetracycline hydrochloride, European Pharmacopoeia (EP) Reference Standard', 'Tetracycline hydrochloride, powder, BioReagent, suitable for cell culture', 'Tetracycline hydrochloride, Pharmaceutical Secondary Standard; Certified Reference Material', 'Tetracycline hydrochloride, United States Pharmacopeia (USP) Reference Standard', '(4S,4AS,5aS,6S,12aS)-4-(Dimethylamino)-3,6,10,12,12a-pentahydroxy-6-methyl-1,11-dioxo-4,4a,5,5a-tetrahydrotetracene-2-carboxamide hydrochloride', '(4S,4aS,5aS,6S,12aS,Z)-2-(amino(hydroxy)methylene)-4-(dimethylamino)-6,10,11,12a-tetrahydroxy-6-methyl-4a,5a,6,12a-tetrahydrotetracene-1,3,12(2H,4H,5H)-trione hydrochloride']</t>
  </si>
  <si>
    <t>Compound(54704426)</t>
  </si>
  <si>
    <t>C22H25ClN2O8</t>
  </si>
  <si>
    <t>tetrakis (hydroxymethyl) phosphonium sulfate</t>
  </si>
  <si>
    <t>tetrakis(hydroxymethyl)phosphanium;sulfate</t>
  </si>
  <si>
    <t>['TETRAKIS(HYDROXYMETHYL)PHOSPHONIUM SULFATE', '55566-30-8', 'THPS', 'Retardol S', 'Pyroset TKO', 'Bis[tetrakis(hydroxymethyl)phosphonium] sulfate solution', 'UNII-5I8RSL9E6S', 'CCRIS 316', 'HSDB 4215', 'NCI-C55050', 'EINECS 259-709-0', 'Phosphonium, tetrakis(hydroxymethyl)-, sulfate (2:1) (salt)', 'Tetrakis(hydroxymethyl)phosphonium sulphate(2:1)', 'TETRAKIS(HYDROXYMETHYL) PHOSPHONIUM SULFATE', '5I8RSL9E6S', 'Octakis(hydroxymethyl)phosphonium sulfate', 'Phosphonium, tetrakis(hydroxymethyl)-, sulfate (2:1)', 'Bis(tetrakis(hydroxymethyl)phosphonium)sulfate (salt)', 'bis[tetrakis(hydroxymethyl)phosphonium] sulfate', 'Tetrakis(hydroxymethyl) phosphonium sulfate [Tetrakis(hydroxymethyl)phosphonium salts]', 'tetrakis (hydroxymethyl) phosphonium sulfate', 'DSSTox_CID_1331', 'EC 259-709-0', 'ACMC-1B11Z', 'DSSTox_RID_76086', 'DSSTox_GSID_21331', 'KSC269I3F', 'SCHEMBL195676', 'CHEMBL1549844', 'DTXSID0021331', 'CTK1G9432', 'LS-78', 'KS-000010PZ', 'Tetrakis(Hydroxymethyl)Phosphonium Sulfate,ca. 70-80% in Water', 'Tox21_200928', 'ANW-41198', 'AKOS016010449', 'LS00071', 'Tetrakis Hydroxymethylphosphonium Sulfate', 'NCGC00091951-01', 'NCGC00091951-02', 'NCGC00258482-01', 'AK115997', 'Tetrakis Hydroxymethyl-Phosphonium Sulfate', 'Octakis(hydroxymethyl)diphosphonium sulfate', 'CAS-55566-30-8', 'FT-0659692', 'tetrakis(hydroxymethyl)phosphonium sulfate (2:1)', 'J-519902', 'Q27262300', 'Tetrakis(hydroxymethyl)phosphonium sulfate (75% aqueous solution)']</t>
  </si>
  <si>
    <t>Compound(41478)</t>
  </si>
  <si>
    <t>C8H24O12P2S</t>
  </si>
  <si>
    <t>(1,3-dioxo-4,5,6,7-tetrahydroisoindol-2-yl)methyl 2,2-dimethyl-3-(2-methylprop-1-enyl)cyclopropane-1-carboxylate</t>
  </si>
  <si>
    <t>['Tetramethrin', '7696-12-0', 'Phthalthrin', 'Neo-pynamin', 'Neopinamine', 'Bioneopynamin', 'Insectol', 'Neopinamin', 'Neopynamin forte', 'Py-Kill', 'd-Tetramethrin', 'Tetramethrin [INN]', 'UNII-Z72930Q46K', 'FMC-9260', 'SP-1103', 'Tetramethrine', 'Tetralate', 'd-Phthalthrin', 'Weo-Pynamin', 'CHEBI:39397', 'Cyclohexene-1-dicarboximidomethylchrysanthemate', 'Tetramethrin,racemic', 'Tetramethrin (INN)', 'Z72930Q46K', 'Cyclopropanecarboxylic acid, 2,2-dimethyl-3-(2-methyl-1-propenyl)-, (1,3,4,5,6,7-hexahydro-1,3-dioxo-2H-isoindol-2-yl)methyl ester', 'Niagara nia-9260', 'Caswell No. 844', 'N-(Chrysanthemoxymethyl)-1-cyclohexene-1,2-dicarboximide', 'NCGC00168352-01', 'Sumitomo SP-1103', 'Tetramethrine [French]', 'Tetramethrinum [Latin]', 'Tetrametrina [Spanish]', 'SP 1103 forte', 'N-(3,4,5,6-Tetrahydrophthalimide)methyl-cis,trans-chrysanthemate', 'Tetramethrine [ISO-French]', 'DSSTox_CID_12649', 'DSSTox_RID_79025', 'DSSTox_GSID_32649', '(1,3-dioxo-4,5,6,7-tetrahydroisoindol-2-yl)methyl 2,2-dimethyl-3-(2-methylprop-1-enyl)cyclopropane-1-carboxylate', 'CCRIS 3284', 'HSDB 6738', 'Tetramethrinum', 'Tetrametrina', 'NIA-9260', 'EINECS 231-711-6', 'ENT 27339', 'EPA Pesticide Chemical Code 069003', 'CAS-7696-12-0', 'AI3-27339', '2,3,4,5-Tetrahydrophthalimidomethylchrysanthemate', '(1-Cyclohexane-1,2-dicarboximido)methyl chrysanthemumate', '3,4,5,6-Tetrahydrophthalimidomethyl (+-)-cis-trans-chrysanthemate', 'Cyclohex-1-ene-1,2-dicarboximidomethyl (+-)-cis-trans-chrysanthemate', 'N-(3,4,5,6-Tetrahydrophthalimido)-methyl dl-cis-trans-chrysanthemate', '3,4,5,6-Tetrahydro-phthalimidomethylester der dl-cis-trans-chrysanthemumsaeure [German]', '3,4,5,6-Tetrahydrophthalimidomethyl cis and trans dl chrysanthemummonocarboxylic acid', '(1,3,4,5,6,7-Hexahydro-1,3-dioxo-2H-isoindol-2-yl) methyl 2,2-dimethyl-3-(2-methyl-1-propenyl)cyclopropanecarboxylate', '1-(Cyclohexene-1,2-dicarboximido)methyl 2,2-dimethyl-3-(2-methylpropenyl)cyclopropanecarboxylate', '1-Cyclohexene-1,2-dicarboximidomethyl-2,2-dimethyl-3-(2-methylpropenyl)cyclopropane carboxylate', '2,2-Dimethyl-3-(2-methyl-1-propenyl)cyclopropanecarboxylic acid (1,3,4,5,6,7-hexahydro-1,3-dioxo-2H-isoindol-2-yl)methyl ester', '2,2-Dimethyl-3-(2-methylpropenyl)cyclopropanecarboxylic acid ester withN-(hydroxymethyl)-1-cyclohexene-1,2-dicarboximide', 'Cyclohex-1-ene-1,2-dicarboximidomethyl (1RS)-cis,trans-2,2-dimethyl-3-(2-methyl-prop-1-enyl)cyclopropane carboxylate', 'Killgerm py-kill w', 'Tetramethrin racemic', 'Tetramethrin;tetramethrin', 'Maybridge1_001977', 'Rich-D-T-tetramethrin TC', 'Oprea1_283726', 'SCHEMBL27009', 'MLS004712089', 'CHEMBL1788386', 'DTXSID6032649', 'CTK8E9800', 'HMS547B19', 'Tetramethrin, analytical standard', '(1-Cyclohexene-1,2-dicarboximido)methyl-2,2-dimethyl-3-(2-methylpropenyl)cyclopropanecarboxylate', '2,2-Dimethyl-3-(2-methylpropenyl)cyclopropanecarboxylic acid, ester with N-(hydroxymethyl)-1-cyclohexene-1,2-dicarboximide or 1-cyclohexene-1,2-dicarboximidomethyl 2,2-dimethyl-3-(2-methylpropenyl)cyclopropanecarboxylate', 'Tetramethrin [INN:ANSI:BSI:ISO]', 'Tox21_112623', 'Tox21_301017', 'CCG-51764', 'KM1812', '3,4,5,6-Tetrahydro-phthalimidomethylester der dl-cis-trans-chrysanthemumsaeure', 'AKOS015965024', 'Tox21_112623_1', 'CS-W020889', 'DB13752', 'HY-W040149', 'KS-5080', 'NCGC00168352-02', 'NCGC00254919-01', '66525-27-7', 'LS-96127', 'M948', 'SC-15962', 'SC-26596', 'SMR001825216', 'Tetramethrin 10 microg/mL in Cyclohexane', 'AB0015465', 'NS00007969', 'C18373', 'D07368', 'Tetramethrin (Mixture of Cis and Trans Isomers)', 'Tetramethrin, PESTANAL(R), analytical standard', '696T120', 'A838917', 'Q3234577', 'SR-01000641045-1', 'W-104333', '(1-Cyclohexene-1,2-dicarboximido)methyl chrysanthemate', '(1-Cyclohexene-1,2-dicarboximido)methyl chrysanthemumate', '3,4,5,6-Tetrahydrophthalimidomethyl (+/-)-cis-trans-chrysanthemate', '(1,3-Dioxo-1,3,4,5,6,7-hexahydro-2H-isoindol-2-yl)methyl 2,2-dimethyl-3-(2-methyl-1-propenyl)cyclopropanecarboxylate #', '(1,3-dioxo-1,3,4,5,6,7-hexahydro-2H-isoindol-2-yl)methyl 2,2-dimethyl-3-(2-methylprop-1-en-1-yl)cyclopropanecarboxylate', '(1,3-dioxo-4,5,6,7-tetrahydro-1H-isoindol-2(3H)-yl)methyl 2,2-dimethyl-3-(2-methylprop-1-enyl)cyclopropanecarboxylate', '(1,3-dioxo-4,5,6,7-tetrahydroisoindol-2-yl)methyl 2,2-dimethyl-3-(2-methylprop-1-enyl)cyclopropanecarboxylate', '[1,3-bis(oxidanylidene)-4,5,6,7-tetrahydroisoindol-2-yl]methyl 2,2-dimethyl-3-(2-methylprop-1-enyl)cyclopropane-1-carboxylate', '2,2-dimethyl-3-(2-methylprop-1-enyl)-1-cyclopropanecarboxylic acid (1,3-dioxo-4,5,6,7-tetrahydroisoindol-2-yl)methyl ester', '769-12-0', 'Cyclopropanecarboxylic acid, 2,2-dimethyl-3-(2-methylpropenyl)-, ester with N-(hydroxymethyl)-1-cyclohexene-1,2-dicarboximide', 'Cyclopropanecarboxylic acid,2,2-dimethyl-3-(2-methyl-1-propenyl)-,(1,3,4,5,6,7-hexahydro-1,3-dioxo-2H-isoindol-2-yl)methyl ester']</t>
  </si>
  <si>
    <t>Compound(83975)</t>
  </si>
  <si>
    <t>C19H25NO4</t>
  </si>
  <si>
    <t>1,2,4-trichloro-5-(4-chlorophenyl)sulfanylbenzene</t>
  </si>
  <si>
    <t>['TETRASUL', '2227-13-6', 'Tetradisul', 'Animert', 'Animert V-10', 'Animert V-10K', 'Animert V-101', 'Philips-duphar V-101', 'Caswell No. 213', 'Tetrasul [BSI:ISO]', 'UNII-BEO7JP5U0R', 'V-101', 'ENT 27,115', "2,4,4',5-Tetrachlorodiphenyl sulfide", "2,4,5,4'-Tetrachlorodiphenyl sulfide", "2,4,4',5-Tetrachlorodiphenyl sulphide", '1,2,4-trichloro-5-(4-chlorophenyl)sulfanylbenzene', 'V 101', '4-Chlorophenyl 2,4,5-trichlorophenyl sulfide', 'p-Chlorophenyl 2,4,5-trichlorophenyl sulfide', 'Sulfide, p-chlorophenyl 2,4,5-trichlorophenyl', 'EINECS 218-761-4', 'BEO7JP5U0R', "3,4,6,4'-Tetrachlor-diphenylsulfid", 'EPA Pesticide Chemical Code 079201', 'BRN 1884271', 'AI3-27115', '2-Chlorophenyl 2,4,5-trichlorophenyl sulfide', 'CHEBI:82162', "3,4,6,4'-Tetrachlor-diphenylsulfid [German]", '4-Chlorophenyl 2,4,5-trichlorophenyl sulphide', 'Benzene, 1,2,4-trichloro-5-((4-chlorophenyl)thio)-', 'Benzene, 1,2,4-trichloro-5-[(4-chlorophenyl)thio]-', "2,4,4',5-Tetrachlorodiphenylsulphide", 'DSSTox_CID_314', 'p-Chlorophenyl-2,4,5-trichlorophenyl sulfide', 'DSSTox_RID_75508', 'DSSTox_GSID_20314', '1,2,4-Trichloro-5-(4-(chlorophenyl)thio)benzene', '1,2,4-trichloro-5-[(4-chlorophenyl)thio]benzene', 'CAS-2227-13-6', 'SCHEMBL26508', 'CHEMBL1365576', 'DTXSID5020314', '1,2,4-Trichloro-5-(4-(chlorophenyl)thio)benzene (9CI)', 'BENZENE,1,2,4-TRICHLORO-5-[(4-CHLOROPHENYL)THIO]-', 'ZINC2161992', 'Tox21_202392', 'Tox21_302984', 'AKOS024319292', 'ACM2227136', 'DB12838', 'LS-7270', 'MCULE-2053204562', 'NCGC00166163-01', 'NCGC00166163-02', 'NCGC00256524-01', 'NCGC00259941-01', 'DB-045861', 'FT-0634147', 'NS00004438', 'Tetrasul, PESTANAL(R), analytical standard', 'C19032', '(4-chlorophenyl)(2,4,5-trichlorophenyl)sulfane', 'C-57950', 'J-014616', 'Q15632887', '1,2,4-Trichloro-5-[(4-chlorophenyl)sulfanyl]benzene #']</t>
  </si>
  <si>
    <t>Compound(16685)</t>
  </si>
  <si>
    <t>C12H6Cl4S</t>
  </si>
  <si>
    <t>tetraacetyl ethylene diamine</t>
  </si>
  <si>
    <t>N-acetyl-N-[2-(diacetylamino)ethyl]acetamide</t>
  </si>
  <si>
    <t>['Tetraacetylethylenediamine', '10543-57-4', "N,N,N',N'-Tetraacetylethylenediamine", "Acetamide, N,N'-1,2-ethanediylbis[N-acetyl-", 'TAED', 'Tetracetylethylenediamine', "N,N'-Ethylenebis(N-acetylacetamide)", 'UNII-P411ED0N2B', "N,N'-(Ethane-1,2-diyl)bis(N-acetylacetamide)", 'N-Acetyl-N-[2-(diacetylamino)ethyl]acetamide', 'P411ED0N2B', "N,N'-ethylenebis[N-acetylacetamide]", "Acetamide, N,N'-1,2-ethanediylbis(N-acetyl-", 'N,N-(Ethane-1,2-diyl)bis(N-acetylacetamide)', 'Tetraacetylethylenediamine, 90%', "N,N'-1,2-Ethanediylbis(N-acetyl-Acetamide", "N,N'-1,2-Ethanediylbis[N-acetyl-Acetamide", 'EINECS 234-123-8', 'MFCD00014967', 'ACMC-1BZDB', 'tetraacetyl ethylenediamine', 'EC 234-123-8', 'N-acetyl-N-[2-(N-acetylacetamido)ethyl]acetamide', 'SCHEMBL20390', 'KSC492Q5B', "N,N'-Ethylenebis(diacetamide)", '[DID-no:2528]', 'DTXSID5040752', 'CTK3J2850', 'Tetraacetylethylenediamine (TAED)', 'n,n,n,n-tetraacetylethylenediamine', 'KS-00000YS9', 'ZINC2015842', 'ANW-15223', "N,N'-Ethylenebis(diacetamide), 8CI", 'AKOS005207256', 'NCGC00164405-01', 'AS-65802', 'I801', 'DB-040621', 'FT-0629347', 'NS00001246', "N,N\\'-(ethane-1,2-diyl)bis(N-acetylacetamide)", 'N-Acetyl-N-[2-(diacetylamino)ethyl]acetamide #', "N,N'-1,2-Ethanediylbis[N-acetylacetamide], 9CI", 'Q419209', 'J-001421', "N,N,N',N'-Tetraacetylethylenediamine, technical, &gt;=90% (CHN)", "Acetamide, 1,2-ethanediylbis-N-acetyl-;N,N'-ethylenebis[N-acetylacetamide];TETRAACETYL ETHYLENE DIAMINE;Tetraacetylethylenediamine"]</t>
  </si>
  <si>
    <t>Compound(66347)</t>
  </si>
  <si>
    <t>C10H16N2O4</t>
  </si>
  <si>
    <t>Slope above water (with a slight angle)</t>
  </si>
  <si>
    <t>Bank angle</t>
  </si>
  <si>
    <t>Slope underwater (with a slight angle)</t>
  </si>
  <si>
    <t>tetrabromobiphenol dimethyl</t>
  </si>
  <si>
    <t>1,3-dibromo-5-[2-(3,5-dibromo-4-methoxyphenyl)propan-2-yl]-2-methoxybenzene</t>
  </si>
  <si>
    <t>['Tetrabromobisphenol B', '37853-61-5', 'tetrabromobisphenol A dimethyl ether', 'Tetrabromobisphenol A bismethyl ether', "4,4'-(Isopropylidene)bis[2,6-dibromoanisole] m", "Benzene, 1,1'-(1-methylethylidene)bis(3,5-dibromo-4-methoxy-", "Benzene, 1,1'-(1-methylethylidene)bis[3,5-dibromo-4-methoxy-", 'EINECS 253-693-9', 'TBBPA dimethyl ether', "4,4'-Isopropylidenebis(2,6-dibromomethoxybenzene)", 'SCHEMBL681907', 'DTXSID10865889', 'ZINC111361114', 'ACM37853615', 'NS00004573', "4,4'-(Isopropylidene)bis(2,6-dibromoanisole)"]</t>
  </si>
  <si>
    <t>Compound(37841)</t>
  </si>
  <si>
    <t>C17H16Br4O2</t>
  </si>
  <si>
    <t>tribromomethane</t>
  </si>
  <si>
    <t>bromoform</t>
  </si>
  <si>
    <t>['Bromoform', 'tribromomethane', '75-25-2', 'Methane, tribromo-', 'Tribrommethan', 'Methenyl tribromide', 'Methyl tribromide', 'Tribrommethaan', 'Tribromometan', 'Bromoforme', 'Bromoformio', 'CHBr3', 'RCRA waste number U225', 'NCI-C55130', 'Bromoforme [French]', 'Bromoformio [Italian]', 'Tribrommethaan [Dutch]', 'Tribrommethan [German]', 'Tribromometan [Italian]', 'UNII-TUT9J99IMU', 'NSC 8019', 'CCRIS 98', 'HSDB 2517', 'EINECS 200-854-6', 'UN2515', 'TUT9J99IMU', 'RCRA waste no. U225', 'BRN 1731048', 'AI3-28587', 'CHEBI:38682', 'MFCD00000128', 'Bromoform, 96%, stabilized', 'Bromoform, 99+%, stabilized', 'Bromoform [USP]', 'MBR', 'bromo form', 'tribromo methane', 'Bromoform;', 'Tri bromo methane', 'WLN: EYEE', 'Bromoform, technical grade', 'DSSTox_CID_1374', 'DSSTox_RID_76118', 'DSSTox_GSID_21374', 'SCHEMBL18691', '4-01-00-00082 (Beilstein Handbook Reference)', 'BIDD:ER0622', 'Bromoform, puriss., 97.0%', 'CHEMBL345248', 'Bromoform;bromoform;Tribrommethan', 'DTXSID1021374', 'CTK2H7247', 'KS-00000UEQ', 'Bromoform [UN2515] [Poison]', 'NSC8019', 'Tribromomethane; methyl tribromide', 'LS-64', 'Bromoform [UN2515]  [Poison]', 'BCP10566', 'NSC-8019', 'ZINC8101061', 'Tox21_200189', 'ANW-41206', 'SBB070879', 'Bromoform 100 microg/mL in Methanol', 'AKOS009031540', 'Bromoform 5000 microg/mL in Methanol', 'DB03054', 'EBD2204869', 'UN 2515', 'CAS-75-25-2', 'Bromoform, puriss., &gt;=99.0% (GC)', 'NCGC00091318-01', 'NCGC00091318-02', 'NCGC00257743-01', 'BP-21414', 'I606', 'SC-81767', 'Tribromomethane 100 microg/mL in Methanol', 'B0806', 'FT-0623248', 'FT-0623471', 'NS00002299', 'S0653', 'C14707', 'Bromoform, amylene stabilized, analytical standard', 'Q409799', 'J-519947', 'Bromoform, contains 1-3% ethanol as stabilizer, 96%', 'F0001-1896', 'Bromoform - contains 60-120ppm 2-Methyl-2-butene as stabilizer', 'Bromoform, contains 60-120 ppm 2-methyl-2-butene as stabilizer, 99%']</t>
  </si>
  <si>
    <t>Compound(5558)</t>
  </si>
  <si>
    <t>CHBr3</t>
  </si>
  <si>
    <t>tribromoacetic acid</t>
  </si>
  <si>
    <t>2,2,2-tribromoacetic acid</t>
  </si>
  <si>
    <t>['Tribromoacetic acid', '75-96-7', '2,2,2-tribromoacetic acid', 'Acetic acid, tribromo-', 'Tribromacetic acid', 'UNII-71KTL99QJX', 'CCRIS 7887', 'EINECS 200-919-9', 'Tribromoacetic acid, 99%', '71KTL99QJX', 'Acetic acid, 2,2,2-tribromo-', 'C2HBr3O2', 'HSDB 7623', 'DSSTox_CID_1668', 'ACMC-209p0y', 'DSSTox_RID_76276', 'DSSTox_GSID_21668', 'KSC492E3N', 'SCHEMBL210187', 'CHEMBL502627', 'DTXSID6021668', 'CTK3J2236', 'ZINC3860794', 'Tox21_200913', '1807AC', 'ANW-36704', 'MFCD00004167', 'SBB065991', 'STL089890', 'AKOS005655320', 'Tribromoacetic acid;tribromoacetic acid', 'FS-4203', 'LS-1681', 'LS41232', 'MCULE-4004191582', 'CAS-75-96-7', 'Tribromoacetic acid, analytical standard', 'NCGC00188893-01', 'NCGC00188893-02', 'NCGC00258467-01', 'DB-056003', 'FT-0631319', 'NS00007316', '75T967', 'W-104381', 'Q20978596']</t>
  </si>
  <si>
    <t>Compound(6415)</t>
  </si>
  <si>
    <t>C2HBr3O2</t>
  </si>
  <si>
    <t>N,N-dimethylmethanamine</t>
  </si>
  <si>
    <t>['trimethylamine', 'N,N-dimethylmethanamine', '75-50-3', 'Methanamine, N,N-dimethyl-', 'N-Trimethylamine', 'Dimethylmethaneamine', 'Trimethylamine solution', '(CH3)3N', 'TRIMETHYL AMINE', 'Trimethylamin', 'Trimethylamine anhydrous', 'trimethyl-amine', 'FEMA Number 3241', 'UNII-LHH7G8O305', 'UN1083', 'UN1297', 'FEMA No. 3241', 'CCRIS 6283', 'HSDB 808', 'N,N,N-trimethylamine', 'NMe3', 'AI3-15639', 'Trimethylamine, in aqueous solution', 'EINECS 200-875-0', 'Trimethylamine solution (30% or less)', 'Methylamine, N,N-dimethyl-', 'trimethylamino', 'LHH7G8O305', 'CHEBI:18139', 'MFCD00008327', 'Trimethylamine, anhydrous [UN1083]  [Flammable gas]', 'Trimethylamine, aqueous solutions not &gt;50% trimethylamine, by mass [UN1297]  [Flammable liquid]', 'Trimethylamine solution, 25 wt. % in H2O', 'Trimethylamine, 1M solution in THF, AcroSeal(R)', 'Trimethylamine, pure, 7.3M (50 wt.%) aqueous solution', 'Trimethylamine, pure, 4.2M (33 wt.%) solution in ethanol', 'tri-methylamine', 'KEN', 'dimethylamino methane', 'tridimethylaminomethane', 'Trimethylamine, anhydrous', 'N,N-dimethyl-Methanamine', 'DSSTox_CID_6238', 'N,N-Dimethylmethanamine #', 'bmse000224', 'EC 200-875-0', 'DSSTox_RID_78071', 'NCIOpen2_007868', 'DSSTox_GSID_26238', 'Dimethylaminomethylidyneradical', 'Trimethylamine, &gt;=99.0%', 'Trimethylamine, &gt;=99.5%', 'KSC181G2F', 'Trimethylamine 2.0M in THF', 'Trimethylamine aqueous solution', 'CHEMBL439723', 'GTPL5521', 'DTXSID2026238', 'CTK0I1322', 'Trimethylamine 2M in Isopropanol', 'N(CH3)3', 'Trimethylamine solution, 34-36%', 'Trimethylamine, anhydrous, &gt;=99%', 'ZINC8216125', 'Tox21_302355', 'BDBM50416499', 'NSC101179', 'STL264242', 'AKOS000119986', 'Trimethylamine 2M solution in methanol', 'Trimethylamine solution 20 % in H2O', 'ZINC112948558', 'LS-1667', 'MCULE-7903544426', 'NSC-101179', 'UN 1083', 'UN 1297', 'CAS-75-50-3', 'NCGC00255170-01', 'SC-46821', 'FT-0660006', 'NS00006832', 'C00565', '11062-EP2269610A2', '11062-EP2269977A2', '11062-EP2269989A1', '11062-EP2269990A1', '11062-EP2269999A1', '11062-EP2270011A1', '11062-EP2270014A1', '11062-EP2270505A1', '11062-EP2272491A1', '11062-EP2272822A1', '11062-EP2272832A1', '11062-EP2272834A1', '11062-EP2272841A1', '11062-EP2275398A1', '11062-EP2275411A2', '11062-EP2275412A1', '11062-EP2275427A1', '11062-EP2277848A1', '11062-EP2277867A2', '11062-EP2280001A1', '11062-EP2280003A2', '11062-EP2280010A2', '11062-EP2281817A1', '11062-EP2281821A1', '11062-EP2281823A2', '11062-EP2284149A1', '11062-EP2284160A1', '11062-EP2284169A1', '11062-EP2284171A1', '11062-EP2287147A2', '11062-EP2287152A2', '11062-EP2287153A1', '11062-EP2287155A1', '11062-EP2287160A1', '11062-EP2287161A1', '11062-EP2287162A1', '11062-EP2287163A1', '11062-EP2289510A1', '11062-EP2289891A2', '11062-EP2289965A1', '11062-EP2292228A1', '11062-EP2292576A2', '11062-EP2292597A1', '11062-EP2292615A1', '11062-EP2295402A2', '11062-EP2295406A1', '11062-EP2295409A1', '11062-EP2295414A1', '11062-EP2295415A1', '11062-EP2295433A2', '11062-EP2295437A1', '11062-EP2298731A1', '11062-EP2298734A2', '11062-EP2298742A1', '11062-EP2298750A1', '11062-EP2298761A1', '11062-EP2298772A1', '11062-EP2298775A1', '11062-EP2298779A1', '11062-EP2298828A1', '11062-EP2301923A1', '11062-EP2301928A1', '11062-EP2301929A1', '11062-EP2301931A1', '11062-EP2301933A1', '11062-EP2301935A1', '11062-EP2301936A1', '11062-EP2302015A1', '11062-EP2305219A1', '11062-EP2305257A1', '11062-EP2305625A1', '11062-EP2305636A1', '11062-EP2305651A1', '11062-EP2305672A1', '11062-EP2305673A1', '11062-EP2305674A1', '11062-EP2305677A1', '11062-EP2305678A1', '11062-EP2305679A1', '11062-EP2305682A1', '11062-EP2308839A1', '11062-EP2308840A1', '11062-EP2308851A1', '11062-EP2308854A1', '11062-EP2308857A1', '11062-EP2308873A1', '11062-EP2308875A1', '11062-EP2308879A1', '11062-EP2311804A2', '11062-EP2311808A1', '11062-EP2311811A1', '11062-EP2311815A1', '11062-EP2311827A1', '11062-EP2311829A1', '11062-EP2311831A1', '11062-EP2311834A1', '11062-EP2311842A2', '11062-EP2314586A1', '11062-EP2314590A1', '11062-EP2314593A1', '11062-EP2316457A1', '11062-EP2316458A1', '11062-EP2316825A1', '11062-EP2316826A1', '11062-EP2316827A1', '11062-EP2316828A1', '11062-EP2316831A1', '11062-EP2316836A1', '11062-EP2377813A1', '11062-EP2380869A1', '11062-EP2380870A1', '11062-EP2380874A2', '28042-EP2301937A1', '28042-EP2314588A1', '37851-EP2292227A2', '37851-EP2298732A1', '37851-EP2301913A1', '37851-EP2301914A1', '37851-EP2311796A1', '37851-EP2311797A1', '37851-EP2311798A1', '37851-EP2311799A1', '59622-EP2272846A1', '59622-EP2277868A1', '59622-EP2277869A1', '59622-EP2277870A1', '59622-EP2292608A1', '59622-EP2308852A1', 'Trimethylamine solution, 25 wt. % in H2O, FG', 'Trimethylamine solution, 45 wt. % in H2O, FG', '148083-EP2280005A1', '148083-EP2289884A1', 'Q423953', 'Trimethylamine (ca. 8% in Toluene, ca. 1mol/L)', 'Trimethylamine solution, ~45 wt. % in H2O (T)', 'Trimethylamine solution, 25 wt. % in propylene glycol', 'Trimethylamine, anhydrous [UN1083] [Flammable gas]', 'F1908-0091', 'Trimethylamine (ca. 13% in Acetonitrile, ca. 2mol/L)', 'Trimethylamine, anhydrous, cylinder, with 316SS needle valve, 99%', 'Trimethylamine, aqueous solutions not &gt;50% trimethylamine, by mass', 'Hydrogen undecahydrodicarbaundecaborate(1-), compd. with trimethylamine (1:1)', 'Trimethylamine solution, 31-35 wt. % in ethanol, 4.2 M, contains toluene as stabilizer', '19530-21-3', 'Trimethylamine, aqueous solutions not &gt;50% trimethylamine, by mass [UN1297] [Flammable liquid]']</t>
  </si>
  <si>
    <t>Compound(1146)</t>
  </si>
  <si>
    <t>trimethylammonium chloride</t>
  </si>
  <si>
    <t>N,N-dimethylmethanamine;hydrochloride</t>
  </si>
  <si>
    <t>['Trimethylamine hydrochloride', '593-81-7', 'TRIMETHYLAMMONIUM CHLORIDE', 'N,N-dimethylmethanamine hydrochloride', 'Trimethylamine monohydrochloride', 'Methanamine, N,N-dimethyl-, hydrochloride', 'Trimethylamine HCl', 'CHEBI:64700', 'UNII-UW38SRM77K', 'Trimethylamine hydrochloride, 98%', 'UW38SRM77K', 'TRIMETHYL AMMONIUM CHLORIDE', 'Methanamine, N,N-dimethyl-, hydrochloride (1:1)', 'Me3N.HCl', 'trimethylaminehydrochloride', 'C3H10ClN', 'ACMC-1ARX5', 'DSSTox_CID_7229', 'trimethyl amine hydrochloride', '(CH3)3N.HCl', 'DSSTox_RID_78359', 'DSSTox_GSID_27229', 'KSC269G6L', 'CHEMBL450057', 'DTXSID5027229', 'CTK1G9365', 'KS-00000VVS', 'WLN: 1N1&amp;1 &amp;GH', 'N,N-dimethylmethanaminium chloride', 'CS-D1390', 'HY-Y0504', 'NSC91484', 'Tox21_200130', 'ANW-33248', 'MFCD00012478', 'NSC-91484', 'AKOS015894241', 'Methanamine,N-dimethyl-, hydrochloride', 'JC10110', 'LS41629', 'NE10704', 'NCGC00248733-01', 'NCGC00257684-01', 'AK161875', 'CAS-593-81-7', 'SC-46902', 'AB0010703', 'DB-050421', 'FT-0632469', 'FT-0675605', 'Trimethylamine hydrochloride, analytical standard', '102160-EP2298768A1', '102160-EP2301922A1', 'J-525109', 'Q27133385', 'Trimethylamine hydrochloride, Vetec(TM) reagent grade, 98%', 'N, N-DIMETHYLMETHYLAMINE HCL;TMA-HCL;TRIMETHYLAMINE HCL;TRIMETHYLAMINE HYDROCHLORIDE;TRIMETHYLAMMONIUM CHLORIDE']</t>
  </si>
  <si>
    <t>Compound(10313079)</t>
  </si>
  <si>
    <t>C3H10ClN</t>
  </si>
  <si>
    <t>trimethyl phosphate</t>
  </si>
  <si>
    <t>['TRIMETHYL PHOSPHATE', '512-56-1', 'Trimethylphosphate', 'Phosphoric acid, trimethyl ester', 'Phosphoric acid trimethyl ester', 'Trimethyl orthophosphate', 'TMPO', 'Trimethoxyphosphine oxide', 'O,O,O-Trimethyl phosphate', 'Trimethylfosfat', 'NCI-C03781', 'Phosphate, trimethyl-', 'Trimethylfosfat [Czech]', 'UNII-Z1E45TMW1Z', 'NSC 58985', 'CCRIS 610', 'HSDB 5090', 'EINECS 208-144-8', 'MFCD00008348', 'Z1E45TMW1Z', 'Methyl phosphate, (MeO)3PO', 'AI3-05905', 'CHEBI:46324', 'DSSTox_CID_1403', 'Trimethyl phosphate, 99%', 'DSSTox_RID_76141', 'DSSTox_GSID_21403', 'TZZ', 'CAS-512-56-1', 'trim ethyl phosphate', 'trimethylphosphoric acid', 'dimethylphosphonomethanol', 'trimethyl phosphoric acid', 'Phosphoric acid trimethyl', 'PO(OMe)3', 'ACMC-1AMD5', 'bmse000774', 'Trimethyl phosphate, 97%', 'Trimethyl Phosphate (TMP)', 'SCHEMBL19941', 'P(O)(OMe)3', '(CH3O)3PO', 'KSC489Q4N', 'Trimethyl phosphate, &gt;=99%', 'WLN: 1OPO&amp;O1&amp;O1', 'CHEMBL1236486', 'DTXSID1021403', 'CTK3I9846', 'P(O)(OCH3)3', 'KS-00000UP8', 'NSC58985', 'ZINC1689472', 'Tox21_201576', 'Tox21_302740', 'ANW-31220', 'NSC-58985', 'SBB060441', 'AKOS009029142', 'CM14387', 'LS-1318', 'MCULE-8816146297', 'NCGC00248617-01', 'NCGC00248617-02', 'NCGC00256562-01', 'NCGC00259125-01', 'FT-0689821', 'NS00003887', 'P0271', 'ST51046615', '85093-EP2305657A2', '85093-EP2305808A1', '85133-EP2292624A1', '85133-EP2305808A1', 'Trimethyl phosphate, SAJ first grade, &gt;=95.0%', 'A804739', 'Q2623529']</t>
  </si>
  <si>
    <t>Compound(10541)</t>
  </si>
  <si>
    <t>C3H9O4P</t>
  </si>
  <si>
    <t>trimethylene glycol (1,3-propylene glycol)</t>
  </si>
  <si>
    <t>propane-1,3-diol</t>
  </si>
  <si>
    <t>['1,3-PROPANEDIOL', 'Propane-1,3-diol', '504-63-2', 'Trimethylene glycol', '1,3-Dihydroxypropane', '1,3-Propylene glycol', '1,3-Propylenediol', '2-Deoxyglycerol', '1,3-PROPANDIOL', '2-(Hydroxymethyl)ethanol', 'beta-Propylene glycol', 'omega-Propanediol', '.beta.-Propylene glycol', 'NSC 65426', '.omega.-Propanediol', 'UNII-5965N8W85T', 'AI3-01851', 'HOCH2CH2CH2OH', 'EINECS 207-997-3', '1,3-Propanediol, 98%', 'BRN 0969155', 'HO(CH2)3OH', 'CHEBI:16109', '5965N8W85T', '3-hydroxypropanol', '1,3 propanediol', '1.3-propanediol', 'propane-1,3diol', 'propane1,3-diol', 'propane1.3-diol', '1,3 propandiol', 'propan-1,3-diol', '1,3 -propanediol', '1,3- propanediol', '1,3-propane diol', '1,3-propane-diol', 'propane 1,3-diol', 'propane 1.3-diol', 'propane diol-1,3', 'propane-1-3-diol', 'propane-1.3-diol', 'MFCD00002949', '1,3-propyleneglycol', 'propane-1, 3-diol', 'propanediol-(1,3)', 'PubChem22258', 'ACMC-209kmt', 'bmse000303', 'EC 207-997-3', 'DSSTox_CID_21246', 'DSSTox_RID_79660', 'DSSTox_GSID_41246', 'KSC270C6L', '(HOCH2)2CH2', '1,3-Propanediol, homopolymer', 'CH2(CH2OH)2', 'CHEMBL379652', 'DTXSID8041246', 'CTK1H0165', 'HSDB 8263', 'DTXSID30897465', '1,3-Propanediol, &gt;=99.6%', 'NSC65426', 'ZINC1529437', 'Tox21_300750', 'ANW-31011', 'NSC-65426', 'STL282728', 'AKOS000269061', 'CS-W018490', 'DB02774', 'MCULE-5166824786', 'NCGC00248157-01', 'NCGC00254655-01', 'BP-30193', 'CAS-504-63-2', 'SC-25736', 'DB-071203', 'LS-120102', 'FT-0606743', 'NS00005983', 'NS00056171', 'P0486', '1,3-Propanediol, puriss., &gt;=99.0% (GC)', '1750-EP2269998A2', '1750-EP2270005A1', '1750-EP2272517A1', '1750-EP2272832A1', '1750-EP2272834A1', '1750-EP2272846A1', '1750-EP2272848A1', '1750-EP2275412A1', '1750-EP2277507A1', '1750-EP2281563A1', '1750-EP2286795A1', '1750-EP2287153A1', '1750-EP2289483A1', '1750-EP2292625A1', '1750-EP2295414A1', '1750-EP2295439A1', '1750-EP2298764A1', '1750-EP2298765A1', '1750-EP2301929A1', '1750-EP2301933A1', '1750-EP2301935A1', '1750-EP2305254A1', '1750-EP2305648A1', '1750-EP2305653A1', '1750-EP2305674A1', '1750-EP2305688A1', '1750-EP2305808A1', '1750-EP2308510A1', '1750-EP2308562A2', '1750-EP2308866A1', '1750-EP2308872A1', '1750-EP2308873A1', '1750-EP2311801A1', '1750-EP2311822A1', '1750-EP2311827A1', '1750-EP2311840A1', '1750-EP2316459A1', '1750-EP2316824A1', '1750-EP2316826A1', '1750-EP2316829A1', '1750-EP2371805A1', '1750-EP2371811A2', '1750-EP2371814A1', 'C02457', '32978-EP2284159A1', '32978-EP2301933A1', '32978-EP2311827A1', '68915-EP2270101A1', '68915-EP2275417A2', '68915-EP2284162A2', '68915-EP2284163A2', '68915-EP2292597A1', '68915-EP2292606A1', '68915-EP2295399A2', '68915-EP2301919A1', '68915-EP2308861A1', '68915-EP2377842A1', '68915-EP2380568A1', '1,3-Propanediol, Vetec(TM) reagent grade, 98%', 'A828134', 'Q161514', 'J-503943', 'F1908-0064', '7AB97F71-EF6B-4C05-8084-541427B9306C', '1,3-Propanediol, United States Pharmacopeia (USP) Reference Standard', '345260-48-2', 'Poly[oxy(methyl-1,2-ethanediyl)], ?-hydro-?-hydroxy-, polymer with 5-isocyanato-1-(isocyanatomethyl)-1,3,3-trimethylcyclohexane;1,3 Propylene glycol;1,3-Propanediol;propane-1,3-diol;Sodium hydrogen propane-1,3-diolate;Propane-1,3-diol, sodium salt']</t>
  </si>
  <si>
    <t>Compound(10442)</t>
  </si>
  <si>
    <t>1,1,2-trimethylhydrazine</t>
  </si>
  <si>
    <t>['Trimethylhydrazine', '1741-01-1', 'HYDRAZINE, TRIMETHYL-', '1,1,2-Trimethylhydrazine', "N,N,N'-Trimethylhydrazine", 'UNII-6E72N07R6K', '6E72N07R6K', '(CH3)2NNH(CH3)', 'CTK8H2605', 'DTXSID80169760', '1,1,2-TRIMETHYL HYDRAZINE', 'BCP16365', 'ZINC19167886', 'AKOS006281872', 'EBD2761137', 'A008', 'Hydrazine, trimethyl- (6CI,7CI,8CI,9CI)', 'Q27264669', "1,1,2-Trimethylhydrazine; N,N,N'-Trimethylhydrazine; Trimethylhydrazine", '53280-25-4']</t>
  </si>
  <si>
    <t>Compound(43369)</t>
  </si>
  <si>
    <t>C3H10N2</t>
  </si>
  <si>
    <t>trimethyl thiophosphate</t>
  </si>
  <si>
    <t>trimethoxy(sulfanylidene)-lambda5-phosphane</t>
  </si>
  <si>
    <t>['Trimethyl thiophosphate', '152-18-1', 'O,O,O-TRIMETHYL PHOSPHOROTHIOATE', 'Trimethylthiophosphate', 'O,O,O-Trimethyl thiophosphate', 'Trimethylthiofosfat', 'O,O,O-Trimethylthiofosfat', 'Trimethylthiofosfat [Czech]', 'HC 7900', 'SD 4741', 'CCRIS 5569', 'Phosphorothioic acid, O,O,O-trimethyl ester', 'O,O,O-Trimethylthiofosfat [Czech]', 'AI3-51712', 'O,O,O-Trimethylester kyseliny thiofosforecne', 'O,O,O-Trimethylester kyseliny thiofosforecne [Czech]', 'O,O,O-TRIMETHYLPHOSPHOROTHIOATE', 'O,O,O-Trimethyl phosphorothioic acid ester', 'Q63396031', 'dimethyl methoxy(sulfanylidene)phosphonite', 'ACMC-20ajdm', 'Trimethyl thionophosphate', 'Trimethoxyphosphine Sulfide', 'O,O,O-Trimethylthiophosphate', '(CH3O)3PS', 'SCHEMBL259934', 'O,O,O-Trimethylphosphorthioate', 'CTK8C5363', 'DTXSID30164927', "o,o',o''-Trimethyl thiophosphate", 'Thiophosphoric acid O,O,O-trimethyl', 'Methyl Phosphorothioate ((MeO)3PS)', 'MFCD00014888', '7900-HC', 'NE59322', 'trimethoxy(sulfanylidene)-?^{5}-phosphane', 'LS-108966', 'FT-0739995']</t>
  </si>
  <si>
    <t>Compound(9038)</t>
  </si>
  <si>
    <t>C3H9O3PS</t>
  </si>
  <si>
    <t>2-[bis(2-hydroxyethyl)amino]ethanol</t>
  </si>
  <si>
    <t>['TRIETHANOLAMINE', 'Trolamine', '102-71-6', "2,2',2''-Nitrilotriethanol", 'Sterolamide', 'Tris(2-hydroxyethyl)amine', 'Daltogen', 'Nitrilotriethanol', 'Triethylolamine', 'Trihydroxytriethylamine', 'Thiofaco T-35', 'Triethanolamin', 'Sting-Kill', "Ethanol, 2,2',2''-nitrilotris-", 'Tri(hydroxyethyl)amine', 'Tris(beta-hydroxyethyl)amine', "Nitrilo-2,2',2''-triethanol", 'Sodium ISA', 'Alkanolamine 244', 'Teoa', 'TEA (amino alcohol)', "2,2',2''-Nitrilotris(ethanol)", 'Nitrilotris(ethanol)', 'Tris(hydroxyethyl)amine', 'Triethanolamin-NG', 'H3tea', 'Triaethanolamin-NG', "2,2',2-Nitrilotriethanol", 'N(CH2CH2OH)3', 'Caswell No. 886', 'Mobisyl', "2,2',2''-Nitrilotrisethanol", 'Trola', 'Triethanolamine homopolymer', "2,2',2''-Trihydroxytriethylamine", 'Poly(triethanolamine) ether', '2-[bis(2-hydroxyethyl)amino]ethanol', 'Trihydroxyethylamine', 'Trolamine (NF)', 'Trolamine [NF]', 'UNII-9O3K93S3TK', 'MFCD00002855', 'NSC 36718', 'CCRIS 606', 'Mobisy (TN)', "Triethylamine, 2,2',2''-trihydroxy-", 'HSDB 893', '2-[bis(2-hydroxyethyl)amino]ethan-1-ol', 'Triethanolamine condensate polymer', "Ethanol, 2,2',2''-nitrilotri-", "Ethanol, 2,2',2''-nitrilotris-, homopolymer", 'EINECS 203-049-8', '2,2,2-Nitrilotriethanol', 'EPA Pesticide Chemical Code 004208', 'NCIOpen2_004601', '2,2\',2"-Nitrilotriethanol', "2,2',2'-Nitrilotriethanol", 'AI3-01140', '9O3K93S3TK', 'C6H15NO3', "2,2',2-Nitrilotris(ethanol)", 'CHEBI:28621', "2,2',2''-Nitrilotris[ethanol]", "Ethanol, 2,2',2'-nitrilotris-", 'NSC-36718', 'NCGC00159411-02', 'T-35', 'Triethanolamine, 99+%', 'DSSTox_CID_1392', 'tri-(2-hydroxyethyl)amine', 'Tri-beta-hydroxy Ethylamine', 'tris-(2-hydroxyethyl)amine', 'DSSTox_RID_76134', 'DSSTox_GSID_21392', 'Biafine', 'Tris(2-Hydroxyethyl) Amine', 'Trolamine [INN]', 'CAS-102-71-6', 'Cerumenex', 'Alkano', 'Mobisy', 'Triethanolamine 85%', 'Triethanolamine 99%', 'ACMC-20ajek', 'Mobisyl (Salt/Mix)', 'Triethanolamine, USP', 'TRIETHANOL AMINE', 'Triethanolamine, 97%', '15879-01-3', 'Tris(b-hydroxyethyl)amine', "2,2''-Nitrilotriethanol", 'bmse000379', 'EC 203-049-8', '2,2,2-Nitrilotriethanol.', 'N(EtOH)3;', "Nitrilo-2,2''-triethanol", 'SCHEMBL1146', 'Oprea1_614203', 'tris-(2-hydroxyethyl)-amine', 'WLN: Q2N2Q2Q', 'tris(beta -hydroxyethyl)amine', '64114-46-1', 'KSC492A8N', "2,2''-Nitrilotris[ethanol]", 'BIDD:ER0261', "Ethanol,2',2''-nitrilotri-", 'Tris(.beta.-hydroxyethyl)amine', 'CHEMBL446061', "Ethanol,2',2''-nitrilotris-", 'Triethanolamine, LR, &gt;=99%', "2,2',2'-Nitrilotris-Ethanol", "2,2'2''-Nitrilotris-Ethanol", "2,2', 2''-Nitrilotriethanol", "2,2',2Quot -Nitrilotriethanol", 'DTXSID9021392', "2,2',2''-Nitrilotri-Ethanol", 'CTK3J2086', "2,2',2''-Nitrilotris-Ethanol", "Nitrilo-2,2',2quot -triethanol", 'Triethanolamine, p.a., 99.0%', 'LS-84', 'Triethanolamine, AR, &gt;=99.5%', 'ZINC896409', 'Triethanolamine 99% Reagent Grade', "Triethylamine,2',2''-trihydroxy-", 'ADAL1017515', 'HY-B1809', 'NSC36718', 'Tox21_113166', 'Tox21_202062', 'Tox21_300527', 'Triethanolamine, &gt;=99.0% (GC)', "2,2',2''-Trihydroxy-Triethylamine", 'SBB058707', 'STL264185', 'Triethanolamine, reagent grade, 98%', "2,2',2''-Nitrilotri(ethan-1-ol)", 'AKOS000119997', 'CS-5859', 'DB13747', 'EBD2205814', 'MCULE-1846755153', '637-39-8 (unspecified hydrochloride)', 'KS-00000X87', 'SMP2_000190', 'TEA, 0.2M buffer solution, pH 8.0', 'NCGC00159411-03', 'NCGC00159411-04', 'NCGC00159411-05', 'NCGC00159411-06', 'NCGC00254460-01', 'NCGC00259611-01', '7376-31-0 (unspecified sulfate salt)', 'BP-21029', 'SC-47388', 'Triethanolamine, USP, 99.0-107.4%', '7376-31-0 (Unspecified sulphate salt)', '135-EP2269610A2', '135-EP2269978A2', '135-EP2269985A2', '135-EP2269989A1', '135-EP2269990A1', '135-EP2269991A2', '135-EP2270002A1', '135-EP2270505A1', '135-EP2272516A2', '135-EP2272822A1', '135-EP2272832A1', '135-EP2272841A1', '135-EP2272848A1', '135-EP2272849A1', '135-EP2275401A1', '135-EP2275411A2', '135-EP2277848A1', '135-EP2280001A1', '135-EP2281563A1', '135-EP2281821A1', '135-EP2281823A2', '135-EP2281824A1', '135-EP2284150A2', '135-EP2284151A2', '135-EP2284152A2', '135-EP2284153A2', '135-EP2284155A2', '135-EP2284156A2', '135-EP2284157A1', '135-EP2284164A2', '135-EP2287140A2', '135-EP2287148A2', '135-EP2287150A2', '135-EP2287155A1', '135-EP2289510A1', '135-EP2289883A1', '135-EP2289890A1', '135-EP2289896A1', '135-EP2292592A1', '135-EP2292612A2', '135-EP2292613A1', '135-EP2295402A2', '135-EP2295406A1', '135-EP2295419A2', '135-EP2295426A1', '135-EP2295427A1', '135-EP2295429A1', '135-EP2295433A2', '135-EP2295438A1', '135-EP2298731A1', '135-EP2298742A1', '135-EP2298746A1', '135-EP2298768A1', '135-EP2298770A1', '135-EP2298772A1', '135-EP2298776A1', '135-EP2301936A1', '135-EP2302132A1', '135-EP2305219A1', '135-EP2305637A2', '135-EP2305643A1', '135-EP2305646A1', '135-EP2305685A1', '135-EP2308510A1', '135-EP2308562A2', '135-EP2308828A2', '135-EP2308839A1', '135-EP2308874A1', '135-EP2311806A2', '135-EP2311842A2', '135-EP2314295A1', '135-EP2314298A1', '135-EP2314574A1', '135-EP2314585A1', '135-EP2316457A1', '135-EP2316458A1', '135-EP2316459A1', '135-EP2316825A1', '135-EP2316826A1', '135-EP2316827A1', '135-EP2316828A1', '135-EP2316831A1', '135-EP2371809A1', '135-EP2371811A2', '135-EP2372017A1', '135-EP2379488A1', 'S0377', 'ST50824158', 'Triethanolamine, BioUltra, &gt;=99.5% (GC)', 'Triethanolamine, analytical reference material', 'Triethanolamine, SAJ first grade, &gt;=98.0%', 'C06771', 'D00215', 'Triethanolamine, JIS special grade, &gt;=98.0%', 'Triethanolamine, puriss. p.a., &gt;=99% (GC)', 'Triethanolamine, Vetec(TM) reagent grade, 97%', '22211-EP2270010A1', '22211-EP2270018A1', '22211-EP2272537A2', '22211-EP2272825A2', '22211-EP2272972A1', '22211-EP2272973A1', '22211-EP2277872A1', '22211-EP2280008A2', '22211-EP2281563A1', '22211-EP2284157A1', '22211-EP2287165A2', '22211-EP2287166A2', '22211-EP2289879A1', '22211-EP2289883A1', '22211-EP2289894A2', '22211-EP2292589A1', '22211-EP2292619A1', '22211-EP2292620A2', '22211-EP2295402A2', '22211-EP2295432A1', '22211-EP2295434A2', '22211-EP2298742A1', '22211-EP2298744A2', '22211-EP2298770A1', '22211-EP2298779A1', '22211-EP2298780A1', '22211-EP2301922A1', '22211-EP2301928A1', '22211-EP2305648A1', '22211-EP2305652A2', '22211-EP2305660A1', '22211-EP2305679A1', '22211-EP2305689A1', '22211-EP2305695A2', '22211-EP2305696A2', '22211-EP2305697A2', '22211-EP2305698A2', '22211-EP2305769A2', '22211-EP2308812A2', '22211-EP2308861A1', '22211-EP2308867A2', '22211-EP2308870A2', '22211-EP2308873A1', '22211-EP2311808A1', '22211-EP2311825A1', '22211-EP2311829A1', '22211-EP2311830A1', '22211-EP2311840A1', '22211-EP2314593A1', '32132-EP2272834A1', '32132-EP2275420A1', '32132-EP2280008A2', '32132-EP2292228A1', '32132-EP2292615A1', '32132-EP2295415A1', '32132-EP2295416A2', '32132-EP2298748A2', '32132-EP2301928A1', '32132-EP2301929A1', '32132-EP2301933A1', '32132-EP2301935A1', '32132-EP2305674A1', '32132-EP2311827A1', '56753-EP2275408A1', '56753-EP2284166A1', '56753-EP2287158A1', '56753-EP2289483A1', '56753-EP2295436A1', '56753-EP2298769A1', '56753-EP2298773A1', '56753-EP2308878A2', '56753-EP2379488A1', '115480-EP2275420A1', '115480-EP2277875A2', '115480-EP2280008A2', '115480-EP2295416A2', '115480-EP2298748A2', '115480-EP2298764A1', '115480-EP2298765A1', '124788-EP2295426A1', '124788-EP2295427A1', 'Q424314', 'SR-01000944572', 'J-525067', 'SR-01000944572-1', 'F0001-0071', 'B886EF22-ACA3-4597-9C73-A087E02F54A7', 'Trolamine, European Pharmacopoeia (EP) Reference Standard', 'Trolamine, United States Pharmacopeia (USP) Reference Standard', 'Triethanolamine, puriss., meets analytical specification of NF, &gt;=99% (GC)', 'Trolamine, Pharmaceutical Secondary Standard; Certified Reference Material', 'Triethanolamine, PharmaGrade, USP, Manufactured under appropriate GMP controls for pharma or biopharmaceutical production.']</t>
  </si>
  <si>
    <t>Compound(7618)</t>
  </si>
  <si>
    <t>C6H15NO3</t>
  </si>
  <si>
    <t>N,N-diethylethanamine</t>
  </si>
  <si>
    <t>['TRIETHYLAMINE', 'N,N-Diethylethanamine', '121-44-8', 'Ethanamine, N,N-diethyl-', '(Diethylamino)ethane', 'Triethylamin', 'triethyl amine', 'Triaethylamin', 'Trietilamina', 'N,N,N-Triethylamine', 'NEt3', 'trietylamine', 'Triaethylamin [German]', 'Trietilamina [Italian]', 'triethyl-amine', 'tri-ethyl amine', 'UNII-VOU728O6AY', '(C2H5)3N', 'MFCD00009051', 'CCRIS 4881', 'HSDB 896', 'Et3N', 'N,N-diethyl-ethanamine', 'EINECS 204-469-4', 'UN1296', 'VOU728O6AY', 'AI3-15425', 'CHEBI:35026', 'Triethylamine [UN1296] [Flammable liquid]', 'Diethylaminoethane', 'Triethylamine, for analysis', 'Triethylamine, 99%, pure', 'Triethylamine, &gt;=99.5%', 'Triethylamine, 99.7%, extra pure', 'TEN [Base]', 'triehtylamine', 'triehylamine', 'trieihylamine', 'triethlyamine', 'triethyamine', 'TRIETHYLAMINE 100ML', 'triethylamme', 'triethylarnine', 'Thethylamine', 'Triethlamine', 'triethyIamine', 'Triethylannine', 'tri-ethylamine', 'triehyl amine', 'triethyl amin', 'triethylam ine', 'triethylami-ne', 'triethylamine-', 'trietyl amine', 'tri ethyl amine', 'triethyl- amine', 'Green Tea 95%', 'N, N-diethylethanamine', 'Green Tea PE 50%', 'Green Tea PE 90%', 'N,N,N-Triethylamine #', 'triethylamine, 99.5%', 'Triethylamine, for HPLC', 'Triethylamine, &gt;=99%', 'ACMC-1BP6L', 'DSSTox_CID_4366', 'EC 204-469-4', 'N(Et)3', 'DSSTox_RID_77381', 'NCIOpen2_006503', 'DSSTox_GSID_24366', 'KSC176A2H', 'BIDD:ER0331', 'Triethylamine (Reagent Grade)', 'Triethylamine, LR, &gt;=99%', '(CH3CH2)3N', 'CHEMBL284057', 'N(CH2CH3)3', 'Green Tea Extract (50/30)', 'Green Tea Extract (90/40)', 'DTXSID3024366', 'Triethylamine, HPLC, 99.6%', 'CTK0H6023', 'KS-00000VNL', 'Triethylamine, p.a., 99.0%', 'Green Tea Extract 50% Material', 'Triethylamine, analytical standard', 'ADAL1185352', 'BCP07310', 'N(C2H5)3', 'Triethylamine, for synthesis, 99%', 'ZINC1242720', 'Tox21_200873', 'ANW-17634', 'GREEN TEA Powder &amp; Powder Extract', 'LS-647', 'SBB040898', 'STL282722', 'AKOS000119998', 'Triethylamine, purum, &gt;=99% (GC)', 'Triethylamine, ZerO2(TM), &gt;=99%', 'ZINC112977393', 'MCULE-6692975244', 'UN 1296', 'NCGC00248857-01', 'NCGC00258427-01', 'CAS-121-44-8', 'SC-16141', 'Triethylamine, BioUltra, &gt;=99.5% (GC)', 'Triethylamine, SAJ first grade, &gt;=98.0%', 'FT-0688146', 'NS00002646', 'ST50214499', 'Triethylamine [UN1296]  [Flammable liquid]', 'Triethylamine, SAJ special grade, &gt;=98.0%', '3480-EP0930075A1', '3480-EP1441224A2', '3480-EP2269610A2', '3480-EP2269977A2', '3480-EP2269978A2', '3480-EP2269979A1', '3480-EP2269985A2', '3480-EP2269986A1', '3480-EP2269989A1', '3480-EP2269990A1', '3480-EP2269991A2', '3480-EP2269992A1', '3480-EP2269993A1', '3480-EP2269994A1', '3480-EP2269995A1', '3480-EP2269999A1', '3480-EP2270003A1', '3480-EP2270004A1', '3480-EP2270006A1', '3480-EP2270008A1', '3480-EP2270009A1', '3480-EP2270010A1', '3480-EP2270011A1', '3480-EP2270012A1', '3480-EP2270013A1', '3480-EP2270014A1', '3480-EP2270113A1', '3480-EP2270114A1', '3480-EP2270505A1', '3480-EP2272509A1', '3480-EP2272516A2', '3480-EP2272517A1', '3480-EP2272537A2', '3480-EP2272813A2', '3480-EP2272817A1', '3480-EP2272822A1', '3480-EP2272825A2', '3480-EP2272826A1', '3480-EP2272827A1', '3480-EP2272829A2', '3480-EP2272830A1', '3480-EP2272832A1', '3480-EP2272834A1', '3480-EP2272835A1', '3480-EP2272838A1', '3480-EP2272841A1', '3480-EP2272842A1', '3480-EP2272844A1', '3480-EP2272848A1', '3480-EP2272935A1', '3480-EP2272972A1', '3480-EP2272973A1', '3480-EP2274983A1', '3480-EP2275102A1', '3480-EP2275105A1', '3480-EP2275398A1', '3480-EP2275401A1', '3480-EP2275404A1', '3480-EP2275410A1', '3480-EP2275411A2', '3480-EP2275412A1', '3480-EP2275413A1', '3480-EP2275414A1', '3480-EP2275420A1', '3480-EP2275421A1', '3480-EP2275424A1', '3480-EP2275427A1', '3480-EP2277848A1', '3480-EP2277858A1', '3480-EP2277861A1', '3480-EP2277863A1', '3480-EP2277865A1', '3480-EP2277867A2', '3480-EP2277872A1', '3480-EP2277874A1', '3480-EP2277875A2', '3480-EP2277876A1', '3480-EP2277877A1', '3480-EP2277878A1', '3480-EP2277880A1', '3480-EP2277881A1', '3480-EP2277882A1', '3480-EP2277898A2', '3480-EP2279741A2', '3480-EP2279750A1', '3480-EP2280000A1', '3480-EP2280001A1', '3480-EP2280003A2', '3480-EP2280005A1', '3480-EP2280006A1', '3480-EP2280007A1', '3480-EP2280008A2', '3480-EP2280009A1', '3480-EP2280010A2', '3480-EP2280012A2', '3480-EP2280014A2', '3480-EP2281563A1', '3480-EP2281810A1', '3480-EP2281815A1', '3480-EP2281817A1', '3480-EP2281818A1', '3480-EP2281819A1', '3480-EP2281820A2', '3480-EP2281821A1', '3480-EP2281822A1', '3480-EP2281823A2', '3480-EP2283898A1', '3480-EP2284150A2', '3480-EP2284151A2', '3480-EP2284152A2', '3480-EP2284153A2', '3480-EP2284154A1', '3480-EP2284155A2', '3480-EP2284156A2', '3480-EP2284157A1', '3480-EP2284159A1', '3480-EP2284160A1', '3480-EP2284164A2', '3480-EP2284169A1', '3480-EP2284171A1', '3480-EP2284174A1', '3480-EP2286811A1', '3480-EP2286812A1', '3480-EP2287140A2', '3480-EP2287147A2', '3480-EP2287148A2', '3480-EP2287150A2', '3480-EP2287152A2', '3480-EP2287153A1', '3480-EP2287154A1', '3480-EP2287155A1', '3480-EP2287156A1', '3480-EP2287157A1', '3480-EP2287159A1', '3480-EP2287160A1', '3480-EP2287161A1', '3480-EP2287162A1', '3480-EP2287163A1', '3480-EP2287165A2', '3480-EP2287166A2', '3480-EP2287167A1', '3480-EP2287168A2', '3480-EP2289509A2', '3480-EP2289510A1', '3480-EP2289868A1', '3480-EP2289871A1', '3480-EP2289876A1', '3480-EP2289879A1', '3480-EP2289883A1', '3480-EP2289884A1', '3480-EP2289885A1', '3480-EP2289887A2', '3480-EP2289888A2', '3480-EP2289890A1', '3480-EP2289891A2', '3480-EP2289892A1', '3480-EP2289893A1', '3480-EP2289894A2', '3480-EP2289896A1', '3480-EP2289897A1', '3480-EP2289965A1', '3480-EP2292227A2', '3480-EP2292228A1', '3480-EP2292234A1', '3480-EP2292576A2', '3480-EP2292589A1', '3480-EP2292590A2', '3480-EP2292592A1', '3480-EP2292593A2', '3480-EP2292596A2', '3480-EP2292597A1', '3480-EP2292606A1', '3480-EP2292607A2', '3480-EP2292609A1', '3480-EP2292610A1', '3480-EP2292611A1', '3480-EP2292612A2', '3480-EP2292613A1', '3480-EP2292614A1', '3480-EP2292615A1', '3480-EP2292617A1', '3480-EP2292619A1', '3480-EP2292620A2', '3480-EP2292621A1', '3480-EP2292624A1', '3480-EP2292628A2', '3480-EP2292630A1', '3480-EP2295402A2', '3480-EP2295406A1', '3480-EP2295407A1', '3480-EP2295408A1', '3480-EP2295409A1', '3480-EP2295410A1', '3480-EP2295411A1', '3480-EP2295412A1', '3480-EP2295413A1', '3480-EP2295414A1', '3480-EP2295415A1', '3480-EP2295416A2', '3480-EP2295417A1', '3480-EP2295418A1', '3480-EP2295419A2', '3480-EP2295423A1', '3480-EP2295425A1', '3480-EP2295426A1', '3480-EP2295427A1', '3480-EP2295429A1', '3480-EP2295430A2', '3480-EP2295431A2', '3480-EP2295432A1', '3480-EP2295433A2', '3480-EP2295434A2', '3480-EP2295435A1', '3480-EP2295437A1', '3480-EP2295438A1', '3480-EP2295439A1', '3480-EP2295441A2', '3480-EP2295503A1', '3480-EP2298312A1', '3480-EP2298728A1', '3480-EP2298729A1', '3480-EP2298731A1', '3480-EP2298732A1', '3480-EP2298734A2', '3480-EP2298735A1', '3480-EP2298736A1', '3480-EP2298738A1', '3480-EP2298742A1', '3480-EP2298743A1', '3480-EP2298744A2', '3480-EP2298745A1', '3480-EP2298746A1', '3480-EP2298747A1', '3480-EP2298748A2', '3480-EP2298750A1', '3480-EP2298752A1', '3480-EP2298753A1', '3480-EP2298754A1', '3480-EP2298755A1', '3480-EP2298757A2', '3480-EP2298761A1', '3480-EP2298763A1', '3480-EP2298764A1', '3480-EP2298765A1', '3480-EP2298766A1', '3480-EP2298767A1', '3480-EP2298768A1', '3480-EP2298770A1', '3480-EP2298772A1', '3480-EP2298774A1', '3480-EP2298775A1', '3480-EP2298776A1', '3480-EP2298778A1', '3480-EP2298779A1', '3480-EP2298828A1', '3480-EP2299326A1', '3480-EP2301534A1', '3480-EP2301536A1', '3480-EP2301538A1', '3480-EP2301544A1', '3480-EP2301627A1', '3480-EP2301911A1', '3480-EP2301912A2', '3480-EP2301913A1', '3480-EP2301914A1', '3480-EP2301916A2', '3480-EP2301918A1', '3480-EP2301922A1', '3480-EP2301923A1', '3480-EP2301926A1', '3480-EP2301928A1', '3480-EP2301929A1', '3480-EP2301931A1', '3480-EP2301932A1', '3480-EP2301933A1', '3480-EP2301934A1', '3480-EP2301935A1', '3480-EP2301936A1', '3480-EP2301939A1', '3480-EP2301940A1', '3480-EP2301983A1', '3480-EP2302015A1', '3480-EP2305219A1', '3480-EP2305250A1', '3480-EP2305254A1', '3480-EP2305257A1', '3480-EP2305625A1', '3480-EP2305633A1', '3480-EP2305637A2', '3480-EP2305640A2', '3480-EP2305641A1', '3480-EP2305642A2', '3480-EP2305643A1', '3480-EP2305644A1', '3480-EP2305646A1', '3480-EP2305647A1', '3480-EP2305648A1', '3480-EP2305649A1', '3480-EP2305651A1', '3480-EP2305652A2', '3480-EP2305654A1', '3480-EP2305655A2', '3480-EP2305657A2', '3480-EP2305658A1', '3480-EP2305659A1', '3480-EP2305660A1', '3480-EP2305663A1', '3480-EP2305666A1', '3480-EP2305667A2', '3480-EP2305668A1', '3480-EP2305671A1', '3480-EP2305672A1', '3480-EP2305673A1', '3480-EP2305674A1', '3480-EP2305675A1', '3480-EP2305676A1', '3480-EP2305677A1', '3480-EP2305678A1', '3480-EP2305679A1', '3480-EP2305681A1', '3480-EP2305682A1', '3480-EP2305684A1', '3480-EP2305687A1', '3480-EP2305688A1', '3480-EP2305695A2', '3480-EP2305696A2', '3480-EP2305697A2', '3480-EP2305698A2', '3480-EP2305769A2', '3480-EP2305808A1', '3480-EP2305825A1', '3480-EP2308479A2', '3480-EP2308492A1', '3480-EP2308510A1', '3480-EP2308562A2', '3480-EP2308812A2', '3480-EP2308828A2', '3480-EP2308832A1', '3480-EP2308833A2', '3480-EP2308838A1', '3480-EP2308839A1', '3480-EP2308840A1', '3480-EP2308844A2', '3480-EP2308845A2', '3480-EP2308846A2', '3480-EP2308847A1', '3480-EP2308848A1', '3480-EP2308849A1', '3480-EP2308850A1', '3480-EP2308851A1', '3480-EP2308854A1', '3480-EP2308857A1', '3480-EP2308858A1', '3480-EP2308861A1', '3480-EP2308862A1', '3480-EP2308867A2', '3480-EP2308868A1', '3480-EP2308869A1', '3480-EP2308870A2', '3480-EP2308871A1', '3480-EP2308872A1', '3480-EP2308873A1', '3480-EP2308874A1', '3480-EP2308875A1', '3480-EP2308876A1', '3480-EP2308877A1', '3480-EP2308879A1', '3480-EP2308880A1', '3480-EP2308882A1', '3480-EP2308883A1', '3480-EP2308960A1', '3480-EP2311451A1', '3480-EP2311455A1', '3480-EP2311464A1', '3480-EP2311796A1', '3480-EP2311797A1', '3480-EP2311798A1', '3480-EP2311799A1', '3480-EP2311801A1', '3480-EP2311802A1', '3480-EP2311803A1', '3480-EP2311804A2', '3480-EP2311806A2', '3480-EP2311807A1', '3480-EP2311808A1', '3480-EP2311810A1', '3480-EP2311811A1', '3480-EP2311814A1', '3480-EP2311816A1', '3480-EP2311817A1', '3480-EP2311818A1', '3480-EP2311820A1', '3480-EP2311822A1', '3480-EP2311823A1', '3480-EP2311824A1', '3480-EP2311825A1', '3480-EP2311826A2', '3480-EP2311827A1', '3480-EP2311829A1', '3480-EP2311830A1', '3480-EP2311831A1', '3480-EP2311834A1', '3480-EP2311835A1', '3480-EP2311836A1', '3480-EP2311837A1', '3480-EP2311838A1', '3480-EP2311840A1', '3480-EP2311842A2', '3480-EP2311850A1', '3480-EP2314295A1', '3480-EP2314298A1', '3480-EP2314571A2', '3480-EP2314575A1', '3480-EP2314576A1', '3480-EP2314583A1', '3480-EP2314584A1', '3480-EP2314585A1', '3480-EP2314586A1', '3480-EP2314587A1', '3480-EP2314590A1', '3480-EP2314593A1', '3480-EP2316450A1', '3480-EP2316452A1', '3480-EP2316457A1', '3480-EP2316458A1', '3480-EP2316470A2', '3480-EP2316824A1', '3480-EP2316825A1', '3480-EP2316826A1', '3480-EP2316827A1', '3480-EP2316828A1', '3480-EP2316829A1', '3480-EP2316831A1', '3480-EP2316832A1', '3480-EP2316833A1', '3480-EP2316835A1', '3480-EP2316836A1', '3480-EP2371811A2', '3480-EP2371814A1', '3480-EP2371831A1', '3480-EP2374783A1', '3480-EP2374788A1', '3480-EP2374790A1', '3480-EP2374792A1', '3480-EP2377813A1', '3480-EP2377841A1', '3480-EP2377847A1', '3480-EP2380568A1', '3480-EP2380869A1', '3480-EP2380870A1', '3480-EP2380874A2', '4977-EP1441224A2', '4977-EP2269977A2', '4977-EP2269979A1', '4977-EP2270004A1', '4977-EP2270006A1', '4977-EP2270010A1', '4977-EP2270011A1', '4977-EP2270014A1', '4977-EP2270018A1', '4977-EP2272825A2', '4977-EP2272838A1', '4977-EP2272839A1', '4977-EP2272840A1', '4977-EP2275102A1', '4977-EP2275105A1', '4977-EP2275412A1', '4977-EP2275413A1', '4977-EP2277848A1', '4977-EP2280012A2', '4977-EP2284148A1', '4977-EP2286811A1', '4977-EP2287156A1', '4977-EP2287157A1', '4977-EP2287165A2', '4977-EP2287166A2', '4977-EP2289871A1', '4977-EP2289883A1', '4977-EP2289897A1', '4977-EP2292589A1', '4977-EP2292620A2', '4977-EP2295402A2', '4977-EP2295410A1', '4977-EP2295412A1', '4977-EP2295413A1', '4977-EP2295416A2', '4977-EP2295426A1', '4977-EP2295427A1', '4977-EP2295429A1', '4977-EP2295433A2', '4977-EP2295439A1', '4977-EP2295441A2', '4977-EP2295503A1', '4977-EP2298735A1', '4977-EP2298743A1', '4977-EP2298748A2', '4977-EP2298761A1', '4977-EP2298770A1', '4977-EP2298776A1', '4977-EP2298780A1', '4977-EP2298783A1', '4977-EP2301536A1', '4977-EP2301538A1', '4977-EP2301544A1', '4977-EP2301923A1', '4977-EP2301930A1', '4977-EP2301939A1', '4977-EP2301940A1', '4977-EP2302382A2', '4977-EP2302383A2', '4977-EP2305250A1', '4977-EP2305648A1', '4977-EP2305651A1', '4977-EP2305671A1', '4977-EP2305682A1', '4977-EP2305684A1', '4977-EP2305689A1', '4977-EP2308841A2', '4977-EP2308844A2', '4977-EP2308845A2', '4977-EP2308846A2', '4977-EP2308848A1', '4977-EP2308854A1', '4977-EP2308861A1', '4977-EP2308867A2', '4977-EP2308870A2', '4977-EP2308873A1', '4977-EP2308875A1', '4977-EP2308879A1', '4977-EP2308960A1', '4977-EP2311455A1', '4977-EP2311824A1', '4977-EP2311829A1', '4977-EP2311831A1', '4977-EP2311841A1', '4977-EP2311842A2', '4977-EP2314295A1', '4977-EP2316824A1', '4977-EP2316831A1', '4977-EP2316835A1', '4977-EP2316836A1', '4977-EP2374454A1', '6532-EP2270001A1', '6532-EP2270014A1', '6532-EP2272509A1', '6532-EP2272517A1', '6532-EP2272822A1', '6532-EP2275102A1', '6532-EP2275412A1', '6532-EP2277945A1', '6532-EP2286811A1', '6532-EP2287165A2', '6532-EP2287166A2', '6532-EP2289510A1', '6532-EP2289890A1', '6532-EP2289893A1', '6532-EP2292576A2', '6532-EP2292590A2', '6532-EP2292592A1', '6532-EP2292620A2', '6532-EP2295402A2', '6532-EP2295424A1', '6532-EP2295432A1', '6532-EP2295437A1', '6532-EP2298767A1', '6532-EP2298770A1', '6532-EP2298775A1', '6532-EP2298783A1', '6532-EP2302382A2', '6532-EP2305667A2', '6532-EP2305684A1', '6532-EP2305825A1', '6532-EP2308851A1', '6532-EP2311802A1', '6532-EP2311803A1', '6532-EP2311830A1', '6532-EP2311831A1', '6532-EP2311837A1', '6532-EP2314295A1', '6532-EP2314576A1', '6532-EP2314587A1', '6532-EP2314588A1', '6532-EP2316826A1', '6532-EP2316832A1', '6532-EP2316833A1', '6532-EP2316836A1', '6532-EP2377847A1', '6532-EP2380867A1', 'C14691', '13196-EP2277867A2', '13196-EP2280003A2', '13196-EP2298770A1', '13196-EP2305644A1', '13196-EP2305652A2', '13196-EP2305684A1', '13196-EP2308840A1', '13196-EP2308841A2', '13196-EP2308849A1', '13196-EP2308851A1', '13196-EP2314576A1', '13196-EP2316834A1', '13196-EP2377847A1', '56723-EP2272509A1', '56723-EP2272846A1', '56723-EP2275422A1', '56723-EP2277868A1', '56723-EP2277869A1', '56723-EP2277870A1', '56723-EP2284166A1', '56723-EP2289483A1', '56723-EP2289881A1', '56723-EP2292608A1', '56723-EP2292616A1', '56723-EP2292625A1', '56723-EP2295422A2', '56723-EP2295436A1', '56723-EP2298305A1', '56723-EP2298749A1', '56723-EP2298762A2', '56723-EP2298769A1', '56723-EP2298773A1', '56723-EP2308851A1', '56723-EP2308852A1', '56723-EP2308866A1', '56723-EP2308878A2', '56723-EP2374791A1', '92952-EP2305658A1', 'Triethylamine, puriss. p.a., &gt;=99.5% (GC)', '112520-EP2295503A1', '112520-EP2298738A1', 'Q139199', 'J-004499', 'J-525077', 'F0001-0344', 'Triethylamine, for amino acid analysis, &gt;=99.5% (GC)', 'Z137796018', 'Triethylamine, for protein sequence analysis, ampule, &gt;=99.5% (GC)', 'Triethylamine, United States Pharmacopeia (USP) Reference Standard']</t>
  </si>
  <si>
    <t>Compound(8471)</t>
  </si>
  <si>
    <t>triethylamine triclopyr</t>
  </si>
  <si>
    <t>N,N-diethylethanamine;2-(3,5,6-trichloropyridin-2-yl)oxyacetic acid</t>
  </si>
  <si>
    <t>['Triclopyr triethylamine salt', 'Garlon 3A', 'Triclopyr-triethylammonium', '57213-69-1', 'Triclopyr triethylamine', 'Caswell No. 882J', 'UNII-HB98N76S9A', 'Triclopyr-triethylammonium [ISO]', 'Triethylammonium triclopyr', 'EINECS 260-625-1', 'EPA Pesticide Chemical Code 116002', 'Triclopyr triethylammonium salt', 'HB98N76S9A', 'M 3724', '(3,5,6-Trichloro-2-pyridinyl)oxyacetic acid, triethylamine salt', '((3,5,6-Trichloro-2-pyridinyl)oxy)acetic acid compd. with N,N-diethylethanamine (1:1)', '[(3,5,6-trichloro-2-pyridyl)oxy]acetic acid, compound with triethylamine (1:1)', 'N,N-Diethylethanamine compd. with ((3,5,6-trichloro-2-pyridinyl)oxy)acetic acid (1:1)', '((3,5,6-Trichloro-2-pyridyl)oxy)acetic acid, compound with triethylamine (1:1)', 'Acetic acid, ((3,5,6-trichloro-2-pyridinyl)oxy)-, compd. with N,N-diethylethanamine (1:1)', 'triclopyr-triethyl-ammonium', 'SCHEMBL165328', 'DTXSID0034302', 'CTK8J3958', 'LS-12962', '213T691', 'Q27279842', 'Triethylamine 2-((3,5,6-trichloropyridin-2-yl)oxy)acetate']</t>
  </si>
  <si>
    <t>Compound(42163)</t>
  </si>
  <si>
    <t>C13H19Cl3N2O3</t>
  </si>
  <si>
    <t>triethyl phosphate</t>
  </si>
  <si>
    <t>['TRIETHYL PHOSPHATE', '78-40-0', 'Triethylphosphate', 'Phosphoric acid, triethyl ester', 'Tris(ethyl) phosphate', 'Triethoxyphosphine oxide', 'Triethylfosfat', 'TEP', 'Ethyl phosphate ((EtO)3PO)', 'Phosphoric Acid Triethyl Ester', 'Triethylfosfat [Czech]', 'Ethyl phosphate (VAN)', 'o-Phosphoric acid triethyl ester', 'UNII-QIH4K96K7J', 'NSC 2677', 'CCRIS 4882', 'HSDB 2561', 'EINECS 201-114-5', 'Triethyl phosphate, 99%', 'BRN 1705772', 'QIH4K96K7J', 'AI3-00653', 'CHEBI:45927', 'AK-99883', 'DSSTox_CID_6228', 'DSSTox_RID_78067', 'DSSTox_GSID_26228', 'MFCD00009077', 'CAS-78-40-0', 'C6H15O4P', 'Phosphate-triethyl', 'Flame retardant TEP', 'Phosphoric acid ethyl', '99% Triethyl Phosphate', 'Triethyl Phosphate (TEP)', 'ACMC-209pe7', 'EC 201-114-5', 'SCHEMBL21887', 'KSC377M5N', 'MLS002152947', 'WLN: 2OPO&amp;O2&amp;O2', '(C2H5O)3PO', 'Triethyl Phosphate 78-40-0', 'CHEMBL1236251', 'DTXSID8026228', 'CTK2H7656', '99% TEP', 'NSC2677', 'Flame retardant Triethyl Phosphate', 'HMS3039O10', 'KS-00000H7T', 'NSC-2677', 'ZINC1641077', 'Tox21_202463', 'Tox21_303106', 'ANW-37181', 'AKOS000120082', 'DB03347', 'LS-1746', 'Triethyl phosphate, analytical standard', 'NCGC00091606-01', 'NCGC00091606-02', 'NCGC00091606-03', 'NCGC00256988-01', 'NCGC00260012-01', 'BP-30153', 'SC-76543', 'SMR001224539', 'Triethyl phosphate,C6H15O4P,78-40-0', 'FT-0698973', 'NS00009400', 'P0270', 'Triethyl phosphate, ReagentPlus(R), &gt;=99.8%', 'Q410382', 'Triethyl phosphate, Vetec(TM) reagent grade, 98%', 'J-525075', 'F0001-2052', 'TRIETHYL PHOSPHATE;Phosphoric acid, triethyl ester;triethyl phosphate;Triethyl phosphate;Ethylphosphate']</t>
  </si>
  <si>
    <t>Compound(6535)</t>
  </si>
  <si>
    <t>C6H15O4P</t>
  </si>
  <si>
    <t>triethyl citrate</t>
  </si>
  <si>
    <t>triethyl 2-hydroxypropane-1,2,3-tricarboxylate</t>
  </si>
  <si>
    <t>['TRIETHYL CITRATE', '77-93-0', 'Ethyl citrate', 'Citroflex 2', 'Eudraflex', 'Hydragen CAT', 'Citric acid, triethyl ester', 'Triethylcitrate', 'Triaethylcitrat', '1,2,3-Propanetricarboxylic acid, 2-hydroxy-, triethyl ester', 'Citric Acid Triethyl Ester', 'triethyl 2-hydroxypropane-1,2,3-tricarboxylate', 'Triethylester kyseliny citronove', 'Triaethylcitrat [German]', 'Crodamol TC', 'Uniflex TEC', 'UNII-8Z96QXD6UM', 'NSC 8907', 'Uniplex 80', 'Hydagen C.A.T', 'FEMA No. 3083', 'HSDB 729', 'Triethyl citrate (NF)', 'Triethyl citrate [NF]', 'EINECS 201-070-7', 'Triethyl 2-hydroxy-1,2,3-propanetricarboxylate', 'BRN 1801199', '8Z96QXD6UM', 'Triethylester kyseliny citronove [Czech]', 'AI3-00659', '2-Hydroxy-1,2,3-propanetricarboxylic acid, triethyl ester', 'E1505', 'AK167935', 'Triethyl citrate, 99%', '1,2,3-Propanetricarboxylic acid, 2-hydroxy-, 1,2,3-triethyl ester', 'TEC', 'Q-201868', '2-Hydroxy-1,2,3-propanetricarboxylic acid, delta triethyl ester', 'Triethyl citrate.', 'Citric acid triethyl', 'ACMC-1BFGJ', 'EC 201-070-7', 'DSSTox_CID_20701', 'DSSTox_RID_79552', 'DSSTox_GSID_40701', 'SCHEMBL23465', 'KSC489Q7L', 'CHEMBL464988', '1,2,3-triethyl 2-hydroxypropane-1,2,3-tricarboxylate', 'DTXSID0040701', 'CTK3I9875', 'FEMA 3083', 'KS-00000WRQ', 'WLN: 2OV1XQVO2&amp;1VO2', 'NSC8907', 'NSC-8907', 'ZINC1648322', 'Tox21_300004', 'ANW-37130', 'MFCD00009201', 's6223', 'Triethyl citrate, analytical standard', 'Triethyl citrate, &gt;=98.0% (GC)', 'AKOS015838720', 'CS-W012318', 'HY-W011602', 'LS-2347', 'MCULE-2138016738', 'Triethyl citrate, &gt;=99%, FCC, FG', 'CAS-77-93-0', 'NCGC00164037-01', 'NCGC00164037-02', 'NCGC00253989-01', 'Triethyl citrate, natural, &gt;=97%, FG', 'Triethyl citrate, natural, &gt;=99%, FG', 'CC-35321', 'Ethyl citrate, citric acid triethyl ester', 'M987', 'DB-056271', 'FT-0631336', 'NS00008140', 'D06228', 'Triethyl citrate, Vetec(TM) reagent grade, 98%', 'C-28306', 'Q418057', 'SR-01000883952', 'Triethyl 2-hydroxy-1,2,3-propanetricarboxylate #', 'SR-01000883952-1', '2-hydroxy-propane-1,2,3-tricarboxylic acidtriethyl ester', '1,3-Propanetricarboxylic acid, 2-hydroxy-, triethyl ester', 'Triethyl citrate, United States Pharmacopeia (USP) Reference Standard', 'Triethyl citrate, Pharmaceutical Secondary Standard; Certified Reference Material', 'Triethylcitrate;triethyl citrate;1,2,3-Propanetricarboxylic acid, 2-hydroxy-, 1,2,3-triethyl ester;TRIETHYL CITRATE']</t>
  </si>
  <si>
    <t>Compound(6506)</t>
  </si>
  <si>
    <t>C12H20O7</t>
  </si>
  <si>
    <t>triethylenetetramine</t>
  </si>
  <si>
    <t>N'-[2-(2-aminoethylamino)ethyl]ethane-1,2-diamine</t>
  </si>
  <si>
    <t>['TRIETHYLENETETRAMINE', 'trientine', '112-24-3', 'Trien', 'TETA', 'Tecza', 'Triethylene tetramine', "1,2-Ethanediamine, N,N'-bis(2-aminoethyl)-", 'Araldite hardener HY 951', 'DEH 24', 'Araldite HY 951', "N,N'-Bis(2-aminoethyl)-1,2-ethanediamine", '1,4,7,10-Tetraazadecane', '1,8-Diamino-3,6-diazaoctane', 'triethylenetetraamine', '3,6-Diazaoctane-1,8-diamine', "N,N'-Bis(2-aminoethyl)ethylenediamine", 'Trientinum [INN-Latin]', 'NSC 443', 'Trientina [INN-Spanish]', "N,N'-bis(2-aminoethyl)ethane-1,2-diamine", 'UNII-SJ76Y07H5F', 'HY 951', '2,2,2-tetramine', 'CCRIS 6279', "Ethylenediamine, N,N'-bis(2-aminoethyl)-", 'HSDB 1002', 'EINECS 203-950-6', 'MFCD00008169', 'UN2259', 'CHEMBL609', 'BRN 0605448', 'N,N-Bis(2-aminoethyl)-1,2-diaminoethane', 'AI3-24384', 'SJ76Y07H5F', 'CHEBI:39501', 'NSC-443', '1,2-Ethanediamine, N1,N2-bis(2-aminoethyl)-', '(2-aminoethyl)({2-[(2-aminoethyl)amino]ethyl})amine', 'NCGC00091695-01', 'NCGC00091695-03', 'DSSTox_CID_3702', 'Triethylenetetramine, 60%', 'DSSTox_RID_77156', 'DSSTox_GSID_23702', "N1,N1'-(Ethane-1,2-diyl)diethane-1,2-diamine", 'W-109064', 'Trientinum', 'Trientina', 'CAS-112-24-3', '(2-aminoethyl){2-[(2-aminoethyl)amino]ethyl}amine', 'triene', 'Trientene', 'triethylentetramin', '1,6-diazaoctane', 'EPH 925', 'Trientine [INN]', '3,8-diamine', 'Tomography, x-ray computed trientine', 'triethylene tetraamine', '1,7,10-Tetraazadecane', 'bmse000773', 'Texlin 300 (Salt/Mix)', 'ACMC-1C99K', '3,6-Diazaoctanethylenediamin', 'SCHEMBL15439', 'WLN: Z2M2M2Z', '4-04-00-01242 (Beilstein Handbook Reference)', 'BIDD:ER0303', 'BIDD:GT0014', "N'-[2-(2-aminoethylamino)ethyl]ethane-1,2-diamine", 'NSC443', 'SCHEMBL6423840', 'DTXSID9023702', 'CTK8A9256', 'KS-00000WWF', 'STR03562', 'Tox21_111162', 'Tox21_201066', 'ANW-16423', 'BDBM50323751', 'FCH931591', 'LS-549', 'SBB058767', 'STL477736', 'ZINC19364225', "N,N'-Di(2-aminoethyl)ethylenediamine", 'AKOS006223906', 'Tox21_111162_1', 'Triethylenetetramine, &gt;=97.0% (T)', 'DB06824', "Ethylenediamine,N'-bis(2-aminoethyl)-", 'MCULE-3203769500', 'NCGC00091695-04', 'NCGC00258619-01', 'BP-30180', 'CC-35339', "Ethanediamine, N,N'-bis(2-aminoethyl)-", 'OR323290', 'SBI-0206814.P001', 'DB-041060', "N,N'-Bis(2-aminoethyl)-1,2-diaminoethane", 'Triethylenetetramine [UN2259] [Corrosive]', 'Triethylenetetramine, technical grade, 60%', 'NS00001757', 'ST50824040', 'Triethylenetetramine [UN2259]  [Corrosive]', '12T243', 'C07166', 'AB00573244_07', "N,N''-Bis-(2-amino-ethyl)-ethane-1,2-diamine", '133105-EP2272849A1', '133105-EP2295438A1', 'C-31298', 'Q418386', 'J-018026', "N,N''-BIS(2-AMINOETHYL)-1,2-ETHANEDIAMINE", '105821-86-1']</t>
  </si>
  <si>
    <t>Compound(5565)</t>
  </si>
  <si>
    <t>C6H18N4</t>
  </si>
  <si>
    <t>triethylene glycol</t>
  </si>
  <si>
    <t>2-[2-(2-hydroxyethoxy)ethoxy]ethanol</t>
  </si>
  <si>
    <t>['TRIETHYLENE GLYCOL', '112-27-6', 'Triglycol', "2,2'-(Ethane-1,2-diylbis(oxy))diethanol", "2,2'-Ethylenedioxydiethanol", 'Triethyleneglycol', 'Trigen', 'Triethylenglykol', '1,2-Bis(2-hydroxyethoxy)ethane', "2,2'-(Ethylenedioxy)diethanol", '2-[2-(2-Hydroxyethoxy)ethoxy]ethanol', '3,6-Dioxaoctane-1,8-diol', "Ethanol, 2,2'-[1,2-ethanediylbis(oxy)]bis-", 'Di-beta-hydroxyethoxyethane', "2,2'-Ethylenedioxybis(ethanol)", "2,2'-Ethylenedioxyethanol", "2,2'-[ethane-1,2-diylbis(oxy)]diethanol", 'Triethylene glcol', 'Glycol bis(hydroxyethyl) ether', 'Caswell No. 888', 'Ethylene glycol dihydroxydiethyl ether', 'Trigol', 'TEG', 'Triethylenglykol [Czech]', 'Bis(2-hydroxyethoxyethane)', "Ethanol, 2,2'-(ethylenedioxy)di-", 'NSC 60758', 'HSDB 898', 'UNII-3P5SU53360', "2,2'-(1,2-Ethanediylbis(oxy))bisethanol", 'Ethylene glycol-bis-(2-hydroxyethyl ether)', 'EINECS 203-953-2', 'EPA Pesticide Chemical Code 083501', '2-[2-(2-HYDROXY-ETHOXY)-ETHOXY]-ETHANOL', 'BRN 0969357', 'Di-.beta.-hydroxyethoxyethane', '2-[2-(2-hydroxyethoxy)ethoxy]ethan-1-ol', 'AI3-01453', 'CHEBI:44926', "Ethanol, 2,2'-(1,2-ethanediylbis(oxy))bis-", '3P5SU53360', 'NCGC00163798-03', 'Triethylene glycol, 99%', 'DSSTox_CID_1393', 'DSSTox_RID_76135', 'DSSTox_GSID_21393', 'CAS-112-27-6', 'Trigenos', 'triethylenglycol', 'CCRIS 8926', 'triethylene-glycol', 'Triethyleneglycol,', 'Tri-ethylene glycol', '3,8-diol', 'ACMC-1C4BE', 'EC 203-953-2', 'Triethylene glycol, puriss.', 'SCHEMBL14929', 'WLN: Q2O2O2Q', '3,6-Dioxa-1,8-octanediol', '4-01-00-02400 (Beilstein Handbook Reference)', 'KSC909E5P', '2,2-(Ethylenedioxy)diethanol', '2,2-(Ethylenedioxy)diethanol.', 'di(2-ethylbutyrate), diacetate', "Ethanol,2'-(ethylenedioxy)di-", 'CHEMBL1235259', 'DTXSID4021393', 'Triethylene Glycol Reagent Grade', 'CTK8A9257', 'NSC60758', 'STR02345', 'ZINC1690436', 'Tox21_112073', 'Tox21_202440', 'Tox21_300306', 'ANW-16436', 'LS-550', 'MFCD00002880', 'NSC-60758', 'STL282716', 'AKOS000120013', 'Triethylene Glycol (Industrial Grade)', 'CS-W018156', 'DB02327', 'HY-W017440', 'MCULE-7605038595', 'NCGC00163798-01', 'NCGC00163798-02', 'NCGC00163798-04', 'NCGC00163798-05', 'NCGC00163798-06', 'NCGC00254097-01', 'NCGC00259989-01', '2-[2-(2-Hydroxyethoxy)ethoxy]ethanol #', 'AK-72565', 'BP-21036', 'SC-79003', 'Triethylene glycol, ReagentPlus(R), 99%', "Ethanol,2'-[1,2-ethanediylbis(oxy)]bis-", 'FT-0652416', 'FT-0659862', 'NS00002182', '7813-EP2270101A1', '7813-EP2272849A1', '7813-EP2284165A1', '7813-EP2292597A1', '7813-EP2308858A1', '7813-EP2308865A1', '7813-EP2311816A1', '7813-EP2311817A1', '7813-EP2315303A1', '7813-EP2316905A1', '7813-EP2316906A2', '7813-EP2371809A1', '7813-EP2374895A1', '7813-EP2380568A1', 'M-6031', 'Triethylene glycol, SAJ first grade, &gt;=96.0%', "2,2'-[Ethane-1,2-diylbis(oxy)]di(ethan-1-ol)", 'Q420630', 'SR-01000944720', 'Triethylene glycol, Vetec(TM) reagent grade, 98%', 'J-506706', 'SR-01000944720-1', 'F0001-0256', 'Triethylene glycol, BioUltra, anhydrous, &gt;=99.0% (GC)', 'Z1318198494', 'Triethylene glycol, United States Pharmacopeia (USP) Reference Standard']</t>
  </si>
  <si>
    <t>Compound(8172)</t>
  </si>
  <si>
    <t>C6H14O4</t>
  </si>
  <si>
    <t>N,N-dipropylpropan-1-amine</t>
  </si>
  <si>
    <t>['TRIPROPYLAMINE', 'Tri-n-propylamine', '102-69-2', '1-Propanamine, N,N-dipropyl-', 'N,N-dipropylpropan-1-amine', 'N,N-Dipropyl-1-propanamine', 'Propyldi-n-propylamine', 'Tripropylammonium', 'Tripropyl amine', 'UNII-06S624V3U2', 'NPr3', 'HSDB 2097', 'EINECS 203-047-7', 'UN2260', 'N,N-Dipropyl-1-propylamine', 'Tripropylamin', '(n-C3H7)3N', '06S624V3U2', 'Tripropylamine, 98%', 'Tripropylamine, &gt;=98%', 'Tripropylamine [UN2260] [Flammable liquid]', 'Tripropilamine', 'tri-n-propyl amin', 'tri(n-propyl)amine', 'tri-n-propyl-amine', 'MFCD00009363', 'tris(1-propyl)amine', 'N,N-Dpropyl-1-propanamne', 'EC 203-047-7', 'SCHEMBL5358', 'ACMC-1C04E', 'NCIOpen2_001723', 'DTXSID9021849', 'CHEBI:38880', 'CTK3J2085', 'LS-82', 'Tripropylamine, analytical standard', 'KS-00000WL9', 'ZINC1632621', 'ANW-14732', 'AKOS000120960', 'MCULE-8834240289', 'UN 2260', 'SC-53488', 'FT-0656542', 'NS00004814', 'Tripropylamine [UN2260]  [Flammable liquid]', '11063-EP2269610A2', '11063-EP2270011A1', '11063-EP2277848A1', '11063-EP2277867A2', '11063-EP2280003A2', '11063-EP2281821A1', '11063-EP2284160A1', '11063-EP2287155A1', '11063-EP2289510A1', '11063-EP2292576A2', '11063-EP2295409A1', '11063-EP2295414A1', '11063-EP2298731A1', '11063-EP2298761A1', '11063-EP2301931A1', '11063-EP2305257A1', '11063-EP2305677A1', '11063-EP2305682A1', '11063-EP2308840A1', '11063-EP2308851A1', '11063-EP2308879A1', '11063-EP2311804A2', '11063-EP2311842A2', '11063-EP2314590A1', '11063-EP2314593A1', '11063-EP2316457A1', '11063-EP2316458A1', '11063-EP2316825A1', '11063-EP2316826A1', '11063-EP2316827A1', '11063-EP2316828A1', '59623-EP2272846A1', '59623-EP2308852A1', '206400-EP2377813A1', '206400-EP2380869A1', '206400-EP2380870A1', 'J-000767', 'J-523283', 'Q1637944']</t>
  </si>
  <si>
    <t>Compound(7616)</t>
  </si>
  <si>
    <t>C9H21N</t>
  </si>
  <si>
    <t>tripropylene glycol</t>
  </si>
  <si>
    <t>2-[2-(2-hydroxypropoxy)propoxy]propan-1-ol</t>
  </si>
  <si>
    <t>['TRIPROPYLENE GLYCOL', '24800-44-0', '2-(2-(2-Hydroxypropoxy)propoxy)propan-1-ol', 'HSDB 2655', '2-(2-(2-Hydroxypropoxy)propoxy)-1-propanol', 'EINECS 246-466-0', '((Methylethylene)bis(oxy))dipropanol', 'BRN 2235421', 'AI3-14657', 'UNII-5U049772F7', '[(methylethylene)bis(oxy)]dipropanol', 'Tripropylene glycolmixture of isomers', '5U049772F7', '2-[2-(2-hydroxypropoxy)propoxy]propan-1-ol', '1,4,7-TRIMETHYL-3,6-DIOXAOCTANE-1,8-DIOL', 'ACMC-209ukt', 'EC 246-466-0', 'SCHEMBL15169', 'KSC202C6H', 'CTK1A2163', 'KS-00000ZW2', 'ANW-43899', 'AKOS015899581', 'LS-2130', 'NCGC00164417-02', 'AK176240', 'Tripropylene Glycol  (mixture of isomers)', 'FT-0689122', 'V0862', '1-Propanol, 2-(2-(2-hydroxypropoxy)propoxy)-', 'Q27262866', 'UNII-3C8845E7C1 component LCZVSXRMYJUNFX-UHFFFAOYSA-N', '45096-22-8']</t>
  </si>
  <si>
    <t>Compound(32611)</t>
  </si>
  <si>
    <t>C9H20O4</t>
  </si>
  <si>
    <t>N,N-dibutylbutan-1-amine</t>
  </si>
  <si>
    <t>['TRIBUTYLAMINE', 'Tri-n-butylamine', '102-82-9', 'N,N-dibutylbutan-1-amine', '1-Butanamine, N,N-dibutyl-', 'N,N-Dibutyl-1-butanamine', 'Tributilamina', 'Tris-n-butylamine', 'Amine, tributyl-', 'Tris[N-butylamine]', 'Tributilamina [Romanian]', 'UNII-C3TZB2W0R7', 'CCRIS 4879', 'HSDB 877', 'EINECS 203-058-7', 'UN2542', 'BRN 1698872', 'C3TZB2W0R7', 'AI3-15424', 'CHEBI:38905', 'MFCD00009431', 'Tributylamine, 99%', 'DSSTox_CID_6183', 'DSSTox_RID_78050', 'DSSTox_GSID_26183', 'CAS-102-82-9', 'tributylamin', 'tributyl amine', 'tributyl-amine', 'trin-butylamine', 'tri n-butylamin', 'tri-butyl amine', 'tri-n-butyl amine', 'tri-n-butyl-amine', 'Tri(n-butyl)amine', 'tris(1-butyl)amine', 'N,N-dibutylbutanamine', 'Bu3N', 'NBu3', 'n-Bu3N', 'SCHEMBL896', 'N(n-Bu)3', 'EC 203-058-7', 'Tributylamine, &gt;=98.5%', 'KSC491S8T', 'N,N-Dibutyl-1-butanamine #', '(n-C4H9)3N', 'CHEMBL1877658', 'DTXSID4026183', 'CTK3J1989', 'LS-86', 'ACMC-209834', 'ZINC1675345', 'Tox21_200423', 'Tox21_300020', 'Tributylamine [UN2542] [Poison]', 'ANW-14750', 'BBL011498', 'SBB059983', 'STL146610', 'Tributylamine [UN2542]  [Poison]', 'AKOS005721142', 'MCULE-8337061670', 'NE10653', 'UN 2542', 'NCGC00164374-01', 'NCGC00164374-02', 'NCGC00164374-03', 'NCGC00254008-01', 'NCGC00257977-01', 'BP-30098', 'VS-02963', 'FT-0652663', 'NS00000551', 'ST45255429', 'EN300-19754', 'Tributylamine, puriss. plus, &gt;=99.5% (GC)', 'Tributylamine, puriss. p.a., &gt;=99.0% (GC)', 'Q905558', 'J-000810', 'J-525054', 'F0001-0072', 'Z137965122', 'tributylamine;Tributylammonium chloride;Benzenesulfonic acid, 4-[[4,4,5,5,5-pentafluoro-3-(pentafluoroethyl)-1,2,3-tris(trifluoromethyl)-1-pentenyl]oxy]-, compd. with N,N-dibutyl-1-butanamine (1:1)']</t>
  </si>
  <si>
    <t>Compound(7622)</t>
  </si>
  <si>
    <t>C12H27N</t>
  </si>
  <si>
    <t>tributyl phosphate</t>
  </si>
  <si>
    <t>['TRIBUTYL PHOSPHATE', '126-73-8', 'Tri-n-butyl phosphate', 'Tributylphosphate', 'Butyl phosphate', 'Phosphoric acid tributyl ester', 'Tributylphosphat', 'Celluphos 4', 'Disflamoll TB', 'Phosphoric acid, tributyl ester', 'Tributilfosfato', 'Tributylfosfaat', 'Tributyle (phosphate de)', 'Butyl phosphate, tri-', 'Tributoxyphosphine oxide', 'Tri-N-butylphosphate', 'Tributylfosfat', 'Butyl phosphate, ((BuO)3PO)', 'Phosphoric acid tri-n-butyl ester', 'Tributylfosfat [Czech]', 'Tributylfosfaat [Dutch]', 'Tributilfosfato [Italian]', 'Tributylphosphat [German]', 'UNII-95UAS8YAF5', 'NSC 8484', 'CCRIS 6106', 'HSDB 1678', 'Tributyle (phosphate de) [French]', 'MCS 2495', 'N-BUTYL PHOSPHATE', 'EINECS 204-800-2', 'BRN 1710584', '95UAS8YAF5', 'AI3-00399', 'DTXSID3021986', 'CHEBI:35019', 'DSSTox_CID_1986', 'Tributyl phosphate, 99+%', 'DSSTox_RID_76443', 'DSSTox_GSID_21986', 'tbpa', 'CAS-126-73-8', 'Tributylphsophate', 'Kronitex TBP', 'Tributyl ester of phosphoric acid', 'ACMC-20ajfh', 'Tributyle(phosphate de)', 'Phosphoric acid tributyl', 'TBP / Tributylphosphate', 'tris(1-butyl) phosphate', 'tributyl phosphate (TBP)', 'Tributyl phosphate, 97%', 'Tributyl phosphate, 99%', 'bmse000777', 'EC 204-800-2', 'Syn-O-Ad 8412', 'SCHEMBL18570', 'Tributyl phosphate, &gt;=99%', '4-01-00-01531 (Beilstein Handbook Reference)', 'BIDD:ER0345', 'CHEMBL1371096', 'CTK0H7315', 'KS-00000UKN', 'NSC8484', 'Phosphoric acid, tri-n-butyl ester', 'NSC-8484', 'ZINC1586777', 'Tox21_201872', 'Tox21_300107', 'LS-705', 'MFCD00009436', 'SBB060442', 'TBP (Tributyl phosphate, n + iso)', 'WLN: 4OPO &amp; O4 &amp; O4', 'AKOS015995460', 'MCULE-3436505303', 'Tributyl phosphate, analytical standard', 'NCGC00091588-01', 'NCGC00091588-02', 'NCGC00091588-03', 'NCGC00091588-04', 'NCGC00254202-01', 'NCGC00259421-01', 'I938', 'FT-0657452', 'NS00010255', 'P0266', 'ST51046616', 'C14439', 'Tributyl phosphate 10 microg/mL in Cyclohexane', 'Tributyl Phosphate 1000 microg/mL in Methanol', 'Tributyl phosphate, puriss., &gt;=99.0% (GC)', 'Tributyl phosphate, SAJ first grade, &gt;=99.0%', 'Tributyl phosphate, Selectophore(TM), &gt;=98.0%', 'A805594', 'Q613394', 'J-005429', 'F1905-7225', 'Tributyl phosphate, 10 mug/mL in hexane, analytical standard', 'Tributyl phosphate, for extraction analysis, &gt;=99.0% (GC)', 'Tri-n-butyl phosphate, European Pharmacopoeia (EP) Reference Standard', 'Tributyl phosphate, Pharmaceutical Secondary Standard; Certified Reference Material', '80094-39-9']</t>
  </si>
  <si>
    <t>Compound(31357)</t>
  </si>
  <si>
    <t>C12H27O4P</t>
  </si>
  <si>
    <t>tributyltin (cation)</t>
  </si>
  <si>
    <t>tributylstannanylium</t>
  </si>
  <si>
    <t>['Tributylstannylium', 'Stannylium, tributyl-', '36643-28-4', 'Tributyltin cation', 'Tributyltin ion', 'n-Tributyltin ion', 'Tri-n-butyltin (TBT)', 'Tin(1+), tributyl-, ion', 'DTXSID9075030', 'NS00041359', 'Tributyltin bromide;Tributylstannylium;Tributyltin']</t>
  </si>
  <si>
    <t>Compound(37499)</t>
  </si>
  <si>
    <t>C12H27Sn+</t>
  </si>
  <si>
    <t>tributyltin acetate</t>
  </si>
  <si>
    <t>tributylstannyl acetate</t>
  </si>
  <si>
    <t>['TRIBUTYLTIN ACETATE', 'Tri-n-butyltin acetate', 'Tributylstannyl acetate', '56-36-0', 'Acetoxytributyltin', 'Tribuyltin acetate', 'Acetoxytributylstannane', 'Tributylacetoxystannane', 'Tin, acetoxytributyl-', 'Stannane, (acetyloxy)tributyl-', 'Stannane, acetoxytributyl-', 'Tributylstannium acetate', 'Tri-N-butyl-zinn-acetat', 'Tin, tributyl-, acetate', 'Caswell No. 867', 'NSC 8989', 'UNII-093LD1397U', 'Tri-n-butyl-zinn-acetat [German]', 'EINECS 200-269-6', 'EPA Pesticide Chemical Code 083105', 'AI3-25394', '093LD1397U', 'TRIBUTYL TIN ACETATE', 'C14H30O2Sn', 'MFCD00015228', 'DTXSID7043954', '(Acetyloxy)(tributyl)stannane #', 'CTK8G3623', 'NSC8989', 'NSC-8989', 'WLN: 4-SN-4&amp;4&amp;OV1', '6239AF', 'tributyltin acetate;Tributyltin acetate', 'ZINC195995939', 'Stannane, (acetyloxy)tributyl- (9CI)', 'LS-146413', 'FT-0718510', 'C-52501', 'Q27236451']</t>
  </si>
  <si>
    <t>Compound(16682741)</t>
  </si>
  <si>
    <t>C14H30O2Sn</t>
  </si>
  <si>
    <t>tributyl trithiophosphate</t>
  </si>
  <si>
    <t>1-bis(butylsulfanyl)phosphorylsulfanylbutane</t>
  </si>
  <si>
    <t>['Tribufos', 'Butifos', 'DEF defoliant', 'Butyl phosphorotrithioate', 'Merphos oxide', '78-48-8', 'S,S,S-Tributyl trithiophosphate', 'S,S,S-TRIBUTYL PHOSPHOROTRITHIOATE', 'Butiphos', 'Tribuphos', 'De-Green', 'Fos-Fall A', 'Fossfall', 'TBTP', 'S,S,S-Tributylphosphorotrithioate', 'Phosphorotrithioic acid, S,S,S-tributyl ester', 'E-Z-Off D', 'Ortho phosphate defoliant', 'Caswell No. 864', 'S,S,S-Tributyltrithiofosfat', 'DEF', 'Butyl phosphorotrithioate ((BuS)3PO)', 'UNII-53075G8GRF', 'S,S,S-Tributyltrithiophosphate', 'HSDB 668', '1-bis(butylsulfanyl)phosphorylsulfanylbutane', 's,s,s,-tributylphosphorotrithioate', 'Tributylphosphorotrithioate', 'EINECS 201-120-8', 'S,S,S-Tributyltrithiofosfat [Czech]', 'B-1,776', 'EPA Pesticide Chemical Code 074801', 'BRN 1910992', 'AI3-25812', 'CHEBI:38737', 'B 1776', '53075G8GRF', 'DSSTox_CID_4174', 'DSSTox_RID_77315', 'DSSTox_GSID_24174', 'CAS-78-48-8', 'Tribufos [ISO]', '1,2,4-Tributylphosphorotrithioate', 'degreen', 'Fosfall', 'Merphos-oxone', 'Merphos-oxon', 'Chemagro 1,776', 'Spectrum_001887', 'SpecPlus_000508', 'Spectrum2_001843', 'Spectrum3_000844', 'Spectrum4_000684', 'Spectrum5_002004', 'BSPBio_002427', 'KBioGR_001147', 'KBioSS_002417', 'SPECTRUM330053', 'DivK1c_006604', 'SCHEMBL119208', 'SPBio_001626', 'Tribufos (Merphos oxide. DEF)', 'CHEMBL1901047', 'DTXSID1024174', 'KBio1_001548', 'KBio2_002411', 'KBio2_004979', 'KBio2_007547', 'KBio3_001927', 'Tox21_201934', 'Tox21_300642', 'CCG-39381', 'Tribufos 100 microg/mL in Methanol', 'AKOS015902866', 'Tribufos 100 microg/mL in Cyclohexane', 'NCGC00095769-01', 'NCGC00095769-02', 'NCGC00095769-03', 'NCGC00095769-04', 'NCGC00095769-05', 'NCGC00254550-01', 'NCGC00259483-01', 'Phosphorotrithioicacid,s,s,s-tributyl ester', 'LS-108984', 'NS00001857', '078S488', 'Q2537076', 'BRD-K02837237-001-02-9', 'tribufos;S,S,S-tributyl phosphorotrithioate;S,S,S-Tributyl phosphorotrithioate;Tribufos']</t>
  </si>
  <si>
    <t>Compound(5125)</t>
  </si>
  <si>
    <t>C12H27OPS3</t>
  </si>
  <si>
    <t>tributylacetyl citrate</t>
  </si>
  <si>
    <t>tributyl 2-acetyloxypropane-1,2,3-tricarboxylate</t>
  </si>
  <si>
    <t>['ACETYL TRIBUTYL CITRATE', '77-90-7', 'tributyl 2-acetoxypropane-1,2,3-tricarboxylate', 'Tributyl acetylcitrate', 'Citroflex A', 'Tributyl O-acetylcitrate', 'Blo-trol', 'Citroflex A 4', 'Tributyl citrate acetate', 'Acetyltributyl citrate', '2-Acetyltributylcitrate', 'ATBC', 'Tributyl acetyl citrate', 'Acetylcitric acid, tributyl ester', '1,2,3-Propanetricarboxylic acid, 2-(acetyloxy)-, tributyl ester', 'Tributyl acetylicitrate', 'Citric acid, tributyl ester, acetate', 'Caswell No. 005AB', 'UNII-0ZBX0N59RZ', 'Acetyl tri-n-butyl citrate', 'NSC 3894', 'Uniplex 84', 'Tributyl 2-acetoxy-1,2,3-propanetricarboxylate', 'Acetyl butyl citrate', 'FEMA No. 3080', 'CCRIS 3409', 'HSDB 656', 'Tributyl 2-(acetyloxy)-1,2,3-propanetricarboxylate', 'o-Acetylcitric acid tributyl ester', '2-Acetoxy-1,2,3-propanetricarboxylic acid tributyl ester', 'EINECS 201-067-0', 'tributyl 2-acetyloxypropane-1,2,3-tricarboxylate', 'BRN 2303316', '0ZBX0N59RZ', 'AI3-01999', '1,2,3-Propanetricarboxylic acid, 2-(acetyloxy)-, 1,2,3-tributyl ester', 'Citric acid, tributyl ester, acetate (8CI)', 'DSSTox_CID_6446', 'DSSTox_RID_78115', 'DSSTox_GSID_26446', 'Tributyl 2-(acetyloxy)-1,2,3-propanetricarboxylic acid', '1,2,3-Propanetricarboxylic acid, 2-acetoxy-, tributyl ester', '2-(Acetyloxy)-1,2,3-propanetricarboxylic acid, tributyl ester', '2-ACETYLOXY-1,2,3-PROPANETRICARBOXYLIC ACID TRIBUTYL ESTER', 'CAS-77-90-7', 'acetyltributylcitrate', 'Acetyltributyl citrate [NF]', 'Estaflex', 'Estaflex ATC', 'Pfizer citroflex A-4', 'Acetylcitric acid tributyl', 'Tributyl O-Acetylcitrate.', 'EC 201-067-0', 'SCHEMBL23183', 'Tributyl O-acetylcitrate, 98%', 'CHEMBL1904556', 'DTXSID2026446', 'FEMA 3080', 'NSC3894', 'Citric acid, acetyl tributyl ester', 'KS-000011BH', 'NSC-3894', 'ZINC3875493', 'Tox21_112777', 'Tox21_201779', 'Tox21_303128', 'AKOS015895884', 'CHM0028292', 'LS-3129', 'Tributyl 2-acetylcitrate, &gt;=98%, FG', 'NCGC00164157-01', 'NCGC00164157-02', 'NCGC00257221-01', 'NCGC00259328-01', 'AK116678', 'CC-23689', 'NCI60_003698', 'SC-16357', 'AX8112285', 'A0822', 'FT-0621820', 'NS00010307', 'Tributyl 2-acetoxy-1,3-propanetricarboxylate', 'Tributyl 2-acetoxy-1,2, 3-propanetricarboxylate', 'A839285', 'C-35017', 'SR-01000883988', 'Q4673294', 'SR-01000883988-1', 'Tributyl 2-(acetyloxy)propane-1,2,3-tricarboxylate', 'Tributyl 2-(acetyloxy)-1,3-propanetricarboxylic acid', '2-Acetoxy-1,3-propanetricarboxylic acid tributyl ester', 'Tributyl 2-(acetyloxy)-1,2, 3-propanetricarboxylic acid', '1,2,3-tributyl 2-(acetyloxy)propane-1,2,3-tricarboxylate', '2-Acetoxy-1,2, 3-propanetricarboxylic acid tributyl ester', '2-acetyloxypropane-1,2,3-tricarboxylic acid tributyl ester', '1,3-Propanetricarboxylic acid, 2-(acetyloxy)-, tributyl ester', '2-(Acetyloxy)-1,2,3-propane tricarboxylic acid, tributyl ester', 'Acetyltributyl citrate, United States Pharmacopeia (USP) Reference Standard', 'Tributyl acetylcitrate, European Pharmacopoeia (EP) Reference Standard', 'Tributyl 2-acetylcitrate, Pharmaceutical Secondary Standard; Certified Reference Material', '37070-91-0', 'Tri-n-butyl acetyl citrate;Tributylacetylcitrate;Acetyl tributyl citrate;ACETYL TRIBUTYL CITRATE;tributyl O-acetylcitrate;Citric acid, tributyl ester, acetate']</t>
  </si>
  <si>
    <t>Compound(6505)</t>
  </si>
  <si>
    <t>C20H34O8</t>
  </si>
  <si>
    <t>trioctyl phosphate</t>
  </si>
  <si>
    <t>tris(6-methylheptyl) phosphite</t>
  </si>
  <si>
    <t>['Triisooctyl phosphite', 'Triisooctylphosphite', '25103-12-2', 'Isooctyl phosphite', 'tris(6-methylheptyl) phosphite', 'Phosphorous acid, triisooctyl ester', 'UNII-SN4X38MJ1X', 'EINECS 246-614-4', 'Isooctyl phosphite ((C8H17O)3P)', 'SN4X38MJ1X', '5406-92-8', 'Triisooctylphosphit', 'ACMC-20ajdx', 'SCHEMBL381830', 'Tris(6-methylheptoxy)phosphane', 'Phosphorousacid,triisooctylester', 'CTK8C5366', 'DTXSID10892236', 'NSC5330', 'Phosphorous acid triisooctyl ester', 'NSC-5330', 'ZINC4404606', 'AKOS025294995', 'LS-109023', 'FT-0687191', 'FT-0687195', 'NS00051012', 'J-015810', 'Q27289294', 'Triisooctyl phosphite, mixture of branched-chain isomers']</t>
  </si>
  <si>
    <t>Compound(90714)</t>
  </si>
  <si>
    <t>C24H51O3P</t>
  </si>
  <si>
    <t>trioctyltin (cation)</t>
  </si>
  <si>
    <t>['869-59-0', 'UNII-66Y856A2HM', '66Y856A2HM', 'Stannane, trioctyl-', 'EC 413-320-4', 'DTXSID60235952', 'ZINC195806530']</t>
  </si>
  <si>
    <t>Compound(5360423)</t>
  </si>
  <si>
    <t>C24H51Sn</t>
  </si>
  <si>
    <t>2- (thiocyanomethylthio) benzothiazole</t>
  </si>
  <si>
    <t>1,3-benzothiazol-2-ylsulfanylmethyl thiocyanate</t>
  </si>
  <si>
    <t>['21564-17-0', 'TCMTB', '2-(Thiocyanatomethylthio)benzothiazole', 'Superdavloxan', 'Benthiazole', '2-(Thiocyanomethylthio)benzothiazole', '2-((Thiocyanatomethyl)thio)benzo[d]thiazole', 'Alentisan', 'Ichiban', 'Sancelant TMB', 'Delsan 30', 'Busan', 'Busan 15', 'Busan 71', 'Busan 1030', 'Busan 30', 'Busan 30A', 'Busan 30I', 'Busan 70', 'Busan 72', 'Busan 72A', 'Tolcide 2230', 'Busan 30-1', 'Protector 3L', 'Benthiazole 30%', 'KVK 733059', 'THIOCYANIC ACID, (2-BENZOTHIAZOLYLTHIO)METHYL ESTER', 'Busan 44', 'Caswell No. 853A', '1,3-benzothiazol-2-ylsulfanylmethyl thiocyanate', 'UNII-5GE166YVQV', '(2-Benzothiazolylthio)methyl thiocyanate', '5GE166YVQV', 'TCMTB 30%', 'TCMTB 60%', 'TCMTB 80%', '(Benzothiazol-2-ylthio)methyl thiocyanate', '2-(Thiocyanatomethylthio)benzo[d]thiazole', 'HSDB 6450', 'EINECS 244-445-0', 'AI3-29396-X (USDA)', '2-Benzothiazolylthio methyl thiocyanate', 'EPA Pesticide Chemical Code 035603', '2-(Benzothiazolylthio)methyl thiocyanate', '2-Thiocyanomethylthiobenzothiazole, 80%', 'BRN 1213014', '2-((Thiocyanatomethyl)thio)benzothiazole', '2-Tiocianometiltiobenzotiazolo [Italian]', '2-(Thiocyanomethylthio)benzothiazole, 60%', '2-Tiocianometiltiobenzotiazolo, 80% [Italian]', 'Thiocyanic acid, (2-benzothiazolylthio) methyl ester', 'Thiocyanic acid, (2-benzothiazolylthio)methyl ester, 30%', 'Thiocyanic acid, 2-(benzothiazolylthio)methyl ester, 60%', 'Thiocyanic acid, 2-(benzothiazolylthio)methyl ester, 80%', '2-[(Thiocyanatomethyl)thio]benzothiazole', 'TCMTB (Busan)', 'PubChem23353', 'DSSTox_CID_12647', 'DSSTox_RID_79023', 'DSSTox_GSID_32647', 'SCHEMBL54175', '2-Tiocianometiltiobenzotiazolo', 'TCMTB (Busan (30))', 'C9H6N2S3', 'CHEMBL1903976', 'DTXSID6032647', 'CTK1A2536', 'BCP25511', 'KS-00000ZR0', 'ZINC2016149', 'Tox21_301072', '2-Tiocianometiltiobenzotiazolo, 80%', '2-(4-Thiocyanomethythio)Benzothiazole', 'AKOS015915374', 'AM84757', 'FCH1329754', 'ACM21564170', 'NCGC00168337-01', 'NCGC00168337-02', 'NCGC00254973-01', 'P282', 'SC-47242', 'AX8019384', 'CAS-21564-17-0', 'DB-030386', 'LS-152632', 'Benzothiazole, 2-((thiocyanatomethyl)thio)-', 'FT-0638130', 'NS00001883', 'TCMTB (2-(Thiocyanomethylthio)benzothiazole)', '(1,3-benzothiazol-2-ylthio)methyl thiocyanate', '564T170', 'A815476', 'C-36790', 'Q158532', 'Benzothiazole, 2-((thiocyanatomethyl)thio)- (8CI)', 'J-014149', '(1,3-Benzothiazol-2-ylsulfanyl)methyl thiocyanate #', '[(1,3-Benzothiazol-2-yl)sulfanyl]methyl thiocyanate', 'thiocyanic acid (1,3-benzothiazol-2-ylthio)methyl ester', '2-(Thiocyanatomethylthio)benzothiazole, PESTANAL(R), analytical standard', '(1,3-Benzothiazol-2-ylsulfanyl)methyl thiocyanate                        (2-benzothiazolylthio)methylthiocyanate[qr]', 'TCMTB;(benzothiazol-2-ylthio)methyl thiocyanate;2-(THIOCYANOMETHYLTHIO) BENZOTHIAZOLE;2- ( thiocyanomethylthio ) benzothiazole']</t>
  </si>
  <si>
    <t>Compound(30692)</t>
  </si>
  <si>
    <t>C9H6N2S3</t>
  </si>
  <si>
    <t>trichlorobenzene</t>
  </si>
  <si>
    <t>trichloroethane</t>
  </si>
  <si>
    <t>trichlorethanal</t>
  </si>
  <si>
    <t>2,2,2-trichloroacetaldehyde</t>
  </si>
  <si>
    <t>['CHLORAL', 'Trichloroacetaldehyde', '2,2,2-Trichloroacetaldehyde', '75-87-6', 'Acetaldehyde, trichloro-', 'Trichloroethanal', 'Anhydrous chloral', 'Grasex', 'TRI-CHLORO-ACETALDEHYDE', 'Cloralio', 'RCRA waste number U034', 'Cloralio [Italian]', 'Chloral (IUPAC)', 'UNII-FLI06WS32H', 'CCRIS 852', 'Trichloro-Acetaldehyde', 'HSDB 2557', 'Acetaldehyde, 2,2,2-trichloro-', '2,2,2-Trichloroethanal', 'EINECS 200-911-5', 'UN2075', 'RCRA waste no. U034', 'BRN 0506422', 'FLI06WS32H', 'Acetaldehyde,2,2,2-trichloro-', 'DTXSID7024744', 'CHEBI:48814', 'chloral;acetaldehyde, 2,2,2-trichloro-;trichloroethanal;trichloroacetaldehyde;acetaldehyde, trichloro-;chloral, anhydrous', 'Chloral anhydrous', 'Trichloracetaldehyde', 'Trichloroacetaldehyd', 'Chloral, Anhydrous', 'CCl3CHO', 'SCHEMBL75613', '4-01-00-03142 (Beilstein Handbook Reference)', 'Chloral, anhydrous, inhibited', 'UN 2075 (Salt/Mix)', 'CHEMBL27551', 'CTK5E2129', 'KS-00000X7B', 'STR00138', 'ZINC3875479', 'BBL011380', 'STL146480', 'AKOS000119168', 'DB02650', 'LS-1678', 'SC-81468', 'DB-007348', 'NS00020706', 'C14866', 'Chloral, anhydrous, inhibited [UN2075] [Poison]', 'Q422755', 'Chloral, anhydrous, inhibited [UN2075]  [Poison]', 'W-109044', 'CHLORAL (SEE ALSO CHLORAL HYDRATE 302-17-0)', 'F2191-0156']</t>
  </si>
  <si>
    <t>Compound(6407)</t>
  </si>
  <si>
    <t>C2HCl3O</t>
  </si>
  <si>
    <t>trichlorethylene (tri)</t>
  </si>
  <si>
    <t>1,1,2-trichloroethene</t>
  </si>
  <si>
    <t>['TRICHLOROETHYLENE', 'Trichloroethene', '79-01-6', '1,1,2-Trichloroethene', 'Ethene, trichloro-', 'Ethinyl trichloride', 'Ethylene trichloride', 'Acetylene trichloride', 'Narcogen', 'Trilene', 'Trichlorethylene', '1,1,2-Trichloroethylene', 'Chlorilen', 'Trethylene', 'Trielina', 'triciene', 'Blancosolv', 'Crawhaspol', 'Densinfluat', 'Germalgene', 'Threthylen', 'Threthylene', 'Trichloraethen', 'Trichloran', 'Trichloren', 'Algylen', 'Anamenth', 'Benzinol', 'Blacosolv', 'Cecolene', 'Chlorylen', 'Circosolv', 'Dukeron', 'Lanadin', 'Lethurin', 'Narkosoid', 'Petzinol', 'Triasol', 'Trielene', 'Trielin', 'Trieline', 'Vestrol', 'Westrosol', 'Fluate', 'Nialk', 'Philex', 'Trial', 'Trilen', 'Trimar', 'Vitran', 'Fleck-flip', 'Flock flip', 'Tri-plus', 'Triklone N', 'Dow-tri', 'Tri-Clene', 'Perm-A-chlor', '1,1-Dichloro-2-chloroethylene', '1-Chloro-2,2-dichloroethylene', 'Tri-plus M', 'Trichlooretheen', 'Tricloretene', 'Tricloroetilene', 'Trichlorethylenum', 'trichloroethylenum', 'Trichloraethylenum', '1,2,2-Trichloroethylene', 'TCE', 'Tricloroetileno', 'Chlorylea', 'Chorylen', 'Ethylene, trichloro-', 'Gemalgene', 'Narkogen', 'Trichloraethylen, tri', 'Trichlorethylene, tri', 'Triklone', 'Triline', 'Triol', 'Trichloorethyleen, tri', 'Trilene TE-141', 'Tricloroetilene [DCIT]', 'TCE (chlorohydrocarbon)', 'C2HCl3', 'Perm-A-clor', 'Rcra waste number U228', 'Trichloroethylene (IUPAC)', 'Trielina [Italian]', 'Caswell No. 876', 'Ethene, 1,1,2-trichloro-', 'trichlor', 'Trichlorathane', 'Trichlorethene', 'Tricloretene [Italian]', 'Trichlooretheen [Dutch]', 'Trichloraethen [German]', 'densi nfluat', 'Trichloraethylen', 'Trichloroethylene (TCE)', 'Trichloroethylene [INN]', 'trik lone', 'tric hloroethene', 'Tricloroetilene [Italian]', 'NCI-C04546', 'trichloro ethylene', 'Distillex DS2', 'CCRIS 603', 'R 1120', 'UNII-290YE8AR51', 'Tricloroetileno [INN-Spanish]', 'UN 1710', 'HSDB 133', 'Trichloorethyleen, tri [Dutch]', 'Trichloraethylen, tri [German]', 'Trichlorethylene, tri [French]', 'Trichloroethylenum [INN-Latin]', 'TRI', 'NSC 389', 'EINECS 201-167-4', 'UN1710', 'RCRA waste no. U228', 'EPA Pesticide Chemical Code 081202', 'BRN 1736782', 'trichloraethylenum pro narcosi', 'Trichloroethylene (without epichlorohydrin)', 'AI3-00052', 'CHEBI:16602', 'F 1120', '290YE8AR51', 'Trichloroethylene [UN1710] [Poison]', 'Trichloroethylene (with epichlorohydrin)', 'NCGC00091202-01', 'DSSTox_CID_1382', 'DSSTox_RID_76125', 'DSSTox_GSID_21383', 'Chlorylea, Chorylen, CirCosolv, Crawhaspol, Dow-Tri, Dukeron, Per-A-Clor, Triad, Trial, TRI-Plus M, Vitran', 'Triclene', 'MFCD00000838', 'CAS-79-01-6', 'Trichloroethene 100 microg/mL in Methanol', 'Trichloride, Ethinyl', 'Trichloroethene 1000 microg/mL in Methanol', 'Trichloroethylene, ACS reagent, &gt;=99.5%', 'Trichloroethylene, 99+%, extra pure, stabilized', 'Trichloroethylene, 99.6%, ACS reagent, stabilized', 'Trichloroethylene [INN:NF]', 'Trichlorothene', 'trichloro-ethene', 'Disparit B', 'trichloro-ethylene', 'Altene DG', 'Trichloroethene, 9CI', '1,1,1-Trichloroethylene', 'ACMC-1BMG7', '1,1,2-Trichloro-Ethene', 'EC 201-167-4', 'SCHEMBL5754', 'Trichloroethylene, &gt;=99%', '4-01-00-00712 (Beilstein Handbook Reference)', 'KSC492E5D', '1,1,2-tris(chloranyl)ethene', 'CHEMBL279816', 'DTXSID0021383', 'Trichloroethylene, p.a., 98%', 'CTK3J2251', 'Trichloroethylene, LR, &gt;=99%', 'Trichloroethylene Reagent Grade ACS', 'ZINC8214699', 'Ethene, trichloro-;trichloroethylene', 'Tox21_111101', 'Tox21_202543', 'ANW-42318', 'STL282732', 'Trichloroethylene, analytical standard', 'AKOS000118838', 'CCG-230934', 'DB13323', 'LS-1768', 'MCULE-3945953656', 'KS-00000V25', 'NCGC00091202-02', 'NCGC00091202-03', 'NCGC00260092-01', 'Trichloroethylene [UN1710]  [Poison]', 'SC-75035', 'Trichloroethene 10 microg/mL in Methanol', 'NS00006134', 'C06790', 'Trichloroethylene, SAJ first grade, &gt;=98.0%', '26732-EP2280009A1', '26732-EP2295426A1', '26732-EP2295427A1', '26732-EP2298772A1', '26732-EP2308839A1', '26732-EP2308849A1', '26732-EP2308850A1', '26732-EP2308857A1', '26732-EP2309584A1', '26732-EP2311815A1', '26732-EP2314583A1', '26732-EP2374786A1', '26732-EP2380568A1', '72311-EP2308867A2', '72311-EP2308870A2', 'Trichloroethylene, JIS special grade, &gt;=99.5%', '157446-EP2275417A2', '157446-EP2284162A2', '157446-EP2284163A2', 'A839551', 'Q407936', 'J-504494', 'Trichloroethylene, puriss. p.a., &gt;=99.5% (GC)', 'BRD-K46435528-001-01-0', 'Trichloroethylene, spectrophotometric grade, &gt;=99.5%', 'F0001-2068', 'Trichloroethylene, anhydrous, contains 40 ppm diisopropylamine as stabilizer, &gt;=99%', 'Trichloroethylene, Pharmaceutical Secondary Standard; Certified Reference Material', 'Trichloroethylene, reagent grade, &gt;=99.0%, contains ~1% 1,2-epoxybutane as inhibitor', 'Residual Solvent - Trichloroethylene, Pharmaceutical Secondary Standard; Certified Reference Material', 'TCV']</t>
  </si>
  <si>
    <t>Compound(6575)</t>
  </si>
  <si>
    <t>C2HCl3</t>
  </si>
  <si>
    <t>tris (1-chloro-2-propyl) phosphate</t>
  </si>
  <si>
    <t>tris(1-chloropropan-2-yl) phosphate</t>
  </si>
  <si>
    <t>['13674-84-5', 'Tris(1-chloro-2-propyl) phosphate', 'tris(1-chloropropan-2-yl) phosphate', 'TRIS(2-CHLOROISOPROPYL)PHOSPHATE', 'Amgard TMCP', 'Tris(1-chloro-2-propyl)phosphate', 'Tris(2-chloro-1-methylethyl) phosphate', 'Hostaflam OP 820', '2-Propanol, 1-chloro-, phosphate (3:1)', 'CCRIS 6111', 'Tri-(2-chloroisopropyl)phosphate', 'UNII-CRT22GFY70', 'EINECS 237-158-7', 'BRN 1842347', 'TRIS(2-CHLOROISOPROPYL) PHOSPHATE', 'Phosphoric acid tris(2-chloro-1-methylethyl) ester', "2-Propanol, 1-chloro-, 2,2',2''-phosphate", 'CRT22GFY70', 'Phosphoric acid, tris(2-chloro-1-methylethyl) ester', 'AK109623', 'Tris(1-chloro-2-propanyl) phosphate', 'TCPP, Tris(1-chloro-2-propyl)phosphate', 'DSSTox_CID_6259', 'DSSTox_RID_78077', 'DSSTox_GSID_26259', 'Q-201899', '98112-32-4', 'CAS-13674-84-5', 'C9H18Cl3O4P', 'HSDB 8112', 'Flame retardant TCPP', 'EC 237-158-7', 'SCHEMBL35713', 'KSC495M9J', 'CHEMBL3188873', 'DTXSID5026259', 'CTK3J5694', 'CHEBI:143728', 'Tris(clorisopropyl)phosphate(TCPP)', 'KS-00000X9X', 'Tris(1-chloropropan-2-yl)phosphate', 'Tox21_202982', 'Tox21_303533', 'tris(2-chloro-1-methylethyl) ester', 'ANW-20171', 'LS-797', 'AKOS015899872', 'NCGC00257407-01', 'NCGC00260528-01', 'Tris(2-chloroisopropyl)phosphate (TCPP)', 'I990', 'SC-46376', '2-Propanol, 1-chloro-, phosphate(3:1)', 'TCPP (Tris(2-chloroisopropyl) phosphate)', 'AX8147870', 'FT-0689156', 'NS00009572', 'Tris(1-chloro-2-propyl)phosphate - TCPP-1', 'K-4392', 'Phosphoricacidtris(2-chloro-1-methylethyl)ester', 'Tris(1-chloro-2-propyl) phosphate, tech grade', 'Flame retardant Tris(2-chloroisopropyl)phosphate', 'C-58184', 'Q2454095', 'Tri(chloropropyl) phosphate &amp; Tetrabromophthalic acid diester']</t>
  </si>
  <si>
    <t>Compound(26176)</t>
  </si>
  <si>
    <t>trichloroacetic acid</t>
  </si>
  <si>
    <t>2,2,2-trichloroacetic acid</t>
  </si>
  <si>
    <t>['TRICHLOROACETIC ACID', '76-03-9', 'Trichloroethanoic acid', 'Aceto-caustin', 'Trichloracetic acid', 'Acetic acid, trichloro-', 'Trichloressigsaeure', 'Konesta', 'Acide trichloracetique', 'Acido tricloroacetico', 'Amchem grass killer', 'Trichloorazijnzuur', 'TCA', '2,2,2-trichloroacetic acid', 'Tecane', 'Kyselina trichloroctova', 'Acetic acid, trichloro- (solid)', 'CCl3COOH', 'Caswell No. 870', 'Trichloorazijnzuur [Dutch]', 'TKhU', 'Trichloressigsaeure [German]', 'Trichloroacetic acid solution', 'UNII-5V2JDO056X', 'MFCD00004177', 'TKhUK', 'Trichloroacetic acid (IUPAC)', 'Trichloromethanecarboxylic acid', 'NSC 215204', 'trichloro acetic acid', 'CCRIS 4015', 'Acide trichloracetique [French]', 'Acido tricloroacetico [Italian]', 'Kyselina trichloroctova [Czech]', 'HSDB 1779', 'Acetic acid, 2,2,2-trichloro-', 'EINECS 200-927-2', 'UN1839', 'UN2564', 'TCA [BSI:ISO]', 'EPA Pesticide Chemical Code 081002', 'BRN 0970119', 'AI3-24157', '5V2JDO056X', 'CHEBI:30956', 'NSC-215204', 'NCGC00091021-02', 'WLN: QVXGGG', 'Trichloroacetic acid solid', 'DSSTox_CID_1378', 'Trichloorazijnzuur (DUTCH)', 'DSSTox_RID_76121', 'DSSTox_GSID_21378', 'Trichloressigsaeure (GERMAN)', 'Acide trichloracetique (FRENCH)', 'Acido tricloroacetico (ITALIAN)', 'Trichloroacetic acid, 99%, extra pure', 'CAS-76-03-9', 'SMR000059159', 'TCAA', 'C2HCl3O2', 'Trichloroacetic acid [USP]', 'TCA solution', 'Trichloressigsaure', 'Trichloroacetic acid [USP XXI]', 'Tricloroacetic acid', 'perchloroacetic acid', 'trichloro-acetic acid', 'Varitox (Salt/Mix)', 'CCl3CO2H', 'NA TA (Salt/Mix)', 'ACMC-1BK0N', 'EC 200-927-2', 'Acido tricloroacetico (TN)', 'SCHEMBL3220', 'NCIOpen2_000772', '4-02-00-00508 (Beilstein Handbook Reference)', 'KSC377I7P', 'MLS001066365', 'MLS001336033', 'MLS001336034', 'UN 2564 (Salt/Mix)', 'CHEMBL14053', 'Trichloroacetic acid, solution', '2,2,2-Trichloro-Acetic acid', 'Aceticacid, 2,2,2-trichloro-', 'DTXSID1021378', 'CTK2H7477', 'Trichloroacetic acid solid (DOT)', 's221', 'Trichloroacetic acid, &gt;=99.5%', 'Trichloroacetic acid, ACS reagent', 'HMS2233M06', 'HMS3374M09', 'NSC77363', 'STR02719', 'ZINC3791092', 'Tox21_111060', 'Tox21_201632', 'Tox21_300187', 'Trichloroacetic acid solution (DOT)', 'ANW-13593', 'BBL012209', 'NSC-77363', 'NSC215204', 'STL163550', 'AKOS000118939', 'Trichloroacetic acid (ACD/Name 4.0)', 'Trichloroacetic acid solution, 0.6 N', 'Trichloroacetic acid solution, 6.1 N', 'LS-1688', 'MCULE-1368734775', 'UN 1839', 'NCGC00091021-01', 'NCGC00091021-03', 'NCGC00091021-04', 'NCGC00254060-01', 'NCGC00259181-01', 'NCI60_006100', 'SC-18254', 'Trichloroacetic acid, reagent grade, 98%', 'Trichloroacetic acid, 99+%, ACS reagent', 'Trichloroacetic acid, BioXtra, &gt;=99.0%', 'FT-0645145', 'NS00009969', 'T0369', 'Trichloroacetic acid [UN1839] [Corrosive]', 'Trichloroacetic acid, &gt;=99.0% (titration)', 'Trichloroacetic acid [UN1839]  [Corrosive]', 'Trichloroacetic acid, 5% w/v aqueous solution', 'Trichloroacetic acid, 80% (w/v) in solution', 'Trichloroacetic acid, ACS reagent, &gt;=99.0%', '2361-EP2270015A1', '2361-EP2270018A1', '2361-EP2275102A1', '2361-EP2275404A1', '2361-EP2277876A1', '2361-EP2280011A1', '2361-EP2280012A2', '2361-EP2289893A1', '2361-EP2292614A1', '2361-EP2298780A1', '2361-EP2301928A1', '2361-EP2305655A2', '2361-EP2305689A1', '2361-EP2311815A1', '2361-EP2311837A1', '2361-EP2371802A1', '2361-EP2371823A1', 'C11150', 'D08633', '38899-EP2270018A1', '38899-EP2275404A1', '38899-EP2277875A2', '38899-EP2280000A1', '38899-EP2281818A1', '38899-EP2284169A1', '38899-EP2287152A2', '38899-EP2287160A1', '38899-EP2287161A1', '38899-EP2287162A1', '38899-EP2289893A1', '38899-EP2295441A2', '38899-EP2295503A1', '38899-EP2298772A1', '38899-EP2298780A1', '38899-EP2298783A1', '38899-EP2301911A1', '38899-EP2301918A1', '38899-EP2305689A1', '38899-EP2305808A1', '38899-EP2308510A1', '38899-EP2308833A2', '38899-EP2308839A1', '38899-EP2311804A2', '38899-EP2311837A1', 'TCA Deblock, 3 % (w/v) in methylene chloride', 'Trichloroacetic acid, BioUltra, &gt;=99.5% (T)', 'Q410116', 'Trichloroacetic acid, purum p.a., &gt;=99.0% (T)', 'J-525058', 'Trichloroacetic acid, JIS special grade, &gt;=99.0%', 'Trichloroacetic acid, solution [UN2564] [Corrosive]', 'F1908-0096', 'Trichloroacetic acid, PESTANAL(R), analytical standard', 'Trichloroacetic acid, solution [UN2564]  [Corrosive]', 'Z1270446580', 'TRICHLOROACETIC ACID (SEE ALSO DICHLOROACETIC ACID)', 'Trichloroacetic acid solution, ~6.25 % (w/v), 0.38 N', 'Trichloroacetic acid solution, 6.1 N (approx. 100% w/v)', 'Trichloroacetic acid, biotech. grade, redistilled, &gt;=99%', 'Trichloroacetic acid, puriss. p.a., ACS reagent, &gt;=99.5%', 'Deblock trichloroacetic acid solution, 3 % (w/v) in methylene chloride', 'Trichloroacetic acid solution, certified reference material, 1000 mug/mL in methyl tert-butyl ether', 'Trichloroacetic acid, ACS reagent, for the determination of Fe in blood according to Heilmeyer, &gt;=99.5%', 'Trichloroacetic acid, for electrophoresis, suitable for fixing solution (for IEF and PAGE gels), &gt;=99%', 'Trichloroacetic acid, puriss., meets analytical specification of Ph. Eur., USP 21, 99-100.5% (calc. to the dried substance)']</t>
  </si>
  <si>
    <t>Compound(6421)</t>
  </si>
  <si>
    <t>C2HCl3O2</t>
  </si>
  <si>
    <t>trichloronaphthalene</t>
  </si>
  <si>
    <t>1,2,3-trichloronaphthalene</t>
  </si>
  <si>
    <t>['1,2,3-Trichloronaphthalene', 'Naphthalene, 1,2,3-trichloro', '50402-52-3', '1321-65-9', 'Trichlornaphthalin', 'Naphthalene, 1,2,3-trichloro-', 'C10H5Cl3', 'Trichloronapthalene (PCN 13)', 'SCHEMBL1039782', 'CTK0H6507', 'DTXSID80198454', 'ZINC2384317', 'NS00045365', '1,2,3-TRICHLORONAPHTHALENE 100 muG/ML IN NONANE']</t>
  </si>
  <si>
    <t>Compound(524223)</t>
  </si>
  <si>
    <t>C10H5Cl3</t>
  </si>
  <si>
    <t>trichlorphon</t>
  </si>
  <si>
    <t>2,2,2-trichloro-1-dimethoxyphosphorylethanol</t>
  </si>
  <si>
    <t>['Metrifonate', 'TRICHLORFON', 'Chlorophos', 'Trichlorphon', 'Methyl chlorophos', 'Metriphonate', '52-68-6', 'Bilarcil', 'Chlorofos', 'Chloroftalm', 'Chloroxyphos', 'Dipterex', 'Foschlor', 'Neguvon', 'Ricifon', 'Dylox', 'Agroforotox', 'Chlorophthalm', 'Fliegenteller', 'Hypodermacid', 'Khloroftalm', 'Polfoschlor', 'Trichlorofon', 'Trichlorophon', 'Bovinox', 'Cekufon', 'Diptevur', 'Ditrifon', 'Forotox', 'Masoten', 'Mazoten', 'Phoschlor', 'Ritsifon', 'Sotipox', 'Volfartol', 'Votexit', 'Wotexit', 'Anthon', 'Briten', 'Briton', 'Combot', 'Danex', 'Dyrex', 'Dyvon', 'Loisol', 'Proxol', 'Soldep', 'Trinex', 'Tugon', '(+-)-Trichlorfon', 'Trichlorphon FN', 'DETF', 'Equino-Aid', 'Foschlor R', 'Chlorophosciclosom', 'Flibol E', 'DEP (pesticide)', 'Dipterex 50', 'Metrifonatum', 'Trichloorfon', 'Clorofos', 'Denkaphon', 'Dioxaphos', 'Foschlorem', 'Chlorak', 'Dimetox', 'Dimethyl (2,2,2-trichloro-1-hydroxyethyl)phosphonate', 'Phoschlor R50', 'Bayer L 1359', 'Dipterex WP 80', 'Foschlor R-50', 'Metrifonato', 'Metriphonatum', 'Britten', 'Chlorfos', 'Chlorphos', 'Ciclosom', 'Depthon', 'Leivasom', 'Combot equine', 'Dicontal Fort', 'Tugon fly bait', 'Dipterex SL', 'WEC 50', 'Ditriphon 50', 'Tugon stable spray', 'Foschlor 25', 'Aerol 1', 'Bayer L 13/59', 'NCI-C54831', 'Foschlorem [Polish]', 'Trichlorphon [ISO]', 'Satox 20WSC', 'Trichloorfon [Dutch]', 'Trichlorfon [German]', 'Trichlorfon [USAN]', 'Aerol 1 (pesticide)', 'Caswell No. 385', 'BAY 15922', 'Metifonate', 'Trichlorophone', 'Dipterax', 'Neguron', 'ENT 19,763', 'Vermicide bayer 2349', 'OMS 800', 'Trichlorfon [BSI:ISO]', '1-Hydroxy-2,2,2-trichloroethylphosphonic acid dimethyl ester', 'BAY-L 1359', 'Bayer 15922', 'Metrifonatum [INN-Latin]', 'Foschlor R-50 (VAN)', 'Metrifonato [INN-Spanish]', 'Phosphonic acid, (2,2,2-trichloro-1-hydroxyethyl)-, dimethyl ester', 'CCRIS 1289', 'HSDB 881', 'BAY-a 9826', 'Dimethyl 2,2,2-trichloro-1-hydroxyethylphosphonate', 'TRI CHLORFON', 'NSC 8923', 'Bayer-L-1359', 'EINECS 200-149-3', 'UNII-1MVY4KU98F', 'UNII-37VCQ9C0OG', 'EPA Pesticide Chemical Code 057901', 'Dimethyltrichlorohydroxyethyl phosphonate', 'BRN 1709434', '1MVY4KU98F', '37VCQ9C0OG', 'O,O-Dimethyl-1-oxy-2,2,2-trichloroethyl phosphonate', 'Dimethyl (1-hydroxy-2,2,2-trichloroethyl)phosphonate', 'AI3-19763', 'MLS000069726', 'CHEBI:6908', 'CHEMBL167150', 'O,O-Dimethyl (1-hydroxy-2,2,2-trichloroethyl)phosphonate', 'O,O-Dimethyl (2,2,2-trichloro-1-hydroxyethyl)phosphonate', 'O,O-Dimethyl-(1-hydroxy-2,2,2-trichloraethyl)phosphosaeure ester', 'Phosphonic acid, (1-hydroxy-2,2,2-trichloroethyl)-, dimethyl ester', 'Dimethyl 1-hydroxy-2,2,2-trichloroethyl phosphonate', 'Trichlorfon (USAN)', 'O,O-Dimethyl (1-oxy-2,2,2-trichloroethyl)phosphonate', 'O,O-Dimethyl-(1-hydroxy-2,2,2-trichlorathyl)-phosphat', 'O,O-Dimethyl-1-hydroxy-2,2,2-trichloroethylphosphonate', 'O,O-Dimetil-(2,2,2-tricloro-1-idrossi-etil)-fosfonato', '1-Hydroxy-2,2,2-trichloro-ethyle phosphonate de dimethyle', 'Dimethoxy-2,2,2-trichloro-1-hydroxy-ethyl phosphine oxide', 'Dimethoxy-2,2,2-trichloro-1-hydroxy-ethyl-phosphine oxide', 'O,O-Dimethyl (2,2,2-trichloro-1-hydroxyethyl)phosponate', 'O,O-Dimethyl-(2,2,2-trichlor-1-hydroxy-aethyl)phosphonat', 'NCGC00018237-03', 'O,O-Dimethyl-(2,2,2-trichloor-1-hydroxy-ethyl)-fosfonaat', 'SMR000058176', 'Dimethyl (trichlorohydroxyethyl)phosphonate', '(2,2,2-Trichloro-1-hydroxyethyl)phosphonic acid dimethyl ester', '(2,2,2-Trichloro-1-hydroxyethyl)-phosphonic acid dimethyl ester', '1-Hydroxy-2,2,2-trichloro-ethyle phosphonate de dimethyle [French]', 'O,O Dimetil 2,2,2-trichloro 1 hidroxietil fosfonato (Portugese)', 'O,O-Dimethyl-(1-hydroxy-2,2,2-trichlorathyl)-phosphat [German]', 'O,O-Dimethyl-(2,2,2-trichloor-1-hydroxy-ethyl)-fosfonaat [Dutch]', 'O,O-Dimethyl-(2,2,2-trichlor-1-hydroxy-aethyl)phosphonat [German]', 'O,O-Dimetil-(2,2,2-tricloro-1-idrossi-etil)-fosfonato [Italian]', 'DSSTox_CID_1389', '2,2,2-trichloro-1-dimethoxyphosphorylethanol', 'O,O-Dimethyl-(1-hydroxy-2,2,2-trichloraethyl)phosphonsaeure ester [German]', 'DSSTox_RID_76131', 'DSSTox_GSID_21389', 'Dimethyl(2,2,2-trichloro-1-hydroxyethyl)phosphonate', 'Q-201859', 'Clorofos  [Russian]', 'C4H8Cl3O4P', 'Ertefon', 'Memobay', 'Zeltivar', 'Onefon', 'ProMem', 'CAS-52-68-6', '(+)-Trichlorfon', '(-)-Trichlorfon', 'Phoschlor R.50', 'Prestwick_599', 'Clorofos [Russian]', 'Metrifonate [INN]', 'Foschlor R 50', 'Trichlorphon solution', 'Trichlorfon (Dylox)', 'Totalene (Salt/Mix)', '(+/-)-Trichlorfon', 'Metrifonate, (+)-', 'Metrifonate, (-)-', 'Opera_ID_345', 'Metrifonate (USP/INN)', 'Prestwick0_000051', 'Prestwick1_000051', 'Prestwick2_000051', 'Prestwick3_000051', 'Metrifonate (Trichlorfon)', '(.+/-.)-Trichlorfon', 'cid_5853', 'Bay-a-9826', 'SCHEMBL15972', 'Trichlorfon (Dylox) (DEP)', 'BSPBio_000201', 'SPBio_002122', 'WLN: GXGGYQPO&amp;O1&amp;O1', 'BPBio1_000223', 'O,2,2-trichlorathyl)-phosphat', 'O,2,2-trichloroethyl)phosphate', 'DTXSID0021389', 'NSC8923', 'HMS1568K03', 'HMS2095K03', 'Pharmakon1600-01505765', 'Trichlorfon = Dipterex;trichlorfon', 'HY-B1220', 'NSC-8923', 'Tox21_110843', 'Tox21_201607', 'Tox21_300860', 'BDBM50286920', 'LS-175', 'MFCD00055272', 'NSC759241', 'O,O-Dimethyl-(1-hydroxy-2,2,2-trichloraethyl)phosphonsaeure ester', 'AKOS001499170', 'Tox21_110843_1', 'CCG-213546', 'CS-4845', 'DB11473', 'MCULE-8125791587', 'NSC-759241', 'O,2,2-trichlorohydroxyethyl)phosphonate', 'NCGC00018237-02', 'NCGC00018237-04', 'NCGC00018237-06', 'NCGC00018237-07', 'NCGC00018237-09', 'NCGC00089822-02', 'NCGC00089822-03', 'NCGC00254763-01', 'NCGC00259156-01', 'O,2,2-trichloraethyl)phosphosaeure ester', 'O,2,2-tricloro-1-idrossi-etil)-fosfonato', 'SBI-0206912.P001', '0,2,2-trichloro-1-hydroxyethyl)phosphonate', 'O,2,2-trichloro-1-hydroxyethyl)phosphonate', 'NS00010188', 'O,2,2-trichloor-1-hydroxy-ethyl)-fosfonaat', 'O,2,2-trichlor-1-hydroxy-aethyl)phosphonat', 'C07971', 'D00805', 'Trichlorfon, PESTANAL(R), analytical standard', '26855-EP2280009A1', '26855-EP2292608A1', '26855-EP2305662A1', '26855-EP2308857A1', '26855-EP2314583A1', '31359-EP2274983A1', '31359-EP2308858A1', '31359-EP2311816A1', '31359-EP2311817A1', '90713-EP2305640A2', 'Q422991', 'SR-01000000181', 'Dimethyl (1-hydroxy-2,2-trichloroethyl)phosphonate', 'Dimethyl (2,2-trichloro-1-hydroxyethyl)phosphonate', 'Dimethyl 1-hydroxy-2,2,2-trichloroethylphosphonate', 'SR-01000000181-2', '(2,2,2-Trichloro-1-hydroxyethyl) dimethylphosphonate', '[(2,2-Trichloro-1-hydroxyethyl) dimethylphosphonate]', 'O,O-Dimethyl (2,2,2-trichlorohydroxyethyl)phosphonate', 'Phosphonic acid,2,2-trichloroethyl)-, dimethyl ester', 'trichloro-alpha-hydroxyethyl phosphonic dimethyl ester', '1-Hydroxy-2,2-trichloro-ethyle phosphonate de dimethyle', 'Dimethoxy-(2,2-trichloro-1-hydroxyethyl)phosphine oxide', 'O,O-Dimethyl (1-hydroxy-2,2,2-trichloroethyl)phosphate', '(2,2-Trichloro-1-hydroxy)phosphonic acid, dimethyl ester', '(2,2-Trichloro-1-hydroxyethyl)phosphonate, dimethyl ester', 'Dimethoxy-(2,2,2-trichloro-1-hydroxyethyl)phosphine oxide', 'Metrifonate, European Pharmacopoeia (EP) Reference Standard', '(1-Hydroxy-2,2-trichloroethyl)phosphonic acid, dimethyl ester', '(2,2,2-Trichloro-1-hydroxyethyl)phosphonate, dimethyl ester', '(2,2-Trichloro-1-hydroxyethyl)phosphonic acid dimethyl ester', '1-Hydroxy-2,2,2-trichloroethylphosphonate-O,O-dimethyl ester', 'O,O-DIMETHYL 2,2,2-TRICHLORO-1-HYDROXYETHYLPHOSPHONATE', 'Phosphonic acid,2,2-trichloro-1-hydroxyethyl)-, dimethyl ester', '(1-Hydroxy-2,2,2-trichloroethyl)phosphonic acid, dimethyl ester', '2,2-TRICHLORO-1-HYDROXYETHYL)PHOSPHONIC ACID, DIMETHYL ESTER', 'Trichlorfon, United States Pharmacopeia (USP) Reference Standard', 'Phosphonic acid, (2,2,2-trichloro-1-hydroxyethyl)-, dimethyl ester, (+)-', 'Phosphonic acid, (2,2,2-trichloro-1-hydroxyethyl)-, dimethyl ester, (-)-', 'Phosphonic acid, P-(2,2,2-trichloro-1-hydroxyethyl)-, dimethyl ester', 'Phosphonic acid, P-(2,2,2-trichloro-1-hydroxyethyl)-, dimethyl ester, (+)-', 'Phosphonic acid, P-(2,2,2-trichloro-1-hydroxyethyl)-, dimethyl ester, (-)-', '26373-97-7', '56042-26-3', '56042-27-4']</t>
  </si>
  <si>
    <t>Compound(5853)</t>
  </si>
  <si>
    <t>C4H8Cl3O4P</t>
  </si>
  <si>
    <t>trichloroisocyanuric acid</t>
  </si>
  <si>
    <t>1,3,5-trichloro-1,3,5-triazinane-2,4,6-trione</t>
  </si>
  <si>
    <t>['TRICHLOROISOCYANURIC ACID', 'Symclosene', '87-90-1', 'Trichlorocyanuric acid', 'Symclosen', '1,3,5-Trichloro-1,3,5-triazinane-2,4,6-trione', 'Isocyanuric chloride', 'Trichloro-s-triazinetrione', 'Fichlor 91', 'Trichloroisocyanic acid', 'Fi Clor 91', 'Chloreal', '1,3,5-Trichloroisocyanuric acid', 'Neochlor 90', 'Trichlorinated isocyanuric acid', 'ACL 85', 'Trichloroiminocyanuric acid', 'Kyselina trichloisokyanurova', 'Trichloroisocyanurate', 'Trichlorisocyanursaeure', 'Caswell No. 876B', 'CBD 90', 'CDB 90', '1,3,5-Triazine-2,4,6(1H,3H,5H)-trione, 1,3,5-trichloro-', 'NSC-405124', 'Symclosene [USAN:INN]', 'Symclosenum [INN-Latin]', '1,3,5-Trichloro-s-triazinetrione', 'Sincloseno [INN-Spanish]', 'UNII-RL3HK1I66B', "N,N',N''-Trichloroisocyanuric acid", 'TCCA', 'Trichloro-s-triazine-2,4,6(1H,3H,5H)-trione', 'CCRIS 2311', 'HSDB 885', 'Kyselina trichloisokyanurova [Czech]', 'EINECS 201-782-8', 'UN2468', 'EPA Pesticide Chemical Code 081405', 'NSC 405124', '1,3,5-Trichloro-2,4,6-trioxohexahydro-s-triazine', 'BRN 0202022', 'RL3HK1I66B', '1,3,5-Trichloro-s-triazine-2,4,6(1H,3H,5H)-trione', 'AI3-17193', 's-Triazine-2,4,6(1H,3H,5H)-trione, 1,3,5-trichloro-', 'CHEBI:33015', 'NSC405124', '1,3,5-Trichloro-2,4,6-triazinetrione', 'NCGC00164344-01', '1,3,5-Trichloro-1,3,5-triazine-2,4,6(1H,3H,5H)-trione', 'trichloro-1,3,5-triazinane-2,4,6-trione', 'DSSTox_CID_6523', 'DSSTox_RID_78135', 'DSSTox_GSID_26523', 'Trichloroisocyanuric acid, 99%', 'Sincloseno', 'Symclosenum', '1,3,5-Triazine, 2,4,6(1H,3H,5H)-trione, 1,3,5-trichloro-', 'Kyselina trichloisokyanurova (CZECH)', 'CAS-87-90-1', 'ACL 90 plus', '1,3,5-trichloro-1,3,5-triazaperhydroine-2,4,6-trione', 'ymclosene', 'Queschlor', 'N,N\',N"-Trichloroisocyanuric acid', 'MFCD00006553', 'TCICA', 'Trichloroisocyanuricacid', 'PubChem10088', 'ACMC-209qqj', 'Trichioroisocyanuric acid', 'Symclosene (USAN/INN)', 'trichloro isocyanuric acid', 'trichloroiso-cyanuric acid', 'Trichloro-isocyanuric acid', 'SCHEMBL21090', '1,3,5-Trichloro-1,3,5-triazine-2,4,6-trione', '4-26-00-00642 (Beilstein Handbook Reference)', '1,5-Trichloroisocyanuric acid', 'Trichloroisocyanuric acid, dry', 'Trichloro-s-triazinetrione, dry', '1,5-Trichloro-s-triazinetrione', 'Trichloroisocyanuric Acid(TCCA)', 'CHEMBL1698868', 'DTXSID2026523', "N,N''-Trichloroisocyanuric acid", 'Trichloro-1,3,5-triazinetrione', 'CTK3E8108', 'WLN: T6NVNVNVJ AG CG EG', 'HMS3264B17', 'Pharmakon1600-01506189', 'Symclosene / Trichlorocyanuric acid', 'KS-00000W0J', 'ZINC3861288', '1,3, 5-Trichloro-s-triazinetrione', 'Tox21_112103', 'Tox21_300858', 'ANW-38921', 'NSC760417', 'SBB057059', 'AKOS015909996', 'Tox21_112103_1', 'CCG-213634', 'MCULE-5014618477', 'NA 2468', 'NSC-760417', 'Trichloro-s-triazinetrione, dry (DOT)', 'UN 2468', 'NCGC00164344-02', 'NCGC00164344-03', 'NCGC00164344-04', 'NCGC00254761-01', 'SC-07126', 'DB-002365', 'LS-155585', '1,3,5-Trichloro-S-triazine-2,4,6-trione', 'FT-0648225', 'NS00004681', 'ST50994553', 'Trichloro-s-triazine-2,6(1H,3H,5H)-trione', 'D05985', 'Y-9120', '1,5-Trichloro-2,4,6-trioxohexahydro-s-triazine', '79581-EP2305695A2', '79581-EP2305696A2', '79581-EP2305697A2', '79581-EP2305698A2', 'AB01563346_01', '102165-EP2270004A1', '102165-EP2281817A1', '102165-EP2298729A1', '102165-EP2301918A1', '102165-EP2301922A1', 'A842398', 'Q419127', 'SR-01000883735', 'J-525060', 'SR-01000883735-1', 'Trichloroisocyanuric acid, technical, &gt;=95% (CHN)', '1,3,5-Trichloro-1,3,5-triazinane-2,4,6-trione #', '1,3,5-Trichloro-2,4, 6-trioxohexahydro-s-triazine', '1,5-Trichloro-s-triazine-2,4,6(1H,3H,5H)-trione', 'Trichloroisocyanuric acid, dry [UN2468]  [Oxidizer]', 'Trichloroisocyanuric acid, dry [UN2468] [Oxidizer]', '1,3,5-tris(chloranyl)-1,3,5-triazinane-2,4,6-trione', 'F0001-2164', 's-Triazine-2,6(1H,3H,5H)-trione, 1,3,5-trichloro-', 'Triazine-2,4,6(1H,3H,5H)-trione, 1,3,5-trichloro-', '1,3, 5-Trichloro-s-triazine-2,4,6(1H,3H,5H)-trione', '1,5-Triazine, 2,4,6(1H,3H,5H)-trione, 1,3,5-trichloro-', '1,5-Triazine-2,4,6(1H,3H,5H)-trione, 1,3,5-trichloro-', '1,3, 5-Triazine, 2,4,6(1H,3H,5H)-trione, 1,3,5-trichloro-', '1,3, 5-Triazine-2,4,6(1H,3H,5H)-trione, 1,3,5-trichloro-', '1,3,5-Triazine-2,4,6(1H,3H,5H)-trione, 1,3,5-trichloro-, mixt. with 1,3-dichloro-1,3,5-triazine-2,4,6(1H,3H,5H)-trione potassium salt;symclosene;Symclosene;1,3,5-Triazine-2,4,6(1H,3H,5H)-trione, 1,3,5-trich']</t>
  </si>
  <si>
    <t>Compound(6909)</t>
  </si>
  <si>
    <t>C3Cl3N3O3</t>
  </si>
  <si>
    <t>trichloronate</t>
  </si>
  <si>
    <t>ethoxy-ethyl-sulfanylidene-(2,4,5-trichlorophenoxy)-lambda5-phosphane</t>
  </si>
  <si>
    <t>['Trichloronat', 'TRICHLORONATE', 'Fenophosphon', 'Richloronate', 'Phytosol', 'Agrisil', 'Agritox', 'Fitosol', '327-98-0', 'Wirkstoff 37289', 'Stauffer N-3049', 'Chemagro 37289', 'Bayer 5081', 'Bayer S 4400', 'Bayer 37289', 'Caswell No. 456A', 'OMS 412', 'OMS 578', 'Trichloronat [BSI:ISO]', 'BAY 37289', 'ENT 25,712', 'Ethyl trichlorophenylethylphosphonothioate', 'HSDB 1719', '5082A', 'EINECS 206-326-1', 'S 4400', 'EPA Pesticide Chemical Code 456200', 'BRN 3373070', 'Phosphonothioic acid, ethyl-, O-ethyl O-(2,4,5-trichlorophenyl) ester', 'O-Ethyl O-2,4,5-trichlorophenyl ethylphosphonothioate', 'AI3-25712', 'CHEBI:82150', 'Phenol, 2,4,5-trichloro-, O-ester with O-ethyl ethylphosphonothioate', 'O-Ethyl O-(2,4,5-trichlorophenyl) ethylthiophosphonate', 'O-Aethyl-O-(2,4,5-trichlorphenyl)-aethylthionophosphonat', 'O-Aethyl-O-(2,4,5-trichlorphenyl)-aethylthionophosphonat [German]', 'ethoxy-ethyl-sulfanylidene-(2,4,5-trichlorophenoxy)-?^{5}-phosphane', 'SCHEMBL117717', 'CHEMBL1875361', 'DTXSID9038420', 'ENT-25712', 's4400', 'NCGC00163747-01', 'Trichloronate 10 microg/mL in Cyclohexane', 'LS-107097', 'Trichloronate 100 microg/mL in Cyclohexane', 'NS00009238', 'C19018', 'J-018883', 'Q7840693', 'O-Ethyl O-(2,4,5-trichlorophenyl) ethylphosphonothioate', 'UNII-55228MJ5QM component ANIAQSUBRGXWLS-MRXNPFEDSA-N']</t>
  </si>
  <si>
    <t>Compound(9477)</t>
  </si>
  <si>
    <t>C10H12Cl3O2PS</t>
  </si>
  <si>
    <t>Wave energy in the spectral domain</t>
  </si>
  <si>
    <t>Swell energy in the spectral domain</t>
  </si>
  <si>
    <t>tetraethylene glycol dimethyl ether</t>
  </si>
  <si>
    <t>1-methoxy-2-[2-[2-(2-methoxyethoxy)ethoxy]ethoxy]ethane</t>
  </si>
  <si>
    <t>['Tetraglyme', 'Tetraethylene glycol dimethyl ether', '143-24-8', '2,5,8,11,14-PENTAOXAPENTADECANE', 'Glyme 5', 'Dimethoxytetraglycol', 'Dimethoxytetraethylene glycol', 'Ansul ether 181AT', 'Bis[2-(2-methoxyethoxy)ethyl] ether', 'Nissan uniox MM 200', 'Glyme-5', 'Methyltetraglyme200', 'NSC 65624', 'E181 (Ether)', 'Bis(2-(2-methoxyethoxy)ethyl) ether', 'UNII-78L136FLZ9', 'CH3O[CH2CH2O]4CH3', 'EINECS 205-594-7', 'Ether, bis(2-(2-methoxyethoxy)ethyl)', 'BRN 1760005', 'AI3-01596', 'DTXSID7044396', 'CHEBI:46785', '78L136FLZ9', 'Ether, bis[2-(2-methoxyethoxy)ethyl]', 'AK162856', '2,5,8,11,14-pentaoxapentadecane;bis(2-(2-methoxyethoxy)ethyl) ether;2,5,8,11,14-pentaoxapentadecane bis(2-(2-methoxyethoxy)ethyl) ether', 'Tetraethylene glycol dimethyl ether, 99%', 'Tetraethylene glycol dimethyl ether, &gt;=99%', '2-(2-methoxyethoxy)-1-[2-(2-methoxyethoxy)ethoxy]ethane', '1-methoxy-2-[2-[2-(2-methoxyethoxy)ethoxy]ethoxy]ethane', 'C10H22O5', 'MFCD00008505', 'E 181 (ether)', 'ACMC-1BS7A', 'EC 205-594-7', 'DSSTox_CID_24396', 'DSSTox_RID_80197', 'DSSTox_GSID_44396', 'SCHEMBL14920', 'KSC176C3D', 'tetraethyleneglycoldimethylether', 'tetraethyleneglycol dimethylether', 'CHEMBL3182543', 'WLN: 1O2O2O2O2O1', 'CTK0H6131', 'tetraethylene glycol dimethylether', 'tetraethyleneglycol dimethyl ether', '2,8,11,14-Pentaoxapentadecane', 'KS-00000WD8', 'NSC65624', 'ZINC1692489', 'Tox21_302147', '5780AF', 'ANW-20760', 'NSC-65624', 'SBB060898', 'STL280528', 'AKOS015950630', 'DB14000', 'MCULE-7044505696', 'NCGC00255794-01', 'AS-60434', 'CAS-143-24-8', 'CC-34864', 'LS-102021', 'B0497', 'FT-0674962', 'NS00010103', 'ST51046994', 'Tetraethylene glycol dimethyl ether (Tetraglyme)', 'C-34605', 'J-007779', 'Q3788669', 'F0001-0510', 'Tetraethylene glycol dimethyl ether, analytical standard']</t>
  </si>
  <si>
    <t>Compound(8925)</t>
  </si>
  <si>
    <t>C10H22O5</t>
  </si>
  <si>
    <t>Odometer reading</t>
  </si>
  <si>
    <t>tetraethyl pyrophosphate</t>
  </si>
  <si>
    <t>diethoxyphosphoryl diethyl phosphate</t>
  </si>
  <si>
    <t>['TETRAETHYL PYROPHOSPHATE', 'TEPP', 'Tetraethyl diphosphate', '107-49-3', 'Ethyl pyrophosphate', 'Hepthexamite', 'Tetrastigmine', 'Lirohex', 'Mortopal', 'Vapotone', 'Fosvex', 'Grisol', 'Killax', 'Nifos', 'Nifost', 'Tetron', 'Lethalaire G-52', 'Hexamite', 'Kilmite 40', 'Killex', 'Diphosphoric acid, tetraethyl ester', 'Tetron-100', 'Ethyl pyrophosphate, tetra-', 'Nifos T', 'Ethyl pyrophosphate (Et4P2O7)', 'Rcra waste number P111', 'Bladan (VAN)', 'Tetraethylpyrophosphate', 'Caswell No. 838', 'ENT 18,771', 'Diphosphoric acid tetraethyl ester', 'TEPP [BSI:ISO]', 'diethoxyphosphoryl diethyl phosphate', 'Tetraethyldifosfat [Czech]', 'Bis-O,O-diethylphosphoric anhydride', 'Pyrophosphate de tetraethyle', 'Pyrophosphoric acid, tetraethyl ester', 'Tetraethylpyrofosfat [Czech]', 'UNII-28QKT80KX2', 'NSC 14707', 'EA 1285', 'Tetraethyl pyrofosfaat [Dutch]', 'HSDB 842', 'Tetraethyl pyrofosfaat [Belgian]', 'EINECS 203-495-3', 'Pyrophosphate de tetraethyle [French]', 'RCRA waste no. P111', 'EPA Pesticide Chemical Code 079601', 'O,O,O,O-Tetraethyl-difosfaat [Dutch]', 'BRN 1714017', 'Tetraethylpyrophosphorsaeureester [German]', 'O,O,O,O-Tetraetil-pirofosfato [Italian]', 'Tetraaethylpyrophosphorsaeureester [German]', 'AI3-10622', '28QKT80KX2', 'Tetraethyl pyrophosphate, liquid', 'CHEBI:82149', 'NSC646213', 'O,O-TEPP', 'O,O,O,O-Tetraaethyl-diphosphat, bis(O,O-diaethylphosphorsaeure-anhydrid) [German]', 'Tetraethyldifosfat', 'Tetraethylpyrofosfat', 'Tetraethyl pyrofosfaat', 'O,O,O,O-Tetraethyl-difosfaat', 'O,O,O,O-Tetraetil-pirofosfato', 'Tetraethylpyrophosphorsaeureester', 'Tetraaethylpyrophosphorsaeureester', 'Ethyl pyrophosphate [INN]', 'NA 2783 (Related)', 'UN 2783 (Related)', 'O,O,O-Tetraethyl-difosfaat', 'DSSTox_CID_14957', 'DSSTox_RID_79227', 'DSSTox_GSID_34957', 'O,O,O-Tetraetil-pirofosfato', 'Pyrophosphoric acid tetraethyl', '4-01-00-01342 (Beilstein Handbook Reference)', 'SCHEMBL150611', 'TEPP / Tetraethyl diphosphate', 'Tetraethyl pyrofosfaat(belgian)', 'Tetraethyl pyrophosphate, solid', 'CHEMBL293787', 'DTXSID3034957', 'Tetraethyl pyrophosphate (TEPP)', 'NSC14707', 'ZINC1653182', 'Tox21_301172', '8024AF', 'Bis[O,O-diethylphosphoric anhydride]', 'NSC-14707', 'TEPP 1000 microg/mL in n-Hexane', 'Tetraethyl pyrophosphate mixture, dry', 'O,O,O,O-Tetraaethyl-diphosphat, bis(O,O-diaethylphosphorsaeure-anhydrid)', 'NSC-646213', 'Tetraethyl pyrophosphate mixture, liquid', 'NCGC00164278-01', 'NCGC00164278-02', 'NCGC00255070-01', 'CAS-107-49-3', 'TEPP, PESTANAL(R), analytical standard', 'DB-040763', 'LS-136499', 'FT-0603309', 'NS00003458', 'Tetraethyl pyrophosphate, analytical standard', 'WLN: 2OPO&amp;O2&amp;OPO&amp;O2&amp;O2 -DRY MIX', 'C19017', 'phosphoric acid diethoxyphosphoryl diethyl ester', 'WLN: 2OPO&amp;O2&amp;OPO&amp;O2&amp;O2 -LIQUID MIX', 'WLN: 2OPO &amp; O2 &amp; OPO &amp; O2 &amp; O2', 'Q933664', 'Pyrophosphoric acid, tetraethyl ester (dry mixture)', 'Tetraethyl pyrophosphate, solid [NA2783] [Poison]', 'Pyrophosphoric acid, tetraethyl ester (liquid mixture)', 'Tetraethyl pyrophosphate, liquid [NA3018]  [Poison]', 'Tetraethyl pyrophosphate, liquid [NA3018] [Poison]', 'Tetraethyl pyrophosphate, solid [NA2783]  [Poison]', 'O,O,O-Tetraaethyl-diphosphat, bis(O,O-diaethylphosphorsaeure-anhydrid']</t>
  </si>
  <si>
    <t>Compound(7873)</t>
  </si>
  <si>
    <t>C8H20O7P2</t>
  </si>
  <si>
    <t>trifluoroacetic acid</t>
  </si>
  <si>
    <t>2,2,2-trifluoroacetic acid</t>
  </si>
  <si>
    <t>['Trifluoroacetic acid', '76-05-1', 'Perfluoroacetic acid', 'Trifluoracetic acid', 'Trifluoroethanoic acid', '2,2,2-trifluoroacetic acid', 'Acetic acid, trifluoro-', 'trifluoroaceticacid', 'trifluoro acetic acid', 'trifluoro-acetic acid', 'Kyselina trifluoroctova', 'TFA', 'CF3COOH', 'trifluroacetic acid', 'MFCD00004169', 'NSC 77366', 'triflouroacetic acid', 'UNII-E5R8Z4G708', 'triflouro acetic acid', 'Kyselina trifluoroctova [Czech]', 'Acetic acid, 2,2,2-trifluoro-', 'water-trifluoroacetic acid', 'EINECS 200-929-3', 'UN2699', 'IPC-PFFA-2', 'peptide trifluoroacetic acid', 'BRN 0742035', 'Trifluoroacetic [2H]acid', 'Acetic acid-d, trifluoro-', 'wash buffer', '2,2,2-trifluoro-acetic acid', 'AI3-28549', 'Aceticacid, 2,2,2-trifluoro-', 'C2HF3O2', 'CHEBI:45892', 'E5R8Z4G708', 'trifluoracetate', 'Trifluoroacetic acid, biochemical grade', 'Acetic acid-d, 2,2,2-trifluoro-', 'r3, trifluoroacetic acid', '0.1% TFA in Water', 'r4a, trifluoroacetic acid', '0.1% TFA in ACN', '0.1% TFA in ACN,', 'Trifluoroacetic acid, 99%, extra pure', 'Trifluoroacetic acid, 99+%, for HPLC', '1,1,1-Trifluoroacetic acid', '0.1% Trifluoroacetic Acid in Water (v/v)', 'Trifluoroacetic acid, ReagentPlus(R), 99%', 'Trifluoroacetic acid, 99.5%, for biochemistry', '0.1% Trifluoroacetic Acid in Acetonitrile (v/v)', 'trifluoraceticacid', 'trifluroaceticacid', 'Trifluoressigsaure', 'HSDB 7508', 'Trifluoressigsaeure', 'trifloroacetic acid', 'trifluoroactic acid', 'trifiuoroacetic acid', 'trifluoro aceticacid', 'trifluoroacetic aicd', 'trifluoroacetic-acid', 'trifluoroacteic acid', 'tri-fluoroacetic acid', 'acide trifluoroacetique', 'tri-fluoro acetic acid', 'trifluoro- acetic acid', 'BUFFER A', 'F3CCOOH', 'PubChem12671', 'WLN: QVXFFF', 'CF3CO2H', 'F3CCO2H', 'Perfluoroalkyl carboxylates', 'SCHEMBL474', '0.1% TFA in water,', '0.1% TFA in water;', 'CF3C(O)OH', 'EC 200-929-3', '2,2,2-trifluoracetic acid', 'NCIOpen2_000728', '1,1,1 trifluoroacetic acid', '2,2,2-triflouroacetic acid', 'Trifluoroacetic acid 99%Min', '4-02-00-00458 (Beilstein Handbook Reference)', 'KSC235M3P', '0.05% TFA in ACN', '2,2,2,-trifluoroacetic acid', 'CHEMBL506259', 'DTXSID9041578', 'CTK1D5637', 'KS-00000WFE', 'DTXSID00893893', 'DTXSID80892980', 'Trifluoroacetic acid, HPLC Grade', '1w70', 's836', 'ACMC-209770', 'ACT08924', 'CS-B0890', 'NSC77366', 'ZINC3860798', 'ANW-13594', 'NSC-77366', 'RW2129', 'STL264183', '2,2,2-TRIFLUOROETHANOIC ACID', 'AKOS000118999', 'Trifluoroacetic acid (ACD/Name 4.0)', 'Trifluoroacetic acid, p.a., 99.8%', 'MCULE-9976402631', 'SB13471', 'UN 2699', 'VZ36984', 'ZH10003', 'Perfluoroalkyl (linear) carboxylic acids', 'Trifluoroacetic acid, analytical standard', 'BP-20560', 'LS-12970', 'SC-18253', 'DS-003453', 'FT-0645072', 'NS00008877', 'Q0053', 'Trifluoroacetic acid [UN2699] [Corrosive]', 'Trifluoroacetic acid, for HPLC, &gt;=99.0%', 'Trifluoroacetic acid, peptide synthesis grade', 'Trifluoroacetic acid, Ultrapure for synthesis', 'Trifluoroacetic acid [UN2699]  [Corrosive]', 'Trifluoroacetic acid, 99+%, for spectroscopy', '2561-EP1441224A2', '2561-EP2269610A2', '2561-EP2269977A2', '2561-EP2269978A2', '2561-EP2269985A2', '2561-EP2269988A2', '2561-EP2269989A1', '2561-EP2269990A1', '2561-EP2269991A2', '2561-EP2269992A1', '2561-EP2270001A1', '2561-EP2270003A1', '2561-EP2270004A1', '2561-EP2270006A1', '2561-EP2270007A1', '2561-EP2270011A1', '2561-EP2270012A1', '2561-EP2270013A1', '2561-EP2270014A1', '2561-EP2270505A1', '2561-EP2272509A1', '2561-EP2272516A2', '2561-EP2272517A1', '2561-EP2272537A2', '2561-EP2272817A1', '2561-EP2272822A1', '2561-EP2272825A2', '2561-EP2272827A1', '2561-EP2272832A1', '2561-EP2272834A1', '2561-EP2272835A1', '2561-EP2272844A1', '2561-EP2272848A1', '2561-EP2275102A1', '2561-EP2275105A1', '2561-EP2275401A1', '2561-EP2275404A1', '2561-EP2275407A1', '2561-EP2275411A2', '2561-EP2275412A1', '2561-EP2275414A1', '2561-EP2275421A1', '2561-EP2277848A1', '2561-EP2277861A1', '2561-EP2277866A1', '2561-EP2277867A2', '2561-EP2277875A2', '2561-EP2277877A1', '2561-EP2277878A1', '2561-EP2277880A1', '2561-EP2277898A2', '2561-EP2280001A1', '2561-EP2280003A2', '2561-EP2280006A1', '2561-EP2280010A2', '2561-EP2280012A2', '2561-EP2281563A1', '2561-EP2281813A1', '2561-EP2281815A1', '2561-EP2281817A1', '2561-EP2281818A1', '2561-EP2281819A1', '2561-EP2281823A2', '2561-EP2284150A2', '2561-EP2284151A2', '2561-EP2284152A2', '2561-EP2284153A2', '2561-EP2284155A2', '2561-EP2284156A2', '2561-EP2284159A1', '2561-EP2284160A1', '2561-EP2284164A2', '2561-EP2284169A1', '2561-EP2284170A1', '2561-EP2284171A1', '2561-EP2284174A1', '2561-EP2284178A2', '2561-EP2284179A2', '2561-EP2284920A1', '2561-EP2286811A1', '2561-EP2287140A2', '2561-EP2287147A2', '2561-EP2287148A2', '2561-EP2287150A2', '2561-EP2287152A2', '2561-EP2287155A1', '2561-EP2287157A1', '2561-EP2287160A1', '2561-EP2287161A1', '2561-EP2287162A1', '2561-EP2287167A1', '2561-EP2289509A2', '2561-EP2289510A1', '2561-EP2289868A1', '2561-EP2289871A1', '2561-EP2289887A2', '2561-EP2289888A2', '2561-EP2289890A1', '2561-EP2289893A1', '2561-EP2289894A2', '2561-EP2289897A1', '2561-EP2289965A1', '2561-EP2292088A1', '2561-EP2292228A1', '2561-EP2292589A1', '2561-EP2292590A2', '2561-EP2292592A1', '2561-EP2292593A2', '2561-EP2292595A1', '2561-EP2292597A1', '2561-EP2292609A1', '2561-EP2292610A1', '2561-EP2292612A2', '2561-EP2292615A1', '2561-EP2292617A1', '2561-EP2292619A1', '2561-EP2292621A1', '2561-EP2292622A1', '2561-EP2292628A2', '2561-EP2295401A2', '2561-EP2295402A2', '2561-EP2295406A1', '2561-EP2295407A1', '2561-EP2295408A1', '2561-EP2295410A1', '2561-EP2295411A1', '2561-EP2295412A1', '2561-EP2295413A1', '2561-EP2295414A1', '2561-EP2295415A1', '2561-EP2295416A2', '2561-EP2295417A1', '2561-EP2295418A1', '2561-EP2295419A2', '2561-EP2295426A1', '2561-EP2295427A1', '2561-EP2295429A1', '2561-EP2295433A2', '2561-EP2295437A1', '2561-EP2295441A2', '2561-EP2298312A1', '2561-EP2298729A1', '2561-EP2298731A1', '2561-EP2298732A1', '2561-EP2298734A2', '2561-EP2298735A1', '2561-EP2298736A1', '2561-EP2298743A1', '2561-EP2298744A2', '2561-EP2298746A1', '2561-EP2298747A1', '2561-EP2298748A2', '2561-EP2298757A2', '2561-EP2298758A1', '2561-EP2298759A1', '2561-EP2298760A1', '2561-EP2298763A1', '2561-EP2298766A1', '2561-EP2298767A1', '2561-EP2298768A1', '2561-EP2298772A1', '2561-EP2298775A1', '2561-EP2298776A1', '2561-EP2298778A1', '2561-EP2298779A1', '2561-EP2299785A1', '2561-EP2301534A1', '2561-EP2301536A1', '2561-EP2301538A1', '2561-EP2301911A1', '2561-EP2301913A1', '2561-EP2301914A1', '2561-EP2301918A1', '2561-EP2301922A1', '2561-EP2301923A1', '2561-EP2301928A1', '2561-EP2301929A1', '2561-EP2301931A1', '2561-EP2301933A1', '2561-EP2301934A1', '2561-EP2301935A1', '2561-EP2301936A1', '2561-EP2301937A1', '2561-EP2301939A1', '2561-EP2301940A1', '2561-EP2305219A1', '2561-EP2305250A1', '2561-EP2305633A1', '2561-EP2305637A2', '2561-EP2305640A2', '2561-EP2305643A1', '2561-EP2305644A1', '2561-EP2305646A1', '2561-EP2305648A1', '2561-EP2305649A1', '2561-EP2305650A1', '2561-EP2305651A1', '2561-EP2305652A2', '2561-EP2305657A2', '2561-EP2305659A1', '2561-EP2305660A1', '2561-EP2305664A1', '2561-EP2305666A1', '2561-EP2305668A1', '2561-EP2305671A1', '2561-EP2305672A1', '2561-EP2305674A1', '2561-EP2305677A1', '2561-EP2305681A1', '2561-EP2305685A1', '2561-EP2305686A1', '2561-EP2305687A1', '2561-EP2306788A1', '2561-EP2306789A1', '2561-EP2308479A2', '2561-EP2308510A1', '2561-EP2308562A2', '2561-EP2308812A2', '2561-EP2308831A1', '2561-EP2308832A1', '2561-EP2308833A2', '2561-EP2308838A1', '2561-EP2308839A1', '2561-EP2308840A1', '2561-EP2308844A2', '2561-EP2308845A2', '2561-EP2308846A2', '2561-EP2308848A1', '2561-EP2308851A1', '2561-EP2308854A1', '2561-EP2308855A1', '2561-EP2308857A1', '2561-EP2308858A1', '2561-EP2308861A1', '2561-EP2308863A1', '2561-EP2308867A2', '2561-EP2308869A1', '2561-EP2308870A2', '2561-EP2308872A1', '2561-EP2308873A1', '2561-EP2308874A1', '2561-EP2308875A1', '2561-EP2308877A1', '2561-EP2308880A1', '2561-EP2308926A1', '2561-EP2311451A1', '2561-EP2311455A1', '2561-EP2311464A1', '2561-EP2311796A1', '2561-EP2311797A1', '2561-EP2311798A1', '2561-EP2311799A1', '2561-EP2311801A1', '2561-EP2311802A1', '2561-EP2311803A1', '2561-EP2311808A1', '2561-EP2311810A1', '2561-EP2311811A1', '2561-EP2311814A1', '2561-EP2311816A1', '2561-EP2311817A1', '2561-EP2311818A1', '2561-EP2311822A1', '2561-EP2311824A1', '2561-EP2311825A1', '2561-EP2311827A1', '2561-EP2311829A1', '2561-EP2311830A1', '2561-EP2311831A1', '2561-EP2311837A1', '2561-EP2311838A1', '2561-EP2311840A1', '2561-EP2311850A1', '2561-EP2314295A1', '2561-EP2314576A1', '2561-EP2314583A1', '2561-EP2314584A1', '2561-EP2314585A1', '2561-EP2314586A1', '2561-EP2314587A1', '2561-EP2314588A1', '2561-EP2314590A1', '2561-EP2316450A1', '2561-EP2316457A1', '2561-EP2316458A1', '2561-EP2316459A1', '2561-EP2316824A1', '2561-EP2316825A1', '2561-EP2316826A1', '2561-EP2316827A1', '2561-EP2316828A1', '2561-EP2316829A1', '2561-EP2316831A1', '2561-EP2316836A1', '2561-EP2371802A1', '2561-EP2371811A2', '2561-EP2371813A1', '2561-EP2374454A1', '2561-EP2374790A1', '2561-EP2380874A2', '6634-EP2269977A2', '6634-EP2270006A1', '6634-EP2284158A1', '6634-EP2305808A1', '36779-EP2277866A1', '36779-EP2292589A1', '36779-EP2292628A2', '36779-EP2295424A1', '36779-EP2295437A1', '36779-EP2298775A1', '36779-EP2311801A1', '36779-EP2311802A1', '36779-EP2311803A1', '107690-EP2270003A1', '107690-EP2298746A1', 'Q412033', 'Acetonitrile with 0.1% Trifluoroacetic Acid (v/v)', 'Q-201877', 'Trifluoroacetic acid, SAJ special grade, &gt;=99.0%', 'Trifluoroacetic acid, Vetec(TM) reagent grade, 99%', 'Acetonitrile with 0.05% Trifluoroacetic Acid (v/v)', 'Trifluoroacetic acid, &gt;=99.995% Trace metals grade', 'Trifluoroacetic acid, UV HPLC spectroscopic, 99.8%', 'F2190-0649', 'Trifluoroacetic acid, anhydrous, ZerO2(TM), &gt;=99.0%', 'Z1258948176', 'Trifluoroacetic acid, puriss. p.a., for HPLC, &gt;=99.0% (GC)', 'UNII-D8690V3244 component DTQVDTLACAAQTR-UHFFFAOYSA-N', 'Trifluoroacetic acid, for protein sequence analysis, &gt;=99.5% (T)', 'Bruker standard solvent, for MALDI MS, 50% ACN + 47.5% H2O + 2.5% TFA', 'Trifluoroacetic acid solution, BioReagent, suitable for protein sequencing, ~25% in H2O', 'Trifluoroacetic acid, &gt;=99%, purified by redistillation, for protein sequencing']</t>
  </si>
  <si>
    <t>Compound(6422)</t>
  </si>
  <si>
    <t>C2HF3O2</t>
  </si>
  <si>
    <t>trifluoroiodomethane</t>
  </si>
  <si>
    <t>trifluoro(iodo)methane</t>
  </si>
  <si>
    <t>['TRIFLUOROIODOMETHANE', 'Trifluoromethyl iodide', '2314-97-8', 'Iodotrifluoromethane', 'Methane, trifluoroiodo-', 'Perfluoromethyl iodide', 'trifluoro(iodo)methane', 'trifluoromethyliodide', 'Monoiodotrifluoromethane', 'Freon 13T1', 'CF3I', 'UNII-42A379KB0U', 'CCRIS 7782', 'EINECS 219-014-5', '42A379KB0U', 'MFCD00001060', 'iodotrifluoromethan', '6-Trifluoromethyl', 'Trifluoriodomethane', 'trifluoro-iodo-methane', 'trifluoro-methyl iodide', 'CIF3', 'Trifluoroiodomethane, 99%', 'ACMC-1CK76', 'tris(fluoranyl)-iodanyl-methane', 'DTXSID2062325', 'CTK1A4467', 'KS-00000ZTI', 'SBB091937', 'ZINC95682060', 'AKOS005063459', 'FS-3814', 'LS-90435', 'SC-47630', 'FT-0627274', 'NS00049363', 'A23984', 'Y-9116', 'A816593', 'Q7841502']</t>
  </si>
  <si>
    <t>Compound(16843)</t>
  </si>
  <si>
    <t>CF3I</t>
  </si>
  <si>
    <t>triphenyl phosphate</t>
  </si>
  <si>
    <t>['TRIPHENYL PHOSPHATE', '115-86-6', 'Triphenylphosphate', 'Phosphoric acid, triphenyl ester', 'Disflamoll TP', 'Triphenoxyphosphine oxide', 'Celluflex TPP', 'Phosflex TPP', 'Phosphoric Acid Triphenyl Ester', 'Trifenylfosfat', 'Phenyl phosphate ((PhO)3PO)', 'NSC 57868', 'Trifenylfosfat [Czech]', 'UNII-YZE19Z66EA', 'CCRIS 4888', 'HSDB 2536', 'EINECS 204-112-2', 'Triphenyl Phosphate (TPP)', 'BRN 1888236', 'YZE19Z66EA', 'AI3-04491', 'CHEBI:35033', 'DSSTox_CID_1952', 'DSSTox_RID_76423', 'Triphenyl phosphate, 99+%', 'DSSTox_GSID_21952', 'Triphenyl Phosphate TPP', 'CAS-115-86-6', 'TPPA', 'Altal', 'C18H15O4P', 'Kronitex TPP', 'Phosphate-Triphenyl', 'Phosphoric acid triphenyl', 'ACMC-1CUW3', 'Triphenyl phosphate - TPP', 'EC 204-112-2', 'TPPA / Triphenyl phosphate', 'Triphenyl phosphate (TPHP)', 'NCIOpen2_007435', 'SCHEMBL18116', '4-06-00-00720 (Beilstein Handbook Reference)', 'KSC177M9D', 'Phenyl phosphate, (PhO)3PO', 'BIDD:ER0309', 'Triphenyl phosphate, &gt;=99%', 'Triphenyl phosphoric acid ester', 'CHEMBL454511', 'DTXSID1021952', 'CTK0H7691', 'WLN: ROPO &amp; OR &amp; OR', 'KS-00000V3J', 'NSC57868', 'ZINC1688738', 'Tox21_201511', 'Tox21_300504', 'ANW-16910', 'LS-576', 'MFCD00003031', 'NSC-57868', 'SBB060443', 'STL280499', 'AKOS015888630', 'MCULE-9737362370', 'Triphenyl phosphate, analytical standard', 'NCGC00164033-01', 'NCGC00164033-02', 'NCGC00164033-03', 'NCGC00254408-01', 'NCGC00260671-01', 'AC-19461', 'H474', 'FT-0657194', 'NS00010271', 'P0272', 'ST51046617', 'C14235', 'Triphenyl Phosphate 1000 microg/mL in Acetone', 'A803498', 'Q418573', 'Triphenyl phosphate 10 microg/mL in Ethyl acetate', 'J-003328', 'Triphenyl phosphate, TraceCERT(R), 31P-qNMR Standard', 'Triphenyl phosphate 500 microg/ml in Methyl-tert-butyl ether', 'Triphenyl phosphate (TPP) 500 microg/mL in Methyl tert-butyl ether', 'Triphenyl phosphate solution, certified reference material, 500 mug/mL in methyl tert-butyl ether', 'Triphenyl phosphate solution, NMR reference standard, 0.03357 M in chloroform-d (99.8 atom % D), NMR tube size 5 mm x 8 in.', 'Triphenyl phosphate solution, NMR reference standard, 0.0485 M in acetone-d6 (99.9 atom % D)', 'Triphenyl phosphate solution, NMR reference standard, 0.0485 M in acetone-d6 (99.9 atom % D), NMR tube size 10 mm x 8 in.', 'Triphenyl phosphate solution, NMR reference standard, 0.0485 M in acetone-d6 (99.9 atom % D), NMR tube size 3 mm x 8 in.', 'Triphenyl phosphate solution, NMR reference standard, 0.0485 M in acetone-d6 (99.9 atom % D), NMR tube size 5 mm x 8 in.', 'Triphenyl phosphate solution, NMR reference standard, 0.0485 M in chloroform-d (99.8 atom % D), NMR tube size 10 mm x 8 in.', 'Triphenyl phosphate solution, NMR reference standard, 0.0485 M in chloroform-d (99.8 atom % D), NMR tube size 5 mm x 8 in.', 'Triphenyl phosphate solution, NMR reference standard, 0.0485 M in chloroform-d (99.8 atom % D), NMR tube size 8 mm x 8 in.', 'Triphenyl phosphate solution, NMR reference standard, 0.485 M in chloroform-d (99.8 atom % D), NMR tube size 3 mm x 8 in.', 'Triphenyl phosphate solution, NMR reference standard, 3 mM in chloroform-d (99.8 atom % D), NMR tube size 5 mm x 8 in.']</t>
  </si>
  <si>
    <t>Compound(8289)</t>
  </si>
  <si>
    <t>C18H15O4P</t>
  </si>
  <si>
    <t>triphenyltin (cation)</t>
  </si>
  <si>
    <t>triphenylstannanylium</t>
  </si>
  <si>
    <t>['Triphenylstannylium', '668-34-8', 'UNII-4QZ570621E', '4QZ570621E', 'triphenylstannanylium', 'Stannylium, triphenyl-', 'Triphenyltin cation', 'SnPh3(+)', '[SnPh3](+)', 'DTXSID9058153', 'CHEBI:27139', 'CTK8D8396', 'Fentin (triphenylstannylium) (1+)', 'Q27109938']</t>
  </si>
  <si>
    <t>Compound(91481)</t>
  </si>
  <si>
    <t>C18H15Sn+</t>
  </si>
  <si>
    <t>triphenylphosphine sulfide</t>
  </si>
  <si>
    <t>triphenyl(sulfanylidene)-lambda5-phosphane</t>
  </si>
  <si>
    <t>['Triphenylphosphine sulfide', '3878-45-3', 'PHOSPHINE SULFIDE, TRIPHENYL-', 'Triphenylphosphine sulphide', 'Triphenylphosphine monosulfide', 'triphenylphosphane sulfide', 'EINECS 223-407-7', 'NSC 62216', 'BRN 0645872', 'TRIPHENYLPHOSPINE SULFIDE', 'triphenylphosphino-1-thione', 'C18H15PS', 'MFCD00004917', 'Triphenylphosphin-sulfid', 'Triphenylphosphorus sulfide', 'WLN: SPR&amp;R&amp;R', 'NCIOpen2_002732', 'SCHEMBL517954', 'ACMC-209j21', 'triphenyl-sulfanylidenephosphorane', '(C6H5)3PS', 'Triphenylphosphine sulfide, 98%', 'triphenylphosphine sulfite (tpps)', 'VYNGFCUGSYEOOZ-UHFFFAOYSA-', 'DTXSID10192046', 'Triphenylphosphine sulfide, 99+%', '(C6H5)3P=S', 'NSC62216', 'tri(phenyl)-sulfanylidenephosphorane', 'ZX-AT026064', '6442AF', 'ANW-28967', 'BBL007251', 'NSC-62216', 'SBB060440', 'STK902099', 'AKOS005068069', 'ACM3878453', 'MCULE-5728185978', 'VZ34037', 'CC-35470', 'DB-009891', 'LS-106073', 'FT-0635044', 'H2679', 'NS00014207', 'ST50406594', 'Triphenyl(sulfanylidene)-lambda~5~-phosphane', 'C-18460', 'Q7843279']</t>
  </si>
  <si>
    <t>Compound(19758)</t>
  </si>
  <si>
    <t>C18H15PS</t>
  </si>
  <si>
    <t>Thermotolerant Colis (incubation at 44 C)</t>
  </si>
  <si>
    <t>Trophy Index</t>
  </si>
  <si>
    <t>tetramethyl-1,4-benzenediamine</t>
  </si>
  <si>
    <t>1-N,1-N,4-N,4-N-tetramethylbenzene-1,4-diamine</t>
  </si>
  <si>
    <t>['100-22-1', "N,N,N',N'-TETRAMETHYL-P-PHENYLENEDIAMINE", "Wurster's Blue", "Wurster's reagent", 'Tetramethyl-p-phenylenediamine', "N,N,N',N'-Tetramethyl-1,4-phenylenediamine", '1,4-Bis(dimethylamino)benzene', 'p-Bis(dimethylamino)benzene', "1,4-Benzenediamine, N,N,N',N'-tetramethyl-", 'TL 85', 'Benzene, 1,4-bis(dimethylamino)-', 'UNII-P4P3AC32ZB', 'CCRIS 4728', 'n,n,n,n-tetramethyl-1,4-phenylenediamine', "p-Phenylenediamine, N,N,N',N'-tetramethyl-", 'EINECS 202-831-6', "N,N,N',N'-Tetramethyl-p-fenylendiamin", 'P4P3AC32ZB', 'N,N,N,N-Tetramethyl-1,4-benzenediamine', 'AI3-51106', "N,N,N',N'-Tetramethyl-p-fenylendiamin [Czech]", '1,4-Benzenediamine, N1,N1,N4,N4-tetramethyl-', "N,N,N',N'-tetramethylbenzene-1,4-diamine", "N,N,N',N'-Tetramethyl-benzene-1,4-diamine", "N,N,N',N'-Tetramethyl-p-phenylenediamine, 98%", 'W-200619', '1-N,1-N,4-N,4-N-tetramethylbenzene-1,4-diamine', 'MFCD00008309', 'ACMC-1BPPV', 'DSSTox_CID_6124', 'N1,N1,N4,N4-tetramethylbenzene-1,4-diamine', 'Tetramethyl-p-phenyldiamine', 'DSSTox_RID_78027', 'DSSTox_GSID_26124', 'SCHEMBL65261', 'CHEMBL1393325', 'DTXSID5026124', 'CTK8C5533', 'ZINC57632', 'ZX-AT029357', 'Tox21_200617', 'LS-298', '(4-dimethylaminophenyl)-dimethyl-amine', '[4-(dimethylamino)phenyl]dimethylamine', 'AKOS015889542', '4-(Dimethylamino)-N,N-dimethylaniline', 'MCULE-4063396854', "Benzenediamine, N,N,N',N'-tetramethyl-", 'NCGC00091150-01', 'NCGC00091150-02', 'NCGC00091150-03', 'NCGC00258171-01', 'CAS-100-22-1', 'CC-31709', 'SC-79655', "N,N,N',N,-Tetramethyl-p-phenylenediamine", 'N,N,N;,N;-Tetramethyl-p-phenylenediamine', "N,N,N',N'-Tetramethyl-1,4-Benzenediamine", 'FT-0629354', 'NS00015347', 'ST50406710', "N,N,N\\',N\\'-Tetramethyl-1,4-phenylenediamine", 'C-04533', 'Q408762', "N,N,N',N'-Tetramethyl-p-phenylenediamine, 99%, powder", "N,N,N',N'-tetramethyl-p-phenylenediamine;N,N,N',N'-tetramethyl-p-phenylenediamine dihydrochloride"]</t>
  </si>
  <si>
    <t>Compound(7490)</t>
  </si>
  <si>
    <t>C10H16N2</t>
  </si>
  <si>
    <t>2,4,6-trinitrotoluene (TNT)</t>
  </si>
  <si>
    <t>2-methyl-1,3,5-trinitrobenzene</t>
  </si>
  <si>
    <t>['2,4,6-TRINITROTOLUENE', 'Trinitrotoluene', 'Trotyl', 's-Trinitrotoluol', '2-Methyl-1,3,5-trinitrobenzene', 's-Trinitrotoluene', 'Tolite', 'Tritol', '118-96-7', 'sym-Trinitrotoluol', 'trinitrotoluol', 'Trojnitrotoluen', 'Gradetol', 'Tolit', 'Tnt-tolite', 'Trotyl oil', 'alpha-TNT', '2,4,6-Trinitrotoluol', 'TNT', 'Tritol (explosive)', 'Benzene, 2-methyl-1,3,5-trinitro-', 'Toluene, 2,4,6-trinitro-', 'sym-Trinitrotoluene', 'NCI-C56155', 'TNT-tolite [French]', 'Trinitrotoluen', '2,4,6-Trinitrotolueen', 'Trojnitrotoluen [Polish]', '1-Methyl-2,4,6-trinitrobenzene', 'UNII-H43RF5TRM5', 'NSC 36949', '.alpha.-TNT', 'CCRIS 1299', 'HSDB 1146', '2,4,6-Trinitrotolueen [Dutch]', '2,4,6-Trinitrotoluol [German]', 'EINECS 204-289-6', '2,4,6-TNT', 'UN0209', 'UN1356', 'H43RF5TRM5', '2,4,6-trinitrotoluene (tnt)', 'trilit', 'DTXSID7024372', 'CHEBI:46053', '2,4,6-trinitritoluene', 'Trinitrotoluene or TNT, dry or wetted with &lt; 30% water, by mass', 'TNL', 'alpha-trinitrotoluol', 'Trinitrotoluene, dry', 'Trinitrotoluene, wet', '2,6-Trinitrotoluol', '2,6-Trinitrotolueen', '2,6-Trinitrotoluene', '2,4,6-trinitro-toluene', 'EC 204-289-6', 'SCHEMBL20676', 'UN 0209 (Salt/Mix)', 'UN 1356 (Salt/Mix)', 'WLN: WNR B1 CNW ENW', '2-Methyl-1,5-trinitrobenzene', 'Toluene,4,6-trinitro- (wet)', 'CHEMBL1236345', 'SCHEMBL12305492', 'CTK8E4069', '1-methyl-2,4,6-trinitrotoluene', 'NSC36949', 'NSC-36949', 'ZINC14880028', 'AKOS001092689', 'DB01676', 'MCULE-8164226079', 'LS-154211', 'NS00009789', 'C16391', 'C-47366', 'Q170167', 'Trinitrotoluene, wetted with not &lt;30% water, by mass', 'Z57056414', '2,4,6-Trinitrotoluene (TNT) 10 microg/mL in Cyclohexane', '2,4,6-Trinitrotoluene (TNT) 100 microg/mL in Cyclohexane', 'Trinitrotoluene or TNT, dry or wetted with &lt;30% water, by mass', 'Trinitrotoluene or TNT, dry or wetted with &lt;30% water, by mass [UN0209] [Explosive 1.1D]', 'Trinitrotoluene, wetted with not &lt;30% water, by mass [UN1356]  [Flammable solid]', 'Trinitrotoluene, wetted with not &lt;30% water, by mass [UN1356] [Flammable solid]', '2,4,6-Trinitrotoluene solution, 10 mg/mL in acetonitrile, ampule of 5 mL, certified reference material', '2,4,6-Trinitrotoluene solution, 1000 mug/mL in acetonitrile, ampule of 1.2 mL, certified reference material', 'Benzene, 2-methyl-1,3,5-trinitro-;Trinitrotoluene;trinitrotoluene;2,4,6-trinitrotoluene;Tritonal;Amatol', 'Trinitrotoluene or TNT, dry or wetted with &lt;30% water, by mass [UN0209]  [Explosive 1.1D]']</t>
  </si>
  <si>
    <t>Compound(8376)</t>
  </si>
  <si>
    <t>C7H5N3O6</t>
  </si>
  <si>
    <t>Rpm</t>
  </si>
  <si>
    <t>(16E,24E,26E,28E)-1,18-dihydroxy-12-[1-(4-hydroxy-3-methoxycyclohexyl)propan-2-yl]-19,30-dimethoxy-15,17,21,23,29,35-hexamethyl-11,36-dioxa-4-azatricyclo[30.3.1.04,9]hexatriaconta-16,24,26,28-tetraene-2,3,10,14,20-pentone</t>
  </si>
  <si>
    <t>['Antibiotic AY 22989', 'SR-05000001883', 'SCHEMBL386129', 'SCHEMBL10201334', 'HMS2093O09', '(3S,6R,7E,9R,10R,12R,14S,15E,17E,19E,21S,23S,26R,27R,34aS)-9,10,12,13,14,21,22,23,24,25,26,27,32,33,34,34a-Hexadecahydro-9,27-dihydroxy-3-((1R)-2-((1S,3R,4R)-4-hydroxy-3-methoxycyclohexyl)-1-methylethyl)-10,21-dimethoxy-6,8,12,14,20,26-hexamethyl-23,27-epoxy-3H-pyrido(2,1-c)(1,4)oxaazacyclohentriacontine-1,5,11,28,29(4H,6H,31H)-pentone', 'RPM', 'AKOS030213144', 'CCG-213256', 'SBI-0051883.P002', 'AB00052402_02', 'SR-05000001883-1', 'SR-05000001883-2', 'SR-05000001883-4', 'BRD-A79768653-001-01-3', 'BRD-A79768653-001-02-1', 'Stereoisomer of 9,10,12,13,14,21,22,23,24,25,26,27,32,33,34,34a-hexadecahydro-9,27-dihydroxy-3-(2-(4-hydroxy-3-methoxycyclohexyl)-1-methylethyl)-10,21-dimethoxy-6,8,12,14,20,26-hexamethyl-23,27-epoxy-3H-pyrido(2,1-c)(1,4)oxaazacyclohentricontine-1,5,11,28,29(4H,6H,31H)-pentone']</t>
  </si>
  <si>
    <t>Compound(5374464)</t>
  </si>
  <si>
    <t>C51H79NO13</t>
  </si>
  <si>
    <t>Total Alpha</t>
  </si>
  <si>
    <t>Total Beta</t>
  </si>
  <si>
    <t>Toxicity</t>
  </si>
  <si>
    <t>trioxymethylene</t>
  </si>
  <si>
    <t>1,3,5-trioxane</t>
  </si>
  <si>
    <t>['1,3,5-TRIOXANE', 's-Trioxane', '110-88-3', 'Trioxane', 'Trioxymethylene', 'Metaformaldehyde', 'Aldeform', 'Triformol', 'Formaldehyde, trimer', '1,3,5-Trioxacyclohexane', 'Formagene', 'Marvosan', 'Trioxan', 'sym-Trioxane', 's-Trixane', '1,3,5-Trioxan', 'Triossimetilene', 'Trioxymethyleen', 'Trioxymethylen', 'Trioxin', 'Polymerized formaldehyde', 'Trioxymethyleen [Dutch]', 'Trioxymethylen [German]', 'Triossimetilene [Italian]', 'UNII-46BNU65YNY', 'NSC 26347', 'CCRIS 4732', 'HSDB 3416', 'EINECS 203-812-5', '46BNU65YNY', 'AI3-01363', 'DTXSID4021925', 'CHEBI:38043', 's-Trioxane, 99+%', 'Paraformal', 's-Trioxan', 'Formaldehyde trimer', '1,5-Trioxane', '1,5-Trioxan', '1.3,5-trioxane', '1,5-Trioxacyclohexane', 'DSSTox_CID_1925', 'EC 203-812-5', 'WLN: T6O CO EOTJ', 'DSSTox_RID_76406', 'DSSTox_GSID_21925', 'ACMC-20997l', 'CHEMBL1495792', 'CTK8A9230', '1,3,5-Trioxane, &gt;=99%', 'BCP23012', 'KS-00000WH8', 'NSC26347', 'ZINC5134811', 'Tox21_200942', 'ANW-16207', 'BBL011407', 'LS-518', 'MFCD00006563', 'NSC-26347', 'SBB060143', 'STL146511', 'AKOS005721175', 'BCP9000037', 'MCULE-9548551067', 'NCGC00091660-02', 'NCGC00258496-01', 'CAS-110-88-3', 'S080', 'SC-78944', 'FT-0606524', 'NS00010139', 'ST51046378', 'Q424104', 'J-503851', 'F0001-0229', '1,3,5-trioxane;POLY(ETHYLENE OXIDE-CO-TRIOXANE);1,3,5-Trioxane, polymer with 1,3-dioxolane;1,3-Dioxepane, polymer with 1,3,5-trioxane']</t>
  </si>
  <si>
    <t>Compound(8081)</t>
  </si>
  <si>
    <t>triphenylphosphine oxide</t>
  </si>
  <si>
    <t>diphenylphosphorylbenzene</t>
  </si>
  <si>
    <t>['TRIPHENYLPHOSPHINE OXIDE', '791-28-6', 'Phosphine oxide, triphenyl-', 'diphenylphosphorylbenzene', 'Triphenyl phosphine oxide', 'Triphenyl phosphorus oxide', 'triphenylphosphane oxide', 'Triphenylphosphineoxide', 'NSC 398', '(diphenylphosphoroso)benzene', 'Triphenylphosphanoxid', 'UNII-Z69161FKI3', 'Triphenylphosphanoxide', 'TPPO', 'PH3PO', 'EINECS 212-338-8', 'MFCD00002080', 'CHEBI:36601', 'Z69161FKI3', 'Triphenylphosphine oxide, 99%', 'phosphorane, triphenyl-, oxide', 'triphenylphosphinoxide', 'triphenylphospine oxide', 'triphenyphosphine oxide', 'POPh3', 'triphenylphisphine oxide', 'triphenylphosphine-oxide', 'PubChem18691', 'ACMC-209pgd', 'triphenylphosphino-1-one', 'oxo(triphenyl)phosphorane', 'tri-phenylphosphine oxide', 'triphenyl-phosphine oxide', 'diphenyl-phosphoryl-benzene', 'DSSTox_CID_2121', 'EC 212-338-8', 'SCHEMBL3949', 'DSSTox_RID_76495', 'DSSTox_GSID_22121', 'KSC378G0R', 'Triphenylphosphine oxide, 98%', 'ARONIS005287', 'CHEMBL482091', 'NSC398', 'SCHEMBL1835805', 'triphenyl-lambda(5)-phosphanone', 'DTXSID2022121', 'triphenylphosphine oxide (TPPO)', '(C6H5)3PO', 'CTK2H8308', 'KS-00000EPX', 'KS-00003XUX', 'NSC-398', 'TRIPHENYLPHOSPHINE MONOXIDE', '(C6H5)3P=O', 'Oxylatotriphenylphosphoranyl radical', 'ACN-S002165', 'BCP19260', 'CS-Z0018', 'Oxo(triphenyl)-lambda~5~-phosphane', 'Tox21_302054', 'ANW-37259', 'MFCD03458802', 'STK123697', 'ZINC49867716', 'AKOS000494984', 'JC10096', 'MCULE-2459953332', 'MP-2134', 'NCGC00255292-01', 'AC-19038', 'AK112025', 'BP-20684', 'CAS-791-28-6', 'K397', 'SC-15980', 'ST023348', 'DB-009890', 'LS-106044', 'FT-0632960', 'NS00010696', 'T0625', 'Triphenylphosphine oxide, analytical standard', 'A839592', 'Q421154', 'J-525125', 'F3145-4424', 'Orlistat USP Related Compound C (Triphenylphosphine Oxide)', 'Orlistat Related Compound C, United States Pharmacopeia (USP) Reference Standard', 'PH3PO;TPPO;TRIPHENYL PHOSPHORUS OXIDE;TRIPHENYLPHOSPHINE MONOXIDE;TRIPHENYLPHOSPHINE OXIDE', 'Triphenylphosphine oxide, polymer-bound, 200-400 mesh particle size, extent of labeling: 2.5-3.0 mmol/g P loading, 2 % cross-linked with divinylbenzene', 'Triphenylphosphineoxide, polymer supported, 1.2-1.8 mmol/g on polystyrene@CRLFMFCD03458802']</t>
  </si>
  <si>
    <t>Compound(13097)</t>
  </si>
  <si>
    <t>C18H15OP</t>
  </si>
  <si>
    <t>Transmission</t>
  </si>
  <si>
    <t>Turbidity</t>
  </si>
  <si>
    <t>Turbidity characteristic</t>
  </si>
  <si>
    <t>Trophy</t>
  </si>
  <si>
    <t>toluenesulfonamide</t>
  </si>
  <si>
    <t>(2E,4E,6R)-7-[4-(dimethylamino)phenyl]-N-hydroxy-4,6-dimethyl-7-oxohepta-2,4-dienamide</t>
  </si>
  <si>
    <t>['trichostatin A', '58880-19-6', 'Trichostatin A (TSA)', 'TSA', 'Trichostatin', 'Tricostatin A', 'UNII-3X2S926L3Z', 'Antibiotic A-300', '(2E,4E,6R)-7-[4-(Dimethylamino)phenyl]-N-hydroxy-4,6-dimethyl-7-oxohepta-2,4-dienamide', 'CHEBI:46024', 'C17H22N2O3', 'GNF-PF-1011', '3X2S926L3Z', 'A-300-I', '2,4-Heptadienamide, 7-(4-(dimethylamino)phenyl)-N-hydroxy-4,6-dimethyl-7-oxo-', '7-(4-(Dimethylamino)phenyl)-N-hydroxy-4,6-dimethyl-7-oxo-2,4-heptadienamide', '(2E,4E,6R)-7-(4-(dimethylamino)phenyl)-N-hydroxy-4,6-dimethyl-7-oxo-2,4-heptadienamide', '[R-(E,E)]-7-[4-(Dimethylamino)phenyl]-N-hydroxy-4,6-dimethyl-7-oxo-2,4-heptadienamide', 'Q-201864', '2,4-Heptadienamide,7-[4-(dimethylamino)phenyl]-N-hydroxy-4,6-dimethyl-7-oxo-, (2E,4E,6R)-', '7-[4-(DIMETHYLAMINO)PHENYL]-N-HYDROXY-4,6-DIMETHYL-7-OXO-2,4-HEPTADIENAMIDE', '2,4-Heptadienamide, 7-(4-(dimethylamino)phenyl)-N-hydroxy-4,6-dimethyl-7-oxo-, (2E,4E,6R)-', '2,4-Heptadienamide, 7-[4-(dimethylamino)phenyl]-N-hydroxy-4,6-dimethyl-7-oxo-, (2E,4E,6R)-', 'TSN', 'trichostatine a', 'Trichlostatin A', 'Trichostatin(s)', '(2E,4E,6R)-7-(4-dimethylaminophenyl)-4,6-dimethyl-7-oxo-hepta-2,4-dienehydroxamic acid', '(2E,4E,6R)-7-(4-Dimethylaminophenyl)-N-hydroxy-4,6-dimethyl-7-oxo-hepta-2,4-dienamide', 'Trichostatin A,TSA', 'Trichostatin A/TSA', '(R)-Trichostatin A', 'NCGC_TSA', '1c3r', '3f0r', 'Trichostatin-A - TSA', 'A 300', 'SCHEMBL19886', 'cc-238', 'MLS006011095', 'SGCTO-002', 'SCHEMBL675951', 'GTPL7005', 'DTXSID6037063', 'CHEBI:93196', 'ZX-AFC000233', 'BCPP000035', 'HMS1362L09', 'HMS1792L09', 'HMS1990L09', 'HMS3403L09', 'HMS3649O20', 'BCP01776', 'EX-A1665', 'ABP000141', 'BDBM50005711', 'LMPK01000055', 'MFCD03848392', 's1045', 'Trichostatin A from Streptomyces sp.', 'AKOS015899840', 'ZINC100014731', 'CCG-208142', 'CCG-208681', 'CS-0499', 'DB04297', 'SB17023', 'NCGC00162453-01', 'NCGC00162453-02', 'NCGC00162453-03', 'NCGC00162453-04', 'NCGC00162453-05', 'NCGC00162453-15', '3C10', 'AS-74315', 'HY-15144', 'LS-74195', 'M984', 'SC-73346', 'SMR004702883', 'A8183', 'SW219664-1', 'M02571', 'W-5309', '880T196', 'Q425894', 'SR-05000013796', 'SR-05000013796-3', 'BRD-K68202742-001-04-1', 'BRD-K68202742-001-05-8', 'Trichostatin A, &gt;=98% (HPLC), from Streptomyces sp.', 'UNII-30RHG284Z4 component RTKIYFITIVXBLE-QEQCGCAPSA-N', 'Trichostatin A??, Vetec(TM) reagent grade, from Streptomyces sp., &gt;=98%', '(2E,4E,6R)-7-(4-(Dimethylamino)phen yl)-N-hydroxy-4,6-dimethyl-7-oxo-2,4-heptadienamid e', '(6R)-N-Hydroxy-4,6-dimethyl-7-oxo-7-[4-(dimethylamino)phenyl]-2,4-heptadienamide', '7-[4-(Dimethylamino)phenyl]-N-hydroxy-4,6R-dimethyl-7-oxo-2E,4E-heptadienamide', '2,4-Heptadienamide, 7-[4-(dimethylamino)phenyl]-N-hydroxy-4,6-dimethyl-7-oxo-, (2E,4E,6R)- (9CI)', '2,4-Heptadienamide, 7-[4-(dimethylamino)phenyl]-N-hydroxy-4,6-dimethyl-7-oxo-, [R-(E,E)]-']</t>
  </si>
  <si>
    <t>Compound(444732)</t>
  </si>
  <si>
    <t>C17H22N2O3</t>
  </si>
  <si>
    <t>Total oxygen consumption</t>
  </si>
  <si>
    <t>N-benzyl-2-(pyrimidin-4-ylamino)-1,3-thiazole-4-carboxamide</t>
  </si>
  <si>
    <t>['Thiazovivin', '1226056-71-8', 'N-benzyl-2-(pyrimidin-4-ylamino)thiazole-4-carboxamide', 'C15H13N5OS', 'N-Benzyl-2-(pyrimidin-4-ylamino)-thiazole-4-carboxamide', 'N-benzyl-2-(pyrimidin-4-ylamino)-1,3-thiazole-4-carboxamide', 'AK117147', '4-THIAZOLECARBOXAMIDE, N-(PHENYLMETHYL)-2-(4-PYRIMIDINYLAMINO)-', 'SR-01000650935', 'PubChem24336', 'cc-22', 'MLS006011152', 'SCHEMBL669856', 'BIFK0055', 'CHEMBL3184878', 'CTK4B3173', 'KS-00000HNY', 'AOB2613', 'DTXSID00673091', 'HMS3654N10', 'EX-A1693', 'ABP000728', 's1459', 'ZINC41739029', 'AKOS016010502', 'CCG-267592', 'CS-0468', 'QC-4348', 'NCGC00187983-01', 'NCGC00187983-10', 'AC-28391', 'AS-16722', 'HY-13257', 'SC-45007', 'SMR004702926', 'AB0033840', 'AX8159850', 'FT-0675156', 'SW219580-1', 'X7616', 'W-5642', 'J-004834', 'SR-01000650935-1', 'SR-01000650935-2', 'N-Benzyl-[2-(pyrimidin-4-yl)amino]t hiazole-4-carboxamide', 'N-Benzyl-[2-(pyrimidin-4-yl)amino]thiazole-4-carboxamide', 'N-(PHENYLMETHYL)-2-(4-PYRIMIDINYLAMINO)-4-THIAZOLECARBOXAMIDE', 'TZV']</t>
  </si>
  <si>
    <t>Compound(46209426)</t>
  </si>
  <si>
    <t>C15H13N5OS</t>
  </si>
  <si>
    <t>Wave period associated with H1 / 3</t>
  </si>
  <si>
    <t>Wave period associated with Hmax</t>
  </si>
  <si>
    <t>tantalum-182</t>
  </si>
  <si>
    <t>['Tantalum-182', 'Tantalum, isotope of mass 182', '13982-00-8']</t>
  </si>
  <si>
    <t>Compound(161013)</t>
  </si>
  <si>
    <t>triamcinolone hexacetonide</t>
  </si>
  <si>
    <t>[2-[(1S,2S,4R,8S,9S,11S,12R,13S)-12-fluoro-11-hydroxy-6,6,9,13-tetramethyl-16-oxo-5,7-dioxapentacyclo[10.8.0.02,9.04,8.013,18]icosa-14,17-dien-8-yl]-2-oxoethyl] 3,3-dimethylbutanoate</t>
  </si>
  <si>
    <t>['TRIAMCINOLONE HEXACETONIDE', '5611-51-8', 'Aristospan', 'TATBA', 'UNII-I7GT1U99Y9', 'Lederspan', 'Tiamcinoloni hexacetonidum [INN]', 'CHEBI:9670', 'I7GT1U99Y9', 'C30H41FO7', 'Triamcinolone esacetonide [DCIT]', 'EINECS 227-031-4', 'BRN 1413888', 'Triamcinoloni hexacetonidum [INN-Latin]', 'Hexacetonide de triamcinolone [INN-French]', 'Hexacetonido de triancinolona [INN-Spanish]', 'Triamcinolone esacetonide', 'Tiamcinoloni hexacetonidum', 'Triamcinoloni hexacetonidum', 'Hexacetonide de triamcinolone', 'Hexacetonido de triancinolona', 'Aristospan (TN)', 'NCGC00182544-01', '(11?,16?)-21-(3,3-Dimethyl-1-oxobutoxy)-9-fluoro-11-hydroxy-16,17-[(1-methylethylidene)bis(oxy)]pregna-1,4-diene-3,20-dione', '9-Fluoro-11beta,16alpha,17,21-tetrahydroxypregna-1,4-diene-3,20-dione cyclic 16,17-acetal with acetone 21-(3,3-dimethylbutyrate)', 'Pregna-1,4-diene-3,20-dione, 21-(3,3-dimethyl-1-oxobutoxy)-9-fluoro-11-hydroxy-16,17-((1-methylethylidene)bis(oxy))-, (11beta,16alpha)-', 'CL-34433', 'triamcinolone hexace-tonide', 'SCHEMBL7543', 'Triamcinolone hexacetonide [USAN:USP:INN:BAN]', 'DSSTox_CID_28560', 'DSSTox_RID_82832', 'DSSTox_GSID_48634', '5-19-06-00569 (Beilstein Handbook Reference)', 'CHEMBL1200878', 'DTXSID0048634', '(11beta,16alpha)-21-(3,3-Dimethyl-1-oxobutoxy)-9-fluoro-11-hydroxy-16,17-((1-methylethylidene)bis(oxy))pregna-1,4-diene-3,20-dione', 'Pregna-1,4-diene-3,20-dione, 9-fluoro-11-beta,16-alpha,17,21-tetrahydroxy-, cyclic 16,17-acetal with acetone, 21-(3,3-dimethylbutyrate)', 'ZINC4097475', 'Tox21_112979', 'HY-U00103', 'Triamcinolone hexacetonide (USP/INN)', 'CS-7139', 'Q811', 'CAS-5611-51-8', 'C08185', 'D00985', 'Q1593246', "2-[(4aS,4bR,5S,6aS,6bS,9aR,10aS,10bS)-4b-Fluoro-5-hydroxy-4a,6a,8,8-tetramethyl-2-oxo-2,4a,4b,5,6,6a,9a,10,10a,10b,11,12-dodecahydro-6bH,8H-naphtho[2',1':4,5]indeno[1,2-d][1,3]dioxol-6b-yl]-2-oxoethyl 3,3-dimethylbutanoate", "2-[(4aS,4bR,5S,6aS,6bS,9aR,10aS,10bS)-4b-Fluoro-5-hydroxy-4a,6a,8,8-tetramethyl-2-oxo-2,4a,4b,5,6,6a,9a,10,10a,10b,11,12-dodecahydro-6bH-naphtho[2',1':4,5]indeno[1,2-d][1,3]dioxol-6b-yl]-2-oxoethyl 3,", 'Pregna-1,4-diene-3,20-dione,21-(3,3-dimethyl-1-oxobutoxy)-9-fluoro-11-hydroxy-16,17-[(1-methylethylidene)bis(oxy)]-, (11b,16a)-', 'Pregna-1,4-diene-3,20-dione,21-(3,3-dimethyl-1-oxobutoxy)-9-fluoro-11-hydroxy-16,17-[(1-methylethylidene)bis(oxy)]-,(11b,16a)-']</t>
  </si>
  <si>
    <t>Compound(21826)</t>
  </si>
  <si>
    <t>C30H41FO7</t>
  </si>
  <si>
    <t>2,2,6,6-tetramethylpiperidin-4-one</t>
  </si>
  <si>
    <t>['Triacetonamine', '826-36-8', '2,2,6,6-tetramethylpiperidin-4-one', '2,2,6,6-Tetramethyl-4-piperidone', 'Triacetone amine', 'Triacetonamin', 'Vincubina', 'Vincubine', '4-Piperidinone, 2,2,6,6-tetramethyl-', '2,2,6,6-Tetramethyl-4-oxopiperidine', 'Tempidon', '2,2,6,6-Tetramethyl-4-piperidinone', 'Trojacetonoaminy', '2,2,6,6-Tetramethylpiperidone', '4-Oxo-2,2,6,6-tetramethylpiperidine', '2,2,6,6-Tetramethylpiperidinone', 'Triacetoneamine', 'Trojacetonoaminy [Polish]', 'TMPone', 'NSC 16579', 'UNII-2K4430S3XP', '2,2,6,6-Tetramethyl-piperidin-4-one', '4-Oxo-2,2,6,6-tetramethyl-4-piperidone', '4-PIPERIDONE, 2,2,6,6-TETRAMETHYL-', 'EINECS 212-554-2', 'BRN 0112665', '2K4430S3XP', '2,2,6,6-Tetramethyl-4 piperidone', '2,2,6,6-tetramethylpiperidone-4-toluene-p- sulfonate', 'Odoratin?', 'Tetramethylpiperidinone', 'PubChem23872', 'ACMC-209ppm', 'EC 212-554-2', 'Ikh 196', 'DSSTox_CID_21527', 'DSSTox_RID_79766', 'DSSTox_GSID_41527', 'Oprea1_386573', 'SCHEMBL38953', '5-21-06-00538 (Beilstein Handbook Reference)', 'KSC496M2R', 'CHEMBL117614', 'DTXSID4041527', 'CTK3J6628', 'JWUXJYZVKZKLTJ-UHFFFAOYSA-', '2,6,6-Tetramethyl-4-piperidone', '2,6,6-Tetramethyl-4-piperidinone', '2,2,6,6-teramethyl-4-piperidone', 'HY-N1131', 'NSC16579', 'STR06804', 'ZINC1747064', '2,2,6,6-Tetramethyl-g-piperidone', '2,6,6-Tetramethyl-4-oxopiperidine', 'Tox21_300816', 'ANW-37592', 'BBL019120', 'CCG-44306', 'NSC-16579', 'SBB057185', 'STK256617', 'AKOS000120903', 'AC-2702', 'MCULE-8174271955', '2,2,6, 6-Tetramethyl-4-piperidinone', 'NCGC00248182-01', 'NCGC00248182-02', 'NCGC00254720-01', 'AK114147', 'CAS-826-36-8', 'SC-22788', '2,2,6,6-Tetramethyl-4-piperidone, 95%', 'LS-117339', 'CS-0016419', 'FT-0609128', 'NS00008501', 'S4859', 'ST50307638', 'T8206', '26T368', 'AB00375601-03', 'Q6120732', 'SR-01000634150-1', 'W-104169', 'F8889-5387', 'Z1250100692', '4-Piperidinone, 2,2,6,6-tetramethyl-;2,2,6,6-tetramethyl-4-piperidone;2,2,6,6-Tetramethyl-4-piperidone']</t>
  </si>
  <si>
    <t>Compound(13220)</t>
  </si>
  <si>
    <t>C9H17NO</t>
  </si>
  <si>
    <t>1-(4-chlorophenoxy)-3,3-dimethyl-1-(1,2,4-triazol-1-yl)butan-2-one</t>
  </si>
  <si>
    <t>['TRIADIMEFON', '43121-43-3', 'Bayleton', 'Azocene', 'Triadimefone', 'Amiral', 'Fenxiunin', 'Haleton', 'Acizol', 'Adifon', 'Mighty', 'Miltek', 'Strike', 'Typhon', 'Bayleton triple', 'Nurex', 'Reach', 'Rofon', 'Bayleton Total', 'Diametom B', 'Bayleton BM', 'Bayleton CF', 'Bayleton BM gel', 'Otria 25', 'Caswell No. 862AA', 'Tenor', 'Triadimefon [BSI:ISO]', '2-Butanone, 1-(4-chlorophenoxy)-3,3-dimethyl-1-(1H-1,2,4-triazol-1-yl)-', 'MEB 6447', 'Triadimefone [ISO-French]', 'Bay MEB 6447', 'NSC 303303', 'BAY-MEB-6447', 'HSDB 6857', 'BAY 6681 F', '1-(4-chlorophenoxy)-3,3-dimethyl-1-(1H-1,2,4-triazol-1-yl)butan-2-one', 'EINECS 256-103-8', 'EPA Pesticide Chemical Code 109901', 'BRN 0619231', '1-(4-Chlorophenoxy)-3,3-dimethyl-1-(1,2,4-triazol-1-yl)-butan-2-one', '1-(4-chlorophenoxy)-3,3-dimethyl-1-(1,2,4-triazol-1-yl)butan-2-one', '1-(4-Chlorophenoxy)-3,3-dimethyl-1-(1H-1,2,4-triazol-1-yl)-2-butanone', 'CHEMBL520897', 'BAY 6681F', 'CHEBI:84002', '1-(4-Chlorophenoxy)-3,3-dimethyl-1-(1,2,4-triazol-1-yl)butanone', '1H-1,2,4-Triazole, 1-((tert-butylcarbonyl-4-chlorophenoxy)methyl)-', '1-(1,2,4-Triazoyl-1)-1-(4-chloro-phenoxy)-3,3-dimethylbutanone', '2-Butanone, 1-(4-chlorophenoxy)-3,3-dimethyl-1-(1,2,4-triazol-1-yl)-', 'W-106246', 'Triadimeform', 'Tidifon', 'Bayleton special', 'Bayleton 5', 'Tartan (fungicide)', 'Bayleton 250 EC', 'Triadimefon (M01)', 'ACMC-20lms9', 'Spectrum2_001707', 'Spectrum3_001962', 'DSSTox_CID_3897', 'DSSTox_RID_77222', 'DSSTox_GSID_23897', 'Oprea1_598872', 'Oprea1_827146', 'SCHEMBL21204', 'BSPBio_003562', '5-26-01-00123 (Beilstein Handbook Reference)', 'MLS002695917', 'SPECTRUM1505307', 'SPBio_001694', 'BAY-MEB 6447', 'IFLab1_000075', 'Triadimefon, analytical standard', 'DTXSID3023897', 'CTK4I7039', 'KBio3_002907', 'HMS1412D09', 'HMS3089A16', 'Tox21_300886', 'BDBM50295561', 'CCG-39446', 'NSC303303', 'STL281794', 'AKOS000583075', 'AKOS016050579', 'AGR0000046', 'MCULE-3287013666', 'NSC-303303', 'ACM43121433', 'IDI1_008294', 'NCGC00094573-01', 'NCGC00094573-02', 'NCGC00094573-03', 'NCGC00094573-04', 'NCGC00094573-05', 'NCGC00094573-06', 'NCGC00094573-07', 'NCGC00254790-01', 'Triadimefon 10 microg/mL in Cyclohexane', 'AC-12579', 'LS-46663', 'O539', 'SMR000778089', 'Triadimefon 10 microg/mL in Acetonitrile', 'CAS-43121-43-3', 'DB-051031', 'HY-123037', 'CS-0080945', 'EU-0066688', 'FT-0639834', 'NS00009440', 'C11156', 'Triadimefon, PESTANAL(R), analytical standard', '121T433', 'C-36799', 'SR-01000388703', '2-Butanone,3-dimethyl-1-(1,2,4-triazol-1-yl)-', 'Q2452254', 'SR-01000388703-1', 'BRD-A39506880-001-02-9', '1-(4-Chlorophenoxy)-3,2,4-triazol-1-yl)-butan-2-one', '2-Butanone,3-dimethyl-1-(1H-1,2,4-triazol-1-yl)-', '1-(4-Chlorophenoxy)-3,3-dimethyl-1-(1,2,4-triazol-1-yl)-2-butanone', '1-(4-chlorophenoxy)-3,3-dimethyl-1-(1H-1,2,4-triazol-1-yl) butan-2-one', '1-(4-chlorophenoxy)-3,3-dimethyl-1-(1h-1,2,4-triazol-1-yl)-butan-2-one', '1-(4-Chlorophenoxy)-3,3-dimethyl-1-(1H-1,2,4-triazole -1-yl)-2-butanone', '2-Butanone, 1-(4-chlorophenoxy)-3,3-dimethyl-1-(1H-1,2,4-triazol-1-yl)- (9CI)', '93779-51-2', 'triadimefon;Butanone, (4-chlorophenoxy)-3,3-dimethyl-1,2,4-tri;1-(4-chlorophenoxy)-3,3-dimethyl-1-(1,2,4-triazol-1-yl)butanone']</t>
  </si>
  <si>
    <t>Compound(39385)</t>
  </si>
  <si>
    <t>C14H16ClN3O2</t>
  </si>
  <si>
    <t>1-(4-chlorophenoxy)-3,3-dimethyl-1-(1,2,4-triazol-1-yl)butan-2-ol</t>
  </si>
  <si>
    <t>['TRIADIMENOL', '55219-65-3', 'Baytan', 'Bayfidan', 'Spinnaker', 'Summit', 'Triafol', 'Baytan 15', 'Triaphol', 'Tridan Fungicide', 'Bayfrdan EW', 'Baytan TF 3479B', '1-(4-chlorophenoxy)-3,3-dimethyl-1-(1,2,4-triazol-1-yl)butan-2-ol', 'Caswell No. 074A', 'BAY KWG 0519', 'UNII-NFR7MRD9NM', '1-(4-Chlorophenoxy)-3,3-dimethyl-1-(1H-1,2,4-triazol-1-yl)butan-2-ol', 'Triadimenol [BSI:ISO]', 'KWG 0519', 'UK 199', 'alpha-tert-Butyl-beta-(4-chlorophenoxy)-1H-1,2,4-triazole-1-ethanol', 'NFR7MRD9NM', 'EINECS 259-537-6', 'EPA Pesticide Chemical Code 127201', '2-(4-Chlorophenoxy)-1-tert-butyl-2-(1H-1,2,4-triazole-1-yl)ethanol', 'MLS000038204', 'CHEBI:9666', 'Ethanol, 2-(4-chlorophenoxy)-1-tert-butyl-2-(1H-1,2,4-triazole-1-yl)-', 'beta-(4-Chlorophenoxy)-alpha-(1,1-dimethylethyl)-1H-1,2,4-triazole-1-ethanol', 'NCGC00066947-05', 'SMR000038817', '1H-1,2,4-Triazole-1-ethanol, .beta.-(4-chlorophenoxy)-.alpha.-(1,1-dimethylethyl)-', '(1RS,2RS,1RS,2SR)-1-(4-Chlorophenoxy)-3,3-dimethyl-1-(1H-1,2,4-triazol-1-yl)butan-2-ol (IUPAC)', 'W-105579', '89497-63-2', 'Baytoan', 'Bayfidan EW', '1-(4-Chlorophenoxy)-3,3-dimethyl-1-(1H-1,2,4-triazol-1-yl)-2-butanol', 'HSDB 7733', 'Triademenol; TOL', '89482-17-7', 'ACMC-20lms8', 'Opera_ID_422', 'Baytoan, analytical standard', 'DSSTox_CID_12493', 'DSSTox_RID_78956', 'DSSTox_GSID_32493', 'Oprea1_784171', 'SCHEMBL21795', 'CHEMBL520275', 'DTXSID0032493', 'CTK5A3236', 'HMS2234L24', 'HMS3371G07', 'EBD23266', 'HY-B0851', 'Tox21_400077', 'AKOS015895519', 'PST0000134', 'Triadimenol 10 microg/mL in Isooctane', 'VZ33960', 'NCGC00066947-02', 'NCGC00066947-03', 'NCGC00066947-04', 'NCGC00066947-06', 'NCGC00088160-02', 'NCGC00088160-03', 'AS-71892', 'LS-66600', 'O538', 'Triadimenol 10 microg/mL in Acetonitrile', 'Triadimenol 100 microg/mL in Cyclohexane', 'CAS-55219-65-3', 'DB-071957', 'CS-0012865', 'FT-0658625', 'NS00003904', 'C11127', 'Triadimenol, PESTANAL(R), analytical standard', '219T653', 'Q15632882', 'a-tert-butyl-ss-(4-chlorophenoxy)-1H-1,2,4-triazole-1-ethanol', '1-(4-chlorophenoxy)-3,3-dimethyl-1-(1,2,4-triazol-1-yl)-butan-2-ol', 'a-(4-chlorophenoxy)-b-(1,1-dimethylethyl)-1H-1,2,4-triazole-1-ethanol', '.beta.-(4-Chlorophenoxy)-.alpha.-(1,1-dimethylethyl)-1H-1,2,4-triazole-1-ethanol', '1-(4-Chlorophenoxy)-3,3-dimethyl-1-(1H-1,2,4-triazol-1-yl)-2-butanol #', '1H-1,2,4-Triazole-1-ethanol, beta-(4-chlorophenoxy)-alpha-(1,1-dimethylethyl)-', '1H-1,2,4-Triazole-1-propanol, a-[(4-chlorophenoxy)methyl]-a-(1,1-dimethylethyl)-', 'triadimenol;?-tert-butyl-?-(4-chlorophenoxy)-1H-1,2,4-triazole-1-ethanol;a-tert-butyl-ss-(4-chlorophenoxy)-1H-1,2,4-triazole-1-ethanol;alpha-tert-Butyl-beta-(4-chlorophenoxy)-1H-1,2,4-t']</t>
  </si>
  <si>
    <t>Compound(41368)</t>
  </si>
  <si>
    <t>C14H18ClN3O2</t>
  </si>
  <si>
    <t>trilate</t>
  </si>
  <si>
    <t>S-(2,3,3-trichloroprop-2-enyl) N,N-di(propan-2-yl)carbamothioate</t>
  </si>
  <si>
    <t>['triallate', 'Tri-allate', '2303-17-5', 'Triallat', 'Dipthal', 'Triamyl', 'Avadex BW', 'Far-Go', 'Triallat [German]', 'Caswell No. 870A', 'Tri-allate [BSI:ISO]', 'Diisopropyltrichloroallylthiocarbamate', 'NSC 379698', 'UNII-A9S097HS99', 'CCRIS 5383', 'CP 23426', 'HSDB 1780', 'S-(2,3,3-Trichloroallyl) N,N-diisopropylthiocarbamate', '2,3,3-Trichloroallyl diisopropylthiocarbamate', 'EINECS 218-962-7', 'RCRA waste no. U389', 'EPA Pesticide Chemical Code 078802', '2,3,3-Trichloroallyl N,N-diisopropylthiocarbamate', 'Carbamic acid, diisopropylthio-, S-(2,3,3-trichloroallyl) ester', 'BRN 1875853', 'S-2,3,3-Trichloroallyl N,N-diisopropylthiocarbamate', 'Carbamothioic acid, bis(1-methylethyl)-, S-(2,3,3-trichloro-2-propenyl) ester', '2,3,3-Trichloro-2-propene-1-thiol diisopropylcarbamate', '2-Propene-1-thiol, 2,3,3-trichloro-, diisopropylcarbamate', 'CHEBI:81978', 'Thiocarbamic acid, N-diisopropyl-, S-2,3,3-trichloroallyl ester', 'A9S097HS99', 'N-Diisopropylthiocarbamic acid S-2,3,3-trichloro-2-propenyl ester', 'S-(2,3,3-Trichloroallyl)diisopropylthiocarbamate', 'S-(2,3,3-Trichloroallyl) diisopropylthiocarbamate', '2,3,3-Trichlorallyl-N,N-(diisopropyl)-thiocarbamat', 'S-2,3,3-Trichloroallyl-N,N-diisopropylthiolcarbamate', '2,3,3-Trichlorallyl-N,N-(diisopropyl)-thiocarbamat [German]', 'Diisopropylthiocarbamic acid S-(2,3,3-trichloroallyl) ester', 'N,N-Diisopropyl-2,3,3-trichlorallyl-thiolcarbamat [German]', 'S-(2,3,3-Trichloro-2-propenyl) bis(1-methylethyl)carbamothioate', 'S-(2,3,3-Trichloro-2-propenyl) bis(1-methylethyl)carbamothiote', 'S-(2,3,3-trichloroprop-2-enyl) N,N-di(propan-2-yl)carbamothioate', 'DSSTox_CID_4344', 'Bis(1-methylethyl)carbamothioic acid, S-(2,3,3-trichloro-2-propenyl)ester', 'Carbamothioic acid, bis(1-methylethyl)-, S-(2,3,3-trichloro-2-propenyl)ester', 'DSSTox_RID_77375', 'DSSTox_GSID_24344', 'CAS-2303-17-5', 'Showdown', 'S-(2,3,3-trichloroprop-2-en-1-yl) diisopropylthiocarbamate', 'Avadex BE', 'S-2,3,3-Trichloroallyl diisopropylthiocarbamate', 'Far-Go/Avadex BW', 'Triallate;tri-allate', 'Spectrum_001889', 'SpecPlus_000510', 'Spectrum2_001844', 'Spectrum3_000845', 'Spectrum4_000685', 'Spectrum5_002006', 'SCHEMBL62793', 'BSPBio_002429', 'KBioGR_001149', 'KBioSS_002419', 'Triallat, analytical standard', 'N,N-Diisopropyl-2,3,3-trichlorallyl-thiolcarbamat', 'DivK1c_006606', 'SPBio_001628', 'CHEMBL1884767', 'DTXSID5024344', 'CTK8E7244', 'KBio1_001550', 'KBio2_002413', 'KBio2_004981', 'KBio2_007549', 'KBio3_001929', 'S-(2,3,3-Trichloroallyl) diisopropylthiocarbamate (8CI)', 'ZINC1590916', 'Tox21_201817', 'Tox21_300671', 'CCG-39382', 'NSC379698', 'AKOS016011225', 'S-(2,3,3-Trichloro-2-propenyl) bis(1-methylethyl)carbamothioate (9CI)', 'ACM2303175', 'NSC-379698', 'Tri-allate 10 microg/mL in Cyclohexane', 'NCGC00168339-01', 'NCGC00168339-02', 'NCGC00168339-03', 'NCGC00168339-04', 'NCGC00254579-01', 'NCGC00259366-01', 'LS-49397', 'Tri-allate 100 microg/mL in Acetonitrile', 'HY-119435', 'CS-0068360', 'FT-0748886', 'NS00000710', 'Triallat, PESTANAL(R), analytical standard', 'C18813', 'S-2,3,3-trichloroallyl diisopropylcarbamothioate', 'Q904371', 'N,N-Diisopropyl-2,3,3-trichlorallyl-thiolcarbamate', 'BRD-K64698045-001-02-2', 'S-2,3,3-trichloroallyl di-isopropyl (thiocarbamate)', 'S-(2,3,3-Trichloro-2-propenyl) diisopropylthiocarbamate #', 'S-(2,3,3-Trichloro-2-propen-1-yl) diisopropylcarbamothioate', 'S-(2,3,3-trichloro-2-propenyl)bis(1-methylethyl)thiocarbamate', 'S-(2,3,3-Trichloroprop-2-en-1-yl) dipropan-2-ylcarbamothioate', 'Carbamothioic acid, N,N-bis(1-methylethyl)-, S-(2,3,3-trichloro-2-propen-1-yl) ester']</t>
  </si>
  <si>
    <t>Compound(5543)</t>
  </si>
  <si>
    <t>C10H16Cl3NOS</t>
  </si>
  <si>
    <t>2-[bis(dimethylamino)phosphoryl]-5-phenyl-1,2,4-triazol-3-amine</t>
  </si>
  <si>
    <t>['TRIAMIPHOS', 'Triamphos', 'Wepsyn', 'Wepsin', '1031-47-6', 'Triamifos', 'Wepsyn 155', 'Niagara 5943', 'WP 155', 'Caswell No. 037A', 'ENT 27,223', 'Triamiphos [ISO:BSI]', 'NSC 232670', 'UNII-9I7U4X189B', 'Wepsyn-155', 'HSDB 6412', 'Triamifos [German, Dutch, Italian]', 'Bis(dimethylamino)-3-amino-5-phenyltriazolyl phosphine oxide', 'EPA Pesticide Chemical Code 237200', 'BRN 0551608', 'AI3-27223', "Phosphonic diamide, p-(5-amino-3-phenyl-1H-1,2,4-triazol-1-yl)-N,N,N',N'-tetramethyl-", '5-Amino-1-bis(dimethylamido)phosphoryl-3-phenyl-1,2,4-triazole', '5-Amino-3-phenyl-1,2,4-triazolyl-1-bis(dimethylamido)pheosphate', '5-Amino-3-phenyl-1,2,4-triazolyl-1-bis(dimethylamido)phosphate', '5-Amino-1-(bis(dimethylamino)phosphinyl)-3-phenyl-1,2,4-triazole', '5-Amino-3-phenyl-1-bis(dimethylamino)-phosphoryl-1H-1,2,4-triazol', '9I7U4X189B', "3-Phenyl-5-amino-1,2,4-triazolyl-(1)-(N,N'-tetramethyl) diamidophosphonate", "5-Amino-3-phenyl-1,2,4-triazole-1-yl-N,N,N',N'-tetramethylphosphodiamide", '5-Amino-1-bis(dimethylamide)phosphoryl-3-phenyl-1,2,4-triazole', '5-Amino-3-fenil-1-bis(-dimetilamino)-fosforil-1,2,4-triazolo', '5-Amino-3-fenyl-1-bis(dimethyl-amino)-fosforyl-1,2,4-triazool', "5-Amino-3-phenyl-1,2,4-triazolyl-nnn'N'-tetramethyl-phosphonamide", '5-Amino-3-phenyl-1,2,4-triazolylbis(dimethylamino)-phosphinoxid', '5-Amino-3-fenyl-1-bis(dimethyl-amino)-fosforyl-1,2,4-triazool [Dutch]', '5-Amino-3-phenyl-1-bis (dimethyl-amino)-phosphoryle-1,2,4-triazole', '5-Amino-3-fenil-1-bis(-dimetilamino)-fosforil-1,2,4-triazolo [Italian]', '5-Amino-3-phenyl-1,2,4-triazolylbis(dimethylamino)-phosphinoxid [German]', '5-Amino-3-phenyl-1-bis (dimethyl-amino)-phosphoryle-1,2,4-triazole [French]', '5-Amino-3-phenyl-1-bis(dimethylamino)-phosphoryl-1H-1,2,4-triazol [German]', "P-(5-Amino-3-phenyl-1H-1,2,4-triazol-1-yl)-N,N,N',N'-tetramethyl-phosphonic diamide", "P-(5-Amino-3-phenyl-1H-1,2,4-triazol-1-yl)-N,N,N',N'-tetramethylphosphonic diamide", "p-(5-Amino-3-phenyl-1H-1,2,4-triazol-1-yl)-N,N,N'-tetramethyl phosphonic diamide", 'SCHEMBL29306', 'DTXSID2042482', 'CHEBI:82069', 'Triamifos (GERMAN, ITALIAN)', '2-[bis(dimethylamino)phosphoryl]-5-phenyl-1,2,4-triazol-3-amine', 'NSC232670', 'NSC-232670', 'Triamiphos 1000 microg/mL in Methanol', 'LS-106836', 'C18927', 'WLN: T5NN DNJ APON1&amp;1&amp;N1&amp;1 CR&amp; EZ', 'Q7840032', '5-Amino-3-fenil-1-bis(-dimetilamino)-fosforil-1,4-triazolo', '5-Amino-3-fenyl-1-bis(dimethyl-amino)-fosforyl-1,4-triazool', '5-Amino-3-phenyl-1,4-triazolyl-1-bis(dimethylamido)phosphate', "Phosphonic diamide,2,4-triazol-1-yl)-N,N,N',N'-tetramethyl-", '5-Amino-1-(bis(dimethylamide)phosphoryl)-3-phenyl-1,2,4-triazole', '5-Amino-1-(bis(dimethylamido)phosphoryl)-3-phenyl-1,2,4-triazole', '5-Amino-1-[bis(dimethylamide)phosphoryl]-3-phenyl-1,4-triazole', '5-Amino-1-[bis(dimethylamido)phosphoryl]-3-phenyl-1,4-triazole', '5-Amino-1-[Bis(dimethylamino)phosphinyl]-3-phenyl-1,4-triazole', "5-Amino-3-phenyl-1,4-triazolyl-N,N,N',N'-tetramethylphosphonamide", '5-Amino-3-phenyl-1-bis (dimethyl-amino)-phosphoryle-1,4-triazole', '5-Amino-3-phenyl-1-bis(dimethylamino)-phosphoryl-1H-1,4-triazol', "5-Amino-3-phenyl-1,2,4-triazolyl-N,N,N',N'-tetramethylphosphonamide", "5-Amino-3-phenyl-1,4-triazole-1-yl-N,N,N',N'-tetramethylphosphodiamide", "5-amino-3-phenyl-1,2,4-triazol-1-yl-N,N,N',N'-tetramethylphosphonic diamide", "P-(5-Amino-3-phenyl-1H-1,2,4-triazol-1-yl)-N,N,N',N'-tetramethyl phosphonic diamide", "P-(5-Amino-3-phenyl-1H-1,4-triazol-1-yl)-N,N,N',N'-tetramethyl phosphonic diamide", "Phosphonic diamide, P-(5-amino-3-phenyl-1H-1,2,4-triazol-1-yl)-N,N,N',N'-tetramethyl- (8CI)", "Phosphonic diamide, P-(5-amino-3-phenyl-1H-1,2,4-triazol-1-yl)-N,N,N',N'-tetramethyl- (8CI)(9CI)"]</t>
  </si>
  <si>
    <t>Compound(13943)</t>
  </si>
  <si>
    <t>C12H19N6OP</t>
  </si>
  <si>
    <t>(E)-1-cyclohexyl-4,4-dimethyl-2-(1,2,4-triazol-1-yl)pent-1-en-3-ol</t>
  </si>
  <si>
    <t>['Triapenthenol', '76608-88-3', 'Triapenthenol [ISO]', 'EINECS 278-498-6', 'alpha-tert-Butyl-(E)-beta-(cyclohexylmethylene)-1H-1,2,4-triazol-1-ethanol', '1H-1,2,4-Triazol-1-ethanol, beta-(cyclohexylmethylene)-alpha-(1,1-dimethylethyl)-, (betaE)-', '(E)-1-cyclohexyl-4,4-dimethyl-2-(1,2,4-triazol-1-yl)pent-1-en-3-ol', 'SCHEMBL121058', 'CHEBI:82255', 'LS-155980', 'C19135', '608T883', 'Q22808998', '(-)-(E)-cyclohexyl-4,4-dimethyl-2-(1,2,4-triazol-1-yl)-1-penten-3-ol', 'a-tert-butyl-(E)-ss-(cyclohexylmethylene)-1H-1,2,4-triazol-1-ethanol', '(+)-(E)-1-cyclohexyl-2-(1,2,4-triazol-1-yl)-4,4-dimethyl-1-penten-3-ol', '(-)-(E)-1-cyclohexyl-4,4-dimethyl-2-(1,2,4-triazol-1-yl)-1-penten-3-ol', '(E)-1-cyclohexyl-4,4-dimethyl-3-hydroxy-2-(1,2,4-triazol-1-yl)-pent-1-ene', '1H-1,2,4-Triazole-1-ethanol, beta-(cyclohexylmethylene)-alpha-(1,1-dimethylethyl)-, (E)-', 'racemic (E)-1-cyclohexyl-4,4-dimethyl-3-hydroxy-2-(1,2,4-triazol-1-yl)-pent-1-ene']</t>
  </si>
  <si>
    <t>Compound(6437842)</t>
  </si>
  <si>
    <t>C15H25N3O</t>
  </si>
  <si>
    <t>1-[2-(2-chloroethoxy)phenyl]sulfonyl-3-(4-methoxy-6-methyl-1,3,5-triazin-2-yl)urea</t>
  </si>
  <si>
    <t>['Triasulfuron', '82097-50-5', 'Logran', 'Triasulfuron [ISO]', 'CGA 131036', 'EPA Pesticide Chemical Code 128969', 'UNII-299LHF498M', '1-[2-(2-chloroethoxy)phenyl]sulfonyl-3-(4-methoxy-6-methyl-1,3,5-triazin-2-yl)urea', 'CHEBI:9673', '299LHF498M', '2-(2-Chloroethoxy)-N-(((4-methoxy-6-methyl-1,3,5-triazin-2-yl)amino)carbonyl)benzenesulfonamide', '1-(2-(2-Chloroethoxy)phenylsulfonyl)-3-(4-methoxy-6-methyl-1,3,5-triazin-2-yl)urea (IUPAC)', 'Benzenesulfonamide, 2-(2-chloroethoxy)-N-(((4-methoxy-6-methyl-1,3,5-triazin-2-yl)amino)carbonyl)-', '2-(2-chloroethoxy)-N-[[(4-methoxy-6-methyl-1,3,5-triazin-2-yl)amino]carbonyl]benzenesulfonamide', 'Benzenesulfonamide, 2-(2-chloroethoxy)-N-[[(4-methoxy-6-methyl-1,3,5-triazin-2-yl)amino]carbonyl]-', 'C14H16ClN5O5S', 'Triasulphuron', 'Amber', '2-(2-chloroethoxy)-N-{[(4-methoxy-6-methyl-1,3,5-triazin-2-yl)amino]carbonyl}benzenesulfonamide', 'DSSTox_CID_4345', 'DSSTox_RID_77376', 'DSSTox_GSID_24345', 'SCHEMBL24021', 'CHEMBL1896787', 'DTXSID0024345', 'HSDB 8436', 'KS-00002WWH', 'ZINC1532080', 'Tox21_201200', 'AKOS015897330', 'KS-5284', 'VZ33965', '1-[2-(2-chloroethoxy)phenylsulfonyl]-3-(4-methoxy-6-methyl-1,3,5-triazin-2-yl)urea', 'NCGC00168340-01', 'NCGC00168340-02', 'NCGC00258752-01', 'AC-14071', 'LS-31405', 'SC-75019', 'CAS-82097-50-5', 'DB-056571', 'FT-0630900', 'NS00007724', 'C10961', 'Triasulfuron, PESTANAL(R), analytical standard', '097T505', 'Q2384787', '2-(2-chloroethoxy)-N-(4-methoxy-6-methyl-1,3,5-triazin-2-ylcarbamoyl)benzenesulfonamide', '2-(2-chloroethoxy)-N-[(4-methoxy-6-methyl-1,3,5-triazin-2-yl)carbamoyl]benzenesulfonamide', '2-(2-Chloroethoxy)-N-[(4-methoxy-6-methyl-1,3,5-triazin-2-yl)carbamoyl]benzene-1-sulfonamide', 'Benzenesulfonamide, 2-(2-chloroethoxy)-N-(((4-methoxy-6-methyl-1,3,5-triazin-2-yl)ami-no)carbonyl)-', 'triasulfuron;1-[2-(2-chloroethoxy)phenylsulfonyl]-3-(4-methoxy-6-methyl-1,3,5-triazin-2-yl)urea']</t>
  </si>
  <si>
    <t>Compound(73282)</t>
  </si>
  <si>
    <t>C14H16ClN5O5S</t>
  </si>
  <si>
    <t>7-chloro-3-imidazol-1-yl-1-oxido-1,2,4-benzotriazin-1-ium</t>
  </si>
  <si>
    <t>['Triazoxide', '72459-58-6', 'Triazoxid', '7-Chloro-3-(1H-imidazol-1-yl)-1,2,4-benzotriazine 1-oxide', 'UNII-1C2N58DT4P', '7-chloro-3-imidazol-1-yl-1-oxido-1,2,4-benzotriazin-1-ium', 'SCHEMBL22499', '1C2N58DT4P', 'DTXSID3058169', 'CHEBI:83335', '1,2,4-Benzotriazine, 7-chloro-3-(1H-imidazol-1-yl)-, 1-oxide', 'ZINC2517010', 'NS00006659', 'Triazoxid, PESTANAL(R), analytical standard', 'Q3136310', '7-chloro-3-imidazol-1-yl-1,2,4-benzotriazine 1-oxide', '7-chloro-3-(1H-imidazol-1-yl)benzo[e][1,2,4]triazine 1-oxide', '7-Chloro-3-(1H-imidazol-1-yl)-1-oxo-1H-1,2,4-benzotriazin-1-ium-2-ide']</t>
  </si>
  <si>
    <t>Compound(93422)</t>
  </si>
  <si>
    <t>C10H6ClN5O</t>
  </si>
  <si>
    <t>2,3,5-tris(aziridin-1-yl)cyclohexa-2,5-diene-1,4-dione</t>
  </si>
  <si>
    <t>['TRIAZIQUONE', 'Trenimon', 'Triaziquon', 'Triaziquinone', 'Trisethyleneiminoquinone', 'Oncoredox', 'Oncovedex', 'Prenimon', 'Treninon', 'Triazichon', '68-76-8', 'Riker 601', 'TEIB', 'Triethyleneaminobenzoquinone', 'Triethyleneiminobenzoquinone', 'Triaziquinonum', 'Triaziquonum', 'Bayer 3231', 'Triethyleniminobenzoquinone', 'Tris(ethyleneimino)benzoquinone', 'Tris(aziridinyl)-p-benzoquinone', 'Trisaethyleniminobenzochinon', 'Triazicuona', 'Triazoquinone', 'Trenimone', 'Tris(1-aziridinyl)-p-benzoquinone', 'BAY 3231', 'Triazichon [German]', 'NSC-29215', 'p-Benzoquinone, tris(1-aziridinyl)-', '2,3,5-Tris(ethylenimino)benzoquinone', '2,3,5-Ethylenimine-1,4-benzoquinone', 'Triaziquone [INN:BAN]', '2,3,5-Tris(ethylenimino)-p-benzoquinone', 'Tris(aziridinyl)-para-benzoquinone', '2,3,5-Triethyleneimino-1,4-benzoquinone', '2,3,5-Tris(1-aziridino)-p-benzoquinone', '2,5-Cyclohexadiene-1,4-dione, 2,3,5-tris(1-aziridinyl)-', '2,3,5-Tris(aziridino)-1,4-benzoquinone', 'Triaziquonum [INN-Latin]', 'Triazicuona [INN-Spanish]', '2,3,5-Trisethyleneiminobenzoquinone', 'A 163', '2,3,5-Tris(ethylenimino)-1,4-benzoquinone', 'UNII-F3D5D9P25I', '2,3,5-Triethyleneimino-p-benzoquinone', 'CCRIS 1288', '2,3,5-Tris(1-aziridinyl)-p-benzoquinone', 'HSDB 7306', '2,3,5-Tri-(1-aziridinyl)-p-benzoquinone', '10257 R.P.', '2,3,5-Tris(1-aziridinyl)-2,5-cyclohexadiene-1,4-dione', '2,3,5-Tris(ethyleneimino)-1,4-benzoquinone', 'EINECS 200-692-6', 'Trisaethyleniminobenzochinon [German]', 'NSC 29215', "1,1',1''-(3,6-Dioxo-1,4-cyclohexadiene-1,2,4-triyl)trisaziridine", 'BRN 0238057', '2,3,5-Tris-ethyleniminoquinone-(1,4)', '2,3,5-Tris(aziridinyl)-1,4-benzoquinone', 'AI3-51086', 'F3D5D9P25I', 'p-Benzoquinone, 2,3,5-tris(1-aziridinyl)-', 'CHEBI:27090', "Aziridine, 1,1',1''-(3,6-dioxo-1,4-cyclohexadiene-1,2,4-triyl)tris-", 'BAY-3231', 'NSC29215', '2,3,5-tris(aziridin-1-yl)cyclohexa-2,5-diene-1,4-dione', '2,3,5-Tri(1-aziridinyl)-p-benzoquinone', '2,3,5-tris(aziridin-1-yl)-1,4-benzoquinone', 'triaziquin one', 'tris(trenimom)', 'Triaziquone (INN)', '2,3,5-Tris(ethyleneimine)benzoquinone', 'SCHEMBL8303', '2,3, 5-Tris(ethyleneimi', '4-20-00-00031 (Beilstein Handbook Reference)', 'BAYER-3231', 'CHEMBL313302', 'DTXSID1021370', 'tris(1-aziridinyl)p-benzoquinone', '2,5-Tris(ethylenimino)benzoquinone', 'ZINC8214696', '2,5-Ethylenimine-1,4-benzoquinone', '2,5-Triethyleneimino-p-benzoquinone', '2,5-Tris(ethyleneimino)benzoquinone', 'Tris (1-aziridinyl)-para-benzoquinone', '2,3,5-Tris(ethyleneimino)benzoquinone', '2,5-Tri(1-aziridinyl)-p-benzoquinone', '2,5-Triethyleneimino-1,4-benzoquinone', '2,5-Tris(1-aziridino)-p-benzoquinone', '2,5-Tris(ethylenimino)-p-benzoquinone', 'DB13304', 'LS-7730', '2,3, 5-Triethyleneimino-p-benzoquinone', '2,5-Tris(aziridino)-1,4-benzoquinone', '2,5-Tris(aziridinyl)-1,4-benzoquinone', 'p-Benzoquinone,3,5-tris(1-aziridinyl)-', '2,5-Tris(ethylenimino)-1,4-benzoquinone', '10257 R.P', '2,3, 5-Tris(1-aziridino)-p-benzoquinone', '2,4-dione, 2,3,5-tris(1-aziridinyl)-', '2,3, 5-Tris(aziridinyl)-1,4-benzoquinone', '2,3,5-Tri(1-aziridinyl)benzo-1,4-quinone', '2,3,5-tris(aziridinyl)-1, 4-benzoquinone', 'NS00036689', '2,3,5-tris(aziridin-1-yl)benzo-1,4-quinone', 'C19542', 'D07254', '2,3,5-Tri(1-aziridinyl)benzo-1,4-quinone #', 'Oncovedex; Prenimon; Riker 601; TEIB; Trenimon', 'Q1323947', '2,5-Tris(1-aziridinyl)-2,5-cyclohexadiene-1,4-dione', 'WLN: L6V DVJ B- AT3NTJ&amp; C- AT3NTJ&amp; E- AT3NTJ', "1,1''-(3,6-Dioxo-1,4-cyclohexadiene-1,2,4-triyl)trisaziridine", "1,1',1''-(3,6-Dioxo-1,4-cyclohexadiene-1,2, 4-triyl)trisaziridine", "1,1',1''-(3,6-dioxo-1,4-cyclohexadiene-1,2,4-triyl)tris aziridine", "Aziridine,1',1''-(3,6-dioxo-1,4-cyclohexadiene-1,2,4-triyl)tris-"]</t>
  </si>
  <si>
    <t>Compound(6235)</t>
  </si>
  <si>
    <t>triazophos</t>
  </si>
  <si>
    <t>diethoxy-[(1-phenyl-1,2,4-triazol-3-yl)oxy]-sulfanylidene-lambda5-phosphane</t>
  </si>
  <si>
    <t>['Triazophos', 'Hostathion', '24017-47-8', 'TRIAZOFOS', 'Methoxone', 'HOE 2960', 'Phosphorothioic acid, O,O-diethyl O-(1-phenyl-1H-1,2,4-triazol-3-yl) ester', 'Triazofosz (Hungarian)', 'Triazophos [BSI:ISO]', 'HOE 2960 OJ', '1-Phenyl-1,2,4-triazolyl-3-(O,O-diethylthionophosphate)', 'UNII-6099J8L0EE', 'HSDB 6455', 'EINECS 245-986-5', 'O,O-Diethyl O-(1-phenyl-1H-1,2,4-triazol-3-yl)phosphorothioate', 'BRN 0682554', 'AI3-27764', '1-Phenyl-3-(O,O-diethyl-thionophosphoryl)-1,2,4-triazole', 'CHEBI:38963', '6099J8L0EE', 'O,O-diethyl O-(1-phenyl-1H-1,2,4-triazol-3-yl) phosphorothioate', 'Phosphorothioic acid, O,O-diethyl O-(1-phenyl-1,2,4-triazolyl) ester', 'Phosphorothioic acid, 0,0-diethyl 0-(1-phenyl-1H-1,2,4-triazol-3-yl) ester', 'Hostation', 'o,o-Diethyl o-(1-phenyl-1H-1,2,4-triazol-3-yl) thiophosphate', 'Triazofosz', 'Trazophos', 'diethoxy-[(1-phenyl-1,2,4-triazol-3-yl)oxy]-sulfanylidene-?^{5}-phosphane', 'DSSTox_CID_17612', 'DSSTox_RID_79348', 'DSSTox_GSID_37612', 'SCHEMBL73598', 'CHEMBL1553726', 'DTXSID9037612', 'ZINC2014879', 'Tox21_301578', 'Triazophos 100 microg/mL in Acetone', 'AKOS015899305', 'Triazophos 1000 microg/mL in Acetone', 'ACM24017478', 'O,O-Diethyl O-(1-phenyl-1H-1,2,4-triazol-3-yl) phosphorothioate (8CI)(9CI)', 'NCGC00163944-01', 'NCGC00163944-02', 'NCGC00255454-01', 'CC-35269', 'H173', 'CAS-24017-47-8', 'DB-046320', 'LS-108708', 'NS00002288', 'Triazophos, PESTANAL(R), analytical standard', 'C18657', '017T478', 'A817041', 'C-19355', 'J-015315', 'Q2452431', 'Triazophos, certified reference material, TraceCERT(R)', 'O,O-Diethyl O-(1-phenyl-1H-1,2,4-triazol-3-yl) thiophosphate #', 'O,O-diethyl O-1-phenyl-1H-1,2,4-triazol-3-yl phosphorothioate', 'diethoxy-[(1-phenyl-1,2,4-triazol-3-yl)oxy]-sulfanylidenephosphorane', 'O,O-Diethyl O-(1-phenyl-1H-1,2,4-triazol-3-yl) phosphorothioate (8CI)', 'diethoxy-[(1-phenyl-1,2,4-triazol-3-yl)oxy]-sulfanylidene-$l^{5}-phosphane']</t>
  </si>
  <si>
    <t>Compound(32184)</t>
  </si>
  <si>
    <t>C12H16N3O3PS</t>
  </si>
  <si>
    <t>triazamate</t>
  </si>
  <si>
    <t>ethyl 2-[[5-tert-butyl-2-(dimethylcarbamoyl)-1,2,4-triazol-3-yl]sulfanyl]acetate</t>
  </si>
  <si>
    <t>['Triazamate', 'Triazuron', '112143-82-5', 'UNII-B4914SW93T', 'RH 7988', '110895-43-7', 'B4914SW93T', '1-(N,N-dimethylcarbamoyl)-3-tert-butyl-5-carbethoxymethylthio-1H-1,2,4-triazole', 'ethyl {[3-tert-butyl-1-(dimethylcarbamoyl)-1H-1,2,4-triazol-5-yl]sulfanyl}acetate', 'ethyl 2-[[5-tert-butyl-2-(dimethylcarbamoyl)-1,2,4-triazol-3-yl]sulfanyl]acetate', 'Acetic acid, [[1-[(dimethylamino)carbonyl]-3-(1,1-dimethylethyl)-1H-1,2,4-triazol-5-yl]thio]-, ethyl ester', 'Triazamate [ISO:BSI]', 'Triazamat', 'Acetic acid, ((1-((dimethylamino)carbonyl)-3-(1,1-dimethylethyl)-1H-1,2,4-triazol-5-yl)thio)-, ethyl ester', 'ACMC-20mds4', 'EC 411-650-3', 'SCHEMBL27089', 'Triazamate, analytical standard', 'DTXSID5034307', 'CHEBI:38576', 'CTK0H2817', 'ZINC2382753', 'ethyl (3-tert-butyl-1-dimethylcarbamoyl-1h-1,2,4-triazol-5-ylthio)acetate', 'Triazamate 10 microg/mL in Cyclohexane', 'Triazamate 100 microg/mL in Cyclohexane', 'CC-35267', 'DB-041044', 'FT-0631060', 'NS00004744', 'C18770', 'C-19404', 'Q3538727', '1-dimethylcarbamoyl-3-t-butyl-5-carboethoxymethylthio-1,2,4-1H-triazole', '1-dimethylcarbamoyl-3-t-butyl-5-carboethoxymethylthio-1,2,4-triazole', '1-dimethylcarbamoyl-3-t-butyl-5-carboethoxymethylthio-1H-1,2,4-triazole', 'ethyl 2-(3-tert-butyl-1-(dimethylcarbamoyl)-1H-1,2,4-triazol-5-ylthio)acetate']</t>
  </si>
  <si>
    <t>Compound(86306)</t>
  </si>
  <si>
    <t>C13H22N4O3S</t>
  </si>
  <si>
    <t>terbium-160</t>
  </si>
  <si>
    <t>['13981-29-8', 'Terbium-160', 'Terbium, isotope of mass 160', '(~160~Tb)Terbium', 'DTXSID30930609']</t>
  </si>
  <si>
    <t>Compound(161008)</t>
  </si>
  <si>
    <t>N,N-dibenzyl-1-phenylmethanamine</t>
  </si>
  <si>
    <t>['Tribenzylamine', '620-40-6', 'Benzenemethanamine, N,N-bis(phenylmethyl)-', 'N,N-dibenzyl-1-phenylmethanamine', 'UNII-HZ10O1931J', 'MFCD00004773', 'trisbenzylamine', 'HZ10O1931J', 'Tribenzylamine, 99+%', 'tribenzyl-amine', 'N,N-dibenzyl-1-phenyl-methanamine', 'EINECS 210-638-3', 'n,n,n-tribenzylamine', 'PubChem21076', 'ACMC-1ATOK', 'AI3-01809', '68015-83-8', 'Tribenzylamine, &gt;=99%', 'DSSTox_CID_27031', 'DSSTox_RID_82052', 'DSSTox_GSID_47031', 'AURORA KA-4701', 'KSC219G8T', 'SCHEMBL134524', 'N,N-Dibenzyl(phenyl)methanamine', 'CHEMBL3184803', 'DTXSID5047031', '(N,N-Dibenzylaminomethyl)benzene', 'KS-00000UXU', 'N,N-Dibenzyl(phenyl)methanamine #', 'ADAL1038599', 'Tribenzylamine, &gt;=99.0% (NT)', 'Tox21_302339', 'ANW-34050', 'SBB073009', 'STL453637', 'ZINC55387822', 'AKOS003273171', 'FCH2705611', 'MCULE-2566978690', 'N,N-Bis(phenylmethyl)benzenemethanamine', 'tribenzylamine;Tribenzylammonium acetate', 'VZ33968', 'NCGC00256253-01', 'AK114560', 'AS-11949', 'CAS-620-40-6', 'CC-35272', 'OR350375', 'SY049334', 'AX8155016', 'FT-0652634', 'NS00010857', 'ST45255336', 'C-34003', 'Q4462936', 'F0001-1653']</t>
  </si>
  <si>
    <t>Compound(24321)</t>
  </si>
  <si>
    <t>C21H21N</t>
  </si>
  <si>
    <t>methyl 2-[[(4-methoxy-6-methyl-1,3,5-triazin-2-yl)-methylcarbamoyl]sulfamoyl]benzoate</t>
  </si>
  <si>
    <t>['TRIBENURON-METHYL', 'Tribenuron methyl', '101200-48-0', 'Express', 'Sulfmethmeton-methyl', 'Tribenuron methyl ester', 'Cameo', 'Cameo (pesticide)', 'Camer (pesticide)', 'Express (pesticide)', 'Express 75 DF', 'Tribenuron-methyl [ISO]', 'HCHA 92 HE', 'UNII-D0493A985P', 'HSDB 6851', 'DPX-L 5300', 'EPA Pesticide Chemical Code 128887', 'CHEBI:9678', 'CHEMBL1229780', 'L 5300', 'methyl 2-[[(4-methoxy-6-methyl-1,3,5-triazin-2-yl)-methylcarbamoyl]sulfamoyl]benzoate', 'METHYL 2-[4-METHOXY-6-METHYL-1,3,5-TRAZIN-2-YL(METHYL)CARBAMOYLSULFAMOYL]BENZOATE', 'D0493A985P', 'Benzoic acid, 2-[[[[(4-methoxy-6-methyl-1,3,5-triazin-2-yl)methylamino]carbonyl]amino]sulfonyl]-, methyl ester', 'methyl 2-[[(4-methoxy-6-methyl-1,3,5-triazin-2-yl)-methyl-carbamoyl]sulfamoyl]benzoate', 'methyl 2-{[(4-methoxy-6-methyl-1,3,5-triazin-2-yl)(methyl)carbamoyl]sulfamoyl}benzoate', 'Methyl 2-((((N-(4-methoxy-6-methyl-1,3,5-triazin-2-yl)methylamino)carbonyl)amino)sulfonyl)benzoate', 'methyl 2-[({[(4-methoxy-6-methyl-1,3,5-triazin-2-yl)(methyl)amino]carbonyl}amino)sulfonyl]benzoate', 'Methyl 2-(N-((4-methoxy-6-methyl-1,3,5-triazin-2-yl)(methyl)carbamoyl)sulfamoyl)benzoate', '1TB', 'Benzoic acid, 2-(((((4-methoxy-6-methyl-1,3,5-triazin-2-yl)methylamino)carbonyl)amino)sulfonyl)-, methyl ester', 'C15H17N5O6S', 'Tribenuron Methylester', 'DSSTox_CID_4101', 'EC 401-190-1', 'DSSTox_RID_77288', 'DSSTox_GSID_24101', 'SCHEMBL54532', 'DTXSID8024101', 'CTK8E9007', 'DPX-?L5300', 'HMS1786D20', 'ZINC900618', 'Tox21_202549', 'BDBM50424586', 'AKOS002529017', 'DB03656', 'MCULE-3666428067', 'NCGC00163779-01', 'NCGC00163779-02', 'NCGC00260098-01', 'AC-18021', 'AS-12372', 'CC-35271', 'LS-37832', 'SC-79588', 'AB0011821', 'CAS-101200-48-0', 'FT-0631010', 'NS00005606', 'C10962', '200T480', 'A800350', 'C-21627', 'J-000336', 'Q2394026', 'Tribenuron-methyl, PESTANAL(R), analytical standard', 'OXADIAZON,METRIBUZIN,CLETHODIM,CLODINAFOP-PROPARGYL', 'Methyl 2-(N-(4-methoxy-6-methyl-1,3,5-triazin-2-yl)-N-methylcarbamoylsulfamoyl)benzoate', '2-[[-N-[4-methoxy-6-methyl-1,3,5-triazin-2-yl]N-methylaminocarbonyl]aminosulfonyl]benzoic acid, methyl ester', '2-[[[(4-methoxy-6-methyl-1,3,5-triazin-2-yl)-methylamino]-oxomethyl]sulfamoyl]benzoic acid methyl ester', 'Benzoic acid, 2-[[[[(4-methoxy-6-methyl-1,3,5-triazin-2-yl)methylamino]carbonyl]amino]sulfonyl]-, methyl ester;Methyl 2-(3-(4-methoxy-6-methyl-1,3,5-triazin-2-yl)3-methylureidosulphonyl)benzoate;tribenuron-methyl', 'Methyl 2-(((((4-methoxy-6-methyl-1,3,5-triazin-2-yl)methylamino)carbonyl)amino)sulfonyl)benzoate']</t>
  </si>
  <si>
    <t>Compound(153909)</t>
  </si>
  <si>
    <t>C15H17N5O6S</t>
  </si>
  <si>
    <t>technetium-96</t>
  </si>
  <si>
    <t>['Technetium Tc-97m', 'Technetium-96', 'Technetium, isotope of mass 96', 'Tc 96', '14808-44-7', 'Q27295731']</t>
  </si>
  <si>
    <t>Compound(167171)</t>
  </si>
  <si>
    <t>technetium-97</t>
  </si>
  <si>
    <t>['Technetium Tc-98m', 'UNII-ZM3S591162', 'Technetium-97', 'ZM3S591162', 'Technetium, isotope of mass 97', '97Tc', '15759-35-0', 'Q27284794']</t>
  </si>
  <si>
    <t>Compound(161147)</t>
  </si>
  <si>
    <t>technetium 97m (metastable)</t>
  </si>
  <si>
    <t>technetium-99</t>
  </si>
  <si>
    <t>['Technetium-99', 'Technetium-99M', 'Technetium Tc-99m', 'Technetium, isotope of mass 99', 'Technetium-99mTc', '99Tc', 'Tc 99', 'UNII-6EW75241VU', '14133-76-7', '6EW75241VU', 'CEA-Scan', 'Arcitumomab technetium-99m', 'Technetium-99m arcitumomab', 'UNII-029JF1SCU8', 'Technetium Tc 99m arcitumomab', 'Technetium 99m', 'Technetium,Tc-99m', 'Arcitumomab 99mtc-labeled form [MI]', 'Technetium-99m arcitumomab [WHO-DD]', 'Technetium (99mTc)', 'Technetium, Tc-99m', 'Technetium (Tc 99m)', '029JF1SCU8', '(99)Tc', 'CHEBI:33371', 'DTXSID00874006', '(99)43Tc', 'DB14227', '154361-49-6']</t>
  </si>
  <si>
    <t>Compound(26476)</t>
  </si>
  <si>
    <t>technetium 99m (metastable)</t>
  </si>
  <si>
    <t>triclabendazole</t>
  </si>
  <si>
    <t>6-chloro-5-(2,3-dichlorophenoxy)-2-methylsulfanyl-1H-benzimidazole</t>
  </si>
  <si>
    <t>['Triclabendazole', '68786-66-3', 'Fasinex', '6-Chloro-5-(2,3-dichlorophenoxy)-2-(methylthio)-1H-benzo[d]imidazole', 'Triclabendazol', 'C14H9Cl3N2OS', 'Triclabendazol [INN-Spanish]', 'Triclabendazolum [INN-Latin]', 'CCRIS 8988', 'UNII-4784C8E03O', 'CGA 89317', '5-Chloro-6-(2,3-dichlorophenoxy)-2-(methylthio)-1H-benzimidazole', 'NVP-EGA230', 'CPD000466357', 'EGA230B', 'MLS001424101', 'CHEMBL1086440', '6-Chloro-5-(2,3-dichlorophenoxy)-2-methylthio-benzimidazole', '6-chloro-5-(2,3-dichlorophenoxy)-2-methylsulfanyl-1H-benzimidazole', '4784C8E03O', 'NCGC00164610-01', 'Triclabendazole, 98%', 'AK-68238', 'SMR000466357', '5-Chloro-6-(2,3-dichlorophenoxy)-2-(methylthio)benzimidazole', '6-chloro-5-(2,3-dichlorophenoxy)-2-(methylthio)-1H-benzimidazole', '1H-BENZIMIDAZOLE, 5-CHLORO-6-(2,3-DICHLOROPHENOXY)-2-(METHYLTHIO)-', 'Egaten', 'Triclabendazolum', '5-[2,3-bis(chloranyl)phenoxy]-6-chloranyl-2-methylsulfanyl-1H-benzimidazole', 'Triclabendazole [BAN:INN]', '5-chloro-6-(2,3-dichlorophenoxy)-2-methylsulfanyl-1H-benzimidazole', 'Fasinex (TN)', 'CGA-89317', 'Egaten (TN)', 'DSSTox_CID_23952', 'DSSTox_RID_80094', 'DSSTox_GSID_43952', 'Oprea1_236106', 'Triclabendazole (USAN/INN)', 'cid_50248', 'MLS000759473', 'MLS000876812', 'SCHEMBL165712', 'BEN631', 'DTXSID7043952', 'BDBM58491', 'CHEBI:94759', 'CTK5C8452', 'KS-00000KPE', 'Triclabendazole [USAN:INN:BAN]', '6-chloro-5-(2,3-dichlorophenoxy)-2-methylthiobenzimidazole', 'HMS2051E16', 'HMS2232D14', 'HMS3370H02', 'HMS3393E16', 'HMS3652M16', 'HMS3715P16', 'HMS3744I09', 'KUC103451N', 'Pharmakon1600-01505786', 'HY-B0621', 'ZINC1444556', 'Tox21_112231', '1H-Benzimidazole, 6-chloro-5-(2,3-dichlorophenoxy)-2-(methylthio)-', 'ANW-42745', 'NSC759250', 's4114', 'STK332284', 'AKOS005439340', 'AKOS015950804', 'AC-7627', 'API0004496', 'CCG-100881', 'CCG-268150', 'CS-2859', 'DB12245', 'KS-5329', 'MCULE-8131756770', 'MP-0274', 'NC00131', 'NSC-759250', 'SB17173', 'NCGC00164610-02', 'BR-68238', 'I018', 'LS-32758', 'SC-17720', 'SBI-0207022.P001', 'AB0013427', 'AX8034628', 'CAS-68786-66-3', 'FT-0602564', 'NS00000576', 'SW197511-2', 'D07364', 'AB00639964-10', 'AB00639964_12', 'AB00639964_13', '786T663', 'A836250', 'Q419739', 'SR-01000759363', 'SR-01000759363-4', 'Triclabendazole, VETRANAL(TM), analytical standard', 'BRD-K81916719-001-05-5', '6-Chloro-5-(2,3-dichlorophenoxy)-2-(methylthio)benzimidazole', '6-CHLORO-5-(2,3-DICHLOROPHENOXY)-2-METHYLTHIO-BENZ', 'Triclabendazole, EuropePharmacopoeia (EP) Reference Standard', '5-Chloro-6-(2,3-dichlorophenoxy)-2-(methylsulfanyl)-1H-benzimidazole', '5-chloro-6-(2,3-dichlorophenoxy)-2-(methylthio)-1H-benzo[d]imidazole', '6-chloro-5-(2,3-dichlorophenoxy)-2-(methylsulfanyl)-1H-1,3-benzodiazole', '6-chloro-5-(2,3-dichlorophenoxy)-2-(methylsulfanyl)-1H-benzimidazole', 'Triclabendazole for system suitability, EuropePharmacopoeia (EP) Reference Standard', 'triclabendazole;5-Chloro-6-(2,3-dichlorophenoxy)-2-(methylthio)-1H- benzimidazole']</t>
  </si>
  <si>
    <t>Compound(50248)</t>
  </si>
  <si>
    <t>C14H9Cl3N2OS</t>
  </si>
  <si>
    <t>tricyclohexyltin (cation)</t>
  </si>
  <si>
    <t>1-(4-chlorophenyl)-3-(3,4-dichlorophenyl)urea</t>
  </si>
  <si>
    <t>['Triclocarban', '101-20-2', '1-(4-Chlorophenyl)-3-(3,4-dichlorophenyl)urea', 'Solubacter', 'Cutisan', 'Procutene', "3,4,4'-TRICHLOROCARBANILIDE", 'Genoface', 'Trilocarban', 'Cusiter', "N-(4-Chlorophenyl)-N'-(3,4-dichlorophenyl)urea", 'Trichlorocarbanilide', "3,4,4'-Trichlorodiphenylurea", "Urea, N-(4-chlorophenyl)-N'-(3,4-dichlorophenyl)-", 'Trichlocarban', 'Triclocarbanum', 'TCC', "3,4,4'-trichloro carbanilide", "1-(3',4'-Dichlorophenyl)-3-(4'-chlorophenyl)urea", 'TCC Soap', 'Caswell No. 874', 'ENT 26925', 'NSC-72005', 'TCC (soap bacteriostat)', 'UNII-BGG1Y1ED0Y', 'CP 78416', "N-(3,4-Dichlorophenyl)-N'-(4-chlorophenyl)urea", "Carbanilide, 3,4,4'-trichloro-", 'Triclocarban [USAN:INN]', 'Triclocarbanum [INN-Latin]', 'C13H9Cl3N2O', 'NSC 72005', 'CCRIS 4880', 'HSDB 5009', 'EINECS 202-924-1', 'BGG1Y1ED0Y', 'EPA Pesticide Chemical Code 027901', 'BRN 2814890', 'AI3-26925', 'CHEBI:48347', 'NSC72005', 'trichlorcarban', 'NCGC00164034-01', 'DSSTox_CID_6214', 'DSSTox_RID_78062', 'DSSTox_GSID_26214', 'Q-201865', 'Septivon-Lavril', 'CAS-101-20-2', 'Nipaguard TCC', '9EG', 'N-(4-Chlorophenyl)-N-(3,4-dichlorophenyl)-Urea', 'Urea,4-dichlorophenyl)-', 'Triclocarban (USP/INN)', 'Urea-based compound, 11', "3,4'-Trichlorocarbanilide", 'TRICLOCARBAN;triclocarban', 'EC 202-924-1', "3,4'-Trichlorodiphenylurea", 'cid_7547', 'NCIOpen2_008923', 'SCHEMBL68658', 'WLN: GR DMVMR CG DG', '4-12-00-01265 (Beilstein Handbook Reference)', 'MLS002415563', "Carbanilide,4,4'-trichloro-", 'CHEMBL1076347', 'DTXSID4026214', 'BDBM25730', 'CTK7G5073', 'Triclocarban, analytical standard', 'ZINC121480', 'HY-B1805', 'KS-000000YY', 'Tox21_112078', 'Tox21_202030', 'Tox21_300481', 'LS-328', 'MFCD00013254', 's6444', 'STK730440', "3,4,4'-Trichlorocarbanilide, 99%", 'AKOS001713711', 'Tox21_112078_1', 'CS-7760', 'DB11155', 'KS-5290', 'MCULE-7925567906', 'NCGC00164034-02', 'NCGC00164034-03', 'NCGC00164034-04', 'NCGC00164034-05', 'NCGC00254243-01', 'NCGC00259579-01', 'AC-12602', 'AK163703', 'SMR001339078', 'ST011927', 'AX8081482', 'FT-0614114', 'NS00000454', 'D06223', 'J10256', '3-(4-chlorophenyl)-1-(3,4-dichlorophenyl)urea', 'C-49798', 'Q416579', 'SR-01000860289', "N-(4-chlorophenyl)-N'-(3,4-dichlorophenyl)-urea", 'SR-01000860289-2', '[(3,4-dichlorophenyl)amino]-N-(4-chlorophenyl)carboxamide', 'US8815951, 3-(4-chlorophenyl)-1-(3,4-dichlorophenyl)urea', 'Triclocarban, United States Pharmacopeia (USP) Reference Standard', '3,4,4` Trichlorocarbanilide (Triclocarban), Pharmaceutical Secondary Standard; Certified Reference Material']</t>
  </si>
  <si>
    <t>Compound(7547)</t>
  </si>
  <si>
    <t>C13H9Cl3N2O</t>
  </si>
  <si>
    <t>tricyclazole</t>
  </si>
  <si>
    <t>8-methyl-[1,2,4]triazolo[3,4-b][1,3]benzothiazole</t>
  </si>
  <si>
    <t>['TRICYCLAZOLE', '41814-78-2', 'Tricyclazone', 'Blascide', 'Beam', 'Sivic', 'Pilarblas', 'Tizole', 'Trizole', 'Elanco 291', 'Blas-T', '2,7,8,9-Tricyclazole', '8-methyl-[1,2,4]triazolo[3,4-b][1,3]benzothiazole', 'Caswell No. 884C', 'UNII-R7U3MEU7VR', '5-Methyl[1,2,4]triazolo[3,4-b][1,3]benzothiazole', 'C9H7N3S', '5-Methyl-1,2,4-triazole(3,4-b)benzothiazole', 'Tricyclazole [ANSI:BSI:ISO]', 'CHEBI:81783', 'EINECS 255-559-5', '5-Methyl-1,2,4-triazolo[3,4-b]benzothiazole', 'EL-291', 'R7U3MEU7VR', 'EPA Pesticide Chemical Code 120201', '1,2,4-Triazolo[3,4-b]benzothiazole, 5-methyl-', 'BRN 0980261', '5-Methyl-1,2,4-triazolo(3,4-b)(1,3)benzothiazole', '5-Methylbenzo[4,5]thiazolo[2,3-c][1,2,4]triazole', 's-Triazolo(3,4-b)benzothiazole, 5-methyl-', '5-METHYL-1,2,4-TRIAZOLO[3,4-B]BENZO-1,3-THIAZOLE', '5-Methyl-1,2,4-triazolo(3,4-b)benzothiazole', '1,2,4-Triazolo(3,4-b)benzothiazole, 5-methyl-', '5-Methyl-1,2,4-triazolo(3,4-b)benzo-1,3-thiazole', 'Tricyclazol', 'BEA', 'Tricyclozole', 'El 291', 'DSSTox_CID_17478', 'DSSTox_RID_79320', 'DSSTox_GSID_37478', 'SCHEMBL23082', 'KSC585E6F', '5-Methyl-1,2,4-triazolo(3,4-b)benzothiazole (9CI)', 'CHEMBL357021', 'DTXSID7037478', 'CTK4I5262', 'DQJCHOQLCLEDLL-UHFFFAOYSA-', '1,2,4-Triazolo(3,4-b)benzothiazole, 5-methyl- (9CI)', 'EBD48916', 'HY-B0848', 'KS-000010FJ', 'ZINC2006632', 'Tox21_302419', 'BDBM50182418', 'AKOS006227856', 'DB02891', 'Pesticide5_Tricyclazole_C9H7N3S_Beam', 'NCGC00163820-01', 'NCGC00255465-01', '5-Methyl-S-Triazolo(3,4-b)benzothiazole', '5-methyl-striazolo-[3,4-b]benzothiazole', 'AC-12491', 'AS-14881', 'M985', 'Tricyclazole 10 microg/mL in Cyclohexane', 'CAS-41814-78-2', 'DB-050809', 'LS-156425', 'CS-0012862', 'FT-0630622', 'NS00006721', 'C18492', 'Tricyclazol, PESTANAL(R), analytical standard', 'Z-1968', '814T782', 'A825664', 'W-106294', '5-Methyl-1,2,4-triazolo[3,4-b]benzothiazole, 9CI', 'Q15632715', '5-Methyl[1,2,4]triazolo[3,4-b][1,3]benzothiazole #', '12-methyl-7-thia-2,4,5-triazatricyclo[6.4.0.0(2),]dodeca-1(12),3,5,8,10-pentaene', '12-methyl-7-thia-2,4,5-triazatricyclo[6.4.0.0^{2,6}]dodeca-1(12),3,5,8,10-pentaene', '2,7,8,9-Tricyclazole;tricyclazole;5-methyl-1,2,4-triazolo[3,4-b]benzo-1,3-thiazole', '5-Methyl-1,2,4-triazolo[3,4-b]benzo-1,3-thiazole; Methyl-1,2,4-triazolo(3,4-b)benzothiazole']</t>
  </si>
  <si>
    <t>Compound(39040)</t>
  </si>
  <si>
    <t>C9H7N3S</t>
  </si>
  <si>
    <t>1,3-bis(3-chlorophenyl)-2-(trichloromethyl)imidazolidine</t>
  </si>
  <si>
    <t>['Trichlophenidine', 'TRICHLOPHENIDIN', '53720-80-2', '1,3-Bis(3-chlorophenyl)-2-(trichloromethyl)imidazolidine', 'Trichlodine', 'EINECS 258-726-0', 'AI3-29199', 'SCHEMBL395284', 'DTXSID60201990', 'ZINC2517011', 'NS00022327', '1,3-bis-(3-Chlorophenyl)-2-(trichloromethyl)imidazolidine']</t>
  </si>
  <si>
    <t>Compound(93289)</t>
  </si>
  <si>
    <t>C16H13Cl5N2</t>
  </si>
  <si>
    <t>triclopyr-butoxyethyl ester</t>
  </si>
  <si>
    <t>2-butoxyethyl 2-(3,5,6-trichloropyridin-2-yl)oxyacetate</t>
  </si>
  <si>
    <t>['Triclopyr-butotyl', '64700-56-7', 'Triclopyr butoxyethyl ester', 'Garlon 4', 'Triclopyr 2-butoxyethyl ester', 'Garlon 4E', 'Caswell No. 882K', 'Triclopyr-butotyl [ISO]', 'Triclopyr butotyl', 'UNII-6PJY10R5MV', 'Triclopyr-2-butoxyethyl ester', 'Butoxyethyl triclopyr', 'EINECS 265-024-8', 'EPA Pesticide Chemical Code 116004', '6PJY10R5MV', 'Acetic acid, [(3,5,6-trichloro-2-pyridinyl)oxy]-, 2-butoxyethyl ester', 'M 4021', 'Trichlopyr-2-butoxyethyl ester (TBE)', '64470-88-8', '2-Butoxyethyl [(3,5,6-trichloropyridin-2-yl)oxy]acetate', '(3,5,6-Trichloro-2-pyridinyl)oxyacetic acid, butoxyethyl ester', '((3,5,6-Trichloro-2-pyridinyl)oxy)acetic acid 2-butoxyethyl ester', 'W-104824', '2-Butoxyethyl ((3,5,6-trichloropyridin-2-yl)oxy)acetate', 'Acetic acid, ((3,5,6-trichloro-2-pyridinyl)oxy)-, 2-butoxyethyl ester', 'Triclopyr 2-butoxyethylester', 'Triclopyr-(2-butoxyethyl)', 'Triclopyr BEE', 'Triclopyrbutoxyethyl', 'Triclopyr metabolite', '2-butoxyethyl 2-(3,5,6-trichloropyridin-2-yl)oxyacetate', 'DSSTox_CID_12579', 'DSSTox_RID_78994', 'DSSTox_GSID_32579', 'SCHEMBL167359', 'CHEMBL3184836', 'DTXSID5032579', 'CTK5C1276', '2-Butoxyethyl ((3,4,6-trichloro-2-pyridinyl)oxy)acetate', 'ZINC1845279', 'Tox21_301913', 'Acetic acid, 2-[(3,5,6-trichloro-2-pyridinyl)oxy]-, 2-butoxyethyl ester', 'AKOS028108430', 'NCGC00255180-01', 'LS-12961', 'CAS-64700-56-7', 'DB-073527', 'AM20061404', 'FT-0768725', 'NS00002957', '700T567', 'Q26840778', '2-butoxyethyl 2-(3,5,6-trichloropyridin-2-yloxy)acetate', '3,5,6-Trichloro-2-pyridinyloxyactic acid 2-butoxyethyl ester', 'Triclopyr 2-butoxyethylester, PESTANAL(R), analytical standard', 'Acetic acid, ((3,4,6-trichloro-2-pyridinyl)oxy)-, 2-butoxyethyl ester', 'Triclopyr-butotyl;2-butoxyethyl [(3,5,6-trichloropyridin-2-yl)oxy]acetate']</t>
  </si>
  <si>
    <t>Compound(47455)</t>
  </si>
  <si>
    <t>C13H16Cl3NO4</t>
  </si>
  <si>
    <t>2-(3,5,6-trichloropyridin-2-yl)oxyacetic acid</t>
  </si>
  <si>
    <t>['TRICLOPYR', '55335-06-3', 'Garlon', 'Redeem', 'Garlon 2', 'Confront', 'Dowco 233', 'Trichlopyr', 'Turflon', 'Garlon 250', '2-((3,5,6-Trichloropyridin-2-yl)oxy)acetic acid', '3,5,6-Trichloro-2-pyridyloxyacetic acid', 'Grazon ET', 'Triclopyr [ANSI]', 'Caswell No. 882I', 'NSC 190671', '((3,5,6-Trichloro-2-pyridinyl)oxy)acetic acid', 'UNII-MV06PHJ6I0', 'Acetic acid, [(3,5,6-trichloro-2-pyridinyl)oxy]-', '2-(3,5,6-trichloropyridin-2-yl)oxyacetic acid', 'HSDB 7060', 'EINECS 259-597-3', '[(3,5,6-trichloropyridin-2-yl)oxy]acetic acid', 'EPA Pesticide Chemical Code 116001', 'BRN 0225301', 'MV06PHJ6I0', 'CHEBI:9682', 'Acetic acid, ((3,5,6-trichloro-2-pyridinyl)oxy)-', 'NCGC00163927-04', 'AK129224', '3,4,5-Trichloro-2-pyridinyloxyacetic acid', '((3,5,6-Trichloropyridin-2-yl)oxy)acetic acid', '[(3,5,6-Trichloro-2-pyridinyl)oxy]acetic acid', 'Acetic acid, (3,5,6-trichloro-2-pyridyloxy)-', 'W-105569', 'Acetic acid, 2-[(3,5,6-trichloro-2-pyridinyl)oxy]-', 'Remedy', 'Release [Pesticide]', 'Triclopyr [ANSI:ISO]', 'C7H4Cl3NO3', 'Acetic acid, 2-((3,5,6-trichloro-2-pyridinyl)oxy)-', 'DSSTox_CID_12497', 'DSSTox_RID_78957', '2-[(3,5,6-trichloro-2-pyridyl)oxy]acetic acid', 'DSSTox_GSID_32497', 'SCHEMBL37162', '4-21-00-00362 (Beilstein Handbook Reference)', 'CHEMBL1865925', 'DTXSID0032497', 'ZINC900723', 'KS-00000H7Q', 'Triclopyr 10 microg/mL in Acetone', 'WLN: T6NJ BO1VQ CG EG FG', 'Tox21_400073', 'NSC190671', 'Triclopyr 100 microg/mL in Acetone', 'AKOS015895897', 'AC-2622', 'FCH1320078', 'KS-5287', 'NSC-190671', 'NCGC00163927-01', 'NCGC00163927-02', 'NCGC00163927-03', 'NCGC00163927-05', 'Triclopyr 100 microg/mL in Acetonitrile', 'CC-35296', 'LS-12963', 'AX8155121', 'CAS-55335-06-3', 'DB-052715', 'Acetic acid,5,6-trichloro-2-pyridyl)oxy]-', 'FT-0630678', 'NS00000442', '[(3,6-Trichloro-2-pyridinyl)oxy]acetic acid', 'Acetic acid,5,6-trichloro-2-pyridinyl)oxy]-', 'Triclopyr, PESTANAL(R), analytical standard', 'C11032', 'K-9887', '2-(3,5,6-trichloropyridin-2-yloxy)acetic acid', '[(3,5,6-trichloropyridin-2-yl)oxy]ethanoic acid', '335T063', 'Acetic acid, ((3,5,6-trichloro-2-pyridyl)oxy)-', 'C-15956', 'Q2303660', 'Acetic acid, ((3,5,6-trichloro-2-pyridinyl)oxy)- (9CI)', 'SBK']</t>
  </si>
  <si>
    <t>Compound(41428)</t>
  </si>
  <si>
    <t>C7H4Cl3NO3</t>
  </si>
  <si>
    <t>tricresyl phosphate</t>
  </si>
  <si>
    <t>tris(4-methylphenyl) phosphate</t>
  </si>
  <si>
    <t>['TRI-P-CRESYL PHOSPHATE', '78-32-0', 'TRICRESYL PHOSPHATE', 'Tri-p-tolyl phosphate', 'Tris(4-methylphenyl) phosphate', 'Tritolyl phosphate', 'Phosphoric acid, tris(4-methylphenyl) ester', 'Tpcp', 'Phosphoric acid, tri-p-tolyl ester', 'tri-p-tolylphosphate', 'Phosphoric Acid Tricresyl Ester', 'UNII-5149JKD098', 'HSDB 2559', 'NSC 2181', 'Phosphoric acid, tri(4-tolyl)ester', 'EINECS 201-105-6', 'Tris(methylphenyl) phosphate', 'Phosphoric acid, tris(methylphenyl) ester', 'AI3-04490', 'p-Tolyl phosphate ((C7H7O)3PO)', '5149JKD098', '4-methylphenyl di4-methylphenyl phosphate', 'DSSTox_CID_1391', 'DSSTox_RID_76133', 'DSSTox_GSID_21391', 'TPC', 'Tricresyl phosphates', 'CAS-1330-78-5', 'tris-p-tolyl phosphate', 'Imol S-140', 'Tolylphosphate', 'Kronitex', 'Lindol', 'Durad', 'tritolylphosphate', 'Cresyl phosphate', 'Disflamoll TKP', 'Celluflex 179C', 'trip-tolyl phosphate', 'Phosflex 179A', 'Fyrquel 150', 'Caswell No. 884', 'Flexol Plasticizer TCP', 'Thiorthocresyl phosphate', 'Tritolylfosfat [Czech]', 'Tri-4-cresyl phosphate', 'ACMC-209pdy', 'Trikresylfosfat [Czech]', 'Tris(p-cresyl) phosphate', 'Union carbide flexol TCP', 'Tricresylfosfaten [Dutch]', 'Tricresilfosfati [Italian]', 'Tri-4-cresylphosphat (p)', 'Union carbide flexo l TCP', 'Trikresylphosphate [German]', 'Phosphoric acid, tolyl ester', 'SCHEMBL21582', 'Tris(tolyloxy)phosphine oxide', 'KSC489S5B', 'Tris(p-methylphenyl) phosphate', 'CCRIS 5947', 'IMOL S 140', 'Phosphoric acid, tritolyl ester', 'CHEMBL1596847', 'DTXSID5052676', 'CTK3I9950', 'HSDB 6774', 'KS-00000WBG', 'NSC2181', 'Phosphate de tricresyle [French]', 'NCI-C61041', 'Phosphoric Acid Tri-p-tolyl Ester', 'Tritolyl phosphate, &lt;1% o-isomer', 'Phosphoric Acid Tri-p-cresyl Ester', 'NSC-2181', 'Tricresyl phosphate, &lt;1% o-isomer', 'Tricresyl phosphate, &gt;3% o-isomer', 'ZINC1577195', 'EINECS 215-548-8', 'Tox21_201546', 'Tox21_302886', 'ANW-37172', 'BBL000008', 'LS-768', 'Phosphoric acid tris(4-methylphenyl)', 'PX-917', 'STK368776', 'UN2574', 'AKOS005208650', 'Tritolyl phosphate, not &lt;1% o-isomer', 'EPA Pesticide Chemical Code 083401', 'LS-1743', 'MCULE-8178529561', 'Tricresyl phosphate, not &lt;1% o-isomer', 'Phosphoric acid tris(methylphenyl) ester', 'NCGC00091176-01', 'NCGC00091176-02', 'NCGC00091176-03', 'NCGC00164427-01', 'NCGC00256457-01', 'NCGC00260672-01', 'Tricresyl phosphate (Tritolyl phosphate)', 'I588', 'Phosphoric acid tris(methylphenyl)  ester', 'ST011996', 'tris(methylphenyl)ester of phosphoric acid', 'Phosphoric acid, tri-p-tolyl ester (8CI)', 'AI3-16771', 'FT-0696540', 'FT-0737184', 'NS00008724', 'NS00099448', 'T6978', 'C-47385', 'Q26840796', 'Tritolyl phosphate technical grade, mixture of isomers', 'Tricresyl phosphate with &gt;3% ortho isomer [UN2574] [Poison]', 'UNII-512641US16 component BOSMZFBHAYFUBJ-UHFFFAOYSA-N']</t>
  </si>
  <si>
    <t>Compound(6529)</t>
  </si>
  <si>
    <t>C21H21O4P</t>
  </si>
  <si>
    <t>5-chloro-2-(2,4-dichlorophenoxy)phenol</t>
  </si>
  <si>
    <t>['triclosan', '3380-34-5', '5-CHLORO-2-(2,4-DICHLOROPHENOXY)PHENOL', "2,4,4'-Trichloro-2'-hydroxydiphenyl ether", 'Irgasan', 'Cloxifenolum', 'Triclosanum', 'Irgasan DP300', 'Phenol, 5-chloro-2-(2,4-dichlorophenoxy)-', 'Stri-Dex Face Wash', 'Lexol 300', 'Stri-Dex Cleansing Bar', '5-Chloro-2-(2,4-dichloro-phenoxy)-phenol', 'Triclosanum [INN-Latin]', 'CH 3565', 'DP-300', 'Caswell No. 186A', 'C12H7Cl3O2', 'UNII-4NM5039Y5X', 'HSDB 7194', 'CHEBI:164200', "Ether, 2'-hydroxy-2,4,4'-trichlorodiphenyl", "Phenyl ether, 2'-hydroxy-2,4,4'-trichloro-", 'EINECS 222-182-2', 'CHEMBL849', 'EPA Pesticide Chemical Code 054901', 'BRN 2057142', "2,4,4'-Trichloro-2'-hydroxy diphenyl ether", '4NM5039Y5X', 'MFCD00800992', 'TCL', 'NCGC00159417-02', 'NCGC00159417-05', 'NCGC00159417-06', 'AK-73001', 'Aquasept', 'Sapoderm', 'DSSTox_CID_12498', 'DSSTox_RID_78958', 'DSSTox_GSID_32498', 'Q-201866', 'Irgasan DP 300', 'Cloxifenol', '2-(2,4-dichlorophenoxy)-5-chlorophenol', 'SMR000471847', 'Triclosan [USAN:BAN:INN]', 'CAS-3380-34-5', "2-Hydroxy-2',4,4'-trichlorodiphenyl Ether", 'Triclosan (USP/INN)', 'SR-01000762974', 'Trichlorosan', 'Sterzac', 'Stri-Dex cleansing bar (TN)', 'CCRIS 9253', 'Triclosan USP', '1nhg', 'Triclosan [USAN:USP:INN:BAN]', 'Triclosan; Irgasan', 'Irgasan (Triclosan)', 'Irgasan DP 30', 'TCCP', 'PubChem9026', 'CH-3565', 'Neostrata Antibacterial Facial Cleanser', '3p9t', '4w9n', 'Epitope ID:119683', 'SCHEMBL3269', 'KSC498G0D', 'MLS001066347', 'MLS001074876', 'MLS001335937', 'MLS001335938', '[DID-no:2418]', 'BDBM8726', 'ZINC2216', 'DTXSID5032498', 'CTK3J8301', 'BII1002', 'ZX-AFC000465', 'HMS2093L17', 'HMS2270M06', 'HMS3259K19', 'HMS3715H11', 'HMS3872N03', 'Pharmakon1600-01505465', 'Irgasan, &gt;=97.0% (HPLC)', 'DNDI1246774', 'HY-B1119', 'KS-000009AG', 'Tox21_111648', 'Tox21_400079', 'ANW-42338', 'DP 300', 'GA5716', 'NSC759151', 's4541', 'SBB058565', 'STL451034', 'AKOS015850380', 'Tox21_111648_1', 'API0004498', 'CCG-213459', 'CH-3635', 'CS-4718', 'DB08604', 'KS-5356', 'MCULE-2614621397', 'NC00516', 'NSC-759151', 'Triclosan 10 microg/mL in Cyclohexane', 'NCGC00159417-03', 'NCGC00159417-04', 'NCGC00159417-07', 'NCGC00159417-08', "2,4,4'-trichloro-2'-hydroxydiphenylethe", 'AC-10667', 'BR-73001', 'LS-67854', 'SC-16588', '5-chloro-2-(2, 4-dichlorophenoxy)phenol', 'SBI-0206807.P001', 'AX8020299', '5-chloro-2-(2,4-di-chloro-phenoxy)-phenol', 'FT-0609773', 'NS00010282', 'ST50826110', 'C12059', 'D06226', 'J10025', 'M-6446', 'S00100', '5-Chloro-2-(2,4-dichlorophenoxy)phenol, 97%', 'AB00698074_08', 'Triclosan, Antibiotic for Culture Media Use Only', '380T345', 'A821950', 'C-18186', 'Q408646', '2-[2,4-bis(chloranyl)phenoxy]-5-chloranyl-phenol', 'SR-01000762974-2', 'SR-01000762974-3', 'BRD-K41731458-001-04-5', 'BRD-K41731458-001-09-4', 'Triclosan, certified reference material, TraceCERT(R)', 'F2173-0825', 'Triclosan, United States Pharmacopeia (USP) Reference Standard', 'Triclosan, Pharmaceutical Secondary Standard; Certified Reference Material', "2,4,4'-Trichloro-2'-hydroxydiphenyl ether;TRICLOSAN;triclosan;Sodium 5-chloro-2-(2,4-dichlorophenoxy)phenolate;Potassium 5-chloro-2-(2,4-dichlorophenoxy)phenolate"]</t>
  </si>
  <si>
    <t>Compound(5564)</t>
  </si>
  <si>
    <t>C12H7Cl3O2</t>
  </si>
  <si>
    <t>tridemorph</t>
  </si>
  <si>
    <t>2,6-dimethyl-4-tridecylmorpholine</t>
  </si>
  <si>
    <t>['Tridemorph', '2,6-DIMETHYL-4-TRIDECYLMORPHOLINE', '24602-86-6', 'Calixine', 'Calixin', 'Kalinin', 'F 220 (fungicide)', 'Tridemorphe', 'Kalixin', '81412-43-3', 'Morpholine, 2,6-dimethyl-4-tridecyl-', 'N-Tridecyl-2,6-dimethylmorpholine', 'BASF 220F', 'Tridemorph [ISO]', 'Tridemorf', 'Tridemorph [BSI:ISO]', 'Tridemorf [Czech]', 'BAS 2203F', '4-Tridecyl-2,6-dimethylmorpholine', 'Caswell No. 386', 'N-Tridecyl-2,6-dimethylmorpholin', 'BAS 2205-F', 'Tridemorphe [ISO-French]', 'NSC 232676', 'E-236', 'Dimethyl-2,6 tridecyl-4 morpholine', 'EINECS 246-347-3', 'Morpholine,2,6-dimethyl-4-tridecyl-', 'EPA Pesticide Chemical Code 121401', 'Morpholine, 2,6-dimethyl-N-tridecyl-', 'BRN 0608429', 'N-Tridecyl-2,6-dimethylmorpholin [German]', 'Dimethyl-2,6 tridecyl-4 morpholine [French]', '2,6-dimethyl-4-tridecyl-morpholine', 'Tridemorpn', 'Elbamorph', 'Frog', 'Tridemorph(ISO)', 'DSSTox_CID_21376', 'DSSTox_RID_79708', 'DSSTox_GSID_41376', 'SCHEMBL28670', 'CHEMBL2286765', 'DTXSID3041376', 'CHEBI:83365', 'CTK4F3999', 'Morpholine,6-dimethyl-4-tridecyl-', '2,6-dimethyl-n-tridecyl-morpholine', 'Tox21_300591', 'NSC232676', 'AKOS015914987', 'NSC-232676', 'NCGC00248097-01', 'NCGC00254333-01', 'AC-19786', 'L129', 'LS-92802', 'CAS-24602-86-6', 'DB-056525', 'LS-157176', 'FT-0630893', 'FT-0651743', 'NS00004563', 'Tridemorph, PESTANAL(R), analytical standard', '(2Xi,6Xi)-2,6-dimethyl-4-tridecylmorpholine', 'C11285', 'A817389', 'A840125', 'Q209280', 'J-015587']</t>
  </si>
  <si>
    <t>Compound(32518)</t>
  </si>
  <si>
    <t>C19H39NO</t>
  </si>
  <si>
    <t>['13494-80-9', 'Te', 'Tellurium', 'Telloy', 'Tellur', 'Aurum paradoxum', 'Tellurium element', 'Tellur [Polish]', 'Metallum problematum', 'Tellurium, metallic', 'Tellurium, elemental', 'Tellurium Atom', 'UNII-NQA0O090ZJ', 'HSDB 2532', 'Tellurium and compounds', 'NCI-C60117', 'EINECS 236-813-4', 'NQA0O090ZJ', 'teluro', 'Tellurium, 99+%, (trace metal basis), powder', 'Tellurium, 99.999%, (trace metal basis), powder', 'tellure', 'Tellurium compounds, n.o.s.', 'Tellurium, 99.8%, (trace metal basis), powder, -200 mesh', 'Tellurium powder', 'Tellurium compounds', 'ACMC-1BQVR', '52Te', 'EC 236-813-4', 'Tellurium compound, n.o.s.', 'KSC174E4F', 'DTXSID9032119', 'CHEBI:30452', 'CTK0H4242', 'HSDB 7057', 'KS-00000WLE', 'Tellurium Nanoparticle Dispersion', 'DTXSID20228446', 'LS-786', 'SBB061183', 'UN3284', 'AKOS024390937', 'LS-148689', 'FT-0695041', 'Q1100', 'ST51047235', 'Tellurium, ingot, 99.999% trace metals basis', 'Tellurium, pieces, 99.999% trace metals basis', 'T013000000', 'Tellurium, shot, 1-2 mm, 99.999% trace metals basis', 'Tellurium, plasma standard solution, Specpure, Te 10g/ml', 'Tellurium, powder, -200 mesh, 99.8% trace metals basis', 'Tellurium, powder, -30 mesh, 99.997% trace metals basis', 'Tellurium, granular, -5-+50 mesh, 99.99% trace metals basis', 'Tellurium, pieces, 1-10 mm, 99.9999% trace metals basis', 'Tellurium compound, n.o.s. [UN3284]  [Poison, Keep away from food]']</t>
  </si>
  <si>
    <t>Compound(6327182)</t>
  </si>
  <si>
    <t>tellurium 123m (metastable)</t>
  </si>
  <si>
    <t>tellurium 127m (metastable)</t>
  </si>
  <si>
    <t>tellurium 129m (metastable)</t>
  </si>
  <si>
    <t>tellurium-132</t>
  </si>
  <si>
    <t>['Tellurium-132', 'Tellurium, isotope of mass 132', '132Te', '14234-28-7']</t>
  </si>
  <si>
    <t>Compound(6336614)</t>
  </si>
  <si>
    <t>tellurium-133</t>
  </si>
  <si>
    <t>['Tellurium-133', 'Tellurium, isotope of mass 133', '133Te', '15759-52-1']</t>
  </si>
  <si>
    <t>Compound(6337091)</t>
  </si>
  <si>
    <t>6-chloro-2-N,2-N,4-N-triethyl-1,3,5-triazine-2,4-diamine</t>
  </si>
  <si>
    <t>['TRIETAZINE', 'Triethazine', 'Gesafloc', '1912-26-1', 'Aventox', 'Bronox', 'Remtal', 'Chlortriazine', 'Caswell No. 885', '2-Ethylamino-4-diethylamino-6-chlortriazine', 'NSC 13908', 's-Triazine, 2-chloro-4-(diethylamino)-6-(ethylamino)-', "1,3,5-Triazine-2,4-diamine, 6-chloro-N,N,N'-triethyl-", 'Trietazine [ANSI:BSI:ISO]', 'UNII-6O99365GHN', 'NC 1667', 'G 27901', '2-Chloro-4-(diethylamino)-6-(ethylamino)-s-triazine', 'EINECS 217-618-3', '2-Ethylamino-4-diethylamino-6-chloro-s-triazine', 'EPA Pesticide Chemical Code 080809', 'BRN 0016028', "6-Chloro-N,N,N'-triethyl-1,3,5-triazine-2,4-diamine", 'AI3-60363', '6-Chloro-N2,N2,N4-triethyl-1,3,5-triazine-2,4-diamine', '6O99365GHN', '2-Chloro-4-diethylamino-6-ethylamino-1,3,5-triazine', '1,3,5-Triazine-2,4-diamine, 6-chloro-N2,N2,N4-triethyl-', '6-Chloro-N(sup 2),N(sup 2),N(sup 4)-triethyl-1,3,5-triazine-2,4-diamine (IUPAC)', '6-chloro-2-N,2-N,4-N-triethyl-1,3,5-triazine-2,4-diamine', 'SCHEMBL65969', 'DTXSID2042488', 'CHEBI:81979', 'NSC13908', 's-Triazine, 2-chloro-4-(diethylamino)-6-(ethylamino)- (8CI)', 'ZINC1592069', 'NSC-13908', 'AKOS009157958', 'ACM1912261', 'Trietazine 10 microg/mL in Acetonitrile', 'BBV-34998873', 'WLN: T6N CN ENJ BN2&amp;2 DM2 FG', 'LS-155186', 'FT-0736423', 'NS00001895', 'Trietazine, PESTANAL(R), analytical standard', 'C18814', '2-Chloro-4-ethylamino-6-diethylamino-s-triazine', '33282-EP2305655A2', '33282-EP2311815A1', '33282-EP2371823A1', 'Q1940146', "1,5-Triazine-2,4-diamine, 6-chloro-N,N,N'-triethyl-", '1,3,5-Triazine-2,4-diamine,6-chloro-N2,N2,N4-triethyl-']</t>
  </si>
  <si>
    <t>Compound(15951)</t>
  </si>
  <si>
    <t>C9H16ClN5</t>
  </si>
  <si>
    <t>triphen morph</t>
  </si>
  <si>
    <t>4-tritylmorpholine</t>
  </si>
  <si>
    <t>['Trifenmorph', '4-Tritylmorpholine', 'Triphenmorphe', 'N-Tritylmorpholine', '4-(Triphenylmethyl)morpholine', 'FRESCON', '1420-06-0', 'Morpholine, 4-trityl-', 'Shell WL 8008', 'Morpholine, 4-(triphenylmethyl)-', 'Caswell No. 898A', 'Morpholine, N-trityl-', 'Trifenmorph [ISO:BSI]', 'UNII-H1IL51K9CW', 'WL 8008', 'N-(Triphenyl-methyl)morpholine', 'HSDB 1785', 'EINECS 215-812-2', 'EPA Pesticide Chemical Code 498300', 'BRN 1223254', 'H1IL51K9CW', 'AI3-51843', 'CHEBI:82264', '4-Trityl-Morpholin', '4-Tritylmorpholine #', 'N-(triphenylmethyl)morpholine', 'SCHEMBL435727', '4-Trityl-Morpholin;trifenmorph', 'CHEMBL2086832', 'DTXSID6042492', 'ZINC19912832', 'AKOS003382578', 'MCULE-5852140080', 'NCGC00160549-01', 'LS-93503', 'NS00002621', 'ST45024424', 'C19144', 'Q27155848']</t>
  </si>
  <si>
    <t>Compound(14993)</t>
  </si>
  <si>
    <t>C23H23NO</t>
  </si>
  <si>
    <t>2-chloro-N-[[4-(trifluoromethoxy)phenyl]carbamoyl]benzamide</t>
  </si>
  <si>
    <t>['Triflumuron', '64628-44-0', 'Alsystin', 'Trifluron', 'Mascot', 'Alsystine', 'Bay-sir 8514', 'Triflumuron [ISO]', 'Caswell No. 217C', 'UNII-3FT64DYG8K', 'SIR 8514', 'BAY-Vi 7533', 'OMS 2015', 'EINECS 264-980-3', 'EPA Pesticide Chemical Code 118201', '2-Chloro-N-(((4-(trifluoromethoxy)phenyl)amino)carbonyl)benzamide', 'BRN 2776684', '3FT64DYG8K', 'AI3-29368', '2-chloro-N-[[4-(trifluoromethoxy)phenyl]carbamoyl]benzamide', 'CHEBI:39388', '1-(o-chlorobenzoyl)-3-(p-(trifluoromethoxy)phenyl)urea', '2-chloro-N-{[4-(trifluoromethoxy)phenyl]carbamoyl}benzamide', '2-chloranyl-N-[[4-(trifluoromethyloxy)phenyl]carbamoyl]benzamide', '2-chloro-N-({[4-(trifluoromethoxy)phenyl]amino}carbonyl)benzamide', '2-chloro-N-[[[4-(trifluoromethoxy)phenyl]amino]carbonyl]benzamide', 'Benzamide, 2-chloro-N-(((4-(trifluoromethoxy)phenyl)amino)carbonyl)-', 'Benzamide, 2-chloro-N-[[[4-(trifluoromethoxy)phenyl]amino]carbonyl]-', 'C15H10ClF3N2O3', 'DSSTox_CID_14355', 'DSSTox_RID_79145', 'DSSTox_GSID_34355', 'SCHEMBL23700', 'SPECTRUM1505170', 'CHEMBL1394379', 'DTXSID5034355', '1-(o-Chlorobenzoyl)-3-(p-(trifluoromethoxy)phenyl)urea (8CI)', 'ZINC1845293', 'Tox21_301874', 'AKOS015889501', 'CCG-231010', 'NCGC00094568-01', 'NCGC00094568-02', 'NCGC00255190-01', 'AS-13364', 'CC-35346', 'I001', 'LS-26231', 'CAS-64628-44-0', 'DB-054703', 'FT-0630748', 'NS00008938', 'C18615', 'Triflumuron, PESTANAL(R), analytical standard', '628T440', 'A834834', 'C-20859', 'Q1995523', '1-(2-chlorobenzoyl)-3-[4-(trifluoromethoxy)phenyl]urea', 'Triflumuron, certified reference material, TraceCERT(R)', '2-chloro-N-(4-(trifluoromethoxy)phenylcarbamoyl)benzamide', '2-chloro-N-[oxo-[4-(trifluoromethoxy)anilino]methyl]benzamide', 'triflumuron;2-chloro-N-[[[4-(trifluoromethoxy)phenyl]amino]carbonyl]benzamide']</t>
  </si>
  <si>
    <t>Compound(47445)</t>
  </si>
  <si>
    <t>C15H10ClF3N2O3</t>
  </si>
  <si>
    <t>triflumizole</t>
  </si>
  <si>
    <t>N-[4-chloro-2-(trifluoromethyl)phenyl]-1-imidazol-1-yl-2-propoxyethanimine</t>
  </si>
  <si>
    <t>['Triflumizole', 'Triflumizol', '68694-11-1', 'Terraguard', 'Procure', '99387-89-0', 'Trifmine', 'Trifumine', 'Condor', 'NF-114', 'Triflumizole [BSI:ISO]', 'UNII-7J6Y4H9MV5', '1-(1-((4-Chloro-2-(trifluoromethyl)phenyl)imino)-2-propoxyethyl)-1H-imidazole', '(E)-4-Chloro-alpha,alpha,alpha-trifluoro-N-(1-imidazol-1-yl-2-propoxyethylidene)-o-toluidine', '7J6Y4H9MV5', 'CHEBI:81784', '(E)-1-(1-((4-CHLORO-2-(TRIFLUOROMETHYL)PHENYL)IMINO)-2-PROPOXYETHYL)-1H-IMIDAZOLE', '1H-Imidazole, 1-(1-((4-chloro-2-(trifluoromethyl)phenyl)imino)-2-propoxyethyl)-', '4-Chloro-alpha,alpha,alpha-trifluoro-N-(1-imidazol-1-yl-2-propoxyethylidene)-o-toluidine', '(1E)-N-[4-chloro-2-(trifluoromethyl)phenyl]-1-(1H-imidazol-1-yl)-2-propoxyethan-1-imine', '1H-Imidazole, 1-[(1E)-1-[[4-chloro-2-(trifluoromethyl)phenyl]imino]-2-propoxyethyl]-', '(E)-N-[4-chloro-2-(trifluoromethyl)phenyl]-1-imidazol-1-yl-2-propoxyethanimine', '1H-Imidazole, 1-((1E)-1-((4-chloro-2-(trifluoromethyl)phenyl)imino)-2-propoxyethyl)-', '4-Chloro-N-[(E)-1-(1H-imidazol-1-yl)-2-propoxyethylidene]-2-(trifluoromethyl)aniline #', '(E)-N-(1-imidazol-1-yl-2-propoxyethylidene)-4-chloro-2-trifluoro-o-toluidine', 'DSSTox_CID_12500', 'DSSTox_RID_78959', 'DSSTox_GSID_32500', 'SCHEMBL21794', 'SCHEMBL433958', 'CHEMBL463781', 'SCHEMBL2763610', 'DTXSID2032500', 'CTK5I0377', 'CTK8E2764', 'HSDB 8369', 'Tox21_300866', 'ZINC13827900', 'AKOS015915014', 'ZINC100004060', '4-Chloro-N-[(E)-1-(1H-imidazol-1-yl)-2-propoxyethylidene]-2-(trifluoromethyl)aniline', 'Triflumizole 10 microg/mL in Isooctane', 'NCGC00163901-01', 'NCGC00163901-02', 'NCGC00163901-03', 'NCGC00163901-04', 'NCGC00254770-01', 'J26.588H', 'LS-78341', 'CAS-68694-11-1', 'FT-0658435', 'NS00006114', 'C18493', 'Triflumizole, PESTANAL(R), analytical standard', '387T890', '68694-11-1and99387-89-0', 'Q2519096', '(1E)-N-[4-chloro-2-(trifluoromethyl)phenyl]-1-(1H-imidazol-1-yl)-2-propoxyethanimine', '(Z)-N-(1-(1H-imidazol-1-yl)-2-propoxyethylidene)-4-chloro-2-(trifluoromethyl)aniline', '1-[(1E)-1-[[4-chloro-2-(trifluoromethyl)phenyl]imino]-2-propoxyethyl]-1H-imidazole', '4-chloro-N-[(1E)-1-(1H-imidazol-1-yl)-2-propoxyethylidene]-2-(trifluoromethyl)aniline', '4-chloro-N-[1-(1H-imidazol-1-yl)-2-propoxyethylidene]- 2-(trifluoromethyl)aniline', '(E)-4-Chloro-a,a,a-trifluoro-N-[1-(imidazol-1-yl)-2-propoxyethylidene]-o-toluidine;triflumizole;triflumizol', '[N(E)]-4-chloro-N-[1-(1H-imidazol-1-yl)-2-propoxyethylidene]-2-(trifluoromethyl)benzenamine', 'Pesticide6_Triflumizole_C15H15ClF3N3O_4-Chloro-N-[(1E)-1-(1H-imidazol-1-yl)-2-propoxyethylidene]-2-(trifluoromethyl)benzenamine']</t>
  </si>
  <si>
    <t>Compound(91699)</t>
  </si>
  <si>
    <t>C15H15ClF3N3O</t>
  </si>
  <si>
    <t>2,6-dinitro-N,N-dipropyl-4-(trifluoromethyl)aniline</t>
  </si>
  <si>
    <t>['trifluralin', '1582-09-8', 'Treflan', 'Agreflan', 'Elancolan', '2,6-Dinitro-N,N-dipropyl-4-(trifluoromethyl)aniline', 'Crisalin', 'Triflurex', 'Trifurex', 'Tristar', 'Nitran', 'Nitran K', 'Trifluraline', 'Crisalina', 'Digermin', 'Synfloran', 'Trefanocide', 'Treficon', 'Trikepin', 'Ipersan', 'Olitref', 'Super-Treflan', 'Agriflan 24', 'Benzenamine, 2,6-dinitro-N,N-dipropyl-4-(trifluoromethyl)-', 'Treflam', 'Tri-4', 'Treflan EC', 'Su seguro carpidor', 'Trifluralina 600', 'Lilly 36,352', 'PREMERLIN', 'Treflanocide elancolan', 'Caswell No. 889', '2,6-Dinitro-N,N-dipropyl-4-(trifluoromethyl)benzenamine', 'UNII-C8BX46QL7K', 'Trifluraline [ISO-French]', 'Trifluralin, technical grade', 'CCRIS 607', 'Trifluralin [ANSI:BSI:ISO]', 'L-36352', '2,6-Dinitro-N,N-dipropyl-4-trifluoromethylaniline', 'Treflan (trifluralin)', 'HSDB 1003', 'NCI-C00442', 'EINECS 216-428-8', 'EPA Pesticide Chemical Code 036101', 'alpha,alpha,alpha-Trifluoro-2,6-dinitro-N,N-dipropyl-p-toluidine', 'N,N-Dipropyl-4-trifluoromethyl-2,6-dinitroaniline', 'BRN 1893555', 'C8BX46QL7K', '4-(Trifluoromethyl)-2,6-dinitro-N,N-dipropylaniline', 'N,N-Di-n-propyl-2,6-dinitro-4-trifluoromethylaniline', 'AI3-28203', '4-(Di-n-propylamino)-3,5-dinitro-1-trifluoromethylbenzene', 'CHEBI:35027', 'N,N-Dipropyl-2,6-dinitro-4-trifluoromethylaniline', '2,6-Dinitro-4-trifluormethyl-N,N-dipropylanilin [German]', '2,6-Dinitro-6-trifluormethyl-N,N-dipropylanilin [German]', 'N,N-Dipropyl-2,6-dinitro-4-trifluormethylanilin [German]', '2,6-Dinitro-N,N-di-n-propyl-alpha,alpha,alpha-trifluoro-p-toluidine', 'DSSTox_CID_1395', 'p-Toluidine, .alpha.,.alpha.,.alpha.-trifluoro-2,6-dinitro-N,N-dipropyl-', 'DSSTox_RID_76136', 'DSSTox_GSID_21395', 'Trifluralin, analytical standard', 'p-Toluidine, alpha,alpha,alpha-trifluoro-2,6-dinitro-N,N-dipropyl-', 'Trilin 4EC', 'CAS-1582-09-8', 'elanocolan', 'trifuraline', 'Sinflouran', 'Brassix', 'Commence', 'Trifloran', 'Zeltoxone', 'Trilin', 'Treflan MTF', 'Treflan 5G', 'Agriphlan 24', 'Treflan 4EC', 'Treflan 10G', 'Trefl an 10G', 'Treflan TR-10', 'TRIFLURALIN EC', 'Trimaran (Salt/Mix)', 'Spectrum_001839', 'SpecPlus_000440', 'TREFLAN(R)', 'Spectrum2_001888', 'Spectrum3_000830', 'Spectrum4_000670', 'Spectrum5_001972', '2,6-Dinitro-4-trifluormethyl-N,N-dipropylanilin', '2,6-Dinitro-6-trifluormethyl-N,N-dipropylanilin', 'BIDD:PXR0025', 'N,N-Dipropyl-2,6-dinitro-4-trifluormethylanilin', 'SCHEMBL21994', 'BSPBio_002359', 'KBioGR_001079', 'KBioSS_002344', 'SPECTRUM330038', 'MLS002454453', 'BIDD:ER0382', 'CHEMBL31970', 'DivK1c_006536', 'SPBio_001796', '2,6-Dinitro-N,N-dipropyl-4-(trifluoromethyl)-benzamine', 'DTXSID4021395', 'CTK5E1805', 'KBio1_001480', 'KBio2_002341', 'KBio2_004909', 'KBio2_007477', 'KBio3_001859', 'Benezeneamine, 2,6-dinitro-N,N-dipropyl-4-(trifluoromethyl)-', 'NCI C00443', 'EBD43337', 'HY-B2050', 'ZINC3873953', 'Tox21_201352', 'Tox21_300918', 'CCG-39426', 'LS-906', 'Scotts Stop Weeds Before They Start', 'STK792949', 'AKOS005608916', 'CS-5200', 'KF10033', 'KS-5357', 'MCULE-3549367398', 'Trifluralin 1000 microg/mL in Acetone', 'NCGC00091301-01', 'NCGC00091301-02', 'NCGC00091301-03', 'NCGC00091301-04', 'NCGC00091301-05', 'NCGC00091301-06', 'NCGC00091301-07', 'NCGC00091301-08', 'NCGC00254821-01', 'NCGC00258904-01', 'Trifluralin 10 microg/mL in Cyclohexane', '71281-30-6', 'I703', 'SMR000778097', 'ST046418', 'DB-043382', 'FT-0603564', 'NS00008982', 'EN300-67184', 'C14343', 'K-4963', 'Trifluralin, PESTANAL(R), analytical standard', '582T098', 'A809905', 'Q418247', '2,6-dinitro-N,N-dipropyl-4-trifluoromethyl-aniline', '4-DIPROPYLAMINO-3,5-DINITROBENZO-TRIFLUORIDE', 'J-009482', 'N,N-dipropyl-2,6-dini tro-4-trifluoromethylaniline', '(2,6-Dinitro-4-trifluoromethyl-phenyl)-dipropyl-amine', '[2,6-dinitro-4-(trifluoromethyl)phenyl]dipropylamine', '2,6-Dinitro-N,N-dipropyl-4-(trifluoromethyl)aniline #', 'N,N-di-n-propyl-2,6-dinitro-4-(trifluoromethyl)aniline', '2,6-dinitro-N,N-dipropyl-4-(tri fluoromethyl)benzenamine', '2,6-Dinitro-N,N-dipropyl-4-(trifluoromethyl)benzeneamine', '4-(Di-n-propylamino)-3,5-dinitro-1-(trifluoromethyl)benzene', 'A,A,A-TRIFLUORO-2,6-DINITRO-N,N-DIPROPYL-P-TOLUIDINE', 'Benezeneamine, 2,6-di nitro-N,N-dipropyl-4-(trifluoromethyl)-', 'Benzeneamine, 2,6-dinitro-N,N-dipropyl-4-(trifluoromethyl)-', 'Trifluralin2,6-dinitro-N,N-dipropyl-4-(trifluoromethyl)aniline', '2,6-dinitro-N,N-dipropyl-alpha,alph a,alpha-trifluoro-p-toluidine', '2,6-dinitro-N,N-dipropyl-alpha,alpha,alpha-trifluoro-p-toluidine', 'Benzenamine, 2,6-dinitro-N,N-dipropyl-4-(trifluoromethyl)- (9CI)', '.alpha.,.alpha.,.alpha.-Trifluoro-2,6-dinitro-N,N-dipropyl-p-toluidine', '2,6-Dinitro-N,N-di-n-propyl-.alpha.,.alpha.,.alpha.-trifluoro-p-toluidine', 'Trifluralin solution, 100 mug/mL in acetonitrile, PESTANAL(R), analytical standard', '75635-23-3', 'trifluralin;2,6-dinitro-n,n-dipropyl-4-(trifluoromethyl)-benzamine; 4-(di-n-propylamino)-3,5-dinitro-1-trifluoromethylbenzene; alpha,alpha,alpha-trifluoro-2,6-dinitro-n,n-dipropyl-p-toluidine; agrefla']</t>
  </si>
  <si>
    <t>Compound(5569)</t>
  </si>
  <si>
    <t>C13H16F3N3O4</t>
  </si>
  <si>
    <t>N-[2,2,2-trichloro-1-[4-(2,2,2-trichloro-1-formamidoethyl)piperazin-1-yl]ethyl]formamide</t>
  </si>
  <si>
    <t>['TRIFORINE', 'Triforin', '26644-46-2', 'Funginex', 'Saprol', 'Biformylchlorazin', 'CELA 50', 'Caswell No. 890AA', 'UNII-N1A4W8U0HH', 'CW 524', 'Triforine [ANSI:BSI:ISO]', 'CELA W 524', 'CA 70203', 'HSDB 6743', 'W 524', 'EINECS 247-872-0', 'CME 74770', 'EPA Pesticide Chemical Code 107901', 'NSC 263493', 'BRN 0626358', 'N1A4W8U0HH', '1,4-Bis(1-formamido-2,2,2-trichloroethyl)piperazine', '1,4-Bis(2,2,2-trichloro-1-formamidoethyl)piperazine', "N,N'-Bis(1-formamido-2,2,2-trichloroethyl)piperazine", 'CHEBI:9715', "1,1'-Piperazine-1,4-diyldi-(N-(2,2,2-trichloroethyl)formamide)", "N,N'-(1,4-Piperazinediylbis(2,2,2-trichloroethylidene))bisformamide", "N,N'-(Piperazine-1,4-diylbis((trichloromethyl)methylene))diformamide", "N,N'-(Piperazinediylbis(2,2,2-trichloroethylidene)) bis(formamide)", 'Piperazine, 1,4-bis(1-formamido-2,2,2-trichloroethyl)-', "N,N'-(1,4-Piperazinediylbis(2,2,2-trichloroethylidene)) bisformamide", "Formamide, N,N'-(1,4-piperazinediylbis(2,2,2-trichloroethylidene))bis-", "Formamide, N,N'-[1,4-piperazinediylbis(2,2,2-trichloroethylidene)]bis-", "N,N'-(1,4-Piperazinediyl-bis(2,2,2-trichloroethyldene))bis(formamide)", '1,4-bis(1-formamido-2,2,2-trichloroethyl)-piperazine', 'Biformychlorazin', 'Triforine;triforine', 'Compd. W', 'DSSTox_CID_12654', 'DSSTox_RID_79027', 'N-[2,2,2-trichloro-1-[4-(2,2,2-trichloro-1-formamidoethyl)piperazin-1-yl]ethyl]formamide', 'DSSTox_GSID_32654', 'SCHEMBL23278', '5-23-01-00042 (Beilstein Handbook Reference)', 'CELA-W 524', 'CHEMBL453418', 'DTXSID5032654', '1,2,2-trichloroethyl)piperazine', 'CTK8E3134', 'N,2,2-trichloroethyl)piperazine', 'Tox21_302268', 'NSC263493', 'NSC-263493', 'ACM26644462', 'NCGC00164301-01', 'NCGC00255254-01', 'CA 73021', 'CAS-26644-46-2', 'LS-110467', 'NS00009786', 'Triforin, PESTANAL(R), analytical standard', 'C10960', '644T462', 'J-016504', 'Q2453158', 'Piperazine,4-bis(1-formamido-2,2,2-trichloroethyl)-', 'N,4-Piperazinediylbis(2,2,2-trichloroethylidene)]bis(formamide)', "Formamide,N'-[1,4-piperazinediylbis(2,2,2-trichloroethylidene)]bis-", "N,N'-[piperazine-1,4-diylbis(2,2,2-trichloroethane-1,1-diyl)]diformamide", 'N-[2,2,2-trichloro-1-[4-(2,2,2-trichloro-1-formamido-ethyl)piperazin-1-yl]ethyl]formamide', '37273-84-0']</t>
  </si>
  <si>
    <t>Compound(33565)</t>
  </si>
  <si>
    <t>C10H14Cl6N4O2</t>
  </si>
  <si>
    <t>methyl 2-[[4-(dimethylamino)-6-(2,2,2-trifluoroethoxy)-1,3,5-triazin-2-yl]carbamoylsulfamoyl]-3-methylbenzoate</t>
  </si>
  <si>
    <t>['Triflusulfuron-methyl', '126535-15-7', 'Safari', 'Triflusulfuron methyl', 'Upbeet', 'UNII-Y8AR13FYC0', 'Triflusulfuron-methyl [ISO]', 'DPX 66037', 'Y8AR13FYC0', 'Methyl 2-[4-(dimethylamino)-6-(2,2,2-trifluoroethoxy)-1,3,5-triazin-2-ylaminocarbonylaminosulfonyl]-3-methylbenzoate', 'CHEBI:82047', 'Benzoic acid, 2-(((((4-(dimethylamino)-6-(2,2,2-trifluoroethoxy)-1,3,5-triazin-2-yl)amino)carbonyl)amino)sulfonyl)-3-methyl-, methyl ester', 'Benzoic acid,2-[[[[[4-(dimethylamino)-6-(2,2,2-trifluoroethoxy)-1,3,5-triazin-2-yl]amino]carbonyl]amino]sulfonyl]-3-methyl-,methyl ester', 'methyl 2-({[4-(dimethylamino)-6-(2,2,2-trifluoroethoxy)-1,3,5-triazin-2-yl]carbamoyl}sulfamoyl)-3-methylbenzoate', 'C17H19F3N6O6S', 'Benzoic acid, 2-[[[[[4-(dimethylamino)-6-(2,2,2-trifluoroethoxy)-1,3,5-triazin-2-yl]amino]carbonyl]amino]sulfonyl]-3-methyl-, methyl ester', 'methyl 2-[({[4-(dimethylamino)-6-(2,2,2-trifluoroethoxy)-1,3,5-triazin-2-yl]carbamoyl}amino)sulfonyl]-3-methylbenzoate', 'Trifluorsulfuron-methyl', 'Triflusulfuron methyl ester', 'ACMC-20ms17', 'Upbeet; DPX 66037', 'SCHEMBL55457', 'methyl 2-[[4-(dimethylamino)-6-(2,2,2-trifluoroethoxy)-1,3,5-triazin-2-yl]carbamoylsulfamoyl]-3-methylbenzoate', 'CHEMBL2143050', 'DTXSID2032502', 'CTK4B5223', 'ZINC2384331', 'AKOS015895276', 'NCGC00164313-01', 'NCGC00164313-02', 'NCGC00164313-03', 'AC-18026', 'AK129707', 'LS-37198', 'SC-73270', 'AX8155330', 'DB-041829', 'FT-0631122', 'NS00000563', 'C18901', '535T157', 'A805565', 'C-22885', 'Q18631953', 'Triflusulfuron-methyl, PESTANAL(R), analytical standard', '2-[[[[4-(dimethylamino)-6-(2,2,2-trifluoroethoxy)-1,3,5-triazin-2-yl]amino]-oxomethyl]sulfamoyl]-3-methylbenzoic acid methyl ester', '2-[[4-(dimethylamino)-6-(2,2,2-trifluoroethoxy)-s-triazin-2-yl]carbamoylsulfamoyl]-3-methyl-benzoic acid methyl ester', 'Methyl 2-({[4-dimethylamino-6-(2,2,2-trifluoroethoxy)-1,3,5-triazin-2- yl]carbamoyl}sulfamoyl)-3-methylbenzoate', 'methyl 2-(N-(4-(dimethylamino)-6-(2,2,2-trifluoroethoxy)-1,3,5-triazin-2-ylcarbamoyl)sulfamoyl)-3-methylbenzoate', 'methyl 2-[[[[[4-(dimethylamino)-6-(2,2,2-trifluoroethoxy)-1,3,5-triazin-2-yl]amino]carbonyl]amino]sulfonyl]-3-methylbenzoate', 'methyl 2-[[4-(dimethylamino)-6-[2,2,2-tris(fluoranyl)ethoxy]-1,3,5-triazin-2-yl]carbamoylsulfamoyl]-3-methyl-benzoate', 'methyl 2-[[4-dimethylamino-6-(2,2,2-trifluoroethoxy)-1,3,5-triazin-2-yl]carbamoylsulfamoyl]-3-methylbenzoate', 'methyl 2-[4-dimethylamino-6-(2,2,2-trifluoroethoxy)-1,3,5-triazin-2-ylcarbamoylsulfamoyl]-m-toluate']</t>
  </si>
  <si>
    <t>Compound(92434)</t>
  </si>
  <si>
    <t>C17H19F3N6O6S</t>
  </si>
  <si>
    <t>methyl (2E)-2-methoxyimino-2-[2-[[(E)-1-[3-(trifluoromethyl)phenyl]ethylideneamino]oxymethyl]phenyl]acetate</t>
  </si>
  <si>
    <t>['Trifloxystrobin', '141517-21-7', 'CHEBI:81833', 'CGA 279202', '(E)-Methyl 2-(methoxyimino)-2-(2-((((E)-(1-(3-(trifluoromethyl)phenyl)ethylidene)amino)oxy)methyl)phenyl)acetate', 'Benzeneacetic acid, alpha-(methoxyimino)-2-[[[(E)-[1-[3-(trifluoromethyl)phenyl]ethylidene]amino]oxy]methyl]-, methyl ester, (alphaE)-', 'methyl (2E)-2-methoxyimino-2-[2-[[(E)-1-[3-(trifluoromethyl)phenyl]ethylideneamino]oxymethyl]phenyl]acetate', 'SCHEMBL19148', 'SCHEMBL9880011', 'CHEMBL1897483', 'Benzeneacetic acid, ?-(methoxyimino)-2-[[[(E)-[1-[3-(trifluoromethyl)phenyl]ethylidene]amino]oxy]methyl]-, methyl ester, (?E)-;(E,E)-a-methoxyimino-{}{2-[[[[1-[3-(trifluoromethyl)phenyl]ethylidene]amino]oxy]methyl]benzeneacetic acid methyl ester', 'NCGC00163847-01', 'NCGC00163847-02', 'NCGC00163847-03', 'SC-44613', 'HY-123230', 'Trifloxystrobin 10 microg/mL in Cyclohexane', 'CS-0082159', 'NS00010878', 'C18562', 'A807769', 'Trifloxystrobin, PESTANAL(R), analytical standard', 'J-007507', '(2E)-2-methoxyimino-2-[2-[[(E)-1-[3-(trifluoromethyl)phenyl]ethylideneamino]oxymethyl]phenyl]acetic acid methyl ester', 'alpha-[(Z)-Methoxyimino]-2-[[[[(1Z)-1-[3-(trifluoromethyl)phenyl]ethylidene]amino]oxy]methyl]benzeneacetic acid methyl ester', 'methyl (2E)-(methoxyimino)(2-{[({(1E)-1-[3-(trifluoromethyl)phenyl]ethylidene}amino)oxy]methyl}phenyl)acetate', 'methyl (2E)-(methoxyimino)[2-({[(E)-{1-[3-(trifluoromethyl)phenyl]ethylidene}amino]oxy}methyl)phenyl]acetate', 'methyl (2E)-2-methoxyimino-2-[2-[[(E)-1-[3-(trifluoromethyl)phenyl]ethylideneamino]oxymethyl]phenyl]ethanoate', 'methyl (alphaE)-alpha-(methoxyimino)-2-[[[[(1E)-1-[3-(trifluoromethyl)phenyl]ethylidene]amino]oxy]methyl]benzeneacetate', 'methyl (E)-methoxyimino-{(E)-alpha-[1-(alpha,alpha,alpha-trifluoro-m-tolyl)ethylideneaminooxy]-o-tolyl}acetate', 'Methyl methoxyimino(alpha-(1-(alpha,alpha,alpha-trifluoro-3-tolyl)ethylideneaminooxy)-2-tolyl)acetate']</t>
  </si>
  <si>
    <t>Compound(11664966)</t>
  </si>
  <si>
    <t>C20H19F3N2O4</t>
  </si>
  <si>
    <t>triphenylphosphine</t>
  </si>
  <si>
    <t>triphenylphosphane</t>
  </si>
  <si>
    <t>['TRIPHENYLPHOSPHINE', '603-35-0', 'Triphenylphosphane', 'Triphenyl phosphine', 'Phosphine, triphenyl-', 'triphenyl-phosphane', 'Triphenylphosphorus', 'Triphenylphosphide', 'Triphenylphosphine resin', 'Phosphorustriphenyl', 'Trifenylfosfin', '39319-11-4', 'Trifenylfosfin [Czech]', 'NSC 10', 'TRIPHENYL PHOSPHOROUS', 'MFCD00003043', 'PP 360', 'Phosphorus triphenyl', 'NSC 215203', 'CCRIS 4889', 'UNII-26D26OA393', 'PPh3', 'HSDB 4266', 'triphenylphosphorane', 'EINECS 210-036-0', 'BRN 0610776', 'DTXSID5026251', 'triphenylphoshine', '26D26OA393', 'Triphenylphosphine, 99%', 'DSSTox_CID_6251', 'WLN: RPR&amp;R', 'DSSTox_RID_78074', 'DSSTox_GSID_26251', 'Q-201896', 'triphenylphosphin', 'Triphenylphosphine, polymer-bound', 'CAS-603-35-0', 'triphenylphosphine;phosphine, triphenyl-;triphenylphosphane;triphenyl phosphine;triphenylphosphine phosphine, triphenyl- triphenylphosphane triphenyl phosphine', 'Triphenyl phosphine resin', 'Diphenylphosphino-polystyrene', 'triphenyphospine', 'tripenylphosphine', 'triphenyiphoshine', 'triphenylphophine', 'triphenylphospine', 'tripheylphosphine', 'Triphenylphospane', 'Triphenyphosphine', 'tripbenylphosphine', 'triphenyiphosphine', 'tri-phenylphospine', 'triphenyl phophine', 'triphenyl phosphin', 'triphenyl phospine', 'C18H15P', 'Triphenylphosphine resin, 1% crossl. with DVB, 1.0-1.5 mmol/g, 100-200 mesh', 'Triphenylphosphine resin, 1% crossl.with DVB, 1.0-1.5 mmol/g, 200-400 mesh', 'tri-phenylphosphine', 'triphenyl-phosphine', 'triphenylphosphine-', 'triphenyl phosphorus', 'triphenyl- phosphine', 'PubChem6417', 'tri-phenyl-phosphine;', 'Ph3P', 'ACMC-1BGGS', 'TRISPHENYLPHOSPHINE', '14126-32-0', '14264-16-5', 'C18H14PPol', 'Triphenylphosphine, 98%', 'Triphenyl Phosphine(TPP)', 'SCHEMBL101', 'Phosphorustriphenyl solution', 'EC 210-036-0', '(Ph)3P', 'P(Ph)3', 'NSC10', '4-16-00-00951 (Beilstein Handbook Reference)', 'KSC206A0J', 'Triphenylphosphine 1M in THF', 'NSC-10', 'SCHEMBL1679860', 'CHEMBL1448331', 'Copolymer of styrene and divinylbenzene, diphenylphosphinated', 'LABOTEST-BB LTBB001959', '(C6H5)3P', 'ACN-S002163', 'BCP01148', 'EBD51172', 'P(C6H5)3', 'Polystyrene crosslinked with divinylbenzene, diphenylphosphinated', 'ZINC8585891', 'ZX-AT007677', 'Tox21_202114', 'Tox21_303294', '7817AH', 'ANW-75057', 'GK1326', 'NSC215203', 'OR9088', 'PP-360', 'RW2519', 'SBB060439', 'STL185621', 'AKOS009031542', 'Triphenylphosphine, &gt;=95.0% (GC)', 'AS01621', 'LS-1438', 'LS41004', 'MCULE-9122575728', 'NSC-215203', 'QC-4207', 'KS-000002N8', 'NCGC00091416-01', 'NCGC00091416-03', 'NCGC00257211-01', 'NCGC00259663-01', 'AT-19512', 'BP-12577', 'SC-05646', 'SC-65423', 'Triphenylphosphine, ReagentPlus(R), 99%', 'DB-050422', 'Bis(triphenylphosphine)nickel(II)dichloride?', 'FT-0604360', 'FT-0632502', 'FT-0689298', 'FT-0698371', 'NS00002889', 'ST50406239', 'AZ0001-0002', 'A15679', 'M-6235', 'Triphenyl phosphine pound&gt;&gt;Triphenyl phosphorous', 'Triphenylphosphine, ReagentPlus(R), &gt;=98.5%', 'C-24254', 'Q115493', 'F1642-0085', 'Triphenylphosphine, polymer-bound, 100-200 mesh, extent of labeling: ~1.6 mmol/g loading', 'Triphenylphosphine, polymer-bound, 100-200 mesh, extent of labeling: ~3.2 mmol/g loading', '58079-51-9', 'FPZ', 'JandaJel(TM)-triphenylphosphine, 50-100 mesh, extent of labeling: ~3.0 mmol/g P loading, 2 % cross-linked', 'Triphenylphosphine, polymer supported 1.4-2.0mmol/g on polystyrene 200-400 mesh 2% DVB loading', 'Triphenylphosphine, polymer-bound, 100-200 mesh, extent of labeling: ~3 mmol/g triphenylphosphine loading', 'Triphenylphosphine, polymer-bound, 100-200 mesh, extent of labeling: ~3.0 mmol/g loading, 2 % cross-linked with divinylbenzene']</t>
  </si>
  <si>
    <t>Compound(11776)</t>
  </si>
  <si>
    <t>C18H15P</t>
  </si>
  <si>
    <t>Average wave direction in the spectral domain</t>
  </si>
  <si>
    <t>4-sulfanylbenzene-1,3-diol</t>
  </si>
  <si>
    <t>['2,4-Dihydroxythiophenol', '4-Mercaptobenzene-1,3-Diol', '2553-70-0', '4-Sulfanylbenzene-1,3-diol', '2osf', '4-Mercaptoresorcin', 'TH0', '4-Mercapto-1,3-benzenediol', 'SCHEMBL570970', '1,3-Benzenediol, 4-mercapto-', 'CTK0I6690', 'DTXSID60502676', 'ZINC39247121', 'DB-008108', 'FT-0704256', 'Q27466287']</t>
  </si>
  <si>
    <t>Compound(12563346)</t>
  </si>
  <si>
    <t>C6H6O2S</t>
  </si>
  <si>
    <t>Wave direction spectrum</t>
  </si>
  <si>
    <t>thorium-227</t>
  </si>
  <si>
    <t>['15623-47-9', 'Thorium-227', 'Thorium, isotope of mass 227', 'Thorium 227', 'UNII-4KXD924K30', 'DTXSID70891765', '4KXD924K30']</t>
  </si>
  <si>
    <t>Compound(61806)</t>
  </si>
  <si>
    <t>thorium-228</t>
  </si>
  <si>
    <t>['14274-82-9', 'Thorium-228', 'Thorium, isotope of mass 228', '228Th', 'Thorium 228', 'DTXSID00891778']</t>
  </si>
  <si>
    <t>Compound(61724)</t>
  </si>
  <si>
    <t>thorium-229</t>
  </si>
  <si>
    <t>['Thorium-229', '15594-54-4', 'Thorium, isotope of mass 229', 'Thorium 229', 'DTXSID30891781']</t>
  </si>
  <si>
    <t>Compound(167312)</t>
  </si>
  <si>
    <t>thorium-230</t>
  </si>
  <si>
    <t>['14269-63-7', 'Thorium-230', 'Thorium, isotope of mass 230', 'Thorium 230', 'DTXSID10891769']</t>
  </si>
  <si>
    <t>Compound(61723)</t>
  </si>
  <si>
    <t>thorium-231</t>
  </si>
  <si>
    <t>['14932-40-2', 'Thorium-231', 'Thorium, isotope of mass 231', 'Th-231', 'Thorium 231', 'DTXSID30891766']</t>
  </si>
  <si>
    <t>Compound(167210)</t>
  </si>
  <si>
    <t>['7440-29-1', 'Th', 'Thorium', 'Thorium-232', 'torio', 'UNII-60YU5MIG9W', '232Th', 'HSDB 864', 'EINECS 231-139-7', 'UN2975', '90Th', '60YU5MIG9W', 'Thorium-232 and its decay products, dministered intravenously as a colloidal dispersion of 232ThO2', 'Thorium Nanofoil', 'Thorium compounds', 'Thorium, elemental', 'Thorium metal, pyrophoric', 'DTXSID6049800', 'CHEBI:33385', 'CTK3I9493', 'HSDB 6932', 'LS-153730', 'Q1115', 'Thorium metal, pyrophoric [UN2975]  [Radioactive]', 'Thorium metal, pyrophoric [UN2975] [Radioactive]', 'T567800000']</t>
  </si>
  <si>
    <t>Compound(23960)</t>
  </si>
  <si>
    <t>thorium-234</t>
  </si>
  <si>
    <t>['15065-10-8', 'Thorium-234', 'Thorium, isotope of mass 234', 'Thorium 234', 'DTXSID90891767']</t>
  </si>
  <si>
    <t>Compound(104875)</t>
  </si>
  <si>
    <t>Avg. direction swell relative to true north in spectral domain</t>
  </si>
  <si>
    <t>S-(2-acetamidoethyl) hexadecanethioate</t>
  </si>
  <si>
    <t>['C16-FATTY-ACYL-SUBSTRATE-MIMIC', 'TRANS-2-HEXADECENOYL-(N-ACETYL-CYSTEAMINE)-THIOESTER', 'S-Palmitoyl-N-acetylcysteamine', 'SCHEMBL5088794', 'DB02990', 'S-[2-(acetylamino)ethyl] hexadecanethioate', 'NS00071098', 'Q27093961', 'TH3']</t>
  </si>
  <si>
    <t>Compound(3378216)</t>
  </si>
  <si>
    <t>C20H39NO2S</t>
  </si>
  <si>
    <t>thorium dioxide</t>
  </si>
  <si>
    <t>dioxothorium</t>
  </si>
  <si>
    <t>['THORIUM DIOXIDE', 'Thoria', 'Thorium oxide', 'Thorium oxide (ThO2)', 'Thorium(IV) oxide', 'Thorotrast', 'Thorium anhydride', '1314-20-1', 'Thorianite', 'Thortrast', 'Umbrathor', 'Thorium-232 dioxide', 'ThO2', 'HSDB 6364', 'EINECS 215-225-1', 'Bis(oxido)thorium', 'Thorium(IV)oxide', 'Thorium oxide, &gt;=99.0%', 'DTXSID0051657', 'CHEBI:37339', 'Thorium Oxide Nanoparticles / Nanopowder', 'LS-153735', 'Q420634']</t>
  </si>
  <si>
    <t>Compound(14808)</t>
  </si>
  <si>
    <t>O2Th</t>
  </si>
  <si>
    <t>trihexyphenidyl</t>
  </si>
  <si>
    <t>1-cyclohexyl-1-phenyl-3-piperidin-1-ylpropan-1-ol</t>
  </si>
  <si>
    <t>['trihexyphenidyl', 'Benzhexol', 'Triphenidyl', 'Parkinane retard', '144-11-6', 'Trihexyphenidyle', 'Benzhexolum', 'Sedrena (free base)', 'Trihexyphenidylum', 'Trihexifenidilo [INN-Spanish]', 'Trihexyphenidyle [INN-French]', 'Trihexyphenidylum [INN-Latin]', 'Trihexyphenidyl [INN:BAN]', '1-cyclohexyl-1-phenyl-3-(piperidin-1-yl)propan-1-ol', 'HSDB 3196', 'EINECS 205-614-4', 'NSC 12268', '1-cyclohexyl-1-phenyl-3-piperidin-1-ylpropan-1-ol', '1-Piperidinepropanol, alpha-cyclohexyl-alpha-phenyl-', 'BRN 0088959', '1-Piperidinepropanol, .alpha.-cyclohexyl-.alpha.-phenyl-', 'CHEBI:9720', 'NSC-12268', 'Trihexifenidilo', 'Trihexylphenedyl', 'Trihexylphenidyl', 'Trihexylphenizyl', 'Trihexylphenidyle', '(R)-trihexyphenidyl', 'Apo-trihex (TN)', 'Trihexyphenidyl (INN)', '40520-25-0', '(?)-Benzhexol', 'Spectrum_000632', 'Prestwick0_000701', 'Prestwick1_000701', 'Prestwick2_000701', 'Prestwick3_000701', 'Spectrum2_000829', 'Spectrum3_001375', 'Spectrum4_000369', 'Spectrum5_001465', '1-Piperidinepropanol, ?-cyclohexyl-?-phenyl-', 'CHEMBL1490', 'Lopac0_001125', 'Oprea1_853391', 'SCHEMBL34645', 'BSPBio_000881', 'BSPBio_002930', 'KBioGR_000837', 'KBioSS_001112', '5-20-02-00231 (Beilstein Handbook Reference)', 'DivK1c_000372', 'SPBio_000757', 'SPBio_002802', 'BPBio1_000971', 'GTPL7315', 'DTXSID4023705', 'BDBM81462', 'KBio1_000372', 'KBio2_001112', 'KBio2_003680', 'KBio2_006248', 'KBio3_002150', 'NINDS_000372', 'NSC_5572', 'NSC12268', 'BBL024959', 'MFCD00599600', 'STL300356', 'AKOS015914081', 'CCG-205200', 'DB00376', 'MCULE-6065307656', 'SDCCGSBI-0051093.P004', 'IDI1_000372', 'MRF-0000523', 'NCGC00016003-03', 'NCGC00016003-04', 'NCGC00016003-06', 'NCGC00016003-07', 'NCGC00089797-02', 'SBI-0051093.P003', 'CAS_58947-95-8', 'LS-116010', 'AB00053559', 'H2264', 'NS00006523', 'NS00099050', '(+/-)-Triphenidyl; Benzhexol; NSC 12268', 'C07171', 'D08638', 'AB00053559_13', '119618-EP2269989A1', '119618-EP2298731A1', '144T116', 'L000821', 'Q2991856', '1-Cyclohexyl-1-phenyl-3-(1-piperidinyl)-1-propanol', 'BRD-A48180038-003-05-2', 'BRD-A48180038-003-15-1', '.alpha.-Cyclohexyl-.alpha.-phenyl-1-piperidinepropanol', '1-Cyclohexyl-1-phenyl-3-(1-piperidinyl)-1-propanol #', '(R)-1-cyclohexyl-1-phenyl-3-(piperidin-1-yl)propan-1-ol', '1-Cyclohexyl-1-phenyl-3-(piperidin-1-yl)propan-1-ol (HCl)']</t>
  </si>
  <si>
    <t>Compound(5572)</t>
  </si>
  <si>
    <t>C20H31NO</t>
  </si>
  <si>
    <t>triisobutyl phosphate</t>
  </si>
  <si>
    <t>tris(2-methylpropyl) phosphate</t>
  </si>
  <si>
    <t>['TRIISOBUTYL PHOSPHATE', '126-71-6', 'Tri-isobutylphosphate', 'tri-isobutyl phosphate', 'Isobutyl phosphate', 'Phosphoric acid, tris(2-methylpropyl) ester', 'tris(2-methylpropyl) phosphate', 'UNII-6MKE1AR3GB', 'EINECS 204-798-3', 'NSC 62222', '6MKE1AR3GB', 'BRN 1710574', 'AI3-07850', 'Phosphoric acid triisobutyl ester', 'Phosphoric acid, triisobutyl ester', 'AK128950', '2-methylpropyl di2-methylpropyl phosphate', 'triisobutylphosphate', 'EC 204-798-3', 'DSSTox_CID_20698', 'DSSTox_RID_79549', 'NCIOpen2_002692', 'DSSTox_GSID_40698', '4-01-00-01598 (Beilstein Handbook Reference)', 'KSC176A0H', 'Triisobutyl phosphate (TIBP)', 'SCHEMBL133326', 'CHEMBL1887508', 'DTXSID8040698', 'CTK0H6003', 'Isobutyl phosphate, (C4H9O)3PO', 'KS-00000GX4', 'NSC62222', 'ZINC1691056', 'Tox21_301244', 'NSC-62222', 'SBB060664', 'AKOS015841700', 'CS-W023038', 'MCULE-7235895537', 'NCGC00164020-01', 'NCGC00255412-01', 'AS-13612', 'CAS-126-71-6', 'I937', 'Phosphoric acid, triisobutyl ester (8CI)', 'SC-18996', 'LS-107892', 'FT-0688145', 'NS00008118', 'ST50411046', 'K-3942', '126T716', 'C-36827', 'J-005424', 'J-525095', 'Q15632813']</t>
  </si>
  <si>
    <t>Compound(31355)</t>
  </si>
  <si>
    <t>titanium dioxide</t>
  </si>
  <si>
    <t>dioxotitanium</t>
  </si>
  <si>
    <t>['TITANIUM DIOXIDE', 'Rutile', 'Titania', 'Titanium(IV) oxide', '13463-67-7', 'dioxotitanium', 'Anatase', 'Brookite', 'Titanium White', 'Anatase (TiO2)', 'Flamenco', 'Hombitan', 'Titafrance', 'Titandioxid', 'Tiofine', 'Tioxide', 'Tipaque', 'Titanox', 'Rayox', 'Rutile (TiO2)', 'Bayertitan A', '1317-70-0', 'Titanic anhydride', 'Rutiox CR', 'Tioxide RHD', 'Tioxide RSM', 'Titanox RANC', 'Zopaque LDC', '1317-80-2', 'A-Fil Cream', 'Calcotone White T', 'Tioxide A-DM', 'Tioxide AD-M', 'Tioxide R-CR', 'Tioxide R-SM', 'Tioxide R.XL', 'Titanium oxide (TiO2)', 'Bayertitan R-U-F', 'Levanox White RKB', 'A-Fil', 'Runa rh20', 'Unitane or-150', 'Unitane or-340', 'Unitane or-342', 'Unitane or-350', 'Unitane or-540', 'Unitane or-640', 'Octahedrite', 'Austiox R-CR 3', 'Cab-O-Ti', 'Sagenite', 'Tichlor', 'Unitane', 'Zopaque', 'Hombitan R 101D', 'Hombitan R 610K', 'Kronos', 'Tronox', 'Unitane o-110', 'Unitane o-220', 'Horse head a-410', 'Horse head a-420', 'Horse head r-710', 'Kronos RN 40P', 'Kronos RN 56', 'Tipaque R 820', 'Titanic oxide', 'Titanox 2010', 'Unitane OR 450', 'Unitane OR 650', 'Bayertitan T', 'Kronos CL 220', 'Kronos titanium dioxide', 'Tiona td', 'Titan White', 'Kronos 2073', 'Anatase titanium dioxide', 'Runa ARH 20', 'Tin dioxide dust', 'Titanium peroxide', 'Uniwhite AO', 'Uniwhite KO', 'Trioxide(s)', 'Pigment white 6', 'Unitane OR', '1700 White', 'P 25 (oxide)', 'Ti-Pure', 'Bayertitan AN 3', 'C.I. Pigment White 6', 'Runa ARH 200', 'Ti-Pure R 900', 'Ti-Pure R 901', 'Austiox R-CR', 'Tioxide A-HR', 'Tioxide R XL', 'Titanium peroxide (TiO2)', 'Tiona t.d.', 'Bayertitan R-U 2', 'Bayertitan R-FK-D', 'Atlas white titanium dioxide', 'Aerosil P 25', 'Aerosil P 27', 'Titandioxid (sweden)', 'Aerolyst 7710', 'Bayertitan R-FD 1', 'Bayertitan R-KB 2', 'Bayertitan R-KB 3', 'Bayertitan R-KB 4', 'Bayertitan R-KB 5', 'Bayertitan R-KB 6', 'CI Pigment white 6', 'Uniwhite OR 450', 'Uniwhite OR 650', 'C-Weiss 7', 'Tinoc M 6', 'Octahedrite (mineral)', 'Aerosil P 25S6', 'Aerosil T 805', 'AK 15 (pigment)', 'Cosmetic White C47-5175', 'Cosmetic White C47-9623', 'Titandioxid [Swedish]', 'Bayer R-FD 1', 'Blend White 9202', '63B1 White', 'Bayertitan', 'Bayertitan R-FK 21', 'Titanium oxide (VAN)', 'A 200 (pigment)', 'A 330 (pigment)', 'Amperit 780.0', 'B 101 (pigment)', 'Baytitan', 'Kronos 1002', 'R 830 (mineral)', 'RO 2', 'Unitane 0-110', 'Unitane 0-220', 'C-Weiss 7 [German]', 'MC 50 (oxide)', 'C 97 (oxide)', 'CG-T', 'NT 100 (oxide)', 'Bayertitan R-V-SE 20', 'S 150 (oxide)', 'Bistrater L-NSC 200C', 'NCI-C04240', 'Titanium(IV) oxide, rutile', 'KH 360', 'CCRIS 590', 'A-FN 3', 'HSDB 869', 'NCI-C0424O', 'TiO2', 'AUF 0015S', 'Rutile titanium dioxide', 'AMT 100', 'AMT 600', 'JR 600A', 'Cosmetic Hydrophobic TiO2 9428', '234DA', '500HD', 'Cosmetic Micro Blend TiO2 9228', 'C.I. 77891', 'E 171', 'R 680', 'Titanium dioxide [USP]', 'EINECS 215-280-1', 'EINECS 215-282-2', 'EINECS 236-675-5', 'CL 310', 'NSC 15204', 'Orgasol 1002D White 10 Extra Cos', 'CI 77891', '1385RN 59', 'AI3-01334', 'BR 29-7-2', 'MFCD00011269', '98084-96-9', 'P 25', 'Titanium dioxide (USP)', 'Titanium(IV) oxide, Aeroxide(R) P25', 'Titanium(IV) oxide, 98+%, anatase powder', 'Titanium(IV) oxide, 98.0-100.5% TiO2', 'O2Ti', 'austiox', 'bayeritian', 'bayeri tian', 'hombita n', 'CCRIS 9317', 'CCRIS 9325', 'Titanium-Dioxide', 'Titanium(IV) oxide, 99.999%, (trace metal basis), predominantly rutile', 'tiona t.d', 'dioxyde de titane', '(rutile)', 'bis(oxido)titanium', 'dioxido de titanio', 'titanium  peroxide', 'component of A-Fil', 'TITANIUM DIOXIDE ENAMEL GRADE', 'unitane or 572', 'Titanium(IV)Dioxide', 'Titanic acid anhydride', 'Titanium (IV) oxide', 'oxido de titanio(IV)', 'Titanium dioxide P25', 'ru na arh 200', 'ti-pure r 101', 'ti-pure r 915', 'Titanium oxide, TiO2', 'Titanium Dioxide Rutile', 'ti-pure r 90 0', 'Titanium( cento) oxide', 'Titania paste, reflector', 'Titanium oxide (JP17)', 'Titanium dioxide (TiO2)', 'Titania paste, transparent', 'WLN: TI O', 'EC 215-282-2', 'EC 236-675-5', '[TiO2]', 'Titania paste, active opaque', 'Titanium (IV) Oxide Anhydrous', 'Titanium(IV) oxide, 98.0%', 'CHEBI:32234', 'CTK5H9706', 'AMPERIT? 782.001', 's212', 'titanium dioxide; pigment white 6', 'KH360', 'TITANIUM DIOXIDE (ANATASE)', 'NSC15204', 'LS-785', 'NSC-15204', 'AKOS015913799', 'DB09536', 'Titanium Dioxide-Rutile type BLR-699', 'Titanium Dioxide Anatase type BLA-200', 'NCGC00187590-01', 'LS-19300', 'LS-144047', 'LS-194104', 'Titanium dioxide, NIST(R) SRM(R) 154c', 'Titanium(IV) oxide, rutile, single crystal', 'FT-0645791', 'FT-0778081', 'Titanium oxide (anatase) Powder,  99% Nano', 'D01931', 'T-3875', 'Titanium(IV) oxide, ReagentPlus(R), &gt;=99%', 'Q193521', 'Titanium(IV) oxide, SAJ first grade, &gt;=98.0%', 'J-006053', 'Titanium(IV) oxide, JIS special grade, &gt;=99.0%', 'Titanium(IV) oxide, Vetec(TM) reagent grade, 99%', 'Titanium dioxide, NIST(R) SRM(R) 1898, nanomaterial', 'Titanium(IV) Oxide, Anatase Nanoparticles / Nanopowder', 'Titanium(IV) oxide, rutile, &gt;=99.98% trace metals basis', 'Titanium(IV) oxide, rutile, 99.995% trace metals basis', 'Titanium dioxide (airborne, unbound particles of respirable size', 'Titanium(IV) oxide, anatase, powder, 99.8% trace metals basis', 'Titanium(IV) oxide, nanowires, diam. x L ~10 nm x 10 mum', 'Titanium(IV) oxide, nanowires, diam. x L ~100 nm x 10 mum', 'Titanium dioxide, NIST RM 8988, powder, particle size distribution', 'Titanium(IV) oxide, pellets, diam. x thickness 12.5 mm x 5.5 mm', 'Titanium dioxide, United States Pharmacopeia (USP) Reference Standard', 'Titanium(IV) oxide, anatase, powder, -325 mesh, &gt;=99% trace metals basis', 'Titanium(IV) oxide, rutile, powder, &lt;5 mum, &gt;=99.9% trace metals basis', 'Titanium(IV) oxide, anatase, nanopowder, &lt;25 nm particle size, 99.7% trace metals basis', 'Titanium(IV) oxide, naturally occurring mineral, grains, approximately 0.06-0.19in', 'Titanium(IV) oxide, rutile, nanopowder, &lt;100 nm particle size, 99.5% trace metals basis', 'Titanium(IV) oxide, contains 1% Mn as dopant, nanopowder, &lt;100 nm particle size (BET), &gt;=97%', 'Titanium(IV) oxide, mixture of rutile and anatase, nanoparticle, &lt;250 nm particle size (DLS), paste, 53-57 wt. % in diethylene glycol monobutyl ether/ethylene glycol, 99.9% trace metals basis', 'Titanium(IV) oxide, mixture of rutile and anatase, nanoparticles, &lt;100 nm particle size, dispersion, 48-52 wt. % in xylene, 99.9% trace metals basis', 'Titanium(IV) oxide, mixture of rutile and anatase, nanoparticles, &lt;150 nm particle size (volume distribution, DLS), dispersion, 33-37 wt. % in H2O, 99.5% trace metals basis', 'Titanium(IV) oxide, mixture of rutile and anatase, nanopowder, &lt;100 nm particle size (BET), 99.5% trace metals basis', 'Titanium(IV) oxide, nanopowder, 21 nm primary particle size (TEM), &gt;=99.5% trace metals basis', 'Titanium(IV) oxide, puriss., meets analytical specification of Ph. Eur., BP, USP, 99-100.5%', 'Titanium(IV) oxide, rutile, &amp;#60;001&amp;#62;, (single crystal substrate), 99.99% trace metals basis, L x W x thickness 10 mm x 10 mm x 0.5 mm', 'Titanium(IV) oxide, rutile, &amp;#60;100&amp;#62;, (single crystal substrate), 99.99% trace metals basis, L x W x thickness 10 mm x 10 mm x 0.5 mm', 'Titanium(IV) oxide, rutile, &amp;#60;110&amp;#62;, single crystal substrate, 99.99% trace metals basis, L x W x thickness 10 mm x 10 mm x 0.5 mm']</t>
  </si>
  <si>
    <t>Compound(26042)</t>
  </si>
  <si>
    <t>O2Ti</t>
  </si>
  <si>
    <t>titanium tetrachloride</t>
  </si>
  <si>
    <t>titanium(4+);tetrachloride</t>
  </si>
  <si>
    <t>['Titanium(IV) chloride', '7550-45-0', 'MFCD00011267', 'Titanium(IV) chloride, 1M solution in toluene, AcroSeal(R)', 'Titanium(IV) chloride, 1M solution in dichloromethane, AcroSeal(R)', 'ACMC-1BJGV', '11130-18-0', 'CTK3J2237', 'Titanium(IV) chloride, 99.9%', 'ANW-41103', 'AKOS015833127', 'KS-00000X26', 'SC-18260', 'Superlist Names Titanium chloride, (T-4)-', 'Titanic chloride; Titanio (tetracloruro di)', 'T3238', 'UNII-8O3PJE5T7Q; Titanium chloride (TiCl4)', 'Titanium chloride (TiCl4), (T-4)-; Titanium tetrachloride', 'Titanium(IV) chloride, 0.09M solution in 20% HCl, AcroSeal(R)']</t>
  </si>
  <si>
    <t>Compound(160960)</t>
  </si>
  <si>
    <t>Cl4Ti</t>
  </si>
  <si>
    <t>thallium-201</t>
  </si>
  <si>
    <t>['Thallium-201', 'Thallium Tl-201', 'Thallium, isotope of mass 201', 'UNII-H91Z8HBK1B', 'H91Z8HBK1B', '15064-65-0', 'CHEBI:37804', 'MOLI000459', '(201)Tl', '(201)81Tl', 'DB15361', 'Q18883323']</t>
  </si>
  <si>
    <t>Compound(5461982)</t>
  </si>
  <si>
    <t>thallium-202</t>
  </si>
  <si>
    <t>['Thallium Tl-202', 'UNII-I418237B6O', 'I418237B6O', 'Thallium-202', 'Thallium, isotope of mass 202', '202Tl', '15720-57-7', 'Q27280377']</t>
  </si>
  <si>
    <t>Compound(6337071)</t>
  </si>
  <si>
    <t>thallium-208</t>
  </si>
  <si>
    <t>['Thallium-208', 'Thallium, isotope of mass 208', '208Tl', '14913-50-9']</t>
  </si>
  <si>
    <t>Compound(6335611)</t>
  </si>
  <si>
    <t>Wave period determined from the spectral moments m-1 and m0</t>
  </si>
  <si>
    <t>Wave period determined from the spectral moments m0 and m1</t>
  </si>
  <si>
    <t>Wave period determined from the spectral moments m0 and m2</t>
  </si>
  <si>
    <t>Maximum wave period in the time domain</t>
  </si>
  <si>
    <t>(3,4,5-trimethylphenyl) N-methylcarbamate</t>
  </si>
  <si>
    <t>['3,4,5-Trimethylphenyl methylcarbamate', '3,4,5-Trimethacarb', '2686-99-9', 'Trimethacarb', 'Shell 8530', 'Landrin 1', 'Shell SD-8530', 'OMS-597', 'Methylcarbamic acid 3,4,5-trimethylphenyl ester', 'Trimethacarb [ANSI]', 'LANDRIN A', 'Phenol, 3,4,5-trimethyl-, methylcarbamate', 'Caswell No. 893A', '3,4,5-Trimethylphenol methylcarbamate', '3,4,5-Trimethylphenyl N-methylcarbamate', 'UNII-JG6XSN0Z2I', 'ENT-25,843', 'SD 8530', '3,4,5-Landrin', 'EINECS 220-245-9', 'JG6XSN0Z2I', 'BRN 2052372', 'Carbamic acid, methyl-, 3,4,5-trimethylphenyl ester', 'AI3-25843', '3,4,5-Trimethylfenylester kyseliny methylkarbaminove', '3,4,5-Trimethylphenyl methyl carbamate', '3,4,5-Trimethylfenylester kyseliny methylkarbaminove [Czech]', '(3,4,5-trimethylphenyl) N-methylcarbamate', 'Trimethacarb (3.4.5-)', 'Phenol, 3,4,5-trimethyl-, methylcarbamate (9CI)', 'SCHEMBL119743', 'DTXSID1040322', 'CHEBI:38894', 'Carbamic acid, methyl-, 3,4,5-trimethylphenyl ester (7CI)(8CI)', 'ZINC2019888', 'FCH839720', 'AKOS006274660', 'ACM2686999', 'LS-50408', 'NS00010532', '3,4,5-Trimethacarb 10 microg/mL in Cyclohexane', 'Q27118023', 'UNII-R97FQQ0N7W component AUQAUAIUNJIIEP-UHFFFAOYSA-N', 'Carbamic acid, methyl-, 3,4,5-trimethylphenyl ester (7CI)', 'Trimethacarb;3,4,5-trimethylphenyl methylcarbamate;3,4,5-Trimethacarb']</t>
  </si>
  <si>
    <t>Compound(17592)</t>
  </si>
  <si>
    <t>5-[(3,4,5-trimethoxyphenyl)methyl]pyrimidine-2,4-diamine</t>
  </si>
  <si>
    <t>['trimethoprim', '738-70-5', 'Proloprim', 'Trimpex', 'Trimetoprim', 'Bactramin', 'Monotrim', 'Monotrimin', 'Trimopan', '2,4-Diamino-5-(3,4,5-trimethoxybenzyl)pyrimidine', 'Monoprim', 'Syraprim', 'Trimanyl', 'Wellcoprim', 'Triprim', 'Uretrim', '5-(3,4,5-trimethoxybenzyl)pyrimidine-2,4-diamine', 'Trimethoprime', 'Trimethoprimum', 'Abaprim', 'Apo-Sulfatrim', 'Antrimox', 'Bacticel', 'Bactoprim', 'Bethaprim', 'Biosulten', 'Briscotrim', 'Chemotrin', 'Colizole', 'Cotrimel', 'Espectrin', 'Fermagex', 'Kombinax', 'Lagatrim', 'Metoprim', 'NIH 204', 'Novotrimel', 'Pancidim', 'Salvatrim', 'Sinotrim', 'Streptoplus', 'Sugaprim', 'Sulfamar', 'Sulfoxaprim', 'Sulthrim', 'Trimexol', 'Trimezol', 'Trisulcom', 'Trisulfam', 'Trisural', 'Urobactrim', 'Wellcoprin', 'Xeroprim', 'Zamboprim', 'Anitrim', 'Antrima', 'Bacdan', 'Bacidal', 'Bacide', 'Bencole', 'Conprim', 'Deprim', 'Duocide', 'Esbesul', 'Euctrim', 'Exbesul', 'Fortrim', 'Ikaprim', 'Lastrim', 'Omstat', 'Primsol', 'Protrin', 'Purbal', 'Resprim', 'Roubac', 'Roubal', 'Setprin', 'Stopan', 'Sultrex', 'Toprim', 'Trimono', 'Trisul', 'Utetrin', 'Velaten', '5-[(3,4,5-trimethoxyphenyl)methyl]pyrimidine-2,4-diamine', 'Bacin', 'Bacta', 'Cidal', 'component of Bactrim', 'Futin', 'NSC-106568', 'Trimpex 200', 'Co-Trimoxizole', 'Lagatrim Forte', 'Septrin Forte', 'Alcorim-F', 'Colizole DS', 'Septrin S', 'Septrin DS', 'Smz-Tmp', 'Trimez-IFSA', 'U-Prin', 'component of Septra', 'Bactifor', 'Dosulfin', 'Trimetoprim [DCIT]', 'Lescot', 'Trimetoprim [Polish]', 'Resprim Forte', 'Uro-D S', 'BW 56-72', 'Tmp Smx', '2,4-Pyrimidinediamine, 5-[(3,4,5-trimethoxyphenyl)methyl]-', 'Trimethoprime [INN-French]', 'Trimethoprimum [INN-Latin]', 'Trimetoprima [INN-Spanish]', 'Polytrim', 'NIH 204 (VAN)', 'TCMDC-125538', '5-(3,4,5-Trimethoxybenzyl)-2,4-pyrimidinediamine', 'UNII-AN164J8Y0X', '5-[(3,4,5-Trimethoxyphenyl)methyl]-2,4-pyrimidinediamine', 'NSC 106568', 'WR 5949', 'CCRIS 2410', '5-(3,4,5-Trimethoxybenzyl)-2,4-diaminopyrimidine', 'CHEBI:45924', 'HSDB 6781', 'CHEMBL22', 'EINECS 212-006-2', 'Trimpex (TN)', 'BW 5672', 'BRN 0625127', 'BW-56-72', 'Pyrimidine, 2,4-diamino-5-(3,4,5-trimethoxybenzyl)-', 'AI3-52594', 'MLS000079023', 'AN164J8Y0X', 'Trimethioprim', '2,4-Pyrimidinediamine, 5-((3,4,5-trimethoxyphenyl)-methyl)-', '2,4-Pyrimidinediamine, 5-((3,4,5-trimethoxyphenyl)methyl)-', 'NSC106568', 'Trimethoprim, 98%', 'BW-5672', 'NCGC00016055-05', 'Trimethopriom', '5-((3,4,5-Trimethoxyphenyl)methyl)-2,4-pyrimidinediamine', 'AK154007', 'CAS-738-70-5', 'Instalac', 'SMR000035999', 'Trimogal', 'Tiempe', 'DSSTox_CID_3712', 'DSSTox_RID_77158', 'DSSTox_GSID_23712', 'W-104441', "2,4-Diamino-5-(3',4',5'-trimethoxybenzyl)pyrimidine", 'Bacterial [Antibiotic]', 'Bacterial', 'Proloprim (TN)', 'SR-01000075652', 'Trimethoprim [USAN:BAN:INN:JAN]', '5-(3, 4, 5-Trimethoxybenzyl)-2, 4-pyrimidinediamine', 'Trimethoprim (JAN/USP/INN)', '5-{[3,4,5-tris(methyloxy)phenyl]methyl}pyrimidine-2,4-diamine', 'B-Lock', 'KUC103659N', 'Trimethoprim,(S)', 'Prestwick_485', 'KSC-4-158', 'Trimethoprim (TMP)', 'Bactrim (Salt/Mix)', 'AZT + TMP/SMX (mixture) combination', 'Spectrum_000167', 'Tocris-0650', 'Trimethoprim [USAN:USP:INN:BAN:JAN]', 'Trimethoprim_199_ p', '2w9h', '3fl9', '3n0h', '3s3v', '4km2', 'Opera_ID_1760', 'Prestwick0_000208', 'Prestwick1_000208', 'Prestwick2_000208', 'Prestwick3_000208', 'Spectrum2_000937', 'Spectrum3_000643', 'Spectrum4_000372', 'Spectrum5_001559', 'Lopac-T-7883', 'Epitope ID:119684', 'UPCMLD-DP132', 'T 7883', 'Lopac0_001271', 'Oprea1_495058', 'SCHEMBL24506', 'BSPBio_000195', 'BSPBio_002245', 'KBioGR_000863', 'KBioSS_000647', '5-25-13-00429 (Beilstein Handbook Reference)', 'KSC492O7H', 'MLS001201740', 'MLS002303068', 'MLS002548881', 'ARONIS24118', 'BIDD:GT0190', 'DivK1c_000589', 'SPECTRUM1500595', 'SPBio_000874', 'SPBio_002116', 'BPBio1_000215', 'DTXSID3023712', 'UPCMLD-DP132:001', 'BDBM18069', 'CTK3J2773', 'GTPL10931', 'HMS501N11', 'KBio1_000589', 'KBio2_000647', 'KBio2_003215', 'KBio2_005783', 'KBio3_001465', 'BBC/254', 'BIT0154', 'NIH-204', 'Trimethoprim, &gt;=98% (HPLC)', 'NINDS_000589', 'ZX-AFC000683', '2,4,5-trimethoxybenzyl)pyrimidine', 'HMS1568J17', 'HMS1921I03', 'HMS2090D14', 'HMS2092A10', 'HMS2095J17', 'HMS2230L06', 'HMS3259I11', 'HMS3263P04', 'HMS3371O18', 'HMS3652E03', 'HMS3712J17', 'Pharmakon1600-01500595', '2,4,5-trimethoxyphenzyl)pyrimidine', 'ALBB-028968', 'BCP12148', 'HY-B0510', 'KS-00000KQ6', 'KS-000046JM', 'ZINC6627681', 'ZX-AN079781', 'ZX-AS004468', 'Tox21_110291', 'Tox21_200157', 'Tox21_501271', 'ANW-42623', 'BBL005584', 'BG0348', 'CCG-40335', 'GA3656', 'KM1575', 'MFCD00036761', 'NSC752719', 'NSC757370', 's3129', 'SBB080617', 'STK177322', 'STL455117', 'AKOS001650069', 'Tox21_110291_1', 'AC-8427', 'API0004694', 'CS-2718', 'DB00440', 'KS-1145', 'LP01271', 'LS-1627', 'MCULE-6670904388', 'NC00483', 'NSC-752719', 'NSC-757370', 'SDCCGSBI-0051237.P004', 'IDI1_000589', 'SMP2_000262', 'NCGC00016055-01', 'NCGC00016055-02', 'NCGC00016055-03', 'NCGC00016055-04', 'NCGC00016055-06', 'NCGC00016055-07', 'NCGC00016055-08', 'NCGC00016055-09', 'NCGC00016055-10', 'NCGC00016055-11', 'NCGC00016055-12', 'NCGC00016055-13', 'NCGC00016055-14', 'NCGC00016055-16', 'NCGC00016055-17', 'NCGC00024707-01', 'NCGC00024707-03', 'NCGC00024707-04', 'NCGC00024707-05', 'NCGC00024707-06', 'NCGC00024707-07', 'NCGC00024707-08', 'NCGC00257711-01', 'NCGC00261956-01', 'CC-35383', 'H148', 'SC-15159', 'ST024737', 'Trimethoprim/sulfamethoxazole (commercial)', 'SBI-0051237.P003', 'AB0007348', 'DB-055812', 'Trimethoprim 100 microg/mL in Acetonitrile', '2, 5-[(3,4,5-trimethoxyphenyl)methyl]-', 'AB00052118', 'BB 0258034', 'EU-0101271', 'FT-0601630', 'FT-0675578', 'FT-0675579', 'FT-0675580', 'NS00000211', 'SW196690-3', 'C01965', 'D00145', 'J10046', 'Trimethoprim, crystallized, &gt;=99.0% (HPLC)', 'WLN: T6N CNJ BZ DZ E1R CO1 DO1 EO1', '5-(3,5-Trimethoxybenzyl)-2,4-diaminopyrimidine', 'AB00052118-30', 'AB00052118-32', 'AB00052118_33', 'AB00052118_34', 'Trimethoprim, VETRANAL(TM), analytical standard', '738T705', 'C-18214', 'Formulated trimethoprim (NSC 106568) in ethanol', 'Q422665', '2,4-diamino-5-(3,4,5-trimethoxybenzyl) pyrimidine', '2,4-diamino-5-(3,4,5-trimethoxybenzyl)-pyrimidine', 'Pyrimidine,4-diamino-5-(3,4,5-trimethoxybenzyl)-', 'SR-01000075652-1', 'SR-01000075652-3', 'SR-01000075652-6', '5-(3,4,5-Trimethoxy-benzyl)-pyrimidine-2,4-diamine', '5-(3,4,5-Trimethoxybenzyl)-2,4-pyrimidinediamine #', 'BRD-K07208025-001-06-5', 'SR-01000075652-10', '2-amino-5-(3,4,5-trimethoxybenzyl)-4-pyrimidinylamine', 'F0914-5266', 'Trimethoprim, certified reference material, TraceCERT(R)', 'Z1522566629', '5-(3,4,5-trimethoxybenzyl)pyrimidine-2,4(1H,3H)-diimine', 'Trimethoprim, British Pharmacopoeia (BP) Reference Standard', "2,4-DIAMINO-5-(3',4',5'-TRIMETHOXYBENZYL)PYRIMIDIN", 'Trimethoprim, European Pharmacopoeia (EP) Reference Standard', 'Trimethoprim, United States Pharmacopeia (USP) Reference Standard', 'TRIMETHOPRIM (8064-90-2 (TRIMETHOPRIM/SULFAMETHOXAZOLE); TMP/SMX (MIXTURE))', 'Trimethoprim for system suitability, European Pharmacopoeia (EP) Reference Standard', 'Trimethoprim, Pharmaceutical Secondary Standard; Certified Reference Material', '5-[(3,4,5-trimethoxyphenyl)methyl]pyrimidine-2,4-diamine hydrochloride;Trimethoprim;Trimethoprim-Sulfamethoxazole Combination']</t>
  </si>
  <si>
    <t>Compound(5578)</t>
  </si>
  <si>
    <t>C14H18N4O3</t>
  </si>
  <si>
    <t>4-[cyclopropyl(hydroxy)methylidene]-3,5-dioxocyclohexane-1-carboxylic acid</t>
  </si>
  <si>
    <t>['Trinexapac', '143294-89-7', 'Trinexapac acid', 'UNII-112ZF04MPX', '104273-73-6', '112ZF04MPX', '4-[cyclopropyl(hydroxy)methylidene]-3,5-dioxocyclohexane-1-carboxylic acid', '4-(Cyclopropyl(hydroxy)methylene)-3,5-dioxocyclohexanecarboxylic acid', 'Cyclohexanecarboxylicacid, 4-(cyclopropylhydroxymethylene)-3,5-dioxo-', '4-[Cyclopropyl(hydroxy)methylene]-3,5-dioxocyclohexanecarboxylic acid', 'Trinexapac [ISO]', 'Trinexapac (free acid)', 'ACMC-20n2ge', 'Trinexapac-ethyl metabolite', 'SCHEMBL125835', 'CHEBI:83454', 'CTK0H5899', 'DTXSID90559517', 'Cyclohexanecarboxylic acid, 4-(cyclopropylcarbonyl)-3,5-dioxo-', 'ZINC2525436', 'Cyclohexanecarboxylic acid, 4-(cyclopropylhydroxymethylene)-3,5-dioxo-', 'SC-94780', 'NS00004127', '4-(Cyclopropylhydroxymethylene)-3,5-dioxocyclohexa', 'Q15632713', '3-Hydroxy-4-(cyclopropylcarbonyl)-5-oxo-3-cyclohexene-1-carboxylic acid', '4-[cyclopropyl(hydroxy)methylidene]-3,5-dioxocyclohexanecarboxylic acid']</t>
  </si>
  <si>
    <t>Compound(14371531)</t>
  </si>
  <si>
    <t>C11H12O5</t>
  </si>
  <si>
    <t>ethyl 4-[cyclopropyl(hydroxy)methylidene]-3,5-dioxocyclohexane-1-carboxylate</t>
  </si>
  <si>
    <t>['Trinexapac-ethyl', '95266-40-3', 'Ethyl 4-(cyclopropyl(hydroxy)methylene)-3,5-dioxocyclohexanecarboxylate', 'Cimectacarb', 'Moddus', 'Primo', 'Trinexapac-ethyl [ISO]', 'UNII-Q89W563T9J', 'CHEBI:81817', 'Q89W563T9J', 'Cyclohexanecarboxylic acid, 4-(cyclopropylhydroxymethylene)-3,5-dioxo-, ethyl ester', 'EPA Pesticide Chemical Code 112602', 'Ethyl 4-(cyclopropylhydroxymethylene)-3,5-dioxocyclohexanecarboxylate', 'ethyl 4-[cyclopropyl(hydroxy)methylidene]-3,5-dioxocyclohexane-1-carboxylate', '4-(Cyclopropyl-alpha-hydroxymethylene)-3,5-dioxocyclohexanecarboxylic acid ethyl ester', 'cimectocarb-ethyl', 'Ethyl 4-[cyclopropyl(hydroxy)methylene]-3,5-dioxocyclohexanecarboxylate', 'TRINEXAPEC-ETHYL', 'DSSTox_CID_12535', 'DSSTox_RID_78972', 'DSSTox_GSID_32535', 'SCHEMBL118484', 'CHEMBL3182004', 'DTXSID9032535', 'SCHEMBL10001994', 'Tox21_301906', 'ZINC100076969', 'DS-6168', 'VZ36995', 'KS-00000G74', 'NCGC00255216-01', 'AK129273', 'LS-56651', 'AX8128867', 'CAS-95266-40-3', 'FT-0699262', 'NS00001581', 'C18541', '266T403', 'Trinexapac-ethyl, PESTANAL(R), analytical standard', 'Q27155616', 'CGA 163935; Cimectacarb; Moddus; Primo; Primo Maxx', 'ethyl 4-[cyclopropyl(hydroxy)methylidene]-3,5-dioxocyclohexanecarboxylate', '3-Hydroxy-4-(cyclopropylcarbonyl)-5-oxo-3-cyclohexene-1-carboxylic acid ethyl ester', '3-hydroxy-5-oxo-4-cyclopropanecarbonyl-cyclohex-3-ene-1-carboxylic acid ethyl ester', '4-[cyclopropyl(hydroxy)methylene]-3,5-diketo-cyclohexanecarboxylic acid ethyl ester']</t>
  </si>
  <si>
    <t>Compound(92421)</t>
  </si>
  <si>
    <t>C13H16O5</t>
  </si>
  <si>
    <t>Period where the energy spectrum is maximum</t>
  </si>
  <si>
    <t>Peak period of the 1st sub-spectrum (with double-headed spectra)</t>
  </si>
  <si>
    <t>Peak period of the 2nd sub-spectrum (with double-top spectra)</t>
  </si>
  <si>
    <t>(2R)-1-(4-methylphenyl)sulfonyl-N-(2-sulfanylethyl)pyrrolidine-2-carboxamide</t>
  </si>
  <si>
    <t>['N-[TOSYL-D-PROLINYL]AMINO-ETHANETHIOL', 'TP2', 'SCHEMBL4308892', 'DB03818', 'Q27094700', '1-[(4-methylphenyl)sulfonyl]-N-(2-sulfanylethyl)-D-prolinamide']</t>
  </si>
  <si>
    <t>Compound(445503)</t>
  </si>
  <si>
    <t>C14H20N2O3S2</t>
  </si>
  <si>
    <t>Block peak period</t>
  </si>
  <si>
    <t>N,N-diphenyl-4-[4-(N-phenylanilino)phenyl]aniline</t>
  </si>
  <si>
    <t>['15546-43-7', "N,N,N',N'-Tetraphenylbenzidine", 'Tetraphenylbenzidine', "N4,N4,N4',N4'-Tetraphenyl-[1,1'-biphenyl]-4,4'-diamine", 'N,N,N,N-Tetraphenylbenzidine', "[1,1'-Biphenyl]-4,4'-diamine, N,N,N',N'-tetraphenyl-", "4,4'-Bis(diphenylamino)biphenyl", 'GEO-02532', 'MFCD00228123', "N,N,N',N'-Tetraphenyl-1,1'-biphenyl-4,4'-diamine", 'TPB', "[1,1'-Biphenyl]-4,4'-diamine, N4,N4,N4',N4'-tetraphenyl-", 'W-108018', "N,N,N',N'-tetraphenyl[1,1'-biphenyl]-4,4'-diamine", "(1,1'-Biphenyl)-4,4'-diamine, N,N,N',N'-tetraphenyl-", "N4,N4,N4',N4'-Tetraphenyl-[1,1'-biphenyl]-4,4'-diamine;N,N,N',N'-Tetraphenylbenzidine [TPB]", "N,N,N',N'-Tetraphenyl(1,1'-biphenyl)-4,4'-diamine", "(1,1'-Biphenyl)-4,4'-diamine, N4,N4,N4',N4'-tetraphenyl-", "N,N'-Diphenyl-N,N',Di-m-tolyl-benzidine", 'N,N,N1,N1-Tetraphenylbenzidine', 'C36H28N2', 'EINECS 239-599-0', 'PubChem13779', 'ACMC-1BVVE', 'SCHEMBL76699', 'Tetra-N-phenylbenzidine, 97%', 'DTXSID2065913', 'KS-00000VRS', 'ACN-S002648', 'ZINC2559783', 'ANW-21564', 'AKOS015840674', 'AC-1508', 'AK-96674', 'AS-70106', 'SY038312', 'U526', 'AX8032083', 'FT-0630344', 'NS00051398', "N,N,N',N'-Tetraphenyl-4,4'-biphenyldiamine", "N,N,N',N'-tetraphenyl-4,4'-diaminobiphenyl", '22910-EP2315502A1', '546T437', "N4,N4,N4',N4'-tetraphenylbiphenyl-4,4'-diamine", 'N,N,N inverted exclamation mark ,N inverted exclamation mark -Tetraphenylbenzidine']</t>
  </si>
  <si>
    <t>Compound(84981)</t>
  </si>
  <si>
    <t>C36H28N2</t>
  </si>
  <si>
    <t>Block peak period 1st sub-spectrum (with double-headed spectra)</t>
  </si>
  <si>
    <t>Block peak period 2nd sub-spectrum (with double-headed spectra)</t>
  </si>
  <si>
    <t>Equivalent block peak period</t>
  </si>
  <si>
    <t>Equivalent peak period</t>
  </si>
  <si>
    <t>Characteristic peak period</t>
  </si>
  <si>
    <t>Peak Period Defined . from smoothed energy spectrum around peak</t>
  </si>
  <si>
    <t>2-[3-[(4-amino-2-methylpyrimidin-5-yl)methyl]-4-methyl-1,3-thiazol-3-ium-5-yl]ethyl dihydrogen phosphate</t>
  </si>
  <si>
    <t>['thiamine monophosphate', 'thiamin phosphate', 'Thiamine phosphate', 'thiamin monophosphate', 'ThMP', 'Monophosphothiamine parent', 'CHEBI:9533', '10023-48-0', '532-40-1', '3-[(4-amino-2-methylpyrimidin-5-yl)methyl]-4-methyl-5-[2-(phosphonooxy)ethyl]-1,3-thiazol-3-ium', 'thiamine(1+) monophosphate', 'Thiazolium,3-[(4-amino-2-methyl-5-pyrimidinyl)methyl]-4-methyl-5-[2-(phosphonooxy)ethyl]-,chloride (1:1)', 'TPS', 'NCGC00164500-01', 'bmse000699', 'SCHEMBL94444', 'GTPL4580', 'CHEMBL1236378', 'DTXSID6048389', 'BDBM92961', 'CTK4J7297', 'ZINC1532839', 'AKOS030242384', 'MCULE-1049606619', 'NCGC00164500-02', 'LS-187664', 'NS00022956', 'C01081', 'Q60998707', 'THIAZOLIUM,3-[(4-AMINO-2-METHYL-5-PYRIMIDINYL)METHYL]-4-METHYL-5-[2-(PHOSPHONOOXY)ETHYL]-']</t>
  </si>
  <si>
    <t>Compound(1131)</t>
  </si>
  <si>
    <t>C12H18N4O4PS+</t>
  </si>
  <si>
    <t>triticonazole</t>
  </si>
  <si>
    <t>(5E)-5-[(4-chlorophenyl)methylidene]-2,2-dimethyl-1-(1,2,4-triazol-1-ylmethyl)cyclopentan-1-ol</t>
  </si>
  <si>
    <t>['Triticonazole', '131983-72-7', 'CHEBI:84005', 'Triticonazole [ISO]', 'Charter', 'Alios', 'Premis T', '(5E)-5-(4-chlorobenzylidene)-2,2-dimethyl-1-(1H-1,2,4-triazol-1-ylmethyl)cyclopentanol', 'Cyclopentanol, 5-[(4-chlorophenyl)methylene]-2,2-dimethyl-1-(1H-1,2,4-triazol-1-ylmethyl)-', 'Premis 25 FS', 'HSDB 7944', 'Cyclopentanol, 5-4-chlorophenyl)methylene-2,2-dimethyl-1-(1H-1,2,4-triazol-1-ylmethyl)-', 'NCGC00168342-02', '(5E)-5-[(4-chlorophenyl)methylidene]-2,2-dimethyl-1-(1,2,4-triazol-1-ylmethyl)cyclopentan-1-ol', 'SCHEMBL24515', 'CHEMBL3188632', 'NCGC00164461-01', 'NCGC00168342-01', 'Triticonazole 10 microg/mL in Isooctane', 'J3.595.725A', 'Triticonazole, PESTANAL(R), analytical standard', '983T727', 'Q2366874', '(5E)-5-(4-chlorobenzylidene)-2,2-dimethyl-1-(1,2,4-triazol-1-ylmethyl)cyclopentanol', '(E)-5-(4-Chlorobenzylidene)-2,2-dimethyl-1-(1H-1,2,4-triazole-1-ylmethyl)cyclopentanol', 'Pesticide6_Triticonazole_C17H20ClN3O_(5E)-5-(4-Chlorobenzylidene)-2,2-dimethyl-1-(1H-1,2,4-triazol-1-ylmethyl)cyclopentanol']</t>
  </si>
  <si>
    <t>Compound(6537961)</t>
  </si>
  <si>
    <t>C17H20ClN3O</t>
  </si>
  <si>
    <t>tri-tert-butyl methanol</t>
  </si>
  <si>
    <t>3-tert-butyl-2,2,4,4-tetramethylpentan-3-ol</t>
  </si>
  <si>
    <t>['Tri-tert-butylmethanol', '41902-42-5', '3-(Tert-butyl)-2,2,4,4-tetramethylpentan-3-ol', '3-Pentanol, 3-(1,1-dimethylethyl)-2,2,4,4-tetramethyl-', '2,2,4,4-Tetramethyl-3-t-butyl-pentane-3-ol', '3-tert-butyl-2,2,4,4-tetramethylpentan-3-ol', 'tri-t-butylcarbinol', '3-tert-Butyl-2,2,4,4-tetramethyl-3-pentanol', 'SCHEMBL4410894', 'CTK1D6344', 'DTXSID80194673', 'ZINC2557605', '7369AJ', 'MFCD00204381', 'FCH1330807', 'DA-16863', 'SY016702', 'AX8284261', 'FT-0745193', '2,2,4,4-tetramethyl-3-tert-butyl-pentan-3-ol', '3-tert-Butyl-2,2,4,4-tetramethyl-3-pentanol #', 'Q4596744', '3-(1,1-dimethylethyl)-2,2,4,4-tetramethyl-3-pentanol']</t>
  </si>
  <si>
    <t>Compound(142558)</t>
  </si>
  <si>
    <t>C13H28O</t>
  </si>
  <si>
    <t>uranium-231</t>
  </si>
  <si>
    <t>['15700-08-0', 'Uranium-231', 'Uranium, isotope of mass 231', '231U', '(~231~U)Uranium', 'DTXSID90935579']</t>
  </si>
  <si>
    <t>Compound(177622)</t>
  </si>
  <si>
    <t>['Uranium-234', '13966-29-5', 'Uranium, isotope of mass 234', 'Uranium 234', 'DTXSID40891752', 'Q2153640']</t>
  </si>
  <si>
    <t>Compound(61704)</t>
  </si>
  <si>
    <t>uranium-235</t>
  </si>
  <si>
    <t>['Uranium-235', 'UNII-7282157TUJ', '7282157TUJ', 'Uranium 235', 'Uranium, isotope of mass 235', 'Uranium U-235', '15117-96-1', 'Q848497']</t>
  </si>
  <si>
    <t>Compound(61784)</t>
  </si>
  <si>
    <t>uranium-237</t>
  </si>
  <si>
    <t>['14269-75-1', 'Uranium-237', 'Uranium, isotope of mass 237', '(~237~U)Uranium', 'DTXSID20931600']</t>
  </si>
  <si>
    <t>Compound(167047)</t>
  </si>
  <si>
    <t>['7440-61-1', 'U', 'Uranium', 'Uranium, natural', 'URANIUM ATOM', 'Uranium cation (6+)', 'Uranium, elemental', 'uranium(5+)', '238U Element', 'Uranium-238', 'UNII-4OC371KSTK', 'UNII-5PI36AS4G7', 'Uranium I ((238)U)', 'Uranium, isotope of mass 238', 'HSDB 2553', 'EINECS 231-170-6', 'UN2979', 'Uranium, soluble compounds', 'Uranium, insoluble compounds', '4OC371KSTK', '238U', '5PI36AS4G7', '13598-56-6', 'uranio', 'U1', 'Uranium, ion(U6 )', 'Uran', 'CCRIS 9497', 'Depleted Uranium', 'uranium(0)', 'uranium(V) cation', 'IUM', 'uranium(5+) ion', 'uranium(6+) ion', 'uranium(6+)', 'uranium(VI) cation', 'Uranium (*)', 'Uranium metal, pyrophoric', 'DTXSID1042522', 'CHEBI:27214', 'CHEBI:32991', 'CHEBI:32992', 'CHEBI:49936', 'CTK0H5925', 'U(0)', 'U6', 'LS-158711', 'Q1098', 'U(5+)', 'U(6+)', 'Uranium metal, pyrophoric [UN2979]  [Radioactive]', 'Uranium metal, pyrophoric [UN2979] [Radioactive]', 'Q27115170', 'Q27115171', 'Uh3']</t>
  </si>
  <si>
    <t>Compound(23989)</t>
  </si>
  <si>
    <t>Leaching</t>
  </si>
  <si>
    <t>vanadium-48</t>
  </si>
  <si>
    <t>['Vanadium-48', '14331-97-6', 'Vanadium, isotope of mass 48', '(~48~V)Vanadium', 'DTXSID50931815', '48V']</t>
  </si>
  <si>
    <t>Compound(161054)</t>
  </si>
  <si>
    <t>Sailing depth</t>
  </si>
  <si>
    <t>Variant of its own character</t>
  </si>
  <si>
    <t>Vegetation</t>
  </si>
  <si>
    <t>Field test sensory perceptions</t>
  </si>
  <si>
    <t>Calorific value (calorific value)</t>
  </si>
  <si>
    <t>Residence time</t>
  </si>
  <si>
    <t>Dilution factor</t>
  </si>
  <si>
    <t>Dilution</t>
  </si>
  <si>
    <t>Evaporation</t>
  </si>
  <si>
    <t>Evaporation deficit</t>
  </si>
  <si>
    <t>Power</t>
  </si>
  <si>
    <t>Pollution</t>
  </si>
  <si>
    <t>displacement</t>
  </si>
  <si>
    <t>Pollution value</t>
  </si>
  <si>
    <t>Saturation degree</t>
  </si>
  <si>
    <t>Acidification</t>
  </si>
  <si>
    <t>Fat</t>
  </si>
  <si>
    <t>Fish quality</t>
  </si>
  <si>
    <t>Viscosity</t>
  </si>
  <si>
    <t>Fish stock</t>
  </si>
  <si>
    <t>Fishing</t>
  </si>
  <si>
    <t>Fishing factor</t>
  </si>
  <si>
    <t>Abundance of fish</t>
  </si>
  <si>
    <t>Age structure of fish</t>
  </si>
  <si>
    <t>Species composition of fish</t>
  </si>
  <si>
    <t>Fish Guild- diadromous type of salt waters (CA)</t>
  </si>
  <si>
    <t>Fish Guild- diadromous type of rivers (Dr)</t>
  </si>
  <si>
    <t>Fish guild- estuary resident species (ER)</t>
  </si>
  <si>
    <t>Fish guild- eurytope species (Eu)</t>
  </si>
  <si>
    <t>Fish guild- exotic species (Ex)</t>
  </si>
  <si>
    <t>Fish Guild- Freshwater Species (FW)</t>
  </si>
  <si>
    <t>Fish guild- habitat sensitive species (Hg)</t>
  </si>
  <si>
    <t>Fish guild- limnophilic species (Li)</t>
  </si>
  <si>
    <t>Fish Guild- Marine Juvenile (MJ)</t>
  </si>
  <si>
    <t>Fish Guild- Marine Juvenile / Seasonal Guest (MJ + MS)</t>
  </si>
  <si>
    <t>Fish Guild- Marine Seasonal Guest (MS)</t>
  </si>
  <si>
    <t>Fish guild- migratory species (Mi)</t>
  </si>
  <si>
    <t>Fish guild- oxygen tolerant species (O2)</t>
  </si>
  <si>
    <t>Fish guild- plant-loving species (Pm)</t>
  </si>
  <si>
    <t>Fish Guild- plant-loving and migratory species (PmM)</t>
  </si>
  <si>
    <t>Fish guild- rheophilic species (Rh)</t>
  </si>
  <si>
    <t>Fish guild- chloride tolerant type of agent (Z1)</t>
  </si>
  <si>
    <t>Fish guild- chloride tolerant species (Z1 + Z2)</t>
  </si>
  <si>
    <t>Fish guild- chloride tolerant species low (Z2)</t>
  </si>
  <si>
    <t>Fish Guild- plant-loving species (Z3)</t>
  </si>
  <si>
    <t>Fish group- perch and roach (BB)</t>
  </si>
  <si>
    <t>Fish group- bream and carp (BK)</t>
  </si>
  <si>
    <t>Fish group- species in small rivers</t>
  </si>
  <si>
    <t>Vitality</t>
  </si>
  <si>
    <t>Floodmark coverage</t>
  </si>
  <si>
    <t>Food strategy</t>
  </si>
  <si>
    <t>Nutritional status</t>
  </si>
  <si>
    <t>Bird</t>
  </si>
  <si>
    <t>Volume fraction</t>
  </si>
  <si>
    <t>Preprocessing headspace</t>
  </si>
  <si>
    <t>Volatile organic acids</t>
  </si>
  <si>
    <t>Ratio VOZ / ALKLTT</t>
  </si>
  <si>
    <t>Dirty</t>
  </si>
  <si>
    <t>tungsten 181</t>
  </si>
  <si>
    <t>tungsten-181</t>
  </si>
  <si>
    <t>['15749-46-9', 'Tungsten-181', 'Tungsten, isotope of mass 181', '181W', '(~181~W)Tungsten', 'DTXSID70935678']</t>
  </si>
  <si>
    <t>Compound(161143)</t>
  </si>
  <si>
    <t>Warmth</t>
  </si>
  <si>
    <t>Water chemistry</t>
  </si>
  <si>
    <t>water pressure</t>
  </si>
  <si>
    <t>Water depth</t>
  </si>
  <si>
    <t>Water width</t>
  </si>
  <si>
    <t>Water surface</t>
  </si>
  <si>
    <t>Water level</t>
  </si>
  <si>
    <t>Water setup</t>
  </si>
  <si>
    <t>Aquatic plants</t>
  </si>
  <si>
    <t>['water', '7732-18-5', 'Distilled water', 'Dihydrogen oxide', 'Purified water', 'Water vapor', 'Sterile water', 'Water, purified', 'Water, mineral', 'Water, deionized', 'Dihydrogen Monoxide', 'oxidane', 'steam', 'DHMO', 'Deionized water', 'Water, sterile', 'Water, distilled', 'Water for injection', 'Sterile water for irrigation', 'CCRIS 6115', '1,3-epoxy-', 'Water purified', 'Sterile water for injection', 'UNII-059QF0KO0R', 'Water (distilled)', 'Water, for HPLC', 'Water, HPLC grade', 'H2O', 'EINECS 231-791-2', 'MFCD00011332', 'Ice', 'NSC 147337', '059QF0KO0R', 'CHEBI:15377', 'Water, Reagent (Deionized water)', 'Water, for analysis', 'NSC-147337', 'Water, D.I.U.F.', 'Detergent, Neutral Reagent', 'Water, pure, demineralized', 'Water, extra pure, deionized', 'HOH', 'Water, distilled, conductivity or of similar purity', 'Deionized ultra-filtered water', '20% Acetonitrile/80% water', 'Hydrochloric Acid Solution, 6N', 'Water, for HPLC gradient grade', 'agua', 'aqua', 'Water, sterile-filtered, BioReagent, suitable for cell culture', 'Pur-wash', 'IPA (Isopropyl Alcohol), 70% v/v', 'Hydrochloric Acid, 25% (v/v) (1+3)', 'Sterile purified water', 'Water for hemodialysis', 'Buffer Solution, pH 10.00, Color-Coded Blue', 'Water, purified sterile', 'Water, sterile purified', 'Sterile water in plastic container', 'Sterile water for inhalation', 'acqua', 'dihydridooxygen', '(Tris)-1, 10-Phenanthroline Iron (II) Sulfate Solution', 'Water for injection, sterile', 'Tritiotope', 'Wasser', 'Water for inhalation, sterile', 'Water for irrigation, sterile', 'Water, for molecular biology, DNAse, RNAse and Protease free', 'Water, for residue analysis, ECD tested for pesticide analysis', 'Hydroxy radical', 'Aqua Purificata', 'water-', 'DI water', 'HSDB 8183', 'hydrogen hydroxide', 'Bacteriostatic water for injection', 'Sterile water for injection in plastic container', 'Water for injection, bacteriostatic', 'eau', 'Pure Water Density Standard, UKAS ISO/IEC17025 and ISO Guide 34 certified, density: 0.9982 g/mL at 20 C, density: 0.9970 g/mL at 25 C', 'Water, HPLC', 'Water, ACS reagent', 'Water, HPLC Plus', 'Water, PCR Reagent', 'Bacteriostatic water for injection in plastic container', 'Sterile water (TN)', 'Water, sterile filtered', 'Water with TFA, TFA', 'an unknown oxygen source', 'Water, Optima UHPLCMS', 'Water, purified (USP)', 'H-OH', 'Purified water (JP17)', 'Water (JP17/USP)', 'Water, for TOC analysis', 'ACMC-1C3XS', 'Distilled water, for HPLC', 'Water, deionized (&lt;2uS)', '0.05% TFA in Water', 'Water, deionized (&lt;10uS)', 'Water for injection (JP17)', 'Water, for ion chromatography', 'Hydrofluoric Acid, 48-50%', 'Water, BioPerformance Certified', 'Water, technical, demineralized', 'CHEMBL1098659', 'DTXSID6026296', 'CHEBI:25805', 'CTK2H7140', 'Water, Molecular Biology Reagent', 'XLYOFNOQVPJJNP-UHFFFAOYSA-', 'DTXSID00170378', '[OH2]', 'Water, tested according to Ph.Eur.', 'NSC147337', 'Purified water in containers (JP17)', 'AKOS015950726', 'E-Toxate(TM) Water, endotoxin, free', 'Water with 0.1% trifluoroacetic acid', 'DB09145', 'LS-1718', 'Water with 0.05% trifluoroacetic acid', 'Water, for UHPLC, for mass spectrometry', 'Water for injection in containers (JP17)', 'Water, deionized 18 megaohm ASTM Type I', 'LS-190909', 'FT-0666297', 'FT-0696358', 'FT-0696590', 'FT-0696628', 'FT-0696641', 'FT-0696971', 'FT-0697004', 'FT-0697144', 'FT-0697158', 'FT-0697170', 'FT-0697209', 'FT-0697243', 'FT-0697253', 'FT-0697259', 'FT-0697294', 'FT-0697297', 'FT-0697301', 'FT-0697341', 'FT-0697349', 'FT-0697357', 'FT-0697405', 'FT-0697446', 'FT-0697449', 'FT-0697507', 'FT-0697572', 'FT-0697623', 'FT-0697627', 'FT-0697628', 'FT-0697674', 'FT-0697714', 'FT-0697757', 'FT-0697788', 'FT-0697792', 'FT-0697796', 'FT-0697843', 'FT-0697856', 'FT-0697866', 'FT-0697871', 'FT-0697889', 'FT-0697898', 'FT-0697905', 'FT-0697910', 'FT-0697922', 'FT-0698010', 'FT-0698017', 'FT-0698043', 'FT-0698101', 'FT-0698115', 'FT-0698166', 'FT-0698169', 'FT-0698223', 'FT-0698239', 'FT-0698270', 'FT-0698271', 'FT-0698321', 'FT-0698348', 'FT-0698364', 'FT-0698424', 'FT-0698457', 'FT-0698465', 'FT-0698477', 'FT-0698494', 'FT-0698589', 'FT-0698592', 'FT-0698708', 'FT-0698717', 'FT-0698718', 'FT-0698751', 'FT-0698783', 'FT-0698819', 'FT-0698821', 'FT-0698831', 'FT-0698832', 'FT-0698834', 'FT-0698835', 'FT-0698842', 'FT-0698843', 'FT-0698847', 'FT-0698849', 'FT-0698856', 'FT-0698897', 'FT-0698914', 'FT-0698990', 'FT-0698992', 'FT-0698993', 'FT-0698996', 'FT-0698999', 'FT-0699000', 'FT-0699001', 'FT-0699002', 'FT-0699003', 'FT-0699004', 'FT-0699005', 'FT-0699007', 'FT-0699017', 'FT-0699037', 'FT-0699049', 'FT-0699053', 'FT-0699078', 'FT-0699128', 'FT-0699173', 'FT-0699177', 'FT-0699181', 'FT-0699195', 'FT-0699197', 'FT-0699222', 'FT-0699237', 'FT-0699244', 'FT-0699257', 'FT-0699263', 'FT-0699270', 'FT-0699281', 'FT-0699301', 'FT-0699381', 'FT-0699391', 'FT-0699491', 'FT-0699565', 'FT-0699582', 'FT-0699656', 'FT-0699660', 'FT-0699667', 'FT-0699668', 'FT-0699680', 'FT-0699707', 'FT-0699726', 'FT-0699727', 'FT-0699728', 'FT-0699749', 'FT-0699751', 'FT-0699763', 'FT-0699780', 'FT-0699822', 'FT-0699826', 'NSC 147337; R 718', 'R-718', 'Sterile purified water in containers (JP17)', 'Water, ACS reagent, for ultratrace analysis', 'Water with 0.1% Trifluoroacetic Acid (v/v)', 'Water, packaged for use in deposition systems', 'C00001', 'D00001', 'Water with 0.05% Trifluoroacetic Acid (v/v)', 'Water, deuterium-depleted, 99.99995 atom %', 'Q274959', 'Q427071', 'Water solution, 0.005N in sulfuric acid, for HPLC', 'Water solution, contains 0.05 % (v/v) acetic acid', 'Water solution, contains 0.10 % (v/v) acetic acid', 'Water, deuterium-depleted, &lt;=1 ppm (Deuterium oxide)', 'Water, for HPCE, for luminescence, for UV-spectroscopy', 'Density Standard 998 kg/m3, H&amp;D Fitzgerald Ltd. Quality', 'UNII-00IBG87IQW component XLYOFNOQVPJJNP-UHFFFAOYSA-N', 'UNII-4U092XZF0K component XLYOFNOQVPJJNP-UHFFFAOYSA-N', 'UNII-726I6TE06G component XLYOFNOQVPJJNP-UHFFFAOYSA-N', 'Water solution, contains 0.1 % (v/v) ammonium hydroxide', 'Water solution, contains 10 mM ammonium acetate, for HPLC', 'Water solution, contains 0.05 % (v/v) trifluoroacetic acid', 'Water solution, contains 0.06 % (v/v) trifluoroacetic acid', 'Water solution, for HPLC, contains 0.1 % (v/v) formic acid', 'Water, for molecular biology, DEPC-treated and sterile filtered', 'Water solution, HPLC grade, contains 0.035 % (v/v) acetic acid', 'Water solution, contains 0.1 % (v/v) trifluoroacetic acid, for HPLC', 'Water, for cell biology, free of endotoxins, ultrafiltered and autoclaved', 'Water solution, contains 0.05 % (w/v) ammonium formate, 0.1 % (v/v) formic acid', 'Water solution, contains 0.1 % (v/v) formic acid, for UHPLC, for mass spectrometry', 'Water solution, contains 0.10 % (v/v) formic acid, 50.0 % (v/v) acetonitrile', 'Water solution, contains 10.0 % (v/v) methanol, 0.10 % (v/v) trifluoroacetic acid', 'Water solution, contains 20 % (v/v) acetonitrile, 0.1 % (v/v) formic acid', 'Water, for embryo transfer, sterile-filtered, BioXtra, suitable for mouse embryo', '8O', 'OH2']</t>
  </si>
  <si>
    <t>Compound(962)</t>
  </si>
  <si>
    <t>Water level change</t>
  </si>
  <si>
    <t>Resistance</t>
  </si>
  <si>
    <t>Toxic equivalent according to WHO</t>
  </si>
  <si>
    <t>Wind force</t>
  </si>
  <si>
    <t>Wind direction</t>
  </si>
  <si>
    <t>Wind speed</t>
  </si>
  <si>
    <t>3,5-xylyl methyl carbamate</t>
  </si>
  <si>
    <t>(3,5-dimethylphenyl) N-methylcarbamate</t>
  </si>
  <si>
    <t>['3,5-XYLYL METHYLCARBAMATE', 'Cosban', 'Maqbarl', 'Macbal', '3,5-Dimethylphenyl Methylcarbamate', 'XMC (pesticide)', '3,5-Dimethylphenyl N-methylcarbamate', '2655-14-3', 'Carbaron', '3,5-Xylyl N-methylcarbamate', 'Maqbal', '3,5-Xylenyl N-methylcarbamate', '3,5-Xmc', 'XMC', '3,5-Xylenol, methylcarbamate', 'Methylcarbamic acid 3,5-xylyl ester', 'N-Methyl-3,5-xylyl carbamate', 'XMC (VAN)', 'DRC 3340', 'Carbamic acid, methyl-, 3,5-xylyl ester', 'Phenol, 3,5-dimethyl-, methylcarbamate', 'H-69', '3,5-Dimethylphenol methylcarbamate', 'UNII-S0Z6GJ0V0R', 'NSC 35375', '(3,5-dimethylphenyl) N-methylcarbamate', '3,5-Xylylester kyseliny methylkarbaminove', 'HSDB 6748', '3,5-Xylyl methylcarbamate (8CI)', 'S 1041', 'BRN 1948121', 'S0Z6GJ0V0R', '3,5-Dimethylphenyl methylcarbamate (9CI)', 'CHEBI:38571', '3,5-Xylylester kyseliny methylkarbaminove [Czech]', 'Phenol, 3,5-dimethyl-, methylcarbamate (9CI)', '3, methylcarbamate', 'XMC, JMAF', 'XMC (Group of peaks!)', '4-06-00-03147 (Beilstein Handbook Reference)', 'SCHEMBL338080', 'WLN: 1MVOR C1 E1', 'XMC;3,5-xylyl methylcarbamate', 'CHEMBL2271132', 'DTXSID7058042', 'CVQODEWAPZVVBU-UHFFFAOYSA-', 'XMC / 3,5-Xylyl methylcarbamate', 'NSC35375', 'ZINC1667585', 'Phenol,5-dimethyl-, methylcarbamate', 'XMC (3,5-Xylyl methyl carbamate)', 'NSC-35375', 'AKOS006273340', 'LS-50410', 'FT-0692017', 'NS00006049', 'C18771', 'Q15632708', 'XMC (3,5-xylyl methylcarbamate) 10 microg/mL in Cyclohexane']</t>
  </si>
  <si>
    <t>Compound(17563)</t>
  </si>
  <si>
    <t>X coordinate</t>
  </si>
  <si>
    <t>yttrium-88</t>
  </si>
  <si>
    <t>['13982-36-0', 'Yttrium-88', 'Yttrium, isotope of mass 88', '(~88~Y)Yttrium', 'DTXSID00930636']</t>
  </si>
  <si>
    <t>Compound(105173)</t>
  </si>
  <si>
    <t>yttrium-91</t>
  </si>
  <si>
    <t>['14234-24-3', 'Yttrium-91', 'Yttrium, isotope of mass 91', '(~91~Y)Yttrium', 'DTXSID90931410']</t>
  </si>
  <si>
    <t>Compound(104964)</t>
  </si>
  <si>
    <t>Y coordinate</t>
  </si>
  <si>
    <t>ytterbium-175</t>
  </si>
  <si>
    <t>['14041-44-2', 'Ytterbium-175', 'Ytterbium, isotope of mass 175', '(~175~Yb)Ytterbium', 'DTXSID80930795']</t>
  </si>
  <si>
    <t>Compound(161018)</t>
  </si>
  <si>
    <t>Sand</t>
  </si>
  <si>
    <t>dioxosilane</t>
  </si>
  <si>
    <t>['Silica', 'SILICON DIOXIDE', 'Quartz', '7631-86-9', 'Cristobalite', 'Dioxosilane', 'Diatomaceous earth', 'Tridymite', 'Sand', 'Infusorial earth', 'Silicic anhydride', 'Aerosil', 'KIESELGUHR', 'Diatomaceous silica', 'Dicalite', 'Wessalon', 'Glass', 'Ludox', 'Nyacol', 'Zorbax sil', '14808-60-7', 'Crystalline silica', 'Silica, amorphous', '112945-52-5', 'Cab-O-sil', 'Christensenite', 'Crystoballite', 'Siliceous earth', 'Silicon oxide', 'Amorphous silica', 'QUARTZ (SIO2)', 'Silica, colloidal', '61790-53-2', 'Silicon(IV) oxide', '112926-00-8', 'Sillikolloid', 'Acticel', 'Aerosil 380', 'Amethyst', 'Aquafil', 'Carplex', 'Cataloid', 'Chalcedony', 'Crysvarl', 'Diatomite', 'Extrusil', 'Flintshot', 'Nalcoag', 'Novaculite', 'Porasil', 'Santocel', 'Silikil', 'Silikill', 'Siloxid', 'Sipernat', 'Superfloss', 'Vulkasil', 'Cherts', 'Neosil', 'Neosyl', 'Snowit', 'Aerosil-degussa', 'Agate', 'Flint', 'Imsil', 'Metacristobalite', 'Zipax', 'Onyx', 'Opal', 'alpha-Quartz', 'Cab-o-sil M-5', 'colloidal silica', 'Cristobalite (SiO2)', 'Fossil flour', 'Fused silica', 'Quartz dust', 'Quartz glass', 'Quartz sand', 'Quartz silica', 'Rock crystal', 'Rose quartz', 'Silica dust', 'White carbon', 'Silica particles', 'Silicone dioxide', 'Tiger-eye', 'Vulkasil S', 'Celite superfloss', 'Cristobalite dust', 'SILICA, VITREOUS', 'Snowtex O', 'Silver bond B', 'Corasil II', 'alpha-Cristobalite', 'alpha-Crystobalite', 'Cab-O-sperse', 'Calcined diatomite', 'Colloidal silicon dioxide', 'Tokusil TPLM', 'Dri-Die', 'Gold bond R', 'Siliceous earth, purified', 'Cabosil st-1', 'Manosil vn 3', 'Sil-Co-Sil', 'Ultrasil VH 3', 'Ultrasil VN 3', 'Aerosil bs-50', 'Carplex 30', 'Carplex 80', 'Snowtex 30', 'Tridymite 118', 'Zeofree 80', 'Aerosil K 7', 'Cab-O-grip II', 'Cabosil N 5', 'Min-U-Sil', 'Pigment White 27', 'Siderite (SiO2)', 'Syton 2X', 'Tridimite [French]', 'Amorphous silica gel', 'HI-Sil', 'Positive sol 232', 'Silicon dioxide (amorphous)', 'Aerogel 200', 'Aerosil 300', 'Ludox hs 40', 'Silanox 101', 'Silica (SiO2)', 'Vitasil 220', '60676-86-0', 'Amorphous silica dust', 'Positive sol 130M', 'Nyacol 830', 'Aerosil A 300', 'Aerosil E 300', 'Aerosil M-300', 'Sibelite M 3000', 'Sibelite M 4000', 'Sibelite M 6000', 'Quazo puro [Italian]', 'silanedione', 'Silicon dioxide, fumed', 'Caswell No. 734A', 'Nalfloc N 1050', 'Quso 51', 'Sicron F 300', 'Sikron F 100', 'Siliziumdioxid', 'Nyacol 1430', 'Silica, amorphous fused', 'Silica slurry', 'Tridymite dust', 'W 12 (Filler)', 'MIN-U-sil alpha quartz', 'Quso G 30', 'Dri-Die insecticide 67', 'Nalco 1050', 'Silica, amorphous, fumed', 'Pyrogenic colloidal silica', 'Synthetic amorphous silica', 'UNII-ETJ7Z6XBU4', 'Hydrophobic silica 2482', 'Calcined diatomaceous earth', 'Crystallized silicon dioxide', '14464-46-1', '91053-39-3', 'Diatomaceous earth, calcined', 'Kieselsaeureanhydrid', 'Silicon oxide, di- (sand)', 'Cristobalite asbestos', 'Sg-67', 'Silica, amorphous, fumed, cryst.-free', 'Fumed silica, crystalline-free', 'CCRIS 2475', 'CCRIS 3699', 'DQ12', 'Dimethyl siloxanes and silicones', 'Fumed synthetic amorphous silica', 'Silica, crystalline - tridymite', 'CHEBI:30563', 'SiO2', 'Synthetic amorphous silica, fumed', 'WGL 300', 'D &amp; D', 'SF 35', '(SiO2)n', 'Silicon dioxide, chemically prepared', 'EINECS 231-545-4', 'EINECS 238-455-4', 'EINECS 238-878-4', 'EINECS 239-487-1', '43-63C', 'HK 400', 'MFCD00011232', 'TGL 16319', 'ETJ7Z6XBU4', 'Silica, crystalline quartz', 'Silicon dioxide, colloidal', '15468-32-3', 'ENT 25,550', 'EPA Pesticide Chemical Code 072605', 'Silica 2482, hydrophobic', 'CI 7811', 'Silica, crystalline, quartz', 'Silica, crystalline: quartz', '[SiO2]', 'Silica, crystalline - fused', 'CAB-O-SIL N-70TS', 'Silica, crystalline tridymite', 'Silica, crystalline - quartz', 'Quartz [Silica, crystalline]', 'Silica flour (powdered crystalline silica)', 'Silica, crystalline: tridymite', 'AI3-25549', 'Silicondioxide', 'N1030', 'Tridymite [Silica, crystalline]', 'U 333', 'W 006', 'Celite', 'Sand, Ottawa', 'Silica, crystalline: cristobalite', 'Silica, crystalline - cristobalite', 'Cristobalite [Silica, crystalline]', 'Sand, Sea', 'Amorphous silica: Pyrogenic (fumed)', 'silica gel desiccant', 'Silica vitreous', 'Chromosorb P', 'Tridymite (SiO2)', 'Glass wool, for laboratory use', 'Sand, pure, 40-100 mesh', 'Silicates (&lt;1% crystalline silica):Graphite, natural', 'Silica gel desiccant, indicating', 'Siliceous earth, purified (NF)', 'Siliceous earth, purified [NF]', 'Spectrosil', 'Accusand', 'Coesite', 'Fuselex', 'Nalcast', 'Optocil', 'Quartzine', 'Quarzsand', 'Rancosil', 'Suprasil', 'Tridimite', 'Siltex', 'Vitreous quartz', 'Vitreous silica', 'beta-Quartz', 'Fused quartz', 'Quartz-beta', 'Silica glass', 'Amorphous quartz', 'Quazo puro', 'Vitrified silica', 'MFCD00163736', 'Sand, for analysis, 40-100 mesh', 'Silica gel, spherical, 60 angstroms', 'Silica, fused', 'Suprasil W', 'Vitreosil IR', 'Borsil P', 'Silica gel, spherical, 300 angstroms', 'Silane, dioxo-', 'Optocil (quartz)', 'CP-SilicaPLOT', '68909-20-6', 'Quarzsand [German]', 'S-Col', 'Admafine SO 25H', 'Admafine SO 25R', 'Admafine SO 32H', 'Admafine SO-C 2', 'Admafine SO-C 3', 'Keatite (SiO2)', 'Stishovite (SiO2)', 'ED-C (silica)', 'Fuselex ZA 30', 'As 1 (silica)', 'Agate (SiO2)', 'Celite 545', 'FB 5 (silica)', 'Fuselex RD 120', 'Corning 7940', 'Microcrystalline quartz', 'Denka F 90', 'Denka FB 30', 'Denka FB 44', 'Denka FB 74', 'Denka FS 30', 'Dri-Die 67', 'Silica gel spherical, 40-75 mum particle size', 'Cryptocrystalline quartz', 'FB 20 (silica)', 'Elsil 100', 'F 44 (filler)', 'Elsil BF 100', 'F 125 (silica)', 'F 160 (silica)', 'Silicon dioxide, 99.998%, (trace metal basis)', 'Fuselex RD 40-60', 'Silica, amorphous, fused', 'Celite(R), for analysis, high purity analytical grade', 'Silicon dioxide (vitreous)', 'Silicon dioxide, amorphous, hexamethyldisilazane treated', 'GP 7I', 'Silica gel, for chromatography, 0.030-0.200 mm, 60 A', 'Silica gel, for chromatography, 0.035-0.070 mm, 90 A', 'Silica gel, for chromatography, 0.075-0.250 mm, 150 A', 'Silica gel, for drying purposes, non-toxic grade, 3-6 mm', 'Kieselgel', 'Silicagel', 'AF-SO 25R', 'ilicon dioxide', 'Silica gel, for column chrom., ultrapure, 60-200 $6, 60A', 'Zorbax', 'quartz-glass', 'Silicom dioxide', 'silica-gel', 'Silicon dioxide, amorphous gel', 'Fused-silica', 'GP 11I', 'RD 8', 'silica-', 'Silicon di-oxide', 'CRS 1102RD8', 'Silica gel G', 'Silica, tridymite', 'Diatomaceous earth, flux-calcined, filter aid, treated with sodium carbonate, flux calcined', 'Silica gel 60 ADAMANT(TM) on TLC plates, with fluorescent indicator 254 nm', 'EF 10', 'FS 74', 'MR 84', 'Silica gel, functionalized, (cyclohexylcarbodiimido)propyl, ca. 0,9 mmol-g, particle size: 40-63 micron', 'EINECS 262-373-8', 'Silica gel (blue)', 'Silica gel, ASTM', 'Siliceous sand, CP', 'BF 100', 'EQ 912', 'MFCD00217788', 'QG 100', 'RD 120', 'Celite 503', 'Nettles p.e. extract', 'Silica, fumed, powder', 'Silicon dioxide (NF)', 'Sand 50-70 mesh', 'F 44', 'Y 40', 'SiO2.xH2O', 'Silicon dioxide,nanometer', 'Crystalline Silica Quartz', 'Silica gel, ACS reagent', 'Cab-O-sil(R) M-5', 'Celite(R) 512 medium', 'Silica, 99.8%', 'Diatomaceous earth, powder', 'DSSTox_CID_9677', 'Epitope ID:158537', 'Silica, fumed, hydrophobic', 'EC 231-545-4', 'Celite(R) 503, CP', 'Celite(R) 535, CP', 'Celite(R) 545, CP', 'DSSTox_RID_78805', 'DSSTox_GSID_29677', 'Silicon dioxide, acid washed', 'Silica, hydrate(8CI,9CI)', 'Silicon(IV) oxide (SiO2)', '13778-37-5', '13778-38-6', '15723-40-7', '17679-64-0', '99439-28-8', 'Silicon(IV) oxide, amorphous', 'Kieselguhr, calcined, purified', 'Silica gel, CP, blue, beads', 'Silica, fused, respirable dust', 'AW Standard Super-Cel(R) NF', 'MCM-41', 'Silica gel, CP, mixed, beads', 'Silica gel, CP, white, beads', 'Hyflo(R) Super-Cel(R), CP', 'CHEMBL3188292', 'DTXSID1029677', 'Filter agent, Celite(R) 545', 'Sand, white quartz, CP, beads', 'Silicon Oxide Hollow Nanospheres', 'CTK3I8134', 'Silicon dioxide, colloidal (NF)', 'Diatomaceous earth, flux-calcined', 'Silicon dioxide, SAJ first grade', 'Diatomaceous earth non-washed, CP', 'Silica Gel Dessicant (Grade 03)', 'Silica gel, CP, blue, bead size', 'Filter agent, Celatom(R) FW-14', 'Filter agent, Celatom(R) FW-50', 'Filter agent, Celatom(R) FW-60', 'Filter agent, Celatom(R) FW-80', 'Silica, fused [Silica, amorphous]', 'Silicon dioxide, JIS special grade', 'Chromosorb(R) G, 80-100 mesh', 'KS-000000OL', 'Celite(R) 545 AW, reagent grade', 'Silica gel 60, 230-400 mesh', 'Tox21_301288', 'LS-866', 'MFCD07370732', 'Sand, white quartz, CP, crystalline', 'Chromosorb(R) W/AW, 45-60 mesh', 'Light anhydrous silicic acid (JP17)', 'Silica, fumed, powder, 0.008 mum', 'AKOS009085429', 'Silica Gel, 40-63 Micron Particles', 'Silica gel, spherical, 100 angstroms', 'DB11132', 'LS-2422', 'Glass spheres, 9-13 mum particle size', 'Silica gel, CP, white, medium granules', 'Silica gel, technical grade, 3-9 mesh', 'Silica, mesostructured, HMS (wormhole)', 'NCGC00257531-01', 'Sand, white quartz, purum p.a., powder', 'Silica gel orange, granular, 0.2-1 mm', '14639-89-5', '92283-58-4', 'E551', 'SC-25876', 'SC-47167', 'SC-89620', 'Silica gel, CP, blue, bead size, medium', 'Silica gel, technical grade, 6-16 mesh', 'CAS-7631-86-9', 'Silica gel, CP, mixed, bead size, medium', 'Silica gel, for column chromatography, 60', 'Celite(R) 281, filter aid, flux calcined', 'Celite(R) S, filter aid, dried, untreated', 'Chromosorb(R) W/AW-DMCS, 80-100 mesh', 'LS-145280', 'LS-145284', 'LS-145287', 'Silicon dioxide, purum p.a., acid purified', 'FT-0624621', 'FT-0645127', 'FT-0689145', 'FT-0689270', 'FT-0696592', 'FT-0696603', 'FT-0697331', 'FT-0697389', 'FT-0700917', 'S0821', 'S0822', 'Silica gel, with 1-4 mm moisture indicator', 'Silica, amorphous, fumed (crystalline free)', 'Celite(R) 110, filter aid, flux calcinated', 'Celite(R) 512 medium, filter aid, calcined', 'Chromosorb(R) G/AW-DMCS, 100-120 mesh', 'Chromosorb(R) W/AW-DMCS, 120-140 mesh', 'K-411 Glass microspheres, NIST SRM 2066', 'Silica gel, technical grade 40, 6-12 mesh', 'C18 Silica Gel, Endcapped, 60A, 40-63um', 'D05839', 'D06521', 'D06522', 'Sand, white quartz, 50-70 mesh particle size', 'Silica, mesostructured, MSU-F (cellular foam)', 'Celite(R) 209, filter aid, natural, untreated', 'Celite(R) Analytical Filter Aid II (CAFA II)', 'Glass sand, NIST(R) SRM(R) 165a, low iron', 'Silica gel spherical, 75-200 mum particle size', 'Silica gel, Davisil(R) grade 922, -200 mesh', 'Diatomaceous earth, calcined, filter aid, calcined', 'Q116269', 'Sand for sand sieve analysis, NIST(R) RM 8010', 'Silica gel, GF254, for thin layer chromatography', 'Silica gel, HF254, for thin layer chromatography', 'Silica gel, Type III, Indicating, for desiccation', 'Silica, mesostructured, MCM-41 type (hexagonal)', 'Silicon dioxide, purum p.a., acid purified, sand', 'Standard Super Cel(R) fine, filter aid, calcined', 'Celite(R) 500 fine, filter aid, dried, untreated', 'Glass sand, NIST(R) SRM(R) 1413, high alumina', 'J-002874', 'Sand, white quartz, &gt;=99.995% trace metals basis', 'Silica gel, technical grade, 1-3 mm particle size', 'Silica gel, technical grade, 3-6 mm particle size', 'Silica gel, with moisture indicator (blue), coarse', 'Celpure(R) P65, meets USP/NF testing specifications', 'Metal scavenging agent, ethylenediamine modified silica', 'Micro particles based on silicon dioxide, size: 2 mum', 'Micro particles based on silicon dioxide, size: 3 mum', 'Micro particles based on silicon dioxide, size: 4 mum', 'Micro particles based on silicon dioxide, size: 5 mum', 'Silica gel 60, 0.060-0.2mm (70-230 mesh)', 'Silica gel, -60-120 mesh, for column chromatography', 'Celpure(R) P100, meets USP/NF testing specifications', 'Celpure(R) P1000, meets USP/NF testing specifications', 'Celpure(R) P300, meets USP/NF testing specifications', 'Micro particles based on silicon dioxide, size: 0.5 mum', 'Micro particles based on silicon dioxide, size: 1.0 mum', 'Silica gel, with moisture indicator (blue), -6-20 mesh', 'Silica, mesostructured, MSU-H (large pore 2D hexagonal)', 'Silica, mesostructured, SBA-15, 99% trace metals basis', 'Silicon dioxide, -325 mesh, 99.5% trace metals basis', 'SILICON DIOXIDE, AMORPHOUS, OCTAMETHYLCYCLOTETRASI', 'Silicon dioxide, washed and calcined, analytical reagent', 'Chromosorb(R) W, AW-DMCS, 100-120 mesh particle size', 'Diatomaceous earth, calcined, filter aid, slightly calcined', 'Micro particles based on silicon dioxide, size: 0.15 mum', 'Silica gel, high-purity grade (15111), pore size 60 ??', 'Silica, mesoporous, 1 mum particle size, pore size ~2 nm', 'Silica, mesoporous, 1 mum particle size, pore size ~4 nm', 'Silica, mesoporous, 2 mum particle size, pore size ~2 nm', 'Silica, mesoporous, 2 mum particle size, pore size ~4 nm', 'Silica, mesoporous, 3 mum particle size, pore size ~2 nm', 'Silica, mesoporous, 3 mum particle size, pore size ~4 nm', 'UNII-2RF6EJ0M85 component VYPSYNLAJGMNEJ-UHFFFAOYSA-N', 'Amorphous silica: Vitreous silica, quartz glass, fused silica', 'Diatomaceous earth, flux-calcined, filter aid, flux calcined', 'LUDOX(R) AM colloidal silica, 30 wt. % suspension in H2O', 'LUDOX(R) CL colloidal silica, 30 wt. % suspension in H2O', 'LUDOX(R) CL-X colloidal silica, 45 wt. % suspension in H2O', 'LUDOX(R) LS colloidal silica, 30 wt. % suspension in H2O', 'LUDOX(R) SM colloidal silica, 30 wt. % suspension in H2O', 'LUDOX(R) TMA colloidal silica, 34 wt. % suspension in H2O', 'Silica gel orange, with moisture indicator free of heavy metals', 'Silica gel, high-purity grade, FIA according to DIN 51791', 'Silica, mesoporous, 0.5 mum particle size, pore size ~2 nm', 'Silica, mesoporous, 0.5 mum particle size, pore size ~4 nm', 'Silicon dioxide, acid washed and calcined, Analytical Reagent', 'Silicon dioxide, crystalline (fine), coating quality, &gt;=99.9%', 'Chromosorb(R) P, NAW, 60-80 mesh particle size, bottle of 100 g', 'Chromosorb(R) W, AW, 80-100 mesh particle size, bottle of 100 g', 'Chromosorb(R) W, HP, 60-80 mesh particle size, bottle of 100 g', 'Diatomaceous earth, calcined, powder, suitable for most filtrations', 'LUDOX(R) AS-30 colloidal silica, 30 wt. % suspension in H2O', 'LUDOX(R) AS-40 colloidal silica, 40 wt. % suspension in H2O', 'LUDOX(R) HS-30 colloidal silica, 30 wt. % suspension in H2O', 'LUDOX(R) HS-40 colloidal silica, 40 wt. % suspension in H2O', 'LUDOX(R) TM-40 colloidal silica, 40 wt. % suspension in H2O', 'LUDOX(R) TM-50 colloidal silica, 50 wt. % suspension in H2O', 'Quartz Optical Window, 25.4mm (1.0in) dia x 2mm (0.08in) thick', 'Silica gel 60, 230 - 400 mesh, for flash column chromatography', 'Silica gel, Davisil(R) grade 22, pore size 60 ??, 60-200 mesh', 'Silica gel, high-purity grade, 60??, 35-60 mesh particle size', 'Silica gel, high-purity grade, pore size 60 ??, 70-230 mesh', 'Silica gel, HPLC grade, spherical, 3 micron APS, 70 angstroms', 'Silica gel, technical grade (w/ fluorescent indicator), 60 F254', 'Silica gel, Type H, without binder, for thin layer chromatography', 'Silica gel, Type II, 3.5 mm bead size, Suitable for desiccation', 'Silica, fumed, powder, 0.2-0.3 mum avg. part. size (aggregate)', 'Silicon dioxide, for cleaning of platinum crucibles, calcined, crude', 'Silicon dioxide, fused (pieces), 4 mm, 99.99% trace metals basis', 'Celatom(R), acid-washed, for use in Total Dietary Fiber Assay, TDF-100A', 'Chromosorb(R) G, HP, 100-120 mesh particle size, bottle of 100 g', 'Chromosorb(R) P, AW-DMCS, 80-100 mesh particle size, bottle of 100 g', 'Chromosorb(R) W, AW, 100-120 mesh particle size, bottle of 100 g', 'Chromosorb(R) W, HP, 100-120 mesh particle size, bottle of 100 g', 'NBS 28 (silicon and oxygen isotopes in silica sand), NIST(R) RM 8546', 'Silica gel, high purity, 90??, 35-70 mesh, for column chromatography', 'Silica gel, high-purity grade (7734), pore size 60 ??, 70-230 mesh', 'Silica gel, high-purity grade (7754), pore size 60 ??, 70-230 mesh', 'Silica gel, high-purity grade, 40, &gt;=400 mesh, for column chromatography', 'Silica gel, high-purity grade, 40, 35-70 mesh, for column chromatography', 'Silica gel, high-purity grade, 40, 70-230 mesh, for column chromatography', 'Silica gel, high-purity grade, 90??, 15-25 mum, for column chromatography', 'Silica gel, high-purity grade, pore size 40 ??, 35-70 mesh particle size', 'Silica gel, high-purity grade, pore size 60 ??, &gt;=400 mesh particle size', 'Silica gel, technical grade, pore size 60 ??, 200-425 mesh particle size', 'Silica gel, technical grade, pore size 60 ??, 70-230 mesh, 63-200 mum', 'Silica, nanoparticles, mesoporous, 200 nm particle size, pore size 4 nm', 'Silicon dioxide, ~99%, 0.5-10 mum (approx. 80% between 1-5 mum)', 'Silicon dioxide, amorphous, cyclic azasilane/hexamethyldisilazane treated', 'Silicon dioxide, fused (granular), 4-20 mesh, 99.9% trace metals basis', 'Diatomaceous earth, flux-calcined, filter aid, flux calcined, treated with sodium carbonate', 'Diatomaceous earth, flux-calcined, filter aid, treated with sodium carbonate, calcined', 'Silica gel 60 ADAMANT(TM) on TLC plates, with fluorescence indicator 254 nm', 'Silica gel, Davisil(R) grade 710, pore size 50-76 ??, for thin layer chromatography', 'Silica gel, high-purity grade (10180), pore size 40 ??, 70-230 mesh particle size', 'Silica gel, high-purity grade (9385), pore size 60 ??, 230-400 mesh particle size', 'Silica gel, high-purity grade (Davisil Grade 12), pore size 22 ??, 28-200 mesh', 'Silica gel, high-purity grade (Davisil Grade 62), pore size 150 ??, 60-200 mesh', 'Silica gel, high-purity grade (Davisil Grade 635), pore size 60 ??, 60-100 mesh', 'Silica gel, high-purity grade (Davisil Grade 643), pore size 150 ??, 200-425 mesh', 'Silica gel, high-purity grade (Davisil Grade 646), 35-60 mesh, pore size 150 ??', 'Silica gel, high-purity grade (Davisil Grade 923), pore size 30 ??, 100-200 mesh', 'Silica gel, high-purity grade, 100??, 200-400 mesh, for preparative liquid chromatography', 'Silica gel, high-purity grade, 40??, 230-400 mesh, for preparative liquid chromatography', 'Silica gel, high-purity grade, 60??, gypsum ~13 %, for preparative liquid chromatography', 'Silica gel, high-purity grade, 90??, 70-230 mesh, for column chromatography', 'Silica gel, high-purity grade, for thin layer chromatography, H, without calcium sulfate', 'Silica gel, high-purity grade, pore size 60 ??, 130-270 mesh, for column chromatography', 'Silica gel, high-purity grade, pore size 60 ??, 200-400 mesh particle size', 'Silica gel, high-purity grade, Type G, 5-15 mum, for thin layer chromatography', 'Silica gel, preparative chromatography grade, spherical, 15 micron APS, 60 angstroms', 'Silica gel, preparative chromatography grade, spherical, 50 micron APS, 60 angstroms', 'Silica, mesoporous MCM-48, 15 mum particle size, pore size 3 nm, Cubic pore morphology', 'Silica, mesoporous SBA-16, &lt;150 mum particle size, pore size 5 nm, Cubic pore morphology', 'Silica, nanopowder, spec. surface area 175-225 m2/g (BET), 99.8% trace metals basis', 'Silicon dioxide, nanopowder, 10-20 nm particle size (BET), 99.5% trace metals basis', 'Silicon(IV) oxide sputtering target, 76.2mm (3.0in) dia x 3.18mm (0.125in) thick', '98253-25-9', 'Diatomaceous earth, flux-calcined, filter aid, acid washed, treated with sodium carbonate, flux calcined', 'Respirable alpha-quartz, NIST(R) SRM(R) 1878b, quantitative X-ray powder diffraction standard', 'Silica gel - technical grade, 230-400 mesh particle size, 40-63 |m particle size, pore size 60+', 'Silica gel, 30 mum particle size (average), average pore diameter 60 ??, Suitable for normal-phase adsorption-partition chromatography', 'Silica gel, EMD Millipore, TLC grade (11695), 15 mum, pore size 60 ??, with silica/alumina binder', 'Silica gel, high-purity grade (7749), with gypsum binder and fluorescent indicator, for thin layer chromatography', 'Silica gel, high-purity grade (Davisil Grade 633), pore size 60 ??, 200-425 mesh particle size', 'Silica gel, high-purity grade (Davisil Grade 636), pore size 60 ??, 35-60 mesh particle size', 'Silica gel, high-purity grade (puriss), pore size 60 ??, 70-230 mesh, for column chromatography', 'Silica gel, high-purity grade (w/ Ca, ~0.1%), pore size 60 ??, 230-400 mesh particle size', 'Silica gel, high-purity grade, HF254, without calcium sulfate, with fluorescent indicator, for thin layer chromatography', 'Silica gel, high-purity grade, pore size 60 ??, 2-25 mum particle size, without binder, pore volume 0.75 cm3/g, for thin layer chromatography', 'Silica gel, high-purity grade, pore size 60 ??, 2-25 mum particle size, without binder, with fluorescent indicator, pore volume 0.75 cm3/g, for thin layer chromatography', 'Silica gel, high-purity grade, pore size 60 ??, 220-440 mesh particle size, 35-75 mum particle size, for flash chromatography', 'Silica gel, high-purity grade, pore size 60 ??, 230-400 mesh particle size, 40-63 mum particle size, for flash chromatography', 'Silica gel, high-purity grade, pore size 60 ??, 5-25 mum particle size, without binder, for thin layer chromatography', 'Silica gel, high-purity grade, pore size 60 ??, 70-230 mesh, 63-200 mum, for column chromatography', 'Silica gel, high-purity grade, Type G, with ~13% calcium sulfate, for thin layer chromatography', 'Silica gel, high-purity grade, with ~15% calcium sulfate and fluorescent indicator, GF254, for thin layer chromatography', 'Silica gel, HPLC grade, spherical, 2.2 micron APS, 120 angstroms, 99.99+% , S.A. 340m2/g, P.V. 1.00cc/g', 'Silica gel, HPLC grade, spherical, 3 micron APS, 260 angstroms, 99.99+%, S.A. 130m2/g, P.V. 0.90cc/g', 'Silica gel, HPLC grade, spherical, 5 micron APS, 260 angstroms, 99.99+% , S.A. 150m2/g, P.V. 0.90cc/g', 'Silica gel, technical grade (w/ Ca, ~0.1%), 60??, 230-400 mesh particle size, Ca 0.1-0.3 %', 'Silica gel, technical grade, pore size 60 ??, 230-400 mesh particle size, 40-63 mum particle size', 'Silica gel, TLC high purity grade, without binder, 12 Micron APS, S.A. 500-600m2/g, 60, pH 6.5-7.5', 'Silica gel, TLC high-purity grade, 5-25 mum, pore size 60 ??, with gypsum binder and fluorescent indicator, pore volume 0.75 cm3/g', 'Silica, mesoporous SBA-15, &lt;150 mum particle size, pore size 4 nm, Hexagonal pore morphology', 'Silica, mesoporous SBA-15, &lt;150 mum particle size, pore size 6 nm, Hexagonal pore morphology', 'Silica, mesoporous SBA-15, &lt;150 mum particle size, pore size 8 nm, Hexagonal pore morphology', 'Silicon dioxide, nanopowder (spherical, porous), 5-15 nm particle size (TEM), 99.5% trace metals basis', 'Silicon dioxide, single crystal substrate, optical grade, 99.99% trace metals basis, &amp;#60;0001&amp;#62;, L x W x thickness 10 mm x 10 mm x 0.5 mm', 'Silicon oxide, catalyst support, high surface area, S.A.160m2/g, total pore volume 0.5cc/g, pore size 100 and 1000 angstrom']</t>
  </si>
  <si>
    <t>Compound(24261)</t>
  </si>
  <si>
    <t>O2Si</t>
  </si>
  <si>
    <t>Acreage of seagrass beds</t>
  </si>
  <si>
    <t>Density of sea grass species</t>
  </si>
  <si>
    <t>Transparency</t>
  </si>
  <si>
    <t>Acid character</t>
  </si>
  <si>
    <t>Swimmers itching</t>
  </si>
  <si>
    <t>Swimming water quality (final verdict)</t>
  </si>
  <si>
    <t>zinc 65</t>
  </si>
  <si>
    <t>zinc-65</t>
  </si>
  <si>
    <t>['Zinc-65', 'Zinc, isotope of mass 65', 'UNII-BU9140A8PQ', '13982-39-3', 'BU9140A8PQ', 'Zinc Zn-65', 'zinc-65 atom', 'Zn-65', 'DTXSID9074278', '(65)Zn', 'CHEBI:82623', '(65)30Zn', 'Q18845220']</t>
  </si>
  <si>
    <t>Compound(91574)</t>
  </si>
  <si>
    <t>zinc chloride</t>
  </si>
  <si>
    <t>dichlorozinc</t>
  </si>
  <si>
    <t>['7646-85-7', 'zinc chloride', 'Zinc dichloride', 'Butter of zinc', 'Zinc(II) chloride', 'Zinc butter', 'Zinc chloride (ZnCl2)', 'Zinkchloride', 'Zintrace', 'Zinc chloride fume', 'Zine dichloride', 'Zinc chloride, (solution)', 'Zinc (chlorure de)', 'Zinco (cloruro di)', 'Zinkchlorid [German]', 'Zinkchloride [Dutch]', 'Caswell No. 910', 'Zinc chloride, solution', 'MFCD00011295', 'Chlorure de zinc [French]', 'Zinc (chlorure de) [French]', 'CCRIS 3509', 'Zinco (cloruro di) [Italian]', 'HSDB 1050', 'EINECS 231-592-0', 'UN1840', 'UN2331', 'EPA Pesticide Chemical Code 087801', 'NSC 529648', 'AI3-04470', 'Zinc Chloride Solution Anhydrous', 'Zinc chloride, 98+%, extra pure', 'Zinc chloride, 97+%, ACS reagent', 'Zinc chloride, 98.5%, for analysis', 'Zinc chloride, 0.7M solution in THF, AcroSeal(R)', 'Zinc chloride, 2M solution in 2-MeTHF, AcroSeal(R)', 'Zinc chloride, 99.99%, (trace metal basis), anhydrous', 'Zinc chloride, 99.99%, (trace metal basis), extra pure', 'Zinc chloride, 1.0M solution in diethyl ether, AcroSeal(R)', 'Zinc chloride 0.1 M solution', 'Zinc chloride (TN)', 'Zinc muriate, solution', 'Zinc chloride [USP:JAN]', 'DSSTox_CID_15013', 'DSSTox_RID_79237', 'WLN: ZN G2', 'Zinc chloride [USAN:JAN]', 'DSSTox_GSID_35013', 'Zinc chloride (JP17/USP)', 'Zinc chloride, LR, &gt;=97%', 'Zinc chloride, p.a., 97.0%', 'Zinc chloride in plastic container', 'Tox21_301492', 'Zinc chloride, for molecular biology', 'AKOS016017250', 'Zinc chloride, ACS reagent, &gt;=97%', 'LS-3229', 'NSC-529648', 'Zinc chloride, reagent grade, &gt;=98%', 'Zinc chloride solution, 0.5 M in THF', 'NCGC00255612-01', 'BP-12589', 'CAS-7646-85-7', 'FT-0645122', 'Zinc chloride, 99.999% trace metals basis', 'Zinc chloride, SAJ first grade, &gt;=95.0%', 'Zinc chloride, JIS special grade, &gt;=98.0%', 'D02058', 'EC 231-592-0', 'Zinc chloride solution, 1.0 M in diethyl ether', 'Zinc chloride, anhydrous [UN2331] [Corrosive]', 'Zinc chloride, solution [UN1840]  [Corrosive]', 'Zinc chloride, solution [UN1840] [Corrosive]', 'Q204714', 'Zinc chloride, anhydrous [UN2331]  [Corrosive]', 'BRD-K46586998-001-01-1', 'Zinc chloride solution, 1.9 M in 2-methyltetrahydrofuran', 'Zinc chloride, BioReagent, for molecular biology, &gt;=97.0%', 'Zinc chloride, anhydrous, powder, &gt;=99.995% trace metals basis', 'Zinc chloride, anhydrous, free-flowing, Redi-Dri(TM), ACS reagent, &gt;=97%', 'Zinc chloride, anhydrous, beads, amorphous, -10 mesh, 99.99% trace metals basis', 'Zinc chloride, anhydrous, beads, amorphous, -10 mesh, 99.999% trace metals basis', 'Zinc chloride, anhydrous, free-flowing, Redi-Dri(TM), reagent grade, &gt;=98%', 'Zinc chloride, puriss. p.a., ACS reagent, reag. ISO, reag. Ph. Eur., &gt;=98%', 'Zinc chloride, puriss., meets analytical specification of Ph. Eur., BP, USP, 98-100.5%', 'Zinc atomic spectroscopy standard concentrate 1.00 g Zn, 1.00 g/L, for 1L standard solution, analytical standard', 'Zinc chloride, BioReagent, for molecular biology, suitable for cell culture, suitable for insect cell culture']</t>
  </si>
  <si>
    <t>Compound(5727)</t>
  </si>
  <si>
    <t>Cl2Zn</t>
  </si>
  <si>
    <t>zinc oxide</t>
  </si>
  <si>
    <t>oxozinc</t>
  </si>
  <si>
    <t>['ZINC OXIDE', '1314-13-2', 'Zinc White', 'oxozinc', 'Amalox', 'Chinese White', 'Snow white', 'Emanay zinc oxide', 'Felling zinc oxide', 'Zinc oxide (ZnO)', 'Akro-zinc bar 85', 'Flowers of zinc', 'Azo-33', 'Outmine', 'Supertah', 'Zincite', 'Zincoid', 'Azodox', 'Ozide', 'Ozlo', 'Zinc monoxide', 'Zincum Oxydatum', 'Zinci Oxicum', 'Zinci Oxydum', 'Flores de zinci', "Hubbuck's White", 'Blanc de Zinc', 'Unichem ZO', 'Vandem VAC', 'Vandem VOC', 'Vandem VPC', 'Green seal-8', "Philosopher's wool", 'White seal-7', 'K-Zinc', 'Powder base 900', 'Protox type 166', 'Protox type 167', 'Protox type 168', 'Protox type 169', 'Protox type 267', 'Protox type 268', 'Akro-zinc bar 90', 'Azodox-55', 'Azodox-55TT', 'Red Seal 9', 'EMAR', 'CI Pigment white 4', 'Electrox 2500', 'Actox 14', 'Actox 16', 'Kadox 15', 'Kadox 72', 'Kadox-25', 'Zinc oxide [USAN]', 'Zinca 20', 'Protox 166', 'Protox 168', 'Protox 169', 'Caswell No. 920', 'Electox 2500', 'Cadox XX 78', 'Actox 216', 'Cynku tlenek [Polish]', 'Nogenol', 'C-Weiss 8 [German]', 'Azo-55TT', 'Azo-66TT', 'Azo-77TT', 'Zinc gelatin', 'C.I. Pigment White 4', 'RVPaque', 'Azo 22', 'Azo-55', 'Azo-66', 'Azo-77', 'No-Genol', 'Pigment white 4', 'C.I. 77947', 'Dome Paste Bandage', 'GIAP 10', 'CCRIS 1309', 'Zn 0701T', 'HSDB 5024', 'A&amp;D Medicated Ointment', 'XX 78', 'EINECS 215-222-5', 'MFCD00011300', 'XX 203', 'XX 601', 'EPA Pesticide Chemical Code 088502', 'CI 77947', 'AI3-00277', "ZN-0401 E 3/16''", 'Lassars Paste', 'Zinc oxide, ACS reagent', 'Lassar Paste', 'Zinc oxide, 99.5+%', 'ZNO', 'Desitin', 'zincum oxidatum', 'Cynku tlenek', 'oxyde de zinc', 'Zinc oxide fume', 'Zinc oxide, 99.99% trace metals basis', '8051-03-4', 'C-Weiss 8', 'Zinc oxide, 99.999%, (trace metal basis)', 'Zinc oxide [USP:JAN]', 'Zinkoxid', 'oxido de cinc', 'Leaded zinc oxide', 'Zinc (as oxide)', 'Zinc oxide (TN)', 'Zine Oxide ,(S)', 'Zinc (as zinc oxide)', 'EC 215-222-5', 'Zinc oxide (JP17/USP)', 'Zinc oxide, LR, &gt;=99%', 'Zinc oxide [USAN:USP:JAN]', 'Zinc oxide, analytical standard', 'CHEBI:36560', 'CTK5E7849', 'Zinc oxide, p.a., 99.0%', '9015AF', 'Zinc oxide, USP, 99-100.5%', 'AKOS015904168', 'DB09321', 'LS-2402', 'Zinc oxide, ACS reagent, &gt;=99.0%', 'Zinc oxide, tested according to Ph.Eur.', 'Zinc oxide, 99.999% trace metals basis', 'Zinc oxide, SAJ first grade, &gt;=99.0%', 'Zinc oxide, JIS special grade, &gt;=99.0%', 'FT-0631786', 'FT-0640838', 'FT-0645092', 'D01170', 'Zinc oxide, nanopowder, &lt;100 nm particle size', 'Q190077', 'Zinc oxide, nanowires, diam. x L 90 nm x 1 mum', 'J-005999', 'Zinc oxide, nanowires, diam. x L 50 nm x 300 nm', 'Zinc oxide, nanowires, diam. x L 300 nm x 4-5 mum', 'Zinc oxide, puriss. p.a., ACS reagent, &gt;=99.0% (KT)', 'Zinc oxide, nanopowder, &lt;50 nm particle size (BET), &gt;97%', 'Zinc oxide, ReagentPlus(R), powder, &lt;5 mum particle size, 99.9%', 'Zinc oxide, United States Pharmacopeia (USP) Reference Standard', 'Zinc oxide substrate, 10x10x0.5mm, polished two sides, 0001 orientation', 'Zinc oxide sputtering target, 76.2mm (3.0in) dia x 3.18mm (0.125in) thick', 'Zinc oxide sputtering target, 76.2mm (3.0in) dia x 6.35mm (0.250in) thick', 'Zinc oxide, dispersion, nanoparticles, &lt;110 nm particle size, 40 wt. % in butyl acetate', 'Zinc oxide, dispersion, nanoparticles, 40 wt. % in ethanol, &lt;130 nm particle size', 'Zinc oxide, dispersion, nanoparticles, &lt;100 nm particle size (TEM), &lt;=40 nm avg. part. size (APS), 20 wt. % in H2O', 'Zinc oxide, puriss., meets analytical specification of Ph. Eur., BP, USP, 99-100.5% (calc. for dried substance)', 'Zinc oxide, sputtering target, diam. x thickness 3.00 in. x 0.125 in., 99.99% trace metals basis']</t>
  </si>
  <si>
    <t>Compound(14806)</t>
  </si>
  <si>
    <t>OZn</t>
  </si>
  <si>
    <t>zinc pyrithione</t>
  </si>
  <si>
    <t>zinc;1-oxidopyridin-1-ium-2-thiolate</t>
  </si>
  <si>
    <t>['Zinc pyrithione', '13463-41-7', 'Zinc Omadine', 'Zinc Pyrithione Powder', 'NCGC00091933-01', 'NCGC00183121-01', 'DSSTox_CID_6314', 'DSSTox_RID_78100', 'C10H8N2O2S2Zn', 'DSSTox_GSID_26314', 'Zincpolyanemine', '1-Hydroxypyridine-2-thione zinc', 'zinc bis(2-thioxopyridin-1(2H)-olate)', 'CAS-13463-41-7', 'Sebulon Shampoo', 'Kopthione Powder', 'Zinci pyrithionum', 'Zinc pt', 'Finecide ZPT', 'Hokucide ZPT', 'Niccanon SKT', 'Biocut ZP', 'ZNP bar', 'Tomicide Z 50', 'Tomicide ZPT 50', 'Evafine P 50', 'Kopthione 50% fps', 'Caswell No. 923', 'Kopthione 40% FPS', 'bis(N-oxopyridine-2-thionato)zinc (II)', 'BC-J', '2C5H4NOS.Zn', 'Zinc Pyrithione 40% FPD', 'Zinc 2-pyridinethiol-1-oxide', 'CCRIS 4894', 'Zinc pyridine-2-thiol 1-oxide', 'Zinc Pyrithione 48% suspension', '(T-4)-bis(1-hydroxy-2(1H)- pyridinethionato-O,S)zinc', 'HSDB 4498', 'Zinc 1-hydroxy-2-pyridinethione', 'Zinc bis(2-pyridylthio)-N-oxide', 'bis(1-oxidopyridin-2-ylthio)zinc', 'Bis(2-pyridinethiol-1-oxide)zinc', 'Pyrithione zincique [INN-French]', 'Pyrithionum zincicum [INN-Latin]', 'Piritionato cincico [INN-Spanish]', 'Pyrithione zinc [USAN:INN:BAN]', 'FSB 8332', '2-Pyridinethiol-1-oxide, zinc salt', 'EINECS 236-671-3', 'HEAD &amp; SHOULDERS CONDITIONER', 'Tox21_111182', 'Tox21_113399', 'Tox21_202180', 'Tox21_303205', 'LS-784', '2-Mercaptopyridine 1-oxide zinc salt', 'HEAD AND SHOULDERS CONDITIONER', "Bis(2-pyridylthio)zinc 1,1'-dioxide", 'API0004646', 'EPA Pesticide Chemical Code 088002', 'NSC 290409', 'NCGC00257089-01', 'NCGC00259729-01', 'I976', 'AI3-62421', 'Bis(1-hydroxy-2(1H)-pyridinethionato)zinc', 'J10432', 'Zinc, bis(1-hydroxy-2(1H)-pyridinethionato)-', '2(1H)-Pyridinethione, 1-hydroxy-, zinc complex', 'Q-201649', '(T-4)-Bis(1-hydroxy-2(1H)-pyridinethionato-O,S)zinc', 'Zinc, bis(1-(hydroxy-kappaO)-2(1H)-pyridinethionato-kappaS2)-, (T-4)-']</t>
  </si>
  <si>
    <t>Compound(26041)</t>
  </si>
  <si>
    <t>C10H8N2O2S2Zn</t>
  </si>
  <si>
    <t>zirconium-95</t>
  </si>
  <si>
    <t>['Zirconium-95', 'UNII-P3Z6IB03B4', 'Zirconium, isotope of mass 95', 'P3Z6IB03B4', '13967-71-0', 'Zirconium Zr-95', 'DTXSID9074276', 'Q18845335']</t>
  </si>
  <si>
    <t>Compound(91573)</t>
  </si>
  <si>
    <t>alpha-methylstyrene</t>
  </si>
  <si>
    <t>prop-1-en-2-ylbenzene</t>
  </si>
  <si>
    <t>['alpha-Methylstyrene', '2-Phenylpropene', 'Isopropenylbenzene', '2-Phenyl-1-propene', '98-83-9', 'Benzene, (1-methylethenyl)-', '2-Phenylpropylene', '1-Methyl-1-phenylethylene', 'alpha-Methylstyrol', 'ALPHA-METHYL STYRENE', 'a-Methylstyrene', 'prop-1-en-2-ylbenzene', '(1-Methylethenyl)benzene', 'as-Methylphenylethylene', '1-Phenyl-1-methylethylene', 'beta-Phenylpropene', 'beta-Phenylpropylene', '.alpha.-Methylstyrene', 'a-methyl styrene', 'Isopropenyl-benzol', 'Isopropenil-benzolo', 'Isopropenyl-benzeen', '1-Methyl-1-phenylethene', '1-Propene, 2-phenyl-', '2-Phenyl-2-propene', '1-MethylethenylBenzine', '1-Methylethylenebenzene', 'NSC 9400', 'isopropenyl-benzene', 'alpha-Methylstyreen [Dutch]', 'Isopropenyl-benzeen [Dutch]', 'Isopropenyl-benzol [German]', 'alpha-Methyl-styrol [German]', 'Isopropenil-benzolo [Italian]', 'UNII-D46R9753IK', 'alpha-Metil-stirolo [Italian]', '.alpha.-Methylstyrol', '.beta.-Phenylpropene', 'CCRIS 6067', 'HSDB 196', '.alpha.-Methylstyreen', 'Benzene, (1-methylethenyl)-, homopolymer', '.alpha.-Metil-stirolo', '.beta.-Phenylpropylene', 'Styrene, alpha-methyl-', 'EINECS 202-705-0', 'UN2303', 'Styrene, .alpha.-methyl-', 'AI3-18133', 'alpha-Methylstyrene, stabilized', '25014-31-7', 'CHEBI:35060', 'D46R9753IK', 'Ortho brush killer a', '(1-methylvinyl)benzene', 'alpha-Methylstyrene (stabilized with TBC)', 'alpha-Methylstyrene, 99%, stabilized', 'alpha Methylstyrene', 'alpha-Methylstyreen', 'alpha-Methyl-styrol', 'alpha-Metil-stirolo', 'alpha-methyl-styrene', 'PAMS', 'Poly(alpha-methylstyrene)', 'alphamethylstyrene', '2-phenyl-propene', 'alphamethyl styrene', 'alpha-Menthylstyrene', 'alpha methyl styrene', 'MFCD00008859', '2-phenylprop-1-ene', 'Benzene, isopropenyl-', '.alpha.-Methyl-styrol', 'DSSTox_CID_5661', 'EC 202-705-0', '(Prop-1-en-2-yl)benzene', 'DSSTox_RID_77873', 'DSSTox_GSID_25661', 'ghl.PD_Mitscher_leg0.286', 'KSC493Q7T', 'MLS001055493', 'BIDD:ER0701', 'CHEMBL1344773', 'DTXSID9025661', 'WLN: 1YR &amp; U1', 'CTK3J3879', 'NSC9400', 'HMS3039N11', 'NSC-9400', 'ZINC1699968', 'Tox21_200159', 'ANW-41505', 'SBB060154', 'AKOS009031371', 'CS-W004075', 'LS-2049', 'MCULE-3507413504', 'UN 2303', 'CAS-98-83-9', 'NCGC00090741-01', 'NCGC00090741-02', 'NCGC00257713-01', 'SC-26018', 'SMR000686066', 'BB 0220511', 'FT-0613309', 'M0429', 'METHYLSTYRENE/VINYL- TOLUENE COPOLYMER', 'ST51046391', 'alpha-Methylstyrene monomer, analytical standard', 'C14395', 'Isopropenylbenzene [UN2303] [Flammable liquid]', 'Isopropenylbenzene [UN2303]  [Flammable liquid]', 'Q414195', 'J-510246', 'F0001-2321', '(1-Methylethenyl)-benzene contains 15 ppm p-tert-butylcatechol as inhibitor', 'alpha-Methylstyrene, 99%, contains 15 ppm p-tert-butylcatechol as inhibitor']</t>
  </si>
  <si>
    <t>Compound(7407)</t>
  </si>
  <si>
    <t>alpha-hexylcinnamaldehyde</t>
  </si>
  <si>
    <t>(2E)-2-benzylideneoctanal</t>
  </si>
  <si>
    <t>['alpha-Hexylcinnamaldehyde', 'Hexylcinnamaldehyde', '101-86-0', 'Hexyl cinnamic aldehyde', '2-Benzylideneoctanal', '(2E)-2-benzylideneoctanal', 'alpha-Hexylcinnamic aldehyde', '2-Hexyl-3-phenyl-2-propenal', 'Octanal, 2-(phenylmethylene)-', 'UNII-E9947QRR9O', 'CHEBI:55365', '(2E)-2-(phenylmethylidene)octanal', '2-Hexenyl cynnamaldehyde', '2-(Phenylmethylene)octanal', '(E)-2-benzylideneoctanal', '2-Hexylcinnamaldehyde', '2-[(E)-benzylidene]octanal', 'E9947QRR9O', '(2E)-alpha-n-hexylcinnamaldehyde', 'alpha-Hexylcinnamyl aldehyde', 'alpha-Hexyl-beta-phenylacrolein', '165184-98-5', 'alpha-n-Hexyl-beta-phenylacrolein', '.alpha.-Hexylcinnamaldehyde', 'WLN: VHY6 &amp; U1R', 'n-Hexyl cinnamaldehyde', 'alpha-hexyl cinnamaldehyde', '2-Hexyl-3-phenyl-propenal', '.alpha.-Hexylcinnamic aldehyde', 'alpha-n-hexylcinnamaldehyde', 'Hexylcinnamal', 'Hexylzimtaldehyd', '.alpha.-n-Hexyl-.beta.-phenylacrolein', 'alpha-Hexylcinnamaldehyde, (2E)-', 'a-hexylcinnamaldehyde', 'a-Hexylcinnamaldehyde;', 'alpha -hexylcinnamaldehyde', 'alpha-hexylcinna-maldehyde', 'Epitope ID:117426', 'EC 639-566-4', 'a-Hexylcinnamaldehyde, 8CI', '2-(phenylmethylene)-octanal', 'alpha -hexylcinnamic aldehyde', 'MLS002174256', 'Cinnamaldehyde, alpha -hexyl-', 'SCHEMBL113170', 'Hexyl Cinnamic Aldehyde Natural', 'CHEMBL1449245', 'FEMA 2569', '2-(Phenylmethylene)octanal, 9CI', 'HMS3039O14', 'BB_NC-00223', 'NSC46150', 'ZINC4705576', 'alpha -N-hexyl-beta -phenylacrolein', 'BBL027629', 'NSC-46150', 'NSC406799', 'STK709222', '(2Z)-2-Hexyl-3-phenyl-2-propenal', 'AKOS015839664', 'NSC-406799', 'NCGC00090930-01', 'NCGC00090930-02', 'alpha -N-hexyl-alpha -hexylcinnamaldehyde', 'M559', 'SMR001261427', 'VS-08571', 'BC4125461', 'alpha-Hexylcinnamaldehyde, technical grade, 85%', 'alpha-Hexylcinnamaldehyde, &gt;=95%, stabilized, FG', 'Q412025', 'W-108898', '2-(phenylmethylene)octanal (.beta.-hexyl cinnamaldehyde)', 'alpha-Hexylcinnamaldehyde, analytical reference material', 'UNII-7X6O37OK2I component GUUHFMWKWLOQMM-NTCAYCPXSA-N', 'HEXYL CINNAMAL;a-hexylcinnamaldehyde;Cinnamaldehyde, alpha-hexyl-;alpha-Hexylcinnamaldehyde;2-Benzylideneoctanal']</t>
  </si>
  <si>
    <t>Compound(1550884)</t>
  </si>
  <si>
    <t>C15H20O</t>
  </si>
  <si>
    <t>alpha-chlorphenvinphos</t>
  </si>
  <si>
    <t>[(Z)-2-chloro-1-(2,4-dichlorophenyl)ethenyl] diethyl phosphate</t>
  </si>
  <si>
    <t>['Chlorfenvinphos', 'Dermaton', 'Birlane', 'Chlorphenvinphos', '18708-87-7', 'Chlorfenvinfos', 'Clofenvinfos', 'cis-Chlorfenvinphos', 'Chlofenvinphos', 'Chlorphenvinfos', 'Clorfenvinfos', 'Apachlor', 'Enolofos', 'Haptarax', 'Haptasol', 'Sapecron', 'Steladone', 'Vinylphate', 'Vinyphate', 'Birlan', 'Tarene', 'Zaprawa enolofos', 'CVP (pesticide)', 'Birlane 10G', 'SUPONA', 'Compound 4072', 'Caswell No. 187', 'Chlorfehwinfos [Polish]', 'Chlorofenvinphos', 'Shell 4072', 'Chlorfenvinphos [BSI:ISO]', 'Clofenvinfosum [INN-Latin]', 'Clofenvinfoso [INN-Spanish]', '(Z)-2-Chloro-1-(2,4-dichlorophenyl)vinyl diethyl phosphate', 'CCRIS 2701', 'HSDB 1540', '470-90-6', 'OMS 1328', 'EINECS 207-432-0', 'CGA 26351', 'ENT 24969', 'EPA Pesticide Chemical Code 084101', 'SD 4072', 'SD 7859', 'BRN 2338385', 'UNII-871L5HXP4D', 'AI3-24969', '871L5HXP4D', 'C8949', 'C 8949', '2-Chloro-1-(2,4-dichlorophenyl)vinyldiethylphosphate', 'Clofenvinfos [INN]', 'Diethyl-1-(2,4-dichlorophenyl)-2-chlorovinyl phosphate', 'Diethyl-2-chloro-1-(2,4-dichlorophenyl)vinyl phosphate', '2-Chloro-1-(2,4-dichlorophenyl)-ethenyl diethyl phosphate', '2,4-Dichloro-alpha-(chloromethylene)benzyldiethyl phosphate', '(Z)-2-Chloro-1-(2,4-dichlorophenyl)ethenyl diethyl phosphate', "O,O-Diethyl-O-1-(2',4'-dichlorophenyl)-2-chlorovinylphosphate", '[(Z)-2-chloro-1-(2,4-dichlorophenyl)ethenyl] diethyl phosphate', '2,4-Dichloro-alpha-(chloromethylene)benzyl alcohol diethyl phosphate', "O,O-Diethyl O-(2-chloro-1-(2',4'-dichlorophenyl)vinyl) phosphate", 'Benzyl alcohol, 2,4-dichloro-alpha-(chloromethylene)-, diethyl phosphate', 'O,O-Diaethyl-O-1-(4,5-dichlorphenyl)-2-chlor-vinyl-phosphat [German]', 'O,O-Dwuetylo-O-1-(2,4-dwuchlorofenylo)-2-chlorowinylofosforan [Polish]', 'O-2-Chloor-1-(2,4-dichloor-fenyl)-vinyl-O,O-diethylfosfaat [Dutch]', 'O-2-Chlor-1-(2,4-dichlor-phenyl)-vinyl-O,O-diaethylphosphat [German]', 'O-2-Cloro-1-(2,4-dicloro-fenil)-vinil-O,O-dietilfosfato [Italian]', 'Phosphoric acid, 2-chloro-1-(2,4-dichlorophenyl)vinyl diethyl ester', 'Phosphoric acid, 2-chloro-1-(2,4-dichlorophenyl)ethenyl diethyl ester, (Z)-', 'GC 4072', 'Phosphate de O,O-diethyle et de O-2-chloro-1-(2,4-dichlorophenyl) vinyle [French]', 'Q63392893', 'Chlorfehwinfos', 'Clofenvinfoso', 'Clofenvinfosum', 'Phosphoric acid, 2-chloro-1-(2,4-dichlorophenyl)ethenyl diethyl ester', 'Phosphoric acid, (1Z)-2-chloro-1-(2,4-dichlorophenyl)ethenyl diethyl ester', 'Diethyl 1-(2,4-Dichlorophenyl)-2-chlorovinyl phosphate', "beta-2-Chloro-1-(2',4'-dichlorophenyl) vinyl diethylphosphate", 'CFV', 'O-2-Cloro-1-(2,4-dicloro-fenil)-vinil-O,O-dietilfosfato', 'O,O-Diaethyl-O-1-(4,5-dichlorphenyl)-2-chlor-vinyl-phosphat', 'O-2-Chloor-1-(2,4-dichloor-fenyl)-vinyl-O,O-diethylfosfaat', 'O-2-Chlor-1-(2,4-dichlor-phenyl)-vinyl-O,O-diaethylphosphat', 'C12H14Cl3O4P', 'O,O-Dwuetylo-O-1-(2,4-dwuchlorofenylo)-2-chlorowinylofosforan', 'Phosphate de O,O-diethyle et de O-2-chloro-1-(2,4-dichlorophenyl) vinyle', 'beta-CVP', 'CVP', '(Z)-Chlorfenvinfos', 'Clorfenvinfos [INN]', 'Chlorfenvinphos (cis)', 'chlorfenvinphos, beta-', '.beta.-Chlorfenvinphos', 'Chlorfenvinphos, (Z)-', 'Clofenvinfos [INN:BAN]', 'Chlorfenvinphos, .beta.-', 'SCHEMBL55325', 'cis-Isomer of chlorfenvinphos', 'chlorfenvinphos;Chlorfenvinphos', 'CHEMBL2104653', '(1Z)-2-Chloro-1-(2,4-dichlorophenyl)ethenyl diethyl phosphate', 'ZINC13531994', 'Chlorfenvinphos mix of Z&amp;E isomers 1', 'Phosphoric acid, 2-chloro-1-(2,4-dichlorophenyl)vinyl diethyl ester, (Z)-', 'Chlorfenvinphos (E/Z) Peak 1 (Main)', 'SD-7859', 'ACM18708877', '135373-33-0', 'I421', 'AX8120674', 'LS-107533', 'NS00000485', 'cis-Chlorfenvinphos 10 microg/mL in Cyclohexane', '470C906', 'Chlorfenvinphos, PESTANAL(R), analytical standard', 'UNII-F2G9XS1W91 component FSAVDKDHPDSCTO-WQLSENKSSA-N', 'Chlorfenvinphos solution, 100 mug/mL in cyclohexane, PESTANAL(R), analytical standard']</t>
  </si>
  <si>
    <t>Compound(5377784)</t>
  </si>
  <si>
    <t>alpha-phenylbenzenemethanol</t>
  </si>
  <si>
    <t>diphenylmethanol</t>
  </si>
  <si>
    <t>['Diphenylmethanol', 'BENZHYDROL', '91-01-0', 'Diphenylcarbinol', 'Benzohydrol', 'Benzhydryl alcohol', 'Hydroxydiphenylmethane', 'Diphenyl carbinol', 'Diphenylmethyl alcohol', 'alpha-Phenylbenzenemethanol', 'diphenyl methanol', 'diphenyl-methanol', 'Benzenemethanol, .alpha.-phenyl-', 'Benzenemethanol, alpha-phenyl-', 'UNII-S4HQ1H8OWD', 'NSC 32150', 'EINECS 202-033-8', 'S4HQ1H8OWD', 'BRN 1424379', 'AI3-03066', 'Benzhydrol, 99%', 'diphenylmethan-1-ol', 'MFCD00004488', 'Benzenemethanol, ?-phenyl-', 'PubChem14509', '1gt5', 'Diphenylmethanol, 99%', 'a-Phenylbenzyl Alcohol.', 'alpha-phenylbenzyl alcohol', 'ACMC-209r7x', '.alpha.-Phenylbenzyl alcohol', 'SCHEMBL41571', '.alpha.-Phenylbenzenemethanol', 'Benzhydrol (Diphenylmethanol)', 'Diphenylmethanol (Benzhydrol)', '4-06-00-04648 (Beilstein Handbook Reference)', 'KSC486S6R', 'DI-PHENYLMETHYL ALCOHOL', 'CHEMBL2386190', 'DTXSID2059015', 'CTK3I6968', 'QILSFLSDHQAZET-UHFFFAOYSA-', 'CHEBI:156087', 'EBD36755', 'NSC32150', 'STR05017', 'ZINC1664716', 'a-Phenylbenzyl Alcohol.;BENZHYDROL', 'ANW-39547', 'MFCD03702609', 'NSC-32150', 'SBB063391', 'STL477628', 'AKOS000120483', 'AC-5134', 'CS-W004059', 'LS10636', 'MCULE-7008823241', 'MP-2112', 'AK105897', 'LS-32278', 'SC-18094', 'DB-037975', 'D0898', 'Diphenylmethanol, puriss., &gt;=99.0% (GC)', 'FT-0622659', 'FT-0662539', 'NS00011999', 'ST50406336', 'Q418377', 'Q-200686', 'F0001-2215', 'Z1259339943', 'Benzhydrol, United States Pharmacopeia (USP) Reference Standard', 'Cyclizine impurity B, European Pharmacopoeia (EP) Reference Standard', 'Benzhydryl alcohol, polymer supported, 1% cross-linked, 100-200 mesh, 0.3-2.0 mmol/g on poly(styrene-divinylbenzene)']</t>
  </si>
  <si>
    <t>Compound(7037)</t>
  </si>
  <si>
    <t>C13H12O</t>
  </si>
  <si>
    <t>alpha-hexabromocyclododecane</t>
  </si>
  <si>
    <t>(1R,2R,5S,6R,9R,10S)-1,2,5,6,9,10-hexabromocyclododecane</t>
  </si>
  <si>
    <t>['UNII-1Q53DD47II', '134237-50-6', '1Q53DD47II', '678970-15-5', 'Cyclododecane, 1,2,5,6,9,10-hexabromo-, (1R,2R,5S,6R,9R,10S)-', 'alpha-Hexabromocyclododecane', 'alpha-HBCD', '(-)-alpha-Hbcd', '(+/-)-?-Hexabromocyclododecane', '(-)-alpha-Hexabromocyclododecane', 'alpha-Hexabromocyclododecane, (-)-', '(?)-alpha-HBCD', 'CTK1H6537', 'DTXSID00873771', '(+/-)-alpha-Hexabromocyclododecane', 'ZINC6827609', '(+/-)-I+/--Hexabromocyclododecane', '(+/-)-alpha-Hexabromocyclododecane, analytical standard', 'UNII-5I9835JO3M component DEIGXXQKDWULML-PQTSNVLCSA-N', 'UNII-66OON1WWOS component DEIGXXQKDWULML-PQTSNVLCSA-N', 'UNII-A9X5ZAC15C component DEIGXXQKDWULML-PQTSNVLCSA-N', '(1R,2R,5S,6R,9R,10S)-rel-1,2,5,6,9,10-Hexabromocyclododecane', '(1R,2R,5S,6R,9R,10S)-1,2,5,6,9,10-HEXABROMOCYCLODODECANE', 'Alpha-hexabromocyclododecane;hexabromocyclododecane-alpha;alpha-hexabromocyclododecane']</t>
  </si>
  <si>
    <t>Compound(11763618)</t>
  </si>
  <si>
    <t>alpha-hexachlorocyclohexane</t>
  </si>
  <si>
    <t>1,2,3,4,5,6-hexachlorocyclohexane</t>
  </si>
  <si>
    <t>['lindane', 'beta-HCH', 'gamma-HCH', '1,2,3,4,5,6-Hexachlorocyclohexane', 'alpha-HCH', 'Hexachlorane', 'gamma-BHC', 'Benzene hexachloride', 'Kwell', 'beta-BHC', 'BETA-HEXACHLOROCYCLOHEXANE', 'gamma-hexachlorocyclohexane', 'Hexicide', 'beta-Lindane', '58-89-9', 'Aalindan', 'delta-HCH', 'Jacutin', 'Gamene', 'Gexane', 'Hexachlorocyclohexane', 'epsilon-HCH', 'Agrocide', 'Aparasin', 'Aphtiria', 'Chloresene', 'Codechine', 'delta-BHC', 'Entomoxan', 'Gammalin', 'Gammaterr', 'Hexachloran', 'Hexaverm', 'Hexyclan', 'Kokotine', 'Lindafor', 'Lindosep', 'Lorexane', 'Nicochloran', 'Ovadziak', 'Owadziak', 'Pedraczak', 'Pflanzol', 'Quellada', 'Streunex', 'Aficide', 'Aplidal', 'Arbitex', 'Celanex', 'Devoran', 'Gamacid', 'Hortex', 'Lendine', 'Lentox', 'Lidenal', 'Lindex', 'Lintox', 'Linvur', 'Mszycol', 'Omnitox', 'Scabene', 'ALPHA-HEXACHLOROCYCLOHEXANE', 'Bexol', 'Nexit', 'Viton', 'alpha-Lindane', 'Hcch', 'Agrocide WP', 'Agrocide III', 'Ben-Hex', 'Ameisentod', 'Benhexol', 'Gammexane', 'Heclotox', 'Lasochron', 'Lindatox', 'Gammalin 20', 'Neo-scabicidol', 'gamma-Lindane', 'DELTA-HEXACHLOROCYCLOHEXANE', 'Nexit-stark', 'Bentox 10', 'Milbol 49', 'Nexen fb', '319-85-7', 'alpha-BHC', 'Nexol-E', '319-84-6', 'DOL GRANULE', 'Gamacarbatox', 'Lindagrain', 'Lindagranox', 'Lindapoudre', 'Spruehpflanzol', 'Agronexit', 'Esoderm', 'Gallogama', 'Gamaphex', 'Geobilan', 'Hexatox', 'Hilbeech', 'Lindagam', 'Novigam', 'Silvanol', 'Gamiso', 'Inexit', 'Isotox', 'Lindan', 'Beta-1,2,3,4,5,6-hexachlorocyclohexane', '319-86-8', 'gamma-col', 'Spritz-rapidin', 'Forst-nexen', 'Sang gamma', 'Mglawik L', 'Agrocide 7', 'Hungaria L7', 'Ameisenmittel merck', 'TRI-6', 'Spritzlindane', 'Benzanex', 'Gamacide', 'Hexablanc', 'Hexachlor', 'Hexapoudre', 'Hexcidum', 'Dolmix', 'Gamtox', 'Hexamul', 'Isatox', 'Submar', 'Gyben', 'delta-Lindane', 'Geolin G 3', 'Verindal ultra', 'gamma-Benzene hexachloride', 'beta-Hexachloran', 'TAP 85', 'Detox 25', '608-73-1', 'Arcotal S', 'Trives-T', 'alpha-Hexachlorane', 'gamma BHC', 'Agrocide 6G', 'Hexachlorcyclohexan', 'alpha-1,2,3,4,5,6-Hexachlorocyclohexane', 'Lacco HI lin', 'Drilltox-Spezial Aglukon', 'beta-Benzene hexachloride', 'Gamacide 20', 'gamma Benzene hexachloride', 'hecoltox', 'Hexachlorocyclohexanes', 'Ameisenatod', 'Benhexachlor', 'Gammahexane', 'Aphtitria', 'Exagama', 'gamma-1,2,3,4,5,6-Hexachlorocyclohexane', 'Gammahexa', 'Gammallin', 'Gammaxene', 'Gammopaz', 'Lindalo', 'Lindamul', 'Lindaterra', 'Novigan', 'Benzex', 'beta-Hexachlorobenzene', 'Forlin', 'Gammex', 'BHC or HCH', 'Detmol-extrakt', 'Fenoform forte', 'gamma-Hexachlorobenzene', 'nexen-fb', 'Detmol Extract', 'Borer Spray', 'alpha-Hexachloran', 'alpha-Benzenehexachloride', 'delta-Benzenehexachloride', '.delta.-Lindane', 'Agrocide 2', 'ENT 9,234', 'Kwell-R', 'alpha-Benzene hexachloride', 'delta-Benzene hexachloride', 'BHC (insecticide)', 'HCH [BSI]', 'HCH [ISO]', '.delta.-BHC', 'epsilon-Hexachlorocyclohexane', 'Gamma-mean 400', 'Agrisol G-20', '.delta.-Hexachlorocyclohexane', 't-HCH', 'Caswell No. 079', 'Caswell No. 527', 'gamma-Benzohexachloride', 'ENT 7,796', 'ENT 9,232', '(+)-alpha-HCH', 'Latka 666', 'gamma hexachlor', 'Lindanum [INN-Latin]', 'gamma-Benzenehexachloride', 'gamma-Hexachlorzyklohexan', 'HCH', 'Latka 666 [Czech]', 'Lindano [INN-Spanish]', 'Benzene hexachloride-alpha-isomer', 'gamma-HCH or gamma-BHC', 'UNII-59NEE7PCAB', 'UNII-YM80ODM9PD', 'Rcra waste number U129', 'gamma-Hexachlorcyclohexanum', 'Hexachlorocyclohexane, gamma-isomer', 'Technical HCH', 'Cyclohexane, 1,2,3,4,5,6-hexachloro-', '.alpha.-Lindane', 'C6H6Cl6', 'gamma-Hexachlorane', 'zeta-HCH', 'd-alpha-BHC', 'Hexachlorocyclohexane, beta-', 'Hexachlorcyclohexan [German]', 'ENT 8,601', 'ENT 9,233', '.alpha.-Hexachlorocyclohexane', 'Hexachlorocyclohexane, alpha-', 'Hexachlorocyclohexane, delta-', 'Hexachlorocyclohexane, gamma-', 'CCRIS 327', 'CCRIS 328', 'CCRIS 329', 'technical Hexachlorocyclohexane', 'trans-alpha-Benzenehexachloride', '.delta.-HCH', 'Benzenehexachloride-alpha-isomer', 'CCRIS 1449', 'HSDB 646', '6108-10-7', 'BBH', 'Benzene hexachloride (Ambiguous)', 'Benzene hexachloride-gamma isomer', '1a,2a,3b,4a,5b,6b-Hexachlorocyclohexane', 'gamma-BHC Benhexachlor', 'HSDB 1606', 'HSDB 6029', 'HSDB 6183', 'HSDB 6184', 'Benzenehexachloride, mixed isomers', 'benzene-cis-hexachloride', 'NCI-C00204', 'Hexachlorocyclohexane, gamma isomer', 'Hexachlorocyclohexane (all isomers)', 'alpha-Hexachlorcyclohexane', 'Drill tox-spezial aglukon', 'EINECS 200-401-2', 'EINECS 206-270-8', 'EINECS 206-271-3', 'EINECS 206-272-9', 'EINECS 210-168-9', '(1r,2r,3r,4r,5r,6r)-1,2,3,4,5,6-hexachlorocyclohexane', 'epsilon-Benzenehexachloride', 'Hexachlorocyclohexane (mixed isomers)', 'NSC 11808', '59NEE7PCAB', 'YM80ODM9PD', 'Hexachlorocyclohexane, technical grade', 'HGI', 'RCRA waste no. U129', 'Benzene Hexachloride, gamma', 'EPA Pesticide Chemical Code 009001', 'Hexachlorocyclohexane (technical grade)', 'BRN 1907331', 'BRN 1907334', 'BRN 1907337', 'BRN 1907338', 'BRN 3195880', '.delta.-Benzene hexachloride', 'UNII-YV2D256Z3N', '(1alpha,2beta,3alpha,4beta,5alpha,6beta)-1,2,3,4,5,6-Hexachlorocyclohexane', 'AI3-07796', 'AI3-08601', 'AI3-09232', 'AI3-09233', 'AI3-09234', 'YV2D256Z3N', 'Lindane [Hexachlorocyclohexanes]', 'PLK', 'benzene hexachloride-gamma-isomer', '(1R,2R,3R,4R,5S,6S)-1,2,3,4,5,6-hexachlorocyclohexane', 'CHEBI:24536', 'CHEBI:28428', 'CHEBI:32888', 'CHEBI:39095', 'CHEBI:39096', 'Benzene hexachloride, all isomers', 'Cyclohexane, beta-1,2,3,4,5,6-hexachloro-', 'Cyclohexane, delta-1,2,3,4,5,6-hexachloro-', 'beta-HCH [Hexachlorocyclohexanes]', 'UNII-IVM9A2N49K', 'alpha-HCH [Hexachlorocyclohexanes]', 'gamma-HCH [Hexachlorocyclohexanes]', 'GAMMA-HEXACHLORO-CYCLOHEXANE', 'Cyclohexane, 1,2,3,4,5,6-hexachloro-, alpha-', 'Cyclohexane, 1,2,3,4,5,6-hexachloro-, gamma-', '1,2,3,4,5,6-Hexachlorocyclohexane, gamma-isomer', 'delta-(Aeeeee)-1,2,3,4,5,6-hexachlorocyclohexane', 'EINECS 228-068-9', 'HCH-.delta.', 'Cyclohexane, 1,2,3,4,5,6-hexachloro-, (1.alpha.,2.alpha.,3.alpha.,4.beta.,5.alpha.,6.beta.)-', 'Cyclohexane, 1,2,3,4,5,6-hexachloro-, (1.alpha.,2.alpha.,3.beta.,4.alpha.,5.alpha.,6.beta.)-', 'Cyclohexane, 1,2,3,4,5,6-hexachloro-, (1.alpha.,2.alpha.,3.beta.,4.alpha.,5.beta.,6.beta.)-', 'BHC-.delta. isomer', 'Cyclohexane, 1,2,3,4,5,6-hexachloro-, alpha-isomer', 'Cyclohexane, 1,2,3,4,5,6-hexachloro-, beta-isomer', 'Cyclohexane, 1,2,3,4,5,6-hexachloro-, delta-isomer', 'Cyclohexane, 1,2,3,4,5,6-hexachloro-, gamma-isomer', '119911-69-2', 'BHC, .delta.', 'UNII-5477B350EK', '1,2,3,4,5,6-Hexachlorocyclohexane (mixture of isomers)', 'Cyclohexane, 1,2,3,4,5,6-hexachloro-, (mixed isomers)', 'NCGC00094546-04', 'Lindano', 'Lindanum', '1a,2b,3a,4b,5a,6b-hexachlorocyclohexane', '(1r,2R,3S,4r,5R,6S)-1,2,3,4,5,6-hexachlorocyclohexane', '(1r,2R,3S,4s,5R,6S)-1,2,3,4,5,6-hexachlorocyclohexane', '1alpha,2alpha,3beta,4alpha,5alpha,6beta-Hexachlorocyclohexane', 'AI3-15109', 'trans-1,2,3,4,5,6-hexachlorocyclohexane', 'DSSTox_CID_685', 'DSSTox_CID_686', 'DSSTox_CID_687', '1-alpha,2-alpha,3-alpha,4-beta,5-alpha,6-beta-Hexachlorocyclohexane', '1-alpha,2-beta,3-alpha,4-beta,5-alpha,6-beta-Hexachlorocyclohexane', 'HCH, technical grade [Hexachlorocyclohexanes]', '(1alpha,2alpha,3alpha,4beta,5alpha,6beta)-1,2,3,4,5,6-Hexachlorocyclohexane', '(1alpha,2alpha,3beta,4alpha,5alpha,6beta)-1,2,3,4,5,6-hexachlorocyclohexane', '(1alpha,2alpha,3beta,4alpha,5beta,6beta)-1,2,3,4,5,6-Hexachlorocyclohexane', 'Cyclohexane, 1,2,3,4,5,6-hexachloro-, (1alpha,2alpha,3beta,4alpha,5alpha,6beta)-', 'Cyclohexane, 1,2,3,4,5,6-hexachloro-, (1alpha,2beta,3alpha,4beta,5alpha,6beta)-', 'DSSTox_RID_75733', 'DSSTox_RID_75734', 'DSSTox_RID_75735', '1,2,3,4,5,6-Hexachlorocyclohexane gamma isomer', 'DSSTox_GSID_20685', 'DSSTox_GSID_20686', 'DSSTox_GSID_20687', 'Cyclohexane, 1,2,3,4,5,6-hexachloro-, (1.alpha.,2.beta.,3.alpha.,4.beta.,5.alpha.,6.beta.)-', '1,2,3,4,5,6-Hexachlorocyclohexane (all stereo isomers)', 'Cyclohexane, 1,2,3,4,5,6-hexachloro-, .gamma.-isomer', '(1r,2c,3t,4c,5c,6t)-1,2,3,4,5,6-hexachlorocyclohexane', '(1R,2R,3S,4S,5S,6S)-1,2,3,4,5,6-hexachlorocyclohexane', '(1r,2t,3c,4t,5c,6t)-1,2,3,4,5,6-hexachlorocyclohexane', '1alpha,2alpha,3beta,4alpha,5beta,6beta-Hexachlorocyclohexane', 'Scabecid', 'am eisenatod', 'beta-isomer', 'Atlas steward', 'hilbeec h', 'IVM9A2N49K', 'Sang-gamma', 'Lindam ul', 'Eso derm', 'nexi t-stark', 'Isot ox', '(1alpha,2alpha,3alpha,4beta,5beta,6beta)-1,2,3,4,5,6-Hexachlorocyclohexane', '1,2,3,4,5,6-hexachlorocyclohexane (1alpha,2alpha,3beta,4alpha,5alpha,6beta)', '1,2,3,4,5,6-Hexachlorocyclohexane (all stereo isomers, including lindane)', 'gamma-Hexachlorocyclohexane [Lindane and other hexachlorocyclohexane isomers]', 'theta-HCH', 'CAS-58-89-9', 'Cyclohexane, 1,2,3,4,5,6-hexachloro-, (1alpha,2alpha,3alpha,4beta,5alpha,6beta)-', 'Cyclohexane, 1,2,3,4,5,6-hexachloro-, (1alpha,2alpha,3alpha,4beta,5beta,6beta)-', 'Cyclohexane, 1,2,3,4,5,6-hexachloro-, (1alpha,2alpha,3beta,4alpha,5beta,6beta)-', 'Cyclohexane, l,2,3,4,5,6-hexachloro-, (1alpha,2alpha,3beta,4alpha,5beta,6beta)-', '6108-11-8', '6108-12-9', 'CAS-319-85-7', 'CAS-608-73-1', 'SMR000857321', 'SMR000875266', '.alpha.-BHC', '.gamma.-BHC', 'HCH (alpha)', '1,2,3,4,5,6-Hexachlorocyclohexane (HCH)', 'HCH (beta)', 'd-BHC', '.delta.,1,2,3,4,5,6-Hexachlorocyclohexane', '(-)-alpha-HCH', '5477B350EK', 'eta-Hexachlorocyclohexane', 'Cyclohexane, .delta.,1,2,3,4,5,6-hexachloro-', 'SR-05000001837', 'zeta-Hexachlorocyclohexane', 'Cyclohexane, 1,2,3,4,5,6-hexachloro-, .delta.-', 'Murfume grain store smoke', 'theta-Hexachlorocyclohexane', '.delta.-(aeeee)-1,2,3,4,5,6-Hexachlorocyclohexane', 'KWELL (TN)', 'Cyclohexane, 1,2,3,4,5,6-hexachloro-, .delta.-isomer', '.beta.-Hexachlorocyclohexane', 'Lindane [USAN:INN:BAN]', 'Kanodane', 'Detmol Extrakt', 'gamma-linda ne', 'H.C.H.', 'Nexit Stark', '1.alpha.,2.alpha.,3.alpha.,4.beta.,5.alpha.,6.beta.-Hexachlorocyclohexane', 'a-hch', 'b-hch', '.gamma.-Lindane', 'Lindane [USAN:USP:INN:BAN]', 'theta-BHC', 'Hexachlorzyklohexan', 'Nexol E', 'gama-HCH', 'HCH (technical)', 'Sang-.gamma.', 'alpha- BHC', 'eta-BHC', 'eta-HCH', '1,2,3,4,5,6-Hexachlorocyclohexane, (1.alpha.,2.alpha.,3.alpha.,4.beta.,5.alpha.,6.beta.)-', 'alpha-1,2,3,4,5,6-Hexachlorocyclohexane;alpha-Hexachlorocyclohexane;(1?,2?,3?,4?,5?,6?)-1,2,3,4,5,6-hexachlorocyclohexane;(1a,2a,3ss,4a,5ss,6ss)-1,2,3,4,5,6-hexachlorocyclohexane;alpha-hexachlorocyclohexane', 'Lindane,(S)', '.alpha.-Hexachloran', '.gamma.-Hexachloran', 'c-HCH (Lindane)', '.alpha.-HCH', '.gamma.-HCH', 'BHC .alpha.', 'HCH-.alpha.', '.alpha.-Hexachlorane', '.gamma.-Hexachlorane', 'BHC-.alpha. isomer', 'BHC(.gamma.)', 'G-BHC-.delta.', 'HCH, technical grade', 'lindane (Gama-HCH)', 'd-HCH', 'gamma-BHC (lindane)', 'lindane (gamma-HCH)', 'Lindane, 97%', 'Lindane (USP/INN)', 'Spectrum_001929', '.gamma.-Benzohexachloride', '.gamma.-Hexachlorobenzene', 'benzene-trans-hexachloride', 'DSSTox_CID_684', 'Hexachlorocyclohexane-Beta', 'Spectrum2_001864', 'Spectrum3_000860', 'Spectrum4_000700', 'Spectrum5_001586', '1,2,3,4,5,6-HCH', 'beta-Hexachlorocyclohexanes', 'DSSTox_CID_4134', 'Hexachlorocyclohexane-Alpha', 'beta-Hexac hlorocyclohexane', 'alpha-Hexachlorocyclohexanes', 'Gamma Benzene Hydrochloride', 'epsilon-Benzene hexachloride', 'gamma-:hexachlorocyclohexane', '.alpha.-Hexachlorcyclohexane', 'DSSTox_RID_75732', 'H.C.H', '.alpha.-Benzene hexachloride', '.gamma.-Benzene hexachloride', 'Benzene-1,2,3,4,5,6-hexachloride (Ambiguous)', 'BIDD:PXR0097', 'DSSTox_GSID_20684', 'DSSTox_GSID_24134', 'SCHEMBL25895', 'SCHEMBL25896', 'SCHEMBL75689', '.gamma.-Hexachlorocyclohexane', 'BSPBio_002479', 'KBioGR_001199', 'KBioSS_002471', 'SPECTRUM330071', '2-05-00-00011 (Beilstein Handbook Reference)', '4-05-00-00056 (Beilstein Handbook Reference)', '4-05-00-00058 (Beilstein Handbook Reference)', '4-05-00-00060 (Beilstein Handbook Reference)', '4-05-00-00061 (Beilstein Handbook Reference)', 'MLS001333088', 'MLS001335969', 'MLS001335970', 'MLS001361319', 'beta-BHC, analytical standard', 'BIDD:ER0090', 'BIDD:ER0091', 'BIDD:ER0449', 'BIDD:ER0558', 'BIDD:GT0634', 'CHEMBL15891', 'DivK1c_000701', 'SCHEMBL140812', 'SCHEMBL140813', 'SCHEMBL472088', 'Benzene Hexachloride, .gamma.', 'SPBio_001708', '.epsilon.-Hexachlorocyclohexane', 'delta-BHC, analytical standard', 'gamma-BHC, analytical standard', 'CHEMBL389022', 'Hexachlorocyclohexane, Technical', 'SCHEMBL7647849', 'SCHEMBL8469477', 'SCHEMBL9120917', 'ZINC1621', 'CHEMBL1200921', 'CHEMBL1714528', 'CHEMBL1874247', 'CHEMBL2272381', 'DTXSID0024135', 'DTXSID2020684', 'DTXSID2020686', 'DTXSID5024134', 'DTXSID7020685', 'DTXSID7020687', 'Hexachlorocyclohexane (q-isomer)', 'Hexachlorocyclohexane (z-isomer)', 'Hexachlorocyclohexane [h-isomer]', 'SCHEMBL10795898', 'HMS502D03', 'KBio1_000701', 'KBio2_002464', 'KBio2_005032', 'KBio2_007600', 'KBio3_001979', 'BHC (alpha-, beta-, gamma-)', 'NSC7909', 'NSC8093', 'NINDS_000701', 'HMS1923K17', 'HMS2091E05', 'HMS2230C24', 'HMS2231A06', 'HMS3369J21', 'Pharmakon1600-00330071', 'Benzene hexachloride-.alpha.-isomer', 'cpd with unspecified stereochemistry', 'HY-A0085', 'NSC-7909', 'NSC-8093', 'NSC11807', 'NSC11808', 'a-Hexachlorocyclohexane (HCH, BHC)', 'Benzene Hexachloride (gamma-Isomer)', 'Hexachlorocyclohexane,.gamma.-isomer', 'Tox21_111294', 'Tox21_200676', 'Tox21_201777', 'Tox21_202069', 'Tox21_202290', 'Tox21_300624', 'Tox21_300953', 'Tox21_302925', 'Tox21_303873', '7644AF', 'BDBM50410525', 'beta-HCH 100 microg/mL in Toluene', 'CCG-39862', 'LS-242', 'MFCD00135947', 'NSC-11807', 'NSC-11808', 'NSC755895', 'SBB061412', 'alpha-HCH 100 microg/mL in Acetone', 'AKOS015903494', 'AKOS015914103', 'AKOS024390982', 'beta-HCH 1000 microg/mL in Toluene', 'Cyclohexane,2,3,4,5,6-hexachloro-', 'HEXACHLOROCYCLOHEXANE (MIXTURE)', 'ZINC100068484', 'ZINC100076865', 'ZINC100076868', 'ZINC100899052', 'ZINC245204924', 'ZINC263584078', '1,2,3,4,5,6-hexachloro-cyclohexane', 'alpha-HCH 1000 microg/mL in Toluene', 'beta-HCH 10 microg/mL in Cyclohexane', 'DB00431', 'delta-HCH 1000 microg/mL in Toluene', 'FCH1320285', 'gamma-HCH 1000 microg/mL in Toluene', 'LS-7424', 'LS-7425', 'LS-7426', 'NSC-755895', '(1alpha,2alpha,3alpha,4alpha,5alpha,6beta)-1,2,3,4,5,6-Hexachlorocyclohexane', 'alpha-HCH 10 microg/mL in Cyclohexane', 'Cyclohexane, 1,2,3,4,5,6-hexachloro-, (1alpha,2alpha,3alpha,4alpha,5alpha,6beta)-', 'delta-HCH 10 microg/mL in Cyclohexane', 'epsilon-HCH 100 microg/mL in Methanol', 'g-1,2,3,4,5,6-Hexachlorocyclohexane', 'gamma-HCH 10 microg/mL in Cyclohexane', 'gamma-HCH 1000 microg/mL in Methanol', 'IDI1_000701', '(.+/-.)-.alpha.-Hexachlorocyclohexane', 'alpha-HCH 100 microg/mL in Cyclohexane', 'Cyclohexane,1,2,3,4,5,6-hexachloro-', 'delta-HCH 100 microg/mL in Cyclohexane', 'gamma-HCH 100 microg/mL in Cyclohexane', 'NCGC00094546-01', 'NCGC00094546-02', 'NCGC00094546-03', 'NCGC00094546-05', 'NCGC00094546-06', 'NCGC00094546-07', 'NCGC00094546-08', 'NCGC00094546-09', 'NCGC00094546-10', 'NCGC00094546-11', 'NCGC00159386-02', 'NCGC00159386-03', 'NCGC00159386-04', 'NCGC00159386-05', 'NCGC00163943-01', 'NCGC00163943-02', 'NCGC00163943-03', 'NCGC00163943-04', 'NCGC00163943-05', 'NCGC00248792-01', 'NCGC00254541-01', 'NCGC00254855-01', 'NCGC00256383-01', 'NCGC00258230-01', 'NCGC00259326-01', 'NCGC00259618-01', 'NCGC00259839-01', 'NCGC00348372-01', 'NCGC00357135-01', '119911-70-5', '55963-79-6', '6108-13-0', 'AC-11679', 'CAS-319-84-6', 'CAS-319-86-8', 'CC-02682', 'epsilon-HCH 10 microg/mL in Cyclohexane', 'LS-56881', 'epsilon-HCH 100 microg/mL in Cyclohexane', 'SBI-0051430.P003', '.delta.,2,3,4,5,6-Hexachlorocyclohexane', 'Lindane, PESTANAL(R), analytical standard', 'LS-185311', 'LS-193399', 'LS-193400', 'LS-193401', '.alpha.-1,2,3,4,5,6-Hexachlorcyclohexane', 'FT-0603490', 'FT-0606175', 'FT-0647466', 'HCH (technical) 10 microg/mL in Isooctane', 'ST51047431', 'V0158', 'WLN: L6TJ AG BG CG DG EG FG .delta.', '.alpha.-1,2,3,4,5,6-Hexachlorocyclohexane', '.gamma.-1,2,3,4,5,6-Hexachlorocyclohexane', '1,2,3,4,5,6-.gamma.-Hexachlorocyclohexane', 'alpha-HCH, PESTANAL(R), analytical standard', 'beta-HCH, PESTANAL(R), analytical standard', 'delta-HCH, PESTANAL(R), analytical standard', 'C06988', 'C07075', 'C15214', 'C18738', 'D00360', '1,2,3,4,5,6-Hexachlorocyclohexane (.gamma.)', '1,3,4,5,6-Hexachlorcyclohexane, .beta. isomer', 'AB00052031_02', 'Cyclohexane,2,3,4,5,6-hexachloro-, .delta.-', 'delta-BHC, vial of 100 mg, analytical standard', '1,2,3,4,5,6-hexachlorocyclohexane, alpha isomer', '1,3,4,5,6-Hexachlorocyclohexane, .gamma. isomer', '135764-EP2275422A1', '135764-EP2292608A1', 'alpha-1,2,3,4,5,6-Hexachlorocyclohexane, 99%', 'Benzene-1,2,3,4,5,6-hexachloride ((Ambiguous)', 'C-18255', 'Cyclohexane, .alpha.-1,2,3,4,5,6-hexachloro-', 'Cyclohexane, 1,2,3,4,5,6-hexachloro-, delta-', 'Q282003', '.delta.-(aeeee)-1,3,4,5,6-Hexachlorocyclohexane', '1,2,3,4,5,6-Hexachlorocyclohexane (gamma-Isomer)', 'Cyclohexane, 1,2,3,4,5,6-hexachloro-, .alpha.-', 'Cyclohexane, 1,2,3,4,5,6-hexachloro-, .beta.-', 'Cyclohexane, 1,2,3,4,5,6-hexachloro-, .gamma.-', 'J-018587', 'J-018588', 'J-018589', 'LINDANE (BENZENE HEXACHLOROIDE-GAMMA ISOMER)', 'Q6445839', 'SR-05000001837-1', 'SR-05000001837-4', 'alpha-HCH, certified reference material, TraceCERT(R)', 'Cyclohexane,2,3,4,5,6-hexachloro-, .delta.-isomer', 'Q10860138', 'Q23014122', 'Cyclohexane, 1,2,3,4,5,6-hexachloro-, .alpha.-isomer', 'Cyclohexane, 1,2,3,4,5,6-hexachloro-, delta- (8CI)', 'UNII-5477B350EK component JLYXXMFPNIAWKQ-CDRYSYESSA-N', 'UNII-5477B350EK component JLYXXMFPNIAWKQ-GNIYUCBRSA-N', 'UNII-5477B350EK component JLYXXMFPNIAWKQ-LKPKBOIGSA-N', 'UNII-5477B350EK component JLYXXMFPNIAWKQ-SHFUYGGZSA-N', 'UNII-IVM9A2N49K component JLYXXMFPNIAWKQ-LKPKBOIGSA-N', 'UNII-IVM9A2N49K component JLYXXMFPNIAWKQ-SHFUYGGZSA-N', '(1a,2a,3a,4ss,5a,6ss)-1,2,3,4,5,6-hexachlorocyclohexane', '(1a,2a,3a,4ss,5ss,6ss)-1,2,3,4,5,6-hexachlorocyclohexane', '(1a,2a,3b,4a,5b,6b)-1,2,3,4,5,6-Hexachlorocyclohexane', '(1a,2a,3ss,4a,5ss,6ss)-1,2,3,4,5,6-hexachlorocyclohexane', '(1a,2ss,3a,4ss,5a,6ss)-1,2,3,4,5,6-hexachlorocyclohexane', '(1r,2c,3c,4t,5c,6t)-1,2,3,4,5,6-hexachlorocyclohexane', '(1r,2c,3t,4t,5c,6t)-1,2,3,4,5,6-hexachlorocyclohexane', '(1R,2r,3S,4R,5s,6S)-1,2,3,4,5,6-hexachlorocyclohexane', '(1R,2S,3r,4R,5S,6r)-1,2,3,4,5,6-hexachlorocyclohexane', '(1R,2S,3r,4R,5S,6s)-1,2,3,4,5,6-Hexachlorocyclohexane', '(1s,2R,3R,4s,5S,6S)-1,2,3,4,5,6-hexachlorocyclohexane', 'Lindane, United States Pharmacopeia (USP) Reference Standard', 'Lindane, Pharmaceutical Secondary Standard; Certified Reference Material', '(1.alpha.,3.alpha.,4.beta.,5.alpha.,6.beta.)-1,2,3,4,5,6-Hexachlorocyclohexane', '(1.alpha.,3.beta.,4.alpha.,5.alpha.,6.beta)-1,2,3,4,5,6-Hexachlorocyclohexane', '(1alpha,2alpha,3alpha,4alpha,5alpha,6alpha)-1,2,3,4,5,6-Hexachlorocyclohexane', '(1alpha,2alpha,3alpha,4alpha,5beta,6beta)-1,2,3,4,5,6-Hexachlorocyclohexane', '(1alpha,2alpha,3beta,4alpha,5alpha,6beta)-1,2,3,4,5, 6-hexachlorocyclohexane', '(1alpha,2alpha,3beta,4beta,5alpha,6beta)-1,2,3,4,5,6-hexachlorocyclohexane', '1-.alpha.,2-.alpha.,3-.beta.,4-.alpha.,5-.beta.,6-.beta.-Hexachlorocyclohexane', 'beta-HCH solution, 100 mug/mL in methanol, PESTANAL(R), analytical standard', 'Cyclohexane, 1,2,3,4,5,6-hexachloro-, (1alpha,2alpha,3alpha,4alpha,5alpha,6alpha)-', 'Cyclohexane, 1,2,3,4,5,6-hexachloro-, (1alpha,2alpha,3alpha,4alpha,5beta,6beta)-', '1,2,3,4,5,6-Hexachlorocyclohexane, (1.alpha.,2.alpha.,3.beta.,4.alpha.,5.beta.,6.beta.)-', 'Beta-hexachlorocyclohexane;beta-hexachlorocyclohexane;Beta-HCH;(1a,2ss,3a,4ss,5a,6ss)-1,2,3,4,5,6-hexachlorocyclohexane;(1?,2?,3?,4?,5?,6?)-1,2,3,4,5,6-hexachlorocyclohexane', 'Cyclohexane, 1,2,3,4,5,6-hexachloro-, (1.alpha.,2.alpha.,3.alpha.,4.beta.,5.beta.,6.beta.)-', 'Cyclohexane,2,3,4,5,6-hexachloro-, (1.alpha.,2.alpha.,3.alpha.,4.beta.,5.alpha.,6.beta.)-', 'Delta-hexachlorocyclohexane;(1?,2?,3?,4?,5?,6?)-1,2,3,4,5,6-hexachlorocyclohexane;Delta-HCH;(1a,2a,3a,4ss,5a,6ss)-1,2,3,4,5,6-hexachlorocyclohexane;delta-hexachlorocyclohexane', 'Gamma-hexachlorocyclohexane;Lindane;gamma-hexachlorocyclohexane;?-HCH or ?-BHC;Gamma-HCH (Lindane);lindane (gamma-HCH)', 'HCH, PESTANAL(R), analytical standard, mixture of isomers (alpha:beta:gamma:delta=1:1:1:1)']</t>
  </si>
  <si>
    <t>Compound(727)</t>
  </si>
  <si>
    <t>C6H6Cl6</t>
  </si>
  <si>
    <t>alpha-hydroxytoluene</t>
  </si>
  <si>
    <t>phenylmethanol</t>
  </si>
  <si>
    <t>['benzyl alcohol', 'phenylmethanol', 'benzenemethanol', '100-51-6', 'phenylcarbinol', 'Benzoyl alcohol', 'Benzenecarbinol', 'Hydroxytoluene', 'Phenylmethyl alcohol', 'alpha-Toluenol', 'benzylalcohol', '(Hydroxymethyl)benzene', 'Phenolcarbinol', 'Benzal alcohol', 'alpha-hydroxytoluene', 'benzylic alcohol', 'Alcool benzylique', 'Benzylicum', 'Methanol, phenyl-', 'Phenylcarbinolum', 'hydroxymethylbenzene', 'Phenyl-Methanol', 'BENZYL-ALCOHOL', 'Euxyl K 100', 'Bentalol', 'Aromatic alcohol', 'Caswell No. 081F', '.alpha.-Toluenol', 'Benzyl alcohol (natural)', 'Alcool benzilico [DCIT]', 'Itch-X', 'alcoholum benzylicum', 'NCI-C06111', 'benzenmethanol', '.alpha.-Hydroxytoluene', 'Benzylalkohol', 'FEMA No. 2137', 'Aromatic primary alcohol', 'Alcool benzylique [INN-French]', 'Benzyl alkohol', 'Alcohol bencilico [INN-Spanish]', 'Methanol benzene', 'Alcoholum benzylicum [INN-Latin]', 'UNII-LKG8494WBH', 'NSC 8044', 'HOCH-Ph-polymer', 'phenylmethan-1-ol', 'HSDB 46', 'CCRIS 2081', 'Benzyl alcohol Natural', 'Benzyl alcohol [USAN:INN:JAN]', 'EINECS 202-859-9', 'EPA Pesticide Chemical Code 009502', 'BRN 0878307', 'TOLUENE,ALPHA-HYDROXY', 'LKG8494WBH', 'AI3-01680', 'CHEBI:17987', 'NSC-8044', 'MFCD00004599', 'Hydroxymethyl resin (100-200 mesh)', 'NCGC00091865-01', 'Phenyl Methanol', 'DSSTox_CID_152', 'DSSTox_RID_75404', 'Benzyl alcohol, ACS reagent', 'Benzyl alcohol, for analysis', 'DSSTox_GSID_20152', '66072-40-0', 'MBN', 'Ulesfia', 'Alcool benzilico', 'Alcohol bencilico', 'CAS-100-51-6', 'Ulesfia (TN)', 'Benzyl alcohol, 98+%, Extra Dry, AcroSeal(R)', 'enzylalcohol', 'Benzalalcohol', 'Benzalcohol', 'Bentanol', 'Benzyl alcohol, specified according to requirements of Ph.Eur.', 'Alcoolbenzylique', 'benzene-methanol', 'Benzyl Alcohole', 'a-Hydroxytoluene', 'a-Toluenol', 'Benzenemethanol.', 'Benzyl alcohol [INN:JAN:NF]', 'BnOH', 'OBZ', 'Sunmorl BK 20', 'Nat. Benzyl Alcohol', 'PhCH2OH', 'Bn-OH', 'ACMC-1BQPG', 'SCHEMBL147', 'bmse000407', 'C6H5CH2OH', 'CHEMBL720', 'EC 202-859-9', 'WLN: Q1R', 'PINAPUR&amp;trade; 9 BA-R', 'Benzyl alcohol (JP15/NF)', 'Benzyl alcohol, 99%, pure', '4-06-00-02222 (Beilstein Handbook Reference)', 'KSC176G5N', 'BIDD:ER0248', '[DID-no:2402]', 'TB 13G', 'Benzyl alcohol, LR, &gt;=99%', 'Benzyl alcohol (Benzenemethanol)', 'DTXSID5020152', 'BDBM16418', 'CTK0H6356', 'INS NO.1519', 'NSC8044', 'Benzyl alcohol (JP17/NF/INN)', 'Benzyl Alcohol Reagent ACS Grade', 'HMS3264B16', 'Pharmakon1600-01502555', 'ZINC895302', 'Benzyl alcohol, analytical standard', 'Benzyl alcohol, AR, &gt;=99.5%', 'HY-B0892', 'INS-1519', 'Benzyl alcohol, anhydrous, 99.8%', 'Tox21_111172', 'Tox21_202447', 'Tox21_300044', 'BBL011938', 'LS-307', 'NSC760098', 's4600', 'SBB058558', 'STL163453', 'Benzyl alcohol, &gt;=99%, FCC, FG', 'AKOS000119907', 'AS04466', 'Benzyl alcohol, natural, &gt;=98%, FG', 'CCG-213843', 'DB06770', 'LS41488', 'MCULE-6011707909', 'NSC-760098', 'NCGC00091865-02', 'NCGC00091865-03', 'NCGC00091865-04', 'NCGC00254154-01', 'NCGC00259996-01', 'AK146334', 'Benzyl alcohol, ACS reagent, &gt;=99.0%', 'Benzyl alcohol, ReagentPlus(R), &gt;=99%', 'Benzyl alcohol, USP, 98.0-100.5%', 'I765', 'SC-47293', 'B2378', 'Benzyl alcohol, tested according to Ph.Eur.', 'E1519', 'FT-0622812', 'NS00009775', 'ST51028320', 'Benzyl alcohol, p.a., ACS reagent, 99.0%', 'Benzyl alcohol, SAJ first grade, &gt;=98.5%', '3983-EP2269992A1', '3983-EP2270004A1', '3983-EP2270005A1', '3983-EP2270011A1', '3983-EP2270505A1', '3983-EP2272516A2', '3983-EP2272813A2', '3983-EP2272817A1', '3983-EP2272822A1', '3983-EP2272825A2', '3983-EP2272841A1', '3983-EP2274983A1', '3983-EP2275102A1', '3983-EP2275401A1', '3983-EP2275411A2', '3983-EP2275414A1', '3983-EP2275425A1', '3983-EP2277565A2', '3983-EP2277566A2', '3983-EP2277567A1', '3983-EP2277568A2', '3983-EP2277569A2', '3983-EP2277570A2', '3983-EP2277848A1', '3983-EP2277867A2', '3983-EP2277876A1', '3983-EP2277879A1', '3983-EP2279750A1', '3983-EP2280001A1', '3983-EP2280003A2', '3983-EP2280005A1', '3983-EP2280008A2', '3983-EP2280010A2', '3983-EP2280012A2', '3983-EP2281823A2', '3983-EP2284149A1', '3983-EP2284160A1', '3983-EP2287155A1', '3983-EP2287160A1', '3983-EP2287165A2', '3983-EP2287166A2', '3983-EP2289884A1', '3983-EP2289887A2', '3983-EP2289888A2', '3983-EP2289892A1', '3983-EP2289894A2', '3983-EP2292227A2', '3983-EP2292280A1', '3983-EP2292596A2', '3983-EP2292611A1', '3983-EP2292612A2', '3983-EP2292614A1', '3983-EP2292615A1', '3983-EP2292620A2', '3983-EP2295402A2', '3983-EP2295406A1', '3983-EP2295411A1', '3983-EP2295412A1', '3983-EP2295413A1', '3983-EP2295426A1', '3983-EP2295427A1', '3983-EP2295437A1', '3983-EP2295550A2', '3983-EP2298731A1', '3983-EP2298734A2', '3983-EP2298735A1', '3983-EP2298743A1', '3983-EP2298744A2', '3983-EP2298750A1', '3983-EP2298755A1', '3983-EP2298768A1', '3983-EP2298772A1', '3983-EP2298775A1', '3983-EP2298783A1', '3983-EP2301918A1', '3983-EP2301931A1', '3983-EP2301936A1', '3983-EP2305243A1', '3983-EP2305636A1', '3983-EP2305640A2', '3983-EP2305651A1', '3983-EP2305673A1', '3983-EP2305676A1', '3983-EP2305695A2', '3983-EP2305696A2', '3983-EP2305697A2', '3983-EP2305698A2', '3983-EP2305808A1', '3983-EP2308812A2', '3983-EP2308828A2', '3983-EP2308833A2', '3983-EP2308839A1', '3983-EP2308844A2', '3983-EP2308845A2', '3983-EP2308846A2', '3983-EP2308854A1', '3983-EP2308857A1', '3983-EP2308858A1', '3983-EP2308861A1', '3983-EP2308867A2', '3983-EP2308870A2', '3983-EP2308872A1', '3983-EP2308873A1', '3983-EP2308875A1', '3983-EP2308877A1', '3983-EP2311806A2', '3983-EP2311815A1', '3983-EP2311816A1', '3983-EP2311817A1', '3983-EP2311823A1', '3983-EP2311824A1', '3983-EP2311829A1', '3983-EP2311831A1', '3983-EP2311834A1', '3983-EP2311837A1', '3983-EP2311842A2', '3983-EP2314575A1', '3983-EP2314584A1', '3983-EP2314585A1', '3983-EP2316470A2', '3983-EP2316829A1', '3983-EP2316831A1', '3983-EP2316834A1', '3983-EP2316835A1', '3983-EP2316836A1', '3983-EP2372017A1', '3983-EP2374454A1', '3983-EP2374783A1', '3983-EP2374790A1', '3983-EP2374792A1', '3983-EP2380568A1', 'A14564', 'Benzyl alcohol, SAJ special grade, &gt;=99.0%', 'Benzyl alcohol, Vetec(TM) reagent grade, 98%', 'benzyl alcohol;BENZYL ALCOHOL;Benzenemethanol', 'C00556', 'C03485', 'D00077', 'Q52353', 'AB01563201_01', 'A800221', 'SR-01000872610', 'J-000153', 'SR-01000872610-3', 'F0001-0019', 'Z955123784', '3762963D-6C2A-4BFF-AD94-3180E51BCA68', 'Benzyl alcohol, certified reference material, TraceCERT(R)', 'Benzyl alcohol on polystyrene, 3.5 mmol/g@CRLFMFCD03792087', 'Benzyl alcohol, European Pharmacopoeia (EP) Reference Standard', 'Benzyl alcohol, puriss. p.a., ACS reagent, &gt;=99.0% (GC)', 'Benzyl alcohol, United States Pharmacopeia (USP) Reference Standard', '(Hydroxymethyl)polystyrene, 200-400 mesh, extent of labeling: ~1.7 mmol/g loading', '(Hydroxymethyl)polystyrene, 200-500 mesh, extent of labeling: ~1.1 mmol/g loading', 'Benzyl alcohol, Pharmaceutical Secondary Standard; Certified Reference Material', 'Benzyl alcohol, PharmaGrade, USP/NF, Ph Eur, Manufactured under appropriate GMP controls for pharma or biopharmaceutical production.', 'Benzyl alcohol, polymer-bound, 100-200 mesh, extent of labeling: 0.5-1.0 mmol/g loading, 1 % cross-linked', 'Benzyl alcohol, polymer-bound, 100-200 mesh, extent of labeling: 1.0-2.0 mmol/g loading, 1 % cross-linked with divinylbenzene', 'Benzyl alcohol, polymer-bound, 70-90 mesh, extent of labeling: 0.5-1.0 mmol/g loading, 1 % cross-linked with divinylbenzene', 'Benzyl alcohol, polymer-bound, 70-90 mesh, extent of labeling: 1.0-1.5 mmol/g loading, 1 % cross-linked', 'Benzyl alcohol, polymer-bound, 70-90 mesh, extent of labeling: 2.0-3.0 mmol loading, 1 % cross-linked', 'Benzyl alcohol, puriss., meets analytical specification of Ph.??Eur., BP, NF, 99-100.5% (GC)', 'StratoSpheres(TM) PL-HMS (Hydroxymethylstyrene) resin, 50-100 mesh, extent of labeling: 2.0 mmol loading, 1 % cross-linked']</t>
  </si>
  <si>
    <t>Compound(244)</t>
  </si>
  <si>
    <t>C7H8O</t>
  </si>
  <si>
    <t>alpha , alpha-dichlorotoluene</t>
  </si>
  <si>
    <t>dichloromethylbenzene</t>
  </si>
  <si>
    <t>['Benzal chloride', '98-87-3', '(DICHLOROMETHYL)BENZENE', 'alpha,alpha-Dichlorotoluene', 'Benzylidene chloride', 'Benzene, (dichloromethyl)-', 'Benzyl dichloride', 'Benzylene chloride', 'Chlorobenzal', 'Dichloromethylbenzene', 'Dichlorophenylmethane', 'Benzene, dichloromethyl-', 'DICHLOROTOLUENE', 'Chlorure de benzylidene', 'RCRA waste number U017', 'NSC 7915', 'CCRIS 959', 'Toluene, alpha,alpha-dichloro-', 'Benzylidene dichloride', 'Chlorure de benzylidene [French]', 'Cloruro de bencilideno [Spanish]', 'HSDB 5322', 'UNII-222447TR16', 'EINECS 202-709-2', 'UN1886', 'RCRA waste no. U017', 'BRN 1099407', 'AI3-28597', '29797-40-8', '.alpha.,.alpha.-Dichlorotoluene', 'CHEBI:82273', 'Toluene, .alpha.,.alpha.-dichloro-', '222447TR16', 'DSSTox_CID_5014', 'DSSTox_RID_77628', 'DSSTox_GSID_25014', 'CAS-98-87-3', 'a,a-dichlorotoluene', 'Cloruro de bencilideno', 'benzalchlorid', 'chlorobenzyl chloride', 'EINECS 249-854-8', 'Benzal chloride???', 'WLN: GYGR', '1-(dichloromethyl)benzene', 'alpha-alpha-Dichlorotoluene', 'EC 202-709-2', 'EC 249-854-8', 'SCHEMBL28353', '4-05-00-00817 (Beilstein Handbook Reference)', '.alpha.,.alpha.-Dichlortoluene', 'CHEMBL1412576', 'DTXSID6025014', 'NSC7915', 'alpha,alpha-Dichlorotoluene, 95%', 'ALPHA,ALPHA-DICHLORO-TOLUENE', 'NSC-7915', 'ZINC1586312', 'Tox21_201313', 'Tox21_300171', 'AKOS015902605', 'FS-4304', 'LS-2050', 'MCULE-5551252494', 'Toluene, alpha,alpha-dichloro- (8CI)', 'UN 1886', 'NCGC00091362-01', 'NCGC00091362-02', 'NCGC00091362-03', 'NCGC00254144-01', 'NCGC00258865-01', 'Benzylidene chloride [UN1886] [Poison]', 'M012', 'Benzylidene chloride [UN1886]  [Poison]', 'FT-0694812', 'NS00001507', 'C19165', 'Q419420', 'alpha,alpha-Dichlorotoluene, PESTANAL(R), analytical standard', 'dichloromethylbenzene;Benzal chloride;Benzene, (dichloromethyl)-;?,?-dichlorotoluene']</t>
  </si>
  <si>
    <t>Compound(7411)</t>
  </si>
  <si>
    <t>C7H6Cl2</t>
  </si>
  <si>
    <t>abamectin</t>
  </si>
  <si>
    <t>(1'R,2R,3S,4'S,6S,8'R,10'E,12'S,13'S,14'E,16'E,20'R,21'R,24'S)-2-butan-2-yl-21',24'-dihydroxy-12'-[(2R,4S,5S,6S)-5-[(2S,4S,5S,6S)-5-hydroxy-4-methoxy-6-methyloxan-2-yl]oxy-4-methoxy-6-methyloxan-2-yl]oxy-3,11',13',22'-tetramethylspiro[2,3-dihydropyran-6,6'-3,7,19-trioxatetracyclo[15.6.1.14,8.020,24]pentacosa-10,14,16,22-tetraene]-2'-one;(1'R,2R,3S,4'S,6S,8'R,10'E,12'S,13'S,14'E,16'E,20'R,21'R,24'S)-21',24'-dihydroxy-12'-[(2R,4S,5S,6S)-5-[(2S,4S,5S,6S)-5-hydroxy-4-methoxy-6-methyloxan-2-yl]oxy-4-methoxy-6-methyloxan-2-yl]oxy-3,11',13',22'-tetramethyl-2-propan-2-ylspiro[2,3-dihydropyran-6,6'-3,7,19-trioxatetracyclo[15.6.1.14,8.020,24]pentacosa-10,14,16,22-tetraene]-2'-one</t>
  </si>
  <si>
    <t>['Abamectinum', 'Agrimek', 'Vertimec', 'Affirm', 'Avomec', 'Zephyr', 'Avid', 'Agri-Mek', 'Avermectin B(sub 1)', 'AVID EC', 'Abamectin [ANSI:ISO]', 'MK 936', 'HSDB 6941', 'MK 0936', 'UNII-5U8924T11H', '5U8924T11H', 'Abamectin [USAN]', 'Abamectin [USAN:INN]', 'SCHEMBL899590', 'LS-22276']</t>
  </si>
  <si>
    <t>Compound(6435890)</t>
  </si>
  <si>
    <t>C95H142O28</t>
  </si>
  <si>
    <t>prop-2-enamide</t>
  </si>
  <si>
    <t>['ACRYLAMIDE', '2-Propenamide', '79-06-1', 'prop-2-enamide', 'Propenamide', 'Acrylic amide', 'Akrylamid', 'Ethylenecarboxamide', 'Acrylic acid amide', 'Vinyl amide', '2-Propeneamide', 'Propeneamide', 'Acrylagel', 'Optimum', 'Amresco Acryl-40', 'Propenoic acid amide', 'POLYACRYLAMIDE', 'poly(acrylamide)', 'Akrylamid [Czech]', 'Ethylene Carboxamide', 'RCRA waste number U007', 'Amid kyseliny akrylove', 'Acrylamide polymer', 'Acrylamide solution', 'Amide propenoic acid', 'Polystolon', 'Polystoron', 'Porisutoron', 'Amid kyseliny akrylove [Czech]', 'acryl amide', 'CCRIS 7', 'Flokonit E', 'Aminogen PA', 'Acrylamide Monome', 'Flygtol GB', 'Stipix AD', 'Acrylamide Monomer', 'NSC 7785', '9003-05-8', 'Superfloc 84', 'Cytame 5', 'UNII-20R035KLCI', 'Polyhall 27', 'Sursolan P 5', 'Polyacrylamide resin', 'Solvitose 433', 'Sumitex A 1', 'Superfloc 900', 'Cyanamer P 35', 'Gelamide 250', 'Nacolyte 673', 'Polyhall 402', 'Versicol W 11', 'Magnafloc R 292', 'Sumirez A 17', 'Sumirez A 27', 'HSDB 191', 'Aerofloc 3453', 'Cyanamer P 250', 'Praestol 2800', 'Himoloc SS 200', 'Propenoic acid, amide', 'Sanpoly A 520', 'CHEBI:28619', 'Stokopol D 2624', 'Bio-Gel P 2', 'Reten 420', 'American Cyanamid KPAM', 'BioGel P-100', 'K-PAM', 'Acrylamide solution (50% or less)', 'EINECS 201-173-7', 'UN2074', '2-Propenamide, homopolymer', 'American Cyanamid P-250', 'RCRA waste no. U007', 'Dow ET 597', 'BRN 0605349', 'Taloflote', 'Pamid', 'AI3-04119', '20R035KLCI', '1-carbamoylethyl', 'NSC7785', 'Acrylamide polymers', 'Acrylamide [UN2074]  [Poison]', 'Acrylamide, polymer', 'PAM (polymer)', 'Acrylamide, polymers', 'MFCD00008032', 'Acrylamide homopolymer', 'AAM', 'Himoloc OK 507', 'Percol 720', 'PAA 1 (homopolymer)', 'J 100 (polymer)', 'P 250 (polymer)', 'DSSTox_CID_27', 'K 4 (acrylic polymer)', 'PAARK 123sh', 'DSSTox_RID_75328', 'PAA-1', 'Dow J 100', 'DSSTox_GSID_20027', 'PAA 70L', 'PAM-50', 'Acrylamide, 98.5%, extra pure', 'Q 41F', 'AP 273', 'ET 597', 'CAS-79-06-1', 'J 100', 'P 250', 'P 300', 'acrylarnide', 'Acrylamide, 99+%, for biochemistry, electrophoresis grade', 'Tryptone', 'Amide propenoate', "Acrylamide / N,N'-Methylenebisacrylamide 19:1, for biochemistry, 40% mix solution in water", "Acrylamide / N,N'-Methylenebisacrylamide 29:1, for biochemistry, 40% mix solution in water", 'acryloic acid amide', '1HC', "Acrylamide / N,N'-Methylenebisacrylamide 37.5:1, for biochemistry, 40% mix solution in water", 'Acrylamide, 97%', 'Bio Gel P2', 'Polyacrylamide solution', 'Bio Gel P-2', 'Bio-Gel P-2', 'ACMC-209twd', 'CH2CHCONH2', 'Acrylamide, 53% Aqueous', 'bmse000392', 'Acrylamide, &gt;=98.0%', 'Acrylamide, &gt;=99.9%', 'EC 201-173-7', 'WLN: ZV1U1', 'KSC378C2B', 'poly(acrylamide) macromolecule', 'Acrylamide_RamanathanGurudeeban', 'BIDD:ER0629', 'Acrylamide, analytical standard', 'CHEMBL348107', 'GTPL4553', 'DTXSID5020027', 'Acrylamide, for synthesis, 99%', 'CTK2H8120', 'KS-00000UTF', 'Acrylamide [UN2074] [Poison]', 'ZINC901075', 'BCP25183', 'NSC-7785', 'Tox21_201526', 'Tox21_300145', 'ANW-43019', 'BDBM50226193', 'NSC116573', 'NSC116574', 'NSC116575', 'NSC118185', 'STL282727', 'AKOS000120965', 'Acrylamide, purum, &gt;=98.0% (GC)', 'LS-1769', 'MCULE-4309430654', 'NE10544', 'NSC-116573', 'NSC-116574', 'NSC-116575', 'NSC-118185', 'UN 2074', 'Acrylamide 1000 microg/mL in Methanol', 'NCGC00090736-01', 'NCGC00090736-02', 'NCGC00090736-03', 'NCGC00090736-04', 'NCGC00090736-05', 'NCGC00253932-01', 'NCGC00259076-01', 'Acrylamide, SAJ first grade, &gt;=98.0%', 'H354', 'SC-18212', 'DB-124507', 'A0139', 'FT-0661414', 'FT-0688081', 'NS00009623', 'C01659', '12150-EP2269995A1', '12150-EP2272849A1', '12150-EP2275414A1', '12150-EP2277875A2', '12150-EP2280274A2', '12150-EP2282200A2', '12150-EP2289483A1', '12150-EP2289896A1', '12150-EP2292234A1', '12150-EP2292593A2', '12150-EP2292595A1', '12150-EP2295407A1', '12150-EP2298312A1', '12150-EP2298736A1', '12150-EP2298761A1', '12150-EP2302003A1', '12150-EP2305808A1', '12150-EP2309584A1', '12150-EP2311840A1', '12150-EP2316974A1', 'Acrylamide, suitable for electrophoresis, &gt;=99%', '154192-EP2272516A2', '154192-EP2284169A1', '154192-EP2287161A1', '154192-EP2287162A1', 'A839565', 'Acrylamide, for electrophoresis, &gt;=99.0% (GC)', 'Q342939', 'Acrylamide, for molecular biology, &gt;=99% (HPLC)', 'J-200356', 'J-510287', 'Acrylamide solution, 40% in H2O, for molecular biology', 'Acrylamide, certified reference material, TraceCERT(R)', 'Acrylamide, for electrophoresis, &gt;=99% (HPLC), powder', 'BC269F2E-D242-48E1-87E4-E51DB86FF0A8', 'F8880-6341', 'Acrylamide solution, 40%, for electrophoresis, sterile-filtered', 'Acrylamide, for Northern and Southern blotting, powder blend', 'Acrylamide, Vetec(TM) reagent grade, suitable for electrophoresis']</t>
  </si>
  <si>
    <t>Compound(6579)</t>
  </si>
  <si>
    <t>C3H5NO</t>
  </si>
  <si>
    <t>acrylic aldehyde</t>
  </si>
  <si>
    <t>prop-2-enal</t>
  </si>
  <si>
    <t>['ACROLEIN', 'Acrylaldehyde', '2-Propenal', '107-02-8', 'Propenal', 'Acrylic aldehyde', 'prop-2-enal', 'Allyl aldehyde', 'Ethylene aldehyde', 'Acraldehyde', 'Aqualin', 'Magnacide H', 'Aqualine', 'Slimicide', 'Crolean', '2-Propen-1-one', 'Acquinite', 'Magnacide', 'Prop-2-en-1-al', 'Acrylaldehyd', 'Acroleina', 'Acroleine', 'Akrolein', 'Akroleina', 'Biocide', 'Papite', 'Aldeide acrilica', 'Aldehyde acrylique', 'Acraldehydeacroleina', 'polyacrolein', 'Propenaldehyde', 'trans-Acrolein', 'NSC 8819', 'Akrolein [Czech]', 'Propenal [Czech]', 'Rcra waste number P003', 'Magnacide H and B', 'Akroleina [Polish]', 'Acroleina [Italian]', 'Acrylaldehyd [German]', 'Caswell No. 009', '2-Propenaldehyde', 'Propadien-1-ol', 'Acroleine [Dutch, French]', 'Aldeide acrilica [Italian]', 'Aldehyde acrylique [French]', 'UNII-7864XYD3JJ', 'Acrolein, inhibited', 'Propenal, inhibited', 'Acraldehydeacroleina [Italian]', 'UN 1092', 'CCRIS 3278', 'HSDB 177', 'CHEBI:15368', 'CH2=CHCHO', 'EINECS 203-453-4', 'UN1092', 'CHEMBL721', 'RCRA waste no. P003', 'Acrylic aldehyde, inhibited', 'EPA Pesticide Chemical Code 000701', 'AI3-24160', '7864XYD3JJ', 'Acrolein, analytical standard', '2-Propenal, homopolymer', 'Aldehyde, Allyl', 'Aldehyde, Acrylic', 'Aldehyde, Ethylene', '81788-96-7', 'allol', 'Allylaldehyde', 'Acrolien', 'Aerolein', 'Acrolein Monomer', 'prop-2-en-1-one', 'Acrolein (stabilized with hydroquinone)', 'prop-2-en -1-al', 'PubChem23303', '1,2-Propadien-1-ol', 'DSSTox_CID_23', 'Acrolein / Acrylaldehyde', 'Epitope ID:143621', 'EC 203-453-4', 'DSSTox_RID_75326', 'WLN: VH1U1', 'Acroleine(DUTCH, FRENCH)', 'DSSTox_GSID_20023', 'trans-Acrolein Formylethylene', '25068-14-8', 'GTPL2418', 'DTXSID5020023', 'CTK0H5093', 'CTK2I6890', 'DTXSID50526220', 'NSC8819', 'ZINC897143', 'Acrolein 5000 microg/mL in Water', 'BCP07056', 'NSC-8819', 'STR00291', 'Acrolein 100 microg/mL in Acetone', 'Tox21_200984', 'BDBM50010912', 'LS-422', 'MFCD00006998', 'Acrolein 5000 microg/mL in Methanol', 'AKOS000120766', 'CM11306', 'Acrolein, 96%, stab. with hydroquinone', 'NCGC00091484-01', 'NCGC00091484-02', 'NCGC00258537-01', 'Acrolein, inhibited [UN1092] [Poison]', 'BP-14004', 'CAS-107-02-8', 'SC-80607', 'Acrolein, inhibited [UN1092]  [Poison]', 'DB-026460', 'A0137', 'NS00009782', 'C01471', '33383-EP2272972A1', '33383-EP2272973A1', '33383-EP2277872A1', '33383-EP2280002A1', '33383-EP2305661A1', '33383-EP2311815A1', '33383-EP2371803A1', '33383-EP2374538A1', '33383-EP2377842A1', '33383-EP2377843A1', 'A801558', 'Acrolein 5000 microg/mL in Water, Second Source', 'Q342790', 'Acrolein 5000 microg/mL in Methanol, Second Source', 'Acrolein, contains hydroquinone as stabilizer, 90%', 'F2191-0151', 'Acrolein Solution, 1000 microg/mL in Methanol (naturally short expiry)']</t>
  </si>
  <si>
    <t>Compound(7847)</t>
  </si>
  <si>
    <t>C3H4O</t>
  </si>
  <si>
    <t>acifluorfen sodium salt</t>
  </si>
  <si>
    <t>sodium;5-[2-chloro-4-(trifluoromethyl)phenoxy]-2-nitrobenzoate</t>
  </si>
  <si>
    <t>['ACIFLUORFEN-SODIUM', '62476-59-9', 'Acifluorfen sodium', 'Sodium 5-(2-chloro-4-(trifluoromethyl)phenoxy)-2-nitrobenzoate', 'Carbofluorfen', 'Acifluorfen, sodium salt', 'Sodium Acifluorfen', 'Blazer 2S', 'Scifluorfen', 'Blazer', 'Caswell No. 755D', 'Acifluorfen-sodium [ISO]', 'Sodium salt of acifluorfen', 'UNII-6H07I1G902', 'Acifluorfen sodium salt', 'HSDB 6551', 'EINECS 263-560-7', 'sodium 5-[2-chloro-4-(trifluoromethyl)phenoxy]-2-nitrobenzoate', 'EPA Pesticide Chemical Code 114402', 'RH 6201', 'RH 6205', 'MC 10978', 'LS 80.1213', '6H07I1G902', '5-(2-Chloro-4-(trifluoromethyl)phenoxy)-2-nitrobenzoic acid sodium salt', 'DSSTox_CID_3853', '5-(2-Chloro-4-(trifluoromethyl)phenoxy)-2-nitrobenzoic acid, sodium salt', 'Sodium 5-((2,-chloro-alpha,alpha,alpha-trifluoro-p-tolyl)oxy)-2-nitrobenzoate', 'DSSTox_RID_77207', 'DSSTox_GSID_23853', 'sodium;5-[2-chloro-4-(trifluoromethyl)phenoxy]-2-nitrobenzoate', '5-(2-Chloro-4-(trifluoro-methyl)phenoxy)-2-nitro-benzoic acid sodium salt', 'Benzoic acid, 5-(2-chloro-4-(trifluoromethyl)phenoxy)-2-nitro-, sodium salt', 'Acifluorfen, sodium', 'CAS-62476-59-9', 'NCGC00183270-01', 'Benzoic acid, 5-(2-chloro-4-(trifluoromethyl)phenoxy)-2-nitro-, sodium salt (1:1)', 'Benzoic acid, 5-[2-chloro-4-(trifluoromethyl)phenoxy]-2-nitro-, sodium salt (1:1)', 'Acifluorfen (sodium)', 'ACIFLUORFEN-NA', 'C14H6ClF3NNaO5', 'EC 263-560-7', 'SCHEMBL39453', 'CHEMBL3184255', 'DTXSID7023853', 'Tox21_112903', 'Tox21_200391', 'AKOS016014174', 'PST0000051', 'NCGC00257945-01', 'LS-36664', 'O566', 'AX8112506', 'FT-0713420', 'Q27264899', 'odium 5-[2-chloro-4-(trifluoromethyl)phenoxy]-2-nitrobenzoate', 'sodium 5-(2-chloro-4-(trifiuoromethyl)phenoxy)-2-nitrobenzoate', 'Sodium 5-(2-Chloro-4-trifluoromethylphenoxy)-2-nitro-benzoate', 'Sodium 5-(2-Chloro-4-trifluoromethylphenoxy)-2-nitrobenzoate']</t>
  </si>
  <si>
    <t>Compound(44072)</t>
  </si>
  <si>
    <t>C14H6ClF3NNaO5</t>
  </si>
  <si>
    <t>S-methyl 1,2,3-benzothiadiazole-7-carbothioate</t>
  </si>
  <si>
    <t>['Acibenzolar-S-Methyl', '135158-54-2', 'Actigard', 'Bendicar', 'Bion', 'S-Methyl 1,2,3-benzothiadiazole-7-carbothioate', 'Bion (pesticide)', 'BTH (agrochemical)', 'Acibenzolar-S-Methyl [ISO]', '1,2,3-Benzothiadiazole-7-carbothioic acid, S-methyl ester', 'UNII-BCW6119347', 'HSDB 7021', 'BTH', 'CGA 245704', 'EINECS Annex I Index 016-083-00-1', 'CHEBI:73178', '7-(methylthiocarbonyl)-benzo-1,2,3-thiadiazole', 'BCW6119347', 'salicyclic acid analog', 'S-methyl benzo[1,2,3]thiadiazole-7-carbothioate', '1,2,3-benzothiadiazole-7-carboxlic acid thiomethyl ester', '1,2,3-Benzothiadiazole-7-carbothiolic acid, S-methyl ester', 'benzo-(1,2,3)-thiadiazole-7-carbothioic acid S-methyl ester', 'CCRIS 9239', 'BTH derivative', 'Acibenzolar S-methyl', 'benzothiadiazole derivative', 'ACIBNZOLAR-S-METHYL', 'EC 420-050-0', 'DSSTox_CID_12519', 'DSSTox_RID_78965', 'Acibenzolar-S-methyl (BTH)', 'DSSTox_GSID_32519', 'S-methyl benzo(1.2.3)thiadiazole-7-carbothioate', 'SCHEMBL50864', 'CHEMBL425055', 'DTXSID1032519', 'CTK8E9078', 'ZINC5734520', 'Tox21_300864', 'AKOS015904137', 'NCGC00168291-01', 'NCGC00168291-02', 'NCGC00254768-01', 'LS-40468', 'CAS-135158-54-2', 'NS00002657', '26823-EP2275422A1', '26823-EP2305033A1', '26823-EP2314583A1', '26823-EP2371823A1', 'Acibenzolar-S-methyl 10 microg/mL in Cyclohexane', 'Q341312', '1,2,3-benzothiadiazol-7-yl(methylsulfanyl)methanone', 'J-006653', 'Pesticide5_Acibenzolar-S-methyl_C8H6N2OS2_Actigard', 'Acibenzolar-S-methyl, PESTANAL(R), analytical standard', 'Benz(1,2,3)thiadiazole-7-carbothioic acid-s-methyl ester', 'benzo(1,2,3)-thiadiazole-7-carbothioic acid s-methyl ester']</t>
  </si>
  <si>
    <t>Compound(86412)</t>
  </si>
  <si>
    <t>C8H6N2OS2</t>
  </si>
  <si>
    <t>['ACRIDINE', '260-94-6', '9-Azaanthracene', '2,3-Benzoquinoline', 'Acrydine', '10-Azaanthracene', 'Akridin', 'Dibenzo[b,e]pyridine', '2,3,5,6-Dibenzopyridine', 'Akridin [Czech]', 'Benzo(b)quinoline', 'Benzo[b]quinoline', 'Dibenzo(b,e)pyridine', 'acridine acid', 'NSC 3408', 'UNII-42NI1P5Q1X', 'CCRIS 1636', 'HSDB 634', 'EINECS 205-971-6', 'UN2713', 'BRN 0120200', 'AI3-15279', '42NI1P5Q1X', 'CHEBI:36420', 'NSC3408', 'Coal tar pitch volatiles: acridine', 'NSC-3408', 'MFCD00005025', 'acridin', 'benzoquinoline;', 'Acridine, 97%', 'Acridine;Acridin;acridine', 'ACMC-20aj39', 'UPCMLD-DP077', 'SCHEMBL8339', '5-20-08-00199 (Beilstein Handbook Reference)', 'CHEMBL39677', 'WLN: T C666 BNJ', 'SCHEMBL6265106', 'DTXSID8059766', 'SCHEMBL12474214', 'UPCMLD-DP077:001', 'Acridine [UN2713] [Poison]', 'Acridine [UN2713]  [Poison]', 'KS-00000XC7', 'ZINC8579950', 'ANW-75667', 'AKOS001568550', 'EBD2204017', 'MCULE-5722792423', 'UN 2713', 'NCGC00161635-01', 'NCGC00161635-02', 'AS-42152', 'L915', 'LS-14175', 'SC-22192', 'DB-046832', 'A0129', 'A0294', 'FT-0621864', 'NS00009725', 'ST50330595', 'C20141', 'A818165', 'AC-907/21098007', 'Q342713', 'J-200084', 'Acridine, BioReagent, suitable for fluorescence, &gt;=97.0% (HPLC)']</t>
  </si>
  <si>
    <t>Compound(9215)</t>
  </si>
  <si>
    <t>C13H9N</t>
  </si>
  <si>
    <t>acephate</t>
  </si>
  <si>
    <t>N-[methoxy(methylsulfanyl)phosphoryl]acetamide</t>
  </si>
  <si>
    <t>['acephate', '30560-19-1', 'Orthene', 'Acetamidophos', 'Ortran', 'Ortril', 'O,S-Dimethyl N-acetylphosphoramidothioate', 'Acephat', 'Orthene-755', 'O,S-Dimethylacetylphosphoroamidothioate', 'Chevron Orthene', 'Phosphoramidothioic acid, acetyl-, O,S-dimethyl ester', 'Acetylphosphoramidothioic acid O,S-dimethyl ester', 'Acephat [German]', 'O,S-Dimethyl acetylphosphoramidothioate', 'Acephate, technical', 'Chevron RE 12,420', 'Ortho 124120', 'N-(Methoxy(methylthio)phosphinoyl)acetamide', 'Caswell No. 002A', '75 SP', 'o,S-Dimethyl acetylamidothiophosphate', 'ENT 27822', 'N-[methoxy(methylsulfanyl)phosphoryl]acetamide', 'Acephate [ANSI:BSI:ISO]', 'RE 12420', 'HSDB 6549', 'Phosphoramidothioic acid, N-acetyl-, O,S-dimethyl ester', 'EINECS 250-241-2', 'EPA Pesticide Chemical Code 103301', 'BRN 1936365', 'AI3-27822', 'CHEBI:34520', 'O,S-dimethyl acetylphosphoroamidothioate', 'DSSTox_CID_3846', 'DSSTox_RID_77205', 'DSSTox_GSID_23846', 'W-106936', 'CAS-30560-19-1', 'C4H10NO3PS', 'Acefate', 'CCRIS 8606', 'Spectrum_001899', 'N-(Methoxy(methylthio)phosphoryl)acetamide', 'SpecPlus_000520', 'Spectrum2_001725', 'Spectrum3_000850', 'Spectrum4_000690', 'Spectrum5_002016', 'SCHEMBL27847', 'BSPBio_002439', 'KBioGR_001159', 'KBioSS_002429', 'MLS002207246', 'DivK1c_006616', 'SPBio_001770', 'CHEMBL2133249', 'DTXSID8023846', 'CTK8E9051', 'KBio1_001560', 'KBio2_002423', 'KBio2_004991', 'KBio2_007559', 'KBio3_001939', 'HY-B0841', 'Tox21_202204', 'Tox21_300874', 'CCG-39500', 'FCH832054', 'AKOS006227880', 'AB02274', 'Acephate 10 microg/mL in Acetonitrile', 'acephate;/ 115096-11-2 acephate', 'PST0000049', 'Acephate 100 microg/mL in Acetonitrile', 'NCGC00163755-01', 'NCGC00163755-02', 'NCGC00163755-03', 'NCGC00163755-04', 'NCGC00163755-05', 'NCGC00254778-01', 'NCGC00259753-01', '115096-11-2', 'AS-69868', 'O320', 'SC-80370', 'SMR000777856', 'DB-047804', 'LS-107390', 'Acephate, PESTANAL(R), analytical standard', 'CS-0012853', 'FT-0630554', 'NS00000064', 'C14426', '26858-EP2274983A1', '26858-EP2275422A1', '26858-EP2280009A1', '26858-EP2305658A1', '26858-EP2305662A1', '26858-EP2308857A1', '26858-EP2308858A1', '26858-EP2311816A1', '26858-EP2311817A1', '26858-EP2314583A1', '560A191', 'Q2231923', 'UNII-3Y417O444D component YASYVMFAVPKPKE-VIFPVBQESA-N']</t>
  </si>
  <si>
    <t>Compound(1982)</t>
  </si>
  <si>
    <t>C4H10NO3PS</t>
  </si>
  <si>
    <t>2-butenal (cis and trans)</t>
  </si>
  <si>
    <t>(E)-but-2-enal</t>
  </si>
  <si>
    <t>['CROTONALDEHYDE', '2-Butenal', 'Crotylaldehyde', 'Crotonal', '(2E)-but-2-enal', 'trans-Crotonaldehyde', '(E)-Crotonaldehyde', '123-73-9', 'Crotonic aldehyde', 'Methylpropenal', 'trans-2-Butenal', 'Propylene aldehyde', '(E)-but-2-enal', '1-Formylpropene', '2-Butenal, (2E)-', 'beta-Methylacrolein', '4170-30-3', 'Aldehyde crotonique', '2-Butenaldehyde', 'trans-but-2-enal', 'but-2-enal', 'Topanel', 'trans-2-butenaldehyde', 'trans- Crotonal', '2-Butenal, (E)-', 'Topanel CA', 'RCRA waste number U053', 'E-2-Butenal', 'beta-Methyl acrolein', 'Krotonaldehyd [Czech]', 'CROTONALDEHYDE, (E)-', 'Krotonaldehyd', 'NSC 56354', 'Aldehyde crotonique [French]', 'CCRIS 909', '(E)-Crotonaldehyde (IUPAC)', 'UN 1143', 'CCRIS 4501', 'Crotonaldehyde, cis-', 'HSDB 252', '(2E)-crotonaldehyde', '2-Butenal, inhibited', 'UNII-6PUW625907', 'CHEBI:41607', 'HSDB 2871', 'NCI-C56279', 'Crotonaldehyde, inhibited', 'AI3-18303 (USDA)', 'EINECS 204-647-1', 'EINECS 224-030-0', 'UN1143', 'RCRA waste no. U053', '(E)-2-Butenal', '3-Methylacrolein, inhibited', 'AI3-18303', 'CHEMBL1086445', '6PUW625907', 'Crotonaldehyde, 99+%', '.beta.-Methylacrolein', 'Croton aldehyde', '15798-64-8', '2-Buten-1-al', 'Crotonaldehyde, stabilized [UN1143] [Poison]', 'Crotonaldehyde, stabilized', 'Epitope ID:143635', 'EC 224-030-0', 'GTPL6288', 'DTXSID6020351', 'STR00019', 'ZINC1686876', '7212AF', 'BBL011428', 'BDBM50318489', 'LS-113', 'MFCD00007003', 'STL146535', 'Crotonaldehyde, 99+%, AcroSeal(R)', 'AKOS005720774', 'BBV-266436', 'DB04381', 'FCH3460384', 'FCH4685679', 'LS-7290', 'NCGC00090830-01', 'NCGC00090830-02', 'Crotonaldehyde, predominantly trans, 98%', 'SC-48719', 'SC-79921', 'BB0294983', 'CS-0015768', 'EN300-19159', 'C19377', 'Crotonaldehyde, stabilized [UN1143]  [Poison]', 'A805141', 'Q416036', 'F2191-0167', 'UNII-9G72074TUW component MLUCVPSAIODCQM-NSCUHMNNSA-N', 'Crotonaldehyde, mixture of cis and trans, purum, ratio of cis- and trans-isomers (~1:20), &gt;=98.0% (GC)', 'Crotonaldehyde, mixture of cis and trans, ratio of cis- and trans-isomers (~1:20), &gt;=99.5% (GC)', 'Crotonaldehyde, predominantly trans, &gt;=99%, contains 0.1-0.2% BHT as stabilizer, 1% H2O as stabilizer']</t>
  </si>
  <si>
    <t>Compound(447466)</t>
  </si>
  <si>
    <t>acrylonitrile</t>
  </si>
  <si>
    <t>prop-2-enenitrile</t>
  </si>
  <si>
    <t>['ACRYLONITRILE', '2-Propenenitrile', '107-13-1', 'Prop-2-enenitrile', 'Propenenitrile', 'Vinyl cyanide', 'Polyacrylonitrile', 'Cyanoethylene', 'Carbacryl', 'Fumigrain', 'Acritet', 'Acrylon', 'Ventox', 'Nitrile acrylique', 'Cyanure de vinyle', 'Acrylnitril', "Miller's fumigrain", 'Acrylonitrile monomer', 'Akrylonitryl', 'Nitrile acrilico', 'Cianuro di vinile', 'Akrylonitril', 'Propenitrile', 'Propenonitrile', 'Vinylkyanid', 'TL 314', 'ENT 54', '25014-41-9', 'RCRA waste number U009', 'Vinylkyanid [Czech]', 'Akrylonitril [Czech]', 'Akrylonitryl [Polish]', 'Caswell No. 010', 'acrylnitrile', 'Acrylsaeurenitril', 'CCRIS 8', 'UNII-MP1U0D42PE', 'Nitrile acrilico [Italian]', 'Nitrile acrylique [French]', 'NSC 6362', 'Cyanure de vinyle [French]', 'Cianuro di vinile [Italian]', 'Acrylnitril [German, Dutch]', 'UN 1093', 'HSDB 176', 'NCI-C50215', 'EINECS 203-466-5', 'UN1093', 'VCN', 'Acrylonitrile Vinyl cyanide', 'RCRA waste no. U009', 'EPA Pesticide Chemical Code 000601', 'BRN 0605310', 'MP1U0D42PE', 'AI3-00054', 'CHEBI:28217', 'Acrylonitrile, 99+%', 'DSSTox_CID_29', 'DSSTox_RID_75329', 'DSSTox_GSID_20029', 'Acrilonitrile', 'Cyanoethene', 'Bulana', 'Dralon T', 'PAN (polymer)', 'CAS-107-13-1', 'Acrylonitrile polymer', 'Barex 210 Resin', 'Acrylonitrile, polymers', 'Acrylonitrile homopolymer', 'Poly(acrylonitrile), fibers', 'acrylonitril', 'Acrylofume', 'acrylo-nitrile', 'Acrylonitrile, &gt;=99%, contains 35-45 ppm monomethyl ether hydroquinone as inhibitor', 'Acrylonitrile polymers', '1-Cyanoethyleneradical', 'CH2CHCN', 'Acrylonitrile, inhibited', 'POLY(ACRYLONITRILE)', 'EC 203-466-5', 'C3NH3', 'WLN: NC1U1', '4-02-00-01473 (Beilstein Handbook Reference)', 'Acrylnitril(GERMAN, DUTCH)', 'CHEMBL445612', 'DTXSID5020029', 'CTK0H6037', 'NSC6362', 'NSC7763', 'Acrylonitrile, analytical standard', 'ZINC901212', 'Acrylonitrile, for synthesis, 99%', 'NSC-6362', 'NSC-7763', 'Tox21_202076', 'Tox21_302951', '7093AF', 'ANW-56441', 'BBL027365', 'c0148', 'LS-429', 'MFCD00001927', 'STK802374', 'AKOS000120034', 'MCULE-8176403366', 'NCGC00091477-01', 'NCGC00091477-02', 'NCGC00256349-01', 'NCGC00259625-01', 'BP-21192', 'Acrylonitrile 1000 microg/mL in Methanol', 'Acrylonitrile, SAJ first grade, &gt;=98.0%', 'A0146', 'FT-0661415', 'NS00009239', 'Acrylonitrile, SAJ special grade, &gt;=99.0%', '5489-EP2270101A1', '5489-EP2270113A1', '5489-EP2272832A1', '5489-EP2272849A1', '5489-EP2272935A1', '5489-EP2295438A1', '5489-EP2298728A1', '5489-EP2298743A1', '5489-EP2298753A1', '5489-EP2298761A1', '5489-EP2301924A1', '5489-EP2305640A2', '5489-EP2305671A1', '5489-EP2309584A1', '5489-EP2374791A1', '5489-EP2375479A1', 'C01998', '22884-EP2270113A1', '22884-EP2272935A1', '22884-EP2277565A2', '22884-EP2277566A2', '22884-EP2277567A1', '22884-EP2277568A2', '22884-EP2277569A2', '22884-EP2277570A2', '22884-EP2292280A1', '22884-EP2305673A1', '22884-EP2309584A1', '22884-EP2311834A1', '22884-EP2314579A1', '22884-EP2315502A1', '22884-EP2374895A1', '191884-EP2275422A1', 'A801590', 'Q342968', 'Acrylonitrile contains 35-45 ppm MEHQ as inhibitor', 'J-001708', 'Acrylonitrile, inhibited [UN1093] [Flammable liquid]', 'Acrylonitrile 1000 microg/mL in Methanol, Second Source', 'Acrylonitrile, inhibited [UN1093]  [Flammable liquid]', 'F1908-0076', 'Z1262252913', '(stabilized with 35-45 ppm 4-hydroxy anisole (H750015))"', '6AC']</t>
  </si>
  <si>
    <t>Compound(7855)</t>
  </si>
  <si>
    <t>C3H3N</t>
  </si>
  <si>
    <t>(1'R,2R,3S,4'S,6S,8'R,10'E,12'S,13'S,14'E,16'E,20'R,21'R,24'S)-2-[(2S)-butan-2-yl]-21',24'-dihydroxy-12'-[(2R,4S,5S,6S)-5-[(2S,4S,5S,6S)-5-hydroxy-4-methoxy-6-methyloxan-2-yl]oxy-4-methoxy-6-methyloxan-2-yl]oxy-3,11',13',22'-tetramethylspiro[2,3-dihydropyran-6,6'-3,7,19-trioxatetracyclo[15.6.1.14,8.020,24]pentacosa-10,14,16,22-tetraene]-2'-one</t>
  </si>
  <si>
    <t>['AVERMECTIN B1A', '65195-55-3', 'abamectin component B1a', 'Abamectin B1a', 'Avermectin B(1)a', 'Abamectine [French]', 'Abamectinum [Latin]', 'Abamectina [Spanish]', 'Caswell No. 063AB', 'Antibiotic C 076B1a', 'Abamectin komponente B1a', '5-O-Demethylavermectin A1a', 'UNII-K54ZMM929K', 'Avermectin', 'Avermectin A1a, 5-O-demethyl-', 'EINECS 265-610-3', 'Antibiotic C 076A1a, 5-O-demethyl-', 'K54ZMM929K', 'CHEBI:29534', 'Avermectin A(sub 1a), 5-O-demethyl-', 'DSSTox_CID_3892', 'DSSTox_RID_77221', 'DSSTox_GSID_23892', 'Abamectina', 'Abamectine', 'C48H72O14', 'Abamectin / Avermectin B1A', 'Abamectin Component B(sub 1a)', 'NCGC00094556-01', 'AvermectinB1a (Abamectin)', 'Avermectin B1a (A063)', 'SCHEMBL302300', 'CHEMBL1630577', 'DTXSID9058238', 'ee different CAS 71751-41-2', 'Tox21_111295', 'Tox21_300841', '3461AH', 'AKOS027327844', 'ZINC242649031', 'ZINC245224134', 'CS-0718', 'NCGC00168290-01', 'NCGC00168290-02', 'NCGC00168290-03', 'NCGC00168290-05', 'NCGC00254744-01', 'AS-45764', 'BL006324', 'HY-15308', 'LS-22268', 'AB0087172', 'Abamectin (Avermectin B1a; NOA 422601)', 'C 076', 'C-076', 'W-5280', 'AB00918538-03', '195A553', 'J-519606', 'UNII-5U8924T11H component RRZXIRBKKLTSOM-XPNPUAGNSA-N']</t>
  </si>
  <si>
    <t>Compound(6434889)</t>
  </si>
  <si>
    <t>C48H72O14</t>
  </si>
  <si>
    <t>2-chloro-6-nitro-3-phenoxyaniline</t>
  </si>
  <si>
    <t>['Aclonifen', '74070-46-5', '2-Chloro-6-nitro-3-phenoxyaniline', 'Bandur', 'Benzenamine, 2-chloro-6-nitro-3-phenoxy-', 'Challenge', 'Aclonifen [BSI:ISO]', 'CME 127', '2-Chloro-6-nitro-3-phenoxybenzenamine', 'UNII-1762RDA835', 'EINECS 277-704-1', '1762RDA835', 'Aclonifene', 'Aclonifen-d5', '2-chloro-6-nitro-3-phenoxy-aniline', 'SCHEMBL55487', 'CHEMBL1485557', 'DTXSID7058175', 'EBD2239', 'CHEBI:137374', '2-Chloro-3-phenoxy-6-nitroaniline', 'ACT05628', 'ZINC6116044', '2-Chloro-3-phenoxy-6-nitro-aniline', 'AKOS015899766', 'Aclonifen 10 microg/mL in Acetonitrile', 'Aclonifen 100 microg/mL in Acetonitrile', 'NCGC00166167-01', 'LS-28205', 'AM20041100', 'FT-0600291', 'NS00007170', 'Aclonifen, PESTANAL(R), analytical standard', '070A465', 'C-56401', 'Q341945', 'Aniline, 2-chloro-6-nitro-3-phenoxy-;2-chloro-6-nitro-3-phenoxyaniline']</t>
  </si>
  <si>
    <t>Compound(92389)</t>
  </si>
  <si>
    <t>C12H9ClN2O3</t>
  </si>
  <si>
    <t>[cyano-(3-phenoxyphenyl)methyl] 3-[(E)-3-(1,1,1,3,3,3-hexafluoropropan-2-yloxy)-3-oxoprop-1-enyl]-2,2-dimethylcyclopropane-1-carboxylate</t>
  </si>
  <si>
    <t>['Acrinathrin', '103833-18-7', 'Rufast', 'Acrinthrin', 'RU 38702', 'SCHEMBL678012', 'Cyclopropanecarboxylic acid, 2,2-dimethyl-3-(3-oxo-3-(2,2,2-trifluoro-1-(trifluoromethyl)ethoxy)-1-propenyl)-, cyano(3-phenoxyphenyl)methyl ester']</t>
  </si>
  <si>
    <t>Compound(6242405)</t>
  </si>
  <si>
    <t>C26H21F6NO5</t>
  </si>
  <si>
    <t>alpha-cypermethrin</t>
  </si>
  <si>
    <t>[cyano-(3-phenoxyphenyl)methyl] 3-(2,2-dichloroethenyl)-2,2-dimethylcyclopropane-1-carboxylate</t>
  </si>
  <si>
    <t>['cypermethrin', '52315-07-8', 'alpha-cypermethrin', 'Supercypermethrin', 'Ripcord', 'Ammo', 'Zeta-cypermethrin', 'Beta-cypermethrin', 'Cypermethrine', 'Cymbush', 'Ustaad', 'Agrothrin', 'Basathrin', 'Creokhin', 'Cymperator', 'Cypercopal', 'Cyperkill', 'Cypersect', 'Flectron', 'Hilcyperin', 'Neramethrin', 'Polytrin', 'Arrivo', 'Cyperco', 'Kordon', 'Mustang', 'Sherpa', 'Siperin', 'Toppel', 'Ardap', 'Demon', 'Excis', 'Fenom', 'Colt', 'Fury', 'cis-Cypermethrin', 'Ambush C', 'Nrdc 149', 'Asymmethrin', 'Chinmix', 'Cypercare', 'Cyperil', 'Ectomin', 'Ectopor', 'Kreokhin', 'Rycopel', 'Dysect', 'Nurele', 'Cypor', 'Cyrux', 'Drago', 'Supercypermethrin forte', 'Topclip Parasol', 'Fury Insecticide', 'Kalif Super', 'Cympa-Ti', 'Ambush CY', 'Ammo (pesticide)', 'Demon TC', 'Barricade 10EC', 'Cypermethrin-25ec', 'Fenom (pesticide)', 'Antiborer 3767', 'Cypermethrin [BAN]', 'Neramethrin EC 50', 'Alphamethrin', '67375-30-8', 'Cypermetryna [Polish]', 'Vucht 424', 'Wrdc149', 'Barricade (insecticide)', 'Caswell No. 268AA', 'Nrdc-149', 'Cypermethrine [ISO-French]', 'FMC 30980', 'FMC 45806', 'PP 383', 'UNII-1TR49121NP', 'CCN 52', 'CCRIS 2499', 'Cypermethrin [ANSI:BSI:ISO]', 'Ecofleece Sheep Dip (Non-OP)', 'Cyclopropanecarboxylic acid, 3-(2,2-dichloroethenyl)-2,2-dimethyl-, cyano(3-phenoxyphenyl)methyl ester', 'WL 43467', 'HSDB 6600', 'EXP 5598', 'JF 5705F', 'EINECS 257-842-9', 'FMC 45497', 'YT 305', 'EPA Pesticide Chemical Code 109702', 'EPA Pesticide Chemical Code 129064', 'WL 8517', 'BRN 2422506', 'RU 27998', 'SF 06646', 'AI3-29295', 'Cyano(3-phenoxyphenyl)methyl 3-(2,2-dichlorovinyl)-2,2-dimethylcyclopropanecarboxylate', 'CHEBI:4042', '137497-61-1', 'theta-Cypermethrin', '1TR49121NP', 'Cypermethrin (BAN)', 'alpha-Cyano-3-phenoxybenzyl 3-(2,2-dichlorovinyl)-2,2-dimethylcyclopropanecarboxylate', 'Cypermethrin, 98%', 'NCGC00160389-02', 'Cypermethrin, High Effect', 'DSSTox_CID_3998', '(+-)-alpha-Cyano-3-phenoxybenzyl 2,2-dimethyl-3-(2,2-dichlorovinyl)cyclopropane carboxylate', 'Cyano(3-phenoxyphenyl)methyl 3-(2,2-dichloroethenyl)-2,2-dimethylcycloptopanecarboxylate', 'DSSTox_RID_77252', 'DSSTox_GSID_23998', '(+)-alpha-Cyano-3-phenoxybenzyl-(+)-cis,trans-2,2-dichlorovinyl-2,2-dimethylcyclopropanecarboxylate', '(+-)-alpha-Cyano-3-phenoxybenzyl-(+-)-cis,trans-3-(2,2-dichlorovinyl)-2,2-dimethylcyclopropane carboxylate', '(RS)-alpha-Cyano-3-phenoxybenzyl (1RS)-cis,trans-3-(2,2-dichlorovinyl)-2,2-dimethylcyclopropanecarboxylate', '3-(2,2-Dichloroethenyl)-2,2-dimethylcyclopropanecarboxylic acid cyano(3-phenoxyphenyl)-, methyl ester', '97955-44-7', 'alpha-Cyano(3-phenoxyphenyl)methyl (+-)cis,trans-3-(2,2-dichlorovinyl)-2,2-dimethylcyclopropanecarboxylate', 'C22H19Cl2NO3', 'Cypermetryna', '(RS)-alpha-Cyano-3-phenoxybenzyl (1RS,3RS)-(1RS,3RS)-3-(2,2-dichlorovinyl)-2,2-dimethylcyclopropanecarboxylate', '[cyano-(3-phenoxyphenyl)methyl] 3-(2,2-dichloroethenyl)-2,2-dimethylcyclopropane-1-carboxylate', '86753-92-6', '.alpha.-cypermethrin', 'CAS-52315-07-8', 'NRDC 159', 'Aimcocyper', 'Cypromethin', 'Folcord', 'Prevail', 'Ralothrin', 'Kafil super', 'CCRIS 4067', 'Beta Cypermethrin', 'Fligene CI', 'Zetagard (TN)', 'Cyclopropanecarboxylic acid, 3-(2,2-dichloroethenyl)-2,2-dimethyl-, (R)-cyano(3-phenoxyphenyl)methyl ester, (1S,3S)-rel-', 'Spectrum_001862', 'SpecPlus_000718', 'Spectrum5_001858', 'CCN52', 'SCHEMBL21972', 'BMK1-H8', 'BSPBio_001598', 'KBioGR_000318', 'KBioSS_000318', 'KBioSS_002379', 'DivK1c_006814', 'CHEMBL373204', 'DTXSID1023998', 'BCBcMAP01_000010', 'CTK8E9321', 'KBio1_001758', 'KBio2_000318', 'KBio2_002375', 'KBio2_002886', 'KBio2_004943', 'KBio2_005454', 'KBio2_007511', 'KBio3_000635', 'KBio3_000636', 'Cypermethrin, &gt;=98% (HPLC)', 'Bio1_000414', 'Bio1_000903', 'Bio1_001392', 'Bio2_000318', 'Bio2_000798', 'HMS1361P20', 'HMS1791P20', 'HMS1989P20', 'HMS3264O17', 'HMS3402P20', 'Pharmakon1600-01503606', 'Cyclopropanecarboxylic acid, 3-(2,2-dichloroethenyl)-2,2-dimethyl-, cyano(3-phenoxyphenyl)methyl ester, (1-alpha(S*),3-beta)-(+-)-', 'Tox21_113579', 'Tox21_300892', 'NSC760420', 'AKOS015899999', 'Tox21_113579_1', 'CCG-213883', 'DB13721', 'KS-5077', 'MCULE-6598717797', 'NSC-760420', '(R,S)-alpha-Cyano-3-phenoxybenzyl-3-(2,2-dichlorovinyl)-2,2-dimethylcyclopropanecarboxylate', '[cyano-(3-phenoxyphenyl)methyl] 3-(2,2-dichlorovinyl)-2,2-dimethyl-cyclopropanecarboxylate', 'Cypermethrin 10 microg/mL in Isooctane', 'IDI1_034068', 'NCGC00160389-01', 'NCGC00160389-03', 'NCGC00160389-04', 'NCGC00160389-05', 'NCGC00160389-06', 'NCGC00160389-07', 'NCGC00160389-09', 'NCGC00163438-01', 'NCGC00254796-01', '[(S)-cyano-(3-phenoxyphenyl)methyl] (1S,3R)-3-(2,2-dichloroethenyl)-2,2-dimethylcyclopropane-1-carboxylate', 'AC-22284', 'CC-26166', 'H997', 'LS-58626', 'LS-58628', 'LS-87424', 'M228', 'Cypermethrin 10 microg/mL in Acetonitrile', 'Cypermethrin 100 microg/mL in Cyclohexane', 'SBI-0051832.P002', '(S)-alpha-Cyano-3-phenoxybenzyl(1RS,3RS', 'AB0013412', 'Cypermethrin 100 microg/mL in Acetonitrile', '521-EP2274983A1', '521-EP2275422A1', '521-EP2280009A1', '521-EP2292608A1', '521-EP2298076A1', '521-EP2298077A1', '521-EP2301353A1', '521-EP2305031A1', '521-EP2305034A1', '521-EP2305035A1', '521-EP2308857A1', '521-EP2308858A1', '521-EP2311816A1', '521-EP2311817A1', '521-EP2314583A1', 'FT-0603149', 'FT-0603150', 'FT-0773601', '15C078', 'C10984', 'D07763', '41650-EP2311808A1', '41650-EP2311829A1', '88581-EP2292608A1', '88581-EP2298076A1', '88581-EP2298077A1', '88581-EP2301353A1', '88581-EP2305031A1', '88581-EP2305034A1', '88581-EP2305035A1', 'AB00052361_02', 'Cypermethrin, PESTANAL(R), analytical standard', 'C-22001', 'Q412024', 'SR-01000872736', 'SR-01000872736-1', 'alpha-Cypermethrin, PESTANAL(R), analytical standard', 'Cypermethrin, certified reference material, TraceCERT(R)', 'Fastac Duo; Fendona; Fendona 65C; Mageos; Ultimate; WL 85871', '(1RS)-cis,trans-3-(2,2-Dichlorovinyl)-2,2-dimethylcyclopropanecarboxylate', '1RS,3SR)-3-(2,2-dichlorovinyl)-2,2-dimethylcyclopropane-carboxylate', '.alpha.-cyano-3-phenoxybenzyl 3-(2,2-dichlorovinyl)-2,2-dimethylcyclopropane- carboxylate', "alpha-cyano-3-phenoxybenzyl 2-(2',2'-dichlorovinyl)-3,3-dimethylcyclopropanecarboxylate", 'alpha-cyano-3-phenoxybenzyl 2-(2,2-dichlorovinyl)-3,3-dimethylcyclopropanecarboxylate', 'alpha-cyano-3-phenoxybenzyl 3-(2,2-dichloroethenyl)-2,2-dimethylcyclopropanecarboxylate', 'cyano(3-phenoxyphenyl)methyl 3-(2,2-dichloroethenyl)-2,2-dimethylcyclopropanecarboxylate', 'Cyano(3-phenoxyphenyl)methyl 3-(2,2-dichlorovinyl)-2,2-dimethylcyclopropanecarboxylate #', 'Cypermethrin solution, 100 mug/mL in acetonitrile, PESTANAL(R), analytical standard', '3-(2,2-Dichloro-vinyl)-2,2-dimethyl-cyclopropane carboxylic acid, cyano (3-phenoxy-phenyl) methyl ester', '3-(2,2-Dichloro-vinyl)-2,2-dimethyl-cyclopropanecarboxylic acid cyano-(3-phenoxy-phenyl)-methyl ester', '3-(2,2-Dichloroethenyl)-2,2-dimethylcyclopropanecarboxylic acid, cyano(3-phenoxyphenyl)methyl ester', '3-(2,2-dichlorovinyl)-2,2-dimethyl-cyclopropane-1-carboxylic acid 3-phenoxy-alpha-cyano-benzyl ester']</t>
  </si>
  <si>
    <t>Compound(2912)</t>
  </si>
  <si>
    <t>C22H19Cl2NO3</t>
  </si>
  <si>
    <t>(3-dodecyl-1,4-dioxonaphthalen-2-yl) acetate</t>
  </si>
  <si>
    <t>['Acequinocyl', '57960-19-7', 'Acequinocyl [ISO]', '2-(Acetyloxy)-3-dodecyl-1,4-naphthalenedione', 'UNII-MQN165D1MB', '3-Dodecyl-2-hydroxy-1,4-naphthoquinone acetate', 'HSDB 7265', 'AKD 2023', 'DPX 3792', 'INT-3792', 'MQN165D1MB', 'AI3-29615', '3-dodecyl-1,4-dioxo-1,4-dihydronaphthalen-2-yl acetate', 'CHEBI:38592', '1,4-Naphthalenedione, 2-(acetyloxy)-3-dodecyl-', '1,4-Naphthoquinone, 3-dodecyl-2-hydroxy-, acetate', '(3-dodecyl-1,4-dioxonaphthalen-2-yl) acetate', 'Acequinocyl (AKD-2033)', 'SCHEMBL28131', 'CHEMBL1869353', 'DTXSID8034297', 'ZINC38141479', '2-dodecyl-3-acetoxy-1,4-naphthoquinone', 'NCGC00164454-01', 'LS-94599', '3-acetoxy-2-n-dodecyl-1,4-naphthoquinone', 'NS00002253', 'Acequinocyl, PESTANAL(R), analytical standard', 'C18535', '31437-EP2274983A1', '31437-EP2275422A1', '31437-EP2311816A1', '31437-EP2311817A1', 'Q15632895', '1,4-Naphthalenedione, 2-(acetyloxy)-3-dodecyl-;3-dodecyl-1,4-dioxo-1,4-dihydronaphthalen-2-yl acetate']</t>
  </si>
  <si>
    <t>Compound(93315)</t>
  </si>
  <si>
    <t>C24H32O4</t>
  </si>
  <si>
    <t>acesulfame K.</t>
  </si>
  <si>
    <t>potassium;6-methyl-2,2-dioxo-1-oxa-2lambda6-thia-3-azanidacyclohex-5-en-4-one</t>
  </si>
  <si>
    <t>['Acesulfame potassium', '55589-62-3', 'Acesulfame K', 'potassium 6-methyl-4-oxo-4H-1,2,3-oxathiazin-3-ide 2,2-dioxide', '6-Methyl-1,2,3-oxathiazin-4(3H)-one 2,2-dioxide potassium salt', 'Acesulfame (potassium)', 'Acesulfame potassium salt', 'Acesulfame-K', 'NCGC00090729-01', 'AK128967', 'C4H4KNO4S', 'DSSTox_CID_10606', 'DSSTox_RID_78852', 'DSSTox_GSID_30606', 'Acesulfame potassium (NF)', 'CAS-55589-62-3', 'E950', 'E 950', 'MLS006010910', 'INS NO.950', 'CHEMBL1351474', 'DTXSID1030606', 'KS-00000JHP', 'Acesulfame K, analytical standard', 'INS-950', 'HMS3264B22', 'HY-D0195', 'Tox21_111001', 'Tox21_202423', 'Tox21_303370', 'AKOS016015051', 'AKOS025310719', 'CCG-213614', 'NCGC00090729-02', 'NCGC00257361-01', 'NCGC00259972-01', 'AS-12294', 'SMR001595518', 'Acesulfame K, for food analysis, &gt;=99.0%', 'CS-0010111', 'E-950', 'FT-0621718', 'ST51037480', 'A16389', 'D08836', 'J10221', 'K-9918', '6-methyl-3H-1,2,3-oxathiazine-2,2,4-trione, potassium salt', 'Acesulfame potassium, European Pharmacopoeia (EP) Reference Standard', 'Acesulfame potassium, United States Pharmacopeia (USP) Reference Standard', 'Acesulfame K, Pharmaceutical Secondary Standard; Certified Reference Material', 'potassium;6-methyl-2,2-dioxo-1-oxa-2?^{6}-thia-3-azanidacyclohex-5-en-4-one']</t>
  </si>
  <si>
    <t>Compound(11074431)</t>
  </si>
  <si>
    <t>C4H4KNO4S</t>
  </si>
  <si>
    <t>acetamide</t>
  </si>
  <si>
    <t>['acetamide', '60-35-5', 'Ethanamide', 'Acetic acid amide', 'Methanecarboxamide', 'Acetimidic acid', 'Amide C2', 'Ethanimidic acid', 'acetamid', 'Amid kyseliny octove', 'Caswell No. 003H', 'Acetimidic acid (VAN)', 'CCRIS 2', 'NCI-C02108', 'acetoamide', 'Ethanamid', 'HSDB 4006', 'CH3CONH2', 'UNII-8XOE1JSO29', 'Amid kyseliny octove [Czech]', 'AI3-02060', 'EINECS 200-473-5', 'NSC 25945', 'BRN 1071207', '8XOE1JSO29', 'CHEBI:27856', 'MFCD00008023', 'Acetamide, 99%, pure', 'Acetamide, 99%, for analysis', 'acetylamine', 'Essigsaeureamid', 'imidoacetic acid', 'N-Methylformamde', 'DSSTox_CID_5', 'Acetamide, &gt;=98%', 'Ethanimidic acid (9CI)', 'ACETAMIDE, REAGENT', 'Lopac-A-0500', 'ACMC-1AWJ5', 'bmse000825', 'bmse000895', 'EC 200-473-5', 'Acetamide, sublimed, 99%', 'WLN: ZV1', 'Acetic acid amide;Ethanamide', 'DSSTox_RID_75317', 'Acetamide, ~99% (GC)', 'DSSTox_GSID_20005', 'Lopac0_000003', '4-02-00-00399 (Beilstein Handbook Reference)', 'KSC353G6F', 'MLS002153504', 'Acetamide, analytical standard', 'BIDD:ER0566', 'CHEMBL16081', 'GTPL4661', 'DTXSID7020005', 'Acetamide, crystalline, &gt;=99%', 'CHEBI:49028', 'CTK1A5953', 'CTK2F3362', 'Acetamide, &gt;=98.0% (GC)', 'Acetamide, &gt;=99.0% (GC)', 'HMS3260A07', 'Acetamide (6CI,7CI,8CI,9CI)', 'BCP26153', 'HY-Y0946', 'NSC25945', 'STR01066', 'ZINC8034818', 'Tox21_300776', 'Tox21_500003', 'ANW-20374', 'NSC-25945', 's6011', 'STL283915', 'AKOS000118788', 'AKOS015917387', 'CCG-204099', 'DB02736', 'LP00003', 'LS-1431', 'MCULE-9280264861', 'SDCCGSBI-0049992.P002', 'CAS-60-35-5', 'KS-00000G57', 'NCGC00015030-01', 'NCGC00015030-02', 'NCGC00015030-03', 'NCGC00015030-04', 'NCGC00015030-05', 'NCGC00093530-01', 'NCGC00093530-02', 'NCGC00254680-01', 'NCGC00260688-01', 'AK-97258', 'SC-18410', 'SMR000326670', 'A0007', 'CS-0015934', 'EU-0100003', 'FT-0603458', 'FT-0621721', 'FT-0621725', 'FT-0625737', 'NS00006888', '9745-EP2269990A1', '9745-EP2275407A1', '9745-EP2275469A1', '9745-EP2287940A1', '9745-EP2289890A1', '9745-EP2289965A1', '9745-EP2295402A2', '9745-EP2295550A2', '9745-EP2298744A2', '9745-EP2298749A1', '9745-EP2298761A1', '9745-EP2298776A1', '9745-EP2298777A2', '9745-EP2298828A1', '9745-EP2301918A1', '9745-EP2301933A1', '9745-EP2301983A1', '9745-EP2305640A2', '9745-EP2305648A1', '9745-EP2305687A1', '9745-EP2308872A1', '9745-EP2308873A1', '9745-EP2308880A1', '9745-EP2311808A1', '9745-EP2311827A1', '9745-EP2311829A1', '9745-EP2311842A2', '9745-EP2314593A1', '9745-EP2316829A1', '9745-EP2316831A1', '9745-EP2316834A1', 'A 0500', 'C06244', '25464-EP2284166A1', '25464-EP2314580A1', '25704-EP2298729A1', '25704-EP2315303A1', 'A832706', 'Q421721', 'SR-01000076247', 'J-523678', 'SR-01000076247-1', 'Acetamide, zone-refined, purified by sublimation, 99%', 'F1908-0077', 'ACETAMIDE (SEE ALSO N-(4-FLUORENYL)ACETAMIDE 28322-02-3)', '02U', '27595-75-1']</t>
  </si>
  <si>
    <t>Compound(178)</t>
  </si>
  <si>
    <t>C2H5NO</t>
  </si>
  <si>
    <t>acetochlor</t>
  </si>
  <si>
    <t>2-chloro-N-(ethoxymethyl)-N-(2-ethyl-6-methylphenyl)acetamide</t>
  </si>
  <si>
    <t>['acetochlor', '34256-82-1', '2-Chloro-N-(ethoxymethyl)-N-(2-ethyl-6-methylphenyl)acetamide', 'Acetochlore', 'Azetochlor', 'Harness', 'Nevirex', 'Acenit', 'Erunit', 'Acetamide, 2-chloro-N-(ethoxymethyl)-N-(2-ethyl-6-methylphenyl)-', 'Caswell No. 003B', 'Acetochlore [ISO-French]', 'UNII-8L08WMO94K', 'Acetochlor [ANSI:BSI:ISO]', 'CCRIS 7709', "2-Chloro-2'-methyl-6-ethyl-N-ethoxymethylacetanilide", "2-Chloro-N-(ethoxymethyl)-6'-ethyl-o-acetotoluidide", 'HSDB 6550', 'MON 097', 'MG 02', 'EINECS 251-899-3', 'EPA Pesticide Chemical Code 121601', 'BRN 2859702', '8L08WMO94K', 'CHEBI:2394', "2-Chloro-N-(ethoxymethyl)-6'-ethylacet-o-toluidide", 'DSSTox_CID_3848', 'DSSTox_RID_77206', 'DSSTox_GSID_23848', 'SMR000777859', 'CAS-34256-82-1', 'Spectrum_001979', 'SpecPlus_000626', 'Spectrum2_001915', 'Spectrum3_000873', 'Spectrum4_000713', 'Spectrum5_002071', 'SCHEMBL21390', 'BSPBio_002545', 'KBioGR_001265', 'KBioSS_002545', 'SPECTRUM330089', 'MLS001055474', 'MLS002695926', 'DivK1c_006722', 'SPBio_001910', 'CHEMBL1517425', 'DTXSID8023848', "o-Acetotoluidide, 2-chloro-N-(ethoxymethyl)-6'-ethyl-", 'KBio1_001666', 'KBio2_002536', 'KBio2_005104', 'KBio2_007672', 'KBio3_002045', "2-Chloro-N-(ethoxymethyl)-6'-ethylacet-o-toluidide (8CI)", 'HMS3029L16', "o-Acetotoluidide, 2-chloro-N-(ethoxymethyl)-6'-ethyl- (8CI)", 'ZINC1532058', 'Tox21_202445', 'Tox21_300889', 'CCG-39458', 'Acetamide, 2-chloro-N-(ethoxymethyl)-N-(2-ethyl-6-methylphenyl)- (9CI)', 'AKOS015889911', 'GS-6265', 'LS-1221', 'NE28170', 'KS-0000269N', 'Acetochlor 100 microg/mL in Cyclohexane', 'NCGC00090754-01', 'NCGC00090754-02', 'NCGC00090754-03', 'NCGC00090754-04', 'NCGC00090754-05', 'NCGC00090754-06', 'NCGC00090754-07', 'NCGC00090754-08', 'NCGC00090754-09', 'NCGC00254793-01', 'NCGC00259994-01', '123113-74-6', 'DB-020949', 'FT-0661052', 'NS00000067', 'Acetochlor, PESTANAL(R), analytical standard', 'C10925', "2-chloro-n-ethoxymethyl-6'-ethylacet-o-toluidide", '256A821', 'Q419732', 'SR-01000846094', 'J-019525', 'SR-01000846094-2', 'BRD-K16652251-001-02-7', "2-chloro-2'-ethyl-6'-methyl-N-(ethoxymethyl)acetanilide", "2-chloro-2'-ethyl-6'-methyl-N-(ethoxymethyl) acetanilide", 'N-(ethoxymethyl)-2-chloro-N-(2-ethyl,6-methylphenyl)acetamide', '2-Chloro-N-(ethoxymethyl)-N-(2-ethyl-6-methylphenyl)acetamide #', '2-chloro-N-(ethoxymethyl)-N-(2-ethyl-6-methylphenyl)acetamide;acetochlor;2-Chloro-N-(ethoxymethyl)-N-(2-ethyl-6-methylpheny']</t>
  </si>
  <si>
    <t>Compound(1988)</t>
  </si>
  <si>
    <t>C14H20ClNO2</t>
  </si>
  <si>
    <t>(2R)-2-acetamido-3-sulfanylpropanoic acid</t>
  </si>
  <si>
    <t>['N-Acetyl-L-cysteine', 'acetylcysteine', '616-91-1', 'N-Acetylcysteine', 'mercapturic acid', 'Acetadote', 'L-Acetylcysteine', 'N-Acetyl-cysteine', 'Broncholysin', 'Fluimucil', 'Mucomyst', 'Parvolex', 'Fluprowit', 'Acetein', 'Airbron', 'Fabrol', 'Fluimucetin', 'Flumucetin', 'Mucosolvin', 'Mucosil', 'Brunac', 'Fluimicil Infantil', 'Acetilcisteina', 'Acetylcysteinum', 'Lysomucil', 'Mucofilin', 'Respaire', 'Exomuc', 'Inspir', 'Ac-Cys-OH', 'Mucolyticum Lappe', 'Mucolytikum Lappe', 'N-Acetyl cysteine', 'Mucolyticum', 'LNAC', 'N-Acetyl-3-mercaptoalanine', 'N-Acetyl-L-(+)-cysteine', 'Neo-fluimucil', 'NAC-TB', '(R)-2-Acetamido-3-mercaptopropanoic acid', 'Mucolyticum-Lappe', 'component of Naxid', 'Mercapturic acid, (R)-', 'NAC', 'Cysteine, N-acetyl-, L-', 'cysteine, N-acetyl-', 'L-Cysteine, N-acetyl-', '(2R)-2-acetamido-3-sulfanylpropanoic acid', '(R)-mercapturic acid', 'Fluatox', 'Mucolator', 'Mucret', 'Tixair', 'N-acetylcystein', 'UNII-WYQ7N0BPYC', 'MUCOSIL-10', 'MUCOSIL-20', '(2R)-2-Acetamido-3-sulfanyl-propanoic acid', 'L-alpha-Acetamido-beta-mercaptopropionic acid', 'Acetylcysteinum [INN-Latin]', 'Acetilcisteina [INN-Spanish]', 'NSC 111180', 'CCRIS 3764', 'HSDB 3003', 'WYQ7N0BPYC', 'EINECS 210-498-3', 'MFCD00004880', 'acetyl cysteine', 'MLS000028419', 'CHEBI:28939', 'NSC-111180', 'NCGC00022304-05', 'N-Acetyl-L-cysteine hydrochloride', 'SMR000058377', 'DSSTox_CID_21', '(R)-2-acetylamino-3-mercaptopropanoic acid', '(2R)-2-acetylamino-3-sulfanylpropanoic acid', '(2R)-2-(acetylamino)-3-sulfanylpropanoic acid', 'DSSTox_RID_75324', 'DSSTox_GSID_20021', 'N-Acetyl-L-cysteine, 98%', 'Syntemucol', 'Cetylev', 'Flumil', 'Ilube', 'Muco sanigen', 'Acetyl-L-cysteine', 'CAS-616-91-1', 'SR-01000075439', 'Mucocedyl', 'AcCys', 'NSC111180', 'Acetylcysteine [USAN:INN:BAN]', 'N-acetyl-l-cys', '2-Acetylamino-3-mercapto-propionic acid', 'Sodium 2-acetamido-3-mercaptopropionate', 'SC2', 'Ilube (eye drops)', 'N-A-C Sustain', 'N-acetyl-L-cystein', 'Naxid (Salt/Mix)', 'N-Acety-L-Cysteine', 'Acetyl Cysteine,(S)', 'PubChem12963', 'Acetylcysteine [USAN:USP:INN:BAN:JAN]', 'N-acetyl-(R)-cysteine', 'Opera_ID_452', 'MUCOMYST (TN)', 'Spectrum2_000086', 'Spectrum3_000287', 'Spectrum4_000137', 'Spectrum5_000764', 'N-alpha-Acetyl-L-cysteine', 'CHEMBL600', 'NAC &amp; TNF', 'SCHEMBL5292', 'Lopac0_000081', 'BSPBio_001794', 'KBioGR_000554', 'KSC352Q8P', 'MLS001076125', 'MLS006011563', 'SPECTRUM1500105', 'SPBio_000012', 'SODIUM ACETYL CYSTEINATE', 'DTXSID5020021', 'CTK2F2887', 'GTPL10945', 'KBio3_001294', 'Acetylcysteine (JP17/USP/INN)', 'HMS1920A11', 'HMS2091G11', 'HMS2234J22', 'HMS3260A04', 'HMS3655G11', 'HMS3715D03', 'HY-B0215', 'ZINC3589203', '2-Acetylamino-3-mercapto-propionate', 'Tox21_110877', 'Tox21_201078', 'Tox21_500081', 'acetylcysteine (n-acetyl-l-cysteine)', 'ANW-33915', 'BDBM50420190', 'CCG-38902', 's1623', 'AKOS015841009', 'Tox21_110877_1', 'CCG-204176', 'CS-2160', 'DB06151', 'GS-3121', 'LP00081', 'LS-2165', 'RK-0202', 'SDCCGSBI-0050069.P002', 'KS-0000026W', 'NCGC00015086-04', 'NCGC00022304-03', 'NCGC00022304-04', 'NCGC00022304-06', 'NCGC00022304-07', 'NCGC00022304-08', 'NCGC00258631-01', 'NCGC00260766-01', 'AC-16071', 'AC-24117', 'BP-12854', 'BR-46577', 'I630', 'SC-09436', 'SBI-0051272.P003', 'AB0013800', 'DB-038288', 'A0905', 'AM20100502', 'EU-0100081', 'ST50824849', 'SW199597-2', '(2R)-2-acetylamino-3-mercapto-propionic acid', 'EN300-72028', '(2R)-2-(acetylamino)-3-mercaptopropanoic acid', '16A911', 'A 7250', 'A-1100', 'C06809', 'D00221', 'L-Cysteine, N-acetyl- &amp; Tumor necrosis factor', 'N-Acetyl-L-cysteine, BioXtra, &gt;=99% (TLC)', '66233-EP2298305A1', '66233-EP2308851A1', 'AB00051908_02', 'AB00382974-12', 'AB00382974_13', 'L-.alpha.-Acetamido-.beta.-mercaptopropionic acid', 'Q375613', 'ANTIOXIDANT MODEL (TRAMP) -N-ACETYLCYSTEINE', 'J-507685', 'N-Acetyl-L-cysteine &amp; Tumor necrosis factor (TNF)', 'SR-01000075439-1', 'SR-01000075439-3', 'SR-01000075439-5', 'BRD-K59058747-001-20-9', 'N-Acetyl-L-cysteine, cell culture tested, BioReagent', 'N-Acetyl-L-cysteine, Vetec(TM) reagent grade, 98%', 'F1905-7178', 'CABC898A-E48B-4E13-9F72-98D0609A1854', 'N-Acetyl-L-cysteine, SAJ special grade, 98.0-102.0%', 'N-Acetyl-L-cysteine, Sigma Grade, &gt;=99% (TLC), powder', 'UNII-2SPH1IMO2V component PWKSKIMOESPYIA-BYPYZUCNSA-N', 'Acetylcysteine, British Pharmacopoeia (BP) Reference Standard', 'Acetylcysteine, European Pharmacopoeia (EP) Reference Standard', 'Acetylcysteine, United States Pharmacopeia (USP) Reference Standard', 'N-Acetyl-L-cysteine, Pharmaceutical Secondary Standard; Certified Reference Material', 'N-Acetyl-L-cysteine, PharmaGrade, Ajinomoto, Manufactured under appropriate GMP controls for pharma or biopharmaceutical production, suitable for cell culture', 'Sodium N-acetyl-L-cysteinate;N-Acetyl-L-cysteine;Acetylcysteine;acetylcysteine;ACETYL CYSTEINE;erythromycin propionate-N-acetylcysteinate']</t>
  </si>
  <si>
    <t>Compound(12035)</t>
  </si>
  <si>
    <t>C5H9NO3S</t>
  </si>
  <si>
    <t>acetophenone</t>
  </si>
  <si>
    <t>1-phenylethanone</t>
  </si>
  <si>
    <t>['ACETOPHENONE', '98-86-2', '1-Phenylethanone', 'Methyl phenyl ketone', 'Phenyl methyl ketone', 'Acetylbenzene', 'Ethanone, 1-phenyl-', 'Benzoyl methide', 'Hypnone', '1-phenylethan-1-one', 'Acetophenon', 'Acetylbenzol', '1-Phenyl-1-ethanone', 'Benzoylmethide', 'Benzene, acetyl-', 'Acetofenon', 'Ketone, methyl phenyl', '1-phenyl-ethanone', 'USAF EK-496', 'Acetofenon [Czech]', 'Phenylethanone', 'RCRA waste number U004', 'Hypnon', 'methylphenylketone', 'phenylmethylketone', 'NSC 7635', 'Dymex', 'FEMA Number 2009', 'RCRA waste no. U004', 'UNII-RK493WHV10', 'FEMA No. 2009', 'CCRIS 1341', 'HSDB 969', 'AI3-00575', 'Ketone, methyl phenyl-', 'EINECS 202-708-7', 'C8H8O', 'CHEMBL274467', 'RK493WHV10', 'CHEBI:27632', '4-acetyl-benzene', 'DSSTox_CID_1828', 'Acetophenone, 98%, pure', 'DSSTox_RID_76353', 'DSSTox_GSID_21828', 'CAS-98-86-2', 'AC0', 'aceto phenone', 'aceto-phenone', 'Acetophenone.', 'Acetyl-Benzene', 'alpha-Acetophenone', 'Ethanone,1-phenyl', 'methyl-phenyl ketone', 'Methyl phenyl-Ketone', 'nchem.180-comp5', '1-Phenylethanone, 9CI', 'SCHEMBL737', 'ACMC-209sb9', 'bmse000286', 'EC 202-708-7', 'WLN: 1VR', 'KSC448E4P', 'Acetophenone, &gt;=98%, FG', 'ARONIS25343', 'SCHEMBL8170205', '1-Phenylethanone (acetophenone)', 'DTXSID6021828', 'SCHEMBL13341485', 'Acetophenone, analytical standard', 'FEMA 2009', 'NSC7635', 'Acetophenone, &gt;=98.0% (GC)', 'Acetophenone, natural, 98%, FG', 'ZINC896628', 'HY-Y0989', 'NSC-7635', 'Tox21_202422', 'Tox21_300343', 'Acetophenone, ReagentPlus(R), 99%', 'ANW-40963', 'BDBM50236986', 'c0117', 'MFCD00008724', 's5528', 'SBB040241', 'AKOS000119011', 'CCG-266074', 'DB04619', 'LS-2538', 'MCULE-4710225344', 'KS-00000W90', 'KS-0000477P', 'NCGC00248000-01', 'NCGC00248000-02', 'NCGC00254370-01', 'NCGC00259971-01', 'AK110129', 'K773', 'SC-18041', 'SC-32943', 'DB-044220', '624-EP2270006A1', '624-EP2272835A1', '624-EP2272844A1', '624-EP2275411A2', '624-EP2275418A1', '624-EP2275427A1', '624-EP2284165A1', '624-EP2301923A1', '624-EP2301983A1', '624-EP2305672A1', '624-EP2305682A1', '624-EP2308848A1', '624-EP2308851A1', '624-EP2308857A1', '624-EP2308865A1', '624-EP2308869A1', '624-EP2308879A1', '624-EP2311846A1', '624-EP2314295A1', '624-EP2314558A1', '624-EP2314583A1', '624-EP2371831A1', 'A0061', 'CS-0015982', 'FT-0628908', 'FT-0636694', 'FT-0637564', 'FT-0641367', 'FT-0661057', 'NS00010659', 'ST45054137', 'Acetophenone, puriss. p.a., &gt;=99.0% (GC)', 'C07113', '36678-EP2308851A1', '36678-EP2311801A1', '36678-EP2311802A1', '36678-EP2311803A1', '36678-EP2371814A1', '37407-EP2311802A1', '37407-EP2311803A1', 'Q375112', 'J-519533', 'HYDROGENATED ACETOPHENONE/OXYMETHYLENE COPOLYMER', 'Z57127548', 'Acetophenone, TraceCERT(R), certified reference material', 'F0001-2322', 'Formaldehyde, polymer with 1-phenylethanone, hydrogenated;Thiourea, polymer with formaldehyde and 1-phenylethanone;Acetophenone;acetophenone;ACETOPHENONE']</t>
  </si>
  <si>
    <t>Compound(7410)</t>
  </si>
  <si>
    <t>N-[(6-chloropyridin-3-yl)methyl]-N'-cyano-N-methylethanimidamide</t>
  </si>
  <si>
    <t>['Acetamiprid', '135410-20-7', '160430-64-8', 'Mospilan', "(E)-N-((6-Chloropyridin-3-yl)methyl)-N'-cyano-N-methylacetimidamide", '(E)-acetamiprid', '(Z)-acetamiprid', 'Acetamiprid [ISO]', 'NI 25', 'UNII-5HL5N372P0', 'HSDB 7274', "N-[(6-chloropyridin-3-yl)methyl]-N'-cyano-N-methylethanimidamide", 'CHEBI:39163', 'CHEBI:39164', "(E)-N-(6-Chloro-3-pyridyl)methyl-N'-cyano-N-methylacetamidine", "N-((6-Chloro-3-pyridinyl)methyl)-N'-cyano-N-methylethanimidamide", '5HL5N372P0', "Ethanimidamide, N-[(6-chloro-3-pyridinyl)methyl]-N'-cyano-N-methyl-, (1E)-", 'Intruder', 'Stonkat', 'Assail', 'Piorun', 'Prize', "(1E)-N-[(6-chloropyridin-3-yl)methyl]-N'-cyano-N-methylethanimidamide", "Ethanimidamide, N-((6-chloro-3-pyridinyl)methyl)-N'-cyano-N-methyl-, (E)-", "N-((6-Chloropyridin-3-yl)methyl)-N'-cyano-N-methylacetimidamide", 'Gazelle SG', 'Mospilan 20SP', 'NFK 17', 'ADA 06200', 'TD 2472', 'TD 2480', 'Acetamipride', 'CCRIS 9238', "N-[(6-chloro-3-pyridinyl)methyl]-N'-cyano-N-methylethanimidamide", 'N-[(6-chloropyridin-3-yl)methyl]-N`-cyano-N-methylethanimidamide', 'TD 2472-01', "Ethanimidamide, N-((6-chloro-3-pyridinyl)methyl)-N'-cyano-N-methyl-, (1E)-", 'NI-25', '(E)-N1-[(6-chloro-3-pyridyl)methyl]-N2-cyano-N1-methylacetamidine;Ethanimidamide, N-[(6-chloro-3-pyridinyl)methyl]-N-cyano-N-methyl-, (1E)-;N-((6-Chloro-3-pyridinyl)methyl)-N-cyano-N-methylethanimidamide/Acetamiprid', 'BY 102960', 'DSSTox_CID_14300', 'DSSTox_RID_79140', 'DSSTox_GSID_34300', 'SCHEMBL26296', 'CHEMBL265941', 'CHEMBL3185634', 'DTXSID0034300', 'SCHEMBL13448458', 'CHEBI:39165', 'CTK8B7548', 'HY-B0823', 'KS-00000FU0', 'KS-00000Z6W', 'Tox21_301046', '6325AA', 'ANW-57630', "Ethanimidamide, N-((6-chloro-3-pyridinyl)methyl)-N'-cyano-N-methyl-", 'ZINC13827890', 'AKOS015891945', 'AKOS015964740', 'AKOS030228384', 'ZINC256008417', 'VZ31178', 'NCGC00163881-01', 'NCGC00163881-02', 'NCGC00163881-03', 'NCGC00254948-01', 'AS-12113', 'Acetamiprid 10 microg/mL in Ethyl acetate', 'DB-042287', 'LS-183006', 'CAS-135410-20-7', 'CS-0012839', 'FT-0621729', 'FT-0654861', 'NS00000453', 'Acetamiprid, PESTANAL(R), analytical standard', 'C18507', 'J10337', '410A207', 'A810143', 'C-12459', 'Q421598', 'J-006693', 'Q27119764', 'N-(6-Chloro-3-pyridylmethyl)-N-cyano-N-methylacetamidine', "N-[(6-chloro-3-pyridyl)methyl]-N'-cyano-N-methyl-acetamidine", '(e)-n1-[(6-chloro-3-pyridyl)methyl]-n2-cyano-n1-methylacetamidine', "(1Z)-N-[(6-chloropyridin-3-yl)methyl]-N'-cyano-N-methylethanimidamide", "(E)-N-((6-chloro-3-pyridinyl)methyl)-N'-cyano-N-methylethanimidamide", 'N-((6-Chloro-3-pyridinyl)methyl)-N-cyano-N-methylethanimidamide/Acetamiprid', "N-[(6-chloranylpyridin-3-yl)methyl]-N'-cyano-N-methyl-ethanimidamide", '(E)-N^1^-[(6-Chloropyridin-3-yl)methyl]-N^2^-cyano-N^1^-methylacetamidine']</t>
  </si>
  <si>
    <t>Compound(213021)</t>
  </si>
  <si>
    <t>C10H11ClN4</t>
  </si>
  <si>
    <t>acetone</t>
  </si>
  <si>
    <t>propan-2-one</t>
  </si>
  <si>
    <t>['acetone', '2-propanone', 'propanone', '67-64-1', 'Dimethyl ketone', 'propan-2-one', 'Methyl ketone', 'Dimethylformaldehyde', 'Pyroacetic ether', 'beta-Ketopropane', 'Dimethylketal', 'Chevron acetone', 'Ketone propane', 'Aceton', 'Pyroacetic acid', 'Ketone, dimethyl', 'dimethylketone', 'Acetone (natural)', 'RCRA waste number U002', 'Dimethyl formaldehyde', 'Caswell No. 004', 'Aceton [German, Dutch, Polish]', 'Ketone, dimethyl-', 'MFCD00008765', '.beta.-Ketopropane', 'Acetone [NF]', 'HSDB 41', 'NSC 135802', 'UNII-1364PS73AF', 'FEMA No. 3326', 'CCRIS 5953', 'EINECS 200-662-2', 'UN1090', 'RCRA waste no. U002', 'EPA Pesticide Chemical Code 004101', 'd-acetone', 'AI3-01238', '(CH3)2CO', 'CHEBI:15347', 'Acetone, technical', '1364PS73AF', 'Acetone (NF)', 'NCGC00091179-01', 'DSSTox_CID_1482', 'DSSTox_RID_76176', 'DSSTox_GSID_21482', 'Acetone, for residue analysis', 'Acetone, 99+%, extra pure', 'Acetone, 99.8%, for HPLC', 'Acetone, 99.6%, ACS reagent', 'Acetone, 99.5+%, for analysis', 'Acetone, for HPLC, &gt;=99.8%', 'Acetone, for HPLC, &gt;=99.9%', 'Acetone, ACS reagent, &gt;=99.5%', 'CAS-67-64-1', 'Acetone, 99.6%, for spectroscopy ACS', 'Acetone, 99.8%, Extra Dry, AcroSeal(R)', 'dimethylcetone', 'isopropanal', 'methylketone', 'Acetone, 99.5%, for electronic use (MOS), residue free', 'Dimethylketon', 'Propanon', 'Sasetone', 'methyl-ketone', '2propanone', 'b-Ketopropane', '2-propanal', 'Acetone, 99.9%, for residue analysis, ECD tested halocarbons free grade', 'Acetone HP', 'Acetone ACS', 'Acetone, 99.9%, for residue analysis, for trace analysis of polyaromatic hydrocarbons', 'Acetone, puriss.', 'Acetone (TN)', 'Acetone HPLC grade', 'methyl methyl ketone', 'Acetone, for HPLC', 'Acetone, ACS reagent', 'Acetone, technical grade', 'Acetone oil (Salt/Mix)', 'CH3COCH3', 'ACMC-1AI6Y', 'Acetone Reagent Grade ACS', 'Acetone, histological grade', 'EC 200-662-2', 'Acetone, analytical standard', 'Acetone, LR, &gt;=99%', 'Acetone, natural, &gt;=97%', 'KSC353M9B', 'UN 1091 (Salt/Mix)', 'Aceton (GERMAN, POLISH)', 'Acetone, puriss., 99.0%', 'CHEMBL14253', 'Dimethylketone, Pyroacetic acid', 'WLN: 1V1', 'Acetone, AR, &gt;=99.5%', 'DTXSID8021482', 'CTK2F3690', 'Citronellidene Acetone; Baccartol', 'ZINC895111', 'Acetone, &gt;=99.5%, ACS reagent', 'Tox21_111096', 'Tox21_202480', 'c0556', 'LMFA12000057', 'NSC135802', 'Acetone 5000 microg/mL in Methanol', 'Acetone, purum, &gt;=99.0% (GC)', 'AKOS000120890', 'LS-1566', 'NSC-135802', 'UN 1090', 'Acetone [UN1090] [Flammable liquid]', 'Acetone, SAJ first grade, &gt;=99.0%', 'KS-0000112J', 'Acetone [UN1090]  [Flammable liquid]', 'Acetone, for chromatography, &gt;=99.8%', 'Acetone, histological grade, &gt;=99.5%', 'Acetone, JIS special grade, &gt;=99.5%', 'Acetone, Laboratory Reagent, &gt;=99.5%', 'NCGC00260029-01', 'Acetone, for HPLC, &gt;=99.8% (GC)', 'Acetone, UV HPLC spectroscopic, 99.8%', 'Acetone, &gt;=99.5%, for residue analysis', 'Acetone, for residue analysis, &gt;=99.5%', 'A0054', 'Acetone, for luminescence, &gt;=99.5% (GC)', 'FT-0621803', 'NS00003196', 'Acetone, suitable for determination of dioxins', '2941-EP1441224A2', '2941-EP2269975A2', '2941-EP2269977A2', '2941-EP2269986A1', '2941-EP2269988A2', '2941-EP2269989A1', '2941-EP2269990A1', '2941-EP2269992A1', '2941-EP2269993A1', '2941-EP2269994A1', '2941-EP2269995A1', '2941-EP2269997A2', '2941-EP2269999A1', '2941-EP2270000A1', '2941-EP2270004A1', '2941-EP2270006A1', '2941-EP2270009A1', '2941-EP2270010A1', '2941-EP2270011A1', '2941-EP2270012A1', '2941-EP2270013A1', '2941-EP2270014A1', '2941-EP2270015A1', '2941-EP2270016A1', '2941-EP2270113A1', '2941-EP2270114A1', '2941-EP2272517A1', '2941-EP2272537A2', '2941-EP2272813A2', '2941-EP2272817A1', '2941-EP2272822A1', '2941-EP2272825A2', '2941-EP2272827A1', '2941-EP2272830A1', '2941-EP2272832A1', '2941-EP2272835A1', '2941-EP2272837A1', '2941-EP2272839A1', '2941-EP2272840A1', '2941-EP2272843A1', '2941-EP2272844A1', '2941-EP2272845A2', '2941-EP2272848A1', '2941-EP2272849A1', '2941-EP2272935A1', '2941-EP2272972A1', '2941-EP2272973A1', '2941-EP2274983A1', '2941-EP2275102A1', '2941-EP2275105A1', '2941-EP2275395A2', '2941-EP2275401A1', '2941-EP2275404A1', '2941-EP2275407A1', '2941-EP2275410A1', '2941-EP2275411A2', '2941-EP2275412A1', '2941-EP2275413A1', '2941-EP2275414A1', '2941-EP2275415A2', '2941-EP2275416A1', '2941-EP2275419A2', '2941-EP2275423A1', '2941-EP2275424A1', '2941-EP2275425A1', '2941-EP2275427A1', '2941-EP2275469A1', '2941-EP2277565A2', '2941-EP2277566A2', '2941-EP2277567A1', '2941-EP2277568A2', '2941-EP2277569A2', '2941-EP2277570A2', '2941-EP2277848A1', '2941-EP2277861A1', '2941-EP2277862A2', '2941-EP2277865A1', '2941-EP2277866A1', '2941-EP2277867A2', '2941-EP2277872A1', '2941-EP2277874A1', '2941-EP2277875A2', '2941-EP2277878A1', '2941-EP2277879A1', '2941-EP2277880A1', '2941-EP2277881A1', '2941-EP2277898A2', '2941-EP2279750A1', '2941-EP2280000A1', '2941-EP2280001A1', '2941-EP2280003A2', '2941-EP2280008A2', '2941-EP2280009A1', '2941-EP2280010A2', '2941-EP2280012A2', '2941-EP2281563A1', '2941-EP2281810A1', '2941-EP2281812A1', '2941-EP2281813A1', '2941-EP2281815A1', '2941-EP2281817A1', '2941-EP2281818A1', '2941-EP2281820A2', '2941-EP2281821A1', '2941-EP2281823A2', '2941-EP2281899A2', '2941-EP2284148A1', '2941-EP2284149A1', '2941-EP2284157A1', '2941-EP2284158A1', '2941-EP2284160A1', '2941-EP2284165A1', '2941-EP2284167A2', '2941-EP2284168A2', '2941-EP2284169A1', '2941-EP2284174A1', '2941-EP2286811A1', '2941-EP2286915A2', '2941-EP2287147A2', '2941-EP2287152A2', '2941-EP2287153A1', '2941-EP2287154A1', '2941-EP2287156A1', '2941-EP2287157A1', '2941-EP2287159A1', '2941-EP2287161A1', '2941-EP2287162A1', '2941-EP2287167A1', '2941-EP2287940A1', '2941-EP2289868A1', '2941-EP2289876A1', '2941-EP2289878A1', '2941-EP2289879A1', '2941-EP2289885A1', '2941-EP2289890A1', '2941-EP2289893A1', '2941-EP2289894A2', '2941-EP2289897A1', '2941-EP2289965A1', '2941-EP2292233A2', '2941-EP2292280A1', '2941-EP2292576A2', '2941-EP2292589A1', '2941-EP2292590A2', '2941-EP2292592A1', '2941-EP2292595A1', '2941-EP2292596A2', '2941-EP2292597A1', '2941-EP2292604A2', '2941-EP2292606A1', '2941-EP2292607A2', '2941-EP2292609A1', '2941-EP2292610A1', '2941-EP2292612A2', '2941-EP2292615A1', '2941-EP2292619A1', '2941-EP2292621A1', '2941-EP2292622A1', '2941-EP2295055A2', '2941-EP2295401A2', '2941-EP2295402A2', '2941-EP2295406A1', '2941-EP2295407A1', '2941-EP2295411A1', '2941-EP2295414A1', '2941-EP2295415A1', '2941-EP2295416A2', '2941-EP2295418A1', '2941-EP2295423A1', '2941-EP2295425A1', '2941-EP2295426A1', '2941-EP2295427A1', '2941-EP2295429A1', '2941-EP2295430A2', '2941-EP2295431A2', '2941-EP2295432A1', '2941-EP2295435A1', '2941-EP2295437A1', '2941-EP2295438A1', '2941-EP2295439A1', '2941-EP2295441A2', '2941-EP2295503A1', '2941-EP2298312A1', '2941-EP2298729A1', '2941-EP2298735A1', '2941-EP2298736A1', '2941-EP2298738A1', '2941-EP2298742A1', '2941-EP2298743A1', '2941-EP2298744A2', '2941-EP2298745A1', '2941-EP2298746A1', '2941-EP2298747A1', '2941-EP2298748A2', '2941-EP2298750A1', '2941-EP2298753A1', '2941-EP2298754A1', '2941-EP2298755A1', '2941-EP2298758A1', '2941-EP2298759A1', '2941-EP2298761A1', '2941-EP2298763A1', '2941-EP2298764A1', '2941-EP2298765A1', '2941-EP2298767A1', '2941-EP2298768A1', '2941-EP2298770A1', '2941-EP2298772A1', '2941-EP2298775A1', '2941-EP2298776A1', '2941-EP2298777A2', '2941-EP2298778A1', '2941-EP2298783A1', '2941-EP2298828A1', '2941-EP2301534A1', '2941-EP2301536A1', '2941-EP2301538A1', '2941-EP2301627A1', '2941-EP2301911A1', '2941-EP2301918A1', '2941-EP2301922A1', '2941-EP2301923A1', '2941-EP2301924A1', '2941-EP2301925A1', '2941-EP2301928A1', '2941-EP2301930A1', '2941-EP2301931A1', '2941-EP2301932A1', '2941-EP2301937A1', '2941-EP2301938A1', '2941-EP2301939A1', '2941-EP2301940A1', '2941-EP2301941A1', '2941-EP2301983A1', '2941-EP2302003A1', '2941-EP2305219A1', '2941-EP2305248A1', '2941-EP2305250A1', '2941-EP2305254A1', '2941-EP2305257A1', '2941-EP2305627A1', '2941-EP2305629A1', '2941-EP2305636A1', '2941-EP2305640A2', '2941-EP2305642A2', '2941-EP2305648A1', '2941-EP2305649A1', '2941-EP2305650A1', '2941-EP2305651A1', '2941-EP2305655A2', '2941-EP2305658A1', '2941-EP2305660A1', '2941-EP2305663A1', '2941-EP2305664A1', '2941-EP2305665A1', '2941-EP2305667A2', '2941-EP2305671A1', '2941-EP2305672A1', '2941-EP2305675A1', '2941-EP2305676A1', '2941-EP2305677A1', '2941-EP2305680A2', '2941-EP2305681A1', '2941-EP2305682A1', '2941-EP2305684A1', '2941-EP2305685A1', '2941-EP2305686A1', '2941-EP2305688A1', '2941-EP2305689A1', '2941-EP2305695A2', '2941-EP2305696A2', '2941-EP2305697A2', '2941-EP2305698A2', '2941-EP2305769A2', '2941-EP2305825A1', '2941-EP2308471A1', '2941-EP2308492A1', '2941-EP2308510A1', '2941-EP2308562A2', '2941-EP2308812A2', '2941-EP2308828A2', '2941-EP2308838A1', '2941-EP2308839A1', '2941-EP2308840A1', '2941-EP2308841A2', '2941-EP2308842A1', '2941-EP2308848A1', '2941-EP2308849A1', '2941-EP2308850A1', '2941-EP2308851A1', '2941-EP2308853A1', '2941-EP2308854A1', '2941-EP2308857A1', '2941-EP2308858A1', '2941-EP2308861A1', '2941-EP2308862A1', '2941-EP2308864A1', '2941-EP2308867A2', '2941-EP2308870A2', '2941-EP2308872A1', '2941-EP2308874A1', '2941-EP2308875A1', '2941-EP2308876A1', '2941-EP2308879A1', '2941-EP2308882A1', '2941-EP2308926A1', '2941-EP2308960A1', '2941-EP2309564A1', '2941-EP2309584A1', '2941-EP2311451A1', '2941-EP2311453A1', '2941-EP2311455A1', '2941-EP2311801A1', '2941-EP2311802A1', '2941-EP2311803A1', '2941-EP2311805A1', '2941-EP2311806A2', '2941-EP2311808A1', '2941-EP2311809A1', '2941-EP2311810A1', '2941-EP2311811A1', '2941-EP2311812A1', '2941-EP2311813A1', '2941-EP2311814A1', '2941-EP2311815A1', '2941-EP2311816A1', '2941-EP2311817A1', '2941-EP2311820A1', '2941-EP2311821A1', '2941-EP2311822A1', '2941-EP2311823A1', '2941-EP2311824A1', '2941-EP2311825A1', '2941-EP2311826A2', '2941-EP2311828A1', '2941-EP2311829A1', '2941-EP2311830A1', '2941-EP2311832A1', '2941-EP2311833A1', '2941-EP2311837A1', '2941-EP2311838A1', '2941-EP2311841A1', '2941-EP2311842A2', '2941-EP2314298A1', '2941-EP2314558A1', '2941-EP2314571A2', '2941-EP2314576A1', '2941-EP2314577A1', '2941-EP2314581A1', '2941-EP2314583A1', '2941-EP2314584A1', '2941-EP2314585A1', '2941-EP2314587A1', '2941-EP2314590A1', '2941-EP2314591A1', '2941-EP2314593A1', '2941-EP2315303A1', '2941-EP2315502A1', '2941-EP2316450A1', '2941-EP2316452A1', '2941-EP2316824A1', '2941-EP2316826A1', '2941-EP2316829A1', '2941-EP2316831A1', '2941-EP2316832A1', '2941-EP2316833A1', '2941-EP2316836A1', '2941-EP2316905A1', '2941-EP2316906A2', '2941-EP2370388A1', '2941-EP2370389A1', '2941-EP2371803A1', '2941-EP2371805A1', '2941-EP2371808A1', '2941-EP2371811A2', '2941-EP2371814A1', '2941-EP2371831A1', '2941-EP2372017A1', '2941-EP2373607A1', '2941-EP2374454A1', '2941-EP2374533A1', '2941-EP2374538A1', '2941-EP2374790A1', '2941-EP2374895A1', '2941-EP2377842A1', '2941-EP2377843A1', '2941-EP2377845A1', '2941-EP2377847A1', '2941-EP2380568A1', '2941-EP2380873A1', '2941-EP2380874A2', '2973-EP2272827A1', '2973-EP2272846A1', '2973-EP2275422A1', '2973-EP2277868A1', '2973-EP2277869A1', '2973-EP2277870A1', '2973-EP2280000A1', '2973-EP2284166A1', '2973-EP2287164A1', '2973-EP2289483A1', '2973-EP2289881A1', '2973-EP2292608A1', '2973-EP2292616A1', '2973-EP2295436A1', '2973-EP2298076A1', '2973-EP2298077A1', '2973-EP2298749A1', '2973-EP2298769A1', '2973-EP2301353A1', '2973-EP2305031A1', '2973-EP2305033A1', '2973-EP2305034A1', '2973-EP2305035A1', '2973-EP2305665A1', '2973-EP2305682A1', '2973-EP2308492A1', '2973-EP2308866A1', '2973-EP2308878A2', '2973-EP2314580A1', '2973-EP2371805A1', '2973-EP2374791A1', '6121-EP0930075A1', 'Acetone, glass distilled HRGC/HPLC trace grade', 'C00207', 'D02311', 'Q49546', '79278-EP2305695A2', '79278-EP2305696A2', '79278-EP2305697A2', '79278-EP2305698A2', '81217-EP2298761A1', '81217-EP2301544A1', '81217-EP2305254A1', '81217-EP2305687A1', '88746-EP2275105A1', '88746-EP2305825A1', 'Acetone, ACS spectrophotometric grade, &gt;=99.5%', 'Acetone, ReagentPlus(R), phenol free, &gt;=99.5%', 'Acetone, &gt;=99%, meets FCC analytical specifications', 'Acetone, ACS reagent, &gt;=99.5%, &lt;=2 ppm low benzene', 'Acetone, contains 20.0 % (v/v) acetonitrile, for HPLC', 'Acetone, for residue analysis, suitable for 5000 per JIS', 'UNII-N4G9GAT76C component CSCPPACGZOOCGX-UHFFFAOYSA-N', 'Acetone, for UV-spectroscopy, ACS reagent, &gt;=99.7% (GC)', 'Acetone, United States Pharmacopeia (USP) Reference Standard', 'Acetone solution, contains 20.0 % (v/v) acetonitrile, for HPLC', 'Acetone, HPLC Plus, for HPLC, GC, and residue analysis, &gt;=99.9%', 'Acetone, semiconductor grade MOS PURANAL(TM) (Honeywell 17921)', 'Acetone, semiconductor grade ULSI PURANAL(TM) (Honeywell 17014)', 'Acetone, semiconductor grade VLSI PURANAL(TM) (Honeywell 17617)', 'Acetone, Pharmaceutical Secondary Standard; Certified Reference Material', 'Acetone solution, certified reference material, 2000 mug/mL in methanol: water (9:1)', 'Acetone, puriss. p.a., ACS reagent, reag. ISO, reag. Ph. Eur., &gt;=99.5% (GC)', 'Acetone, puriss., meets analytical specification of Ph. Eur., BP, NF, &gt;=99% (GC)']</t>
  </si>
  <si>
    <t>Compound(180)</t>
  </si>
  <si>
    <t>actinolite (green asbestos)</t>
  </si>
  <si>
    <t>acetonitrile</t>
  </si>
  <si>
    <t>['ACETONITRILE', 'Methyl cyanide', 'Cyanomethane', '75-05-8', 'Ethanenitrile', 'Ethyl nitrile', 'Methanecarbonitrile', 'Methane, cyano-', 'Acetonitril', 'Cyanure de methyl', 'Methylkyanid', 'MeCN', 'Methylkyanid [Czech]', 'USAF EK-488', 'RCRA waste number U003', 'Cyanure de methyl [French]', 'Acetonitril [German, Dutch]', 'acetnitrile', 'Ethanonitrile', 'CH3CN', 'NCI-C60822', 'NCMe', 'HSDB 42', 'UNII-Z072SB282N', 'CCRIS 1628', 'NSC 7593', 'EINECS 200-835-2', 'UN1648', 'RCRA waste no. U003', 'CH3-C#N', 'AI3-00327', 'CHEBI:38472', 'Z072SB282N', 'MFCD00001878', 'Acetonitrile with 0.1% ammonium acetate', 'Acetonitrile [UN1648]  [Flammable liquid]', 'Acetonitril (GERMAN, DUTCH)', 'Acetonitrile, for DNA synthesis', 'Acetonitrile, 99+%, extra pure', 'Acetonitrile, 99.8%, for HPLC', 'Polyacetonitrile', 'Acetonitrile, 99.5%, for analysis', 'Acetonitrile, 99.6%, ACS reagent', 'Acetonitrile, 99+%, for spectroscopy', 'CCN', 'Acetonitrile, 99.9%, for residue analysis', 'Acetonitrile, polymers', 'Acetonitrile, 99.9+%, Extra Dry, AcroSeal(R)', 'Acetonitrile, homopolymer', 'Acetonitrile, for HPLC, gradient grade, &gt;=99.9%', 'Acetonitrile, 99.9%, for residue analysis, ECD tested', 'acetonitile', 'acetonitnle', 'acetonitriie', 'acteonitril', 'acteonitrile', 'actonitrile', 'methylcyanide', 'methylnitrile', 'ace-tonitrile', 'aceto-nitrile', 'acetonitrile-', 'Ethane nitrile', 'Acetonitrile, 99.9%, Extra Dry over Molecular Sieve, AcroSeal(R)', 'Acetonitrile, 99.9%, for HPLC gradient grade, conform Eur.Ph.', 'Acetonitrile ACS', 'CC.equiv.N', 'Acetonitrile,homopolymer', 'Cyanomethylidyne radical', 'DSSTox_CID_9', 'Acetonitrile HPLC grade', 'H3CCN', 'ACMC-1BGL8', 'bmse000826', 'bmse000896', 'EC 200-835-2', 'WLN: NC1', 'Acetonitrile, &gt;=99.5%', 'DSSTox_RID_75320', 'DSSTox_GSID_20009', 'Acetonitrile with formic acid', '26809-02-9', 'KSC377O0T', 'Acetonitrile, puriss., 95%', 'CHEMBL45211', 'Acetonitrile, for chromatography', 'DTXSID7020009', 'Acetonitrile UV/HPLC ACS grade', 'Acetonitrile, analytical standard', 'CTK2H7709', 'KS-00000VWT', 'Acetonitrile, AR, &gt;=99.5%', 'NSC7593', 'Acetonitrile, anhydrous, 99.8%', 'Acetonitrile, &gt;=99.5% (GC)', 'Amidite Diluent, for DNA synthesis', 'NSC-7593', 'Tox21_202481', 'Acetonitrile, p.a., dry, 99.9%', 'Acetonitrile, ReagentPlus(R), 99%', 'ANW-56415', 'c1151', 'STL283937', 'Acetonitrile, &gt;=99.8%, for HPLC', 'Acetonitrile, for HPLC, &gt;=99.9%', 'AKOS000269067', 'Acetonitrile, HPLC Plus, &gt;=99.9%', 'LS-1653', 'MCULE-8803543318', 'NA 1648', 'UN 1648', 'Acetonitrile, &gt;=99.5%, ACS reagent', 'Acetonitrile, ACS reagent, &gt;=99.5%', 'Acetonitrile, AldraSORB(TM), 99.8%', 'Acetonitrile, purum, &gt;=99.0% (GC)', 'CAS-75-05-8', 'Acetonitrile, HPLC grade, &gt;=99.93%', 'NCGC00091552-01', 'NCGC00260030-01', 'Acetonitrile, purification grade, 99.8%', 'SC-46826', 'Ultrapure Acetonitrile, for DNA synthesis', 'Acetonitrile [UN1648] [Flammable liquid]', 'Acetonitrile with 0.1% Formic Acid (v/v)', 'Acetonitrile, biotech. grade, &gt;=99.93%', 'Acetonitrile, p.a., ACS reagent, 99.8%', 'Acetonitrile, SAJ first grade, &gt;=99.0%', 'A0060', 'A0293', 'A0793', 'Acetonitrile, JIS special grade, &gt;=99.5%', 'FT-0621807', 'FT-0621808', 'NS00002918', 'Acetonitrile, anhydrous, ZerO2(TM), 99.8%', '1943-EP1441224A2', '1943-EP2269610A2', '1943-EP2269975A2', '1943-EP2269977A2', '1943-EP2269978A2', '1943-EP2269985A2', '1943-EP2269986A1', '1943-EP2269989A1', '1943-EP2269990A1', '1943-EP2269991A2', '1943-EP2269992A1', '1943-EP2269993A1', '1943-EP2269994A1', '1943-EP2269995A1', '1943-EP2269997A2', '1943-EP2269999A1', '1943-EP2270000A1', '1943-EP2270001A1', '1943-EP2270002A1', '1943-EP2270003A1', '1943-EP2270004A1', '1943-EP2270005A1', '1943-EP2270006A1', '1943-EP2270007A1', '1943-EP2270008A1', '1943-EP2270009A1', '1943-EP2270011A1', '1943-EP2270012A1', '1943-EP2270013A1', '1943-EP2270014A1', '1943-EP2270018A1', '1943-EP2270113A1', '1943-EP2270114A1', '1943-EP2272509A1', '1943-EP2272516A2', '1943-EP2272517A1', '1943-EP2272537A2', '1943-EP2272813A2', '1943-EP2272817A1', '1943-EP2272822A1', '1943-EP2272832A1', '1943-EP2272834A1', '1943-EP2272835A1', '1943-EP2272837A1', '1943-EP2272838A1', '1943-EP2272839A1', '1943-EP2272840A1', '1943-EP2272841A1', '1943-EP2272842A1', '1943-EP2272843A1', '1943-EP2272844A1', '1943-EP2272845A2', '1943-EP2272847A1', '1943-EP2272848A1', '1943-EP2272849A1', '1943-EP2272935A1', '1943-EP2272972A1', '1943-EP2272973A1', '1943-EP2274983A1', '1943-EP2275102A1', '1943-EP2275105A1', '1943-EP2275395A2', '1943-EP2275401A1', '1943-EP2275404A1', '1943-EP2275407A1', '1943-EP2275410A1', '1943-EP2275411A2', '1943-EP2275412A1', '1943-EP2275413A1', '1943-EP2275414A1', '1943-EP2275415A2', '1943-EP2275419A2', '1943-EP2275421A1', '1943-EP2275423A1', '1943-EP2275425A1', '1943-EP2275427A1', '1943-EP2275469A1', '1943-EP2277507A1', '1943-EP2277565A2', '1943-EP2277566A2', '1943-EP2277567A1', '1943-EP2277568A2', '1943-EP2277569A2', '1943-EP2277570A2', '1943-EP2277622A1', '1943-EP2277848A1', '1943-EP2277858A1', '1943-EP2277861A1', '1943-EP2277863A1', '1943-EP2277866A1', '1943-EP2277867A2', '1943-EP2277872A1', '1943-EP2277875A2', '1943-EP2277877A1', '1943-EP2277878A1', '1943-EP2277879A1', '1943-EP2277880A1', '1943-EP2277881A1', '1943-EP2277898A2', '1943-EP2277945A1', '1943-EP2279750A1', '1943-EP2280000A1', '1943-EP2280001A1', '1943-EP2280003A2', '1943-EP2280004A1', '1943-EP2280005A1', '1943-EP2280006A1', '1943-EP2280007A1', '1943-EP2280008A2', '1943-EP2280010A2', '1943-EP2280011A1', '1943-EP2280012A2', '1943-EP2280014A2', '1943-EP2280020A1', '1943-EP2280021A1', '1943-EP2281559A1', '1943-EP2281563A1', '1943-EP2281810A1', '1943-EP2281812A1', '1943-EP2281813A1', '1943-EP2281815A1', '1943-EP2281817A1', '1943-EP2281818A1', '1943-EP2281819A1', '1943-EP2281820A2', '1943-EP2281821A1', '1943-EP2281823A2', '1943-EP2281824A1', '1943-EP2281899A2', '1943-EP2283898A1', '1943-EP2284149A1', '1943-EP2284150A2', '1943-EP2284151A2', '1943-EP2284152A2', '1943-EP2284153A2', '1943-EP2284155A2', '1943-EP2284156A2', '1943-EP2284157A1', '1943-EP2284158A1', '1943-EP2284159A1', '1943-EP2284160A1', '1943-EP2284164A2', '1943-EP2284165A1', '1943-EP2284167A2', '1943-EP2284168A2', '1943-EP2284169A1', '1943-EP2284171A1', '1943-EP2284174A1', '1943-EP2286795A1', '1943-EP2286811A1', '1943-EP2287140A2', '1943-EP2287141A1', '1943-EP2287147A2', '1943-EP2287148A2', '1943-EP2287150A2', '1943-EP2287152A2', '1943-EP2287153A1', '1943-EP2287154A1', '1943-EP2287155A1', '1943-EP2287156A1', '1943-EP2287160A1', '1943-EP2287161A1', '1943-EP2287162A1', '1943-EP2287165A2', '1943-EP2287166A2', '1943-EP2287167A1', '1943-EP2287168A2', '1943-EP2287940A1', '1943-EP2289509A2', '1943-EP2289510A1', '1943-EP2289868A1', '1943-EP2289871A1', '1943-EP2289878A1', '1943-EP2289879A1', '1943-EP2289883A1', '1943-EP2289884A1', '1943-EP2289885A1', '1943-EP2289887A2', '1943-EP2289888A2', '1943-EP2289890A1', '1943-EP2289892A1', '1943-EP2289893A1', '1943-EP2289894A2', '1943-EP2289897A1', '1943-EP2292222A1', '1943-EP2292227A2', '1943-EP2292228A1', '1943-EP2292233A2', '1943-EP2292280A1', '1943-EP2292589A1', '1943-EP2292590A2', '1943-EP2292592A1', '1943-EP2292593A2', '1943-EP2292595A1', '1943-EP2292596A2', '1943-EP2292597A1', '1943-EP2292599A1', '1943-EP2292600A1', '1943-EP2292601A1', '1943-EP2292604A2', '1943-EP2292606A1', '1943-EP2292610A1', '1943-EP2292611A1', '1943-EP2292612A2', '1943-EP2292615A1', '1943-EP2292617A1', '1943-EP2292619A1', '1943-EP2292620A2', '1943-EP2292621A1', '1943-EP2292622A1', '1943-EP2292624A1', '1943-EP2292628A2', '1943-EP2292630A1', '1943-EP2295399A2', '1943-EP2295402A2', '1943-EP2295406A1', '1943-EP2295407A1', '1943-EP2295408A1', '1943-EP2295409A1', '1943-EP2295410A1', '1943-EP2295411A1', '1943-EP2295412A1', '1943-EP2295413A1', '1943-EP2295414A1', '1943-EP2295415A1', '1943-EP2295417A1', '1943-EP2295418A1', '1943-EP2295419A2', '1943-EP2295421A1', '1943-EP2295423A1', '1943-EP2295425A1', '1943-EP2295426A1', '1943-EP2295427A1', '1943-EP2295428A2', '1943-EP2295429A1', '1943-EP2295432A1', '1943-EP2295433A2', '1943-EP2295437A1', '1943-EP2295438A1', '1943-EP2295439A1', '1943-EP2295441A2', '1943-EP2298312A1', '1943-EP2298729A1', '1943-EP2298731A1', '1943-EP2298732A1', '1943-EP2298734A2', '1943-EP2298735A1', '1943-EP2298736A1', '1943-EP2298738A1', '1943-EP2298742A1', '1943-EP2298743A1', '1943-EP2298744A2', '1943-EP2298745A1', '1943-EP2298746A1', '1943-EP2298747A1', '1943-EP2298750A1', '1943-EP2298754A1', '1943-EP2298755A1', '1943-EP2298756A1', '1943-EP2298757A2', '1943-EP2298758A1', '1943-EP2298759A1', '1943-EP2298761A1', '1943-EP2298763A1', '1943-EP2298764A1', '1943-EP2298765A1', '1943-EP2298766A1', '1943-EP2298767A1', '1943-EP2298768A1', '1943-EP2298770A1', '1943-EP2298772A1', '1943-EP2298775A1', '1943-EP2298776A1', '1943-EP2298777A2', '1943-EP2298778A1', '1943-EP2298780A1', '1943-EP2298828A1', '1943-EP2301533A1', '1943-EP2301544A1', '1943-EP2301909A1', '1943-EP2301912A2', '1943-EP2301913A1', '1943-EP2301914A1', '1943-EP2301916A2', '1943-EP2301918A1', '1943-EP2301922A1', '1943-EP2301923A1', '1943-EP2301928A1', '1943-EP2301929A1', '1943-EP2301931A1', '1943-EP2301932A1', '1943-EP2301933A1', '1943-EP2301934A1', '1943-EP2301935A1', '1943-EP2301936A1', '1943-EP2301937A1', '1943-EP2301939A1', '1943-EP2301940A1', '1943-EP2301983A1', '1943-EP2305219A1', '1943-EP2305248A1', '1943-EP2305250A1', '1943-EP2305254A1', '1943-EP2305260A1', '1943-EP2305625A1', '1943-EP2305629A1', '1943-EP2305633A1', '1943-EP2305637A2', '1943-EP2305640A2', '1943-EP2305641A1', '1943-EP2305642A2', '1943-EP2305643A1', '1943-EP2305644A1', '1943-EP2305647A1', '1943-EP2305651A1', '1943-EP2305652A2', '1943-EP2305655A2', '1943-EP2305658A1', '1943-EP2305659A1', '1943-EP2305660A1', '1943-EP2305663A1', '1943-EP2305664A1', '1943-EP2305666A1', '1943-EP2305667A2', '1943-EP2305668A1', '1943-EP2305671A1', '1943-EP2305672A1', '1943-EP2305673A1', '1943-EP2305674A1', '1943-EP2305675A1', '1943-EP2305676A1', '1943-EP2305677A1', '1943-EP2305679A1', '1943-EP2305680A2', '1943-EP2305681A1', '1943-EP2305682A1', '1943-EP2305683A1', '1943-EP2305684A1', '1943-EP2305685A1', '1943-EP2305686A1', '1943-EP2305687A1', '1943-EP2305688A1', '1943-EP2305689A1', '1943-EP2305695A2', '1943-EP2305696A2', '1943-EP2305697A2', '1943-EP2305698A2', '1943-EP2305769A2', '1943-EP2305808A1', '1943-EP2305825A1', '1943-EP2308471A1', '1943-EP2308479A2', '1943-EP2308510A1', '1943-EP2308562A2', '1943-EP2308812A2', '1943-EP2308828A2', '1943-EP2308832A1', '1943-EP2308833A2', '1943-EP2308838A1', '1943-EP2308839A1', '1943-EP2308841A2', '1943-EP2308847A1', '1943-EP2308848A1', '1943-EP2308849A1', '1943-EP2308850A1', '1943-EP2308854A1', '1943-EP2308857A1', '1943-EP2308858A1', '1943-EP2308861A1', '1943-EP2308862A1', '1943-EP2308863A1', '1943-EP2308864A1', '1943-EP2308866A1', '1943-EP2308867A2', '1943-EP2308868A1', '1943-EP2308869A1', '1943-EP2308870A2', '1943-EP2308871A1', '1943-EP2308872A1', '1943-EP2308873A1', '1943-EP2308874A1', '1943-EP2308875A1', '1943-EP2308876A1', '1943-EP2308877A1', '1943-EP2308879A1', '1943-EP2308880A1', '1943-EP2308926A1', '1943-EP2308960A1', '1943-EP2309584A1', '1943-EP2311796A1', '1943-EP2311797A1', '1943-EP2311798A1', '1943-EP2311799A1', '1943-EP2311801A1', '1943-EP2311802A1', '1943-EP2311803A1', '1943-EP2311805A1', '1943-EP2311807A1', '1943-EP2311808A1', '1943-EP2311810A1', '1943-EP2311811A1', '1943-EP2311814A1', '1943-EP2311815A1', '1943-EP2311816A1', '1943-EP2311817A1', '1943-EP2311818A1', '1943-EP2311820A1', '1943-EP2311821A1', '1943-EP2311822A1', '1943-EP2311823A1', '1943-EP2311824A1', '1943-EP2311825A1', '1943-EP2311827A1', '1943-EP2311828A1', '1943-EP2311829A1', '1943-EP2311830A1', '1943-EP2311831A1', '1943-EP2311832A1', '1943-EP2311833A1', '1943-EP2311834A1', '1943-EP2311836A1', '1943-EP2311837A1', '1943-EP2311838A1', '1943-EP2311839A1', '1943-EP2311840A1', '1943-EP2311842A2', '1943-EP2314295A1', '1943-EP2314571A2', '1943-EP2314574A1', '1943-EP2314576A1', '1943-EP2314578A1', '1943-EP2314579A1', '1943-EP2314581A1', '1943-EP2314583A1', '1943-EP2314584A1', '1943-EP2314586A1', '1943-EP2314587A1', '1943-EP2314589A1', '1943-EP2314590A1', '1943-EP2314593A1', '1943-EP2315303A1', '1943-EP2316457A1', '1943-EP2316458A1', '1943-EP2316824A1', '1943-EP2316825A1', '1943-EP2316826A1', '1943-EP2316827A1', '1943-EP2316828A1', '1943-EP2316829A1', '1943-EP2316831A1', '1943-EP2316832A1', '1943-EP2316833A1', '1943-EP2316834A1', '1943-EP2316835A1', '1943-EP2316836A1', '1943-EP2316837A1', '1943-EP2316937A1', '1943-EP2316974A1', '1943-EP2371810A1', '1943-EP2371811A2', '1943-EP2371812A1', '1943-EP2371813A1', '1943-EP2371814A1', '1943-EP2371831A1', '1943-EP2374454A1', '1943-EP2374783A1', '1943-EP2374788A1', '1943-EP2374790A1', '1943-EP2374792A1', '1943-EP2374895A1', '1943-EP2377510A1', '1943-EP2377841A1', '1943-EP2377845A1', '1943-EP2377847A1', '1943-EP2377849A2', '1943-EP2380568A1', '1943-EP2380871A1', '1943-EP2380873A1', '1943-EP2380874A2', '1979-EP1441224A2', '1979-EP2269977A2', '1979-EP2269978A2', '1979-EP2269985A2', '1979-EP2269991A2', '1979-EP2270003A1', '1979-EP2270006A1', '1979-EP2270011A1', '1979-EP2270018A1', '1979-EP2272509A1', '1979-EP2272517A1', '1979-EP2272844A1', '1979-EP2275413A1', '1979-EP2277867A2', '1979-EP2277875A2', '1979-EP2277898A2', '1979-EP2280003A2', '1979-EP2280009A1', '1979-EP2281563A1', '1979-EP2281820A2', '1979-EP2281822A1', '1979-EP2284150A2', '1979-EP2284151A2', '1979-EP2284152A2', '1979-EP2284153A2', '1979-EP2284155A2', '1979-EP2284156A2', '1979-EP2284157A1', '1979-EP2284164A2', '1979-EP2287140A2', '1979-EP2287148A2', '1979-EP2287150A2', '1979-EP2287156A1', '1979-EP2287165A2', '1979-EP2287166A2', '1979-EP2289886A1', '1979-EP2289893A1', '1979-EP2292589A1', '1979-EP2292620A2', '1979-EP2295402A2', '1979-EP2295412A1', '1979-EP2295413A1', '1979-EP2295415A1', '1979-EP2295418A1', '1979-EP2295419A2', '1979-EP2295428A2', '1979-EP2295429A1', '1979-EP2295435A1', '1979-EP2295437A1', '1979-EP2295439A1', '1979-EP2295441A2', '1979-EP2298735A1', '1979-EP2298743A1', '1979-EP2298744A2', '1979-EP2298754A1', '1979-EP2298761A1', '1979-EP2298770A1', '1979-EP2298775A1', '1979-EP2298776A1', '1979-EP2298780A1', '1979-EP2298783A1', '1979-EP2301930A1', '1979-EP2301931A1', '1979-EP2301939A1', '1979-EP2301940A1', '1979-EP2305250A1', '1979-EP2305637A2', '1979-EP2305648A1', '1979-EP2305663A1', '1979-EP2305682A1', '1979-EP2305684A1', '1979-EP2305687A1', '1979-EP2305689A1', '1979-EP2305695A2', '1979-EP2305696A2', '1979-EP2305697A2', '1979-EP2305698A2', '1979-EP2305808A1', '1979-EP2308840A1', '1979-EP2308844A2', '1979-EP2308845A2', '1979-EP2308846A2', '1979-EP2308851A1', '1979-EP2308861A1', '1979-EP2308867A2', '1979-EP2308870A2', '1979-EP2308872A1', '1979-EP2308874A1', '1979-EP2308876A1', '1979-EP2308879A1', '1979-EP2308960A1', '1979-EP2311464A1', '1979-EP2311494A1', '1979-EP2311796A1', '1979-EP2311797A1', '1979-EP2311798A1', '1979-EP2311799A1', '1979-EP2311802A1', '1979-EP2311803A1', '1979-EP2311807A1', '1979-EP2311808A1', '1979-EP2311824A1', '1979-EP2311825A1', '1979-EP2311829A1', '1979-EP2311831A1', '1979-EP2311840A1', '1979-EP2314295A1', '1979-EP2314593A1', '1979-EP2316829A1', '1979-EP2316831A1', '1979-EP2316836A1', '1979-EP2374454A1', '6756-EP1441224A2', '6756-EP2269992A1', '6756-EP2270001A1', '6756-EP2270004A1', '6756-EP2270011A1', '6756-EP2272537A2', '6756-EP2272838A1', '6756-EP2272848A1', '6756-EP2275102A1', '6756-EP2277848A1', '6756-EP2280006A1', '6756-EP2280008A2', '6756-EP2280010A2', '6756-EP2281563A1', '6756-EP2281815A1', '6756-EP2281819A1', '6756-EP2284149A1', '6756-EP2284178A2', '6756-EP2284179A2', '6756-EP2287165A2', '6756-EP2287166A2', '6756-EP2289894A2', '6756-EP2292228A1', '6756-EP2292620A2', '6756-EP2292628A2', '6756-EP2295417A1', '6756-EP2295429A1', '6756-EP2295433A2', '6756-EP2295439A1', '6756-EP2295441A2', '6756-EP2298312A1', '6756-EP2298742A1', '6756-EP2298744A2', '6756-EP2298776A1', '6756-EP2298783A1', '6756-EP2301928A1', '6756-EP2301933A1', '6756-EP2305250A1', '6756-EP2305640A2', '6756-EP2305652A2', '6756-EP2305671A1', '6756-EP2305679A1', '6756-EP2305682A1', '6756-EP2305684A1', '6756-EP2305695A2', '6756-EP2305696A2', '6756-EP2305697A2', '6756-EP2305698A2', '6756-EP2305808A1', '6756-EP2305825A1', '6756-EP2308840A1', '6756-EP2308841A2', '6756-EP2308844A2', '6756-EP2308845A2', '6756-EP2308846A2', '6756-EP2308861A1', '6756-EP2308867A2', '6756-EP2308870A2', '6756-EP2308875A1', '6756-EP2308879A1', '6756-EP2311827A1', '6756-EP2311841A1', '6756-EP2316824A1', '6756-EP2316834A1', '6756-EP2316836A1', '6756-EP2374454A1', '6756-EP2374790A1', '6756-EP2380871A1', 'Acetonitrile, for HPLC-GC, &gt;=99.8% (GC)', 'Acetonitrile, for UHPLC, for mass spectrometry', '56797-EP2272846A1', '56797-EP2275422A1', '56797-EP2277868A1', '56797-EP2277869A1', '56797-EP2277870A1', '56797-EP2284166A1', '56797-EP2287164A1', '56797-EP2289483A1', '56797-EP2289881A1', '56797-EP2292608A1', '56797-EP2292616A1', '56797-EP2292625A1', '56797-EP2295422A2', '56797-EP2295436A1', '56797-EP2298305A1', '56797-EP2298749A1', '56797-EP2298762A2', '56797-EP2298769A1', '56797-EP2298773A1', '56797-EP2305808A1', '56797-EP2308852A1', '56797-EP2308866A1', '56797-EP2308878A2', '56797-EP2371823A1', '56797-EP2374784A1', '56797-EP2374785A1', '56797-EP2374791A1', '204319-EP2277867A2', '204319-EP2280003A2', 'Acetonitrile, spectrophotometric grade, &gt;=99.5%', 'Q408047', 'Acetonitrile, for HPLC, for UV, &gt;=99.9% (GC)', 'Acetonitrile, puriss. p.a., ACS reagent, 99.8%', 'J-008497', 'Acetonitrile, for preparative HPLC, &gt;=99.8% (GC)', 'Acetonitrile, for synthesis of DNA, &gt;=99.9% (GC)', 'Acetonitrile, HPLC Plus, &gt;=99.9%, poly-coated bottles', 'Acetonitrile solution, contains 0.035 % (v/v) acetic acid', 'Acetonitrile solution, contains 0.05 % (v/v) acetic acid', 'Acetonitrile solution, contains 0.1 % (v/v) acetic acid', 'Acetonitrile, 99.9%, for HPLC, far UV, conform Eur.Ph.', 'Acetonitrile, electronic grade, 99.999% trace metals basis', 'Acetonitrile, for HPLC, gradient grade, &gt;=99.9% (GC)', 'Acetonitrile, for HPLC, gradient grade, &gt;=99.90% (GC)', 'Acetonitrile, puriss. p.a., ACS reagent, &gt;=99.5% (GC)', 'Acetonitrile solution, contains 0.1 % (v/v) ammonium hydroxide', 'Acetonitrile with 0.1% ammonium acetate, tested for UHPLC-MS', 'Acetonitrile, for protein sequence analysis, &gt;=99.8% (GC)', 'Acetonitrile, for residue analysis, suitable for 5000 per JIS', 'Acetonitrile, Vetec(TM) reagent grade, anhydrous, &gt;=99.8%', 'Acetonitrile solution, ~20% in H2O, for protein sequence analysis', 'Acetonitrile solution, contains 0.05 % (v/v) trifluoroacetic acid', 'Acetonitrile solution, contains 0.1 % (v/v) formic acid, for HPLC', 'Acetonitrile, Preparateur, &gt;=99.9% (GC), Customized plastic drum', 'Acetonitrile solution, contains 0.1 % (v/v) trifluoroacetic acid, for HPLC', 'Acetonitrile solution, for HPLC, acetonitrile:water 56 : 44% (w/w)', 'Acetonitrile, &gt;=99.8%, for residue analysis, suitable for 1000 per JIS', 'Acetonitrile, &gt;=99.8%, for residue analysis, suitable for 300 per JIS', 'Acetonitrile, 99.9%, Extra Dry, AcroSeal(R), package of 4x25ML bottles', 'Acetonitrile, puriss. p.a., ACS reagent, reag. Ph. Eur., &gt;=99.5% (GC)', 'Acetonitrile solution, contains 0.035 % (v/v) trifluoroacetic acid, for HPLC', 'Acetonitrile solution, contains 0.1 % (v/v) formic acid, for UHPLC, for mass spectrometry', 'Acetonitrile solution, contains 0.10 % (v/v) trifluoroacetic acid, 10.0 % (v/v) water', 'Acetonitrile solution, contains 10.0% acetone, 40.0% 2-propanol, 0.05% formic acid', 'Acetonitrile, configured for PerkinElmer 8900, configured for Polygen, for DNA synthesis', 'Acetonitrile, Pharmaceutical Secondary Standard; Certified Reference Material', 'Acetonitrile, Preparateur, &gt;=99.9% (GC), One-time steel-plastic (SP) drum', 'Alcohol Determination - Acetonitrile, United States Pharmacopeia (USP) Reference Standard', 'Acetonitrile solution, contains 5 % (v/v) water, 0.05 % (w/v) ammonium formate, 0.1 % (v/v) formic acid, for HPLC', 'Acetonitrile solution, for HPLC, acetonitrile:water 5:95% (v/v), 10 mM Ammoniumbicarbonate, pH 10,0', 'Acetonitrile solution, NMR reference standard, 0.23 wt. % in D2O (99.9 atom % D), water 0.05 wt. %, NMR tube size 6.5 mm x 8 in.', 'Residual Solvent - Acetonitrile, Pharmaceutical Secondary Standard; Certified Reference Material', 'Residual Solvent Class 2 - Acetonitrile, United States Pharmacopeia (USP) Reference Standard']</t>
  </si>
  <si>
    <t>Compound(6342)</t>
  </si>
  <si>
    <t>C2H3N</t>
  </si>
  <si>
    <t>acetylsulfamethoxazole</t>
  </si>
  <si>
    <t>N-[4-[(5-methyl-1,2-oxazol-3-yl)sulfamoyl]phenyl]acetamide</t>
  </si>
  <si>
    <t>['21312-10-7', 'Acetylsulfamethoxazole', 'N4-Acetylsulfamethoxazole', 'N-(4-(N-(5-Methylisoxazol-3-yl)sulfamoyl)phenyl)acetamide', 'SMX-acetate', '4-Acetylamino-N-(5-methyl-3-isoxazolyl)benzenesulfonamide', 'sulfamethoxazole acetate', 'N-Acetyl sulfamethoxazole', 'N-acetylsulfamethoxazole', 'Sulfisomezole-N4-acetate', 'N(4)-Acetylsulfisomezole', "4'-((5-Methyl-3-isoxazolyl)sulfamoyl)acetanilide", 'Sulfisomezole-N(4)-acetate', 'N(4)-Acetylsulfulfamethoxazole', 'N-[4-[(5-methyl-1,2-oxazol-3-yl)sulfamoyl]phenyl]acetamide', 'N4-Acetylsulphamethoxazole', 'N4-Acetyl-Sulfamethoxazole', 'BRN 0285801', 'Acetylsulfamethoxazole (JAN)', 'N(sup 4)-Acetylsulfisomezole', 'Sulfisomezole-N(sup 4)-acetate', 'CHEBI:31169', 'Acetamide, N-[4-[[(5-methyl-3-isoxazolyl)amino]sulfonyl]phenyl]-', 'UNII-3I1988834Q', 'N(sup 4)-Acetylsulfulfamethoxazole', 'EINECS 244-330-5', 'N-{4-[(5-methylisoxazol-3-yl)sulfamoyl]phenyl}acetamide', 'NCGC00183871-01', 'AK126590', 'N-{4-[(5-methyl-1,2-oxazol-3-yl)sulfamoyl]phenyl}acetamide', '3I1988834Q', 'DSSTox_CID_28970', 'DSSTox_RID_83235', 'Acetylsulfamethoxazole [JAN]', 'DSSTox_GSID_49044', "Acetanilide, 4'-((5-methyl-3-isoxazolyl)sulfamoyl)-", 'C12H13N3O4S', 'N-(4-(((5-Methyl-3-isoxazolyl)amino)sulfonyl)phenyl)acetamide', 'N-(4-(((5-Methylisoxazol-3-yl)amino)sulphonyl)phenyl)acetamide', 'N-(4-{[(5-methyl-3-isoxazolyl)amino]sulfonyl}phenyl)acetamide', 'Acetamide, N-(4-(((5-methyl-3-isoxazolyl)amino)sulfonyl)phenyl)-', 'CAS-21312-10-7', 'N4-Acetylsulfisomezole', 'N(4)-Acetylsulfamethoxazole', 'N-[4-[(5-Methylisoxazol-3-yl)sulphamoyl]phenyl]acetamide', 'N-{4-{[(5-Methyl-3-isoxazolyl)amino]sulfonyl}phenyl}acetamide', 'N-[4-[[(5-methylisoxazol-3-yl)amino]sulphonyl]phenyl]acetamide', 'STX 606', 'Acetylsulfamethoxazol', 'zlchem 666', 'Acetyl-Sulfamethoxazol', 'Acetyl-sulfamethoxazole', 'N-Acetyl-sulfamethoxazole', 'Maybridge1_006926', 'Epitope ID:116043', 'Sulfamethoxazole Impurity A', 'N4-Acetylsulfulfamethoxazole', 'Oprea1_529808', 'Oprea1_653133', 'ARONIS006387', 'SCHEMBL1502536', 'CHEMBL3560298', 'DTXSID8049044', 'CTK8H5920', 'HMS561C18', 'KS-00000GMH', 'KS-00003YPE', 'ZINC89688', 'ZLD0117', 'ACT06146', 'BCP10149', 'Tox21_113591', 'CCG-42821', 'STK039900', 'AKOS000495698', 'Tox21_113591_1', 'API0026190', 'CS-W013982', 'DS-5239', 'FR-2187', 'HY-W013266', 'MCULE-2536239556', 'SDCCGMLS-0065402.P001', 'ACM21312107', 'UPCMLD0ENAT5582698:001', 'NCGC00183871-02', 'NCGC00183871-03', 'NCGC00183871-04', 'CC-17640', 'LS-10794', 'SC-66091', 'AX8013926', 'BB0283412', 'DB-045539', 'FT-0617403', 'N4-Acetylsulfamethoxazole, analytical standard', 'C13061', 'D01601', 'K-6116', 'AB00684062-01', 'C-18502', 'SR-01000419910', 'n4-acetyl-n1-(5-methyl-3-isoxazolyl)sulfanilamide', 'SR-01000419910-1', 'SR-01000419910-2', 'Q27114190', 'Z32429922', '4-ACETYLAMINO-N-(5-METHYL-3-ISOXAZOLYL)BENZENESULF', 'N-(4-([(5-Methyl-3-isoxazolyl)amino]sulfonyl)phenyl)acetamide #', 'Sulfamethoxazole impurity A, European Pharmacopoeia (EP) Reference Standard', 'N-Acetyl sulfamethoxazole;N-[4-[[(5-methylisoxazol-3-yl)amino]sulphonyl]phenyl]acetamide', 'Sulfamethoxazole Related Compound A, United States Pharmacopeia (USP) Reference Standard']</t>
  </si>
  <si>
    <t>Compound(65280)</t>
  </si>
  <si>
    <t>C12H13N3O4S</t>
  </si>
  <si>
    <t>alpha-endosulfan</t>
  </si>
  <si>
    <t>(1R,2S,8R,9S)-1,9,10,11,12,12-hexachloro-4,6-dioxa-5lambda4-thiatricyclo[7.2.1.02,8]dodec-10-ene 5-oxide</t>
  </si>
  <si>
    <t>['Endosulfan I', '959-98-8', 'Endosulfan II', 'BETA-ENDOSULFAN', 'ALPHA-ENDOSULFAN', 'UNII-QY5Y9R7G0E', 'UNII-TT768EVS2A', '33213-65-9', 'QY5Y9R7G0E', 'TT768EVS2A', 'alpha-Benzoepin', 'alpha-Thiodan', 'alpha-Thionex', 'beta-Benzoepin', 'beta-Thiodan', 'beta-Thionex', 'Endosulfan A', 'Endosulfan B', 'Endosulfan 1', 'Endosulfan 2', 'Endosulfan, beta', 'b-Endosulfan-beta', 'Endosulfan, alpha', 'a-Endosulfan-alpha', 'General Weed Killer', 'a-Endosulfan', 'CCRIS 1460', 'CCRIS 1461', '6,9-Methano-2,4,3-benzodioxathiepin,6,7,8,9,10,10-hexachloro-1,5,5a,6,9,9a-hexahydro-, 3-oxide,(3a,5aa,6b,9b,9aa)-', '6,9-Methano-2,4,3-benzodioxathiepin,6,7,8,9,10,10-hexachloro-1,5,5a,6,9,9a-hexahydro-, 3-oxide,(3a,5ab,6a,9a,9ab)-', 'AI3-29021', 'AI3-29022', 'endosulfan, technical grade', 'alpha-Endosulfan [ISO]', 'Endosulfan beta', '5-Norbornene-2,3-dimethanol, 1,4,5,6,7,7-hexachloro-, cyclic sulfite, exo-', '5-Norbornene-2,3-dimethanol, 1,4,5,6,7,7-hexachloro-, cyclic sulfite, endo-', '(3?,5a?,6?,9?,9a?)-6,7,8,9,10,10-hexachloro-1,5,5a,6,9,9a-hexahydro-6,9-methano-2,4,3-benzodioxathiepin 3-oxide', 'DSSTox_CID_17539', 'DSSTox_RID_79331', 'BIDD:PXR0005', 'DSSTox_GSID_37539', 'BIDD:ER0092', 'BIDD:ER0234', 'BIDD:ER0308', 'CHEMBL3561972', 'DTXSID9037539', '6,7,8,9,10,10-Hexachloro-1,5,5a,6,9,9a-hexahydro-6,9-methano-2,4,3-benzodioxathiepin-3-oxide', '6,9-Methano-2,4,3-benzodioxathiepin, 6,7,8,9,10,10-hexachloro-1,5,5a,6,9,9a-hexahydro-, 3-oxide, (3alpha,5aalpha,6beta,9beta,9aalpha)-', '6,9-Methano-2,4,3-benzodioxathiepin, 6,7,8,9,10,10-hexachloro-1,5,5a,6,9,9a-hexahydro-, 3-oxide, (3alpha,5abeta,6alpha,9alpha,9abeta)-', '6,9-Methano-2,4,3-benzodioxathiepin, 6,7,8,9,10,10-hexachloro-1,5,5a,6,9,9a-hexahydro-, 3-oxide, alpha-isomer (3alpha,5a beta,6alpha,9alpha,9a beta)-', '6,9-Methano-2,4,3-benzodioxathiepin, 6,7,8,9,10,10-hexachloro-1,5,5a,6,9,9a-hexahydro-, 3-oxide, beta-isomer (3alpha,5a alpha,6beta,9beta,9a alpha)-', 'Tox21_301581', 'ZINC18069227', 'ZINC103600799', 'ZINC103604873', 'NCGC00255451-01', 'CAS-959-98-8', 'Endosulfan I (alpha), analytical standard', 'beta-Endosulfan 100 microg/mL in Isooctane', 'beta-Endosulfan 100 microg/mL in Methanol', 'alpha-Endosulfan 100 microg/mL in Isooctane', 'beta-Endosulfan 10 microg/mL in Cyclohexane', 'alpha-Endosulfan 10 microg/mL in Acetonitrile', 'alpha-Endosulfan 10 microg/mL in Cyclohexane', 'beta-Endosulfan 10 microg/mL in Acetonitrile', 'alpha-Endosulfan, PESTANAL(R), analytical standard', 'Q27287555', 'Q27290296', 'UNII-OKA6A6ZD4K component RDYMFSUJUZBWLH-BEJSPLBDSA-N', 'UNII-OKA6A6ZD4K component RDYMFSUJUZBWLH-LLXUDWAZSA-N', 'alpha-Endosulfan, certified reference material, TraceCERT(R)', 'Endosulfan I;a-Endosulfan;Endosulfan (alpha);alpha-endosulfan', 'Endosulfan I, vial of 1 g, (alpha isomer), 99%, analytical standard', 'alpha-Endosulfan solution, 100 mug/mL in hexane, PESTANAL(R), analytical standard', '(5aR,9R,9aS)-6,7,8,9,10,10-Hexachloro-1,5,5a,6,9,9a-hexahydro-3H-6,9-methano-3lambda~4~-2,4,3lambda~4~-benzodioxathiepin-3-one']</t>
  </si>
  <si>
    <t>Compound(12309460)</t>
  </si>
  <si>
    <t>C9H6Cl6O3S</t>
  </si>
  <si>
    <t>alpha-phenchyl acetate</t>
  </si>
  <si>
    <t>(1,3,3-trimethyl-2-bicyclo[2.2.1]heptanyl) acetate</t>
  </si>
  <si>
    <t>['Fenchyl acetate', 'Fenchylacetate', '13851-11-1', '3,3-Dimethyl-8,9-dinorbornan-2-yl acetate', 'UNII-I8JL13M20M', 'alpha-Fenchyl acetate', 'I8JL13M20M', '1,3,3-trimethylbicyclo[2.2.1]heptan-2-yl acetate', '4057-31-2', 'Bicyclo[2.2.1]heptan-2-ol, 1,3,3-trimethyl-, acetate', '2-Norbornanol, 1,3,3-trimethyl-, acetate', '1,3,3-Trimethylbicyclo(2.2.1)heptan-2-yl acetate', 'FEMA No. 3390', 'Bicyclo(2.2.1)heptan-2-ol, 1,3,3-trimethyl-, acetate', 'Bicyclo(2.2.1)heptan-2-ol, 1,3,3-trimethyl-, 2-acetate', '(1R,2R,4S)-1,3,3-Trimethylbicyclo(2.2.1)heptan-2-yl acetate', 'EINECS 237-588-5', 'NSC 404295', '1,3,3-Trimethyl-2-norbornanyl acetate', 'BRN 1867370', 'AI3-17540', '1,3,3-Trimethylbicyclo[2.2.1]hept-2-yl acetate', '(1R)-(+)-Fenchyl acetate', 'Bicyclo(2.2.1)heptan-2-ol, 1,3,3-trimethl-, acetate', '1,3,3-TRIMETHYLBICYCLO(2.2.1)HEPT-2-YL ACETATE', 'Bicyclo[2.2.1]heptan-2-ol, 1,3,3-trimethyl-, 2-acetate', '(1R,2R,4S)-1,3,3-trimethylbicyclo[2.2.1]heptan-2-yl acetate', 'EC 807-751-0', 'DSSTox_CID_27197', 'DSSTox_RID_82192', 'DSSTox_GSID_47197', '2-06-00-00079 (Beilstein Handbook Reference)', 'SCHEMBL184488', 'CHEMBL3186375', 'DTXSID2047197', 'CTK4I3358', 'Bicyclo(2.2.1)heptan-2-ol, 1,3,3-trimethyl-, acetate, endo-', 'Tox21_302571', '1,3-Trimethyl-2-norbornanyl acetate', 'NSC404295', 'MCULE-7634586238', 'NSC-404295', '2-Norbornanol,3,3-trimethyl-, acetate', 'NCGC00256782-01', 'WLN: L55 ATJ B1 COV1 D1 D1', 'CAS-13851-11-1', 'FT-0604531', 'FT-0626395', 'NS00003164', 'ST50408382', '3,3-Dimethyl-8,9-dinorbornan-2-yl Acetate.', '1,3,3-Trimethylbicyclo[2.2.1]hept-2-yl acetate #', 'Bicyclo[2.2.1]heptan-2-ol,3,3-trimethyl-, acetate', 'Q27280577', 'Bicyclo[2.2.1]heptan-2-ol, 1,3,3-trimethyl-, acetate, (1S-exo)-', 'Bicyclo[2.2.1]heptan-2-ol,1,3,3-trimethyl-, 2-acetate, (1R,2R,4S)-rel-', 'FENCHYL ACETATE;Fenchyl acetate;(1R,2R,4S)-1,3,3-trimethylbicyclo[2.2.1]heptan-2-yl acetate']</t>
  </si>
  <si>
    <t>Compound(107217)</t>
  </si>
  <si>
    <t>C12H20O2</t>
  </si>
  <si>
    <t>alpha-isomethylionone</t>
  </si>
  <si>
    <t>(E)-3-methyl-4-(2,6,6-trimethylcyclohex-2-en-1-yl)but-3-en-2-one</t>
  </si>
  <si>
    <t>['Alpha-isomethylionone', 'Cetone alpha', 'Isomethyl-alpha-ionone', '127-51-5', 'alpha-Cetone', '3-methyl-4-(2,6,6-trimethylcyclohex-2-en-1-yl)but-3-en-2-one', '3-Methyl-4-(2,6,6-trimethyl-2-cyclohexen-1-yl)-3-buten-2-one', 'alpha-iso-Methylionone', 'Methyl-alpha-isoionone', 'alpha-Ionone, isomethyl-', 'NSC 66432', 'FEMA No. 2714', 'Isomethylionone, alpha-', '.alpha. Isomethyl ionone', 'EINECS 204-846-3', '(3E)-3-methyl-4-(2,6,6-trimethylcyclohex-2-en-1-yl)but-3-en-2-one', 'AI3-36074', '3-BUTEN-2-ONE, 3-METHYL-4-(2,6,6-TRIMETHYL-2-CYCLOHEXEN-1-YL)-', '4-(2,6,6-Trimethyl-2-cyclohexen-1-yl)-3-methyl-3-buten-2-one', '(E)-3-methyl-4-(2,6,6-trimethylcyclohex-2-en-1-yl)but-3-en-2-one', 'g-Methylionone', '.alpha.-Cetone', '4-(2,6,6-Trimethyl 2-cyclohexen-1-yl)-3-methyl-3-buten-2-one', '(E)-3-methyl-4-(2,6,6-trimethylcyclohex-2-enyl)but-3-en-2-one', 'Isomethyl-.alpha.-ionone', 'Methyl-.alpha.-isoionone', 'Iso-.alpha.-methyl ionone', '.alpha.-Ionone, isomethyl-', 'Methyl ionone I', '3-Methyl-4-(2,6,6-trimethyl-2-cyclohexen-1-yl)-3-buten-2-one, analytical standard', 'Isomethyl-a-ionone', '3-Methyl-a-ionone', '8-Methyl-.alpha.-ionone', 'DSSTox_CID_7047', '.alpha.-iso-Methyl ionone', 'DSSTox_RID_78291', 'DSSTox_GSID_27047', '3-methyl-4-(2,6,6-trimethylcyclohex-2-enyl)but-3-en-2-one', 'SCHEMBL160940', 'alpha-ISOMETHYL IONONE BRI', 'CHEMBL3183353', 'FEMA 2714', '15789-90-9', '3-Buten-2-one, 3-methyl-4-(2,6,6-trimethyl-2-cyclo;ALPHA-ISOMETHYL IONONE;3-methyl-4-(2,6,6-trimethyl-2-cyclohexen-1-yl)-3-buten-2-one;alpha-Isomethylionone;g-Methylionone;alpha-Isomethyl ionone', 'Tox21_300152', 'SBB093728', 'STK801849', 'AKOS015899855', 'alpha-Isomethylionone, mixture of isomers', 'NCGC00247909-01', 'NCGC00254048-01', 'CAS-127-51-5', 'S582', 'LS-178802', 'M0647', 'NS00003923', 'alpha-Cetone, odorant used in allergy studies', 'alpha-Isomethyl ionone, &gt;=95%, stabilized, FG', 'Q2204200', 'W-109462', '(+)-3-Methyl-4-(2,6,6-trimethyl-2-cyclohexenyl)-3-buten-2-one', '(3E)-3-methyl-4-(2,6,6-trimethylcyclohex-2-enyl)but-3-en-2-one', '3-Methyl-4-(2,6,6-trimethyl-2-cyclohexen-1-yl)-3-buten-2-one #']</t>
  </si>
  <si>
    <t>Compound(5372174)</t>
  </si>
  <si>
    <t>alachlor</t>
  </si>
  <si>
    <t>2-chloro-N-(2,6-diethylphenyl)-N-(methoxymethyl)acetamide</t>
  </si>
  <si>
    <t>['alachlor', '15972-60-8', 'Lasagrin', 'Metachlor', 'Methachlor', 'Alanex', 'Alachlore', 'Alochlor', 'Pillarzo', 'Lasso', 'Chimiclor', '2-chloro-N-(2,6-diethylphenyl)-N-(methoxymethyl)acetamide', 'Alanox', 'LAZO', 'Lasso micro-tech', 'Alatox 480', "2-Chloro-2',6'-diethyl-N-(methoxymethyl)acetanilide", 'Acetamide, 2-chloro-N-(2,6-diethylphenyl)-N-(methoxymethyl)-', 'Alachlor technical', 'Alachlor [ANSI:BSI:ISO]', 'Caswell No. 011', 'Alachlore [ISO-French]', 'CP 50144', 'UNII-24S2S61PXL', 'CCRIS 3155', 'HSDB 1014', '2-Chloro-N-(2,6-diethyl)phenyl-N-methoxymethylacetamide', 'Alachlor technical (90% or more)', 'N-(Methoxymethyl)-2,6-diethylchloroacetanilide', 'EINECS 240-110-8', 'EPA Pesticide Chemical Code 090501', 'BRN 2944476', "alpha-Chloro-2',6'-diethyl-N-methoxymethylacetanilide", 'Chloressigsaeure-N-(methoxymethyl)-2,6-diaethylanilid', 'AI3-51506', '24S2S61PXL', "Acetanilide, 2-chloro-2',6'-diethyl-N-(methoxymethyl)-", 'alapaz', 'CHEBI:2533', 'ALACHLOR (PESTICIDES MIXTURE)', 'Chloressigsaeure-N-(methoxymethyl)-2,6-diaethylanilid [German]', 'DSSTox_CID_2265', 'DSSTox_RID_76532', 'DSSTox_GSID_22265', 'Satochlor', 'Nitala', '2-chloro-N-(2,6-diethylphenyl)-N-[(methyloxy)methyl]acetamide', 'CAS-15972-60-8', 'Ralchlor', 'Alagan', 'Alachlor-atrazine', 'Spectrum_001859', 'SpecPlus_000470', 'Spectrum2_001853', 'Spectrum3_000835', 'Spectrum4_000675', 'Spectrum5_001984', 'BIDD:PXR0027', 'SCHEMBL15501', 'BSPBio_002389', 'KBioGR_001109', 'KBioSS_002376', 'SPECTRUM330043', 'MLS002695955', 'BIDD:ER0383', 'DivK1c_006566', 'SPBio_001666', "2',6'-Diethyl-N-(methoxymethyl)-2-chloroacetanilide", 'CHEMBL1414154', 'DTXSID1022265', 'KBio1_001510', 'KBio2_002372', 'KBio2_004940', 'KBio2_007508', 'KBio3_001889', 'XCSGPAVHZFQHGE-UHFFFAOYSA-', 'HMS3091A18', 'ZINC900557', 'Tox21_202205', 'Tox21_300713', 'Alachlor 100 microg/mL in Methanol', 'CCG-39391', 'LS-909', 'AKOS015889908', 'Alachlor 5000 microg/mL in Methanol', 'MCULE-6800928097', 'VA10194', 'NCGC00090758-01', 'NCGC00090758-02', 'NCGC00090758-03', 'NCGC00090758-04', 'NCGC00090758-05', 'NCGC00090758-06', 'NCGC00090758-07', 'NCGC00090758-08', 'NCGC00090758-09', 'NCGC00254619-01', 'NCGC00259754-01', 'CC-09821', 'SMR000777860', 'Alachlor, PESTANAL(R), analytical standard', 'FT-0657940', 'FT-0661447', 'NS00000252', 'C10928', '972A608', 'C-35028', 'Q421204', 'J-009637', "2-chloro-2', 6'-diethyl-N-(methoxymethyl)acetanilide", "2-chloro-2',6'-diethyl-N-(methoxymethyl) acetanilide", "2-Chloro-2',6'-diethyl-N-(methoxymethyl)-acetanilde", "2-chloro-2',6'-diethyl-N-(methoxymethyl)-acetanilide", 'Alachlor, certified reference material, TraceCERT(R)', 'BRD-K02548315-001-02-7', 'N-methoxymethyl-N-(2,6-diethylphenyl)chloroacetamide', 'N-(methoxymethyl)-2-chloro-N-(2,6-diethylphenyl)acetamide', '2-chloro-N-(methoxymethyl)-N-(2,6-diethyl-phenyl)-acetamide', '2-Chloro-N-(2,6-diethylphenyl)-N-(methoxymethyl)acetamide, 9CI', 'Acetamide, 2-chloro-N-(2,6-diethylphenyl)-N-(methoxymethyl)- (9CI)', 'Alachlor solution, certified reference material, 1000 mug/mL in methanol']</t>
  </si>
  <si>
    <t>Compound(2078)</t>
  </si>
  <si>
    <t>[(E)-(2-methyl-2-methylsulfinylpropylidene)amino] N-methylcarbamate</t>
  </si>
  <si>
    <t>['ALDICARB SULFOXIDE', 'Temik sulfoxide', 'Aldicarb-sulfoxide', '1646-87-3', 'Caswell No. 011AAA', 'Z-isomeraldicarb sulfoxide', '2-Methyl-2-(methylsulfinyl)propanal O-((methylamino)carbonyl)oxime', '2-Methyl-2-(methylsulfinyl)propionaldehyde O-(methylcarbamoyl)oxime', 'BRN 1962013', 'Propionaldehyde, 2-methyl-2-(methylsulfinyl)-, O-(methylcarbamoyl)oxime', 'Propanal, 2-methyl-2-(methylsulfinyl)-, O-((methylamino)carbonyl)oxime', 'Propanal, 2-methyl-2-(methylsulfinyl)-, O-[(methylamino)carbonyl]oxime', 'DSSTox_CID_13161', 'DSSTox_RID_79052', 'DSSTox_GSID_33161', 'Aldicarb sulphoxide', 'CAS-1646-87-3', 'Propanal, 2-methyl-2-(methylsulfinyl)-, O-[(methylamino)carbonyl]', 'SCHEMBL3397040', 'CHEMBL1533560', 'DTXSID1033161', '(1E)-2-Methyl-1-(([(methylamino)carbonyl]oxy)imino)-2-(methylsulfinyl)propane #', 'Tox21_201744', 'Tox21_303449', 'AKOS015894690', 'NCGC00090719-01', 'NCGC00090719-02', 'NCGC00090719-03', 'NCGC00090719-04', 'NCGC00257315-01', 'NCGC00259293-01', 'LS-123982', 'NS00000085', 'C-56403', 'J-010158', 'J-519548', 'Aldicarb-sulfoxide, PESTANAL(R), analytical standard', 'Q27269178', '(1E)-2-methyl-2-(methylsulfinyl)propanal O-(methylcarbamoyl)oxime', '2-Methyl-2-(methylsulfinyl)propanal-O-((methylamino)carbonyl)oxime', 'Pesticide2_Aldicarb sulfoxide_C7H14N2O3S_Propanal, 2-methyl-2-(methylsulfinyl)-, O-[(methylamino)carbonyl]oxime, (1E)-']</t>
  </si>
  <si>
    <t>Compound(9568700)</t>
  </si>
  <si>
    <t>C7H14N2O3S</t>
  </si>
  <si>
    <t>[(E)-(2-methyl-2-methylsulfanylpropylidene)amino] N-methylcarbamate</t>
  </si>
  <si>
    <t>['aldicarb', 'Temik', 'Aldicarbe', '116-06-3', 'Temik 10 G', 'NSC 379586', 'Z-isomeraldicarb', 'UC-21149', '2-Methyl-2-(methylthio)propionaldehyde O-(methylcarbamoyl)oxime', 'OMS-771', '2-Methyl-2-(methylthio)propanal, O-((methylamino)carbonyl)oxime', 'Propanal, 2-methyl-2-(methylthio)-, O-((methylamino)carbonyl)oxime', 'Carbamyl', 'Sulfone aldoxycarb', '2-Methyl-2-(methylthio)propanal O-[(methylamino)carbonyl]oxime', 'Propanal, 2-methyl-2-(methylthio)-, O-[(methylamino)carbonyl]oxime', 'Aldicarb [ISO]', 'Aldicarbe [French]', 'Temik G10', 'Caswell No. 011A', 'TEMIK G', 'Union carbide 21149', '2-Methyl-2-methylthio-propionaldehyd-O-(N-methyl-carbamoyl)-oxim', 'RCRA waste number P070', 'ENT 27,093', 'CCRIS 17', 'Union carbide UC-21149', 'HSDB 1510', 'NCI-C08640', 'EINECS 204-123-2', '(1E)-2-methyl-2-(methylthio)propanal O-[(methylamino)carbonyl]oxime', '2-methyl-N-[(methylcarbamoyl)oxy]-2-(methylsulfanyl)propan-1-imine', 'Propionaldehyde, 2-methyl-2-(methylthio)-, O-(methylcarbamoyl)oxime', 'EPA Pesticide Chemical Code 098301', 'AI3-27093', 'RCRA waste no. P070', 'Temik G 10', 'CHEBI:2555', '2-Metil-2-tiometil-propionaldeid-O-(N-metil-carbamoil)-ossima', 'Aldecarb', 'Temic', 'aldicarb+', 'Aldicarb H', '2-Methyl-2-methylthio-propionaldehyd-O-(N-methyl-carbamoyl)-oxim [German]', '2-Metil-2-tiometil-propionaldeid-O-(N-metil-carbamoil)-ossima [Italian]', 'Carbamic acid, methyl-, O-((2-methyl-2-(methylthio)propylidene)amino) deriv.', 'UC21149', 'Spectrum5_002022', 'SCHEMBL9781', 'BSPBio_002463', 'SPECTRUM330061', '[(2-methyl-2-methylsulfanylpropylidene)amino] N-methylcarbamate', 'Union Carbide UCA 21149', 'BIDD:ER0312', 'CHEMBL91732', 'QGLZXHRNAYXIBU-WEVVVXLNSA-', 'O-(Methylcarbamoyl)-2-methyl-2-(methylthio)propionaldehyd-oxime', 'ZINC5662877', 'Pesticide2_Aldicarb_C7H14N2O2S_', 'BDBM50064478', 'CCG-39640', 'LS-579', 'NSC379586', 'AKOS006228461', 'CS-3315', 'NSC-379586', 'NCGC00090795-01', 'NCGC00090795-02', 'NCGC00090795-03', 'NCGC00090795-04', 'NCGC00090795-05', 'NCGC00090795-06', 'NCGC00090795-07', 'NCGC00090795-08', 'NCGC00090795-09', 'NCGC00090795-10', 'CC-23829', 'HY-17529', 'LS-123987', 'Aldicarb, PESTANAL(R), analytical standard', 'NS00000083', 'C11015', '116A063', 'C-08123', 'J-003379', 'Aldicarb, certified reference material, TraceCERT(R)', 'BRD-K32595626-001-01-8', 'Q27285799', 'N-methylcarbamoyloxime,2-methylthio-2-methylpropionaldehy de', 'N-methylcarbamoyloxime,2-methylthio-2-methylpropionaldehyde', 'ALDICARB (SEE ALSO ALDECARB OXIME (CAS 1646-75-9))', 'Methyl-2-(methylthio)propionaldehyde O-(methylcarbamoyl)oxim e', 'Methyl-2-(methylthio)propionaldehyde O-(methylcarbamoyl)oxime', 'N-methylcarbamoyloxime,2-methyl-2-methylsulfenylpropionaldehyde', '2-Methyl-2-methylthio-propionaldehyd-O-(N-methyl-carbamoyl)-oxime', '2-Methyl-1-(([(methylamino)carbonyl]oxy)imino)-2-(methylsulfanyl)propane #', 'Methylcarbamic acid, o-((2-methyl-2-(methylthio)propylidene)amino) deriv', 'Carbamic acid, methyl-, O-((2-methyl-2-(methylthio)propylidene)amino) deriv']</t>
  </si>
  <si>
    <t>Compound(9570071)</t>
  </si>
  <si>
    <t>C7H14N2O2S</t>
  </si>
  <si>
    <t>aldicarbsulfone</t>
  </si>
  <si>
    <t>[(E)-(2-methyl-2-methylsulfonylpropylidene)amino] N-methylcarbamate</t>
  </si>
  <si>
    <t>['Aldoxycarb', 'Standak', 'Sulfocarb', 'ALDICARB SULFONE', 'Aldicarb-sulfone', '1646-88-4', 'Aldicarb (sulfone)', 'Caswell No. 011AA', 'Aldoxycarbe [ISO-French]', 'UNII-IL70ANS043', 'Aldoxycarb [ANSI:BSI:ISO]', 'ENT 4.9', 'ENT AI3-29261', 'EINECS 216-710-0', 'RCRA waste no. P203', 'EPA Pesticide Chemical Code 110801', '2-Methyl-2-(methylsulfonyl)propionaldehyde O-(methylcarbamoyl)oxime', 'BRN 1971375', 'Propanal, 2-methyl-2-(methylsulfonyl)-, O-[(methylamino)carbonyl]oxime', 'UC-21865', 'Temik sulfone', 'AI3-29261', 'C7H14N2O4S', 'IL70ANS043', 'CHEBI:82051', '2-Methyl-2-(methylsulphonyl)propionaldehyde O-(methylcarbamoyl)oxime', 'Propionaldehyde, 2-methyl-2-(methylsulfonyl)-, O-(methylcarbamoyl)oxime', '2-Mesyl-2-methylpropionaldehyde O-methylcarbamoyloxime', '2-Methyl-2-methylsulphonylpropionaldehyde O-methylcarbamoyloxime', '2-Methyl-2-(methylsulfonyl)propanal O-((methylamino)carbonyl)oxime', 'DSSTox_CID_3862', 'Propanal, 2-methyl-2-(methylsulfonyl)-, O-((methylamino)carbonyl)oxime', 'DSSTox_RID_77208', 'DSSTox_GSID_23862', 'Aldoxycarbe', '2-methyl-2-(methylsulfonyl)propanal O-[(methylamino)carbonyl]oxime', 'Propanal, 2-methyl-2-(methylsulfonyl)-, O-((methylamino)carbonyl) oxime', 'CAS-1646-88-4', 'SCHEMBL23560', 'CHEMBL2138916', 'DTXSID6023862', '(1E)-2-Methyl-1-(([(methylamino)carbonyl]oxy)imino)-2-(methylsulfonyl)propane #', 'Carbamic acid, methyl-, O-[[2-methyl-2-(methylsulfonyl)propylidene]amino] deriv.', 'Tox21_201338', 'Tox21_303266', '2-Methyl-2-(methylsulfonyl)propanal O-(methylcarbamoyl)oxime (8CI)', '3430AH', 'AKOS015912931', 'CS-3316', 'NCGC00160630-01', 'NCGC00160630-02', 'NCGC00160630-03', 'NCGC00257229-01', 'NCGC00258890-01', 'HY-17530', 'LS-123983', 'NS00000084', 'C18906', 'C-47347', 'Aldicarb-sulfone, PESTANAL(R), analytical standard', 'J-010159', 'J-519547', '2-Methyl-2-(methylsulfonyl)propanal O-(methylcarbamoyl)oxime', '[(E)-(2-methyl-2-methylsulfonylpropylidene)amino] N-methylcarbamate', '2-Methyl-2-(methylsulfonyl)propanal-O-((methylamino)carbonyl)oxime', '2-methyl-2-(methylsulphonyl)propionaldehyde O-(methylcarbamoyl)oxime;Aldoxycarb', 'Pesticide2_Aldicarb sulfone_C7H14N2O4S_Propanal, 2-methyl-2-(methylsulfonyl)-, O-[(methylamino)carbonyl]oxime, (1E)-']</t>
  </si>
  <si>
    <t>Compound(9570093)</t>
  </si>
  <si>
    <t>C7H14N2O4S</t>
  </si>
  <si>
    <t>(1R,2R,3R,6S,7S,8S)-1,8,9,10,11,11-hexachlorotetracyclo[6.2.1.13,6.02,7]dodeca-4,9-diene</t>
  </si>
  <si>
    <t>['aldrin', 'Aldrosol', 'Kortofin', 'Tatuzinho', 'Aldocit', 'Aldrine', 'Aldrite', 'Aldron', 'Algran', 'Seedrin', 'Tipula', 'Compound 118', 'HHDN', 'Aldrex 40', 'Soilgrin', 'Altox', '309-00-2', 'Aldrine [French]', 'Aldrex 30', 'Aldrex', 'Caswell No. 012', 'Drinox', 'Latka 118 [Czech]', 'Aldrin, liquid', 'Aldrin, solid', 'NCI-C00044', 'Aldrin-R', 'UNII-OZE3CLY605', 'RCRA waste number P004', 'CCRIS 18', 'ENT 15,949', 'SD 2794', 'HHPN', 'HSDB 199', 'NSC 8937', 'EINECS 206-215-8', 'HHDN [BSI:ISO]', 'NA2762', '(1R,4S,4aS,5S,8R,8aR)-1,2,3,4,10,10-Hexachloro-1,4,4a,5,8,8a-hexahydro-1,4:5,8-dimethanonaphthalene', 'RCRA waste no. P004', 'EPA Pesticide Chemical Code 045101', 'OZE3CLY605', 'AI3-15949', 'OMS-194', 'Hexachlorohexahydro-endo-exo-dimethanonaphthalene', '1,4:5,8-Dimethanonaphthalene, 1,2,3,4,10,10-hexachloro-1,4,4a,5,8,8a-hexahydro-, endo,exo-', '(1alpha,4alpha,4abeta,5alpha,8alpha,8abeta)-1,2,3,4,10,10-hexachloro-1,4,4a,5,8,8a-hexahydro-1,4:5,8-dimethanonaphthalene', '1,2,3,4,10,10-Hexachloro-1,4,4a,5,8,8a-hexahydro-endo-1,4-exo-5,8-dimethanonaphthalene', '1,2,3,4,10,10-Hexachloro-1,4,4a,5,8,8a-hexahydro-exo-1,4-endo-5,8-dimethanonaphthalene', 'Alderin', '1,4:5,8-Dimethanonaphthalene, 1,2,3,4,10,10-hexachloro-1,4,4a,5,8,8a-hexahydro-, (1alpha,4alpha,4abeta,5alpha,8alpha,8abeta)-', 'Q63398891', 'Aldrin Dust', 'Aldrin [ISO]', 'Latka 118', 'Aldrex 30 E.C.', 'aldrin mixture', '(1R,4S,4aS,5S,8R,8aR)-rel-1,2,3,4,10,10-Hexachloro-1,4,4a,5,8,8a-hexahydro-1,4:5,8-dimethanonaphthalene', 'HHDM', 'compd 118', 'Aldrex 30 E.C', 'octalene compound 118', 'Aldrin, analytical standard', 'BIDD:PXR0045', 'SCHEMBL18376', 'BIDD:ER0446', 'CHEBI:2564', 'DTXSID8020040', '1,2,3,4,10,10-Hexachloro-1,4,4a,5,8,8a-hexahydro-1,4-endo,exo-5,8-dimethanonaphthalene', '1,2,3,4,10,10-Hexachloro-1,4,4a,5,8,8a-Hexahydro-1,4-endo-exo-5,8-dimethanonaphthalene', '1,2,3,4,10,10-hexachloro-1,4,4a,5,8,8a-hexahydro-1,4:5,8-dimethanonaphthalene', '1,2,3,4,10,10-Hexachloro-1,4,4a,5,8,8a-hexahydro-endo-exo-1,4:5,8-dimethanonaphthalene', 'Aldrin 1000 microg/mL in Hexane', '1,2,3,4,10,10-Hexachloro-1,4,4a,5,8,8a-hexahydro-1,4:5,8-dimethanonaphthalene, endo,exo-', '1,2,3,4,10,10-Hexachloro-1.alpha.,4.alpha.,4a.beta.,5.alpha.,8.alpha.,8a.beta.-hexahydro1,4:5,8-dimethanonaphthalene', 'Aldrin 10 microg/mL in Cyclohexane', 'Aldrin 100 microg/mL in Isooctane', 'Aldrin 10 microg/mL in Acetonitrile', 'MFCD00135587', 'ZINC18255657', 'Aldrin, solid [NA2761] [Poison]', 'Aldrin, liquid [NA2762] [Poison]', 'Aldrin, solid [NA2761]  [Poison]', 'LS-1166', 'Aldrin, liquid [NA2762]  [Poison]', 'NCGC00249160-01', 'Aldrin, PESTANAL(R), analytical standard', 'Aldrin, 99%, vial of 1 g, analytical standard', 'Q409054', 'Aldrin, certified reference material, TraceCERT(R)', 'J-018192', 'Aldrin solution, 20 mug/mL in methanol, analytical standard', 'Aldrin solution, 200 mug/mL in isooctane, analytical standard', 'Aldrin solution, certified reference material, 5000 mug/mL in methanol', 'Aldrin solution, 100 mug/mL in acetonitrile, PESTANAL(R), analytical standard', '(1alpha,4alpha,4abeta,5alpha,8alpha,8abeta)-1,2,3,4,10,10-hexachloro-1,4,4a,5,8,8a-hexahydro-1,4:5 ,8-Dimethanonaphthalene', '1,2,3 ,4,10,10-hexachloro-1,4,4a,5,8,8a-hexahydro-exo-1,4-endo-5,8-dimethanonaphthalene', '1,4:5,8-Dimethanonaphthalene, 1,2,3,4,10,10-hexachloro-, 1,4,4a,5,8,8a-hexahydro-, endo,exo-', '1,4:5,8-Dimethanonaphthalene, 1,2,3,4,10,10-hexachloro-1,4,4a,5,8,8a-hexahydro-(1alpha,4alpha,4abeta,5alpha,8alpha,8a beta)-', '1,4:5,8-Dimethanonaphthalene, 1,2,3,4,10,10-hexachloro-1,4,4a,5,8,8a-hexahydro-(1alpha,4alpha,4abeta,5alpha,8alpha,8abeta)-', '2,7:3,6-Dimethanonaphthalene, 1,2,3,4,10,10-hexachloro-1,4,4a,5,8,8a-hexahydro-, (1alpha,4alpha,4abeta,5alpha,8alpha,8abeta)-']</t>
  </si>
  <si>
    <t>Compound(12310947)</t>
  </si>
  <si>
    <t>C12H8Cl6</t>
  </si>
  <si>
    <t>N-[3-[(4-amino-6,7-dimethoxyquinazolin-2-yl)-methylamino]propyl]oxolane-2-carboxamide</t>
  </si>
  <si>
    <t>['alfuzosin', '81403-80-7', 'Alfuzosina', 'Alfuzosine', 'Alfuzosinum', 'Alfuzosine [French]', 'Alfuzosinum [Latin]', 'Alfuzosina [Spanish]', 'Alfuzosin [INN:BAN]', 'Uroxatral', 'ALFLUZOCIN', 'SL 77499', 'HSDB 7290', 'SL 77-499', 'CHEMBL709', 'N-[3-[(4-amino-6,7-dimethoxyquinazolin-2-yl)-methylamino]propyl]oxolane-2-carboxamide', 'CHEBI:51141', 'N-(3-((4-Amino-6,7-dimethoxy-2-quinazolinyl)methylamino)propyl)tetrahydro-2-furancarboxamide', 'N-{3-[(4-amino-6,7-dimethoxyquinazolin-2-yl)(methyl)amino]propyl}tetrahydrofuran-2-carboxamide', 'Alfusosine', 'C19H27N5O4', 'alphuzosine', 'N-[3-[(4-amino-6,7-dimethoxy-2-quinazolinyl)methylamino]propyl]tetrahydro-2-furancarboxamide', 'N-{3-[(4-amino-6,7-dimethoxyquinazolin-2-yl)(methyl)amino]propyl}oxolane-2-carboxamide', 'Alfuzosin (INN)', '2-Furancarboxamide, N-(3-((4-amino-6,7-dimethoxy-2-quinazolinyl)methylamino)propyl)tetrahydro-', 'n-(3-((4-amino-6,7-dimethoxyquinazolin-2-yl)(methyl)amino)propyl)tetrahydrofuran-2-carboxamide', 'SMR000466340', 'Xatral (TN)', 'SL-77499-10', 'Alfuzosin/', 'N-(3-((4-amino-6,7-dimethoxyquinazolin-2-yl)', 'SR-01000759345', 'ALFLUZOSIN', 'Prestwick0_000322', 'Prestwick1_000322', 'Prestwick2_000322', 'Prestwick3_000322', 'Spectrum2_000505', 'Spectrum3_001063', 'Spectrum4_001208', 'Spectrum5_000817', 'SCHEMBL34477', 'BSPBio_000323', 'BSPBio_002646', 'KBioGR_001616', 'MLS000759449', 'MLS001424027', 'MLS006011887', 'SPECTRUM1505263', 'SPBio_000429', 'SPBio_002244', 'BPBio1_000357', 'GTPL7109', 'DTXSID6048549', 'KBio3_001866', 'HMS1922P11', 'HMS2051I10', 'HMS2093O06', 'HMS2235O22', 'HMS3369K03', 'HMS3393I10', 'HMS3749I05', 'Pharmakon1600-01505263', 'ACT03219', 'HY-B0192', 'ABP000595', 'BDBM50033110', 'BG0022', 'CCG-39585', 'NSC760065', 's5766', 'STK643675', 'AKOS005574697', 'API0001406', 'CCG-100859', 'CS-2086', 'DB00346', 'MCULE-9094645643', 'NC00109', 'NSC-760065', 'SDCCGSBI-0206735.P002', 'VA10203', 'NCGC00095152-01', 'NCGC00095152-02', 'NCGC00095152-03', 'NCGC00095152-04', 'NCGC00095152-05', 'NCGC00095152-07', 'CC-23834', 'K449', 'LS-70106', 'SC-17006', 'SBI-0206735.P001', 'AB0014226', 'DB-056523', 'AB00514667', 'FT-0630891', 'NS00000621', 'NS00098825', 'D07124', 'AB00514667-07', 'AB00514667-09', 'AB00514667-10', 'AB00514667_11', 'AB00514667_12', '(methyl)amino)propyl)tetrahydrofuran-2-carboxamide', '403A807', 'A840122', 'C-21524', 'L001317', 'Q2736873', 'SR-01000759345-4', 'BRD-A09056319-001-02-2', 'BRD-A09056319-001-05-5', 'BRD-A09056319-003-03-6', 'N-[3-[(4-amino-6,7-dimethoxy-2-quinazolinyl)-methylamino]propyl]-2-oxolanecarboxamide', 'N-[3-[(4-azanyl-6,7-dimethoxy-quinazolin-2-yl)-methyl-amino]propyl]oxolane-2-carboxamide', '(+/-)-N-[3-[(4-amino-6,7-dimethoxy-2-quinazolinyl)methylamino]propyl]tetrahydro-2-furamide', '1100050-87-0', '2-Furancarboxamide,N-[3-[(4-amino-6,7-dimethoxy-2-quinazolinyl)methylamino]propyl]tetrahydro-', 'N-[3-[(4-amino-6,7-dimethoxy-quinazolin-2-yl)- methyl-amino]propyl] tetrahydrofuran- 2-carboxamide', 'N-{3-[(4-Amino-6,7-dimethoxy-2-quinazolinyl)(methyl)amino]propyl}tetrahydro-2-furancarboxamide', 'N-{3-[(4-imino-6,7-dimethoxy-3,4-dihydroquinazolin-2-yl)(methyl)amino]propyl}oxolane-2-carboximidic acid']</t>
  </si>
  <si>
    <t>Compound(2092)</t>
  </si>
  <si>
    <t>C19H27N5O4</t>
  </si>
  <si>
    <t>alkyl (C10-C13) benzene</t>
  </si>
  <si>
    <t>undecylbenzene</t>
  </si>
  <si>
    <t>['UNDECYLBENZENE', '1-Phenylundecane', '6742-54-7', 'Benzene, undecyl-', 'Undecanylbenzene', 'n-Undecylbenzene', 'Undecane, 1-phenyl-', 'HSDB 5177', 'Benzene, C10-13-alkyl derivs.', 'Alkyl(C10-C13)benzene', 'UNII-8C9LPO3Q9T', '67774-74-7', 'Benzene, mono-C10-13-alkyl derivs.', '129813-58-7', 'EINECS 229-806-2', 'NSC 251008', '8C9LPO3Q9T', 'ScintiVerse&amp;trade; BD Cocktail', 'Phenylundecane', 'undecyl-benzene', 'EINECS 267-051-0', 'Benzene, C10-C13 alkyl derivatives', 'C10-13 alkylbenzene', '1-Phenylundecane, 99%', 'DSSTox_CID_9281', 'EC 267-051-0', 'ACMC-1B92L', 'DSSTox_RID_78746', 'DSSTox_GSID_29281', 'Undecane, 1-phenyl- (8CI)', 'CHEMBL3182307', 'DTXSID3029281', 'Linear Alkylbenzene, C10-C13', 'ZINC1769507', 'Benzene, C10-13 alkyl derivatives', 'Tox21_200115', 'ANW-75598', 'NSC251008', 'AKOS015902390', 'MCULE-8650090537', 'NSC-251008', 'NCGC00248531-01', 'NCGC00257669-01', '29463-63-6', 'CAS-6742-54-7', 'LS-195384', 'NS00036124', 'ST50409723', 'U0010', 'Q27270180']</t>
  </si>
  <si>
    <t>Compound(23194)</t>
  </si>
  <si>
    <t>allyl alcohol</t>
  </si>
  <si>
    <t>prop-2-en-1-ol</t>
  </si>
  <si>
    <t>['ALLYL ALCOHOL', '2-Propen-1-ol', '107-18-6', 'PROP-2-EN-1-OL', 'Vinylcarbinol', '2-Propenyl alcohol', '3-Hydroxypropene', '2-Propenol', 'Allylic alcohol', '1-Propen-3-ol', 'Vinyl carbinol', 'Weed drench', 'Propenyl alcohol', 'Allylalkohol', 'Propenol', '1-Propenol-3', 'Alcool allylique', 'Allilowy alkohol', 'Propen-1-ol-3', 'Shell unkrautted A', 'Alcool allilco', 'Shell Unkrauttod A', 'RCRA waste number P005', 'Allylalkohol [German]', 'Caswell No. 026', 'Alcool allilco [Italian]', 'Allyl al', 'Alcool allylique [French]', 'Allilowy alkohol [Polish]', 'NSC 6526', 'CCRIS 747', '2-Propene-1-ol', 'HSDB 192', '1-hydroxy-2-propene', 'UNII-3W678R12M0', '3-Hydroxy-1-propene', 'EINECS 203-470-7', 'UN1098', 'RCRA waste no. P005', 'EPA Pesticide Chemical Code 068401', 'AI3-14312', 'CHEBI:16605', 'MFCD00002920', '3W678R12M0', 'DSSTox_CID_44', 'DSSTox_RID_75335', 'DSSTox_GSID_20044', 'Allyl alcohol, &gt;=98.5%', 'Allyl alcohol, 99%, extra pure', 'CAS-107-18-6', 'allylalcohol', 'Orvinylcarbinol', 'Aaalcool allilco', 'AllOH', 'Propenol-3', '2-propen-1ol', '1-Propenol-3-ol', 'prop-2-en-I-ol', 'ALLYL-ALCOHOL', 'CH2=CHCH2OH', 'Allyl alcohol, &gt;=99%', 'EC 203-470-7', 'WLN: Q2U1', 'CHEMBL234926', 'DTXSID8020044', 'CTK0H5235', 'NSC6526', 'Allyl alcohol, analytical standard', 'ZINC901213', 'BCP26846', 'NSC-6526', 'Tox21_200200', 'Tox21_303507', 'Allyl alcohol [UN1098] [Poison]', 'LS-433', 'STL185566', 'AKOS000118796', 'Allyl alcohol [UN1098]  [Poison]', 'MCULE-2145308838', 'UN 1098', 'NCGC00091428-01', 'NCGC00091428-02', 'NCGC00091428-03', 'NCGC00257474-01', 'NCGC00257754-01', '62309-52-8', 'Allyl Alcohol 500 microg/mL in Methanol', 'BP-21152', 'A0218', 'NS00006853', '6025-EP0930075A1', '6025-EP2274983A1', '6025-EP2275401A1', '6025-EP2275411A2', '6025-EP2275417A2', '6025-EP2284157A1', '6025-EP2284162A2', '6025-EP2284163A2', '6025-EP2305684A1', '6025-EP2308861A1', '6025-EP2308877A1', '6025-EP2311815A1', '6025-EP2311823A1', '6025-EP2374783A1', '6025-EP2377841A1', '6025-EP2380568A1', 'C02001', 'Q414553', 'ALLYL ALCOHOL (ALLYL ACETATE (591-87-7))', 'F0001-0139', 'Z1259086992', 'allyl alcohol;2-Propen-1-ol;STYRENE-ALLYL ALCOHOL COPOLYMER']</t>
  </si>
  <si>
    <t>Compound(7858)</t>
  </si>
  <si>
    <t>1,5-dihydropyrazolo[3,4-d]pyrimidin-4-one</t>
  </si>
  <si>
    <t>['allopurinol', '315-30-0', '1H-Pyrazolo[3,4-d]pyrimidin-4-ol', 'Zyloprim', 'Lopurin', 'Zyloric', 'Atisuril', 'Bleminol', 'Caplenal', 'Uripurinol', 'Embarin', 'Foligan', 'Milurit', 'Progout', 'Urosin', 'Anoprolin', 'Cellidrin', 'Epidropal', 'Suspendol', 'Ailural', 'Allopur', 'Allural', 'Alositol', 'Bloxanth', 'Cosuric', 'Hamarin', 'Ledopur', 'Lysuron', 'Uricemil', 'Uriprim', 'Xanturat', 'Aloral', 'Anzief', 'Apurin', 'Apurol', 'Geapur', 'Gotax', 'Remid', 'Urbol', 'Urolit', 'Urtias', 'Ketobun-A', 'Apulonga', 'Dabrosin', 'Dabroson', 'Ketanrift', 'Miniplanor', 'Nektrohan', 'Takanarumin', 'Urobenyl', 'Adenock', 'Allozym', 'Aluline', 'Gichtex', 'Monarch', 'Riball', 'Hexanuret', 'Epuric', '4-Hydroxypyrazolo[3,4-d]pyrimidine', '1H-Pyrazolo[3,4-d]pyrimidin-4(5H)-one', 'Allo-Puren', '4-HPP', 'Allopurinol(I)', 'Dura Al', 'Aloprim', '4-Hydroxy-1H-pyrazolo(3,4-d)pyrimidine', 'Urtias 100', '4-Hydroxypyrazolopyrimidine', '1H-Pyrazolo(3,4-d)pyrimidin-4-ol', 'Allopurinolum', 'Alopurinol', '4-Hydroxy-3,4-pyrazolopyrimidine', '4-Hydroxypyrazolo(3,4-d)pyrimidine', 'Alopurinol [INN-Spanish]', 'Allopurinolum [INN-Latin]', 'NSC-1390', '4-Hydroxypyrazolyl(3,4-d)pyrimidine', '4H-Pyrazolo(3,4-d)pyrimidin-4-one', "4'-Hydroxypyrazolol(3,4-d)pyrimidine", '1H-pyrazolo[3,4-d]pyrimidin-4(7H)-one', 'AL-100', 'Zyloprim (TN)', '1,5-Dihydro-4H-pyrazolo(3,4-d)pyrimidin-4-one', '1,5-Dihydro-4H-pyrazolo[3,4-d]pyrimidin-4-one', 'BW 56-158', '4H-Pyrazolo[3,4-d]pyrimidin-4-one, 1,5-dihydro-', '180749-06-8', '180749-08-0', 'B. W. 56-158', '1,5-Dihydro-4H-pyrazolo(3,4-d)pyrimidine-4-one', 'BW-56-158', 'UNII-63CZ7GJN5I', 'NSC 1390', '73334-58-4', 'HPP', '2H-Pyrazolo[3,4-d]pyrimidin-4-ol', 'CCRIS 626', 'NSC 101655', 'MLS000069453', '4H-Pyrazolo(3,4-d)pyrimidin-4-one, 1,5-dihydro-', 'CHEBI:40279', 'HSDB 3004', '1H,4H,5H-pyrazolo[3,4-d]pyrimidin-4-one', 'EINECS 206-250-9', '63CZ7GJN5I', 'BW-56158', 'C5H4N4O', 'SMR000059083', '1H-pyrazolo[3,4-d]pyrimidin-4(2H)-one', '180749-09-1', '1,5-Dihydropyrazolo[3,4-d]pyrimidin-4-one', 'NSC1390', '4H-Pyrazolo[3,4-d]pyrimidin-4-one,1,2-dihydro-', 'Allopurinol, 98%', 'MFCD00599413', 'NSC101655', 'NSC-101655', '180749-07-9', '184789-03-5', 'NCGC00015094-02', 'NCGC00094580-04', '4-Hydroxy-1H-pyrazolo[3,4-d]pyrimidine', 'BW 56158', 'Milurite', 'Sigapurol', 'Uritas', '1H,2H,4H-pyrazolo[3,4-d]pyrimidin-4-one', 'DSSTox_CID_2573', '1,5-Dihydro-pyrazolo[3,4-d]pyrimidin-4-one', 'DSSTox_RID_76636', 'DSSTox_GSID_22573', '4H-Pyrazolo[3,4-d]pyrimidin-4-one, 1,2-dihydro-', 'pyrazolo[5,4-d]pyrimidin-4-ol', '4H-Pyrazolo[3, 1,5-dihydro-', 'Ailurial', 'WLN: T56 BMN GN INJ FQ', '4-Hydroxypyrazolyl[3,4-d]pyrimidine', "4'-Hydroxypyrazolol[3,4-d]pyrimidine", 'CAS-315-30-0', 'SR-05000001983', 'Hexanurat', 'Uricto', 'ATH008', '1,2-dihydropyrazolo[3,4-d]pyrimidin-4-one', 'Allopurinol [USAN:INN:BAN:JAN]', 'Prestwick_511', 'Xanthomax-100', 'Xanthomax-300', 'Aluline 100', 'Aluline 300', 'Hamarin 100', 'Hamarin 300', 'Zyloric-300', 'Allopurinol [USAN:USP:INN:BAN:JAN]', 'Allopurinol (Zyloprim)', 'PubChem13052', 'Spectrum_000026', 'Opera_ID_1680', 'Spectrum2_000098', 'Spectrum3_000289', 'Spectrum4_000135', 'Spectrum5_000768', 'Lopac-A-8003', '1H,4H,7H-pyrazolo[3,4-d]pyrimidin-4-one', '1,4-d]pyrimidin-4-one', 'A 8003', 'cid_2094', 'SCHEMBL4627', 'CHEMBL1467', 'NCIOpen2_001825', 'Lopac0_000102', 'BSPBio_001798', 'KBioGR_000550', 'KBioSS_000386', 'KSC171E0R', 'MLS001148183', 'US9138393, Allopurinol', 'US9144538, Allopurinol', 'DivK1c_000685', 'SPECTRUM1500108', 'SPBio_000056', 'GTPL6795', 'SCHEMBL1128219', 'Allopurinol (JP17/USP/INN)', 'DTXSID4022573', 'BDBM35440', 'CTK0H1208', 'CTK0H1209', 'CTK5D7801', 'CTK8H3286', 'HMS502C07', 'KBio1_000685', 'KBio2_000386', 'KBio2_002954', 'KBio2_005522', 'KBio3_001298', '4H-Pyrazolo[3,4-d]pyrimidin-4-one, 1,7-dihydro- (9CI)', 'NINDS_000685', 'BDBM181133', 'HMS1920A15', 'HMS2091G15', 'HMS2234M09', 'HMS3259K13', 'HMS3260E06', 'HMS3371I11', 'HMS3651O13', 'HMS3714L22', 'Pharmakon1600-01500108', '4-Hydroxypyrazol[3,4-D]pyrimidine', 'ACT02732', 'BCP26973', 'CID 2094', 'H-Pyrazolo(3,4-d)pyrimidin-4-ol', 'HY-B0219', 'STR05189', 'Tox21_110082', 'Tox21_200922', 'Tox21_500102', '2204AH', '4-Hydroxy-pyrazolo[3,4-d]pyrimidin', 'AC-019', 'BBL002902', 'BBL009959', 'BDBM50016784', 'BDBM50140241', 'CCG-38916', 'NSC755858', 's1630', 'SBB004202', 'SC1118', 'SC2251', 'STK378584', 'STK711106', 'ZINC13298313', 'AKOS000267490', 'AKOS000269759', 'AKOS024255717', 'Tox21_110082_1', 'Allopurinol, xanthine oxidase inhibitor', 'CCG-204197', 'CCG-221406', 'CCG-266128', 'CS-2166', 'DB00437', 'LP00102', 'LS-1180', 'MCULE-5186178136', 'NC00492', 'NSC-755858', 'SB10164', 'SDCCGSBI-0050090.P005', 'IDI1_000685', 'NCGC00015094-01', 'NCGC00015094-03', 'NCGC00015094-04', 'NCGC00015094-05', 'NCGC00015094-06', 'NCGC00015094-07', 'NCGC00015094-22', 'NCGC00091134-01', 'NCGC00091134-02', 'NCGC00091134-03', 'NCGC00094580-01', 'NCGC00094580-02', 'NCGC00094580-05', 'NCGC00188948-01', 'NCGC00258476-01', 'NCGC00260787-01', 'AK-49674', 'BR-49674', 'SC-16544', 'TS-00028', '2h-pyrazolo[3,4-d]pyrimidin-4(5h)-one', '2H-pyrazolo[3,4-d]pyrimidin-4(7H)-one', 'SBI-0050090.P004', 'AB0006119', 'AB0011633', 'AB0088254', 'DB-065332', 'A0907', 'EU-0100102', 'FT-0602537', 'FT-0661492', 'FT-0685730', 'FT-0764079', 'NS00000618', 'ST45179105', 'SW199406-4', '1,5-dihydropyrazolo[3,4-d]-pyrimidin-4-one', 'VU0611037-1', 'BIM-0061756.0001', 'D00224', 'L-1944', 'Q-1018', '32298-EP2272832A1', '32298-EP2281815A1', '32298-EP2292227A2', '32298-EP2292630A1', '32298-EP2295426A1', '32298-EP2295427A1', '32298-EP2301933A1', '32298-EP2305219A1', '32298-EP2305640A2', '32298-EP2311825A1', '32298-EP2311827A1', 'AB00173448-03', 'AB00173448-04', 'AB00173448_05', 'AB01274719-01', 'AB01274719_02', '4h-pyrazolo[3,4-d]pyrimidin-4-one,1,7-dihydro-', '4h-pyrazolo[3,4-d]pyrimidin-4-one,2,5-dihydro-', '4h-pyrazolo[3,4-d]pyrimidin-4-one,2,7-dihydro-', 'AB-323/25048497', 'Allopurinol (4-Hydroxypyrazolo[3,4-d]pyrimidine)', 'Q412486', 'SR-01000075595', '4H-pyrazolo[3,4-d]pyrimidin-4-one, 1,7-dihydro-', 'J-504736', 'SR-01000075595-1', 'SR-05000001983-1', 'SR-05000001983-2', 'W-106892', '1,7-DIHYDRO-PYRAZOLO[3,4-D]PYRIMIDIN-4-ONE', '1,2-DIHYDRO-4H-PYRAZOLO[3,4-D]PYRIMIDIN-4-ONE', '1,5-Dihydro-4H-pyrazolo(3,4-d)pyrimidin-4-one (9CI)', 'F2173-0394', 'F3329-0375', 'Z228474686', 'Allopurinol, British Pharmacopoeia (BP) Reference Standard', 'Allopurinol, European Pharmacopoeia (EP) Reference Standard', 'Allopurinol, United States Pharmacopeia (USP) Reference Standard', 'Allopurinol, Pharmaceutical Secondary Standard; Certified Reference Material']</t>
  </si>
  <si>
    <t>Compound(135401907)</t>
  </si>
  <si>
    <t>C5H4N4O</t>
  </si>
  <si>
    <t>(2-methyl-4-oxo-3-prop-2-enylcyclopent-2-en-1-yl) 2,2-dimethyl-3-(2-methylprop-1-enyl)cyclopropane-1-carboxylate</t>
  </si>
  <si>
    <t>['ALLETHRIN', '584-79-2', 'Esbiothrin', 'Pynamin', 'Allethrine', 'Esbioallethrin', 'Esdepallethrine', 'Pallethrine', 'Pyresin', 'Pyresyn', 'trans-Allethrin', 'd-cis,trans-Allethrin', 'Allyl cinerin I', 'Necarboxylic acid', 'd-T-Allethrin', 'Wasp Killer II', 'Cinerin I allyl homolog', 'D-Allethrin', 'MGK allethrin concentrate', 'Allyl homolog of cinerin I', '84030-86-4', 'd-Allethrolone chrysanthemumate', 'Bioallethrin [BAN]', 'D-TRANS-ALLETHRIN', 'FMC 249', 'NIA 249', 'FDA 1446', 'Bioaletrina', 'Depallethrin', 'Exthrin', 'RU 16121', 'Binamin forte', 'Pynamin-forte', '3-Allyl-2-methyl-4-oxo-2-cyclopenten-1-yl chrysanthemate', '(+)-Allethronyl (+)-trans-chrysanthemumate', 'Allethrin I', 'AI 3-29024', 'CHEBI:34572', 'Wasp Stopper CF', '(+)-Allelrethonyl (+)-cis,trans-chrysanthemate', 'Bioallethrin (BAN)', 'Bioallethrin [BSI]', 'EPA Pesticide Chemical Code 004003', '(2-methyl-4-oxo-3-prop-2-enylcyclopent-2-en-1-yl) 2,2-dimethyl-3-(2-methylprop-1-enyl)cyclopropane-1-carboxylate', 'Cyclopropanecarboxylic acid, 2,2-dimethyl-3-(2-methyl-1-propenyl)-, (1S)-2-methyl-4-oxo-3-(2-propenyl)-2-cyclopenten-1-yl ester, (1R,3R)-', 'Cyclopropanecarboxylic acid, 2,2-dimethyl-3-(2-methyl-1-propenyl)-, 2-methyl-4-oxo-3-(2-propenyl)-2-cyclopenten-1-yl ester', 'Caswell No. 025', 'NCGC00163953-03', 'Allethrin [BSI:ISO]', 'Bioaltrina [Portuguese]', 'Esbiol concentrate 90%', 'Bioaletrina [Portuguese]', 'Allethrine [ISO-French]', 'd-trans-(1-Methyl-2-allyl-3-oxo-1-cyclopenten-5-yl)chrysanthemumate', 'Cyclopropanecarboxylic acid, 2,2-dimethyl-3-(2-methyl-1-propenyl)-, 2-methyl-4-oxo-3-(2-propenyl)-2-cyclopenten-1-yl ester, (1-alpha(S*),3-beta)-(+-)-', 'Allethrin coil', 'UNII-0X03II877M', 'W-105386', 'Esbiol TM Intermediate 3336', 'CCRIS 2494', '28434-00-6', 'd-cis-trans-Allethrin', '3-Allyl-4-keto-2-methylcyclopentenyl chrysanthemum monocarboxylate', 'OMS 3045', 'EINECS 209-542-4', 'EINECS 249-013-5', 'NSC 11782', 'd-Allethrolone d-trans-chrysanthemumate', 'ENT 17,510', 'EPA Pesticide Chemical Code 004001', '42534-61-2', '(+)-trans-Allethrin', 'D-trans Allethrin', 'BRN 2059862', 'Allylrethronyl dl-cis-trans-chrysanthemate', 'RU 27436', '3-allyl-2-methyl-4-oxocyclopent-2-en-1-yl 2,2-dimethyl-3-(2-methylprop-1-en-1-yl)cyclopropanecarboxylate', 'Cyclopropanecarboxylic acid, 2,2-dimethyl-3-(2-methyl-1-propenyl)-, (1R)-2-methyl-4-oxo-3-(2-propenyl)-2-cyclopenten-1-yl ester. (1S.3S)-rel-', 'Cyclopropanecarboxylic acid, 2,2-dimethyl-3-(2-methylpropenyl)-, (+)-(E)-, ester with (+)-2-allyl-4-hydroxy-3-methyl-2-cyclopenten-1-one', 'AI3-17510', '(+-)-Allerethonyl (+-)-cis,trans-chrysanthemate', 'Allethrolone ester of chrysanthemummonocarboxylic acid', '(+)-trans-Chrysanthemumic acid ester of (+-)-allethrolone', 'Bioallathrin', 'Pallethrin', '0X03II877M', '3-Allyl-4-keto-2-methylcyclopentenyl chrysanthemummonocarboxylate', 'Allyl cinerin', 'Es-Bioallethrin', 'dl-3-Allyl-2-methyl-4-oxocyclopent-2-enyl dl-cis trans chrysanthemate', '(RS)-3-Allyl-2-methyl-4-oxocyclopent-2-enyl (+-)-cis,trans-chrysanthemate', 'Allethrin 1', 'HSDB 1511', '2-Allyl-4-hydroxy-3-methyl-2-cyclopenten-1-one ester of chrysanthemummono-carboxylic acid', 'D,L-2-Allyl-4-hydroxy-3-methyl-2-cyclopenten-1-one-D,L-chrysanthemum monocarboxylate', '2,2-Dimethyl-3-(2-methyl-1-propenyl)cyclopropanecarboxylic acid, ester with 2-allyl-4-hydroxy-3-methyl-2-cyclopenten-1-one', '2-Methyl-4-oxo-3-(2-propenyl)-2-cyclopenten-1-yl 2,2-dimethyl-3-(2-methyl-1-propenyl)cyclopropanecar', '3-Allyl-4-methyl-2-oxo-3-cyclopenten-1-yl ester of 2,2-dimethyl-3-(2-methylpropenyl)cyclopropanecarboxylic acid', 'Cyclopropanecarboxylic acid, 2,2-dimethyl-3-(2-methyl-1-propenyl)-, 2-methyl-4-oxo-3-(2-propenyl)-2-cyclopentene-1-yl ester', 'dl-2-Allyl-4-hydroxy-3-methyl-2-cyclopenten-1-one ester of d-trans-2,2-dimethyl-3-(2-methylpropenyl)', 'dl-2-Allyl-4-hydroxy-3-methyl-2-cyclopenten-1-one ester of dl cis/trans 2,2-dimethyl-3-(2-methylpropenyl)-cyclopropanecarboxylic acid', 'S-trans-Bioallethrin', '22431-63-6', '(+)-trans-Bioallethrin', 'DSSTox_CID_15180', 'DSSTox_RID_79245', 'Duocide [veterinary] (TN)', 'DSSTox_GSID_35180', 'SCHEMBL26963', 'CHEMBL1872535', 'DTXSID8035180', 'trans-chrysanthemummonocarboxylate', 'CTK4I6352', 'D,L-chrysanthemum monocarboxylate', 'Chrysanthemummonocarboxylic acid, 3-allyl-3-methyl-4-oxo-2-cyclopenten-1-yl ester', '2,2-Dimethyl-3-(2-methyl-1-propenyl)cyclopropanecarboxylic acid 2-methyl-4-oxo-3-(2-propenyl)-2- cyclopenten-1-yl ester', '2-Cyclopenten-1-one, 2-allyl-4-hydroxy-3-methyl-, 2,2-dimethyl-3-(2-methylpropenyl)cyclopropanecarboxylate', '28057-48-9', '3-Allyl-2-methyl-4-oxocyclopent-2-en-1-yl (1R-(1alpha(S*),3beta))-2,2-dimethyl-3-(2-methylprop-1-enyl)cyclopropanecarboxylate', 'Cyclopropanecarboxylic acid, 2,2-dimethyl-3-(2-methyl-1-propen-1-yl)-, 2-methyl-4-oxo-3-(2-propen-1-yl)-2-cyclopenten-1-yl ester', 'Cyclopropanecarboxylic acid, 2,2-dimethyl-3-(2-methyl-1-propenyl)-, 2-methyl-4-oxo-3-(2-propenyl)-2-cyclopenten-1-yl ester, (1R-(1alpha(S*),3beta))-', 'Cyclopropanecarboxylicacid, 2,2-dimethyl-3-(2-methyl-1-propen-1-yl)-,(1R)-2-methyl-4-oxo-3-(2-propen-1-yl)-2-cyclopenten-1-yl ester, (1S,3S)-rel-', 'NSC11782', 'Tox21_400074', 'D-allethrolone d-trans-chrysanthemate', 'ENT 16275', 'ENT 17510', 'Esbiol concentrate 90% (Salt/Mix)', 'KM0202', 'NSC-11782', 'AKOS015900219', 'ACM22431636', 'NCGC00163953-01', 'NCGC00163953-02', 'NCGC00163953-04', 'NCGC00164471-01', '(3-allyl-2-methyl-4-oxo-cyclopent-2-en-1-yl) 2,2-dimethyl-3-(2-methylprop-1-enyl)cyclopropanecarboxylate', 'AS-11751', 'CAS-584-79-2', 'CC-23848', 'Cyclopropanecarboxylic acid, 2,2-dimethyl-3-(2-methyl-1-propenyl)-, (1R)-2-methyl-4-oxo-3-(2-propenyl)-2-cyclopenten-1-yl ester, (1S,3S)-rel-', 'Cyclopropanecarboxylic acid, 2,2-dimethyl-3-(2-methyl-1-propenyl)-, 2-methyl-4-oxo-3-(2-propenyl)-2-cyclopenten-1-yl ester, [1R-[1.alpha.(S*),3.beta.]]-', 'LS-58688', 'LS-58705', 'LS-58706', 'SC-15779', 'SC-18164', 'DB-047389', 'FT-0630540', 'FT-0647652', 'Allethrin, PESTANAL(R), analytical standard', 'Esbiothrin, PESTANAL(R), analytical standard', 'C14337', 'D07530', 'Bioallethrin, PESTANAL(R), analytical standard', '584A792', 'C-18879', '(+/-)-Allerethonyl (+/-)-cis,trans-chrysanthemate', 'J-014709', 'Q1851694', '(.+-.)-Allelrethonyl (.+-.)-cis,trans-chrysanthemate', '(+)-trans-Chrysanthemumic acid ester of (.+-.)-allethrolone', 'WLN: L5V BUTJ B2U1 C1 DOV- BL3TJ A1 A1 C1UY1&amp;1', '(RS)-3-allyl-2-methyl-4-oxocyclopent-2-enyl-(1R,3R)-2,2-dimethyl-3-(2-methylprop-1-enyl)-(1R,3R)-2,2-dimethyl-3-(2-methylprop-1-enyl)', '(RS)-3-allyl-2-methyl-4-oxocyclopent-2-enyl-(1RS,3RS;1RS,3SR)-2,2-dimethyl-3-(2-methylprop-1-enyl)-cyclopropanecarboxylate (all isomers; ratio: 1:1:1:1:1:1:1:1)', '2-Allyl-4-hydroxy-3-methyl-2-cyclopenten-1-one ester of 2,2-dimethyl-3-(2-methyl propenyl) cyclopropane carboxylic acid', '2-methyl-4-oxo-3-(prop-2-en-1-yl)cyclopent-2-en-1-yl 2,2-dimethyl-3-(2-methylprop-1-en-1-yl)cyclopropane-1-carboxylate', '2-methyl-4-oxo-3-(prop-2-en-1-yl)cyclopent-2-en-1-yl 2,2-dimethyl-3-(2-methylprop-1-en-1-yl)cyclopropanecarboxylate', '3-Allyl-2-methyl-4-oxo-2-cyclopenten-1-yl 2,2-dimethyl-3-(2-methyl-1-propenyl)cyclopropanecarboxylate, (1R-(1.alpha.(S*),3.beta.))-', '3-allyl-2-methyl-4-oxocyclopent-2-enyl 2,2-dimethyl-3-(2-methylprop-1-enyl)cyclopropanecarboxylate', 'Cyclopropanecarboxylic acid, 2,2-dimethyl-3-(2-methylpropenyl)-, ester with 2-allyl-4-hydroxy-3-methyl-2-cyclopenten-1-one (VAN)', 'Cyclopropanecarboxylic acid,2-dimethyl-3-(2-methyl-1-propenyl)-, 2-methyl-4-oxo-3-(2-propenyl)-2-cyclopenten-1-yl ester (VA', 'Cyclopropanecarboxylic acid,2-dimethyl-3-(2-methyl-1-propenyl)-, 2-methyl-4-oxo-3-(2-propenyl)-2-cyclopenten-1-yl ester, d-trans-', 'Cyclopropanecarboxylic acid,2-dimethyl-3-(2-methyl-1-propenyl)-, 2-methyl-4-oxo-3-(2-propenyl)-2-cyclopentene-1-yl ester', 'Cyclopropanecarboxylic acid,2-dimethyl-3-(2-methylpropenyl)-, ester with 2-allyl-4-hydroxy-3-methyl-2-cyclopenten-1-one']</t>
  </si>
  <si>
    <t>Compound(11442)</t>
  </si>
  <si>
    <t>C19H26O3</t>
  </si>
  <si>
    <t>methyl 2-hydroxy-6,6-dimethyl-4-oxo-3-(N-prop-2-enoxy-C-propylcarbonimidoyl)cyclohex-2-ene-1-carboxylate</t>
  </si>
  <si>
    <t>['Alloxydim', '55634-91-8', 'METHYL 5-[1-[(ALLYLOXY)AMINO]BUTYLIDENE]-2,2-DIMETHYL-4,6-DIOXOCYCLOHEXANECARBOXYLATE', 'CTK5A3917', 'NS00007948']</t>
  </si>
  <si>
    <t>Compound(135494822)</t>
  </si>
  <si>
    <t>C17H25NO5</t>
  </si>
  <si>
    <t>ethyl 3-[benzyl-[methyl-[(Z)-1-methylsulfanylethylideneamino]oxycarbonylamino]sulfanylamino]propanoate</t>
  </si>
  <si>
    <t>['Alanycarb', '83130-01-2', 'Alanycarb [ISO]', 'OK 135', 'UNII-767O73WB8X', '767O73WB8X', '5-Oxa-2,8-dithia-4,7,9-triazadodec-3-en-12-oic acid, 3,7-dimethyl-6-oxo-9-(phenylmethyl)-, ethyl ester, (Z)-', 'ethyl (3Z)-9-benzyl-3,7-dimethyl-6-oxo-5-oxa-2,8-dithia-4,7,9-triazadodec-3-en-12-oate', 'ethyl N-benzyl-N-({methyl[({[(1Z)-1-(methylsulfanyl)ethylidene]amino}oxy)carbonyl]amino}sulfanyl)-beta-alaninate', 'ethyl 3-[benzyl-[methyl-[(Z)-1-methylsulfanylethylideneamino]oxycarbonylamino]sulfanylamino]propanoate', 'SCHEMBL27410', 'DTXSID5058195', 'CHEBI:38463', 'GMAUQNJOSOMMHI-JXAWBTAJSA-', '8-Oxa-5,11-dithia-4,6,9-triazadodec-9-enoic acid, 6,10-dimethyl-7-oxo-4-(phenylmethyl)-, ethyl ester, (9Z)-', 'Alanycarb 100 microg/mL in Cyclohexane', 'LS-99386', 'NS00000480', 'Alanycarb, PESTANAL(R), analytical standard', 'C18414', '130A012', 'ethyl 3-[[methyl-(1-methylsulfanylethylideneamino)oxycarbonylamino]sulfanyl-(phe', '3-[[[methyl-[[(Z)-1-(methylthio)ethylideneamino]oxy-oxomethyl]amino]thio]-(phenylmethyl)amino]propanoic acid ethyl ester']</t>
  </si>
  <si>
    <t>Compound(9576091)</t>
  </si>
  <si>
    <t>C17H25N3O4S2</t>
  </si>
  <si>
    <t>alpha linolenic acid</t>
  </si>
  <si>
    <t>(9Z,12Z,15Z)-octadeca-9,12,15-trienoic acid</t>
  </si>
  <si>
    <t>['linolenic acid', 'alpha-Linolenic acid', '463-40-1', 'linolenate', '(9Z,12Z,15Z)-octadeca-9,12,15-trienoic acid', 'a-Linolenic acid', 'cis,cis,cis-9,12,15-Octadecatrienoic acid', 'all-cis-9,12,15-Octadecatrienoic acid', '9-cis,12-cis,15-cis-Octadecatrienoic acid', '9,12,15-Octadecatrienoic acid, (Z,Z,Z)-', '(Z,Z,Z)-9,12,15-Octadecatrienoic acid', '(9,12,15)-linolenic acid', 'Linolenic acid (8CI)', 'alpha-Lnn', '9Z,12Z,15Z-Octadecatrienoic acid', 'Industrene 120', 'CCRIS 656', '(9Z,12Z,15Z)-Octadecatrienoic acid', 'UNII-0RBV727H71', '.alpha.-Linolenic acid', '9,12,15-Octadecatrienoic acid', 'CHEMBL8739', 'cis-delta9,12,15-Octadecatrienoic acid', 'AI3-23986', 'cis-Delta(9,12,15)-octadecatrienoic acid', '(Z,Z,Z)-Octadeca-9,12,15-trienoic acid', 'CHEBI:27432', '0RBV727H71', 'LINOLENIC ACID (18:3 n-3)', 'Linolenic acid, crude', '9,12,15-all-cis-Octadecatrienoic acid', 'NCGC00091058-04', 'Linolenic acid, 99%', 'DSSTox_CID_5506', 'DSSTox_RID_77815', '(9Z,12Z,15Z)octadeca-9,12,15-trienoic acid', 'DSSTox_GSID_25506', 'NSC 2042', 'EINECS 207-334-8', '9,12,15-Octadecatrienoic acid, (9Z,12Z,15Z)-', 'alpha-LA', 'CAS-463-40-1', 'SMR000857336', '(9Z,12Z,15Z)-Octadecatrienoate', 'cis,cis,cis-9,12,15-octadecatrienoate', 'a-Linolenate', 'cis-9,12,15-octadecatrienoic acid', 'cis,cis-9,12,15-Octadecatrienoic acid', '(9Z,12Z,15Z)-9,12,15-Octadecatrienoic acid', 'AK106170', 'C18:3n-3,6,9', 'C18:3', 'Linolenic acid, &gt;=99%', 'SCHEMBL15282', '9,12,15-Octadecatrienoate', 'BSPBio_001376', '68424-45-3', 'MLS001336029', 'MLS001336030', 'MLS002454413', 'BML3-B05', 'GTPL1049', 'Linolenic acid, ~70% (GC)', 'DTXSID7025506', 'cid_5280934', 'cis-9,12,15-octadecatrienoate', 'alpha-Linolenic acid (PC18:3)', 'NSC2042', 'FA005', 'HMS1361E18', 'HMS1791E18', 'HMS1989E18', 'HMS2233C13', 'HMS3402E18', 'HMS3649H05', 'Linolenic acid, analytical standard', 'CMC_7371', 'HY-N0728', 'NSC-2042', 'ZINC3802189', 'all-cis-9,15-Octadecatrienoic acid', 'Tox21_111071', 'Tox21_201727', 'Tox21_303322', 'all-cis-9,12,15-Octadecatrienoate', 'BDBM50240347', 'LMFA01030152', 'MFCD00065720', 'SBB069548', 'AKOS016008598', 'DB00132', '(Z,Z,Z)-9,12,15-Octadecatrienoate', '9-cis,12-cis,15-cis-octadecatrienoate', 'IDI1_033846', 'Linolenic acid 10 microg/mL in Methanol', 'NCGC00091058-01', 'NCGC00091058-02', 'NCGC00091058-05', 'NCGC00091058-06', 'NCGC00091058-07', 'NCGC00091058-08', 'NCGC00091058-09', 'NCGC00091058-10', 'NCGC00257192-01', 'NCGC00259276-01', '(all-Z)-9,12,15-Octadecatrienoic acid', '9,15-Octadecatrienoic acid, (Z,Z,Z)-', 'AS-57338', 'CC-29967', 'M621', 'SC-65260', 'ST072192', 'AX8136381', 'cis-9,cis-12,cis-15-Octadecatrienoic acid', 'CS-0009741', 'L0050', 'cis,cis,cis-octadeca-9,12,15-trienoic acid', 'Octadecatrienoic acid, 9,12,15-(Z,Z,Z)-', 'A-8311', 'C06427', 'cis-9, cis-12, cis-15-octadecatrienoic acid', 'Linolenic acid, Vetec(TM) reagent grade, 98%', 'L000707', 'Q256502', 'SR-01000838327', 'SR-01000838327-2', '2DCD0473-E5CC-47BB-A0A4-95899AFF6C4B', 'BRD-K33396764-001-02-0', '9,12,15-Octadecatrienoic acid, (9Z,12Z,15Z)- (9CI)', 'UNII-0JXR8F0V1Q component DTOSIQBPPRVQHS-PDBXOOCHSA-N', 'UNII-5U9XZ261ER component DTOSIQBPPRVQHS-PDBXOOCHSA-N', 'UNII-71M78END5S component DTOSIQBPPRVQHS-PDBXOOCHSA-N', 'UNII-96GS7P39SN component DTOSIQBPPRVQHS-PDBXOOCHSA-N', 'UNII-F85N2YHE4E component DTOSIQBPPRVQHS-PDBXOOCHSA-N', 'UNII-HBA528N3PW component DTOSIQBPPRVQHS-PDBXOOCHSA-N', 'alpha-Linolenic acid, 1.0 mg/mL in ethanol, certified reference material', '9,12,15-Octadecatrienoic acid, (Z,Z,Z)-;(Z,Z,Z)-9,12,15-Octadecatrienoic Acid; all cis-9,12,15-Octadecatrienoic Acid.;Linolenic acid']</t>
  </si>
  <si>
    <t>Compound(5280934)</t>
  </si>
  <si>
    <t>C18H30O2</t>
  </si>
  <si>
    <t>8-chloro-1-methyl-6-phenyl-4H-[1,2,4]triazolo[4,3-a][1,4]benzodiazepine</t>
  </si>
  <si>
    <t>['alprazolam', 'Xanax', '28981-97-7', 'Trankimazin', 'Tafil', 'Cassadan', 'Tranquinal', 'Alplax', 'Constan', 'Esparon', 'Frontal', 'Neurol', 'Niravam', 'Solanax', 'Xanor', 'Apo-Alpraz', 'Xanax XR', 'Alcelam', 'Alpronax', 'Alzolam', 'Anpress', 'Bestrol', 'Intensol', 'Ralozam', 'Relaxol', 'Tricalma', 'Valeans', 'Xanagis', 'Zolarem', 'Alpaz', 'Alpram', 'Alprox', 'Alzam', 'Panix', 'Prinox', 'Restyl', 'Zoldac', 'Zotran', 'Novo-Alprazol', '8-Chloro-1-methyl-6-phenyl-4H-[1,2,4]triazolo[4,3-a][1,4]benzodiazepine', 'Nu-Alpraz', 'Alprazolam intensol', 'TUS-1', 'Alprazolamum', 'Prazolan', 'Tensivan', 'Alprax', 'Ksalol', 'Mialin', 'Pharnax', 'Prazam', 'Unilan', 'Xanolam', 'Zacetin', 'Zanapam', 'Zoldax', 'Algad', 'Alzon', 'Helex', 'Zaxan', 'Zenax', 'Zolam', 'Zopax', 'Zopic', 'Azor', 'Gen-Alprazolan', 'Tafil D', 'Xanax TS', 'D 65MT', 'Alprazolamum [INN-Latin]', '8-Chloro-1-methyl-6-phenyl-4H-s-triazolo(4,3-a)(1,4)benzodiazepine', 'UNII-YU55MQ3IZY', 'Alprazolam extended release tablets', 'U 31889', 'HSDB 7207', 'EINECS 249-349-2', 'YU55MQ3IZY', 'CHEMBL661', 'U-31889', '8-Chloro-1-methyl-6-phenyl-4H-s-triazolo[4,3-a][1,4]benzodiazepine', 'BRN 1223125', 'U-31,889', 'CHEBI:2611', 'DEA No. 2882', '4H-s-Triazolo(4,3-a)(1,4)benzodiazepine, 8-chloro-1-methyl-6-phenyl-', '4H-(1,2,4)Triazolo(4,3-a)(1,4)benzodiazepine, 8-chloro-1-methyl-6-phenyl-', '4H-[1,2,4]Triazolo[4,3-a][1,4]benzodiazepine, 8-chloro-1-methyl-6-phenyl-', 'NCGC00159466-02', 'Alprazolan', 'Zolan', 'Tus 1', 'Panistat', '4H-(1,2,4)Triazolo(4,3-alpha)(1,4)benzodiazepine, 8-chloro-1-methyl-6-phenyl-', 'Staccato-alprazolam', 'SMR000149316', 'D-65MT', 'Xanax (TN)', 'Alprazolam [USAN:INN:BAN:JAN]', 'AZ-002', 'TGAR01P', 'Alprazolam civ', '08H', 'Alprazolam [USAN:USP:INN:BAN:JAN]', 'AP-1002', '3u5j', 'DSSTox_CID_2577', 'SCHEMBL8398', 'DSSTox_RID_76639', 'BIDD:PXR0150', 'DSSTox_GSID_22577', 'ZINC903', 'MLS000559000', 'MLS000759485', 'MLS001423979', 'BIDD:GT0475', 'Alprazolam (JP17/USP/INN)', 'GTPL7111', 'DTXSID4022577', 'HMS2051A10', 'HMS3393A10', 'Pharmakon1600-01502395', 'Alprazolam 0.1 mg/ml in Methanol', 'Alprazolam 1.0 mg/ml in Methanol', 'BCP28608', 'Tox21_111692', 'BBL028160', 'BDBM50001728', 'NSC760140', 'STK590494', '8-Chloro-1-methyl-6-phenyl-4H-s-triazolo(4,3-alpha)(1,4)benzodiazepine', 'AKOS005066050', 'ACN-036616', 'API0001427', 'CCG-100855', 'DB00404', 'MCULE-1215564244', 'NC00105', 'NSC-760140', 'NCGC00159466-03', '51339-48-1', 'AC-18721', 'CAS-28981-97-7', 'LS-156344', 'NS00010452', 'C06817', 'D00225', '981A977', 'A819702', 'Q319877', 'U 31,889', 'W-107015', 'BRD-K32398298-001-01-4', 'Alprazolam, European Pharmacopoeia (EP) Reference Standard', '8-chloro-1-methyl-6-phenyl-4H-s-triazolo [4,3-a] [1,4] benzodiazepine', '8-chloro-1-methyl-6-phenyl-4H-s-triazolo [4,3-a][1,4] benzodiazepine', '8-chloro-6-phenyl-1-methyl-4H-s-triazolo-[4,3-a][1,4]benzodiazepine', '(Z)-8-chloro-1-methyl-6-phenyl-4H-benzo[f][1,2,4]triazolo[4,3-a][1,4]diazepine', '8-chloranyl-1-methyl-6-phenyl-4H-[1,2,4]triazolo[4,3-a][1,4]benzodiazepine', 'Alprazolam solution, 1 mg/mL in methanol, analytical standard, for drug analysis', 'Alprazolam solution, 1.0 mg/mL in methanol, ampule of 1 mL, certified reference material', '12-chloro-3-methyl-9-phenyl-2,4,5,8-tetraazatricyclo[8.4.0.0^{2,6}]tetradeca-1(10),3,5,8,11,13-hexaene', '1246182-61-5']</t>
  </si>
  <si>
    <t>Compound(2118)</t>
  </si>
  <si>
    <t>C17H13ClN4</t>
  </si>
  <si>
    <t>amyl acetate</t>
  </si>
  <si>
    <t>pentyl acetate</t>
  </si>
  <si>
    <t>['Amyl acetate', 'Pentyl acetate', '628-63-7', 'n-Amyl acetate', 'Acetic acid, pentyl ester', 'N-PENTYL ACETATE', 'Amyl acetic ester', '1-Pentyl acetate', 'n-Pentyl ethanoate', 'Birnenoel', 'Pent-acetate', 'Amyl acetic ether', 'Pent-acetate 28', '1-Pentanol acetate', 'Acetic acid, amyl ester', 'Amylazetat', 'Octan amylu', "Acetate d'amyle", 'Acetic acid pentyl ester', 'Primary amyl acetate', 'pentyl ethanoate', 'Prim-amyl acetate', 'Amylazetat [German]', 'Holiday Pet Repellent', 'Holiday Repellent Dust', 'Octan amylu [Polish]', 'Caswell No. 049A', 'n-Amyl acetate, normal', 'Amylester kyseliny octove', 'Acetic acid n-amyl ester', '1-Acetoxypentane', "Acetate d'amyle [French]", 'NSC 7923', 'UNII-92Q24NH7AS', 'Amyl acetate, n-', '1-Pentanol, acetate', 'Dymon SWH Wasp &amp; Hornet Spray', 'HSDB 5126', 'Amylester kyseliny octove [Czech]', 'n-Amyl acetate, normal (natural)', 'EINECS 211-047-3', 'UN1104', 'Amyl acetate (commercial)', 'EPA Pesticide Chemical Code 000169', 'BRN 1744753', 'Acetic acid, n-pentyl ester', 'AI3-02729', '92Q24NH7AS', 'CHEBI:87362', 'MFCD00009500', 'n-Amyl acetate, 99%', 'DSSTox_CID_7263', 'DSSTox_RID_78375', 'DSSTox_GSID_27263', 'CAS-628-63-7', 'Pentyl ester of acetic acid', 'pentylethanoate', 'n-pentylacetate', 'Amyl acetates', 'Acetic acid amyl', 'N Amyl Acetate', 'Pentyl Ethanoate.', 'Pentyl acetate, 99%', 'Acetic Acid Amyl Ester', 'acetic acid n-pentyl ester', 'Acetic acid, N-amyl ester', 'UN 1104 (Related)', 'ACMC-1B0G3', 'SCHEMBL10663', 'Amyl acetate (mixed isomers)', '4-02-00-00152 (Beilstein Handbook Reference)', 'KSC354C8F', 'WLN: 5OV1', 'CHEMBL47769', 'Amyl acetate, &gt;=99%, FG', 'DTXSID1027263', 'CTK2F4182', 'NSC7923', 'Pentyl acetate, analytical standard', 'ACN-S002429', 'KS-00000W7J', 'NSC-7923', 'ZINC1586314', 'Tox21_201628', 'Tox21_300360', '7791AF', 'ANW-34412', 'LMFA07010176', 'SBB060027', 'STL268857', 'AKOS009031544', 'MCULE-4911325533', 'NCGC00248005-01', 'NCGC00248005-02', 'NCGC00254285-01', 'NCGC00259177-01', 'LS-12690', 'Pentyl acetate;amyl acetate;pentyl acetate', 'SC-18375', 'Acetic acid, pentyl ester (mixed isomers)', 'A0021', 'Amyl acetates [UN1104] [Flammable liquid]', 'NS00008926', 'ST51046287', 'Amyl acetates [UN1104]  [Flammable liquid]', '26079-EP2269986A1', '26079-EP2270113A1', '26079-EP2272935A1', '26079-EP2292597A1', '26079-EP2311815A1', '26079-EP2314558A1', 'A834045', 'Pentyl acetate, puriss. p.a., &gt;=98.5% (GC)', 'Q416972', 'J-003589', '828-63-7']</t>
  </si>
  <si>
    <t>Compound(12348)</t>
  </si>
  <si>
    <t>[2-[(1S,2S,4R,8S,9S,11S,12R,13S)-12-fluoro-11-hydroxy-9,13-dimethyl-16-oxospiro[5,7-dioxapentacyclo[10.8.0.02,9.04,8.013,18]icosa-14,17-diene-6,1'-cyclopentane]-8-yl]-2-oxoethyl] acetate</t>
  </si>
  <si>
    <t>['amcinonide', '51022-69-6', 'Amcinonidum', 'Cyclocort', 'Triamcinolonacetatcyclopentanonid', 'CL-34699', 'Visderm', 'UNII-423W026MA9', 'MLS000028656', 'MLS001333715', 'Amcinonidum [INN-Latin]', 'Amcinonido [INN-Spanish]', 'CHEBI:31199', '423W026MA9', 'Amcinonido', 'SMR000058920', 'CL 34699', 'C28H35FO7', 'amcinonida', 'EINECS 256-915-2', 'Cyclocort (TN)', '19alpha-Fluor-11beta,21-dihydroxy-16alpha,17alpha-(tetramethylen)methylendioxy-1,4-pregnadien-3,20-dion 21-acetat', '9-Fluoro-11beta,16alpha,17,21-tetrahydroxypregna-1,4-diene-3,20-dione cyclic 16,17-acetal with cyclopentanone, 21-acetate', 'Amcinonide (JAN/USP/INN)', '1,4-Pregnadiene-2,20-dione-16,17-cyclopentylidenedioxy-9-fluoro-11,21-dihydroxy-21-acetate', 'NCGC00095071-01', '(11?,16?)-21-(Acetyloxy)-16,17-[cyclopentylidenebis(oxy)]-9-fluoro-11-hydroxypregna-1,4-diene-3,20-dione', 'Pregna-1,4-diene-3,20-dione, 21-(acetyloxy)-16,17-(cyclopentylidenebis(oxy))-9-fluoro-11-hydroxy-, (11beta,16alpha)-', 'Pregna-1,4-diene-3,20-dione, 21-(acetyloxy)-16,17-[cyclopentylidenebis(oxy)]-9-fluoro-11-hydroxy-, (11.beta.,16.alpha.)-', 'Amcinonide [USAN:USP:INN:BAN:JAN]', 'Opera_ID_1472', 'SCHEMBL4720', 'DSSTox_CID_25905', 'DSSTox_RID_81217', 'DSSTox_GSID_45905', 'MLS001146959', 'MLS002695893', 'Amcinonide, analytical standard', 'GTPL7060', 'CHEMBL1200732', 'DTXSID6045905', 'HMS2235K23', 'HMS3715D11', 'HY-B1197', 'ZINC3977777', 'Tox21_111411', 'AKOS015961167', 'CCG-221135', 'CS-4805', 'DB00288', 'NCGC00021193-03', '16alpha,17alpha-(cyclopentane-1,1-diyldioxy)-9-fluoro-11beta-hydroxy-3,20-dioxopregna-1,4-dien-21-yl acetate', 'AC-13190', 'SC-81448', 'CAS-51022-69-6', 'X1044', 'D01387', 'SR-01000003161', 'Q4742041', 'SR-01000003161-2', 'BRD-K13960744-001-09-7', 'Amcinonide, United States Pharmacopeia (USP) Reference Standard', '[2-[(1S,2S,4R,8S,9S,11S,12R,13S)-12-fluoro-11-hydroxy-9,13-dimethyl-16-oxospiro[5,7-dioxapentacyclo[10.8.0.02,9.04,8.013,18]icosa-14,17-diene-6,1`-cyclopentane]-8-yl]-2-oxoethyl] acetate', "2-[(1'S,2'S,4'R,8'S,9'S,11'S,12'R,13'S)-12'-fluoro-11'-hydroxy-9',13'-dimethyl-16'-oxo-5',7'-dioxaspiro[cyclopentane-1,6'-pentacyclo[10.8.0.0^{2,9}.0^{4,8}.0^{13,18}]icosane]-14',17'-dien-8'-yl]-2-oxoethyl acetate", "2-[(4'aS,4'bR,5'S,6'aS,6'bS,9'aR,10'aS,10'bS)-4'b-Fluoro-5'-hydroxy-4'a,6'a-dimethyl-2'-oxo-2',4'a,4'b,5',6',6'a,9'a,10',10'a,10'b,11',12'-dodecahydro-6'bH-spiro[cyclopentane-1,8'-naphtho[2',1':4,5]indeno[1,2-d][1,3]dioxol]-6'b-yl]-2-oxoethyl acetate", "2-[(4a'S,4b'R,5'S,6a'S,6b'S,9a'R,10a'S,10b'S)-4b'-Fluoro-5'-hydroxy-4a',6a'-dimethyl-2'-oxo-2',4a',4b',5',6',6a',9a',10',10a',10b',11',12'-dodecahydro-6b'H-spiro[cyclopentane-1,8'-naphtho[2',1':4,5]in"]</t>
  </si>
  <si>
    <t>Compound(443958)</t>
  </si>
  <si>
    <t>C28H35FO7</t>
  </si>
  <si>
    <t>amidotrizoic acid</t>
  </si>
  <si>
    <t>3,5-diacetamido-2,4,6-triiodobenzoic acid</t>
  </si>
  <si>
    <t>['Diatrizoic acid', 'amidotrizoic acid', 'DIATRIZOATE', '117-96-4', 'Amidotrizoate', 'Urogranoic acid', '3,5-Diacetamido-2,4,6-triiodobenzoic acid', 'Urografin acid', 'Urotrast', 'Odiston', 'Diat', 'Triombrin', 'Diatriazoate', 'Diatrizoesaure', 'Methalamic acid', '3,5-Bis(acetylamino)-2,4,6-triiodobenzoic acid', 'Acide amidotrizoique', 'Benzoic acid, 3,5-bis(acetylamino)-2,4,6-triiodo-', 'Acidum amidotrizoicum', 'DIAT [German]', 'Triombrin [Russian]', 'Amidotrzoique (acide)', '2,4,6-Triiodo-3,5-diacetamidobenzoic acid', 'Diatrizoesaure [German]', 'Acidum diacetylaminotrijodbenzoicum', 'S 17', 'UNII-5UVC90J1LK', 'Diatrizoate sodium salt', 'Iothalamate', 'G 2-75', 'Vascoray', 'NSC 262168', 'HSDB 4042', 'EINECS 204-223-6', 'Hypaque 50', 'Benzoic acid, 3,5-diacetamido-2,4,6-triiodo-', 'diatrizoic acid (anhydrous)', 'BRN 2225144', '5UVC90J1LK', 'amidotrizoic acid (anhydrous)', 'CHEBI:53691', 'NSC-262168', 'Urografic acid, sodium salt', 'Ml 216', 'Win 8308-3', 'MD-50', 'NSC61815', 'Sodium (diacetyldiamine)triiodobenzoate', 'NCGC00021123-02', 'Diatrizoesaeure', 'DiatrizoicAcid', 'Diatrizoic acid [USAN:BAN]', 'Diatrizoic acid [USAN:USP]', 'C11H9I3N2O4', 'Diatrizoic Acid,(S)', 'Diatrizoic acid (USP)', '3,5-diacetamido-2,4,6-triiodo-benzoic acid', 'EC 204-223-6', 'Amidotrizoic acid (JP17)', 'cid_8566', 'SCHEMBL8508', '3,4,6-triiodobenzoic acid', 'DSSTox_CID_24521', 'DSSTox_RID_80288', 'Amidotrizoic acid;Diatrizoate', 'DSSTox_GSID_44521', 'Diatrizoat (Amidotrizoesaure)', 'Diatrizoat (Amidotrizoesaeure)', 'Amidotrizoate (*sodium salt*)', '(Diacetyldiamine)triiodobenzoate', 'CHEMBL1201220', 'Diatrizoate (Amidotrizoate acid)', 'DTXSID0044521', 'BDBM62875', 'CTK8B2979', 'HMS2094A11', 'Pharmakon1600-01505777', 'HY-B0926', 'ZINC4097476', 'Tox21_301929', 'ANW-41541', 'NSC262168', 'NSC760390', 's4563', 'Amidotrizoic acid, analytical standard', 'AKOS001073646', 'AC-4695', 'API0001442', 'CCG-213547', 'DB00271', 'MCULE-8826505259', 'NSC-760390', 'VZ25680', 'WLN: 1VMR BI DI FI CVQ EMV1', '3,5-Diacetamido-2,4,6-triiodobenzoate', 'NCGC00021123-01', 'NCGC00255848-01', '2,6-Triiodo-3,5-diacetamidobenzoic acid', 'AS-68015', 'CAS-117-96-4', 'H919', 'LS-36713', 'SBI-0206932.P001', 'AX8041743', 'Benzoic acid,5-diacetamido-2,4,6-triiodo-', 'D1462', 'FT-0624622', '3,5-diacetylamino-2,4,6-triiodobenzoic acid', 'KS-00001796', '3,5-Di(acetamido)-2,4,6-triiodobenzoic Acid', 'D02240', '3,5-Bis(acetamido)-2,4,6-triiodobenzoic Acid', 'AB00979425-01', 'AB00979425_02', 'Benzoic acid,5-bis(acetylamino)-2,4,6-triiodo-', 'Q411511', 'J-003688', 'Z56886396', '3, 5-Diacetamido-2,4,6-triiodobenzoic acid, sodium salt', 'Diatrizoic acid dihydrate, meets USP testing specifications', 'Benzoic acid, 3,5-diacetamido-2,4, 6-triiodo-, sodium salt', '3,5-Bis(acetylamino)-2,4,6-triiodobenzoic acid; Diatrizoic acid', 'Diatrizoic acid, United States Pharmacopeia (USP) Reference Standard', 'Amidotrizoic acid dihydrate, European Pharmacopoeia (EP) Reference Standard', 'Amidotrizoic acid for system suitability, European Pharmacopoeia (EP) Reference Standard', '3,5-diacetamido-2,4,6-triiodo-benzoic acid;(2R,3R,4R,5S)-6-(methylamino)hexane-1,2,3,4,5-pentol', '3,5-diacetamido-2,4,6-triiodobenzoic acid;(2R,3R,4R,5S)-6-(methylamino)hexane-1,2,3,4,5-pentol', '3,5-diacetamido-2,4,6-tris(iodanyl)benzoic acid;(2R,3R,4R,5S)-6-(methylamino)hexane-1,2,3,4,5-pentol', 'Diatrizoic acid;meglumine diatrizoate;Diatrizoate sodium;sodium amidotrizoate;Sodium amidotrizoate']</t>
  </si>
  <si>
    <t>Compound(2140)</t>
  </si>
  <si>
    <t>C11H9I3N2O4</t>
  </si>
  <si>
    <t>1-(4,6-dimethoxypyrimidin-2-yl)-3-[methyl(methylsulfonyl)sulfamoyl]urea</t>
  </si>
  <si>
    <t>['Amidosulfuron', '120923-37-7', 'Amidosulfuron [ISO]', 'UNII-6ZNU868K0S', '1-(4,6-dimethoxypyrimidin-2-yl)-3-[methyl(methylsulfonyl)sulfamoyl]urea', '6ZNU868K0S', 'AC1L3MSD', 'SureCN54922', 'SCHEMBL54922', 'CHEBI:2635', 'DTXSID7057945', 'C9H15N5O7S2', 'CTK8E8793', 'ZINC1532061', 'AKOS015895263', 'AC-18031', 'L953', 'SC-80126', 'DB-041588', 'LS-191482', 'FT-0631102', 'NS00000555', 'C10933', 'Amidosulfuron, PESTANAL(R), analytical standard', '923A377', 'A804616', 'J-004411', 'Q2225366', 'Cratil; Gratil; Grodyl; HOE 075032; Hoestar;Adret', '1-(4,6-dimethoxy-2-pyrimidinyl)-3-[methyl(methylsulfonyl)sulfamoyl]urea', '1- [(N-Methylsulfonyl-N-methyl-amino) -sulfonyl]-3- (4,6-dimethoxy-2-pyrimidyl) urea', '1-[(N-methylsulfonyl-N-methyl-amino)-sulfonyl]-3-(4,6-dimethoxy-2-pyrimidyl)-urea', '1-[(N-Methylsulfonyl-N-methyl-amino)-sulfonyl]-3-(4,6-dimethoxy-2-pyrimidyl)urea', '1-[(N-Methylsulfonyl-N-methylamino)sulfonyl]-3-(4,6-dimethoxy-2-pyrimidyl)urea', "N'-(4,6-Dimethoxypyrimidin-2-yl)-N-[(methanesulfonyl)(methyl)sulfamoyl]carbamimidic acid", 'N-(N-(4,6-dimethoxypyrimidin-2-ylcarbamoyl)sulfamoyl)-N-methylmethanesulfonamide', '1-(4,6-dimethoxypyrimidin-2-yl)-3-mesyl(methyl)sulfamoylurea;3,5-Dithia-2,4-diazahexanamide, N-(4,6-dimethoxy-2-pyrimidinyl)-4-methyl-, 3,3,5,5-tetraoxide;3-(4,6-dimethoxypyrimidin-2-yl)-1-((N-methyl-N-methylsulfonylamino)sulfonyl)urea']</t>
  </si>
  <si>
    <t>Compound(91777)</t>
  </si>
  <si>
    <t>C9H15N5O7S2</t>
  </si>
  <si>
    <t>amphetamine</t>
  </si>
  <si>
    <t>1-phenylpropan-2-amine</t>
  </si>
  <si>
    <t>['AMPHETAMINE', 'Amfetamine', '1-phenylpropan-2-amine', 'dl-Amphetamine', 'Desoxynorephedrine', 'Phenamine', '1-Phenyl-2-aminopropane', 'alpha-Methylphenethylamine', '300-62-9', 'Benzedrine', 'Fenopromin', 'Phenedrine', 'Elastonon', 'Mydrial', 'beta-Aminopropylbenzene', '1-Methyl-2-phenylethylamine', 'Norephedrane', '1-Phenyl-2-propylamine', 'Actedron', 'Allodene', 'Anorexide', 'Anorexine', 'Benzebar', 'Benzolone', 'Isoamyne', 'Mecodrin', 'Novydrine', 'Oktedrin', 'Ortedrine', 'Percomon', 'Profamina', 'Simpatina', 'Adipan', 'Isomyn', 'Finam', 'Protioamphetamine', 'alpha-Methylbenzeneethaneamine', '1-Phenyl-2-propanamine', '3-Phenyl-2-propylamine', 'Psychedrine', 'amfetaminum', 'Fenylo-izopropylaminyl', '(Phenylisopropyl)amine', 'dl-alpha-Methylphenethylamine', '2-Amino-1-phenylpropane', 'racemic-Desoxynor-ephedrine', '(+-)-Benzedrine', 'Benzeneethanamine, .alpha.-methyl-', 'Amfetamina [Italian]', 'Anfetamina [Spanish]', 'beta-Phenylisopropylamin', 'Amfetamine [INN:BAN]', 'dl-Benzedrine', 'rac-Amphetamine', 'Amfetaminum [INN-Latin]', '(+-)-alpha-Methylphenylethylamine', '1-Phenyl-2-amino-propan', 'Amfetamina [INN-Spanish]', 'beta-Aminopropylbenzene (VAN)', '.alpha.-Methylbenzeneethanamine', 'DELCOBESE', 'Fenylo-izopropylaminyl [Polish]', 'Benzeneethanamine, alpha-methyl-', '(+-)-alpha-Methylphenethylamine', 'Benzeneethanamine, alpha-methyl-, (+-)-', '1-Phenyl-2-aminopropane (VAN)', 'HSDB 3287', 'beta-Phenylisopropylamin [German]', 'beta-Phenylisopropylamine', '(+-)-alpha-Methylbenzeneethanamine', '1-Phenyl-2-amino-propan [German]', '.beta.-Aminopropylbenzene', 'EINECS 200-458-3', 'EINECS 206-096-2', 'NSC 27159', 'dl-1-Phenyl-2-aminopropane', 'Phenethylamine, alpha-methyl-, (+-)-', 'Levoamphetamine', 'Dexedrine', 'Phenethylamine, alpha-methyl-', 'AI3-02438', '60-15-1', 'Dexacaps', 'NSC-27159', 'Phenethylamine, .alpha.-methyl-, (.+/-.)-', 'Benzeneethanamine, .alpha.-methyl-, (.+/-.)-', 'DEA No. 1100', 'Thyramine', 'Desoxynorephedrin', 'levo-Amphetamine', 'Adderall XR', 'Amphetamine salts', 'Dyanavel XR', 'Amphetamine, its salts, optical isomers, and salts of its optical isomers', 'Dexamfetamine (INN)', 'Phenethylamine, D-.alpha.-methyl-', 'D-1-Phenyl-2-aminopropan', 'Amphetamine resin complex', 'beta-phenyl-isopropylamine', 'Amphetamine Sulfate (2:1)', 'Amphetamin', 'Adderal', 'Isoamycin', 'amphetamine-', 'NSC-73713', '3-AMINO-1-PROPYLBENZENE', 'Adzenys ER', 'Amfetamin (TN)', 'Dyanavel (TN)', 'Amfetamine (INN)', 'component of Amodex', 'Phenethylamine, d-', 'S(+)-Amphetamine', 'Adzenys (TN)', '(plusmn)-amphetamine', 'Noclon (Salt/Mix)', 'Norephedrine, deoxy-', 'Fenamin (Salt/Mix)', 'Ortenal (Salt/Mix)', 'Zedrine (Salt/Mix)', '(+/-)-Benzedrine', 'Euphodyn (Salt/Mix)', 'Stimulan (Salt/Mix)', 'Fabedrine (Salt/Mix)', 'Oraldrina (Salt/Mix)', 'Vapedrine (Salt/Mix)', 'Amphetamine mixture with Dextroamphetamine', 'Sympametin (Salt/Mix)', 'component of Biphetamine', 'Phenethylamine, (+)-', '3-phenylpropan-2-amine', '(.+/-.)-Benzedrine', 'Benzeneethanamine, (S)-', '.beta.-Phenylisopropylamin', 'alpha-methyl phenethylamine', 'AMPHETAMINE, (D)', '(+/-)-Desoxynorephedrine', 'alpha-Methylphenylethylamine', 'CHEMBL405', '.beta.-Phenylisopropylamine', 'SCHEMBL8858', '.alpha.-Methylphenethylamine', 'Oprea1_447423', 'd/l-Amphetamine hydrochloride', '(.+/-.)-Desoxynorephedrine', '.alpha.-Methylphenylethylamine', 'DivK1c_000991', 'WLN: ZY1&amp;1R', '(S)-.alpha.-Phenylethylamine', 'd-.alpha.-Methylphenethylamine', 'CHEBI:2679', 'GTPL4804', 'WLN: ZY1&amp;1R -D', '.alpha.-Methylbenzeneethaneamine', 'DL-.alpha.-Methylphenethylamine', 'DTXSID4022600', 'HMS503G03', 'KBio1_000991', 'Phenethylamine, .alpha.-methyl-', '(+/-)-beta-Phenylisopropylamine', '(+)-.alpha.-Methylphenethylamine', 'CHEBI:132233', 'NINDS_000991', 'rac-(2R)-1-phenylpropan-2-amine', '(+)-.alpha.-Methylphenylethylamine', 'NSC27159', 'NSC73713', '.alpha.-Methylphenethylamine, d-form', 'BDBM50005246', '(S)-(+)-.beta.-Phenylisopropylamine', 'Phenethylamine, alpha-methyl, (+-)-', '(.+/-.)-.beta.-Phenylisopropylamine', 'DB00182', 'LS-1148', 'LS-1428', 'MCULE-4193952437', 'NT-0201', '(.+/-.)-.alpha.-Methylphenethylamine', 'IDI1_000991', 'rac-Amphetamine 1.0 mg/ml in Methanol', '(.+/-.)-.alpha.-Methylphenylethylamine', 'Benzeneethanamine, .alpha.-methyl-, (S)-', 'DB-047697', '41820-21-7', '3797-EP2275420A1', '3797-EP2295439A1', '3797-EP2298734A2', '3797-EP2298742A1', '3797-EP2298779A1', '3797-EP2305219A1', '3797-EP2305648A1', '3797-EP2305656A1', '3797-EP2308867A2', '3797-EP2308870A2', '3797-EP2311801A1', '3797-EP2311802A1', '3797-EP2311803A1', '3797-EP2314571A2', '3797-EP2371814A1', 'C07514', 'D03740', 'D07445', 'Benzeneethanamine, .alpha.-methyl-, (.alpha.S)-', 'L000864', 'Q179452', '(+/-)-a-methylphenethylammonium dihydrogen phosphate', 'DL-Amphetamine solution, 1 mg/mL in methanol, drug standard', 'ALPHA-METHYL-BENZENEETHANAMIDE (SEE ALSO DL-AMPHETAMINE SULFATE)', 'AMPHETAMINE (SEE ALSO: D-AMPHETAMINE (51-64-9) &amp; AMPHETAMINE SULFATE (60-13-9))', '(+/-)-Amphetamine solution, 1.0 mg/mL in methanol, ampule of 1 mL, certified reference material', '(+/-)-Amphetamine solution, 100 mug/mL in methanol, ampule of 1 mL, certified reference material']</t>
  </si>
  <si>
    <t>Compound(3007)</t>
  </si>
  <si>
    <t>(2-butyl-1-benzofuran-3-yl)-[4-[2-(diethylamino)ethoxy]-3,5-diiodophenyl]methanone</t>
  </si>
  <si>
    <t>['amiodarone', '1951-25-3', 'Cordarone', 'Amiodarona', 'Amiodaronum', 'Amjodaronum', 'Amiodaronum [INN-Latin]', 'Amiodarona [INN-Spanish]', 'Pacerone', 'L 3428', 'L-3428', 'UNII-N3RQ532IUT', '2-Butyl-3-(3,5-diiodo-4-(2-diethylaminoethoxy)benzoyl)benzofuran', "2-n-Butyl-3',5'-diiodo-4'-N-diethylaminoethoxy-3-benzoylbenzofuran", '(2-butyl-1-benzofuran-3-yl){4-[2-(diethylamino)ethoxy]-3,5-diiodophenyl}methanone', 'C25H29I2NO3', '2-Butyl-3-benzofuranyl 4-(2-(diethylamino)ethoxy)-3,5-diiodophenyl ketone', 'SKF 33134-A', 'EINECS 217-772-1', 'CHEMBL633', 'BRN 1271711', 'N3RQ532IUT', '2-Butyl-3-benzofuranyl p-((2-diethylamino)ethoxy)-m,m-diiodophenyl ketone', 'CHEBI:2663', 'Amidorone', '2-Butyl-3-(3,5-diiodo-4-(beta-diethylaminoethoxy)benzoyl)benzofuran', "2-Butyl-3-(4'-beta-N-diethylaminoethoxy-3',5'-diiodobenzoyl)benzofuran", 'Atlansil', '(2-Butyl-3-benzofuranyl)(4-(2-(diethylamino)ethoxy)-3,5-diidophenyl)methanone', 'Ketone, 2-butyl-3-benzofuranyl 4-(2-(diethylamino)ethoxy)-3,5-diiodophenyl', '(2-{4-[(2-butyl-1-benzofuran-3-yl)carbonyl]-2,6-diiodophenoxy}ethyl)diethylamine', 'Methanone, (2-butyl-3-benzofuranyl)(4-(2-(diethylamino)ethoxy)-3,5-diiodophenyl)-', 'NCGC00015096-07', 'Kordaron', 'Amiodarone Base', 'DSSTox_CID_2592', '(2-Butylbenzofuran-3-yl)(4-(2-(diethylamino)ethoxy)-3,5-diiodophenyl)methanone', 'DSSTox_RID_76649', 'Methanone, (2-butyl-3-benzofuranyl)[4-[2-(diethylamino)ethoxy]-3,5-diiodophenyl]-', 'DSSTox_GSID_22592', '(2-butyl-1-benzofuran-3-yl)(4-{[2-(diethylamino)ethyl]oxy}-3,5-diiodophenyl)methanone', '(2-Butylbenzofuran-3-yl)(4-(2-(diethylamino)-ethoxy)-3,5-diiodophenyl)methanone', 'CAS-1951-25-3', 'SKF-33134A', 'Amiodarone [USAN:BAN:INN]', 'NCGC00015096-12', 'Amiodarone (USAN/INN)', 'CAS-19774-82-4', 'Tranquerone', 'Amiodaron', 'AmiodaroneHCl', 'Amiodarone [USAN:INN:BAN]', 'CCRIS 9360', '2-Butyl-3-benzofuranyl 4-[2-(diethylamino)ethoxy]-3,5-diiodophenyl ketone', 'BBI', 'Labaz (Salt/Mix)', 'Cyto8E2', 'Cordarone (Salt/Mix)', 'Spectrum_000261', 'Prestwick0_000409', 'Prestwick1_000409', 'Prestwick2_000409', 'Prestwick3_000409', 'Spectrum2_001813', 'Spectrum3_001050', 'Spectrum4_001190', 'Spectrum5_001533', 'Lopac-A-8423', 'BIDD:PXR0146', 'CBiol_001740', 'Lopac0_000122', 'SCHEMBL16284', 'BSPBio_000338', 'BSPBio_001574', 'BSPBio_002580', 'KBioGR_000294', 'KBioGR_001859', 'KBioSS_000294', 'KBioSS_000741', '5-18-02-00353 (Beilstein Handbook Reference)', 'BIDD:GT0425', 'DivK1c_000079', 'SPBio_001825', 'SPBio_002277', 'BPBio1_000372', 'cid_441325', 'GTPL2566', 'DTXSID7022592', 'BDBM18957', 'CTK4G7797', 'KBio1_000079', 'KBio2_000294', 'KBio2_000741', 'KBio2_002862', 'KBio2_003309', 'KBio2_005430', 'KBio2_005877', 'KBio3_000587', 'KBio3_000588', 'KBio3_001800', 'NINDS_000079', 'Bio1_000026', 'Bio1_000515', 'Bio1_001004', 'Bio2_000294', 'Bio2_000774', 'HMS1791O16', 'HMS1989O16', 'HMS2089C07', 'SKF-33134-A (Salt/Mix)', 'ZINC3830212', 'Tox21_110083', 'STK529812', '2-Butyl-3-benzofuranyl-4-[2-(diethylamino)ethoxy]-3,5-diiodophenyl ketone', 'AKOS005462717', 'Tox21_110083_1', 'API0001453', 'CCG-204217', 'CS-2834', 'DB01118', 'MCULE-4156227717', 'SDCCGSBI-0050110.P004', '(2-butylbenzofuran-3-yl)-[4-(2-diethylaminoethoxy)-3,5-diiodo-phenyl]-methanone', 'IDI1_000079', 'IDI1_034044', 'QTL1_000008', 'NCGC00015096-01', 'NCGC00015096-02', 'NCGC00015096-03', 'NCGC00015096-04', 'NCGC00015096-05', 'NCGC00015096-06', 'NCGC00015096-08', 'NCGC00015096-09', 'NCGC00015096-10', 'NCGC00015096-11', 'NCGC00015096-13', 'NCGC00015096-14', 'NCGC00015096-17', 'NCGC00024242-03', 'NCGC00024242-04', 'NCGC00024242-05', 'NCGC00024242-06', 'CC-24083', 'HY-14187', 'LS-87088', 'NCI60_041885', 'SC-18813', 'SBI-0050110.P003', 'AX8114028', 'AB00053422', 'FT-0601533', 'NS00010453', 'ST51014902', 'UNM000001215003', 'C06823', 'D02910', '20514-EP2272832A1', '20514-EP2305668A1', '20514-EP2314585A1', 'AB00053422-17', 'AB00053422_18', 'AB00053422_19', '951A253', 'C-23400', 'L001174', 'Q410061', 'W-107695', 'BRD-K17561142-003-16-8', 'F2173-1018', '2-Butyl-3-(3,5-diiodo-4-(.beta.-diethylaminoethoxy)benzoyl)benzofuran', "2-Butyl-3-(4'-.beta.-N-diethylaminoethoxy-3',5'-diiodobenzoyl)benzofuran", '(2-butyl-1-benzofuran-3-yl)-[4-(2-diethylaminoethoxy)-3,5-diiodophenyl]methanone', '(2-butyl-1-benzofuran-3-yl)-[4-[2-(diethylamino)ethoxy]-3,5-diiodophenyl]methanone', '(2-Butyl-benzofuran-3-yl)(4-[2-(diethylamino)ethoxy]-3,5-diiodophenyl)methanone #', '(2-butylbenzofuran-3-yl)-[4-(2-diethylaminoethyloxy)-3,5-diiodo-phenyl]methanone', '(2-n-butyl-3-benzofuranyl) [4-[2-(diethylamino)ethoxyl]-3,5-diiodophenyl] methanone', '(2-n-butyl-3-benzofuranyl)[4-[2-(diethylamino)ethoxyl]-3,5-diiodophenyl]methanone', '4-[2-(diethylamino)ethoxy]-3,5-diiodophenyl 2-butylbenzo[b]furan-3-yl ketone', 'Methanone,(2-butyl-3-benzofuranyl)[4-[2-(diethyloxidoamino)ethoxy]-3,5-diiodophenyl]-', '2-butyl-3-benzofuryl 4-[2-(diethylamino)ethoxy]-3,5-diiodophenyl ketone hydrochloride;Amiodarone hydrochloride']</t>
  </si>
  <si>
    <t>Compound(2157)</t>
  </si>
  <si>
    <t>C25H29I2NO3</t>
  </si>
  <si>
    <t>ampicillin</t>
  </si>
  <si>
    <t>(2S,5R,6R)-6-[[(2R)-2-amino-2-phenylacetyl]amino]-3,3-dimethyl-7-oxo-4-thia-1-azabicyclo[3.2.0]heptane-2-carboxylic acid</t>
  </si>
  <si>
    <t>['ampicillin', '69-53-4', 'Aminobenzylpenicillin', 'Ampicillin acid', 'Amcill', 'Polycillin', 'Principen', 'Ampicilline', 'Penbritin', 'Omnipen', 'Pentrexyl', 'Synpenin', 'Tokiocillin', 'Totacillin', 'Novo-ampicillin', 'anhydrous ampicillin', 'D-Ampicillin', 'D-(-)-Ampicillin', 'Adobacillin', 'Amblosin', 'Ampichel', 'Ampicilina', 'Ampicillinum', 'Ampifarm', 'Ampipenin', 'Ampiscel', 'Amplacilina', 'Amplipenyl', 'Amplisom', 'Amplital', 'Austrapen', 'Bonapicillin', 'Britacil', 'Campicillin', 'Copharcilin', 'Delcillin', 'Divercillin', 'Doktacillin', 'Duphacillin', 'Grampenil', 'Guicitrina', 'Lifeampil', 'Norobrittin', 'Orbicilina', 'Penbristol', 'Penbrock', 'Penicline', 'Pentrexl', 'Princillin', 'Racenacillin', 'Rosampline', 'Roscillin', 'Semicillin', 'Servicillin', 'Sumipanto', 'Texcillin', 'Totalciclina', 'Trifacilina', 'Ultrabion', 'Ultrabron', 'Viccillin', 'Acillin', 'Amfipen', 'Ampicil', 'Ampicin', 'Ampikel', 'Ampimed', 'Ampisyn', 'Ampivax', 'Ampivet', 'Amplin', 'Binotal', 'Deripen', 'Morepen', 'Nuvapen', 'Penimic', 'Pensyn', 'Pentrex', 'Ponecil', 'Tolomol', 'Totapen', 'Vampen', 'Wypicil', 'Alpen', 'Cimex', 'Supen', 'Ampicillin anhydrate', 'Ampicillin A', 'Ampicillin Anhydrous', 'Pfizerpen A', 'Amipenix S', 'Ampi-bol', 'SK-Ampicillin', 'Amfipen V', 'Pen Ampil', 'QIDamp', 'Ampi-Tab', 'D-Cillin', 'Olin Kid', 'Ro-Ampen', 'Ampi-Co', 'Penbritin syrup', 'Pen A', 'Semicillin R', 'Viccillin S', 'Ampy-Penyl', 'Ampicillina [DCIT]', 'AMPICILLIN TRIHYDRATE', 'Penbritin paediatric', 'Bayer 5427', 'Ukapen', 'D-(-)-alpha-Aminobenzylpenicillin', 'ABPC', 'Ampicilina [INN-Spanish]', 'Ampicilline [INN-French]', 'Ampicillinum [INN-Latin]', 'Pfizerpen-A', 'D-(-)-alpha-Aminopenicillin', 'AB-PC', 'Polycillin-N', 'Totacillin-N', 'Penbritin-S', 'AB-PC Sol', 'AY-6108', 'Omnipen-N', 'BRL 1341', 'D-(-)-6-(alpha-Aminophenylacetamido)penicillanic acid', 'P-50', 'KS-R1', 'Polyflex (Veterinary)', 'NSC-528986', 'HI 63', 'BRL-1341', '6-(D(-)-alpha-Aminophenylacetamido)penicillanic acid', 'Guicitrine', 'Ampen', 'NSC 528986', 'BA 7305', 'WY-5103', 'Ampicillin, anhydrous', 'P 50', 'SQ 17382', 'UNII-7C782967RD', 'C16H19N3O4S', 'CHEBI:28971', 'Penicillin, (aminophenylmethyl)-', 'HSDB 3009', 'Ampicillin [USAN:INN:BAN:JAN]', 'EINECS 200-709-7', 'Alpha-Aminobenzylpenicillin', '6-(D-(2-Amino-2-phenylacetamido))-3,3-dimethyl-7-oxo-4-thia-1-azabicyclo(3.2.0)heptane-2-carboxylic acid', 'AY 6108', "Principen '125'", "Principen '250'", "Principen '500'", 'MLS000028405', '(2S,5R,6R)-6-{[(2R)-2-amino-2-phenylacetyl]amino}-3,3-dimethyl-7-oxo-4-thia-1-azabicyclo[3.2.0]heptane-2-carboxylic acid', 'Ampicillina', 'OMNIPEN (AMPICILLIN)', 'vidopen', 'AMPI', '7C782967RD', '(2S,5R,6R)-6-[[(2R)-2-amino-2-phenylacetyl]amino]-3,3-dimethyl-7-oxo-4-thia-1-azabicyclo[3.2.0]heptane-2-carboxylic acid', '4-Thia-1-azabicyclo(3.2.0)heptane-2-carboxylic acid, 6-((aminophenylacetyl)amino)-3,3-dimethyl-7-oxo-, (2S-(2alpha,5alpha,6beta(S*)))-', 'SMR000058352', 'Ampicillin Base', 'DSSTox_CID_2602', 'DSSTox_RID_76654', 'DSSTox_GSID_22602', '(2S,5R,6R)-6-((R)-2-Amino-2-phenylacetamido)-3,3-dimethyl-7-oxo-4-thia-1-azabicyclo(3.2.0)heptane-2-carboxylic acid', 'ampicillanyl', 'Penicillin, Aminobenzyl', '69-52-3', '7177-48-2', 'MFCD00005175', 'Ampicillin [USAN:BAN:INN:JAN]', 'CAS-69-53-4', '(2S,5R,6R)-6-[(R)-2-Amino-2-phenylacetamido]-3,3-dimethyl-7-oxo-4-thia-1-azabicyclo[3.2.0]heptane-2-carboxylic acid', '(2S,5R,6R)-6-{[(2R)-2-AMINO-2-PHENYLETHANOYL]AMINO}-3,3-DIMETHYL-7-OXO-4-THIA-1-AZABICYCLO[3.2.0]HEPTANE-2-CARBOXYLIC ACID', '4-Thia-1-azabicyclo(3.2.0)heptane-2-carboxylic acid, 6-(2-amino-2-phenylacetamido)-3,3-dimethyl-7-oxo-, D-(-)-', '4-Thia-1-azabicyclo[3.2.0]heptane-2-carboxylic acid,6-[[(2R)-aminophenylacetyl]amino]-3,3-dimethyl-7-oxo-, trihydrate,(2S,5R,6R)-', 'Omnipen (TN)', 'Totacillin (sodium)', 'AMPICILLIN/AMPICILLIN TRIHYDRATE', 'Ampicillin (USP/INN)', 'Vidocillin', 'Marcillin', 'Pentritin', 'NSC528986', 'D-(-)-.alpha.-Aminobenzylpenicillin', 'Ampicillin,(S)', 'NCGC00018160-02', '(2s,5r,6r)-6-((r)-2-amino-2-phenylacetamido)-3,3-dimethyl-7-oxo-4-thia-1-azabicyclo[3.2.0]heptane-2-carboxylic acid', '(2S,5R,6R)-6-[[(2R)-2-amino-2-phenyl-acetyl]amino]-3,3-dimethyl-7-oxo-4-thia-1-azabicyclo[3.2.0]heptane-2-carboxylic acid', 'Ampicillin [USAN:USP:INN:BAN:JAN]', 'Ampicillin (anhydrous)', 'Spectrum_000050', '1h8s', 'AY  6108', 'D-a-Aminobenzylpenicillin', 'Opera_ID_1630', 'Prestwick0_000114', 'Prestwick1_000114', 'Prestwick2_000114', 'Prestwick3_000114', 'Spectrum2_000769', 'Spectrum3_000301', 'Spectrum4_000149', 'Spectrum5_000814', 'CHEMBL174', 'Epitope ID:115008', 'Epitope ID:116057', 'EC 200-709-7', 'SCHEMBL3526', 'Sultamicillin EP Impurity C', 'BSPBio_000128', 'BSPBio_001862', 'KBioGR_000598', 'KBioSS_000430', 'Anhydrous ampicillin (JP17)', 'MLS001074168', 'BIDD:GT0184', 'DivK1c_000466', 'SPBio_000818', 'SPBio_002067', 'Ampicillin, analytical standard', 'BPBio1_000142', 'DTXSID4022602', 'CHEBI:53713', 'CTK2F3032', 'GTPL10896', 'KBio1_000466', 'KBio2_000430', 'KBio2_002998', 'KBio2_005566', 'KBio3_001362', 'NINDS_000466', 'HMS2090I11', 'HMS2233H23', 'Ampicillin acid; Principen; Amcill', 'AMPICILLIN (SEE ALSO AMPICILLIN TRIHYDRATE 7177-48-2)', 'HY-B0522', "N,N'-dibenzylethylenediammonio [2S-[2a,5a,6ss(S*)]]-bis[6-[(aminophenylacetyl)amino]-3,3-dimethyl-7-oxo-4-thia-1-azabicyclo[3.2.0]heptane-2-carboxylate]", 'ZINC3830218', 'Tox21_113049', 'Tox21_301416', 'BDBM50350465', 'SBB063111', 'AKOS015888156', 'Tox21_113049_1', 'AC-8805', 'API0001474', 'CS-2741', 'DB00415', 'LS-1586', 'VA10275', 'WY 5103', '6beta-[(2R)-2-amino-2-phenylacetamido]-2,2-dimethylpenam-3alpha-carboxylic acid', 'IDI1_000466', 'SMP1_000211', 'NCGC00023282-05', 'NCGC00023282-06', 'NCGC00023282-21', 'NCGC00178944-03', 'NCGC00248937-01', 'NCGC00255127-01', 'CC-24106', 'ST077148', 'SBI-0051283.P003', '6-(a-Aminophenylacetamido)penicillanic acid', 'LS-169948', 'C06574', 'D00204', 'AMPICILLIN ANHYDROUS,  PHARMACEUTICAL GRADE', 'C-20591', 'Q244150', '6-D(-)-alpha-Aminophenylacetamido-penicillanic acid', 'BRD-K68432770-001-08-0', 'Ampicillin, anhydrous, 96.0-100.5% (anhydrous basis)', 'Ampicillin, United States Pharmacopeia (USP) Reference Standard', 'Anhydrous ampicillin, British Pharmacopoeia (BP) Reference Standard', 'Ampicillin, anhydrous, European Pharmacopoeia (EP) Reference Standard', '(2S,5R,6R)-6-[(2R)-2-amino-2-phenylacetamido]-3,3-dimethyl-7-oxo-4-thia-1-azabicyclo[3.2.0]heptane-2-carboxylic acid', '(2S,5R,6R)-6-{[(2R)-2-AMINO-2-PHENYLETHANOYL]AMINO}-3,3-DIMETHYL-7-OXO-4-THIA-1-AZABICYCLO[3.2.0]HEPTANE-2-CARBOXYLIC', '4-Thia-1-azabicyclo(3.2.0)heptane-2-carboxylic acid, 6-(((2R)-aminophenylacetyl)amino)-3,3-dimethyl-7-oxo-, (2S,5R,6R)-', '4-Thia-1-azabicyclo[3.2.0]heptane-2-carboxylicacid, 6-[[(2R)-2-amino-2-phenylacetyl]amino]-3,3-dimethyl-7-oxo-, (2S,5R,6R)-', '6-((2R)-2-amino-2-phenylacetylamino)(2S,5R,6R)-3,3-dimethyl-7-oxo-4-thia-1-aza bicyclo[3.2.0]heptane-2-carboxylic acid', '6-((2R)-2-amino-2-phenylacetylamino)(2S,5R,6R)-3,3-dimethyl-7-oxo-4-thia-1-aza bicyclo[3.2.0]heptane-2-carboxylic acid, oxamethane, oxamethane, oxamethane', '6-[(Aminophenylacetyl)amino]-3,3-dimethyl-7-oxo-4-thia-1-azabicyclo[3.2.0]heptane-2-carboxylic acid, 9CI', 'AMPICILLIN; D(-)-ALPHA-AMINOBENZYLPENICILLIN; 6-[D(-)-ALPHA-AMINOPHENYLLACETAMIDO]PENICILLANIC ACID']</t>
  </si>
  <si>
    <t>Compound(6249)</t>
  </si>
  <si>
    <t>C16H19N3O4S</t>
  </si>
  <si>
    <t>3-(3-bromo-6-fluoro-2-methylindol-1-yl)sulfonyl-N,N-dimethyl-1,2,4-triazole-1-sulfonamide</t>
  </si>
  <si>
    <t>['Amisulbrom', '348635-87-0', '3-((3-Bromo-6-fluoro-2-methyl-1H-indol-1-yl)sulfonyl)-N,N-dimethyl-1H-1,2,4-triazole-1-sulfonamide', 'UNII-RM460IQC3A', 'RM460IQC3A', '3-[(3-bromo-6-fluoro-2-methyl-1H-indol-1-yl)sulfonyl]-N,N-dimethyl-1H-1,2,4-triazole-1-sulfonamide', 'AK269211', '3-(3-bromo-6-fluoro-2-methylindol-1-yl)sulfonyl-N,N-dimethyl-1,2,4-triazole-1-sulfonamide', '3-(3-bromo-6-fluoro-2-methylindol-1-ylsulfonyl)-N,N-dimethyl-1H-1,2,4-triazole-1-sulfonamide', 'Amisulbrom [ISO]', 'Amibromdole', 'HSDB 8031', 'SCHEMBL20366', 'DTXSID0058063', 'CHEBI:81846', 'KS-00000TJL', 'ACT08751', 'BCP33318', 'NC 224', 'ZINC38276327', 'AKOS025401938', 'AC-27458', 'ACM348635870', 'DS-10929', 'NS00001106', 'Amisulbrom, PESTANAL(R), analytical standard', 'C18581', 'J-519585', 'Q15905562']</t>
  </si>
  <si>
    <t>Compound(10238657)</t>
  </si>
  <si>
    <t>C13H13BrFN5O4S2</t>
  </si>
  <si>
    <t>4-amino-N-[(1-ethylpyrrolidin-2-yl)methyl]-5-ethylsulfonyl-2-methoxybenzamide</t>
  </si>
  <si>
    <t>['amisulpride', '71675-85-9', 'Solian', 'Aminosultopride', 'Amisulprida', 'Deniban', 'DAN 2163', 'Amisulpridum', 'Amisulpridum [INN-Latin]', 'Amisulprida [INN-Spanish]', 'Amisulpride [INN]', 'DAN-2163', '4-Amino-N-[(1-ethyl-2-pyrrolidinyl)methyl]-5-(ethylsulfonyl)-2-methoxybenzamide', '4-amino-N-[(1-ethylpyrrolidin-2-yl)methyl]-5-ethylsulfonyl-2-methoxybenzamide', 'Amisulpride (INN)', '4-Amino-N-((1-ethyl-2-pyrrolidinyl)methyl)-5-(ethylsulfonyl)-2-methoxybenzamide', 'APD421', 'C17H27N3O4S', 'EINECS 275-831-7', '4-Amino-N-((1-ethyl-2-pyrrolidinyl)methyl)-5-(ethylsulfonyl)-o-anisamide', '4-amino-N-[(1-ethylpyrrolidin-2-yl)methyl]-5-(ethylsulfonyl)-2-methoxybenzamide', 'CHEBI:64045', '4-Amino-N-((1-ethyl-2-pyrrolidinyl)methyl)-5-(ethylsulfonyl)-2-anisamid', 'NCGC00092310-03', '4-amino-N-((1-ethylpyrrolidin-2-yl)methyl)-5-(ethylsulfonyl)-2-methoxybenzamide', 'DSSTox_CID_22613', 'DSSTox_RID_80058', 'DSSTox_GSID_42613', 'W-104511', 'Amisulpiride', 'Sulpitac', 'Socian', '4-amino-N-[(1-ethyl-2-pyrrolidinyl)methyl]-5-ethylsulfonyl-2-methoxybenzamide', '4-amino-5-(ethanesulfonyl)-N-[(1-ethylpyrrolidin-2-yl)methyl]-2-methoxybenzamide', 'Benzamide, 4-amino-N-((1-ethyl-2-pyrrolidinyl)methyl)-5-(ethylsulfonyl)-2-methoxy-', 'SMR000449309', 'Deniban (TN)', 'CAS-71675-85-9', 'Solian (TN)', 'Amisulpride [INN:BAN]', 'Amisulprid', 'Barhemsys', 'Amisulpride/', '(plusmn)-amisulpride', 'PubChem18224', 'Amisulprid_2852_ p', 'SL-91.1077', 'SCHEMBL34126', 'GTPL963', 'MLS000758258', 'MLS000759450', 'MLS001424039', 'MLS006011769', 'CHEMBL243712', 'DTXSID5042613', 'Amisulpride, &gt;=98% (HPLC)', 'BDBM81790', 'CTK8B3282', 'APD-421', 'BCPP000404', 'HMS2051K10', 'HMS2235M16', 'HMS3263D07', 'HMS3268L09', 'HMS3369K09', 'HMS3393K10', 'HMS3413G07', 'HMS3657E11', 'HMS3677G07', 'HMS3713N06', 'Pharmakon1600-01502285', 'BCP02089', 'KS-00000XK6', 'NSC_2159', 'Tox21_113392', 'Tox21_501133', 'ABP000597', 'ANW-42197', 'BG0361', 'CA0133', 'MFCD00866691', 'NSC760085', 'STK635172', 'STL454297', 'AKOS005567252', 'Tox21_113392_1', 'AC-6820', 'API0005392', 'BCP9000294', 'CCG-100860', 'CCG-220622', 'CCG-222437', 'CS-1791', 'DB06288', 'LP01133', 'LS41262', 'MCULE-4239265090', 'NC00110', 'NSC-760085', 'SDCCGSBI-0633795.P001', 'NCGC00092310-01', 'NCGC00092310-02', 'NCGC00092310-04', 'NCGC00092310-06', 'NCGC00261818-01', 'AS-13890', 'CC-24086', 'HY-14545', 'K214', 'LS-25532', 'SC-23161', 'AB0008029', 'CAS_71675-85-9', 'AK00472461', 'FT-0630805', 'NS00000416', 'NS00098804', 'S1280', 'SW197490-3', 'D07310', 'AB00639933-07', 'AB00639933-09', 'AB00639933_10', '675A859', 'A837282', 'C-21104', 'L000106', 'Q418785', 'SR-01000759303', 'SR-01000759303-5', 'BRD-A60197193-001-05-4', 'Amisulpride, British Pharmacopoeia (BP) Reference Standard', 'Amisulpride, European Pharmacopoeia (EP) Reference Standard', '4-Amino-N-[(1-ethyl-2-pyrrolidinyl) methyl]-5-(ethylsulfonyl)-2-benzamide', '4-Amino-N-[(1-ethyl-2-pyrrolidinyl)methyl]-5-(ethylsulfonyl)-2-benzamide', '4-amino-5-ethanesulfonyl-n-(1-ethyl-pyrrolidin-2-ylmethyl)-2-methoxy-benzamide', '4-azanyl-N-[(1-ethylpyrrolidin-2-yl)methyl]-5-ethylsulfonyl-2-methoxy-benzamide', 'Amisulpride for system suitability, European Pharmacopoeia (EP) Reference Standard', '4-amino-N-[(1-ethylpyrrolidin-2-yl)methyl]-5-(ethylsulfonyl)-2-methoxybenzenecarboximidic acid']</t>
  </si>
  <si>
    <t>Compound(2159)</t>
  </si>
  <si>
    <t>C17H27N3O4S</t>
  </si>
  <si>
    <t>amosite (brown asbestos)</t>
  </si>
  <si>
    <t>2,3,4,7-tetrahydroxy-2,3,4,4a,5,11b-hexahydro-1H-[1,3]dioxolo[4,5-j]phenanthridin-6-one</t>
  </si>
  <si>
    <t>['NSC381837', 'cis-Dihydronarciclasine', '40042-04-4', 'Amosite asbestos', '40042-05-5', 'Asbestos, Amosite;asbestos', 'CHEMBL1987575', 'DTXSID50960504', 'NSC381838', 'NSC-381837', 'NSC-381838', 'B657832K144', 'B657832K145', '1,2,3,4,4a,11b-Hexahydro-9H-[1,3]dioxolo[4,5-j]phenanthridine-2,3,4,6,7-pentol', '12172-73-5']</t>
  </si>
  <si>
    <t>Compound(436050)</t>
  </si>
  <si>
    <t>C14H15NO7</t>
  </si>
  <si>
    <t>1H-1,2,4-triazol-5-amine</t>
  </si>
  <si>
    <t>['Amitrole', '3-amino-1,2,4-triazole', '61-82-5', '4H-1,2,4-triazol-3-amine', '1H-1,2,4-Triazol-3-amine', 'Aminotriazole', '1H-1,2,4-Triazol-5-amine', 'Amitrol', '3-Amino-s-triazole', 'Amerol', 'Amizol', 'Emisol', 'Vorox', '3-Amino-1H-1,2,4-triazole', '3-Aminotriazole', '65312-61-0', 'Amitolamitril', 'Triazolamine', 'Azaplant', 'Cytrole', 'Elmasil', 'Fenavar', 'Herbizole', 'Ramizol', 'Weedazin', 'Weedazol', 'Weedoclor', 'Azolan', 'Cytrol', 'Weedex granulat', 'Azaplant kombi', 'Herbidal total', 'Weedazol super', 'Weedazin arginit', 'Weedazol T', 'Amizol dp nau', 'Amitrol-T', 'Kleer-Lot', 'Radoxone TL', 'x-all Liquid', 'Amizol D', 'Amizol F', 'Emisol F', 'Weedar AT', 'Weedar ADS', 'Weedazol GP2', 'Vorox AA', 'Vorox AS', 'Amitrol 90', 'Emisol 50', '3-AT', 'Usaf xr-22', 'Campaprim A 1544', 'Diurol 5030', 'Aminotriazol-spritzpulver', 'Orga-414', '2-AMINO-1,3,4-TRIAZOLE', 'Amitril T.L.', 'Solution concentree T271', 'Simazol', 'Diurol', '1H-1,2,4-Triazol-3-ylamine', 's-Triazole, 3-amino-', 'Aminotriazole (plant regulator)', '65380-04-3', '5-Amino-1H-1,2,4-triazole', '2H-[1,2,4]Triazol-3-ylamine', '(4H)-1,2,4-Triazol-3-amine', 'Caswell No. 040', 'ENT 25445', 'UNII-ZF80H5GXUF', 'RCRA waste number U011', 'CCRIS 40', '1,2,4-Triazol-3-amine', 'Amitrole [ANSI:BSI:ISO]', 'Amino triazole weedkiller 90', 'Domatol 88', 'C2H4N4', '1H-1,2,4-Triazole-3-amine', 'HSDB 2953', '1H-[1,2,4]Triazol-3-ylamine', 'EINECS 200-521-5', 'NSC 34809', 'ZF80H5GXUF', 'RCRA waste no. U011', 'EPA Pesticide Chemical Code 004401', '5-amino-1,2,4-triazole', '3-Amino-1.2.4-Triazole', 'CHEMBL232801', 'CHEBI:40036', 'NSC7243', '3-Amino-[1,2,4]TRIAZOLE', 'DSSTox_CID_76', '3-Amino-1,4-triazol', '2-Amino-1,4-triazole', '3-Amino-1,4-triazole', 'WLN: T5MN DNJ CZ', 'DSSTox_RID_75351', '1H-1,4-Triazol-3-amine', 'DSSTox_GSID_20076', '3-Amino-1H-1,4-triazole', '5-Amino-1H-1,4-triazole', 'Maxata', 'CAS-61-82-5', '.DELTA.2-1,4-Triazoline, 5-imino-', '3-Amino-1H-1,2,4-triazole, 95%', 'Amino-1,2,4-triazole', '3-Amino-1,2,4-triazol', 'amitol', 'Weedazole', 'aza plant kombi', 'amitril t.l', 'Amino-s-triazole', 'am izol f', 'MSS aminotriazole', '4lpf', 'Aminotriazole bayer', '5-amino-s-triazole', 'EINECS 265-695-7', 'Domatol (Salt/Mix)', 'Tomatol (Salt/Mix)', '3-amino-1', '5-amino-1', 'PubChem16495', 'ACMC-209mwf', 'ACMC-1BFLS', 'X-ALL', '3-amino-4H-1', '5-amino-1H-1', 'Azaplant Kombi (Salt/Mix)', '5-amino-1,3,4-triazole', '1,2,4-triazol-3-ylamine', 'US9138393, Amitrol', 'US9144538, Amitrol', '3-amino -1,2,4-triazole', 'KSC840I9L', 'MLS001066382', 'BIDD:ER0572', 'BIDD:GT0663', 'SPECTRUM1505154', '1,2,4-Triazole, 3-amino-', '2H-1,2,4-triazol-3-amine', '3-amino-4h-1,2,4-triazole', 'DTXSID0020076', 'CTK1I2828', 'CTK2F2918', 'CTK2F3459', 'CTK7E0495', '1H-1,2,4-triazole-3-ylamine', '4H-1,2,4-triazole-3-ylamine', '1H-[1,2,4]triazole-5-amine', '1H-1,2,4-Triazo l-3-amine', '3-amino-4H-[1,2,4]triazole', '3,A-T', 'AT-90', 'BDBM181126', 'HMS2796E16', '1H-[1,2,4]triazol-3-yl-amine', '1H-1,2,4-Triazole, 3-amino-', 'ACT07894', 'Amitrole 10 microg/mL in Methanol', 'BCP22056', 'NSC-7243', 'NSC34809', 'STR00855', '3-Amino-1,2,4-triazole, 95%', 'Tox21_201782', 'Tox21_302991', 'ANW-33949', 'ANW-75513', 'BBL012592', 'BDBM50204936', 'KM0917', 'NSC-34809', 'SBB004400', 'STK300039', 'ZINC16889962', 'AKOS001041416', 'AKOS003234051', 'AKOS022504310', 'CCG-214705', 'delta2-1,2,4-Triazoline, 5-imino-', 'LS-1455', 'MCULE-6203622976', 'NE62812', 'PS-9367', 'SB37916', 'NCGC00096037-01', 'NCGC00096037-02', 'NCGC00256352-01', 'NCGC00259331-01', 'AK-48392', 'SC-68144', 'SC-76620', 'SMR000434277', 'ST066896', '4H-1,2,4-Triazol-3-amine, AldrichCPR', 'Amitrole (3-Amino-1H-1,2,4-triazole)', 'Amitrol, PESTANAL(R), analytical standard', 'DB-024447', 'DB-090667', '451-EP2305655A2', 'A0432', 'AK00739669', 'AK00739734', 'AMITROL (3-AMINO-1,2,4-TRIAZOLE)', 'FT-0614903', 'FT-0662110', 'NS00014227', '2,3,5,6-Tetraazabicyclo[2.1.1]hex-1-ene', '3-Amino-1,2,4-triazole, &gt;=95% (TLC)', '3H-1,2,4-Triazol-3-imine, 2,4-dihydro-', 'AMITROL (3-AMINO- 1,2,4-TRIAZOLE)', 'delta2-1,2,4-Triazoline, 5-imino- (8CI)', 'EN300-17045', '2903-EP2275424A1', '2903-EP2280282A1', '2903-EP2287168A2', '2903-EP2292610A1', '2903-EP2305808A1', '2903-EP2316937A1', 'C11261', 'Q-9366', 'X-3727', '33300-EP2274983A1', '33300-EP2311815A1', '33300-EP2371823A1', '59391-EP2308852A1', 'A833433', 'AE-641/30106057', 'Q423314', 'W-203416', 'F0001-1598', '138903B1-BF0B-45AC-842E-8F06589B06F2', 'Trapidil impurity B, European Pharmacopoeia (EP) Reference Standard', 'amitrole;Amitrol = Aminotriazol;Aminotriazole;(4H)-1,2,4-triazol-3-amine']</t>
  </si>
  <si>
    <t>Compound(1639)</t>
  </si>
  <si>
    <t>C2H4N4</t>
  </si>
  <si>
    <t>4-N-ethyl-6-methylsulfanyl-2-N-propan-2-yl-1,3,5-triazine-2,4-diamine</t>
  </si>
  <si>
    <t>['Ametryn', '834-12-8', 'AMETRYNE', 'Gesapax', 'Ametrex', 'Evik', 'Cemerin', 'Ametrine', 'N2-Ethyl-N4-isopropyl-6-(methylthio)-1,3,5-triazine-2,4-diamine', 'Crisatrine', 'Doruplant', 'Amephyt', 'Trinatox D', 'Primatol Z 80', 'Gardopax', 'Geshpax', 'Gestene', 'Topazol', '2-Ethylamino-4-isopropylamino-6-methylmercapto-s-triazine', '2-Ethylamino-4-isopropylamino-6-methylthio-1,3,5-triazine', 'Caswell No. 431', '2-Methylthio-4-ethylamino-6-isopropylamino-S-triazine', 'Ametryn [ANSI:BSI:ISO]', "1,3,5-Triazine-2,4-diamine, N-ethyl-N'-(1-methylethyl)-6-(methylthio)-", 'A 1093', 'NSC 163044', 'UNII-1SPQ95183Y', 'G 34162', 'HSDB 1710', "N-Ethyl-N'-(1-methylethyl)-6-(methylthio)-1,3,5-triazine-2,4-diamine", '2-Methylmercapto-4-ethylamino-6-isopropylamino-S-triazine', 'EINECS 212-634-7', '2-(Ethylamino)-4-(isopropylamino)-6-(methylthio)-s-triazine', 'EPA Pesticide Chemical Code 080801', 'BRN 0613099', '2-Ethylamino-4-isopropylamino-6-methylthio-s-triazine', 'AI3-60365', '2-(Methylthio)-4-(ethylamino)-6-(isopropylamino)-s-triazine', 'CHEBI:22472', '1SPQ95183Y', 'G-34162', "N-ethyl-6-(methylsulfanyl)-N'-(propan-2-yl)-1,3,5-triazine-2,4-diamine", '2-Methylmercapto-4-isopropylamino-6-ethylamino-S-triazine', "N-ethyl-N'-(1-methylethyl)-6-(methylthio)-2,4-diaminetriazine", 'N-Ethyl-N-isopropyl-6-methylthio-1,3,5-triazine-2,4-diamine', 's-Triazine, 2-(ethylamino)-4-(isopropylamino)-6-(methylthio)-', "N-ethyl-N'-isopropyl-6-(methylthio)-1,3,5-triazine-2,4-diamine", "N-Ethyl-N'-isopropyl-6-methylthio-1,3,5-triazine-2,4-diyldiamine", 'N2-Ethyl-N4-isopropyl-6-methylthio-1,3,5-triazine-2,4-diamine', 'DSSTox_CID_3869', '4-N-ethyl-6-methylsulfanyl-2-N-propan-2-yl-1,3,5-triazine-2,4-diamine', 'Ametryn, analytical standard', 'DSSTox_RID_77211', 'DSSTox_GSID_23869', 'W-104145', 's-Triazine, 2-ethylamino-4-isopropylamino-6-methylthio-', '2-(Ethylamino)-4-(isopropylamino)-6-(methylmercapto)-s-triazine', '2-(Methylmercapto)-4-(ethylamino)-6-(isopropylamino)-s-triazine', '2-(Methylmercapto)-4-(isopropylamino)-6-(ethylamino)-s-triazine', 'CAS-834-12-8', 'Mebatryne', 'C9H17N5S', 'Ametryne (Ametrex)', 'Evik 80W', 'Maybridge3_005565', 'Evik 80W (Salt/Mix)', 'EC 212-634-7', 'Oprea1_869762', 'SCHEMBL65196', 'CHEMBL1235774', 'DTXSID1023869', 'CTK8E4020', 'RQVYBGPQFYCBGX-UHFFFAOYSA-', 'ZINC85378', 'HMS1446M21', 'Tox21_201414', 'Tox21_300666', 'Ametryn 1000 microg/mL in Acetone', 'c0260', 'CCG-46374', 'NSC163044', 'A 1093; Amephyt; Ametrex;Ametryne', 'Ametryn 10 microg/mL in Acetonitrile', 'AKOS005203488', 'Ametryn 100 microg/mL in Acetonitrile', 'MCULE-2605690729', 'NSC-163044', "1,3,5-Triazine-2,4-diamine, N-ethyl-N'-(1-methylethyl)-6-(methylthio)- (9CI)", 'IDI1_016952', "N-Ethyl-N'-(1-methylethyl)-6-(methylthio)-1,3,5-triazine-2,4-diamine (9CI)", 'NCGC00163822-01', 'NCGC00163822-02', 'NCGC00163822-03', 'NCGC00163822-04', 'NCGC00254574-01', 'NCGC00258965-01', 'AC-12557', 'AK128992', 'AS-16080', 'CC-24052', 'S263', 'AB0018543', 'Ametryn, PESTANAL(R), analytical standard', 'DB-056713', 'LS-155425', 'WLN: T6N CN ENJ BS1 DMY1&amp;1 FM2', 'FT-0652865', 'NS00000481', 'C18700', '834A128', 'A840571', 'C-12998', 'Q2844856', 'SR-01000636076-1', '2-Ethylamino-4-isopropylamino-6-methylthio-s-trizaine', 'BRD-K33455047-001-01-5', '(Ethylamino)-4-(isopropylamino)-6-(methylthio)-s-triazine', '2-(Ethylamino)-4-(isopropylamino)-6-(methylthio)triazine', '(2-Ethylamino)-4-(isopropylamino)-6-(methylthio)-s-triazine', "N-Ethyl-N'-isopropyl-6-methylthio-1,3,5-triazine-2,4-diamine", '2-(Ethylamino)-4-(isopropylamino)-6-(methylthio)-1,5-triazine', '2-METHYLTHIO-4-ETHYLAMINO-6-ISOPROPYLAMINO-1,3,5-TRIAZINE', "1,5-Triazine-2,4-diamine, N-ethyl-N'-(1-methylethyl)-6-(methylthio)-", '2-(methylthio)-4-(1-methylethylamino)-6-(ethylamino)-1,3,5-triazine', "N'-ethyl-6-methylsulfanyl-N-propan-2-yl-1,3,5-triazine-2,4-diamine", 'N(2)-ethyl-N(4)-isopropyl-6-(methylthio)-1,3,5-triazine-2,4-diamine', "N-ethyl-N'-(1-methylethyl)-6-(methylsulfanyl)-1,3,5-triazine-2,4-diamine", "N-Ethyl-N'-isopropyl-6-(methylsulfanyl)-1,3,5-triazine-2,4-diamine", 'N4-ethyl-6-(methylthio)-N2-propan-2-yl-1,3,5-triazine-2,4-diamine', 'N4-ethyl-6-methylsulfanyl-N2-propan-2-yl-1,3,5-triazine-2,4-diamine', 'N(2)-ethyl-6-(methylsulfanyl)-N(4)-(propan-2-yl)-1,3,5-triazine-2,4-diamine', 'N~2~-Ethyl-6-(methylsulfanyl)-N~4~-(propan-2-yl)-1,3,5-triazine-2,4-diamine', 'RYN']</t>
  </si>
  <si>
    <t>Compound(13263)</t>
  </si>
  <si>
    <t>C9H17N5S</t>
  </si>
  <si>
    <t>5-ethyl-6-octyl-[1,2,4]triazolo[1,5-a]pyrimidin-7-amine</t>
  </si>
  <si>
    <t>['Ametoctradin', 'Initium', '865318-97-4', 'UNII-J84P40P7BV', 'BAS-650F', 'J84P40P7BV', '5-Ethyl-6-octyl[1,2,4]triazolo[1,5-a]pyrimidin-7-amine', '5-Ethyl-6-octyl-(1,2,4)triazolo(1,5-a)pyrimidin-7-ylamine', 'ametoctradine', '5-ethyl-6-octyl-[1,2,4]triazolo[1,5-a]pyrimidin-7-ylamine', 'SCHEMBL174682', 'DTXSID2058203', 'CHEBI:83398', '5-Ethyl-6-octyl-[1,2,4]triazolo[1,5-a]pyrimidin-7-amine', '(1,2,4)Triazolo(1,5-a)pyrimidin-7-amine, 5-ethyl-6-octyl-', 'ZINC59228186', '7-amino-5-ethyl-6-octyl[1,2,4]triazolo[1,5-a]pyrimidine']</t>
  </si>
  <si>
    <t>Compound(15604010)</t>
  </si>
  <si>
    <t>C15H25N5</t>
  </si>
  <si>
    <t>N,N-dimethyl-3-(2-tricyclo[9.4.0.03,8]pentadeca-1(15),3,5,7,11,13-hexaenylidene)propan-1-amine</t>
  </si>
  <si>
    <t>['amitriptyline', 'Amitriptylin', '50-48-6', 'Elavil', 'Damitriptyline', 'Triptanol', 'Damilen', 'Lantron', 'Seroten', 'Flavyl', 'Amitryptiline', 'Proheptadiene', 'Adepress', 'Triptisol', 'Tryptanol', 'Adepril', 'Amitriprolidine', 'Triptilin', 'Redomex', 'Amytriptylin', 'Damilan', 'Ro 4-1575', 'Amitriptylin [German]', 'Amitriptilina [Italian]', 'Amitriptyline [INN:BAN]', 'Amitril', 'Sarotex', 'Amitriptylinum [INN-Latin]', 'Amitriptilina [INN-Spanish]', 'MK 230', '5-(3-Dimethylaminopropylidene)-10,11-dihydro-5H-dibenzo(a,d)cycloheptene', '3-(10,11-dihydro-5H-dibenzo[a,d][7]annulen-5-ylidene)-N,N-dimethylpropan-1-amine', '10,11-Dihydro-5-(gamma-dimethylaminopropylidene)-5H-dibenzo(a,d)cycloheptene', '3-(10,11-Dihydro-5H-dibenzo(a,d)cyclohepten-5-ylidene)-N,N-dimethyl-1-propanamine', 'CCRIS 9174', 'UNII-1806D8D52K', 'HSDB 3007', 'N 750', 'EINECS 200-041-6', 'CHEMBL629', "5-(3'-Dimethylaminopropylidene)-dibenzo-(a,d)(1,4)-cycloheptadiene", 'BRN 2217885', '3-(10,11-Dihydro-5H-dibenzo(a,d)cyclohepten-5-yliden)-N,N-dimethylpropylamin', '1-Propanamine, 3-(10,11-dihydro-5H-dibenzo[a,d]cyclohepten-5-ylidene)-N,N-dimethyl-', 'CHEBI:2666', '5-(gamma-Dimethylaminopropylidene)-5H-Dibenzo[a,d][1,4]cycloheptadiene', '5-(gamma-Dimethylaminopropylidine)-5H-dibenzo(a,d)(1,4)cycloheptadiene', 'Limbitrol', '5-(3-Dimethylaminopropylidene)-10,11-dihydro-5H-dibenzo(a,d)cycloheptatriene', '5-(gamma-Dimethylaminopropylidene)-10,11-dihydro-5H-dibenzo(a,d)cycloheptene', '10,11-Dihydro-N,N-dimethyl-5H-dibenzo(a,d)heptalene-delta(sup 5),gamma-propylamine', '1806D8D52K', 'Amitriptilina', 'Amitriptylinum', 'Amitryptyline', 'Amytriptiline', 'Laroxil', 'Elanil', '10,11-Dihydro-N,N-dimethyl-5H-dibenzo(a,d)heptalene-delta(5),gamma-propylamine', '1-Propanamine, 3-(10,11-dihydro-5H-dibenzo(a,d)cyclohepten-5-ylidene)-N,N-dimethyl-', '3-(10,11-Dihydro-5H-dibenzo[a,d][7]annulen-5-ylidene)-N,N-dimethyl-1-propanamine', '3-(10,11-dihydro-5H-dibenzo[a,d]cyclohepten-5-ylidene)-N,N-dimethylpropan-1-amine', '5H-Dibenzo(a,d)cycloheptene-delta5,gamma-propylamine, 10,11-dihydro-N,N-dimethyl-', 'W-109252', "5-(3'-Dimethylaminopropylidene)-dibenzo-[a,d][1,4]-cycloheptadiene", '10,11-dihydro-5-(gamma-dimethylaminopropylidene)-5H-dibenzo[a,d]cycloheptene', '5-(gamma-Dimethylaminopropylidene)-5H-dibenzo(a,d)(1,4)cycloheptadiene', '3-(10,11-Dihydro-5H-dibenzo[a,d]cyclohepten-5-ylidene)-N,N-dimethyl-1-propanamine', '5H-Dibenzo(a,d)cycloheptene-delta(sup 5),gamma-propylamine, 10,11-dihydro-N,N-dimethyl-', '5H-Dibenzo[a,d]cycloheptene-.delta.5,.gamma.-propylamine, 10,11-dihydro-N,N-dimethyl-', 'Laroxyl (TN)', 'Amitriptyline (INN)', 'NSC169910', 'NCGC00015095-09', 'CAS-549-18-8', 'Domical (Salt/Mix)', 'Laroxyl (Salt/Mix)', 'Lentizol (Salt/Mix)', 'Vanatrip (Salt/Mix)', 'Triptizol (Salt/Mix)', 'Spectrum_000044', '30227-34-0', 'Prestwick0_000074', 'Prestwick1_000074', 'Prestwick2_000074', 'Prestwick3_000074', 'Spectrum2_000101', 'Spectrum3_000298', 'Spectrum4_000146', 'Spectrum5_000806', 'Lopac-A-8404', 'EC 200-041-6', 'SCHEMBL7824', 'Lopac0_000112', 'Oprea1_479304', 'BSPBio_000287', 'BSPBio_001836', 'GTPL200', 'KBioGR_000592', 'KBioGR_002261', 'KBioSS_000424', 'KBioSS_002262', 'ARONIS24381', 'BIDD:GT0115', 'DivK1c_000766', 'SPBio_000082', 'SPBio_002208', 'BPBio1_000317', 'DTXSID7022594', 'KBio1_000766', 'KBio2_000424', 'KBio2_002261', 'KBio2_002992', 'KBio2_004829', 'KBio2_005560', 'KBio2_007397', 'KBio3_001336', 'KBio3_002741', 'BBC/541', 'cMAP_000001', 'NINDS_000766', 'ZINC968257', '5-(3-dimethylaminopropylidene)dibenzo[a,d][1,4]-cycloheptadiene', 'BCP09083', 'ZX-AS004743', 'BBL028529', 'BDBM50020712', 'PDSP1_001564', 'PDSP2_001548', 's5947', 'SBB080793', 'STK525215', '5-(3-Dimethylaminopropylidene)-5H-dibenzo[a,d]-10,11-dihydrocycloheptene', '5-(gamma-Dimethylaminopropylidene)-5H-dibenzo[a,d]10,11-dihydrocycloheptene', 'AKOS000512694', 'API0001457', 'CCG-204207', 'DB00321', 'MCULE-3537115467', 'SDCCGSBI-0050100.P005', 'IDI1_000766', 'MRF-0000533', 'NCGC00015095-01', 'NCGC00015095-02', 'NCGC00015095-03', 'NCGC00015095-04', 'NCGC00015095-05', 'NCGC00015095-06', 'NCGC00015095-07', 'NCGC00015095-08', 'NCGC00015095-10', 'NCGC00015095-11', 'NCGC00015095-12', 'NCGC00024433-04', 'NCGC00183047-01', 'dimethyl({3-[(2Z)-tricyclo[9.4.0.0^{3,8}]pentadeca-1(11),3(8),4,6,12,14-hexaen-2-ylidene]propyl})amine', 'LS-60747', 'N,N-dimethyl-3-(2-tricyclo[9.4.0.03,8]pentadeca-1(15),3,5,7,11,13-hexaenylidene)propan-1-amine', 'SBI-0050100.P004', 'AB00514631', 'AmitriptylineMK-230, N-750, Ro41575', 'BB 0305430', 'FT-0653242', 'NS00000032', '1409-EP2269989A1', '1409-EP2275420A1', '1409-EP2277861A1', '1409-EP2298313A1', '1409-EP2298731A1', '1409-EP2298764A1', '1409-EP2298765A1', '1409-EP2305652A2', '1409-EP2305669A1', '1409-EP2314585A1', 'C06824', 'D07448', 'Q58397', 'AB00053417-12', 'AB00053417_13', 'AB00053417_14', '412A072', 'L001041', 'BRD-K53737926-003-05-4', 'BRD-K53737926-003-14-6', '(3-(5,6-dihydrodibenzo[b,f][7]annulen-11-ylidene)propyl)dimethylamine', '5-(.gamma.-Dimethylaminopropylidene)-5H-Dibenzo[a,d][1,4]cycloheptadiene', '5-(.gamma.-Dimethylaminopropylidine)-5H-dibenzo(a,d)(1,4)cycloheptadiene', '10,11-Dihydro-5-(.gamma.-dimethylaminopropylidene)-5H-dibenzo(a,d)cycloheptene', '10,11-dihydro-N,N-dimethl-5H-dibenzo[a,d]cycloheptene-(delta(5, gamma))-propylamine', '10,11-Dihydro-N,N-dimethyl-5H-dibenzo(a,d)heptalene-.DELTA.5,.gamma.-propylamine', '10,11-Dihydro-N,N-dimethyl-5H-dibenzo(a,d)heptalene-delta5,gamma-propylamine', '3-(5,6-dihydrodibenzo[[?],[?]][7]annulen-11-ylidene)-N,N-dimethyl-propan-1-amine', '5-(.gamma.-Dimethylaminopropylidene)-10,11-dihydro-5H-dibenzo(a,d)cycloheptene', '5-(.gamma.-Dimethylaminopropylidene)-5H-dibenzo(a,d)-10,11-dihydrocycloheptene', '3-(10,11-Dihydro-5H-dibenzo-[a,d]cyclohepten-5-ylidene)-N,N-dimethyl-1-propanamine, hydrochloride', '5H-Dibenzo(a,d)cycloheptene-.delta.(sup 5),.gamma.-propylamine, 10,11-dihydro-N,N-dimethyl-', '5H-Dibenzo[a,d]cycloheptene-Delta5,gamma-propylamine, 10,11-dihydro-N,N-dimethyl- (6CI,8CI) 5-(gamma-Dimethylaminopropylidene)-10,11-dihydro-5H-dibenzo[a,d]cycloheptene', 'amitriptyline hydrochloride;3-(10,11-dihydro-5H-dibenzo[a,d][7]annulen-5-ylidene)-N,N-;Amitriptyline hydrochloride', 'dimethyl({3-[(2E)-tricyclo[9.4.0.0^{3,8}]pentadeca-1(15),3,5,7,11,13-hexaen-2-ylidene]propyl})amine']</t>
  </si>
  <si>
    <t>Compound(2160)</t>
  </si>
  <si>
    <t>N'-(2,4-dimethylphenyl)-N-[(2,4-dimethylphenyl)iminomethyl]-N-methylmethanimidamide</t>
  </si>
  <si>
    <t>['AMITRAZ', '33089-61-1', 'Mitac', 'Taktic', 'Triazid', 'Azaform', 'Mitaban', 'Acarac', 'BAAM', 'Azadieno', 'Ectodex', 'Edrizar', 'Amitraz estrella', 'Fumilat A', 'Amitraze', 'Bipin', 'Upjohn U-36059', 'Boots BTS 27419', 'Amitraze [French]', 'Mitaban (Veterinary)', 'Caswell No. 374A', 'Ovasyn', 'NSC 324552', 'Amitrazum [INN-Latin]', 'U-36059', '1,5-Di(2,4-dimethylphenyl)-3-methyl-1,3,5-triazapenta-1,4-diene', 'BTS-27419', 'ENT 27967', 'BTS 27,419', 'UNII-33IAH5017S', 'CCRIS 1552', 'U 36059', 'N,N-Bis(2,4-xylyliminomethyl)methylamine', 'N,N-Di-(2,4-xylyliminomethyl)methylamine', 'HSDB 6939', 'R.D. 27419', 'EINECS 251-375-4', 'BTS 27419', '2-Methyl-1,3-di(2,4-xylylimino)-2-azapropane', "N-Methyl-N'-2,4-xylyl-N-(N-2,4-xylylformimidoyl)formamidine", 'EPA Pesticide Chemical Code 106201', "N,N'-((Methylimino)dimethylidyne)di-2,4-xylidine", 'N-Methylbis(2,4-xylyliminomethyl)amine', "2,4-Xylidine, N,N'-(methyliminodimethylidyne)bis-", 'BRN 2946590', 'N-Methyl-bis(2,4-xylyliminomethyl)amin', "N,N'-((Methylimino)dimethylidyne)bis(2,4-xylidine)", 'Acadrex', 'Bumetran', 'Istambul', 'Mtiaban', 'Triatix', 'Triatox', 'Maitac', 'Tudy', 'AI3-27967', '33IAH5017S', "N,N'-(methyliminodimethylidyne)bis-2,4-xylidine", 'C19H23N3', 'U-36,059', "Methanimidamide, N'-(2,4-dimethylphenyl)-N-[[(2,4-dimethylphenyl)imino]methyl]-N-methyl-", "N'-(2,4-Dimethylphenyl)-N-(((2,4-dimethylphenyl)imino)methyl)-N-methylmethanimidamide", "N'-(2,4-dimethylphenyl)-N-[(2,4-dimethylphenyl)iminomethyl]-N-methylmethanimidamide", 'NCGC00094572-01', '1,5-Di-(2,4-dimethylphenyl)-3-methyl-1,3,5-triazapenta-1,4-diene', 'DSSTox_CID_3871', 'DSSTox_RID_77213', "Methanimidamide, N'-(2,4-dimethylphenyl)-N-(((2,4-dimethylphenyl)imino)methyl)-N-methyl-", 'DSSTox_GSID_23871', 'Amitrazum', "Formamidine, N-methyl-N'-2,4-xylyl-N-(N-2,4-xylylformimidoyl)-", 'OMS 1820', "N'-(2,4-dimethylphenyl)-N-{[(2,4-dimethylphenyl)imino]methyl}-N-methylmethanimidamide", 'N-Methyl-bis(2,4-xylyliminomethyl)amine', 'N-Methylbis-(2,4-xylyliminomethyl)-amine', 'CAS-33089-61-1', 'Amitraz [USAN:BAN:INN]', '1,5-Bis(2,4-dimethylphenyl)-3-methyl-1,3,5-triazapenta-1,4-diene', 'Amitraz [USAN:USP:INN:BAN]', "N'-(2,4-Dimethylphenyl)-N-([(2,4-dimethylphenyl)imino]methyl)-N-methylimidoformamide", "N'-(2,4-dimethylphenyl)-N-[(E)-(2,4-dimethylphenyl)iminomethyl]-N-methylmethanimidamide", "N'-(2,4-dimethylphenyl)-N-{(E)-[(2,4-dimethylphenyl)imino]methyl}-N-methylimidoformamide", 'N-(2,4-Dimethylphenyl)-N-[[(2,4-dimethylphenyl)imino]methyl]-N-methyl-methaniminamide', 'N,4-xylidine]', 'Amitraz (USP/INN)', 'N-methyl-bis(2,4-xylyiminomethyl) amine', 'Spectrum2_001243', 'Spectrum3_001944', 'Amitraz, analytical standard', 'SCHEMBL37309', 'BSPBio_003544', 'SPECTRUM1505299', 'SPBio_001146', 'CHEBI:2665', 'CHEMBL1365675', 'DTXSID5023871', 'SCHEMBL13346111', 'SCHEMBL19312984', 'KBio3_002829', 'EBD7057', 'HMS1922B10', 'HMS2093O18', 'Pharmakon1600-01505299', 'HY-B1111', 'Tox21_111299', 'Tox21_201357', 'Tox21_300930', 'Amitraz 10 microg/mL in Cyclohexane', 'CCG-39116', 'NSC324552', 'NSC758952', 's3643', 'STK368623', 'ZINC18117389', 'AKOS005444180', 'AKOS026750163', "Formamidine, N-methyl-N'-2,4-xylyl-N-(N-2,4-xylylformimidoyl)- (8CI)", 'Tox21_111299_1', 'ZINC100025258', 'ZINC100258592', 'ZINC253495784', 'Amitraz 100 microg/mL in Acetonitrile', 'CS-4710', 'DB11373', 'KS-5123', 'MCULE-1585410947', 'NSC-324552', 'NSC-758952', 'KS-0000007B', "2, N,N'-(methyliminodimethylidyne)bis-", 'Amitraz 1000 microg/mL in Acetonitrile', 'NCGC00094572-02', 'NCGC00094572-03', 'NCGC00094572-04', 'NCGC00094572-05', 'NCGC00094572-06', 'NCGC00094572-07', 'NCGC00094572-08', 'NCGC00094572-12', 'NCGC00254832-01', 'NCGC00258909-01', 'AC-12471', 'CC-24087', 'O506', 'SC-12554', 'SBI-0206759.P001', 'AB0016497', 'Amitraz, PESTANAL(R), analytical standard', 'LS-162653', 'FT-0629369', 'NS00010085', 'ST50909032', 'C10995', 'D02380', 'EN300-194742', 'AB01563057_01', '089A611', 'A821615', 'C-18418', 'Q417878', 'SR-05000001653', 'SR-05000001653-1', 'Amitraz, British Pharmacopoeia (BP) Reference Standard', '1,4-dimethylphenyl)-3-methyl-1,3,5-triazapenta-1,4-diene', 'bis[(1E)-2-(2,4-dimethylphenyl)-2-azavinyl]methylamine', 'Amitraz, United States Pharmacopeia (USP) Reference Standard', "N'-(2,4-dimethylphenyl)imino]methyl]-N-methylmethanimidamide", "(E)-N'-(2,4-dimethylphenyl)-N-((E)-(2,4-dimethylphenylimino)methyl)-N-methylformimidamide", 'Methanimidamide,4-dimethylphenyl)-N-[[(2,4-dimethylphenyl)imino]methyl]-N-methyl-', "N'-(2,4-dimethylphenyl)-N-[(2,4-dimethylphenyl)iminomethyl]-N-methyl-methanimidamide", "N'-(2,4-dimethylphenyl)-N-[[(2,4-dimethylphenyl) imino]methyl]-N-methylmethanimidamide", 'N`-(2,4-dimethylphenyl)-N-[(2,4-dimethylphenyl)iminomethyl]-N-methylmethanimidamide', '1,5-Di(2,4-dimethylphenyl)-3-methyl-1,3,5-triazapenta-1,4-diene; Methyl-bis(2,4-xylyliminomethyl)amine', "N'-(2,4-dimethylphenyl)-N-{(E)-[(2,4-dimethylphenyl)imino]methyl}-N-methylimidoformamide (non-preferred name)"]</t>
  </si>
  <si>
    <t>Compound(36324)</t>
  </si>
  <si>
    <t>C19H23N3</t>
  </si>
  <si>
    <t>amoxicillin</t>
  </si>
  <si>
    <t>(2S,5R,6R)-6-[[(2R)-2-amino-2-(4-hydroxyphenyl)acetyl]amino]-3,3-dimethyl-7-oxo-4-thia-1-azabicyclo[3.2.0]heptane-2-carboxylic acid</t>
  </si>
  <si>
    <t>['amoxicillin', 'Amoxycillin', '26787-78-0', 'Amoxicillin anhydrous', 'Amoxicilline', 'p-Hydroxyampicillin', 'Amopenixin', 'Amolin', 'Moxal', 'D-Amoxicillin', 'Clamoxyl', 'Amoxicillinum', 'Amoxicilina', 'Amoxil', 'Delacillin', 'Histocillin', 'Amoclen', 'Amoxiden', 'Amoxivet', 'AMPC', 'Anemolin', 'Aspenil', 'Bristamox', 'Cemoxin', 'Efpenix', 'Flemoxin', 'Piramox', 'Unicillin', 'Vetramox', 'Amoxi', 'Sumox', 'Amoxi-Mast', 'Sawamox PM', 'Metafarma capsules', 'Metifarma capsules', 'Imacillin', 'Amopen', 'Hiconcil', 'Ibiamox', 'Moxacin', 'Moxatag', 'Robamox', 'DisperMox', 'Amoxicilina [INN-Spanish]', 'Amoxicillin trihydrate', 'Amoxicilline [INN-French]', 'Amoxicillinum [INN-Latin]', 'alpha-Amino-p-hydroxybenzylpenicillin', 'AMOXICILLIN PEDIATRIC', 'Amoxycillin Trihydrate', 'BRL-2333', 'AMOXICILLIN CRYSTALLINE', 'Amoxicillin (anhydrous)', '6-(p-Hydroxy-alpha-aminophenylacetamido)penicillanic acid', 'Amoxicilline [INN]', 'BLP 1410', 'D-(-)-alpha-Amino-p-hydroxybenzylpenicillin', 'Amoxicillin (INN)', 'Amoxicillin [INN]', 'CHEBI:2676', 'Ro 10-8756', 'UNII-9EM05410Q9', 'HSDB 3204', 'D-2-Amino-2-(4-hydroxyphenyl)acetamidopenicillanic acid', 'Amoxicillin hydrate', 'EINECS 248-003-8', 'BL-P 1410', '(2S,5R,6R)-6-{[(2R)-2-amino-2-(4-hydroxyphenyl)acetyl]amino}-3,3-dimethyl-7-oxo-4-thia-1-azabicyclo[3.2.0]heptane-2-carboxylic acid', '6-(D-(-)-p-Hydroxy-alpha-aminobenzyl)penicillin', 'NSC 277174', '(2S,5R,6R)-6-[[(2R)-2-amino-2-(4-hydroxyphenyl)acetyl]amino]-3,3-dimethyl-7-oxo-4-thia-1-azabicyclo[3.2.0]heptane-2-carboxylic acid', 'Ospamox', '6-(D-(-)-alpha-Amino-p-hydroxyphenylacetamido)penicillanic acid', 'Amoxicillin, 96%', '9EM05410Q9', 'NSC-277174', '(-)-6-(2-Amino-2-(P-hydroxyphenyl)acetamido)-3,3-dimethyl-7-oxo-4-thia-1-azabicyclo-(3.2.0)heptane-2-carboxylic acid', 'Amoxicaps', 'Hydroxyampicillin', 'Apo-Amoxi', 'DSSTox_CID_17044', 'DSSTox_RID_79299', 'DSSTox_GSID_37044', '(2S,5R,6R)-6-[(2R)-2-amino-2-(4-hydroxyphenyl)acetamido]-3,3-dimethyl-7-oxo-4-thia-1-azabicyclo[3.2.0]heptane-2-carboxylic acid', 'AX', 'amoxicillanyl', 'Amoxicillin (TN)', '(2S,5R,6R)-6-((R)-2-Amino-2-(4-hydroxyphenyl)acetamido)-3,3-dimethyl-7-oxo-4-thia-1-azabicyclo[3.2.0]heptane-2-carboxylic acid', '4-Thia-1-azabicyclo(3.2.0)heptane-2-carboxylic acid, 6-(((2R)-amino(4-hydroxyphenyl)acetyl)amino)-3,3-dimethyl-7-oxo-, (2S,5R,6R)-', '4-Thia-1-azobicyclo(3.2.0)heptane-2-carboxylic acid, 6-((amino(4-hydroxyphenyl)acetyl)amino)-3,3-dimethyl-7-oxo-, (2S-(2alpha,5alpha,6beta(S)))-', 'SMR000058707', 'Amoxicillin (Amoxycillin)', 'amoxycilin', 'Amoxi-Inject', 'Amoxi-Tabs', 'NSC277174', 'notoginsenoside-fe', 'NCGC00016797-02', 'NCGC00094586-01', 'Prestwick_713', 'CAS-26787-78-0', 'Prestwick0_000357', 'Prestwick1_000357', 'Prestwick2_000357', 'Prestwick3_000357', 'Epitope ID:114241', 'Epitope ID:116054', 'EC 248-003-8', 'SCHEMBL3427', 'CHEMBL1082', 'BSPBio_000453', 'MLS000028632', 'MLS002222248', 'SPBio_002374', 'BPBio1_000499', 'DTXSID3037044', 'CHEBI:53712', 'GTPL10895', 'HY-B0467A', 'HMS1569G15', 'HMS2096G15', 'HMS2231K23', 'HMS3259P17', 'HMS3713G15', 'KS-00000Q8R', 'ZINC3830215', 'Tox21_111302', 'BDBM50350464', 's3015', 'AKOS025395540', 'Tox21_111302_1', 'CCG-220357', 'CS-2612', 'DB01060', 'DS-3835', 'MCULE-5710225015', 'NC00670', 'NE41275', '6beta-[(2R)-2-amino-2-(4-hydroxyphenyl)acetamido]-2,2-dimethylpenam-3alpha-carboxylic acid', 'NCGC00179554-01', '4-Thia-1-azabicyclo(3.2.0)heptane-2-carboxylic acid, 6-((amino(4-hydroxyphenyl)acetyl)amino)-3,3-dimethyl-7-oxo-, (2S-(2alpha,5alpha,6beta(S*)))-', 'AC-12263', 'Amoxicillin, potency: &gt;=900 mug per mg', 'SC-13298', 'LS-149721', 'co-amoxiclav (amoxicillin + clavulanic acid)', 'C06827', 'D07452', 'Q201928', 'SR-01000721886', 'SR-01000721886-2', 'BRD-K55044200-001-03-9', 'BRD-K55044200-001-15-3', '(2S,5R,6R)-6-[[(2R)-2-amino-2-(4-hydroxyphenyl)-1-oxoethyl]amino]-3,3-dimethyl-7-oxo-4-thia-1-azabicyclo[3.2.0]heptane-2-carboxylic acid', '4-Thia-1-azabicyclo(3.2.0)heptane-2-carboxylic acid, 6-((amino(4-hydroxyphenyl)acetyl)amino)-3,3-dimethyl-7-oxo-', '4-Thia-1-azabicyclo(3.2.0)heptane-2-carboxylic acid, 6-(2-amino-2-(p-hydroxyphenyl)acetamido)-3,3-dimethyl-7-oxo-, D-', '4-Thia-1-azabicyclo(3.2.0)heptane-2-carboxylic acid, 6-(2-amino-2-(p-hydroxyphenyl)acetamido)-3,3-dimethyl-7-oxo-, D- (8CI)', '4-Thia-1-azabicyclo[3.2.0]heptane-2-carboxylic acid, 6-[[amino (4-hydroxyphenyl)acetyl]amino]-3,3-dimethyl-7-oxo-, [2S-[2.alpha.,5.alpha.,6.beta.(S*)]]-', 'amoxicillin;Sodium [2S-[2a,5a,6ss(S*)]]-6-[[amino(4-hydroxyphenyl)acetyl]amino]-3,3-dimethyl-7-oxo-4-thia-1-azabicyclo[3.2.0]heptane-2-carboxylate;Amoxicillin hydrate (1:3);4-Thia-1-azabicyclo[3.2.0]heptane-2-carboxylic acid, 6-[[(2R)-2-amino-2-(4-hydroxyphenyl)acetyl]amino]-3,3-dimethyl-7-oxo-, hydrate (1:3), (2S,5R,6R)-']</t>
  </si>
  <si>
    <t>Compound(33613)</t>
  </si>
  <si>
    <t>C16H19N3O5S</t>
  </si>
  <si>
    <t>anhydroerythromycin</t>
  </si>
  <si>
    <t>(1S,2R,3R,4S,5R,8R,9S,10S,11R,12R,14R)-11-[(2S,3R,4S,6R)-4-(dimethylamino)-3-hydroxy-6-methyloxan-2-yl]oxy-5-ethyl-3-hydroxy-9-[(2R,4R,5S,6S)-5-hydroxy-4-methoxy-4,6-dimethyloxan-2-yl]oxy-2,4,8,10,12,14-hexamethyl-6,15,16-trioxatricyclo[10.2.1.11,4]hexadecan-7-one</t>
  </si>
  <si>
    <t>['Anhydroerythromycin A', 'UNII-2BR5PL6H39', '2BR5PL6H39', '23893-13-2', 'Anhydro-Erythromycin', 'Anhydro Erythromycin A', '9-Deoxo-6,12-dideoxy-6,9:9,12-diepoxyerythromycin', 'Erythromycin, 9-deoxo-6,12-dideoxy-6,9:9,12-diepoxy-', 'HY-N7454', 'EM-202', 'ZINC256335245', 'CS-0129414', 'Q27254531']</t>
  </si>
  <si>
    <t>Compound(83949)</t>
  </si>
  <si>
    <t>C37H65NO12</t>
  </si>
  <si>
    <t>cyclopropyl-(4-methoxyphenyl)-pyrimidin-5-ylmethanol</t>
  </si>
  <si>
    <t>['ANCYMIDOL', '12771-68-5', 'Reducymol', 'Ancymidole', 'Arest', 'A-Rest Solution', 'A-rest', 'QUEL', 'EL-531', 'Caswell No. 051A', 'Cyclopropyl(4-methoxyphenyl)(pyrimidin-5-yl)methanol', 'Ancymidole [ISO-French]', 'alpha-Cyclopropyl-alpha-(4-methoxyphenyl)-5-pyrimidinemethanol', 'Ancymidol [ANSI:BSI:ISO]', 'EINECS 235-814-7', 'alpha-Cyclopropyl-4-methoxy-alpha-(pyrimidin-5-yl)benzyl alcohol', 'EPA Pesticide Chemical Code 108601', 'BRN 6212277', 'CHEMBL280558', 'CHEBI:73171', '5-Pyrimidinemethanol, .alpha.-cyclopropyl-.alpha.-(4-methoxyphenyl)-', 'cyclopropyl(4-methoxyphenyl)pyrimidin-5-ylmethanol', 'cyclopropyl-(4-methoxyphenyl)-pyrimidin-5-ylmethanol', 'alpha-Cyclopropyl-alpha-(4-methoxyphenyl)-5-pyrimidylmethanol', 'alpha-Cyclopropyl-alpha-(p-methoxyphenyl)-5-pyrimidinemethanol', 'alpha-Cyclopropyl-4-methoxy-alpha-(pyrimidin-5-yl)-benzylalkohol [German]', 'cyclopropyl-(4-methoxyphenyl)-pyrimidin-5-yl-methanol', '5-Pyrimidinemethanol, alpha-cyclopropyl-alpha-(4-methoxyphenyl)-', '5-Pyrimidinemethanol, alpha-cyclopropyl-alpha-(p-methoxyphenyl)-', 'alpha-Cyclopropyl-4-methoxy-alpha-(pyrimidin-5-yl)benzylalkohol', 'alpha-Cyclopropyl-alpha-(p-methoxyphenyl)-5-pyrimidine-methanol', 'Anycmidol', 'Abide', 'CCRIS 9243', 'A-Cyclopropyl-A(P-methoxyphenyl)-5-pyrimidine methanol', 'Ancymidol (Ancimidol)', 'DSSTox_CID_14338', 'DSSTox_RID_79144', 'DSSTox_GSID_34338', 'SCHEMBL122607', 'DTXSID2034338', 'CTK8F7771', 'BIA0123', 'ZX-AFC001582', 'EL-531;REDUCYMOL;THRITONE', 'alpha-Cyclopropyl-4-methoxy-alpha-(pyrimidin-5-yl)-benzylalkohol', 'DNDI1255615', 'Tox21_301025', '5-Pyrimidinemethanol, .alpha.-cyclopropyl-.alpha.-(p-methoxyphenyl)-', 'alpha-Cyclopropyl-alpha-(4-methoxylphenyl)-5-pyrimidinemethanol (9CI)', 'BDBM50024514', 'GK3145', 'MFCD00072501', '5-Pyrimidinemethanol, alpha-cyclopropyl-alpha-(p-methoxyphenyl)- (8CI)', 'SMP2_000074', 'NCGC00164381-01', 'NCGC00164381-02', 'NCGC00254927-01', 'AK-56578', 'AS-70116', 'SC-79923', 'CAS-12771-68-5', 'DB-041870', 'LS-135444', 'FT-0636768', 'NS00010292', 'C18774', 'Ancymidol, plant cell culture tested, BioReagent', '771A685', 'A805739', 'C-15933', 'Cyclopropyl(4-methoxyphenyl)5-pyrimidinylmethanol #', 'J-005531', 'Q2846016', 'a-cyclopropyl-a-(4-methoxyphenyl)-5-pyrimidylmethanol', 'BRD-A09049921-001-01-9', 'cyclopropyl-(4-methoxyphenyl)-(5-pyrimidinyl)methanol', 'Cyclopropyl-(4-methoxy-phenyl)-pyrimidin-5-yl-methanol', 'alpha-Cyclopropyl-alpha(p-methoxyphenyl)-5-pyrimidine methanol', 'alpha-Cyclopropyl-alpha-(4-methoxylphenyl)-5-pyrimidinemethanol', 'a-cyclopropyl-a-(4-methoxyphenyl)-5-pyrimidylmethanol;?-cyclopropyl-?-(4-methoxyphenyl)-5-pyrimidylmethanol']</t>
  </si>
  <si>
    <t>Compound(25572)</t>
  </si>
  <si>
    <t>C15H16N2O2</t>
  </si>
  <si>
    <t>4,6-dichloro-N-(2-chlorophenyl)-1,3,5-triazin-2-amine</t>
  </si>
  <si>
    <t>['Anilazine', 'Anilazin', 'DYRENE', '101-05-3', 'Zinochlor', 'Kemate', 'Bortrysan', 'Triasym', 'Triasyn', 'Triazin', 'Direz', 'Dyrene 50W', 'Aniyaline', 'Dyrene Flussig', '4,6-Dichloro-N-(2-chlorophenyl)-1,3,5-triazin-2-amine', 'Triazine (pesticide)', '2,4-Dichloro-6-(o-chloroanilino)-s-triazine', 'NCI-C08684', '(o-Chloroanilino)dichlorotriazine', 'Triazine (VAN)', 'NSC 3851', '1,3,5-Triazin-2-amine, 4,6-dichloro-N-(2-chlorophenyl)-', 'Caswell No. 302', '2,4-Dichloro-6-(2-chloroanilino)-1,3,5-triazine', 'Dairene', 'Anilazine [BSI:ISO]', 'ENT 26,058', 'UNII-C6E8Y03ZJN', 'B-622', 'CCRIS 43', 's-Triazine, 2,4-dichloro-6-(o-chloroanilino)-', '2,4-Dichloro-6-o-chloranilino-s-triazine', 'HSDB 1567', 'EINECS 202-910-5', '2-(2-Chloranilin)-4,6-dichlor-1,3,5-triazin', 'EPA Pesticide Chemical Code 080811', 'BRN 0223133', 'C6E8Y03ZJN', '2-Chloro-N-(4,6-dichloro-1,3,5-triazin-2-yl)aniline', 'AI3-26058', 'CHEBI:82076', 'NSC3851', '2-(2-Chloranilin)-4,6-dichlor-1,3,5-triazin [German]', '2,4-Dichloro-6-(o-chloranilino)-s-triazine', '(4,6-dichloro(1,3,5-triazin-2-yl))(2-chlorophenyl)amine', 'Dairin', 'Direx', 'Kemat e', 'Direz; Dyrene', 'Hoaso2', 'Anilazine (Dyrene)', 'DSSTox_CID_89', '2,4-dichloro-6-(2-chloroanilino)-s-triazine', '4,3,5-triazin-2-amine', 'DSSTox_RID_75358', 'DSSTox_GSID_20089', 'SCHEMBL13280', '5-26-08-00019 (Beilstein Handbook Reference)', 'CHEMBL464135', 'DTXSID9020089', 'CTK8E3507', 'ZINC154979', 'NSC-3851', '(o-chloroanilino)dichloro-s-triazine', 'Tox21_301181', 'LS-325', 'SBB017591', 'AKOS009156485', 'MCULE-9336846068', 'ENT 26, 058', 'Dichloro-6-(o-chloroanilino)-s-triazine', 'NCGC00090810-01', 'NCGC00090810-02', 'NCGC00090810-03', 'NCGC00255079-01', 'AC-12678', 'CAS-101-05-3', 'CC-24134', 'WLN: T6N CN ENJ BMR BG &amp; DG FG', '2,4-dichloro-6-o-chloroanilino-s-triazine', 'FT-0602841', 'NS00002860', 's-Triazine,4-dichloro-6-(o-chloroanilino)-', 'ST50994007', 'Anilazine, PESTANAL(R), analytical standard', '2, 4-Dichloro-6-(o-chloranilino)-s-triazine', '2, 4-Dichloro-6-(o-chloroanilino)-s-triazine', 'C18935', '26841-EP2280009A1', '26841-EP2308857A1', '26841-EP2314583A1', '89817-EP2292608A1', '89817-EP2305033A1', '2-(2-chlorophenylamino)-4,6-dichloro-s-triazine', 'C-17364', 'Q413886', 'J-000315', '1,3,5-Triazine, 2,4-dichloro-6-(o-chloroanilino)-', '2, 4-Dichloro-6-(2-chloroanilino)-1,3,5-triazine', 'Dichloro-N-(2-chlorophenyl)-1,3,5-triazin-2-amine', '1,5-Triazin-2-amine, 4,6-dichloro-N-(2-chlorophenyl)-', '4, 6-Dichloro-N-(2-chlorophenyl)-1,3,5-triazin-2-amine', '4,6-Dichloro-N- (2-chlorophenyl)-1,3,5-triazin-2-amine', '1,3,5-Triazin-2-amine, 4, 6-dichloro-N-(2-chlorophenyl)-', '1,3,5-Triazin-2-amine, 4,6-dichloro-N-(2-chlorophenyl)- (9CI)', 'N-(2-Chlorophenyl)-N-(4,6-dichloro-1,3,5-triazin-2-yl)amine', '101103-22-4']</t>
  </si>
  <si>
    <t>Compound(7541)</t>
  </si>
  <si>
    <t>C9H5Cl3N4</t>
  </si>
  <si>
    <t>anisole</t>
  </si>
  <si>
    <t>['ANISOLE', 'Methoxybenzene', '100-66-3', 'Methyl phenyl ether', 'Benzene, methoxy-', 'Anisol', 'Phenyl methyl ether', 'Phenoxymethane', 'Anizol', 'Phenol methyl ether', 'Methoxy-Benzene', '4-methoxybenzene', 'Benzene, methoxy', 'Ether, methyl phenyl', 'HSDB 44', 'FEMA Number 2097', 'UNII-B3W693GAZH', 'NSC 7920', 'FEMA No. 2097', 'Ether, methyl phenyl-', 'EINECS 202-876-1', 'UN2222', 'B3W693GAZH', 'AI3-00042', 'CHEBI:16579', '4-methoxy-benzene', 'Anisole, 99%, pure', 'Anisole, 99%, Extra Dry, AcroSeal(R)', 'Anisloe', 'Methoxybenzene;', 'anisole-', 'methylphenyl ether', 'anisole;ANISOLE', '4-methoxy benzene', 'Anethole,(S)', 'Methyl phenyl-Ether', 'Anisole, 8CI', 'MFCD00008354', 'Anisole Methoxybenzene', 'Methoxy-Benzeneanisole', 'PubChem12830', 'Methoxy-benzene (anisol)', 'bmse010217', 'EC 202-876-1', 'SCHEMBL1205', 'WLN: 1OR', 'Anisole, analytical standard', 'ACMC-1C6S9', 'KSC176C8R', 'Anisole, anhydrous, 99.7%', 'SCHEMBL497674', 'AQUALINE STANDARD 1.0', 'Aqualine&amp;trade; Standard 1.1', 'CHEMBL278024', 'DTXSID4041608', 'SCHEMBL12015260', 'CTK0H6188', 'FEMA 2097', 'KS-00000VIS', 'Anisole, ReagentPlus(R), 99%', 'NSC7920', 'METHOXY-BENZENE  (ANISOL)', 'Anisole, &gt;=99%, FCC, FG', 'LABOTEST-BB LTBB002265', 'ZINC897131', 'NSC-7920', 'ANW-14338', 'BDBM50386177', 'CE0043', 'EpiMediuM BreviconuM P.E.(Icariin)', 'STL263485', 'AKOS000120161', 'ZINC329788065', 'ZINC329788108', 'AS04310', 'CCG-266043', 'LS-2563', 'MCULE-2691526560', 'UN 2222', 'Anisole [UN2222] [Flammable liquid]', 'Anisole [UN2222]  [Flammable liquid]', 'I767', 'SC-25797', 'DB-003588', 'A0492', 'FT-0628309', 'FT-0652964', 'FT-0662229', 'NS00003297', 'A14924', 'C01403', 'M03556', '14387-EP2272822A1', '14387-EP2316836A1', '19606-EP2269986A1', '19606-EP2269995A1', '19606-EP2270000A1', '19606-EP2272517A1', '19606-EP2272822A1', '19606-EP2272832A1', '19606-EP2275411A2', '19606-EP2281818A1', '19606-EP2281821A1', '19606-EP2284148A1', '19606-EP2284165A1', '19606-EP2284169A1', '19606-EP2287141A1', '19606-EP2287161A1', '19606-EP2287162A1', '19606-EP2289894A2', '19606-EP2289897A1', '19606-EP2289965A1', '19606-EP2292592A1', '19606-EP2292593A2', '19606-EP2292624A1', '19606-EP2298767A1', '19606-EP2298768A1', '19606-EP2298770A1', '19606-EP2298778A1', '19606-EP2298828A1', '19606-EP2301924A1', '19606-EP2301933A1', '19606-EP2301937A1', '19606-EP2301983A1', '19606-EP2305250A1', '19606-EP2305667A2', '19606-EP2305685A1', '19606-EP2305686A1', '19606-EP2308510A1', '19606-EP2308562A2', '19606-EP2308833A2', '19606-EP2308857A1', '19606-EP2308867A2', '19606-EP2308870A2', '19606-EP2308880A1', '19606-EP2308926A1', '19606-EP2308960A1', '19606-EP2309564A1', '19606-EP2311827A1', '19606-EP2314558A1', '19606-EP2314576A1', '19606-EP2314587A1', '19606-EP2314590A1', '19606-EP2314591A1', '37374-EP2311802A1', '37374-EP2311803A1', '56738-EP2277868A1', '56738-EP2277869A1', '56738-EP2277870A1', '56738-EP2292608A1', '56738-EP2295422A2', '56738-EP2298305A1', '56738-EP2298746A1', '56738-EP2298769A1', '56738-EP2308878A2', '56738-EP2371806A1', '56738-EP2371807A1', '56738-EP2380568A1', '187286-EP2272849A1', 'Q312244', 'J-000194', 'F1908-0172', 'Anisole, United States Pharmacopeia (USP) Reference Standard', 'Anisole, Pharmaceutical Secondary Standard; Certified Reference Material']</t>
  </si>
  <si>
    <t>Compound(7519)</t>
  </si>
  <si>
    <t>anthraquinone</t>
  </si>
  <si>
    <t>anthracene-9,10-dione</t>
  </si>
  <si>
    <t>['ANTHRAQUINONE', '84-65-1', 'anthracene-9,10-dione', '9,10-Anthraquinone', '9,10-Anthracenedione', 'Anthradione', 'Hoelite', '9,10-Dioxoanthracene', 'Corbit', 'Morkit', '9,10-Anthrachinon', 'Anthra-9,10-quinone', 'Anthrachinon', 'Anthrapel', '9,10-quinone', 'Az-Q', 'Caswell No. 052A', 'Anthraquinone [BSI:ISO]', 'UNII-030MS0JBDO', 'Bis-alkylamino anthraquinone', 'NSC 7957', '9,10-Anthrachinon [Czech]', 'CCRIS 649', '9,10-Anthracendion', 'Anthracene, 9,10-dihydro-9,10-dioxo-', 'CHEBI:40448', 'HSDB 2074', 'EINECS 201-549-0', 'EPA Pesticide Chemical Code 122701', '030MS0JBDO', 'CHEMBL55659', 'AI3-09073', 'DTXSID3020095', '9,10-dihydroanthracene-9,10-dione', 'MFCD00001188', 'Anthraquinone, 98%', 'NCGC00094960-03', 'DSSTox_CID_95', 'DSSTox_RID_75364', 'DSSTox_GSID_20095', 'CAS-84-65-1', '9,10-anthraquinone;9,10-anthracenedione;anthraquinone;anthracene-9,10-dione;9,10-anthraquinone 9,10-anthracenedione anthraquinone anthracene-9,10-dione', 'Anthracene-9,10-quinone', 'anthrachinone', 'Anthracenequinone', '9,10-dihydro-9,10-dioxoanthracene', '9,10-Anthraguinone', 'Anthraquinone, 97%', 'Spectrum_001527', 'SpecPlus_000645', 'Spectrum2_000405', 'Spectrum3_001501', 'Spectrum4_000907', 'Spectrum5_001897', 'Anthraquinone;anthraquinone', 'an anthraquinone derivative', 'ACMC-209pw0', 'Anthra-9,10-quinone #', 'Epitope ID:116191', 'EC 201-549-0', 'SCHEMBL14943', 'BSPBio_003141', 'KBioGR_001374', 'KBioSS_002007', 'KSC362C5J', 'DivK1c_006741', 'SPECTRUM1502103', 'SPBio_000330', 'KBio1_001685', 'KBio2_002007', 'KBio2_004575', 'KBio2_007143', 'KBio3_002641', 'NSC7957', 'Anthraquinone, analytical standard', 'HMS1921J14', 'HY-N0354', 'NSC-7957', 'ZINC3847491', 'Tox21_111369', 'ANW-37822', 'BBL003001', 'BDBM50094892', 'CCG-39966', 's5168', 'SBB060613', 'STK398385', 'Anthracene,10-dihydro-9,10-dioxo-', 'AKOS000282964', 'Tox21_111369_1', 'DS-4810', 'LS-1837', 'MCULE-4655011423', 'NCGC00094960-01', 'NCGC00094960-02', 'NCGC00094960-04', 'NCGC00094960-06', 'AC-12719', 'AK117080', 'K513', 'SC-46775', 'Anthraquinone, purum, &gt;=99.0% (HPLC)', 'DB-005409', 'A0502', 'Anthraquinone 100 microg/mL in Acetonitrile', 'CS-0008907', 'FT-0622417', 'NS00010810', 'ST50410412', 'T8216', 'Anthraquinone, Vetec(TM) reagent grade, 97%', 'C16207', 'Anthraquinone, PESTANAL(R), analytical standard', 'AB-131/40003277', 'Q423174', 'SR-01000944707', 'SR-01000944707-1', 'BRD-K15957397-001-03-4', 'Melting point standard 283-286C, analytical standard', 'F0001-2133', '1,4-bis-[2-(2-hydroxy-ethylamino)-ethylamino]-anthraquinone', '9TA']</t>
  </si>
  <si>
    <t>Compound(6780)</t>
  </si>
  <si>
    <t>C14H8O2</t>
  </si>
  <si>
    <t>anthophyllite (yellow asbestos)</t>
  </si>
  <si>
    <t>anatoxin-a</t>
  </si>
  <si>
    <t>1-[(1R,6R)-9-azabicyclo[4.2.1]non-2-en-2-yl]ethanone</t>
  </si>
  <si>
    <t>['Anatoxin A', 'Antx-A', 'Anatoxin I', 'Anatoxin-a', '(+)-Anatoxin-A', 'UNII-80023A73NK', 'BRN 5477454', 'CHEMBL2332144', '64285-06-9', '80023A73NK', 'Ethanone, 1-(9-azabicyclo(4.2.1)non-2-en-2-yl)-, (1R)-', '1-[(1r,6r)-9-Azabicyclo[4.2.1]non-2-En-2-Yl]ethanone', 'Anatoxin', 'Ethanone, 1-(1R,6R)-9-azabicyclo(4.2.1)non-2-en-2-yl-', 'HSDB 7750', '(+)-Anatoxin alpha', 'SCHEMBL13589890', 'DTXSID50867064', 'ZINC4098885', 'BDBM50428369', 'PDSP1_000464', 'AKOS006275277', 'LS-67145', '1-((1R,6R,E)-9-azabicyclo[4.2.1]non-2-en-2-yl)ethanone', '1-[(1R,6R)-9-Azabicyclo[4.2.1]non-2-en-2-yl]ethan-1-one', '4P0']</t>
  </si>
  <si>
    <t>Compound(3034748)</t>
  </si>
  <si>
    <t>C10H15NO</t>
  </si>
  <si>
    <t>alpha-pinene</t>
  </si>
  <si>
    <t>2,6,6-trimethylbicyclo[3.1.1]hept-2-ene</t>
  </si>
  <si>
    <t>['ALPHA-PINENE', '2-Pinene', '80-56-8', 'Acintene A', '.alpha.-Pinene', '2,6,6-Trimethylbicyclo[3.1.1]hept-2-ene', 'Pinene isomer', 'pin-2(3)-ene', 'PINENE, ALPHA', '(+/-)-2-Pinene', 'Bicyclo[3.1.1]hept-2-ene, 2,6,6-trimethyl-', '(+/-)-alpha-Pinene', 'NSC 7727', '4,6,6-trimethylbicyclo[3.1.1]hept-3-ene', 'CHEBI:36740', '2,6,6-Trimethylbicyclo(3.1.1)-2-hept-2-ene', 'NSC94522', 'NSC94523', 'NCGC00090682-01', 'alpha-Pinene (natural)', 'FEMA Number 2902', '2,6,6-Trimethylbicyclo(3.1.1)hept-2-ene', 'DSSTox_CID_6501', 'DSSTox_RID_78126', 'Bicyclo(3.1.1)hept-2-ene, 2,6,6-trimethyl-', 'DSSTox_GSID_26501', '(1R)-2,6,6-Trimethylbicyclo[3.1.1]hept-2-ene', 'CCRIS 697', '(+)-Pin-2(3)-ene', 'FEMA No. 2902', 'HSDB 720', 'EINECS 201-291-9', 'EINECS 219-445-9', 'UN2368', 'alpha-Pinene(dextro)', '1S-.alpha.-Pinene', 'BRN 3194807', 'CAS-80-56-8', '1R-(+)-a-pinene', 'Phosphosulfurized alpha-pinene', 'AI3-24594', 'DL-Pin-2(3)-ene', '4,6,6-Trimethylbicyklo(3,1,1)hept-3-en', '2,6,6-trimethyl-Bicyclo(3.1.1)hept-2-ene', '2,6,6-trimethyl-bicyclo[3.1.1]hept-2-ene', 'Bicyclo(3.1.1)hept-2-ene, 2,6,6-trimethyl', '(1S)-2,6,6-Trimethylbicyclo[3.1.1]hept-2-ene', 'alpha-Pinene, 97%, stabilized with alpha-Tocopherol', '4,6,6-Trimethylbicyklo(3,1,1)hept-3-en [Czech]', 'alphapinene', 'alpha pinene', 'alpha-Pinene, phosphosulfurized', 'an alpha-pinene', 'Cyclic dexadiene', 'alpha.-pinene', 'Sylvapine A', '2-Pinene, (1S,5S)-(-)-', 'Acitene A', 'Alpha Pinene PF', '1R-alpha-Pinene', '(-)alpha-pinene', 'L-a-Pinene', 'Pinene, .alpha.', 'pin-2-ene', '1R-a-Pinene', '1S-a-Pinene', 'alpha [D] Pinene', 'alpha [L] Pinene', 'EINECS 267-032-7', '(-)-a-pinene', '(+-)-alpha-pinene', '1R-.alpha.-Pinene', '(+)-a-Pinene', '(R)-.alpha.-Pinene', '1S-(-)-a-Pinene', '1R-(+)-alpha-pinene', '(+-)-2-pinene', '(1S)-(-)-a-Pinene', 'PINENE, ALPHA (D)', 'PINENE, ALPHA (L)', '1S,5S-(-)-alpha-Pinene', '25766-18-1', '67762-73-6', '(.+/-.)-.alpha.-Pinene', 'CHEMBL442565', '(+)-Pin-2(3)-ene.', 'DTXSID4026501', 'CTK5E7908', 'NSC7727', 'alpha-Pinene, phosphorus pentasulfide reaction product (4:1)', 'Bicyclo(3.1.1)hept-2-ene, 2,6,6-trimethyl-, homopolymer', 'alpha-Pinene (+/-)-alpha-Pinene', 'Bicyclo(3.1.1)hept-2-ene, 2,6,6-trimethyl-, phosphosulfurized', 'NSC-7727', 'Tox21_110996', 'Tox21_200108', 'Tox21_303385', 'NSC-94522', 'NSC-94523', 'PC 500', 'SBB060477', 'AKOS000121239', 'DB15573', 'LS-2348', 'MCULE-3589656574', 'UN 2368', 'NCGC00090682-02', 'NCGC00257379-01', 'NCGC00257662-01', 'SC-18193', '2,6-Trimethylbicyclo[3.1.1]-2-heptene', 'DB-017892', '2,6,6-Trimethylbicyclo[3.1.1]-2-heptene', 'alpha-Pinene [UN2368] [Flammable liquid]', 'alpha-Pinene 1000 microg/mL in Isopropanol', 'Bicyclo[3.1.1]hept-2-ene,6,6-trimethyl-', 'FT-0604379', 'FT-0604414', 'FT-0622197', 'FT-0698080', 'ST51046656', '2,6-Trimethylbicyclo[3.1.1]-2-hept-2-ene', '2,6,6-Trimethyl bicyclo-(3,1,1)-2 heptene', 'Bicyclo[3.1.1]hept-2-ene,2,6,6-trimethyl-', 'C09880', '2,6,6-TRIMETHYLBICYCLO(3,1,1)HEPT-2-ENE', 'Q-201582', 'Q27104380', 'Bicyclo[3.1.1]hept-2-ene, 2,6,6-trimethyl-, (.+/-.)-']</t>
  </si>
  <si>
    <t>Compound(6654)</t>
  </si>
  <si>
    <t>C10H16</t>
  </si>
  <si>
    <t>arachidonic acid</t>
  </si>
  <si>
    <t>(5Z,8Z,11Z,14Z)-icosa-5,8,11,14-tetraenoic acid</t>
  </si>
  <si>
    <t>['arachidonic acid', '506-32-1', 'Immunocytophyte', 'arachidonate', '(5Z,8Z,11Z,14Z)-icosa-5,8,11,14-tetraenoic acid', '(all-Z)-5,8,11,14-Eicosatetraenoic acid', '5Z,8Z,11Z,14Z-eicosatetraenoic acid', '5,8,11,14-Eicosatetraenoic acid, (all-Z)-', 'cis-5,8,11,14-Eicosatetraenoic acid', 'UNII-27YG812J1I', 'all-cis-5,8,11,14-eicosatetraenoic acid', 'CHEMBL15594', 'CHEBI:15843', '27YG812J1I', 'cis,cis,cis,cis-5,8,11,14-Eicosatetraenoic acid', '5,8,11,14-Eicosatetraenoic acid', 'C20:4', '[1-14C]Arachidonic acid', 'CCRIS 6312', 'EINECS 208-033-4', 'Arachidonic Acid-d8', 'AI3-09613', '(14C)Arachidonic acid', 'Arachidonic Acid, 99%', '(5Z,8Z,11Z,14Z)-5,8,11,14-Eikosatetraensaeure', 'Arachidonicacid', 'Arachidonsaeure', '5,8,11,14-Icosatetraenoic Acid', '1adl', '1gnj', '1vyg', 'FA 20:4', '(5Z,8Z,11Z,14Z)-5,8,11,14-Eicosatetraenoic Acid', 'Arachidonic Acid Powder', '(14C)-arachidonic acid', 'ARACHIDONIC ACID;Arachidonic Acid;Arachidonic acid', 'Spectrum5_001910', 'Arachidonic Acid (20:4)', 'SCHEMBL16162', 'BSPBio_001539', 'MLS001361328', 'BML3-B03', 'GTPL2391', '5,8,11,14-Eicosatetraenoate', 'DTXSID4040420', 'BDBM22319', 'CHEBI:137828', 'HMS1361M21', 'HMS1791M21', 'HMS1989M21', 'HMS3402M21', 'HMS3649B05', '7771-44-0', 'ZINC4474696', '5Z,8Z,11Z,14Z-Eicosatetraenoate', 'Arachidonic acid, &gt;95.0% (GC)', '5,8,11,14-Eicosatetraenoic acid, labeled with carbon-14, (all-Z)-', 'Arachidonic acid, analytical standard', 'cis-D5,8,11,14-Eicosatetraenoate', 'LMFA01030001', 'MFCD00004417', 's6185', 'AKOS015950830', '5Z,8Z,11Z,14Z-icosatetraenoic acid', 'CCG-214838', 'DB04557', 'FS-5880', '5,8,11,14-all-cis-Eicosatetraenoate', 'all-cis-5,8,11,14-Eicosatetraenoate', 'ARACHIDONIC ACID (20:4 n-6)', 'IDI1_034009', 'cis-D5,8,11,14-Eicosatetraenoic acid', 'NCGC00094608-01', 'NCGC00094608-02', 'NCGC00094608-03', 'NCGC00094608-04', 'NCGC00094608-05', 'NCGC00094608-06', '(5Z,8Z,11Z,14Z)-Icosatetraenoic acid', '(all-Z)-5,8,11,14-Eicosatetraenoate', '93444-49-6', 'AC-14348', 'ARACHIDONIC ACID (20:4, n-6)', 'Eicosa-5Z,8Z,11Z,14Z-tetraenoic acid', 'SC-19271', 'SMR000857374', 'ST069383', '5,8,11,14-all-cis-Eicosatetraenoic acid', 'HY-109590', '789-EP2277848A1', '789-EP2277880A1', '789-EP2280008A2', '789-EP2289871A1', '789-EP2292610A1', '789-EP2295426A1', '789-EP2295427A1', '789-EP2295432A1', '789-EP2298735A1', '789-EP2301536A1', '789-EP2301538A1', '789-EP2305250A1', '789-EP2305682A1', '789-EP2305684A1', '789-EP2305689A1', '789-EP2308839A1', '789-EP2308848A1', '789-EP2308879A1', '789-EP2311455A1', '789-EP2311837A1', '789-EP2316835A1', 'A0781', 'all-cis-eicosa-5,8,11,14-tetraenoic acid', 'CS-0032762', 'cis-Delta(5,8,11,14)-eicosatetraenoic acid', '1753-EP2272832A1', '1753-EP2277848A1', '1753-EP2277858A1', '1753-EP2295055A2', '1753-EP2295423A1', '1753-EP2298767A1', '1753-EP2301922A1', '1753-EP2305641A1', '1753-EP2311453A1', '1753-EP2311806A2', '1753-EP2311830A1', '1753-EP2314587A1', '5-cis,8-cis,11-cis,14-cis-Eicosatetraenoate', 'Arachidonic acid (in Tocrisolvetrade mark100)', 'C00219', '5-cis,8-cis,11-cis,14-cis-Eicosatetraenoic acid', '506A321', 'Q407699', 'SR-01000838311', 'SR-01000838311-2', 'BRD-K03070961-001-02-8', 'BRD-K03070961-001-04-4', '(5Z,8Z,11Z,14Z)-5,8,11,14-Icosatetraenoic acid', '(5Z,8Z,11Z,14Z)icosa-5,8,11,14-tetraenoic acid', '(5Z,8Z,11Z,14Z)-5,8,11,14-Icosatetraenoic acid #', 'Arachidonic acid, from non-animal source, &gt;=98.5% (GC)', 'Arachidonic acid, from porcine liver, &gt;=99% (GC), liquid', 'D18DBC10-379C-4E78-9A50-8B791A2F4E68', 'Arachidonic acid, from porcine liver, &gt;=85% (capillary GC), liquid', 'Arachidonic acid, 1.0 mg/mL in ethanol, certified reference material', 'Arachidonic acid, from porcine liver, BioReagent, suitable for cell culture, &gt;=99% (GC)']</t>
  </si>
  <si>
    <t>Compound(444899)</t>
  </si>
  <si>
    <t>C20H32O2</t>
  </si>
  <si>
    <t>arachic acid</t>
  </si>
  <si>
    <t>icosanoic acid</t>
  </si>
  <si>
    <t>['Arachidic acid', 'Icosanoic acid', 'EICOSANOIC ACID', '506-30-9', 'Arachic acid', 'n-Eicosanoic acid', 'Arachidinic acid', 'UNII-PQB8MJD4RB', 'NSC 93983', 'EICOSANO1C ACID', 'PQB8MJD4RB', 'EINECS 208-031-3', 'MFCD00002755', 'C20:0', 'CHEBI:28822', 'n-eicosanoate', 'AK-73062', 'Eicosanoic acid, 99%', 'Arachinsaeure', 'Arachate', 'Elcosanoic Acid', 'Arachidic acid (synthetic)', 'Arachidic acid, &gt;=99%', 'EC 208-031-3', 'Eicosanoic Acid (20:0)', 'SCHEMBL6539', 'ACMC-1B10R', 'WLN: QV19', 'CH3-[CH2]18-COOH', 'CHEMBL1173381', 'DTXSID1060134', 'CTK1H1172', 'KS-00000NSD', 'Arachidic acid, analytical standard', 'NSC93983', 'ZINC6920376', 'ANW-31068', 'BBL027402', 'LMFA01010020', 'NSC-93983', 's5570', 'SBB058661', 'STL373057', 'AKOS015839825', 'CCG-267612', 'CS-W004260', 'HY-W004260', 'MCULE-2888473872', 'VA10795', 'AC-15197', 'AS-14639', 'BR-73062', 'CC-27444', 'L983', 'LS-63771', 'SC-46953', 'AX8009111', 'DB-051805', 'AM20100241', 'Arachidic acid, synthetic, &gt;=99.0% (GC)', 'E0006', 'FT-0625651', 'FT-0625652', 'NS00010584', 'ST50330650', '2957-EP2275413A1', '2957-EP2287156A1', '2957-EP2311807A1', 'Arachidic acid, Vetec(TM) reagent grade, 99%', 'C06425', 'M-4266', 'A828210', 'C-19332', 'Q409608', 'UNII-CKJ5537111 component VKOBVWXKNCXXDE-UHFFFAOYSA-N', 'UNII-MO7HV04S9Y component VKOBVWXKNCXXDE-UHFFFAOYSA-N', '38660976-A573-4A36-B283-4EA09D1E22EC', 'icosanoic acid, eicosanoic acid, n-eicosanoic acid, arachic acid,']</t>
  </si>
  <si>
    <t>Compound(10467)</t>
  </si>
  <si>
    <t>1-(4-tert-butylphenoxy)propan-2-yl 2-chloroethyl sulfite</t>
  </si>
  <si>
    <t>['ARAMITE', 'Niagaramite', 'Aracide', '140-57-8', 'Acaracide', 'Aratron', 'Aramit', 'Ortho-Mite', 'Compound 88R', 'Aramite-15W', 'Aramiteararamite-15W', 'Caswell No. 131', 'ENT 16,519', 'CCRIS 51', 'Butylphenoxyisopropyl chloroethyl sulfite', '2-(p-Butylphenoxy)isopropyl 2-chloroethyl sulfite', '2-(4-t-butylphenoxy)isopropyl-2-chloroethyl sulphite', "2-(p-t-butylphenoxy)isopropyl 2'-chloroethyl sulfite", 'HSDB 1529', '2-(p-tert-Buytlphenoxy)isopropyl 2-chloroethyl sulfite', '2-(p-Butylphenoxy)-1-methylethyl 2-chloroethyl sulfite', '2-Chloroethyl sulfite of 1-(p-t-butylphenoxy)-2-propanol', '2-(p-tert-Butylphenoxy)-1-methylethyl-2-choroethyl sulfite', '2-Chloroethyl 1-methyl-2-(p-tert-butylphenoxy)ethyl sulfite', 'CES', 'EPA Pesticide Chemical Code 062501', 'NSC 404155', '2-(p-tert-Butylphenoxy)-1-methylethyl sulfite of 2-chloroethanol', 'BRN 2509312', '2-(4-t-Butylphenoxy)isopropyl-2-chloroethyl sulfite', '88-R', 'Sulfurous acid, 2-(p-tert-butylphenoxy)-1-methylethyl 2-chloroethyl ester', "2-(p-t-Butylphenoxy)isopropyl 2'-chloroethyl sulphite", 'AI3-16519', '2-(p-t-Butylphenoxy)-1-methylethyl-2-chloroethyl sulfite', '2-Chloroethyl 1-methyl-2-(p-t-butylphenoxy)ethyl sulphate', "2-(p-t-Butylphenoxy)-1-methylethyl 2'-chloroethyl sulphite", '2-Chloroethyl sulphite of 1-(p-t-butylphenoxy)-2-propanol', '2-Propanol, 1-(p-t-butylphenoxy)-, 2-chloroethyl sulfite', '88R', '2-Propanol, 1-(p-tert-butylphenoxy)-, 2-chloroethyl sulfite', 'CHEBI:82151', '2-(p-t-Butylphenoxy)-1-methylethyl sulphite of 2-chloroethanol', 'Ethanol, 2-chloro-, 2-(p-t-butylphenoxy)-1-methylethyl sulfite', '2-(p-t-Butylphenoxy)-1-methylethyl 2-chloroethyl ester of sulphurous acid', 'Sulfurous acid, 2-(p-t-butylphenoxy)-1-methylethyl-2-chloroethyl ester', 'Sulfurous acid, 2-(p-tert-butylphenoxy)-1-methylethyl-2-chloroethyl ester', 'Ethanol, 2-chloro-, ester with 2-(p-tert-butylphenoxy)-1-methylethyl sulfite', 'Sulfurous acid, 2-chloroethyl 2-[4-(1,1-dimethylethyl)phenoxy]-1-methylethyl ester', "2-(p-t-Butylphenoxy)isopropyl-2'-chloroethyl sulphite", '2-(4-tert-Butylphenoxy)isopropyl 2-chloroethyl sulfite', '1-(4-tert-butylphenoxy)propan-2-yl 2-chloroethyl sulfite', '2-(4-tert-Butylphenoxy)-1-methylethyl 2-chloroethyl sulfite', '2-(p-tert-Butylphenoxy)-1-methylethyl 2-chloroethylsulfite', '2-Chloroethyl sulphite of 1-(p-tert-butylphenoxy)-2-propanol', 'beta-Chloroethyl-beta-(p-t-butylphenoxy)-alpha-methylethyl sulphite', "2-(p-terc.Butylfenoxy)isopropyl-2'-chlorethylester kyseliny siricite", "beta-Chloroethyl-beta'-(p-t-butylphenoxy)-alpha'-methylethyl sulfite", 'beta-Chloroethyl-beta-(p-tert-butylphenoxy)-alpha-methylethyl sulphite', 'Ester of 2-chloroethanol with 2-(p-tert-butylphenoxy)-methyl sulphite', "2-(p-terc.Butylfenoxy)isopropyl-2'-chlorethylester kyseliny siricite [Czech]", '2-p-tert-Butylphenoxyisopropyl 2-chloroethyl sulfite', '2-(p-tert-Butylphenoxy)isopropyl 2-chloroethyl sulfite', '2-(4-tert-Butylphenoxy)isopropyl-2-chloroethyl sulfite', "2-(p-tert-Butylphenoxy)-1-methylethyl 2'-chloroethyl sulfite", '2-(p-tert-Butylphenoxy)-1-methylethyl 2-chloroethyl ester of sulfurous acid', '2-chloroethyl 2-{[4-(1,1-dimethylethyl)phenyl]oxy}-1-methylethyl sulfite', 'Sulfurous acid, 2-chloroethyl 2-(4-(1,1-dimethylethyl)phenoxy)-1-methylethyl ester', 'Aramite (total)', 'Aramite(I)', 'Aramite(II)', 'DSSTox_CID_97', 'DSSTox_RID_75365', 'DSSTox_GSID_20097', '4-06-00-03301 (Beilstein Handbook Reference)', 'SCHEMBL434557', 'CHEMBL1903447', 'DTXSID3020097', 'CTK8F7818', '2-Propanol, 2-chloroethyl sulfite', 'Aramite 10 microg/mL in Isooctane', 'Tox21_200398', 'NSC404155', 'AKOS015888307', 'Aramite 2000 microg/mL in n-Hexane', 'LS-7200', 'NSC-404155', 'NCGC00163773-01', 'NCGC00163773-02', 'NCGC00257952-01', 'CAS-140-57-8', 'DB-042521', 'Butylphenoxyisopropyl chloroethyl sulfite@CES', 'FT-0602873', 'NS00002351', 'C19019', 'C-20173', 'J-007404', 'Q27155771', 'WLN: G2OSO &amp; OY1 &amp; 1OR DX1 &amp; 1 &amp; 1', 'Ethanol, 2-(p-tert-butylphenoxy)-1-methylethyl sulfite', 'Sulfurous acid,1-dimethylethyl)phenoxy]-1-methylethyl ester', '2-(4-tert-Butylphenoxy)-1-methylethyl 2-chloroethyl sulfite #', '2-(p-tert-Butylphenoxy)-1-methylethyl 2-chloroethyl sulfite', 'Ethanol, 2-chloro-, 2-(p-tert-butylphenoxy)-1-methylethyl sulfite', 'Ethanol, ester with 2-(p-tert-butylphenoxy)-1-methylethyl sulfite', ".beta.-Chloroethyl-.beta.'-(p-t-butylphenoxy)-.alpha.'-methylethyl sulfite", ".beta.-Chloroethyl-.beta.-(p-t-butylphenoxy)-.alpha.'-methylethyl sulfite", '.beta.-Chloroethyl-.beta.-(p-t-butylphenoxy)-.alpha.-methylethyl sulfite', '2-chloroethyl 2-(4-(1,1-dimethylethyl)phenoxy)-1-methylethyl sulfite', ".beta.-Chloroethyl-.beta.'-(p-tert-butylphenoxy)-.alpha.'-methylethyl sulfite", 'Sulfurous acid 2-chloroethyl 2-[4-(1 ,1-dimethylethyl)phenoxy] 1-methylethyl ester', 'Sulfurous acid 2-chloroethyl 2-[4-(1,1-dimethylethyl)phenoxy] 1-methylethyl ester', 'Sulfurous acid, 2-(p-tert-butylphenoxy)-1-methylethyl 2-chloroethyl ester (8CI)', 'SULFUROUS ACID,2-CHLOROETHYL 2-[4-(1,1-DIMETHYLETHYL)PHENOXY]-1-METHYLETHYL ESTER']</t>
  </si>
  <si>
    <t>Compound(8809)</t>
  </si>
  <si>
    <t>C15H23ClO4S</t>
  </si>
  <si>
    <t>asbestos</t>
  </si>
  <si>
    <t>methyl N-(4-aminophenyl)sulfonylcarbamate</t>
  </si>
  <si>
    <t>['ASULAM', '3337-71-1', 'Asilan', 'Asulox', 'Jonnix', 'Asulox F', 'Plakin', 'Asulox 40', 'Methyl sulphanilylcarbamate', 'Methyl sulfanilylcarbamate', 'Methyl sulfanilyl carbamate', 'Asulame', 'Carbamic acid, [(4-aminophenyl)sulfonyl]-, methyl ester', 'MB 9057', 'M and B 9057', 'Asulame [ISO-French]', 'Methyl N-(4-aminobenzenesulfonyl)carbamate', 'Caswell No. 062A', 'Methyl 4-aminobenzenesulphonyl carbamate', 'Carbamic acid, sulfanilyl-, methyl ester', 'UNII-0Y5ASM7P5S', 'Asulam [ANSI:BSI:ISO]', '4-Amino-benzolsulfonyl-methylcarbamat', 'Methyl 4-aminophenylsulphonylcarbamate', 'Methyl 4-aminobenzenesulphonylcarbamate', 'Methyl 4-aminophenylsulphonyl carbamate', 'Methyl N-(4-aminophenyl)sulfonylcarbamate', 'Methyl ((4-aminophenyl)sulfonyl)carbamate', 'AI3-52723', 'EINECS 222-077-1', 'N(sup 1)-Methoxycarbonylsulfanilamide', 'EPA Pesticide Chemical Code 106901', 'Methyl 4-aminobenzenesulfonyl carbamate', 'BRN 2697523', '0Y5ASM7P5S', 'methyl [(4-aminophenyl)sulfonyl]carbamate', 'CHEBI:81696', '4-Amino-benzolsulfonyl-methylcarbamat [German]', 'methyl 4-aminophenylsulfonylcarbamate', 'Carbamic acid, sulfanilyl-, methyl ester (7CI)(8CI)', 'Carbamic acid, ((4-aminophenyl)sulfonyl)-, methyl ester', 'Methyl (4-aminophenyl)sulfonylcarbamate', 'Carbamicacid, N-[(4-aminophenyl)sulfonyl]-, methyl ester', 'DSSTox_CID_3890', 'DSSTox_RID_77220', 'DSSTox_GSID_23890', 'CAS-3337-71-1', 'N1-Methoxycarbonylsulfanilamide', 'Asulfox F', 'sodium [(4-aminophenyl)sulfonyl](methoxycarbonyl)azanide', 'Methyl 4-aminobenzenesulfonylcarbamate', 'Methyl p-aminobenzenesulfonylcarbamate', 'Methyl (4-aminophenylsulfonyl)carbamate', 'Methyl N-(4-aminophenylsulfonyl)carbamate', 'Methyl sulfanilyl carbamate.', 'SCHEMBL64856', '3-14-00-01967 (Beilstein Handbook Reference)', 'CHEMBL2137678', 'DTXSID8023890', 'CTK4H0508', 'HSDB 6556', 'N(1)-methoxycarbonylsulfanilamide', 'ACT03339', 'ZINC2019346', 'Tox21_201642', 'Tox21_300851', 'Asulam 10 microg/mL in Acetonitrile', 'c1263', 'AKOS015891065', 'methyl 4-aminophenyl sulphonylcarbamate', 'KS-5377', 'NCGC00160637-01', 'NCGC00160637-02', 'NCGC00160637-03', 'NCGC00160637-04', 'NCGC00160637-05', 'NCGC00160637-06', 'NCGC00254754-01', 'NCGC00259191-01', 'AC-12057', 'CC-30814', 'LS-50642', 'O956', 'SC-25589', 'Asulam, PESTANAL(R), analytical standard', 'FT-0603635', 'Methyl (4-aminobenzene-1-sulfonyl)carbamate', 'NS00009629', 'C18350', 'Carbamic acid, sulfanilyl-, methyl ester (7CI)', '337A711', 'C-13346', 'Carbamic acid, 4-aminobenzenesulfonyl-, methyl ester', 'J-019170', 'N-(4-aminophenyl)sulfonylcarbamic acid methyl ester', 'Q2868667', 'Carbamic acid, ((4-aminophenyl)sulfonyl)-, methyl ester (9CI)', 'Asulox F; M and B 9057; MB 9057;Methyl p-aminobenzenesulfonylcarbamate;', 'Sodium methyl [(4-aminophenyl)sulphonyl]carbamate;sodium methyl [(4-aminophenyl)sulphonyl]carbamate;Asulam, sodium salt;Asulam Sodium;asulam;Asulam']</t>
  </si>
  <si>
    <t>Compound(18752)</t>
  </si>
  <si>
    <t>C8H10N2O4S</t>
  </si>
  <si>
    <t>aspirin</t>
  </si>
  <si>
    <t>2-acetyloxybenzoic acid</t>
  </si>
  <si>
    <t>['aspirin', 'ACETYLSALICYLIC ACID', '50-78-2', '2-Acetoxybenzoic acid', '2-(Acetyloxy)benzoic acid', 'o-Acetoxybenzoic acid', 'Acylpyrin', 'O-Acetylsalicylic acid', 'Easprin', 'Ecotrin', 'Acenterine', 'Acetophen', 'Polopiryna', 'Acetosal', 'Acetylsalicylate', 'Colfarit', 'Salicylic acid acetate', 'o-Carboxyphenyl acetate', 'Enterosarein', 'Aceticyl', 'Acetonyl', 'Acetosalin', 'Acetylin', 'Aspergum', 'Aspirdrops', 'Benaspir', 'Micristin', 'Pharmacin', 'Premaspin', 'Salcetogen', 'Temperal', 'Ecolen', 'Empirin', 'Endydol', 'Rhodine', 'Saletin', 'Rheumintabletten', 'Solprin acid', 'Acetisal', 'Acetylsal', 'Aspirine', 'Bialpirina', 'Bialpirinia', 'Claradin', 'Clariprin', 'Entericin', 'Enterophen', 'Enterosarine', 'Globentyl', 'Measurin', 'Neuronika', 'Salacetin', 'Solpyron', 'Acesal', 'Acisal', 'Asagran', 'Asteric', 'Cemirit', 'Decaten', 'Duramax', 'Extren', 'Globoid', 'Helicon', 'Idragin', 'Levius', 'Pirseal', 'Rhonal', 'Solfrin', 'Adiro', 'Aspec', 'Aspro', 'Novid', 'Yasta', 'Acetosalic acid', '2-acetyloxybenzoic acid', 'Acidum acetylsalicylicum', 'Triple-sal', 'Spira-Dine', 'ZORprin', 'Bi-prin', 'Acetilum acidulatum', 'Acimetten', 'Delgesic', 'Entrophen', 'Persistin', '2-Carboxyphenyl acetate', 'Acetilsalicilico', 'Dolean pH 8', 'A.S.A. empirin', 'XAXA', 'Acido acetilsalicilico', 'Contrheuma retard', 'Acide acetylsalicylique', 'Benzoic acid, 2-(acetyloxy)-', 'Endosprin', 'Kapsazal', 'Bayer', 'ASA', 'Acetylsalicylsaure', '8-hour Bayer', 'aspirin (acetylsalicylic acid)', 'Solprin', 'Triaminicin', 'Acetysal', 'Asatard', 'Istopirin', 'Magnecyl', 'Medisyl', 'Polopirin', 'Tasprin', 'Ronal', 'Bayer Buffered', 'Aspro Clear', 'Bayer Plus', 'Nu-seals aspirin', 'Rheumin tabletten', 'Salicylic acid, acetate', 'Acido O-acetil-benzoico', 'Kyselina acetylsalicylova', '2-Acetoxybenzenecarboxylic acid', 'St. Joseph Aspirin for Adults', 'A.S.A.', 'St. Joseph', 'Aspirina 03', 'Kyselina 2-acetoxybenzoova', 'Acetylsalycilic acid', 'acetyl salicylic acid', 'SP 189', 'Bayer Aspirin 8 Hour', 'Acetard', 'Asprin', 'AC 5230', "Bayer Children's Aspirin", 'Acetylsalicylsaeure', 'Acetylsalicylsaure [German]', 'Azetylsalizylsaeure', 'S-211', 'UNII-R16CO5Y76E', 'Benzoicacid, 2-(acetyloxy)-', 'Solupsan', 'Empirin with Codeine', 'CCRIS 3243', 'HSDB 652', 'ECM', 'Acide acetylsalicylique [French]', 'Acido acetilsalicilico [Italian]', 'CHEBI:15365', '2-(acetyloxy)benzoate', 'Kyselina acetylsalicylova [Czech]', 'Acido O-acetil-benzoico [Italian]', 'Kyselina 2-acetoxybenzoova [Czech]', 'Bayer Extra Strength Aspirin for Migraine Pain', 'EINECS 200-064-1', 'NSC 27223', 'o-(Acetyloxy)benzoic acid', 'Acetylsalicylic acid, 99%', 'Bayer Enteric 325 mg Regular Strength', 'BRN 0779271', 'acide 2-(acetyloxy)benzoique', 'Bayer Enteric 81 mg Adult Low Strength', 'Bayer Enteric 500 mg Arthritis Strength', 'AI3-02956', 'R16CO5Y76E', 'Aspirin form II', 'component of Midol', 'NSC27223', 'component of Synirin', 'MFCD00002430', 'NSC-27223', 'component of Zactirin', 'NSC-406186', 'component of Coricidin', 'component of Persistin', 'component of Robaxisal', 'o-Acetoxybenzoate', 'NCGC00015067-04', 'o-acetyl-salicylic acid', 'DSSTox_CID_108', 'component of Ascodeen-30', 'WLN: QVR BOV1', 'DSSTox_RID_75372', 'DSSTox_GSID_20108', '11126-35-5', 'component of Darvon with A.S.A', 'Aloxiprimum', 'Asaphen', 'Aspalon', 'Durlaza', 'AspirinTest2', 'Nu-seals', 'component of St. Joseph Cold Tablets', 'Aspir-Mox', 'Durlaza ER', 'AcetylsalicylicAcid', 'CAS-50-78-2', 'Acetoxybenzoic acid', 'Acetysalicylic acid', 'AIN', 'SMR000059138', 'Ascoden-30', 'Acetylsalicyclic acid', 'Aspirin [BAN:JAN]', 'SR-01000075668', 'Aspirin [USP:BAN:JAN]', 'Bay E4465', 'Aspropharm', 'Cardioaspirin', 'Cardioaspirina', 'Acetyonyl', 'Asacard', 'Ascolong', 'Colsprin', 'Miniasal', 'Salospir', 'Acesan', 'Toldex', 'acetylsalicylic acid (aspirin)', 'Acetylsalicylsyra', '1oxr', '2-Acetoxybenzoate', '99512-66-0', 'Aspirin,(S)', 'Aspalon (JAN)', 'Durlaza (TN)', 'Easprin (TN)', 'acetyl-salicylic acid', 'Aspirin USP-26', 'acetyl salicyclic acid', 'o-(Acetyloxy)benzoate', 'Percodan (Salt/Mix)', 'Ascriptin (Salt/Mix)', 'Micrainin (Salt/Mix)', '2-acetoxy benzoic acid', 'PubChem20190', 'Spectrum_001245', '2-Acetylsalicyclic acid', 'ACMC-209kpz', 'Salicylic acid, acetyl-', 'CHEMBL25', 'Spectrum2_001899', 'Spectrum3_001295', 'Spectrum4_000099', 'Spectrum5_000740', 'Aspirin (JP17/USP)', 'Lopac-A-5376', 'Salycylacetylsalicylic acid', 'benzoic acid, 2-acetoxy-', 'Epitope ID:114151', 'Percodan Demi (Salt/Mix)', 'Soma Compound (Salt/Mix)', 'ZINC53', 'EC 200-064-1', 'Aspirin USP (3080)', 'cid_2244', 'Pravigard PAC (Salt/Mix)', 'SCHEMBL1353', '2-(Acetyloxy)-benzoic acid', 'A.S.A', 'Aspirin USP (2080B)', 'Bay-e-4465', 'Lopac0_000038', 'KBioGR_000398', 'KBioGR_002271', 'KBioSS_001725', 'KBioSS_002272', '4-10-00-00138 (Beilstein Handbook Reference)', 'KSC269M6D', 'MLS001055329', 'MLS001066332', 'MLS001336045', 'MLS001336046', 'BIDD:GT0118', 'DivK1c_000555', 'SPECTRUM1500130', 'SPBio_001838', 'Acetylsalicylic acid, &gt;=99%', 'GTPL4139', '(non-d)Acetylsalicylic Acid-d3', 'O-Acetylsalicylic acid; Aspirin', 'DTXSID5020108', 'Acetylsalicylic acid-carboxy-14c', 'BDBM22360', 'CTK1G9661', 'HMS501L17', 'KBio1_000555', 'KBio2_001725', 'KBio2_002271', 'KBio2_004293', 'KBio2_004839', 'KBio2_006861', 'KBio2_007407', 'KBio3_002149', 'KBio3_002751', 'KS-00000ULP', 'Empirin with Codeine (Salt/Mix)', 'Acetylsalicylic acid, &gt;=99.0%', 'cMAP_000006', 'component of Zactirin (Salt/Mix)', 'NINDS_000555', 'HMS1920E13', 'HMS2090G03', 'HMS2091K13', 'HMS2233L18', 'HMS3260G17', 'HMS3372N15', 'HMS3656N14', 'HMS3715P19', 'HMS3866L03', 'Pharmakon1600-01500130', 'BCP21790', 'STR01551', 'ACETYLSALICYLIC ACID; ASPIRIN', 'Tox21_110076', 'Tox21_202117', 'Tox21_300146', 'Tox21_500038', 'ANW-31125', 'BBL005469', 'CCG-39490', 'LS-143', 'NSC406186', 'NSC755899', 's3017', 'SBB015069', 'STL137674', 'AKOS000118884', 'component of Ascodeen-30 (Salt/Mix)', 'Tox21_110076_1', 'BAY1019036', 'CS-2001', 'DB00945', 'LP00038', 'MCULE-3199019536', 'NSC-755899', 'PL-2200', 'SDCCGSBI-0050027.P005', 'BAY-1019036', 'IDI1_000555', 'Acetylsalicylic acid, analytical standard', 'NCGC00015067-01', 'NCGC00015067-02', 'NCGC00015067-03', 'NCGC00015067-05', 'NCGC00015067-06', 'NCGC00015067-07', 'NCGC00015067-08', 'NCGC00015067-09', 'NCGC00015067-10', 'NCGC00015067-11', 'NCGC00015067-12', 'NCGC00015067-13', 'NCGC00015067-14', 'NCGC00090977-01', 'NCGC00090977-02', 'NCGC00090977-03', 'NCGC00090977-04', 'NCGC00090977-05', 'NCGC00090977-06', 'NCGC00090977-07', 'NCGC00254034-01', 'NCGC00259666-01', 'NCGC00260723-01', 'Aspirin, meets USP testing specifications', 'H740', 'HY-14654', 'NCI60_002222', 'SC-18564', 'SC-61857', 'ST075414', 'SBI-0050027.P004', 'DS-017139', 'UNM-0000306102', 'component of Darvon with A.S.A (Salt/Mix)', 'EU-0100038', 'FT-0655181', 'FT-0661360', 'SW199665-2', '1777-EP2269989A1', '1777-EP2269990A1', '1777-EP2272825A2', '1777-EP2275420A1', '1777-EP2277865A1', '1777-EP2280008A2', '1777-EP2281563A1', '1777-EP2281815A1', '1777-EP2281818A1', '1777-EP2292227A2', '1777-EP2295055A2', '1777-EP2298764A1', '1777-EP2298765A1', '1777-EP2298768A1', '1777-EP2298776A1', '1777-EP2305219A1', '1777-EP2305260A1', '1777-EP2305640A2', '1777-EP2305652A2', '1777-EP2308510A1', '1777-EP2311453A1', '1777-EP2314590A1', '1777-EP2314593A1', '1777-EP2316459A1', '1777-EP2371811A2', '6474-EP1441224A2', '6474-EP2272832A1', '6474-EP2275420A1', '6474-EP2277861A1', '6474-EP2277875A2', '6474-EP2298757A2', '6474-EP2298764A1', '6474-EP2298765A1', '6474-EP2314585A1', 'A 5376', 'Acetylsalicylic Acid 1.0 mg/ml in Acetonitrile', 'C01405', 'D00109', 'Q18216', '24189-EP2295409A1', '24189-EP2314590A1', 'AB00051918-08', 'AB00051918_09', 'AB00051918_10', '170197-EP2275413A1', '170197-EP2287156A1', '186947-EP2270113A1', '186947-EP2272935A1', 'Arthritis Pain Formula Maximum Strength (Salt/Mix)', 'METHANONE,(2-CHLORO-3-PYRIDINYL)CYCLOBUTYL-', 'SR-01000075668-1', 'SR-01000075668-4', 'SR-01000075668-6', 'Acetylsalicylic acid, Vetec(TM) reagent grade, &gt;=99%', 'Aspirin, British Pharmacopoeia (BP) Reference Standard', 'F2191-0068', 'Z234893989', 'Aspirin, United States Pharmacopeia (USP) Reference Standard', 'D41527A7-A9EB-472D-A7FC-312821130549', 'Acetylsalicylic acid, European Pharmacopoeia (EP) Reference Standard', 'Acetylsalicylic acid, BioReagent, plant cell culture tested, &gt;=99.0%', 'Acetylsalicylic acid for peak identification, European Pharmacopoeia (EP) Reference Standard', '156865-15-5', 'Aspirin (Acetyl Salicylic Acid), Pharmaceutical Secondary Standard; Certified Reference Material']</t>
  </si>
  <si>
    <t>Compound(2244)</t>
  </si>
  <si>
    <t>C9H8O4</t>
  </si>
  <si>
    <t>aspartame</t>
  </si>
  <si>
    <t>(3S)-3-amino-4-[[(2S)-1-methoxy-1-oxo-3-phenylpropan-2-yl]amino]-4-oxobutanoic acid</t>
  </si>
  <si>
    <t>['aspartame', '22839-47-0', 'Nutrasweet', 'Asp-phe-ome', 'Asp-Phe methyl ester', 'Aspartam', 'Canderel', 'L-Aspartyl-L-phenylalanine methyl ester', 'Aspartamo', 'Aspartamum', 'Aspartylphenylalanine methyl ester', 'Sweet dipeptide', 'Tri-sweet', 'Dipeptide sweetener', 'Equal', 'Methyl aspartylphenylalanate', 'H-Asp-Phe-OMe', '1-Methyl N-L-alpha-aspartyl-L-phenylalanate', 'Aspartam [INN-French]', 'Aspartame, L,L-alpha-', 'Aspartamum [INN-Latin]', 'Aspartamo [INN-Spanish]', 'methyl L-alpha-aspartyl-L-phenylalaninate', 'UNII-Z0H242BBR1', '3-Amino-N-(alpha-methoxycarbonylphenethyl) succinamic acid', 'CCRIS 5456', 'CHEBI:2877', 'N-L-alpha-Aspartyl-L-phenylalanine 1-methyl ester', '3-Amino-N-(alpha-carboxyphenethyl)succinamic acid N-methyl ester', 'SC 18862', 'HSDB 3915', 'Methyl L-aspartyl-L-phenylalanine', 'EINECS 245-261-3', 'Methyl L-alpha-aspartyl-L-phenylalanate', 'L-Phenylalanine, N-L-alpha-aspartyl-, 1-methyl ester', 'Z0H242BBR1', 'Methyl N-L-alpha-aspartyl-L-phenylalaninate', '1-Methyl N-L-alpha-aspartyl-L-phenylalanine', 'SC-18862', 'N-L-ALPHA-ASPARTYL L-PHENYLALANINE 1-METHYL ESTER', 'NCGC00091104-02', 'DSSTox_CID_107', 'E 951', '3-Amino-N-(alpha-carboxyphenethyl)succinamic acid N-methyl ester, stereoisomer', '(S)-3-amino-4-((S)-1-methoxy-1-oxo-3-phenylpropan-2-ylamino)-4-oxobutanoic acid', 'DSSTox_RID_75371', 'Succinamic acid, 3-amino-N-(alpha-carboxyphenethyl)-, N-methyl ester, stereoisomer', 'DSSTox_GSID_20107', 'Sanecta', 'L-Phenylalanine, L-alpha-aspartyl-, 2-methyl ester', 'N-L-alpha-Aspartyl-L-phenylalanine methyl ester', '(3S)-3-amino-4-[[(2S)-1-methoxy-1-oxo-3-phenylpropan-2-yl]amino]-4-oxobutanoic acid', 'MFCD00002724', 'SMR000471870', 'CAS-22839-47-0', 'L-Aspartyl-L-phenylalanine methyl ester, 98%', 'Aminosweet', 'Aspartame [USAN:BAN:INN]', 'Palsweet Diet', 'Pal Sweet', 'Aspartame [USAN:INN:BAN:NF]', 'NCGC00095160-01', 'AK-47609', '(S)-3-Amino-4-(((S)-1-methoxy-1-oxo-3-phenylpropan-2-yl)amino)-4-oxobutanoic acid', 'DF-OMe', 'Aspartame (NF/INN)', 'N-(L-a-Aspartyl)-L-phenylalanine methyl ester', 'Spectrum2_001706', 'Spectrum3_001949', 'Epitope ID:164026', 'SCHEMBL3636', 'BSPBio_003549', 'MLS001066421', 'MLS001306461', 'Aspartame, analytical standard', 'SPECTRUM1505306', 'SPBio_001692', 'CHEMBL171679', 'DTXSID0020107', 'Asp-Phe methyl ester, &gt;=98%', 'KBio3_002839', 'KS-00000AID', 'aspartyl-phenylalanine methyl ester', 'HMS1922B16', 'HMS2093B05', 'HMS2233D15', 'Pharmakon1600-01505306', 'HY-B0361', 'ZINC1532132', 'Tox21_111080', 'Tox21_111459', 'Tox21_202315', 'Tox21_302965', 'CCG-39444', 'GE0967', 'NSC758953', 's2036', 'SBB006713', 'AKOS015920055', 'L-Aspartyl-L-phenylalanyl methyl ester', 'Tox21_111080_1', 'AM84801', 'CS-2418', 'DB00168', 'MCULE-7493691716', 'NSC-758953', 'alpha-aspartyl-phenylalanine methyl ester', 'L-aspartyl-L-phenyl-alanine methyl ester', 'NCGC00091104-01', 'NCGC00091104-03', 'NCGC00091104-04', 'NCGC00091104-05', 'NCGC00095160-03', 'NCGC00256407-01', 'NCGC00259864-01', 'AC-12293', 'AS-13889', 'BR-47609', 'E951', 'OR350295', 'SC-17477', 'L-Aspartyl-L-3-phenylalanine methyl ester', 'SBI-0206757.P001', 'AB0058040', 'Asp-Phe methyl ester, &gt;=99.0% (HPLC)', 'A0997', 'AM20060556', 'SW219179-1', 'alpha-L-Aspartyl-L-Phenylalanine Methyl Ester', 'L-Aspartyl-L-phenylalanine methyl ester, 96%', 'N-L-alpha-Aspartyl-L-phenylalanineMethylEster', '39A470', 'A11698', 'C11045', 'D02381', 'M-4739', 'AB00376622_08', 'AB00376622_09', 'N-(L-alpha-Aspartyl)-L-phenylalanine methyl ester', 'Q182040', 'SR-05000001682', 'TRANSGENIC MODEL EVALUATION II (ASPARTAME)', 'J-502447', 'SR-05000001682-1', 'BRD-K78841970-001-06-2', 'Aspartame, European Pharmacopoeia (EP) Reference Standard', 'Aspartame, United States Pharmacopeia (USP) Reference Standard', '(S)-3-amino-n-((s)-1-methoxycarbonyl-2-phenyl-ethyl)-succinamic acid', 'ASPARTAME (SEE ALSO (TRANSGENIC MODEL EVALUATION II (ASPARTAME))', 'Aspartame, Pharmaceutical Secondary Standard; Certified Reference Material', 'ASPARTAME;1-methyl N-L-a-aspartyl-3-phenyl-L-alaninate monohydrochloride', '(3S)-3-{N-[(1S)-1-(methoxycarbonyl)-2-phenylethyl]carbamoyl}-3-aminopropanoic acid', '(3S)-3-amino-3-{[(2S)-1-methoxy-1-oxo-3-phenylpropan-2-yl]carbamoyl}propanoic acid', '7421-84-3']</t>
  </si>
  <si>
    <t>Compound(134601)</t>
  </si>
  <si>
    <t>C14H18N2O5</t>
  </si>
  <si>
    <t>alpha terpineol</t>
  </si>
  <si>
    <t>2-(4-methylcyclohex-3-en-1-yl)propan-2-ol</t>
  </si>
  <si>
    <t>['alpha-TERPINEOL', 'Terpineol', '98-55-5', '2-(4-methylcyclohex-3-en-1-yl)propan-2-ol', 'p-Menth-1-en-8-ol', 'dl-alpha-Terpineol', '1-p-Menthen-8-ol', '8000-41-7', '1-Menthene-8-ol', 'Terpineol schlechthin', 'CARVOMENTHENOL', 'Terpenol', '.alpha.-Terpineol', 'Terpilenol, alpha-', 'Terpineol 350', 'TERPINEOLS', 'alpha,alpha,4-Trimethyl-3-cyclohexene-1-methanol', 'FEMA Number 3045', '1-Methyl-4-isopropyl-1-cyclohexen-8-ol', '2-(4-Methyl-3-cyclohexenyl)-2-propanol', 'alpha-Terpineol (natural)', 'FEMA No. 3045', 'alpha-Terpinenol', 'CCRIS 3204', '1-Methyl-4-isopropyl-1-cyclohexene-8-ol', 'HSDB 5316', 'Mixture of p-methenols', '(S)-(-)-Terpineol', 'EINECS 202-680-6', 'EINECS 219-448-5', 'MFCD00001557', 'NSC 21449', 'PC 593', '3-Cyclohexene-1-methanol, alpha,alpha,4-trimethyl-', 'BRN 1906604', 'AI3-00275', '3-Cyclohexene-1-methanol, .alpha.,.alpha.,4-trimethyl-', 'CHEBI:22469', '1-alpha-terpineol', 'MFCD00166983', 'NCGC00164431-01', '2-(4-methylcyclohex-3-enyl)propan-2-ol', 'alpha-Terpineol, 97+%', 'DSSTox_CID_6625', 'DSSTox_RID_79596', 'DSSTox_GSID_40775', '8006-39-1', '(1)-alpha,alpha,4-Trimethylcyclohex-3-ene-1-methanol', 'Terpene alcohol', 'a-Terpineol', 'alpha-Terpineol, analytical standard', '(S)-alpha-terpineol', 'Menth-1-en-8-ol', 'CAS-8000-41-7', '3-Cyclohexene-1-methanol,.alpha.4-trimethyl-', 'Caswell No. 823', '(+/-)-?-Terpineol', 'alpha-Terpineol, 97%, mixture of alpha- and gamma-terpineol', 'Terpineol Normal', 'DL a-terpineol', 'Alpha-Terpineol, Mixture of Isomers', 'EINECS 232-268-1', 'EPA Pesticide Chemical Code 067005', '1-.alpha.-Terpineol', 'TERPINEOL OR', 'TERPINEOL, ALPHA', 'd-1-p-Menthen-8-ol', 'Monocyclic terpenealcohols', '(+)-.alpha.-Terpineol', '3-Cyclohexene-1-methanol, .alpha.,.alpha.4-trimethyl-', 'EC 202-680-6', 'EC 232-268-1', 'alpha-Terpineol, AldrichCPR', 'DSSTox_RID_78167', 'DSSTox_GSID_26625', 'SCHEMBL28466', 'KSC486Q4B', '3-Cyclohexene-1-methanol, .alpha.,.alpha.,4-trimethyl-, (1R)-', '3-Cyclohexene-1-methanol, .alpha.,.alpha.,4-trimethyl-, (1S)-', '3-Cyclohexene-1-methanol, .alpha.,.alpha.,4-trimethyl-, (S)-', 'CHEMBL449810', 'DTXSID5026625', 'CTK3I6840', 'KS-00000FMH', 'HY-N5142', 'NSC21449', 'Tox21_112118', 'Tox21_200112', 'Tox21_302298', 'c0669', 'NSC-21449', 'NSC403665', 'SBB061191', '3-Cyclohexene-1-methanol, .alpha.,.alpha.,4-trimethyl-, sodium salt, (1S)-', 'AKOS015840815', 'alpha-Terpineol, 90%, technical grade', 'LS-3106', 'MCULE-9798755896', 'NSC-403665', 'CAS-98-55-5', 'NCGC00248528-01', 'NCGC00255464-01', 'NCGC00257666-01', 'AK122298', 'AK608361', 'SC-46794', 'DB-059206', 'LS-148797', '3-Cyclohexene-1-methanol, ?,?4-trimethyl-', 'alpha-Terpineol 1000 microg/mL in n-Hexane', 'CS-0032554', 'FT-0622202', 'FT-0627680', 'FT-0698995', 'FT-0772029', 'ST50824481', 'V0385', '2-(4-methyl-1-cyclohex-3-enyl)-propan-2-ol', 'C16772', '(1R)-a,a,4-trimethyl-3-cyclohexene-1-methanol', '(+/-)-a,a,4-trimethylcyclohex-3-ene-1-methanol', 'SR-01000944873', 'J-500272', 'SR-01000944873-1', 'W-100076', 'Q27109437', 'F0001-2319', 'alpha-Terpineol, primary pharmaceutical reference standard', '3-Cyclohexene-1-methanol, .alpha.,.alpha.,4-trimethyl-, (.+-.)-', '3-Cyclohexene-1-methanol, .alpha.,.alpha.,4-trimethyl-, sodium salt (1:1), (1S)-', '22347-88-2']</t>
  </si>
  <si>
    <t>Compound(17100)</t>
  </si>
  <si>
    <t>2-[4-[2-hydroxy-3-(propan-2-ylamino)propoxy]phenyl]acetamide</t>
  </si>
  <si>
    <t>['atenolol', '29122-68-7', 'Tenormin', 'Blokium', 'Normiten', 'Tenormine', 'Prenormine', 'Tenoblock', 'Atehexal', 'Betablok', 'Cuxanorm', 'Myocord', 'Selobloc', 'Duraatenolol', 'Antipressan', 'Atcardil', 'Atenblock', 'Betacard', 'Corotenol', 'Evitocor', 'Farnormin', 'Internolol', 'Normalol', 'Premorine', 'Prenolol', 'Tenoprin', 'Tensimin', 'Vascoten', 'Vericordin', 'Alinor', 'Anselol', 'Atecard', 'Atendol', 'Atenet', 'Atenil', 'Atereal', 'Aterol', 'Hipres', 'Hypoten', 'Ibinolo', 'Lotenal', 'Oraday', 'Serten', 'Stermin', 'Tenidon', 'Tenolol', 'Tredol', 'Uniloc', 'Wesipin', 'Altol', 'Ateni', 'Noten', 'Xaten', '(RS)-Atenolol', 'Seles beta', 'Apo-Atenolol', 'Felo-Bits', 'Lo-ten', 'Atenolin', 'Atenomel', 'Blocotenol', 'Cardaxen', 'Cardiopress', 'Jenatenol', 'Juvental', 'Panapres', 'Plenacor', 'Servitenol', 'Tenobloc', 'Aircrit', 'Betasyn', 'Ormidol', 'Prinorm', 'Unibloc', 'Loten', 'Atenol acis', 'Atenol Cophar', 'Atenol Fecofar', 'Atenol Heumann', 'Atenol Nordic', 'Atenol Quesada', 'Atenol Gador', 'Atenol Stada', 'Atenol-Mepha', 'Atenol-Wolff', 'Atenol Atid', 'Atenol ct', 'Atenol Tika', 'Atenol Trom', 'Atenol Genericon', 'Betatop Ge', 'Atenol von ct', 'Atenol-ratiopharm', 'Atenol AL', 'Atenol PB', 'Atenol GNR', 'Atenol MSD', 'Atenol NM Pharma', 'duratenol', 'Scheinpharm Atenol', 'Atenol 1A pharma', 'Atenololum', 'Tenormine [French]', '2-(4-(2-hydroxy-3-(isopropylamino)propoxy)phenyl)acetamide', '(r,s)-atenolol', 'Atenololum [INN-Latin]', 'ICI 66082', 'Tenormin (TN)', '2-[4-(2-Hydroxy-3-isopropylaminopropoxy)phenyl]acetamide', '1-p-Carbamoylmethylphenoxy-3-isopropylamino-2-propanol', '2-(p-(2-Hydroxy-3-(isopropylamino)propoxy)phenyl)acetamide', '2-[4-[2-hydroxy-3-(propan-2-ylamino)propoxy]phenyl]acetamide', '4-(2-Hydroxy-3-((1-methylethyl)amino)propoxy)benzeneacetamide', 'ICI-66082', 'CCRIS 4196', 'HSDB 6526', 'CHEMBL24', 'EINECS 249-451-7', 'EINECS 262-544-7', 'ICI 66,082', 'Benzeneacetamide, 4-[2-hydroxy-3-[(1-methylethyl)amino]propoxy]-', 'BRN 2739235', '2-(4-(2-Hydroxy-3-isopropylaminopropoxy)phenyl)acetamid', 'MLS000069622', 'CHEBI:2904', 'Atenolol Bp', '2-(4-{2-hydroxy-3-[(propan-2-yl)amino]propoxy}phenyl)acetamide', 'Benzeneacetamide, 4-(2-hydroxy-3-((1-methylethyl)amino)propoxy)-', 'GEO-03413', 'Atenolol, 98%', '60966-51-0', '2-{4-[2-hydroxy-3-(isopropylamino)propoxy]phenyl}acetamide', 'SMR000036768', 'Atenol', '2-{4-[2-hydroxy-3-(propan-2-ylamino)propoxy]phenyl}acetamide', 'Acetamide, 2-(p-(2-hydroxy-3-(isopropylamino)propoxy)phenyl)-', 'Teno-basan', 'Q-200656', '(+-)-Atenolol', '2-{4-[2-Hydroxy-3-(isopropylamino)propoxy]-phenyl}acetamide', 'Neatenol', 'Tensotin', 'Atcard', 'dl-Atenolol', '(+/-)-4-[2-Hydroxy-3-[(1-methylethyl)amino]propoxy]benzeneacetamide', '(+/-)-Atenolol', 'Atenolol [USAN:INN:BAN:JAN]', 'SR-01000000159', '2-(4-[2-Hydroxy-3-(isopropylamino)propoxy]phenyl)acetamide', '2-[4-[2-hydroxy-3-(isopropylamino)propoxy]phenyl]acetamide', 'Artrenolol', '2-(4-(2-Hydroxy-3-(Isopropylamino)propoxy)phenyl)ethanamide', 'phenyl)acetamide', '2-(4-{2-hydroxy-3-[(methylethyl)amino]propoxy}phenyl)acetamide', '(+/-)-4-(2-Hydroxy-3-[(1-methylethyl)amino]propoxy)benzeneacetamide', 'Atenolol [USAN:BAN:INN:JAN]', '(y)-Atenolol', 'Atenolol,(S)', '(?)-Atenolol', 'MFCD00057645', 'Atenolol [USAN:USP:INN:BAN:JAN]', '(A+/-)-Atenolol', '(+-)-4-(2-Hydroxy-3-isopropylaminopropoxy)phenylacetamide', 'Tenoretic (Salt/Mix)', 'Atenolol (JAN/USP)', 'Spectrum_001364', 'Opera_ID_1283', 'Spectrum2_001411', 'Spectrum3_001448', 'Spectrum4_000435', 'Spectrum5_001509', 'DSSTox_CID_2628', 'A 7655', 'SCHEMBL4362', 'DSSTox_RID_76663', 'DSSTox_GSID_22628', 'Lopac0_000121', 'Oprea1_448775', 'BSPBio_002915', 'GTPL548', 'KBioGR_000790', 'KBioSS_001844', 'KSC492C6H', 'MLS001066372', 'MLS001074163', 'MLS001304038', 'ARONIS23884', 'DivK1c_000057', 'SPECTRUM1501127', 'Atenolol (JP17/USP/INN)', 'SPBio_001482', '(+)-4-[2-Hydroxy-3-[(1-methylethyl)amino]propoxy]benzeneacetamide', 'DTXSID2022628', 'BDBM25753', 'CTK3J2163', 'HMS500C19', 'KBio1_000057', 'KBio2_001844', 'KBio2_004412', 'KBio2_006980', 'KBio3_002415', 'KS-00000XIG', 'METKIMKYRPQLGS-UHFFFAOYSA-', "4-[2'-Hydroxy-3'-(isopropylamino)propoxy]phenylacetamide", 'BBC/163', 'C07AB03', 'NINDS_000057', 'Acetamide,2-(p-(2-hydroxy-3-(isopropylamino)propoxy)phenyl)', 'HMS1569L13', 'HMS1921H09', 'HMS2090I19', 'HMS2092D19', 'HMS2233E06', 'HMS3259K08', 'HMS3260I04', 'HMS3266K13', 'HMS3369B14', 'HMS3369D20', 'HMS3369P20', 'HMS3411G21', 'HMS3675G21', 'Pharmakon1600-01501127', '( inverted question mark)-Atenolol', '(1)-2-(4-(2-Hydroxy-3-(isopropylamino)propoxy)phenyl)acetamide', 'BB_SC-01519', 'BCP12899', 'KS-000046IQ', 'ZX-AS004380', 'Atenolol 1.0 mg/ml in Acetonitrile', 'Atenolol, &gt;=98% (TLC), powder', 'Tox21_302426', 'Tox21_500121', '2-[4-({2-hydroxy-3-[(1-methylethyl)amino]propyl}oxy)phenyl]acetamide', 'ANW-45215', 'BBL009276', 'BG0049', 'CA0145', 'CCG-39010', 'NSC757832', 's4817', 'SBB056998', 'STK528649', 'AKOS005111050', 'AC-8245', 'API0001553', 'Atenolol, analytical reference material', 'CS-2927', 'DB00335', 'KS-5341', 'LP00121', 'LS-9707', 'MCULE-9148694071', 'NC00548', 'NSC-757832', 'SDCCGSBI-0050109.P004', 'BENZENEACETAMIDE, 4-(2-HYDROXY-3-((1-METHYLETHYL)AMINO)PROPOXY)-, (+-)-', 'IDI1_000057', 'MRF-0000571', 'NCGC00015007-06', 'NCGC00015007-07', 'NCGC00015007-08', 'NCGC00015007-09', 'NCGC00015007-10', 'NCGC00015007-11', 'NCGC00015007-13', 'NCGC00024566-03', 'NCGC00024566-04', 'NCGC00024566-05', 'NCGC00024566-06', 'NCGC00024566-07', 'NCGC00255122-01', 'NCGC00260806-01', 'HY-17498', 'LS-28557', 'SC-19545', 'ST024754', 'SBI-0050109.P003', 'AB0011597', 'AX8005715', 'CAS-29122-68-7', 'DB-072177', 'DB-079552', 'EU-0100121', 'FT-0662315', 'FT-0662316', 'FT-0693045', '2-(4-(2-hydroxy-3-(isopropylamino)propoxy)', 'BIM-0050109.0001', 'D00235', 'EN300-119532', 'J10009', 'Z-0828', 'AB00052208-13', 'AB00052208-15', 'AB00052208_16', '122A687', 'L000116', 'Q411325', 'SR-01000000159-2', 'SR-01000000159-4', 'SR-01000000159-5', 'SR-01000000159-8', 'BRD-A20239487-001-02-5', 'BRD-A20239487-001-15-7', 'Atenolol, European Pharmacopoeia (EP) Reference Standard', 'Z1541638518', 'Atenolol, United States Pharmacopeia (USP) Reference Standard', '(RS)-4-[2-Hydroxy-3-[(1-methylethyl)amino]propoxy]benzeneacetamide', "benzeneacetamide, 4-[2'-hydroxy-3;-[(1-methylethyl)amino]propoxy]-", '2-(4-{[(2S)-2-hydroxy-3-(propan-2-ylamino)propyl]oxy}phenyl)acetamide', 'Atenolol, Pharmaceutical Secondary Standard; Certified Reference Material', '2-[4-({(2R)-2-hydroxy-3-[(1-methylethyl)amino]propyl}oxy)phenyl]acetamide', 'Atenolol solution, 1.0 mg/mL in acetonitrile, ampule of 1 mL, certified reference material', '106020-65-9', '4-[2-hydroxy-3-[(isopropyl)amino]propoxy]phenylacetamide hydrochloride;(+/-)-2-[4-[2-hydroxy-3-(isopropylamino)propoxy]phenyl]acetamide']</t>
  </si>
  <si>
    <t>Compound(2249)</t>
  </si>
  <si>
    <t>C14H22N2O3</t>
  </si>
  <si>
    <t>4-N-ethyl-6-methoxy-2-N-propan-2-yl-1,3,5-triazine-2,4-diamine</t>
  </si>
  <si>
    <t>['Atraton', '1610-17-9', 'Gesatamin', 'Atroton', 'ATRATONE', 'Geigy 32,293', 'Atraton [ISO]', '2-Methoxy-4-ethylamino-6-isopropylamino-s-triazine', 'Caswell No. 430B', '2-Methoxy-4-isopropylamino-6-ethylamino-S-triazine', 'NSC 163045', 'G 32293', '2-Ethylamino-4-isopropylamino-6-methoxy-s-triazine', '4-Ethylamino-6-isopropylamino-2-methoxy-s-triazine', 'UNII-3357WM07W3', 's-Triazine, 4-ethylamino-6-isopropylamino-2-methoxy-', "1,3,5-Triazine-2,4-diamine, N-ethyl-6-methoxy-N'-(1-methylethyl)-", 'EINECS 216-547-5', 'G32293', 'N2-Ethyl-N4-isopropyl-6-methoxy-1,3,5-triazine-2,4-diamine', 'EPA Pesticide Chemical Code 080802', "N-Ethyl-6-methoxy-N'-(1-methylethyl)-1,3,5-triazine-2,4-diamine", 'BRN 0613098', 's-Triazine, 2-ethylamino-4-isopropylamino-6-methoxy-', '6-Ethylamino-4-isopropylamino-2-methoxy-1,3,5-triazine', 'AI3-60360', 'CHEBI:82220', '4-N-ethyl-6-methoxy-2-N-propan-2-yl-1,3,5-triazine-2,4-diamine', 'G-32293', '3357WM07W3', 's-Triazine, 2-(ethylamino)-4-(isopropylamino)-6-methoxy-', '2-(Ethylamino)-4-(isopropylamino)-6-methoxy-s-triazine', '2-Methoxy-4-ethylamino-6-isopropylamino-1,3,5-triazine', "N-ethyl-6-methoxy-N'-(propan-2-yl)-1,3,5-triazine-2,4-diamine", '2-Methoxyatrazine', 'DSSTox_CID_17493', 'DSSTox_RID_79321', 'DSSTox_GSID_37493', 'SCHEMBL23000', 'CHEMBL1231002', 'DTXSID0037493', 'ZINC1635497', 'Tox21_301814', 'NSC163045', 'AKOS015903941', 'Atraton (Isobare zu Prometon-Hydroxy)', 'NSC-163045', 'NCGC00163789-01', 'NCGC00255627-01', 'AS-55960', 'CAS-1610-17-9', 'Atraton, PESTANAL(R), analytical standard', 'LS-155424', 'WLN: T6N CN ENJ BO1 DMY1&amp;1 FM2', 'FT-0766124', 'NS00010573', 'C19098', '2methoxy-4-ethylamino-6-isopropylamino-s-triazine', 'C-56154', 'J-009773', '6-Ethylamino-4-isopropylamino-2-methoxy-1,5-triazine', 'Q27155816', '2-methoxy-4-(1-methylethylamino)-6-ethylamino-1,3,5-triazine', "1,5-Triazine-2,4-diamine, N-ethyl-6-methoxy-N'-(1-methylethyl)-", "N-Ethyl-6-methoxy-N'-(1-methylethyl)-1,5-triazine-2,4-diamine", '1,3,5-Triazine-2,4-diamine, N2-ethyl-6-methoxy-N4-(1-methylethyl)-', 'N~2~-Ethyl-6-methoxy-N~4~-(propan-2-yl)-1,3,5-triazine-2,4-diamine', "1,3,5-Triazine-2,4-diamine, N-ethyl-6-methoxy-N'-(1-methylethyl)- (9CI)", 'AOO']</t>
  </si>
  <si>
    <t>Compound(15359)</t>
  </si>
  <si>
    <t>C9H17N5O</t>
  </si>
  <si>
    <t>atorvastatin</t>
  </si>
  <si>
    <t>(3R,5R)-7-[2-(4-fluorophenyl)-3-phenyl-4-(phenylcarbamoyl)-5-propan-2-ylpyrrol-1-yl]-3,5-dihydroxyheptanoic acid</t>
  </si>
  <si>
    <t>['atorvastatin', '134523-00-5', 'Cardyl', 'Tozalip', 'Xavator', 'Lipitor', 'Torvast', 'Sotis', 'ATORVASTATIN CALCIUM', 'Atorvastatin [INN:BAN]', '110862-48-1', 'UNII-A0JWA85V8F', 'CCRIS 7159', 'C33H35FN2O5', 'HSDB 7039', 'Lipitor (TN)', '(3R,5R)-7-(2-(4-Fluorophenyl)-5-isopropyl-3-phenyl-4-(phenylcarbamoyl)-1H-pyrrol-1-yl)-3,5-dihydroxyheptanoic acid', 'A0JWA85V8F', 'CHEMBL1487', '(R-(R*,R*))-2-(4-Fluorophenyl)-beta,delta-dihydroxy-5-(1-methylethyl)-3-phenyl-4-((phenylamino)carbonyl)-1H-pyrrole-1-heptanoic acid', 'CHEBI:39548', 'CI 981', '(3R,5R)-7-[2-(4-fluorophenyl)-3-phenyl-4-(phenylcarbamoyl)-5-(propan-2-yl)-1H-pyrrol-1-yl]-3,5-dihydroxyheptanoic acid', '(betaR,deltaR)-2-(p-Fluorophenyl)-beta,delta-dihydroxy-5-isopropyl-3-phenyl-4-(phenylcarbamoyl)pyrrole-1-heptanoic acid', '134523-03-8', '1H-Pyrrole-1-heptanoic acid, 2-(4-fluorophenyl)-beta,delta-dihydroxy-5-(1-methylethyl)-3-phenyl-4-((phenylamino)carbonyl)-, (R-(R*,R*))-', 'Atorvastatin calcium salt', 'atorvastatina', 'atorvastatine', 'atrovastin', 'Atofast', 'Atorcor', 'Atorlip', 'Lipilou', 'Lipinon', 'Atorin', 'Ator', 'Lipitor(TM)', '(3R,5R)-7-[2-(4-fluorophenyl)-5-(1-methylethyl)-3-phenyl-4-(phenylcarbamoyl)-1H-pyrrol-1-yl]-3,5-dihydroxyheptanoic acid', '(3R,5R)-7-[2-(4-fluorophenyl)-5-isopropyl-3-phenyl-4-(phenylcarbamoyl)pyrrol-1-yl]-3,5-dihydroxy-heptanoic acid', '(3R,5R)-7-[2-(4-Fluorophenyl)-5-isopropyl-3-phenyl-4-phenylcarbamoylpyrrol-1-yl]-3,5-dihydroxyheptanoic acid', '(3R,5R)-7-[3-(anilinocarbonyl)-5-(4-fluorophenyl)-2-isopropyl-4-phenyl-1H-pyrrol-1-yl]-3,5-dihydroxyheptanoic acid', '1H-Pyrrole-1-heptanoic acid, 2-(4-fluorophenyl)-beta,delta-dihydroxy-5-(1-methylethyl)-3-phenyl-4-((phenylamino)carbonyl)-, (betaR,deltaR)-', 'Atorvastatin (INN)', 'Sortis (TN)', 'NCGC00159458-03', 'atorvastatinum', 'rel-Atorvastatin', '7-[2-(4-FLUORO-PHENYL)-5-ISOPROPYL-3-PHENYL-4-PHENYLCARBAMOYL-PYRROL-1-YL]-3,5-DIHYDROXY-HEPTANOIC ACID', 'Atorvastatin &amp; Primycin', 'DSSTox_CID_9868', 'SCHEMBL3831', 'DSSTox_RID_78825', 'DSSTox_GSID_29868', '(3R,5R)-7-[2-(4-fluorophenyl)-3-phenyl-4-(phenylcarbamoyl)-5-propan-2-ylpyrrol-1-yl]-3,5-dihydroxyheptanoic acid', 'BIDD:GT0336', 'Atorvastatin (Relative Stereo)', 'GTPL2949', 'DTXSID8029868', 'BDBM22164', 'CTK4B9231', 'DTXSID60274003', 'HMS3715L05', 'Lipilou; Tozalip; Torvast; Cardyl', 'ACT03225', 'HY-B0589', 'ZINC3920719', 'Tox21_302417', 's5715', 'AKOS000281127', 'AC-9386', 'CCG-221172', 'CS-2798', 'DB01076', 'MCULE-2368532812', 'MRF-0000761', 'NCGC00159458-02', 'NCGC00159458-20', 'NCGC00255181-01', '7-[2-(4-FLUORO-PHENYL)-5-ISOPROPYL-3-PHENYL-4-PHENYLCARBAMOYL-PYRROL-1-YL]- 3,5-DIHYDROXY-HEPTANOIC ACID', 'AS-35260', 'BR-58267', 'H942', 'LS-136975', 'CAS-134523-00-5', 'C06834', 'D07474', 'S-2492', 'Y-8867', '28052-EP2269989A1', '28052-EP2269990A1', '28052-EP2270011A1', '28052-EP2270505A1', '28052-EP2272825A2', '28052-EP2272841A1', '28052-EP2280001A1', '28052-EP2284158A1', '28052-EP2287165A2', '28052-EP2287166A2', '28052-EP2292600A1', '28052-EP2292620A2', '28052-EP2295406A1', '28052-EP2295409A1', '28052-EP2295417A1', '28052-EP2295422A2', '28052-EP2298731A1', '28052-EP2298742A1', '28052-EP2298745A1', '28052-EP2298769A1', '28052-EP2298772A1', '28052-EP2298776A1', '28052-EP2298779A1', '28052-EP2301923A1', '28052-EP2301931A1', '28052-EP2301936A1', '28052-EP2308839A1', '28052-EP2308878A2', '28052-EP2314588A1', '523A005', 'Q668093', 'SR-01000872702', 'SR-01000872702-1', 'ATORVASTATIN;Atorvastatin calcium;Atorvastatin Calcium', 'BRD-K69726342-001-02-6', 'UNII-36TN91XZ0V component XUKUURHRXDUEBC-KAYWLYCHSA-N', '(3R,5R)-7-(2-(4-Fluorophenyl)-5-isopropyl-3-phenyl-4-(phenylcarbamoyl)-1H-pyrrol-1-yl)-3,5-dihydroxy', '(3R,5R)-7-[2-(4-fluorophenyl)-5-isopropyl-3-phenyl-4-phenylcarbamoyl-pyrrol-1-yl]-3,5-dihydroxy-heptanoic acid', '(3R,5R)-7-[3-(anilinocarbonyl)-5-(4-fluorophenyl)-4-phenyl-2-(propan-2-yl)-1H-pyrrol-1-yl]-3,5-dihydroxyheptanoic acid']</t>
  </si>
  <si>
    <t>Compound(60823)</t>
  </si>
  <si>
    <t>C33H35FN2O5</t>
  </si>
  <si>
    <t>6-chloro-4-N-ethyl-2-N-propan-2-yl-1,3,5-triazine-2,4-diamine</t>
  </si>
  <si>
    <t>['atrazine', '1912-24-9', 'Gesaprim', 'Atrazin', 'Chromozin', 'Oleogesaprim', 'Aktikon', 'Argezin', 'Atazinax', 'Atranex', 'Atrasine', 'Fenamin', 'Fenatrol', 'Gesoprim', 'Hungazin', 'Pitezin', 'Primatol', 'Primaze', 'Radazin', 'Strazine', 'Zeazine', 'Aatrex', 'Candex', 'Cyazin', 'Inakor', 'Vectal', 'Wonuk', 'Zeazin', 'Cekuzina-T', 'Actinite PK', 'Aktinit A', 'Atratol A', 'Aktikon PK', 'Aktinit PK', 'Weedex A', 'Crisatrina', 'Crisazine', 'Fenamine', 'Aatram', 'Akticon', 'Atrataf', 'Atratol', 'Griffex', 'Radizin', 'Zeapos', 'Atred', 'Atrex', 'Primatol A', 'Hungazin PK', 'Aatrex nine-O', 'Vectal SC', 'Herbatoxol', 'Zeopos', 'Triazine A 1294', 'Aatrex 4L', 'Farmco atrazine', 'Gesaprim 50', 'Aatrex 80W', 'Aneldazin', 'Gesaprin', 'Radizine', 'Azoprim', 'Maizina', 'Geigy 30,027', "1,3,5-Triazine-2,4-diamine, 6-chloro-N-ethyl-N'-(1-methylethyl)-", 'Shell atrazine herbicide', '2-Chloro-4-ethylamino-6-isopropylamino-1,3,5-triazine', 'Hungazin (VAN)', 'Aatram 20G', 'Ceasin 50', 'Crisamina', 'Farmozine', 'Laddock', 'Mebazine', 'Fogard', '2-Chloro-4-ethylamino-6-isopropylamino-s-triazine', '2-Chloro-4-ethylamineisopropylamine-s-triazine', "6-Chloro-N-ethyl-N'-(1-methylethyl)-1,3,5-triazine-2,4-diamine", '2-Ethylamino-4-isopropylamino-6-chloro-s-triazine', 'A 361', 'Aatrex 4LC', 'Atrazine [ANSI:BSI:ISO]', 'Caswell No. 063', 'Atraflow', 'Primoleo', 'Zeaphos', 'Attrex', 'Atraflow plus', 's-Triazine, 2-chloro-4-(ethylamino)-6-(isopropylamino)-', 'UNII-QJA9M5H4IM', 'G 30027', 'Radazin T', 'Atrazine 4l', 'Griffex 4l', 'Atrazine 80W', 'Azinotox 500', 'CCRIS 1025', 'HSDB 413', '1-Chloro-3-ethylamino-5-isopropylamino-s-triazine', '2-Chloro-4-(2-propylamino)-6-ethylamino-s-triazine', 'AI3-28244', 's-Triazine, 2-chloro-4-ethylamino-6-isopropylamino-', '2-Aethylamino-4-chlor-6-isopropylamino-1,3,5-triazin', '1-Chloro-3-ethylamino-5-isopropylamino-2,4,6-triazine', "6-chloro-N-ethyl-N'-isopropyl-1,3,5-triazine-2,4-diamine", 'EINECS 217-617-8', '2-Chloro-4-(ethylamino)-6-(isopropylamino)-1,3,5-triazine', '6-Chloro-N2-ethyl-N4-isopropyl-1,3,5-triazine-2,4-diamine', 'QJA9M5H4IM', '2-CHLORO-4-ISOPROPYLAMINO-6-ETHYLAMINO -1,3,5-TRIAZINE', 'EPA Pesticide Chemical Code 080803', 'NSC 163046', 'C8H14ClN5', 'BRN 0612020', '2-Chloro-4-(ethylamino)-6-(isopropylamino)-s-triazine', 'CHEBI:15930', '2-Aethylamino-4-chlor-6-isopropylamino-1,3,5-triazin [German]', '2-Aethylamino-4-isopropylamino-6-chlor-1,3,5-triazin [German]', "6-chloro-N-ethyl-N'-(propan-2-yl)-1,3,5-triazine-2,4-diamine", '6-chloro-4-N-ethyl-2-N-propan-2-yl-1,3,5-triazine-2,4-diamine', '1,3,5-Triazine-2,4-diamine, 6-chloro-N2-ethyl-N4-(1-methylethyl)-', '2-Aethylamino-4-isopropylamino-6-chlor-1,3,5-triazin', '1-Chloro-3-(ethylamino)-5-(isopropylamino)-s-triazine', '102029-43-6', '2-Chloro-4-(2-propylamino)-6-(ethylamino)-s-triazine', '6-Chloro-4-(ethylamino)-2-(isopropylamino)-s-triazine', '2-CHLORO-4-ISOPROPYLAMINO-6-ETHYLAMINO-1,3,5-TRIAZINE', 'DSSTox_CID_112', 'Atrazine-ring-UL-14C', "1,3,5-Triazine-2,4-diamine, 6-chloro-N-ethyl-N'-(1-methylethyl)- (9CI)", 'DSSTox_RID_75374', 'DSSTox_GSID_20112', 'Atrazine, analytical standard', '1-Chloro-3-(ethylamino)-5-(isopropylamino)-2,4,6-triazine', 'SMR000255992', 'CAS-1912-24-9', 'Crisazina', 'Cyazine', 'Zeapho', 'Fermco atrazine', '[4-chloro-6-(ethylamino)(1,3,5-triazin-2-yl)](methylethyl)amine', 'Primitol A', 'Oleogesaprim 200', 'Gesaprim 500', 'Atrazin_288_ p', '2-CHLORO-4-ETHYLAMINO-6-ISOPROPYLAMINO-sym-TRIAZINE', 'Spectrum_001821', 'SpecPlus_000422', '6-Chloro-N4-ethyl-N2-isopropyl-1,3,5-triazine-2,4-diamine', 'Spectrum2_001880', 'Spectrum3_000821', 'Spectrum4_000661', 'Spectrum5_001954', 'bmse000835', 'EC 217-617-8', 'Oprea1_839865', 'SCHEMBL36936', 'BSPBio_002341', 'KBioGR_001061', 'KBioSS_002326', 'SPECTRUM330029', 'MLS000389718', 'MLS001055469', 'BIDD:ER0403', 'CHEMBL15063', 'DivK1c_006518', '2-Chloro-4-(ethylamino)-6-(isopropylamino)triazine', 'SPBio_001760', '2-chloro-6-ethylamino-4-isopropylamino-1,3,5-triazine', 'DTXSID9020112', 'SCHEMBL21045984', 'CTK6F2241', 'KBio1_001462', 'KBio2_002323', 'KBio2_004891', 'KBio2_007459', 'KBio3_001841', 'HMS2541C15', 'HMS3604N05', 'BCP12774', 'HY-N7091', 'ZINC3078958', 'Atrazine 100 microg/mL in Toluene', 'Tox21_201986', 'Tox21_301021', 'ANW-42206', 'CCG-39357', 'LS-962', 'MFCD00041810', 'NSC163046', 's5171', 'SBB003393', 'STL115099', 'Atrazine 10 microg/mL in Cyclohexane', 'Atrazine 1000 microg/mL in Acetone', 'AKOS001023901', 'AM84660', 'Atrazine 10 microg/mL in Acetonitrile', 'DB07392', 'MCULE-1965771911', 'NSC-163046', 'Atrazine 100 microg/mL in Acetonitrile', 'NCGC00090784-01', 'NCGC00090784-02', 'NCGC00090784-03', 'NCGC00090784-04', 'NCGC00090784-05', 'NCGC00090784-06', 'NCGC00090784-07', 'NCGC00090784-08', 'NCGC00090784-09', 'NCGC00090784-10', 'NCGC00254923-01', 'NCGC00259535-01', 'AC-12050', 'AC-12056', 'AS-13785', 'S334', 'SC-79745', 'WLN: T6N CN ENJ BMY1&amp;1 DM2 FG', 'DB-044759', 'Atrazine, PESTANAL(R), analytical standard', 'CS-0077590', 'FT-0602866', 'FT-0662335', 'NS00000262', 'ST50112804', 'C06551', 'J10310', '33270-EP2274983A1', '33270-EP2305655A2', '33270-EP2305658A1', '33270-EP2305662A1', '33270-EP2311815A1', '33270-EP2371823A1', '029A436', 'A813475', 'AG-668/02857017', 'Q408652', '2-Aethylamino-4-chlor-6-isopropylamino-1,5-triazin', '2-chloro-4-ethyl-amino-6-isopropylamino-s-triazine', 'J-012357', 'Atrazine, certified reference material, TraceCERT(R)', 'BRD-K45535217-001-02-2', '1-Chloro-3-(ethylamino)-5-(isopropylamino)-2,6-triazine', '2-Chloro-4-(ethylamino)-6-(isopropylamino)-1,5-triazine', 'Atrazine solution 1000 mug/mL in methyl tert-butyl ether', "1,5-Triazine-2,4-diamine, 6-chloro-N-ethyl-N'-(1-methylethyl)-", '6-chloranyl-N4-ethyl-N2-propan-2-yl-1,3,5-triazine-2,4-diamine', "6-Chloro-N-ethyl-N'-(1-methylethyl)-1,5-triazine-2,4-diamine", '6-chloro-N2-ethyl-N4-(propan-2-yl)-1,3,5-triazine-2,4-diamine', '6-chloro-N4-ethyl-N2-propan-2-yl-1,3,5-triazine-2,4-diamine', 'N-[4-chloro-6-(ethylamino)-1,3,5-triazin-2-yl]-N-isopropylamine', 'N2-ETHYL-N4-ISOPROPYL-6-CHLORO-1,3,5-TRIAZINE-2,4-DIAMINE', '6-Chloro-N~2~-ethyl-N~4~-(propan-2-yl)-1,3,5-triazine-2,4-diamine', '6-chloro-4-N-ethyl-2-N-(propan-2-yl)-1,2,3,4-tetrahydro-1,3,5-triazine-2,4-diimine', 'Atrazine solution, 100 mug/mL in methanol, PESTANAL(R), analytical standard', 'Atrazine solution, certified reference material, 1000 mug/mL in methyl tert-butyl ether', '93616-39-8']</t>
  </si>
  <si>
    <t>Compound(2256)</t>
  </si>
  <si>
    <t>C8H14ClN5</t>
  </si>
  <si>
    <t>azobenzene</t>
  </si>
  <si>
    <t>diphenyldiazene</t>
  </si>
  <si>
    <t>['azobenzene', '103-33-3', 'Diphenyldiazene', 'Diazene, diphenyl-', '(E)-Diphenyldiazene', '1,2-Diphenyldiazene', 'Azobisbenzene', 'Diazobenzene', 'Azofume', 'Azodibenzeneazofume', 'Diphenyldiimide', 'Azobenzide', 'Azobenzol', 'Benzofume', 'Benzeneazobenzene', '(e)-azobenzene', 'Azobenzeen', 'Azodibenzene', 'Benzene, azobis-', '(E)-1,2-Diphenyldiazene', 'Azobenzen', 'cis-Azobenzene', 'Diazene, 1,2-diphenyl-', 'trans-Azobenzene', 'Benzene, azodi', '(Z)-Azobenzene', 'USAF EK-704', 'Azobenzeen [Dutch]', 'NCI-C02926', 'Caswell No. 064', 'ENT 14,611', 'Benzene, azodi-', 'UNII-F0U1H6UG5C', '(E)-azobenzol', '(E)-azodibenzene', 'NSC 2102', 'CCRIS 65', '(E)-azobisbenzene', 'Diazene, diphenyl-, (E)-', 'Azobenzene, 98%', 'HSDB 1513', 'EINECS 203-102-5', 'EPA Pesticide Chemical Code 007401', 'BRN 0742609', 'F0U1H6UG5C', 'AI3-14611', 'CHEBI:58996', 'CHEBI:58997', 'CHEBI:190358', 'MFCD00003022', '1080-16-6', '17082-12-1', 'DSSTox_CID_123', 'DSSTox_RID_75385', 'DSSTox_GSID_20123', 'diphenyl diimide', 'CAS-103-33-3', 'Azobenzene, (E)-', 'Diazene, diphenyl-, (Z)-', 'E/Z-Azobenzene', '(Z)-azobenzol', '(Z)-azodibenzene', '(Z)-azobisbenzene', 'Azobenzene, 96%', '(Z)-diphenyldiazene', '4-(phenylazo)benzene', '(E)-diphenyl-diazene', 'Spectrum_001987', 'WLN: RNUNR', 'Spectrum2_001433', 'Spectrum3_001476', 'Spectrum4_000448', 'Spectrum5_001109', 'ACMC-1C4VK', 'SCHEMBL32032', 'BSPBio_003031', 'KBioGR_000836', 'KBioSS_002553', '1-16-00-00218 (Beilstein Handbook Reference)', 'KSC177G1F', 'CHEMBL58835', 'DivK1c_000502', 'SCHEMBL565791', 'SPECTRUM1501172', 'SPBio_001566', 'Azobenzene, analytical standard', 'Azobenzene (Bumadizone artifact)', 'CHEMBL3039456', 'CHEMBL3184266', 'DTXSID8020123', 'CTK0H7312', 'HMS501J04', 'KBio1_000502', 'KBio2_002544', 'KBio2_005112', 'KBio2_007680', 'KBio3_002531', 'NSC2102', 'NINDS_000502', 'BDBM115180', 'HMS1921N05', 'HY-B2127', 'KS-000014FC', 'NSC-2102', 'ZINC3871618', 'Tox21_201458', 'Tox21_300495', 'ANW-14890', 'CCG-39013', 'LS-362', 'STL283927', 'ZINC12358663', 'AKOS015903807', 'AKOS016042359', 'ZINC100005624', 'CS-6935', 'MCULE-3504085417', 'NE10253', 'IDI1_000502', 'NCGC00091871-01', 'NCGC00091871-02', 'NCGC00091871-03', 'NCGC00091871-04', 'NCGC00091871-05', 'NCGC00091871-06', 'NCGC00094554-01', 'NCGC00094554-02', 'NCGC00094554-03', 'NCGC00254531-01', 'NCGC00259009-01', 'AS-48863', 'A0565', 'FT-0622525', 'NS00010852', 'ST50826964', 'Azobenzene, PESTANAL(R), analytical standard', 'EN300-83247', 'C19334', 'Q410056', 'J-000939', 'Q27126386', 'Q27444428']</t>
  </si>
  <si>
    <t>Compound(2272)</t>
  </si>
  <si>
    <t>C12H10N2</t>
  </si>
  <si>
    <t>azaconazole</t>
  </si>
  <si>
    <t>1-[[2-(2,4-dichlorophenyl)-1,3-dioxolan-2-yl]methyl]-1,2,4-triazole</t>
  </si>
  <si>
    <t>['AZACONAZOLE', '60207-31-0', 'Madurox', 'Azaconazol', '1-((2-(2,4-Dichlorophenyl)-1,3-dioxolan-2-yl)methyl)-1H-1,2,4-triazole', 'Azaconazolum', 'Azoconozole', 'Azaconazole [ANSI]', 'Azoconazole', 'Azaconazole [USAN:INN]', 'Azaconazol [INN-Spanish]', 'Azaconazolum [INN-Latin]', 'UNII-45683D94EU', 'EINECS 262-102-3', 'R 28644', 'BRN 0822252', '1-[[2-(2,4-dichlorophenyl)-1,3-dioxolan-2-yl]methyl]-1,2,4-triazole', 'C12H11Cl2N3O2', 'CHEBI:81898', '45683D94EU', 'NCGC00166311-01', '1H-1,2,4-Triazole, 1-((2-(2,4-dichlorophenyl)-1,3-dioxolan-2-yl)methyl)', '1H-1,2,4-Triazole, 1-[[2-(2,4-dichlorophenyl)-1,3-dioxolan-2-yl]methyl]-', 'DSSTox_CID_21613', 'DSSTox_RID_79786', 'DSSTox_GSID_41613', 'R-28644', 'W-105272', '1H-1,2,4-Triazole, 1-((2-(2,4-dichlorophenyl)-1,3-dioxolan-2-yl)methyl)-', 'CAS-60207-31-0', 'Rodewod', '1-{[2-(2,4-dichlorophenyl)-1,3-dioxolan-2-yl]methyl}-1H-1,2,4-triazole', '1-[2-(2,4-Dichlorophenyl)-1,3-dioxolan-2-ylmethyl]-1H-1,2,4-triazole', 'Azaconazole Peak 1', 'Azaconazole (USAN/INN)', 'SCHEMBL21056', 'ZINC975', '5-26-01-00204 (Beilstein Handbook Reference)', 'CHEMBL261627', 'DTXSID3041613', 'CTK5B1126', 'Tox21_112407', 'Tox21_301852', 'BDBM50375305', 'AKOS015901790', 'Azaconazole 100 microg/mL in Methanol', 'Azaconazole 10 microg/mL in Cyclohexane', 'NCGC00255470-01', 'Azaconazole 10 microg/mL in Acetonitrile', 'CC-24212', 'L993', 'AX8114875', 'DB-053555', 'LS-155942', 'FT-0602857', 'NS00001037', 'Azaconazole, PESTANAL(R), analytical standard', 'C18701', 'D03023', '207A310', 'C-18737', 'SR-01000883713', 'R-28,644', 'SR-01000883713-1', 'Q15632846', '1-{1-[2-(2,4-Dichlorophenyl)-1,3-dioxolan-2-yl]ethan-2-yl}-1H-1,2,4-triazole', '1H-1,2,4-Triazole,1-[[2-(2,4-dichlorophenyl)-1,3-dioxolan-2-yl]methyl]-']</t>
  </si>
  <si>
    <t>Compound(43233)</t>
  </si>
  <si>
    <t>C12H11Cl2N3O2</t>
  </si>
  <si>
    <t>dimethyl (1S,4S,5R,6S,7S,8R,11S,12R,14S,15R)-12-acetyloxy-4,7-dihydroxy-6-[(1S,2S,6S,8S,9R,11S)-2-hydroxy-11-methyl-5,7,10-trioxatetracyclo[6.3.1.02,6.09,11]dodec-3-en-9-yl]-6-methyl-14-[(E)-2-methylbut-2-enoyl]oxy-3,9-dioxatetracyclo[6.6.1.01,5.011,15]pentadecane-4,11-dicarboxylate</t>
  </si>
  <si>
    <t>['azadirachtin', 'Azadirachtin A', 'bioneem', 'NeemAzal', 'Azadirachtin-A', 'UNII-O4U1SAF85H', 'O4U1SAF85H', 'CHEBI:2942', 'HSDB 7372', 'EPA Pesticide Chemical Code 121701', 'NSC 368675', 'Neemix', 'Nimbicidine', 'Nimurin', 'Ornazin', 'Azatin', 'Suneem', 'Align', 'Azadirachtin A+B', 'dimethyl acetoxy-dihydroxy-[hydroxy(methyl)[?]yl]-methyl-[(E)-2-methylbut-2-enoyl]oxy-[?]dicarboxylate', 'AZADIRACTIN', 'SCHEMBL27784', 'CCIRS 9142', 'CCRIS 9142', 'CHEMBL509309', 'DTXSID0037497', 'ZINC8221317', 'C35H44O16', 'LMPR0106100001', 'NCGC00163746-01', 'LS-95268', 'HY-126741', 'CS-0107060', 'C08748', '97646-EP2275422A1', '97646-EP2292608A1', '97646-EP2305662A1', 'Q793471', "1H,7H-Naphtho(1,8-bc:4,4a-c')difuran-5,10a(8H)-dicarboxylic acid, 10-(acetyloxy)octahydro-3,5-dihydroxy-4-methyl-8-(((2E)-2-methyl-1-oxo-2-butenyl)oxy)-4-((1aR,2S,3aS,6aS,7S,7aS)-3a,6a,7,7a-tetrahydro-6a-hydroxy-7a-methyl-2,7-methanofuro(2,3-b)oxireno(e)oxepin-1a(2H)-yl)-, dimethyl ester, (2aR,3S,4S,4aR,5S,7aS,8S,10R,10aS,10bR)-", "dimethyl (2aR,3S,4S,4aR,5S,7aS,8S,10R,10aS,10bR)-10-acetoxy-3,5-dihydroxy-4-[(1aR,2S,3aS,6aS,7S,7aS)-6a-hydroxy-7a-methyl-3a,6a,7,7a-tetrahydro-2,7-methanofuro[2,3-b]oxireno[e]oxepin-1a(2H)-yl]-4-methyl-8-{[(2E)-2-methylbut-2-enoyl]oxy}octahydro-1H-naphtho[1,8a-c:4,5-b'c']difuran-5,10a(8H)-dicarboxylate"]</t>
  </si>
  <si>
    <t>Compound(5281303)</t>
  </si>
  <si>
    <t>C35H44O16</t>
  </si>
  <si>
    <t>4-[(4-chlorophenyl)methyl]-2-(1-methylazepan-4-yl)phthalazin-1-one</t>
  </si>
  <si>
    <t>['azelastine', '58581-89-8', 'Azelastina', 'Azelastinum', 'Astelin', 'Azelastinum [INN-Latin]', 'Azelastina [INN-Spanish]', '4-(4-chlorobenzyl)-2-(1-methylazepan-4-yl)phthalazin-1(2H)-one', 'Azelastine [INN:BAN]', '4-(p-Chlorobenzyl)-2-(hexahydro-1-methyl-1H-azepin-4-yl)-1-(2H)-phthalazinone', '4-[(4-chlorophenyl)methyl]-2-(1-methylazepan-4-yl)phthalazin-1-one', 'CHEMBL639', 'BRN 0900747', 'C22H24ClN3O', 'CHEBI:2950', 'Optilast', '4-[(4-chlorophenyl)methyl]-2-(1-methylazepan-4-yl)phthalazin-1(2H)-one', '4-((4-Chlorophenyl)methyl)-2-(hexahydro-1-methyl-1H-azepin-4-yl)-1(2H)-phthalazinone hydrochloride', 'A-5610', '1(2H)-Phthalazinone, 4-((4-chlorophenyl)methyl)-2-(hexahydro-1-methyl-1H-azepin-4-yl)-', 'Azelastine (INN)', 'Optivar (TN)', 'Azelastin', 'rac-Azelastine', 'HSDB 7991', '(+-)-Azelastine', 'Spectrum2_000649', 'Spectrum3_001984', 'SCHEMBL4239', 'BSPBio_003584', 'SPBio_000657', 'GTPL7121', 'DTXSID6022638', 'CTK5A8556', 'HY-B0462A', 'KBio3_002992', 'ALBB-022465', 'BCP14047', 'ZX-AN038050', 'Tox21 111469', 'BDBM50341448', 'STL429828', '4-(p-chlorobenzyl)-2-(N-methylperhydroazepinyl-(4))-1-(2H)-phthalazinone', 'AKOS015894880', 'API0001571', 'CS-2883', 'DB00972', 'NCGC00177979-01', 'NCGC00177979-02', 'NCGC00177979-03', 'AK115705', 'SC-26327', 'SBI-0206747.P001', 'AB0010675', 'AX8041824', 'DS-002751', 'LS-109214', 'FT-0602900', 'FT-0659364', 'FT-0662382', 'R2740', '81A898', 'C07768', 'D07483', 'AB00698544-09', 'AB00698544-11', 'AB00698544_12', 'AB00698544_13', 'L001153', 'Q419820', 'BRD-A68888262-003-02-9', 'BRD-A68888262-003-07-8', '4-[(4-chlorophenyl)methyl]-2-(1-methylazepan-4-yl)-1,2-dihydrophthalazin-1-one', '1(2H)-phthalazinone, 4-[(4-chlorophenyl)methyl]-2-(hexahydro-1-methyl-1H-azepin-4-yl)-, hydrochloride', '1(2H)-phthalazinone,4-[(4-chlorophenyl)methyl]-2-[(4s)-hexahydro-1-methyl-1h-azepin-4-yl]-', '4-((4-chlorophenyl)methyl)-2- (hexahydro-1-methyl-1H-azepin-4-yl)-1(2H)- phthalazinone HCl', '4-(p-chlorobenzyl)-2-(hexahydro-1-methyl-1h-azepin-4-yl)-1-(2h)-phthalazinon;Azelastine;azelastine;AZELASTINE HYDROCHLORIDE']</t>
  </si>
  <si>
    <t>Compound(2267)</t>
  </si>
  <si>
    <t>C22H24ClN3O</t>
  </si>
  <si>
    <t>azamethiphos</t>
  </si>
  <si>
    <t>6-chloro-3-(dimethoxyphosphorylsulfanylmethyl)-[1,3]oxazolo[4,5-b]pyridin-2-one</t>
  </si>
  <si>
    <t>['Azamethiphos', '35575-96-3', 'Ciba-Geigy 18809', 'Azamethiphos [BAN]', 'CGA 18809', 'Azamethiophos', 'OMS No 1825', 'C9H10ClN2O5PS', 'UNII-9440R8149U', 'EINECS 252-626-0', 'BRN 1086470', '6-Chloro-3-dimethoxyphosphinoylthiomethyl-1,3-oxazolo(4,5-b)pyridin-2(3H)-one', 'AI3-29129', 'S-((6-Chloro-2-oxooxazolo(4,5-b)pyridin-3(2H)-yl)methyl) O,O-dimethylphosphorothioate', 'S-[(6-Chloro-2-oxooxazolo[4,5-b]pyridin-3(2H)-yl)methyl] O,O-dimethyl thiophosphate', 'S-6-Chloro-2,3-dihydro-2-oxo-1,3-oxazolo(4,5-b)pyridin-3-ylmethyl O,O-dimethyl phosphorothioate', 'CHEBI:38578', 'Azamethiphos (BAN)', 'S-((6-Chloro-2-oxooxazolo[4,5-b]pyridin-3(2H)-yl)methyl) O,O-dimethyl phosphorothioate', 'S-((6-Chloro-2,3-dihydro-2-oxo-1,3-oxazolo-(4,5-b)pyridin-3-yl)methyl) O,O-dimethyl phosphorothioate', 'AK327206', '9440R8149U', 'S-[(6-chloro-2-oxo[1,3]oxazolo[4,5-b]pyridin-3(2H)-yl)methyl] O,O-dimethyl phosphorothioate', 'S-[(6-Chloro-2-oxo[1,3]oxazolo[4,5-b]pyridin-3(2H)-yl)methyl] o,o-dimethyl thiophosphate', 'Thiophosphorsaeure-O,O-dimethyl-S-(6-chlor-oxazolo(4,5-b)pyridin-2(3H)-on-3-yl)methyl-ester', 'Phosphorothioic acid, S-((6-chloro-2-oxooxazolo(4,5-b)pyridin-3(2H)-yl)methyl) O,O-dimethyl ester', 'Phosphorothioic acid, S-[(6-chloro-2-oxooxazolo[4,5-b]pyridin-3(2H)-yl)methyl] O,O-dimethyl ester', '6-chloro-3-(dimethoxyphosphorylsulfanylmethyl)-[1,3]oxazolo[4,5-b]pyridin-2-one', 'S-((6-Chloro-2-oxooxazolo(4,5-b)pyridin-3(2H)-yl)methyl) O,O-dimethyl thiophosphate', 'Phosphorothioic acid,S-[(6-chloro-2-oxooxazolo[4,5-b]pyridin-3(2H)-yl)methyl] O,O-dimethylester', 'Azamethphos', 'Rubidor', 'S-[(6-Chloro-2-oxooxazolo[4,5-b]pyridin-3(2H)-yl)methyl] O,O-dimethylphosphorothioate', 'Actogard (TN)', 'Alfacron 10WP', 'Phosphorothioic acid, S-{(6-chloro-2-oxooxazolo(4,5-b}pyridin-3(2H)-yl}methyl} O,O-dimethyl ester', 'PubChem8524', 'DSSTox_CID_14818', 'DSSTox_RID_79206', 'DSSTox_GSID_34818', 'SCHEMBL26987', 'MLS004712087', 'CHEMBL1867031', 'DTXSID9034818', 'KS-00000JBJ', 'OMS-NO-1825', 'BCP17038', 'ZINC1999379', 'Tox21_301009', 'CGA-18809', 'MFCD00867611', 's5085', 'AKOS015994780', 'CCG-267754', 'KS-5122', 'ACM35575963', 'Azamethiphos 100 microg/mL in Methanol', 'S-6-chloro-2-oxooxazol(4,5-6)-pyridin-3-yl methyl O,O-dimethylphosphorothioate', 'NCGC00163926-01', 'NCGC00163926-02', 'NCGC00163926-03', 'NCGC00254911-01', 'CC-24213', 'I004', 'OR315031', 'SC-03787', 'SMR000778046', 'ACM1189894027', 'CAS-35575-96-3', 'DB-048839', 'HY-114899', 'LS-108475', 'CS-0064599', 'FT-0602910', 'FT-0662369', 'NS00002218', 'C18702', 'D07479', 'Azamethiphos, PESTANAL(R), analytical standard', '575A963', 'C-19822', 'Q793533', 'S-(6-chloro-2-oxooxazolo[4,5-b]pyridin-3(2H)-yl)methyl O,O-dimethyl phosphorothioate', 'Azamethiphos / S-[(6-chloro-2-oxooxazolo[4,5-b]pyridin-3(2H)-yl)methyl] O,O-dimethyl thiophosphate', 'Azamethiphos;S-[(6-chloro-2-oxooxazolo[4,5-b]pyridin-3(2H)-yl)methyl] O,O-dimethyl thiopho- sphate/Azamethiphos', 'Phosphorothioic acid, S-((6-chloro-2-oxooxazolo(4,5-b)pyridin-3(2H)-yl)methyl)O,O-dimethyl ester', 'S-[(6-Chloro-2-oxo[1,3]oxazolo[4,5-b]pyridin-3(2H)-yl)methyl] O,O-dimethyl thiophosphate #', 'S-[(6-chloro-2-oxooxazolo[4,5-b]pyridin-3(2H)-yl)methyl] O,O-dimethyl thiopho- sphate/Azamethiphos']</t>
  </si>
  <si>
    <t>Compound(71482)</t>
  </si>
  <si>
    <t>C9H10ClN2O5PS</t>
  </si>
  <si>
    <t>methyl (E)-2-[2-[6-(2-cyanophenoxy)pyrimidin-4-yl]oxyphenyl]-3-methoxyprop-2-enoate</t>
  </si>
  <si>
    <t>['Azoxystrobin', '131860-33-8', 'Amistar', 'Bankit', 'Heritage', 'Quadris', 'Icia-5504', 'UNII-NYH7Y08IPM', 'HSDB 7017', 'TCMDC-125883', 'ICI-A 5504', 'NYH7Y08IPM', 'EINECS Annex I Index 607-256-00-X', 'CHEBI:40909', 'C22H17N3O5', 'methyl (2E)-2-(2-{[6-(2-cyanophenoxy)pyrimidin-4-yl]oxy}phenyl)-3-methoxyprop-2-enoate', 'NCGC00163818-04', 'Methyl (E)-2-(2-(6-(2-cyanopheoxy)pyrimidin-4-yloxy)phenyl)-3-methoxypropenoate', 'methyl (E)-2-[2-[6-(2-cyanophenoxy)pyrimidin-4-yl]oxyphenyl]-3-methoxy-prop-2-enoate', 'methyl (E)-2-[2-[6-(2-cyanophenoxy)pyrimidin-4-yloxy]phenyl]-3-methoxyacrylate', 'Benzeneacetic acid, 2-((6-(2-cyanophenoxy)-4-pyrimidinyl)oxy)-alpha-(methoxymethylene)-, methyl ester, (E)-', 'Benzeneacetic acid, 2-[[6-(2-cyanophenoxy)-4-pyrimidinyl]oxy]-alpha-(methoxymethylene)-, methyl ester, (alphaE)-', 'methyl (E)-2-[2-[6-(2-cyanophenoxy)pyrimidin-4-yl]oxyphenyl]-3-methoxyprop-2-enoate', '(alphaE)-2-[[6-(2-cyanophenoxy)-4-pyrimidinyl]oxy]-alpha-(methoxymethylene) benzeneacetic acid methyl ester', 'Azoxystrobin [ISO]', 'METHYL (2Z)-2-(2-{[6-(2-CYANOPHENOXY)PYRIMIDIN-4-YL]OXY}PHENYL)-3-METHOXYACRYLATE', 'azoxystrobin (ISO);azoxystrobin', 'Icia 5504', 'Azoxystrobine x', '1sqb', 'methyl (2E)-2-(2-{[6-(2-cyanophenoxy)pyrimidin-4-yl]oxy}phenyl)-3-methoxyacrylate', 'methyl (E)-2-{2-[6-(2-cyanophenoxy)pyrimidin-4-yloxy]phenyl}-3-methoxyacrylate', '215934-32-0', 'Benzeneacetic acid, 2-((6-(2-cyanophenoxy)-4-pyrimidinyl)oxy)-alpha-(methoxymethylene)-, methyl ester, (alphaE)-', 'Azoxystrobin_89_ p', 'DSSTox_CID_12520', 'DSSTox_RID_78966', 'DSSTox_GSID_32520', 'SCHEMBL18823', 'SCHEMBL55087', 'BEN380', 'CHEMBL230001', 'DTXSID0032520', 'DNDI1511705', 'HY-B0849', 'Tox21_400087', 'ZINC13827839', 'AKOS015900562', 'DB07401', 'KS-5365', 'NCGC00163818-01', 'NCGC00163818-02', 'NCGC00163818-03', 'NCGC00163818-05', 'AC-24498', 'Azoxystrobin 10 microg/mL in Cyclohexane', 'LS-28710', 'O662', 'SC-24628', 'AB0016582', 'CAS-131860-33-8', 'CS-0012863', 'NS00009778', 'C18558', 'J90052', 'K-4132', 'Azoxystrobin, PESTANAL(R), analytical standard', '860A338', 'A806322', 'C-21771', 'J-006072', 'J-519625', 'Q2013860', 'Azoxystrobin, certified reference material, TraceCERT(R)', '(E)-methyl 2-(2-(6-(2-cyanophenoxy)pyrimidin-4-yloxy)phenyl)-3-methoxyacrylate', '(E)-methyl 2-[2-(6- (2-cyanophenoxy)pyrimidin-4-yloxy)phenyl]-3-methoxypropenoate', '(E)-methyl 2-[2-(6-(2-cyanophenoxy)pyrimidin-4-yloxy)pheny]-3-methoxypropenoate', '(E)-methyl 2-[2-(6-(2-cyanophenoxy)pyrimidin-4-yloxy)phenyl]-3-methoxypropenoate', 'Methyl (2E)-2-(2-{[6-(2-cyanophenoxy)-4-pyrimidinyl]oxy}phenyl)-3-methoxyacrylate', 'methyl (E)-2-{2-[6-(2-cyano-phenoxy)pyrimidin-4-yloxy]phenyl}-3-methoxyacrylate', '(E)-2-[2-[[6-(2-cyanophenoxy)-4-pyrimidinyl]oxy]phenyl]-3-methoxy-2-propenoic acid methyl ester', 'Benzeneacetic acid, 2-[[6-(2-cyanophenoxy)-4-pyrimidinyl]oxy]-|A-(methoxymethylene)-, methyl ester, (|AE)-']</t>
  </si>
  <si>
    <t>Compound(3034285)</t>
  </si>
  <si>
    <t>C22H17N3O5</t>
  </si>
  <si>
    <t>4-azido-6-methylsulfanyl-N-propan-2-yl-1,3,5-triazin-2-amine</t>
  </si>
  <si>
    <t>['AZIPROTRYNE', 'Aziprotryn', 'Mesoranil', 'Azeprotyrne', 'Azirpotryne', 'Brasoran', 'Brassoron', 'Mezaronil', 'Mezuron', '4658-28-0', 'Ciba C 7019', 'Caswell No. 063B', 'Aziprotryne [BSI:ISO]', 'UNII-FB6H0KNM39', '1,3,5-Triazin-2-amine, 4-azido-N-(1-methylethyl)-6-(methylthio)-', '2-Azido-4-isopropylamino-6-methylthio-1,3,5-triazine', 's-Triazine, 2-azido-4-(isopropylamino)-6-(methylthio)-', 'EINECS 225-101-9', 'C 7019', '2-Azido-4-isopropylamino-6-methylthio-s-triazine', 'EPA Pesticide Chemical Code 263301', 'FB6H0KNM39', 'CHEBI:82221', '4-Azido-N-(1-methylethyl)-6-(methylthio)-1,3,5-triazin-2-amine', 'Isopropylamino-4-azido-6-methylthio-1,3,5-triazin', '4-Azido-N-isopropyl-6-methylthio-1,3,5-triazin-2-ylamine', 'Isopropylamino-4-azido-6-methylthio-1,3,5-triazin [German]', '4-azido-6-(methylsulfanyl)-N-(propan-2-yl)-1,3,5-triazin-2-amine', '4-azido-6-methylsulfanyl-N-propan-2-yl-1,3,5-triazin-2-amine', 'DSSTox_CID_21615', 'DSSTox_RID_79787', 'DSSTox_GSID_41615', 'Brasoran 50 WP (Salt/Mix)', 'CHEMBL3185330', 'DTXSID3041615', 'CTK8F7891', 'Tox21_301004', 'ZINC13563396', 'NCGC00160368-01', 'NCGC00160368-02', 'NCGC00254906-01', 'CAS-4658-28-0', 'LS-155086', 'NS00004576', 'Aziprotryne, PESTANAL(R), analytical standard', 'C19099', '83406-EP2305655A2', '83406-EP2371823A1', 'Q22712733', '4-AZIDO-N-ISOPROPYL-6-(METHYLSULFANYL)-1,3,5-TRIAZIN-2-AMINE']</t>
  </si>
  <si>
    <t>Compound(3032472)</t>
  </si>
  <si>
    <t>C7H11N7S</t>
  </si>
  <si>
    <t>1-(4,6-dimethoxypyrimidin-2-yl)-3-[2-methyl-4-(2-methyltetrazol-5-yl)pyrazol-3-yl]sulfonylurea</t>
  </si>
  <si>
    <t>['Azimsulfuron', '120162-55-2', 'Azimsulfuron [ISO]', 'DPX 47', 'DPX-A 8947', 'IN-A 894', 'UNII-R959I3139C', 'A8947', 'A 8947', 'A-8947', 'R959I3139C', 'N-(((4,6-Dimethoxy-2-pyrimidinyl)amino)carbonyl)-1-methyl-4-(2-methyl-2H-tetrazol-5-yl)-1H-pyrazole-5-sulfonamide', '1-(4,6-dimethoxypyrimidin-2-yl)-3-[2-methyl-4-(2-methyltetrazol-5-yl)pyrazol-3-yl]sulfonylurea', '1H-Pyrazole-5-sulfonamide, N-[[(4,6-dimethoxy-2-pyrimidinyl)amino]carbonyl]-1-methyl-4-(2-methyl-2H-tetrazol-5-yl)-', '1H-Pyrazole-5-sulfonamide, N-(((4,6-dimethoxy-2-pyrimidinyl)amino)carbonyl)-1-methyl-4-(2-methyl-2H-tetrazol-5-yl)-', 'Gulliver', 'C13H16N10O5S', 'n-[[(4,6-dimethoxy-2-pyrimidinyl)amino]carbonyl]-1-methyl-4-(2-methyl-2h-tetrazol-5-yl)-1h-pyrazole-5-sulfonamide', 'SCHEMBL55386', 'DTXSID8041614', 'CHEBI:81746', 'IN-A8947', 'ZINC31318699', 'AKOS015903616', 'AK129198', 'CC-24226', 'N-{[(4,6-Dimethoxy-2-pyrimidinyl)amino]carbonyl}-1-methyl-4-(2-methyl-H-tetrazol-5-yl)-1H-pyrazole-5-sulfonamide', 'O428', 'AX8114949', 'DB-041535', 'LS-128559', 'FT-0602896', 'NS00002919', 'C18438', 'Azimsulfuron, PESTANAL(R), analytical standard', '162A552', 'C-22128', 'J-004270', 'Q2615291', '1-(4,6-Dimethoxy-2-pyrimidinyl)-3-[[1-methyl-4-(2-methyl-2H-tetrazol-5-yl)pyrazol-5-yl]sulfonyl]urea', '1-(4,6-dimethoxypyrimidin-2-yl)-3-[1-methyl-4-(2-methyl-2H-1,2,3,4-tetrazol-5-yl)-1H-pyrazole-5-sulfonyl]urea', '1-(4,6-dimethoxypyrimidin-2-yl)-3-[1-methyl-4-(2-methyl-2H-tetrazol-5-yl)pyrazol-5-ylsulfonyl]urea', '1-(4,6-dimethoxypyrimidin-2-yl)-3-[1-methyl-4-(2-methyl-2H-tetrazol-5-yl)pyrazol-5-ylsulfonyl]urea;A 8947', '3-(4,6-dimethoxypyrimidin-2-yl)-1-[2-methyl-4-(2-methyltetrazol-5-yl)pyrazol-3-yl]sulfonylurea', 'N-(4,6-dimethoxypyrimidin-2-ylcarbamoyl)-1-methyl-4-(2-methyl-2H-tetrazol-5-yl)-1H-pyrazole-5-sulfonamide', 'N-[(4,6-dimethoxypyrimidin-2-yl)carbamoyl]-1-methyl-4-(2-methyl-2H-tetrazol-5-yl)-1H-pyrazole-5-sulfonamide', 'N-[[(4,6-Dimethoxy-2-pyrimidinyl)amino]carbonyl]-1-methyl-4-(2-methyl-2H-tetrazol-5-yl)-1H-pyrazole-5-sulfonamide, 9CI']</t>
  </si>
  <si>
    <t>Compound(86355)</t>
  </si>
  <si>
    <t>C13H16N10O5S</t>
  </si>
  <si>
    <t>azithromycin</t>
  </si>
  <si>
    <t>(2R,3S,4R,5R,8R,10R,11R,12S,13S,14R)-11-[(2S,3R,4S,6R)-4-(dimethylamino)-3-hydroxy-6-methyloxan-2-yl]oxy-2-ethyl-3,4,10-trihydroxy-13-[(2R,4R,5S,6S)-5-hydroxy-4-methoxy-4,6-dimethyloxan-2-yl]oxy-3,5,6,8,10,12,14-heptamethyl-1-oxa-6-azacyclopentadecan-15-one</t>
  </si>
  <si>
    <t>['azithromycin', 'Zithromax', '83905-01-5', 'Sumamed', 'Zitromax', 'Zmax', 'Azithromycine', 'Azithromycinum', 'Azitrocin', 'Hemomycin', 'Azasite', 'Azenil', 'Azitromax', 'Misultina', 'Mixoterin', 'Zithrax', 'Zitrotek', 'Aziwok', 'Aztrin', 'Setron', 'Tromix', 'Zitrim', 'Tobil', 'Zifin', 'Zeto', 'Zmas', 'Azithromycine [French]', 'Azithromycinum [Latin]', 'AZITHROMYCIN DIHYDRATE', 'Zithromax IV', 'CP-62993', 'Z-Pak', 'Aritromicina [Spanish]', 'CP 62993', 'UNII-J2KLZ20U1M', 'DRG-0104', 'C38H72N2O12', 'CCRIS 1961', 'HSDB 7205', 'Azithromycin (anhydrous)', 'BRN 5387583', 'J2KLZ20U1M', 'Azythromycin', 'CHEBI:2955', 'Azithromycin (AIDS Initiative)', 'XZ-450', '9-Deoxo-9a-aza-9a-methyl-9a-homoerythromycin A', 'Azithromycin [USAN:INN:BAN]', 'NCGC00090753-01', 'Aritromicina', 'Azithromycin hydrate', 'DSSTox_CID_10760', 'DSSTox_RID_78858', 'Azithramycine', 'DSSTox_GSID_30760', '(2R,3S,4R,5R,8R,10R,11R,12S,13S,14R)-11-(((2S,3R,4S,6R)-4-(dimethylamino)-3-hydroxy-6-methyltetrahydro-2H-pyran-2-yl)oxy)-2-ethyl-3,4,10-trihydroxy-13-(((2R,4R,5S,6S)-5-hydroxy-4-methoxy-4,6-dimethyltetrahydro-2H-pyran-2-yl)oxy)-3,5,6,8,10,12,14-heptamethyl-1-oxa-6-azacyclopentadecan-15-one', '(2R,3S,4R,5R,8R,10R,11R,12S,13S,14R)-13-((2,6-Dideoxy-3-C-methyl-3-O-methyl-alpha-L-ribo-hexopyranosyl)oxy)-2-ethyl-3,4,10-trihydroxy-3,5,6,8,10,12,14-heptamethyl-11-((3,4,6-trideoxy-3-(dimethylamino)-beta-D-xylo-hexopyranosyl)oxy)-1-oxa-6-azacyclopentadecan-15-one', '(2R,3S,4R,5R,8R,10R,11R,12S,13S,14R)-2-ethyl-3,4,10-trihydroxy-3,5,6,8,10,12,14-heptamethyl-15-oxo-11-{[3,4,6-trideoxy-3-(dimethylamino)-beta-D-xylo-hexopyranosyl]oxy}-1-oxa-6-azacyclopentadecan-13-yl 2,6-dideoxy-3-C-methyl-3-O-methyl-alpha-L-ribo-hexopyranoside', '1-Oxa-6-azacyclopentadecan-15-one, 13-((2,6-dideoxy-3-C-methyl-3-O-methyl-alpha-L-ribo-hexopyranosyl)oxy)-2-ethyl-3,4,10-trihydroxy-3,5,6,8,10,12,14-heptamethyl-11-((3,4,6-trideoxy-3-(dimethylamino)-beta-D-xylo-hexopyranosyl)oxy)-, (2R-(2R*,3S*,4R*,5R*,8R*,10R*,11R*,12S*,13S*,14R*))-', 'Azitromicine', 'Trulimax', 'Zentavion', '(2R,3S,4R,5R,8R,10R,11R,12S,13S,14R)-11-{[(2S,3R,4S,6R)-4-(dimethylamino)-3-hydroxy-6-methyloxan-2-yl]oxy}-2-ethyl-3,4,10-trihydroxy-13-{[(2R,4R,5S,6S)-5-hydroxy-4-methoxy-4,6-dimethyloxan-2-yl]oxy}-3,5,6,8,10,12,14-heptamethyl-1-oxa-6-azacyclopentadecan-15-one', '13-[(2,6-Dideoxy-3-C-methyl-3-O-methyl-?-L-ribo-hexopyranosyl)oxy]-2-ethyl-3,4,10-trihydroxy-3,5,6,8,10,12,14-heptamethyl-11-[[3,4,6-trideoxy-3-(dimethylamino)-?-D-xylo-hexopyranosyl]oxy]-1-oxa-6-azacyclopentadecan-15-one', 'SMR000471864', 'ZIT', 'Azithromycin (Zithromax)', 'CAS-83905-01-5', 'Z-Pak (Azithromycin)', 'SR-05000002067', 'Azithromycin, Antibiotic for Culture Media Use Only', 'Azitromicina', 'Zithromycin', 'Azifast', 'Azigram', 'Azimakrol', 'Azitromin', 'Zithromac', 'Azyter', 'NSC643732', 'Azithromycin,(S)', 'Zmax SR', '(2R,3S,4R,5R,8R,10R,11R,12S,13S,14R)-11-[(2S,3R,4S,6R)-4-(dimethylamino)-3-hydroxy-6-methyloxan-2-yl]oxy-2-ethyl-3,4,10-trihydroxy-13-[(2R,4R,5S,6S)-5-hydroxy-4-methoxy-4,6-dimethyloxan-2-yl]oxy-3,5,6', '(2R,3S,4R,5R,8R,10R,11R,12S,13S,14R)-2-ethyl-3,4,10-trihydroxy-3,5,6,8,10,12,14-heptamethyl-15-oxo-11-{[3,4,6-trideoxy-3-(dimethylamino)-b-D-xylo-hexopyranosyl]oxy}-1-oxa-6-azacyclopentadecan-13-yl 2,6-dideoxy-3-C-methyl-3-O-methyl-a-L-ribo-hexopyranoside', 'Zitromax Avium 600', 'Azitromicina [Spanish]', 'Spectrum_000307', 'DCH3', 'Spectrum2_001582', 'Spectrum3_000653', 'Spectrum4_000186', 'Spectrum5_001867', 'AZM', 'CHEMBL529', 'EC 617-500-5', 'SCHEMBL23481', 'BSPBio_002285', 'KBioGR_000731', 'KBioSS_000787', 'MLS001055353', 'MLS001066331', 'MLS001201763', 'MLS001304005', 'MLS001332499', 'MLS001332500', 'BIDD:GT0792', 'DivK1c_000233', 'SPECTRUM1503679', 'SPBio_001544', 'GTPL6510', 'DTXSID8030760', 'Azithromycin, analytical standard', 'HMS500L15', 'KBio1_000233', 'KBio2_000787', 'KBio2_003355', 'KBio2_005923', 'KBio3_001505', 'SYN3010', 'NINDS_000233', 'HMS1922G12', 'HMS2094M11', 'HMS2232M10', 'HMS3259D10', 'ACT03224', 'Tox21_111008', 'Tox21_201011', 'BDBM50373918', 'CCG-39360', 'XZ 405', 'XZ 450', 'ZINC85537026', 'AKOS015895044', 'CS-2308', 'DB00207', 'EBD2198275', 'LS-1834', 'MCULE-8817893418', 'NC00712', 'IDI1_000233', 'NCGC00090753-02', 'NCGC00090753-03', 'NCGC00090753-04', 'NCGC00090753-06', 'NCGC00258564-01', '(2R,3S,4R,5R,8R,10R,11R,12S,13S,14R)-11-[(2S,3R,4S,6R)-4-(dimethylamino)-3-hydroxy-6-methyloxan-2-yl]oxy-2-ethyl-3,4,10-trihydroxy-13-[(2R,4R,5S,6S)-5-hydroxy-4-methoxy-4,6-dimethyloxan-2-yl]oxy-3,5,6,8,10,12,14-heptamethyl-1-oxa-6-azacyclopentadecan-15-one', 'AC-16014', 'CP62,993', 'HY-17506', 'SBI-0206706.P001', 'CP-62993-3', 'A-9940', 'A-9941', '24238-EP2295402A2', '24238-EP2314590A1', '24238-EP2380874A2', 'AB00698251-10', 'AB00698251_11', '905A015', 'Q165399', 'SR-05000002067-1', 'SR-05000002067-2', 'BRD-K74501079-001-18-1', 'Z1563146014', 'UNII-F94OW58Y8V component MQTOSJVFKKJCRP-BICOPXKESA-N', 'Azithromycin, European Pharmacopoeia (EP) Reference Standard', 'Azithromycin Identity, United States Pharmacopeia (USP) Reference Standard', '(2R,3S,4R,5R,8R,10R,11R,12S,13S,14R)-11-((2S,3R,4S,6R)-', 'Azithromycin for peak identification, European Pharmacopoeia (EP) Reference Standard', 'Azithromycin for system suitability, European Pharmacopoeia (EP) Reference Standard', '(2R,3S,4R,5R,8R,10R,11R,12S,13S,14R)-11-((2S,3R,4S,6R)-4-(dimethylamino)-3-hydroxy-6-methyltetrahydro-2H-pyran-2-yloxy)-2-ethyl-3,4,10-trihydroxy-13-((2R,4R,5S,6S)-5-hydroxy-4-methoxy-4,6-dimethyltetrahydro-2H-pyran-2-yloxy)-3,5,6,8,10,12,14-heptamethy...', '(2R,3S,4R,5R,8R,10R,11R,12S,13S,14R)-11-[(2S,3R,4S,6R)-4-(dimethylamino)-3-hydroxy-6-methyl-tetrahydropyran-2-yl]oxy-2-ethyl-3,4,10-trihydroxy-13-[(2R,4R,5S,6S)-5-hydroxy-4-methoxy-4,6-dimethyl-tetrahydropyran-2-yl]oxy-3,5,6,8,10,12,14-heptamethyl-1-oxa-6-azacyclopentadecan-15-one', '(2R,3S,4R,5R,8R,10R,11R,12S,13S,14R)-11-[(2S,3R,4S,6R)-4-dimethylamino-3-hydroxy-6-methyloxan-2-yl]oxy-2-ethyl-3,4,10-trihydroxy-13-[(2R,4R,5S,6S)-5-hydroxy-4-methoxy-4,6-dimethyloxan-2-yl]oxy-3,5,6,8,10,12,14-heptamethyl-1-oxa-6-azacyclopentadecan-15-one', '(2R,3S,4R,5R,8R,10R,11R,12S,13S,14R)-2-ethyl-3,4,10-trihydroxy-3,5,6,8,10,12,14-heptamethyl-15-oxo-11-{[3,4,6-trideoxy-3-(dimethylamino)-beta-D-xylo-hexopyranosyl]oxy}-1-oxa-6-azacyclopentadecan-13-yl', '(2R,3S,4R,5R,8R,10R,11R,12S,13S,14R)13-((2,6-Dideoxy-3-C-methyl-3-O-methyl-alpha-L-ribo-hexopyranosyl)oxy)-2-ethyl-3,4,10-trihydroxy-3,5,6,8,10,12,14-heptamethyl-11-((3,4,6-trideoxy-3-(dimethylamino)-beta-D-xylo-hexopyranosyl)oxy)-1-oxa-6-azacyclopentadecan-15-one', '[2R-(2R*,3S*,4R*,5R*,8R*,10R*,11R*,12S*,13S*,14R*)]-13-[(2,6-Dideoxy-3-C-methyl-3-O-methyl-.alpha.-L-ribo-hexopyranosyl)oxy]-2-ethyl-3,4,10-trihydroxy-3,5,6,8,10,12,14-heptamethyl-11-[[3,4,6-', '1-Oxa-6-azacyclopentadecan-15-one, 13-((2,6-dideoxy-3-C-methyl-3-O-methyl-alpha-L-ribo-hexopyranosyl)oxy)-2-ethyl-3,4,10-trihydroxy-3,5,6,8,10,12,14-heptamethyl-11-((3,4,6-trideoxy-3-(dimethylamino)-beta-D-xylo-hexopyranosyl)oxy)-,(2R-(2R*,3S*']</t>
  </si>
  <si>
    <t>Compound(447043)</t>
  </si>
  <si>
    <t>C38H72N2O12</t>
  </si>
  <si>
    <t>beta-bromo-beta-nitrostyrene</t>
  </si>
  <si>
    <t>[(Z)-2-bromo-2-nitroethenyl]benzene</t>
  </si>
  <si>
    <t>['UNII-S9XA2L7QIA', '(Z)-bromonitrostyrene', 'S9XA2L7QIA', '(2-Bromo-2-nitrovinyl)benzene', '7166-19-0', '18315-81-6', 'Bromonitrostyrene, (Z)-', 'Slimitrole', '[(Z)-2-bromo-2-nitroethenyl]benzene', 'Benzene, ((1Z)-2-bromo-2-nitroethenyl)-', 'Benzene, (2-bromo-2-nitroethenyl)-, (Z)-', '1-bromo-1-nitro-2-phenylethene', 'DTXSID80860003', '(Z)-beta-Bromo-beta-nitrostyrene', 'ZINC2029563', 'LS-5588', '[(1Z)-2-Bromo-2-nitroethenyl]benzene', '[(Z)-2-bromo-2-nitro-vinyl]-benzene', 'Q27289099', 'UNII-4D7Z892MB3 component SKDNDVDHYMEGNJ-SOFGYWHQSA-N']</t>
  </si>
  <si>
    <t>Compound(6508331)</t>
  </si>
  <si>
    <t>C8H6BrNO2</t>
  </si>
  <si>
    <t>beta-chlorphenvinphos</t>
  </si>
  <si>
    <t>[(E)-2-chloro-1-(2,4-dichlorophenyl)ethenyl] diethyl phosphate</t>
  </si>
  <si>
    <t>['Chlorfenvinphos', 'Chlorfenvinfos', 'Clofenvinfos', '2-Chloro-1-(2,4-dichlorophenyl)vinyl diethyl phosphate', 'alpha-Chlorfenvinphos', 'UNII-WO4EMF0QD6', 'WO4EMF0QD6', '18708-86-6', 'CHEMBL1411951', '470-90-6', 'Diethyl 1-(2,4-Dichlorophenyl)-2-chlorovinyl phosphate', '2-chloro-1-(2,4-dichlorophenyl)ethenyl diethyl phosphate', '2,4-Dichloro-alpha-(chloromethylene)benzyl diethyl phosphate', 'Phosphoric acid, 2-chloro-1-(2,4-dichlorophenyl)ethenyl diethyl ester', 'Clofenvinfos (INN)', 'GC 4072', "beta-2-Chloro-1-(2',4'-dichlorophenyl) vinyl diethylphosphate", 'CVP', 'CHEBI:38598', 'O-2-Cloro-1-(2,4-dicloro-fenil)-vinil-O,O-dietilfosfato', 'Clofenvineosum', 'Clofenvinphos', 'O,O-Diaethyl-O-1-(4,5-dichlorphenyl)-2-chlor-vinyl-phosphat', 'O-2-Chloor-1-(2,4-dichloor-fenyl)-vinyl-O,O-diethylfosfaat', 'O-2-Chlor-1-(2,4-dichlor-phenyl)-vinyl-O,O-diaethylphosphat', 'Supone', 'O,O-Dwuetylo-O-1-(2,4-dwuchlorofenylo)-2-chlorowinylofosforan', 'Phosphate de O,O-diethyle et de O-2-chloro-1-(2,4-dichlorophenyl) vinyle', 'alpha-CVP', 'NCGC00163745-03', 'Sapecron 50EC', 'CFV', 'Supona (TN)', '(E)- Chlorfenvinphos', '.alpha.-chlorfenvinphos', 'chlorfenvinphos, alpha-', 'Chlorfenvinphos, (E)-', 'Compd. 4072', 'Birlane 24 (Salt/Mix)', 'SCHEMBL55326', '(E)-2-Chloro-1-(2,4-dichlorophenyl)ethenyl diethyl phosphate', 'ZINC2040511', 'ACM470906', 'BDBM50103619', 'Chlorfenvinphos mix of Z&amp;E isomers 2', 'AKOS015888364', 'Phosphoric acid, 2-chloro-1-(2,4-dichlorophenyl)ethenyl diethyl ester, (E)-', 'NCGC00163745-01', 'NCGC00163745-02', 'CC-25655', 'C18654', 'D07722', 'Q408184', 'Diethyl 2-chloro-1-(2,4-dichlorophenyl)vinyl phosphate', '2-Chloro-1-(2,4-dichlorophenyl)ethenyl diethyl phosphate #', 'UNII-F2G9XS1W91 component FSAVDKDHPDSCTO-XYOKQWHBSA-N', '2,4-Dichloro-.alpha.-(chloromethylene)benzyl diethyl phosphate', 'O,O-Diethyl O-[1-(2,4-dichlorophenyl)-2-chlorovinyl] phosphate', 'Benzyl alcohol, 2,4-dichloro-.alpha.-(chloromethylene)-, diethyl phosphate']</t>
  </si>
  <si>
    <t>Compound(5377791)</t>
  </si>
  <si>
    <t>beta-hexabromocyclododecane</t>
  </si>
  <si>
    <t>(1R,2R,5S,6R,9S,10R)-1,2,5,6,9,10-hexabromocyclododecane</t>
  </si>
  <si>
    <t>['UNII-7Q48Q7B14M', '134237-51-7', '7Q48Q7B14M', '(+/-)-beta-Hexabromocyclododecane', '(1R,2R,5R,6S,9R,10S)-1,2,5,6,9,10-Hexabromocyclododecane', 'beta-Hexabromocyclododecane', 'beta-HBCD', '(-)-beta-Hbcd', '(+/-)-?-Hexabromocyclododecane', '(-)-beta-Hexabromocyclododecane', 'beta-Hexabromocyclododecane, (-)-', 'DTXSID60873772', 'ZINC49776249', 'Cyclododecane, 1,2,5,6,9,10-hexabromo-, (1R,2S,5R,6R,9R,10S)-', '138257-18-8', 'UNII-169IC4T62F component DEIGXXQKDWULML-UFVWWTPHSA-N', 'UNII-5I9835JO3M component DEIGXXQKDWULML-UFVWWTPHSA-N', 'UNII-66OON1WWOS component DEIGXXQKDWULML-UFVWWTPHSA-N', '(1R,2S,5R,6R,9R,10S)-rel-1,2,5,6,9,10-Hexabromocyclododecane', 'Beta-hexabromocyclododecane;hexabromocyclododecane-beta;beta-hexabromocyclododecane']</t>
  </si>
  <si>
    <t>Compound(13040187)</t>
  </si>
  <si>
    <t>beta-hexachlorocyclohexane</t>
  </si>
  <si>
    <t>beta-heptachlor epoxide</t>
  </si>
  <si>
    <t>4-(4,5-dihydroxy-9-methyl-3-oxo-1H-benzo[f][2]benzofuran-1-yl)-3-(dimethylamino)-2,5-dihydroxy-6-oxocyclohexene-1-carboxamide</t>
  </si>
  <si>
    <t>['18751-99-0', '18695-01-7', 'alpha-apo-Oxytetracycline', 'Beta-apo oxytetracycline', 'beta-Apooxytetracycline', 'alpha-Apooxytetracycline', 'alpha-Apoterramycin', 'DTXSID40940158', '(3S,4S,5S)-4-((R)-4,5-Dihydroxy-9-methyl-3-oxo-1,3-dihydronaphtho[2,3-c]furan-1-yl)-3-(dimethylamino)-2,5-dihydroxy-6-oxocyclohex-1-enecarboxamide', 'STL450954', 'FT-0662256', 'FT-0662257', 'ST50405455', 'C-47103', 'J-012021', 'J-012070', "alpha-Apo-oxytetracycline, 'can be used as secondary standard'", "beta-Apo-oxytetracycline, 'can be used as secondary standard'", '4-(4,5-dihydroxy-9-methyl-3-oxo-1,3-dihydronaphtho[2,3-c]furan-1-yl)-3-(dimethylamino)-2,5-dihydroxy-6-oxocyclohex-1-ene-1-carboxamide', '4-(4,5-Dihydroxy-9-methyl-3-oxo-1,3-dihydronaphtho[2,3-c]furan-1-yl)-3-(dimethylamino)-2,5-dihydroxy-6-oxocyclohex-1-ene-1-carboximidic acid', '4-(4,5-dihydroxy-9-methyl-3-oxo-1,3-dihydronaphtho[2,3-c]furan-1-yl)-3-(dimethylamino)-2,5-dihydroxy-6-oxocyclohex-1-enecarboxamide', '4-(4,5-dihydroxy-9-methyl-3-oxohydrobenzo[f]isobenzofuranyl)-3-(dimethylamino) -2,5-dihydroxy-6-oxocyclohex-1-enecarboxamide']</t>
  </si>
  <si>
    <t>Compound(54710410)</t>
  </si>
  <si>
    <t>C22H22N2O8</t>
  </si>
  <si>
    <t>4-chlorobut-2-ynyl N-(3-chlorophenyl)carbamate</t>
  </si>
  <si>
    <t>['BARBAN', '101-27-9', 'Barbamate', 'Barbane', 'Carbine', 'Carbyne', 'Chlorinat', 'Carbin', 'Karbin', 'Neoban', 'Carbyne (herbicide)', '4-Chlorobut-2-ynyl 3-chlorophenylcarbamate', 'Fisons B25', '4-Chloro-2-butynyl m-chlorocarbanilate', '4-Chloro-2-butynyl 3-chlorocarbanilate', '4-Chloro-2-butynyl N-(3-chlorophenyl)carbamate', '4-chlorobut-2-yn-1-yl (3-chlorophenyl)carbamate', 'Carbamic acid, (3-chlorophenyl)-, 4-chloro-2-butynyl ester', 'Caswell No. 068', 'CS-847', 'Barbane [ISO-French]', '2-Butynyl 4-chloro-m-chlorocarbanilate', '4-Chlorobut-2-ynyl-m-chlorocarbanilate', 'Chloro-2-butynyl m-chlorocarbamate', 'A 980', 'C-847', 'S 847', 'Barban [ANSI:BSI:ISO]', 'NSC 29168', '4-Chloro-2-butynylm-chlorocarbanilate', '2-Butynyl-4-chloro-m-chlorocarbanilate', 'm-Chlorocarbanilic acid, 4-chloro-2-butynyl ester', 'A980', 'S847', '4-Chloro-2-butynyl meta-chlorocarbanilate', 'HSDB 1514', 'UNII-33306K781F', 'EINECS 202-930-4', '2-Butyn-1-ol, 4-chloro-, m-chlorocarbanilate', 'RCRA waste no. U280', 'EPA Pesticide Chemical Code 017601', 'BRN 2376181', '(4-Chlor-but-2-in-yl)-N-(3-chlor-phenyl)-carbamat', '(4-Chloor-but-2-yn-yl)-N-(3-chloor-fenyl)-carbamaat', '(4-Cloro-but-2-in-il)-N-(3-cloro-fenil)-carbammato', '(3-Chlorophenyl)carbamic acid 4-chloro-2-butynyl ester', 'AI3-28201', 'A-980', 'S-847', 'CHEBI:33421', 'Carbanilic acid, m-chloro-, 4-chloro-2-butynyl ester', '4-Chloro-2-butynyl-m-chlorocarbanilate', '(4-Chloor-but-2-yn-yl)-N-(3-chloor-fenyl)-carbamaat [Dutch]', '(4-Chlor-but-2-in-yl)-N-(3-chlor-phenyl)-carbamat [German]', '(4-Cloro-but-2-in-il)-N-(3-cloro-fenil)-carbammato [Italian]', 'N-(3-Chloro phenyl) carbamate de 4-chloro 2 butynyle [French]', '4-Chloro-2-butynyl 3-chlorophenylcarbamate', '4-Chloro-2-butynyl m-chlorophenylcarbamate', '33306K781F', 'Barban, analytical standard', 'N-(3-Chloro phenyl)carbamate de 4-chloro 2-butynyle', '3-CHLOROCARBANILIC ACID 4-CHLORO-2-BUTYNYL ESTER', 'N-(m-chlorophenyl)carbamic acid,4-chloro-2-butynyl ester', 'Barbanate', 'Caryne', '4-chlorobut-2-ynyl N-(3-chlorophenyl)carbamate', 'WLN: G2UU2OVMR CG', 'DSSTox_CID_21617', 'DSSTox_RID_79788', 'DSSTox_GSID_41617', 'SCHEMBL59626', '4-Chloro-2-butynyl m-chlorophenylcarbamate (8CI)', 'N-(3-Chloro phenyl) carbamate de 4-chloro 2 butynyle', 'CHEMBL1570161', 'DTXSID3041617', 'CTK6H4434', '2-Butyn-1-ol, m-chlorocarbanilate', 'NSC29168', 'ZINC1652009', 'Tox21_300669', '0361AA', 'Carbamic acid, (3-chlorophenyl)-, 4-chloro-2-butynyl ester (9CI)', 'NSC-29168', 'AKOS015904119', 'Carbamic acid, 4-chloro-2-butynyl ester', 'NCGC00166272-01', 'NCGC00166272-02', 'NCGC00254577-01', 'CAS-101-27-9', 'CC-14843', 'LS-50978', 'Carbanilic acid, 4-chloro-2-butynyl ester', 'FT-0631535', 'NS00008824', '4-Chloro-2-butynyl 3-chlorophenylcarbamate #', 'C19059', 'C-16049', 'J-000356', 'Q9165259', '101555-42-4']</t>
  </si>
  <si>
    <t>Compound(7551)</t>
  </si>
  <si>
    <t>C11H9Cl2NO2</t>
  </si>
  <si>
    <t>N-benzyl-2-[4-fluoro-3-(trifluoromethyl)phenoxy]butanamide</t>
  </si>
  <si>
    <t>['Beflubutamid', '113614-08-7', 'N-benzyl-2-[4-fluoro-3-(trifluoromethyl)phenoxy]butanamide', 'Beflubutamid [ISO]', 'C18H17F4NO2', 'N-benzyl-2-(4-fluoro-3-(trifluoromethyl)phenoxy)butanamide', 'Beflubutamide', 'SCHEMBL115747', 'DTXSID7057941', 'UBH 820', 'CHEBI:138203', '2-[4-Fluoro-3-(trifluoromethyl)phenoxy]-N-(phenylmethyl)butanamide', '(RS)-N-benzyl-2-(alpha,alpha,alpha,4-tetrafluoro-m-tolyloxy)butyramide', 'Beflubutamid 100 microg/mL in Acetonitrile', 'NS00007100', 'Beflubutamid, PESTANAL(R), analytical standard', 'Q22712766', 'N-benzyl-2-[4-fluoro-3-(trifluoromethyl)phenoxy]butyramide', 'N-benzyl-2-(4-fluoro-3-trifluoromethylphenoxy)butanoic amide', '(RS)-N-benzyl-2-(a,a,a,4-tetrafluoro-m-tolyoxy)butyramide;Butanamide, 2-[4-fluoro-3-(trifluoromethyl)phenoxy]-N-(phenylmethyl)-']</t>
  </si>
  <si>
    <t>Compound(6451159)</t>
  </si>
  <si>
    <t>C18H17F4NO2</t>
  </si>
  <si>
    <t>(2,2-dimethyl-1,3-benzodioxol-4-yl) N-methylcarbamate</t>
  </si>
  <si>
    <t>['bendiocarb', '22781-23-3', 'Bencarbate', 'Ficam', 'Ficam W', 'Multamat', 'Dycarb', 'Garvox', 'Niomil', 'Turcam', 'Bendiocarbamate', 'Multimet', 'Rotate', 'Tattoo', 'Tatoo', 'Seedox 80W', 'Ficam 80W', 'Ficam D', 'Ficam ULV', 'Fisons NC 6897', 'Bendiocarbe', 'Ficam B', "Ficam ulv' ul", 'Ficam Z', '2,2-Dimethyl-1,3-benzodioxol-4-ol methylcarbamate', '1,3-Benzodioxol-4-ol, 2,2-dimethyl-, methylcarbamate', 'UNII-QFH0ZU0A5U', 'Bendiocarbe [ISO-French]', 'OMS-1394', '(2,2-dimethyl-1,3-benzodioxol-4-yl) N-methylcarbamate', 'Bendiocarb [ANSI:BSI:ISO]', 'CCRIS 9062', '2,2-Dimethyl-1,3-benzodioxol-4-yl methylcarbamate', 'CHEBI:34556', 'HSDB 3918', '2,3-Isopropylidene-dioxyphenyl methylcarbamate', 'Methylcarbamic acid 2,3-(isopropylidenedioxy)phenyl ester', 'EINECS 245-216-8', 'NC6897', 'QFH0ZU0A5U', 'RCRA waste no. U278', 'EPA Pesticide Chemical Code 105201', '2,2-Dimethylbenzo-1,3-dioxol-4-yl methylcarbamate', 'BRN 1315404', '2,2-Dimethyl-1,3-benzdioxol-4-yl N-methylcarbamate', '2,2-Dimethyl-1,3-benzodioxol-4-yl N-methylcarbamate', '1,3-Benzodioxole, 2,2-dimethyl-4-(N-methylcarbamato)-', 'AI3-27695', '1,3-Benzodioxole, 2,2-dimethyl-4-(N-methylaminocarboxylato)-', 'Carbamic acid, methyl-, 2,3-(isopropylidenedioxy)phenyl ester', 'Carbamic acid, methyl-, 2,3-(dimethylmethylenedioxy)phenyl ester', '2,2-Dimethyl-1,3-benzodioxole-N-methylcarbamate', '1,3-Benzodioxol-4-ol, 2,2-dimethyl-, methyl carbamate', '23370-76-5', '2,3-Isopropylidenedioxyphenyl methylcarbamate', 'DSSTox_CID_12327', 'DSSTox_RID_78914', 'DSSTox_GSID_32327', '2,2-dimethyl-4-(methylcarbamoyloxy)-1,3-benzodioxole', 'Seedoxin', 'Sedox', 'CAS-22781-23-3', 'NC 6897', 'Fuam', 'Garvox 3G', 'Ficam 80 W', 'Spectrum_001917', 'SpecPlus_000548', 'Ficam plus (Salt/Mix)', 'Spectrum2_001726', 'Spectrum3_000854', 'Spectrum4_000694', 'Spectrum5_002026', 'SCHEMBL22080', 'BSPBio_002467', 'KBioGR_001187', 'KBioSS_002459', 'SPECTRUM330063', 'MLS002695990', 'DivK1c_006644', 'SPBio_001772', 'CHEMBL465018', 'DTXSID9032327', 'KBio1_001588', 'KBio2_002452', 'KBio2_005020', 'KBio2_007588', 'KBio3_001967', 'XEGGRYVFLWGFHI-UHFFFAOYSA-', 'HMS3087C14', 'ZINC2015426', 'Tox21_201562', 'Tox21_300777', 'BDBM50064618', 'CCG-39499', 'AKOS015888418', 'ACM22781233', 'NCGC00094543-01', 'NCGC00094543-02', 'NCGC00094543-03', 'NCGC00094543-04', 'NCGC00094543-05', 'NCGC00094543-06', 'NCGC00094543-07', 'NCGC00254681-01', 'NCGC00259111-01', 'Bendiocarb 100 microg/mL in Acetonitrile', 'LS-50160', 'SMR000777869', 'DB-045987', 'NS00001535', 'X6232', 'Bendiocarb, PESTANAL(R), analytical standard', 'C14433', '781B233', 'Q417017', 'J-014852', '2,2-Dimethyl-1,3-benzodioxol-4-yl methylcarbamate #', '2,2-dimethylbenzo[d][1,3]dioxol-4-yl methylcarbamate', '2,2-Dimethyl-2H-1,3-benzodioxol-4-yl methylcarbamate', 'carbamic acid, N-methyl-, 2,3-isopyridenyldioxyphenyl ester']</t>
  </si>
  <si>
    <t>Compound(2314)</t>
  </si>
  <si>
    <t>N-butyl-N-ethyl-2,6-dinitro-4-(trifluoromethyl)aniline</t>
  </si>
  <si>
    <t>['benfluralin', '1861-40-1', 'Bethrodine', 'Balan', 'BENEFIN', 'Benfluraline', 'Banafine', 'Benalan', 'Benefex', 'Benephin', 'Binnell', 'Bonalan', 'Carpidor', 'Flubalex', 'Balfin', 'Emblem', 'Quilan', 'N-butyl-N-ethyl-2,6-dinitro-4-(trifluoromethyl)aniline', 'Blulan', 'EL-110', 'N-Butyl-N-ethyl-2,6-dinitro-4-(trifluoromethyl)benzenamine', 'Caswell No. 130', 'Benefin [WITHDRAWN]', 'Benfluralin [BSI:ISO]', 'Benfluraline [ISO-French]', 'N-Butyl-2,6-dinitro-N-ethyl-4-trifluoromethylaniline', 'UNII-28224BUY6R', 'HSDB 407', 'Benzenamine, N-butyl-N-ethyl-2,6-dinitro-4-(trifluoromethyl)-', 'N-Butyl-N-ethyl-2,6-dinitro-4-trifluoromethylaniline', 'EINECS 217-465-2', 'L 54521', 'EPA Pesticide Chemical Code 084301', 'BRN 2821329', 'N-Butyl-N-ethyl-alpha,alpha,alpha-trifluoro-2,6-dinitro-p-toluidine', '28224BUY6R', 'alpha,alpha,alpha-Trifluoro-2,6-dinitro-N,N-ethylbutyl-p-toluidine', 'N-Butyl N-ethyl-2,6-dinitro-4-(trifluoromethyl)benzeneamine', 'DSSTox_CID_3899', 'p-Toluidine, N-butyl-N-ethyl-.alpha.,.alpha.,.alpha.-trifluoro-2,6-dinitro-', 'DSSTox_RID_77223', 'DSSTox_GSID_23899', 'p-Toluidine, N-butyl-N-ethyl-alpha,alpha,alpha-trifluoro-2,6-dinitro-', 'CAS-1861-40-1', 'BINNELL(R)', 'QUILAN(R)', 'CCRIS 9242', 'Spectrum_001829', 'BENEFIN(R)', 'SpecPlus_000430', 'BALAN(R)', 'Spectrum2_001883', 'Spectrum3_000825', 'Spectrum4_000665', 'Spectrum5_001962', 'SCHEMBL55008', 'BSPBio_002349', 'KBioGR_001069', 'KBioSS_002334', 'SPECTRUM330033', 'DivK1c_006526', 'SPBio_001786', 'CHEMBL1256668', 'DTXSID3023899', 'KBio1_001470', 'KBio2_002331', 'KBio2_004899', 'KBio2_007467', 'KBio3_001849', 'CHEBI:132878', 'HY-B2045', 'N-BUTYL-N-ETHYL-A,A,A-TRIFLUORO-2,6-DINITRO-P-TOLUIDINE', 'ZINC3871674', 'Tox21_202270', 'Tox21_300774', 'CCG-39421', 'AKOS015890700', 'ACM1861401', 'KF10035', 'NCGC00094527-01', 'NCGC00094527-02', 'NCGC00094527-03', 'NCGC00094527-04', 'NCGC00094527-05', 'NCGC00094527-06', 'NCGC00094527-07', 'NCGC00254678-01', 'NCGC00259819-01', 'AS-56321', 'CC-24273', 'M011', 'AX8115326', 'DB-044582', 'LS-154330', 'CS-0014140', 'FT-0603576', 'NS00005161', 'Benfluralin, PESTANAL(R), analytical standard', 'C21273', '861B401', 'C-20186', 'Q421520', 'J-011946', 'N-n-butyl-N-ethyl-2,6-dinitro-4-(trifluoromethyl)aniline', '.alpha.,.alpha.,.alpha.-Trifluoro-2,6-dinitro-N,N-ethylbutyl-p-toluidine', 'Benzenamine, N-butyl-N-ethyl-2,6-dinitro-4-(trifluoromethyl)- (9CI)', 'N-Butyl-N-ethyl-.alpha.,.alpha.,.alpha.-trifluoro-2,6-dinitro-p-toluidine']</t>
  </si>
  <si>
    <t>Compound(2319)</t>
  </si>
  <si>
    <t>ethyl 3-[[(2,2-dimethyl-3H-1-benzofuran-7-yl)oxycarbonyl-methylamino]sulfanyl-propan-2-ylamino]propanoate</t>
  </si>
  <si>
    <t>['Benfuracarb', '82560-54-1', 'Aminofuracarb', 'Oncol', 'Furacon', 'Oncol 5G', 'Caswell No. 349C', 'Benfuracarb [BSI:ISO]', 'UNII-807671FRZY', 'OK 174', 'EPA Pesticide Chemical Code 123201', 'OC-11588', 'CHEBI:3014', '807671FRZY', '8-Oxa-3-thia-2,4-diazadecanoic acid, 2-methyl-4-(1-methylethyl)-7-oxo-, 2,3-dihydro-2,2-dimethyl-7-benzofuranyl ester', 'C20H30N2O5S', 'beta-Alanine, N-(((((2,3-dihydro-2,2-dimethyl-7-benzofuranyl)oxy)carbonyl)methylamino)thio)-N-(1-methylethyl)-, ethyl ester', 'ethyl 3-[[(2,2-dimethyl-3H-1-benzofuran-7-yl)oxycarbonyl-methylamino]sulfanyl-propan-2-ylamino]propanoate', 'ethyl 3-[{[{[(2,2-dimethyl-2,3-dihydro-1-benzofuran-7-yl)oxy]carbonyl}(methyl)amino]sulfanyl}(1-methylethyl)amino]propanoate', 'N-(((((2,3-dihydro-2,2-dimethyl-7-benzofuranyl)oxy)carbonyl)methylamino)thio)-N-(1-methylethyl)-beta-alanine, ethyl ester', 'Benfuracarb 100 microg/mL in Acetonitrile', 'Oncol 10G', 'DSSTox_CID_21622', 'DSSTox_RID_79791', 'DSSTox_GSID_41622', 'SCHEMBL27296', 'CHEMBL2252178', 'DTXSID2041622', 'CTK8E8101', 'ZINC4098987', 'Tox21_301582', 'AKOS015902868', 'Benfuracarb 10 microg/mL in Cyclohexane', 'NCGC00166199-01', 'NCGC00255617-01', 'CC-24275', 'LS-16047', 'S482', 'CAS-82560-54-1', 'DB-056632', 'Pesticide2_Benfuracarb_C20H30N2O5S_Oncol', '559-EP2274983A1', '559-EP2275422A1', '559-EP2280009A1', '559-EP2292608A1', '559-EP2305658A1', '559-EP2308857A1', '559-EP2308858A1', '559-EP2311816A1', '559-EP2311817A1', '559-EP2314583A1', 'FT-0630907', 'Benfuracarb, PESTANAL(R), analytical standard', 'C11073', 'C-21902', 'Q817158', 'Aminosulfulan; Benfuracarb; Nakar; OK 174; Oncol; Oncol 5G', 'Ethyl 3-[([([(2,2-dimethyl-2,3-dihydro-1-benzofuran-7-yl)oxy]carbonyl)(methyl)amino]sulfanyl)(isopropyl)amino]propanoate #']</t>
  </si>
  <si>
    <t>Compound(54886)</t>
  </si>
  <si>
    <t>C20H30N2O5S</t>
  </si>
  <si>
    <t>methyl 2-(2,6-dimethyl-N-(2-phenylacetyl)anilino)propanoate</t>
  </si>
  <si>
    <t>['BENALAXYL', '71626-11-4', 'Galben', 'Benalaxyl [BSI:ISO]', 'Caswell No. 471AC', 'EINECS 275-728-7', 'methyl 2-(2,6-dimethyl-N-(2-phenylacetyl)anilino)propanoate', 'M 9834', 'EPA Pesticide Chemical Code 127001', 'BRN 3001587', 'methyl N-(2,6-dimethylphenyl)-N-(phenylacetyl)alaninate', 'CHEBI:82777', 'N-(2,6-Dimethylphenyl)-N-(phenylacetyl)-DL-alanine methyl ester', 'Methyl N-phenylacetyl-N-2,6-xylyl-DL-alaninate', 'Methyl N-(2,6-dimethylphenyl)-N-(phenylacetyl)-DL-alaninate', 'Alanine, N-(2,6-dimethylphenyl)-N-(phenylacetyl)-, methyl ester', 'Alanine, N-(2,6-dimethylphenyl)-N-(phenylacetyl)-, methyl ester, DL-', 'W-104515', 'methyl 2-(N-(2,6-dimethylphenyl)-2-phenylacetamido)propanoate', 'DSSTox_CID_21619', 'DSSTox_RID_79789', 'DSSTox_GSID_41619', 'SCHEMBL21674', 'methyl (2R)-2-(2,6-dimethyl-N-(2-phenylacetyl)anilino)propanoate', 'CHEMBL2286691', 'DTXSID3041619', 'CJPQIRJHIZUAQP-UHFFFAOYSA-', 'Tox21_301557', 'AKOS015916308', 'Benalaxyl 10 microg/mL in Cyclohexane', 'Benalaxyl 100 microg/mL in Cyclohexane', 'NCGC00255523-01', 'CC-24264', 'LS-16084', 'P746', 'CAS-71626-11-4', 'DB-055555', 'FT-0602891', 'NS00000482', 'Benalaxyl, PESTANAL(R), analytical standard', 'C10929', '626B114', 'A837264', 'C-19838', 'Q2795787', 'methyl N-(phenylacetyl)-N-(2,6-xylyl)-DL-alaninate', 'Methyl 2-[2,6-dimethyl(phenylacetyl)anilino]propanoate #', 'DL-Alanine, N-(2,6-dimethylphenyl)-N-(phenylacetyl)-, methyl ester', 'methyl 2-[(2,6-dimethylphenyl)-(2-phenylacetyl)amino]propanoate', 'methyl 2-[(2,6-dimethylphenyl)-(2-phenylethanoyl)amino]propanoate', 'N-(2,6-dimethylphenyl)-N-(1-carbomethoxy-ethyl)-phenylacetamide', '2-(2,6-dimethyl-N-(1-oxo-2-phenylethyl)anilino)propanoic acid methyl ester', 'Methyl N-(2,6-dimethylphenyl)-N-(phenylacetyl)-DL-alaninate;benalaxyl']</t>
  </si>
  <si>
    <t>Compound(51369)</t>
  </si>
  <si>
    <t>C20H23NO3</t>
  </si>
  <si>
    <t>methyl (2R)-2-(2,6-dimethyl-N-(2-phenylacetyl)anilino)propanoate</t>
  </si>
  <si>
    <t>['Benalaxyl-M', '98243-83-5', 'Kiralaxyl', 'D-Benalaxyl', '(R)-Methyl 2-(N-(2,6-dimethylphenyl)-2-phenylacetamido)propanoate', '(-)-R-Benalaxyl', 'UNII-K2I4VH4B65', 'IR 6141', 'K2I4VH4B65', 'Benalaxyl-M [ISO]', 'Capri', 'methyl (2R)-2-(2,6-dimethyl-N-(2-phenylacetyl)anilino)propanoate', '(R)-Benalaxyl', 'SCHEMBL41642', 'DTXSID0058229', 'CHEBI:82779', 'CTK8F7942', 'ZINC900561', 'Benalaxyl-M, PESTANAL(R), analytical standard', 'methyl N-(phenylacetyl)-N-(2,6-xylyl)-D-alaninate', 'Q27156350', 'methyl N-(2,6-dimethylphenyl)-N-(phenylacetyl)-D-alaninate', 'UNII-18TH6NY90J component CJPQIRJHIZUAQP-MRXNPFEDSA-N', 'methyl (2R)-2-[N-(2,6-dimethylphenyl)-2-phenylacetamido]propanoate', 'metabolite F8 of Benalaxyl-M;D-Alanine, N-(2,6-dimethylphenyl)-N-(2-phenylacetyl)-, methyl ester;Benalaxyl M']</t>
  </si>
  <si>
    <t>Compound(176648)</t>
  </si>
  <si>
    <t>methyl N-[1-(butylcarbamoyl)benzimidazol-2-yl]carbamate</t>
  </si>
  <si>
    <t>['BENOMYL', 'Benlate', '17804-35-2', 'Fundazol', 'Agrocit', 'Uzgen', 'Fungochrom', 'Arilate', 'Benlate 50', 'Arbortrine', 'Fundasol', 'Fungicide D-1991', 'Benomyl-Imex', 'Kribenomyl', 'Benlate 50 W', 'Du Pont 1991', 'Tersan 1991', 'Benomyl 50W', 'Chinoin-fundazol', 'NS 02 (fungicide)', 'Methyl 1-(butylcarbamoyl)-2-benzimidazolecarbamate', 'Fungicide 1991', 'Benosan', 'Benex', 'Dupont 1991', 'NS 02', 'Benomyl [ANSI:BSI:ISO]', 'Methyl 1-(butylcarbamoyl)-2-benzimidazolylcarbamate', 'Caswell No. 075A', 'Methyl N-(1-butylcarbamoyl-2-benzimidazole)carbamate', 'Benomil', 'Fibenzol', 'Kribenomy', 'Benlat', 'BC 6597', 'D 1991', 'Methyl 1-(butylamino)carbonyl-1H-benzimidazol-2-ylcarbamate', 'MBCl', 'Fundazol 50WP', 'Benlate 50W', 'CCRIS 773', 'F 1991', 'NSC 263489', 'UNII-TLW21058F5', '1-(Butylcarbamoyl)-2-benzimidazol-methylcarbamat', '1-(Butylcarbamoyl)-2-benzimidazolecarbamic acid, methyl ester', 'BBC', 'HSDB 1655', 'F1991', '1-(N-Butylcarbamoyl)-2-(methoxy-carboxamido)-benzimidazol', 'EINECS 241-775-7', 'BNM', 'RCRA waste no. U271', 'EPA Pesticide Chemical Code 099101', 'BRN 0825455', 'methyl N-[1-(butylcarbamoyl)benzimidazol-2-yl]carbamate', 'CHEBI:3015', '2-Benzimidazolecarbamic acid, 1-(butylcarbamoyl)-, methyl ester', 'TLW21058F5', '1-(Butylcarbamoyl)-2-benzimidazol-methylcarbamat [German]', 'methyl [1-(butylcarbamoyl)-1H-benzimidazol-2-yl]carbamate', '1-(N-Butylcarbamoyl)-2-(methoxy-carboxamido)-benzimidazol [German]', 'DSSTox_CID_3900', 'Carbamic acid, (1-((butylamino)carbonyl)-1H-benzimidazol-2-yl)-, methyl ester', 'Carbamic acid, [1-[(butylamino)carbonyl]-1H-benzimidazol-2-yl]-, methyl ester', 'Benomyl, analytical standard', 'DSSTox_RID_77224', 'DSSTox_GSID_23900', 'Methyl 1-(butylcarbamoyl)benzimidazol-2-ylcarbamate', 'Carbamic acid, N-(1-((butylamino)carbonyl)-1H-benzimidazol-2-yl)-, methyl ester', 'CAS-17804-35-2', 'N-butyl[2-(methoxycarbonylamino)benzimidazolyl]carboxamide', 'methyl {1-[(butylamino)carbonyl]-1H-benzimidazol-2-yl}carbamate', 'Carbamic acid, N-[1-[(butylamino)carbonyl]-1H-benzimidazol-2-yl]-, methyl ester', 'Methyl (1-(butylcarbamoyl)-1H-benzo[d]imidazol-2-yl)carbamate', '1-(Butylcabonyl)-2-benzimidazole carbamic acid', 'SCHEMBL15681', 'US9138393, Benomyl', 'US9144538, Benomyl', 'KBioGR_002521', 'KBioSS_002529', '5-25-10-00390 (Beilstein Handbook Reference)', 'BIDD:GT0413', 'CHEMBL327919', 'DTXSID5023900', 'CTK4D6671', 'KBio2_002521', 'KBio2_005089', 'KBio2_007657', 'KBio3_002999', 'cMAP_000074', '1-(Butylcarbamoyl)-2-benzimidazolecarbamic acid methyl ester', 'BDBM181142', 'Benomyl (decomposed to Carbendazim)', 'ZINC1532046', 'Tox21_201234', 'Tox21_301170', 'LS-944', 'NSC263489', 'SBB057021', 'STL268862', 'AKOS015889909', 'MCULE-7231102664', 'NSC-263489', 'ACM17804352', 'NCGC00090908-01', 'NCGC00090908-02', 'NCGC00090908-03', 'NCGC00090908-04', 'NCGC00090908-05', 'NCGC00255068-01', 'NCGC00258786-01', 'AC-12583', 'AS-13815', 'CC-24277', 'S298', 'SC-18833', 'Benomyl, PESTANAL(R), analytical standard', 'DB-044321', 'FT-0622613', 'NS00000092', 'ST50994004', 'C10896', 'J10368', '804B352', 'A812339', 'C-18215', 'Q420172', 'J-011354', 'Methyl 1-(butylcarbamoyl)-2-benzimidazolecarbamate, 95%', 'Methyl 1-((butylamino)carbonyl)-1H-benzimidazol-2-ylcarbamate', 'methyl 1-(butylcarbamoyl)-1H-benzo[d]imidazol-2-ylcarbamate', 'Methyl 1-[(butylamino)carbonyl]-1H-benzimidazol-2-ylcarbamate, 9CI', 'methyl N-[1-(butylcarbamoyl)-1H-1,3-benzodiazol-2-yl]carbamate', '(1-((butylamino)carbonyl)-1H-benzimidazol-2-yl)-carbamic acid methyl ester', '[1-[(Butylamino)carbonyl]-1H-benz-imidazol-2-yl]carbamic acid methyl ester', '[1-[(Butylamino)carbonyl]-1H-benzimidazol-2-yl]carbamic acid methyl ester', 'N-[1-[butylamino(oxo)methyl]-2-benzimidazolyl]carbamic acid methyl ester', '39357-40-9']</t>
  </si>
  <si>
    <t>Compound(28780)</t>
  </si>
  <si>
    <t>2-iodo-N-phenylbenzamide</t>
  </si>
  <si>
    <t>['Benodanil', '2-Iodo-N-phenylbenzamide', '15310-01-7', 'Calirus', 'Benzanilide, 2-iodo-', '2-IODOBENZANILIDE', 'Benzamide, 2-iodo-N-phenyl-', '2-Iodobenzoic acid anilide', 'BAS 3170F', 'BAS-3170', 'Benodanil [BSI:ISO]', 'UNII-993ANP6B3R', 'NSC 100499', 'EINECS 239-352-7', 'BRN 2725018', '993ANP6B3R', 'CHEBI:82052', 'Benefit', '2-Iodobenzanilide (8CI)(9CI)', 'N-Phenyl-2-iodobenzamide', '2-Iodobenzanilide (8CI)', '(2-iodophenyl)-N-benzamide', 'DSSTox_CID_21623', 'DSSTox_RID_79792', 'DSSTox_GSID_41623', 'Oprea1_817725', 'SCHEMBL18736', 'CBDivE_015332', '3-12-00-00506 (Beilstein Handbook Reference)', 'CHEMBL1357627', 'DTXSID7041623', 'ZINC61524', 'BCP18881', 'EX-A1192', 'Tox21_300420', 'NSC100499', 'AKOS003635397', 'Benzamide, 2-iodo-N-phenyl- (9CI)', 'MCULE-6478095492', 'NSC-100499', 'NCGC00166175-01', 'NCGC00166175-02', 'NCGC00254248-01', 'Calirus; NSC 100499;o-Iodobenzanilide', 'LS-27660', 'ST010182', 'CAS-15310-01-7', 'FT-0721846', 'NS00003955', 'Benodanil, PESTANAL(R), analytical standard', '10.14272/LJOZMWRYMKECFF-UHFFFAOYSA-N', 'C18907', 'I-7640', 'AE-641/02572027', 'doi:10.14272/LJOZMWRYMKECFF-UHFFFAOYSA-N', 'Q19274959']</t>
  </si>
  <si>
    <t>Compound(27195)</t>
  </si>
  <si>
    <t>C13H10INO</t>
  </si>
  <si>
    <t>methyl 2-[(4,6-dimethoxypyrimidin-2-yl)carbamoylsulfamoylmethyl]benzoate</t>
  </si>
  <si>
    <t>['BENSULFURON-METHYL', 'Bensulfuron methyl', '83055-99-6', 'Londax', 'Methyl bensulfuron', 'Bensulfuron methyl ester', 'Bianmihuanglong', 'methyl 2-[(4,6-dimethoxypyrimidin-2-yl)carbamoylsulfamoylmethyl]benzoate', 'Bensulfuron-methyl [ISO]', 'UNII-QWL4I737BL', 'DPX-F 5384', 'EPA Pesticide Chemical Code 128820', 'QWL4I737BL', 'CHEBI:3017', 'CHEMBL2313154', 'F 5384', 'Methyl alpha-((4,6-dimethoxypyrimidin-2-yl)ureidosulfonyl)-o-toluate', 'Methyl alpha-(4,6-dimethoxypyrimidin-2-ylcarbamoylsulfamoyl)-o-toluate', 'Benzoic acid, 2-[[[[[(4,6-dimethoxy-2-pyrimidinyl)amino]carbonyl]amino]sulfonyl]methyl]-, methyl ester', 'Mariner', 'methyl 2-({[(4,6-dimethoxypyrimidin-2-yl)carbamoyl]sulfamoyl}methyl)benzoate', 'Benzoic acid, 2-((((((4,6-dimethoxy-2-pyrimidinyl)amino)carbonyl)amino)sulfonyl)methyl)-, methyl ester', 'DPX 84', 'methyl 2-{[({[(4,6-dimethoxypyrimidin-2-yl)amino]carbonyl}amino)sulfonyl]methyl}benzoate', '60G', 'DSSTox_CID_4164', 'EC 401-340-6', 'DSSTox_RID_77312', 'DSSTox_GSID_24164', 'SCHEMBL55028', '104466-83-3', '2-[[[[[(4,6-DIMETHOXY-2-PYRIMIDINYL)AMINO]CARBONYL]AMINO]SULFONYL]METHYL]BENZOIC ACID METHYL ESTER', 'DTXSID7024164', 'CTK4A3064', 'ZINC1532062', 'Tox21_200393', 'BDBM50424591', 'AKOS015897329', 'NCGC00164284-01', 'NCGC00164284-02', 'NCGC00164284-03', 'NCGC00257947-01', 'AC-12588', 'AS-12841', 'LS-37156', 'SC-74652', 'AB0012499', 'CAS-83055-99-6', 'DB-056679', 'FT-0630916', 'NS00009444', 'C10937', '055B996', 'A840495', 'Q2896712', 'Bensulfuron-methyl, PESTANAL(R), analytical standard', 'Bianmihuanglong; DPX 84; DPX-F 5384; F 5384; Londax; Mariner', 'Methyl 2-{[3-(4,6-dimethoxypyrimidin-2-yl)ureido]sulfonylmethyl}benzoate', 'methyl alpha-[(4,6-dimethoxypyrimidin-2-ylcarbamoyl)sulfamoyl]-o-toluate', 'methyl 2-((N-(4,6-dimethoxypyrimidin-2-ylcarbamoyl)sulfamoyl)methyl)benzoate', 'Methyl 2-({[(4,6-dimethoxy-2-pyrimidinyl)carbamoyl]sulfamoyl}methyl)benzoate', 'methyl 2-[(4,6-dimethoxypyrimidin-2-yl)aminocarbonylaminosulfonylmethyl]benzoate', 'methyl 2-[[[[[(4,6-dimethoxy-2-pyrimidinyl)amino]carbonyl]amino]sulfonyl]methyl]benzoate', 'methyl bensulfuron;Methyl alpha-((4,6-dimethoxypyrimidin-2-yl)ureidosulphonyl)-o-toluate', '2-[[[(4,6-dimethoxy-2-pyrimidinyl)amino]-oxomethyl]sulfamoylmethyl]benzoic acid methyl ester']</t>
  </si>
  <si>
    <t>Compound(54960)</t>
  </si>
  <si>
    <t>C16H18N4O7S</t>
  </si>
  <si>
    <t>propan-2-yl N-[(2S)-1-[[(1R)-1-(6-fluoro-1,3-benzothiazol-2-yl)ethyl]amino]-3-methyl-1-oxobutan-2-yl]carbamate</t>
  </si>
  <si>
    <t>['Benthiavalicarb-isopropyl', 'Benthiavalicarb isopropyl', '177406-68-7', 'UNII-AJ55PMS5IT', 'AJ55PMS5IT', 'CHEMBL2334743', 'CHEBI:81732', '1-methylethyl ((1S)-1-((((1R)-1-(6-fluoro-2-benzothiazolyl)ethyl)amino)carbonyl)-2-methylpropyl)carbamate', '1-Methylethyl [(1S)-1-[[[(1R)-1-(6-fluoro-2-benzothiazolyl)ethyl]amino]carbonyl]-2-methylpropyl]carbamate', 'isopropyl ((S)-1-{((1R)-1-(6-fluoro-1,3-benzothiazol-2-yl)ethyl)carbamoyl}-2-methylpropyl)carbamate', 'Benthiavalicarb isopropyl [ISO]', 'HSDB 7501', 'KIF 230', 'propan-2-yl N-[(2S)-1-[[(1R)-1-(6-fluoro-1,3-benzothiazol-2-yl)ethyl]amino]-3-methyl-1-oxobutan-2-yl]carbamate', 'SCHEMBL122266', 'DTXSID9058232', 'benthiavalicarb-isopropyl;Carbamic acid, N-[(1S)-1-[[[(1R)-1-(6-fluoro-2-benzothiazolyl)ethyl]amino]carbonyl]-2-methylpropyl]-, 1-methylethyl ester;Isopropyl [(S)-1-{[(R)-1-(6-fluoro-1,3-benzothiazol-2-yl)ethyl]carbamoyl}-2-methylpropyl]carbamate', 'BDBM50430767', 'ZINC43065288', 'AKOS015903066', 'C18415', 'Q27155585', 'Benthiavalicarb-isopropyl 100 microg/mL in Acetonitrile', 'Benthiavalicarb isopropyl, PESTANAL(R), analytical standard', 'isopropyl [(S)-1-[(R)-1(6-fluorobenzothiazol-2-yl)ethylcarbamoyl]-2-methylpropyl]carbamate', 'Isopropyl (1-{[1-(6-fluoro-1,3-benzothiazol-2-yl)ethyl]amino}-3-methyl-1-oxo-2-butanyl)carbamate', 'isopropyl [(2S)-1-{[(1R)-1-(6-fluoro-1,3-benzothiazol-2-yl)ethyl]amino}-3-methyl-1-oxobutan-2-yl]carbamate', 'isopropyl {(S)-1-[(R)-1-(6-fluorobenzothiazol-2-yl)ethylcarbamoyl]-2-methylpropyl}carbamate', 'Propan-2-yl [(2S)-1-{[(1R)-1-(6-fluoro-1,3-benzothiazol-2-yl)ethyl]amino}-3-methyl-1-oxobutan-2-yl]carbamate', 'propan-2-yl N-[(2S)-1-[[(1R)-1-(6-fluoro-1, 3-benzothiazol-2-yl)ethyl]amino]-3-methyl-1-oxobutan-2-yl]carbamate']</t>
  </si>
  <si>
    <t>Compound(53297381)</t>
  </si>
  <si>
    <t>C18H24FN3O3S</t>
  </si>
  <si>
    <t>[(2S)-1-[[(1R)-1-(6-fluoro-1,3-benzothiazol-2-yl)ethyl]amino]-3-methyl-1-oxobutan-2-yl]carbamic acid</t>
  </si>
  <si>
    <t>['Benthiavalicarb', 'UNII-6YZ3ZXJ6WN', '6YZ3ZXJ6WN', '413615-35-7', 'Benthiavalicarb [ISO]', 'benthiavalicarbe', 'SCHEMBL21965', 'DTXSID7058096', 'CHEBI:83601', 'Q818263', '[(1S)-1-{[(1R)-1-(6-fluoro-1,3-benzothiazol-2-yl)ethyl]carbamoyl}-2-methylpropyl]carbamic acid', '[(2S)-1-{[(1R)-1-(6-fluoro-1,3-benzothiazol-2-yl)ethyl]amino}-3-methyl-1-oxobutan-2-yl]carbamic acid', 'N-[(1S)-1-[[[(1R)-1-(6-fluoro-2-benzothiazolyl)ethyl]amino]carbonyl]-2-methylpropyl]carbamic acid']</t>
  </si>
  <si>
    <t>Compound(20593234)</t>
  </si>
  <si>
    <t>C15H18FN3O3S</t>
  </si>
  <si>
    <t>2,2-dioxo-3-propan-2-yl-1H-2lambda6,1,3-benzothiadiazin-4-one</t>
  </si>
  <si>
    <t>['Bentazone', 'bentazon', '25057-89-0', 'Basagran', 'Bendioxide', 'Leader', 'Basagran 480', 'Pentazone', 'Laddok', 'Pledge', 'Basagran-plus', 'Graminon-plus', 'Basagran M', 'Basagran KV', '1H-2,1,3-Benzothiadiazin-4(3H)-one, 3-(1-methylethyl)-, 2,2-dioxide', 'Bentazon [ANSI]', 'Caswell No. 509C', 'BAS 351H', 'Bentazone [BSI:ISO]', 'BAS 3510H', 'BAS 3512H', 'BAS 3517H', 'UNII-R4S7ZGZ9CT', 'BAS 3510', 'BAS 351-07H', 'CCRIS 6977', 'BAS 351-H', 'HSDB 3430', 'EINECS 246-585-8', 'R4S7ZGZ9CT', 'EPA Pesticide Chemical Code 275200', '1H-2,1,3-Benzothiadiazin-4(3H)-one, 3-isopropyl-, 2,2-dioxide', 'BRN 0530220', 'CHEBI:3018', '3-isopropyl-1H-2,1,3-benzothiadiazin-4(3H)-one 2,2-dioxide', '3-Isopropyl-1H-2,1,3-benzothiadiazin-4(3H)-one-2,2-dioxide', '3-Isopropyl-2,1,3-benzothiadiazinon-(4)-2,2-dioxid', '3-Isopropyl-4H-2,1,3-benzothiadiazin-4-one 2,2-dioxide', '3-Isopropyl-1H-benzo-2,1,3-thiadiazin-4-one 2,2-dioxide', '3-Isopropyl-2,1,3-benzothiadiazinon-(4)-2,2-dioxid [German]', '1H-2,1,3-Benzothiadiazin-4(3H)-one-2,2-dioxide, 3-isopropyl-', '3-(1-Methylethyl)-(1H)-2,1,3-benzothiadiazin-4(3H)-one-2,2-dioxide', 'DSSTox_CID_3901', 'DSSTox_RID_77225', 'DSSTox_GSID_23901', 'Adagio', 'CAS-25057-89-0', '2,2-dioxo-3-propan-2-yl-1H-2?^{6},1,3-benzothiadiazin-4-one', 'Spectrum_001851', 'SpecPlus_000462', 'Spectrum2_001889', 'Spectrum3_000831', 'Spectrum4_000671', 'Spectrum5_001976', 'Oprea1_558180', 'Oprea1_729468', 'SCHEMBL53939', 'Bentazon, analytical standard', 'BSPBio_002381', 'KBioGR_001101', 'KBioSS_002368', 'SPECTRUM330039', 'DivK1c_006558', 'SPBio_001798', 'CHEMBL1567045', 'DTXSID0023901', 'CTK4F4881', 'KBio1_001502', 'KBio2_002364', 'KBio2_004932', 'KBio2_007500', 'KBio3_001881', 'ZOMSMJKLGFBRBS-UHFFFAOYSA-', '3-isopropyl-2,2-dioxo-1H-2$l^{6},1,3-benzothiadiazin-4-one', 'BCP27977', 'HY-B2039', 'Tox21_201951', 'Tox21_300742', 'CCG-15052', 'ZINC95630288', '1H-2,1,3-Benzothiadiazin-4(3H)-one, 3-isopropyl-, 2,2-dioxide (8CI)', 'AKOS015897484', 'JC10172', '1H-2,1,3-Benzothiadiazin-4(3H)-one, 3-(1-methylethyl)-, 2,2-dioxide (9CI)', '3-(1-Methylethyl)-1H-2,1,3-benzothiadiazin-4(3H)-one 2,2-dioxide (8CI)(9CI)', 'Bentazone 10 microg/mL in Acetonitrile', 'Bentazone 100 microg/mL in Acetonitrile', 'NCGC00094531-01', 'NCGC00094531-02', 'NCGC00094531-03', 'NCGC00094531-04', 'NCGC00094531-05', 'NCGC00094531-06', 'NCGC00094531-07', 'NCGC00254648-01', 'NCGC00259500-01', 'CC-24281', 'LS-40458', 'O666', 'SC-81110', 'DB-046610', 'Bentazon, PESTANAL(R), analytical standard', 'CS-0014134', 'FT-0638490', 'NS00000236', 'C10965', '057B890', 'A817619', 'C-24262', 'Q148937', 'SR-01000388483', 'SR-01000388483-1', '3-isopropyl-2,1,3-benzothiadiazin-4-one-2,2-dioxide', 'BRD-K33986892-001-02-3', '3-Isopropyl-4-oxo-2,1,3-benzothiadiazine 2,2-dioxide', '2,2-dioxo-3-propan-2-yl-1H-2$l^{6},1,3-benzothiadiazin-4-one', '2,2-dioxo-3-propan-2-yl-1H-2lambda6,1,3-benzothiadiazin-4-one', '2,2-dioxo-3-propan-2-yl-1H-benzo[d][1,2,6]thiadiazin-4-one', '3-(propan-2-yl)-1H-2,1,3-benzothiadiazin-4(3H)-one 2,2-dioxide', '3-(1-Methylethyl)-1H-2,1,3-benzothia-diazin-4(3H)-one 2,2-dioxide', '3-(1-methylethyl)-1H-2,1,3-benzothiadiazin- -4 (3H)-one-2,2-dioxide', '3-(1-methylethyl)-1H-2,1,3-benzothiadiazin-4(3H)-one- -2,2-dioxide', '3-(1-methylethyl)-1H-2,1,3-benzothiadiazin-4(3H)-one-2,2-dioxide', '3-(Propan-2-yl)-2lambda~6~,1,3-benzothiadiazine-2,2,4(1H,3H)-trione', '2,2-bis(oxidanylidene)-3-propan-2-yl-1H-2$l^{6},1,3-benzothiadiazin-4-one', '3-(1-Methylethyl)-1H-2,1,3-benzothiadiazin-4(3H)-one 2,2-dioxide (8CI)', 'Bentazon;bentazone;bentazon;Bentazone-sodium;3-isopropyl-1H-2,1,3-benzothiadiazin-4(3H)-one 2,2-dioxide, sodium salt;3-Isopropyl-2,1,3-benzothiadiazin-4-one 2,2-dioxid']</t>
  </si>
  <si>
    <t>Compound(2328)</t>
  </si>
  <si>
    <t>C10H12N2O3S</t>
  </si>
  <si>
    <t>bentazone-methyl</t>
  </si>
  <si>
    <t>1-methyl-2,2-dioxo-3-propan-2-yl-2lambda6,1,3-benzothiadiazin-4-one</t>
  </si>
  <si>
    <t>['Bentazon methyl', 'N-Methylbentazon', 'UNII-23AT9KEA2R', '61592-45-8', '23AT9KEA2R', 'N-Methylbentazone', 'Bentazone methyl', 'Bentazon methyl derivative', 'Bentazon methyl derivative, analytical standard', 'Bentazone-methyl', '1-methyl-2,2-dioxo-3-propan-2-yl-2?^{6},1,3-benzothiadiazin-4-one', 'N-methyl Bentazone', 'BAS-79520', 'Bentazon methyl ester', 'Bentazone, methylated', 'Bentazone, methyl ester', 'SCHEMBL12059047', 'DTXSID80346332', 'ZINC2521498', 'ACM2225403', '1H-2,1,3-Benzothiadiazin-4(3H)-one, 1-methyl-3-(1-methylethyl)-, 2,2-dioxide', 'Bentazone-methyl 10 microg/mL in Acetonitrile', 'Q27253737', '1-Methyl-3-isopropyl-1H-2,1,3-benzothiadiazine-4(3H)-one 2,2-dioxide', '3-Isopropyl-1-methyl-1H-2,1,3-benzothiadiazin-4(3H)-one 2,2-dioxide #']</t>
  </si>
  <si>
    <t>Compound(611316)</t>
  </si>
  <si>
    <t>C11H14N2O3S</t>
  </si>
  <si>
    <t>['Benzamide', '55-21-0', 'Benzoylamide', 'Benzoic acid amide', 'Phenylcarboxyamide', 'Phenylcarboxamide', 'Benzenecarboxamide', 'Amid kyseliny benzoove', 'Amid kyseliny benzoove [Czech]', 'NSC 3114', 'Phenyl Carboxyamide', 'Benzamide, 99%', 'CCRIS 4594', 'HSDB 6360', 'BENZOIC ACID,AMIDE', 'EINECS 200-227-7', 'UNII-6X80438640', 'BRN 0385876', 'AI3-01031', 'CHEMBL267373', 'CHEBI:28179', 'MFCD00007968', '6X80438640', 'benzamid', 'benzeneamide', 'benzimide', 'N-benzoylamine', 'benzoyl nitrogen', 'benzene carboxamide', 'benzene-carboxamide', 'WLN: ZVR', 'benzene carboximidoic acid', 'PhC(O)NH2', 'Lopac-B-2009', 'ACMC-1AZ9T', 'DSSTox_CID_1709', 'bmse000668', 'PhC(=O)NH2', 'DSSTox_RID_76288', 'DSSTox_GSID_21709', 'Lopac0_000160', 'SCHEMBL16352', '4-09-00-00725 (Beilstein Handbook Reference)', 'benzamide (ACD/Name 4.0)', 'KSC175C0F', 'MLS000069472', 'Benzamide, p.a., 98.0%', 'ARONIS003511', 'DTXSID0021709', 'KS-00000FOV', 'KS-00003WHQ', 'NSC3114', 'HMS2231M11', 'HMS3260O22', 'HMS3371I16', 'ZINC152996', 'CS-Z0019', 'HY-Z0283', 'NSC-3114', 'Tox21_200621', 'Tox21_500160', 'ANW-32259', 'BDBM50106187', 's4715', 'SBB058198', 'STK069333', 'AKOS000118773', 'CCG-204255', 'LP00160', 'LS-1353', 'MCULE-2811211507', 'SDCCGSBI-0050148.P002', 'CAS-55-21-0', 'Benzamide, purum, &gt;=98.0% (HPLC)', 'NCGC00015142-01', 'NCGC00015142-02', 'NCGC00015142-03', 'NCGC00015142-04', 'NCGC00015142-05', 'NCGC00015142-06', 'NCGC00091355-01', 'NCGC00091355-02', 'NCGC00091355-03', 'NCGC00258175-01', 'NCGC00260845-01', 'AK-77684', 'BP-21224', 'DS-17194', 'SC-26846', 'SMR000059089', 'Benzamide, Vetec(TM) reagent grade, 98%', 'B0012', 'B0220', 'EU-0100160', 'FT-0622630', 'FT-0622631', 'NS00009285', 'ST45040306', 'AZ0001-0025', 'B 2009', 'Benzamide, purified by sublimation, &gt;=99.5%', 'C09815', 'M-4040', '12078-EP2272827A1', '12078-EP2275469A1', '12078-EP2284157A1', '12078-EP2284169A1', '12078-EP2287161A1', '12078-EP2287162A1', '12078-EP2287940A1', '12078-EP2289894A2', '12078-EP2289965A1', '12078-EP2292593A2', '12078-EP2295061A1', '12078-EP2295402A2', '12078-EP2295413A1', '12078-EP2295421A1', '12078-EP2295424A1', '12078-EP2295550A2', '12078-EP2298076A1', '12078-EP2298077A1', '12078-EP2298731A1', '12078-EP2298828A1', '12078-EP2300455A2', '12078-EP2301353A1', '12078-EP2301929A1', '12078-EP2301935A1', '12078-EP2301983A1', '12078-EP2305031A1', '12078-EP2305034A1', '12078-EP2305035A1', '12078-EP2305662A1', '12078-EP2305674A1', '12078-EP2305687A1', '12078-EP2308848A1', '12078-EP2308858A1', '12078-EP2311494A1', '12078-EP2314583A1', '12078-EP2314585A1', '12078-EP2316825A1', '12078-EP2316831A1', '12078-EP2371810A1', '74166-EP2308857A1', 'A830526', 'Q417731', 'SR-01000075601', 'SR-01000075601-1', 'Benzamide, zone-refined, purified by sublimation, 99.9%', 'F3145-2903', 'Sulfabenzamide|Sulfabenzid|Sulfabenzide|Sulfabenzoylamide|N-Sulfamylbenzamide']</t>
  </si>
  <si>
    <t>Compound(2331)</t>
  </si>
  <si>
    <t>phenylmethanamine</t>
  </si>
  <si>
    <t>['BENZYLAMINE', 'phenylmethanamine', 'Benzenemethanamine', '100-46-9', 'Monobenzylamine', '1-phenylmethanamine', '(Phenylmethyl)amine', 'alpha-Aminotoluene', '(Aminomethyl)benzene', 'N-Benzylamine', 'Moringine', 'Phenylmethylamine', 'Sumine 2005', 'Aminotoluene', 'benzyl amine', 'Sumine 2006', 'omega-Aminotoluene', '.omega.-Aminotoluene', 'benzyl-amine', 'a-Aminotoluene', '1utj', '1utn', '2bza', 'NSC 8046', 'UNII-A1O31ROR09', '.alpha.-Aminotoluene', '89551-24-6', 'CHEBI:40538', 'HSDB 2795', 'EINECS 202-854-1', 'MFCD00008106', 'TOLUENE,ALPHA-AMINO', 'CHEMBL522', 'BRN 0741984', 'AI3-15299', 'A1O31ROR09', 'Poly(styrene-co-divinylbenzene)', 'Benzylamine, 99%, pure', 'ABN', 'Benzylamine, 99.5+%, AcroSeal(R)', 'benzylarnine', 'bezylamine', 'aminomethylbenzene', 'N-(phenylmethyl)amine', 'BnNH2', 'NH2Bn', 'QuadraPure(TM) BZA', 'Bzl-NH2', 'Benzenemethanamine, 9CI', 'Aminomethylated polystyrene', 'Benzylamine, reagent grade', 'DSSTox_CID_1839', 'SCHEMBL373', 'ACMC-20aj53', 'Epitope ID:141489', 'EC 202-854-1', 'QuadraPure(TM) Benzylamine', 'DSSTox_RID_76359', 'NCIOpen2_007746', 'DSSTox_GSID_21839', '4-12-00-02155 (Beilstein Handbook Reference)', 'KSC178S3P', 'laquo Omegaraquo -aminotoluene', 'Benzylamine, analytical standard', 'DTXSID5021839', 'BDBM10999', 'CTK0H8937', 'NSC8046', 'NSC-8046', 'STR00195', 'ZINC6096244', 'Benzylamine, ReagentPlus(R), 99%', 'Tox21_300933', 'MFCD00130502', 'MFCD08561140', 'SBB040473', 'STL115534', 'AKOS000119096', 'QuadraPure BZA, 400-1100 micron', 'DB02464', 'EBD2211112', 'MCULE-6894874255', 'KS-000002M7', 'NCGC00166029-01', 'NCGC00166029-02', 'NCGC00254835-01', 'CAS-100-46-9', 'LS-43150', 'SC-22771', 'B0406', 'FT-0622834', 'FT-0622836', 'NS00009841', 'ST45255426', 'AZ0001-0093', 'Benzylamine, for GC derivatization, &gt;=99.0%', 'C15562', '13743-EP2269992A1', '13743-EP2270010A1', '13743-EP2272517A1', '13743-EP2277848A1', '13743-EP2277881A1', '13743-EP2280001A1', '13743-EP2280008A2', '13743-EP2281563A1', '13743-EP2281818A1', '13743-EP2284171A1', '13743-EP2284172A1', '13743-EP2284174A1', '13743-EP2287141A1', '13743-EP2287163A1', '13743-EP2289891A2', '13743-EP2289892A1', '13743-EP2292593A2', '13743-EP2295406A1', '13743-EP2295414A1', '13743-EP2295420A1', '13743-EP2295429A1', '13743-EP2295432A1', '13743-EP2295437A1', '13743-EP2298729A1', '13743-EP2298775A1', '13743-EP2298779A1', '13743-EP2305250A1', '13743-EP2305651A1', '13743-EP2305654A1', '13743-EP2305666A1', '13743-EP2305678A1', '13743-EP2305687A1', '13743-EP2305695A2', '13743-EP2305696A2', '13743-EP2305697A2', '13743-EP2305698A2', '13743-EP2308510A1', '13743-EP2308562A2', '13743-EP2308812A2', '13743-EP2308838A1', '13743-EP2308841A2', '13743-EP2308851A1', '13743-EP2308854A1', '13743-EP2308867A2', '13743-EP2308870A2', '13743-EP2311804A2', '13743-EP2311815A1', '13743-EP2311837A1', '13743-EP2314593A1', '13743-EP2316836A1', '13743-EP2371810A1', '13743-EP2371811A2', '13743-EP2380871A1', '13925-EP2295437A1', '13925-EP2298775A1', '13925-EP2298776A1', '13925-EP2308833A2', '13925-EP2311837A1', '13925-EP2314586A1', '13925-EP2316836A1', 'Benzylamine, purified by redistillation, &gt;=99.5%', 'Q424000', 'BRD-K76133116-001-01-2', 'Z54748260', 'F2190-0388', '3F830B2A-ABAA-4E26-971C-53B1C7485954', 'benzylamine;Benzylammonium acetate;Benzylammonium chloride;(benzylamine)trifluoroboron', 'QuadraPure(R) BZA, 400-1100 mum, extent of labeling: 20 mg/g loading, macroporous']</t>
  </si>
  <si>
    <t>Compound(7504)</t>
  </si>
  <si>
    <t>benzyl butyl phthalate</t>
  </si>
  <si>
    <t>2-O-benzyl 1-O-butyl benzene-1,2-dicarboxylate</t>
  </si>
  <si>
    <t>['Benzyl butyl phthalate', '85-68-7', 'BUTYL BENZYL PHTHALATE', 'Sicol', 'Palatinol BB', 'Unimoll BB', 'Santicizer 160', 'Butylbenzyl phthalate', 'n-Butyl benzyl phthalate', 'Sicol 160', 'Benzyl n-butyl phthalate', '1,2-Benzenedicarboxylic acid, butyl phenylmethyl ester', 'Butylbenzylphthalate', 'Phthalic Acid Benzyl Butyl Ester', 'Phthalic acid, benzyl butyl ester', 'Benzyl butylphthalate', 'NCI-C54375', 'NSC 71001', 'Caswell No. 125G', 'UNII-YPC4PJX59M', 'Butyl phenylmethyl 1,2-benzenedicarboxylate', 'benzylbutylphthalate', 'CCRIS 104', 'HSDB 2107', 'Benzyl-butylester kyseliny ftalove', 'EINECS 201-622-7', 'YPC4PJX59M', 'Benzyl Butyl Benzene-1,2-Dicarboxylate', 'BRN 2062204', 'Benzyl-butylester kyseliny ftalove [Czech]', 'AI3-14777', 'DTXSID3020205', '1,2-Benzenedicarboxylic acid, 1-butyl 2-(phenylmethyl) ester', 'CHEBI:34595', '2-O-benzyl 1-O-butyl benzene-1,2-dicarboxylate', 'MFCD00009440', 'NCGC00090780-04', 'AK114582', 'DSSTox_CID_205', 'DSSTox_RID_75431', 'DSSTox_GSID_20205', 'Q-101286', 'phenylmethyl 2-(butoxycarbonyl)benzoate', 'CAS-85-68-7', 'Benzyl butyl phthalate, analytical standard', 'Santicizer S 160', 'santi cizer 160', 'butyl benzyl phtalate', 'benzyl-butyl-phthalate', 'Benzyl butyl phthalated', 'Spectrum_001977', '4mg6', 'Benyl n-butyl phthalate', 'SpecPlus_000622', 'Spectrum2_001805', 'Spectrum3_000871', 'Spectrum4_000711', 'Spectrum5_002070', 'WLN: QVR BVO1R', 'Phthalic acid benzyl butyl', 'ACMC-209q7a', 'EC 201-622-7', 'O2-benzyl O1-butyl benzene-1,2-dicarboxylate', 'Butyl benzyl phtalate (*)', '1, butyl phenylmethyl ester', 'BBP, Benzyl butyl phthalate', 'SCHEMBL49678', 'BSPBio_002541', 'KBioGR_001261', 'KBioSS_002543', 'Benzyl butyl phthalate -BzBP', 'MLS002177799', 'Benzyl butyl phthalate, 98%', 'BIDD:ER0643', 'DivK1c_006718', 'SPBio_001789', '1-Benzyl 2-butyl phthalate #', 'CHEMBL1450327', 'Phthalic acid, benzylbutyl ester', 'CTK3E8736', 'KBio1_001662', 'KBio2_002534', 'KBio2_005102', 'KBio2_007670', 'KBio3_002041', 'HMS3039O09', 'Phthalic acid benzyl n-butyl ester', 'KS-000011GS', 'NSC71001', 'ZINC1696593', 'Tox21_202991', 'Tox21_400057', 'ANW-38228', 'CCG-39615', 'NSC-71001', 's5822', 'SBB061464', 'AKOS015839717', 'phthalic acid benzyl ester butyl ester', 'LS-1849', 'MCULE-4779280535', 'NCGC00090780-01', 'NCGC00090780-02', 'NCGC00090780-03', 'NCGC00090780-05', 'NCGC00260536-01', 'M133', 'SC-18153', 'SMR001261796', 'AX8119127', '1-benzyl 2-butyl benzene-1,2-dicarboxylate', 'FT-0655622', 'FT-0662711', 'P0288', 'ST50319877', 'C14211', 'Q414809', 'BBP / Benzyl butyl phthalate (Butylbenzylphthalate)', '1,2-Benzenedicarboxylic acid butyl phenylmethyl ester', 'BRD-K34359596-001-02-1', 'Phthalic acid, benzylbutyl ester 1000 microg/mL in Cyclohexane', 'Benzyl butyl phthalate, certified reference material, TraceCERT(R)', '27G']</t>
  </si>
  <si>
    <t>Compound(2347)</t>
  </si>
  <si>
    <t>C19H20O4</t>
  </si>
  <si>
    <t>benzyl chloride</t>
  </si>
  <si>
    <t>chloromethylbenzene</t>
  </si>
  <si>
    <t>['BENZYL CHLORIDE', '(Chloromethyl)benzene', '100-44-7', 'Benzylchloride', 'alpha-Chlorotoluene', 'Chloromethylbenzene', 'Benzylchlorid', 'Chlorophenylmethane', 'Tolyl chloride', 'Benzene, (chloromethyl)-', 'Benzene, chloromethyl-', 'Chlorure de benzyle', 'alpha-Chlortoluol', 'a-Chlorotoluene', 'omega-Chlorotoluene', 'RCRA waste number P028', 'NCI-C06360', 'Toluene, ar-chloro-', 'Benzile (cloruro di)', 'Benzyle (chlorure de)', 'Benzylchlorid [German]', 'benzyl-chloride', 'Toluene, alpha-chloro-', 'alpha-Chlortoluol [German]', 'NSC 8043', 'CCRIS 79', 'chloromethyl-benzene', 'Chlorure de benzyle [French]', '.alpha.-Chlortoluol', 'UNII-83H19HW7K6', 'HSDB 368', 'Oxsol 10', '.alpha.-Chlorotoluene', '.omega.-Chlorotoluene', 'Benzile (cloruro di) [Italian]', 'Benzyle (chlorure de) [French]', 'EINECS 202-853-6', 'UN1738', 'RCRA waste no. P028', 'Toluene, .alpha.-chloro-', 'AI3-15518', 'CHEBI:615597', '83H19HW7K6', 'EINECS 246-698-2', 'BRN 0471308', 'Benzyl chloride, 99%, pure, stabilized', '(Chloromethyl)-benzene', 'benzyi chloride', 'benzyl choride', 'BnCl', 'alpha-chloro-toluene', 'Benzile(cloruro di)', 'PhCH2Cl', 'Phenylmethyl chloride', 'Benzyle(chlorure de)', '1-(chloromethyl)benzene', 'ACMC-1BSIO', 'C6H5CH2Cl', 'DSSTox_CID_153', 'EC 202-853-6', 'TOLUENE,ALPHA-CHLORO', 'SCHEMBL7413', 'WLN: G1R', 'DSSTox_RID_75405', 'DSSTox_GSID_20153', 'Benzyl chloride, unstabilized', 'KSC163A7T', 'Benzene, (chloromethyl)- (VA', 'CHEMBL498878', 'Benzyl chloride, AR, &gt;=99%', 'DTXSID0020153', 'KS-00000YOB', 'NSC8043', 'NSC-8043', 'ZINC1586371', 'Tox21_200266', 'ANW-42399', 'LS-305', 'MFCD00000889', 'SBB040645', 'AKOS000118784', 'Benzyl chloride [UN1738] [Poison]', 'MCULE-5056501597', 'UN 1738', 'Benzyl chloride [UN1738]  [Poison]', 'NCGC00090818-01', 'NCGC00090818-02', 'NCGC00257820-01', 'CAS-100-44-7', 'SC-19574', 'Benzyl chloride, purum, &gt;=99.0% (GC)', 'DB-058434', 'LS-154029', 'B0412', 'Benzyl chloride, puriss., &gt;=99.5% (GC)', 'FT-0622815', 'FT-0662715', 'ST50214092', 'C19167', '29457-EP2272817A1', '29457-EP2277878A1', '29457-EP2284157A1', '29457-EP2298746A1', '29457-EP2305668A1', '29457-EP2308875A1', '29457-EP2311825A1', '29457-EP2311842A2', '29457-EP2371831A1', '41092-EP2298734A2', '41092-EP2305668A1', '41092-EP2308873A1', '41092-EP2311831A1', '108795-EP2284166A1', '108795-EP2298762A2', '108795-EP2298769A1', '4-05-00-00809 (Beilstein Handbook Reference)', 'Benzyl chloride, 99.5+%, extra pure, stabilized', 'Q412260', 'Q-200697', 'F2190-0251', 'Benzyl chloride, unstabilized [UN1738]  [Poison, Corrosive]', 'Benzyl chloride, unstabilized [UN1738] [Poison, Corrosive]', 'Benzyl chloride, ReagentPlus(R), 99%, contains &lt;=1% propylene oxide as stabilizer', '9CL']</t>
  </si>
  <si>
    <t>Compound(7503)</t>
  </si>
  <si>
    <t>benzyldimethyldecylammonium chloride</t>
  </si>
  <si>
    <t>benzyldimethyltetradecylammonium chloride</t>
  </si>
  <si>
    <t>benzyldimethylhexadecylammonium chloride</t>
  </si>
  <si>
    <t>benzyl-hexadecyl-dimethylazanium;chloride</t>
  </si>
  <si>
    <t>['122-18-9', 'Cetalkonium chloride', 'Benzyldimethylhexadecylammonium chloride', 'Bonjela', 'Cetyl zephiran', 'Cetyldimethylbenzylammonium chloride', 'Bicetonium', 'Banicol', 'Acinol', 'N-Benzyl-N,N-dimethylhexadecan-1-aminium chloride', 'Benzylhexadecyldimethylammonium chloride', 'Baktonium', 'Benzaletas', 'Tetraseptan', 'Cetylon', 'Dmcbac', 'Spilan', 'Zettyn', 'Cdbac', 'Cetol', 'Ammonyx G', 'Ammonyx T', 'Dehyquart CBB', 'Benzylcetyldimethylammonium chloride', 'Pharycidin Concentrate', 'Winzer solution', 'Dehyquart CDB', 'Hexadecyl dimethyl benzyl ammonium chloride', 'Dimethylbenzylhexadecylammonium chloride', 'Cetylbenzyldimethylammonium chloride', 'Dimethylbenzylcetylammonium chloride', 'N-Benzyl-N-cetyldimethylammonium chloride', 'Win 357', 'RODALON', 'Hexadecyldimethylbenzylammonium chloride', 'n-Hexadecyldimethylbenzylammonium chloride', 'Benzyldimethylcetylammonium chloride', 'Cetalconio cloruro [DCIT]', 'Benzenemethanaminium, N-hexadecyl-N,N-dimethyl-, chloride', 'Hexadecylbenzyldimethylammonium chloride', 'UNII-85474O1N9D', 'Cetalkonii chloridum [INN-Latin]', 'EINECS 204-526-3', 'Cloruro de cetalconio [INN-Spanish]', 'MFCD00011625', 'NSC 32942', 'Chlorure de cetalkonium [INN-French]', 'Cetalkonium chloride [USAN:INN:BAN]', 'Cetyl dimethyl benzyl ammonium chloride', 'Benzyl hexadecyl dimethyl ammonium chloride', 'AI3-03464', 'Ammonium, benzylhexadecyldimethyl-, chloride', 'N-Hexadecyl-N,N-dimethylbenzenemethanaminium chloride', 'Benzenemethaminium, N-hexadecyl-N,N-dimethyl, chloride', 'BenzylcetyldiMethylaMMoniuM Chloride Hydrate', '85474O1N9D', 'AK106153', 'Ammonium, benzyldimethylhexadecyl-, chloride', 'DSSTox_CID_21665', 'DSSTox_RID_79809', 'DSSTox_GSID_41665', 'W-109454', 'Cloruro de cetalconio', 'Benzenemethanaminium, N-hexadecyl, N,N-dimethyl-, chloride', 'Chlorure de cetalkonium', 'Zettyn chloride', 'Benzenemethanaminium, N-hexadecyl-N,N-dimethyl-, chloride (1:1)', 'Sanisol C', 'Cetalconio cloruro', 'CAS-122-18-9', 'Cetalkonii chloridum', 'NCGC00167582-01', 'Benzyldimethylhexadecylammonium chloride, hydrate, 97%', '16-BAC', 'Zettyn (TN)', 'benzyl-hexadecyl-dimethylazanium;chloride', 'Cetalkonium (Chloride)', 'Benzyldimethyl-n-hexadecylammonium chloride', 'DSSTox_RID_82703', 'Zephirol Related Compound 2', 'DSSTox_GSID_48122', 'SCHEMBL59931', 'KSC176G3B', 'CHEMBL1644450', 'DTXSID3041665', 'CTK0H6330', 'Benylcetyldimethylammonium chloride', 'Cetalkonium chloride (USAN/INN)', 'KS-000001RC', 'NSC32942', 'Tox21_112574', 'Tox21_301833', 'Tox21_302079', 'ANW-17961', 'NSC-32942', 'AKOS015914910', 'Tox21_112574_1', 'SC10040', 'ACM122189|1', 'ACM30251106', 'Benzylhexadecyldimethyl ammonium chloride', 'NCGC00255210-01', 'NCGC00255704-01', 'NCGC00344524-01', 'AS-17528', 'Benzylhexadecyldimethylammonium (chloride)', 'BP-30079', 'LS-16803', 'SC-19018', 'AX8116269', 'CAS-63449-41-2', 'B0237', 'FT-0625070', 'V0576', 'Benzenemethanaminium, N,N-dimethyl-, chloride', 'D03448', 'N-Benzyl-N,N-dimethyl-1-hexadecanaminium chloride', 'Q18345315', 'Benzyldimethylhexadecylammonium chloride, cationic detergent', 'UNII-9U1Q4T4ZYS component SXPWTBGAZSPLHA-UHFFFAOYSA-M', 'UNII-F5UM2KM3W7 component SXPWTBGAZSPLHA-UHFFFAOYSA-M', 'Benzyldimethylhexadecylammonium chloride, &gt;=97.0% (dried material, AT)', 'Benzyldimethylhexadecylammonium chloride, Vetec(TM) reagent grade, 97%']</t>
  </si>
  <si>
    <t>Compound(31202)</t>
  </si>
  <si>
    <t>C25H46ClN</t>
  </si>
  <si>
    <t>benzyldimethyloctadecylammonium chloride</t>
  </si>
  <si>
    <t>benzyl-dimethyl-octadecylazanium;chloride</t>
  </si>
  <si>
    <t>['122-19-0', 'Stearyldimethylbenzylammonium chloride', 'Stearalkonium chloride', 'Stedbac', 'Stebac', 'Orthosan MB', 'Quaternol 1', 'Ammonyx 4', 'Ammonyx CA special', 'Carsoquat sdq-25', 'Carsoquat sdq-85', 'Intexsan SB-85', 'Ammonyx 490', 'Intexan SB-85', 'Benzyldimethyloctadecylammonium chloride', 'BENZYLDIMETHYLSTEARYLAMMONIUM CHLORIDE', 'N-benzyl-N,N-dimethyloctadecan-1-aminium chloride', 'Algene SC 25', 'Ammonyx 4002', 'Triton CG 500', 'J Soft C 4', 'Alkaquat DMB-ST', 'Varisoft SDC 85', 'Benzyldimethyl(octadecyl)ammonium chloride', 'Incroquat SDQ 25', 'Ammonyx 485', 'Barquat SB-25', 'Mackernium SDC 25', 'Mackernium SDC 85', 'Maquat SC 18', 'Triton X-40', '2B (onium compound)', 'Benzylstearyldimethylammonium chloride', 'Larostat HTS 905', 'Cation S (surfactant)', 'Triton CG 400', 'Triton X-400', 'Dimethylbenzyloctadecylammonium chloride', 'Dimethyloctadecylbenzylammonium chloride', 'Octadecyldimethylbenzylammonium chloride', 'Arquad DM18B-90', 'Swanol CA 1485', 'Benzenemethanaminium, N,N-dimethyl-N-octadecyl-, chloride', 'Nissan cation S2-100', 'UNII-0OUO26BB88', 'Benzyloctadecyldimethylammonium chloride', 'Octadecylbenzyldimethylammonium chloride', 'Tallow benzyl dimethyl ammonium chloride', 'CCRIS 6022', 'SDQ 25', 'SDQ 85', 'Dimethyl octadecyl benzyl ammonium chloride', 'HSDB 6123', 'EINECS 204-527-9', 'NSC 20199', 'Dimethyl(N-octadecylphenylmethyl)ammonium chloride', 'Benzenemethanaminium, N,N-dimethyl-N-octadecyl-, chloride (1:1)', 'N-Octadecyl-N-benzyl-N,N-dimethylammonium chloride', 'N,N-Dimethyl-N-octadecylbenzenemethanaminium chloride', 'Stearyl dimethyl benzyl ammonium chloride', 'AI3-09119', '0OUO26BB88', 'Ammonium, benzyldimethyloctadecyl-, chloride', 'N,N-Dimethyl-N-benzyl-N-octadecylammonium chloride', '2B', 'Benzyl dimethyl stearyl ammonium chloride', 'Varisoft sdc', 'Ammonyx4', 'Baraquat sb-25', 'Triton X 40', 'Triton X400', 'Triton X 400', 'ACMC-1BQIN', 'DSSTox_CID_5139', 'C27H50ClN', 'DSSTox_RID_77683', 'Zephirol Related Compound 3', 'DSSTox_GSID_25139', 'SCHEMBL23690', 'CHEMBL118663', 'DTXSID2025139', 'CTK3J6976', 'KS-000013PD', 'NSC20199', 'Tox21_200419', 'LS-662', 'NSC-20199', 'AKOS015891184', 'ING0002504', 'benzyl-dimethyl-octadecylazanium;chloride', 'Benzyldimethylstearylammonium (Chloride)', 'octadecyldimethylbenzyl ammonium chloride', 'NCGC00257973-01', 'CAS-122-19-0', 'Octadecyldimethyl benzyl ammonium chloride', 'BenzyldimethylstearylammoniumChlorideHydrate', 'AX8116284', 'FT-0674648', 'V0577', 'N,N-dimethyl-N-octadecylbenzylammonium chloride', 'n,n-dimethyl-n-octadecyl-n-benzylammonium chloride', 'Q7605501', 'W-108436', 'WLN: 18K1 &amp; 1 &amp; 1R &amp; Q &amp; G', 'Benzenemethanaminium,N-dimethyl-N-octadecyl-, chloride', 'N,N-DIMETHYL-N-OCTADECYLBENZENEMETHANAMINIUMCHLORIDE']</t>
  </si>
  <si>
    <t>Compound(31204)</t>
  </si>
  <si>
    <t>C27H50ClN</t>
  </si>
  <si>
    <t>benzyldimethyloctylammonium chloride</t>
  </si>
  <si>
    <t>benzyl-dimethyl-octylazanium;chloride</t>
  </si>
  <si>
    <t>['Benzyldimethyloctylammonium chloride', '959-55-7', 'UNII-OC19CZY82T', 'Octyl-dimethyl-benzylammonium chloride', 'EINECS 213-502-1', 'OC19CZY82T', 'Benzenemethanaminium, N,N-dimethyl-N-octyl-, chloride', 'N-Caprylyl-N,N-dimethylbenzylammonium chloride', 'N,N-Dimethyl-N-octylbenzenemethanaminium chloride', 'Benzenemethanaminium, N,N-dimethyl-N-octyl-, chloride (1:1)', 'AMMONIUM, BENZYLDIMETHYLOCTYL-, CHLORIDE', 'benzyl-dimethyl-octylazanium;chloride', 'SCHEMBL28965', 'CHEMBL3277499', 'DTXSID6041634', 'CTK3I9548', 'dimethyloctylbenzylammonium chloride', 'benzyl-dimethyl-octyl-ammonium chloride', 'LS-16814', 'SC-51680', 'Benzyldimethyloctylammonium chloride, &gt;=96.0% (AT)', 'Q27285562', 'Alkyl(68%C12,32%C14) dimethyl benzyl ammonium chloride']</t>
  </si>
  <si>
    <t>Compound(13740)</t>
  </si>
  <si>
    <t>C17H30ClN</t>
  </si>
  <si>
    <t>N-benzyl-7H-purin-6-amine</t>
  </si>
  <si>
    <t>['6-Benzylaminopurine', '1214-39-7', 'N6-Benzyladenine', 'Benzyladenine', 'N-Benzyl-9H-purin-6-amine', 'N-Benzyladenine', '6-Benzyladenine', '6-(Benzylamino)purine', 'Cytokinin B', 'Benzylaminopurine', '6-BAP', 'Adenine, N-benzyl-', 'N(6)-Benzylaminopurine', 'N-benzyl-7H-purin-6-amine', 'Benzyl(purin-6-yl)amine', 'Aminopurine, 6-benzyl', '1H-PURIN-6-AMINE, N-(PHENYLMETHYL)-', 'BA (Growth stimulant)', 'Pro-Shear', 'BAP (growth stimulant)', 'N(sup 6)-Benzyladenine', '6-Benzyl adenine', '6-(N-Benzylamino)purine', 'N-6-Benzyladenine', 'Verdan senescence inhibitor', 'N-(Phenylmethyl)-1H-purin-6-amine', '6-BA', 'N(sup 6)-(Benzylamino)purine', 'Caswell No. 081EE', 'N(6)-(benzylamino)purine', 'UNII-KXG6A989PS', 'BaP', 'Adenine, N(sup 6)-benzyl-', 'SD 4901', 'SQ 4609', 'CCRIS 4351', 'benzylpurin-6-ylamine', '6-(n-benzyl)aminopurine', 'ABG 3034', '6-[(phenylmethyl)amino]-9H-purine', 'EINECS 214-927-5', 'NSC 40818', 'EPA Pesticide Chemical Code 116901', 'KXG6A989PS', 'N-benzyl-1H-purin-6-amine', 'MLS000532693', 'CHEMBL228862', 'benzyl-(7h-purin-6-yl)-amine', 'CHEBI:29022', 'n(6)-benzyladenine', 'n6-benzylaminopurine', 'MFCD00005572', '9H-Purin-6-amine, N-(phenylmethyl)-', 'benzylaminopurine, 6-', 'SMR000140130', 'CAS-1214-39-7', '6-Benzylaminopurine, 99%', '6-benzyladenine 6-benzylaminopurine', 'HSDB 7667', 'N-Benzyl-adenine', 'Benzyl Aminopurine', 'BAP (cytokinin)', '((2r,3s,4r,5r)-5-(4-amino-2-oxopyrimidin-1(2h)-yl)-3,4-dihydroxytetrahydrofuran-2-yl)methyltriphosph', 'Prestwick_414', '6-benzylamino purine', 'PubChem9266', 'Adenine, N6-benzyl-', 'N-Benzyladenine, 8CI', 'N(Sup6)-Benzyladenine', 'BA (growth stimulator)', 'ACMC-1CACB', 'Opera_ID_868', 'Prestwick0_000189', 'Prestwick1_000189', 'Prestwick2_000189', 'Prestwick3_000189', 'N(Sup 6)-benzyl-Adenine', 'CBKinase1_000521', 'CBKinase1_012921', 'Cambridge id 5131951', 'TimTec1_001722', 'DSSTox_CID_12630', 'DSSTox_RID_79014', '6-(Benzylamino)-9H-purine', 'DSSTox_GSID_32630', 'Oprea1_747691', 'Oprea1_785203', 'Oprea1_830563', 'SCHEMBL35562', 'BSPBio_000117', 'CBDivE_001815', 'MLS001074298', 'N6-benzyl-9H-purin-6-amine', 'SPBio_002038', '6-Benzylaminopurine, 99.0%', 'BPBio1_000129', 'DTXSID7032630', 'CTK4D1317', 'CTK5J6355', 'NWBJYWHLCVSVIJ-UHFFFAOYSA-', 'ZINC43479', 'HMS1538O06', 'HMS1568F19', 'HMS1667I06', 'HMS2095F19', 'HMS2234B24', 'HMS3374C09', 'HMS3712F19', 'Benzyladenine (6-Benzylaminopurine)', 'HY-B0941', 'NSC40818', 'STR06184', '6-Benzylaminopurine; Benzyl Kinetin', 'N-(phenylmethyl)-7H-purin-6-amine', 'Tox21_301307', 'ANW-17632', 'BDBM50205363', 'CCG-55533', 'GEO-00296', 'MFCD00051031', 'N-(Phenylmethyl)-9H-Purin-6-amine', 'NSC-40818', 's4511', 'STK858495', 'AKOS002304241', 'AKOS005257767', '7H-purin-6-amine, N-(phenylmethyl)-', 'AC-5488', 'AM84356', 'CCG-220189', 'KS-5285', 'LS40236', 'MCULE-1256228871', 'PS-3425', '6-Benzylaminopurine, analytical standard', 'KS-00000A54', 'N-benzyl-9H-purin-6-amine, AldrichCPR', 'NCGC00016571-01', 'NCGC00016571-02', 'NCGC00016571-03', 'NCGC00016571-04', 'NCGC00016571-05', 'NCGC00255357-01', 'AK-47425', 'BR-47425', 'LS-15063', 'SC-00593', 'ST020598', 'SY014632', '6-Benzylaminopurine, &gt;=99.0% (HPLC)', 'B1088', 'FT-0620956', 'NS00005241', 'EN300-40176', '14B397', '6-Benzylaminopurine, plant cell culture tested', 'A13053', 'B-1000', 'C11263', 'M-4965', 'Q419946', 'SR-01000644553', '6-Benzylaminopurine, Vetec(TM) reagent grade, 98%', 'SR-01000644553-1', 'SR-01000644553-2', 'BA ;  N6-Benzyladenine ;  N6-Benzyladenine ;  BA', 'BRD-K62929068-001-05-8', 'BRD-K62929068-001-15-7', '6-Benzylaminopurine, ReagentPlus(R), &gt;=99.0% (HPLC)', 'F0578-0089', '2B76FFBD-3C3A-4349-9047-E5B8945B54A7', '9H-Purin-6-amine,N-(phenylmethyl)-, hydrochloride (1:1)', '6-Benzylaminopurine solution, 1 mg/mL, plant cell culture tested', '6-Benzyladenine;Benzyl(purin-6-yl)amine;BENZYLADENINE;benzyl(purin-6-yl)amine']</t>
  </si>
  <si>
    <t>Compound(62389)</t>
  </si>
  <si>
    <t>C12H11N5</t>
  </si>
  <si>
    <t>benzyl benzoate</t>
  </si>
  <si>
    <t>['BENZYL BENZOATE', '120-51-4', 'Benzoic acid, phenylmethyl ester', 'Ascabiol', 'Benylate', 'Novoscabin', 'Benzoic acid benzyl ester', 'Ascabin', 'Scabitox', 'Scobenol', 'Benzyl phenylformate', 'Phenylmethyl benzoate', 'Benzoic acid, benzyl ester', 'Benzylets', 'Colebenz', 'Peruscabin', 'Scabagen', 'Scabanca', 'Scabiozon', 'Vanzoate', 'Scabide', 'Benzyl benzenecarboxylate', 'benzylbenzoate', 'Antiscabiosum', 'Benzyl alcohol benzoic ester', 'Peruscabina', 'Spasmodin', 'Venzonate', 'Benzylis benzoas', 'Benzylum benzoicum', 'Benzylester kyseliny benzoove', 'Benzoesaeurebenzylester', 'BENZOIC ACID PHENYLMETHYLESTER', 'Caswell No. 082', 'Benzylbenzenecarboxylate', 'FEMA Number 2138', 'Benzyl benzoate (natural)', 'NSC 8081', 'UNII-N863NB338G', 'FEMA No. 2138', 'HSDB 208', 'EINECS 204-402-9', 'Benzylester kyseliny benzoove [Czech]', 'EPA Pesticide Chemical Code 009501', 'BRN 2049280', 'CHEMBL1239', 'AI3-00523', 'CHEBI:41237', 'N863NB338G', 'MFCD00003075', 'NCGC00094981-03', 'Benzyl benzoate, 99+%', 'DSSTox_CID_9153', 'DSSTox_RID_78686', 'DSSTox_GSID_29153', 'Venzoate', 'Benzyl benzoate, analytical standard', 'BZM', 'CAS-120-51-4', 'SMR000471875', 'benzylbenzoat', 'Benzyl benzoate [USP:JAN]', 'Acarobenzyl', 'Benzevan', 'Bengal', 'Benzyl benzoate [USAN:JAN]', 'Benzyl Benzoate.', '1dzm', 'Benylate (TN)', 'benzoic acid benzyl', 'Spectrum_001240', 'Benzoic acid-benzyl ester', 'Spectrum2_000532', 'Spectrum3_001757', 'Spectrum4_000773', 'Spectrum5_001128', 'ACMC-1C8AP', 'WLN: RVO1R', 'Benzyl benzoate, &gt;=99%', 'EC 204-402-9', 'SCHEMBL3038', 'BENZYL BENZOATE BP98', 'BSPBio_003494', 'KBioGR_001186', 'KBioSS_001720', '4-09-00-00307 (Beilstein Handbook Reference)', 'KSC174Q0R', 'MLS001066412', 'MLS001336003', 'MLS001336004', 'DivK1c_000204', 'SPECTRUM1503002', 'SPBio_000543', 'Benzyl benzoate (JP17/USP)', 'ZINC1021', 'DTXSID8029153', 'BENZOIC ACID,BENZYL ESTER', 'CTK0H4808', 'HMS500K06', 'KBio1_000204', 'KBio2_001720', 'KBio2_004288', 'KBio2_006856', 'KBio3_002714', 'KS-00000UHX', 'NSC8081', 'NINDS_000204', 'HMS1921P16', 'HMS2092F20', 'HMS2269D24', 'Pharmakon1600-01503002', 'HY-B0935', 'NSC-8081', 'Tox21_111372', 'Tox21_201337', 'Tox21_303418', 'ANW-17509', 'BDBM50134035', 'CCG-39578', 'NSC758204', 's4599', 'SBB058609', 'STL183088', 'AKOS003495939', 'Benzyl benzoate, &gt;=99%, FCC, FG', 'Tox21_111372_1', 'DB00676', 'LS-2573', 'MCULE-4369643785', 'NSC-758204', 'IDI1_000204', 'Benzyl benzoate, for synthesis, 99.0%', 'NCGC00094981-01', 'NCGC00094981-02', 'NCGC00094981-04', 'NCGC00094981-05', 'NCGC00094981-07', 'NCGC00257502-01', 'NCGC00258889-01', 'AC-17033', 'AK308304', 'SBI-0051748.P002', 'DB-041563', 'B0064', 'FT-0622708', 'NS00006239', 'ST50406335', 'Benzyl benzoate, natural, &gt;=99%, FCC, FG', 'Benzyl benzoate, ReagentPlus(R), &gt;=99.0%', 'Benzyl benzoate, SAJ first grade, &gt;=98.0%', 'Benzyl benzoate, tested according to Ph.Eur.', 'A14577', 'A19449', 'Benzyl benzoate, SAJ special grade, &gt;=99.0%', 'C12537', 'D01138', 'AB00052298_07', 'Benzyl benzoate, Vetec(TM) reagent grade, 98%', 'benzyl benzoate;Benzyl Benzoate;BENZYL BENZOATE', 'Benzyl benzoate, meets USP testing specifications', 'Q413755', 'SR-01000763773', 'Benzoic acid-benzyl ester 5000 microg/mL in Hexane', 'Q-200696', 'SR-01000763773-2', 'BRD-K52072429-001-06-1', 'Benzoic acid benzyl ester; Benzoic acid phenylmethyl ester', 'Benzyl benzoate, certified reference material, TraceCERT(R)', 'Benzyl benzoate, United States Pharmacopeia (USP) Reference Standard', 'Benzyl benzoate, Pharmaceutical Secondary Standard; Certified Reference Material']</t>
  </si>
  <si>
    <t>Compound(2345)</t>
  </si>
  <si>
    <t>C14H12O2</t>
  </si>
  <si>
    <t>ethyl 4-aminobenzoate</t>
  </si>
  <si>
    <t>['benzocaine', 'Ethyl 4-aminobenzoate', '94-09-7', 'Ethyl aminobenzoate', 'Ethyl p-aminobenzoate', 'Americaine', 'Anesthesin', 'Anaesthesin', 'Ethoform', 'Norcaine', 'Orthesin', 'Parathesin', '4-Aminobenzoic acid ethyl ester', 'Amben ethyl ester', 'p-Carbethoxyaniline', 'Anaesthin', 'Anestezin', 'Anesthesine', 'Anesthone', 'Dermoplast', 'Hurricaine', 'Identhesin', 'Parathesine', 'Keloform', 'Norcain', 'Topcaine', 'Anaesthan-syngala', 'Ora-jel', 'Solarcaine', 'Solu H', 'p-Ethoxycarboxylic aniline', '4-Carbethoxyaniline', 'Baby Anbesol', 'Benzocainum', 'Benzoic acid, 4-amino-, ethyl ester', 'p-(Ethoxycarbonyl)aniline', 'Ethyl p-aminophenylcarboxylate', 'Benzocaina', '4-(Ethoxycarbonyl)aniline', 'p-Aminobenzoic acid ethyl ester', 'Anaesthesinum', 'Aethoform', 'Bensokain', 'Ethoforme', 'Norcainum', 'Ethyl PABA', 'Ethylis aminobenzoas', 'Anestezin [Russian]', 'Outgro', '4-Aminobenzoic acid, ethyl ester', 'Aethylium paraminobenzoicum', 'Benzocainum [INN-Latin]', 'Benzocaina [INN-Spanish]', '4-amino-benzoic acid ethyl ester', 'Ethyl aminobenzoate (VAN)', 'ETHYL4-AMINOBENZOATE', 'h-4-abz-oet', 'Ethylester kyseliny p-aminobenzoove', 'ETHYL-P-AMINOBENZOATE', 'Benzoic acid, p-amino-, ethyl ester', 'Caswell No. 430A', 'p-Aminobenzoic acid, ethyl ester', 'UNII-U3RSY48JW5', '9011-18-1', 'HSDB 7225', 'CHEBI:116735', 'Ethylester kyseliny p-aminobenzoove [Czech]', 'EINECS 202-303-5', 'NSC 41531', 'EPA Pesticide Chemical Code 097001', 'BRN 0638434', 'U3RSY48JW5', 'Ethyl 4-aminobenzoate, 98%', 'AI3-02081', '4-aminobenzoic acid-ethyl ester', 'NSC-4688', 'MFCD00007892', 'NSC-41531', 'CAS-94-09-7', 'NCGC00016352-01', 'Chloraseptic', 'Otocain', 'DSSTox_CID_1804', 'WLN: ZR DVO2', 'DSSTox_RID_76338', 'DSSTox_GSID_21804', 'Finafta', 'Benzocaine [INN:BAN]', 'Parathesin (TN)', 'SMR000059025', 'ethylaminobenzoate-4', 'Benzocaine (USP/INN)', 'SR-05000001573', 'Dextran sulfate sodium salt, approx. M.W. 500,000', 'p-Aminobenzoic ethyl ester', 'Benzoak', 'Benzocain', 'Benzocaine [USP:INN:BAN]', 'Vagisil', 'Dextran sulfate sodium salt, approx. M.W. 6,500 - 10,000', 'Benzocaine USP', 'Diet Ayds', 'Orabase-B', 'Slim Mint Gum', 'Prestwick_991', '4-carboethoxyaniline', 'ethyl 4aminobenzoate', 'ethyl 4-aminobenzate', 'ethyl 4-aminobezoate', 'Outgro (Salt/Mix)', 'Anbesol (Salt/Mix)', 'Vagisil (Salt/Mix)', 'ethyl-4-aminobenzoate', 'p-ethoxycarbonylaniline', '4-ethoxycarbonylaniline', 'ethyl p-amino-benzoate', 'ethyl-p-amino-benzoate', 'Ethyl aminobenzoic acid', 'Cough-X (Salt/Mix)', 'Spectrum_000074', 'Ethyl 4-amino-benzoate', 'ethyl 4-(amino)benzoate', 'Ethyl p-aminobenzoic acid', 'Prestwick0_000712', 'Prestwick1_000712', 'Prestwick2_000712', 'Prestwick3_000712', 'Spectrum2_000117', 'Spectrum3_000314', 'Spectrum4_000249', 'Spectrum5_000860', 'ethyl 4-aminobenzoic acid', 'Epitope ID:114084', 'SAMPL3, G4', 'Ethyl aminobenzoate (JP17)', 'Oprea1_750694', 'Oprea1_827402', 'SCHEMBL25100', 'BSPBio_000923', 'BSPBio_001908', 'KBioGR_000658', 'KBioSS_000474', '4-(Ethoxycarbonyl)phenylamine', '4-14-00-01129 (Beilstein Handbook Reference)', 'AE-562/40377256', 'KSC264M8P', 'MLS001331704', 'MLS002153970', 'ARONIS27057', 'DivK1c_000932', 'SPECTRUM1500139', '(p-(Ethoxycarbonyl)phenylamine', 'Ethyl p-aminobenzenecarboxylate', 'SPBio_000134', 'SPBio_002844', 'ACMC-20978l', 'AR01', 'BPBio1_001017', 'CHEMBL278172', 'DTXSID8021804', 'ETHYL PARA AMINO BENZOATE', 'HMS502O14', 'KBio1_000932', 'KBio2_000474', 'KBio2_003042', 'KBio2_005610', 'KBio3_001408', 'p-amino benzoic acid ethyl ester', '4-amino benzoic acid ethyl ester', 'NSC4688', 'NINDS_000932', 'AR-01', 'BDBM197282', 'HMS1570O05', 'HMS1920G09', 'HMS2091M11', 'HMS2097O05', 'HMS2233H21', 'HMS3371D08', 'HMS3652H13', 'HMS3714O05', 'Pharmakon1600-01500139', 'component of Tympagesic (Salt/Mix)', 'CS-B0934', 'HY-Y0258', 'KS-000009QS', 'KS-000048JY', 'NSC41531', 'STR01509', 'Tox21_110391', 'Tox21_301149', 'ANW-13651', 'BBL010501', 'CCG-38918', 'NSC755909', 's4210', 'SBB028356', 'STK043620', 'ZINC12358719', 'AKOS000119763', 'Benzocaine 1.0 mg/ml in Acetonitrile', 'Tox21_110391_1', 'AC-8127', 'ACN-034789', 'AS04671', 'DB01086', 'EBD2186554', 'MCULE-6566052626', 'NSC-755909', 'IDI1_000932', 'Benzocaine, purum, &gt;=99.0% (HPLC)', 'Benzocaine, tested according to Ph.Eur.', 'NCGC00016352-02', 'NCGC00016352-03', 'NCGC00016352-04', 'NCGC00016352-07', 'NCGC00094598-01', 'NCGC00094598-02', 'NCGC00255047-01', 'AK-46733', 'Ethyl 4-aminobenzoate, 98.0-101.0%', 'LS-35847', 'M024', 'SC-18075', 'SBI-0051293.P003', 'component of Solarcaine aerosol (Salt/Mix)', 'A0271', 'AB00051923', 'BB 0258778', 'FT-0624536', 'FT-0625762', 'FT-0662548', 'NS00001814', 'ST45255315', 'SW197074-3', '1324-EP2280008A2', '1324-EP2315502A1', 'A14560', 'C07527', 'D00552', 'M-5932', '66567-EP2284157A1', '66567-EP2308851A1', 'AB00051923_09', 'AB00051923_10', 'component of Anbesol maximum strength (Salt/Mix)', 'Q422745', 'Ethyl 4-aminobenzoate, SAJ first grade, &gt;=99.0%', 'Q-200688', 'SR-05000001573-1', 'SR-05000001573-3', 'BRD-K75466013-001-05-2', 'BRD-K75466013-001-08-6', 'Ethyl 4-aminobenzoate, Vetec(TM) reagent grade, 98%', 'F2190-0448', 'Benzocaine, European Pharmacopoeia (EP) Reference Standard', 'Benzocaine, United States Pharmacopeia (USP) Reference Standard', 'Benzocaine hydrochloride;Benzocaine;ethyl-4-aminobenzoate;BENZOCAINE', 'Benzocaine, Pharmaceutical Secondary Standard; Certified Reference Material']</t>
  </si>
  <si>
    <t>Compound(2337)</t>
  </si>
  <si>
    <t>C9H11NO2</t>
  </si>
  <si>
    <t>4-(4-aminophenyl)aniline</t>
  </si>
  <si>
    <t>['BENZIDINE', '92-87-5', "4,4'-Diaminobiphenyl", 'p-Diaminodiphenyl', "[1,1'-Biphenyl]-4,4'-diamine", '4-(4-aminophenyl)aniline', "4,4'-Bianiline", "4,4'-Biphenyldiamine", "4,4'-Diaminodiphenyl", "biphenyl-4,4'-diamine", "4,4'-Biphenylenediamine", "4,4'-Diphenylenediamine", "p,p'-Diaminobiphenyl", 'p,p-Bianiline', 'Fast Corinth Base B', "p,p'-Dianiline", 'Benzidin', 'Benzidina', 'Benzydyna', "p,p'-Bianiline", 'Benzioine', 'RCRA waste number U021', "4,4'-Diamino-1,1'-biphenyl", "1,1'-Biphenyl-4,4'-Diamine", 'Benzidine base', 'p-Benzidine', 'C.I. Azoic Diazo Component 112', 'Benzidin [Czech]', 'Benzydyna [Polish]', 'Benzidina [Italian]', "(1,1'-Biphenyl)-4,4'-diamine", 'NCI-C03361', "Biphenyl, 4,4'-diamino-", 'CCRIS 71', 'NSC 146476', 'UNII-2X02101HVF', 'CI Azoic diazo component 112', 'HSDB 948', 'C.I. 37225', 'EINECS 202-199-1', 'UN1885', "Biphenyl,4,4'-diamino-", 'Benzidine (and its salts)', 'RCRA waste no. U021', 'BRN 0742770', 'CI 37225', "biphenyl -4,4'-ylenediamine", 'AI3-00140', 'CHEBI:80495', '2X02101HVF', "4,4'-Benzidine", 'Benzidine sulphate', 'DSSTox_CID_137', 'DSSTox_RID_75390', 'DSSTox_GSID_20137', '4-(4-aminophenyl)phenylamine', 'CAS-92-87-5', 'Bensidine', "[1,1'-Biphenyl]-4,4'-diamine, hydrochloride (1:2)", "p,p'-diaminodiphenyl", "[1,4'-diamine", "Biphenyl,4'-diamino-", "4.4'- diaminobiphenyl", 'Acetoacet para Phenetidine', 'WLN: ZR DR DZ', "4, 4'-Biphenylenediamine", 'Oprea1_312205', 'SCHEMBL29021', '4-13-00-00364 (Beilstein Handbook Reference)', 'MLS002303016', 'ARONIS24425', 'Benzidine, analytical standard', 'BIDD:GT0832', 'CHEMBL15901', 'IFLab1_004231', "BIPHENYL,4,4'-DIAMINO", 'DTXSID2020137', 'CTK3I6733', 'Benzidine [UN1885] [Poison]', 'Benzidine, &gt;=98.0% (N)', 'HMS3091M16', 'ZINC265747', 'Benzidine [UN1885]  [Poison]', '[4-(4-aminophenyl)-phenyl]-amine', 'ALBB-005944', 'Tox21_202359', 'Tox21_300405', 'ANW-44091', 'BBL013163', 'KM3148', 'MFCD00039765', 'NSC146476', 'SBB060240', 'STK317796', 'AKOS000118878', 'CCG-202856', 'LS-1939', 'MCULE-2044272330', 'NSC-146476', 'UN 1885', "{[1,} 1'-Biphenyl]-4,4'-diamine", 'IDI1_009986', 'KS-000011M2', 'NCGC00091340-01', 'NCGC00091340-02', 'NCGC00091340-03', 'NCGC00254474-01', 'NCGC00259908-01', "4'-Amino[1,1'-biphenyl]-4-ylamine #", 'AS-17227', 'SC-65115', 'SMR000033596', 'T991', 'Benzidine, purum p.a., &gt;=98.0% (N)', 'DB-057341', 'Benzidine 2000 microg/mL in Dichloromethane', 'Benzidine, ISOPAC(R), &gt;=98.0% (N)', 'NS00010863', 'ST45137851', "4,4'-Benzidine 10 microg/mL in Acetonitrile", "4,4'-Benzidine 100 microg/mL in Acetonitrile", 'C16444', '092B875', 'A844372', 'AC-907/25014310', 'Q410066', 'SR-01000596939', "[1,1'-biphenyl]-4,4'-diamine (ACD/Name 4.0)", 'SR-01000596939-1', 'W-204254', "4'-Amino[1,1'-biphenyl]-4-ylamine (ACD/Name 4.0)", 'F1679-0261', 'Benzidine 2000 microg/mL in Dichloromethane, Second Source', 'BENZIDINE (SEE ALSO BENZIDINEDIHYDROCHLORIDE 531-85-1)']</t>
  </si>
  <si>
    <t>Compound(7111)</t>
  </si>
  <si>
    <t>benzoic acid</t>
  </si>
  <si>
    <t>['benzoic acid', '65-85-0', 'Dracylic acid', 'benzenecarboxylic acid', 'Carboxybenzene', 'Benzeneformic acid', 'phenylformic acid', 'Benzenemethanoic acid', 'Phenylcarboxylic acid', 'Retardex', 'Benzoesaeure GK', 'Benzoesaeure GV', 'Retarder BA', 'Tenn-Plas', 'Acide benzoique', 'Salvo liquid', 'Solvo powder', 'Benzoesaeure', 'Flowers of benzoin', 'Flowers of benjamin', 'Benzoic acid, tech.', 'Unisept BZA', 'HA 1 (acid)', 'Kyselina benzoova', 'Benzoic acid (natural)', 'Benzoate (VAN)', 'HA 1', 'Benzoesaeure [German]', 'Caswell No. 081', 'Diacylic acid', 'Oracylic acid', 'Acide benzoique [French]', 'Acido benzoico [Italian]', 'Benzenemethonic acid', 'Kyselina benzoova [Czech]', 'NSC 149', 'E 210', 'FEMA No. 2131', 'CCRIS 1893', 'Diacylate', 'HSDB 704', 'UNII-8SKN0B0MIM', 'AI3-0310', 'Salvo, liquid', 'Solvo, powder', 'AI3-03710', 'Benzoic acid [USAN:JAN]', 'phenyl formic acid', 'EPA Pesticide Chemical Code 009101', 'Benzoic acid Natural', 'C7H6O2', 'E210', 'CHEBI:30746', 'Aromatic carboxylic acid', 'EINECS 200-618-2', '8SKN0B0MIM', 'Benzeneformate', 'Tennplas', 'MFCD00002398', 'Benzenemethanoate', 'Phenylcarboxylate', 'Benzenecarboxylate', 'Retarded BA', 'Benzoicacid', '(2H5)Benzoic acid', 'DSSTox_CID_143', 'Phenyl carboxylic acid', 'DSSTox_RID_75396', 'DSSTox_GSID_20143', 'Benzoic acid, 99%, extra pure', 'Acido benzoico', 'Benzoic acid, 99.5%, for analysis', 'Benzoic acid, 99.6%, ACS reagent', 'Carboxypolystyrene', 'CAS-65-85-0', 'NSC7918', 'Benzoic acid, tech', 'Benzoic acid (TN)', 'Benzoic acid [USP:JAN]', 'phenylcarboxy', 'Dracylate', 'benzoic aicd', 'bezoic acid', 'Aromatic acid', 'benzenecarboxylic', 'Salvo powder', 'benzoic- acid', 'Benzoic Acid.', 'Retarder BAX', '1gyx', '1kqb', 'Benzoic Acid USP', 'Sodium benzoic acid', 'Benzoic Acid,(S)', 'Natural Benzoic Acid', 'Benzoic acid,medicinal', 'Benzoic acid / Benzoate', 'WLN: QVR', 'benzene-2-carboxylic acid', 'Benzoic acid, ACS reagent', 'bmse000300', 'CHEMBL541', 'Epitope ID:139965', 'EC 200-618-2', 'SCHEMBL1378', 'ACMC-1BI02', 'SAMPL4, O1', 'Benzoic acid (JP17/USP)', 'KSC352Q8R', 'MLS002415717', 'ARONIS27062', 'BIDD:ER0597', 'Benzoic acid, AR, &gt;=99%', 'Benzoic acid, LR, &gt;=99%', 'NSC149', 'ZINC1011', 'DTXSID6020143', 'CTK2F2888', 'Benzoic acid (7CI,8CI,9CI)', 'Benzoic acid, analytical standard', 'Benzoic acid, p.a., 99.5%', 'NSC-149', 'BDBM197302', 'HMS2092F18', 'HMS2267D03', 'HMS3652B03', 'Pharmakon1600-01503001', 'HY-N0216', 'Tox21_202403', 'Tox21_300180', 'ANW-35104', 'ANW-44013', 'LS-280', 'NSC758203', 's4161', 'SBB040515', 'STK301730', 'Benzoic acid, ReagentPlus(R), 99%', 'AKOS000119619', 'AS04617', 'BS-3752', 'CCG-213088', 'DB03793', 'LS41489', 'MCULE-4467353796', 'NE10192', 'NSC-758203', 'Benzoic acid 100 microg/mL in Acetone', 'Benzoic acid, &gt;=99.5%, FCC, FG', 'KS-000048K4', 'Benzoic acid, ACS reagent, &gt;=99.5%', 'NCGC00091886-01', 'NCGC00091886-02', 'NCGC00091886-03', 'NCGC00254112-01', 'NCGC00259952-01', 'Benzoic acid, USP, 99.5-100.5%', 'BP-30148', 'K073', 'SC-46861', 'SMR001252220', 'Benzoic acid, tested according to Ph.Eur.', 'SBI-0206720.P001', 'Benzoic acid, SAJ first grade, &gt;=99.5%', 'DB-029471', '606-EP2269610A2', '606-EP2269988A2', '606-EP2270002A1', '606-EP2270006A1', '606-EP2270008A1', '606-EP2270009A1', '606-EP2270010A1', '606-EP2270011A1', '606-EP2270114A1', '606-EP2272822A1', '606-EP2272827A1', '606-EP2272848A1', '606-EP2274983A1', '606-EP2275105A1', '606-EP2275401A1', '606-EP2275413A1', '606-EP2277507A1', '606-EP2277848A1', '606-EP2277867A2', '606-EP2277870A1', '606-EP2277879A1', '606-EP2277881A1', '606-EP2280003A2', '606-EP2280010A2', '606-EP2281559A1', '606-EP2281563A1', '606-EP2281812A1', '606-EP2281819A1', '606-EP2281823A2', '606-EP2284146A2', '606-EP2284147A2', '606-EP2284149A1', '606-EP2284160A1', '606-EP2284165A1', '606-EP2284169A1', '606-EP2284178A2', '606-EP2284179A2', '606-EP2286795A1', '606-EP2287153A1', '606-EP2287156A1', '606-EP2287161A1', '606-EP2287162A1', '606-EP2287165A2', '606-EP2287166A2', '606-EP2289510A1', '606-EP2289876A1', '606-EP2289883A1', '606-EP2289890A1', '606-EP2292592A1', '606-EP2292597A1', '606-EP2292617A1', '606-EP2292619A1', '606-EP2292620A2', '606-EP2292621A1', '606-EP2292624A1', '606-EP2295401A2', '606-EP2295402A2', '606-EP2295416A2', '606-EP2295418A1', '606-EP2295424A1', '606-EP2295426A1', '606-EP2295427A1', '606-EP2295429A1', '606-EP2295433A2', '606-EP2295438A1', '606-EP2295550A2', '606-EP2298734A2', '606-EP2298735A1', '606-EP2298742A1', '606-EP2298744A2', '606-EP2298748A2', '606-EP2298755A1', '606-EP2298758A1', '606-EP2298759A1', '606-EP2298772A1', '606-EP2298776A1', '606-EP2298783A1', '606-EP2301536A1', '606-EP2301538A1', '606-EP2301911A1', '606-EP2301924A1', '606-EP2301925A1', '606-EP2301929A1', '606-EP2301931A1', '606-EP2301935A1', '606-EP2301937A1', '606-EP2301939A1', '606-EP2301940A1', '606-EP2305250A1', '606-EP2305257A1', '606-EP2305646A1', '606-EP2305651A1', '606-EP2305659A1', '606-EP2305662A1', '606-EP2305664A1', '606-EP2305668A1', '606-EP2305669A1', '606-EP2305672A1', '606-EP2305674A1', '606-EP2305675A1', '606-EP2305679A1', '606-EP2305687A1', '606-EP2308833A2', '606-EP2308839A1', '606-EP2308848A1', '606-EP2308851A1', '606-EP2308854A1', '606-EP2308857A1', '606-EP2308858A1', '606-EP2308861A1', '606-EP2308865A1', '606-EP2308873A1', '606-EP2308875A1', '606-EP2308877A1', '606-EP2311455A1', '606-EP2311801A1', '606-EP2311802A1', '606-EP2311803A1', '606-EP2311807A1', '606-EP2311809A1', '606-EP2311810A1', '606-EP2311811A1', '606-EP2311815A1', '606-EP2311816A1', '606-EP2311817A1', '606-EP2311818A1', '606-EP2311831A1', '606-EP2311842A2', '606-EP2314295A1', '606-EP2314579A1', '606-EP2314584A1', '606-EP2314588A1', '606-EP2314593A1', '606-EP2316457A1', '606-EP2316458A1', '606-EP2316459A1', '606-EP2316825A1', '606-EP2316826A1', '606-EP2316827A1', '606-EP2316828A1', '606-EP2316836A1', '606-EP2371814A1', '606-EP2371831A1', '606-EP2372017A1', '606-EP2374788A1', '606-EP2377845A1', 'B0062', 'B2635', 'CS-0008257', 'FT-0622705', 'FT-0662569', 'FT-0662570', 'FT-0770591', 'ST45061539', 'SW219833-1', 'Benzoic acid, natural, &gt;=99.5%, FCC, FG', 'Benzoic acid, SAJ special grade, &gt;=99.5%', 'Benzoic acid, Vetec(TM) reagent grade, 98%', 'KS-00000125', 'Benzoic acid, meets USP testing specifications', 'Benzoic acid, purified by sublimation, &gt;=99%', 'C00180', 'C00539', 'D00038', 'AB00949635_05', 'AB00949635_06', 'A835250', 'Q191700', 'SR-05000001919', 'Benzoic acid, puriss. p.a., ACS reagent, 99.9%', 'SR-05000001919-1', '0BE368DC-6DE6-4927-AECF-E4BB2968A4A0', 'Melting point standard 121-123C, analytical standard', 'Z57127480', 'F2191-0092', 'Benzoic acid, NIST(R) SRM(R) 39j, calorimetric standard', 'Benzoic acid, Standard for quantitative NMR, TraceCERT(R)', 'Benzoic acid, European Pharmacopoeia (EP) Reference Standard', 'Benzoic acid on polystyrene, 1.6-2.1 mmol/g@CRLFMFCD03456189', 'Benzoic acid, for calorimetrical determination (approx. 26460 J/g)', 'Benzoic acid, United States Pharmacopeia (USP) Reference Standard', 'SS Benzoic Acid, 2000 mug/mL in dichloromethane, analytical standard', 'Benzoic acid solution, 200 mug/mL in methylene chloride, analytical standard', 'Benzoic Acid Solution, certified reference material, 2000 mug/mL in methylene chloride', 'Benzoic acid, Pharmaceutical Secondary Standard; Certified Reference Material', 'Benzoic acid, puriss. p.a., ACS reagent, reag. Ph. Eur., &gt;=99.9% (alkalimetric)', 'Benzoic acid, certified reference material for titrimetry, certified by BAM according to ISO 17025, &gt;=99.5%', 'Benzoic acid, meets analytical specification of Ph. Eur., BP, USP, FCC, E210, 99.5-100.5% (alkalimetric)', 'Carboxypolystyrene, 100-200 mesh, extent of labeling: 0.5-1.5 mmol/g loading, 1 % cross-linked', 'Carboxypolystyrene, 100-200 mesh, extent of labeling: 1.6-3.0 mmol/g loading, 1 % cross-linked', 'Mettler-Toledo Calibration substance ME 18555, Benzoic acid, analytical standard, for the calibration of the thermosystem 900, traceable to primary standards (LGC)', 'ScavengePore(TM) benzoic acid, macroporous, 40-70 mesh, extent of labeling: 0.5-1.5 mmol per g loading']</t>
  </si>
  <si>
    <t>Compound(243)</t>
  </si>
  <si>
    <t>C7H6O2</t>
  </si>
  <si>
    <t>benzophenone</t>
  </si>
  <si>
    <t>diphenylmethanone</t>
  </si>
  <si>
    <t>['BENZOPHENONE', 'diphenylmethanone', '119-61-9', 'Diphenyl ketone', 'Methanone, diphenyl-', 'Benzoylbenzene', 'Phenyl ketone', 'Ketone, diphenyl', 'alpha-Oxoditane', 'Benzene, benzoyl-', 'alpha-Oxodiphenylmethane', 'Diphenylketone', 'diphenyl-methanone', 'Caswell No. 081G', 'Kayacure bp', 'Diphenyl-methanon', '1dzp', 'NSC 8077', '.alpha.-Oxoditane', 'UNII-701M4TTV9O', 'CCRIS 629', 'FEMA No. 2134', 'Adjutan 6016', 'HSDB 6809', 'EINECS 204-337-6', '.alpha.-Oxodiphenylmethane', 'EPA Pesticide Chemical Code 000315', 'CHEMBL90039', 'AI3-00754', '701M4TTV9O', 'DTXSID0021961', 'CHEBI:41308', 'FEMA 2134', 'MFCD00003076', 'NCGC00090787-05', 'DSSTox_CID_1961', 'Benzophenone, 99%, pure', 'Benzophenone, 99+%, pure', 'DSSTox_RID_76429', 'DSSTox_GSID_21961', 'CAS-119-61-9', 'WLN: RVR', 'BENZOPHENONE (8CI)', 'phenylketone', 'Benzopheneone', 'Benzophenon', 'benzophenone-', 'benzoyl-benzene', 'a-Oxoditane', 'meta-benzophenone', 'alpha -oxoditane', 'Benzophenone Flakes', 'di(phenyl)methanone', 'a-Oxodiphenylmethane', 'METHANONE, DIPHENYL- (9CI)', 'Ph2CO', 'Diphenylmethanone, 9CI', 'PubChem20909', 'ACMC-20aj4t', 'alpha -oxodiphenylmethane', 'Dimenhydrinate Impurity J', 'UPCMLD-DP071', 'EC 204-337-6', 'BIDD:PXR0008', 'SCHEMBL17745', 'KSC174M3P', 'MLS001055400', 'ADK STAB 1413', 'BIDD:ER0022', 'Benzophenone (diphenyl-ketone)', 'Diphenylketone, Benzoylbenzene.', 'Benzophenone (Diphenylmethanone)', 'Diphenylmethanone (Benzophenone)', 'UPCMLD-DP071:001', 'BDBM22726', 'Benzophenone, analytical standard', 'CTK0H4637', 'KS-00000VHW', 'TIMTEC-BB SBB040865', 'NSC8077', 'OTAVA-BB 1043895', 'HMS2268A24', 'LABOTEST-BB LTBB001874', 'ZINC968233', 'Benzophenone, &gt;=99%, FCC, FG', 'HY-Y0546', 'NSC-8077', 'AKOS BBS-00004333', 'Tox21_113465', 'Tox21_202425', 'Tox21_300058', 'Benzophenone, ReagentPlus(R), 99%', 'LS-619', 'SBB040865', 'STL363250', 'Benzophenone, for synthesis, 98.0%', 'AKOS000119029', 'Tox21_113465_1', 'AS01184', 'BENZOPHENONE  (DIPHENYL-KETONE)', 'DB01878', 'EBD2761160', 'MCULE-7496069620', 'NE10260', 'Benzophenone, purum, &gt;=99.0% (GC)', 'Benzophenone, ReagentPlus(R), &gt;=99%', 'NCGC00090787-01', 'NCGC00090787-03', 'NCGC00090787-04', 'NCGC00090787-06', 'NCGC00090787-07', 'NCGC00090787-08', 'NCGC00254183-01', 'NCGC00259974-01', 'BP-21212', 'SC-65188', 'SMR000112143', 'Benzophenone, SAJ first grade, &gt;=99.0%', 'DB-061602', 'B0083', 'CS-0015323', 'FT-0622720', 'FT-0693251', 'NS00010632', 'ST50214455', 'Benzophenone, purified by sublimation, &gt;=99%', 'Benzophenone, Vetec(TM) reagent grade, 98%', 'C06354', 'Q409482', 'Melting point standard 47-49C, analytical standard', 'Q-200691', 'F0001-0309', 'Z1245792986', 'METTLER-TOLEDO(R) CALIBRATION SUBSTANCE ME 18870', 'Benzophenone, European Pharmacopoeia (EP) Reference Standard', 'Benzophenone, United States Pharmacopeia (USP) Reference Standard', 'Benzophenone, Pharmaceutical Secondary Standard; Certified Reference Material', 'Mettler-Toledo Calibration substance ME 18870, Benzophenone, for the calibration of the thermosystem 900, traceable to primary standards (LGC)']</t>
  </si>
  <si>
    <t>Compound(3102)</t>
  </si>
  <si>
    <t>C13H10O</t>
  </si>
  <si>
    <t>benzyl isopentyl ether</t>
  </si>
  <si>
    <t>3-methylbutoxymethylbenzene</t>
  </si>
  <si>
    <t>['Benzyl isoamyl ether', '122-73-6', 'Isoamyl benzyl ether', 'Benzyl isopentyl ether', 'Benzene, [(3-methylbutoxy)methyl]-', 'ETHER, BENZYL ISOPENTYL', 'Gardenia Ether', '3-methylbutoxymethylbenzene', 'Benzylisoamylether', 'Benzyl 3-methylbutyl ether', 'NSC 9294', 'benzylisoamyl ether', 'UNII-I8034PF326', 'EINECS 204-570-3', 'Benzene, ((3-methylbutoxy)methyl)-', 'BRN 2251737', 'AI3-00750', 'I8034PF326', 'Isoamylbenzylather', 'Benzene,[(3-methylbutoxy)methyl]-', 'iso-Amyl benzyl ether', 'ACMC-209amc', 'Benzyl Isopentyl Ether.', '(isopentyloxymethyl)benzene', 'DSSTox_CID_27439', 'DSSTox_RID_82348', 'DSSTox_GSID_47439', '3-06-00-01457 (Beilstein Handbook Reference)', 'SCHEMBL155702', '(3-methyl-butoxymethyl)-benzene', 'CHEMBL3187882', 'DTXSID7047439', 'WLN: 1Y1&amp;2O1R', '[(Isopentyloxy)methyl]benzene #', 'CTK4B3242', 'NSC9294', 'benzene, [(3-methylbutoxy)methyl]', 'NSC-9294', 'ZINC1699903', 'Tox21_303630', '6005AF', 'ANW-18034', 'AKOS025294199', 'FCH1116379', 'NCGC00256909-01', 'CAS-122-73-6', 'LS-67718', '[(Isopentyloxy)methyl]benzene, AldrichCPR', 'DB-041683', 'FT-0631708', 'I0084', 'NS00012004', 'C-50498', 'Q27280554', 'BENZYL ISOAMYL ETHER;Benzyl Isopentyl Ether.;benzyl isopentyl ether;Benzyl isopentyl ether']</t>
  </si>
  <si>
    <t>Compound(31227)</t>
  </si>
  <si>
    <t>C12H18O</t>
  </si>
  <si>
    <t>2-(4-chloro-2-oxo-1,3-benzothiazol-3-yl)acetic acid</t>
  </si>
  <si>
    <t>['BENAZOLIN', '3813-05-6', 'Metizolin', 'Benazoline', 'Eunasin', 'Cornox CWK', 'Benazalox', 'Benopan', 'Bensecal', 'Cresopur', 'Galipan', 'Herbazolin', 'Herbitox', 'Keropur', 'Benzar', 'Leymin', 'Ben-cornox', 'Legumex Extra', 'Tri-cornox', 'Ley-Cornox', 'Tri-cornox special', 'Grassland weedkiller', 'Springclene', 'BEN-30', 'Benasalox', 'Chamilox', 'Galtak', 'Tillox', 'Asset', 'RD 7693', 'EX 10781', '4-Chloro-2-oxobenzothiazolin-3-ylacetic acid', 'Benazoline [ISO-French]', 'UNII-RB02FMB0BR', '3-Benzothiazolineacetic acid, 4-chloro-2-oxo-', '4-Chloro-2-oxo-3(2H)-benzothiazoleacetic acid', 'RB02FMB0BR', 'NSC 521058', '3(2H)-Benzothiazoleacetic acid, 4-chloro-2-oxo-', 'Benazolin [ANSI:BSI:ISO]', 'EINECS 223-297-0', 'BA 7688', 'BRN 0749788', '(4-Chloro-2-oxo-1,3-benzothiazol-3(2H)-yl)acetic acid', '4-Chloro-2,3-dihydro-2-oxo-1,3-benzothiazol-3-ylacetic acid', '4-Chloro-2-oxo-3-benzothiazolineacetic acid', '3(2H)-benzothiazolacetic acid, 4-chloro-2-oxo-', 'Acetic acid, (4-chloro-2-oxobenzothiazol-3-yl)-', 'Acetic acid, (4-chloro-2-oxobenzothiazolin-3-yl)-', '2-(4-chloro-2-oxo-1,3-benzothiazol-3-yl)acetic acid', '3(2H)-Benzothiazoleaceticacid, 4-chloro-2-oxo-', 'SCHEMBL54066', 'DTXSID2041620', 'CHEBI:81951', 'CTK1C2741', 'ZINC405492', 'BTS-7693', '2-(4-chloro-2-oxo-2,3-dihydro-1,3-benzothiazol-3-yl)acetic acid', 'NSC521058', 'Benazolin 100 microg/mL in Methanol', 'AKOS005206894', 'MCULE-9921858909', 'NSC-521058', 'LS-11330', 'S325', '4-Chloro-2-oxobenzothiazol-3-ylacetic acid', 'NS00000090', 'Benazolin, PESTANAL(R), analytical standard', 'C18775', '33385-EP2311815A1', '33385-EP2371823A1', '813B056', 'Q816692', '4-chloro-2-oxo-3(2h)-benzo[d]thiazoleacetic acid', '2-(4-chloro-2-oxobenzo[d]thiazol-3(2H)-yl)acetic acid', '(4-Chloro-2-oxo-1,3-benzothiazol-3(2H)-yl)acetic acid #', 'benazolin;Potassium 4-chloro-2-oxo-2H-benzothiazole-3-acetate;Sodium 4-chloro-2-oxo-2H-benzothiazole-3-acetate']</t>
  </si>
  <si>
    <t>Compound(19662)</t>
  </si>
  <si>
    <t>C9H6ClNO3S</t>
  </si>
  <si>
    <t>ethyl 2-(4-chloro-2-oxo-1,3-benzothiazol-3-yl)acetate</t>
  </si>
  <si>
    <t>['Benazolin-ethyl', '25059-80-7', 'Benazolin-ethyl ester', 'Benazolin ethyl ester', 'Ethyl 2-(4-chloro-2-oxobenzo[d]thiazol-3(2H)-yl)acetate', 'Caswell No. 202B', 'UNII-0BN7P8Y6GM', 'Benazolin ethyl ester [ANSI]', 'EINECS 246-591-0', '3(2H)-Benzothiazoleacetic acid, 4-chloro-2-oxo-, ethyl ester', 'Ethyl 4-chloro-2-oxo-2H-benzothiazole-3-acetate', 'Ethyl 4-chloro-2-oxo-3(2H)-benzothiazoleacetate', 'EPA Pesticide Chemical Code 126801', 'BRN 0753659', '0BN7P8Y6GM', '3-Benzothiazolineacetic acid, 4-chloro-2-oxo-, ethyl ester', '4-Chloro-2-oxo-3(2H)-benzothiazole acetic acid ethyl ester', '3-N-Ethoxycarbonylmethyl-4-chloro-benzothiazol-2-one', 'Benazolin-ethyl [ISO]', 'Ethyl benazolin', 'ethyl 2-(4-chloro-2-oxo-1,3-benzothiazol-3-yl)acetate', 'DSSTox_CID_21621', 'DSSTox_RID_79790', 'DSSTox_GSID_41621', 'SCHEMBL145367', 'CHEMBL3188167', 'DTXSID7041621', 'CTK6F8851', 'CHEBI:132897', 'ZINC2516816', 'Tox21_301963', 'AKOS015898433', 'ACM25059807', 'NCGC00166315-01', 'NCGC00255688-01', 'AS-13060', 'LS-40640', 'AB0012909', 'AX8019676', 'CAS-25059-80-7', 'NS00005554', '059B807', 'J-015796', 'Q27236578', 'Benazolin-ethyl ester, PESTANAL(R), analytical standard', '4-chloro 2-oxobenzothiazolin-3-yl-acetic acid ethyl ester', 'ethyl (4-chloro-2-oxo-1,3-benzothiazol-3(2H)-yl)acetate', 'ethyl 4-chloro-2,3-dihydro-2-oxo-1,3-benzothiazol-3-ylacetate', 'ethyl 2-(4-chloro-2-oxo-2,3-dihydro-1,3-benzothiazol-3-yl)acetate', 'Ethyl 4-chloro-2-oxo-2H-benzothiazole-3-acetate;ethyl 4-chloro-2-oxo-2H-benzothiazole-3-acetate;Ethyl benazolin']</t>
  </si>
  <si>
    <t>Compound(3034351)</t>
  </si>
  <si>
    <t>C11H10ClNO3S</t>
  </si>
  <si>
    <t>benzonitrile</t>
  </si>
  <si>
    <t>['BENZONITRILE', '100-47-0', 'Cyanobenzene', 'Phenyl cyanide', 'Benzenenitrile', 'Benzoic acid nitrile', 'Benzene, cyano-', 'Benzenecarbonitrile', 'Phenylcyanide', 'Fenylkyanid', 'Fenylkyanid [Czech]', 'benzonitril', 'UNII-9V9APP5H5S', 'NSC 8039', 'UN2224', 'HSDB 45', 'CCRIS 3184', 'AI3-24184', 'EINECS 202-855-7', '9V9APP5H5S', 'C6H5-CN', 'CHEBI:27991', 'Benzonitrile [UN2224]  [Poison]', 'Benzonitrile, for HPLC', 'DSSTox_CID_1491', 'Benzonitrile, 99%, pure', 'DSSTox_RID_76183', 'DSSTox_GSID_21491', 'Benzonitrile, 99+%, for spectroscopy', 'CAS-100-47-0', 'benzo nitrile', 'Benzonitrile;', '4-cyanobenzene', 'benzonitrile solvent', 'WLN: NCR', 'bmse000284', 'Benzonitrile;BENZONITRILE', 'EC 202-855-7', 'SCHEMBL6640', 'ACMC-1BU52', 'KSC176E2R', 'MLS002454387', 'CHEMBL15819', 'DTXSID7021491', 'CTK0H6228', 'KS-00000UVI', 'TIMTEC-BB SBB028746', 'NSC8039', 'AKOS B004231', 'Benzonitrile, anhydrous, &gt;=99%', 'OTAVA-BB 1778585', 'AKOS 91614', 'ART-CHEM-BB B004231', 'HMS3039F17', 'LABOTEST-BB LTBB001814', 'ZINC899417', 'Benzonitrile, for HPLC, 99.9%', 'Benzonitrile [UN2224] [Poison]', 'NSC-8039', 'AKOS BBS-00004403', 'Tox21_201982', 'Tox21_302979', 'ANW-14291', 'Benzonitrile, ReagentPlus(R), 99%', 'LS-306', 'MFCD00001770', 'SBB028746', 'STK398186', 'AKOS000120125', 'AS02370', 'MCULE-9371683291', 'UN 2224', 'NCGC00091747-01', 'NCGC00091747-02', 'NCGC00256387-01', 'NCGC00259531-01', 'SC-65092', 'SMR001372003', 'ST079298', 'B0082', 'FT-0622719', 'NS00010846', 'C09814', '23336-EP2269986A1', '23336-EP2275395A2', '23336-EP2275407A1', '23336-EP2275411A2', '23336-EP2277878A1', '23336-EP2284157A1', '23336-EP2287141A1', '23336-EP2287165A2', '23336-EP2292599A1', '23336-EP2298749A1', '23336-EP2301536A1', '23336-EP2301538A1', '23336-EP2301918A1', '23336-EP2305625A1', '23336-EP2305687A1', '23336-EP2308926A1', '23336-EP2309584A1', '23336-EP2311455A1', '23336-EP2311830A1', '23336-EP2314574A1', '23336-EP2314584A1', '23336-EP2371831A1', '23336-EP2380568A1', '112284-EP2277868A1', '112284-EP2277869A1', '112284-EP2277870A1', '112284-EP2292608A1', '112284-EP2295422A2', '112284-EP2298749A1', '153479-EP2269995A1', '153479-EP2287152A2', 'Q412567', 'J-000140', 'F1908-0163', 'Z1263529746']</t>
  </si>
  <si>
    <t>Compound(7505)</t>
  </si>
  <si>
    <t>C7H5N</t>
  </si>
  <si>
    <t>benzothiazole</t>
  </si>
  <si>
    <t>1,3-benzothiazole</t>
  </si>
  <si>
    <t>['BENZOTHIAZOLE', '95-16-9', 'BENZO[D]THIAZOLE', '1,3-Benzothiazole', 'Benzosulfonazole', '1-Thia-3-azaindene', 'Vangard BT', 'benzothiazol', 'USAF EK-4812', 'benzthiazole', 'CHEBI:45993', 'FEMA Number 3256', 'UNII-G5BW2593EP', 'O-2857', 'FEMA No. 3256', 'CCRIS 7893', 'HSDB 2796', 'NSC 8040', 'EINECS 202-396-2', 'MFCD00005775', 'BRN 0109468', 'AI3-05742', 'G5BW2593EP', 'Benzothiazole, 97%', 'DSSTox_CID_4586', 'DSSTox_RID_77458', 'DSSTox_GSID_24586', 'CAS-95-16-9', 's-benzothiazole', 'Benzothiazole.', 'Benzothiazole (BTH)', 'Benzothiazole, 96%', '1,3-Benzothiazole #', 'ACMC-209rv5', 'Epitope ID:138946', 'EC 202-396-2', 'SCHEMBL8430', 'WLN: T56 BN DSJ', 'BENZOTHIAZOLE;benzothiazole', '4-27-00-01069 (Beilstein Handbook Reference)', 'KSC486M5N', 'MLS001050134', 'Benzothiazole, &gt;=96%, FG', 'CHEMBL510309', 'SCHEMBL9304593', 'DTXSID7024586', 'CTK3I6656', 'ZINC19726', 'NSC8040', 'Benzothiazole, analytical standard', 'KS-00000FQ0', 'NSC-8040', 'Tox21_201853', 'Tox21_303232', 'ANW-40383', 'BDBM50444460', 'SBB058513', 'STL268890', 'AKOS000120178', 'AC-3297', 'CS-W013350', 'FS-4155', 'LS-1973', 'MCULE-5257468117', 'MP-2108', 'NCGC00091399-01', 'NCGC00091399-02', 'NCGC00257070-01', 'NCGC00259402-01', 'AK105881', 'BOT', 'BR-72791', 'SC-18067', 'SMR001216577', 'DB-057562', 'B0092', 'FT-0622731', 'FT-0662581', 'NS00000291', 'ST51023425', 'W9729', 'Benzothiazole, Vetec(TM) reagent grade, 96%', '11895-EP2269978A2', '11895-EP2269985A2', '11895-EP2269991A2', '11895-EP2270010A1', '11895-EP2270113A1', '11895-EP2270505A1', '11895-EP2272828A1', '11895-EP2272832A1', '11895-EP2272935A1', '11895-EP2272972A1', '11895-EP2272973A1', '11895-EP2275105A1', '11895-EP2275409A1', '11895-EP2275411A2', '11895-EP2276085A1', '11895-EP2277858A1', '11895-EP2277869A1', '11895-EP2277872A1', '11895-EP2280000A1', '11895-EP2281563A1', '11895-EP2281818A1', '11895-EP2281824A1', '11895-EP2284150A2', '11895-EP2284151A2', '11895-EP2284152A2', '11895-EP2284153A2', '11895-EP2284155A2', '11895-EP2284156A2', '11895-EP2284157A1', '11895-EP2284164A2', '11895-EP2284920A1', '11895-EP2287140A2', '11895-EP2287148A2', '11895-EP2287150A2', '11895-EP2287165A2', '11895-EP2287166A2', '11895-EP2289871A1', '11895-EP2289876A1', '11895-EP2292586A2', '11895-EP2292590A2', '11895-EP2292592A1', '11895-EP2292593A2', '11895-EP2292611A1', '11895-EP2292620A2', '11895-EP2292630A1', '11895-EP2295419A2', '11895-EP2295421A1', '11895-EP2295433A2', '11895-EP2298732A1', '11895-EP2298767A1', '11895-EP2298828A1', '11895-EP2301534A1', '11895-EP2301912A2', '11895-EP2301913A1', '11895-EP2301914A1', '11895-EP2301916A2', '11895-EP2301923A1', '11895-EP2301983A1', '11895-EP2302003A1', '11895-EP2305219A1', '11895-EP2305637A2', '11895-EP2305642A2', '11895-EP2305643A1', '11895-EP2305651A1', '11895-EP2305652A2', '11895-EP2305662A1', '11895-EP2305675A1', '11895-EP2305695A2', '11895-EP2305696A2', '11895-EP2305697A2', '11895-EP2305698A2', '11895-EP2308510A1', '11895-EP2308562A2', '11895-EP2308832A1', '11895-EP2308840A1', '11895-EP2308849A1', '11895-EP2308850A1', '11895-EP2308854A1', '11895-EP2308863A1', '11895-EP2311451A1', '11895-EP2311796A1', '11895-EP2311797A1', '11895-EP2311798A1', '11895-EP2311799A1', '11895-EP2311842A2', '11895-EP2314575A1', '11895-EP2314582A1', '11895-EP2314587A1', '11895-EP2315303A1', '11895-EP2316450A1', '11895-EP2316459A1', '11895-EP2371810A1', '11895-EP2371811A2', '11895-EP2371812A1', '11895-EP2372804A1', '11895-EP2378585A1', '29076-EP2272517A1', '29076-EP2277868A1', '29076-EP2277869A1', '29076-EP2277870A1', '29076-EP2281815A1', '29076-EP2305250A1', '29076-EP2305640A2', '29076-EP2305671A1', '29076-EP2305675A1', '29076-EP2305769A2', '29076-EP2311826A2', '29076-EP2311842A2', '62566-EP2308812A2', '87422-EP2270018A1', '87422-EP2298780A1', '87422-EP2305689A1', 'AC-907/25014160', 'Q419096', 'Q-100900', 'F0001-2268', 'Z1245735190']</t>
  </si>
  <si>
    <t>Compound(7222)</t>
  </si>
  <si>
    <t>C7H5NS</t>
  </si>
  <si>
    <t>1-(1,3-benzothiazol-2-yl)-3-methylurea</t>
  </si>
  <si>
    <t>['Benzthiazuron', '1929-88-0', 'Gatnon', 'Gatinon', 'Bayer 60618', '1-(1,3-Benzothiazol-2-yl)-3-methylurea', 'Caswell No. 081C', "Urea, N-2-benzothiazolyl-N'-methyl-", 'Benzthiazuron [BSI:ISO]', '1-Methyl-3-(2-benzthiazolyl)urea', '1-Methyl-3-(2-benzothiazolyl)urea', 'Benzothiazole, 2-(1-methylureido)-', "N-(2-Benzothiazolyl)-N'-methylurea", "N-Methyl-N'-(2-benzothiazolyl)urea", 'BAY 60618', 'Urea, 1-(2-benzothiazolyl)-3-methyl-', 'Urea, 3-(2-benzothiazolyl)-1-methyl-', 'UNII-I9612759PA', 'EINECS 217-685-9', 'S 22012', 'EPA Pesticide Chemical Code 281400', 'NSC 202513', 'BRN 0181259', "N-(2-Benzthiazolyl)-N'-methylharnstoff", '1-(Benzo[d]thiazol-2-yl)-3-methylurea', '3-(2-Benzthiazolyl)-1-methylharnstoff [German]', "N-(2-Benzthiazolyl)-N'-methylharnstoff [German]", 'I9612759PA', '1-(2-BENZOTHIAZOLYL)-3-METHYLUREA', '1-(Benzothiazol-2-yl)-3-methylurea', '3-(2-Benzthiazolyl)-1-methylharnstoff', '1-(2-Benzothiazolyl)-3-methylurea (8CI)', 'SCHEMBL133638', 'DTXSID8041662', 'CHEBI:82185', 'CTK8E3067', "N-2-Benzothiazolyl-N'-methylurea", 'WLN: T56 BN DSJ CMVM1', '1-Benzothiazol-2-yl-3-methylurea', 'ZINC1736414', 'NSC202513', '1-(2-benzothiazolyl)-3-methyl urea', 'AKOS015898414', 'MCULE-1414818420', 'NSC-202513', 'AC-12580', 'LS-158905', "N-(1,3-benzothiazol-2-yl)-N'-methylurea", 'NS00010109', "Urea, N-2-benzothiazolyl-N'-methyl- (9CI)", 'C19058', 'W-2547', '33313-EP2305655A2', '33313-EP2311815A1', 'Benzthiazuron, PESTANAL(R), analytical standard', 'AI-204/31680057', 'J-012494', 'Q22713649', 'Z230660696']</t>
  </si>
  <si>
    <t>Compound(16007)</t>
  </si>
  <si>
    <t>C9H9N3OS</t>
  </si>
  <si>
    <t>N-[11-(dichloromethylidene)-3-tricyclo[6.2.1.02,7]undeca-2(7),3,5-trienyl]-3-(difluoromethyl)-1-methylpyrazole-4-carboxamide</t>
  </si>
  <si>
    <t>['Benzovindiflupyr', '1072957-71-1', 'N-[9-(dichloromethylene)-1,2,3,4-tetrahydro-1,4-methanonaphthalen-5-yl]-3-(difluoromethyl)-1-methylpyrazole-4-carboxamide', 'n-[9-(dichloromethylidene)-1,2,3,4-tetrahydro-1,4-methanonaphthalen-5-yl]-3-(difluoromethyl)-1-methyl-1h-pyrazole-4-carboxamide', 'SCHEMBL178111', 'DTXSID8057930', 'CHEBI:83097', 'N-[9-(dichloromethylene)-1,2,3,4-tetrahydro-1,4-methanonaphthalen-5-yl]-3-(difluoromethyl)-1-methyl-1H-pyrazole-4-carboxamide', 'NS00007313', 'Q27156634', '3-difluoromethyl-1-methyl-1h-pyrazole-4-carboxylic acid (9-dichloromethylene-1,2,3,4-tetrahydro-1,4-methano-naphthalen-5-yl)-amide']</t>
  </si>
  <si>
    <t>Compound(53491464)</t>
  </si>
  <si>
    <t>C18H15Cl2F2N3O</t>
  </si>
  <si>
    <t>benzoximate</t>
  </si>
  <si>
    <t>[C-(3-chloro-2,6-dimethoxyphenyl)-N-ethoxycarbonimidoyl] benzoate</t>
  </si>
  <si>
    <t>['Benzoximate', '29104-30-1', '[C-(3-chloro-2,6-dimethoxyphenyl)-N-ethoxycarbonimidoyl] benzoate', 'DTXSID8041660', 'CTK4G2729', 'Benzoic acid, anhydridewith 3-chloro-N-ethoxy-2,6-dimethoxybenzenecarboximidic acid', 'Benzoximate 100 microg/mL in Acetonitrile']</t>
  </si>
  <si>
    <t>Compound(571084)</t>
  </si>
  <si>
    <t>C18H18ClNO5</t>
  </si>
  <si>
    <t>benzoxonium chloride</t>
  </si>
  <si>
    <t>benzyl-dodecyl-bis(2-hydroxyethyl)azanium;chloride</t>
  </si>
  <si>
    <t>['Benzoxonium chloride', 'Bradophen', '19379-90-9', 'Cohortan', 'Absonal', 'Beloran', 'Lomades', 'Bactofen', 'Bialcol', 'Orofar', 'Absonal V', 'Katanol C12', 'Benzyldodecyldiethanolammonium chloride', 'Caswell No. 416A', 'Dodecyl(benzyl)diethanolammonium chloride', 'Dodecyl(dioxyethyl)benzylammonium chloride', 'Benzoxonium chloride [INN]', 'UNII-12IMO9R11X', 'Dodecyldi(2-hydroxyethyl)benzylammonium chloride', 'Laurylbis(2-hydroxyethyl)benzylammonium chloride', 'Benzyldodecylbis(2-hydroxyethyl)ammonium chloride', 'Bis(2-hydroxyethyl)benzyldodecylammonium chloride', 'Dodecylbis(2-hydroxyethyl)benzylammonium chloride', 'Benzylbis(2-hydroxyethyl)dodecyl ammonium chloride', 'Bis(2-hydroxyethyl)benzyl-n-dodecylammonium chloride', 'Dodecyl bis(2-hydroxyethyl) benzyl ammonium chloride', 'Benzoxonii chloridum [INN-Latin]', 'D 301', 'EINECS 243-008-1', 'Cloruro de benzoxonio [INN-Spanish]', 'Di(2-hydroxyethyl)benzyldodecylammonium chloride', 'Chlorure de benzoxonium [INN-French]', 'EPA Pesticide Chemical Code 069181', 'NSC 141905', 'Dodecylbis(beta-hydroxyethyl)benzylammonium chloride', 'Dodecyldi(beta-hydroxyethyl)benzylammonium chloride', 'Dodecyl di(2-hydroxyethyl) benzyl ammonium chloride', 'D301', 'ZY 15021', '12IMO9R11X', 'Dodecyl-di(beta-oxyaethyl)-benzyl-ammoniumchlorid [German]', 'N-Dodecyl-N,N-bis(2-hydroxyethyl)benzenemethanaminium chloride', 'Benzenemethanaminium, N-dodecyl-N,N-bis(2-hydroxyethyl)-, chloride', 'Benzoxonium chloride (INN)', 'Benzoxonii chloridum', 'Cloruro de benzoxonio', 'Chlorure de benzoxonium', 'AMMONIUM, BENZYLBIS(2-HYDROXYETHYL)DODECYL-, CHLORIDE', 'Benzenemethanaminium, N-dodecyl-N,N-bis(2-hydroxyethyl)-, chloride (1:1)', 'Bradofen', 'Dodecyl-di(beta-oxyaethyl)-benzyl-ammoniumchlorid', 'Bialcol (TN)', 'EC 243-008-1', 'benzyl-dodecyl-bis(2-hydroxyethyl)azanium;chloride', 'C23H42NO2.Cl', 'SCHEMBL225516', 'Ammonium, benzyldodecylbis(2-hydroxyethyl)-, chloride', 'CHEMBL2104255', 'DTXSID3041906', 'NSC141905', 'NSC-141905', 'CC-24420', 'LS-16766', 'dodecyl di-(beta-hydroxyethyl)benzylammonium', 'FT-0736610', 'D07069', 'C-24563', 'Q716544', 'Dodecyldi(.beta.-hydroxyethyl)benzylammonium chloride', 'Benzenemethanaminium,N-bis(2-hydroxyethyl)-, chloride', 'Dodecylbis(.beta.-hydroxyethyl)benzylammonium chloride', 'N-benzyl-N,N-bis(2-hydroxyethyl)dodecan-1-aminium chloride', 'N-benzyl-N-dodecylbis-(beta-hydroxyethyl)ammonium chloride', 'Ammonium, benzyldodecylbis(2-hydroxyethyl)-, chloride (8CI)']</t>
  </si>
  <si>
    <t>Compound(29563)</t>
  </si>
  <si>
    <t>C23H42ClNO2</t>
  </si>
  <si>
    <t>benzoyl chloride</t>
  </si>
  <si>
    <t>['BENZOYL CHLORIDE', '98-88-4', 'Benzoic acid, chloride', 'Benzenecarbonyl chloride', 'Benzoylchloride', 'benzoylchlorid', 'alpha-Chlorobenzaldehyde', 'Benzaldehyde, alpha-chloro-', 'CCRIS 802', 'UNII-VTY8706W36', 'benzoic acid chloride', 'HSDB 383', 'EINECS 202-710-8', 'UN1736', 'BRN 0471389', 'Benzaldehyde, .alpha.-chloro-', 'CHEBI:82275', 'VTY8706W36', 'Benzoyl chloride, 99%, pure', 'Benzoyl chloride, 98+%, ACS reagent', 'Benzoyl chloride, ReagentPlus(R), &gt;=99%', 'benzoyl chlorid', 'benzoyl choride', 'bezoyl chloride', 'benzoic chloride', 'BzCl', 'benzoyl chloride-', 'PhCOCl', 'Bz-Cl', 'MFCD00000653', 'PubChem22045', 'Benzoyl chloride [UN1736]  [Corrosive]', '.alpha.-Chlorobenzaldehyde', 'Benzaldehyde, |A-chloro-', 'DSSTox_CID_6631', 'ACMC-20aj01', 'EC 202-710-8', 'SCHEMBL1241', 'BENZOIC ACID,CHLORIDE', 'DSSTox_RID_78168', 'DSSTox_GSID_26631', '4-09-00-00721 (Beilstein Handbook Reference)', 'KSC486Q7P', 'Benzoyl Chloride, ACS reagent', 'CHEMBL2260719', 'DTXSID9026631', 'CTK3I6877', 'KS-00000UUU', 'Benzoyl chloride, AR, &gt;=99%', 'Benzoyl chloride, LR, &gt;=99%', 'OTAVA-BB 1051706', 'LABOTEST-BB LTBB000456', 'benzoyl chloride;BENZOYL CHLORIDE', 'CS-B1785', 'ZINC2041164', 'Tox21_200431', 'ANW-75551', 'SBB059783', 'STL264120', 'Benzoyl chloride, ACS reagent, 99%', 'AKOS000121308', 'AS00010', 'MCULE-3627399529', 'UN 1736', 'CAS-98-88-4', 'Benzoyl chloride, purum, &gt;=99% (GC)', 'Benzoyl chloride, ReagentPlus(R), 99%', 'NCGC00248610-01', 'NCGC00257985-01', 'Benzoyl chloride [UN1736] [Corrosive]', 'Benzoyl chloride, p.a., 98-100.5%', 'LS-42590', 'PS-10801', 'SC-76545', 'DB-002645', 'DB-051009', 'B0105', 'Benzoyl chloride, 99%, pure, AcroSeal(R)', 'FT-0622741', 'FT-0639824', 'NS00008514', 'ST51046056', 'Benzoyl chloride, SAJ first grade, &gt;=98.0%', 'C19168', '11273-EP2270015A1', '11273-EP2270114A1', '11273-EP2272841A1', '11273-EP2272972A1', '11273-EP2272973A1', '11273-EP2275407A1', '11273-EP2275412A1', '11273-EP2277848A1', '11273-EP2277872A1', '11273-EP2277878A1', '11273-EP2277880A1', '11273-EP2279750A1', '11273-EP2281813A1', '11273-EP2281815A1', '11273-EP2284157A1', '11273-EP2286811A1', '11273-EP2287159A1', '11273-EP2287167A1', '11273-EP2292595A1', '11273-EP2292610A1', '11273-EP2292621A1', '11273-EP2295415A1', '11273-EP2295429A1', '11273-EP2295437A1', '11273-EP2298767A1', '11273-EP2298775A1', '11273-EP2305629A1', '11273-EP2305658A1', '11273-EP2305687A1', '11273-EP2308838A1', '11273-EP2308858A1', '11273-EP2308861A1', '11273-EP2308865A1', '11273-EP2308877A1', '11273-EP2311814A1', '11273-EP2311816A1', '11273-EP2311817A1', '11273-EP2311824A1', '11273-EP2311830A1', '11273-EP2311840A1', '11273-EP2314575A1', '11273-EP2314578A1', '11273-EP2314587A1', '11273-EP2314593A1', '11273-EP2316827A1', '11273-EP2371831A1', '30500-EP2298734A2', '30500-EP2308873A1', '30500-EP2311835A1', '109242-EP2281861A2', '109242-EP2295422A2', '109242-EP2298769A1', 'Q412825', 'F2190-0038']</t>
  </si>
  <si>
    <t>Compound(7412)</t>
  </si>
  <si>
    <t>C7H5ClO</t>
  </si>
  <si>
    <t>(1R,2R,3S,5S)-3-benzoyloxy-8-methyl-8-azabicyclo[3.2.1]octane-2-carboxylic acid</t>
  </si>
  <si>
    <t>['benzoylecgonine', 'O-Benzoylecgonine', '(-)-Benzoylecgonine', 'o-Benzoyl-(-)-ecgonine', 'Ecgonine benzoate', '519-09-5', '3-(Benzoyloxy)-8-methyl-8-azabicyclo[3.2.1]octane-2-carboxylic acid', 'UNII-5353I8I6YS', 'CHEBI:41001', '(1R,2R,3S,5S)-8-methyl-3-[(phenylcarbonyl)oxy]-8-azabicyclo[3.2.1]octane-2-carboxylic acid', '5353I8I6YS', '(1R,2R,3S,5S)-3-(benzoyloxy)-8-methyl-8-azabicyclo[3.2.1]octane-2-carboxylic acid', 'Benzoylecgonine hydrate', 'Benzoylecgonine solution', 'benzoylecgonin', 'DSSTox_CID_26758', 'DSSTox_RID_81882', 'DSSTox_GSID_46758', 'BEG', '(1S,3S,4R,5R)-3-benzoyloxy-8-methyl-8-azabicyclo[3.2.1]octane-4-carboxylic acid', 'CAS-519-09-5', 'Theracys', 'Cocaine metabolite', 'NCGC00168248-01', 'NCGC00168248-02', 'EINECS 208-263-5', 'Benzoylecgonine (BECG)', 'Epitope ID:158630', 'SCHEMBL116803', 'CHEMBL1231248', 'DTXSID7046758', 'CTK1G9668', 'Ecgonine, benzoate (6CI,7CI)', '8-Azabicyclo[3.2.1]octane-2-carboxylic acid, 3-(benzoyloxy)-8-methyl-, [1R-(exo,exo)]-', '8-Azabicyclo[3.2.1]octane-2-carboxylicacid, 3-(benzoyloxy)-8-methyl-, (1R,2R,3S,5S)-', 'ZINC2572652', 'Tox21_112607', 'Tox21_112853', 'MFCD00070263', 'AKOS030254449', 'API0000423', 'Benzoylecgonine 0.1 mg/ml in Methanol', 'Benzoylecgonine 1.0 mg/ml in Methanol', 'DB01515', 'C-53211', 'Q2499888', '(1R,5S,8R)-2beta-Carboxy-3beta-(benzoyloxy)tropane', 'Benzoylecgonine solution, analytical standard, 1.0 mg/mL in methanol', '1alphaH,5alphaH-Tropane-2beta-carboxylic acid, 3beta-hydroxy-, benzoate (ester) (8CI)', '3-beta-hydroxy-1-alpha-H,-5-alpha-H-tropane-2-beta-carboxylic acid benzoate', '(1beta,5beta,8-anti)-3beta-Benzoyloxy-8-methyl-8-azabicyclo[3.2.1]octane-2beta-carboxylic acid', '8-Azabicyclo[3.2.1]octane-2-carboxylic acid, 3-(benzoyloxy)-8-methyl-, (1R,2R,3S,5S)- (9CI)', 'Benzoylecgonine solution, 1.0 mg/mL in methanol, ampule of 1 mL, certified reference material', 'Benzoylecgonine solution, 100 mug/mL in methanol, ampule of 1 mL, certified reference material']</t>
  </si>
  <si>
    <t>Compound(448223)</t>
  </si>
  <si>
    <t>C16H19NO4</t>
  </si>
  <si>
    <t>benzoyl peroxide</t>
  </si>
  <si>
    <t>benzoyl benzenecarboperoxoate</t>
  </si>
  <si>
    <t>['BENZOYL PEROXIDE', '94-36-0', 'Peroxide, dibenzoyl', 'Dibenzoyl peroxide', 'Benzoperoxide', 'Benzoyl superoxide', 'Acetoxyl', 'Benoxyl', 'Lucidol', 'Panoxyl', 'Benzol peroxide', 'Dibenzoylperoxid', 'Benzoylperoxid', 'Asidopan', 'Persadox', 'Benzac', 'Eloxyl', 'Mytolac', 'Oxylite', 'Diphenylglyoxal peroxide', 'Resdan Akne', 'Epi-Clear', 'Persa-Gel', 'Akneroxid 5', 'Dry and Clear', 'Duresthin 5', 'Luperco AST', 'Nayper BO', 'Benzoylperoxyde', 'Theraderm', 'Dibenzoylperoxyde', 'Peroxyde de benzoyle', 'Lucidol B 50', 'Lucidol G 20', 'Perossido di benzoile', 'Benzoic acid, peroxide', 'Acnegel', 'Benzaknen', 'Brevoxyl', 'Debroxide', 'Desanden', 'Incidol', 'Loroxide', 'Novadelox', 'Vanoxide', 'Garox', 'Topex', 'Xerac', 'benzoyl benzenecarboperoxoate', 'Luperox fl', 'Akneroxide L', 'Cadox bs', 'Quinolor compound', 'Desquam E', 'Benzac W', 'Clear By Design', 'Luperco AA', 'Cadox B', 'Nayper B and bo', 'Aztec BPO', 'Benzagel 10', 'benzoylperoxide', 'Lucidol (peroxide)', 'Benzagel', 'Benzashave', 'Cadox 40E', 'Norox bzp-250', 'Norox bzp-C-35', 'Desquam X', 'Desquam-X', 'Acne-Aid Cream', 'Benbel C', 'Cadat BPO', 'Lucidol-70', 'Aksil 5', 'Lucidol 50P', 'Lucidol KL 50', 'Oxy-10 Cover', 'Superox 744', 'Chaloxyd BP 50FT', 'Abcat 40', 'Benox 50', 'Diphenylperoxyanhydride', 'Cadox B 40E', 'Cadox B 50P', 'Cadox B 70W', 'Oxy 5', 'Oxy-5', 'Cadox B-CH 50', 'Fostex BPO', 'pHisoAc BP', 'Xerac BP', 'Benoxyl (5&amp;10) Lotion', 'Epi Clear Antiseptic Lotion', 'Stri-dex B.P.', 'Peroxyderm', 'Benzaknew', 'Benzoyl', 'BZF-60', 'Dermoxyl', 'Luzidol', 'Nericur', 'OXY-10', 'Peroxydex', 'Preoxydex', 'Sanoxit', 'Superox', 'Benzoylperoxid [German]', 'Benzoylperoxyde [Dutch]', 'Cadet', 'dibenzoylperoxide', 'Benzoyl peroxyde', 'Akneroxid L', 'Dibenzoylperoxid [German]', 'Dibenzoylperoxyde [Dutch]', 'UNII-W9WZN9A0GM', 'Benzoyl peroxide [USAN]', 'Clearasil Antibacterial Acne Lotion', 'CCRIS 630', 'Lucidol 75FP', 'Stri-dex B.P', 'Oxy-L', 'component of Oxy-5', 'Peroxyde de benzoyle [French]', 'component of Vanoxide', 'HSDB 372', 'Xerac BP 5', 'benzoic peroxyanhydride', 'BPO', 'Perossido di benzoile [Italian]', 'OXY WASH', 'Xerac BP 10', 'NSC 671', 'B 75W', 'Clearasil BP Acne Treatment Cream', 'Abcure S-40-25', 'EINECS 202-327-6', 'W9WZN9A0GM', 'Clearasil bp acne treatment', 'G 20', 'NSC671', 'CHEBI:82405', 'Clearasil benzoyl peroxide lotion', 'NSC 675', 'NSC-671', 'NSC-675', 'MFCD00003071', 'NCGC00159380-02', 'NCGC00159380-05', 'Benzoylperoxid (german)', 'WLN: RVOOVR', 'Benzoyl peroxide (usan)', 'Dibenzoylperoxid (german)', 'DSSTox_CID_1072', 'DSSTox_RID_77460', 'DSSTox_GSID_24591', 'Benprox', 'Benzefoam', 'Lavoclen', 'Pacnex', 'C14H10O4', 'Neobenz micro', 'Peroxide, Benzoyl', 'CAS-94-36-0', 'Novadelox (18% benzoyl peroxide, 78% calcium sulphate, 4% magnesium carbonate)', 'Dibenzoyl peroxide, 75%, remainder water', 'Superoxide, Benzoyl', 'Benzoyl peroxide gel', 'Diphenylglyoxal Superoxide', 'Superoxide, Diphenylglyoxal', 'Thermaderm', 'Lucilite', 'Lucipal', 'Novadeiox', 'Periygel', 'Peroxyl', 'Presadox', 'bezoyl peroxide', 'Florox', 'Benzoyl peroide', 'Bepio', 'Silica hydrogel', 'Triaz', 'Benzoyl peroxide [USAN:USP]', 'benzoyl-peroxide', 'Luperco A', 'di-benzoylperoxide', 'dibenzoy lperoxide', 'dibenzoyl peroxyde', 'dibenzoyl-peroxide', 'Lucidol GS', 'Lucidol RM', 'Luperco AC', 'Luperco AFR', 'BzOOBz', 'Nyper B', 'bis benzoylperoxide', 'Bisbenzoyl peroxide', 'Cadox BTA', 'Nyper BMT', 'di-benzoyl peroxide', 'Perkadox 20S', 'Cuticura acne cream', 'Lucidol 70', 'Lucidol 78', 'Lucidol-78', 'Luperox A98', 'BBPO', 'Bepio (TN)', 'Benzagel (Salt/Mix)', 'BENZOYL DIOXIDE', 'Luperco AFR-250', 'Sulfoxyl (Salt/Mix)', 'Cadet BPO 78W', 'Cadet BPO-70W', 'Cadox BPO-W40', 'Cadox BTW-50', 'Benzoyl peroxide(usan)', 'Benzoyl Peroxide [1]', 'Benzoyl Peroxide [2]', 'Benzoyl Peroxide [3]', 'Benzoyl Peroxide [4]', 'Benzoyl Peroxide [5]', 'Benzoyl Peroxide [6]', 'Benzoyl Peroxide [7]', 'Benzoyl Peroxide [8]', 'Benzoyl Peroxide [9]', 'Benzoyl peroxide, USAN', 'Xerac BP (Salt/Mix)', 'AcetOxyl 2.5 and 5', 'Benzoyl peroxide (USP)', 'Diphenylperoxyanhydride #', 'SCHEMBL63', 'TRIAZ;Dibenzoyl peroxide', 'Fostex BPO (Salt/Mix)', 'Aztec benzoyl peroxide-dry', 'ACMC-209u3h', 'EC 202-327-6', 'Benzoyl peroxide (JAN/USP)', 'KSC486M9N', 'MLS000028899', 'BIDD:GT0840', 'BENZOYL PEROXIDE (WET)', 'Aztec benzoyl peroxide-70-77', 'NSC675', 'ZINC1016', 'CHEMBL1200370', 'DTXSID6024591', 'CTK3I6696', 'KS-00000VQD', 'Benzoyl peroxide, remainder water', 'Fostex BPO Bar, Gel, and Wash', 'component of Vanoxide (Salt/Mix)', 'HMS2092F22', 'Pharmakon1600-01503004', 'phenylcarbonyl benzenecarboperoxoate', 'NA 2085 (DOT)', 'UN 2085 (DOT)', 'EBD40747', 'Tox21_111619', 'ANW-43275', 'Benzoyl peroxide (Luperox(R) A75)', 'Benzoyl peroxide (Luperox(R) A98)', 'Dibenzoyl peroxide; BPO; Perkadox L', 'NSC758205', 'Benzoyl peroxide (Luperox(R) A70S)', 'dibenzoyl peroxide;BENZOYL PEROXIDE', 'AKOS000120600', 'benzenecarboperoxoic acid benzoyl ester', 'Tox21_111619_1', 'Benzoyl peroxide (Luperox(R) A75FP)', 'CCG-213090', 'DB09096', 'LS-1962', 'MCULE-5748985501', 'NSC-758205', 'SC10147', 'UN 2086', 'UN 2088', 'NCGC00159380-03', 'NCGC00159380-04', 'BP-21236', 'CC-24424', 'E928', 'SC-26204', 'SMR000058568', 'W 75', 'SBI-0206719.P001', 'DB-022598', 'B3152', 'Benzoyl peroxide, blend in dibutyl phthalate', 'NS00006130', 'Benzoyl peroxide, blend in tricresyl phosphate', 'C19346', 'D03093', 'AB01562988_01', 'Benzoyl peroxide, for synthesis, 72.0-80.0%', 'Mixture of dibenzoyl peroxide and calcium sulfate', 'A844933', 'C-35170', 'Mixture of dibenzoyl peroxide and calcium sulphate', 'Q411424', 'SR-05000001817', 'SR-05000001817-1', 'BRD-K59986511-001-02-3', 'Benzoyl peroxide, SAJ first grade, &gt;=98.0% dry basis', 'F0001-2260', 'Luperox(R) A70S, Benzoyl peroxide, 70%, remainder water', 'Luperox(R) A75, Benzoyl peroxide, 75%, remainder water', 'Luperox(R) A98, Benzoyl peroxide, reagent grade, &gt;=98%', 'BENZOYL PEROXIDE (SEE ALSO DMBA/TPA/BPO/MNNG (CAS NO. INIT/PROM))', 'Benzoyl peroxide blend with dicyclohexyl phthalate, technical, ~50% (T)', 'Luperox(R) ATC50, Benzoyl peroxide, ~50 wt. % in tricresyl phosphate', 'Luperox(R) AFR40, Benzoyl peroxide solution, 40 wt. % in dibutyl phthalate', 'Benzoyl peroxide blend with dicyclohexyl phthalate, suitable for use as a catalyst for electron microscopy. Modified to render it safe in transit.', 'Luperox(R) A75FP, Benzoyl peroxide, 75% remainder water, contains 25 wt. % water as stabilizer, 75%']</t>
  </si>
  <si>
    <t>Compound(7187)</t>
  </si>
  <si>
    <t>C14H10O4</t>
  </si>
  <si>
    <t>benzoyl prop</t>
  </si>
  <si>
    <t>2-(N-benzoyl-3,4-dichloroanilino)propanoic acid</t>
  </si>
  <si>
    <t>['Benzoylprop', '22212-56-2', 'N-Benzoyl-N-(3,4-dichlorophenyl)alanine', 'Benzoylprop [ISO]', 'Oprea1_475456', 'CBDivE_000823', 'SCHEMBL137365', 'DTXSID60892185', 'MCULE-6686344288', 'ACM22212562', 'DL-Alanine, N-benzoyl-N-(3,4-dichlorophenyl)-', 'Q27293849', 'N-benzoyl-N-(3,4-dichlorophenyl)-2-aminopropionic acid']</t>
  </si>
  <si>
    <t>Compound(90756)</t>
  </si>
  <si>
    <t>C16H13Cl2NO3</t>
  </si>
  <si>
    <t>ethyl 2-(N-benzoyl-3,4-dichloroanilino)propanoate</t>
  </si>
  <si>
    <t>['Benzoylprop-ethyl', '22212-55-1', 'Suffix', 'BENZOYLPROP ETHYL', 'Endaven', 'Suffix 25', 'Ethyl 2-[benzoyl-(3,4-dichlorophenyl)amino]propanoate', 'Benzoylprop-ethyl [BSI:ISO]', 'FX 2182', 'Ethyl N-benzoyl-N-(3,4-dichlorophenyl)-DL-alaninate', 'SD 30,053', 'EINECS 244-845-5', 'BRN 3007699', 'Alanine, N-benzoyl-N-(3,4-dichlorophenyl)-, ethyl ester', 'N-Benzoyl-N-(3,4-dichlorophenyl)-DL-alanine ethyl ester', 'Alanine, N-benzoyl-N-(3,4-dichlorophenyl)-, ethyl ester, DL-', 'ethyl 2-(N-benzoyl-3,4-dichloroanilino)propanoate', 'Ethyl (+-)-2-(N-benzoyl-3,4-dichloroanilino)propionate', 'DL-Alanine, N-benzoyl-N-(3,4-dichlorophenyl)-, ethyl ester', 'Ethyl (+-)-2-(N-(3,4-dichlorophenyl)benzamido)propionate', '(+-)-Ethyl N-benzoyl-N-(3,4-dichlorophenyl)-2-aminopropionate', '2-(N-benzoyl-3,4-dichloroanilino)propanoic acid ethyl ester', 'Propionic acid, 2-(N-benzoyl-N-(3,4-dichlorophenyl))amino-, ethyl ester, (+-)-', 'WL 17731', 'L-N-Benzoyl-N-(3,4-dichlorophenyl)alanine ethyl ester', 'N-Benzoyl-N-(3,4-dichlorophenyl)-L-alanine ethyl ester', 'L-Alanine, N-benzoyl-N-(3,4-dichlorophenyl)-, ethyl ester', 'Alanine, N-benzoyl-N-(3,4-dichlorophenyl)-, ethyl ester, L-', 'Benzoylprop Ethyl Ester', 'Ethyl-2-(N-benzoyl-3,4-dichloroanilino)propionate', 'SCHEMBL163055', 'DTXSID7040281', 'CHEBI:82171', 'CTK4I0174', 'AKOS015915519', 'VZ36082', '38561-59-0', 'LS-15825', 'LS-124502', 'FT-0653444', 'NS00001839', 'C19044', 'Ethyl N-benzoyl-N-(3,4-dichlorophenyl)alaninate', 'A816018', 'Ethyl 2-(benzoyl-3,4-dichloroanilino)propanoate #', 'Ethyl 2-(N-benzoyl-3,4-dichloroanilino)propionate', 'J-014588', 'Benzoylprop-ethyl, PESTANAL(R), analytical standard', 'Ethyl 2-[benzoyl(3,4-dichlorophenyl)amino]propionate', 'Ethyl 2-[N-(3,4-dichlorophenyl)benzamido]propionate', 'Q22831374', 'Ethyl N-benzoyl-N-(3,4-dichlorophenyl)-2-aminopropionate', 'ethyl 2-[(3,4-dichlorophenyl)-(phenylcarbonyl)amino]propanoate', 'Propionic acid, 2-(N-benzoyl-N-(3,4-dichlorophenyl))amino-, ethyl ester', 'Propionic acid, 2-(N-benzoyl-N-(3,4-dichlorophenyl))amino-, ethyl ester, (.+/-.)-', 'ethyl N-benzoyl-N-(3,4-dichlorophenyl)-DL-alaninate;Ethyl N-benzoyl-N-(3,4-dichlorophenyl)-DL-alaninate']</t>
  </si>
  <si>
    <t>Compound(31068)</t>
  </si>
  <si>
    <t>C18H17Cl2NO3</t>
  </si>
  <si>
    <t>1-[4-[2-(cyclopropylmethoxy)ethyl]phenoxy]-3-(propan-2-ylamino)propan-2-ol</t>
  </si>
  <si>
    <t>['betaxolol', '63659-18-7', 'Betoptic', 'Kerlone', 'Betaxololum', 'Betaxololum [INN-Latin]', 'Betaxolol [INN:BAN]', 'SL 75212', 'ALO-1401-02', '1-[4-[2-(cyclopropylmethoxy)ethyl]phenoxy]-3-(propan-2-ylamino)propan-2-ol', '1-(4-(2-(Cyclopropylmethoxy)ethyl)phenoxy)-3-((1-methylethyl)amino)-2-propanol', 'CHEBI:3082', 'SL-75212', 'KERLEDEX', 'NCGC00015159-06', '1-(isopropylamino)-3-[p-(cyclopropylmethoxyethyl)phenoxy]-2-propanol', 'DSSTox_CID_2674', '2-Propanol, 1-(4-(2-(cyclopropylmethoxy)ethyl)phenoxy)-3-((1-methylethyl)amino)-', 'DSSTox_RID_76685', 'DSSTox_GSID_22674', 'Q-200713', 'C18H29NO3', 'Betaxolol S', '1-(4-(2-(cyclopropylmethoxy)ethyl)phenoxy)-3-(isopropylamino)propan-2-ol', '1-{4-[2-(cyclopropylmethoxy)ethyl]phenoxy}-3-(propan-2-ylamino)propan-2-ol', 'alo 1401-02', 'Betaxolol (INN)', 'Betaxolol (TN)', 'CAS-63659-18-7', 'SL-75212-10', 'Dextrobetaxolol', 'beta-Xolol', 'Betaxolol (Betoptic)', 'Prestwick0_000382', 'Prestwick1_000382', 'Prestwick2_000382', 'Prestwick3_000382', 'CHEMBL423', 'Lopac0_000193', 'SCHEMBL23530', 'BSPBio_000563', 'GTPL549', 'SPBio_002484', 'BPBio1_000621', 'DTXSID2022674', '(R)-Betaxolol; (+)-Betaxolol', 'CTK8F0838', 'ALO-140102 FREE BASE', 'HMS2089I07', 'HMS3655P17', 'HY-B0381', 'SL-7521210 FREE BASE', 'Tox21_110091', 'BDBM50405521', 'KM0772', 's2091', 'AKOS015841671', 'Tox21_110091_1', 'AC-1115', 'API0024704', 'CCG-204288', 'CS-2452', 'DB00195', 'SDCCGSBI-0050181.P002', '1-[(4-{2-[(cyclopropylmethyl)oxy]ethyl}phenyl)oxy]-3-[(1-methylethyl)amino]propan-2-ol', 'KS-00001F72', 'MRF-0000336', 'NCGC00015159-04', 'NCGC00015159-05', 'NCGC00015159-08', 'NCGC00015159-09', 'NCGC00015159-11', 'NCGC00015159-13', 'NCGC00024863-03', 'NCGC00024863-04', 'AK546815', 'AS-14125', 'CC-24642', 'K005', 'SC-23071', 'LS-122005', 'FT-0773524', 'NS00006058', 'SW196917-5', 'C06849', 'D07526', '659X187', 'A834454', 'C-19113', 'L000125', 'Q794162', 'BRD-A02759312-003-03-9', 'BRD-A02759312-003-11-2', '1-{4-[2-(Cyclopropylmethoxy)ethyl]phenoxy}-3-(isopropylamino)-2-propanol', '(.+/-.)-1-[p-[2-(Cyclopropylmethoxy)ethyl]phenoxy]-3-(isopropylamino)-2-propanol', '1-(4-[2-(Cyclopropylmethoxy)ethyl]phenoxy)-3-(isopropylamino)-2-propanol #', '1-[4-[2-(cyclopropylmethoxy)ethyl]phenoxy]-3-(propan-2-ylamino)-2-propanol', '1-{4-[2-(Cyclopropylmethoxy)ethyl]phenoxy}-3-[(propan-2-yl)amino]propan-2-ol', '(+/-)-1-[4-[2-(cyclopropylmethoxy)ethyl]phenoxy]-3-[(1-methylethyl)amino]-2-propanol;betaxolol;1-(isopropylamino)-3-[4-[2-(cyclopropylmethoxy)ethyl]phenoxy]propan-2-ol hydrochloride']</t>
  </si>
  <si>
    <t>Compound(2369)</t>
  </si>
  <si>
    <t>C18H29NO3</t>
  </si>
  <si>
    <t>bezafibrate</t>
  </si>
  <si>
    <t>2-[4-[2-[(4-chlorobenzoyl)amino]ethyl]phenoxy]-2-methylpropanoic acid</t>
  </si>
  <si>
    <t>['bezafibrate', '41859-67-0', 'Bezalip', 'Cedur', 'Bezafibrat', 'Befizal', 'Sklerofibrat', 'Azufibrat', 'Bezatol', 'Bezafibratum', 'Bezafibrato', 'Bezafibratum [INN-Latin]', 'Bezafibrato [INN-Spanish]', 'Bezafibrato [Spanish]', 'Bezatol SR (TN)', 'BM-15.075', 'BM 15075', 'LO 44', 'BF-759', '2-[4-[2-[(4-chlorobenzoyl)amino]ethyl]phenoxy]-2-methylpropanoic acid', 'UNII-Y9449Q51XH', 'Difaterol', 'CCRIS 9085', '2-(p-(2-(p-Chlorobenzamido)ethyl)phenoxy)-2-methylpropionic acid', 'BM 15.075', 'EINECS 255-567-9', 'BRN 4267656', 'C19H20ClNO4', 'BM-15075', 'MLS000028533', 'CHEMBL264374', 'durabezur', 'Reducterol', 'Bezabeta', 'Bezacur', 'Bezamerck', 'Eulitop', 'Solibay', 'CHEBI:47612', 'Lipox', '2-[4-[2-(4-Chlorobenzamido)ethyl]phenoxy]-2-methylpropanoic acid', 'Bezafibrat PB', 'Y9449Q51XH', 'Beza-Lande', 'Beza-Puren', 'Regadrin B', 'Propanoic acid, 2-(4-(2-((4-chlorobenzoyl)amino)ethyl)phenoxy)-2-methyl-', 'NCGC00016850-01', 'SMR000058298', 'Bezalip Retard', 'CAS-41859-67-0', 'DSSTox_CID_9869', 'Propanoic acid, 2-[4-[2-[(4-chlorobenzoyl)amino]ethyl]phenoxy]-2-methyl-', 'DSSTox_RID_78826', 'DSSTox_GSID_29869', 'W-106291', 'benzafibrate', '2-(4-(2-(4-Chlorobenzamido)ethyl)phenoxy)-2-methylpropanoic acid', '2-{4-[2-(4-chlorobenzamido)ethyl]phenoxy}-2-methylpropanoic acid', '2-(4-{2-[(4-chlorobenzoyl)amino]ethyl}phenoxy)-2-methylpropanoic acid', '2-(4-{2-[(4-chlorophenyl)formamido]ethyl}phenoxy)-2-methylpropanoic acid', '2-[P-[2-P-CHLOROBENZAMIDO)ETHYL]PHENOXY]-2-METHYLPROPIONIC ACID', 'Propionic acid, 2-(4-(2-((4-chlorobenzoyl)amino)ethyl)phenoxy)-2-methyl-', 'SR-01000000106', 'Bezafibrate [USAN:BAN:INN:JAN]', 'bezafribrate', 'Bezalip SR', 'Bezafibrate,(S)', 'Bezafibrate [USAN:INN:BAN:JAN]', 'PEM', 'Prestwick_724', 'BENAFIBRATE', 'PubChem4066', 'Spectrum_001443', 'Opera_ID_376', 'Prestwick0_000378', 'Prestwick1_000378', 'Prestwick2_000378', 'Prestwick3_000378', 'Spectrum2_000922', 'Spectrum3_001500', 'Spectrum4_000325', 'Spectrum5_001079', 'Spectrum5_001967', 'SCHEMBL16299', 'BSPBio_000535', 'BSPBio_001314', 'BSPBio_003119', 'KBioGR_000034', 'KBioGR_000669', 'KBioSS_000034', 'KBioSS_001923', 'MLS001148205', 'Bezafibrate, &gt;=98%, solid', 'DivK1c_000092', 'SPECTRUM1502046', 'SPBio_000824', 'SPBio_002456', 'BPBio1_000589', 'GTPL2668', 'DTXSID3029869', 'BDBM28701', 'Bezafibrate (JP17/USAN/INN)', 'CTK8B3343', 'HMS500E14', 'KBio1_000092', 'KBio2_000034', 'KBio2_001923', 'KBio2_002602', 'KBio2_004491', 'KBio2_005170', 'KBio2_007059', 'KBio3_000067', 'KBio3_000068', 'KBio3_002619', '2-[4-[2-(4-Chlorobenzamido)ethyl]phenoxy]isobutyric Acid', 'NINDS_000092', 'Bio2_000034', 'Bio2_000514', 'HMS1361B16', 'HMS1569K17', 'HMS1791B16', 'HMS1921H16', 'HMS1989B16', 'HMS2089F04', 'HMS2092B12', 'HMS2096K17', 'HMS2233E22', 'HMS3261D21', 'HMS3369B13', 'HMS3402B16', 'HMS3650K22', 'HMS3652M22', 'HMS3713K17', 'Pharmakon1600-01502046', 'BCP03700', 'HY-B0637', 'ZINC3956919', 'Tox21_110645', 'Tox21_301845', 'Tox21_500500', 'ANW-42342', 'BG0107', 'CCG-39683', 'MFCD00078970', 'NSC758174', 's4159', '2-[4-[2-[(4-chlorobenzoyl)amino]ethyl]phenoxy]-2-methyl-propanoic acid', 'AKOS005107743', 'Tox21_110645_1', 'AB03023', 'AC-6817', 'API0001705', 'BCP9000398', 'BM15075', 'CS-2874', 'DB01393', 'HS-0040', 'LP00500', 'MCULE-9775992840', 'NSC-758174', 'SB17361', 'SDCCGSBI-0051715.P003', 'VA10400', 'IDI1_000092', 'IDI1_033784', 'NCGC00016850-02', 'NCGC00016850-03', 'NCGC00016850-04', 'NCGC00016850-05', 'NCGC00016850-06', 'NCGC00016850-07', 'NCGC00016850-08', 'NCGC00016850-09', 'NCGC00016850-10', 'NCGC00016850-11', 'NCGC00016850-12', 'NCGC00016850-15', 'NCGC00023317-03', 'NCGC00023317-04', 'NCGC00023317-05', 'NCGC00023317-06', 'NCGC00023317-07', 'NCGC00023317-08', 'NCGC00255376-01', 'NCGC00261185-01', 'Bezafibrate, analytical reference material', 'SC-04393', 'BCP0726000153', 'SBI-0051715.P002', 'AX8116634', 'LS-124535', '2-(4-(2-(4-chlorobenzamido)ethyl)phenoxy)', 'AB00052265', 'B3346', 'FT-0622617', 'NS00000219', 'ST51014927', 'SW196871-4', 'D01366', 'K-8763', 'AB00052265-15', 'AB00052265_16', 'AB00052265_17', '859B670', 'Q577387', 'SR-01000000106-3', 'SR-01000000106-4', 'SR-01000000106-5', 'BRD-K46018455-001-06-0', 'BRD-K46018455-001-17-7', 'SR-01000000106-10', 'Bezafibrate, European Pharmacopoeia (EP) Reference Standard', '2-(4-(2-((4-CHLOROBENZOYL)AMINO)ETHYL)PHENOXY)-2-M', '2-(4-(2-parachlorobenzamidoethyl)phenoxy)-2-methylpropionic acid', '2-[4-[2-(4-chlorobezamide)ethyl]phenoxy]-2-methylpropanoic acid', '2-(4-{2-[(4-chlorophenyl)carbonylamino]ethyl}phenoxy)-2-methylpropanoic acid', '2-[4-(2-{[(4-chlorophenyl)carbonyl]amino}ethyl)phenoxy]-2-methylpropanoic acid', 'BF; 2-[4-[2-[(4-chlorobenzoyl)amino]ethyl]phenoxy]-2-methyl propanoic acid']</t>
  </si>
  <si>
    <t>Compound(39042)</t>
  </si>
  <si>
    <t>C19H20ClNO4</t>
  </si>
  <si>
    <t>methyl 5-(2,4-dichlorophenoxy)-2-nitrobenzoate</t>
  </si>
  <si>
    <t>['BIFENOX', '42576-02-3', 'Methyl 5-(2,4-dichlorophenoxy)-2-nitrobenzoate', 'Modown', 'Caswell No. 561AA', 'MC-4379', '5-(2,4-Dichlorophenoxy)-2-nitrobenzoic acid methyl ester', 'UNII-KSB85XT26Y', 'Bifenox [ANSI:BSI:ISO]', 'CCRIS 7158', 'Benzoic acid, 5-(2,4-dichlorophenoxy)-2-nitro-, methyl ester', 'HSDB 6567', 'EINECS 255-894-7', 'EPA Pesticide Chemical Code 104301', 'BRN 2170169', 'KSB85XT26Y', 'CHEBI:6613', 'CHEMBL449928', 'W-110976', 'Modown 4 flowable', 'MODOWN(R)', 'DSSTox_CID_20320', 'DSSTox_RID_79477', 'DSSTox_GSID_40320', 'SCHEMBL38816', 'BIDD:ER0476', 'DTXSID1040320', 'SUSRORUBZHMPCO-UHFFFAOYSA-', 'ZINC900751', 'KS-00002WW6', 'Tox21_301616', 'BDBM50253063', 'Bifenox 10 microg/mL in Cyclohexane', 'Bifenox 10 microg/mL in Acetonitrile', 'AKOS015903439', 'KS-5116', 'MC 4379', 'NCGC00166176-01', 'NCGC00255413-01', 'CC-24657', 'I410', 'LS-36891', 'AX8042586', 'Bifenox, PESTANAL(R), analytical standard', 'CAS-42576-02-3', 'DB-070315', 'FT-0601611', 'NS00000096', 'C11066', '576B023', 'A825945', 'methyl 5-(2,4-dichlorophenoxy)-2-nitro-benzoate', 'Q424830', "methyl 2-nitro-5-(2'4'-dichlorophenoxy)-benzoate", "Methyl 5-(2',4'-dichlorophenoxy)-2-nitrobenzoate", '2,4-Dichlorophenyl 3-Methoxycarbonyl-4-nitrophenyl ether', 'methyl 5-[2,4-bis(chloranyl)phenoxy]-2-nitro-benzoate', '2,4-Dichlorophenyl 3-methoxycarbonyl-4-nitrophenyl ether2246', 'bifenox;Methyl 5-(2,4-dichlorophenoxy)-2-nitrobenzoate;methyl 5-(2,4-dichlorophenoxy)-2-nitrobenzoate']</t>
  </si>
  <si>
    <t>Compound(39230)</t>
  </si>
  <si>
    <t>C14H9Cl2NO5</t>
  </si>
  <si>
    <t>biphenyl</t>
  </si>
  <si>
    <t>1,1'-biphenyl</t>
  </si>
  <si>
    <t>['Biphenyl', "1,1'-Biphenyl", '92-52-4', 'Phenylbenzene', 'DIPHENYL', 'Bibenzene', 'Lemonene', 'Xenene', "1,1'-Diphenyl", 'Phenador-X', 'Tetrosin LY', 'Carolid AL', 'PHPH', 'Biphenyl [BSI:ISO]', 'Aromatic hydrocarbons, biphenyl-rich', '1,1-Biphenyl', 'Caswell No. 087', 'UNII-2L9GJK6MGN', "Butenylated 1,1'-biphenyl", 'NSC 14916', "1,1'-Biphenyl, butenylated", 'CCRIS 935', 'FEMA No. 3129', 'HSDB 530', 'MCS 1572', 'EINECS 202-163-5', 'CP 390', '2L9GJK6MGN', 'EPA Pesticide Chemical Code 017002', 'E230', 'CHEMBL14092', 'AI3-00036', '68409-73-4', 'CHEBI:17097', 'MFCD00003054', 'Biphenyl, 99%', 'DSSTox_CID_161', 'DSSTox_RID_75411', 'DSSTox_GSID_20161', 'BNL', 'CAS-92-52-4', 'Biphenyl, 1,1-', 'diphenyl, 14C-labeled', 'Biphenyl rich aromatic hydrocarbons', 'meta biphenyl', 'bi-phenyl', '4-Biphenyl', 'Distilled hydrodealkylized toluene', 'Diphenyl,(S)', 'EINECS 270-059-7', 'Biphenyl-UL-14C', "4,4'-biphenyl", "1,1''-biphenyl", "1, 1'-Diphenyl", 'Biphenyl, &gt;=99%', 'ACMC-20aj0f', 'WLN: RR', "1,1'-Biphenyl, 9CI", 'bmse000506', 'EC 202-163-5', 'Biphenyl, analytical standard', 'KSC179C5N', 'BIDD:ER0669', 'DTXSID4020161', 'FEMA 3129', 'ZINC968250', 'KS-000000KO', 'NSC14916', 'Tox21_202108', 'Tox21_300167', 'ANW-75565', 'BDBM50168002', 'Biphenyl 100 microg/mL in Methanol', 'Biphenyl, ReagentPlus(R), 99.5%', 'NSC-14916', 'SBB060084', 'STL264192', 'Biphenyl 10 microg/mL in Cyclohexane', 'AKOS000119944', 'LS-1934', 'MCULE-2274387658', 'NCGC00091836-01', 'NCGC00091836-02', 'NCGC00091836-03', 'NCGC00091836-04', 'NCGC00254175-01', 'NCGC00259657-01', 'Biphenyl, Vetec(TM) reagent grade, 99%', 'SC-46740', 'DB-038208', 'B0224', 'B0465', 'Biphenyl, PESTANAL(R), analytical standard', 'FT-0602830', 'NS00010251', 'ST51046325', 'C06588', 'Q410915', 'W-100283', 'Biphenyl, certified reference material, TraceCERT(R)', 'F9995-1632', 'Biphenyl, United States Pharmacopeia (USP) Reference Standard']</t>
  </si>
  <si>
    <t>Compound(7095)</t>
  </si>
  <si>
    <t>bifenazate</t>
  </si>
  <si>
    <t>propan-2-yl N-(2-methoxy-5-phenylanilino)carbamate</t>
  </si>
  <si>
    <t>['Bifenazate', '149877-41-8', 'Floramite', "Isopropyl 2-(4-methoxy-[1,1'-biphenyl]-3-yl)hydrazinecarboxylate", 'Bifenazate [ISO]', 'UNII-24Z9QW0505', 'HSDB 7002', 'EPA Pesticide Chemical Code 000586', 'propan-2-yl N-(2-methoxy-5-phenylanilino)carbamate', 'D2341', 'CHEBI:38660', 'D 2341', '24Z9QW0505', 'isopropyl 2-(4-methoxybiphenyl-3-yl)hydrazinecarboxylate', "Hydrazinecarboxylic acid, 2-(4-methoxy[1,1'-biphenyl]-3-yl)-, 1-methylethyl ester", "propan-2-yl 2-(4-methoxy[1,1'-biphenyl]-3-yl)hydrazinecarboxylate", "2-(4-methoxy(1,1'-biphenyl)-3-yl)hydrazinecarboxylic acid 1-methylethyl ester", "Hydrazinecarboxylic acid, 2-(4-methoxy(1,1'-biphenyl)-3-yl)-, 1-methylethyl ester", 'Bifenazat', 'CCRIS 9247', 'Bifenazate (D 2341)', 'DSSTox_CID_12525', 'DSSTox_RID_78968', 'DSSTox_GSID_32525', 'SCHEMBL26414', 'CHEMBL1872845', 'DTXSID5032525', 'BCP06313', 'ZINC2511856', 'Tox21_300871', '7479AA', 'AKOS015900766', 'NCGC00163782-01', 'NCGC00163782-02', 'NCGC00163782-03', 'NCGC00254775-01', 'LS-76676', 'AX8245043', 'DB-063837', 'HY-119687', 'CAS-149877-41-8', 'CS-0077815', 'FT-0736041', 'NS00010595', 'Bifenazate, PESTANAL(R), analytical standard', 'C18589', 'D-2341', 'J-519850', 'Q13439316', 'Isopropyl 2-(4-methoxy-3-biphenylyl)hydrazinecarboxylate', 'propan-2-yl N-[(2-methoxy-5-phenylphenyl)amino]carbamate', '1-Methylethyl 2-(4-methoxybiphenyl-3-yl)hydrazinecarboxylate', 'Pesticide3_Bifenazate_C17H20N2O3_1-Methylethyl 2-(4-methoxybiphenyl-3-yl)hydrazinecarboxylate']</t>
  </si>
  <si>
    <t>Compound(176879)</t>
  </si>
  <si>
    <t>C17H20N2O3</t>
  </si>
  <si>
    <t>(2-methyl-3-phenylphenyl)methyl (1R,3R)-3-[(Z)-2-chloro-3,3,3-trifluoroprop-1-enyl]-2,2-dimethylcyclopropane-1-carboxylate</t>
  </si>
  <si>
    <t>['BIFENTHRIN', '82657-04-3', 'Biphenthrin', 'Kappa-bifenthrin', 'Kappa-bifenthrine', '(R)-Bifenthrin', 'Capture', '(1R)-cis-Bifenthrin', 'Discipline', 'Empower', 'Fanfare', '(+)-(1R)-cis-Bifenthrin', 'DeterMite', 'TalstarOne', 'CHEBI:3093', 'Caswell No. 463F', 'Bifenthrine [ISO-French]', 'Bifentrin', '439680-76-9', 'Bifenthrin [ANSI:BSI:ISO]', 'HSDB 6568', 'FMC 58000', 'EPA Pesticide Chemical Code 128825', "(2-methyl-[1,1'-biphenyl]-3-yl)methyl rel-(1R,3R)-3-[(1Z)-2-chloro-3,3,3-trifluoroprop-1-en-1-yl]-2,2-dimethylcyclopropanecarboxylate", "Cyclopropanecarboxylic acid,3-[(1Z)-2-chloro-3,3,3-trifluoro-1-propenyl]-2,2-dimethyl-,(2-methyl[1,1'-biphenyl]-3-yl)methyl ester, (1R,3R)-rel-", 'Kappa-bifenthrin [ISO]', 'CCRIS 9249', "(1alpha,3alpha(Z))-(+-)-(2-Methyl(1,1'-biphenyl)-3-yl)methyl 3-(2-chloro-3,3,3-trifluoro-1-propenyl)-2,2-dimethylcyclopropanecarboxylate", "(1alpha,3alpha(Z))-(+-)-3-(2-Chloro-3,3,3-trifluoro-1-propenyl)-2,2-dimethylcyclopropanecarboxylic acid (2-methyl(1,1'-biphenyl)-3-yl)methyl ester", "(2-methyl(1,1'-biphenyl)-3-yl)methyl (1R,3R)-3-((1Z)-2-chloro-3,3,3-trifluoroprop-1-en-1-yl)-2,2-dimethylcyclopropane-1-carboxylate", "(2-Methyl[1,1'-biphenyl]-3-yl)methyl (1R,3R)-3-[(1Z)-2-chloro-3,3,3-trifluoroprop-1-en-1-yl]-2,2-dimethylcyclopropane-1-carboxylate", '2-Methylbiphenyl-3-ylmethyl-(Z)-(1RS)-cis-3-(2-chloro-3,3,3-trifluoroprop-1-enyl)-2,2-dimethylcyclopropanecarboxylate', 'cis-(1R)-Bifenthrin', 'fmc-54800', 'SCHEMBL313858', 'Bifenthrin, analytical standard', 'CHEMBL2227975', 'DTXSID9020160', 'CHEBI:87579', "Cyclopropanecarboxylic acid, 3-((1Z)-2-chloro-3,3,3-trifluoro-1-propenyl)-2,2-dimethyl-, (2-methyl(1,1'-biphenyl)-3-yl)methyl ester, (1R,3R)-rel-", "Cyclopropanecarboxylic acid, 3-(2-chloro-3,3,3-trifluoro-1-propenyl)-2,2-dimethyl-, (2-methyl(1,1'-biphenyl)-3-yl)methyl ester, (Z)-", 'HY-B0824', 'ZINC2516821', 'AKOS015994766', 'DB15056', 'KS-5074', '522-EP2274983A1', '522-EP2275422A1', '522-EP2292608A1', '522-EP2305662A1', '522-EP2308857A1', '522-EP2308858A1', '522-EP2311816A1', '522-EP2311817A1', 'CS-0012840', 'Bifenthrin, PESTANAL(R), analytical standard', 'UNII-6B66JED0KN component OMFRMAHOUUJSGP-IRHGGOMRSA-N', "(2-methyl-[1,1'-biphenyl]-3-yl)methyl (1R,3R)-3-[(1Z)-2-chloro-3,3,3-trifluoroprop-1-en-1-yl]-2,2-dimethylcyclopropanecarboxylate", '2-methylbiphenyl-3-ylmethyl (1R)-cis-3-((Z)-2-chloro-3,3,3-trifluoroprop-1-enyl)-2,2-dimethylcyclopropanecarboxylate', '3beta-(2-Chloro-3,3,3-trifluoro-1-propenyl)-2,2-dimethylcyclopropane-1beta-carboxylic acid (2-methylbiphenyl-3-yl)methyl ester']</t>
  </si>
  <si>
    <t>Compound(6442842)</t>
  </si>
  <si>
    <t>C23H22ClF3O2</t>
  </si>
  <si>
    <t>(2-butan-2-yl-4,6-dinitrophenyl) 3-methylbut-2-enoate</t>
  </si>
  <si>
    <t>['BINAPACRYL', 'Endosan', 'Dinapacryl', 'Acricid', 'Dapacryl', 'Morocide', 'Morrocid', 'Ambox', '485-31-4', 'Dinoseb methacrylate', 'Niagara 9044', 'Caswell No. 086', 'HOE 2784 OA', 'Dinoseb, 3,3-dimethylacryl ester', 'FMC 9044', 'HOE 2784', 'NIA 9044', 'Binapacryl [ANSI:BSI:ISO]', 'ENT 25,793', '2-(1-Methylpropyl)-4,6-dinitrophenyl 3-methyl-2-butenoate', '2-sec-Butyl-4,6-dinitrophenyl senecioate', 'HSDB 1518', 'EINECS 207-612-9', '2,4-Dinitro-6-sec-butylphenyl 2-methylcrotonate', '2-sec-Butyl-4,6-dinitrophenyl 3-methylcrotonate', 'EPA Pesticide Chemical Code 012201', 'BRN 2013712', '2-sec-Butyl-4,6-dinitrophenyl 3-methyl-2-butenoate', '2-sec-Butyl-4,6-dinitrophenyl-3,3-dimethylacrylate', '4,6-Dinitrophenyl-2-sec-butyl-3-methyl-2-butenonate', '2-Butenoic acid, 3-methyl-, 2-(1-methylpropyl)-4,6-dinitrophenyl ester', 'Phenol, 2-sec-butyl-4,6-dinitro-, 3-methylcrotonate', 'AI3-25793', '(2-butan-2-yl-4,6-dinitrophenyl) 3-methylbut-2-enoate', '3-Methylcrotonic acid 2-sec-butyl-4,6-dinitrophenyl ester', '3,3-Dimethylacrylic acid 2-sec-butyl-4,6-dinitrophenyl ester', '3-Methyl-2-butenoic acid 2-sec-butyl-4,6-dinitrophenyl ester', 'CHEBI:83366', 'Crotonic acid, 3-methyl-, 2-sec-butyl-4,6-dinitrophenyl ester', '3-Methyl-2-butenoic acid 2-(1-methylpropyl)-4,6-dinitrophenyl ester', 'Senecioic acid 2-sec butyl-4,6-dinitrophenyl ester', 'Senecioic acid 2-sec-butyl-4,6-dinitrophenyl ester', '2-sec-Butyl-4,6-dinitrophenyl beta,beta-dimethylacrylate', '4,6-Dinitro-2-sec-butylphenyl beta,beta-dimethylacrylate', '2-(1-Methylpropyl)-4,6-dinitrophenyl 3,3-dimethylacrylate', '2-sek.Butyl-4,6-dinitrofenylester kyseliny 3-methylkrotonove', '(6-(1-Metil-propil)-2,4-dinitro-fenil)-3,3-dimetil-acrilato', '2-(1-Methylpropyl)-4,6-dinitrophenyl beta,beta-dimethacrylate', '(6-(1-Methyl-propyl)-2,4-dinitro-fenyl)-3,3-dimethyl-acrylaat', '(6-(1-Methyl-propyl)-2,4-dinitro-phenyl)-3,3-dimethyl-acrylat', '3,3 Dimethyl-acrylate de 2,4-dinitro-6-(1-methylpropyle) phenyle', '(6-(1-Methyl-propyl)-2,4-dinitro-fenyl)-3,3-dimethyl-acrylaat [Dutch]', '(6-(1-Metil-propil)-2,4-dinitro-fenil)-3,3-dimetil-acrilato [Italian]', '2-sek.Butyl-4,6-dinitrofenylester kyseliny 3-methylkrotonove [Czech]', '(6-(1-Methyl-propyl)-2,4-dinitro-phenyl)-3,3-dimethyl-acrylat [German]', '3,3 Dimethyl-acrylate de 2,4-dinitro-6-(1-methylpropyle) phenyle [French]', '3,3 dimethyl-acrylate de 2,4-dinitro-6-(1-methylpropyle)phenyl [French]', '3,3 dimethyl-acrylate de 2,4-dinitro-6-(1-methylpropyle)phenyle [French]', '2-sec-butyl-4,6-dinitrophenyl 3-methylbut-2-enoate', 'DSSTox_CID_20269', 'DSSTox_RID_79462', 'DSSTox_GSID_40269', 'SCHEMBL54301', 'CHEMBL3182974', 'DTXSID9040269', 'CTK8E3324', 'ZRDUSMYWDRPZRM-UHFFFAOYSA-', '3,3 dimethyl-acrylate de 2,4-dinitro-6-(1-methylpropyle)phenyl', '3,3 dimethyl-acrylate de 2,4-dinitro-6-(1-methylpropyle)phenyle', 'ZX-AT022293', 'Tox21_301554', 'ACM485314', 'AKOS015888368', 'OR59943', 'Binapacryl 10 microg/mL in Cyclohexane', 'NCGC00255512-01', 'CAS-485-31-4', 'CC-24661', 'LS-55598', 'DB-051558', 'FT-0603417', 'NS00021171', 'Binapacryl, PESTANAL(R), analytical standard', 'C19022', 'C-19720', 'Q3468507', '2-(butan-2-yl)-4,6-dinitrophenyl 3-methylbut-2-enoate', '4,6-Dinitrophenyl-2-(1-methylpropyl) 3-methylbut-2-enoate', '2-sec-Butyl-4,6-dinitrophenyl 3-methylcrotonate (binapacryl)', '4,6-Dinitro-2-sec-butylphenyl .beta.,.beta.-dimethylacrylate', '2-(1-Methylpropyl)-4,6-dinitrophenyl .beta.,.beta.-dimethacrylate', '2-Butenoic acid, 3-methyl-, 2-(1-methylpropyl)-4,6-dinitrophenyl ester (9CI)']</t>
  </si>
  <si>
    <t>Compound(10234)</t>
  </si>
  <si>
    <t>C15H18N2O6</t>
  </si>
  <si>
    <t>(5-benzylfuran-3-yl)methyl (1R,3R)-2,2-dimethyl-3-(2-methylprop-1-enyl)cyclopropane-1-carboxylate</t>
  </si>
  <si>
    <t>['BIORESMETHRIN', '28434-01-7', 'Biobenzyfuroline', '(+)-trans-Resmethrin', '1R-trans-Resemethrin', 'Isatrin', '(1RS)-trans-Resmethrin', 'UNII-YPP8YQZ13B', 'trans-Resmethrin', 'YPP8YQZ13B', '5-Benzyl-3-furylmethyl (+)-trans-chrysanthemate', 'Bioresmethhrin', 'Bioresmetrina', 'd-trans-Chrysron', 'CHEBI:39280', 'Bioresmethrin [INN]', 'Penick 1390', 'Bioresmethrine [French]', 'Bioresmethrinum [Latin]', 'Bioresmetrina [Spanish]', 'Pyrethroid NRDC 107', 'Bioresmetrina [Portuguese]', 'DSSTox_CID_14382', 'DSSTox_RID_79150', '5-Benzyl-3-furylmethyl (1R)-trans-chrysanthemate', 'Bioresmethrine [ISO-French]', 'DSSTox_GSID_34382', 'CCRIS 5401', 'Bioresmethrinum', 'EINECS 249-014-0', '(5-benzylfuran-3-yl)methyl (1R,3R)-2,2-dimethyl-3-(2-methylprop-1-en-1-yl)cyclopropanecarboxylate', '(5-benzylfuran-3-yl)methyl (1R,3R)-2,2-dimethyl-3-(2-methylprop-1-enyl)cyclopropane-1-carboxylate', 'CAS-28434-01-7', '5-Benzyl-3-furylmethyl-d-trans-crysanthemate', 'AI 3-27662', 'Bioresmethrin [BSI:ISO]', 'd-trans-(5-Benzyl-3-furyl)methyl chrysanthemate', '10453-55-1', 'd-trans-((5-Benzyl-3-furyl)methyl)chrysanthemumate', '3-Furanmethanol, 5-benzyl-, 2,2-dimethyl-3-(2-methylpropenyl)cyclopropanecarboxylate, t-(+)-', '5-Benzyl-3-furylmethyl (1R)-trans-2,2-dimethyl-3-(2-mthylprop-1-enyl)cyclopropanecarboxylate', '5-Benzyl-3-furylmethyl (1R,3R)-2,2-dimethyl-3-(2-methylprop-1-enyl)cyclopropanecarboxylate', 'NCGC00163786-03', 'Cyclopropanecarboxylic acid, 2,2-dimethyl-3-(2-methyl-1-propenyl)-, (5-(phenylmethyl)-3-furanyl)methyl ester, (1RS-trans)-', 'Bioresmethrin (Isatrin)', 'SCHEMBL63705', 'BIORESMETHRIN;bioresmethrin', 'CHEMBL2106605', 'Chrysanthemate, trans-(+/-)-', 'DTXSID2034382', '5-Benzyl-3-furylmethyl (1R)-trans-chrysanthemate (8CI)', 'ZINC900673', 'Cyclopropanecarboxylic acid, 2,2-dimethyl-3-(2-methyl-1-propenyl)-, (5-(phenylmethyl)-3-furanyl)methyl ester, (1R,3R)-', 'Cyclopropanecarboxylic acid, 2,2-dimethyl-3-(2-methyl-1-propenyl)-, (5-(phenylmethyl)-3-furanyl)methyl ester, trans-(+-)-', 'Tox21_112072', 'Tox21_302393', 'Tox21_112072_1', 'NCGC00163786-06', 'NCGC00255132-01', 'CC-24662', '524-EP2275422A1', 'C16810', 'Bioresmethrin, PESTANAL(R), analytical standard', 'C-20282', 'UNII-Z6PN6KTG4K component VEMKTZHHVJILDY-UXHICEINSA-N', 'UNII-8535H601Y7 component VEMKTZHHVJILDY-UXHICEINSA-N', '(1R,3R)-(5-benzylfuran-3-yl)methyl 2,2-dimethyl-3-(2-methylprop-1-enyl)cyclopropanecarboxylate', '(5-benzylfuran-3-yl)methyl 2,2-dimethyl-3-(2-methylprop-1-en-1-yl)cyclopropane-1-carboxylate']</t>
  </si>
  <si>
    <t>Compound(162381)</t>
  </si>
  <si>
    <t>C22H26O3</t>
  </si>
  <si>
    <t>1-(2-bicyclo[2.2.1]hept-5-enyl)-1-phenyl-3-piperidin-1-ylpropan-1-ol</t>
  </si>
  <si>
    <t>['biperiden', '514-65-8', 'Biperidene', 'Akineton', 'Biperidine', 'Beperiden', 'Bipariden', 'Biperideno', 'Biperidenum', 'Biperidene [INN-French]', 'Biperidenum [INN-Latin]', 'Biperideno [INN-Spanish]', 'KL 373', 'alpha-5-Norbornen-2-yl-alpha-phenyl-1-piperidinepropanol', 'UNII-0FRP6G56LD', 'Biperiden HCl', '1-Bicycloheptenyl-1-phenyl-3-piperidino-propanol-1', '3-Piperidino-1-phenyl-1-bicycloheptenyl-1-propanol', 'EINECS 208-184-6', 'alpha-bicyclo[2.2.1]hept-5-en-2-yl-alpha-phenyl-1-piperidinepropanol', 'BRN 0290038', '0FRP6G56LD', 'CHEMBL1101', 'CHEBI:3112', '3-Piperidino-1-phenyl-1-bicyclo(2.2.1)hepten-(5)-yl-propanol-(1)', '1-(5-bicyclo[2.2.1]hept-2-enyl)-1-phenyl-3-piperidin-1-ylpropan-1-ol', '1-(Bicyclo(2.2.1)hept-5-en-2alpha-yl)-1-phenyl-3-piperidinopropanol', '1-Piperidinepropanol, alpha-bicyclo(2.2.1)hept-5-en-2-yl-alpha-phenyl-', 'alpha-(Bicyclo(2.2.1)hept-5-en-2-yl)-alpha-phenyl-1-piperidino propanol', '1-(bicyclo[2.2.1]hept-5-en-2-yl)-1-phenyl-3-(piperidin-1-yl)propan-1-ol', '3-Piperidino-1-phenyl-1-bicyclo(2.2.1)hepten-(5)-yl-propanol-(1) [German]', '5-Norbornene-2-methanol, alpha-phenyl-alpha-(2-piperidinoethyl)-', 'alpha-Bicyclo(2.2.1)hept-5-en-2-yl-alpha-phenyl-1-piperidinepropanol', '1-PIPERIDINEPROPANOL, alpha-5-NORBORNEN-2-YL-alpha-PHENYL-', 'Biperiden [USAN:BAN:INN:JAN]', '1-{bicyclo[2.2.1]hept-5-en-2-yl}-1-phenyl-3-(piperidin-1-yl)propan-1-ol', '1-Piperidinepropanol, .alpha.-bicyclo[2.2.1]hept-5-en-2-yl-.alpha.-phenyl-', 'Akineton (TN)', 'Biperiden [USAN:INN:BAN:JAN]', 'NCGC00182965-01', '1235-82-1', 'Biperiden (JAN/USP/INN)', 'SR-05000001649', 'HSDB 7639', 'Biperiden [USP:INN:BAN:JAN]', 'Akinophyl (Salt/Mix)', 'Prestwick0_000502', 'Prestwick1_000502', 'Prestwick2_000502', 'NCIOpen2_009564', 'SCHEMBL34957', '5-20-02-00242 (Beilstein Handbook Reference)', 'SPBio_002344', 'GTPL7128', 'DTXSID6022680', 'SCHEMBL20229360', 'HMS2093N17', 'Pharmakon1600-01505514', 'BDBM50240680', 'HY-13204A', 'NSC759145', 'PDSP1_000821', 'PDSP2_000808', '1-(5-bicyclo[2.2.1]hept-2-enyl)-1-phenyl-3-(1-piperidyl)propan-1-ol', 'AKOS016008819', 'CCG-213474', 'CS-1797', 'DB00810', 'NSC-759145', 'SDCCGSBI-0206797.P002', 'VA10409', '1-Piperidinepropanol, .alpha.-bicyclo[2.2.1]hept-5-en-2-yl-.alpha.-phenyl-, hydrochloride', 'NCGC00182965-02', 'NCGC00182965-03', 'NCGC00182965-04', 'SBI-0206797.P001', 'AX8116739', 'LS-116068', 'NS00003936', 'C07941', 'D00779', 'L001222', 'Q414914', 'SR-05000001649-1', 'BRD-A00546892-001-01-8', '.alpha.-5-Norbornen-2-yl-.alpha.-phenyl-1-piperidinepropanol', 'a-bicyclo[2.2.1]hept-5-en-2yl-a-phenyl-1-piperidinepropanol', '1-Piperidinepropanol, .alpha.-5-norbornen-2-yl-.alpha.-phenyl-', '1-(Bicyclo[2.2.1]hept-5-en-2-yl)-1-phenyl-3-(1-piperidinyl)-1-propanol', '1-Bicyclo[2.2.1]hept-5-en-2-yl-1-phenyl-3-(1-piperidinyl)-1-propanol #', '1-Bicyclo[2.2.1]hept-5-en-2-yl-1-phenyl-3-piperidin-1-yl-propan-1-ol', '5-Norbornene-2-methanol, .alpha.-phenyl-.alpha.-(2-piperidinoethyl)-', '.alpha.-(Bicyclo(2.2.1)hept-5-en-2-yl)-.alpha.-phenyl-1-piperidino propanol', 'Bicyclo[2.2.1]hept-5-ene-2-methanol, .alpha.-phenyl-.alpha.-[2-(1-piperidinyl)ethyl]-']</t>
  </si>
  <si>
    <t>Compound(2381)</t>
  </si>
  <si>
    <t>C21H29NO</t>
  </si>
  <si>
    <t>bis (2-methoxyethyl) ether</t>
  </si>
  <si>
    <t>1-methoxy-2-(2-methoxyethoxy)ethane</t>
  </si>
  <si>
    <t>['Diglyme', '111-96-6', '2-Methoxyethyl ether', 'Bis(2-methoxyethyl) ether', '1-Methoxy-2-(2-methoxyethoxy)ethane', 'DIETHYLENE GLYCOL DIMETHYL ETHER', 'Di(2-Methoxyethyl) ether', 'Poly-Solv', '2,5,8-Trioxanonane', 'Dimethyl carbitol', '(2-Methoxyethyl) ether', "Ethane, 1,1'-oxybis[2-methoxy-", 'Ether, bis(2-methoxyethyl)', 'Methyldiglyme', 'Glyme 2', 'Bis(2-methoxyethyl)ether', 'Diglycol methyl ether', 'Dimethoxydiglycol', 'Dimethyldiglycol', 'Diethyl glycol dimethyl ether', 'diethylene glycol dimethylether', '2-(2-Methoxyethoxy)-1-methoxyethane', "1,1'-Oxybis(2-methoxyethane)", 'UNII-M4BH3X0MVZ', '2-methoxyethylether', 'NSC 59726', 'Glyme-2', 'HSDB 72', 'diethyleneglycol dimethyl ether', 'CCRIS 6212', "Ethanol, 2,2'-oxybis-, dimethyl ether", "2,2'-oxybis(1-methoxyethane)", "Ethane, 1,1'-oxybis(2-methoxy-", "2,2'-oxybis[1-(methyloxy)ethane]", 'EINECS 203-924-4', 'M4BH3X0MVZ', 'BRN 1736101', 'AI3-28583', 'DTXSID1024621', 'CHEBI:46784', 'CH3-O-CH2-CH2-O-CH2-CH2-O-CH3', 'DSSTox_CID_4621', 'DSSTox_RID_77470', 'DSSTox_GSID_24621', "1,1'-oxybis[2-methoxyethane]", 'CAS-111-96-6', 'M2M', 'Bis(2-methoxyethyl) ether, 99%, extra pure', 'Bis(2-methoxyethyl) ether, 99+%, Extra Dry, AcroSeal(R)', 'Dimethyldigol', 'dimethyl digol', 'Dimethylcarbitol', 'Diglyme (2-Methoxyethyl Ether)', 'methoxyethyl ether', 'Bis(2-methoxyethyl) ether, 99+%, Extra Dry over Molecular Sieve, AcroSeal(R)', '2,8-Trioxanonane', 'MFCD00008503', '2-methoxylethyl ether', '2-methyoxyethyl ether', '(2-methoxyethyl)ether', 'bis(2methoxyethyl)ether', 'Dimethoxydiethylene glycol', 'di-(2-methoxyethyl)ether', 'ACMC-1C6FP', 'SCHEMBL398', 'diethyleneglycoldimethylether', 'EC 203-924-4', 'bis-(2-methoxy ethyl)ether', 'bis-(2-methoxyethyl) ether', 'bis-(2-methoxy ethyl) ether', 'KSC175G5H', "Ethane,1'-oxybis[2-methoxy-", '[DID-no:2580]', 'diethylene-glycol dimethyl ether', 'CH3OCH2CH2OCH2CH2OCH3', "1,1'-Oxybis(2-methoxy)ethane", 'CHEMBL1234162', 'CTK0H5353', 'KS-00000VEJ', "2,2'-Oxybisethanol dimethyl ether", 'NSC59726', 'ZINC1689760', "Ethanol,2'-oxybis-, dimethyl ether", 'Tox21_202340', 'Tox21_300077', 'ANW-16354', 'LS-544', 'NSC-59726', 'STL280534', '1-(2-methoxyethoxy)-2-methoxyethane', '1-methoxy-2-(2-methoxyethoxyl)ethane', 'AKOS000120199', 'DB02935', 'Diethylene glycol dimethyl ether(DEDM)', 'MCULE-8598811835', '1-Methoxy-2-(2-methoxyethoxy)ethane #', 'NCGC00247897-01', 'NCGC00247897-02', 'NCGC00253963-01', 'NCGC00259889-01', 'SC-76648', 'DB-060140', 'B0498', 'CS-0017205', 'FT-0624894', 'NS00000296', '15135-EP2272491A1', '15135-EP2272813A2', '15135-EP2272832A1', '15135-EP2275395A2', '15135-EP2284169A1', '15135-EP2287153A1', '15135-EP2287154A1', '15135-EP2287161A1', '15135-EP2287162A1', '15135-EP2289897A1', '15135-EP2292592A1', '15135-EP2292607A2', '15135-EP2295415A1', '15135-EP2298747A1', '15135-EP2298770A1', '15135-EP2298828A1', '15135-EP2301924A1', '15135-EP2301933A1', '15135-EP2308812A2', '15135-EP2308862A1', '15135-EP2311827A1', '15135-EP2311829A1', '15135-EP2314584A1', '15135-EP2316832A1', '15135-EP2316833A1', '15135-EP2371797A1', '15135-EP2371798A1', '15135-EP2371800A1', '15135-EP2371804A1', '49760-EP2287153A1', '49760-EP2311825A1', 'Q865952', 'Diethylene glycol dimethyl ether, analytical standard', 'Diethylene glycol dimethyl ether, anhydrous, 99.5%', 'J-509864', 'Q-200977', 'Diethylene glycol dimethyl ether, ReagentPlus(R), 99%', 'F1908-0129', 'Z1258578237', 'Diethylene glycol dimethyl ether, Vetec(TM) reagent grade, 98%', 'Diglyme;bis(2-methoxyethyl) ether;Ether, bis(2-methoxyethyl)-', 'Diethylene glycol dimethyl ether, puriss. p.a., &gt;=99.5% (GC)', 'Diethylene glycol dimethyl ether, spectrophotometric grade, &gt;=99%', 'Diethylene glycol dimethyl ether, puriss., absolute, over molecular sieve (H2O &lt;=0.005%), &gt;=99.5% (GC)']</t>
  </si>
  <si>
    <t>Compound(8150)</t>
  </si>
  <si>
    <t>C6H14O3</t>
  </si>
  <si>
    <t>bis (2-chloroethoxy) methane</t>
  </si>
  <si>
    <t>1-chloro-2-(2-chloroethoxymethoxy)ethane</t>
  </si>
  <si>
    <t>['BIS(2-CHLOROETHOXY)METHANE', '111-91-1', 'Dichloroethylformal', '2,2-Dichloroethylformal', 'Di-2-chloroethyl formal', 'Dichloroethyl formal', 'Methane, bis(2-chloroethoxy)-', 'Bis(2-chloroethyl) formal', 'Di(2-chloroethyl)formal', 'RCRA waste number U024', 'Dichlorodiethyl formal', 'Dichloromethoxy ethane', 'Dichlorodiethyl methylal', 'Formaldehyde bis(2-chloroethyl) acetal', 'Bis(2-chloroethyl)formal', '2,2-Dichloroethyl formal', 'Bis(beta-chloroethyl)formal', 'NSC 5212', 'Bis(2-chloroethoxy)-methane', 'Bis(beta-chloroethyl) formal', "Ethane, 1,1'-[methylenebis(oxy)]bis[2-chloro-", 'HSDB 1333', 'UNII-5288KK0810', 'EINECS 203-920-2', 'RCRA waste no. U024', 'BRN 1698909', 'Formaldehyde bis(beta-chloroethyl) acetal', 'AI3-01455', 'Bis(.beta.-chloroethyl) formal', 'DTXSID4023917', "Ethane, 1,1'-(methylenebis(oxy))bis(2-chloro-", 'Formaldehyde bis(.beta.-chloroethyl) acetal', '5288KK0810', 'W-109063', '2-chloro-1-[(2-chloroethoxy)methoxy]ethane', "Ethane,1'-[methylenebis(oxy)]bis(2-chloro-", "Ethane,1'-[methylenebis(oxy)]bis[2-chloro-", "1,1'-[methylenebis(oxy)]bis(2-chloroethane)", '1-chloro-2-(2-chloroethoxymethoxy)ethane', 'DSSTox_CID_3917', 'EC 203-920-2', 'bis-(2-Chloroethoxy)methane', 'DSSTox_RID_77231', 'DSSTox_GSID_23917', 'WLN: G2O1O2G', '4-01-00-03028 (Beilstein Handbook Reference)', 'MLS001065594', 'Bis-(2-chloroethoxy)-methane', 'SCHEMBL113161', 'CHEMBL1893366', 'CTK6H8600', 'NSC5212', 'HMS3039L16', 'NSC-5212', 'ZINC1680770', 'Tox21_200284', '8827AC', 'FCH838056', 'SBB060138', 'AKOS006275640', 'LS-2089', 'MCULE-4495786382', 'NCGC00091442-01', 'NCGC00091442-02', 'NCGC00257838-01', 'CAS-111-91-1', 'SMR000568470', 'DB-022653', 'FT-0631632', 'NS00005014', 'ST51046373', '1-Chloro-2-[(2-chloroethoxy)methoxy]ethane #', 'C-50089', 'Q27260978', '1-Chloro-2-[(2-chloroethoxy)methoxy]ethane AldrichCPR', '1-Chloro-2-[(2-chloroethoxy)methoxy]ethane, AldrichCPR', 'Bis-(2-chloroethoxy)methane 100 microg/mL in Cyclohexane', 'bis(2-chloroethoxy)methane;Methane, bis(2-chloroethoxy)-;Propane, 1,2,3-trichloro-, polymer with 1,1-[methylenebis(oxy)]bis[2-chloroethane] and sodium sulfide (Na2(Sx)), reduced']</t>
  </si>
  <si>
    <t>Compound(8147)</t>
  </si>
  <si>
    <t>C5H10Cl2O2</t>
  </si>
  <si>
    <t>bis (butylene) tetrahydrofuraldehyde</t>
  </si>
  <si>
    <t>4,5a,6,9,9a,9b-hexahydro-1H-dibenzofuran-4a-carbaldehyde</t>
  </si>
  <si>
    <t>['Mgk repellent 11', 'Dibutylene tetrafurfural', 'MGK 11', '126-15-8', 'MGK Repellent II', 'Phillips r-11', 'MGK repellent R-11', 'Butadien-furfural copolymer', 'R 11 (insect repellent)', 'Phillips repellent 11', 'Bisbutenylenetetrahydrofurfural', 'AC-R-11', 'R-11', '2,3,4,5-Bis(2-butylene)tetrahydro-2-furaldehyde', 'Caswell No. 089', '1,5a,6,9,9a,9b-Hexahydro-4a(4H)-dibenzofurancarboxaldehyde', 'ENT 17,596', 'UNII-C62PHK07EV', '4a(4H)-Dibenzofurancarboxaldehyde, 1,5a,6,9,9a,9b-hexahydro-', 'Butadiene-furfural copolymer', '2,3,4,5-Bisbutylene tetrafurfural', '2,3,4,5-Bis(2-butenylene)tetrahydrofurfural', 'NSC 52965', '1,4,4a,5a,6,9,9a,9b-Octahydrodibenzofuran-4a-carbaldehyde', 'MGK R-11', 'HSDB 5609', 'R-11 (VAN)', '2,3,4,5-Bis(2-butylene tetrahydrofurfural)', 'EINECS 204-773-7', '2,3:4,5-Bis(2-butylene)tetrahydro-2-furfural', '2,3:4,5-DI(2-BUTENYL)TETRAHYDROFURFURAL', '2,3:4,5-Bis(2-butylene)tetrahydro-2-furaldehyde', 'BRN 0011685', 'C62PHK07EV', '2,3:4,5-Bis(2-butene-1,4-diyl)tetrahydrofurfural', '2-Furaldehyde, 2,3:4,5-bis(2-butenylene)tetrahydro-', '4a-Formyl-1,4,4a,5a,6,9,9a,9b-octahydrodibenzofuran', 'AI3-17596', 'Bis-delta(sup 2)-butylenetetrahydrofurfural', '2-Furancarboxaldehyde, 2,3:4,5-bis(2-butene-1,4-diyl)tetrahydro-', '2,3,4,5-Bis(delta-2-butylene)tetrahydrofurfural', '2,3,4,5-Bis(delta(sup 2)-butylene)tetrahydrofurfural', '2,3,4,5-Bis(delta(sup 2)-butenylene)tetrahydrofurfural', '4,5a,6,9,9a,9b-hexahydro-1H-dibenzofuran-4a-carbaldehyde', '4-17-00-05023 (Beilstein Handbook Reference)', 'MGK-11', 'SCHEMBL2032755', 'DTXSID3041320', 'CTK8E3145', 'DIBUTYLENE TETRAFUR- FURAL', 'NSC52965', '2,5-Di(2-butenyl)tetrahydrofurfural', '4,5-Di(2-butenyl)tetrahydrofurfural', 'NSC-52965', 'AKOS015903623', 'WLN: T B656 HO DU KUTJ GVH', 'Bis(.DELTA.2-butylene)tetrahydrofurfural', 'LS-61044', '2,4,5-Bis(2-butylene tetrahydrofurfural)', '2,4,5-Bis(2-butenylene)tetrahydrofurfural', 'FT-0693609', 'NS00002553', '2,3:4,5-Bis(2-butenylene)tetrahydrofurfural', 'Bis[.delta.(sup 2)butylene]tetrahydrofurfural', '2,5-Bis(2-butene-1,4-diyl)tetrahydrofurfural', '2,3,4,5-bis-(2-Butenylene) tetrahydrofurfural', '2,4,5-Bis(2-butylene)tetrahydro-2-furaldehyde', '2,4,5-Bis(.delta.-2-butylene)tetrahydrofurfural', '2,4,5-Bis(.DELTA.2-butylene)tetrahydrofurfural', 'C-44506', '2,3,4,5-Bis(.DELTA.2)butylene)tetrahydrofurfural', '2,3,4,5-Bis(.DELTA.2-butylene)tetrahydrofurfural', '2,4,5-Bis(.DELTA.2-butenylene)tetrahydrofurfural', '2-Furaldehyde,3:4,5-bis(2-butenylene)tetrahydro-', 'J-005341', '2,3,4,5-Bis(.DELTA.2)butenylene)tetrahydrofurfural', '2,3,4,5-Bis(.DELTA.2-butenylene)tetrahydrofurfural', '2,4,5-Bis[.delta.(sup 2)butylene]tetrahydrofurfural', '4a-Formyl-1,4a,5a,6,9,9a,9b-octahydrodibenzofuran', 'Q27275237', '2,4,5-Bis[.delta.(sup 2)butenylene]tetrahydrofurfural', '1,6,9,9a,9b-Hexahydro-4a(4H)-dibenzofurancarboxaldehyde', '4a(4H)-Dibenzofurancarboxaldehyde,5a,6,9,9a,9b-hexahydro-', '2,3,4,5 Bis(2-butylene) tetrahydro 2-furaldehyde (MGK-11)', '1,4,4a,5a,6,9,9a,9b-octahydrodibenzo[b,d]furan-4a-carbaldehyde', '1,5a,6,9,9a,9b-Hexahydrodibenzo[b,d]furan-4a(4H)-carbaldehyde #', '2-Furancarboxaldehyde,3:4,5-bis(2-butene-1,4-diyl)tetrahydro-', '2,3:4,5-Bis(2-butylene)tetrahydro-2-furaldehyde;1,4,4a,5a,6,9,9a,9b-octahydrodibenzofuran-4a-carbaldehyde;DIBUTYLENE TETRAFURFURAL']</t>
  </si>
  <si>
    <t>Compound(31341)</t>
  </si>
  <si>
    <t>C13H16O2</t>
  </si>
  <si>
    <t>bisphenol-A</t>
  </si>
  <si>
    <t>4-[2-(4-hydroxyphenyl)propan-2-yl]phenol</t>
  </si>
  <si>
    <t>['Bisphenol A', '80-05-7', '2,2-Bis(4-hydroxyphenyl)propane', "4,4'-Isopropylidenediphenol", 'Bisphenol', 'Diphenylolpropane', "4,4'-Bisphenol A", 'Diano', "4,4'-(propane-2,2-diyl)diphenol", '2,2-Bis(p-hydroxyphenyl)propane', 'Biphenol A', 'DIAN', 'Parabis A', 'Rikabanol', "p,p'-Bisphenol A", "p,p'-Isopropylidenebisphenol", 'Bisphenol-A', '2,2-Di(4-phenylol)propane', 'Bisferol A', "Phenol, 4,4'-(1-methylethylidene)bis-", 'Ipognox 88', "p,p'-Dihydroxydiphenylpropane", 'Pluracol 245', "4,4'-Dihydroxydiphenylpropane", '4-[2-(4-hydroxyphenyl)propan-2-yl]phenol', "Dimethylmethylene-p,p'-diphenol", 'BPA', "p,p'-Isopropylidenediphenol", 'Bis(4-hydroxyphenyl)propane', 'Ucar bisphenol A', '2,2-Di(4-hydroxyphenyl)propane', 'Ucar bisphenol HP', "4,4'-Isopropylidene diphenol", '2,2-Bis(hydroxyphenyl)propane', "p,p'-Dihydroxydiphenyldimethylmethane", "4,4'-(1-Methylethylidene)bisphenol", "4,4'-propane-2,2-diyldiphenol", "4,4'-Isopropylidenebisphenol", 'Bis(4-hydroxyphenyl)dimethylmethane', 'Isopropylidenebis(4-hydroxybenzene)', 'Bis(4-hydroxyphenyl) dimethylmethane', 'Bisphenol A.', "4,4'-Dihydroxy-2,2-diphenylpropane", "4,4'-Dihydroxydiphenyldimethylmethane", "2,2-Bis-4'-hydroxyfenylpropan", "2,2-(4,4'-Dihydroxydiphenyl)propane", "Phenol, 4,4'-isopropylidenedi-", 'Phenol, (1-methylethylidene)bis-', 'Dimethylbis(p-hydroxyphenyl)methane', 'NCI-C50635', "2,2-Bis(4'-hydroxyphenyl)propane", "4,4' Isopropylidinediphenol", 'Bisferol A [Czech]', 'Dimethyl bis(p-hydroxyphenyl)methane', '2,2-Bis (4-hydroxyphenol) propane', 'beta-di-p-hydroxyphenylpropane', "4,4'-Dihydroxydiphenyl-2,2-propane", '4-[1-(4-hydroxyphenyl)-1-methylethyl]phenol', 'Bis(p-hydroxyphenyl)propane', "Phenol, 4,4'-dimethylmethylenedi-", 'CCRIS 95', '4,4[-Isopropylidenediphenol', 'Propane, 2,2-bis(p-hydroxyphenyl)-', "beta,beta'-Bis(p-hydroxyphenyl)propane", 'UNII-MLT3645I99', "4,4'-Dimethylmethylenediphenol", 'HSDB 513', "4,4'-Isopropylidenebis[phenol]", 'Bisphenol A (BPA)', '2,2-bis[4-Hydroxyphenyl]propane', '4,4-ISOPROPYLIDENEDIPHENOL', '2,2-bis(4-hydroxyphenyl) propane', 'NSC 1767', 'EINECS 201-245-8', 'beta,beta-di-(p-hydroxyphenyl)propane', 'BRN 1107700', "2,2-Bis-4'-hydroxyfenylpropan [Czech]", "4,4'-Dihydroxdiphenylpropane", 'Noname', "4,4'-(1-Methylethane-1,1-diyl)diphenol", 'AI3-04009', 'DTXSID7020182', 'CHEBI:33216', 'bisphenol A, disodium salt', 'di-2,2-(4-Hydroxyphenyl)propane', 'MLT3645I99', '2, 2-Bis(4-hydroxyphenyl)propane', "4,4'-ISOPROPYLIDENEDIPHENOL (BISPHENOL A)", 'Polycarbonate', '4,2-propane', '2,2-(4,4-Dihydroxydiphenyl)propane', "2,2-di-(4'-Hydroxyphenyl)-propane", '4,2-diphenylpropane', 'MFCD00002366', "2,2-Bis(4,4'-hydroxyphenyl)propane", 'bis(4-hyd roxyphenyl) dimethylmethane', 'NCGC00090952-07', ".beta.,.beta.'-Bis(p-hydroxyphenyl)propane", 'DSSTox_CID_182', 'DSSTox_RID_75420', "Phenol,4'-isopropylidenedi-", 'DSSTox_GSID_20182', "Phenol,4'-dimethylmethylenedi-", "2,4'-Dihydroxydiphenyl)propane", 'WLN: QR DX1&amp;1&amp;R DQ', 'Propane,2-bis(p-hydroxyphenyl)-', '.beta.-Di-(p-hydroxyphenyl)propane', "4,4'-Isopropylidenediphenol, 97%", "Phenol,4'-(1-methylethylidene)bis-", 'CAS-80-05-7', '4-[1-(4-hydroxyphenyl)-isopropyl]phenol', 'bisphenol A, sodium salt', 'bis-phenol-a', 'bis-phenol A', 'Bis Phenol A', 'Millad HBPA', '2OH', "4,4'-ISOPROPYLIDENE-DIPHENOL", "Phenol, 4,4'-(1-methylethylidene)bis-, homopolymer", "4,4'-bisphenol-A", 'Bisphenol A, 97%', 'PubChem22174', '2e2r', '2p7g', "4, 4'-Bisphenol A", 'Bisphenol A, &gt;=99%', 'EC 201-245-8', "4,4'-(1-Methylethylidene)bisphenol homopolymer", 'Bisphenol a(ring 13c12)', 'Poly(Bisphenol A carbonate)', 'BIDD:PXR0120', 'Oprea1_215541', "p, p'-Isopropylidenediphenol", 'SCHEMBL15062', 'bis(4-hydroxyphenyl)-propane', '27100-33-0', '4-06-00-06717 (Beilstein Handbook Reference)', 'KSC448A9R', 'MLS001055461', 'BIDD:ER0208', "4,4'-Isopropylidenedi-Phenol", "p, p'-Dihydroxydiphenylpropane", '(1-methylethylidene)bis-Phenol', '2, 2-Di(4-phenylol)propane', "4,4'-Isopropylidenediphenol B", 'ACMC-20977c', 'CHEMBL418971', 'GTPL7865', "4, 4'-Dihydroxydiphenylpropane", '2, 2-Bis(hydroxyphenyl)propane', '.beta.-di-p-hydroxyphenylpropane', "4,4'-Dimethylmethylenedi-Phenol", 'BDBM29608', 'beta-Di-(p-hydroxyphenyl)propane', 'BP_01 (BPA)', 'CTK3E8098', 'ZINC56434', 'BPA 157', 'NSC1767', '2,2-bis(p-hydroxyphenyl)-propane', 'Bisphenol A - Polycarbonate Grade', 'HMS2866B07', 'HMS3749E11', 'KUC105370N', "2,2'-Bis(4-hydroxyphenyl)propane", '2,2-di(p-hydroxy-phenyl-)propane', "4,4'-Isopropylidenediphenol, 8CI", '2,2-bis-(p-hydroxyphenyl)-propane', 'CS-B1737', 'NSC-1767', 'NSC17959', '2,2-bis-(4-hydroxy phenyl)propane', '2,2-bis-(4-hydroxyphenyl) propane', '2,2-bis-(4-hydroxyphenyl)-propane', 'Tox21_202992', 'Tox21_400088', 'ANW-13606', 'BBL010647', 'dimethyl  bis(p-hydroxyphenyl)methane', 'KSC-7-199', 'NSC-17959', 's6007', 'SBB012432', 'STK801675', '2,2-bis-(4- hydroxyphenyl)-propane', "p, p'-Dihydroxydiphenyldimethylmethane", "4,4'-(1-methylethylidene)bis-phenol", "4,4'-dihydroxy diphenyl-2,2-propane", 'AKOS000119022', "4, 4'-Dihydroxydiphenyl-2,2-propane", "4, 4'-Dihydroxydiphenyldimethylmethane", 'CCG-214370', 'DB06973', 'LS-1788', 'MCULE-1016303245', 'NE10183', "beta, beta'-Bis(p-hydroxyphenyl)propane", 'UPCMLD0ENAT5883875:001', 'NCGC00090952-01', 'NCGC00090952-02', 'NCGC00090952-03', 'NCGC00090952-04', 'NCGC00090952-05', 'NCGC00090952-06', 'NCGC00090952-08', 'NCGC00090952-09', 'NCGC00260537-01', 'HY-18260', 'O169', 'SC-62333', 'SMR000315090', 'ST065685', 'VS-02603', "4,4'-(1-Methylethylidene)bisphenol, 9CI", "1,1'-(1-Methylethylidene)bisphenylol, 9CI", 'B0494', 'FT-0609178', 'FT-0663365', 'FT-0663366', 'FT-0663367', '4-[1-(4-hydroxyphenyl)-1-methyl-ethyl]phenol', 'C13624', "4,4'-Isopropylidenediphenol, analytical standard", "4,4'-ISOPROPYLIDENEDIPHENOL; BISPHENOL A", 'A839823', 'AE-848/01247026', 'Q271980', 'SR-01000596928', 'SR-01000596928-1', 'BRD-K41494493-001-04-7', 'Bisphenol A, certified reference material, TraceCERT(R)', 'F1284-0895', 'Z256709694', 'Bisphenol A, United States Pharmacopeia (USP) Reference Standard']</t>
  </si>
  <si>
    <t>Compound(6623)</t>
  </si>
  <si>
    <t>C15H16O2</t>
  </si>
  <si>
    <t>bisphenol-F</t>
  </si>
  <si>
    <t>2-[(2-hydroxyphenyl)methyl]phenol</t>
  </si>
  <si>
    <t>["2,2'-Methylenediphenol", '2467-02-9', "2,2'-Bisphenol F", 'Bis(2-hydroxyphenyl)methane', "2,2'-Dihydroxydiphenylmethane", '2-[(2-hydroxyphenyl)methyl]phenol', "Phenol, 2,2'-methylenebis-", 'o-(o-Hydroxybenzyl)phenol', "2,2'-Methylenebis(phenol)", "2,2'-Bis(hydroxyphenyl)methane", "Phenol, 2,2'-methylenedi-", 'CHEBI:34207', 'UNII-04D0A23747', 'NSC 402103', '04D0A23747', 'W-109788', 'Methylenebisphenol', 'bisphenol-F', '2,2-methylenediphenol', "O,O'-Methylenediphenol", '2,2-bisphenol F**', "Phenol,2'-methylenedi-", "Phenol,2'-methylenebis-", 'bis(hydroxyphenyl) methane', 'bis-(hydroxyphenyl)methane', 'ACMC-1CC1B', 'DSSTox_CID_2446', '2-(2-hydroxybenzyl)phenol', 'Bis(o-hydroxyphenyl)methane', 'DSSTox_RID_76594', 'DSSTox_GSID_22446', 'SCHEMBL49745', 'bis-(2-hydroxyphenyl)methane', '1333-16-0', 'BIDD:ER0432', 'CHEMBL148831', 'bis-(2-hydroxy-phenyl)-methane', 'DTXSID4022446', 'MQCPOLNSJCWPGT-UHFFFAOYSA-', 'KUC106449N', 'KUC112930N', 'ZINC155160', 'Bis(2-hydroxyphenyl)methane, 98%', 'ALBB-031663', 'KS-000012WO', 'EINECS 219-578-2', 'Tox21_303599', 'NSC402103', 'AKOS015912954', 'KSC-19-053', 'MCULE-7007190400', 'NSC-402103', 'NCGC00257306-01', 'AK130156', 'AS-58785', 'CC-06561', 'CAS-2467-02-9', 'KSC-336-004-1', 'AX8247939', 'D1939', 'FT-0691346', 'ST50319684', 'C14747', 'C-33410', 'Q27115904', 'UNII-DKN2T8SYHU component MQCPOLNSJCWPGT-UHFFFAOYSA-N']</t>
  </si>
  <si>
    <t>Compound(75575)</t>
  </si>
  <si>
    <t>C13H12O2</t>
  </si>
  <si>
    <t>bisperfluorodecyl phosphate</t>
  </si>
  <si>
    <t>bis(3,3,4,4,5,5,6,6,7,7,8,8,9,9,10,10,10-heptadecafluorodecyl) hydrogen phosphate</t>
  </si>
  <si>
    <t>['678-41-1', 'bisperfluorodecyl phosphate', 'UNII-EVR4R3G17M', '8:2 Fluorotelomer phosphate diester', 'Bis(3,3,4,4,5,5,6,6,7,7,8,8,9,9,10,10,10-heptadecafluorodecyl) hydrogen phosphate', 'Bis[2-(perfluorooctyl)ethyl] Phosphate', 'EVR4R3G17M', 'Bis(3,3,4,4,5,5,6,6,7,7,8,8,9,9,10,10,10-heptadecafluoro-1-decanol) hydrogen phosphate', 'EINECS 211-649-6', '8:2FTOHdiPAPs', '8:2diPAP', 'SCHEMBL5550818', 'CHEBI:83540', 'DTXSID90218051', 'Bis[2-(perfluorooctyl)ethyl]phosphate', 'ZINC150344494', 'Bis(1H,1H,2H,2H-perfluorodecyl)phosphate', 'FT-0663364', 'NS00000430', 'Q27156933', 'Phosphoric acid bis[2-(heptadecafluorooctyl)ethyl] ester', 'UNII-6A37X7BT86 component AFWOYEYXUDHGHF-UHFFFAOYSA-N', 'Bis (1H,1H,2H,2H-perflurodecyl) phosphate - 8:2 Fluorotelomer phosphate diester', "1-Decanol, 3,3,4,4,5,5,6,6,7,7,8,8,9,9,10,10,10-heptadecafluoro-, 1,1'-(hydrogen phosphate)", 'Bisperfluorodecyl phosphate;Bis(3,3,4,4,5,5,6,6,7,7,8,8,9,9,10,10,10-heptadecafluorodecyl) hydrogen phosphate;Ammonium bis(3,3,4,4,5,5,6,6,7,7,8,8,9,9,10,10,10-heptadecafluorodecyl) phosphate']</t>
  </si>
  <si>
    <t>Compound(3022253)</t>
  </si>
  <si>
    <t>C20H9F34O4P</t>
  </si>
  <si>
    <t>bis (trichloromethyl) sulfone</t>
  </si>
  <si>
    <t>trichloro(trichloromethylsulfonyl)methane</t>
  </si>
  <si>
    <t>['Bis(trichloromethyl)sulfone', 'Chlorosulfona', 'Bis(trichloromethyl) sulfone', 'Hexachlorodimethyl sulfone', '3064-70-8', 'Clorosulfona', 'Slimicide E', 'Trichloromethylsulfone', 'Bis(trichloromethyl) sulphone', 'Caswell No. 104', 'Sulfone, bis(trichloromethyl)', 'N-1386 biocide', 'Methane, sulfonylbis[trichloro-', 'UNII-PTZ0QE9824', 'NSC 21713', 'CCRIS 809', 'N 1386', 'HSDB 7126', 'EINECS 221-310-4', 'EPA Pesticide Chemical Code 035601', 'METHANE, SULFONYLBIS(TRICHLORO-', 'BRN 1783352', 'PTZ0QE9824', "Methane, 1,1'-sulfonylbis(1,1,1-trichloro-", "Methane, 1,1'-sulfonylbis[1,1,1-trichloro-", 'bis-(trichloromethyl)sulfone', 'DSSTox_CID_12331', 'DSSTox_GSID_32331', 'SCHEMBL21383', 'bis (trichloromethyl) sulfone', '4-03-00-00285 (Beilstein Handbook Reference)', 'CHEMBL3561446', 'DTXSID3032331', 'NSC21713', 'Trichloromethyl sulfone, AldrichCPR', 'ZINC4692654', 'Tox21_303827', 'NSC-21713', 'NCGC00357286-01', 'CAS-3064-70-8', 'LS-147979', 'FT-0669131', 'NS00003427', 'Q27286750', 'BIS(TRICHLOROMETHYL) SULFONE;Bis(trichloromethyl)sulfone']</t>
  </si>
  <si>
    <t>Compound(62478)</t>
  </si>
  <si>
    <t>C2Cl6O2S</t>
  </si>
  <si>
    <t>1-(propan-2-ylamino)-3-[4-(2-propan-2-yloxyethoxymethyl)phenoxy]propan-2-ol</t>
  </si>
  <si>
    <t>['BISOPROLOL', '66722-44-9', 'Bisoprololum', 'Bisoprolol fumarate', 'Concor', 'Zebeta', 'Bisoprololum [Latin]', 'EMD-33512', 'Bisoprolol hemifumarate', 'CL-297939', '(RS)-1-(4-(2-Isopropoxyethoxymethyl)phenoxy)-3-(isopropylamino)-2-propanol', '1-(4-((2-isopropoxyethoxy)methyl)phenoxy)-3-(isopropylamino)propan-2-ol', '(+-)-1-((alpha-(2-Isopropoxyethoxy)-p-tolyl)oxy)-3-(isopropylamino)-2-propanol', '1-(propan-2-ylamino)-3-[4-(2-propan-2-yloxyethoxymethyl)phenoxy]propan-2-ol', '1-{4-[(2-isopropoxyethoxy)methyl]phenoxy}-3-(isopropylamino)-2-propanol', 'CHEBI:3127', 'C18H31NO4', 'Bisocor', 'EMD-33-512', '[2-hydroxy-3-(4-{[2-(propan-2-yloxy)ethoxy]methyl}phenoxy)propyl](propan-2-yl)amine', 'Bisoprolol fumerate', 'Q-200728', '1-{4-[(2-isopropoxyethoxy)methyl]phenoxy}-3-(isopropylamino)propan-2-ol', '2-Propanol, 1-(4-((2-(1-methylethoxy)ethoxy)methyl)phenoxy)-3-((1-methylethyl)amino)-', '2-Propanol, 1-[4-[[2-(1-methylethoxy)ethoxy]methyl]phenoxy]-3-[(1-methylethyl)amino]-', '2-Propanol, 1-(4-((2-(1-methylethoxy)ethoxy)methyl)phenoxy)-3-((1-methylethyl)amino)-, (+-)-', 'Bisoprolol [USAN:BAN:INN]', 'NCGC00024868-03', '104344-23-2', 'Bisoprolol [USAN:INN:BAN]', 'Bisoprolol/', 'CL 297939', 'SR-01000597980', '1-(propan-2-ylamino)-3-(4-{[2-(propan-2-yloxy)ethoxy]methyl}phenoxy)propan-2-ol', 'EMD 33 512', '(+-)-1-(p-((2-Isopropoxyethoxy)methyl)phenoxy)-3-isopropylamino-2-propanol hemifumarate', '66722-45-0', 'Prestwick0_000330', 'Prestwick1_000330', 'Prestwick2_000330', 'Prestwick3_000330', 'CHEMBL645', 'SCHEMBL20960', 'BSPBio_000339', 'ARONIS24082', 'Bisoprolol (JAN/USAN/INN)', 'SPBio_002260', 'Bisoprolol, analytical standard', 'BPBio1_000373', 'GTPL7129', 'DTXSID6022682', 'BDBM25751', 'CTK8E3176', 'HSDB 8316', 'BCPP000332', 'BCP02461', 'ABP000339', 'BBL023591', 'CB0208', 'KM1031', 's5942', 'SBB065120', 'STL355996', 'AKOS005110983', 'API0005144', 'BCP9000418', 'DB00612', 'MCULE-4376025366', 'SDCCGSBI-0206894.P002', 'NCGC00024868-02', 'NCGC00024868-04', 'NCGC00024868-05', 'NCGC00024868-06', 'NCGC00024868-08', '1-[(1-methylethyl)amino]-3-({4-[({2-[(1-methylethyl)oxy]ethyl}oxy)methyl]phenyl}oxy)propan-2-ol', 'AC-18540', 'AS-35262', 'K094', 'SBI-0206894.P001', 'AB0008008', 'AX8117415', 'LS-122509', 'AB00514681', 'BB 0262613', 'NS00009929', 'NS00099201', 'Bisoprolol - from tablet donated by Watson -', 'C06852', 'D02342', 'AB00514681-08', 'AB00514681_09', 'AB00514681_10', '722B449', 'L000133', 'Q412515', 'SR-01000597980-1', 'BRD-A89175223-051-05-6', '1-(4-[(2-Isopropoxyethoxy)methyl]phenoxy)-3-(isopropylamino)-2-propanol #', '1-[ISOPROPYLAMINO]-3-[ISOPROPOXYETHOXYMETHYLPHENOXY]-2-PROPANOL', '(.+/-.)-1-[[.alpha.-(2-Isopropoxyethoxy)-p-tolyl]oxy]-3-(isopropylamino)-2-propanol', '1-[(Propan-2-yl)amino]-3-[4-({2-[(propan-2-yl)oxy]ethoxy}methyl)phenoxy]propan-2-ol', '1-[4-[2-(1-methylethoxy)ethoxymethyl]phenoxy]-3-(1-methylethylamino)propan-2-ol', '3-(4-{[2-(methylethoxy)ethoxy]methyl}phenoxy)-1-[(methylethyl)amino]propan-2-o l', '2-Propanol, 1-[4-[[2-(1-methylethoxy)ethoxy]methyl]phenoxy]-3-[(1-methylethyl)amino]-, (.+/-.)-']</t>
  </si>
  <si>
    <t>Compound(2405)</t>
  </si>
  <si>
    <t>C18H31NO4</t>
  </si>
  <si>
    <t>3,3-dimethyl-1-(4-phenylphenoxy)-1-(1,2,4-triazol-1-yl)butan-2-ol</t>
  </si>
  <si>
    <t>['Bitertanol', '55179-31-2', 'Biloxazol', 'Baycor', 'Sibutol', 'Baymat-spray', 'Baycor 25 WP', 'Bay KWG 0599', 'KWG 0599', 'Bitertanol [BSI:ISO]', '3,3-dimethyl-1-(4-phenylphenoxy)-1-(1,2,4-triazol-1-yl)butan-2-ol', 'EINECS 259-513-5', 'BRN 0620948', 'CHEBI:83851', 'C20H23N3O2', '1-(4-Phenylphenoxy)-1-(1,2,4-triazole-1)-3,3-dimethylbutan-2-ol', '1-(biphenyl-4-yloxy)-3,3-dimethyl-1-(1H-1,2,4-triazol-1-yl)butan-2-ol', "1H-1,2,4-Triazole-1-ethanol, .beta.-([1,1'-biphenyl]-4-yloxy)-.alpha.-(1,1-dimethylethyl)-", "1H-1,2,4-Triazole-1-ethanol, beta-((1,1'-biphenyl)-4-yloxy)-alpha-(1,1-dimethylethyl)-", "beta-((1,1'-Biphenyl)-4-yloxy)-alpha-(1,1-dimethylethyl)-1H-1,2,4-triazole-1-ethanol", "beta-((1,1'-Biphenyl)-4-yloxy)-alpha-tert-butyl-1H-1,2,4-triazol-1-ethanol", '(1RS,2RS;1RS,2RS)-1-(Biphenyl-4-yloxy)-3,3-dimethyl-1-(1H-1,2,4-triazol-1-yl)butan-2-ol', '(1RS,2RS;1RS,2RS)-1-(Biphenyl-4-yloxy)-3,3-d', 'PubChem8886', 'DSSTox_CID_17502', 'DSSTox_GSID_37502', 'SCHEMBL23868', '5-26-01-00134 (Beilstein Handbook Reference)', 'CHEMBL1566634', 'DTXSID2037502', 'CTK8F0820', 's474', 'EBD33509', 'Tox21_303756', 'MMV688942', 'AKOS015910524', 'Biloxazol; Baycor; Sibutol;KWG0599', 'Bitertanol 10 microg/mL in Acetonitrile', 'NCGC00163752-01', 'NCGC00163752-02', 'NCGC00357284-01', 'CAS-55179-31-2', 'LS-155973', 'FT-0654974', 'NS00000097', 'Bitertanol, PESTANAL(R), analytical standard', 'C11258', '179B312', 'A830508', 'Q1821798', '1-(4-biphenylyloxy)-3,3-dimethyl-1-(1,2,4-triazol-1-yl)-butan-2-ol', '1-(biphenyl-4-yloxy)-3,3-dimethyl-1-(1,2,4-triazol-1-yl)butan-2-ol', '1-p-phenylphenoxy-3,3-dimethyl-1-(1,2,4-triazol-1-yl)-butan-2-ol', '3,3-dimethyl-1-(4-phenylphenoxy)-1-(1,2,4-triazol-1-yl)-2-butanol', "ss-([1,1'-biphenyl]-4-yloxy)-a-tert-butyl-1H-1,2,4-triazol-1-ethanol", "1-([1,1'-Biphenyl]-4-yloxy)-3,3-dimethyl-1-(1H-1,2,4-triazol-1-yl)-2-butanol", "beta-((1,1'-Biphenyl)-4-yloxy)-alpha-(1,1-dimetylethyl)-1H-1,2,4-triazole-1-ethanol", ".beta.-((1,1'-Biphenyl)-4-yloxy)-.alpha.-(1,1-dimethylethyl)-1H-1,2,4-triazole-1-ethanol", "bitertanol;ss-([1,1'-biphenyl]-4-yloxy)-a-tert-butyl-1H-1,2,4-triazol-1-ethanol;?-([1,1-biphenyl]-4-yloxy)-?-tert-butyl-1H-1,2,4-triazol-1-ethanol", 'Pesticide6_Bitertanol_C20H23N3O2_1-(4-Biphenylyloxy)-3,3-dimethyl-1-(1H-1,2,4-triazol-1-yl)-2-butanol']</t>
  </si>
  <si>
    <t>Compound(91656)</t>
  </si>
  <si>
    <t>C20H23N3O2</t>
  </si>
  <si>
    <t>N-[2-(3,4-dichlorophenyl)-4-fluorophenyl]-3-(difluoromethyl)-1-methylpyrazole-4-carboxamide</t>
  </si>
  <si>
    <t>['Bixafen', '581809-46-3', 'UNII-28XK2L8M3B', '28XK2L8M3B', "N-(3',4'-Dichloro-5-fluoro-[1,1'-biphenyl]-2-yl)-3-(difluoromethyl)-1-methyl-1H-pyrazole-4-carboxamide", 'N-[2-(3,4-dichlorophenyl)-4-fluorophenyl]-3-(difluoromethyl)-1-methylpyrazole-4-carboxamide', 'N-(3,4-dichloro-5-fluorobiphenyl-2-yl)-3-(difluoromethyl)-1-methylpyrazole-4-carboxamide', "n-(3',4'-dichloro-5-fluoro-1,1'-biphenyl-2-yl)-3-(difluoromethyl)-1-methyl-1h-pyrazole-4-carboxamide", "N-(3',4'-dichloro-5-fluorobiphenyl-2-yl)-3-(difluoromethyl)-1-methyl-1H-pyrazole-4-carboxamide", 'Bixafen [ISO]', 'bixafene', 'SCHEMBL68043', 'DTXSID6058134', 'CHEBI:83106', 'ZINC71772167', 'AS-36600', 'Bixafen, PESTANAL(R), analytical standard', 'NS00007333', 'Q2040219', "N-(3',4'-dichloro-5-fluorobiphenyl-2-yl)-3-(difluoromethyl)-1-methylpyrazole-4-carboxamide", "n-(3',4'-dichloro-5-fluoro[1,1'-biphenyl]-2-yl)-3-(difluoromethyl)-1-methyl-1h-pyrazole-4-carboxamide", "N-(3',4'-Dichloro-5-fluoro[1,1'-biphenyl]-2-yl)-3-(difluoromethyl)-1-methyl-1H-pyrazole-4-carboximidic acid", "N-(3',4'-dichloro-5-fluorobiphenyl-2-yl)-3-difluoromethyl-1-methyl-1H-pyrazole-4-carboxamide"]</t>
  </si>
  <si>
    <t>Compound(11434448)</t>
  </si>
  <si>
    <t>C18H12Cl2F3N3O</t>
  </si>
  <si>
    <t>boric acid</t>
  </si>
  <si>
    <t>['BORIC ACID', 'Orthoboric acid', 'Boracic acid', '10043-35-3', 'Borofax', 'Boron hydroxide', 'Boron trihydroxide', 'Three Elephant', 'Boric acid (H3BO3)', 'Basilit B', 'Trihydroxyborone', 'Flea Prufe', 'Super Flea Eliminator', 'Orthoboric acid (B(OH)3)', 'Orthoborsaeure', 'Boric acid (BH3O3)', 'Borsaeure', 'Borsaure', 'Trihydroxyborane', 'Acidum boricum', '11113-50-1', "Dr.'s 1 Flea Terminator DT", 'Boric acid (VAN)', 'Bluboro', 'component of Aci-Jel', "Dr.'s 1 Flea Terminator DFPBO", "Dr.'s 1 Flea Terminator DF", 'Borsaure [German]', 'Collyrium Eye Wash', "Dr.'s 1 Flea Terminator DTPBO", 'NCI-C56417', 'Caswell No. 109', 'B(OH)3', 'trihydroxidoboron', 'Kjel-sorb', 'Ant flip', "Homberg's salt", 'Kill-off', 'Boric acid [USAN:JAN]', 'UNII-R57ZHV85D4', 'hydrogen orthoborate', 'MFCD00011337', 'NSC 81726', 'Boric acid (TN)', 'CCRIS 855', 'HSDB 1432', '(10B)Orthoboric acid', 'EINECS 233-139-2', 'EPA Pesticide Chemical Code 011001', 'Orthoboric acid (H3BO3)', 'AI3-02406', 'Boric acid (H310BO3)', 'R57ZHV85D4', 'CHEBI:33118', '[B(OH)3]', 'NSC-81726', 'NCGC00090745-02', 'Optibor', 'DSSTox_CID_194', 'Orthboric Acid', 'Kjel-Sorb&amp;trade; Solution', 'DSSTox_RID_75425', 'DSSTox_GSID_20194', 'Boric acid, 99+%, extra pure', 'Boron, Reference Standard Solution', 'Boric acid, 99.5%, for analysis', 'ortho-boric acid', 'BO3', 'Boric acid, crude natural, containing not more than 85 per cent ofH3BO3 calculated on the dry weight', 'Niban Granular Bait', 'CAS-10043-35-3', 'Boric acid [JAN:NF]', 'BORIC ACID, ACS', 'Boric acid, 99.99%, (trace metal basis), extra pure', 'Boricacid', 'hydrogen borate', 'Orthoborc acd', 'Boric acid, 99.5%, for molecular biology, DNAse, RNAse and Protease free', 'Boric acid flakes', 'Boric Acid, Powder', 'Bluboro (Salt/Mix)', 'Boric Acid, Granular', 'Boric acid ACS grade', 'PubChem10918', 'ACMC-1BSON', 'WLN: QBQQ', 'Boric acid, ACS reagent', 'Heptaoxotetra-Borate(2-)', 'bmse000941', 'Boric acid (JP15/NF)', 'Boric acid (JP17/NF)', 'Acidum boricum (Salt/Mix)', 'EC 233-139-2', 'H3BO3', 'KSC177G8D', 'BIDD:ER0252', 'Boracic acid, Orthoboric acid', 'CHEMBL42403', 'INS NO.284', 'Collyrium Eye Wash (Salt/Mix)', 'DTXSID1020194', 'BDBM39817', 'CTK0H7381', 'KGBXLFKZBHKPEV-UHFFFAOYSA-', 'KS-00000URW', 'INS-284', 'BCP21018', 'Boric acid, BioXtra, &gt;=99.5%', 'NSC81726', 'Boric acid, 99.6%, ACS reagent', 'EINECS 237-478-7', 'Tox21_111004', 'Tox21_202185', 'Tox21_301000', '1332-77-0 (di-potassium salt)', 'BC-140', 'LS-321', 'STL445672', 'AKOS015833571', 'ZINC245189278', 'Boric acid, ACS reagent, &gt;=99.5%', 'DB11326', 'LS41322', '11113-50-1;Boric acid;Boracic acid', 'Boric acid, 99.97% trace metals basis', 'Boric acid, USP, 99.5-100.5%', 'NCGC00090745-01', 'NCGC00090745-03', 'NCGC00090745-04', 'NCGC00090745-05', 'NCGC00254902-01', 'NCGC00259734-01', 'BC001419', 'Boric acid, ReagentPlus(R), &gt;=99.5%', 'BP-13473', 'LS-45173', 'SC-65217', 'SC-97816', 'Boric acid, 99.999% trace metals basis', 'Boric acid, SAJ first grade, &gt;=99.5%', 'Boric acid, for electrophoresis, &gt;=99.5%', 'Boric acid, JIS special grade, &gt;=99.5%', 'B7305', 'Boric acid, Vetec(TM) reagent grade, 98%', 'E-284', 'FT-0623166', 'FT-0623167', 'NS00013411', 'Boric acid, tablet, 1 g boric acid per tablet', 'C12486', 'D01089', 'A800201', 'Q187045', 'J-000132', 'J-523836', 'Boric acid, &gt;=99.5%, suitable for amino acid analysis', 'Boric acid, NIST(R) SRM(R) 951a, isotopic standard', 'Boric acid, NIST(R) SRM(R) 973, acidimetric standard', 'Boric acid, BioUltra, for molecular biology, &gt;=99.5% (T)', 'Boric acid, United States Pharmacopeia (USP) Reference Standard', 'Boric acid, cell culture tested, plant cell culture tested, &gt;=99.5%', 'Boric acid, Biotechnology Performance Certified, &gt;=99.5% (titration), Cell Culture Tested', 'Boric acid, p.a., ACS reagent, reag. ISO, reag. Ph. Eur., 99.5-100.5%', 'Boron standard solution, 1 mg/mL B, suitable for atomic absorption spectrometry, 1000 ppm B', 'Boric acid, BioReagent, for molecular biology, suitable for cell culture, suitable for plant cell culture, &gt;=99.5%', 'Boric acid, puriss. p.a., ACS reagent, reag. ISO, reag. Ph. Eur., buffer substance, &gt;=99.8%', 'Boric acid, puriss., meets analytical specification of Ph. Eur., BP, NF, 99.5-100.5%, powder']</t>
  </si>
  <si>
    <t>Compound(7628)</t>
  </si>
  <si>
    <t>BH3O3</t>
  </si>
  <si>
    <t>bornyl formate</t>
  </si>
  <si>
    <t>(1,7,7-trimethyl-2-bicyclo[2.2.1]heptanyl) formate</t>
  </si>
  <si>
    <t>['Bornyl formate', 'Isobornyl formate', 'Borneol, formate', 'Bornyl methanoate', 'Isoborneol, formate', '2-Camphanyl formate', '1,7,7-TRIMETHYLBICYCLO[2.2.1]HEPTAN-2-YL FORMATE', '7492-41-3', 'Bicyclo[2.2.1]heptan-2-ol, 1,7,7-trimethyl-, formate, exo-', '1200-67-5', '1,7,7-Trimethyl-formateendo-Bicyclo(2.2.1)heptan-2-ol', '1,7,7-Trimethyl-formateendo-Bicyclo[2.2.1]heptan-2-ol', 'endo-1,7,7-Trimethylbicyclo(2.2.1)hept-2-yl formate', 'Bicyclo(2.2.1)heptan-2-ol, 1,7,7-trimethyl-, 2-formate, (1R,2R,4R)-rel-', 'Bicyclo[2.2.1]heptan-2-ol, 1,7,7-trimethyl-, formate, (1R,2R,4R)-rel-', 'Endoisobornylformate', '1,7,7-Trimethylbicyclo[2.2.1]hept-2-yl formate', 'Endo-2-Bornanyl formate', 'Formic acid isobornyl ester', 'SCHEMBL309630', 'CTK5E0688', 'FEMA 2161', 'Bicyclo[2.2.1]heptan-2-ol, 1,7,7-trimethyl-, 2-formate, (1R,2R,4R)-rel-', 'ISOBORNYL FORMATE;exo-1,7,7-trimethylbicyclo[2.2.1]hept-2-yl formate;exo-1,7,7-Trimethylbicyclo[2.2.1]hept-2-yl Methanoate.;DL-Isobornyl formate', 'AKOS017341556', 'FT-0694325', 'NS00012669', '1,7,7-Trimethylbicyclo[2.2.1]hept-2-yl formate, exo-', 'Endo-1,7,7-Trimethylbicyclo(2.2.1)heptan-2-yl formate', 'exo-1,7,7-Trimethylbicyclo[2.2.1]hept-2-yl Methanoate.']</t>
  </si>
  <si>
    <t>Compound(518472)</t>
  </si>
  <si>
    <t>C11H18O2</t>
  </si>
  <si>
    <t>1,7,7-trimethylbicyclo[2.2.1]heptan-2-ol</t>
  </si>
  <si>
    <t>['Borneol', 'Isoborneol', '1,7,7-Trimethylbicyclo[2.2.1]heptan-2-ol', '507-70-0', '10385-78-1', '(-)-Borneol', 'Endo-2-camphanol', '6627-72-1', 'Sumatra camphor', 'Borneo camphor', 'Bornyl alcohol', 'd-Borneol', 'DL-Isoborneol', 'DL-Borneol', 'Endo-2-hydroxycamphane', '124-76-5', 'Exoborneol', 'Isobornyl alcohol', 'CHEBI:28093', 'endo-2-Bornanol', '(1R,2S,4R)-Borneol', 'DL-2-Bornanol', 'Endo-1,7,7-trimethylbicyclo[2.2.1]heptan-2-ol', '2-exo-Bornyl alcohol', '1,7,7-trimethylnorbornan-2-ol', '(1R,2S,4R)-rel-1,7,7-Trimethylbicyclo[2.2.1]heptan-2-ol', '1,7,7-Trimethylbicyclo(2.2.1)heptan-2-ol', 'CCRIS 6550', '2-Bornanol', 'Borneol, exo-', 'Isoborneol, DL-', 'Bingpia', 'EINECS 207-352-6', 'L(-)-Borneol', 'NSC 26350', '2-borneol', '(+/-)-Isoborneol', '(+/-)-borneol', 'BRN 2038056', 'exo-2-Hydroxy-1,7,7-trimethylnorbornane', 'BORNEOL, (L)', 'exo-1,7,7-Trimethylbicyclo[2.2.1]heptan-2-ol', '(1R-endo)-1,7,7-Trimethylbicyclo(2.2.1)heptan-2-ol', 'Bicyclo[2.2.1]heptan-2-ol, 1,7,7-trimethyl-, exo-', 'Borneol Flakes', 'Bicyclo(2.2.1)heptan-2-ol, 1,7,7-trimethyl-', 'exo-1,7,7-Trimethylbicyclo(2.2.1)-2-heptanol', 'exo-1,7,7-Trimethylbicyclo(2.2.1)heptan-2-ol', '1,7,7-Trimethylbicyclo[2.2.1]heptan-2-ol, exo- #', 'ACMC-1BKR6', '4,7,7-trimethylbicyclo[2.2.1]heptan-3-ol', 'endo-(1R)-1,7,7-Trimethylbicyclo[2.2.1]heptan-2-ol', 'SCHEMBL56714', 'KSC270E0L', 'CHEMBL1097205', 'DTXSID8048159', 'CTK1H0205', 'KS-00000WWU', 'Bicyclo(2.2.1)heptan-2-ol, 1,7,7-trimethyl-, (1R-endo)-', 'HY-N1368', 'KS-00000Z1F', 'ANW-30448', 'BBL028096', 'MFCD00066427', 's3959', 'STK298903', 'AKOS000120036', 'AKOS017278270', 'Borneol, contains ca. 40% Isoborneol', 'CCG-231498', 'CS-7912', 'DB11288', 'MCULE-1539689950', 'NCGC00263517-03', 'LS-45113', 'DB-051843', 'DB-062315', 'DB-070732', 'DB-070733', 'FT-0604383', 'FT-0604417', 'FT-0604470', 'FT-0604475', 'V0292', '1,7,7-trimethyl-bicyclo[2.2.1]heptan-6-ol', 'C01411', 'SR-05000002386', 'SR-05000002386-1', 'Q27103499', 'Z966690516', 'Bicyclo(2.2.1)heptan-2-ol, 1,7,7-trimethyl-, endo-(.+/-.)-']</t>
  </si>
  <si>
    <t>Compound(64685)</t>
  </si>
  <si>
    <t>2-chloro-N-[2-(4-chlorophenyl)phenyl]pyridine-3-carboxamide</t>
  </si>
  <si>
    <t>['Boscalid', '188425-85-6', 'Nicobifen', 'Endura', "2-Chloro-N-(4'-chloro-[1,1'-biphenyl]-2-yl)nicotinamide", 'Anilide', 'Emerald', 'Pristine', 'Cantus', 'Boscalid [ISO]', 'UNII-32MS8ZRD1V', "3-Pyridinecarboxamide, 2-chloro-N-(4'-chloro[1,1'-biphenyl]-2-yl)-", "2-chloro-N-(4'-chlorobiphenyl-2-yl)nicotinamide", 'BAS 510F', '2-chloro-N-[2-(4-chlorophenyl)phenyl]pyridine-3-carboxamide', '32MS8ZRD1V', 'CHEBI:81822', 'NCGC00163735-04', "2-chloro-N-(4'-chloro[1,1'-biphenyl]-2-yl)pyridine-3-carboxamide", "3-Pyridinecarboxamide, 2-chloro-N-(4'-chloro(1,1'-biphenyl)-2-yl)-", 'HSDB 7499', 'Boscalid (Nicobifen)', 'DSSTox_CID_14392', 'DSSTox_RID_79152', 'DSSTox_GSID_34392', 'SCHEMBL18517', 'CHEMBL1076544', 'DTXSID6034392', 'BAS 510 F', 'KS-00000FTR', 'ZINC3612929', 'Tox21_400045', 'Boscalid 10 microg/mL in Cyclohexane', 'AKOS015895938', 'Boscalid 10 microg/mL in Acetonitrile', 'DB12792', 'DS-9792', 'LS41255', 'NCGC00163735-01', 'NCGC00163735-02', 'NCGC00163735-03', 'NCGC00163735-05', 'AK160818', 'LS-184271', 'B4038', 'Boscalid, PESTANAL(R), analytical standard', 'CAS-188425-85-6', 'FT-0658358', 'NS00000437', 'C18547', "2-Chloro-N-(4'-chloro-2-biphenylyl)nicotinamide", '425B856', 'Q894358', 'J-012142', 'J-519930', "2-chloro-N-(4'-chloro[1,1'-biphenyl]-2-yl)-3-pyridinecarboxamide", "2-Chloro-N-(4'-chlorobiphenyl-2-yl)nicotinamide|||Endura|||BAS 510F|||Nicobifen", "boscalid;3-Pyridinecarboxamide, 2-chloro-N-(4'-chloro[1,1'-biphenyl]-2-yl)-;3-Pyridinecarboxamide, 2-chloro-N-(4-chloro[1,1-biphenyl]-2-yl)-"]</t>
  </si>
  <si>
    <t>Compound(213013)</t>
  </si>
  <si>
    <t>C18H12Cl2N2O</t>
  </si>
  <si>
    <t>butyric acid</t>
  </si>
  <si>
    <t>butanoic acid</t>
  </si>
  <si>
    <t>['butyric acid', 'butanoic acid', 'n-Butyric acid', '107-92-6', 'n-Butanoic acid', 'propylformic acid', 'ethylacetic acid', 'Butanic acid', '1-propanecarboxylic acid', 'butyrate', '1-Butyric acid', 'Buttersaeure', 'butanoate', 'Kyselina maselna', 'Butyric acid (natural)', 'Propanecarboxylic acid', 'Buttersaeure [German]', '1-butanoic acid', 'FEMA Number 2221', 'Kyselina maselna [Czech]', 'FEMA No. 2221', 'CCRIS 6552', 'HSDB 940', 'butoic acid', '2-butanoate', 'NSC 8415', 'UNII-40UIR9Q29H', 'UN2820', 'AI3-15306', 'EINECS 203-532-3', 'MFCD00002814', 'BRN 0906770', 'CH3-[CH2]2-COOH', '40UIR9Q29H', 'CHEBI:30772', 'NSC8415', 'butanate', 'propylformate', 'Butyric acid [UN2820] [Corrosive]', '1-butanoate', 'propanecarboxylate', '1-butyrate', 'Butyric acid [UN2820]  [Corrosive]', 'C4:0', '1-propanecarboxylate', 'DSSTox_CID_1515', 'n-Butyric acid, 99+%', 'DSSTox_RID_76192', 'DSSTox_GSID_21515', 'BUA', 'acide butyrique', '1977-33-9', 'CAS-107-92-6', 'Butyric Acid (Normal)', 'acide butanoique', 'Honey robber', 'Butanoic Acid.', 'ethyl acetic acid', '1ugp', '3umq', 'butanoic acid, 4', 'n - Butyric acid', 'Nat. Butyric Acid', 'TNFa + NaBut', 'Butyrate, sodium salt', 'BUTYRIC_ACID', 'n-C3H7COOH', 'TNFa + Sodium Butyrate', 'Butyric acid, &gt;=99%', 'bmse000402', 'EC 203-532-3', 'NATURAL BUTYRIC ACID', 'NCIMech_000707', 'WLN: QV3', 'ACMC-1C12J', '4-02-00-00779 (Beilstein Handbook Reference)', 'CHEMBL14227', 'Butyric acid, &gt;=99%, FG', 'GTPL1059', 'DTXSID8021515', 'BDBM26109', 'CTK0H6694', 'Butyric acid, analytical standard', 'Bio1_000444', 'Bio1_000933', 'Bio1_001422', 'N-butyric acid, ethyl acetic acid', 'ZINC895132', 'KS-00000V2V', 'NSC-8415', 'STR06290', 'Tox21_202382', 'Tox21_300164', 'ANW-15867', 'CCG-35836', 'LMFA01010004', 'LS-443', 'STL169349', 'AKOS000118961', 'DB03568', 'MCULE-4116382006', 'UN 2820', 'NCGC00247914-01', 'NCGC00247914-02', 'NCGC00253919-01', 'NCGC00259931-01', 'BP-21420', 'NCI60_001424', 'SC-11907', 'Butyric acid, natural, &gt;=99%, FCC, FG', 'B0754', 'FT-0623295', 'FT-0686717', 'NS00001284', 'V2319', 'Butyric acid, SAJ special grade, &gt;=99.5%', 'C00246', '24113-EP2272827A1', '24113-EP2275401A1', '24113-EP2281819A1', '24113-EP2284146A2', '24113-EP2284147A2', '24113-EP2292611A1', '24113-EP2292619A1', '24113-EP2298763A1', '24113-EP2298772A1', '24113-EP2305633A1', '24113-EP2305659A1', '24113-EP2305808A1', '24113-EP2308839A1', '24113-EP2311810A1', '24113-EP2311818A1', '24113-EP2311825A1', '24113-EP2311840A1', '24113-EP2314590A1', '24113-EP2380661A2', '31560-EP2292597A1', '31560-EP2295053A1', '31560-EP2308858A1', '31560-EP2311816A1', '31560-EP2311817A1', '81544-EP2275407A1', '81544-EP2305687A1', '81544-EP2305808A1', '81544-EP2305825A1', 'Q193213', 'W-108732', 'BRD-K05878375-236-02-4', '9B27B3D0-9643-40EC-9A5F-7CA1A6ED7F9F', 'F2191-0094', 'Z955123634', 'butanoic acid, butanic acid, n-butyric acid, ethylacetic acid, propylformic acid, 1-propanecarboxylic acid']</t>
  </si>
  <si>
    <t>Compound(264)</t>
  </si>
  <si>
    <t>beta-propiolactone</t>
  </si>
  <si>
    <t>oxetan-2-one</t>
  </si>
  <si>
    <t>['beta-propiolactone', '2-Oxetanone', 'Propiolactone', '57-57-8', 'Oxetan-2-one', 'Propanolide', 'Betaprone', '3-Propanolide', '1,3-Propiolactone', '3-Propiolactone', 'beta-Propionolactone', 'beta-Propiolakton', 'Hydracrylic acid beta-lactone', '3-Hydroxypropionic acid lactone', 'Propiolactona', 'Propiolactonum', '.beta.-Propiolactone', 'beta-Propanoic acid lactone', 'b-Propiolactone', 'beta-Proprolactone', 'Caswell No. 709', 'betapron', 'Propiolattone [DCIT]', 'Propionolactone', 'Oxetanone', 'beta-Propiolakton [Czech]', 'UNII-6RC3ZT4HB0', 'Propiolactonum [INN-Latin]', 'NSC 21626', 'Propiolactona [INN-Spanish]', 'CCRIS 536', '.beta.-Proprolactone', 'HSDB 811', 'Propiolactone, beta-', 'BPL', 'Propiolactone [USAN:INN:BAN]', '.beta.-Propionolactone', 'Propiolactone .beta.-', '3-Hydroxypropionic acid beta-lactone', 'EINECS 200-340-1', 'EPA Pesticide Chemical Code 010901', 'BRN 0001360', '6RC3ZT4HB0', 'beta-lactone hydracrylic acid', 'Propanoic acid, 3-hydroxy-, beta-lactone', 'Propionic acid, 3-hydroxy-, beta-lactone', '.beta.-Propanoic acid lactone', 'AI3-24257', 'Hydracrylic acid .beta.-lactone', '3-Hydroxypropionic acid, lactone', 'CHEBI:49073', 'NSC21626', 'MFCD00005169', 'NSC-21626', 'NCGC00090802-01', 'Propiolattone', 'beta-Propionolide', 'oxetan-2one', '2-Oxooxetane', '2-Oxacyclobutanone', 'Betaprone (TN)', 'beta3-Propiolactone', '.beta.-Propiolakton', '.beta.-Propriolactone', 'PubChem2546', 'Spectrum_000216', 'Spectrum2_001982', 'Spectrum4_001274', 'WLN: T4OVTJ', 'DSSTox_CID_1197', 'EC 200-340-1', 'Hydracrylic acid ss-lactone', 'Propiolactone (USAN/INN)', 'DSSTox_RID_76006', 'DSSTox_GSID_21197', 'KBioGR_001888', 'KBioSS_000696', '5-17-09-00003 (Beilstein Handbook Reference)', 'Hydracrylic Acid beta Lactone', '57-57-8 oxetan-2-one', 'DivK1c_001003', 'SPECTRUM1503234', 'SPBio_002163', 'Hydracylic acid, .beta.lactone', '.beta.-lactone hydracrylic acid', 'Propanoic acid, .beta.-lactone', 'Propionic acid, .beta.-lactone', 'CHEMBL1200627', 'DTXSID8021197', 'CTK1G9546', 'HMS503I07', 'KBio1_001003', 'KBio2_000696', 'KBio2_003264', 'KBio2_005832', 'Hydracrylic acid, .beta.-lactone', 'beta-Hydroxypropionic Acid Lactone', 'NINDS_001003', 'HMS1922K19', 'HMS2092P12', 'HT882', 'Pharmakon1600-01503234', 'BCP07366', 'ZINC1482154', 'Tox21_111026', 'ANW-41466', 'CCG-39865', 'LS-230', 'NSC758422', 'AKOS015906936', '3-Hydroxypropionic acid .beta.-lactone', 'DB09348', 'NE10380', 'NSC-758422', 'Beta-PROPIOLACTONE (2-OXETANONE)', 'beta-Propiolactone, Grade II, &gt;=90%', 'CAS-57-57-8', 'IDI1_001003', 'Beta-PROPIOLACTONE (2 -OXETANONE)', 'NCGC00090802-02', 'NCGC00090802-03', 'SC-05460', 'SBI-0051797.P002', 'DB-003748', 'AM20020040', 'FT-0622937', 'NS00005909', 'Propanoic acid, 3-hydroxy-, .beta.-lactone', 'Propionic acid, 3-hydroxy-, .beta.-lactone', 'C19297', 'D05630', '55444-EP2374895A1', 'AB00052333_02', 'Q420715', 'SR-05000001970', 'SR-05000001970-1']</t>
  </si>
  <si>
    <t>Compound(2365)</t>
  </si>
  <si>
    <t>3-(4-bromophenyl)-1,1-dimethylurea</t>
  </si>
  <si>
    <t>['bromuron', '3408-97-7', '3-(4-bromophenyl)-1,1-dimethylurea', '1-(4-bromophenyl)-3,3-dimethylurea', "Urea, N'-(4-bromophenyl)-N,N-dimethyl-", 'Bromurone', 'bromuron;Bromurone', 'NSC190789', 'NSC 190789', 'SCHEMBL148345', 'CHEMBL2271009', 'DTXSID10187679', 'ZINC395168', '1,1-Dimethyl-3-(4-bromophenyl)urea', 'AKOS002243065', 'MCULE-1556789126', 'NSC-190789', "N-(4-bromophenyl)-N',N'-dimethylurea", 'DB-048566', 'FT-0634842', "N'-(4-BROMOPHENYL)-N,N-DIMETHYLUREA", 'NS00008536', 'ST50548727', '[(4-bromophenyl)amino]-N,N-dimethylcarboxamide', '83414-EP2305655A2', '83414-EP2371823A1', 'SR-01000014928', 'A1-10453', 'SR-01000014928-1', 'Z208334010']</t>
  </si>
  <si>
    <t>Compound(18870)</t>
  </si>
  <si>
    <t>C9H11BrN2O</t>
  </si>
  <si>
    <t>3-[3-[4-(4-bromophenyl)phenyl]-1,2,3,4-tetrahydronaphthalen-1-yl]-4-hydroxychromen-2-one</t>
  </si>
  <si>
    <t>['BRODIFACOUM', '56073-10-0', 'Bromfenacoum', 'Klerat', 'Talon', 'Volid', 'Talon rodenticide', 'Brodifakum', 'Super warfarin', 'WBA 8119', 'Brodifakum [Czech]', 'Caswell No. 114AAA', 'UNII-A25P3CP5S7', 'PP 581', 'Brodifacoum [ANSI:BSI:ISO]', 'HSDB 3916', 'EINECS 259-980-5', 'EPA Pesticide Chemical Code 112701', "3-(3-(4'-Bromobiphenyl-4-yl)-1,2,3,4-tetrahydronaphth-1-yl)-4-hydroxycoumarin", 'A25P3CP5S7', 'BFC', 'CHEBI:81892', "4-Hydroxy-3-(3-(4'-bromo-4-biphenylyl)-1,2,3,4-tetrahydro-1-naphthyl)coumarin", "3-(3-(4'-Bromo-1,1'-biphenyl-4-yl)-1,2,3,4-tetrahydro-1-naphthyl)-4-hydroxycoumarin", '3-[3-[4-(4-bromophenyl)phenyl]-1,2,3,4-tetrahydronaphthalen-1-yl]-2-hydroxychromen-4-one', "2H-1-Benzopyran-2-one, 3-(3-(4'-bromo(1,1'-biphenyl)-4-yl)-1,2,3,4-tetrahydro-1-naphthalenyl)-4-hydroxy-", "Coumarin, 3-(3-(4'-bromo-1,1'-biphenyl-4-yl)-1,2,3,4-tetrahydro-1-naphthyl)-4-hydroxy-", "2H-1-Benzopyran-2-one, 3-[3-(4'-bromo[1,1'-biphenyl]-4-yl)-1,2,3,4-tetrahydro-1-naphthalenyl]-4-hydroxy-", "3-(3-(4'-Bromo(1,1'-biphenyl)-4-yl)-1,2,3,4-tetrahydro-1-naphthalenyl)-4-hydroxy-2H-1-benzopyran-2-one", 'superwarfarin', 'Talon-G', "3-(3-(4'-Bromo-(1,1'-biphenyl)-4-yl)-1,2,3,4-tetrahydro-1-napthalenyl)-4-hydroxycoumarin", "3-[3-(4'-Bromo[1,1'-biphenyl]-4-yl)-1,2,3,4-tetrahydro-1-naphthalenyl]-4-hydroxy-2H-1-benzopyran-2-one", 'C31H23BrO3', 'SCHEMBL435133', 'CHEMBL233451', 'SCHEMBL5933635', 'DTXSID5032529', 'CTK3E9566', 'CTK8E6731', 'MFCD11041194', '3-[3-[4-(4-bromophenyl)phenyl]tetralin-1-yl]-2-hydroxy-chromen-4-one', 'AKOS015907950', 'CM10946', 'CC-25208', 'LS-55126', 'S312', 'DB-052847', 'NS00015497', 'Brodifacoum, PESTANAL(R), analytical standard', 'C18694', '073B100', 'A830909', 'C-23066', 'Q421203', '3-[3-[4-(4-bromophenyl)phenyl]-1,2,3,4-tetrahydronaphthalen-1-yl]-4-hydroxychromen-2-one', "3-(3-(4'-bromobiphenyl-4-yl)-1,2,3,4-tetrahydronaphthalen-1-yl)-4-hydroxy-2H-chromen-2-one", "3-[3-(4'-Bromo[1,1'-biphenyl]-4-yl)-1,2,3,4-tetrahydro-1-naphthalenyl]-4-hydroxy-2H-chromen-2-one #", '3-[3-[4-(4-bromophenyl)phenyl]-1,2,3,4-tetrahydronaphthalen-1-yl]-2-hydroxy-1-benzopyran-4-one', '3-[3-[4-(4-bromophenyl)phenyl]-1,2,3,4-tetrahydronaphthalen-1-yl]-2-oxidanyl-chromen-4-one', '80449-88-3']</t>
  </si>
  <si>
    <t>Compound(54680676)</t>
  </si>
  <si>
    <t>C31H23BrO3</t>
  </si>
  <si>
    <t>5-bromo-3-butan-2-yl-6-methyl-1H-pyrimidine-2,4-dione</t>
  </si>
  <si>
    <t>['BROMACIL', '314-40-9', 'Bromazil', 'Uragan', 'Hyvar X', 'Borea', '5-Bromo-3-sec-butyl-6-methyluracil', 'Borocil', 'Bromax', 'Cynogan', 'Hyvarex', 'Nalkil', 'Uragon', 'Urox-hx', 'Hyvar X bromacil', 'Krovar II', 'Urox B', 'Herbicide 976', 'Hyvar X-L', 'Hyvar X-WS', 'Istemul', 'Ureabor', 'Hibor', 'Hyvar X Weed Killer', 'Urox ha', 'Du Pont herbicide 976', 'Urox HX', 'Eerex Granular Weed Killer', 'Hyvar-X Weed Killer', 'Urox hx granular weed killer', 'Hyvar-xl Weed Killer', 'Caswell No. 111', 'Krovar I Weed Killer', '5-Bromo-3-(sec-butyl)-6-methylpyrimidine-2,4(1H,3H)-dione', 'Rout G-8', 'Krovar II Weed Killer', 'Uracil, 5-bromo-3-sec-butyl-6-methyl-', 'Bromacil [ANSI:BSI:ISO]', '2,4(1H,3H)-Pyrimidinedione, 5-bromo-6-methyl-3-(1-methylpropyl)-', 'HSDB 1522', 'Eerex Water Soluble Concentrate Weed Killer', '5-Bromo-6-methyl-3-(1-methylpropyl)uracil', 'Urox B water soluble concentrate weed killer', '3-sek.Butyl-5-brom-6-methyluracil', 'EINECS 206-245-1', 'EPA Pesticide Chemical Code 012301', 'BRN 0647896', '3-sek.Butyl-5-brom-6-methyluracil [German]', 'CHEBI:83658', '5-Bromo-6-methyl-3-(1-methylpropyl)-2,4(1H,3H)-pyrimidinedione', '5-bromo-3-butan-2-yl-6-methyl-1H-pyrimidine-2,4-dione', '5-bromanyl-3-butan-2-yl-6-methyl-1H-pyrimidine-2,4-dione', '5-bromo-3-(butan-2-yl)-6-methylpyrimidine-2,4(1H,3H)-dione', 'Croptex onyx', '5-bromo-6-methyl-3-(1-methylpropyl)pyrimidine-2,4(1H,3H)-dione', '69484-12-4', '5-bromo-6-methyl-3-[1-methylpropyl]pyrimidine-2,4(1H,3H)-dione', 'CCRIS 9248', 'Rokar X', '5-Bromo-3-sec.-butyl-6-methyluracil', '2,4(1H,3H)-Pyrimidinedione,5-bromo-6-methyl-3-(1-methylpropyl)-, sodium salt (1:1)', 'DSSTox_CID_2020', 'DSSTox_RID_76463', 'DSSTox_GSID_22020', 'SCHEMBL53954', 'Bromacil, analytical standard', '5-24-07-00040 (Beilstein Handbook Reference)', '5-bromo-6-methyl-3-sec-butyl-1H-pyrimidine-2,4-dione', 'CHEMBL1877125', 'DTXSID4022020', 'CTK8F8333', '5-Bromo-3-s-butyl-6-methyluracil', 'Tox21_301111', '3-sek-Butyl-5-bromo-6-methyluracil', 'ACM314409', 'MFCD00055364', 'AKOS015915031', 'Bromacil 10 microg/mL in Acetonitrile', 'FCH1320802', 'LS-1177', 'VA10433', 'Bromacil 100 microg/mL in Acetonitrile', 'NCGC00163931-01', 'NCGC00163931-02', 'NCGC00163931-03', 'NCGC00163931-04', 'NCGC00255011-01', 'AK117732', 'CAS-314-40-9', 'S348', 'DB-048036', 'Bromacil, PESTANAL(R), analytical standard', 'FT-0603376', 'NS00000246', 'BROMACIL (PESTICIDE/FERTILIZER MIXTURE)', 'C10911', '314B409', 'A820855', 'J-018430', 'Q2926003', '5-bromo-3-sec-butyl-6-methylpyrimidine-2,4(1h,3h)-dione', '5-Bromo-3-sec-butyl-6-methyl-2,4(1H,3H)-pyrimidinedione #']</t>
  </si>
  <si>
    <t>Compound(9411)</t>
  </si>
  <si>
    <t>C9H13BrN2O2</t>
  </si>
  <si>
    <t>bromuconazole</t>
  </si>
  <si>
    <t>1-[[4-bromo-2-(2,4-dichlorophenyl)oxolan-2-yl]methyl]-1,2,4-triazole</t>
  </si>
  <si>
    <t>['Bromuconazole', '116255-48-2', 'Bromuconazole [ISO]', 'UNII-PHS29ZMZ81', 'HSDB 7419', 'PHS29ZMZ81', 'CHEBI:81900', '1-[[4-bromo-2-(2,4-dichlorophenyl)oxolan-2-yl]methyl]-1,2,4-triazole', '1-((4-Bromo-2-(2,4-dichlorophenyl)tetrahydro-2-furanyl)methyl)-1H-1,2,4-triazole', '1-((2RS,4RS,2RS,4SR)-4-Bromo-2-(2,4-dichlorophenyl)tetrahydrofurfuryl)-1H-1,2,4-triazole', 'Bromuconazol', '1H-1,2,4-Triazole, 1-((4-bromo-2-(2,4-dichlorophenyl)tetrahydro-2-furanyl)methyl)-', '1H-1,2,4-Triazole, 1-[[4-bromo-2-(2,4-dichlorophenyl)tetrahydro-2-furanyl]methyl]-', "CHIPCO' Bromuconazole", 'Bromuconazole I', 'Bromuconazole (I)', 'Bromuconazole (II)', 'Bromuconazole peak 1', 'Bromuconazol isomer 1', 'Bromuconazol isomer 2', 'BROMUCONAZOLE-2', 'CHIPCO  Bromuconazole', 'Triazole-based ligand, 16', 'DSSTox_CID_12531', 'DSSTox_RID_78969', 'DSSTox_GSID_32531', 'SCHEMBL22340', 'CHEMBL271579', 'DTXSID9032531', 'BDBM21165', 'Tox21_302434', 'AKOS015903856', 'NCGC00163751-01', 'NCGC00255388-01', 'Bromuconazole 10 microg/mL in Cyclohexane', 'Bromuconazole 10 microg/mL in Acetonitrile', 'LS-155826', 'CAS-116255-48-2', 'FT-0658072', 'C18704', 'Bromuconazol, PESTANAL(R), analytical standard', 'Q2152394', '1-{[4-bromo-2-(2,4-dichlorophenyl)oxolan-2-yl]methyl}-1H-1,2,4-triazole', '2,5-anhydro-4-bromo-1,3,4-trideoxy-2-(2,4-dichlorophenyl)-1-(1H-1,2,4-triazol-1-yl)pentitol', 'BROMUCONAZOLE;1-[(2RS,4RS:2RS,4SR)-4-bromo-2-(2,4- dichlorophenyl)tetrahydrofurfuryl]-1H-1,2,4-triazole']</t>
  </si>
  <si>
    <t>Compound(3444)</t>
  </si>
  <si>
    <t>C13H12BrCl2N3O</t>
  </si>
  <si>
    <t>bromadiolone</t>
  </si>
  <si>
    <t>3-[3-[4-(4-bromophenyl)phenyl]-3-hydroxy-1-phenylpropyl]-4-hydroxychromen-2-one</t>
  </si>
  <si>
    <t>['Bromadiolone', '28772-56-7', 'Broprodifacoum', 'Bromadiolon', 'Bromatrol', 'Maki', 'Bromone', 'Contrac', 'Ratimus', 'Boldo', 'Temus', "Sup'operats", 'Super-rozol', 'Boot hill', 'Super-caid', 'Bromore', 'Contrax', 'Topidion', 'Canadien 2000', 'Eradic', 'Rafix', 'Super-Cald', 'Caswell No. 486AB', 'Bromadiolone [BSI:ISO]', 'UNII-J2FR050NM5', 'LM-637', 'Broprodifacoum [South Africa]', 'HSDB 6458', 'EINECS 249-205-9', 'EPA Pesticide Chemical Code 112001', 'BRN 1335336', 'J2FR050NM5', 'CHEBI:81855', "3-(3-(4'-Bromo(1,1'-biphenyl)-4-yl)3-hydroxy-1-phenylpropyl)-4-hydroxy-2H-1-benzopyran-2-one", "2H-1-Benzopyran-2-one, 3-[3-(4'-bromo[1,1'-biphenyl]-4-yl)-3-hydroxy-1-phenylpropyl]-4-hydroxy-", '3-(4-Hydroxycoumarin-3-yl)-3-phenyl-1-(4-bromobiphenyl)propan-1-ol', '3-(alpha-(p-Bromophenyl)-beta-hydroxyphenethyl)benzyl-4-hydroxycoumarin', '(Hydroxy-4 coumarinyl 3)-3 phenyl-3 (bromo-4 biphenylyl-4)-1 propanol-1', "3-(3-(4'-Bromobiphenyl-4-yl)-3-hydroxy-1-phenylpropyl)-4-hydroxycoumarin", '3-(4-Hydroxy-2-oxochromen-3-yl)-3-phenyl-1-(4-bromobiphenyl)propan-1-ol', '3-(alpha-(p-(p-Bromophenyl)-beta-hydroxyphenethyl)benzyl)-4-hydroxycoumarin', 'Coumarin, 3-(alpha-(p-(p-bromophenyl)-beta-hydroxyphenethyl)benzyl)-4-hydroxy-', '(Hydroxy-4 coumarinyl 3)-3 phenyl-3 (bromo-4 biphenylyl-4)-1 propanol-1 [French]', '(Hydroxy-4-coumarinyl-3)-3-phenyl-3-(bromo-4-biphenylyl-4)-1-propanol-1 [French]', "Coumarin, 3-(3-(4'-bromo-1,1'-biphenyl-4-yl)-3-hydroxy-1-phenylpropyl)-4-hydroxy-", 'DSSTox_CID_12589', 'DSSTox_RID_78997', 'DSSTox_GSID_32589', "2H-1-Benzopyran-2-one, 3-(3-(4'-Bromo(1,1'-biphenyl)-4-yl)-3-hydroxy-1-phenylpropyl)-4-hydroxy-", 'bromodialone', "3-(3-(4'-Bromo(1,1'-biphenyl)-4-yl)-3-hydroxy-1-phenylpropyl)-4-hydroxy-2-benzopyrone", "3-(3-(4'-Bromo-(1,1'-biphenyl)-4-yl)-3-hydroxy-1-phenylpropyl)-4-hydroxycoumarin", "3-[3-(4'-bromo[1,1'-biphenyl]-4-yl)-3-hydroxy-1-phenylpropyl]-4-hydroxy-2-benzopyrone", '3-[3-[4-(4-bromophenyl)phenyl]-3-hydroxy-1-phenylpropyl]-4-hydroxychromen-2-one', "3-(3-(4'-Bromo(1,1'-biphenyl)-4-yl)-3-hydroxy-1-phenylpropyl)-4-hydroxy-2H-1-benzopyran-2-one", 'CAS-28772-56-7', 'Bromadialone', 'C30H23BrO4', 'Tamogam', 'Slaymor (Salt/Mix)', 'Rentokil deadline (Salt/Mix)', 'SCHEMBL433993', 'SCHEMBL5933914', 'CHEMBL1165553', 'DTXSID9032589', 'CTK8F8334', 'Tox21_112561', 'Tox21_301920', 'MFCD00128053', '(Hydroxy-4-coumarinyl-3)-3-phenyl-3-(bromo-4-biphenylyl-4)-1-propanol-1', 'AKOS015907923', 'AKOS030254788', 'Tox21_112561_1', 'CM10942', 'ACM28772567', 'NCGC00163939-01', 'NCGC00163939-02', 'NCGC00255356-01', "3-(3-(4'-bromo(1,1'-biphenyl)-4-yl)-3-hydroxy-1- phenylpropyl)-4-hydroxy-2H-1-benzopyran-2-one", 'AC-12416', 'CC-25211', 'LS-55125', 'DB-047454', 'NS00000686', 'Bromadiolon, PESTANAL(R), analytical standard', 'C18596', '772B567', 'A819585', 'C-23089', 'Q423091', 'J-017254', '3-(.alpha.-(p-(p-Bromophenyl)-.beta.-hydroxyphenethyl)benzyl)-4-hydroxycoumarin', '3-(1-Phenyl-3-hydroxy-3-(4-(4-bromophenyl)pheny)propyl)-4-hydroxy-coumarin', "3-(3-(4'-Bromo-(1,1'-biphenyl)-4-yl)-3-hydroxy-1-phenylpropyl)-4-hydroxy-coumarin", "3-(3-(4'-bromobiphenyl-4-yl)-3-hydroxy-1-phenylpropyl)-4-hydroxy-2H-chromen-2-one", "3-[3-(4'-bromo[1,1'-biphenyl]-4-yl)-3-hydroxy-1-phenylpropyl]-4-hydroxy-2- benzopyrone", '3-[3-[4-(4-bromophenyl)phenyl]-3-hydroxy-1-phenylpropyl]-2-hydroxy-1-benzopyran-4-one', '3-[3-[4-(4-bromophenyl)phenyl]-3-oxidanyl-1-phenyl-propyl]-2-oxidanyl-chromen-4-one', 'Coumarin, 3-(.alpha.-(p-(p-bromophenyl)-.beta.-hydroxyphenethyl)benzyl)-4-hydroxy-', 'Coumarin, 3-(alpha-(p-(p-bromophenyl)-beta-hydroxyphenethyl)benzyl)-4-hydroxy- (8CI)', "3-[3-(4'-Bromo[1,1'-biphenyl]-4-yl)-3-hydroxy-1-phenylpropyl]-4-hydroxy-2H-chromen-2-one"]</t>
  </si>
  <si>
    <t>Compound(54680085)</t>
  </si>
  <si>
    <t>C30H23BrO4</t>
  </si>
  <si>
    <t>bromoxynil butyrate</t>
  </si>
  <si>
    <t>(2,6-dibromo-4-cyanophenyl) butanoate</t>
  </si>
  <si>
    <t>['Bromoxynil butyrate', '2,6-Dibromo-4-cyanophenyl butyrate', 'Caswell No. 119E', 'Bromoxynil butyrate [ISO]', '3861-41-4', 'Butanoic acid, 2,6-dibromo-4-cyanophenyl ester', 'UNII-45626LTY32', 'EINECS 223-374-9', 'EPA Pesticide Chemical Code 035303', 'BRN 2742676', '45626LTY32', 'Butyric acid, ester with 3,5-dibromo-4-hydroxybenzonitrile', 'SCHEMBL163129', 'DTXSID3032335', 'CTK1C3842', 'ZINC1849867', '2,6-Dibromo-4-cyanophenyl butyrate #', 'LS-46215', 'NS00022132', 'Q27258810']</t>
  </si>
  <si>
    <t>Compound(62526)</t>
  </si>
  <si>
    <t>C11H9Br2NO2</t>
  </si>
  <si>
    <t>2-bromo-2-nitropropane-1,3-diol</t>
  </si>
  <si>
    <t>['bronopol', '52-51-7', '2-Bromo-2-nitro-1,3-propanediol', '2-Bromo-2-nitropropane-1,3-diol', 'Bronosol', 'Bronocot', '1,3-Propanediol, 2-bromo-2-nitro-', 'Bronidiol', 'Bronopolu', 'Bronotak', 'Onyxide 500', 'Lexgard bronopol', '2-Nitro-2-bromo-1,3-propanediol', 'Bronopolu [Polish]', 'Caswell No. 116A', 'Bronopolum [INN-Latin]', 'C3H6BrNO4', 'Bronopol [INN:BAN:JAN]', 'UNII-6PU1E16C9W', 'beta-Bromo-beta-nitrotrimethyleneglycol', 'NSC 141021', 'CHEBI:31306', 'HSDB 7195', 'EINECS 200-143-0', 'MFCD00007390', 'UN3241', 'EPA Pesticide Chemical Code 216400', 'BRN 1705868', 'AI3-61639', '6PU1E16C9W', 'NCGC00164057-01', 'Bronopolum', '2-Bromo-2-nitro-1,3-propanediol, 98%', 'DSSTox_CID_4652', '2-Bromo-2-nitropropane-1,3-diol (Bronopol)', 'DSSTox_RID_77484', 'DSSTox_GSID_24652', 'Q-200765', 'BNPD', 'Bioban', '2-Bromo-2-nitropropane-1,3-diol [UN3241] [Flammable Solid]', 'Myacide AS plus', 'Myacide BT', 'CAS-52-51-7', 'Myacide Pharma BP', 'Canguard 409', '2-Bromo-2-nitropropan-1,3-diol', '2-bromo-2-nitro-propane-1,3-diol', 'Bronopol / Bronosol', 'Bronopol (JAN/INN)', 'ACMC-1ARSQ', 'WLN: WNXE1Q1Q', '1, 2-bromo-2-nitro-', 'EC 200-143-0', 'SCHEMBL23260', 'KSC911Q1T', '[DID-no:2404]', 'Bioban BNPD-40 (Salt/Mix)', 'CHEMBL1408862', 'DTXSID8024652', 'SCHEMBL16556987', 'CTK8B1819', 'KS-00000URD', 'LVDKZNITIUWNER-UHFFFAOYSA-', '2-bromo-2nitro-1,3-propanediol', '2-bromo-2-nitro-1,3-propandiol', 'ALBB-031641', 'HY-B1217', 'ZINC1088216', 'Tox21_112079', 'Tox21_300126', 'ANW-31486', 'BDBM50248122', 'LS-172', 'NSC141021', 's4553', 'SBB000393', '2-bromanyl-2-nitro-propane-1,3-diol', 'AKOS003606838', 'CCG-213823', 'CS-4699', 'DB13960', 'FCH1115131', 'MCULE-8711651659', 'NSC-141021', 'NCGC00164057-02', 'NCGC00164057-03', 'NCGC00253984-01', 'AS-11889', 'CC-09400', 'ST041068', '.beta.-Bromo-.beta.-nitrotrimethyleneglycol', 'DB-027831', 'B1247', 'Bronopol, PESTANAL(R), analytical standard', 'FT-0611399', 'NS00003792', '2-BROMO-2-NITROPRO- PANE-1,3-DIOL', '52B517', 'C13034', 'D01577', 'AB01563195_01', 'A829125', 'C-09402', 'SR-01000944249', 'Q2462902', 'SR-01000944249-1', '2-bromo-2-nitropropane-1,3-diol (Remark: Formaldehyde donor)']</t>
  </si>
  <si>
    <t>Compound(2450)</t>
  </si>
  <si>
    <t>C3H6BrNO4</t>
  </si>
  <si>
    <t>(4aR,5aS,8aR,13aS,15aS,15bR)-10,11-dimethoxy-4a,5,5a,7,8,13a,15,15a,15b,16-decahydro-2H-4,6-methanoindolo[3,2,1-ij]oxepino[2,3,4-de]pyrrolo[2,3-h]quinolin-14-one</t>
  </si>
  <si>
    <t>['BRUCINE', '357-57-3', '10,11-Dimethoxystrychnine', 'Brucinum', '(-)-Brucine', 'l-Brucine', 'UNII-6NG17YCK6H', 'Brucina', 'Brucin', 'Bruzin', '2,3-Dimethoxystrychnidin-10-one', '2,3-Dimethoxystrychnine', '6NG17YCK6H', 'Brucine alkaloid', 'CHEBI:3193', 'Brucin [German]', 'Brucina [Italian]', 'Dimethoxy strychnine', 'Strychnidin-10-one, 2,3-dimethoxy-', '2,3-Dimethoxy-strychnine', '10,11-Dimethystrychnine', 'RCRA waste number P018', 'DSSTox_RID_77490', 'DSSTox_GSID_24662', 'Strychnine, 2,3-dimethoxy-', 'CCRIS 4754', 'HSDB 307', 'EINECS 206-614-7', '145428-94-0', 'UN1570', 'CAS-357-57-3', 'SMR000112281', 'brucine,10,11-dimethoxystrychnine,2,3-dimethoxystrychnidin-10-one', 'DSSTox_CID_4662', 'RCRA waste no. P018', '10,11-dimethoxy strychnine', 'anhydrous brucine', 'Bisdesmethylbrucin', 'UN 1570', 'NCGC00094861-01', '(4aR,5aS,8aR,13aS,15aS,15bR)-10,11-dimethoxy-4a,5,5a,7,8,13a,15,15a,15b,16-decahydro-2H-4,6-methanoindolo[3,2,1-ij]oxepino[2,3,4-de]pyrrolo[2,3-h]quinoline-14-one', 'PubChem7945', 'Brucine, anhydrous, 98%', 'GTPL342', 'MLS000515808', 'MLS001424166', 'SCHEMBL113229', 'CHEMBL501756', 'MEGxp0_001865', 'DTXSID2024662', 'ACon1_001990', 'CTK8E8812', 'Brucine [UN1570]  [Poison]', 'HMS2052O03', 'HMS2268L16', 'ZINC1069090', 'Tox21_111349', 'Tox21_302174', 'BDBM50401037', 'MFCD00005942', 'AKOS015955678', 'AKOS024282466', 'CCG-101078', 'MCULE-9524496694', 'NC00328', 'NCGC00255253-01', 'NCGC00263445-02', 'NCGC00384497-01', 'M127', 'B0670', 'B0946', 'C09084', 'Brucine - CASMI2016 Category 1 - Challenge 9', 'C-30462', 'Q411022', 'SR-01000712407', 'Q-100426', 'SR-01000712407-5', 'BRD-K68077509-001-01-6', 'Brucine, European Pharmacopoeia (EP) Reference Standard', '(1R,11S,18S,20R,21R,22S)-4,5-dimethoxy-12-oxa-8,17-diazaheptacyclo[15.5.2.0^{1,18}.0^{2,7}.0^{8,22}.0^{11,21}.0^{15,20}]tetracosa-2(7),3,5,14-tetraen-9-one', 'brucine;Brucine sulphate;BRUCINE SULFATE;brucine sulphate;Brucine sulphate (2:1);Strychnidin-10-one, 2,3-dimethoxy-, mono[(R)-1-methylheptyl 1,2-benzenedicarboxylate]']</t>
  </si>
  <si>
    <t>Compound(442021)</t>
  </si>
  <si>
    <t>C23H26N2O4</t>
  </si>
  <si>
    <t>(3S,8S,9S,10R,13R,14S,17R)-17-[(2R,5R)-5-ethyl-6-methylheptan-2-yl]-10,13-dimethyl-2,3,4,7,8,9,11,12,14,15,16,17-dodecahydro-1H-cyclopenta[a]phenanthren-3-ol</t>
  </si>
  <si>
    <t>['BETA-SITOSTEROL', '83-46-5', 'Sitosterol', 'Cupreol', 'Azuprostat', 'Quebrachol', 'Triastonal', '22,23-Dihydrostigmasterol', 'beta-Sitosterin', 'Nimbosterol', 'Cinchol', 'Rhamnol', 'alpha-Dihydrofucosterol', 'Harzol', '(-)-beta-Sitosterol', 'B-Sitosterol', 'Sito-Lande', '24alpha-Ethylcholesterol', 'Stigmast-5-en-3beta-ol', '(3beta)-Stigmast-5-en-3-ol', 'Sobatum', '(24R)-Stigmast-5-en-3beta-ol', 'Prostasal', '(24R)-Ethylcholest-5-en-3beta-ol', 'a-Dihydrofucosterol', 'UNII-S347WMO6M4', 'SKF 14463', 'CHEBI:27693', 'NSC8096', 'Stigmast-5-en-3-ol, (3b)-', 'Stigmast-5-en-3-ol, (3beta)-', 'Angelicin (steroid)', 'stigmast-5-ene-3beta-ol', 'CHEMBL221542', 'S347WMO6M4', 'C29H50O', '.beta.-Sitosterol', 'NSC49083', 'Stigmasterol,23-dihydro-', '24-alpha-Ethylcholesterol', 'Stigmast-5-en-3-ol, (3.beta.)-', 'Stigmast-5-en-3-beta-ol', 'Steroids, hydroxy', 'delta5-Stigmasten-3-beta-ol', '64997-52-0', 'CCRIS 5529', 'Q63409374', '(3-beta)-Stigmast-5-en-3-ol', '.beta.-Sitosterin', 'beta Sitosterol', 'NSC 8096', 'EINECS 201-480-6', 'NSC 18173', 'alpha-Phytosterol', 'Refined soy sterol', '14-((1S,4R)-4-ethyl-1,5-dimethylhexyl)(1S,5S,10S,11S,2R,14R,15R)-2,15-dimethyl tetracyclo[8.7.0.0&lt;2,7&gt;.0&lt;11,15&gt;]heptadec-7-en-5-ol', 'SITOSTEROL, BETA', 'AI3-26020', '.alpha.-Dihydrofucosterol', '24.alpha.-Ethylcholesterol', 'Stigmast-5-en-3.beta.-ol', 'SR-05000002307', '68555-08-8', 'Sitosterol beta', 'a-Phytosterol', 'b-Sitosterin', 'beta-Phytosterol', 'Beta-sistosterol', 'ss--Sitosterol', 'Soybean oil sterols phytosterols', '.beta.Sitosterin', '.beta.Sitosterol', 'CAS-83-46-5', 'NCGC00095716-01', '(3S,8S,9S,10R,13R,14S,17R)-17-[(1R,4R)-4-ethyl-1,5-dimethyl-hexyl]-10,13-dimethyl-2,3,4,7,8,9,11,12,14,15,16,17-dodecahydro-1H-cyclopenta[a]phenanthren-3-ol', 'EINECS 271-413-3', '(-)-b-Sitosterol', 'Harzol (TN)', '24a-Ethylcholesterol', 'alpha.Dihydrofucosterol', 'D5-Stigmasten-3b-ol', 'Stigmast-5-en-3b-ol', 'Prestwick0_000985', 'Prestwick1_000985', 'Prestwick2_000985', 'Prestwick3_000985', 'Delta5-Stigmasten-3b-ol', 'Stigmast-5-en-3-ss-ol', 'DSSTox_CID_2481', 'beta-Sitosterol, &gt;=70%', 'beta-Sitosterol (Synthetic)', 'DSSTox_RID_76601', 'BIDD:PXR0121', 'DSSTox_GSID_22481', 'SCHEMBL16105', '22,23-dihydro-Stigmasterol', 'BSPBio_001049', 'ARONIS24293', 'BIDD:ER0636', 'SPBio_002950', 'BPBio1_001155', 'MEGxp0_001710', 'DTXSID5022481', '(24R)-Stigmast-5-en-3b-ol', 'ACon1_000287', 'CTK3E8043', 'BBC/449', 'HMS1571E11', 'HMS2098E11', '(24R)-Ethylcholest-5-en-3b-ol', '17-(5-ethyl-6-methyl-heptan-2-yl)-10,13-dimethyl-2,3,4,7,8,9,11,12,14,15,16,17-dodecahydro-1H-cyclopenta[a]phenanthren-3-ol', '24-Ethylcholest-5-en-3.beta.-ol', 'NSC-8096', 'NSC18173', 'ZINC4095717', 'beta-Sitosterol, analytical standard', 'Tox21_111514', 'ANW-41688', 'BDBM50218197', 'beta-Sitosterol, synthetic, &gt;=95%', 'LMST01040129', 'NSC-18173', 'NSC-49083', 's2273', 'SBB012603', 'AKOS005267194', 'CCG-208334', 'DB14038', 'MCULE-2409753351', 'beta-Sitosterol, from soybean, &gt;=96%', 'SMP1_000274', 'NCGC00142598-02', 'NCGC00142598-03', 'AC-24183', 'M047', 'NCI60_041777', 'SC-19725', 'SC-57983', 'ST069312', 'AB0015024', 'LS-195633', 'AB00513984', 'N1688', 'S0040', 'C01753', 'D08518', 'Q-200712', 'SR-05000002307-2', 'SR-05000002307-3', 'beta-Sitosterol, analytical standard, from soybean, &gt;=40%', 'beta-Sitosterol, primary pharmaceutical reference standard', 'UNII-3OE0DD1I5J component KZJWDPNRJALLNS-VJSFXXLFSA-N', 'UNII-B46B6DD20U component KZJWDPNRJALLNS-VJSFXXLFSA-N', 'UNII-D083681CDS component KZJWDPNRJALLNS-VJSFXXLFSA-N', 'UNII-G7V636VTDY component KZJWDPNRJALLNS-VJSFXXLFSA-N', 'Beta-sitosterol, European Pharmacopoeia (EP) Reference Standard', 'beta-Sitosterol, United States Pharmacopeia (USP) Reference Standard', 'beta-Sitosterol, certified reference material, 100 mug/mL in chloroform', 'BETA-SITOSTEROL;Stigmast-5-en-3-ss-ol;stigmast-5-en-3-?-ol;Beta-sitosterol', '(3S,8S,9S,10R,13R,14S,17R)-17-[(2R,5R)-5-ethyl-6-methylheptan-2-yl]-10,13-dimethyl-2,3,4,7,8,9,11,12,14,15,16,17-dodecahydro-1H-cyclopenta[a]phenanthren-3-ol', '(3S,9S,10R,13R,14S,17R)-17-((2R,5R)-5-ethyl-6-methylheptan-2-yl)-10,13-dimethyl-2,3,4,7,8,9,10,11,12,13,14,15,16,17-tetradecahydro-1H-cyclopenta[a]phenanthren-3-ol']</t>
  </si>
  <si>
    <t>Compound(222284)</t>
  </si>
  <si>
    <t>C29H50O</t>
  </si>
  <si>
    <t>N-butyl-1-dibutoxyphosphorylcyclohexan-1-amine</t>
  </si>
  <si>
    <t>['Buminafos', 'Buminafos [ISO]', 'Aminophon', 'Trakephon', '51249-05-9', 'UNII-69HDD5Z9UT', '1-(Butylamino)cyclohexylphosphonic acid dibutyl ester', 'CKB 1028A', 'EINECS 257-085-4', '69HDD5Z9UT', 'O,O-Dibutyl 1-butylamino-cyclohexylphosphonate', 'Dibutyl (1-(butylamino)cyclohexyl)phosphonate', 'DIBUTYL [1-(BUTYLAMINO)CYCLOHEXYL]PHOSPHONATE', 'Phosphonic acid, 1-(butylamino)cyclohexyl-, dibutyl ester', 'SCHEMBL52679', 'DTXSID30199259', 'Phosphonic acid, [1-(butylamino)cyclohexyl]-, dibutyl ester', 'ACM51249059', 'LS-106473', 'NS00022267', 'Q27264349', 'dibutyl [1-(butylamino)cyclohexyl]phosphonate;Buminafos [ISO]']</t>
  </si>
  <si>
    <t>Compound(39966)</t>
  </si>
  <si>
    <t>C18H38NO3P</t>
  </si>
  <si>
    <t>2-tert-butylimino-5-phenyl-3-propan-2-yl-1,3,5-thiadiazinan-4-one</t>
  </si>
  <si>
    <t>['BUPROFEZIN', 'Applaud', '69327-76-0', 'Buprofenzin', 'Buprofezine', '(E)-buprofezin', 'NNI 750', 'PP618', 'UNII-3B8KGI239I', '2-((1,1-Dimethylethyl)imino)tetrahydro-3-(1-methylethyl)-5-phenyl-4H-1,3,5-thiadiazin-4-one', '2-tert-Butylimino-3-isopropyl-5-phenyl-1,3,5-thiadiazinan-4-one', 'BRN 1010518', '2-tert-Butylimino-3-isopropyl-5-phenyl-3,4,5,6-tetrahydro-2H-1,3,5-thiadiazin-4-one', 'AI3-29749', '3B8KGI239I', 'C16H23N3OS', 'CHEBI:3218', '953030-84-7', 'CHEBI:39381', '(EZ)-Buprofezin', '2-tert-Butylimino-3-isopropyl-5-phenylperhydro-1,3,5-thiadiazinan-4-one', '(Z)-2-(TERT-BUTYLIMINO)-3-ISOPROPYL-5-PHENYL-1,3,5-THIADIAZINAN-4-ONE', '4H-1,3,5-Thiadiazin-4-one, 2-((1,1-dimethylethyl)imino)tetrahydro-3-(1-methylethyl)-5-phenyl-', '2-(tert-butylimino)-5-phenyl-3-(propan-2-yl)-1,3,5-thiadiazinan-4-one', '4H-1,3,5-Thiadiazin-4-one, 2-[(1,1-dimethylethyl)imino]tetrahydro-3-(1-methylethyl)-5-phenyl-', '(Z)-2-tert-butylimino-3-isopropyl-5-phenyl-1,3,5-thiadiazinan-4-one', '2-(tert-butylimino)-3-isopropyl-5-phenyl-1,3,5-thiadiazinan-4-one', '2-tert-butylimino-5-phenyl-3-propan-2-yl-1,3,5-thiadiazinan-4-one', '(2Z)-2-(tert-butylimino)-3-isopropyl-5-phenyl-1,3,5-thiadiazinan-4-one', 'Buprofezin [BSI]', 'Buprofezin [ISO]', 'Buprofezin [BSI:ISO]', 'Buprofezine  [ISO-French]', 'HSDB 7610', '(Z)-buprofezin', '2-([1,1-Dimethylethyl]imino)-3-isopropyl-5-phenyl-1,3,5-thiadiazinan-4-one #', '(Z)-2-((1,1-dimethylethyl)imino)tetrahydro-3-(1-methylethyl)-5-phenyl-4H-1,3,5-thiadiazin-4-one', '(Z)-2-[(1,1-dimethylethyl)imino]tetrahydro-3-(1-methylethyl)-5-phenyl-4H-1,3,5-thiadiazin-4-one', 'Applaud (fungicide)', 'Buprofezine [ISO-French]', 'DSSTox_CID_14401', 'DSSTox_RID_79153', 'DSSTox_GSID_34401', 'SCHEMBL26901', 'SCHEMBL3625428', 'CHEMBL1891512', 'CHEMBL3186631', 'DTXSID8034401', 'SCHEMBL11019557', 'CHEBI:39380', 'CTK4A5460', 'CTK8E3305', 'DTXSID401009368', 'ZINC900535', 'Buprofezin (Z-isomer. Buprofexin)', 'HY-B0831', 'Tox21_301088', 'AKOS015917449', 'AKOS025310870', 'ZINC100047870', 'API0001787', 'KS-5376', 'Buprofezin 10 microg/mL in Cyclohexane', 'Buprofezin 100 microg/mL in Cyclohexane', 'NCGC00163828-01', 'NCGC00163828-02', 'NCGC00163828-03', 'NCGC00163828-04', 'NCGC00254988-01', 'AC-12694', 'S371', 'CAS-69327-76-0', 'DB-009128', 'LS-150204', 'CS-0012845', 'FT-0718771', 'NS00000100', 'Buprofezin, PESTANAL(R), analytical standard', 'C10912', '327B760', 'Q2912604', 'Q27119841', 'Courier; NNI 750; Stater; Talus;Applaud; Applaud 40SC', '(2E)-2-(tert-butylimino)-3-isopropyl-5-phenyl-1,3,5-thiadiazinan-4-one', '2-t-butylimino-3-isopropyl-5-phenyl-tetrahydro-1,3,5-thiadiazin-4-one', '(2E)-2-(tert-butylimino)-5-phenyl-3-(propan-2-yl)-1,3,5-thiadiazinan-4-one', '(2Z)-2-(tert-butylimino)-5-phenyl-3-(propan-2-yl)-1,3,5-thiadiazinan-4-one', '(2Z)-2-[(1,1-Dimethylethyl)imino]tetrahydro-3-(1-methylethyl)-5-phenyl-4H-1,3,5-thiadiazin-4-one', 'Pesticide5_Buprofezin_C16H23N3OS_(2Z)-2-(tert-Butylimino)-3-(1-methylethyl)-5-phenyl-1,3,5-thiadiazinan-4-one']</t>
  </si>
  <si>
    <t>Compound(50367)</t>
  </si>
  <si>
    <t>C16H23N3OS</t>
  </si>
  <si>
    <t>buprenorphine</t>
  </si>
  <si>
    <t>(1S,2S,6R,14R,15R,16R)-5-(cyclopropylmethyl)-16-[(2S)-2-hydroxy-3,3-dimethylbutan-2-yl]-15-methoxy-13-oxa-5-azahexacyclo[13.2.2.12,8.01,6.02,14.012,20]icosa-8(20),9,11-trien-11-ol</t>
  </si>
  <si>
    <t>['buprenorphine', 'Buprenex', 'Temgesic', 'Buprenophine', 'Buprenorfina', 'Buprenorphinum', 'Probuphine', 'Buprenorfina [INN-Spanish]', 'Buprenorphinum [INN-Latin]', '52485-79-7', '(-)-buprenorphine', 'Subutex', 'UNII-40D3SCR4GZ', 'Butrans', 'CHEBI:3216', 'DEA No. 9064', 'buprenorphin', '40D3SCR4GZ', 'CAM2038', '21-cyclopropyl-7alpha-[(S)-1-hydroxy-1,2,2-trimethylpropyl]-6,14-endo-ethano-6,7,8,14-tetrahydrooripavine', 'RX 6029M', '6029-M', '(5alpha,6beta,14beta,18R)-17-(cyclopropylmethyl)-18-[(2S)-2-hydroxy-3,3-dimethylbutan-2-yl]-6-methoxy-18,19-dihydro-4,5-epoxy-6,14-ethenomorphinan-3-ol', '17-cyclopropylmethyl-4,5alpha-epoxy-7alpha-((S)-1-hydroxy-1,2,2-trimethylpropyl)-6-methoxy-6,14-endo-ethanomorphinan-3-ol', '2-(N-cyclopropylmethyl-4,5alpha-epoxy-3-hydroxy-6-methoxy-6,14-endo-ethanomorphinan-6alpha-yl)-3,3-dimethyl-2-butanol', 'Probuphenine', 'EINECS 257-950-6', 'Temgesic (TN)', '2-[3-cyclopropylmethyl-11-hydroxy-15-methoxy-(14R)-13-oxa-3-azahexacyclo[13.2.2.12,8.01,6.06,14.07,12]icosa-7,9,11-trien-16-yl]-3,3-dimethyl-2-butanol', '17-Cyclopropylmethyl-4,5alpha-epoxy-7alpha-((S)-1-hydroxy-1,2,2-trimethylpropyl-6-methoxy-6,14-endo-ethanomorphinan-3-ol', '2-(N-Cyclopropylmethyl-4,5alpha-epoxy-3-hydroxy-6-methoxy-6,14-endo-ethanomorphinan-7alpha-yl)-3,3-dimethyl-2-butanol', '21-(Cyclopropyl-7alpha-((S)-1-hydroxy-1,2,2-trimethylpropyl-6,14-endo-ethano-6,7,8,14-tetrahydrooripavine', 'Buprenorphine (JAN/INN)', 'CHEMBL560511', 'Buvidal', 'Sublocade', 'Buprenorphine [INN:BAN:JAN]', 'Buprenorphine (BN)', 'BEMA', '53152-21-9', '[5alpha,7alpha(S)]-', 'SCHEMBL15821', 'GTPL1670', 'DTXSID2022705', 'Sixmo (buprenorphine hydrochloride)', '[5?,7?(S)]-?-tert-butyl-17-(cyclopropylmethyl)-4,5-epoxy-18,19-dihydro-3-hydroxy-6-methoxy-?-methyl-6,14-ethenomorphinan-7-methanol hydrochloride;[5a,7a(S)]-a-tert-butyl-17-(cyclopropylmethyl)-4,5-epoxy-18,19-dihydro-3-hydroxy-6-methoxy-a-methyl-6,14-ethenomorphinan-7-methanol hydrochloride;Buprenorphine hydrochloride', '6,14-Ethenomorphinan-7-methanol, 17-(cyclopropylmethyl)-alpha-(1,1-dimethylethyl)-4,5-epoxy-18,19-dihydro-3-hydroxy-6-methoxy-alpha-methyl-, (5-alpha,7-alpha-(S))-', 'RBP-6000', 'ZINC1319780', 'BDBM50026603', 'DB00921', '[5alpha,7alpha(S)]-17-(Cyclopropylmethyl)-alpha-(1,1-dimethylethyl)-4,5-epoxy-18,19-dihydro-3-hydroxy-6-methoxy-alpha-methyl-6,14-ethenomorphinan-7-methanol', '21-cyclopropyl-7alpha-(2-hydroxy-3,3-dimethyl-2-butyl)-6,14-endo-ethano-6,7,8,14-tetrahydrooripavine', 'CC-25269', 'C08007', 'D07132', 'C-22673', 'Q407721', '(1S,2R,6S,14R,15R,16R)-3-(cyclopropylmethyl)-16-[(2S)-2-hydroxy-3,3-dimethylbutan-2-yl]-15-methoxy-13-oxa-3-azahexacyclo[13.2.2.1^{2,8}.0^{1,6}.0^{6,14}.0^{7,12}]icosa-7(12),8,10-trien-11-ol', '(1S,2R,6S,14R,15R,16R)-3-(cyclopropylmethyl)-16-[(2S)-2-hydroxy-3,3-dimethylbutan-2-yl]-15-methoxy-13-oxa-3-azahexacyclo[13.2.2.1^{2,8}.0^{1,6}.0^{6,14}.0^{7,12}]icosa-7,9,11-trien-11-ol', '(2S)-2-[(5R,6R,7R,14S)-9alpha-Cyclopropylmethyl-3-hydroxy-6-methoxy-4,5-epoxy-6,14-ethanomorphinan-7-yl]-3,3-dimethylbutan-2-ol', '(5alpha,14beta,18R)-17-(Cyclopropylmethyl)-18-[(2S)-2-hydroxy-3,3-dimethyl-2-butanyl]-6-methoxy-18,19-dihydro-4,5-epoxy-6,14-ethenomorphinan-3-ol', '6,14-ethenomorphinan-3-ol, 17-(cyclopropylmethyl)-4,5-epoxy-18,19-dihydro-7-[(1S)-1-hydroxy-1,2,2-trimethylpropyl]-6-methoxy-, (5alpha,7alpha)-', '6,14-Ethenomorphinan-7-methanol, 17-(cyclopropylmethyl)-alpha-(1,1-dimethylethyl)-4,5-epoxy-18,19-dihydro-3-hydroxy-6-methoxy-alpha-methyl-,', '6,14-Ethenomorphinan-7-methanol, 17-(cyclopropylmethyl)-alpha-(1,1-dimethylethyl)-4,5-epoxy-18,19-dihydro-3-hydroxy-6-methoxy-alpha-methyl-, (alphaS,5alpha,7alpha)- (9CI)']</t>
  </si>
  <si>
    <t>Compound(644073)</t>
  </si>
  <si>
    <t>C29H41NO4</t>
  </si>
  <si>
    <t>2-(tert-butylamino)-1-(3-chlorophenyl)propan-1-one</t>
  </si>
  <si>
    <t>['bupropion', 'Amfebutamone', '34911-55-2', '2-(tert-butylamino)-1-(3-chlorophenyl)propan-1-one', 'Amfebutamon', 'Wellbutrin', '(+-)-Bupropion', 'amfebutamonum', 'Amfebutamona', '34841-39-9', 'Bupropion [INN:BAN]', 'Elontril', 'Wellbatrin', 'Amfebutamonum [INN-Latin]', 'Zyban', 'Amfebutamona [INN-Spanish]', 'Bupropion SR', 'Bupropion hydrocloride', 'AMFEBUTAMONE HCl', 'alpha-(tert-butylamino)-m-chloropropiophenone', 'CHEMBL894', '(+-)-1-(3-chlorophenyl)-2-((1,1-dimethylethyl)amino)-1-propanone', 'BRN 2101062', 'CHEBI:3219', '1-(3-chlorophenyl)-2-[(1,1-dimethylethyl)amino]propan-1-one', 'UNII-01ZG3TPX31', '1-Propanone, 1-(3-chlorophenyl)-2-((1,1-dimethylethyl)amino)-, (+-)-', 'HSDB 6988', 'Bupropion (INN)', 'Bupropion (USAN)', 'BW-323', 'NSC315851', '01ZG3TPX31', 'Zyban (Salt/Mix)', 'Budeprion (Salt/Mix)', 'Spectrum_001663', 'Wellbutrin (Salt/Mix)', 'bupropion (amfebutamone)', 'SpecPlus_000954', '(.+/-.)-Bupropion', "2-(Tert-Butylamino)-3'-chloropropiophenone", 'Prestwick0_000249', 'Prestwick1_000249', 'Prestwick2_000249', 'Prestwick3_000249', 'Spectrum2_001659', 'Spectrum3_000644', 'Spectrum4_000614', 'Spectrum5_001406', "( -)-2-(tert-Butylamino)-3'-chlorpropiophenon", "(+-)-2-(tert-Butylamino)-3'-chlorpropiophenon", 'Lopac0_000166', 'SCHEMBL38777', 'BSPBio_000038', 'BSPBio_002247', 'KBioGR_001168', 'KBioSS_002143', "( -)-2-(tert-Butylamino)-3'-chloropropiophenone", "(+-)-2-(tert-Butylamino)-3'-chloropropiophenone", 'MLS001424015', 'DivK1c_007050', 'SPBio_001817', 'SPBio_002257', 'BPBio1_000042', 'GTPL7135', 'DTXSID7022706', 'KBio1_001994', 'KBio2_002143', 'KBio2_004711', 'KBio2_007279', 'KBio3_001467', 'HMS2051G10', 'HMS2089G14', 'HMS2232P04', 'HMS3369P11', 'HMS3393G10', '1-Propanone, 1-(3-chlorophenyl)-2-((1,1-dimethylethyl)amino)-', 'BCP24193', '8068AH', 'AC-197', 'BBL029065', 'BDBM50048392', 'STL373006', 'AKOS015961770', 'API0008795', 'CCG-100858', 'CCG-204261', 'DB01156', 'NC00108', 'SDCCGSBI-0050154.P004', 'ACM34841399', 'ACM34911552', 'MRF-0000143', 'NCGC00015122-03', 'NCGC00015122-04', 'NCGC00015122-06', 'NCGC00015122-07', 'NCGC00015122-09', 'NCGC00015122-14', 'NCGC00089751-02', 'AK-34646', 'AM807634', 'NCI60_002714', 'SMR000472526', 'SBI-0050154.P003', 'AX8020179', 'DB-048697', 'LS-122817', 'AB00053756', '.alpha.-(tert-Butylamino)-m-chloropropiophenone', "3'-Chloro-alpha-(tert-butylamino)propiophenone", 'C-6222', 'C06860', 'D07591', "Propiophenone, 2-(tert-butylamino)-3'-chloro-", 'AB00053756-16', 'AB00053756-18', 'AB00053756-19', 'AB00053756_20', 'AB00053756_21', '2-tert-Butylamino-1-(3-chlorophenyl)propan-1-one', 'L000725', 'Q834280', "(.+/-.)-2-(tert-Butylamino)-3'-chloropropiophenone", 'BRD-A05186015-003-05-7', 'BRD-A05186015-003-09-9', '2-(tert-Butylamino)-1-(3-chlorophenyl)-1-propanone #', '(+/-)-2-(tert-butylamino)-3-chloropropiophenone hydrochloride', '1-(3-Chlorophenyl)-2-((1,1-dimethylethyl)amino)-1-propanone', "(+/-)-2-(tert-butylamino)-3'-chloropropiophenone hydrochloride", '1-(3-Chlorophenyl)-2-[(2-methyl-2-propanyl)amino]-1-propanone', '1-Propanone, 1-(3-chlorophenyl)-2-[(1, 1-dimethylethyl)amino]-', '1-Propanone, 1-(3-chlorophenyl)-2-((1,1-dimethylethyl)amino)-, (.+/-.)-', "(+/-)-2-(tert-butylamino)-3'-chloropropiophenone hydrochloride;2-(tert-butylamino)-3'-chloropropiophenone hydrochloride;Bupropion;BUPROPION"]</t>
  </si>
  <si>
    <t>Compound(444)</t>
  </si>
  <si>
    <t>bupirimate</t>
  </si>
  <si>
    <t>[5-butyl-2-(ethylamino)-6-methylpyrimidin-4-yl] N,N-dimethylsulfamate</t>
  </si>
  <si>
    <t>['Bupirimate', '41483-43-6', 'Nimrod', 'Nimrod T', 'Bupirimate [ANSI:BSI:ISO]', 'UNII-MCJ121RIOI', 'PP588', 'EINECS 255-391-2', 'Nanogen Index Code BPT (1-011)', 'BRN 0758056', 'MCJ121RIOI', 'Sulfamic acid, dimethyl-, 5-butyl-2-(ethylamino)-6-methyl-4-pyrimidinyl ester', '2-Aethylamino-5-butyl-4-yl-dimethylsulfamat', '5-Butyl-2-ethylamino-6-methylpyrimidin-4-yl dimethylsulfamate', '5-Butyl-2-ethylamino-6-methylpyrimidin-4-yl dimethylsulphamate', '5-Butyl-2-ethylamino-6-methylpyrimidin-4-yldimethylsulphamate', 'CHEBI:81952', '5-Butyl-2-(ethylamino)-6-methyl-4-pyrimidinyl dimethylsulfamate', 'Dimethylsulfamic acid 5-butyl-2-(ethylamino)-6-methyl-4-pyrimidinyl ester', '2-Aethylamino-5-butyl-4-yl-dimethylsulfamat [German]', '[5-butyl-2-(ethylamino)-6-methylpyrimidin-4-yl] N,N-dimethylsulfamate', '58694-46-5', '5-butyl-2-(ethylamino)-6-methylpyrimidin-4-yl dimethylsulfamate', 'Sulfamic acid, N,N-dimethyl-, ester with 5-butyl-2-ethylamino-6-methylpyrimidin-4-ol', 'Buprimate', 'DSSTox_CID_21688', 'DSSTox_RID_79819', 'DSSTox_GSID_41688', 'SCHEMBL22961', 'CHEMBL3183902', 'DTXSID6041688', 'ZINC2006737', 'Tox21_301427', 'AKOS030242088', 'ACM41483436', 'Bupirimate 10 microg/mL in Cyclohexane', 'NCGC00255539-01', 'Bupirimate 100 microg/mL in Acetonitrile', 'M129', 'CAS-41483-43-6', 'LS-147676', 'NS00008560', 'Bupirimate, PESTANAL(R), analytical standard', 'C18776', 'Q2928285', '5-Butyl-2-(ethylamino)-6-methyl-4-pyrimidinyl dimethylsulfamate #', 'bupirimate;5-butyl-2-ethylamino-6-methylpyrimidin-4-yldimethylsulphamate']</t>
  </si>
  <si>
    <t>Compound(38884)</t>
  </si>
  <si>
    <t>C13H24N4O3S</t>
  </si>
  <si>
    <t>butachlor</t>
  </si>
  <si>
    <t>N-(butoxymethyl)-2-chloro-N-(2,6-diethylphenyl)acetamide</t>
  </si>
  <si>
    <t>['BUTACHLOR', '23184-66-9', 'Machette', 'N-(Butoxymethyl)-2-chloro-N-(2,6-diethylphenyl)acetamide', 'Bilchlor', 'Machete', 'Butaclor', 'Hiltachlor', 'Delchlor 5G', 'Rasayanchlor', 'Delchlor', 'Butanex', 'Machete (herbicide)', 'Amichlor', 'Pillarsete', 'Weedout', "2-Chloro-2',6'-diethyl-N-(butoxymethyl)acetanilide", "N-(Butoxymethyl)-2-chloro-2',6'-diethylacetanilide", 'Mach-Mach', 'CP 53619', 'Acetamide, N-(butoxymethyl)-2-chloro-N-(2,6-diethylphenyl)-', 'Caswell No. 119B', 'NSC 221683', "2',6'-Diethyl-N-butoxymethyl-2-chloroacetanilide", 'UNII-94NU90OO5K', 'Butachlor [ANSI:BSI:ISO]', 'CCRIS 9107', 'HSDB 6865', 'EINECS 245-477-8', 'EPA Pesticide Chemical Code 112301', 'SHA 112301', 'BRN 2873811', "2',6'-Diethyl-N-butoxymethyl-alpha-chloroacetanilide", "N-Butoxymethyl-alpha-chloro-2',6'-diethylacetanilide", "Acetanilide, N-(butoxymethyl)-2-chloro-2',6'-diethyl-", '94NU90OO5K', 'CHEBI:3230', "Acetanilide, 2-chloro-2',6'-diethyl-N-(butoxymethyl)-", 'W-110560', 'Butachlor (Machete)', 'Butachlor-OXA', "Acetanilide,6'-diethyl-", 'DSSTox_CID_14402', 'DSSTox_RID_79154', 'DSSTox_GSID_34402', 'SCHEMBL65784', 'Butachlor, analytical standard', 'CHEMBL1399036', 'DTXSID3034402', 'HKPHPIREJKHECO-UHFFFAOYSA-', 'HY-B2042', 'ZINC1532059', 'Tox21_300940', 'NSC221683', 'AKOS015960716', 'Butachlor 10 microg/mL in Cyclohexane', 'NSC-221683', 'ACM23184669', 'NCGC00163749-01', 'NCGC00163749-02', 'NCGC00163749-03', 'NCGC00163749-04', 'NCGC00254842-01', 'CC-30107', 'LS-10549', 'P600', 'AX8019537', 'CAS-23184-66-9', 'DB-046099', 'CS-0014137', 'FT-0630494', 'NS00003366', 'Butachlor, PESTANAL(R), analytical standard', 'C10931', '184B669', 'C-19295', 'Q411950', 'N-n-butoxymethyl-N-(2,6-diethylphenyl)chloroacetamide', "N-(butoxymethyl)-2-chloro-2,6-diethylacetanilide;N-(butoxymethyl)-2-chloro-2',6'-diethylacetanilide;butachlor"]</t>
  </si>
  <si>
    <t>Compound(31677)</t>
  </si>
  <si>
    <t>C17H26ClNO2</t>
  </si>
  <si>
    <t>(3-methylsulfanylbutan-2-ylideneamino) N-methylcarbamate</t>
  </si>
  <si>
    <t>['BUTOCARBOXIM', '34681-10-2', 'Drawin 755', '(3-methylsulfanylbutan-2-ylideneamino) N-methylcarbamate', '2-Methylthio-O-(N-methylcarbamoyl)-butanonoxim-3', 'Butocarboxim [German]', 'Butocarboxim [BSI:ISO]', 'CO 755', 'Butocarboxime [ISO-French]', '3-(Methylthio)butanone O-methylcarbamoyloxime', 'HSDB 6580', 'EINECS 252-139-3', 'BRN 2087348', '3-(Methylthio)-O-((methylamino)carbonyl)oxime-2-butanone', '2-Butanone, 3-(methylthio)-, O-(N-methylcarbamoyl)oxime', '2-Methylthio-O-(N-methylcarbamoyl)-butanonoxim-3 [German]', '2-(([(Methylamino)carbonyl]oxy)imino)-3-(methylsulfanyl)butane', 'DTXSID5058062', 'CTK8F8371', 'Butocarboxim 10 microg/mL in Acetonitrile', 'FT-0664005', '2-Butanone, 3-(methylthio)-o-(n-methylcarbamoyl)oxime', '6,7-Dimethyl-4-oxa-8-thia-2,5-diazanon-5-en-3-one']</t>
  </si>
  <si>
    <t>Compound(36879)</t>
  </si>
  <si>
    <t>butocarboxime sulfoxide</t>
  </si>
  <si>
    <t>[(E)-3-methylsulfinylbutan-2-ylideneamino] N-methylcarbamate</t>
  </si>
  <si>
    <t>['Butocarboxim sulfoxide', 'butocarboxim-sulfoxide', '34681-24-8', 'Butocarboximsulfoxide', '[(E)-3-methylsulfinylbutan-2-ylideneamino] N-methylcarbamate', '3-(Methylsulphinyl)butan-2-one O-((methylamino)carbonyl)oxime', '3-(methylsulphinyl)butan-2-one O-[(methylamino)carbonyl]oxime', '2-Butanone, 3-(methylsulfinyl)-, O-[(methylamino)carbonyl]oxime', '2-Butanone, 3-(methylsulfinyl)-, O-((methylamino)carbonyl)oxime', 'EINECS 252-141-4', '3-(Methylsulfinyl)-2-butanone O-((methylamino)carbonyl)oxime', 'NS00008020', 'A822985', 'Butocarboxim Sulfoxide 100 microg/mL in Methanol', 'C-56442', 'J-019709', 'Butocarboximsulfoxide, PESTANAL(R), analytical standard', 'N-methylcarbamic acid [(E)-3-methylsulfinylbutan-2-ylideneamino] ester']</t>
  </si>
  <si>
    <t>Compound(9576739)</t>
  </si>
  <si>
    <t>butocarboxim sulfone</t>
  </si>
  <si>
    <t>[(E)-3-methylsulfonylbutan-2-ylideneamino] N-methylcarbamate</t>
  </si>
  <si>
    <t>['Butoxycarboxim', 'Butoxycarboxime', '3-Mesylbutanone O-methylcarbamoyloxime', '34681-23-7', '3-(Methylsulfonyl)-2-butanone O-(methylcarbamoyl)oxime', 'Caswell No. 120A', '3-(Methylsulfonyl)-2-butanone O-((methylamino)carbonyl)oxime', 'Butoxicarboxim [German]', 'Butoxycarboxim [BSI:ISO]', 'Butoxycarboxime [ISO-French]', 'N-(methylcarbamoyloxy)-3-(methanesulfonyl)butan-2-imine', 'HSDB 7138', 'EINECS 252-140-9', 'Plant pin', 'CO 859', 'EPA Pesticide Chemical Code 113001', 'BRN 2115506', '3-Methylsulfonylbutanone O-methylcarbamoyloxime', '3-Methylsulphonylbutanone O-methylcarbamoyloxime', 'butoxycarboxim;butoxycarboxime', '3-(Sulfonyl)-O-((methylamino)carbonyl)oxime-2-butanone', '2-Methylsulfonyl-O-(N-methyl-carbamoyl)-butanon-(3)-oxim [German]', '2-Butanone, 3-methylsulfonyl-, O-(N-methylcarbamoyl)oxime', 'DSSTox_CID_21698', 'DSSTox_RID_79824', 'DSSTox_GSID_41698', 'SCHEMBL64343', 'CHEMBL3183651', 'DTXSID0041698', 'CHEBI:38470', 'Tox21_302272', 'AKOS015898791', 'NCGC00255444-01', 'LS-46840', 'CAS-34681-23-7', 'NS00007418', 'C18646', 'Butoxycarboxim, PESTANAL(R), analytical standard', 'J-019708', '(5E)-6,7-Dimethyl-4-oxa-8-thia-2,5-diazanon-5-en-3-one 8,8-dioxide', '(5E)-6,7-Dimethyl-8,8-dioxo-4-oxa-8lambda~6~-thia-2,5-diazanon-5-en-3-one']</t>
  </si>
  <si>
    <t>Compound(9571009)</t>
  </si>
  <si>
    <t>N-butan-2-yl-4-tert-butyl-2,6-dinitroaniline</t>
  </si>
  <si>
    <t>['BUTRALIN', '33629-47-9', 'Dibutalin', 'Butraline', 'Rutralin', 'Tamex', 'N-sec-Butyl-4-tert-butyl-2,6-dinitroaniline', 'AMEX', 'Zitsaosol', 'Amchem A-280', 'Amchem 70-25', 'Caswell No. 125E', 'AMEX 820', 'Technical AMEX-820', 'Butraline [ISO-French]', 'Butralin [ANSI:BSI:ISO]', '4-(tert-Butyl)-N-sec-butyl-2,6-dinitroaniline', 'HSDB 7355', 'Butralin;Dibutaline;Amexine;Tamex', 'Benzenamine, 4-(1,1-dimethylethyl)-N-(1-methylpropyl)-2,6-dinitro-', 'A 820', 'EINECS 251-607-4', '72-A34', 'N-butan-2-yl-4-tert-butyl-2,6-dinitroaniline', '70-314B', 'Aniline, N-sec-butyl-4-tert-butyl-2,6-dinitro-', 'EPA Pesticide Chemical Code 106501', '4-(1,1-Dimethylethyl)-N-(1-methylpropyl)-2,6-dinitrobenzenamine', 'N-(Sec-butyl)-4-(tert-butyl)-2,6-dinitroaniline', 'BRN 2947948', 'AI3-62691', 'CHEBI:81847', 'N-sec-Butyl-4-tert-butyl-2,6-dinitrobenzamine', 'Butalin', '4-(1,1-Dimethylethyl)-N-(1-methylpropyl)-2,6-dinitrobenzeneamine', 'Sector', 'Butralin (Sutralin)', 'DSSTox_CID_12337', 'DSSTox_RID_78916', 'DSSTox_GSID_32337', 'SCHEMBL55786', 'Aniline, N-sec-butyl-4-tert-butyl-2,6-dinitro- (8CI)', 'CHEMBL1256669', 'DTXSID3032337', 'Tox21_301120', 'AKOS015888337', 'Benzenamine, 4-(1,1-dimethylethyl)-N-(1-methylpropyl)-2,6-dinitro- (9CI)', 'VA10452', 'ACM33629479', 'Butralin 100 microg/mL in Acetonitrile', 'NCGC00168294-01', 'NCGC00168294-02', 'NCGC00255019-01', 'CC-25286', 'LS-19634', 'N-sec-butyl-2,6-dinitro-4-t-butylaniline', 'AX8015613', 'CAS-33629-47-9', 'DB-048465', 'Butralin, PESTANAL(R), analytical standard', 'FT-0630572', 'NS00000101', '4-tert-butyl-2,6-dinitro-N-sec-butyl-aniline', '4-tert-butyl-N-sec-butyl-2,6 -dinitroaniline', 'C18582', 'N-butan-2-yl-4-tert-butyl-2,6-dinitro-aniline', 'A821882', 'C-18509', 'J-019280', 'Q2570341', 'butralin;4-(tert-butyl)-N-sec-butyl-2,6-dinitroaniline']</t>
  </si>
  <si>
    <t>Compound(36565)</t>
  </si>
  <si>
    <t>C14H21N3O4</t>
  </si>
  <si>
    <t>1-but-3-yn-2-yl-3-(4-chlorophenyl)-1-methylurea</t>
  </si>
  <si>
    <t>['BUTURON', 'Butyron', '3766-60-7', 'Arisan', 'Eptapur', 'Buturon [BSI:ISO]', 'Caswell No. 207E', 'HS 95', 'H 95', 'EINECS 223-187-2', "N'-(4-Chlorophenyl)-N-isobutinyl-N-methylurea", 'EPA Pesticide Chemical Code 207600', 'BRN 2941811', '1-(4-Chlorophenyl)-3-methyl-3-(1-methyl-2-propynyl)urea', '3-(4-Chlorophenyl)-1-methyl-1-(1-methylprop-2-ynyl)urea', '3-(p-Chlorophenyl)-1-methyl-1-(1-methyl-2-propynyl)urea', 'CHEBI:82199', "N'-(4-Chlorophenyl)-N-methyl-N-(1-methyl-2-propynyl)-urea", 'Urea, 3-(p-chlorophenyl)-1-methyl-1-(1-methyl-2-propynyl)-', "Urea, N'-(4-chlorophenyl)-N-methyl-N-(1-methyl-2-propynyl)-", 'H 95-1', '3-(4-Chlorphenyl)-1-methyl-1-isobutinylharnstoff', "N-(4-Chlorphenyl)-N'-methyl-N'-isobutinylharnstoff", '3-(4-Chlorphenyl)-1-methyl-1-isobutinylharnstoff [German]', "N-(4-Chlorphenyl)-N'-methyl-N'-isobutinylharnstoff [German]", '1-but-3-yn-2-yl-3-(4-chlorophenyl)-1-methylurea', "N'-(4-Chlorophenyl)-N-methyl-N-(1-methyl-2-propynyl)urea", 'DSSTox_CID_21699', 'DSSTox_RID_79825', 'DSSTox_GSID_41699', 'SCHEMBL132561', 'CHEMBL3185882', 'DTXSID5041699', 'CTK8E7243', 'Buturon 100 microg/mL in Methanol', 'Tox21_301176', 'AKOS015888350', 'NCGC00248317-01', 'NCGC00255074-01', 'Eptapur; H 95; H 951; HS 95', 'CAS-3766-60-7', 'Buturon, PESTANAL(R), analytical standard', 'LS-159576', 'H 951', 'NS00006372', 'C19074', "N-But-3-yn-2-yl-N'-(4-chlorophenyl)-N-methylurea", '3-(but-3-yn-2-yl)-1-(4-chlorophenyl)-3-methylurea', 'Q15632833', "Urea, N'-(4-chlorophenyl)-N-methyl-N-(1-methyl-2-propyn-1-yl)-"]</t>
  </si>
  <si>
    <t>Compound(19587)</t>
  </si>
  <si>
    <t>C12H13ClN2O</t>
  </si>
  <si>
    <t>cis-10-heptadecenoic acid</t>
  </si>
  <si>
    <t>(Z)-heptadec-10-enoic acid</t>
  </si>
  <si>
    <t>['cis-10-Heptadecenoic acid', '29743-97-3', '(Z)-heptadec-10-enoic acid', '10Z-heptadecenoic acid', '(10Z)-10-Heptadecenoic acid', 'UNII-H8A6DO053E', 'H8A6DO053E', '10-Heptadecenoic acid (17:1(n-7))', '10-Heptadecenoic acid, (10Z)-', 'C17:1n-7', '(10Z)-heptadecenoic acid', 'cis-tetradec-10-enoic acid', '(Z)-10-Heptadecenoic acid', 'C17:1 n-7 cis', '17:1 n-7 cis', 'SCHEMBL455688', '(10Z)heptadec-10-enoic acid', '(10Z)-heptadec-10-enoic acid', 'CHEBI:75094', '10-heptadecenoate (17:1(n-7))', 'LMFA01030283', 'MFCD00133175', 'ZINC95626152', 'cis-10-Heptadecenoic acid, &gt;=99%', 'AKOS015839834', 'ST51037302', 'J-017620', 'Q27145121']</t>
  </si>
  <si>
    <t>Compound(5312435)</t>
  </si>
  <si>
    <t>C17H32O2</t>
  </si>
  <si>
    <t>cis- 11,14, 17-eicosatrienoic acid</t>
  </si>
  <si>
    <t>(11Z,14Z,17Z)-icosa-11,14,17-trienoic acid</t>
  </si>
  <si>
    <t>['Eicosatrienoic acid', '17046-59-2', 'Dihomolinolenic acid', '(Z,Z,Z)-11,14,17-Eicosatrienoic acid', '11,14,17-Icosatrienoic acid', '11,14,17-Eicosatrienoic acid', 'all-cis-icosa-11,14,17-trienoic acid', 'Icosatrienoic acid', 'Bishomo-alpha-linolenic acid', '(11Z,14Z,17Z)-Icosa-11,14,17-trienoic acid', '11Z,14Z,17Z-Eicosatrienoic acid', 'eicosa-11Z,14Z,17Z-trienoic acid', '(11Z,14Z,17Z)-Eicosa-11,14,17-trienoic acid', 'CHEMBL453991', 'cis,cis,cis-11,14,17-Eicosatrienoic acid', '11,14,17-Eicosatrienoic acid, (Z,Z,Z)-', 'CHEBI:53460', '11c,14c,17c-Eicosatriensaeure', '11c,14c,17c-eicosatrienoic acid', 'all-cis-11,14,17-eicosatrienoic acid', 'all-cis-Eicosa-11,14,17-triensaeure', 'all-cis-eicosa-11,14,17-trienoic acid', 'EICOSATRIENOIC ACID (20:3 n-3)', 'Dihomo-alpha-linolenic acid (20:3(n-3))', '2091-27-2', '11,14,17-eicosatrienoic acid, (11Z,14Z,17Z)-', 'Cis-11,14,17-Eicosatrienoicacid', 'C20:3n-3,6,9', '11,14,17-Eicosatrienoicacid, (11Z,14Z,17Z)-', 'Homo-alpha-linolenic acid', 'SCHEMBL25423', 'BSPBio_001330', 'BML3-B10', 'BCBcMAP01_000183', 'DTXSID60920492', 'HMS1361C12', 'HMS1791C12', 'HMS1989C12', 'HMS3402C12', 'HMS3649F19', '20:3, n-3,6,9 all-cis', 'ZINC4544257', 'C20:3, n-3,6,9 all-cis', '1747AH', 'BDBM50269535', 'LMFA01030378', 'ETrE(11Z, 14Z, 17Z)', 'Eicosatrienoic Acid (11Z,14Z,17Z)', 'dihomo-alpha-linolenate (20:3(n-3))', 'IDI1_033800', 'NCGC00161349-01', 'NCGC00161349-02', 'NCGC00161349-03', '(all-cis)-11,14,17-Eicosatrienoic acid', '11-cis,14-cis,17-cis-Eicosatrienoic acid', '(all-cis)-Delta11,14,17-Eicosatrienoic acid', 'C16522', '(11z,14z,17z)-11,14,17-icosatrienoic acid', 'SR-01000946655', 'J-010626', 'SR-01000946655-1', '11,14,17-Eicosatrienoic acid, (Z,Z,Z)- (8CI)', 'BRD-K63913457-001-02-7', 'Q27124062', '11,14,17-Eicosatrienoic acid, (11Z,14Z,17Z)- (9CI)']</t>
  </si>
  <si>
    <t>Compound(5312529)</t>
  </si>
  <si>
    <t>C20H34O2</t>
  </si>
  <si>
    <t>cis-11,14-eicosadienoic acid</t>
  </si>
  <si>
    <t>(11Z,14Z)-icosa-11,14-dienoic acid</t>
  </si>
  <si>
    <t>['cis-11,14-Eicosadienoic acid', 'Eicosadienoic acid', '(11Z,14Z)-icosadienoic acid', '11,14-Icosadienoic acid', '11Z,14Z-eicosadienoic acid', 'cis-11,14-eicosadienoicacid', '(11Z,14Z)-Icosa-11,14-dienoic acid', 'CHEMBL464983', '5598-38-9', 'CHEBI:73731', 'Dihomolinoleic acid (20:2(n-6))', 'EICOSADIENOIC ACID (20:2 n-6)', '(11Z,14Z)-Eicosa-11,14-dienoic acid', '2091-39-6', '11, 14-icosadienoic acid', 'Homo-gamma-linoleic acid', 'Icosadienoic acid', 'FA 20:2', '11,14-Eicosadienoic acid, (Z,Z)-', '11,14-Eicosadienoate', '11, 14-icosadienoate', 'BSPBio_001326', '11C,14C-Eicosadienoic acid', 'Eicosadienoic Acid (20:2)', 'HOMO-GAMMA-LINOLEICACID', 'SCHEMBL416181', 'BML3-B08', '(11Z,14Z)-eicosadienoic acid', 'dihomolinoleate (20:2(n-6))', 'DTXSID20912353', 'HMS1361C08', 'HMS1791C08', 'HMS1989C08', 'HMS3402C08', 'HMS3649J19', 'cis,cis-11,14-eicosadienoic acid', 'ZINC8860490', '1147AH', 'BDBM50269533', 'Eicosadienoic acid (cis-20:2n-6)', 'LMFA01031043', 'IDI1_033796', 'NCGC00161348-01', 'NCGC00161348-02', 'NCGC00161348-03', 'CC-03734', 'C16525', 'cis-11,14-Eicosadienoic acid, &gt;=98%, liquid', 'SR-01000946668', 'SR-01000946668-1', 'BRD-K80325895-001-02-3', 'Q25402866']</t>
  </si>
  <si>
    <t>Compound(6439848)</t>
  </si>
  <si>
    <t>C20H36O2</t>
  </si>
  <si>
    <t>cis-11-hexadecenoic acid</t>
  </si>
  <si>
    <t>(Z)-hexadec-11-enoic acid</t>
  </si>
  <si>
    <t>['(Z)-hexadec-11-enoic acid', '(Z)-11-hexadecenoic acid', 'Hexadecenoic acid, Z-11-', '11Z-hexadecenoic acid', 'cis-Palmitvaccenic acid', '11-Hexadecenoic acid', '(11Z)-hexadec-11-enoic acid', 'C16:1n-5', 'Z-11-Hexadecenoic acid', '(Z11)-Hexadecenoic acid', 'SCHEMBL2286936', 'CHEBI:35464', '11(Z)-HEXADECENOIC ACID', 'DTXSID00880900', '(11Z)-11-Hexadecenoic acid #', '2271-34-3', 'LMFA01030262', 'ZINC13546050', '2416-20-8', 'Q27116490']</t>
  </si>
  <si>
    <t>Compound(5312414)</t>
  </si>
  <si>
    <t>cis-11-eicosoic acid</t>
  </si>
  <si>
    <t>(Z)-icos-11-enoic acid</t>
  </si>
  <si>
    <t>['gondoic acid', 'cis-11-eicosenoic acid', 'cis-gondoic acid', '(Z)-icos-11-enoic acid', '5561-99-9', '11-Eicosenoic acid', '11Z-eicosenoic acid', '11-Icosenoic acid', 'Eicosenoic acid', '(11Z)-icos-11-enoic acid', 'cis-11-icosenoic acid', '(11Z)-Icosenoic acid', '(11Z)-Eicosenoic acid', 'UNII-UDX6WPL94T', '(Z)-Icosa-11-enoic acid', '11-cis-eicosenoic acid', 'UDX6WPL94T', '(Z)-eicos-11-enoic acid', 'eicosenoate', 'Icosenoic acid', 'cis-Gondoate', 'C20:1n-9', '11-Eicosenoate', '11Z-Eicosenoate', '11-cis-eicosenoate', 'cis-11-Icosenoate', 'cis-11-Eicosenoate', '11(Z)-eicosenoate', '11(Z)-eicosenoic acid', 'Unsaturated arachidic acid', '(Z)-11-Eicosenic acid', '(Z)-11-Icosenoic acid', 'cis-Delta11-eicosenoic acid', 'Z-Delta(11)-Eicosensaeure', '(11Z)-11-Eicosenoic acid', 'SCHEMBL148672', 'cis-Delta(11)-eicosenoic acid', 'CHEBI:32425', 'DTXSID30970949', 'ZINC6920439', 'LMFA01030085', 'MFCD00010506', 'DB14073', 'FA 20:1', '20:1n9', 'AS-57724', 'SC-18486', 'cis-11-Eicosenoic acid, analytical standard', '20:1(n-9)', 'C16526', 'cis-11-Eicosenoic acid, &gt;=99% (capillary GC)', '561E999', 'Q416618', 'UNII-8AH862AO6J component BITHHVVYSMSWAG-KTKRTIGZSA-N', 'UNII-UDR641JW8W component BITHHVVYSMSWAG-KTKRTIGZSA-N']</t>
  </si>
  <si>
    <t>Compound(5282768)</t>
  </si>
  <si>
    <t>C20H38O2</t>
  </si>
  <si>
    <t>cis-1,2-dichloroethylene</t>
  </si>
  <si>
    <t>(Z)-1,2-dichloroethene</t>
  </si>
  <si>
    <t>['CIS-1,2-DICHLOROETHYLENE', '(Z)-1,2-Dichloroethene', 'cis-1,2-Dichloroethene', '(Z)-1,2-Dichloroethylene', 'cis-Dichloroethylene', '156-59-2', 'Acetalyne dichloride', 'Acetylene dichloride, cis-', 'Ethene, 1,2-dichloro-, (Z)-', 'cis-Acetylene dichloride', 'UNII-FYO9G15JYD', 'Ethylene, 1,2-dichloro-, (Z)-', 'HCC 1130c', 'CCRIS 4605', 'cis-1,2-dce', 'HSDB 5656', 'R 1130c', 'NSC 6149', '1,2-Dichloroethene,c&amp;t', 'EINECS 205-859-7', 'FYO9G15JYD', '1,2-Dichloroethylene', 'BRN 1071208', '(1Z)-1,2-dichloroethylene', 'AI3-28863', 'CHEBI:28805', 'Ethene, 1,2-dichloro-, (1Z)-', 'Dioform', 'sym-Dichloroethylene', '1,2-Dichloroethene #', 'cis-1,2-Dichloroethylene, 97%, stabilized', '1,2-Dichloroethylene,c&amp;t', 'Ethylene, 1,2-dichloro-', 'NCI-C56031', '1,2-Dichloroethene (mixed isomers)', '1,2-Dichloroethylene (cis &amp; trans)', 'Dichloroethylene-cis', 'cis-Dichloromethylene', 'z-1,2-dichloroethene', 'Dichloroethylene, cis-', 'z-1,2-dichloroethylene', '1,2-cis-Dichloroethene', '1,cis-2-Dichloroethene', '1,2-cis-Dichloroethylene', 'DSSTox_CID_4030', 'cis-Di-1,2-Chloroethylene', 'Dichlorethen, cis, 1,2-', 'DSSTox_RID_77261', 'DSSTox_GSID_24030', 'WLN: G1U1G-Z', '1,2-Dichloroethylene (cis)', '4-01-00-00707 (Beilstein Handbook Reference)', 'Ethene,2-dichloro-, (Z)-', 'Ethylene,2-dichloro-, (Z)-', 'CHEMBL1441128', 'DTXSID2024030', 'NSC6149', 'cis-1,2-Dichloroethylene, 97%', 'NSC-6149', 'ZINC8220708', 'Tox21_200003', 'LS-895', 'STL453685', 'NCGC00091702-01', 'NCGC00091702-02', 'NCGC00257557-01', 'CAS-156-59-2', 'Ethene, 1,2-dichloro-, (Z)- (9CI)', 'cis-1,2-Dichloroethene, analytical standard', 'D0367', 'C06792', 'cis-1,2-Dichloroethene 100 microg/mL in Methanol', 'cis-1,2-Dichloroethene 2000 microg/mL in Methanol', 'cis-1,2-Dichloroethene 5000 microg/mL in Methanol', 'J-009319', 'Q24716849', 'UNII-XU9RUA6YUT component KFUSEUYYWQURPO-UPHRSURJSA-N']</t>
  </si>
  <si>
    <t>Compound(643833)</t>
  </si>
  <si>
    <t>cis-1,2-dichloropropene</t>
  </si>
  <si>
    <t>(Z)-1,2-dichloroprop-1-ene</t>
  </si>
  <si>
    <t>['Dichlor', 'UNII-VB85I61U02', 'Dichlorpropen-gemisch [German]', 'HSDB 6175', '1,2-DICHLOROPROPENE', '1-Propene, 1,2-dichloro-, (Z)-', 'BRN 1719545', '(1Z)-1,2-dichloropropene', '1,2-Dichloropropylene', 'Propene, 1,2-dichloro-', 'VB85I61U02', '1-Propene, 1,2-dichloro-', 'Dichlorpropen-gemisch', '6923-20-2', '1,2-Dichloropropene, (1Z)-', 'Allylene dichloride', 'cis-1,2,dichloropropene', '(Z)-1,2-Dichloropropene', 'SCHEMBL258346', 'CHEMBL346519', 'cis-1,2-dichloro-prop-1-ene', 'ZINC2034734', 'FCH1199230', 'FCH3751596', 'LS-123463', 'C-51325', 'Q27291748', 'UNII-ET5LKV1J95 component PPKPKFIWDXDAGC-IHWYPQMZSA-N', 'UNII-314002Q8Y6 component PPKPKFIWDXDAGC-IHWYPQMZSA-N']</t>
  </si>
  <si>
    <t>Compound(5463459)</t>
  </si>
  <si>
    <t>cis-13,16-docosadienoic acid</t>
  </si>
  <si>
    <t>(13E,16E)-docosa-13,16-dienoic acid</t>
  </si>
  <si>
    <t>['13,16-Docosadienoic acid', 'Docosadienoate (22:2n6)', '7370-49-2', '13-cis,16-cis-Docosadienoic acid', 'cis-13,16-Docosadienoic acid', '13,16-DA', 'SCHEMBL466012', 'CHEBI:145970', 'DTXSID001009342', 'LMFA01030132']</t>
  </si>
  <si>
    <t>Compound(5282807)</t>
  </si>
  <si>
    <t>C22H40O2</t>
  </si>
  <si>
    <t>cis-1,3-dichloropropene</t>
  </si>
  <si>
    <t>(Z)-1,3-dichloroprop-1-ene</t>
  </si>
  <si>
    <t>['cis-1,3-DICHLOROPROPENE', '(Z)-1,3-Dichloropropene', 'cis-1,3-Dichloro-1-propene', '10061-01-5', '(Z)-1,3-Dichloro-1-propene', 'cis-1,3-Dichloropropylene', '1-Propene, 1,3-dichloro-, (Z)-', 'cis-DCP', '(Z)-Dichloropropene', '(1Z)-1,3-dichloroprop-1-ene', 'Propene, 1,3-dichloro-, (Z)-', '1,3-Dichloropropene, cis-', 'UNII-411B9UAH6H', '(1Z)-1,3-Dichloropropene', 'CCRIS 227', 'HSDB 1503', '(1Z)-1,3-Dichloro-1-propene', 'EINECS 233-195-8', 'BRN 1719557', '411B9UAH6H', 'W-108952', '(Z)-1,3-dichloroprop-1-ene', '1,3-Dichloro-1-propene', '.gamma.-Chloroallyl chloride', '.alpha.,.gamma.-Dichloropropylene', 'z-1,3-dichloropropene', 'cis-1,3-dichloro-propene', 'bmse000718', 'EC 233-195-8', 'DSSTox_CID_12305', 'WLN: G2U1G', '.alpha.-Chloroallyl chloride', 'DSSTox_GSID_32305', '4-01-00-00743 (Beilstein Handbook Reference)', 'SCHEMBL115639', '1,3-Dichloro-1-propene (Z)', 'DTXSID1032305', 'CHEBI:18809', 'cis-1,3-Dichloropropene, 97%', 'NSC6202', 'NSC-6202', 'Tox21_303973', '(1Z)-1,3-Dichloro-1-propene #', 'MFCD00062949', 'SBB061393', 'ZINC30726012', '(Z)-1,3-bis(chloranyl)prop-1-ene', 'FCH3448395', '1-Propene, 1,3-dichloro-, (1Z)-', 'NCGC00357276-01', 'CAS-10061-01-5', 'LS-123464', 'cis-1,3-Dichloropropene, analytical standard', 'D2792', 'S0637', 'ST51047411', '1-Propene, 1,3-dichloro-, (Z)- (9CI)', 'C06610', 'A800242', 'Q27109091', 'cis-1,3-Dichloropropene, vial of 1 g, analytical standard', 'UNII-314002Q8Y6 component UOORRWUZONOOLO-UPHRSURJSA-N', 'UNII-9H780918D0 component UOORRWUZONOOLO-UPHRSURJSA-N']</t>
  </si>
  <si>
    <t>Compound(5280970)</t>
  </si>
  <si>
    <t>cis-15-tetracosenoic acid</t>
  </si>
  <si>
    <t>(Z)-tetracos-15-enoic acid</t>
  </si>
  <si>
    <t>['Nervonic acid', '506-37-6', '(Z)-tetracos-15-enoic acid', 'cis-15-tetracosenoic acid', 'selacholeic acid', '15Z-tetracosenoic acid', '15-Tetracosenoic acid, (15Z)-', '(15Z)-Tetracosenoic acid', 'UNII-91OQS788BE', 'nervonate', 'cis-selacholeic acid', '(15Z)-tetracos-15-enoic acid', '(Z)-15-Tetracosenoic acid', '15-Tetracosenoic acid', '91OQS788BE', 'CHEBI:44247', '(Z)-15-tetracosenoate', '(15e)-Tetracos-15-Enoic Acid', '(15Z)-tetracos-15-enoate', 'cis-Delta(15)-tetracosenoate', 'selacholeate', 'Nervonsaeure', 'cis-selacholeate', 'C24:1n-9', '15-Tetracosenoate', '15Z-tetracosenoate', 'cis-15-Teracosenoate', 'cis-15-Tetracosenate', '15cis-tetracosenoic acid', 'z-15-Tetracosenoic acid', 'cis-15-Teracosenoic acid', 'cis-15-Tetracosenic acid', 'SCHEMBL21103', 'Tetracosenoic acid, 15-(Z)-', 'CHEMBL1173379', 'cis-Delta(15)-tetracosenoic acid', 'DTXSID801009308', 'Nervonic acid, analytical standard', 'BCP28714', 'C24H46O2', 'HY-N2526', 'ZINC6920440', 'LMFA01030092', 'MFCD00010507', 's6430', 'AKOS027320479', 'ACN-053269', 'FA 24:1', 'Nervonic acid, &gt;=99% (capillary GC)', 'AK307332', 'AS-59819', 'CC-25843', 'Nervonic acid, analytical reference material', 'CS-0022797', 'NS00015174', 'T1642', 'Y1712', 'C08323', '506N376', 'Q414231', 'UNII-44NH37HHP9 component GWHCXVQVJPWHRF-KTKRTIGZSA-N', 'UNII-MO7HV04S9Y component GWHCXVQVJPWHRF-KTKRTIGZSA-N', '3F0366A4-A342-402E-B731-D54879FC86E7']</t>
  </si>
  <si>
    <t>Compound(5281120)</t>
  </si>
  <si>
    <t>C24H46O2</t>
  </si>
  <si>
    <t>(Z)-but-2-enal</t>
  </si>
  <si>
    <t>['cis-Crotonaldehyde', '(Z)-Crotonaldehyde', '(cis)-Crotonaldehyde', '(Z)-2-Butenal', '2-Butenal, (Z)-', 'UNII-RB9WCA91QT', '(2Z)-crotonaldehyde', '(2Z)-2-Butenal', 'RB9WCA91QT', '(E)-2-Butenal', '2-Butenal, (2Z)-', 'Krotonaldehyd', '15798-64-8', '(Z)-but-2-enal', 'Crotonaldehyde, (Z)-', 'crotonaldehyde;Crotonaldehyde', 'Crotenaldehyde', 'Crotonaldehyde, mixture of cis and trans', 't-2-Butenal', '(cis)-2-butenal', 'CRD', 'nchem.215-comp8', '(cis)-but-2-enal', 'Crotonaldehyde, stabilized [UN1143] [Poison]', '(2E)-2-Butenal', '(2Z)-but-2-enal', 'But-(E)-2-enal', '.beta.-Methyl acrolein', 'DTXSID10873005', 'Crotonaldehyde, predominantly trans', 'NSC56354', 'ZINC4726476', '2-Butenal, mixture of cis and trans', 'NSC-56354', '2-BUTENAL (TRANS) CROTONALDEHYDE', 'NS00006271', 'Q27288042', 'UNII-9G72074TUW component MLUCVPSAIODCQM-IHWYPQMZSA-N']</t>
  </si>
  <si>
    <t>Compound(643950)</t>
  </si>
  <si>
    <t>cis- 8,11, 14-eicosatrienoic acid</t>
  </si>
  <si>
    <t>(8Z,11Z,14Z)-icosa-8,11,14-trienoic acid</t>
  </si>
  <si>
    <t>['Dihomo-gamma-linolenic acid', 'DGLA', '1783-84-2', 'gamma-Homolinolenic acid', '8,11,14-Eicosatrienoic acid', 'Homo-gamma-linolenic acid', '(8Z,11Z,14Z)-icosa-8,11,14-trienoic acid', 'cis-8,11,14-Eicosatrienoic Acid', 'Bishomo-gamma-linolenic acid', '8Z,11Z,14Z-eicosatrienoic acid', 'all-cis-8,11,14-Eicosatrienoic acid', '(Z,Z,Z)-8,11,14-Eicosatrienoic acid', 'diroleuton', '(8Z,11Z,14Z)-Icosatrienoic acid', '8,11,14-Icosatrienoate', 'Ro 12-1989', '8,11,14-Eicosatrienoate', '(Z,Z,Z)-8,11,14-Icosatrienoate', '(Z,Z,Z)-8,11,14-Icosatrienoic acid', '(Z,Z,Z)-Icosatri-8,11,14-enoic acid', 'cis,cis,cis-8,11,14-Eicosatrienoic acid', 'UNII-FC398RK06S', '(Z,Z,Z)-8,11,14-Eicosatrienoate', 'CCRIS 7669', '8,11,14-eicosatrienoic acid, (8Z,11Z,14Z)-', 'Dihomo-gamma-linolenate', '8c,11c,14c-eicosatrienoic acid', 'eicosa-8Z,11Z,14Z-trienoic acid', '20:3, n-6,9,12 all-cis', 'all-cis-8,11,14-icosatrienoic acid', '8,11,14-all-cis-Eicosatrienoic acid', 'all-cis-icosa-8,11,14-trienoic acid', 'cis-8,cis-11,cis-14-Eicosatrienoic acid', 'CHEMBL465183', 'FC398RK06S', '8,11-14-Eicosatrienoic acid, (Z,Z,Z)-', 'CHEBI:53486', 'C20:3, n-6,9,12 all-cis', 'all cis-8,11,14-Eicosatrienoic Acid', 'all-cis-eicosa-8,11,14-trienoic acid', 'all-cis-8,11,14-Eicosatrienoate', 'Homo-gamma-linolensaeure', 'Dihomo-.gamma.-linolenic acid', '8,11,14-Icosatrienoic acid', 'Eicosatrienoate', 'Dihomolinolenate', 'BML3-B11', '8c,11c,14c-Eicosatriensaeure', '8, 11, 14-eicosatrienoic acid', 'gamma-Homolinolenate', 'EINECS 217-233-0', 'all-cis-Eicosa-8,11,14-triensaeure', 'Homo-gamma-linolenate', 'C 20:3 n-6', 'Bishomo-gamma-linolenate', '.gamma.-Homolinolenic acid', 'Dibromo-gamma-linolenic acid', 'di-homo gamma-linolenic acid', 'dihomo -gamma-linolenic acid', 'BSPBio_001286', 'cis-20:3n-6)', 'SCHEMBL842729', '8Z,11Z,14Z-eicosatrienoate', 'cis-8,11,14-Eicosatrienoate', 'DS107G', 'GTPL9775', 'DS-107G', 'DTXSID00912351', 'Cis-8,11,14-Eicosatrienoicacid', 'Dihomo-gamma-linolenic acid (DGLA', 'DS107', 'HMS1361A08', 'HMS1791A08', 'HMS1989A08', 'HMS3402A08', 'HMS3649H11', '8,11,14-all-cis-Eicosatrienoate', 'HY-A0143', 'ZINC4521470', 'BDBM50269534', 'LMFA01030158', 'MFCD00065721', 'all cis-8,11,14-Icosatrienoic Acid', 'Bishomo-gamma-linolenic Acid (20:3)', '(Z,Z,Z)-icosatri-8,11,14-enoate', 'cis,cis,cis-8,11,14-Eicosatrienoate', 'cis-8,cis-11,cis-14-Eicosatrienoate', 'DB00154', 'IDI1_033756', 'NCGC00161350-01', 'NCGC00161350-02', 'NCGC00161350-03', 'AS-65384', '20:3n-6', 'C20:3n-6,9,12', 'cis-8,11,14-Eicosatrienoic acid, &gt;=99%', 'CS-0017463', 'E0640', 'FA(20:3(8Z,11Z,14Z))', 'C03242', 'Q415398', 'SR-01000946659', '8,11,14-Eicosatrienoic acid, (Z,Z,Z)- (8CI)', 'SR-01000946659-1', '20:3(N-6)', 'BRD-K20152659-001-02-0', 'cis-8,11,14-Eicosatrienoic acid, analytical standard', '8,11,14-Eicosatrienoic acid, (8Z,11Z,14Z)- (9CI)']</t>
  </si>
  <si>
    <t>Compound(5280581)</t>
  </si>
  <si>
    <t>cis-pentadecenoic acid</t>
  </si>
  <si>
    <t>(Z)-pentadec-2-enoic acid</t>
  </si>
  <si>
    <t>['Pentadecenoic acid, (Z)-', '(Z)-Pentadecenoic acid', '29255-62-7', 'SCHEMBL14850662']</t>
  </si>
  <si>
    <t>Compound(11241932)</t>
  </si>
  <si>
    <t>C15H28O2</t>
  </si>
  <si>
    <t>cis- 5,8,11,14,17-eicosapentaenoic acid</t>
  </si>
  <si>
    <t>(5Z,8Z,11Z,14Z,17Z)-icosa-5,8,11,14,17-pentaenoic acid</t>
  </si>
  <si>
    <t>['Eicosapentaenoic acid', 'Timnodonic acid', 'Icosapent', '10417-94-4', 'Icosapentaenoic acid', 'EPA', '5,8,11,14,17-EICOSAPENTAENOIC ACID', 'cis-5,8,11,14,17-Eicosapentaenoic acid', 'Icosapento', 'Icosapentum', '(5Z,8Z,11Z,14Z,17Z)-icosa-5,8,11,14,17-pentaenoic acid', '5Z,8Z,11Z,14Z,17Z-Eicosapentaenoic acid', '(all-Z)-5,8,11,14,17-Eicosapentaenoic acid', '(5Z,8Z,11Z,14Z,17Z)-5,8,11,14,17-eicosapentaenoic acid', 'UNII-AAN7QOV9EA', 'Icosapent [INN]', '5,8,11,14,17-Icosapentaenoic acid', 'CCRIS 3279', 'AAN7QOV9EA', '(5Z,8Z,11Z,14Z,17Z)-Eicosapentaenoic acid', 'CHEMBL460026', '(5Z,8Z,11Z,14Z,17Z)-Eicosapentaenoate', 'CHEBI:28364', '(5Z,8Z,11Z,14Z,17Z)-Icosapentaenoic acid', 'all-cis-icosa-5,8,11,14,17-pentaenoic acid', 'Icosapent (INN)', 'cis-Delta(5,8,11,14,17)-eicosapentaenoic acid', '5,8,11,14,17-Eicosapentaenoic acid, (all-Z)-', 'Icosapentaenoate', '(all-Z)-delta5,8,11,14,17-Eicosapentaenoic acid', 'eicosapentaenoate', 'cis-5,8,11,14,17-EPA', 'NCGC00161344-03', 'EICOSAPENTAENOIC ACID (20:5 n-3)', 'all-cis-5,8,11,14,17-icosapentaenoic acid', 'all-cis-5,8,11,14,17-eicosapentaenoic acid', 'C20:5n-3,6,9,12,15', 'Miraxion', 'EPA;Timnodonic acid', 'Eye Q', 'Eye-Q', '5,8,11,14,17-Eicosapentaenoic acid, (5Z,8Z,11Z,14Z,17Z)-', 'EPA [drug]', 'Icosapentum [INN-Latin]', 'C20:5 omega-3', 'Icosapento [INN-Spanish]', '(5Z,8Z,11Z,14Z,17Z)-icosapentaenoate', 'Timnodonate', '3gwx', 'FA 20:5', 'all-cis-icosapentaenoate', 'all-cis-icosapentaenoic acid', 'DSSTox_CID_21023', 'DSSTox_RID_79612', 'DSSTox_GSID_41023', 'SCHEMBL20469', 'BSPBio_001328', 'EPA 45G', 'Eicosa-5Z,8Z,11Z,14Z,17Z-pentaenoic Acid (20:5, n-3)', 'BML3-B01', 'GTPL3362', 'DTXSID9041023', 'HMS1361C10', 'HMS1791C10', 'HMS1989C10', 'HMS3402C10', 'HMS3649D19', 'HY-B0660', 'ZINC4474603', '5,8,11,14,17-Icosapentaenoate', 'Tox21_111991', '1755AH', '5,8,11,14,17-Eicosapentaenoate', 'BDBM50242349', 'GK4054', 'LMFA01030759', 'MFCD00065716', 's6476', 'AKOS027470327', 'CCG-207957', 'CCG-208136', 'CS-2895', 'DB00159', 'cis-5,8,11,14,17-eicosapentaenoate', 'IDI1_033798', 'NCGC00161344-01', 'NCGC00161344-02', 'NCGC00161344-04', 'NCGC00161344-07', '5Z,8Z,11Z,14Z,17Z-Eicosapentaenoate', 'AS-53730', 'CC-25864', 'CAS-10417-94-4', 'E0441', '5,8,11,14,17-Eicosapentaenoic acid (6CI)', 'all cis-5,8,11,14,17-Eicosapentaenoic Acid', 'all cis-5,8,11,14,17-Icosapentaenoic Acid', 'C06428', 'D08061', '(all-cis)-5,8,11,14,17-Eicosapentaenoic acid', 'L001256', 'Q409990', 'SR-01000946647', 'J-001125', 'SR-01000946647-1', 'z,z,z,z,z-eicosa-5,8,11,14,17-pentaenoic acid', '(Z,Z,Z,Z,Z)-5,8,11,14,17-eicosapentaenoic acid', 'BRD-K47192521-001-02-1', 'cis-5,8,11,14,17-Eicosapentaenoic acid, &gt;=99%', '7F8BF016-B146-4F72-A52E-B9298BA3A9AB', 'C20H30O2 (cis-5,8,11,14,17-eicosapentaenoic acid)', 'Eicosapentaenoic acid, 5,8,11,14,17-(Z,Z,Z,Z,Z)-', '5,8,11,14,17-Eicosapentaenoic acid, (all-Z)- (8CI)', 'cis-5,8,11,14,17-Eicosapentaenoic acid, &gt;=85%, liquid', 'UNII-71M78END5S component JAZBEHYOTPTENJ-JLNKQSITSA-N', 'UNII-9B22238JYI component JAZBEHYOTPTENJ-JLNKQSITSA-N', 'UNII-F85N2YHE4E component JAZBEHYOTPTENJ-JLNKQSITSA-N', 'cis-5,8,11,14,17-Eicosapentaenoic acid, analytical standard', '(5Z,8Z,11 Z,14Z,17Z)-icosa-5,8,11,14,17-pentaenoic acid', '(5Z,8Z,11Z,14Z,17Z)-eicosa-5,8,11,14,17-pentaenoic acid', 'cis, cis, cis, cis, cis-eicosa-5,8,11,14,17-pentaenoic acid', '5,8,11,14,17-Eicosapentaenoic acid, (5Z,8Z,11Z,14Z,17Z)- (9CI)', 'cis-5,8,11,14,17-Eicosapentaenoic acid, 500 mug/mL in ethanol, certified reference material']</t>
  </si>
  <si>
    <t>Compound(446284)</t>
  </si>
  <si>
    <t>C20H30O2</t>
  </si>
  <si>
    <t>cis-4,7, 10,13, 16,19-docosahexaenoic acid</t>
  </si>
  <si>
    <t>(4Z,7Z,10Z,13Z,16Z,19Z)-docosa-4,7,10,13,16,19-hexaenoic acid</t>
  </si>
  <si>
    <t>['Docosahexaenoic acid', 'Doconexent', 'Cervonic acid', '6217-54-5', 'all-cis-DHA', '(4Z,7Z,10Z,13Z,16Z,19Z)-docosa-4,7,10,13,16,19-hexaenoic acid', 'Doconexento', 'Doconexentum', 'Doxonexent', 'AquaGrow Advantage', 'all-Z-Docosahexaenoic acid', 'Martek DHA HM', 'Ropufa 60', 'Docosahexaenoate', 'UNII-ZAD9OKH9JC', 'cis-4,7,10,13,16,19-Docosahexaenoic acid', '(4Z,7Z,10Z,13Z,16Z,19Z)-Docosahexaenoic acid', 'Docosahexaenoic acid (all-Z)', 'CCRIS 7670', 'all-cis-4,7,10,13,16,19-Docosahexaenoic acid', 'ZAD9OKH9JC', '4Z,7Z,10Z,13Z,16Z,19Z-docosahexaenoic acid', 'all-cis-docosa-4,7,10,13,16,19-hexaenoic acid', 'DOCOSA-4,7,10,13,16,19-HEXAENOIC ACID', 'CHEMBL367149', 'docosahexaenoic acid(DHA)', 'CHEBI:28125', 'delta4,7,10,13,16,19-Docosahexaenoic acid', '4-cis,7-cis,10-cis,13-cis,16-cis,19-cis-Docosahexaenoic acid', '(4Z,7Z,10Z,13Z,16Z,19Z)-4,7,10,13,16,19-Docosahexaenoic acid', '(all-Z)-4,7,10,13,16,19-Docosahexaenoic acid', 'OMEGA-3 MARINE TRIGLYCERIDES', '4,7,10,13,16,19-Docosahexaenoic acid, (all-Z)-', 'efalex', 'NCGC00161345-04', 'DOCOSAHEXAENOIC ACID (22:6 n-3)', '22:6(n-3)', 'cis-4,7,10,13,16,19-Docosahexanoic acid', '4,7,10,13,16,19-Docosahexaenoic acid', 'Monolife 50', 'Doconexent [INN]', 'Marinol D 50TG', '4,7,10,13,16,19-Docosahexaenoic acid, (4Z,7Z,10Z,13Z,16Z,19Z)-', 'SR-05000002130', 'Doconexentum [INN-Latin]', 'Doconexento [INN-Spanish]', 'DHA-[21,21,22,22,22-d5]', 'Cervonate', '1fdq', 'DHA algae oil', 'Docosahexaenoicacid', 'FA 22:6', 'Algal DHA', 'Omega 3 fatty acid', 'all-Z-Docosahexaenoate', 'Cervonic acid|||DHA', 'Spectrum5_002062', 'Docosahexaenoic acid (6CI)', 'DSSTox_CID_20465', 'DSSTox_RID_79498', 'DSSTox_GSID_40465', 'SCHEMBL19577', 'BSPBio_001298', 'Docoshexaenoic Acid (Powder)', 'MLS004773950', 'BML3-B02', 'GTPL1051', 'Retriacyl (proposed trade name)', 'DTXSID5040465', 'BCBcMAP01_000145', 'HMS1361A20', 'HMS1791A20', 'HMS1989A20', 'HMS3402A20', 'HMS3649J15', 'HY-B2167', 'ZINC4474564', 'Tox21_111992', 'BDBM50210259', 'GK0953', 'LMFA01030185', 'MFCD00065722', 'Docosahexaenoic acid (22:6(n-3))', 'AKOS015962159', 'AC-1010', 'CCG-207958', 'CCG-208135', 'CS-6261', 'DB03756', 'KL-0761', 'IDI1_033768', '4,7,10,13,16,19-Docosahexaenoate', 'NCGC00161345-01', 'NCGC00161345-02', 'NCGC00161345-03', 'NCGC00161345-05', 'NCGC00161345-07', 'all cis- Docosahexaenoic acid (cis-DHA)', 'M355', 'SMR001881493', 'CAS-6217-54-5', 'cis-4,7,10,13,16,19-Docosahexanoate', 'D2226', 'S6454', 'C06429', 'AB01563379_01', '217D545', 'Q423345', 'SR-05000002130-1', 'SR-05000002130-4', 'BRD-K39965020-001-02-6', '4,7,10,13,16,19-Docosahexaenoic acid, (all cis)-', 'A320050000', 'C22:6n-3,6,9,12,15,18', 'cis-4,7,10,13,16,19-Docosahexaenoic acid, &gt;=98%', 'z,z,z,z,z,z-docosa-4,7,10,13,16,19-hexaenoic acid', '(all-Z)-4,7,10,13,16,19-Docosahexaenoic Acid, DHA', '800E8E72-BBF4-46F7-A60B-B8F2B54669C7', 'C22H32O2 (cis-4,7,10,13,16,19-docosahexaenoic acid)', 'UNII-71M78END5S component MBMBGCFOFBJSGT-KUBAVDMBSA-N', 'UNII-96GS7P39SN component MBMBGCFOFBJSGT-KUBAVDMBSA-N', 'UNII-9B22238JYI component MBMBGCFOFBJSGT-KUBAVDMBSA-N', 'UNII-F85N2YHE4E component MBMBGCFOFBJSGT-KUBAVDMBSA-N', '4,7,10,13,16,19-Docosahexaenoic acid, (all-Z)- (8CI)', 'cis-4,7,10,13,16,19-Docosahexaenoic acid, analytical standard', '(4Z,7Z,10Z,13Z,16Z, 19Z)-docosa-4,7,10,13,16,19-hexaenoic acid', '(4Z,7Z,10Z,13Z,16Z,19Z)-docosa-4, 7,10,13,16,19-hexaenoic acid', '(4Z,7Z,10Z,13Z,16Z,19Z)-docosa-4,7,10,13,16,19- hexaenoic acid', '4,7,10,13,16,19-Docosahexaenoic acid, (4Z,7Z,10Z,13Z,16Z,19Z)- (9CI)', '4,7,10,13,16,19-Docosahexaenoic acid, (4Z,7Z,10Z,13Z,16Z,19Z)-;Docosahexaenoic acid', '1024594-51-1', 'cis-4,7,10,13,16,19-Docosahexaenoic acid, 500 mug/mL in ethanol, certified reference material']</t>
  </si>
  <si>
    <t>Compound(445580)</t>
  </si>
  <si>
    <t>C22H32O2</t>
  </si>
  <si>
    <t>cis-chlordane</t>
  </si>
  <si>
    <t>(1R,2S,3R,4S,6S,7S)-1,3,4,7,8,9,10,10-octachlorotricyclo[5.2.1.02,6]dec-8-ene</t>
  </si>
  <si>
    <t>['cis-Chlordane', '5103-71-9', 'cis Chlordane', 'Chlordane-cis (?-Chlordan)', 'BIDD:ER0129', 'DTXSID6038326', 'Cis-chlordane;(1a,2a,3aa,4ss,7ss,7aa)-1,2,4,5,6,7,8,8-octachloro-2,3,3a,4,7,7a-hexahydro-4,7-methano-1H-indene;chlordane , cis-;(1?,2?,3a?,4?,7?,7a?)-1,2,4,5,6,7,8,8-octachloro-2,3,3a,4,7,7a-hexahydro-4,7-methano-1H-indene', 'ZINC1648336', 'cis-Chlordane 10 microg/mL in Cyclohexane', 'cis-Chlordane 100 microg/mL in Cyclohexane', 'alpha-Chlordane solution, 10 mug/mL in cyclohexane, PESTANAL(R), analytical standard', 'alpha-Chlordane solution, certified reference material, 100 mug/mL in hexane', '(1R,2S,3aS,4S,7R,7aS)-1,2,4,5,6,7,8,8-Octachloro-2,3,3a,4,7,7a-hexahydro-1H-4,7-methanoindene']</t>
  </si>
  <si>
    <t>Compound(1550472)</t>
  </si>
  <si>
    <t>cis-hexadecafluoro-2-decenoic acid</t>
  </si>
  <si>
    <t>3,4,4,5,5,6,6,7,7,8,8,9,9,10,10,10-hexadecafluorodec-2-enoic acid</t>
  </si>
  <si>
    <t>['2H-Perfluoro-2-decenoic acid', '70887-84-2', '2-Decenoic acid, 3,4,4,5,5,6,6,7,7,8,8,9,9,10,10,10-hexadecafluoro-', 'CTK2H4296', 'DTXSID60825615', 'Q27156877']</t>
  </si>
  <si>
    <t>Compound(71404795)</t>
  </si>
  <si>
    <t>C10H2F16O2</t>
  </si>
  <si>
    <t>gamma-hexabromocyclododecane</t>
  </si>
  <si>
    <t>(1R,2R,5R,6S,9S,10R)-1,2,5,6,9,10-hexabromocyclododecane</t>
  </si>
  <si>
    <t>['(+)-gamma-Hbcd', 'UNII-11I055K0BP', '134237-52-8', '11I055K0BP', '(+/-)-gamma-Hexabromocyclododecane', '678970-17-7', 'Cyclododecane, 1,2,5,6,9,10-hexabromo-, (1R,2R,5R,6S,9S,10R)-', 'gamma-Hexabromocyclododecane', 'gamma-HBCD', '(+)-gamma-Hexabromocyclododecane', 'gamma-Hexabromocyclododecane, (+)-', 'gamma-hexabromo-cyclododecane', 'CTK1H6535', 'DTXSID20873773', 'UNII-5I9835JO3M component DEIGXXQKDWULML-MOCCIAMBSA-N', 'UNII-66OON1WWOS component DEIGXXQKDWULML-MOCCIAMBSA-N', 'UNII-O1Y9J11RMU component DEIGXXQKDWULML-MOCCIAMBSA-N', '(1R,2R,5R,6S,9S,10R)-1,2,5,6,9,10-Hexabromocyclododecane', '(1R,2R,5R,6S,9S,10R)-rel-1,2,5,6,9,10-Hexabromocyclododecane', 'Gamma-Hexabromocyclododecane;gamma-hexabromocyclododecane;hexabromocyclododecane-gamma']</t>
  </si>
  <si>
    <t>Compound(11377211)</t>
  </si>
  <si>
    <t>gamma-hexachlorocyclohexane (lindane)</t>
  </si>
  <si>
    <t>cis-heptachlor epoxide</t>
  </si>
  <si>
    <t>(1S,2R,3S,5S,6R,7S,8R)-1,6,8,9,10,11,11-heptachloro-4-oxatetracyclo[6.2.1.02,7.03,5]undec-9-ene</t>
  </si>
  <si>
    <t>['1024-57-3', 'cis-Heptachlor Epoxide', '(+/-)-cis-Heptachlorepoxide', 'HSDB 6182', 'EINECS 213-831-0', 'AI3-25584', 'CCRIS 9452', '1,4,5,6,7,8,8-Heptachloro-2,3-epoxy-3a,4,7,7a-tetrahydro-4,7-methanoindan', '2,3,4,5,6,7,7-Heptachloro-1a,1b,5,5a,6,6a-hexahydro-2,5-methano-2H-indeno(1,2-b)oxirene', '2,5-Methano-2H-oxireno(a)indene, 2,3,4,5,6,7,7-heptachlor-1a,1b,5,5a,6,6a-hexahydro-', '2,5-Methano-2H-oxireno(a)indene, 2,3,4,5,6,7,7-heptachloro-1a,1b,5,5a,6,6a-hexahydro-', '2,5-Methano-2H-indeno(1,2-b)oxirene, 2,3,4,5,6,7,7-heptachloro-1a,1b,5,5a,6,6a-hexahydro-, (1aalpha,1bbeta,2alpha,5alpha,5abeta,6beta,6aalpha)-', 'ZINC2040050', 'cis-Heptachlor-exo-epoxide (isomer B)', 'Q27094563', 'UNII-055UWF6R6I component ZXFXBSWRVIQKOD-UOFFAGTMSA-N', 'cis-Heptachlor-exo-epoxide (isomer B) 10 microg/mL in Cyclohexane', 'cis-Heptachlor-exo-epoxide (Isomer B) 100 microg/mL in Cyclohexane', 'cis-Heptachlor-exo-epoxide (Isomer B) 100 microg/mL in Methanol', 'cis-Heptachlor-exo-epoxide (isomer B) 1000 microg/mL in Toluene']</t>
  </si>
  <si>
    <t>Compound(15559699)</t>
  </si>
  <si>
    <t>C10H5Cl7O</t>
  </si>
  <si>
    <t>cis-nonachlor</t>
  </si>
  <si>
    <t>(1R,2S,3R,5S,6R,7S)-1,3,4,5,7,8,9,10,10-nonachlorotricyclo[5.2.1.02,6]dec-8-ene</t>
  </si>
  <si>
    <t>['TRANS-NONACHLOR', 'CIS-NONACHLOR', 'cis-Nonachlordane', 'UNII-2PFJ22N0EU', 'UNII-9LP364CK91', '39765-80-5', '2PFJ22N0EU', 'c-Nonachlor', 't-Nonachlor', '9LP364CK91', 'NONACHLOR', '5103-73-1', 'Nonachlor, cis-', 'Nonachlor, trans-', '(1R,2r,3S,3aR,4S,7R,7aS)-1,2,3,4,5,6,7,8,8-nonachloro-2,3,3a,4,7,7a-hexahydro-1H-4,7-methanoindene', 'AI3-27868', 'Nonachlor-trans', 'Nonachlor-cis', '4,7-Methano-1H-indene, 1,2,3,4,5,6,7,8,8-nonachloro-2,3,3a,4,7,7a-hexahydro-, (1alpha,2alpha,3alpha)-', 'BIDD:PXR0051', 'SCHEMBL2903049', 'DTXSID5052709', 'CHEBI:81540', 'CTK8E8226', 'DTXSID40872581', '4,7-Methano-1H-indene, 1,2,3,4,5,6,7,8,8-nonachlor-2,3,3a,4,7,7a-hexahydro-, (1-alpha,2-beta,3-alpha,3a-alpha,4-beta,7-beta,7a-alpha)-', 'C18145', 'Q27155454', 'Q27255388', 'Cis-Nonachlor;cis-Nonachlor;Nonachlor, cis-;nonachlor , cis-', '(1R,2S,3R,4R,5S,6R,7S)-1,3,4,5,7,8,9,10,10-nonachlorotricyclo[5.2.1.0^{2,6}]dec-8-ene', '(1R,2s,3S,3aR,4S,7R,7aS)-1,2,3,4,5,6,7,8,8-Nonachloro-2,3,3a,4,7,7a-hexahydro-1H-4,7-methanoindene', '3WG', '4,7-Methano-1H-indene, 1,2,3,4,5,6,7,8,8-nonachloro-2,3,3a,4,7,7a-hexahydro-, (1.alpha.,2.beta.,3.alpha.,3a.alpha.,4.beta.,7.beta.,7a.alpha.)-;Trans-Nonachlor;nonachlor , trans-', '4,7-Methano-1H-indene, 1,2,3,4,5,6,7,8,8-nonachloro-2,3,3a,4,7,7a-hexahydro-, (1alpha,2alpha,3alpha,3aalpha,4beta,7beta,7aalpha)-', '4,7-Methano-1H-indene, 1,2,3,4,5,6,7,8,8-nonachloro-2,3,3a,4,7,7a-hexahydro-, (1alpha,2beta,3alpha,3aalpha,4beta,7beta,7aalpha)-']</t>
  </si>
  <si>
    <t>Compound(12313421)</t>
  </si>
  <si>
    <t>C10H5Cl9</t>
  </si>
  <si>
    <t>cis-tetrachlorvinphos (Z-isomer)</t>
  </si>
  <si>
    <t>2-[butan-2-ylsulfanyl(ethoxy)phosphoryl]sulfanylbutane</t>
  </si>
  <si>
    <t>['Cadusafos', 'Ebufos', '95465-99-9', 'Sebuphos', 'Sebufos', 'Taredan', 'Rugby', 'Cadusafos [ISO]', 'O-Ethyl-S,S-di-sec-butylphosphorodithioate', 'S,S-Di-sec-butyl O-ethyl phosphorodithioate', 'UNII-8JBJ4VO75K', 'FMC 67825', 'HSDB 7139', 'O-Ethyl-S,S-bis(1-methylpropyl)phosphorodithioate', '8JBJ4VO75K', '2-[butan-2-ylsulfanyl(ethoxy)phosphoryl]sulfanylbutane', 'CHEBI:38588', 'Phosphorodithioic acid, O-ethyl-, S,S-bis(1-methylpropyl)ester', 'O-ethyl S,S-bis(1-methylpropyl) dithiophosphate', 'O-Ethyl S,S-bis(1-methylpropyl) phosphorodithioate', 'Phosphorodithioic acid, O-ethyl S,S-bis(1-methylpropyl) ester', 'O-ethyl S,S-bis(butan-2-yl) phosphorodithioate', 'O-ethyl, S-bis(1-methylpropyl)phosphorodithioate', 'Cadusaphos', 'SCHEMBL63059', '103735-82-6', 'CHEMBL2228571', 'DTXSID7037505', 'CTK4A2344', 'O-Ethyl S,S-bis(1-methylpropyl) phosphorodithioate (9CI)', 'Phosphorodithioic acid,O-ethyl S,S-bis(1-methylpropyl) ester', 'AKOS015902374', 'Cadusafos 100 microg/mL in Isooctane', 'ACN-048873', 'Cadusafos 10 microg/mL in Cyclohexane', 'Cadusafos 10 microg/mL in Acetonitrile', 'Cadusafos 100 microg/mL in Acetonitrile', 'NCGC00163912-01', 'CC-25325', 'S,S-di-s-butyl O-ethyl phosphorodithioate', 'DB-057585', 'LS-108042', 'LS-108278', 'FT-0630988', 'NS00000102', 'S,S-dibutan-2-yl O-ethyl phosphorodithioate', 'Cadusafos, PESTANAL(R), analytical standard', 'C18395', 'Ebufos; FMC 67825; Rugby; Sebufos; Sebuphos', 'C-17027', 'Q421582', '2-(BUTAN-2-YLSULFANYL-ETHOXY-PHOSPHORYL)SULFANYLBUTANE', 'Cadusafos;Phosphorodithioic acid, O-ethyl S,S-bis(1-methylpropyl) ester']</t>
  </si>
  <si>
    <t>Compound(91752)</t>
  </si>
  <si>
    <t>C10H23O2PS2</t>
  </si>
  <si>
    <t>1,3,7-trimethylpurine-2,6-dione</t>
  </si>
  <si>
    <t>['caffeine', '58-08-2', '1,3,7-Trimethylxanthine', 'Guaranine', 'Thein', 'Methyltheobromine', 'Cafeina', 'Theine', 'Koffein', 'Mateina', 'Alert-pep', 'Caffein', 'Cafipel', 'Coffeine', "Refresh'n", 'Caffedrine', 'Stim', 'Cafamil', 'Cafecon', 'Caffine', 'Dexitac', 'Nodaca', 'Anhydrous caffeine', 'No-Doz', 'Eldiatric C', '7-Methyltheophylline', 'Hycomine', 'Organex', 'Vivarin', 'Nix Nap', 'Methyltheobromide', '3,7-Dihydro-1,3,7-trimethyl-1H-purine-2,6-dione', 'Coffein', 'Phensal', 'Caffeine, synthetic', 'Quick-Pep', 'Coffeinum', 'Tirend', '1,3,7-Trimethyl-2,6-dioxopurine', '1,3,7-Trimethylpurine-2,6-dione', 'Theophylline, 7-methyl', 'DHCplus', 'Tri-Aqua', 'Kofein', 'Miudol', 'Caffeine, anhydrous', 'Theobromine, 1-methyl-', 'Propoxyphene Compound 65', '1H-Purine-2,6-dione, 3,7-dihydro-1,3,7-trimethyl-', '1,3,7-Trimethyl-3,7-dihydro-1H-purine-2,6-dione', 'Kofein [Czech]', 'Coffein [German]', 'Koffein [German]', '1-methyltheobromine', 'Caffeine (natural)', 'Xanthine, 1,3,7-trimethyl', 'Caffeina [Italian]', 'Theophylline Me', 'Methylxanthine theophylline', 'Theobromine Me', 'NCI-C02733', 'caffenium', 'SK-65 Compound', 'Anacin', 'Anacin Maximum Strength', 'Caffeine [BAN:JAN]', 'P-A-C Analgesic Tablets', 'HSDB 36', 'FEMA No. 2224', 'BRN 0017705', 'C8H10N4O2', 'NSC 5036', 'A.S.A. and Codeine Compound', 'UNII-3G6A5W338E', '1,3,7-trimethyl-2,3,6,7-tetrahydro-1H-purine-2,6-dione', 'CCRIS 1314', '1,3,7-trimethyl-1H-purine-2,6(3H,7H)-dione', 'AI3-20154', 'EINECS 200-362-1', 'CHEMBL113', 'CFF', 'CHEBI:27732', '3G6A5W338E', 'NSC-5036', 'MFCD00005758', 'SK 65 Compound', 'Caffeina', 'DSSTox_CID_232', 'CAFFEINE-D3', 'DSSTox_RID_75448', 'DSSTox_GSID_20232', 'No Doz', '1,3,7-trimethyl-1,3,7-trihydropurine-2,6-dione', '1,3,7-trimethyl-2,6-dioxo-1,2,3,6-tetrahydropurine', 'cafeine', 'peyona', 'teina', 'CAS-58-08-2', 'Caffeine (USP)', 'SMR000326667', 'SR-01000075187', 'Anhydrous caffeine (TN)', 'Monomethyl derivative of Theophylline', 'Caffeine [USP:BAN:JAN]', 'Anhydrous caffeine (JP15)', 'Caffeine, 98.5%, specified according to the req. of USP/BP', 'Caffeine hydrous', '1gfz', 'Caffeine, BioXtra', 'TNP00310', 'Monohydrate Caffeine', 'Respia (TN)', '1-methyl-Theobromine', '7-methyl Theophylline', 'Caffeine_303_ p', 'PubChem9436', 'Cafergot (Salt/Mix)', '1,7-Trimethylxanthine', 'Spectrum_001301', '1l5q', '1l7x', '2a3b', '3g6m', '3,7-dihydro-1,3,7-trimethyl-1H-purine', 'Xanthine,3,7-trimethyl', 'Theine, methyltheobromine', 'Spectrum2_001261', 'Spectrum3_000321', 'Spectrum4_001782', 'Spectrum5_000423', 'Lopac-C-0750', 'bmse000206', 'MolMap_000054', 'Probes1_000150', 'Probes2_000128', 'C 0750', 'EC 200-362-1', 'SCHEMBL5671', 'Anhydrous caffeine (JP17)', 'NCIOpen2_008255', 'BIDD:PXR0172', 'Lopac0_000228', '1, 3, 7-Trimethylxanthine', 'BSPBio_001921', 'GTPL407', 'KBioGR_002325', 'KBioSS_001781', '5-26-13-00558 (Beilstein Handbook Reference)', 'MLS001055341', 'MLS001056714', 'MLS001066409', 'ARONIS25359', 'BIDD:ER0554', 'BIDD:GT0632', 'Caffeine, 1mg/ml in methanol', 'DivK1c_000730', 'SPECTRUM1500155', 'CU-01000012617-3', 'SPBio_001222', 'Caffeine melting point standard', 'MEGxp0_001350', 'ZINC1084', 'component of Dilone (Salt/Mix)', 'DTXSID0020232', '1,7-Trimethyl-2,6-dioxopurine', 'ACon1_000085', 'BDBM10849', 'CTK1G9501', 'HMS502E12', 'KBio1_000730', 'KBio2_001781', 'KBio2_004349', 'KBio2_006917', 'KBio3_001141', 'Caffeine 1.0 mg/ml in Methanol', 'NSC5036', 'Caffeine, powder, ReagentPlus(R)', 'component of Percodan (Salt/Mix)', 'NINDS_000730', 'Bio1_000473', 'Bio1_000962', 'Bio1_001451', 'HMS1920I09', 'HMS2091O11', 'HMS2232M13', 'HMS3260N17', 'HMS3372J18', 'HMS3435F10', 'HMS3715D13', 'Pharmakon1600-01500155', 'NoDoz Caplets and Chewable Tablets', 'Caffeine 10 microg/mL in Methanol', 'CS-M0795', 'Tox21_201685', 'Tox21_300010', 'Tox21_500228', 'BBL016491', 'caffeine (1,3,7-trimethylxanthine)', 'CCG-38825', 'LS-237', 'NSC755917', 'PDSP1_001016', 'PDSP1_001235', 'PDSP2_001000', 'PDSP2_001219', 'SBB006474', 'STK177283', 'Propoxyphene Compound 65 (Salt/Mix)', 'AKOS000121334', '5-26-13-00558 (Beilstein)', 'ACN-034787', 'Bayer Select Headache Pain (Salt/Mix)', 'Caffeine, anhydrous, 99%, FCC, FG', 'DB00201', 'LP00228', 'MCULE-3362813910', 'NSC-755917', 'SDCCGMLS-0064595.P001', 'SDCCGMLS-0064595.P002', 'SDCCGSBI-0050216.P005', 'IDI1_000730', 'KS-0000478B', '3,3,7-trimethyl-1H-purine-2,6-dione', 'NCGC00015208-01', 'NCGC00015208-02', 'NCGC00015208-03', 'NCGC00015208-04', 'NCGC00015208-05', 'NCGC00015208-06', 'NCGC00015208-07', 'NCGC00015208-08', 'NCGC00015208-10', 'NCGC00015208-11', 'NCGC00015208-12', 'NCGC00015208-13', 'NCGC00015208-14', 'NCGC00015208-15', 'NCGC00015208-16', 'NCGC00015208-17', 'NCGC00015208-18', 'NCGC00090699-01', 'NCGC00090699-02', 'NCGC00090699-03', 'NCGC00090699-04', 'NCGC00090699-05', 'NCGC00090699-06', 'NCGC00090699-07', 'NCGC00090699-08', 'NCGC00090699-09', 'NCGC00168808-01', 'NCGC00168808-02', 'NCGC00254057-01', 'NCGC00259234-01', 'NCGC00260913-01', '95789-13-2', 'AC-12774', 'AS-15340', 'Caffeine, SAJ special grade, &gt;=98.5%', 'component of P-A-C Compound (Salt/Mix)', 'O926', 'ST057528', 'component of A.S.A. Compound (Salt/Mix)', 'SBI-0050216.P004', 'DB-023002', 'WLN: T56 BN DN FNVNVJ B1 F1 H1', 'EU-0100228', 'FT-0664195', 'H2815', 'N1379', 'N2379', '3378-EP2269610A2', '3378-EP2275420A1', '3378-EP2277848A1', '3378-EP2277867A2', '3378-EP2280003A2', '3378-EP2284160A1', '3378-EP2289510A1', '3378-EP2295409A1', '3378-EP2295434A2', '3378-EP2301937A1', '3378-EP2305219A1', '3378-EP2305662A1', '3378-EP2305671A1', '3378-EP2305677A1', '3378-EP2305682A1', '3378-EP2305695A2', '3378-EP2305696A2', '3378-EP2305697A2', '3378-EP2305698A2', '3378-EP2308562A2', '3378-EP2308840A1', '3378-EP2308867A2', '3378-EP2308870A2', '3378-EP2308879A1', '3378-EP2311801A1', '3378-EP2311802A1', '3378-EP2311803A1', '3378-EP2311806A2', '3378-EP2311808A1', '3378-EP2311829A1', '3378-EP2311842A2', '3378-EP2314588A1', '3378-EP2314590A1', '3378-EP2314593A1', '3378-EP2316457A1', '3378-EP2316458A1', '3378-EP2316825A1', '3378-EP2316826A1', '3378-EP2316827A1', '3378-EP2316828A1', '3378-EP2371814A1', 'BIM-0050216.0001', 'C07481', 'D00528', 'Q60235', '1,3,7-trimethyl-3,7-dihydropurine-2,6-dione', '1H-Purine-2, 3,7-dihydro-1,3,7-trimethyl-', 'AB00051930-09', 'AB00051930_10', 'Caffeine, purum, anhydrous, &gt;=99.0% (HPLC)', '3,7-dihydro-1,3,7-trimethyl-1H-purine (9CI)', 'Caffeine, anhydrous, tested according to Ph.Eur.', 'L000155', '3,7-Dihydro-1,3,7-trimethyl-1H-purin-2,6-dion', 'Caffeine, Sigma Reference Standard, vial of 250 mg', 'SR-01000075187-1', 'SR-01000075187-4', 'SR-01000075187-7', 'SR-01000075187-8', 'BRD-K02404261-001-02-7', 'BRD-K02404261-001-03-5', 'BRD-K02404261-001-07-6', 'Caffeine, certified reference material, TraceCERT(R)', 'Caffeine, meets USP testing specifications, anhydrous', 'Melting point standard 235-237C, analytical standard', '1,3,7-Trimethyl-3,7-dihydro-1H-purine-2,6-dione #', 'Caffeine, British Pharmacopoeia (BP) Reference Standard', 'Caffeine, European Pharmacopoeia (EP) Reference Standard', 'F3371-0262', 'Z112207564', 'Caffeine 2000 microg/mL in Water:Methanol (81:19 g/g)', '07E4FB58-FD79-4175-8E3D-05BF96954522', '3,7-Dihydro-1,3,7-trimethyl-1H-purin-2,6-dion (coffein)', 'Caffeine solution, analytical standard, 1.0 mg/mL in methanol', 'Caffeine, United States Pharmacopeia (USP) Reference Standard', 'Caffeine, Pharmaceutical Secondary Standard; Certified Reference Material', 'Caffeine for system suitability, European Pharmacopoeia (EP) Reference Standard', 'Caffeine melting point standard, United States Pharmacopeia (USP) Reference Standard', 'Caffeine solution, 1.0 mg/mL in methanol, ampule of 1 mL, certified reference material', '114303-55-8', 'Caffeine Melting Point Standard, Pharmaceutical Secondary Standard; Certified Reference Material', 'Caffeine, PharmaGrade, EP, Manufactured under appropriate GMP controls for pharma or biopharmaceutical production', 'Mettler-Toledo Calibration substance ME 18872, Caffeine, analytical standard, for the calibration of the thermosystem 900, traceable to primary standards (LGC)']</t>
  </si>
  <si>
    <t>Compound(2519)</t>
  </si>
  <si>
    <t>C8H10N4O2</t>
  </si>
  <si>
    <t>calcite</t>
  </si>
  <si>
    <t>calarene</t>
  </si>
  <si>
    <t>1,1,7,7a-tetramethyl-2,3,5,6,7,7b-hexahydro-1aH-cyclopropa[a]naphthalene</t>
  </si>
  <si>
    <t>['CALARENE', '1(10)-Aristolene', 'Aristol-1(10)-ene', '17334-55-3', '.beta.-Gurjunene', '.delta.1(10)-Aristolene', '.delta.-Aristol-1(10)-ene', '1(10)-Aristolene, (+)-', '(+)-.delta.1(10)-Aristolene', 'EINECS 241-359-5', 'DTXSID40938358', '(1aR,7R,7aR,7bS)-1,1,7,7a-Tetramethyl-1a,2,3,5,6,7,7a,7b-octahydro-1H-cyclopropa[a]naphthalene', '(1AR-(1aalpha,7alpha,7aalpha,7balpha))-1a,2,3,5,6,7,7a,7b-octahydro-1,1,7,7a-tetramethyl-1H-cyclopropa(a)naphthalene', 'NS00051198', '1,1,7,7a-tetramethyl-1H,1aH,2H,3H,5H,6H,7H,7aH,7bH-cyclopropa[a]naphthalene', '[1aR-(1aa,7a,7aa,7ba)]-1a,2,3,5,6,7,7a,7b-octahydro-1,1,7,7a-tetramethyl-1H-cyclopropa[a]naphthalene']</t>
  </si>
  <si>
    <t>Compound(28481)</t>
  </si>
  <si>
    <t>C15H24</t>
  </si>
  <si>
    <t>1,7,7-trimethylbicyclo[2.2.1]heptan-2-one</t>
  </si>
  <si>
    <t>['camphor', '76-22-2', '2-Camphanone', '2-Bornanone', '(+/-)-Camphor', 'DL-Camphor', 'Bornan-2-one', '(+)-Camphor', '1,7,7-Trimethylbicyclo[2.2.1]heptan-2-one', 'Gum camphor', 'Root bark oil', 'Alphanon', 'Kampfer', 'Spirit of camphor', 'l-(-)-Camphor', 'Formosa camphor', 'Laurel camphor', '2-Camphonone', 'Matricaria camphor', 'l-Camphor', 'Camphor, synthetic', '1,7,7-Trimethylnorcamphor', 'Bornane, 2-oxo-', '464-49-3', '2-Keto-1,7,7-trimethylnorcamphane', '1,7,7-Trimethylbicyclo[2.2.1]-2-heptanone', 'DL-Bornan-2-one', 'D-(+)-Camphor', 'Norcamphor, 1,7,7-trimethyl-', 'Camphor, (1R,4R)-(+)-', 'Bicyclo[2.2.1]heptan-2-one, 1,7,7-trimethyl-', 'Alcanfor', 'Camphor oil', 'Japanese camphor', 'Huile de camphre', '4,7,7-trimethylbicyclo[2.2.1]heptan-3-one', 'CHEBI:36773', '2-Kamfanon', 'Camphor USP', 'd-2-Camphanone', 'd-2-Bornanone', '21368-68-3', 'Kampfer [German]', 'Bicyclo(2.2.1)heptan-2-one, 1,7,7-trimethyl-', '(-)-Alcanfor', '(1R)-Camphor', 'D(+)-Camphor', '( inverted exclamation markA)-Camphor', '2-Kamfanon [Czech]', 'Caswell No. 155', 'DL-Camphor, 96%', 'Camphor, (+)-', 'Huile de camphre [French]', '1,7,7-Trimethylbicyclo(2.2.1)-2-heptanone', '1,7,7-Trimethylbicyclo(2.2.1)heptan-2-one', 'HSDB 37', 'Camphor Powder', 'Camphor, Racemic', 'Bicyclo(2.2.1)heptan-2-one, 1,7,7-trimethyl-, (1R)-', 'Bicyclo[2.2.1]heptan-2-one, 1,7,7-trimethyl-, (1R)-', 'Bicyclo[2.2.1]heptan-2-one, 1,7,7-trimethyl-, (.+/-.)-', 'Japan camphor', 'Camphor, D-', 'Camphor (USP)', 'EINECS 200-945-0', 'EINECS 207-355-2', 'EINECS 244-350-4', 'UN2717', 'EPA Pesticide Chemical Code 015602', '(+-)-Camphor', 'BRN 1907611', 'BRN 3196099', 'AI3-01698', 'AI3-18783', 'Camphor, (1R)-Isomer', 'Bicyclo(2.2.1)heptane-2-one, 1,7,7-trimethyl-', 'Bicyclo[2.2.1]heptane-2-one, 1,7,7-trimethyl-', '(1R)-(+)-amphor', 'Camphor, (+-)-Isomer', 'racemic camphor', 'MFCD00064149', 'MFCD00074738', 'DL-2-Bornanone', 'Heet (Salt/Mix)', 'dextro,laevo-camphor', 'Sarna (Salt/Mix)', '2-OXOBORNANE', 'dl-Camphor (JP17)', '(.+/-.)-Camphor', 'Camphor Powder - Synthetic', 'DSSTox_CID_10955', 'DSSTox_RID_78860', 'DSSTox_GSID_30955', 'SCHEMBL16068', 'Camphor, (.+/-.)-', 'Bicyclo(2.2.1)heptan-2-one, 1,7,7-trimethyl-, (1theta)-', 'KSC378C7P', 'MLS001055495', 'CHEMBL15768', 'DivK1c_000724', 'ACMC-209k77', 'CAMPHOR, (+-)-', 'GTPL2422', 'DTXSID5030955', 'CTK2H8177', 'HMS502E06', 'KBio1_000724', 'Bicyclo[2.2.1]heptan-2-one, 1,7,7-trimethyl-, (1S)-', 'NINDS_000724', 'HMS2268A06', 'HY-N0808', 'KS-00000V1C', 'Tox21_200237', 'ANW-30449', 'BBL012963', 'LS-126', 's3851', 's4516', 'STK803534', 'AKOS000118728', 'AKOS022060577', 'AC-5284', 'CCG-266237', 'CCG-266238', 'DB14156', 'LMPR0102120001', 'LS-1691', 'MCULE-2476865084', 'UN 2717', 'CAS-76-22-2', 'IDI1_000724', 'NCGC00090681-05', 'NCGC00090730-01', 'NCGC00090730-02', 'NCGC00257791-01', 'AC-15523', 'LS-48718', 'Q964', 'SMR000386909', 'VS-03622', '(1R,4R)-1,7,7-trimethylnorbornan-2-one', 'DB-051377', 'DB-056037', 'DB-070734', 'C1251', 'CS-0009813', 'FT-0607017', 'FT-0607018', 'FT-0608303', '4,7,7-trimethyl-3-bicyclo[2.2.1]heptanone', '1,7,7-trimethyl-bicyclo[2.2.1]heptan-6-one', 'C00809', 'C18369', 'D00098', '1,7,7-Trimethyl-bicyclo[2.2.1]heptan-2-one', 'Camphor, synthetic [UN2717] [Flammable solid]', 'A838646', 'Q181559', 'Q-200784', 'W-109539', 'W-110530', '(+/-)-1,7,7-trimethyl-bicyclo[2,2,1]heptane-2-one', 'F0001-0763', 'Z940713494', '(1RS,4RS)-1,7,7-trimethylbicyclo(2.2.1)heptan-2-one', 'CAMPHOR (SEE ALSO DL-CAMPHOR (21368-68-3) AND D-CAMPHOR (464-49-3))', 'DL-CAMPHOR (SEE ALSO D-CAMPHOR (464-49-3) AND DL-CAMPHOR (21368-68-3))', '742025-02-1']</t>
  </si>
  <si>
    <t>Compound(2537)</t>
  </si>
  <si>
    <t>2,2-dimethyl-3-methylidenebicyclo[2.2.1]heptane</t>
  </si>
  <si>
    <t>['CAMPHENE', '79-92-5', 'Comphene', '2,2-Dimethyl-3-methylenenorbornane', '3,3-Dimethyl-2-methylenenorbornane', '3,3-Dimethyl-2-methylenenorcamphane', 'Bicyclo[2.2.1]heptane, 2,2-dimethyl-3-methylene-', '2,2-Dimethyl-3-methylenebicyclo[2.2.1]heptane', '2,2-dimethyl-3-methylidenebicyclo[2.2.1]heptane', 'UNII-G3VG94Z26E', 'FEMA No. 2229', 'CCRIS 3783', 'HSDB 900', 'NSC 4165', '3,3-Dimethyl-2-methylenenorcamphene', 'EINECS 201-234-8', 'EINECS 209-275-3', '2,2-Dimethyl-3-methylenebicyclo(2.2.1)heptane', '565-00-4', 'AI3-01775', 'CHEBI:3830', 'G3VG94Z26E', 'Camphene, (1R,4S)-(+)-', 'Camphene (2,2-dimethyl-3-methylene-norbornane)', 'Bicyclo(2.2.1)heptane, 2,2-dimethyl-3-methylene-', '(+/-)-Camphene', 'DSSTox_CID_6488', 'DSSTox_RID_78121', 'DSSTox_GSID_26488', '(1)-2,2-Dimethyl-3-methylenebicyclo(2.2.1)heptane', 'CAS-79-92-5', 'Camphene, 75%, remainder mainly alpha-fenchene', '3,3-dimethyl-2-methylenebicyclo[2.2.1]heptane', 'Bicyclo[2.2.1]heptane, 2,2-dimethyl-3-methylene-, (1R)-', 'MFCD00066603', 'Camphene;camphene', '2,2-dimethyl-3-methylene-norbornane', 'ACMC-1ARGM', '2,2-Dimethyl-3-methylenebicyclo[2.2.1]heptane #', 'EC 201-234-8', '3,3-dimethyl-2-methylidenebicyclo[2.2.1]heptane', 'KSC378G0P', 'Bicyclo[2.2.1]heptane, 2,2-dimethyl-3-methylene-, (1R,4S)-', 'Bicyclo[2.2.1]heptane, 2,2-dimethyl-3-methylene-, (1S,4R)-', 'CHEMBL2268550', 'DTXSID8026488', 'CTK2H8307', 'NSC4165', 'KS-000011CN', 'NSC-4165', 'Tox21_202014', 'Tox21_303152', 'ANW-41333', 'BBL033861', 'SBB060158', 'STK801857', 'AKOS004119935', 'CCG-266137', 'LS-2612', 'MCULE-1011863584', 'NCGC00249149-01', 'NCGC00257126-01', 'NCGC00259563-01', 'WLN: L55 A CYTJ CU1 D1 D1', 'VS-12317', 'DB-053130', 'DB-056393', 'DB-057848', 'FT-0609260', 'FT-0635856', 'FT-0635857', 'NS00006622', 'ST50330642', 'C06076', 'Bicyclo[2.2.1]heptane,2-dimethyl-3-methylene-', '2,2-Dimethyl-3-methylenebicyclo[2.2.1]heptane;', '565C004', 'Q416775', 'SR-01000944833', 'SR-01000944833-1', '(+/-)-2,2-dimethyl-3-methylenebicyclo[2.2.1]heptane', 'Z955123744']</t>
  </si>
  <si>
    <t>Compound(6616)</t>
  </si>
  <si>
    <t>camphorsulfonic acid</t>
  </si>
  <si>
    <t>[(1S,4R)-7,7-dimethyl-2-oxo-1-bicyclo[2.2.1]heptanyl]methanesulfonic acid</t>
  </si>
  <si>
    <t>['3144-16-9', '((1S,4R)-7,7-Dimethyl-2-oxobicyclo[2.2.1]heptan-1-yl)methanesulfonic acid', 'd-Camphorsulfonic acid', 'd-(+)-10-camphorsulfonic acid', '(s)-camphorsulfonic acid', 'DL-10-Camphorsulfonic acid', 'd-(+)-camphor-10-sulfonic acid', 'UNII-9TLZ01S15L', 'Camphersulfosaeure', '9TLZ01S15L', 'd(+)-10-camphorsulfonic acid', 'DL-6-Oxobornane-10-sulphonic acid', '(R)-camphorsulfonic acid', 'Camphor-10-sulfonic acid', 'Camphersulfosaeure [German]', '(+)-CSA', 'EINECS 221-554-1', 'MFCD00064157', '(+)-10-CAMPHORSULFONIC ACID', '((1S,4R)-7,7-Dimethyl-2-oxobicyclo-[2.2.1]heptan-1-yl)methanesulfonic acid', '[(1S,4R)-7,7-dimethyl-2-oxobicyclo[2.2.1]hept-1-yl]methanesulfonic acid', '[(1S,4R)-7,7-dimethyl-2-oxobicyclo[2.2.1]heptan-1-yl]methanesulfonic acid', 'D(+)-10-Camphorsulfonic acid, 99%', '10-Camphorsulfonic acid', 'AI3-23953', 'D-Camphor-10-sulfonic acid', '2-Oxo-10-bornanesulfonic acid', 'MFCD00074827', 'Bicyclo[2.2.1]heptane-1-methanesulfonic acid, 7,7-dimethyl-2-oxo-, (1S,4R)-', 'AK-77016', 'camphor-sulfonic acid', 'PubChem7920', 'Voriconazole Impurity E', 'Camphorsulfonic acid, d-', 'dl-10_camphorsulfonic acid', 'SCHEMBL60288', 'KSC222G2L', '(1S)-10-camphorsulfonic acid', 'CHEBI:55403', 'CTK1C2325', 'DTXSID00883956', 'NSC4167', 'Bicyclo(2.2.1)heptane-1-methanesulfonic acid, 7,7-dimethyl-2-oxo-, (1S,4R)-', '10-Bornanesulfonic acid, 2-oxo-', 'BCP21451', 'NSC-4167', 'ZINC1673035', 'EINECS 200-949-2', 'EINECS 227-527-0', '(1S)-(+)-CSA', 'ANW-46100', 'AKOS005259156', 'Camphor-10-sulfonic acid (beta), 98%', 'AS-13390', 'I057', 'M345', 'SC-03362', 'AB0006114', 'AX8043768', '(1S)-(+)-10-Camphorsulfonic acid, 99%', '(1S,4R)-(+)-2-oxo-10-bornanesulfonic acid', 'J-520206', 'Q27124276', '(+)-Camphor-10-sulfonic acid, purum, &gt;=98.0% (T)', '(+/-)-Camphor-10-sulfonic acid, purum, &gt;=98.0% (T)', '1H-Imidazol-2-amine,4,5-dimethyl-, hydrochloride (1:1)', 'UNII-D8D049375Q component MIOPJNTWMNEORI-GMSGAONNSA-N', '(7,7-Dimethyl-2-oxobicyclo(2.2.1)hept-1-yl)methanesulphonic acid', 'Voriconazole impurity E, European Pharmacopoeia (EP) Reference Standard', 'Bicyclo[2.2.1]heptane-1-methanesulfonicacid, 7,7-dimethyl-2-oxo-, (1S,4R)-', 'D-Camphor sulfonic acid, United States Pharmacopeia (USP) Reference Standard', 'Ecamsule Related Compound D, United States Pharmacopeia (USP) Reference Standard', 'Voriconazole Related Compound F, United States Pharmacopeia (USP) Reference Standard']</t>
  </si>
  <si>
    <t>Compound(65617)</t>
  </si>
  <si>
    <t>C10H16O4S</t>
  </si>
  <si>
    <t>2-ethoxy-3-[[4-[2-(2H-tetrazol-5-yl)phenyl]phenyl]methyl]benzimidazole-4-carboxylic acid</t>
  </si>
  <si>
    <t>['candesartan', '139481-59-7', 'Blopress', 'CV-11974', "1-((2'-(1H-Tetrazol-5-yl)-[1,1'-biphenyl]-4-yl)methyl)-2-ethoxy-1H-benzo[d]imidazole-7-carboxylic acid", 'CV 11974', 'UNII-S8Q36MD2XX', '2-ethoxy-3-[[4-[2-(2H-tetrazol-5-yl)phenyl]phenyl]methyl]benzimidazole-4-carboxylic acid', 'CHEMBL1016', 'S8Q36MD2XX', '2-Ethoxy-1-(p-(o-1H-tetrazol-5-ylphenyl)benzyl)-7-benzimidazolecarboxylic acid', 'CHEBI:3347', 'C24H20N6O3', '2-ethoxy-3-[[4-[2-(1h-tetrazol-5-yl)phenyl]phenyl]methyl]-3h-benzoimidazole-4-carboxylic acid', 'NCGC00167474-01', 'AK-57139', 'DSSTox_CID_2725', "2-ethoxy-1-[[2'-(1H-tetrazol-5-yl)biphenyl-4-yl]methyl]-1H-benzimidazole-7-carboxylic acid", 'DSSTox_RID_75453', 'DSSTox_GSID_22725', "1H-Benzimidazole-7-carboxylic acid, 2-ethoxy-1-((2'-(1H-tetrazol-5-yl)(1,1'-biphenyl)-4-yl)methyl)-", 'Candesartan [BAN]', '[3H]candesartan', "2-ethoxy-1-{[2'-(1H-tetrazol-5-yl)biphenyl-4-yl]methyl}-1H-benzimidazole-7-carboxylic acid", "1-((2'-(1H-tetrazol-5-yl)biphenyl-4-yl)methyl)-2-ethoxy-1H-benzo[d]imidazole-7-carboxylic acid", "2-(ethyloxy)-1-{[2'-(1H-tetrazol-5-yl)biphenyl-4-yl]methyl}-1H-benzimidazole-7-carboxylic acid", "2-ethoxy-1-({2'-(1H-tetrazol-5-yl)[1,1'-biphenyl]-4-yl}methyl)-1H-benzimidazole-7-carboxylic acid", 'CAS-139481-59-7', 'SR-05000001447', 'Candesartan (USAN/INN)', 'Candesartan [USAN:INN]', 'CV11974', 'Kandesartan', 'Candesartan [USAN:INN:BAN]', 'HSDB 7520', '2-ethoxy-3-[[4-[2-(1H-tetrazol-5-yl)phenyl]phenyl]methyl]benzimidazole-4-carboxylic acid', '2-ethoxy-3-[[4-[2-(2H-tetrazol-5-yl)phenyl]phenyl]methyl]-4-benzimidazolecarboxylic acid', "2-ethoxy-1-[[2'-(1h-tetrazol-5-yl)[1,1'-biphenyl]-4-yl]methyl]-1h-benzimidazole-7-carboxylic acid", "2-Ethoxy-1-{[2'-(1H-tetrazol-5-yl)[1,1'-biphenyl]-4-yl]methyl}-1H-benzimidazole-7-carboxylic acid", '2-ethoxy-3-[[4-[2-(2H-1,2,3,4-tetrazol-5-yl)phenyl]phenyl]methyl]benzimidazole-4-carboxylic acid', 'candesartan (Atacand)', 'KS-5003', 'Candesartan - Atacand', 'Candesartan_2804_ p', 'TCV-116 (prodrug)', "2-ethoxy-7-carboxy-1-(2'-(1H-tetrazol-5-yl)biphenyl-4-yl)methylbenzimidazole", 'EC 604-138-8', 'SCHEMBL3938', 'GTPL587', 'MLS003915631', 'MLS004774041', 'BIDD:GT0350', 'GTPL6907', 'DTXSID0022725', 'CTK8E8165', 'BCPP000302', 'HMS2089M22', 'HMS3651C13', 'HMS3715F13', 'Pharmakon1600-01502288', 'ACT02607', 'BCP01137', 'EBD40593', 'HY-B0205', 'KS-000001UX', 'STR09609', 'ZINC3782818', 'Tox21_112478', 'AC-203', 'BDBM50240609', 'CC0016', 'NSC759858', 's1578', 'AKOS015888154', 'AKOS025117340', 'Tox21_112478_1', 'AB07470', 'AM84369', 'API0001828', 'AT-3243', 'BCP9000479', 'CCG-213059', 'CCG-269122', 'CS-2146', 'DB13919', 'NSC-759858', 'Candesartan cilexetil related compound g', 'NCGC00167474-02', 'NCGC00167474-04', 'NCGC00167474-06', '2-Ethoxy-3-[[4-[2-(1H-tetrazol-5-yl)phenyl]phenyl] methyl]-3H-benzoimidazole-4-carboxylic acid', 'BR-57139', 'LS-32740', 'SC-15284', 'SMR002203608', 'SMR003500711', 'AB0011997', 'AX8018243', 'C-266', 'FT-0602912', 'NS00009281', 'SW199612-2', 'C07468', 'D00522', 'J10263', 'S-2839', 'AB01275447-01', 'AB01275447_02', 'AB01275447_03', '481C597', 'A807545', 'A808309', 'L000156', 'Q415970', 'J-007281', 'SR-05000001447-1', 'SR-05000001447-2', 'SR-05000001447-5', "2-Ethoxy-1-[[2'-(1 H-tetrazol-5-yl)biphenyl-4-yl]methyl]-benzimidazole-7-carboxylic acid", "2-Ethoxy-1-[[2'-(1H-tetrazol-5-yl)biphenyl-4-yl]methyl]-benzimidazole-7-carboxylic acid", "2-Ethoxy-1-[[2'-(1H-tetrazol-5-yl)biphenyl-4-yl]methyl]benzimidazole-7-carboxylic Acid", "2-ethoxy-1-{[2'-(1H-tetrazol-5-yl)biphenyl-4ethyl]}-1H-benzimidazole-7-carboxylic acid", '2-Ethoxy-3-[[4-[2-(2H-tetrazol-5-yl)phenyl]phenyl]methyl]benzimidazole-4-carboxylic acid.', "2-Ethoxy-3-[2'-(1H-tetrazol-5-yl)-biphenyl-4-ylmethyl]-3H-benzimidazole-4-carboxylic acid", "1-((2'-(1H-Tetrazol-5-yl)-[1,1'-biphenyl]-4-yl)methyl)-2-ethoxy-1H-benzo[d]imidazole-7-carboxylic ac", '2-Ethoxy-1-((2-(1H-tetrazole-5-yl)biphenyl-4-yl)methyl)-1H-benzamidazole-7-carboxylic acid.', '2-ethoxy-1-({4-[2-(1H-1,2,3,4-tetrazol-5-yl)phenyl]phenyl}methyl)-1H-1,3-benzodiazole-7-carboxylic acid', '2-ethoxy-1-({4-[2-(2H-1,2,3,4-tetrazol-5-yl)phenyl]phenyl}methyl)-1H-1,3-benzodiazole-7-carboxylic acid', "2-ethoxy-1-&lt;&lt;2'-(1H-tetrazol-5-yl)biphenyl-4-yl&gt;methyl&gt;-1H-benzimidazole-7-carboxylic acid;", "2-Ethoxy-1-[[2'-(1H-tetrazol-5-yl)biphenyl-4-yl]methyl]-1H-benzimidazole-7-carboxylic Acid (Candesartan)", "2-ethoxy-1-[[2'-(2h-tetrazol-5-yl)[1,1'-biphenyl]-4-yl]methyl]-1h-benzimidazole-7-carboxylic acid", "2-ethoxy-1-{[2'-(2H-1,2,3,4-tetrazol-5-yl)-[1,1'-biphenyl]-4-yl]methyl}-1H-1,3-benzodiazole-7-carboxylic acid", "2-ethoxy-1-{[2'-(2H-tetrazol-5-yl)biphenyl-4-yl]methyl}-1H-benzimidazole-7-carboxylic acid", "2-ethoxy-3-[2''-(1H-tetrazol-5-yl)-biphenyl-4-ylmethyl]-3H-benzoimidazole-4-carboxylic acid", "2-Ethoxy-3-[2''-(1H-tetrazol-5-yl)-biphenyl-4-ylmethyl]-3H-benzoimidazole-4-carboxylic acid(CV-11974)", "2-Ethoxy-3-[2''-(2H-tetrazol-5-yl)-biphenyl-4-ylmethyl]-3H-benzoimidazole-4-carboxylic acid"]</t>
  </si>
  <si>
    <t>Compound(2541)</t>
  </si>
  <si>
    <t>C24H20N6O3</t>
  </si>
  <si>
    <t>pentyl N-[1-[(2R,3R,4S,5R)-3,4-dihydroxy-5-methyloxolan-2-yl]-5-fluoro-2-oxopyrimidin-4-yl]carbamate</t>
  </si>
  <si>
    <t>['CAPECITABINE', '154361-50-9', 'Xeloda', 'Capecitabin', 'Captabin', "5'-deoxy-5-fluoro-N-[(pentyloxy)carbonyl]cytidine", 'Ro 09-1978', 'Ro 09-1978/000', 'UNII-6804DJ8Z9U', "N(4)-Pentyloxycarbonyl-5'-deoxy-5-fluorocytidine", "5'-Deoxy-5-fluoro-N-((pentyloxy)carbonyl)cytidine", 'C15H22FN3O6', "Cytidine, 5'-deoxy-5-fluoro-N-[(pentyloxy)carbonyl]-", 'Capiibine', 'Pentyl 1-(5-deoxy-beta-D-ribofuranosyl)-5-fluoro-1,2-dihydro-2-oxo-4-pyrimidinecarbamate', 'Pentyl (1-((2R,3R,4S,5R)-3,4-dihydroxy-5-methyltetrahydrofuran-2-yl)-5-fluoro-2-oxo-1,2-dihydropyrimidin-4-yl)carbamate', 'Capecitibine', 'pentyl N-[1-[(2R,3R,4S,5R)-3,4-dihydroxy-5-methyloxolan-2-yl]-5-fluoro-2-oxopyrimidin-4-yl]carbamate', 'CHEBI:31348', '6804DJ8Z9U', '(1-(5-Deoxy-beta-D-ribofuranosyl)-5-fluoro-1,2-dihydro-2-oxo-4-pyrimidinyl)-carbamic acid pentyl ester', 'Carbamic acid, (1-(5-deoxy-beta-D-ribofuranosyl)-5-fluoro-1,2-dihydro-2-oxo-4-pyrimidinyl)-, pentyl ester', 'Caxeta', 'Xabine', 'Ro-091978000', 'DSSTox_CID_26451', 'DSSTox_RID_81625', 'Pentyl [1-(5-deoxy-beta-D-ribofuranosyl)-5-fluoro-2-oxo-1,2-dihydropyrimidin-4-yl]carbamate', 'DSSTox_GSID_46451', 'pentyl N-{1-[(2R,3R,4S,5R)-3,4-dihydroxy-5-methyloxolan-2-yl]-5-fluoro-2-oxo-1,2-dihydropyrimidin-4-yl}carbamate', "Cytidine, 5'-deoxy-5-fluoro-N-((pentyloxy)carbonyl)-", 'Capecitabine [USAN]', 'capecitabina', 'capecitabinum', 'Capecitabine (Xeloda)', '958887-39-3', 'SMR002530052', 'Xeloda (TN)', 'CAS-154361-50-9', 'Cpecitabine', 'HSDB 7656', 'NCGC00164569-01', 'AK-72933', 'Capecitabine [USAN:USP:INN:BAN]', 'RG-340', 'Capecitabine, 99%', 'PubChem21443', 'Ro-09-1978', 'R-340', 'SCHEMBL8153', 'CHEMBL1773', 'cc-330', 'MLS003915642', 'MLS004774137', 'Capecitabine (JAN/USP/INN)', 'CYT011', 'GTPL6799', 'DTXSID3046451', 'Capecitabine, analytical standard', 'CTK0H6126', 'Capecitabine, &gt;=98% (HPLC)', 'EX-A835', 'BCPP000300', 'HY-B0016', 'KS-00000E7O', 'ZINC3806413', 'Tox21_112198', 'CC0143', 's1156', 'AKOS015920130', 'Tox21_112198_1', 'AM84502', 'BCP9000483', 'BS-1000', 'CCG-264841', 'CS-0768', 'DB01101', 'MCULE-2851259722', 'NCGC00164569-02', 'BR-72933', 'CC-25374', 'LS-59070', 'pentyl 1-((2R,3R,4S,5R)-3,4-dihydroxy-5-methyltetrahydrofuran-2-yl)-5-fluoro-2-oxo-1,2-dihydropyrimidin-4-ylcarbamate', 'SC-08810', 'AB0068959', 'RO-9-1978', 'Ro-09-1978-000', 'C12650', 'D01223', "n4-pentyloxycarbonyl-5'-deoxy-5-fluorocytidine", 'S-3173', 'AB01274776-01', 'AB01274776-02', 'AB01274776_04', 'RO-09-1978000', '361C509', "5'-deoxy-5-fluoro-N4-(pentyloxycarbonyl)cytidine", '5-Deoxy-5-fluoro-N-[(pentyloxy)carbonyl]cytidine', 'C-20872', 'Q420207', 'SR-01000931255', '5-Deoxy-5-fluoro-N4-[(pentyloxy)carbonyl]cytidine', 'J-700154', 'Q-200788', 'SR-01000931255-3', 'BRD-K61192372-001-08-9', 'Z1741971721', 'Capecitabine, European Pharmacopoeia (EP) Reference Standard', 'Capecitabine, United States Pharmacopeia (USP) Reference Standard', 'Capecitabine, Pharmaceutical Secondary Standard; Certified Reference Material', 'Pentyl (1-((2R,3R,4S,5R)-3,4-dihydroxy-5-methyltetrahydrofuran-2-yl)-5-fluoro-2-oxo-1,2-dihydropyrim']</t>
  </si>
  <si>
    <t>Compound(60953)</t>
  </si>
  <si>
    <t>C15H22FN3O6</t>
  </si>
  <si>
    <t>2-(1,1,2,2-tetrachloroethylsulfanyl)-3a,4,7,7a-tetrahydroisoindole-1,3-dione</t>
  </si>
  <si>
    <t>['Captafol', 'Merpafol', 'Folcid', 'Arborseal', 'DIFOLATAN', 'Difosan', 'Sanspor', 'Terrazol', 'Foltaf', '2425-06-1', 'Proxel EF', 'Haipen 50', 'Sulfonimide', 'Sulpheimide', 'Captaspor', 'Kenofol', 'Haipen', 'Nalco 7046', 'Difolatan BOW', 'Difolatan 4F', 'Santar SM', 'Difolatan 4F1', 'Difolatan 80W', 'Alfloc 7020', 'Alfloc 7046', 'Ortho 5865', 'Tetrachloroethylthiotetrahydrophthalimide', 'N-(Tetrachloroethylthio)tetrahydrophthalimide', 'CHEBI:81938', '3a,4,7,7a-Tetrahydro-2-[(1,1,2,2-tetrachloroethyl)thio]-1H-isoindole-1,3(2H)-dione', 'CS 5623', '(Tetrachloroethylthio)tetrahydrophthalimide', 'DSSTox_CID_242', 'N-1,1,2,2-Tetrachloroethylmercapto-4-cyclohexene-1,2-carboximide', '2-(1,1,2,2-tetrachloroethylsulfanyl)-3a,4,7,7a-tetrahydroisoindole-1,3-dione', 'DSSTox_RID_75456', 'DSSTox_GSID_20242', 'Mycodifol', 'Q63088167', 'Captofol', '1,2,3,6-Tetrahydro-N-(1,1,2,2-tetrachloroethylthio)phthalimide', 'N-(1,1,2,2-Tetrachloroethylthio)-4-cyclohexene-1,2-dicarboximide', '3a,4,7,7a-Tetrahydro-N-(1,1,2,2-tetrachloroethanesulphenyl)phthalimide', 'N-((1,1,2,2-Tetrachloroethyl)sulfenyl)-cis-4-cyclohexene-1,2-dicarboximide', 'Ortho Difolatan 80W', 'Caswell No. 828', '1H-Isoindole-1,3(2H)-dione, 3a,4,7,7a-tetrahydro-2-[(1,1,2,2-tetrachloroethyl)thio]-', '2-[(1,1,2,2-tetrachloroethyl)thio]-3a,4,7,7a-tetrahydro-1H-isoindole-1,3(2H)-dione', 'CAS-2425-06-1', 'Ortho Difolatan 4 Flowable', 'Captafol [ANSI:BSI:ISO]', 'CCRIS 848', 'HSDB 340', 'Sulfenimide', 'Captatol', 'Alfloc', 'EINECS 219-363-3', 'CS5623', 'N-((1,1,2,2-Tetrachloroethyl)thio)-4-cyclohexene-1,2-dicarboximide', '4-Cyclohexene-1,2-dicarboximide, N-((1,1,2,2-tetrachloroethyl)thio)-', '4-Cyclohexene-1,2-dicarboximide, N-[(1,1,2,2-tetrachloroethyl)thio]-', 'EPA Pesticide Chemical Code 081701', '1H-Isoindole-1,3(2H)-dione, 3a,4,7,7a-tetrahydro-2-((1,1,2,2-tetrachloroethyl)thio)-', '3a,4,7,7a-Tetrahydro-2-((1,1,2,2-tetrachloroethyl)thio)-1H-isoindole-1,3(2H)-dione', 'Difolatan, JMAF', 'BRN 1543712', 'captafol;cis-Captafol', 'N-(1,1,2,2-Tetrachloraethylthio)-tetrahydrophthalamid', 'Ortho 5,865', 'SCHEMBL22930', 'N-(1,1,2,2-Tetrachloroethylthio)-delta4-tetrahydrophthalimide', 'N-(1,1,2,2-Tetrachloraethylthio)-cyclohex-4-en-1,4-diacarboximid', 'N-(1,1,2,2-Tetrachloraethylthio)-tetrahydrophthalamid [German]', 'CHEMBL1893263', 'DTXSID4020242', 'N-((1,1,2,2-etrachloroethyl)sulfenyl)-cis-4-cyclohexene-1,2-dicarboximide', 'N-(1,1,2,2-Tetrachloraethylthio)-cyclohex-4-en-1,4-diacarboximid [German]', 'JHRWWRDRBPCWTF-UHFFFAOYSA-', '4-Cyclohexene-1,2-dicarboximide, N-((1,1,2,2-tetrachloroethyl)thio)-, cis-', '4-Cyclohexene-1,2-dicarboximide, N-[(1,1,2,2-tetrachloroethyl)thio]-, cis-', '1H-Isoindole-1,3(2H)-dione, 3a,4,7,7a-tetrahydro-2-((1,1,2,2-tetrachloroethyl)thio)-, (3aR,7aS)-rel-', '1H-Isoindole-1,3(2H)-dione, 3a,4,7,7a-tetrahydro-2-((1,1,2,2-tetrachloroethyl)thio)-, cis-', '1H-Isoindole-1,3(2H)-dione, 3a,4,7,7a-tetrahydro-2-[(1,1,2,2-tetrachloroethyl)thio]-, (3aR,7aS)-rel-', '1H-Isoindole-1,3(2H)-dione, 3a,4,7,7a-tetrahydro-2-[(1,1,2,2-tetrachloroethyl)thio]-, cis-', 'Captafol 10 microg/mL in Isooctane', 'Tox21_201709', 'Tox21_300801', 'AKOS015898369', 'Captafol 100 microg/mL in Cyclohexane', 'LS-7255', 'NCGC00163962-01', 'NCGC00168296-01', 'NCGC00168296-02', 'NCGC00168296-03', 'NCGC00254705-01', 'NCGC00259258-01', 'LS-57473', 'DB-046378', 'Captafol, PESTANAL(R), analytical standard', 'FT-0603606', 'NS00005473', 'C18754', 'J-015413', 'N-(1,1,2,2-Tetrachloroethylthio)-D4-tetrahydrophthalimide', 'N-(1,1,2,2-Tetrachloroethylthio)-.DELTA.4-tetrahydrophthalimide', 'N-(1,1,2,2-tetrachloroethylthio)-Delta(4)-tetrahydrophthalimide', 'N-(1,1, 2,2-Tetrachloroethylsulfenyl)-cis-4-cyclohexene-1,2-dicarboximide', 'N-(1,1,2,2-tetrachloroethylmercapto)-4-cyclohexene-1,2-dicarboximide', 'N-(1,1,2,2-Tetrachloroethylsulfenyl)-cis-4-cyclohexene-1,2-dicarboximide', 'N-(1,1,2,2-Tetrachloroethylthio)-4-cyclohexene-1,2-dicarboximide, 8CI', 'N-[(1,1,2,2-tetrachloroethyl)sulfenyl]-4-cyclohexene-1,2-dicarboximide', '2-(1,1,2,2-tetrachloroethylthio)-3a,4,7,7a-tetrahydro-1H-isoindole-1,3(2H)-dione', '2-[(1,1,2,2-tetrachloroethyl)sulfanyl]-2,3,3a,4,7,7a-hexahydro-1H-isoindole-1,3-dione', '2-[(1,1,2,2-Tetrachloroethyl)sulfanyl]-3a,4,7,7a-tetrahydro-1H-isoindole-1,3(2H)-dione', '4-Cyclohexene-1,2-dicarboximide, N-((1,1,2,2-tetrachloroethyl)thio)- (7CI)', '2-[(1,1,2,2-Tetrachloroethyl)sulfanyl]-3a,4,7,7a-tetrahydro-1H-isoindole-1,3(2H)-dione #', '3a,4,7,7a-Tetrahydro-2-[(1,1,2,2-tetrachloroethyl)thio]-1H-isoindole-1,3(2H)-dione, 9CI']</t>
  </si>
  <si>
    <t>Compound(17038)</t>
  </si>
  <si>
    <t>C10H9Cl4NO2S</t>
  </si>
  <si>
    <t>2-(trichloromethylsulfanyl)-3a,4,7,7a-tetrahydroisoindole-1,3-dione</t>
  </si>
  <si>
    <t>['CAPTAN', '133-06-2', 'Amercide', 'Orthocide', 'Vondcaptan', 'Captaf', 'Captane', 'Captex', 'Kaptan', 'Malipur', 'Merpan', 'Neracid', 'Le captane', 'Glyodex 37-22', 'Venturin', 'Zenecal', 'Captan solution', 'Vancide 89', 'Orthocide 75', 'N-[(Trichloromethyl)thio]tetrahydrophthalimide', 'SR 406', 'Aacaptan', 'Bangton', 'Hexacap', 'Osocide', 'Vanicide', 'Captab', 'Stauffer captan', 'ENT 26,538', 'Captan 90-concentrate (solid)', 'Vangard K', 'Orthocide 50', 'Orthocide 83', '2-((Trichloromethyl)thio)-3a,4,7,7a-tetrahydro-1H-isoindole-1,3(2H)-dione', 'Orthocide 406', 'Orthocide 7.5', 'Ortocid 50', 'Vancide 89RE', 'Captaf 85W', 'Captan 50W', 'Fungus Ban Type II', 'Esso fungicide 406', 'N-(Trichloromethylthio)-4-cyclohexene-1,2-dicarboximide', 'Flit 406', 'DTXSID9020243', 'CHEBI:34608', '2-(trichloromethylsulfanyl)-3a,4,7,7a-tetrahydroisoindole-1,3-dione', '1H-Isoindole-1,3(2H)-dione, 3a,4,7,7a-tetrahydro-2-[(trichloromethyl)thio]-', 'Sr406', 'N-[(Trichloromethyl)thio]-4-cyclohexene-1,2-dicarboximide', 'NCGC00091034-02', 'NCI-C00077', 'DSSTox_CID_243', '1H-Isoindole-1,3(2H)-dione,3a,4,7,7a-tetrahydro-2-[(trichloromethyl)thio]-', 'DSSTox_RID_75457', 'DSSTox_GSID_20243', 'N-Trichloromethylthio-3a,4,7,7a-tetrahydrophthalimide', 'Vanguard K', '4-Cyclohexene-1,2-dicarboximide, N-[(trichloromethyl)thio]-', 'Bangtan', 'Orthocid-83', 'N-(Trichlor-methylthio)-phthalimid', '2-[(Trichloromethyl)sulfanyl]-3a,4,7,7a-tetrahydro-1H-isoindole-1,3(2H)-dione', 'CAS-133-06-2', '3a,4,7,7a-Tetrahydro-N-(trichloromethanesulphenyl)phthalimide', '3a,4,7,7a-Tetrahydro-2-[(trichloromethyl)thio]-1H-isoindole-1,3(2H)-dione', 'Captan-streptomycin 7.5-0.1 potato seed piece protectant', 'Trichlormethylthioamid kyseliny 1,2,3,6-tetrahydroftalove', 'N-((Trichloromethyl)thio)-4-cyclohexene-1,2-dicarboximide', 'N-((Trichloromethyl)thio)cyclohex-4-ene-1,2-dicarboximide', 'N-[(Trichloromethyl)thio]cyclohex-4-ene-1,2-dicarboximide', 'N-((Trichloromethyl)mercapto)-4-cyclohexene-1,2-dicarboximide', 'N-[(Trichloromethyl)mercapto]-4-cyclohexene-1,2-dicarboximide', '2-(trichloromethylthio)-4,7,3a,7a-tetrahydroisoindole-1,3-dione', '3a,4,7,7a-Tetrahydro-2-((trichloromethyl)thio)-1H-isoindole-1,3(2H)-dione', '2-[(trichloromethyl)thio]-3a,4,7,7a-tetrahydro-1H-isoindole-1,3(2H)-dione', 'Orthocide-83', 'Orthocide S 50', 'Captan, analytical standard', 'SCHEMBL21047', 'MLS002222339', 'CHEMBL388676', 'LDVVMCZRFWMZSG-UHFFFAOYSA-', 'Captan 1000 microg/mL in Acetone', 'HY-B1584', 'NSC36726', 'WLN: T56 BVNV GUTJ CSXGGG', 'Captan 10 microg/mL in Cyclohexane', 'Tox21_111065', 'Tox21_201276', 'Tox21_300772', 'NSC-36726', 'SBB061410', 'Captan 100 microg/mL in Cyclohexane', 'AKOS015895773', 'Captan 100 microg/mL in Acetonitrile', 'CCG-231621', 'MCULE-5188859120', 'NCGC00091034-01', 'NCGC00091034-03', 'NCGC00091034-04', 'NCGC00091034-05', 'NCGC00091034-06', 'NCGC00091034-07', 'NCGC00091034-08', 'NCGC00091034-09', 'NCGC00091034-10', 'NCGC00254676-01', 'NCGC00258828-01', 'AK129248', 'AS-13811', 'S329', 'SMR001307282', 'Captan, PESTANAL(R), analytical standard', '4-Cyclohexene-1, N-(trichloromethylthio)-', 'CS-0013481', 'FT-0602921', 'NS00008419', 'ST51047429', '4-Cyclohexene-1, N-[(trichloromethyl)thio]-', 'C14438', 'J10359', 'Captan, certified reference material, TraceCERT(R)', 'J-006299', 'N-Trichloromethylthio-3a,7,7a-tetrahydrophthalimide', 'Q2194382', 'N-Trichloromethyl-thio-3a,4,7,7a-tetrahydropthalimide', 'n-(trichloromethylthio)cyclohex-4-ene-1,2-dicarboximide', 'N-(trichloromethylmercapto)-Delta(4)-tetrahydrophthalimide', 'N-[(Trichloromethyl)thio]-.DELTA.4-tetrahydrophthalimide', 'N-((Trichloromethyl)mercapto)-.DELTA.4-tetrahydrophthalimide', '1H-Isoindole-1, 3a,4,7,7a-tetrahydro-2-[(trichloromethyl)thio]-', 'N-[(Trichloromethyl)mercapto]-.delta.(sup 4)-tetrahydrophthalimide', '3a,4,7,7a-Tetrahydro-2-[(trichloromethyl)thio]-1H-isoindole-1,3(2H)dione', 'N-[(Trichloromethyl)thio]-cis-.delta.(sup 4)-cyclohexene-1,2-dicarboximide', '2-[(Trichloromethyl)sulfanyl]-3a,4,7,7a-tetrahydro-1H-isoindole-1,3(2H)-dione #', 'Captan solution, 100 ng/muL in acetonitrile, PESTANAL(R), analytical standard']</t>
  </si>
  <si>
    <t>Compound(8606)</t>
  </si>
  <si>
    <t>C9H8Cl3NO2S</t>
  </si>
  <si>
    <t>6-methyl-N-phenyl-2,3-dihydro-1,4-oxathiine-5-carboxamide</t>
  </si>
  <si>
    <t>['CARBOXIN', '5234-68-4', 'Carbathiin', 'Carboxine', 'Vitavax', 'Oxatin', 'Kisvax', 'Vitavax 75W', 'DCMO', '2-Methyl-N-phenyl-5,6-dihydro-1,4-oxathiine-3-carboxamide', 'DMOC', 'Vitavax 100', 'Vitavax 735D', 'Kemikar', 'Vitaflo 250', 'Cerevax', 'Enhance', 'Murganic', 'Vitaflow', 'Cerevax Extra', 'Enhance Plus', 'Germate Plus', '1,4-Oxathiin-3-carboxamide, 5,6-dihydro-2-methyl-N-phenyl-', 'RTV Vitavax', 'Pro-Gro', 'V 4X', '5,6-Dihydro-2-methyl-N-phenyl-1,4-oxathiin-3-carboxamide', 'D 735', 'Flo pro v seed protectant', 'Dual Murganic RPB', 'Vitavax 34', 'Vitavax 30-C', 'Vitavax-200', 'Vitavax-300', 'Vitavax-Thiram-Lindane', 'F 735', '2,3-Dihydro-5-carboxanilido-6-methyl-1,4-oxathiin', '2,3-Dihydro-6-methyl-1,4-oxathiin-5-carboxanilide', '5,6-Dihydro-2-methyl-1,4-oxathiin-3-carboxanilide', 'Caswell No. 165A', 'Mist-O-Matic Murganic', 'Carboxine [ISO-French]', 'DMOC (VAN)', '5-Carboxanilido-2,3-dihydro-6-methyl-1,4-oxathiin', '2,3-Dihydro-6-methyl-5-phenylcarbamoyl-1,4-oxathiin', 'UNII-5A8K850HDE', 'Carboxin [ANSI:BSI:ISO]', 'NSC 263492', '6-methyl-N-phenyl-2,3-dihydro-1,4-oxathiine-5-carboxamide', 'CCRIS 5217', 'D735', '5,6-Dihydro-2-methyl-3-carboxanilido-1,4-oxathiin', 'HSDB 1532', 'D-735', 'EINECS 226-031-1', 'EPA Pesticide Chemical Code 090201', 'BRN 0983249', '1,4-Oxathiin, 2,3-dihydro-5-carboxanilido-6-methyl-', '1,4-Oxathiin-3-carboxanilide, 5,6-dihydro-2-methyl-', '5A8K850HDE', 'CHEBI:3405', '5,6-Dihydro-2-methyl-3-carboxanilido-1,4-oxathiin [German]', 'DSSTox_CID_3951', 'DSSTox_RID_77240', 'DSSTox_GSID_23951', 'Fenoxan', 'Karboxyn', 'CAS-5234-68-4', 'Vitavax EC 200', '(6-methyl(2,3-dihydro-1,4-oxathiin-5-yl))-N-benzamide', 'Carboxine Form II', '2,4-oxathiin', 'Cambridge id 5373048', 'TimTec1_001678', 'SCHEMBL18392', '5-19-07-00251 (Beilstein Handbook Reference)', 'MLS000059188', '2,4-oxathiin-5-carboxanilide', '5,4-oxathiin-3-carboxanilide', '5-Carboxanilido-2,4-oxathiin', '1, 5,6-dihydro-2-methyl-', 'CHEMBL1231667', 'DTXSID0023951', 'ZINC43478', 'HMS1538M06', 'HMS2231N20', 'HMS3370C04', 'HMS3604G19', 'DNDI1724944', 'HY-B2064', 'KS-00000JG9', 'WLN: T6O DS BUTJ B1 CVMR', 'Tox21_201988', 'Tox21_300706', 'NSC263492', 's4805', 'SBB056737', 'STK838152', 'AKOS000545990', '1, 5,6-dihydro-2-methyl-N-phenyl-', 'CCG-236658', 'CS-W019702', 'DB04657', 'FS-3015', 'MCULE-1167484479', 'NSC-263492', 'SDCCGMLS-0037038.P002', 'NCGC00053919-02', 'NCGC00053919-03', 'NCGC00053919-04', 'NCGC00053919-05', 'NCGC00053919-06', 'NCGC00254614-01', 'NCGC00259537-01', 'AC-12556', 'AK-32289', 'BR-32289', 'LS-99691', 'O451', 'Pesticide5_Carboxin_C12H13NO2S_Vitavax', 'SMR000069560', 'ST020597', 'AB0016465', 'DB-052115', '1, 2,3-dihydro-5-carboxanilido-6-methyl-', 'AM20060655', 'FT-0602928', 'NS00002769', 'Carboxine, PESTANAL(R), analytical standard', 'C11255', 'S-2030', 'AB00083271-01', 'AB00083271-08', '234C684', 'A829041', 'SR-01000388704', 'Q2937968', 'SR-01000388704-1', 'W-105831', 'BRD-K17610834-001-01-2', 'N-Phenyl-2-methyl-5,6-dihydrooxathiin-3-carboxamide', '6-methyl-N-phenyl-2,3-dihydro-1,4-oxathiin-5-carboxamide', '1,4-Oxathiin-3-carboxanilide, 5,6-dihydro-2-methyl- (8CI)', '2-Methyl-N-phenyl-5,6-dihydro-1,4-oxathiine-3-carboxamide #', '5,6-DIHYDRO-2-METHYL-1,4-OXATHIIN-3-CARBOXANILID; CARBOXIN; CBX']</t>
  </si>
  <si>
    <t>Compound(21307)</t>
  </si>
  <si>
    <t>C12H13NO2S</t>
  </si>
  <si>
    <t>methyl N-[(E)-(1,4-dioxidoquinoxaline-1,4-diium-2-yl)methylideneamino]carbamate</t>
  </si>
  <si>
    <t>['CARBADOX', '6804-07-5', 'Getroxel', 'Mecadox', 'MLS001333201', 'SMR000857182', '(E)-2-((2-(methoxycarbonyl)hydrazono)methyl)quinoxaline 1,4-dioxide', 'Hydrazinecarboxylic acid, [(1,4-dioxido-2-quinoxalinyl)methylene]-,methyl ester', 'DSSTox_CID_23913', 'DSSTox_RID_80088', 'DSSTox_GSID_43913', 'Fortigro', 'W-104691', 'C11H10N4O4', 'Fortrigo', 'Karbadox [Czech]', 'N-[(E)-(1-hydroxy-4-oxido-quinoxalin-4-ium-2-ylidene)methyl]iminocarbamic acid methyl ester', 'CAS-6804-07-5', 'Carbadoxum [INN-Latin]', 'Carbadox [USAN:INN:BAN]', 'SR-05000001715', 'CCRIS 3002', 'HSDB 7028', 'EINECS 229-879-0', "3-(2-Quinoxalinylmethylene)carbazic acid methyl ester N,N'-dioxide", 'N-[(1E)-2-(1,4-dihydroxyquinoxalin-2-yl)-1-azavinyl]methoxycarboxamide', 'GS 6244', 'GS-6244', '2-Formylquinoxaline 1,4-dioxide carbomethoxyhydrazone', 'Methyl 3-(2-quinoxalinylmethylene)carbazate-N1,N4-dioxide', 'BSPBio_003554', '3-(2-Chinoxalinylmethylen-1,4-dioxid)methylkarbazat [Czech]', 'MLS001333202', 'CHEMBL13779', 'SCHEMBL193112', 'SPECTRUM1505294', 'DTXSID6043913', 'Methyl 3-(2-quinoxalinylmethylene)carbazate N(sup 1),N(sup 4)-dioxide', 'SCHEMBL14973511', 'BDBM58923', 'CHEBI:94744', 'cid_5353472', 'Carbazic acid, 3-(2-quinoxalinylmethylene)-, methyl ester, N(sup 1),N(sup 4)-dioxide', 'Hydrazinecarboxylic acid (2-quinoxalinylmethylene)-, methyl ester N(sup 1),N(sup 4)-dioxide', 'HMS1922B06', 'HMS2090M03', 'HMS2093O20', 'HMS3713J12', 'Pharmakon1600-01505294', 'HY-B1340', 'Hydrazinecarboxylic acid, (2-quinoxalinylmethylene)-, methyl ester N(sup 1),N(sup 4)-dioxide', 'Tox21_111456', 'CCG-39539', 'DL-343', 'MFCD00057293', 'NSC758942', 'SBB058137', 'AKOS015895709', 'AKOS026749942', 'methyl N-[(1-hydroxy-4-oxidoquinoxalin-4-ium-2-ylidene)methylimino]carbamate', 'Tox21_111456_1', 'API0001841', 'CS-8210', 'NSC-758942', "Hydrazinecarboxylic acid, (2-quinoxalinylmethylene)-, methyl ester, N,N'-dioxide", 'methyl N-[(E)-(1-hydroxy-4-oxidoquinoxalin-4-ium-2-ylidene)methyl]iminocarbamate', 'NCGC00095156-03', 'NCGC00095156-06', 'AC-11698', 'LS-51665', 'NS00011822', 'ST51014956', 'AB01275499-01', 'AB01275499_02', 'AB01275499_03', 'A835985', 'SR-05000001715-1', 'SR-05000001715-3', 'BRD-K56735750-001-03-5', 'Methyl (2E)-2-[(1,4-dioxido-2-quinoxalinyl)methylene]hydrazinecarboxylate', 'methyl N-[(4-oxidanidyl-1-oxidanyl-quinoxalin-4-ium-2-ylidene)methylimino]carbamate', 'methyl N-[(E)-(1,4-dioxidoquinoxaline-1,4-diium-2-yl)methylideneamino]carbamate', 'methyl N-[(E)-(4-oxidanidyl-1-oxidanyl-quinoxalin-4-ium-2-ylidene)methyl]iminocarbamate', 'N-[(E)-(1-hydroxy-4-oxido-2-quinoxalin-4-iumylidene)methyl]iminocarbamic acid methyl ester', 'Methyl (2E)-2-[(1,4-dioxo-1lambda~5~,4lambda~5~-quinoxalin-2-yl)methylidene]hydrazine-1-carboxylate']</t>
  </si>
  <si>
    <t>Compound(135511839)</t>
  </si>
  <si>
    <t>C11H10N4O4</t>
  </si>
  <si>
    <t>methyl N-(1H-benzimidazol-2-yl)carbamate</t>
  </si>
  <si>
    <t>['Carbendazim', '10605-21-7', 'Carbendazole', 'Bavistin', 'Mecarzole', 'Carbendazime', 'Carbendazol', 'Bavistan', 'Derosal', 'Thicoper', 'Medamine', 'Funaben', 'Methyl 2-benzimidazolecarbamate', 'BMK (fungicide)', 'Carbendazym', 'Equitdazin', 'Garbenda', 'Kemdazin', 'Supercarb', 'Agrizim', 'Battal', 'Bengard', 'Bitosen', 'Custos', 'Delsene', 'Karben', 'Kolfugo', 'Stempor', 'Myco', 'Bavistin 3460', 'carbendazine', 'Methyl benzimidazol-2-ylcarbamate', 'Falicarben', 'Pillarstin', 'Fungisol', 'Triticol', 'Stein', 'Spin', 'Bercema-Bitosen', 'Kolfugo Extra', 'Preventol BCM', 'Antibac MF', 'Carben VL', 'Funaben 3', 'BCM (fungicide)', 'METHYL 1H-BENZIMIDAZOL-2-YLCARBAMATE', '2-MBC', 'IPO Y', 'methyl 1H-benzo[d]imidazol-2-ylcarbamate', 'Methyl benzimidazolylcarbamate', 'Benzimidazolecarbamic', 'Funaben 50', 'Jkatein', 'Carbamic acid, 1H-benzimidazol-2-yl-, methyl ester', 'Preparation G 665', '2-(Methoxycarbamoyl)benzimidazole', 'A 118 (pesticide)', '2-(Carbomethoxyamino)benzimidazole', 'Methyl 1H-benzimidazole-2-carbamate', 'carbendazin', 'carbendazyme', 'mekarzole', 'Kolfugo 25 FW', '2-(Methoxycarbonylamino)-benzimidazole', 'BAS 67054F', '1H-Benzimidazole-2-carbamic acid, methyl ester', '2-Benzimidazolecarbamic acid, methyl ester', 'Carbendazim [BSI:ISO]', 'BMK (VAN)', 'Methyl N-2-benzimidazolecarbamate', '1H-Benzimidazol-2-ylcarbamic acid methyl ester', 'Methyl benzimidazolecarbamate', 'BAS-3460', 'CTR 6669', 'methyl N-(1H-benzimidazol-2-yl)carbamate', '2-(Methoxycarbonylamino)benzimidazole', 'Benzimidazole-2-carbamic acid, methyl ester', 'EK 578', 'HOE 17411', 'G 665', 'Zhiweiling', 'Bavistine', 'CCRIS 1553', 'Fungoxan', 'Jkstein', 'Protek', 'Sarfun', 'Subeej', '2-(Methoxy-carbonylamino)-benzimidazol', 'HSDB 6581', 'U 32104', 'Bavistin FL', 'MBC (VAN)', 'Carbendazime [ISO-French]', 'IPO-1250', 'Spin (pesticide)', 'Karben flo Stefes', 'Karben Stefes Flo', 'Olgin (fungicide)', 'BA 67054F', 'Bavistin 25SD', 'Bavistin 50SD', 'Delsene 10', 'Derosal 60PM', 'Kolfugo 25FW', 'UNII-H75J14AA89', '2-[(Methoxycarbonyl)amino]benzimidazole', 'methyl 2-benzimidazil carbamate', 'Methyl 2-benzimidazolylcarbamate', 'methyl-2-benzimidazole carbamate', 'BMK', 'methylbenzimidazole-2-ylcarbamate', 'BAS 3460F', 'Methyl 1H-benzimidazolylcarbamate', 'Benzimidazole carbamate de methyle', 'benzimidazolecarbamate methyl ester', 'Carbamic acid, N-1H-benzimidazol-2-yl-, methyl ester', 'BAS 3460 F', 'Methyl 1H-benzimidazol-2-ylcarbamate (9CI)', 'IPO 1250', 'methoxybenzimidazole-2-carbamic acid', 'EINECS 234-232-0', 'BAS-67054', 'methyl-N-(2-benzimidazolyl)carbamate', '1H-Benzimidazol-2-ylcarbamic acid, methyl ester', 'RCRA waste no. U372', 'EPA Pesticide Chemical Code 115001', 'EPA Pesticide Chemical Code 128872', 'NSC 109874', 'U-32.104', 'CHEMBL70971', '2-Methyl benzimidazolecarbamate', 'Benzimidazole carbamate de methyle [French]', 'MLS002701961', 'C9H9N3O2', 'CHEBI:3392', 'A 118', '2-(Methoxy-carbonylamino)-benzimidazol [German]', 'Carbamic acid, 1H-benzimidazolyl-, methyl ester', 'H75J14AA89', '2-(Methoxycarboxamido)benzimidazole', 'BAS 3460', 'methyl N-(2-benzimidazolyl)carbamate', 'N-benzimidazol-2-ylmethoxycarboxamide', 'NSC-109874', '2-Bezimidazolecarbamic acid methyl ester', 'DSSTox_CID_4729', 'methyl N-(1H-1,3-benzodiazol-2-yl)carbamate', 'DSSTox_RID_77513', '1H-Benzimidazol-2-yl-carbamic acid, methyl ester', 'DSSTox_GSID_24729', '37953-07-4', 'KID PEST PROJECT (CARBENDAZIM) (SEE ALSO CARBENDAZIM)', 'Carbamic acid, N-1H-benzimidazol-2-yl-, methyl ester;Methyl 1H-benzo[d]imidazol-2-ylcarbamate', '162976-69-4', '59758-95-1', 'Carbendazim (MBC)', 'CAS-10605-21-7', '2-(Methoxy-carbonylamino)-benzimidazol (GERMAN)', '2-benzimidazolecarbamic acid methyl ester', 'Carbate', 'Benomyl metabolite', 'Methomyl Technical', 'FB642', 'Carbendazol, JMAF', 'CTR-6669', 'Tripart defensor FL', 'Carbendazim, 97%', 'FB-642', 'Carbendazim_278_ p', 'Turfclear (Salt/Mix)', 'BMC?', 'ChemDivAM_000201', 'G-665', 'ChemDiv1_000052', '1h-benzimidazole-2-carbamic acid methyl ester', 'SCHEMBL21051', 'BIDD:ER0282', 'Fenbendazole related compound a', 'CAR076', 'Carbendazim, analytical standard', '2-carbomethoxyamino-benzimidazole', 'DTXSID4024729', 'methyl benzimidazole-2-carbamate', 'SCHEMBL19926051', 'CTK8H1642', 'HMS587C08', 'KS-00000INA', 'methyl 2-benzimidazolyl-carbamate', 'ZINC43475', 'BAS-67054F', 'Tox21_202295', 'Tox21_300478', '2-(carbomethoxy-amino)-benzimidazole', 'BDBM50116313', 'EK-578', 'HOE-17411', 'LS-418', 'Methyl 1H-2-benzimidazolecarbaminate', 'Methyl N-benzimidazol-2-yl-carbamate', 'NSC109874', 'SBB057110', 'AKOS002384358', 'CCG-101273', 'CS-8030', 'DB13009', 'KS-5360', 'MCULE-6012353785', '2-(Methoxy-carbonylamino)-benzimidazole', 'NCGC00090706-01', 'NCGC00090706-02', 'NCGC00090706-03', 'NCGC00090706-04', 'NCGC00254328-01', 'NCGC00259844-01', '105268-95-9', 'AC-10590', 'BP-21318', 'HY-13582', 'M143', 'NCI60_000240', 'SC-46176', 'SMR000304463', 'ST020591', 'DB-040676', 'Methyl 1H-benzimidazol-2-ylcarbamate, 9CI', 'FT-0602933', 'FT-0664246', 'NS00010265', 'S3676', 'C10897', 'Carbendazim, PESTANAL(R), analytical standard', '605C217', 'AF-962/00515023', 'Q418607', 'SR-01000390861', '(1H-Benzoimidazol-2-yl)-carbamic acid methyl ester', 'J-001536', 'SR-01000390861-1', 'Carbendazim, certified reference material, TraceCERT(R)', 'F0266-0908', 'Fenbendazole impurity A, European Pharmacopoeia (EP) Reference Standard', 'Fenbendazole Related Compound A, United States Pharmacopeia (USP) Reference Standard', '102040-01-7', '110342-67-1', '212384-28-6', '39413-19-9']</t>
  </si>
  <si>
    <t>Compound(25429)</t>
  </si>
  <si>
    <t>C9H9N3O2</t>
  </si>
  <si>
    <t>carbophenothion</t>
  </si>
  <si>
    <t>(4-chlorophenyl)sulfanylmethylsulfanyl-diethoxy-sulfanylidene-lambda5-phosphane</t>
  </si>
  <si>
    <t>['CARBOPHENOTHION', 'Carbofenotion', 'Trithion', 'Oleoakarithion', 'Carbofenothion', 'Carbofenthion', 'Acarithion', 'Garrathion', 'Hexathion', 'Ethyl carbophenothion', '786-19-6', 'Akarithion', 'Dagadip', 'Nephocarp', 'Trithion miticide', 'Lethox', 'Endyl', 'Karbofenothion', 'Stauffer R-1,303', 'ENT 23,708', 'NSC 231691', 'Caswell No. 165', 'Carbofenothion [Dutch]', 'Karbofenothion [Czech]', 'R-1303', 'OMS 244', 'Carbofenotionum [INN-Latin]', 'R 1303', 'UNII-998NGA2Q61', 'HSDB 958', 'Stauffer R-1303', 'EINECS 212-324-1', 'O,O-Diethyl dithiophosphoric acid p-chlorophenylthiomethyl ester', 'EPA Pesticide Chemical Code 058102', 'BRN 1885240', 'AI3-23708', 'CHEBI:82107', 'Carbophenothion [ANSI:BSI:ISO]', '998NGA2Q61', 'Dithiophosphate de O,O-diethyle et de (4-chloro-phenyl) thiomethyle', 'O,O-Diethyl-S-p-chlorfenylthiomethylester kyseliny dithiofosforecne', 'O,O-Diethyl S-p-chlorophenylthiomethyl dithiophosphate', 'O,O-Diethyl p-chlorophenylmercaptomethyl dithiophosphate', 'O,O-Diethyl S-(4-chlorophenylthiomethyl) dithiophosphate', 'O,O-Dietil-S-((4-cloro-fenil-tio)-metile)-ditiofosfato', 'S-(4-Chlorophenylthiomethyl)diethyl phosphorothiolothionate', 'NCGC00166170-01', 'O,O-Diethyl S-(p-Chlorophenylthio)methyl phosphorodithioate', 'O,O-Diethyl S-(p-chlorophenylthiomethyl) phosphorodithioate', 'S-((p-Chlorophenylthio)methyl) O,O-diethyl phosphorodithioate', 'S-[[(p-Chlorophenyl)thio]methyl] O,O-diethyl phosphorodithioate', 'O,O-Dietil-S-((4-cloro-fenil-tio)-metile)-ditiofosfato [Italian]', 'DSSTox_CID_2120', 'O,O-Diaethyl-S-((4-chlor-phenyl-thio)-methyl)dithiophosphat [German]', 'O,O-Diethyl-S-((4-chloor-fenyl-thio)-methyl)-dithiofosfaat [Dutch]', 'Dithiophosphate de O,O-diethyle et de (4-chloro-phenyl) thiomethyle [French]', 'O,O-Diethyl-S-p-chlorfenylthiomethylester kyseliny dithiofosforecne [Czech]', 'Phosphorodithioic acid, S-(((4-chlorophenyl)thio)methyl) O,O-diethyl ester', 'Phosphorodithioic acid, S-(((p-chlorophenyl)thio)methyl) O,O-diethyl ester', 'Phosphorodithioic acid, S-[[(4-chlorophenyl)thio]methyl] O,O-diethyl ester', 'DSSTox_RID_76494', 'DSSTox_GSID_22120', 'Carbofenotionum', 'S-{[(4-chlorophenyl)thio]methyl} O,O-diethyl dithiophosphate', 'S-(((p-Chlorophenyl)thio)methyl) O,O-diethyl phosphorodithioate', 'Phosphorodithioic acid, S-[[(p-chlorophenyl)thio]methyl] O,O-diethyl ester', 'CAS-786-19-6', 'Carbofenotion [INN]', 'O,O-Diaethyl-S-((4-chlor-phenyl-thio)methyl)dithiophosphat', 'O,O-Diaethyl-S-[(4-chlor-phenyl-thio)methyl]dithiophosphat', 'O,O-Diethyl (((p-chlorophenyl)mercapto)methyl) dithiophosphate', 'O,O-Diethyl [[(p-chlorophenyl)mercapto]methyl] dithiophosphate', 'O,O-Diethyl S-(((4-chlorophenyl)thio)methyl) dithiophosphate', 'O,O-Diethyl S-(((p-chlorophenyl)thio)methyl) dithiophosphate', 'O,O-Diethyl S-[[(4-chlorophenyl)thio]methyl] dithiophosphate', 'O,O-Diethyl S-[[(p-chlorophenyl)thio]methyl] dithiophosphate', 'S-(((4-Chlorophenyl)thio)methyl)diethyl phosphorothiolothionate', 'S-[[(4-Chlorophenyl)thio]methyl]diethyl phosphorothiolothionate', 'Trithiontylphenol', '(4-chlorophenyl)sulfanylmethylsulfanyl-diethoxy-sulfanylidene-?^{5}-phosphane', 'Stauffer R1303', 'Carbophenothion [INN:ANSI:BSI:ISO]', 'Carbofenotion [INN:BAN]', 'SCHEMBL10754', 'Carbofenotion, Carbophenothion', 'MLS004712086', 'CHEMBL452866', 'ZINC1092', 'DTXSID7022120', 'S-(4-Chlorophenylthiomethyl) O,O-diethyl phosphorodithioate', 'O,O-Diaethyl-S-((4-chlor-phenyl-thio)-methyl)dithiophosphat', 'O,O-Diethyl-S-((4-chloor-fenyl-thio)-methyl)-dithiofosfaat', 'Tox21_113359', 'Tox21_301426', 'NSC231691', 'S-(((4-Chlorophenyl)thio)methyl) O,O-diethyl phosphorodithioate (9CI)', 'NSC-231691', 'NCGC00166170-02', 'NCGC00255134-01', 'CC-25414', 'SMR001550569', 'WLN: 2OPS&amp;O2&amp;SR D1SPS&amp;O2&amp;O2', 'Carbophenothion 10 microg/mL in Isooctane', 'Carbophenothion 1000 microg/mL in Methanol', 'DB-056319', 'LS-108065', 'NS00015384', 'Carbophenothion 100 microg/mL in Cyclohexane', 'C18968', 'C-20399', 'Carbophenothion, PESTANAL(R), analytical standard', 'SR-01000883724', 'Q2937964', 'SR-01000883724-1', '[(4-chlorophenyl)thio]methyl O,O-diethyl dithiophosphate', 'O,O-Diethyl-S-(4-chloor-fenyl-thio)-methyl)-dithiofosfaat', 'S-(4-chlorophenylthio)methyl O,O-diethyl phosphorodithioate', 'S-(4-Chlorophenylthiomethyl) OO-diethyl phosphorodithioate', 'O,O-Diethyl S-[[(p-chlorophenyl)thio]methyl] phosphorodithioate', 'S-(((4-Chlorophenyl)thio)methyl) O,O-diethyl phosphorodithioate', 'S-([(4-Chlorophenyl)sulfanyl]methyl) O,O-diethyl dithiophosphate #', 'S-{[(4-Chlorophenyl)sulfanyl]methyl} O,O-diethyl phosphorodithioate']</t>
  </si>
  <si>
    <t>Compound(13081)</t>
  </si>
  <si>
    <t>C11H16ClO2PS3</t>
  </si>
  <si>
    <t>(2,2-dimethyl-3H-1-benzofuran-7-yl) N-methylcarbamate</t>
  </si>
  <si>
    <t>['carbofuran', 'Furadan', '1563-66-2', 'Curaterr', 'Yaltox', 'Chinufur', 'Crisfuran', 'Furacarb', 'Furadan 3G', 'Furadan G', 'Furadan 4f', 'Carbofurane', 'Pillarfuran', 'Kenofuran', 'Niagara 10242', 'Karbofuranu', 'Brifur', 'BAY 70143', 'Niagara nia-10242', 'Bayer 70143', 'FMC 10242', 'NIA 10242', 'Carbodan', 'Furodan', 'Karbofuranu [Polish]', 'Me f248', 'Caswell No. 160A', 'Carbofuran [ANSI:BSI:ISO]', '2,2-Dimethyl-7-coumaranyl N-methylcarbamate', 'ENT 27,164', '7-Benzofuranol, 2,3-dihydro-2,2-dimethyl-, methylcarbamate', 'OMS 864', '2,2-Dimethyl-2,3-dihydro-7-benzofuranyl N-methylcarbamate', 'BAY 78537', 'CCRIS 4017', 'Furadane', 'D 1221', 'CHEBI:34611', '2,3-Dihydro-2,2-dimethylbenzofuran-7-yl methylcarbamate', 'HSDB 1530', 'OMS-864', 'C2292-59A', 'EINECS 216-353-0', 'UNII-SKF77S6Y67', 'NIA-10242', '2,3-Dihydro-2,2-dimethyl-7-benzofuranol methylcarbamate', '2,3-Dihydro-2,2-dimethylbenzofuranyl-7-N-methylcarbamate', 'EPA Pesticide Chemical Code 090601', 'NSC 167822', '2,2-Dimethyl-2,3-dihydro-1-benzofuran-7-yl methylcarbamate', 'BRN 1428746', 'Furadan 75 WP', 'AI3-27164', 'Carbamic acid, methyl-, 2,3-dihydro-2,2-dimethyl-7-benzofuranyl ester', 'Spectrum_001895', 'SpecPlus_000516', '2,2-Dimethyl-2,2-dihydrobenzofuranyl-7 N-methylcarbamate', 'Spectrum2_001871', 'Spectrum3_000848', 'Spectrum4_000688', 'Spectrum5_002012', 'Methyl carbamic acid 2,3-dihydro-2,2-dimethyl-7-benzofuranyl ester', 'Carbamic acid, methyl-, 2,2-dimethyl-2,3-dihydrobenzofuran-7-yl ester', 'Oprea1_828936', 'BSPBio_002435', 'KBioGR_001155', 'KBioSS_002425', 'SPECTRUM330057', 'DivK1c_006612', '(2,2-dimethyl-3H-1-benzofuran-7-yl) N-methylcarbamate', '2,3-Dihydro-2,2-dimethyl-7-benzofuranyl methylcarbamate', 'SPBio_001742', 'SKF77S6Y67', 'C12H15NO3', 'KBio1_001556', 'KBio2_002419', 'KBio2_004987', 'KBio2_007555', 'KBio3_001935', '5-17-04-00048 (Beilstein Handbook Reference)', 'N-Metylokarbaminian 2,3-dwuwodoro-2,2-dwumetylobenzofuranylu-7 [Polish]', 'LS-900', 'NSC167822', 'NCGC00094541-01', 'NCGC00094541-02', 'WLN: T56 BOT&amp;J C1 C1 IOVM1', '2,3-Dihydro-2,2-dimethyl-7-benzofuranol N-methylcarbamate', '7-Benzofuranol, 2,3-dihydro-2,2-dimethyl-, 7-(N-methylcarbamate)', 'DSSTox_CID_249', 'C14291', 'CARBOFURAN (PESTICIDE/FERTILIZER MIXTURE)', 'DSSTox_RID_75463', 'DSSTox_GSID_20249', 'Q-200797', '2,2-Dimethyl-2,3-dihydrobenzoduranyl-7-N-methylcarbamate', '7-Benzofurano, 2,3-dihydro-2,2-dimethyl, methylcarbamate', 'Diafuran', 'Sunfuran', 'Terafuran', 'Brifer', 'Furadan F', 'CAS-1563-66-2', 'Tripart nex', 'Carbofuran mixture', 'Carbofuran, 98%', 'Niagaral 242', 'Furathiocarb metabolite', 'Sipcam UK carbosip 5G', 'SCHEMBL21656', 'BIDD:ER0379', 'Carbofuran, analytical standard', '426008_ALDRICH', '45370_RIEDEL', 'CHEMBL416081', 'DTXSID9020249', 'SCHEMBL21722098', 'CTK8F8460', 'ZINC56963', 'N-Metylokarbaminian 2,3-dwuwodoro-2,2-dwumetylobenzofuranylu-7', 'Tox21_201955', 'Tox21_300623', 'BDBM50064619', 'CCG-39409', 'ZINC00056963', 'AKOS015907855', 'Carbofuran 100 microg/mL in Methanol', 'NA 2757', 'NSC-167822', 'Carbofuran 1000 microg/mL in Methanol', 'NCGC00094541-03', 'NCGC00094541-04', 'NCGC00094541-05', 'NCGC00254481-01', 'NCGC00259504-01', 'AC-10588', 'CC-25405', 'O719', 'SBI-0052542.P002', '2,2-dimethyl-7-benzofuranyl methylcarbamate', 'DB-043313', '2,2-dihydrobenzofuranyl-7 N-methylcarbamate', '2,2-dimethylbenzofuranyl-7-N-methylcarbamate', 'NS00010602', 'Carbofuran, PESTANAL(R), analytical standard', '563C662', 'A809741', 'C-12281', 'Q423136', '2,2-DIMETHYL-7-BENZOFURANOL, METHYLCARBAMATE', 'BRD-K53570330-001-01-2', '2,2-Dimethyl-2,3-dihydrobenzofuran-7-yl methylcarbamate', '7-Benzofuranol,3-dihydro-2,2-dimethyl-, methylcarbamate', '2, 3-Dihydro-2,2-dimethyl-7-benzofuranyl methylcarbamate', '2, 3-Dihydro-2,2-dimethylbenzofuranyl-7-N-methylcarbamate', '2,3-dihydro-2,2-dimethyl benzofuran-7-yl methylcarbamate', '2,3-dihydro-2,2-dimethyl-7-benzofuranyl N-methylcarbamate', '2,3-dihydro-2,2-dimethyl-benzofurane-7-yl methyl-carbamate', '2,3-dihydro-2,2-dimethylbenzofuran-7-yl N-methyl-carbamate', '2,2-Dimethyl-2,3-dihydro-1-benzofuran-7-yl methylcarbamate #', '2,2-dimethyl-2,3-dihydro-1-benzofuran-7-yl N-methylcarbamate', '2,3-Dihydro-2,2-dimethyl-7-benzofuranyl methylcarbamate, 9CI', 'Carbamic acid, 2,2-dimethyl-2,3-dihydrobenzofuran-7-yl ester', 'Carbamic acid, 2,3-dihydro-2,2-dimethyl-7-benzofuranyl ester', 'carbofuran;7-Benzofuranol, 2,3-dihydro-2,2-dimethyl, methylca', 'N-methylcarbamic acid (2,2-dimethyl-3H-benzofuran-7-yl) ester', '2,3-DIHYDRO-2,2-DIMETHYL-7-BENZOFURANOL, METHYLCARBAMATE', 'Benzofuran-7-ol, 2,3-dihydro, 2,2-dimethyl, N-methylcarbamate', 'Carbamic acid, methyl-, 2,2-dimethyl-2,3-dihydro-7-benzofuranyl ester', 'Carbofuran;2,2-Dimethyl-2,2-dihydrobenzofuranyl-7-N-methylcarbamate; 2,2-Dimethyl-2,3-dihydrobenzofuranyl 7-methylcarbamate; 2,3-Dihydro-2,2-dimethyl-7-benzofuranol methylcarbamate;']</t>
  </si>
  <si>
    <t>Compound(2566)</t>
  </si>
  <si>
    <t>C12H15NO3</t>
  </si>
  <si>
    <t>1,3-diaminourea</t>
  </si>
  <si>
    <t>['Carbohydrazide', '497-18-7', 'Carbonic dihydrazide', '1,3-Diaminourea', 'Carbonohydrazide', 'Carbazide', 'Carbodihydrazide', 'Hydrazine, carbonyldi-', 'Hydrazine, carbonylbis-', 'Carbazic acid, hydrazide', "Urea, N,N'-diamino-", 'Semicarbazide, 4-amino-', 'Carbonic acid, dihydrazide', 'Cabazide', 'Karbazid', 'Hydrazinecarboxamide, N-amino-', 'Urea, 1,3-diamino-', 'Karbazid [Czech]', 'carbonyl dihydrazine', 'Hydrazinecarboxylic acid, hydrazide', '1,3-Diaminomocovina', 'Carbonohydrazid', 'UNII-W8V7FYY4WH', 'carbonodihydrazide', 'NSC 1934', "N,N'-diaminourea", '4-aminosemicarbazide', '1,3-Diaminomocovina [Czech]', 'carbonylbis-hydrazine', 'hydrazinecarbohydrazide', 'EINECS 207-837-2', 'N-aminohydrazinecarboxamide', 'W8V7FYY4WH', 'N-aminohydrazine carboxamide', 'BRN 1747069', 'AI3-52397', 'hydrazide hydrazinecarboxylic acid', 'Carbohydrazide, 97%', 'CH6N4O', 'carbonyldihydrazide', 'Urea,3-diamino-', "Urea,N'-diamino-", 'Carbohydrazide, 98%', '1,3-bis(azanyl)urea', 'ACMC-1AEZI', 'WLN: ZMVMZ', 'EC 207-837-2', '4-03-00-00240 (Beilstein Handbook Reference)', 'KSC235S0J', 'DTXSID5038757', 'CHEBI:61308', 'CTK1D5904', 'NSC1934', 'O C (N H N H2)2', 'KS-00000X7Q', 'NSC-1934', 'ANW-30830', 'MFCD00007591', 'ZINC64634060', 'AKOS003193931', 'H247', 'LS-51887', 'DB-029568', 'FT-0606617', 'NS00001612', 'A827826', 'Q5037885', 'W-106011', '4702-23-2']</t>
  </si>
  <si>
    <t>Compound(73948)</t>
  </si>
  <si>
    <t>CH6N4O</t>
  </si>
  <si>
    <t>carbamazepine 10.11-epoxide</t>
  </si>
  <si>
    <t>3-oxa-11-azatetracyclo[10.4.0.02,4.05,10]hexadeca-1(16),5,7,9,12,14-hexaene-11-carboxamide</t>
  </si>
  <si>
    <t>['36507-30-9', 'Carbamazepine epoxide', 'Carbamazepine-10,11-epoxide', 'Carbamazepine 10,11-epoxide', '10,11-Epoxycarbamazepine', 'Carbamazepine 10,11-oxide', '1a,10b-dihydro-6h-dibenzo[b,f]oxireno[d]azepine-6-carboxamide', '1AH-dibenzo[b,f]oxireno[2,3-d]azepine-6(10bH)-carboxamide', 'GP 49-023', '6H-Dibenz[b,f]oxireno[d]azepine-6-carboxamide, 1a,10b-dihydro-', 'UNII-QC9505F279', 'Carbamazepine-10,11-trans-dihydrodiol', 'BRN 1219988', 'CHEBI:3388', 'QC9505F279', 'AK326023', '1a,10b-Dihydro-6H-dibenz(b,f)oxiren(d)azepine-6-carboxamide', '6H-DIBENZ(b,f)OXIREN(d)AZEPINE-6-CARBOXAMIDE, 1a,10b-DIHYDRO-', 'Carbamazepine 10,11-epoxide, analytical standard', '1a,10b-Dihydro-6H-dibenz(b,f)oxireno(d)azepine-6-carboxamide', '1a,10b-Dihydro-6H-dibenz[b,f]oxireno[d]azepine-6-carboxamide', 'Carbamazepin-Epoxid', 'Carbamazepine epoxid', 'Carbamazepin-10,11-epoxid', 'CHEMBL1258', 'SCHEMBL156675', 'CTK4H6556', 'KS-00000HFC', 'DTXSID60891456', 'BDBM50446047', 'AKOS027327549', 'API0000438', '10,11-Dihydro-10,11-epoxycarbamazepin', 'DS-11818', 'LS-61643', 'SC-65307', 'AB0071648', 'FT-0639322', 'C07496', '507D309', 'Q27106058', 'Carbamazepine 10,11-Epoxide 1.0 mg/ml in Acetonitrile', '1A,10B-DIHYDRO-6H-DIBENZO[B,F]OXIRENO[D]AZEPINE-6-', '6H-Dibenz[b,f]oxireno[d]azepine-6-carboxamide,1a,10b-dihydro-', '1a,10b-Dihydro-6H-dibenzo[b,f]oxireno[2,3-d]azepine-6-carboxamide', '1a,10b-Dihydro-6H-dibenzo[b,f]oxireno[2,3-d]azepine-6-carboxamide #', '3-oxa-11-azatetracyclo[10.4.0.0^{2,4.0^{5,10]hexadeca-1(16),5,7,9,12,14-hexaene-11-carboxamide', 'Carbamazepine-10,11-epoxide solution, 1.0 mg/mL in methanol, ampule of 1 mL, certified reference material']</t>
  </si>
  <si>
    <t>Compound(2555)</t>
  </si>
  <si>
    <t>C15H12N2O2</t>
  </si>
  <si>
    <t>benzo[b][1]benzazepine-11-carboxamide</t>
  </si>
  <si>
    <t>['carbamazepine', '298-46-4', 'Tegretol', 'Carbamazepen', '5H-Dibenzo[b,f]azepine-5-carboxamide', 'Carbazepine', 'Finlepsin', 'Biston', 'Equetro', '5H-Dibenz[b,f]azepine-5-carboxamide', 'Carbamezepine', 'Tegretal', 'Epitol', 'Karbamazepin', 'Carbatrol', 'Neurotol', 'Timonil', 'Carbamazepin', 'Stazepine', 'Telesmin', 'Lexin', 'Tegretol-Xr', 'benzo[b][1]benzazepine-11-carboxamide', 'Carbamazepina', 'Carbamazepinum', 'Amizepin', 'Bipotrol', 'Teril', 'Geigy 32883', '5-Carbamyl-5H-dibenzo(b,f)azepine', '5-Carbamoyl-5H-dibenzo(b,f)azepine', '5H-Dibenz(b,f)azepine-5-carboxamide', 'Calepsin', 'Carnexiv', '5-Carbamoyl-5H-dibenz(b,f)azepine', '5-Carbamoyl-5H-dibenz[b,f]azepine', 'G 32883', 'G-32883', 'NSC 169864', 'Carbamazepinum [INN-Latin]', 'Carbamazepina [INN-Spanish]', 'CHEBI:3387', 'UNII-33CM23913M', 'HSDB 3019', 'EINECS 206-062-7', 'CBZ', 'CHEMBL108', 'BRN 1246090', '5-Carbamyldibenzo(b,f)azepine', 'MLS000069652', '5-Carbamoyldibenzo(b,f)azepine', 'dibenzo[b,f]azepine-5-carboxamide', 'MFCD00005073', 'NSC169864', '33CM23913M', 'Carbamazepine, 98%', 'NSC-169864', 'Tegretol,Carbamazepine', 'NCGC00015234-11', 'AK116064', 'CAS-298-46-4', 'SMR000058201', 'Stazepin', 'DSSTox_CID_2731', '2-azatricyclo[9.4.0.0^{3,8}]pentadeca-1(11),3(8),4,6,9,12,14-heptaene-2-carboxamide', 'DSSTox_RID_76704', 'DSSTox_GSID_22731', 'Q-200792', 'Carbazepin', '5H-dibenzo[b,f]azepine-5-carboxamide;Oxcarbazepine IMpurity A', 'Amizepine', 'Carbelan', 'Sirtal', 'Tegretol Cr', 'SMR001227191', 'SR-01000000229', 'Carbatrol extended-release', 'Trimonil', 'Neurotop retard', 'Tegretol (TN)', 'Prestwick_104', 'Equetro (TN)', 'Carbamazepine [USAN:INN:BAN:JAN]', 'Carbamazepine, powder', 'Carbamazepine(Atretol)', 'Opera_ID_72', 'Spectrum_000096', 'Carbamazepine [USAN:USP:INN:BAN:JAN]', 'Carbamazepine_194_ p', 'carbamazepine (Tegretol)', 'Prestwick0_000052', 'Prestwick1_000052', 'Prestwick2_000052', 'Prestwick3_000052', 'Spectrum2_000125', 'Spectrum3_000325', 'Spectrum4_000262', 'Spectrum5_000936', 'Carbamazepine (Carbatrol)', 'Lopac-C-4024', 'ChemDiv1_018966', 'CBChromo1_000350', 'Epitope ID:174842', 'Iminostilbene-N-carboxamide', 'Lopac0_000292', 'Oprea1_790775', 'SCHEMBL21639', 'BSPBio_000203', 'BSPBio_001929', 'KBioGR_000724', 'KBioSS_000516', 'MLS001055475', 'MLS001074172', 'MLS002548877', 'BIDD:GT0479', 'DivK1c_000388', 'DivK1c_003750', 'SPECTRUM1500159', 'SPBio_000170', 'SPBio_002124', 'BPBio1_000225', 'GTPL5339', 'ZINC4785', 'DTXSID4022731', 'SCHEMBL19838283', 'HMS501D10', 'HMS640O02', 'KBio1_000388', 'KBio2_000516', 'KBio2_003084', 'KBio2_005652', 'KBio3_001149', 'WLN: T C676 BNJ BVZ', 'AOB5783', 'Carbamazepine (JP17/USP/INN)', 'CBZ;NSC 169864', 'SPD-417', 'Carbamazepine, analytical standard', 'NINDS_000388', 'HMS1568K05', 'HMS1920I17', 'HMS2090M07', 'HMS2091O19', 'HMS2095K05', 'HMS2233G16', 'HMS3039K09', 'HMS3259B21', 'HMS3260L06', 'HMS3372J13', 'HMS3657G03', 'HMS3712K05', 'HMS3747E03', 'Pharmakon1600-01500159', 'ACT02606', 'BCP21380', 'HY-B0246', 'KS-00000KI8', '5-Carbomoyl-5H-dibenzo(b,f)azepine', 'Tox21_110104', 'Tox21_202273', 'Tox21_300195', 'Tox21_500292', 'BBL005372', 'BDBM50003659', 'BG0497', 'CCG-38931', 'GP8250', 'NSC755920', 's1693', 'STK177357', 'STL453548', '11-benzo[b][1]benzazepinecarboxamide', '5H-Dibenz[b,f]azepine-5-carboxamine', 'Carbamazepine 1.0 mg/ml in Methanol', 'AKOS003235644', 'AKOS025397243', 'IMED104589831', 'Tox21_110104_1', 'AC-9538', 'CS-2225', 'DB00564', 'KS-5146', 'LP00292', 'MCULE-9121567287', 'NC00679', 'NSC-755920', 'SDCCGSBI-0050280.P005', '5H-Dibenz[ b, f]azepine-5-carboxamide', 'CDS1_002710', 'IDI1_000388', '5H-Dibenzo[b,f]azepine-5-carboxamide #', 'NCGC00015234-01', 'NCGC00015234-02', 'NCGC00015234-03', 'NCGC00015234-04', 'NCGC00015234-05', 'NCGC00015234-06', 'NCGC00015234-07', 'NCGC00015234-08', 'NCGC00015234-09', 'NCGC00015234-10', 'NCGC00015234-12', 'NCGC00015234-13', 'NCGC00015234-14', 'NCGC00015234-15', 'NCGC00015234-16', 'NCGC00015234-19', 'NCGC00023877-03', 'NCGC00023877-04', 'NCGC00023877-05', 'NCGC00023877-06', 'NCGC00023877-07', 'NCGC00023877-08', 'NCGC00253982-01', 'NCGC00259822-01', 'NCGC00260977-01', 'CC-25382', 'CC-25383', 'H495', 'LS-60362', 'SC-16243', 'ST075773', 'SY002823', '(z)-5h-dibenzo[b,f]azepine-5-carboxamide', 'SBI-0050280.P004', '5H-dibenzo[b,f]azepine-5-carboximidic acid', 'AB0070254', 'DB-047659', 'Dibenzo[b,f]azepine-5-carboxylic acid amide', 'EU-0100292', 'FT-0602927', 'FT-0696814', 'H2605', 'SW220141-1', 'EN300-21678', 'BIM-0050280.0001', 'C 4024', 'C06868', 'Carbamazepine, meets USP testing specifications', 'D00252', '5H-Dibenz(b,f)azepine-5-carboxamide maleic acid', '5H-Dibenz(b,f)azepine-5-carboxamide oxalic acid', 'AB00051931-17', 'AB00051931-18', 'AB00051931_19', 'AB00051931_20', 'A820074', 'C-13993', 'Q410412', 'carbamazepine host structure with maleic acid removed', 'carbamazepine host structure with oxalic acid removed', 'SR-01000000229-2', 'SR-01000000229-4', 'SR-01000000229-7', '5H-Dibenz(b,f)azepine-5-carboxamide DL-tartaric acid', 'BRD-K71799949-001-06-7', 'F0348-2551', 'Z2199879032', 'carbamazepine host structure with DL-tartaric acid removed', 'Dibenzo[b,f]azepine-5-carboxylic acid amide(Carbamazepine)', 'carbamazepine host structure with 4-hydroxybenzoic acid removed', 'Carbamazepine, British Pharmacopoeia (BP) Reference Standard', 'Carbamazepine, European Pharmacopoeia (EP) Reference Standard', 'Carbamazepine, United States Pharmacopeia (USP) Reference Standard', 'Carbamazepine solution, 1.0 mg/mL in methanol, ampule of 1 mL, certified reference material', 'Carbamazepine, Pharmaceutical Secondary Standard; Certified Reference Material', 'N6W']</t>
  </si>
  <si>
    <t>Compound(2554)</t>
  </si>
  <si>
    <t>C15H12N2O</t>
  </si>
  <si>
    <t>carbonyl sulfide</t>
  </si>
  <si>
    <t>['CARBONYL SULFIDE', 'Carbon oxysulfide', 'Carbonyl sulphide', 'Carbon oxide sulfide', '463-58-1', 'Oxycarbon sulfide', 'carbonylsulfide', 'Carbon oxide sulfide (COS)', 'Carbon monoxide monosulfide', 'oxidosulfidocarbon', 'UNII-871UI0ET21', 'HSDB 6127', 'EINECS 207-340-0', 'UN2204', 'Carbon oxide sulfide(COS)', 'BRN 1697284', 'C(O)S', 'O=C=S', 'Oxo(thioxo)methane', '871UI0ET21', 'COS', 'Cosmic', 'Carbon oxide sulphide', 'Oxo(thioxo)methane #', 'Carbon oxide sulfide (9CI)', '4-03-00-00271 (Beilstein Handbook Reference)', 'Carbonyl sulfide, &gt;=97.5%', 'DTXSID6023949', 'CHEBI:16573', 'CTK4I9336', 'LS-1276', 'UN 2204', 'Carbonyl sulfide [UN2204] [Poison gas]', 'Carbonyl sulfide [UN2204]  [Poison gas]', 'C07331', 'Q412371']</t>
  </si>
  <si>
    <t>Compound(10039)</t>
  </si>
  <si>
    <t>COS</t>
  </si>
  <si>
    <t>naphthalen-1-yl N-methylcarbamate</t>
  </si>
  <si>
    <t>['CARBARYL', 'Carbaril', '63-25-2', 'Sevin', 'naphthalen-1-yl methylcarbamate', '1-Naphthyl N-methylcarbamate', '1-Naphthyl methylcarbamate', 'Caprolin', 'Carbatox', 'Carbavur', 'Carylderm', 'Menaphtam', 'Arilat', '1-Naphthalenol, methylcarbamate', 'Carbomate', 'Carpolin', 'Dicarbam', 'Karbaspray', 'Karbatox', 'Karbosep', 'Tricarnam', 'Arylam', 'Atoxan', 'Denapon', 'Gamonil', 'Hexavin', 'Monsur', 'Murvin', 'Ravyon', 'Seffein', 'Septene', 'Sevimol', 'Vioxan', 'Panam', 'Pomex', 'Suleo', 'Dyna-carbyl', 'Crag sevin', "Germain's", 'N-Methyl-1-naphthyl carbamate', 'Carbamine', 'Carbatox-60', 'Karbatox 75', 'Oltitox', 'Mugan', 'Vetox', 'Bercema NMC50', 'Compound 7744', 'naphthalen-1-yl N-methylcarbamate', 'Prosevor 85', 'Dicarbament 23,969', '1-Naphthol N-methylcarbamate', 'Cekubaryl', 'Devicarb', 'Karbaryl', 'Olititox', 'Sevin 4', 'Crunch', 'Tercyl', 'Rylam', 'Savit', 'Toxan', '1-Naphthalenyl methylcarbamate', 'Bug master', 'Carbatox-75', 'N-Methyl-alpha-naphthylurethan', 'Noflo 5 vet', 'Carbaril [INN]', 'Karbaryl [Polish]', 'Union Carbide 7,744', 'Karbatox zawiesinowy', 'OMS-29', 'alpha-Naphthyl N-methylcarbamate', 'Carbarilo', 'Carbarilum', 'Caswell No. 160', 'Carbaryl (sevin)', 'Experimental Insecticide 7744', 'NMC 50', 'Carbatox 75', 'Methylcarbamate 1-naphthol', 'NAC (insecticide)', 'Carbaril [Italian]', 'N-Methyl-1-naftyl-carbamaat', 'N-Metil-1-naftil-carbammato', '1-Naphthyl-N-methylcarbamate', '1-Naphthalenol methylcarbamate', 'Methylcarbamate 1-naphthalenol', 'N-Methyl-1-naphthyl-carbamat', 'ENT-23969', 'Methylcarbamic acid, 1-naphthyl ester', 'Sewin', 'N-Methylcarbamate de 1-naphtyle', 'UC 7744', 'Carbarilum [INN-Latin]', 'Carbarilo [INN-Spanish]', 'Latka 7744 [Czech]', 'NAC (VAN)', 'Carbaryl [ANSI:BSI:ISO]', 'alpha-Naphthyl methylcarbamate', 'CCRIS 850', 'UNII-R890C8J3N1', 'HSDB 952', 'OMS 29', 'N-Methyl-alpha-Naphthylcarbamate', 'alpha-Naphthalenyl methylcarbamate', 'C12H11NO2', 'O-(1-Naphthyl)-N-methylcarbamat', 'EINECS 200-555-0', 'ENT 23969', 'N-Methyl naphthylcarbamate', 'Naphthyl N-methylcarbamate', 'NSC 27311', 'N-Methyl-1-naftyl-carbamaat [Dutch]', 'alpha-Naftyl-N-methylkarbamat [Czech]', 'ENT 23,969', 'EPA Pesticide Chemical Code 056801', '1-Naphthyl-N-methyl-karbamat [German]', 'N-Methyl-1-naphthyl-carbamat [German]', 'N-Metil-1-naftil-carbammato [Italian]', '1-Naphthalenol, 1-(N-methylcarbamate)', 'BRN 1875862', 'Carbamic acid, methyl-, 1-naphthyl ester', 'CHEMBL46917', 'N-Methylcarbamate de 1-naphtyle [French]', 'AI3-23969', 'CHEBI:3390', '.alpha.-Naftyl-N-methylkarbamat', '.alpha.-Naphthyl methylcarbamate', 'N-Methyl-.alpha.-naphthylurethan', '1-Naftylester kyseliny methylkarbaminove [Czech]', 'R890C8J3N1', '.alpha.-Naphthyl N-methylcarbamate', 'N-Methyl-.alpha.-naphthylcarbamate', '.alpha.-Naphthalenyl methylcarbamate', 'NCGC00090680-01', 'Derbac', 'DSSTox_CID_247', 'DSSTox_RID_75461', 'DSSTox_GSID_20247', 'N-methylnaphthyloxycarboxamide', 'CARBAMIC ACID, METHYL-, NAPHTHALENYL ESTER', 'Clinicide', 'Thinsec', 'Tornado', 'Adios', 'CAS-63-25-2', '(14CO)-Carbaryl', 'Latka 7744', 'alpha-Naftyl-N-methylkarbamat', '1-Naphthyl-N-methyl-karbamat', 'Laivin', '1-Naphthyl methylcarbamate-14C', 'Carbaril;carbaryl', 'Sevin SL', 'Carbaryl (BAN)', 'Vetox 85', '1-Naphthalenol, methylcarbamate (9CI)', '1-Naftylester kyseliny methylkarbaminove', 'Union Carbide 7744', 'Maybridge3_000390', 'Carbamic-14C acid, methyl-, 1-naphthyl ester', 'cid_6129', 'Naphthalenol, methylcarbamate', 'WLN: L66J BOVM1', 'Carbamic acid, methyl-, 1-naphthyl ester (8CI)', 'SCHEMBL26737', 'MLS000851157', 'BIDD:ER0592', 'Methylcarbamate, 1-naphthalenol', 'ZINC1090', 'alpha-naphthyl-N-methylcarbamate', 'DTXSID9020247', 'CVXBEEMKQHEXEN-UHFFFAOYSA-', 'KS-00000GKI', 'HMS1432B16', 'HMS2809N24', 'BCP18824', 'HY-B1315', 'NSC27311', '1-Naphthyl-N-methylcarbamate, 97%', 'Naphthalenol, methylcarbamate (9CI)', 'Tox21_110994', 'Tox21_201836', 'Tox21_300854', 'BDBM50128572', 'CCG-41182', 'LS-272', 'NSC-27311', 's5424', 'SBB008157', 'STL371215', 'Carbamic acid, N-methyl-1-naphthyl-', 'Carbaryl 10 microg/mL in Cyclohexane', 'AKOS001115604', 'Tox21_110994_1', 'Carbaryl 100 microg/mL in Cyclohexane', 'GS-3217', 'MCULE-7779321694', 'NE10819', 'IDI1_011777', 'Flea and tick powder [veterinary] (TN)', 'NCGC00090680-02', 'NCGC00090680-03', 'NCGC00090680-04', 'NCGC00090680-05', 'NCGC00090680-06', 'NCGC00254757-01', 'NCGC00259385-01', '3197-92-0', 'Carbamic acid, N-methyl,1-naphthyl ester', 'LS-50275', 'SMR000457400', 'DB-054440', 'Carbaryl, PESTANAL(R), analytical standard', 'CS-0013076', 'FT-0608122', 'FT-0664245', 'NS00000484', 'ST50409012', 'EN300-06105', 'C07491', 'D07613', 'AB00648589_06', '021C467', 'Q415090', 'SR-01000631277', '1-Naphthyl N-methylcarbamateacid O,O-diethyl ester', 'SR-01000631277-1', 'SR-01000631277-3', 'Z90123586', 'KID PEST PROJECT (CARBARYL) (SEE ALSO CARBARYL)', 'Carbaryl solution, 100 mug/mL in cyclohexane, PESTANAL(R), analytical standard', '27636-33-5']</t>
  </si>
  <si>
    <t>Compound(6129)</t>
  </si>
  <si>
    <t>C12H11NO2</t>
  </si>
  <si>
    <t>(2,2-dimethyl-3H-1-benzofuran-7-yl) N-(dibutylamino)sulfanyl-N-methylcarbamate</t>
  </si>
  <si>
    <t>['Carbosulfan', '55285-14-8', 'Marshal', 'Posse', 'Advantage', 'Marshall', 'Dibutylaminosulfenylcarbofuran', 'Caswell No. 463C', 'FMC 35001', 'UNII-V1DGN4AK6G', 'Carbosulfan [ANSI:BSI:ISO]', 'EINECS 259-565-9', 'V1DGN4AK6G', 'RCRA waste no. P189', 'EPA Pesticide Chemical Code 090602', 'BRN 1397995', 'AI3-29259', 'CHEBI:38476', '2,3-Dihydro-2,2-dimethyl-7-benzofuranyl ((dibutylamino)thio)methylcarbamate', '2,3-Dihydro-2,2-dimethyl-7-benzofuranyl (di-n-butylaminosulfenyl)methylcarbamate', 'Carbamic acid, [(dibutylamino)thio]methyl-, 2,3-dihydro-2,2-dimethyl-7-benzofuranyl ester', 'DSSTox_CID_3950', '((Dibutylamino)thio)methylcarbamic acid, 2,2-dimethyl-2,3-dihydro-7-benzofuranyl ester', 'DSSTox_RID_77239', 'DSSTox_GSID_23950', '2,3-Dihydro-2,2-dimethyl-7-benzofuryl ((dibutylamino)thio)methylcarbamate', '2,3-dihydro-2,2-dimethyl-7-benzofuryl [(dibutylamino)thio]methylcarbamate', '((Dibutylamino)thio)methylcarbamic acid 2,3-dihydro-2,2-dimethyl-7-benzofuranyl ester', '(2,2-dimethyl-3H-1-benzofuran-7-yl) N-(dibutylamino)sulfanyl-N-methylcarbamate', '2,2-dimethyl-2,3-dihydro-1-benzofuran-7-yl [(dibutylamino)sulfanyl](methyl)carbamate', 'Carbamic acid, ((dibutylamino)thio)methyl-, 2,2-dimethyl-2,3-dihydro-7-benzofuranyl ester', 'Carbamic acid, ((dibutylamino)thio)methyl-, 2,3-dihydro-2,2-dimethyl-7-benzofuranyl ester', 'CAS-55285-14-8', 'Sheriff', 'C20H32N2O3S', 'Marshal/suscon (Salt/Mix)', 'Marshal 10G (Salt/Mix)', 'Marshall 10G (Salt/Mix)', 'SCHEMBL73138', 'Carbosulfan, analytical standard', 'CHEMBL2228572', 'DTXSID5023950', 'HY-B2015', 'OMS 3022', 'ZINC5513691', 'Tox21_202336', 'Tox21_300473', 'AKOS007930378', 'Carbosulfan 10 microg/mL in Isooctane', 'CS-5168', 'Carbosulfan 100 microg/mL in Isooctane', 'NCGC00248073-01', 'NCGC00248073-02', 'NCGC00254293-01', 'NCGC00259885-01', 'AC-10554', 'CC-25416', 'LS-49233', 'P606', 'DB-052710', '562-EP2274983A1', '562-EP2275422A1', '562-EP2292608A1', '562-EP2305658A1', '562-EP2308857A1', '562-EP2308858A1', '562-EP2311816A1', '562-EP2311817A1', 'FT-0602926', 'NS00008805', 'C18416', 'Carbosulfan, PESTANAL(R), analytical standard', '552C148', 'C-21336', '2,2-dimethyl-2,3-dihydrobenzofuran-7-yl dibutylaminothio(methyl)carbamate', '2,3-Dihydro-2,2-dimethyl-7-benzofuranyl[(dibutylamino)thio]methyl carbamate', '(2,2-dimethyl-3H-1-benzofuran-7-yl) N-[(dibutylamino)sulfanylmethyl]carbamate', '2,2-Dimethyl-2,3-dihydro-1-benzofuran-7-yl (dibutylamino)sulfanyl(methyl)carbamate #', 'dibutylaminosulfenylcarbofuran;2,3-dihydro-2,2-dimethyl-7-benzofuryl [(dibutylamino)thio]methylcarbamate']</t>
  </si>
  <si>
    <t>Compound(41384)</t>
  </si>
  <si>
    <t>C20H32N2O3S</t>
  </si>
  <si>
    <t>[(2R)-1-(ethylamino)-1-oxopropan-2-yl] N-phenylcarbamate</t>
  </si>
  <si>
    <t>['CARBETAMIDE', '16118-49-3', 'UNII-A75ON2B2V7', 'Carbetamid', 'A75ON2B2V7', '[(2R)-1-(ethylamino)-1-oxopropan-2-yl] N-phenylcarbamate', 'Carbetamid [German]', 'Caswell No. 159B', 'Carbetamide [ANSI:BSI:ISO]', 'Q63391662', 'EINECS 240-286-6', 'EPA Pesticide Chemical Code 259200', 'BRN 2983326', '(R)-1-(Ethylcarbamoyl)ethyl carbanilate', '2-Phenyl-carbamoyloxy-N-aethyl-propionamid', '(R)-1-(Ethylcarbamoyl)ethyl phenylcarbamate', 'D-(-)-N-Ethyl-2-(phenylcarbamoyloxy)propionamide', '2-Phenyl-carbamoyloxy-N-aethyl-propionamid [German]', 'Diglycidyl hexanediol', '(2R)-(-)-1-(Ethylcarbamoyl)ethyl phenylcarbamate', 'SCHEMBL985454', 'Lactamide, N-ethyl-, carbanilate (ester), D- (8CI)', 'ZINC2018543', 'ZX-AT021865', 'Carbetamide 100 microg/mL in Acetone', 'OR59917', 'Carbetamide 10 microg/mL in Acetonitrile', '(r)-1-(ethylcarbamoyl) ethylphenylcarbamate', 'Z3639', 'Carbetamide, PESTANAL(R), analytical standard', 'J-009801', '(R)-1-(Ethylamino)-1-oxopropan-2-yl phenylcarbamate']</t>
  </si>
  <si>
    <t>Compound(152031)</t>
  </si>
  <si>
    <t>C12H16N2O3</t>
  </si>
  <si>
    <t>carbazole</t>
  </si>
  <si>
    <t>9H-carbazole</t>
  </si>
  <si>
    <t>['CARBAZOLE', '9H-Carbazole', '86-74-8', 'Dibenzopyrrole', 'Diphenylenimine', '9-Azafluorene', 'Diphenylenimide', 'Diphenyleneimine', 'Dibenzo[b,d]pyrrole', 'USAF EK-600', 'Dibenzo(b,d)pyrrole', 'NSC 3498', 'UNII-0P2197HHHN', 'SKF 20091', 'CCRIS 121', 'Carbazole, 96%', 'HSDB 2164', 'EINECS 201-696-0', 'AI3-00096', '0P2197HHHN', 'CHEBI:27543', 'MFCD00004960', 'DSSTox_CID_248', 'DSSTox_RID_75462', 'DSSTox_GSID_20248', 'CAS-86-74-8', 'SMR000112232', 'para-carbazole', '9H carbazole', '9-H-carbazole', '9CA', 'PubChem9944', 'Chlorophenesin carbamate', 'ACMC-209qbc', '9H-carbazole-d8 (9ci)', 'bmse000666', 'EC 201-696-0', 'SCHEMBL7650', 'KSC185S6J', 'MLS001066363', 'MLS002415721', 'Carbazole, analytical standard', 'Carbazole, extra pure, 98%', 'WLN: T B656 HMJ', 'Carbazole, &gt;=95% (GC)', 'CHEMBL243580', 'SCHEMBL6026794', 'DTXSID4020248', 'NSC3498', 'HMS2267P20', 'NSC-3498', 'STR04484', 'Tox21_201703', 'Tox21_302847', 'ANW-38374', 'SBB040883', 'STK671343', 'AKOS000119129', 'ZINC100009863', 'ACN-051079', 'DB07301', 'LS-1856', 'LS41657', 'MCULE-7610805198', 'MP-2172', 'PS-4072', 'KS-000002L8', 'NCGC00091233-01', 'NCGC00091233-02', 'NCGC00091233-03', 'NCGC00256533-01', 'NCGC00259252-01', 'BR-78310', 'K546', 'SC-46764', 'ST098573', 'DB-038198', 'DS-017121', 'FT-0623455', 'NS00014228', 'Carbazole, VETRANAL(TM), analytical standard', 'C08060', 'A841825', 'Q424003', 'Q-200795', 'F0001-2148', 'Z1250100640', 'Carbazole solution, certified reference material, 2000 mug/mL in methylene chloride', 'Carprofen Related Compound A, United States Pharmacopeia (USP) Reference Standard', 'Carbazole(Carprofen Related Compound A), Pharmaceutical Secondary Standard; Certified Reference Material']</t>
  </si>
  <si>
    <t>Compound(6854)</t>
  </si>
  <si>
    <t>carfentrazone ethyl</t>
  </si>
  <si>
    <t>ethyl 2-chloro-3-[2-chloro-5-[4-(difluoromethyl)-3-methyl-5-oxo-1,2,4-triazol-1-yl]-4-fluorophenyl]propanoate</t>
  </si>
  <si>
    <t>['Carfentrazone-ethyl', '128639-02-1', 'Aurora', 'Kuaimieling', 'Spotlight', 'Spotlight 24EC', 'Aurora (pesticide)', 'Affinity', 'Aurora 50WG', 'Carfentrazone ethyl', 'Carfentrazone-ethyl [ISO:BSI]', 'HSDB 7253', 'EINECS Annex I Index 607-309-00-5', 'F8426', 'F 8426', 'ethyl 2-chloro-3-[2-chloro-5-[4-(difluoromethyl)-3-methyl-5-oxo-1,2,4-triazol-1-yl]-4-fluorophenyl]propanoate', 'Benzenepropanoic acid, .alpha.,2-dichloro-5-(4-(difluoromethyl)-4,5-dihydro-3-methyl-5-oxo-1H-1,2,4-triazol-1-yl)-4-fluoro-, ethyl ester', 'Ethyl 2-chloro-3-(2-chloro-4-fluoro-5-(4-(difluoromethyl)-4,5-dihydro-3-methyl-5-oxo-1H-1,2,4-triazol-1-yl)phenyl)propanoate', 'ethyl 2-chloro-3-(2-chloro-5-(4-(difluoromethyl)-3-methyl-5-oxo-4,5-dihydro-1H-1,2,4-triazol-1-yl)-4-fluorophenyl)propanoate', 'ethyl 2-chloro-3-{2-chloro-5-[4-(difluoromethyl)-3-methyl-5-oxo-4,5-dihydro-1H-1,2,4-triazol-1-yl]-4-fluorophenyl}propanoate', 'DSSTox_CID_12532', 'DSSTox_RID_78970', 'DSSTox_GSID_32532', 'SCHEMBL38936', 'CHEBI:3416', 'CHEMBL2145069', 'DTXSID4032532', 'CHEBI:138244', 'Tox21_300994', 'NCGC00163914-01', 'NCGC00163914-02', 'NCGC00163914-03', 'NCGC00254896-01', 'ethyl 2-chloro-3-[2-chloro-5-[4-(difluoromethyl)-3-methyl-5-oxo-1,2,4-triazol-1-yl]-4-fluoro-phenyl]propanoate', 'LS-31100', 'SC-67394', 'DB-041904', 'CAS-128639-02-1', 'FT-0631126', 'C11094', 'Carfentrazone-ethyl 10 microg/mL in Acetonitrile', 'Carfentrazone-ethyl 10 microg/mL in Cyclohexane', '639C021', 'C-21925', 'J-005617', 'Carfentrazone-ethyl, PESTANAL(R), analytical standard', 'Q22807209', 'Benzenepropanoic acid, alpha, 2-dichloro-5-(4-(difluoromethyl)-4,5-dihydro-3-methyl-5-oxo-1H-1,2,4-triazol-1-yl)-4-fluoro-, ethyl ester', 'Benzenepropanoic acid, alpha,2-dichloro-5-[4-(difluoromethyl)-4,5-dihydro-3-methyl-5-oxo-1H-1,2,4-triazol-1-yl]-4-fluoro-, ethyl ester', 'carfentrazone-ethyl (ISO);Benzenepropanoic acid, ?,2-dichloro-5-[4-(difluoromethyl)-4,5-dihydro-3-methyl-5-oxo-1H-1,2,4-triazol-1-yl]-4-fluoro-, ethyl ester', 'Ethyl 2-chloro-3-(2-chloro-5-[4-(difluoromethyl)-3-methyl-5-oxo-4,5-dihydro-1H-1,2,4-triazol-1-yl]-4-fluorophenyl)propanoate #', 'Pesticide4_Carfentrazone-ethyl_C15H14Cl2F3N3O3_alpha,2-Dichloro-5-[4-(difluoromethyl)-4,5-dihydro-3-methyl-5-oxo-1H-1,2,4-triazol-1-yl]-4-fluorobenzenepropanoic acid ethyl ester']</t>
  </si>
  <si>
    <t>Compound(86222)</t>
  </si>
  <si>
    <t>C15H14Cl2F3N3O3</t>
  </si>
  <si>
    <t>2,2-dichloro-N-[1-(4-chlorophenyl)ethyl]-1-ethyl-3-methylcyclopropane-1-carboxamide</t>
  </si>
  <si>
    <t>['Carpropamid', '104030-54-8', '2,2-dichloro-N-[1-(4-chlorophenyl)ethyl]-1-ethyl-3-methylcyclopropane-1-carboxamide', 'Cyclopropanecarboxamide, 2,2-dichloro-N-(1-(4-chlorophenyl)ethyl)-1-ethyl-3-methyl-', 'Carpropamid [ISO]', 'Cyclopropanecarboxamide, 2,2-dichloro-N-[1-(4-chlorophenyl)ethyl]-1-ethyl-3-methyl-', '2,2-Dichloro-N-[1-(4-chlorophenyl)ethyl]-1-ethyl-3-methylcyclopropanecarboxamide', 'SCHEMBL22262', 'Carpropamide (KTU 3616)', 'CHEBI:3434', 'DTXSID4057922', 'KTU-3616', 'AKOS015888200', 'NS00005071', 'NS00098995', 'C10932', 'Carpropamid, PESTANAL(R), analytical standard', 'SR-01000883725', 'SR-01000883725-1', 'Q27106077']</t>
  </si>
  <si>
    <t>Compound(153847)</t>
  </si>
  <si>
    <t>C15H18Cl3NO</t>
  </si>
  <si>
    <t>carvone</t>
  </si>
  <si>
    <t>2-methyl-5-prop-1-en-2-ylcyclohex-2-en-1-one</t>
  </si>
  <si>
    <t>['CARVONE', '99-49-0', '2-methyl-5-(prop-1-en-2-yl)cyclohex-2-enone', 'Karvon', '1-Carvone', 'dl-Carvone', 'p-Mentha-6,8-dien-2-one', '2-Methyl-5-isopropenyl-2-cyclohexenone', 'Carvol', 'D-Cavone', 'Carvone (natural)', '2-Cyclohexen-1-one, 2-methyl-5-(1-methylethenyl)-', 'Carvone [ISO]', '6,8(9)-p-Menthadien-2-one', 'FEMA Number 2249', 'NCI-C55867', '6,8-p-Menthadien-2-on', 'd-p-Mentha-1(6),8-dien-2-one', 'FEMA No. 2249', 'HSDB 707', '2-Methyl-5-(1-methylethenyl)-2-cyclohexen-1-one', '2-methyl-5-(prop-1-en-2-yl)cyclohex-2-en-1-one', '(+/-)-carvone', 'NSC 6275', '(R)-Carvone', 'EINECS 202-759-5', '2-methyl-5-prop-1-en-2-ylcyclohex-2-en-1-one', '6,8-p-Menthadien-2-one', 'delta(sup 6,8)-(9)-terpadienone-2', 'BRN 1364206', 'AI3-08877', 'p-Mentha-6,8-dien-2-one, (R)-(-)-', '2-Cyclohexen-1-one, 2-methyl-5-(1-methylethenyl)-, (R)-', 'CHEBI:38265', 'NSC6275', 'l-6,8(9)-p-Menthadien-2-one', 'delta-1-Methyl-4-isopropenyl-6-cyclohexen-2-one', '2-Methyl-5-(1-methylethenyl)-2-cyclohexene-1-one', 'L(-)-Carvone', 'Spearmint oil', 'Oils, spearmint', 'l-Carvone (natural)', '(+-)-Carvone', 'carvone, (R)-isomer', 'Carvon', 'a carvone', 'EINECS 229-352-5', 'Curled mint oil', 'Mint oil', 'Oil of crispmint', '.alpha.-Carvone', 'p-Mentha-6,8-dien-2-one, (-)-', 'Spearmint terpenes', 'Mentha spicata oil', 'AK114181', 'AK116586', 'Oil of curled mint', '5-isopropenyl-2-methylcyclohex-2-en-1-one', 'AI3-36200', 'Oils, mentha spicata', 'OIL OF SPEARMINT', '5-isopropenyl-2-methyl-cyclohex-2-en-1-one', 'DSSTox_CID_27426', 'DSSTox_RID_82339', 'NCIOpen2_001348', 'DSSTox_GSID_47426', 'SCHEMBL39408', '2-Cyclohexen-1-one, 2-methyl-5-(1-methylethenyl)-, (theta)-', '4-07-00-00316 (Beilstein Handbook Reference)', 'CHEMBL15676', 'FEMA No. 3032', 'CCRIS 7499', 'EPA Pesticide Code 128800', 'DTXSID8047426', 'HSDB 1919', 'p-mentha-1(6),8-dien-2-one', 'HMS1789N08', 'NSC-6275', 'NSC93738', 'Tox21_302547', '6982AC', 'BBL010103', 'NSC-93738', 'STK801456', 'L-p-Mentha-1(6),8-dien-2-one;', 'AKOS000121377', 'AKOS016843655', 'LS-2355', 'MCULE-6744252540', 'Methyl-iso-propylcyclohexenone, Carvone', 'Spearmint oil, native (Mentha spicata)', 'CAS-99-49-0', 'NCGC00256915-01', 'WLN: L6V BUTJ B1 EY1 &amp; U1', '.delta.(sup 6,8)-(9)-Terpadienone-2', 'AK111292', 'AS-10471', 'LS-89492', 'NCI60_008753', 'SC-18777', 'SY010704', 'SY012922', '2-Methyl-5-(1-methylethenyl)-2-cyclohexe', '2-Methyl-5-isopropenyl-2-cyclohexen-1-one', 'DB-054736', 'LS-145724', 'SPEARMINT, OIL (MENTHA SPICATA L.)', 'FT-0600385', 'FT-0605067', 'FT-0658046', '(-)-2-Methyl-5-isopropenyl-2-cyclohexen-1-one', 'Q416800', 'Spearmint oil, native terpeneless (Mentha spicata)', '.delta.-1-Methyl-4-isopropenyl-6-cyclohexen-2-one', '5-Isopropenyl-2-methyl-2-cyclohexen-1-one, (R)-', 'W-100036', '2-methyl-5-(1-methyl-1-ethenyl)-2-cyclohexen-1-one']</t>
  </si>
  <si>
    <t>Compound(7439)</t>
  </si>
  <si>
    <t>cyclopentane</t>
  </si>
  <si>
    <t>['CYCLOPENTANE', 'Pentamethylene', '287-92-3', 'ciclopentano', 'cyclopentan', 'Zyklopentan', 'UNII-T86PB90RNU', 'HSDB 62', 'EINECS 206-016-6', 'NSC 60213', 'UN1146', 'T86PB90RNU', 'CHEBI:23492', 'MFCD00001356', '68476-56-2', 'Cyclopentane, 95+%, pure', 'Cyclopentane, 97%, extra pure', 'Cyclopentanes', 'Hydrocarbons, cyclic C5 and C6', 'Cyclopentane, 95+%, Extra Dry, AcroSeal(R)', 'trans-cyclopentane', '95% cyclopentane', '99% cyclopentane', 'solvent cyclopentane', 'EINECS 270-696-0', 'refrigerant cyclopentane', 'High purity cyclopentane', 'blowing agent cyclopentane', 'foaming agent cyclopentane', 'ACMC-1CQ5I', 'DSSTox_CID_4886', 'WLN: L5TJ', 'EC 206-016-6', 'DSSTox_RID_77567', 'DSSTox_GSID_24886', 'CHEMBL1370850', 'DTXSID6024886', 'CTK1A4196', 'Cyclopentane, analytical standard', 'Cyclopentane, reagent grade, 98%', 'NSC60213', 'ZINC1690078', 'Tox21_200202', 'ACM287923', 'ANW-26473', 'NSC-60213', 'AKOS015903084', 'ZINC100032775', 'FCH1116850', 'LS-2133', 'MCULE-8453099153', 'UN 1146', 'NCGC00091776-01', 'NCGC00091776-02', 'NCGC00257756-01', 'CAS-287-92-3', 'PS-11988', 'SC-36386', 'SC-80643', 'Cyclopentane [UN1146] [Flammable liquid]', 'Cyclopentane [UN1146]  [Flammable liquid]', 'Cyclopentane;Hydrocarbons, cyclic C5 and C6', 'FT-0624250', 'NS00004654', 'KS-00001017', '8321-EP2269975A2', '8321-EP2269986A1', '8321-EP2269990A1', '8321-EP2269997A2', '8321-EP2270010A1', '8321-EP2270014A1', '8321-EP2270113A1', '8321-EP2272516A2', '8321-EP2272517A1', '8321-EP2272537A2', '8321-EP2272822A1', '8321-EP2272825A2', '8321-EP2272826A1', '8321-EP2272935A1', '8321-EP2275401A1', '8321-EP2275404A1', '8321-EP2275415A2', '8321-EP2275427A1', '8321-EP2277898A2', '8321-EP2280009A1', '8321-EP2281817A1', '8321-EP2281818A1', '8321-EP2284149A1', '8321-EP2284160A1', '8321-EP2284174A1', '8321-EP2289509A2', '8321-EP2289887A2', '8321-EP2289888A2', '8321-EP2289891A2', '8321-EP2291346A2', '8321-EP2292611A1', '8321-EP2295421A1', '8321-EP2295438A1', '8321-EP2298742A1', '8321-EP2298767A1', '8321-EP2298778A1', '8321-EP2301918A1', '8321-EP2301983A1', '8321-EP2303836A1', '8321-EP2305250A1', '8321-EP2305642A2', '8321-EP2305649A1', '8321-EP2305667A2', '8321-EP2305683A1', '8321-EP2305808A1', '8321-EP2305825A1', '8321-EP2308510A1', '8321-EP2308562A2', '8321-EP2308812A2', '8321-EP2308832A1', '8321-EP2308851A1', '8321-EP2308861A1', '8321-EP2308872A1', '8321-EP2309584A1', '8321-EP2311796A1', '8321-EP2311797A1', '8321-EP2311798A1', '8321-EP2311799A1', '8321-EP2311808A1', '8321-EP2311820A1', '8321-EP2311839A1', '8321-EP2311841A1', '8321-EP2311846A1', '8321-EP2314295A1', '8321-EP2314583A1', '8321-EP2314585A1', '8321-EP2314587A1', '8321-EP2314589A1', '8321-EP2315303A1', '8321-EP2316824A1', '8321-EP2316829A1', '8321-EP2316837A1', '8321-EP2371810A1', '8321-EP2371811A2', '8321-EP2371831A1', '8321-EP2380568A1', 'Q80260', '29024-EP2270101A1', '29024-EP2272822A1', '29024-EP2272832A1', '29024-EP2272843A1', '29024-EP2275469A1', '29024-EP2281817A1', '29024-EP2281818A1', '29024-EP2284169A1', '29024-EP2287161A1', '29024-EP2287162A1', '29024-EP2287940A1', '29024-EP2289518A1', '29024-EP2292231A1', '29024-EP2292597A1', '29024-EP2292611A1', '29024-EP2295414A1', '29024-EP2298747A1', '29024-EP2298828A1', '29024-EP2301922A1', '29024-EP2305248A1', '29024-EP2305641A1', '29024-EP2311842A2', '29024-EP2311850A1', '29024-EP2371811A2', '29024-EP2372804A1', '29024-EP2374783A1', '29024-EP2377841A1', '29024-EP2378585A1', '138576-EP2292616A1', 'Cyclopentane, for HPLC, &gt;=75% cyclopentane basis', 'Cyclopentane, B&amp;J Brand (product of Burdick &amp; Jackson)', 'Cyclopentane, &gt;=75% cyclopentane basis, spectrophotometric grade']</t>
  </si>
  <si>
    <t>Compound(9253)</t>
  </si>
  <si>
    <t>C5H10</t>
  </si>
  <si>
    <t>cyclohexylthiophthalimide</t>
  </si>
  <si>
    <t>ceftriaxone</t>
  </si>
  <si>
    <t>(6R,7R)-7-[[(2Z)-2-(2-amino-1,3-thiazol-4-yl)-2-methoxyiminoacetyl]amino]-3-[(2-methyl-5,6-dioxo-1H-1,2,4-triazin-3-yl)sulfanylmethyl]-8-oxo-5-thia-1-azabicyclo[4.2.0]oct-2-ene-2-carboxylic acid</t>
  </si>
  <si>
    <t>['ceftriaxone', 'Biotrakson', 'Rocephin', 'Rocefin', '73384-59-5', 'Ceftriazone', 'Ceftriaxonum [INN-Latin]', 'Ceftriaxona [INN-Spanish]', 'Ceftriaxona', 'Ceftriaxonum', 'Rocephine', 'CEFTRIAXONE SODIUM', 'Ro 139904', 'DRG-0071', 'Ceftriaxon', 'Rocephalin', 'CHEBI:29007', 'C18H18N8O7S3', 'UNII-75J73V1629', 'EINECS 277-405-6', 'CHEMBL161', 'CTRX', 'Ro 13-9904', 'Ro-13-9904', 'Longacef', '75J73V1629', '(6R,7R)-7-{[(2Z)-2-(2-amino-1,3-thiazol-4-yl)-2-(methoxyimino)acetyl]amino}-3-{[(2-methyl-5,6-dioxo-1,2,5,6-tetrahydro-1,2,4-triazin-3-yl)sulfanyl]methyl}-8-oxo-5-thia-1-azabicyclo[4.2.0]oct-2-ene-2-carboxylic acid', '5-Thia-1-azabicyclo(4.2.0)oct-2-ene-2-carboxylic acid, 7-(((2-amino-4-thiazolyl)(methoxyimino)acetyl)amino)-8-oxo-3-(((1,2,5,6-tetrahydro-2-methyl-5,6-dioxo-1,2,4-triazin-3-yl)thio)methyl)-, (6R-(6alpha,7beta(Z)))-', '78384-59-5', 'W-104454', 'Ceftriaxone and Dextrose in Duplex Container', '74578-69-1', 'Rophex', 'Ceftriaxone [USAN:JAN]', 'Ceftriaxone, Disodium Salt', 'Ceftriaxone (TN)', 'Ceftriaxone (INN)', 'Ceftriaxone intravenous', 'Ceftriaxone [USAN:INN:JAN]', 'Ceftriaxone, Disodium Salt, Hemiheptahydrate', 'Ceftriaxone free acid', '104376-79-6', 'SCHEMBL23354', '(6R,7R)-7-(2-(2-Amino-4-thiazolyl)glyoxylamido)-8-oxo-3-(((1,2,5,6-tetrahydro-2-methyl-5,6-dioxo-as-triazin-3-yl)thio)methyl)-5-thia-1-azabicyclo(4.2.0)oct-2-ene-2-carboxylic acid, 7(sup 2)-(Z)-(O-methyloxime), sesquaterhydrate', 'DTXSID0022773', 'HY-B0712', 'ZINC8584434', 'BDBM50049707', 'BDBM50103601', 'AKOS015960618', 'AC-1592', 'CS-2948', 'DB01212', '(6R,7R)-7-({(2Z)-2-(2-amino-1,3-thiazol-4-yl)-2-[(methyloxy)imino]acetyl}amino)-3-{[(6-hydroxy-2-methyl-5-oxo-2,5-dihydro-1,2,4-triazin-3-yl)thio]methyl}-8-oxo-5-thia-1-azabicyclo[4.2.0]oct-2-ene-2-carboxylic acid', '(6R,7R)-7-[[(2Z)-2-(2-aminothiazol-4-yl)-2-methoxyimino-acetyl]amino]-3-[(2-methyl-5,6-dioxo-1H-1,2,4-triazin-3-yl)sulfanylmethyl]-8-oxo-5-thia-1-azabicyclo[4.2.0]oct-2-ene-2-carboxylic acid', '7beta-{[(2Z)-2-(2-amino-1,3-thiazol-4-yl)-2-(methoxyimino)acetyl]amino}-3-{[(2-methyl-5,6-dioxo-1,2,5,6-tetrahydro-1,2,4-triazin-3-yl)sulfanyl]methyl}-3,4-didehydrocepham-4-carboxylic acid', 'AS-56320', 'K250', 'LS-150031', 'C06683', 'D07659', 'Cefatriaxone, Antibiotic for Culture Media Use Only', '(6R,7R)-7-[(2Z)-2-(2-amino-1,3-thiazol-4-yl)-2-(methoxyimino)acetamido]-3-{[(2-methyl-5,6-dioxo-1,2,5,6-tetrahydro-1,2,4-triazin-3-yl)sulfanyl]methyl}-8-oxo-5-thia-1-azabicyclo[4.2.0]oct-2-ene-2-carboxylic acid', '(6R,7R)-7-[2-(2-Amino-4-thiazolyl)glyoxylamido]-8-oxo-3-[[(1,2,5,6-tetrahydro-2-methyl-5,6-dioxo-as-triazin-3-yl)thio]methyl]-5-thia-1-azabicyclo[4.2.0]oct-2-ene-2-carboxylic acid, 7^2-(Z)-(O-', '(6R,7R)-7-{2-(2-Amino-thiazol-4-yl)-2-[(Z)-methoxyimino]-acetylamino}-3-(2-methyl-5,6-dioxo-1,2,5,6-tetrahydro-[1,2,4]triazin-3-ylsulfanylmethyl)-8-oxo-5-thia-1-aza-bicyclo[4.2.0]oct-2-ene-2-carboxylic acid', '(6R,7R)-7-{2-(2-Amino-thiazol-4-yl)-2-[(Z)-methoxyimino]-acetylamino}-3-(6-hydroxy-2-methyl-5-oxo-2,5-dihydro-[1,2,4]triazin-3-ylsulfanylmethyl)-8-oxo-5-thia-1-aza-bicyclo[4.2.0]oct-2-ene-2-carboxylic acid', '(6R,7R,)-7-(2-(2-aminothiazol-4-yl)-2-(methoxyimino)acetamido)-3-((2-methyl-5,6-dioxo-1,2,5,6-tetrahydro-1,2,4-triazin-3-ylthio)methyl)-8-oxo-5-thia-1-aza-bicyclo[4.2.0]oct-2-ene-2-carboxylic acid', '(6R,7R,Z)-7-(2-(2-aminothiazol-4-yl)-2-(methoxyimino)acetamido)-3-((2-methyl-5,6-dioxo-1,2,5,6-tetrahydro-1,2,4-triazin-3-ylthio)methyl)-8-oxo-5-thia-1-aza-bicyclo[4.2.0]oct-2-ene-2-carboxylic acid', '(6R,7R,Z)-7-(2-(2-aminothiazol-4-yl)-2-(methoxyimino)acetamido)-3-((6-hydroxy-2-methyl-5-oxo-2,5-dihydro-1,2,4-triazin-3-ylthio)methyl)-8-oxo-5-thia-1-aza-bicyclo[4.2.0]oct-2-ene-2-carboxylic acid', '5-Thia-1-azabicyclo(4.2.0)oct-2-ene-2-carboxylic acid, 7-(((2Z)-(2-amino-4-thiazolyl)(methoxyimino)acetyl)amino)-8-oxo-3-(((1,2,5,6-tetrahydro-2-methyl-5,6-dioxo-1,2,4-triazin-3-yl)thio)methyl)-, (6R,7R)-', '5-Thia-1-azabicyclo[4.2.0]oct-2-ene-2-carboxylic acid, 7-[[(2Z)-2-(2-amino-4-thiazolyl)-2-(methoxyimino)acetyl]amino]-8-oxo-3-[[(1,2,5,6-tetrahydro-2-methyl-5,6-dioxo-1,2,4-triazin-3-yl)thio]methyl]-, (6R,7R)-', '7-[2-(2-Amino-thiazol-4-yl)-2-methoxyimino-acetylamino]-3-(6-hydroxy-2-methyl-5-oxo-2,5-dihydro-[1,2,4]triazin-3-ylsulfanylmethyl)-8-oxo-5-thia-1-aza-bicyclo[4.2.0]oct-2-ene-2-carboxylic acid (Ceftriaxone)', '7-[2-(2-Amino-thiazol-4-yl)-2-methoxyimino-acetylamino]-3-(6-hydroxy-2-methyl-5-oxo-2,5-dihydro-[1,2,4]triazin-3-ylsulfanylmethyl)-8-oxo-5-thia-1-aza-bicyclo[4.2.0]oct-2-ene-2-carboxylic acid(Ceftriaxone)']</t>
  </si>
  <si>
    <t>Compound(5479530)</t>
  </si>
  <si>
    <t>C18H18N8O7S3</t>
  </si>
  <si>
    <t>(6R,7R)-7-[[(2R)-2-amino-2-phenylacetyl]amino]-3-chloro-8-oxo-5-thia-1-azabicyclo[4.2.0]oct-2-ene-2-carboxylic acid</t>
  </si>
  <si>
    <t>['cefaclor', '53994-73-3', 'Cephaclor', 'Ceclor', 'Cefaclor anhydrous', 'Cefaclorum', 'Kefral', 'Panoral', 'Raniclor', 'Cefaclorum [INN-Latin]', 'UNII-3Z6FS3IK0K', '3-Chloro-7-D-(2-phenylglycinamido)-3-cephem-4-carboxylic acid', 'Lilly 99638', 'S 6472', 'CHEBI:3478', 'CCL', 'Ceclor CD', '3Z6FS3IK0K', 'MLS000069617', 'Cefaclor, 96%', '(6R,7R)-7-{[(2R)-2-amino-2-phenylacetyl]amino}-3-chloro-8-oxo-5-thia-1-azabicyclo[4.2.0]oct-2-ene-2-carboxylic acid', 'NCGC00022612-04', 'Alfacet', 'SMR000058250', 'DSSTox_CID_2748', 'DSSTox_RID_76713', 'DSSTox_GSID_22748', '(6R,7R)-7-((R)-2-amino-2-phenylacetamido)-3-chloro-8-oxo-5-thia-1-azabicyclo[4.2.0]oct-2-ene-2-carboxylic acid', 'S-6472', 'Cefaclor Impurity C', 'EINECS 258-909-5', 'Dystaclor MR', 'L-Kefral', 'Alenfral (TN)', 'Cefaclor [INN]', '(6R,7R)-7-((R)-2-Amino-2-phenylacetamido)-3-chloro-8-oxo-5-thia-1-azabicyclo(4.2.0)oct-2-ene-2-carboxylic acid', '(6R,7R)-7-[(2R)-2-amino-2-phenylacetamido]-3-chloro-8-oxo-5-thia-1-azabicyclo[4.2.0]oct-2-ene-2-carboxylic acid', '5-Thia-1-azabicyclo[4.2.0]oct-2-ene-2-carboxylic acid,7-[[(2R)-aminophenylacetyl]amino]-3-chloro-8-oxo-, (6R,7R)-', '7-((2R)-2-amino-2-phenylacetylamino)(7R,7aR)-3-chloro-6-oxo-2H,7H-azetidino[2, 1-b]1,3-thiazine-4-carboxylic acid', 'CAS-53994-73-3', 'Cefaclor(Ceclor)/', 'Cefaclor,(S)', '143059-69-2', 'Cefaclor (JP17)', 'Spectrum_001070', 'SpecPlus_000947', 'Prestwick0_000485', 'Prestwick0_001102', 'Prestwick1_000485', 'Prestwick1_001102', 'Prestwick2_000485', 'Prestwick2_001102', 'Prestwick3_000485', 'Prestwick3_001102', 'Spectrum2_001189', 'Spectrum3_001858', 'Spectrum4_000093', 'Spectrum5_001727', 'CHEMBL680', 'Epitope ID:117133', 'SCHEMBL33540', 'BSPBio_000349', 'BSPBio_001204', 'BSPBio_003276', 'KBioGR_000386', 'KBioSS_001550', 'cid_51039', 'MLS001424193', 'DivK1c_007043', 'SPECTRUM1500771', 'SPBio_001237', 'SPBio_002270', 'SPBio_003082', 'BPBio1_000385', 'BPBio1_001326', 'DTXSID3022748', 'BDBM42131', 'CTK1H0061', 'KBio1_001987', 'KBio2_001550', 'KBio2_004118', 'KBio2_006686', 'KBio3_002777', 'BCPP000294', 'HMS1571M06', 'HMS1921G22', 'HMS2052C11', 'HMS2092K08', 'HMS2233M13', 'Pharmakon1600-01500771', '5-Thia-1-azabicyclo(4.2.0)oct-2-ene-2-carboxylic acid, 7-((aminophenylacetyl)amino)-3-chloro-8-oxo-, (6R-(6-alpha,7-beta(R*)))-', 'HY-B0198', 'ZINC3812869', 'Tox21_110880', 'ABP000537', 'CCG-40264', 'MFCD00151471', 'NSC757422', 'AKOS024282614', 'Tox21_110880_1', 'BCP9000501', 'Cefaclor, analytical reference material', 'CS-2134', 'DB00833', 'NC00354', 'NSC-757422', '7beta-{[(2R)-2-amino-2-phenylacetyl]amino}-3-chloro-3,4-didehydrocepham-4-carboxylic acid', 'NCGC00015260-22', 'NCGC00022612-05', 'NCGC00022612-06', 'NCGC00022612-07', 'NCGC00022612-10', 'NCGC00022612-11', 'AS-74992', 'ST057228', 'SBI-0051606.P002', 'AB00052174', 'C06877', 'D00256', 'AB00052174_15', 'AB00052174_16', 'Cefaclor, Antibiotic for Culture Media Use Only', 'Q415167', 'SR-05000001556', 'SR-05000001556-1', 'BRD-K20338176-002-03-5', '7-(D-2-AMINO-2-PHENYLACETAMIDO)-3-CHLORO-3-CEPHEM-4-CARBOXYLIC', '(6R,7R)-7-[(R)-2-AMINO-2-PHENYLACETAMIDO]-3-CHLORO-8-OXO-5-THIA-1-AZABICYCLO[4,2,0]OCT-2-ENE-2-CARBOXYLIC ACID', '(6R,7R)-7-[[(2R)-2-amino-1-oxo-2-phenylethyl]amino]-3-chloro-8-oxo-5-thia-1-azabicyclo[4.2.0]oct-2-ene-2-carboxylic acid', '(6R,7R)-7-[[(2R)-2-amino-2-phenyl-acetyl]amino]-3-chloro-8-oxo-5-thia-1-azabicyclo[4.2.0]oct-2-ene-2-carboxylic acid', '5-Thia-1-azabicyclo[4.2.0]oct-2-ene-2-carboxylic acid, 7-[[(2R)-2-amino-2-phenylacetyl]amino]-3-chloro-8-oxo-, (6R,7R)-', '5-Thia-1-azabicyclo[4.2.0]oct-2-ene-2-carboxylicacid, 7-[[(2R)-2-amino-2-phenylacetyl]amino]-3-chloro-8-oxo-, (6R,7R)-']</t>
  </si>
  <si>
    <t>Compound(51039)</t>
  </si>
  <si>
    <t>C15H14ClN3O4S</t>
  </si>
  <si>
    <t>(6R,7R)-7-[[(2R)-2-amino-2-(4-hydroxyphenyl)acetyl]amino]-3-methyl-8-oxo-5-thia-1-azabicyclo[4.2.0]oct-2-ene-2-carboxylic acid</t>
  </si>
  <si>
    <t>['cefadroxil', '50370-12-2', 'Cephadroxil', 'Cefadroxil anhydrous', 'D-Cefadroxil', 'Cefadroxilo', 'Cefadroxilum', 'Duricef', 'BL-S578', 'UNII-Q525PA8JJB', 'CHEBI:3479', '(6R,7R)-7-{[(2R)-2-amino-2-(4-hydroxyphenyl)acetyl]amino}-3-methyl-8-oxo-5-thia-1-azabicyclo[4.2.0]oct-2-ene-2-carboxylic acid', 'CDX', 'Q525PA8JJB', 'Oracefal', 'Cefadroxilum [INN-Latin]', 'Cefadroxilo [INN-Spanish]', 'BL-S 578', 'S 578', 'S-578', 'DSSTox_CID_2749', 'Cefadroxil, 95-105%', 'DSSTox_RID_76714', 'DSSTox_GSID_22749', '(6R,7R)-7-[[(2R)-2-amino-2-(4-hydroxyphenyl)acetyl]amino]-3-methyl-8-oxo-5-thia-1-azabicyclo[4.2.0]oct-2-ene-2-carboxylic acid', 'EINECS 256-555-6', '(6R,7R)-7-((R)-2-amino-2-(4-hydroxyphenyl)acetamido)-3-methyl-8-oxo-5-thia-1-azabicyclo[4.2.0]oct-2-ene-2-carboxylic acid', '(6R,7R)-7-[(2R)-2-amino-2-(4-hydroxyphenyl)acetamido]-3-methyl-8-oxo-5-thia-1-azabicyclo[4.2.0]oct-2-ene-2-carboxylic acid', '5-Thia-1-azabicyclo(4.2.0)oct-2-ene-2-carboxylic acid, 7-(((2R)-amino(4-hydroxyphenyl)acetyl)amino)-3-methyl-8-oxo-, (6R,7R)-', 'Cefadroxil [INN]', 'Sumacef (TN)', '(6R,7R)-7-((R)-2-Amino-2-(p-hydroxyphenyl)acetamido)-3-methyl-8-oxo-5-thia-1-azabicyclo(4.2.0)oct-2-ene-2-carboxylic acid', 'C16H17N3O5S', 'Cefradroxil', 'Cefadrops', 'CEFADROXIL/CEFADROXIL HEMIHYDRATE', 'NCGC00016858-01', 'CAS-50370-12-2', 'Cefadroxil, Anhydrous', 'Cefadroxil (JP17)', 'MJF-11567-3', 'Spectrum_000104', 'Prestwick0_000434', 'Prestwick1_000434', 'Prestwick2_000434', 'Prestwick3_000434', 'Spectrum2_000087', 'Spectrum4_000266', 'Spectrum5_000663', 'Epitope ID:117131', 'CHEMBL1644', 'BSPBio_000448', 'KBioGR_000732', 'KBioSS_000544', 'MLS002207219', 'DivK1c_000409', 'SCHEMBL151320', 'SPBio_000014', 'SPBio_002387', 'Cefadroxil, analytical standard', 'BPBio1_000494', 'GTPL4831', 'DTXSID8022749', 'CTK8F8512', 'HMS501E11', 'KBio1_000409', 'KBio2_000544', 'KBio2_003112', 'KBio2_005680', 'NINDS_000409', 'HMS1569G10', 'HMS2096G10', 'HMS3713G10', 'Pharmakon1600-01500163', '5-Thia-1-azabicyclo(4.2.0)oct-2-ene-2-carboxylic acid, 7-((amino(4-hydroxyphenyl)acetyl)amino)-3-methyl-8-oxo-, (6R-(6-alpha,7-beta(R*)))-', 'HY-B1190', 'ZINC3830391', 'Tox21_110651', 'BBL033696', 'BDBM50350467', 'NSC756664', 'STK801939', 'AKOS005622555', 'Tox21_110651_1', 'API0006601', 'CCG-220434', 'CS-4696', 'DB01140', 'MCULE-6475996520', 'NSC-756664', 'IDI1_000409', 'NCGC00179556-01', 'NCGC00179556-03', 'AS-11655', 'SC-74593', 'SMR001306770', 'SBI-0051305.P003', 'AB00513838', 'ST51014960', 'C06878', 'D00257', '592C878', 'Q2319020', 'Cefadroxil monohydrate, Antibiotic for Culture Media Use Only', '(7R)-7-((R)-2-amino-2-(4-hydroxyphenyl)acetamido)-3-methyl-8-oxo-5-thia-1-azabicyclo[4.2.0]oct-2-ene-2-carboxylic acid', '7-[(2R)-2-amino-2-(4-hydroxyphenyl)acetylamino](7R,7aR)-3-methyl-6-oxo-2H,7H-a zetidino[2,1-b]1,3-thiazine-4-carboxylic acid', '7beta-{[(2R)-2-amino-2-(4-hydroxyphenyl)acetyl]amino}-3-methyl-3,4-didehydrocepham-4-carboxylic acid']</t>
  </si>
  <si>
    <t>Compound(47965)</t>
  </si>
  <si>
    <t>C16H17N3O5S</t>
  </si>
  <si>
    <t>cefalexin</t>
  </si>
  <si>
    <t>(6R,7R)-7-[[(2R)-2-amino-2-phenylacetyl]amino]-3-methyl-8-oxo-5-thia-1-azabicyclo[4.2.0]oct-2-ene-2-carboxylic acid</t>
  </si>
  <si>
    <t>['cephalexin', 'Cefalexin', '15686-71-2', 'Keflex', 'Cephacillin', 'Ceporexin', 'Cepexin', 'Cephalexinum', 'Cepastar', 'Cephalexine', 'Ceporexine', 'Celexin', 'Ceporex', 'Keflet', 'Alcephin', 'Cefablan', 'Cefalexina', 'Cefalexine', 'Cefalexinum', 'Cefaloto', 'Cephanasten', 'Cefadin', 'Ceforal', 'Tepaxin', 'Carnosporin', 'Cefaleksin', 'Cefaseptin', 'Cophalexin', 'Kefalospes', 'Lexibiotico', 'Ortisporina', 'Sencephalin', 'Tokiolexin', 'Alsporin', 'Cefadal', 'Cefadina', 'Cefalin', 'Cefovit', 'Cephaxin', 'Durantel', 'Erocetin', 'Factagard', 'Felexin', 'Ibrexin', 'Inphalex', 'Kefolan', 'Kekrinal', 'Kidolex', 'Lafarine', 'Larixin', 'Lenocef', 'Lonflex', 'Lopilexin', 'Madlexin', 'Mamalexin', 'Mamlexin', 'Medoxine', 'Neolexina', 'Novolexin', 'Oriphex', 'Ospexin', 'Pectril', 'Pyassan', 'Sanaxin', 'Sartosona', 'Sepexin', 'Servispor', 'Sialexin', 'Sporicef', 'Sporidex', 'Uphalexin', 'Zozarine', 'Alexin', 'Biocef', 'Cefax', 'Cephin', 'Cepol', 'Check', 'Fexin', 'Ibilex', 'Keftab', 'Neokef', 'Nufex', 'Oracef', 'Oroxin', 'Roceph', 'Syncl', 'Syncle', 'Synecl', 'Voxxim', 'Winlex', 'Palitrex', 'Cefa-iskia', 'Ceporex Forte', 'Ceporexin-E', 'Cefalessina [DCIT]', 'Durantel DS', 'L-Keflex', 'Sinthecillin', 'Ed A-Ceph', 'Cefalexine [INN-French]', 'Cefalexinum [INN-Latin]', 'Roceph Distab', 'Cefalexina [INN-Spanish]', 'Cephalexin anhydrous', 'Lilly 66873', 'Cephalexin hydrate', '7-(D-alpha-Aminophenylacetamido)desacetoxycephalosporanic acid', 'Cephalexin hydrochloride', 'S 6437', 'UNII-5SFF1W6677', '7-beta-(D-alpha-Amino-alpha-phenylacetylamino)-3-methyl-3-cephem-4-carboxylic acid', 'CHEBI:3534', 'Cephalexin [USAN:BAN]', 'HSDB 3022', 'EINECS 239-773-6', 'CEX', 'BRN 0965503', 'SQ 20248', 'CHEMBL1727', '7-(D-2-Amino-2-phenylacetamido)-3-methyl-delta3-cephem-4-carboxylic acid', '(6R,7R)-7-{[(2R)-2-amino-2-phenylacetyl]amino}-3-methyl-8-oxo-5-thia-1-azabicyclo[4.2.0]oct-2-ene-2-carboxylic acid', 'Cefalessina', '5SFF1W6677', 'Panixine Disperdose', 'NCGC00159522-02', 'Ceflax', 'DSSTox_CID_2780', '7-(D-2-Amino-2-phenylacetamido)-3-methyl-delta (sup 3)-cephem-4- carboxylic acid', 'DSSTox_RID_76726', 'DSSTox_GSID_22780', '(6R,7R)-7-((R)-2-Amino-2-phenylacetamido)-3-methyl-8-oxo-5-thia-1-azabicyclo(4.2.0)oct-2-en-2-carbonsaeure', '(6R,7R)-7-[[(2R)-2-amino-2-phenylacetyl]amino]-3-methyl-8-oxo-5-thia-1-azabicyclo[4.2.0]oct-2-ene-2-carboxylic acid', '5-Thia-1-azabicyclo(4.2.0)oct-2-ene-2-carboxylic acid, 7-((aminophenylacetyl)amino)-3-methyl-8-oxo-, (6R-(6alpha,7beta(R*)))-', '5-Thia-1-azabicyclo[4.2.0]oct-2-ene-2-carboxylic acid, 7-[[(2R)-aminophenylacetyl]amino]-3-methyl-8-oxo-, (6R,7R)-', 'L-Cephalexin', 'Cephalexin 1-hydrate', 'Cerexin', 'Optocef', '(6R,7R)-7-((R)-2-amino-2-phenylacetamido)-3-methyl-8-oxo-5-thia-1-azabicyclo[4.2.0]oct-2-ene-2-carboxylic acid', '(6R,7R)-7-[(2R)-2-amino-2-phenylacetamido]-3-methyl-8-oxo-5-thia-1-azabicyclo[4.2.0]oct-2-ene-2-carboxylic acid', '5-Thia-1-azabicyclo(4.2.0)oct-2-ene-2-carboxylic acid, 7-(((2R)-aminophenylacetyl)amino)-3-methyl-8-oxo-, (6R,7R)-', '5-Thia-1-azabicyclo(4.2.0)oct-2-ene-2-carboxylic acid, 7-(2-amino-2-phenylacetamido)-3-methyl-8-oxo-, D-', 'SMR000338536', 'CAS-15686-71-2', 'Keflex (TN)', 'Cephalexin (anhydrous)', 'Cerexins', 'Amplex', 'Cephalexin, (6R-(6alpha,7beta))-Isomer', 'Anhydrous cefalexin', 'Cefalexin anhydrous', 'Cefalexin,(S)', 'Cefalexin [INN]', 'Anhydrous cephalexin', 'Cefalexin (JP17)', 'Cephalexin (Cefalexin)', '105879-42-3', 'Prestwick0_000358', 'Prestwick1_000358', 'Prestwick2_000358', 'Prestwick3_000358', 'Epitope ID:117132', 'SCHEMBL2961', 'BSPBio_000455', 'MLS000759527', 'MLS001424036', 'SPBio_002376', 'BPBio1_000501', 'GTPL4832', 'DTXSID9022780', 'CTK2F7346', 'BCPP000289', 'HMS2051A04', '34632-04-7', '5-Thia-1-azabicyclo[4.2.0]oct-2-ene-2-carboxylic acid, 7-[[(2R)-2-amino-2-phenylacetyl]amino]-3-methyl-8-oxo-, (6R,7R)-', 'EBD56457', 'HY-B0200', 'ZINC3830500', 'Tox21_111740', '2312AH', 'BDBM50139896', 'MFCD00056877', 'AKOS004119846', 'Tox21_111740_1', 'API0001883', 'BCP9000509', 'CCG-100831', 'CS-2137', 'DB00567', 'NC00081', 'NCGC00159522-03', 'NCGC00159522-05', '(6R,7R)-7-[[(2R)-2-amino-2-phenyl-acetyl]amino]-3-methyl-8-oxo-5-thia-1-azabicyclo[4.2.0]oct-2-ene-2-carboxylic acid', 'DS-11971', 'AB0089169', 'LS-149963', 'LS-174191', 'B1692', 'Cefalexin, VETRANAL(TM), analytical standard', 'C-2660', 'C06895', 'D00263', 'Cephalexin, Antibiotic for Culture Media Use Only', 'Q411417', 'Q-200819', 'BRD-K90733503-002-03-6', 'Cefalexin, British Pharmacopoeia (BP) Reference Standard', 'Cephalexin monohydrate, Antibiotic for Culture Media Use Only', '7-(D-alpha-amino-phenylacetamido)-3-methyl-3-cepheme-4-carboxylic acid', 'Cephalexin, Pharmaceutical Secondary Standard; Certified Reference Material', '7beta-[(2R)-2-amino-2-phenylacetamido]-3-methyl-3,4-didehydrocepham-4-carboxylic acid', '(6R,7R)-7-((R)-2-Amino-2-phenyl-acetylamino)-3-methyl-8-oxo-5-thia-1-aza-bicyclo[4.2.0]oct-2-ene-2-carboxylic acid', '(6R,7R)-7-((R)-2-amino-2-phenylacetamido)-3-methyl-8-oxo-5-thia-1-aza-bicyclo[4.2.0]oct-2-ene-2-carboxylic acid', '17692-47-6', '5-Thia-1-azabicyclo[4.2.0]oct-2-ene-2-carboxylicacid, 7-[[(2R)-2-amino-2-phenylacetyl]amino]-3-methyl-8-oxo-, (6R,7R)-', '65454-17-3', 'CEPHALEXIN HYDROCHLORIDE;Cephalexin;Cefalex;Thia-1-azabicyclo(4.2.0)oct-2-ene-2-carboxylic acid, 5-, 7-(2-amino-2-phenylacetamido)-3-methyl-8-oxo-, monohydrate, d-;Sodium [6R-[6a,7ss(R*)]]-7-(aminophenylacetamido)-3-methyl-8-oxo-5-thia-1-azabicyclo[4.2.0]oct-2-ene-2-carboxylate']</t>
  </si>
  <si>
    <t>Compound(27447)</t>
  </si>
  <si>
    <t>C16H17N3O4S</t>
  </si>
  <si>
    <t>cefuroxime</t>
  </si>
  <si>
    <t>(6R,7R)-3-(carbamoyloxymethyl)-7-[[(2Z)-2-(furan-2-yl)-2-methoxyiminoacetyl]amino]-8-oxo-5-thia-1-azabicyclo[4.2.0]oct-2-ene-2-carboxylic acid</t>
  </si>
  <si>
    <t>['cefuroxime', 'Cephuroxime', 'Cefuroxim', 'Cefuroximo', '55268-75-2', 'Cefuroximum', 'Sharox', 'Zinacef Danmark', 'Zinacef', 'Biofuroksym', 'Cefuril', 'Cefuroximum [INN-Latin]', 'Cefuroximo [INN-Spanish]', 'UNII-O1R9FJ93ED', 'Cefuroxime [USAN:INN:BAN]', 'C16H16N4O8S', 'EINECS 259-560-1', 'BRN 5783190', 'O1R9FJ93ED', 'CHEBI:3515', 'Kefurox', '(6R,7R)-7-(2-(2-Furyl)glyoxylamido)-3-(hydroxymethyl)-8-oxo-5-thia-1-azabicyclo(4.2.0)oct-2-ene-2-carboxylic acid 7(sup 2)-(Z)-(O-methyloxime) carbamate (ester)', '5-Thia-1-azabicyclo(4.2.0)oct-2-ene-2-carboxylic acid, 3-(((aminocarbonyl)oxy)methyl)-7-((2-furanyl(methoxyimino)acetyl)amino)-8-oxo-, (6R-(6alpha,7beta(Z)))-', 'Q63409033', '(6r,7r)-3-[(Carbamoyloxy)methyl]-7-{[(2z)-2-(Furan-2-Yl)-2-(Methoxyimino)acetyl]amino}-8-Oxo-5-Thia-1-Azabicyclo[4.2.0]oct-2-Ene-2-Carboxylic Acid', '(6R,7R)-3-[(carbamoyloxy)methyl]-7-[(2Z)-2-(furan-2-yl)-2-(methoxyimino)acetamido]-8-oxo-5-thia-1-azabicyclo[4.2.0]oct-2-ene-2-carboxylic acid', '(6R,7R)-3-[(carbamoyloxy)methyl]-7-{[(2Z)-2-furan-2-yl-2-(methoxyimino)acetyl]amino}-8-oxo-5-thia-1-azabicyclo[4.2.0]oct-2-ene-2-carboxylic acid', 'Cefuroximine', 'Cefuroxime [USAN:BAN:INN]', '4kov', 'Cefuroxime (TN)', '(6R,7R)-3-(carbamoyloxymethyl)-7-[[(2Z)-2-(furan-2-yl)-2-methoxyiminoacetyl]amino]-8-oxo-5-thia-1-azabicyclo[4.2.0]oct-2-ene-2-carboxylic acid', 'EN300-53016', 'Cefuroxime (USAN/INN)', 'Prestwick3_000720', 'CHEMBL1436', 'BSPBio_000939', 'BIDD:GT0619', 'BPBio1_001033', 'SCHEMBL1821942', 'HY-B1256A', 'ZINC3830485', 'BDBM50422689', 'AKOS015962849', 'AC-4539', 'DB01112', 'KS-5162', 'LS-2226', '(6R,7R)-3-((Carbamoyloxy)methyl)-7-((Z)-2-(furan-2-yl)-2-(methoxyimino)acetamido)-8-oxo-5-thia-1-azabicyclo[4.2.0]oct-2-ene-2-carboxylic acid', 'CC-25609', 'P802', 'AB0010602', 'CS-0013520', 'C06894', 'Cefuroxime, VETRANAL(TM), analytical standard', 'D00262', '268C752', 'A830563', 'Cefuroxime, Antibiotic for Culture Media Use Only', 'W-105575', 'BRD-K02733959-236-02-8', 'BRD-K02733959-236-07-7', '(6R,7R)-3-(aminocarbonyloxymethyl)-7-[[(2Z)-2-(furan-2-yl)-2-methoxyimino-ethanoyl]amino]-8-oxidanylidene-5-thia-1-azabicyclo[4.2.0]oct-2-ene-2-carboxylic acid', '(6R,7R)-3-(carbamoyloxymethyl)-7-[[(2Z)-2-(2-furanyl)-2-methoxyimino-1-oxoethyl]amino]-8-oxo-5-thia-1-azabicyclo[4.2.0]oct-2-ene-2-carboxylic acid', '(6R,7R)-3-(carbamoyloxymethyl)-7-[[(2Z)-2-(2-furyl)-2-methoxyimino-acetyl]amino]-8-oxo-5-thia-1-azabicyclo[4.2.0]oct-2-ene-2-carboxylic acid', '(6R,7R)-3-[[(Aminocarbonyl)oxy]methyl]-7-[[(2Z)-2-(2-furanyl)-2-(methoxyimino)acetyl]amino]-8-oxo-5-thia-1-azabicyclo[4.2.0]oct-3-ene-2-carboxylic Acid', '3-[(carbamoyloxy)methyl]-7beta-[(2Z)-2-(furan-2-yl)-2-(methoxyimino)acetamido]-3,4-didehydrocepham-4-carboxylic acid', '5-Thia-1-azabicyclo(4.2.0)oct-2-ene-2-carboxylic acid, 3-(((aminocarbonyl)oxy)methyl)-7-((2-furanyl(methyoxyimino)acetyl)amino)-8-oxo-, (6R-(6-alpha,7-beta(Z)))-', 'KEF', 'KOV', 'odium [6R-[6?,7?(Z)]]-3-[[(aminocarbonyl)oxy]methyl]-7-[2-furyl(methoxyimino)acetamido]-8-oxo-5-thia-1-azabicyclo[4.2.0]oct-2-ene-2-carboxylate', 'Sodium [6R-[6a,7ss(Z)]]-3-[[(aminocarbonyl)oxy]methyl]-7-[2-furyl(methoxyimino)acetamido]-8-oxo-5-thia-1-azabicyclo[4.2.0]oct-2-ene-2-carboxylate']</t>
  </si>
  <si>
    <t>Compound(5479529)</t>
  </si>
  <si>
    <t>C16H16N4O8S</t>
  </si>
  <si>
    <t>(6R,7R)-7-[[(2Z)-2-(2-amino-1,3-thiazol-4-yl)-2-methoxyiminoacetyl]amino]-3-(furan-2-carbonylsulfanylmethyl)-8-oxo-5-thia-1-azabicyclo[4.2.0]oct-2-ene-2-carboxylic acid</t>
  </si>
  <si>
    <t>['Ceftiofur', '80370-57-6', 'Excenel', 'UNII-83JL932I1C', 'Ceftiofurum', '83JL932I1C', '(6R,7R)-7-[[(2Z)-2-(2-amino-1,3-thiazol-4-yl)-2-methoxyiminoacetyl]amino]-3-(furan-2-carbonylsulfanylmethyl)-8-oxo-5-thia-1-azabicyclo[4.2.0]oct-2-ene-2-carboxylic acid', 'Ceftiofur (INN)', 'C19H17N5O7S3.HCl', 'Ceftiofur Hydrochloride [USAN]', 'Ceftiofurum [Latin]', 'Naxcel [veterinary] (TN)', 'U 64279A', 'U 67279A', 'Ceftiofur [USAN:INN:BAN]', 'HSDB 7445', 'ceftiofur;Ceftiofur', 'NCGC00167543-01', '(6R,7R)-7-((Z)-2-(2-Aminothiazol-4-yl)-2-(methoxyimino)acetamido)-3-(((furan-2-carbonyl)thio)methyl)-8-oxo-5-thia-1-azabicyclo[4.2.0]oct-2-ene-2-carboxylic acid', '(6R,7R)-7-(2-(2-Amino-4-thiazolyl)glyoxylamido)-3-(mercaptomethyl)-8-oxo-5-thia-1-azabicyclo(4.2.0)oct-2-ene-2-carboxylic acid, 7(sup 2)-(Z)-(O-methyloxime), 2-furoate (ester), monohydrochloride', '5-Thia-1-azabicyclo(4.2.0)oct-2-ene-2-carboxylic acid, 7-(((2-amino-4-thiazolyl)(methoxyimino)acetyl)amino)-3-(((2-furanylcarbonyl)thio)methyl)-8-oxo-, monohydrochloride, (6R-(6alpha,7beta(Z)))-', '5-Thia-1-azabicyclo(4.2.0)oct-2-ene-2-carboxylic acid, 7-(((2Z)-(2-amino-4-thiazolyl)(methoxyimino)acetyl)amino)-3-(((2-furanylcarbonyl)thio)methyl)-8-oxo, monohydrochloride, (6R,7R)', 'DSSTox_CID_26702', 'DSSTox_RID_81836', 'DSSTox_GSID_46702', 'SCHEMBL332041', 'Ceftiofur crystalline free acid', 'CHEMBL222913', 'DTXSID7046702', 'HY-N7102', 'Tox21_112540', 'BDBM50103524', 's5356', 'ZINC38141711', 'AKOS015998831', 'CCG-269876', 'DB11485', '(6R,7R)-7-(2-(2-Amino-4-thiazolyl)glyoxylamido)-3-(mercaptomethyl)-8-oxo-5-thia-1-azabicyclo(4.2.0)oct-2-ene-2-carboxylic acid, 7(sup 2)-(Z)-(O-methyloxime), 2-furoate (ester)', 'CAS-80370-57-6', 'LS-171899', 'CS-0081818', 'D07657', '370C576', 'A839898', 'BRD-K82960980-003-02-7', '(6R,7R)-7-[(2Z)-2-(2-amino-1,3-thiazol-4-yl)-2-(methoxyimino)acetamido]-3-[(furan-2-carbonylsulfanyl)methyl]-8-oxo-5-thia-1-azabicyclo[4.2.0]oct-2-ene-2-carboxylic acid', '(6R,7R)-7-[[(2Z)-2-(2-amino-4-thiazolyl)-2-methoxyimino-1-oxoethyl]amino]-3-[[[2-furanyl(oxo)methyl]thio]methyl]-8-oxo-5-thia-1-azabicyclo[4.2.0]oct-2-ene-2-carboxylic acid', '(6R,7R)-7-[[(2Z)-2-(2-azanyl-1,3-thiazol-4-yl)-2-methoxyimino-ethanoyl]amino]-3-(furan-2-ylcarbonylsulfanylmethyl)-8-oxidanylidene-5-thia-1-azabicyclo[4.2.0]oct-2-ene-2-carboxylic acid', '(6R,7R)-7-{[(2Z)-2-(2-Amino-1,3-thiazol-4-yl)-2-(methoxyimino)acetyl]amino}-3-[(2-furoylsulfanyl)methyl]-8-oxo-5-thia-1-azabicyclo[4.2.0]oct-2-ene-2-carboxylic acid', '5-Thia-1-azabicyclo(4.2.0)oct-2-ene-2-carboxylic acid, 7-(((2-amino-4-thiazolyl)(methoxyimino)acetyl)amino)-3-(((2-furanylcarbonyl)thio)methyl)-8-oxo-, (6R-(6alpha,7beta(Z)))-', '5-Thia-1-azabicyclo(4.2.0)oct-2-ene-2-carboxylic acid, 7-(((2Z)-(2-amino-4-thiazolyl)(methoxyimino)acetyl)amino)-3-(((2-furanylcarbonyl)thio)methyl)-8-oxo-, (6R,7R)-', '5-Thia-1-azabicyclo[4.2.0]oct-2-ene-2-carboxylic acid, 7-[[(2Z)-2-(2-amino-4-thiazolyl)-2-(methoxyimino)acetyl]amino]-3-[[(2-furanylcarbonyl)thio]methyl]-8-oxo-, hydrochloride (1:1), (6R,7R)-']</t>
  </si>
  <si>
    <t>Compound(6328657)</t>
  </si>
  <si>
    <t>C19H17N5O7S3</t>
  </si>
  <si>
    <t>(6R,7R)-3-(acetyloxymethyl)-7-[[(2Z)-2-(2-amino-1,3-thiazol-4-yl)-2-methoxyiminoacetyl]amino]-8-oxo-5-thia-1-azabicyclo[4.2.0]oct-2-ene-2-carboxylic acid</t>
  </si>
  <si>
    <t>['cefotaxime', 'Cephotaxime', '63527-52-6', 'Cefotaxime acid', 'E-cefotaxime', 'UNII-N2GI8B1GK7', 'Cefotaximum', 'Cefotaxima', 'Claforan', 'N2GI8B1GK7', 'CHEBI:204928', 'Cefotaxime [INN:BAN]', 'Cefotaximum [INN-Latin]', 'Cefotaxima [INN-Spanish]', 'HR 756', '60846-21-1', 'RU 24756', 'C16H17N5O7S2', 'Omnatax', 'Taxim', 'EINECS 264-299-1', 'RU 24662', '5-Thia-1-azabicyclo(4.2.0)oct-2-ene-2-carboxylic acid, 3-((acetyloxy)methyl)-7-(((2Z)-(2-amino-4-thiazolyl)(methoxyimino)acetyl)amino)-8-oxo-, (6R,7R)-', '4kot', '(6R,7R)-3-(Acetoxymethyl)-7-(()-2-(2-amino-4-thiazolyl)-2-methoxyiminoglyoxylamino)-8-oco-5-thia-1-azabicyclo(4.2.0)oct-2-en-2-carbonsaeure', '(6R,7R)-3-(acetoxymethyl)-7-((E)-2-(2-aminothiazol-4-yl)-2-(methoxyimino)acetamido)-8-oxo-5-thia-1-azabicyclo[4.2.0]oct-2-ene-2-carboxylic acid', '(6R,7R)-3-(acetoxymethyl)-7-[[(2Z)-2-(2-aminothiazol-4-yl)-2-methoxyimino-acetyl]amino]-8-oxo-5-thia-1-azabicyclo[4.2.0]oct-2-ene-2-carboxylic acid', '(6r,7r)-3-(Acetyloxymethyl)-7-[[(2z)-2-(2-Amino-1,3-Thiazol-4-Yl)-2-Methoxyimino-Ethanoyl]amino]-8-Oxo-5-Thia-1-Azabicyclo[4.2.0]oct-2-Ene-2-Carboxylic Acid', '(6R,7R)-3-Acetoxymethyl-7-{2-(2-amino-thiazol-4-yl)-2-[(Z)-methoxyimino]-acetylamino}-8-oxo-5-thia-1-aza-bicyclo[4.2.0]oct-2-ene-2-carboxylic acid', '(6R,7R,Z)-3-(acetoxymethyl)-7-(2-(2-aminothiazol-4-yl)-2-(methoxyimino)acetamido)-8-oxo-5-thia-1-aza-bicyclo[4.2.0]oct-2-ene-2-carboxylic acid', '5-Thia-1-azabicyclo[4.2.0]oct-2-ene-2-carboxylic acid, 3-[(acetyloxy)methyl]-7-[[(2Z)-(2-amino-4-thiazolyl)(methoxyimino)acetyl]amino]-8-oxo-, (6R,7R)-', 'Cefotaxime (INN)', 'Cefotaxim Hikma (TN)', 'Prestwick2_000139', 'Prestwick3_000139', 'Claforan (*Sodium salt*)', 'CHEMBL1730', 'Lopac0_000278', 'BSPBio_000218', 'BPBio1_000240', 'SCHEMBL3731931', 'HMS2090M11', '(6R,7R)-3-(acetoxymethyl)-7-{[(2Z)-2-(2-amino-1,3-thiazol-4-yl)-2-(methoxyimino)acetyl]amino}-8-oxo-5-thia-1-azabicyclo[4.2.0]oct-2-ene-2-carboxylic acid', '5-Thia-1-azabicyclo(4.2.0)oct-2-ene-2-carboxylic acid, 3-((acetyloxy)methyl)-7-(((2-amino-4-thiazolyl)(methoxyimino)acetyl)amino)-8-oxo-, (6R-(6alpha,7beta(Z)))-', 'ZINC3830437', 'AC-217', 's4720', 'AKOS015951267', 'DB00493', 'SDCCGSBI-0050266.P002', '3-(Acetyloxymethyl)-7-(((2E)-2-(2-amino-1,3-thiazol-4-yl)-2-methoxyimino-acetyl)amino)-8-oxo-5-thia-1-azabicyclo(4.2.0)oct-2-ene-2-carboxylic acid', 'AS-12690', 'clo[4.2.0]oct-2-ene-2-carboxylic acid', 'C06885', 'D07647', 'J90010', '527C526', 'BRD-K78364995-236-03-5', 'Q27262497', 'Di- poundg-chlorotetrakis[2,4-dimethyl-6-(2-quinolinyl-KN)phenyl-KC]di-iridium', '(6R)-3-(Acetoxymethyl)-7alpha-[[(2-amino-4-thiazolyl)[(E)-methoxyimino]acetyl]amino]-8-oxo-5-thia-1-azabicyclo[4.2.0]octa-2-ene-2-carboxylic acid', '(6R,7R)-3-(acetyloxymethyl)-7-[[(2Z)-2-(2-amino-1,3-thiazol-4-yl)-2-methoxyimino-ethanoyl]amino]-8-oxo-5-thia-1-azabicy', '(6R,7R)-3-[(acetyloxy)methyl]-7-[(2Z)-2-(2-amino-1,3-thiazol-4-yl)-2-(methoxyimino)acetamido]-8-oxo-5-thia-1-azabicyclo[4.2.0]oct-2-ene-2-carboxylic acid', '(6R,7R)-3-[(acetyloxy)methyl]-7-{[(2Z)-2-(2-amino-1,3-thiazol-4-yl)-2-(methoxyimino)acetyl]amino}-8-oxo-5-thia-1-azabicyclo[4.2.0]oct-2-ene-2-carboxylic acid', '1056874-43-1', '3-(Acetoxymethyl)-7beta-[(2-amino-4-thiazolyl)(methoxyimino)acetylamino]cepham-3-ene-4-carboxylic acid', 'odium [6R-[6?,7?(Z)]]-3-(acetoxymethyl)-7-[(2-aminothiazol-4-yl)(methoxyimino)acetamido]-8-oxo-5-thia-1-azabicyclo[4.2.0]oct-2-ene-2-carboxylate;Sodium [6R-[6a,7ss(Z)]]-3-(acetoxymethyl)-7-[(2-aminothiazol-4-yl)(methoxyimino)acetamido]-8-oxo-5-thia-1-azabicyclo[4.2.0]oct-2-ene-2-carboxylate']</t>
  </si>
  <si>
    <t>Compound(5742673)</t>
  </si>
  <si>
    <t>C16H17N5O7S2</t>
  </si>
  <si>
    <t>cefixime</t>
  </si>
  <si>
    <t>(6R,7R)-7-[[(2Z)-2-(2-amino-1,3-thiazol-4-yl)-2-(carboxymethoxyimino)acetyl]amino]-3-ethenyl-8-oxo-5-thia-1-azabicyclo[4.2.0]oct-2-ene-2-carboxylic acid</t>
  </si>
  <si>
    <t>['CEFIXIME', '79350-37-1', 'Cefixima', 'Cefiximum', 'Cephoral', 'Cefspan', 'Cefiximum [Latin]', '(-)-Cefixim', 'Cefixima [Spanish]', 'Oroken', 'Cefixoral', 'Cefixim', 'FK-027', 'UNII-XZ7BG04GJX', 'CL-284635', '(E)-Cefixime', 'Unixime', 'Suprax', 'FR-17027', 'XZ7BG04GJX', 'MLS002222332', 'Cefixime Anhydrous', 'CHEBI:472657', 'CFIX', 'Cefixime, 98%', 'Cefixime hydrate', '(6R,7R)-7-({(2Z)-2-(2-amino-1,3-thiazol-4-yl)-2-[(carboxymethoxy)imino]acetyl}amino)-3-ethenyl-8-oxo-5-thia-1-azabicyclo[4.2.0]oct-2-ene-2-carboxylic acid', 'SMR001307271', 'Necopen', 'Denvar', 'Tricef', 'FK 027', 'BRN 6025058', 'FR 17027', 'CL 284635', '(6R,7R)-7-[[(2Z)-2-(2-amino-1,3-thiazol-4-yl)-2-(carboxymethyloxyimino)acetyl]amino]-3-ethenyl-8-oxo-5-thia-1-azabicyclo[4.2.0]oct-2-ene-2-carboxylic acid', 'Cefixime (INN)', '(6R,7R)-7-(2-(2-Amino-4-thiazolyl)glyoxylamido)-8-oxo-3-vinyl-5-thia-1-azabicyclo(4.2.0)oct-2-ene-2-carboxylic acid, 7(sup 2)-(Z)-(O-(carboxymethyl)oxime) trihydrate', 'Cefixime [USAN:USP:INN:BAN:JAN]', 'PubChem13762', 'Prestwick3_000462', 'CHEMBL1541', 'SCHEMBL24945', 'BSPBio_000564', 'BPBio1_000622', 'BDBM84007', 'cid_5362065', 'HMS2096M06', 'HMS2234J21', 'HMS3713M06', '(6R,7R)-7-(2-(2-Amino-4-thiazolyl)glyoxylamido)-8-oxo-3-vinyl-5-thia-1-azabicyclo(4.2.0)oct-2-ene-2-carboxylic acid, 7(sup 2)-(Z)-(O-(carboxymethyl)oxime)trihydrate', '5-Thia-1-azabicyclo(4.2.0)oct-2-ene-2-carboxylic acid, 7-(((2-amino-4-thiazolyl)((carboxymethoxy)imino)acetyl)amino)-3-ethenyl-8-oxo-, trihydrate, (6R-(6alpha,7beta(Z)))-', '5-Thia-1-azabicyclo(4.2.0)oct-2-ene-2-carboxylic acid, 7-(((2Z)-(2-amino-4-thiazolyl)((carboxymethoxy)imino)acetyl)amino)-3-ethenyl-8-oxo-, (6R,7R)-', 'HY-B1381', 's4596', 'ZINC12503147', 'AKOS015854940', 'AKOS015961135', 'AC-4350', 'AT-7061', 'CCG-220462', 'CS-4820', 'DB00671', 'NCGC00179521-01', 'NCGC00179521-03', '(6r,7r)-7-[-2-(2-amino-thiazol-4-yl)-2-carboxymethoxyimino-acetylamino]-8-oxo-3-vinyl-5-thia-1-aza-b', '(6R,7R)-7-{[(2Z)-2-(2-amino-1,3-thiazol-4-yl)-2-{[(carboxymethyl)oxy]imino}acetyl]amino}-3-ethenyl-8-oxo-5-thia-1-azabicyclo[4.2.0]oct-2-ene-2-carboxylic acid', '7beta-{(2Z)-2-(2-amino-1,3-thiazol-4-yl)-2-[(carboxymethoxy)imino]acetamido}-3-ethenyl-3,4-didehydrocepham-4-carboxylic acid', 'AB0073052', 'LS-187248', 'AB00513842', 'Cefixime EP Impurity C (Cefixime 7-epimer)', 'CL 284,635', '50C371', 'A13697', 'C06881', 'D00258', 'X-2622', 'Cefixime, Antibiotic for Culture Media Use Only', 'SR-01000760706', 'SR-01000760706-4', 'BRD-K71059170-001-02-5', 'BRD-K71059170-001-08-2', 'Q27290799', '(6R,7R)-7-[(2Z)-2-(2-amino-1,3-thiazol-4-yl)-2-[(carboxymethoxy)imino]acetamido]-3-ethenyl-8-oxo-5-thia-1-azabicyclo[4.2.0]oct-2-ene-2-carboxylic acid', '(6R,7R)-7-[[(2z)-2-(2-amino-thiazol-4-yl)-2-[(carboxymethoxy)imino]acetyl]amino]-3-ethenyl-8-oxo-5-thia-1-azabicyclo[4.2.0]Oct-2-ene-2-carboxylic acid', 'C04']</t>
  </si>
  <si>
    <t>Compound(5362065)</t>
  </si>
  <si>
    <t>C16H15N5O7S2</t>
  </si>
  <si>
    <t>cefazolin</t>
  </si>
  <si>
    <t>(6R,7R)-3-[(5-methyl-1,3,4-thiadiazol-2-yl)sulfanylmethyl]-8-oxo-7-[[2-(tetrazol-1-yl)acetyl]amino]-5-thia-1-azabicyclo[4.2.0]oct-2-ene-2-carboxylic acid</t>
  </si>
  <si>
    <t>['cefazolin', 'Cephazolin', 'Cephamezine', '25953-19-9', 'Cefazoline', 'Cefamezin', 'Cephazoline', 'Cephazolidin', 'Cefazolina', 'Cefazolinum', 'Cefazolin acid', 'Elzogram', 'Kefzol', 'Cefazoline [INN-French]', 'Cefazolinum [INN-Latin]', 'CEZ', 'Cefazolina [INN-Spanish]', 'Totacef', 'Cephazolin Sodium', 'UNII-IHS69L0Y4T', 'HSDB 3213', 'CHEBI:474053', 'EINECS 247-362-8', 'Cefazolin sodium salt', 'BRN 4169371', 'IHS69L0Y4T', '(6R,7R)-3-[(5-methyl-1,3,4-thiadiazol-2-yl)sulfanylmethyl]-8-oxo-7-[[2-(tetrazol-1-yl)acetyl]amino]-5-thia-1-azabicyclo[4.2.0]oct-2-ene-2-carboxylic acid', 'Cefazil', '(6R,7R)-3-(((5-Methyl-1,3,4-thiadiazol-2-yl)thio)methyl)-8-oxo-7-(2-(1H-tetrazol-1-yl)acetamido)-5-thia-1-azabicyclo(4.2.0)oct-2-ene-2-carboxylic acid', '(6R,7R)-3-{[(5-methyl-1,3,4-thiadiazol-2-yl)sulfanyl]methyl}-8-oxo-7-[(1H-tetrazol-1-ylacetyl)amino]-5-thia-1-azabicyclo[4.2.0]oct-2-ene-2-carboxylic acid', '(6R-trans)-3-(((5-Methyl-1,3,4-thiadiazol-2-yl)thio)methyl)-8-oxo-7-(((1H-tetrazol-1-yl)acetyl)-amino)-5-thia-1-azabicyclo(4.2.0)oct-2-ene-2-carboxylic acid', '7-(1-(1H-)-Tetrazolylacetamido)-3-(2-(5-methyl-1,3,4-thiadiazolyl)thiomethyl)delta3-cephem-4-carboxylic acid', 'NCGC00159465-02', 'Cefamezine', 'DSSTox_CID_2753', 'SK&amp;F-41558', 'DSSTox_RID_76717', 'DSSTox_GSID_22753', 'Cefazolin [USAN:INN]', 'Cefazina', 'Firmacef', 'Liviclina', 'Atirin', 'Cefazolin (USP)', '(6R,7R)-7-(2-(1H-tetrazol-1-yl)acetamido)-3-((5-methyl-1,3,4-thiadiazol-2-ylthio)methyl)-8-oxo-5-thia-1-azabicyclo[4.2.0]oct-2-ene-2-carboxylic acid', '5-Thia-1-azabicyclo(4.2.0)oct-2-ene-2-carboxylic acid, 3-(((5-methyl-1,3,4-thiadiazol-2-yl)thio)methyl)-8-oxo-7-(((1H-tetrazol-1-yl)acetyl)amino)-, (6R-trans)-', '5-Thia-1-azabicyclo(4.2.0)oct-2-ene-2-carboxylic acid, 3-(((5-methyl-1,3,4-thiadiazol-2-yl)thio)methyl)-8-oxo-7-(2-(1H-tetrazol-1-yl)acetamido)-', 'SMR000387025', 'CAS-25953-19-9', 'SKF 41558', 'Cefazolin [USP:INN:BAN]', 'C14H14N8O4S3', 'Cefazolin acid,(S)', 'NSC291561', 'Spectrum_000106', 'Prestwick0_000736', 'Prestwick1_000736', 'Prestwick2_000736', 'Prestwick3_000736', 'Spectrum2_001140', 'Spectrum3_000330', 'Spectrum4_000267', 'Spectrum5_000665', 'Cefazolinfor culture media', 'Epitope ID:116197', 'EC 247-362-8', 'SCHEMBL2841', 'CHEMBL1435', 'Lopac0_000274', 'BSPBio_000692', 'BSPBio_001939', 'KBioGR_000734', 'KBioSS_000546', 'MLS001032060', 'MLS001049010', 'DivK1c_000014', 'SPBio_001039', 'SPBio_002631', 'BPBio1_000762', 'DTXSID2022753', 'CTK8F8518', 'GTPL10935', 'KBio1_000014', 'KBio2_000546', 'KBio2_003114', 'KBio2_005682', 'KBio3_001159', 'J01DB04', 'NINDS_000014', 'HMS2268D15', 'ZINC3830405', 'Tox21_111691', 'BDBM50370587', 's5936', 'AKOS015962265', 'Tox21_111691_1', 'ACN-045414', 'DB01327', 'SDCCGSBI-0050262.P005', 'IDI1_000014', 'NCGC00022653-09', '(6R,7R)-3-{[(5-methyl-1,3,4-thiadiazol-2-yl)thio]methyl}-8-oxo-7-[(1H-tetrazol-1-ylacetyl)amino]-5-thia-1-azabicyclo[4.2.0]oct-2-ene-2-carboxylic acid', '3-{[(5-methyl-1,3,4-thiadiazol-2-yl)sulfanyl]methyl}-7beta-[(1H-tetrazol-1-ylacetyl)amino]-3,4-didehydrocepham-4-carboxylic acid', '5-Thia-1-azabicyclo(4.2.0)oct-2-ene-2-carboxylic acid, 3-(((5-methyl-1,3,4-thiadiazol-2-yl)thio)methyl)-8-oxo-7-((1H-tetrazol-1-ylacetyl)amino)-, (6R-trans)-', 'AC-16010', 'CC-25553', 'SC-75958', 'SBI-0050262.P004', 'LS-150084', 'C06880', 'D02299', '953C199', 'A818105', 'C-22534', 'Q415739', 'W-107209', '(6R, 7R)-3-[[(5-Methyl-1,3,4-thiadiazol-2- yl)thio]methyl]-8-oxo-7-[[1H-tetrazol-1- yl)acetyl]amino]-5-thia-1-azabicyclo[4.2.0]oct-2- ene-2-carboxylic acid', '(6R,7R)-3-[(5-methyl-1,3,4-thiadiazol-2-yl)sulfanylmethyl]-8-oxidanylidene-7-[2-(1,2,3,4-tetrazol-1-yl)ethanoylamino]-5-thia-1-azabicyclo[4.2.0]oct-2-ene-2-carboxylic acid', '(6R,7R)-3-[[(5-methyl-1,3,4-thiadiazol-2-yl)thio]methyl]-8-oxo-7-[[1-oxo-2-(1-tetrazolyl)ethyl]amino]-5-thia-1-azabicyclo[4.2.0]oct-2-ene-2-carboxylic acid', '(6R,7R)-3-{[(5-methyl-1,3,4-thiadiazol-2-yl)sulfanyl]methyl}-8-oxo-7-[2-(1H-1,2,3,4-tetrazol-1-yl)acetamido]-5-thia-1-azabicyclo[4.2.0]oct-2-ene-2-carboxylic acid', '(6R,7R)-3-{[(5-Methyl-1,3,4-thiadiazol-2-yl)sulfanyl]methyl}-8-oxo-7-[2-(1H-tetrazol-1-yl)acetamido]-5-thia-1-azabicyclo[4.2.0]oct-2-ene-2-carboxylic acid', '(6R,7R)-7-(2-(1H-tetrazol-1-yl)acetamido)-3-(((5-methyl-1,3,4-thiadiazol-2-yl)thio)methyl)-8-oxo-5-thia-1-azabicyclo[4.2.0]oct-2-ene-2-carboxylic acid']</t>
  </si>
  <si>
    <t>Compound(33255)</t>
  </si>
  <si>
    <t>C14H14N8O4S3</t>
  </si>
  <si>
    <t>(6S)-2-(hydroxymethyl)-6-[(3S)-4,5,6-trihydroxy-2-(hydroxymethyl)oxan-3-yl]oxyoxane-3,4,5-triol</t>
  </si>
  <si>
    <t>['cellulose', 'DEAE-CELLULOSE', '9004-34-6', 'Diethylaminoethyl cellulose', 'Cellulose, 2-(diethylamino)ethyl ether', 'Cellulosepulver', 'DEAE-Sephacel(R)', 'Diethylaminoethyl-Sephacel(R)', 'SBB058705', 'AKOS015895024', 'M158', 'SC-21746', 'Express-Ion(TM) exchanger?? D free base, 60-130 mum', '(5S)-6-(hydroxymethyl)-5-{[(2S)-3,4,5-trihydroxy-6-(hydroxymethyl)oxan-2-yl]oxy}oxane-2,3,4-triol', '(5S,2R,3R,4R,6R)-5-[(2S,4S,5S,3R,6R)-3,4,5-trihydroxy-6-(hydroxymethyl)(2H-3,4 ,5,6-tetrahydropyran-2-yloxy)]-6-(hydroxymethyl)-2H-3,4,5,6-tetrahydropyran-2, 3,4-triol', 'Diethylaminoethyl-Sephacel(R), aqueous ethanol suspension, 40-160 mum (wet), exclusion limit ~1,000,000 Da']</t>
  </si>
  <si>
    <t>Compound(16211032)</t>
  </si>
  <si>
    <t>C12H22O11</t>
  </si>
  <si>
    <t>cis-phosphamidon</t>
  </si>
  <si>
    <t>[(Z)-3-chloro-4-(diethylamino)-4-oxobut-2-en-2-yl] dimethyl phosphate</t>
  </si>
  <si>
    <t>['PHOSPHAMIDON', 'Dimecron', '(Z)-Phosphamidon', 'Fosfamidone', 'Phosphamidone', 'Apamidon', 'Fosfamidon', 'Famfos', 'Merkon', 'Dixon', 'cis-Phosphamidon', '13171-21-6', 'Dimecron 100', 'Sundaram 1975', 'Ciba 570', 'UNII-HQ7958Q90Z', 'Phosphoric acid, 2-chloro-3-(diethylamino)-1-methyl-3-oxo-1-propenyl dimethyl ester', 'NCI-C00588', 'OMS 1325', 'ENT 25515', 'O,O-Dimethyl O-(2-chloro-2-(N,N-diethylcarbamoyl)-1-methylvinyl) phosphate', '2-Chloro-3-dimethoxyphosphinoyloxy-N,N-diethylbut-2-enamide', 'C 570', '2-Chloro-2-dimethylcarbamoyl-1-methylvinyl dimethyl phosphate', 'HQ7958Q90Z', 'Fosfamidon [Dutch]', 'Dimethyl diethylamido-1-chlorocrotonyl (2) phosphate', 'Phosphoric acid, dimethyl ester, ester with 2-chloro-N,N-diethyl-3-hydroxycrotonamide', 'Caswell No. 661', 'Fosfamidone [Italian]', 'Phosphamidon 85 WSC', '2-Chloro-2-diethylcarbamoyl-1-methylvinyl dimethylphosphate', 'Dimethyl 2-chloro-2-diethylcarbamoyl-1-methylvinyl phosphate', 'Foszfamidon (Hungarian)', '(Z)-2-Chloro-N,N-diethyl-3-hydroxycrotonamide dimethyl phosphorate', 'Crotonamide, 2-chloro-N,N-diethyl-3-hydroxy-, dimethyl phosphate', '(2-Chloor-3-diethylamino-1-methyl-3-oxo-prop-1-en-yl)-dimethyl-fosfaat', '(2-Cloro-3-dietilamino-1-metil-3-oxo-prop-1-en-il)-dimetil-fosfato', '(2-Chlor-3-diaethylamino-1-methyl-3-oxo-prop-1-en-yl)-dimethyl-phosphat', '(O,O-Dimethyl-O-(1-methyl-2-chloro-2-diethylcarbamoyl-vinyl) phosphate)', 'O,O-Dimethyl-O-(1-methyl-2-chlor-2-N,N-diaethyl-carbamoyl)-vinyl-phosphat', 'Phosphoric acid, (1Z)-2-chloro-3-(diethylamino)-1-methyl-3-oxo-1-propenyl-, dimethyl ester', 'Phosphoric acid, dimethyl ester, ester with 2-chloro-N,N-diethyl-3-hydroxycrotanamide, (Z)-', 'CCRIS 516', 'Phosphamidon [ANSI:BSI:ISO]', 'Phosphamidon, cis/trans mixture', 'HSDB 1754', 'EINECS 236-116-5', '2-chloro-3-(diethylamino)-1-methyl-3-oxoprop-1-en-1-yl dimethyl phosphate', 'EPA Pesticide Chemical Code 018201', '1-Chloro-diethylcarbamoyl-1-propen-2-yl dimethyl phosphate', 'Dimethyl phosphate of 2-chloro-N,N-diethyl-3-hydroxycrotonamide', 'AI3-25515', '2-Chloro-3-(diethylamino)-1-methyl-3-oxo-1-propenyl dimethyl phosphate', 'N,N-Diethyl 2-chloro-3-dimethylphosphate crotonamide', 'CHEBI:38832', '2-Chloro-2-diethylcarbamyl-1-methylvinyl-dimethyl phosphate', 'Foszfamidon', '2-Chloro-N,N-diethyl-3-hydroxycrotonamide dimethyl phosphate', '2-Chloro-N,N-diethyl-3-hydroxycrotonamide ester with dimethyl phosphate', 'Phosophamidon;phosphamidon;Phosphamidon', '(2-Chloor-3-diethylamino-1-methyl-3-oxo-prop-1-en-yl)-dimethyl-fosfaat [Dutch]', '(2-Chlor-3-diaethylamino-1-methyl-3-oxo-prop-1-en-yl)-dimethyl-phosphat [German]', '(2-Cloro-3-dietilamino-1-metil-3-oxo-prop-1-en-il)-dimetil-fosfato [Italian]', 'O,O-Dimethyl-O-(1-methyl-2-chlor-2-N,N-diaethyl-carbamoyl)-vinyl-phosphat [German]', 'Phosphate de dimethyle et de (2-chloro-2-diethylcarbamoyl-1-methyl-vinyle) [French]', 'Dimecron 50', 'Dimecron-20', 'NCGC00166317-01', 'Phosphamidon isomer 2', 'Phosphamidon peak # 2', 'Phosphamidon (Dimecron)', 'SCHEMBL27697', '23783-98-4', 'CHEMBL1892391', 'ZINC13521046', 'Dimethyl phosphate ester with 2-chloro-N,N-diethyl-3-hydroxycrotonamide (8CI)', 'Phosphate de dimethyle et de (2-chloro-2-diethylcarbamoyl-1-methyl-vinyle)', 'NCGC00166317-02', 'LS-107538', 'NS00001323', 'C18689', 'Q424889', 'J-006041', 'Q27280053', 'UNII-7H857A6N6H component RGCLLPNLLBQHPF-HJWRWDBZSA-N', 'dimethyl[2-chloro-1-m-2-(N,N-dimethylcarbamoyl)vinyl]phosphate']</t>
  </si>
  <si>
    <t>Compound(3032604)</t>
  </si>
  <si>
    <t>C10H19ClNO5P</t>
  </si>
  <si>
    <t>quinonamid</t>
  </si>
  <si>
    <t>2,2-dichloro-N-(3-chloro-1,4-dioxonaphthalen-2-yl)acetamide</t>
  </si>
  <si>
    <t>['Quinonamid', 'Chinonamid', 'Alginex', '27541-88-4', 'Quinonamid [ISO]', 'HOE 134650H', 'UNII-618QV11Q2U', '2-(Dichloroacetylamino)-3-chloronaphthoquinone', 'EINECS 248-516-7', 'BRN 2146844', '2,2-Dichloro-N-(3-chloronaphthoquinon-2-yl)acetamide', '1,4-Naphthoquinone, 2-chloro-3-(2,2-dichloroacetamido)-', '2,2-Dichloro-N-(3-chloro-1,4-naphthoquinon-2-yl)acetamide', '618QV11Q2U', '2,2-Dichloro-N-(3-chloro-1,4-dihydro-1,4-dioxo-2-naphthalenyl)acetamide', 'Acetamide, 2,2-dichloro-N-(3-chloro-1,4-dihydro-1,4-dioxo-2-naphthyl)-', 'SCHEMBL134428', 'DTXSID2058047', 'CHEBI:82175', 'CTK4F9853', 'ZINC100123389', 'LS-8847', 'NS00028319', 'Quinonamid, PESTANAL(R), analytical standard', 'C19048', '2-Chloro-3-dichloroacetylamino-1,4-naphthoquinone', 'J-016809', 'Q27155784', 'Acetamide, 2,2-dichloro-N-(3-chloro-1,4-dihydro-1,4-dioxo-2-naphthalenyl)-', 'Acetamide,2,2-dichloro-N-(3-chloro-1,4-dihydro-1,4-dioxo-2-naphthalenyl)-']</t>
  </si>
  <si>
    <t>Compound(94382)</t>
  </si>
  <si>
    <t>C12H6Cl3NO3</t>
  </si>
  <si>
    <t>chitin</t>
  </si>
  <si>
    <t>methyl N-[(2S,3R,4R,5S,6R)-5-[(2S,3R,4R,5S,6R)-3-amino-5-[(2S,3R,4R,5S,6R)-3-amino-5-[(2S,3R,4R,5S,6R)-3-amino-5-[(2S,3R,4R,5S,6R)-3-amino-5-[(2S,3R,4R,5S,6R)-3-amino-5-[(2S,3R,4R,5S,6R)-3-amino-4,5-dihydroxy-6-(hydroxymethyl)oxan-2-yl]oxy-4-hydroxy-6-(hydroxymethyl)oxan-2-yl]oxy-4-hydroxy-6-(hydroxymethyl)oxan-2-yl]oxy-4-hydroxy-6-(hydroxymethyl)oxan-2-yl]oxy-4-hydroxy-6-(hydroxymethyl)oxan-2-yl]oxy-4-hydroxy-6-(hydroxymethyl)oxan-2-yl]oxy-2-[(2R,3S,4R,5R,6S)-5-amino-6-[(2R,3S,4R,5R,6R)-5-amino-4,6-dihydroxy-2-(hydroxymethyl)oxan-3-yl]oxy-4-hydroxy-2-(hydroxymethyl)oxan-3-yl]oxy-4-hydroxy-6-(hydroxymethyl)oxan-3-yl]carbamate</t>
  </si>
  <si>
    <t>['Chitosan', 'Poliglusam', 'Deacetylchitin', 'Chicol', 'Flonac C', 'Flonac N', 'Sea Cure Plus', 'Kytex H', 'Kytex M', 'Kimitsu Chitosan F', 'Kimitsu Chitosan H', 'Kimitsu Chitosan L', 'Kimitsu Chitosan M', 'Sea Cure F', 'Chitopearl 3510', '9012-76-4', 'Kimitsu Chitosan F 2', 'Chitopearl BC 3000', 'Chitopearl BCW 2500', 'Chitopearl BCW 3000', 'Chitopearl BCW 3500', 'Chitopearl BCW 3505', 'Chitopearl BCW 3507', 'CTA 4', 'Poliglusam [USAN:INN]', 'Dac 70', 'CCRIS 9144', 'EPA Pesticide Chemical Code 128930', 'YEA', 'Celox', 'Chitosan, molecular weight: 100,000-300,000', 'Chitosan, molecular weight: 600,000-800,000', 'UNII-82LKS4QV2Y', 'UNII-SBD1A2I75N', 'UNII-5GV09YMO52', 'UNII-7SRJ3W89J8', 'UNII-23R93M6Y64', 'Poly (D-glucosamine)', '82LKS4QV2Y', 'SBD1A2I75N', 'SCHEMBL972215', '5GV09YMO52', '7SRJ3W89J8', 'SCHEMBL21304990', 'beta-1,4-Poly-delta-glucosamine', 'AKOS015918343', '23R93M6Y64', 'FS-4075', 'LS-52978', 'A845562', 'Q408510', 'methyl N-[(2S,3R,4R,5S,6R)-5-[(2S,3R,4R,5S,6R)-3-azanyl-5-[(2S,3R,4R,5S,6R)-3-azanyl-5-[(2S,3R,4R,5S,6R)-3-azanyl-5-[(2S,3R,4R,5S,6R)-3-azanyl-5-[(2S,3R,4R,5S,6R)-3-azanyl-5-[(2S,3R,4R,5S,6R)-3-azanyl-6-(hydroxymethyl)-4,5-bis(oxidanyl)oxan-2-yl]oxy-6-(hy', 'N-[(2S,3R,4R,5S,6R)-5-[[(2S,3R,4R,5S,6R)-3-amino-5-[[(2S,3R,4R,5S,6R)-3-amino-5-[[(2S,3R,4R,5S,6R)-3-amino-5-[[(2S,3R,4R,5S,6R)-3-amino-5-[[(2S,3R,4R,5S,6R)-3-amino-5-[[(2S,3R,4R,5S,6R)-3-amino-4,5-dihydroxy-6-(hydroxymethyl)-2-oxanyl]oxy]-4-hydroxy-6-(hy']</t>
  </si>
  <si>
    <t>Compound(71853)</t>
  </si>
  <si>
    <t>C56H103N9O39</t>
  </si>
  <si>
    <t>Chlofentezin</t>
  </si>
  <si>
    <t>3,6-bis(2-chlorophenyl)-1,2,4,5-tetrazine</t>
  </si>
  <si>
    <t>['Clofentezine', '74115-24-5', '3,6-Bis(2-chlorophenyl)-1,2,4,5-tetrazine', 'Apollo', 'Bisclofentazin', 'Bisclofentazine', 'Acaristop', 'Panatac', 'Apollo (pesticide)', 'Apollo 50W', '1,2,4,5-Tetrazine, 3,6-bis(2-chlorophenyl)-', 'Caswell No. 593A', '3,6-Bis(o-chlorophenyl)-1,2,4,5-tetrazine', 'UNII-JS4U0R0033', 'EINECS 277-728-2', 'EPA Pesticide Chemical Code 125501', 'NC 21314', 'CHEBI:39315', 'JS4U0R0033', 'DSSTox_CID_3881', 'DSSTox_RID_77217', 'DSSTox_GSID_23881', 'W-104432', 'CAS-74115-24-5', 'Clofentezine [BSI:ISO]', 'C14H8Cl2N4', 'Clofentezine [ANSI:BSI:ISO]', 'SCHEMBL74002', 'CHEMBL17888', 'DTXSID9023881', 'CTK8E4309', 'ZINC403224', 'HY-B2066', 'Tox21_201688', 'Tox21_300904', 'AKOS015902583', 'CS-5202', 'NCGC00163794-01', 'NCGC00163794-02', 'NCGC00163794-03', 'NCGC00163794-04', 'NCGC00254808-01', 'NCGC00259237-01', 'AC-12667', 'CC-25920', 'Clofentezine 10 microg/mL in Cyclohexane', 'S327', 'AX8121933', 'DB-055841', 'LS-149027', 'FT-0603205', 'NS00005836', 'C18576', 'Clofentezine, PESTANAL(R), analytical standard', '115C245', 'A844787', 'C-18902', 'Q2979540', '3,6-bis(o-chlorophenyl)-1,2,4,5-tetrazine;Clofentezine = chlorfentezine;clofentezine', 'Pesticide4_Clofentezine_C14H8Cl2N4_1,2,4,5-Tetrazine, 3,6-bis(2-chlorophenyl)-']</t>
  </si>
  <si>
    <t>Compound(73670)</t>
  </si>
  <si>
    <t>C14H8Cl2N4</t>
  </si>
  <si>
    <t>2,3,5,6-tetrachlorocyclohexa-2,5-diene-1,4-dione</t>
  </si>
  <si>
    <t>['Chloranil', '118-75-2', 'p-Chloranil', 'Tetrachloro-p-benzoquinone', 'Tetrachloro-1,4-benzoquinone', '2,3,5,6-tetrachlorocyclohexa-2,5-diene-1,4-dione', 'Tetrachlorobenzoquinone', 'Spergon', 'Coversan', 'Reranil', 'Vulklor', '2,3,5,6-TETRACHLORO-1,4-BENZOQUINONE', 'Khloranil', 'Psorisan', 'Tetrachloro-p-quinone', 'Tetrachloroparabenzoquinone', 'Spergon technical', 'Spergon I', 'Tetrachloroquinone', 'Chloranile', 'Quinone tetrachloride', '2,3,5,6-Tetrachlorobenzo-1,4-quinone', 'Geigy-444E', '2,3,5,6-Tetrachloro-p-benzoquinone', '2,5-Cyclohexadiene-1,4-dione, 2,3,5,6-tetrachloro-', 'Dow Seed Disinfectant No. 5', '2,3,5,6-Tetrachloro-2,5-cyclohexadiene-1,4-dione', '2,3,5,6-Tetrachloroquinone', 'Caswell No. 171', 'ENT 3,797', 'G-444E', 'alpha-Chloranil', 'p-Benzoquinone, 2,3,5,6-tetrachloro-', '2,3,5,6-Tetrachlorobenzoquinone', 'NSC 8432', '.alpha.-Chloranil', 'UNII-01W5X7N5XV', 'CCRIS 7155', 'G-25804', 'HSDB 1533', '1,4-Benzoquinone, 2,3,5,6-tetrachloro-', 'EINECS 204-274-4', 'EPA Pesticide Chemical Code 079301', 'AI3-03797', '01W5X7N5XV', 'CHEBI:36703', 'MFCD00001594', '2,3,5,6-Tetrachlor-1,4-benzochinon', '2,3,5,6-tetrachloro-[1,4]benzoquinone', 'tetrachlorocyclohexa-2,5-diene-1,4-dione', 'DSSTox_CID_266', 'DSSTox_RID_75474', 'DSSTox_GSID_20266', 'Tetrachloro-p-benzoquinone, 99%', 'CAS-118-75-2', 'para-chloranil', 'Tetrachlorquinone', 'tetrachloro-1', '4-Chloranil', 'chloranil;Chloranil', 'P-CHLORONIL', 'Spectrum_001590', 'SpecPlus_000850', 'Spectrum2_000024', 'Spectrum3_001660', 'Spectrum4_000794', 'Spectrum5_001386', '2,5,6-Tetrachloroquinone', 'EC 204-274-4', 'SCHEMBL24049', 'Benzil-related compound, 56', 'BSPBio_003419', 'KBioGR_001268', 'KBioSS_002070', 'KSC490O2B', 'ARONIS24200', 'Chloranil, analytical standard', 'DivK1c_006946', 'SPECTRUM1504212', 'SPBio_000087', '2,5,6-Tetrachlorobenzoquinone', 'CHEMBL192627', 'DTXSID2020266', 'BDBM22782', 'CTK3J0720', 'KBio1_001890', 'KBio2_002070', 'KBio2_004638', 'KBio2_007206', 'KBio3_002639', 'NSC8432', '2,5,6-Tetrachloro-p-benzoquinone', 'ZINC240941', 'ENT 3797', 'NSC-8432', 'WLN: L6V DVJ BG CG EG FG', 'p-Benzoquinone,3,5,6-tetrachloro-', 'Tox21_201656', 'Tox21_303021', 'ANW-42320', 'BBL004011', 'CCG-39987', 'LS-604', 'SBB058799', 'STK396683', 'Tetrachloro-1,4-benzoquinone, 99%', '2,5,6-Tetrachloro-1,4-benzoquinone', 'AKOS001569085', 'Chloranil, purum, &gt;=97.0% (AT)', '2,4-dione, 2,3,5,6-tetrachloro-', 'MCULE-7076963744', 'KS-000000Z0', 'NCGC00091254-01', 'NCGC00091254-02', 'NCGC00091254-03', 'NCGC00091254-04', 'NCGC00091254-05', 'NCGC00256410-01', 'NCGC00259205-01', 'AC-11776', 'AS-14117', 'BP-30129', 'SC-19042', '2,3,5,6-Tetrachlorobenzo-1,4-quinone #', 'C1770', 'CS-0013526', 'FT-0609408', 'NS00002205', 'ST50410970', 'T7334', 'AZ0001-0017', 'Chloranil, PESTANAL(R), analytical standard', 'EN300-18125', 'C18933', 'J10348', '72841-EP2277878A1', '72841-EP2289886A1', '72841-EP2298312A1', '72841-EP2309584A1', '2,5,6-Tetrachloro-2,5-cyclohexadiene-1,4-dione', 'A804087', 'Q629632', '2,3,5,6-tetrakis(chloranyl)cyclohexa-2,5-diene-1,4-dione']</t>
  </si>
  <si>
    <t>Compound(8371)</t>
  </si>
  <si>
    <t>C6Cl4O2</t>
  </si>
  <si>
    <t>5-bromo-N-[4-chloro-2-methyl-6-(methylcarbamoyl)phenyl]-2-(3-chloropyridin-2-yl)pyrazole-3-carboxamide</t>
  </si>
  <si>
    <t>['Chlorantraniliprole', '500008-45-7', 'CHLOANTRANILIPROLE', 'Rynaxpyr', 'DPX-E2Y45', 'UNII-622AK9DH9G', '622AK9DH9G', 'CHEMBL399318', 'CHEBI:67113', 'Chlorantranilipol', '3-bromo-N-(4-chloro-2-methyl-6-((methylamino)carbonyl)phenyl)-1-(3-chloro-2-pyridinyl)-1H-pyrazole-5-carboxamide', '3-bromo-N-[4-chloro-2-methyl-6-(methylcarbamoyl)phenyl]-1-(3-chloropyridin-2-yl)-1H-pyrazole-5-carboxamide', 'chlorantranilipole', '3-Bromo-N-[4-chloro-2-methyl-6-[(methylamino)carbonyl]phenyl]-1-(3-chloro-2-pyridinyl)-1H-pyrazole-5-carboxamide', '3-bromo-N-{4-chloro-2-methyl-6-[(methylamino)carbonyl]phenyl}-1-(3-chloro-2-pyridinyl)-1H-pyrazole-5-carboxamide', 'Chlorantraniliprole [ISO]', 'HSDB 7877', '3-bromo-N-(4-chloro-2-methyl-6-(methylcarbamoyl)phenyl)-1-(3-chloropyridin-2-yl)-1H-pyrazole-5-carboxamide', 'C18H14BrCl2N5O2', 'SCHEMBL29551', 'DTXSID2044345', 'BCP12712', 'KS-00000T6U', 'BDBM50222771', 'ZINC28956875', 'AKOS015895788', 'DS-9084', "3-bromo-4-chloro-1-(3-chloro-2-pyridyl)-2'-methyl-6-(methylcarbamoyl)pyrazole-5'carboxanilide", 'AK175835', 'DB-071077', 'HY-112820', 'CS-0065743', 'NS00002799', 'V4107', 'C18454', '008C457', 'Q2301181', 'Chlorantraniliprole, PESTANAL(R), analytical standard', "1H-Pyrazole-5-carboxamide, 3-bromo-N-[4-chloro-2-methyl-6-[(methylamino)carbonyl]phenyl]-1-(3-chloro-2-pyridinyl)-;3-bromo-4'-chloro-1-(3-chloro-2-pyridyl)-2'-methyl-6'-(methylcarbamoyl)pyrazole-5-carboxanilide", '3-bromo-N-[4-chloro-2-methyl-6- [(methylamino)carbonyl]phenyl]-1-(3-chloro-2-pyridinyl)-1H-pyrazole-5-carboxamide', '3-bromo-N-[4-chloro-2-methyl-6-[(methyl-amino)carbonyl]phenyl]-1-(3-chloro-2-pyridinyl)-1H-pyrazole-5-carboxamide', '3-bromo-N-[4-chloro-2-methyl-6-[(methylamino)-carbonyl]phenyl]-1-(3-chloro-2-pyridinyl)-1H-pyrazole-5-carboxamide', '3-Bromo-N-[4-chloro-2-methyl-6-[(methylamino)carbonyl]phenyl]-1-(3- chloro-2-pyridinyl)-1H-pyrazole-5-carboxamide', '5-bromo-N-[4-chloro-2-methyl-6-(methylcarbamoyl)phenyl]-2-(3-chloropyridin-2-yl)pyrazole-3-carboxamide', 'Pesticide4_Chlorantraniliprole_C18H14BrCl2N5O2_3-Bromo-N-[4-chloro-2-methyl-6-(methylcarbamoyl)phenyl]-1-(3-chloropyridin-2-yl)-1H-pyrazole-5-carboxamide']</t>
  </si>
  <si>
    <t>Compound(11271640)</t>
  </si>
  <si>
    <t>C18H14BrCl2N5O2</t>
  </si>
  <si>
    <t>chloralosis</t>
  </si>
  <si>
    <t>(1R)-1-[(2R,3aR,5R,6S,6aR)-6-hydroxy-2-(trichloromethyl)-3a,5,6,6a-tetrahydrofuro[2,3-d][1,3]dioxol-5-yl]ethane-1,2-diol</t>
  </si>
  <si>
    <t>['CHLORALOSE', 'alpha-Chloralose', '15879-93-3', 'Anhydroglucochloral', 'UNII-238BZ29MUE', 'Alphachloralose', '1,2-O-(2,2,2-Trichloroethylidene)-alpha-D-glucofuranose', 'a-Chloralose', 'Chloralose-alpha', '238BZ29MUE', 'MFCD00005542', 'DSSTox_CID_88', '1,2-O-[(1R)-2,2,2-trichloroethylidene]-alpha-D-glucofuranose', 'DSSTox_RID_75357', 'DSSTox_GSID_20088', 'Chlorlose-alpha', 'Chloralosum', 'Cloralosa', 'CAS-15879-93-3', 'Anhydro-D-glucochloral', 'alpha-Chloralose, 98+%, (max. 20% beta-anomer)', 'Alphachloralose (?-Chloralose)', 'NCGC00159484-02', 'Monotrichlor-aethyliden-alpha-glucose', 'SCHEMBL39185', '4-19-00-04906 (Beilstein Handbook Reference)', 'CHEMBL2104181', 'DTXSID4020088', 'HY-B1020', 'ZINC3860865', 'Tox21_111708', 'Tox21_201447', 'Tox21_302997', 'AKOS025310738', 'API0001423', 'CS-4535', 'NCGC00249048-01', 'NCGC00256485-01', 'NCGC00258998-01', '(1R)-1-[(2R,3aR,5R,6S,6aR)-6-hydroxy-2-(trichloromethyl)-3a,5,6,6a-tetrahydrofuro[2,3-d][1,3]dioxol-5-yl]ethane-1,2-diol', 'Chloralose, PESTANAL(R), analytical standard', 'alpha-Chloralose, &gt;=98.0% (chloralose, AT)', 'Q594365', 'alpha-D-Glucofuranose, 1,2-O-(2,2,2-trichloroethylidene)-, (R)- (9CI)', '(R)-1-((2R,3aR,5R,6S,6aR)-6-hydroxy-2-(trichloromethyl)tetrahydrofuro[3,2-d][1,3]dioxol-5-yl)ethane-1,2-diol']</t>
  </si>
  <si>
    <t>Compound(7057995)</t>
  </si>
  <si>
    <t>C8H11Cl3O6</t>
  </si>
  <si>
    <t>ethyl 2-[(4-chloro-6-methoxypyrimidin-2-yl)carbamoylsulfamoyl]benzoate</t>
  </si>
  <si>
    <t>['CHLORIMURON-ETHYL', 'Chlorimuron ethyl', '90982-32-4', 'Classic', 'Chlorimuron ethyl ester', 'Caswell No. 193B', 'Ethyl 2-(N-((4-chloro-6-methoxypyrimidin-2-yl)carbamoyl)sulfamoyl)benzoate', 'Chlorimuron-ethyl [ISO]', 'UNII-B00AW0IM5Q', 'HSDB 6850', 'DPX-F 6025', 'EPA Pesticide Chemical Code 128901', 'B00AW0IM5Q', 'C15H15ClN4O6S', '2-[[[[(4-CHLORO-6-METHOXY-2-PYRIMIDINYL)AMINO]CARBONYL]AMINO]SULFONYL]BENZOIC ACID ETHYL ESTER', 'CHEMBL1231791', '94365-91-0', 'Benzoic acid, 2-(((((4-chloro-6-methoxy-2-pyrimidinyl)amino)carbonyl)amino)sulfonyl)-, ethyl ester', 'ethyl 2-[(4-chloro-6-methoxy-pyrimidin-2-yl)carbamoylsulfamoyl]benzoate', '2-(((((4-Chloro-6-methoxy-2-pyrimidinyl)amino)carbonyl)amino)sulfonyl)benzoic acid ethyl ester', 'Ethyl 2-(((((4-chloro-6-methoxy-2-pyrimidinyl)amino)carbonyl)amino)sulfonyl)benzoate', 'Ethyl 2-(((4-chloro-6-methoxypyrimidine-2-yl)aminocarbonyl)aminosulfonyl)benzoate', 'Benzoic acid, 2-[[[[(4-chloro-6-methoxy-2-pyrimidinyl)amino]carbonyl]amino]sulfonyl]-, ethyl ester', 'Chlorimuron ethyl, analytical standard', 'ethyl 2-{[(4-chloro-6-methoxypyrimidin-2-yl)carbamoyl]sulfamoyl}benzoate', 'Ethyl 2-(((((4-chloro-6-methoxyprimidin-2-yl)amino)carbonyl)amino)sulfonyl)benzoate', 'CIE', 'Chlorimuronethyl', 'ethyl 2-[[[[(4-chloro-6-methoxy-2-pyrimidinyl)amino]carbonyl]amino]sulfonyl]benzoate', 'DSSTox_CID_3955', 'DSSTox_GSID_23955', 'SCHEMBL54938', 'DTXSID0023955', 'SCHEMBL20214247', 'CHEBI:47319', 'CTK3I7813', 'chlorimuron ethyl;Chlorimuron ethyl', 'ZINC900590', 'KS-00002WW7', 'Tox21_303806', 'BDBM50424585', 'ethyl 2-[(4-chloro-6-methoxypyrimidin-2-yl)carbamoylsulfamoyl]benzoate', 'AKOS015895561', 'CS-W021002', 'HY-W040262', 'KS-5117', 'NCGC00356943-01', 'AC-18022', 'LS-36526', 'AX8023090', 'CAS-90982-32-4', 'DB-057235', 'FT-0602984', 'NS00000106', 'C10943', 'J10455', '982C324', 'A843687', 'Chlorimuron ethyl, PESTANAL(R), analytical standard', 'Q27274210', 'ethyl 2-(4-chloro-6-methoxypyrimidin-2-ylcarbamoylsulfamoyl)benzoate', 'ethyl 2-(N-(4-chloro-6-methoxypyrimidin-2-ylcarbamoyl)sulfamoyl)benzoate', 'ethyl 2-[(4-chloranyl-6-methoxy-pyrimidin-2-yl)carbamoylsulfamoyl]benzoate', '2-[[(4-chloro-6-methoxypyrimidin-2-yl)aminocarbonyl]aminosulfonyl]benzoic acid ethyl ester', '2-[[[(4-chloro-6-methoxy-2-pyrimidinyl)amino]-oxomethyl]sulfamoyl]benzoic acid ethyl ester', 'ethyl 2-[({[(4-chloro-6-methoxypyrimidin-2-yl)amino]carbonyl}amino)sulfonyl]benzoate']</t>
  </si>
  <si>
    <t>Compound(56160)</t>
  </si>
  <si>
    <t>C15H15ClN4O6S</t>
  </si>
  <si>
    <t>chlozolinate</t>
  </si>
  <si>
    <t>ethyl 3-(3,5-dichlorophenyl)-5-methyl-2,4-dioxo-1,3-oxazolidine-5-carboxylate</t>
  </si>
  <si>
    <t>['CHLOZOLINATE', 'Dichlozolinate', 'Manderol', 'Serinal', '84332-86-5', '72391-46-9', 'Chlozolinate [BSI:ISO]', 'Ethyl 3-(3,5-dichlorophenyl)-5-methyl-2,4-dioxooxazolidine-5-carboxylate', 'BRN 1156137', 'M 8164', 'CHEBI:83557', 'Ethyl 3-(3,5-dichlorophenyl)-5-methyl-2,4-dioxo-1,3-oxazolidine-5-carboxylate', 'Ethyl 3-(3,5-dichlorophenyl)-5-methyl-2,4-dioxo-5-oxazolidine carboxylate', 'Ethyl (RS)-3-(3,5-dichlorophenyl)-5-methyl-2,4-dioxooxazolidine-5-carboxylate', 'Ethyl (+-)-3-(3,5-dichlorophenyl)-5-methyl-2,4-dioxo-1,3-oxazolidine-5-carboxylate', 'Oxazolidine-5-carboxylic acid, 3-(3,5-dichlorophenyl)-2,4-dioxo-5-methyl-, ethyl ester', 'Chlozolinate [ISO]', 'Chlozolinato', 'EINECS 282-714-4', 'SCHEMBL21229', 'CHEMBL2272378', 'DTXSID5058197', 'AKOS015902556', 'Chlozolinate 100 microg/mL in Toluene', 'CC-25736', 'SC-67395', 'Chlozolinate 100 microg/mL in Cyclohexane', 'AX8282482', 'DB-056784', 'LS-100253', 'FT-0602964', 'NS00004292', 'C10979', 'C-20070', 'Q15632809', 'ethyl 3-(3,5-dichlorophenyl)-5-methyl-2,4-dioxo-oxazolidine-5-carboxylate', 'Chlozolinate solution, 100 mug/mL in cyclohexane, PESTANAL(R), analytical standard', 'Ethyl 3-(3,5-dichlorophenyl)-5-methyl-2,4-dioxo-1,3-oxazolidine-5-carboxylate #', 'ETHYL3-(3,5-DICHLOROPHENYL)-5-METHYL-2,4-DIOXO-1,3-OXAZOLIDINE-5-CARBOXYLATE', '5-Oxazolidinecarboxylic acid, 3-(3,5-dichlorophenyl)-5-methyl-2,4-dioxo-, ethyl ester, (+-)-', '5-Oxazolidinecarboxylic acid, 3-(3,5-dichlorophenyl)-5-methyl-2,4-dioxo-, ethyl ester, (.+/-.)-', 'Chlozolinate;ethyl (RS)-3-(3,5-dichlorophenyl)-5-methyl-2,4-dioxooxazolidine-5-carboxylate;Ethyl (RS)-3-(3,5-dichlorophenyl)-5-methyl-2,4-dioxooxazolidine-5-carboxylate']</t>
  </si>
  <si>
    <t>Compound(51574)</t>
  </si>
  <si>
    <t>C13H11Cl2NO5</t>
  </si>
  <si>
    <t>cholest-3-ene</t>
  </si>
  <si>
    <t>(8S,9S,10S,13R,14S,17R)-10,13-dimethyl-17-[(2R)-6-methylheptan-2-yl]-2,5,6,7,8,9,11,12,14,15,16,17-dodecahydro-1H-cyclopenta[a]phenanthrene</t>
  </si>
  <si>
    <t>['Cholest-3-ene', '16732-84-6', 'CTK0H5132']</t>
  </si>
  <si>
    <t>Compound(6432161)</t>
  </si>
  <si>
    <t>(3S,8S,9S,10R,13R,14S,17R)-10,13-dimethyl-17-[(2R)-6-methylheptan-2-yl]-2,3,4,7,8,9,11,12,14,15,16,17-dodecahydro-1H-cyclopenta[a]phenanthren-3-ol</t>
  </si>
  <si>
    <t>['cholesterol', '57-88-5', 'Cholesterin', 'Cholest-5-en-3beta-ol', 'Cholesteryl alcohol', 'Cholestrin', 'Cordulan', 'Dusoline', 'Dusoran', 'Cholesterine', 'Cholestrol', 'Hydrocerin', 'Dythol', 'Kathro', 'Lanol', 'Super hartolan', 'Provitamin D', 'Cholesterol base H', 'Lidinite', 'Lidinit', 'Nimco cholesterol base H', 'Wool alcohols B. P.', '(-)-Cholesterol', 'Tegolan (VAN)', '5:6-Cholesten-3beta-ol', 'Cholest-5-en-3-beta-ol', 'Tegolan', '3beta-Hydroxycholest-5-ene', '5-Cholesten-3beta-ol', '(3beta)-cholest-5-en-3-ol', 'Cholest-5-en-3-ol (3beta)-', '3-beta-Hydroxycholest-5-ene', 'CCRIS 2834', 'Dastar', 'Cholest-5-en-3-ol', 'HSDB 7106', 'delta(sup 5)-Cholesten-3-beta-ol', 'Fancol CH', '3beta-Hydroxy-5-cholestene', 'NSC 8798', 'UNII-97C5T2UQ7J', '5-Cholesten-3B-ol', 'CHEBI:16113', 'AI3-03112', 'Nimco cholesterol base No. 712', 'Cholest-5-en-3-ol, (3beta)-', '5:6-Cholesten-3-ol', 'EINECS 200-353-2', '5-Cholesten-3.beta.-ol', 'Cholest-5-en-3.beta.-ol', '5,6-Cholesten-3.beta.-ol', '3.beta.-Hydroxycholest-5-ene', '97C5T2UQ7J', '(3beta,14beta,17alpha)-cholest-5-en-3-ol', 'NSC8798', 'NSC-8798', 'MFCD00003646', '(3S,8S,9S,10R,13R,14S,17R)-10,13-dimethyl-17-[(2R)-6-methylheptan-2-yl]-2,3,4,7,8,9,11,12,14,15,16,17-dodecahydro-1H-cyclopenta[a]phenanthren-3-ol', 'NCGC00159351-02', 'Cholest-5-en-3-ol (3.beta.)-', '(1S,2R,5S,10S,11S,14R,15R)-2,15-dimethyl-14-[(2R)-6-methylheptan-2-yl]tetracyclo[8.7.0.0^{2,7}.0^{11,15}]heptadec-7-en-5-ol', 'Cholesterinum', 'Cholesterol-t', '3h-cholesterol', '(3S,8S,9S,10R,13R,14S,17R)-17-[(1R)-1,5-dimethylhexyl]-10,13-dimethyl-2,3,4,7,8,9,11,12,14,15,16,17-dodecahydro-1H-cyclopenta[a]phenanthren-3-ol', '(3H)-Cholesterol', 'cholesterol;CHOLESTEROL', 'Cholesterol [USAN:JAN]', 'epicholesterin', 'Cholesterol [BAN:JAN:NF]', 'Chol', '.DELTA.5-Cholesten-3-.beta.-ol', '1zhy', 'Cholesterol,(S)', 'Cholest-5-en-3-ol, (3.beta.)- #', 'Cholesterol (TN)', 'sterol;Cholesterin,Cholest-5-en-3beta-ol', '20-epi-cholesterol', '20-iso-cholesterol', 'Cholesterol, 94%', 'Wool alcohols B. P', 'Liquid crystal CN/9', '(+)-ent-Cholesterol', 'cholest-5-en-3b-ol', '5-Cholesten-3ss--ol', '5-cholestene-3beta-ol', 'PubChem19974', '5-Cholesten-3bet.-ol', 'Cholesterol, 99.0%', 'Cholesterol (JP17/NF)', 'DSSTox_CID_2401', 'Phospholipon &amp; Cholesterol', '3ss-Cholest-5-en-3-ol', 'Delta5-Cholesten-3beta-ol', 'Epitope ID:150761', 'EC 200-353-2', '3beta-cholest-5-en-3-ol', '3ss--Hydroxy-5-cholestene', '3bet.-Hydroxy-5-cholestene', 'DSSTox_RID_76573', 'BIDD:PXR0095', 'DSSTox_GSID_22401', '(3b)-cholest-5-en-3-ol', '5:6-Cholesten-3.beta.-ol', 'KSC497S9L', '20bFH-cholest-5-en-3b-ol', 'BIDD:ER0548', 'Cholest-5-en-3-ol (3beta)-, labeled with tritium', 'CHEMBL112570', 'GTPL2718', 'DTXSID3022401', 'BDBM20192', 'CTK3J7995', '(20bFH)-cholest-5-en-3b-ol', 'BBC/344', 'CHEBI:140435', '(3S,8S,9S,10R,13R,14S,17R)-10,13-dimethyl-17-((R)-6-methylheptan-2-yl)-2,3,4,7,8,9,10,11,12,13,14,15,16,17-tetradecahydro-1H-cyclopenta[a]phenanthren-3-ol', 'Cholesterol, Sigma Grade, &gt;=99%', 'HY-N0322', 'ZINC3875383', 'Tox21_111595', 'ANW-32821', 'CMC_13392', 'LMST01010001', 's4154', 'SBB058670', 'AKOS005267135', 'Cholest-5-en-3-ol, (3-.beta.)-', 'CS-5106', 'DB04540', 'GS-6857', 'MCULE-6413140986', 'CAS-57-88-5', 'Cholesterol, NIST(R) SRM(R) 911c', 'SMP1_000069', 'NCGC00159351-03', '22243-67-0', '80356-14-5', 'Cholesterol, tested according to Ph.Eur.', 'LS-53159', 'SC-18458', 'Cholesterol, from lanolin, &gt;=95.0% (GC)', 'Cholesterol, from lanolin, &gt;=99.0% (GC)', '1889-EP2269610A2', '1889-EP2269977A2', '1889-EP2269989A1', '1889-EP2269990A1', '1889-EP2270011A1', '1889-EP2270505A1', '1889-EP2272822A1', '1889-EP2272825A2', '1889-EP2272834A1', '1889-EP2272841A1', '1889-EP2272843A1', '1889-EP2274983A1', '1889-EP2275105A1', '1889-EP2277507A1', '1889-EP2277565A2', '1889-EP2277566A2', '1889-EP2277567A1', '1889-EP2277568A2', '1889-EP2277569A2', '1889-EP2277570A2', '1889-EP2277865A1', '1889-EP2280001A1', '1889-EP2280282A1', '1889-EP2281817A1', '1889-EP2281824A1', '1889-EP2281899A2', '1889-EP2284157A1', '1889-EP2284158A1', '1889-EP2286795A1', '1889-EP2287165A2', '1889-EP2287166A2', '1889-EP2289510A1', '1889-EP2289883A1', '1889-EP2292228A1', '1889-EP2292234A1', '1889-EP2292280A1', '1889-EP2292596A2', '1889-EP2292612A2', '1889-EP2292620A2', '1889-EP2295406A1', '1889-EP2295409A1', '1889-EP2295411A1', '1889-EP2295417A1', '1889-EP2295429A1', '1889-EP2295439A1', '1889-EP2298312A1', '1889-EP2298728A1', '1889-EP2298731A1', '1889-EP2298735A1', '1889-EP2298742A1', '1889-EP2298745A1', '1889-EP2298747A1', '1889-EP2298772A1', '1889-EP2298776A1', '1889-EP2298779A1', '1889-EP2301923A1', '1889-EP2301929A1', '1889-EP2301935A1', '1889-EP2301936A1', '1889-EP2305648A1', '1889-EP2305668A1', '1889-EP2305674A1', '1889-EP2305695A2', '1889-EP2305696A2', '1889-EP2305697A2', '1889-EP2305698A2', '1889-EP2305825A1', '1889-EP2308479A2', '1889-EP2308838A1', '1889-EP2308839A1', '1889-EP2308858A1', '1889-EP2309584A1', '1889-EP2311811A1', '1889-EP2311816A1', '1889-EP2311817A1', '1889-EP2311821A1', '1889-EP2311823A1', '1889-EP2311825A1', '1889-EP2311836A1', '1889-EP2311841A1', '1889-EP2314295A1', '1889-EP2314576A1', '1889-EP2314588A1', '1889-EP2314593A1', '1889-EP2316457A1', '1889-EP2316458A1', '1889-EP2316470A2', '1889-EP2316825A1', '1889-EP2316826A1', '1889-EP2316827A1', '1889-EP2316828A1', '1889-EP2377510A1', 'C00187', 'D00040', 'Q43656', 'Z-0798', 'AB00443913_03', 'Cholesterol, &gt;=95% (GC), powder, Ash, free', 'Cholesterol, Vetec(TM) reagent grade, &gt;=92.5%', 'Soya phospholipon &amp; Cholesterol (2:1 molar ratio)', 'W-105431', '5BBA213B-ECF4-44AF-8AAF-8A0120F2F886', 'Cholesterol (cGMP, animal-origin free, vegetal-derived)', 'Cholesterol, from sheep wool, &gt;=92.5% (GC), powder', 'WLN: L E5 B666 LUTJ A1 E1 FY1&amp;3Y1&amp;1 OQ', 'Cholesterol (non-cGMP, animal-origin free, vegetal-derived)', 'Cholesterol, European Pharmacopoeia (EP) Reference Standard', 'Cholesterol, powder, BioReagent, suitable for cell culture, &gt;=99%', 'Cholesterol, United States Pharmacopeia (USP) Reference Standard', 'Cholesterol solution, certified reference material, 10 mg/mL in chloroform', 'Cholesterol, Pharmaceutical Secondary Standard; Certified Reference Material', 'PhytoChol&amp;reg; Puriss (animal-origin free, vegetal-derived Cholesterol)', 'Cholesterol, from sheep wool, Controlled origin, meets USP/NF testing specifications', '(1S,2R,5S,10S,11S,14R,15R)-2,15-dimethyl-14-[(2R)-6-methylheptan-2-yl]tetracyclo[8.7.0.0;{2,7}.0;{11,15}]heptadec-7-en-5-ol', '10,13-dimethyl-17-(6-methylheptan-2-yl)-2,3,4,7,8,9,11,12,14,15,16,17-dodecahydro-1H-cyclopenta[a]phenanthren-3-ol', '14-((1R)-1,5-dimethylhexyl)(1S,5S,10S,11S,2R,14R,15R)-2,15-dimethyltetracyclo[ 8.7.0.0&lt;2,7&gt;.0&lt;11,15&gt;]heptadec-7-en-5-ol', 'Cholesterol, Plant-Derived, SyntheChol(R), PharmaGrade, USP/NF, Ph Eur, Manufactured under appropriate GMP controls for pharma or biopharmaceutical production', 'SyntheChol(R) NS0 Supplement, 500 x, synthetic cholesterol, animal component-free, aqueous solution, sterile-filtered, suitable for cell culture']</t>
  </si>
  <si>
    <t>Compound(5997)</t>
  </si>
  <si>
    <t>chrysotile (white asbestos)</t>
  </si>
  <si>
    <t>trimagnesium;hydroxy(trioxido)silane;hydrate</t>
  </si>
  <si>
    <t>['Chrysotile', 'CHRYSOTILE ASBESTOS', 'Metaxite', 'Sylodex', 'Chrysotile uicc', 'White asbestos', 'Chrysotile A', 'Avibest C', 'Cassiar AK', 'Plastibest 20', 'Asbestos, chrysotile', 'Serpentine chrysotile', '7-45 Asbestos', 'Calidria RG 100', 'Calidria RG 144', 'Calidria RG 600', 'Chrysotile A asbestos', 'Asbestos (chrysotile)', '5Ro4', 'CCRIS 378', 'Chrysotile [Asbestos]', 'NCI C61223A', 'HSDB 2966', 'Hooker No. 1 chrysotile asbestos', 'Chrysotile (Mg3(OH)4(SiO5))', 'RG 600', 'UN2590', '12001-29-5', '5R04', 'K6-30', 'K 6-30', '12168-92-2', 'trimagnesium;tris(oxidanidyl)-oxidanyl-silane;hydrate', 'Picrolite', 'Chrysotile (Mg3H2(SiO4)2.H2O)', 'ASBESTOS, CHRYSOTILE(IR)', 'ASBESTOS, CHRYSOTILE(SR)', 'DTXSID60923928', 'LS-2213', '12426-97-0', 'Magnesium hydrogen orthosilicate--water (3/2/1)', 'ASBESTOS, CHRYSOTILE(IR) + DIMETHYL HYDRAZINE', 'Q26840912', 'White asbestos (chrysotile, actinolite, anthophyllite, tremolite)', 'White asbestos (chrysotile, actinolite, anthophyllite, tremolite) [UN2590]  [Class 9]', 'White asbestos (chrysotile, actinolite, anthophyllite, tremolite) [UN2590] [Class 9]']</t>
  </si>
  <si>
    <t>Compound(25477)</t>
  </si>
  <si>
    <t>H4Mg3O9Si2</t>
  </si>
  <si>
    <t>CI Acid Green 3</t>
  </si>
  <si>
    <t>sodium;3-[[N-ethyl-4-[[4-[ethyl-[(3-sulfonatophenyl)methyl]azaniumylidene]cyclohexa-2,5-dien-1-ylidene]-phenylmethyl]anilino]methyl]benzenesulfonate</t>
  </si>
  <si>
    <t>['Acid Green 3', 'Guinea green B', '4680-78-8', 'FD&amp;C Green no. 1', 'Pontacyl Green B', 'Acid Green B', 'Food Green 1', 'Guinea Green', 'Guinee green B', 'Leather Green B', 'Acidal Green G', 'Acilan Green B', 'Amacid Green B', 'C.I. Food Green 1', 'Fenazo Green L', 'Calcocid Green G', 'Guinea Green BA', 'Intracid Green F', 'Kiton Green F', 'Vondacid Green L', 'Acid Green G', 'Acid Green L', 'Acid Green S', 'Kiton Green FC', 'Sulpho Green 2B', 'Japan Green 1', 'Lissamine Green G', 'Merantine Green G', 'Hispacid Green GB', 'Pontacyl Green BL', 'Acid Green 2G', 'FD And C Green No. 1', 'Naphthalene Green G', 'CI Acid Green 1', 'CI Food Green 1', 'Acid Green L Extra', 'FDC Green 1', 'Hidacid Emerald Green', 'Acid Blue 255', 'Acid Leather Green F', 'FD&amp;C Green 1', 'AF Green No. 1', 'Brillant Green 3EMBL', 'Acid Leather Green 3G', 'Brilliant Green 3EMBL', 'Neran Brilliant Green G', 'Bucacid Guinea Green BA', 'Naphthalene Lake Green G', 'A.F. Green No. 1', 'Zelen kysela 3 [Czech]', 'C.I. Acid Green 3, sodium salt', 'Naphthalene Leather Green G', 'C.I. ACID GREEN 3', 'CI Acid Green 3 (VAN)', 'Sulfacid Brilliant Green 1B', 'C.I. Acid Green 3, monosodium salt', 'Color Index No. 42085', 'Zelen potravinarska 1 [Czech]', 'CI Acid Green 3, sodium salt', 'C.I. Acid Green 3 (VAN)', 'HSDB 6366', 'CI Acid Green 3, monsodium salt', 'UNII-4L2574620F', 'C.I. 42085', 'NSC 5016', 'NSC 8684', 'EINECS 225-132-8', 'FD &amp; C green no. 1', 'CI 42085', 'CHEBI:90112', '4L2574620F', 'Benzenemethanaminium, N-ethyl-N-(4-((4-(ethyl((3-sulfophenyl)methyl)amino)phenyl)phenylmeth- ylene)-2,5-cyclohexadien-1-ylidene)-3-sulfo-, hydroxide, inner salt, sodium salt', 'Benzenemethanaminium, N-ethyl-N-(4-((4-(ethyl((3-sulfophenyl)methyl)amino)phenyl)phenylmethylene)-2,5-cyclohexadien-1-ylidene)-3-sulfo-, hydroxide, inner salt, sodium salt', 'Zelen kysela 3', 'Ammonium, ethyl(4-(p-(ethyl(m-sulfobenzyl)amino)-alpha-phenylbenzylidene)- 2,5-cyclohexadien-1-ylidene)(m-sulfobenzyl)-, hydroxide, inner salt, sodium salt', 'Benzenemethanaminium, N-ethyl-N-(4-((4-(ethyl((3-sulfophenyl)methyl)amino)phenyl)phenylmethylene)-2,5-cyclohexadien-1-ylidene)-3-sulfo-, inner salt, sodium salt', 'Benzenemethanaminium, N-ethyl-N-[4-[[4-[ethyl[(3-sulfophenyl)methyl]amino]phenyl]phenylmethylene]-2,5-cyclohexadien-1-ylidene]-3-sulfo-, inner salt, sodium salt', 'Hydrogen (ethyl)(4-(alpha-(4-(ethyl(3-sulphonatobenzyl)amino)phenyl)benzylidene)cyclohexa-2,5-dien-1-ylidene)(3-sulphonatobenzyl)ammonium, sodium salt', 'N-Ethyl-(4-(p-(ethyl-(m-sulfobenzyl)amino)-alpha-phenylbenzylidene)-2,5-cyclohexadien-1-ylidene)(m-sulfobenzyl)ammonium hydroxide inner salt so dium salt', 'sodium 3-[(ethyl{(1E,4E)-4-[(4-{ethyl[(3-sulfonatophenyl)methyl]amino}phenyl)(phenyl)methylidene]cyclohexa-2,5-dien-1-ylidene}ammonio)methyl]benzenesulfonate', 'Zelen potravinarska 1', 'Guinee green', 'guinia green B', 'Benzenemethanaminium, N-ethyl-N-(4-((4-(ethyl((3-sulfophenyl)methyl)amino)phenyl)phenylmethylene)-2,5-cyclohexadien-1-ylidene)-3-sulfo-, inner salt, sodium salt (1:1)', 'DSSTox_CID_671', 'DSSTox_RID_75723', 'DSSTox_GSID_20671', 'SCHEMBL590697', 'CHEMBL1333604', 'DTXSID3020671', 'Tox21_301679', 'Guinea Green B, Dye content 50 %', 'MFCD00012122', 'AKOS015903220', 'AKOS024319590', 'AKOS025310848', 'LS-7419', 'NCGC00164409-01', 'NCGC00255259-01', 'C.I. Acid Green 3, sodium salt (8CI)', 'CAS-4680-78-8', 'FT-0626839', 'G0176', 'A-8893', 'Q27162324', 'Benzenemethanaminium, N-ethyl-N-[4-[[4-[ethyl[(3-sulfophenyl)methyl]amino]phenyl]phenylmethylene]-2,5-cyclohexadien-1-ylidene]-3- sulfo-, inner salt, sodium salt', 'Hydrogen (ethyl)[4-[a-[4-[ethyl(3-sulphonatobenzyl)amino]phenyl]benzylidene]cyclohexa-2,5-dien-1-ylidene](3-sulphonatobenzyl)ammonium, sodium salt', 'sodium 3-(((Z)-ethyl((Z)-4-((4-(ethyl(3-sulfonatobenzyl)amino)phenyl)(phenyl)methylene)cyclohexa-2,5-dienylidene)ammonio)methyl)benzenesulfonate', 'sodium 3-[(ethyl{4-[(4-{ethyl[(3-sulfonatophenyl)methyl]amino}phenyl)(phenyl)methylidene]cyclohexa-2,5-dien-1-ylidene}azaniumyl)methyl]benzene-1-sulfonate', 'sodium 3-[(ethyl{4-[{4-[ethyl(3-sulfonatobenzyl)amino]phenyl}(phenyl)methylene]cyclohexa-2,5-dien-1-ylidene}ammonio)methyl]benzenesulfonate']</t>
  </si>
  <si>
    <t>Compound(20803)</t>
  </si>
  <si>
    <t>C37H35N2NaO6S2</t>
  </si>
  <si>
    <t>CI Acid Red 114</t>
  </si>
  <si>
    <t>disodium;7-hydroxy-8-[[2-methyl-4-[3-methyl-4-[[4-(4-methylphenyl)sulfonyloxyphenyl]diazenyl]phenyl]phenyl]diazenyl]naphthalene-1,3-disulfonate</t>
  </si>
  <si>
    <t>['Acid Red 114', '6459-94-5', 'C.I. Acid Red 114', 'Erionyl Red RS', 'Acid Leather Red BG', 'CI ACID RED 114', 'Sulphonol Red R', 'Supranol Red R', 'Milling Red B', 'C.I. Acid Red 114, disodium salt', 'Fenafor Red PB', 'Levanol Red GG', 'Milling Red BB', 'Milling Red SWB', 'Benzyl Red BR', 'Intrazone Red BR', 'Folan Red B', 'Midlon Red PRS', 'Polar Red RS', 'Sandolan Red N-RS', 'Sella Fast Red RS', 'Telon Fast Red GG', 'Leather Fast Red B', 'Milling Fast Red B', 'Benzyl Fast Red BG', 'Elcacid Milling Fast Red RS', 'Sulphonol Fast Red R', 'Supranol Fast Red GG', 'Supranol Red PBX-CF', 'Vondamol Fast Red RS', 'Supranol Fast Red 3G', 'Tetracid Milling Red B', 'Tetracid Milling Red G', 'Kayanol Milling Red RS', 'Suminol Milling Red RS', 'Amacid Milling Red PRS', 'Tertracid Milling Red B', 'UNII-P8TW4PSS87', 'Cerven kysela 114 [Czech]', 'CCRIS 2423', 'HSDB 5180', 'NCI C61096', 'C.I. 23635', 'EINECS 229-272-0', 'P8TW4PSS87', "Disodium 8-((3,3'-dimethyl-4'-(4-(4-methylphenylsulphonyloxy)phenylazo)(1,1'-biphenyl)-4-yl)azo)-7-hydroxynaphthalene-1,3-disulphonate", 'DSSTox_CID_1224', 'DSSTox_RID_76022', 'DSSTox_GSID_21224', "1,3-Naphthalenedisulfonic acid, 8-((3,3'-dimethyl-4'-((4-(((4-methylphenyl)sulfonyl)oxy)phenyl)azo)(1,1'-biphenyl)-4-yl)azo)-7-hydroxy-, disodium salt", "disodium 8-[(Z)-{3,3'-dimethyl-4'-[(Z)-(4-{[(4-methylphenyl)sulfonyl]oxy}phenyl)diazenyl]biphenyl-4-yl}diazenyl]-7-hydroxynaphthalene-1,3-disulfonate", 'CAS-6459-94-5', 'Cerven kysela 114', 'Dinacid Milling Red RG', 'sulfonol red r', "1,3-Naphthalenedisulfonic acid, 8-(2-(3,3'-dimethyl-4'-(2-(4-(((4-methylphenyl)sulfonyl)oxy)phenyl)diazenyl)(1,1'-biphenyl)-4-yl)diazenyl)-7-hydroxy-, sodium salt (1:2)", "1,3-Naphthalenedisulfonic acid, 8-[2-[3,3'-dimethyl-4'-[2-[4-[[(4-methylphenyl)sulfonyl]oxy]phenyl]diazenyl][1,1'-biphenyl]-4-yl]diazenyl]-7-hydroxy-, sodium salt (1:2)", "C.I. Acid Red 114 parent;C.I. Acid Red 114;disodium 8-((3,3-dimethyl-4-(4-(4-methylphenylsulphonyloxy)phenylazo)(1,1-biphenyl)-4-yl)azo)-7-hydroxynaphthalene-1,3-disulphonate;Disodium 8-((3,3'-dimethyl-4'-(4-(4-methylphenylsulphonyloxy)phenylazo)(1,1'-biphenyl)-4-yl)azo)-7-hydroxynaphthalene-1,3-disulphonate", 'SCHEMBL2859661', 'CHEMBL1559341', 'CHEMBL3188178', 'DTXSID8021224', 'CHEBI:82302', 'LS-35', 'Tox21_202139', 'Tox21_302977', 'MFCD00003894', 'Acid Red 114, Dye content 45 %', 'AKOS024319576', 'AKOS025310844', 'NCGC00091323-01', 'NCGC00256351-01', 'NCGC00259688-01', 'C.I. 23635,', 'C19209', 'W-110151', 'Q27286379', "8-[[3,3'-dimethyl-4'-[[4-[[(4-methylphenyl)sulfonyl]oxy]phenyl]azo][1,1'-biphenyl]-4-yl]azo]-7-hydroxy-1,3-Naphthalenedisulfonic acid, disodium salt", "disodium 8-((E)-{3,3'-dimethyl-4'-[(Z)-(4-{[(4-methylphenyl)sulfonyl]oxy}phenyl)diazenyl][1,1'-biphenyl]-4-yl}diazenyl)-7-hydroxy-1,3-naphthalenedisulfonate", "Disodium 8-{[3,3'-dimethyl-4'-({4-[(4-methylbenzene-1-sulfonyl)oxy]phenyl}diazenyl)[1,1'-biphenyl]-4-yl]diazenyl}-7-hydroxynaphthalene-1,3-disulfonate", "disodium 8-{3,3'-dimethyl-4'-[(4-{[(4-methylphenyl)sulfonyl]oxy}phenyl)diazenyl]biphenyl-4-yl}diazenyl)-7-hydroxynaphthalene-1,3-disulfonate", "sodium 8-((E)-(3,3'-dimethyl-4'-((E)-(4-(tosyloxy)phenyl)diazenyl)biphenyl-4-yl)diazenyl)-7-hydroxynaphthalene-1,3-disulfonate"]</t>
  </si>
  <si>
    <t>Compound(22960)</t>
  </si>
  <si>
    <t>C37H28N4Na2O10S3</t>
  </si>
  <si>
    <t>CI Acid Red 52</t>
  </si>
  <si>
    <t>sodium;4-[3-(diethylamino)-6-diethylazaniumylidenexanthen-9-yl]benzene-1,3-disulfonate</t>
  </si>
  <si>
    <t>['Acid red 52', '3520-42-1', 'Acid Rhodamine B', 'Xylene Red B', 'Amido Rhodamine B', 'Kiton Rhodamine B', 'Acid Red XB', 'C.I. Acid Red 52', 'Food Red 106', 'Acid Red', 'Fenazo Pink XXB', 'Solar Rhodamine B', 'Amacid Rhodamine B', 'Erio Acid Red XB', 'Erio Acid Red XBC', 'Acid Leather Red KB', 'Pontacyl Brilliant Pink', 'Xylene Red', 'Brilliant Acid Rhodamine B', 'Lissamine rhodamine B', 'Red No. 106', 'Red 106', 'UNII-821LWZ3R6R', 'Aizen Food Red No. 106', 'Brilliant Superlan Rhodamine B', 'CCRIS 2446', 'Brilliant Superlan Rhodamine 2B', 'Food red no. 106', 'C.I. 45100', 'EINECS 222-529-8', 'Sulforhodamine B sodium salt', 'CI 45100', '821LWZ3R6R', 'AK176284', 'Hydrogen 3,6-bis(diethylamino)-9-(2,4-disulphonatophenyl)xanthylium, sodium salt', 'Xanthylium, 3,6-bis(diethylamino)-9-(2,4-disulfophenyl)-, hydroxide, inner salt, sodium salt', 'Xanthylium, 3,6-bis(diethylamino)-9-(2,4-disulfophenyl)-, inner salt, sodium salt', 'MLS001195097', 'Ammonium, (6-(diethylamino)-9-(2,4-disulfophenyl)-3H-xanthen-3-ylidene)diethyl-, hydroxide, inner salt, sodium salt', 'Ethanaminium, N-(6-(diethylamino)-9-(2,4-disulfophenyl)-3H-xanthen-3-ylidene)-N- -ethyl-, hydroxide, inner salt, sodium salt', 'N-(6-(Diethylamino)-9-(2,4-disulfophenyl)-3H-xanthen-3-ylidene)-N- -ethyl ethanaminium, hydroxide, inner salt, sodium salt', 'N-(6-(Diethylamino)-9-(2,4-disulfophenyl)-3H-xanthen-3-ylidene)-N- -ethylethanaminium, hydroxide, inner salt, sodium salt', 'SMR000554424', 'Sodium 4-(6-(diethylamino)-3-(diethyliminio)-3H-xanthen-9-yl)benzene-1,3-disulfonate', 'Xanthylium, 3,6-bis(diethylamino)-9-(2,4-disulfophenyl)-, inner salt, sodium salt (1:1)', 'MLS003878226', 'C27H29N2NaO7S2', 'Acid Red 52;Kiton Red 620', 'CHEMBL1306565', 'DTXSID7021235', 'SCHEMBL16593265', 'HMS2883G10', 'AKOS000283079', 'AKOS015903434', '11119-62-3', 'LS-17337', 'T164', 'A0600', 'F0143', 'FT-0621855', 'ST51016151', 'C20348', 'J-020000', 'sodium 4-[3,6-bis(diethylamino)xanthenium-9-yl]benzene-1,3-disulfonate', 'sodium;4-[3,6-bis(diethylamino)xanthen-10-ium-9-yl]benzene-1,3-disulfonate', '4-[3-(diethylamino)-6-(diethylylidene)xanthen-9-yl]benzene-1,3-disulfonic acid , sodium salt']</t>
  </si>
  <si>
    <t>Compound(9916275)</t>
  </si>
  <si>
    <t>C27H29N2NaO7S2</t>
  </si>
  <si>
    <t>CI Basic Green 4</t>
  </si>
  <si>
    <t>[4-[[4-(dimethylamino)phenyl]-phenylmethylidene]cyclohexa-2,5-dien-1-ylidene]-dimethylazanium;chloride</t>
  </si>
  <si>
    <t>['MALACHITE GREEN', '569-64-2', 'Basic Green 4', 'China Green', 'Malachite green chloride', 'Victoria Green B', 'Grenoble Green', 'Aniline Green', 'Diamond Green B', 'Victoria Green', 'Benzal Green', 'Burma Green B', 'Light Green N', 'Solid Green O', 'Diamond Green Bx', 'Victoria Green S', 'Benzaldehyde Green', 'Fast Green O', 'Green MX', 'Calcozine Green V', 'Malachite Green A', 'Malachite Green B', 'C.I. Basic Green 4', 'Victoria Green WB', 'Malachite Green AN', 'Malachite Green CP', 'Malachite Green WS', 'Oji Malachite Green', 'Tertrophene Green M', 'Victoria Green WPB', 'CI Basic Green 4', 'Malachite Green J3E', 'Astra Malachite Green', 'Green Malaquite', 'Diamond Green B extra', 'Malachite Green Powder', 'Mitsui Malachite Green', 'Diamond Green P Extra', 'Malachite green chloride salt', 'Malachite Lake Green A', 'Solid Green Crystals O', 'Viride Malachitum', 'Diabasic Malachite Green', 'Malachite Green Crystals', 'Acryl Brilliant Green B', 'Astra Malachite Green B', 'Hidaco Malachite Green LC', 'Hidaco Malachite Green SC', 'Astra Malachite Green BXX', 'Hidaco Malachite Green Base', 'New Victoria Green Extra I', 'New Victoria Green Extra O', 'Malachite Green (Indicator)', 'Malachite green hydrochloride', 'Aizen Malachite Green', 'Basonyl Green 830', 'New Victoria Green Extra II', 'ADC Malachite Green Crystals', 'Basacryl Green X-BF', 'Malachite Green Crystals BPC', 'Tokyo Aniline Malachite Green', 'Bronze Green Toner A-8002', 'C.I. 42000', 'Aizen Malachite Green Crystals', 'Caswell No. 534C', 'Malachite Green J 3E', 'Malachit-grun [German]', 'Victoria Green (VAN)', 'Atlantic Malachite Green', 'China Green (Biological Stain)', 'Basic green', 'Basonyl Green NB 832', 'Light Green N (Biological Stain)', 'Zelen malachitova [Czech]', 'Zelen zasadita 4 [Czech]', 'Lincoln Green Toner B 15-2900', 'Fast Green 0', 'UNII-12058M7ORO', 'CCRIS 1219', 'CI 42000', 'HSDB 1406', 'Tetramethyl diapara-amido-triphenyl carbinol', 'EINECS 209-322-8', 'MAGENTAGREENCRYSTALS', 'NSC 47726', 'Malachite Green Hydrochloride (Biological stain)', 'EPA Pesticide Chemical Code 039504', 'AI3-18509', 'CHEBI:72449', '12058M7ORO', '(4-(4-Dimethylaminobenzhydriylidene)cyclohexa-2,5-dienylidene)dimethylammonium chloride', '(4-(alpha-(4-Dimethylamino)phenyl)benzylidene)cyclohexa-2,5-dien-1-ylidene dimethylammonium chloride', 'Ammonium, (4-(p-(dimethylamino)-alpha-phenylbenzylidene)-2,5-cyclohexadien-1-ylidene)-dimethyl-, chloride', 'Malachit-grun', '2437-29-8', 'Zelen malachitova', 'Zelen zasadita 4', '(4-(alpha-(4-(Dimethylamino)phenyl)benzylidene)cyclohexa-2,5-dien-1-ylidene)dimethylammonium chloride', '14426-28-9', 'Methanaminium, N-(4-((4-(dimethylamino)phenyl)phenylmethylene)-2,5-cyclohexadien-1-ylidene)-N-methyl-, chloride', 'N-(4-((4-(Dimethylamino)phenyl)(phenyl)methylene)cyclohexa-2,5-dien-1-ylidene)-N-methylmethanaminium chloride', '13425-25-7', 'malachite-green', 'Sentry AQ maracide W/biospheres', 'Methanaminium, N-(4-((4-(dimethylamino)phenyl)phenylmethylene)-2,5-cyclohexadien-1-ylidene)-N-methyl-, chloride (1:1)', 'Methanaminium, N-[4-[[4-(dimethylamino)phenyl]phenylmethylene]-2,5-cyclohexadien-1-ylidene]-N-methyl-, chloride (1:1)', 'N-{4-[[4-(dimethylamino)phenyl](phenyl)methylene]cyclohexa-2,5-dien-1-ylidene}-N-methylmethanaminium chloride', 'DSSTox_CID_5512', 'DSSTox_GSID_25512', 'SCHEMBL28216', 'ARONIS27042', 'CHEMBL186357', 'DTXSID1025512', 'C.I. Basic Green 4 (8CI)', 'BRILLIANT GREEN HYDROCHLORIDE', 'C23H25N2', 'KS-000048JH', 'NSC47726', 'Tox21_303977', 'LS-227', 'NSC-47726', 'AKOS000282983', 'Malachite Green solution, for microscopy', 'NCGC00357201-01', 'AC-19099', 'AS-13876', 'CAS-569-64-2', 'T296', 'FT-0628106', 'Malachite Green chloride, analytical standard', 'A-8562', 'C18367', 'Q408815', 'J-006507', 'Q-200675', 'WLN: L6Y DYJ AUYR&amp;R DN1&amp;1&amp; DUK1&amp;1 &amp;Q &amp;G', 'Ammonium,5-cyclohexadien-1-ylidene]-dimethyl-, chloride', 'MALACHITE GREEN (LEUCOMALACHITE GREEN (129-73-7))', '[4-[?-[4-(dimethylamino)phenyl]benzylidene]cyclohexa-2,5-dien-1-ylidene]dimethylammonium chloride', '[4-[a-[4-(dimethylamino)phenyl]benzylidene]cyclohexa-2,5-dien-1-ylidene]dimethylammonium chloride', '4-{[4-(dimethylamino)phenyl](phenyl)methylene}-N,N-dimethylcyclohexa-2,5-dien-1-iminium chloride', 'N-(4-((4-(dimethylamino)phenyl)(phenyl)methylene)cyclohexa-2,5-dienylidene)-N-methylmethanaminium chloride', 'N-[4-[[4-Dimethylamino)phenyl]phenylmethylene]-2,5-cyclohexadien-1-ylidene]-N-methylmethanaminium chloride', 'N-{4-[[4-(dimethylamino)phenyl](phenyl)methylene]-2,5-cyclohexadien-1-ylidene}-N-methylmethanaminium chloride']</t>
  </si>
  <si>
    <t>Compound(11294)</t>
  </si>
  <si>
    <t>C23H25ClN2</t>
  </si>
  <si>
    <t>CI Basic Red 1</t>
  </si>
  <si>
    <t>[9-(2-ethoxycarbonylphenyl)-6-(ethylamino)-2,7-dimethylxanthen-3-ylidene]-ethylazanium;chloride</t>
  </si>
  <si>
    <t>['RHODAMINE 6G', 'Basic Red 1', '989-38-8', 'Rhodamine F5G', 'C.I. Basic Red 1', 'Mitsui Rhodamine', 'Rhodamine 6GO', 'Rhodamine 6GX', 'Rhodamin 6G', 'Rhodamine 6GDN', 'CI Basic Red 1', 'Rhodamine 6G chloride', 'Rhodamine J', 'Rhodamine ZH', 'Rhodamine GDN', 'Calcozine Rhodamine 6GX', 'Eljon Pink Toner', 'Rhodamine 4GD', 'Rhodamine 4GH', 'Rhodamine 5GL', 'Rhodamine 6GB', 'Rhodamine 6GD', 'Rhodamine 6GH', 'Rhodamine 6JH', 'Rhodamine 6ZH', 'Rhodamine 7JH', 'Rhodamine F4G', 'Silosuper Pink B', 'Fanal Pink B', 'Rhodamine 5GDN', 'Rhodamine 6GBN', 'Rhodamine 6GCP', 'Fanal Pink GFK', 'Rhodamine 6 GDN', 'Rhodamine F 5GL', 'Calcozine Red 6G', 'Rhodamine 6G Lake', 'Rhodamine 6ZH-DN', 'Rhodamine 6G Extra', 'Nyco Liquid Red GF', 'Flexo Red 482', 'Basic Rhodamine Yellow', 'Rhodamine 6GDN Extra', 'Mitsui Rhodamine 6GCP', 'Rhodamine 69DN Extra', 'Basic Rhodaminic Yellow', 'Rhodamine F5G chloride', 'Rhodamine Lake Red 6G', 'Rhodanine 6GDN', 'Fanal Red 25532', 'Rhodamine 6 GDN Extra', 'Elcozine Rhodamine 6GDN', 'Rhodamine 6G Extra Base', 'Vali Fast Red 1308', 'Rh 6G', 'Rhodamine 6G hydrochloride', 'Cerven zasadita 1 [Czech]', 'Rhodamine 6 G extra', 'Rhodamine 6GEX ethyl ester', 'Red 169', 'Rhodamine Y 20-7425', 'UNII-037VRW83CF', 'Aizen Rhodamine 6GCP', 'CCRIS 2388', 'Rhodamine 6G (biological stain)', 'HSDB 4179', 'NCI-C56122', 'CI Basic Red 1, monohydrochloride', 'Heliostable Brilliant Pink B Extra', '9-(2-(Ethoxycarbonyl)phenyl)-3,6-bis(ethylamino)-2,7-dimethylxanthylium chloride', 'EINECS 213-584-9', 'NSC 10474', 'NSC 36345', 'C.I. Basic Red 1, monohydrochloride', 'CI 45160', 'C.I. 45160', '037VRW83CF', 'MFCD00012665', 'Benzoic acid, 2-(6-(ethylamino)-3-(ethylimino)-2,7-dimethyl-3H-xanthen-9-yl)-, ethyl ester, monohydrochloride', 'Xanthylium, 9-(2-(ethoxycarbonyl)phenyl)-3,6-bis(ethylamino)-2,7-dimethyl-, chloride', '9-[2-(Ethoxycarbonyl)phenyl]-3,6-bis(Ethylamino)-2,7-dimethylxanthylium chloride', 'Cerven zasadita 1', 'Benzoic acid, o-(6-(ethylamino)-3-(ethylimino)-2,7-dimethyl-3H-xanthen-9-yl)-, ethyl ester, monohydrochloride', 'R6G', 'Xanthylium, 9-[2-(ethoxycarbonyl)phenyl]-3,6-bis(ethylamino)-2,7-dimethyl-, chloride', 'C28H31N2O3.Cl', 'W-109627', 'BasicRed1', 'rhodamine-6G', 'rhodamine 6GP', 'Xanthylium, 9-(2-(ethoxycarbonyl)phenyl)-3,6-bis(ethylamino)-2,7-dimethyl-, chloride (1:1)', 'Xanthylium, 9-[2-(ethoxycarbonyl)phenyl]-3,6-bis(ethylamino)-2,7-dimethyl-, chloride (1:1)', 'C.I. Basic Red-1', 'r hodamine lake red 6g', 'ethyl 2-[(3Z)-6-(ethylamino)-3-(ethylimino)-2,7-dimethyl-3H-xanthen-9-yl]benzoate hydrochloride', 'SCHEMBL58077', 'DTXSID1021243', 'CHEBI:52672', 'KS-00000UQP', 'LS-22', 'HY-D0309', 'SBB058118', 'AKOS015961128', 'CS-7507', 'DB03825', 'MCULE-3872208936', 'C.I. BASIC RED 1 (RHODAMINE)', '[9-(2-ethoxycarbonylphenyl)-6-(ethylamino)-2,7-dimethylxanthen-3-ylidene]-ethylazanium chloride', 'AC-12934', 'AK163302', 'SY011039', 'AB0106786', 'FT-0622586', 'R0039', 'ST50308359', 'C11177', '9-[2-(ethoxycarbonyl)phenyl]-3,6-bis(ethylamino)-2,7-dimethylxanthenium chloride', 'ethyl 2-[3-(azapropylidene)-6-(ethylamino)-2,7-dimethylxanthen-9-yl]benzoate, chloride', 'ethyl 2-[6-(azapropylidene)-3-(ethylamino)-2,7-dimethylxanthen-9-yl]benzoate, chloride', '2-(6-(ethylamino)-3-(ethylimino)-2,7-dimethyl-3H-xanthen-9-yl)benzoic acid, ethyl ester, monohydrochloride', '9-[2-(ethoxycarbonyl)phenyl]-3,6-bis(ethylamino)-2,7-dimethyl-10|E?-xanthen-10-ylium chloride', 'ethyl o-(6-(ethylamino)-3-(ethylimino)-2,7-dimet hyl-3H-xanthen-9-yl)benzoate monohydrochloride', 'ethyl o-(6-(ethylamino)-3-(ethylimino)-2,7-dimethyl-3H-xanthen-9-yl)benzoate monohydrochloride', 'N-[9-[2-(ethoxycarbonyl)phenyl]-6-(ethylamino)-2,7-dimethyl-3H-xanthen-3-ylidene]ethanaminium chloride']</t>
  </si>
  <si>
    <t>Compound(13806)</t>
  </si>
  <si>
    <t>C28H31ClN2O3</t>
  </si>
  <si>
    <t>CI Direct Blue 14</t>
  </si>
  <si>
    <t>tetrasodium;5-amino-3-[[4-[4-[(8-amino-1-hydroxy-3,6-disulfonatonaphthalen-2-yl)diazenyl]-3-methylphenyl]-2-methylphenyl]diazenyl]-4-hydroxynaphthalene-2,7-disulfonate</t>
  </si>
  <si>
    <t>['Direct Blue 14', 'TRYPAN BLUE', '72-57-1', 'VisionBlue', 'C.I. Direct Blue 14', 'Niagara Blue 3B', 'Niagara Blue', 'trypan-blue', 'Diaminine Blue', 'Dianil blue', 'Vision Blue', 'Azidinblau 3B', 'Benzo Blue 3BS', 'Diamineblue', 'Dianilblau', 'Pyrotropblau', 'Parkibleu', 'Parkipan', 'Trypanblau [German]', 'Benzamine Blue', 'Bleu diamine', 'Chloramine Blue', 'Trypane Blue', 'Tripan Blue', 'Trypan (Congo) Blue', 'Benzaminblau 3B', 'Benzo Blue', 'Chloramiblau 3B', 'Congo Blue', 'Bleu trypane N', 'Benzanil Blue R', 'Diaminblau 3B', 'Directblau 3B', 'Triazolblau 3BX', 'Benzoblau 3B', 'Congoblau 3B', 'Dianilblau H3G', 'Renolblau 3B', 'Bleu directe 3B', 'Naphthylamine Blue', 'Azidine Blue 3B', 'Diamine Blue 3B', 'Diazine Blue 3B', 'Pyrazol Blue 3B', 'Trypan Blue BPC', 'Bleue diretto 3B', 'C.I. 23850', 'Modr Trypanova [Czech]', 'Bencidal Blue 3B', 'Dianil Blue H3G', 'Diazol Blue 3B', 'Diphenyl Blue 3B', 'Direct Blue 3B', 'Direct Blue 3BX', 'Direct Blue D3B', 'Direct Blue H3G', 'Direct Blue M3B', 'Paramine Blue 3B', 'Azurro diretto 3B', 'Benzo Blue 3B', 'Blue EMB', 'Naphthaminblau 3BX', 'Orion Blue 3B', 'Benzamine Blue 3B', 'Chlorazol Blue 3B', 'Cresotine Blue 3B', 'UNII-I2ZWO3LS3M', 'Amanil Sky Blue R', 'Benzanil Blue 3BN', 'Centraline Blue 3B', 'Chloramine Blue 3B', 'Hispamin Blue 3BX', 'I2ZWO3LS3M', 'Diaphtamine Blue TH', 'Bleu diazole N 3B', 'Blue 3B', 'Modr Prima 14 [Czech]', 'Pontamine Blue 3BX', 'RCRA waste no. U236', 'RCRA waste number U236', 'Brasilamina Blue 3B', 'Brasilazina Blue 3B', 'Directakol Blue 3BL', 'Naphthamine Blue 3BX', 'C.I. Direct Blue 14, tetrasodium salt', 'CCRIS 616', 'Chrome Leather Blue 3B', 'Trianol Direct Blue 3B', 'Trypan blue (commercial grade)', 'CHEBI:78897', 'HSDB 2945', 'NCI C61289', 'Trypanblau', 'EINECS 200-786-7', 'NSC 11247', 'Sodium ditolyl-diazobis-8-amino-1-naphthol-3,6-disulfonate', 'Sodium ditolyldisazobis-8-amino-1-naphthol-3,6-disulfonate', 'Sodium ditolyldisazobis-8-amino-1-naphthol-3,6-disulphonate', 'AI3-26698', 'C34H24N6O14S4.4Na', "2,7-Naphthalenedisulfonic acid, 3,3'-((3,3'-dimethyl(1,1'-biphenyl)-4,4'-diyl)bis(azo))bis(5-amino-4-hydroxy-, tetrasodium salt", "2,7-Naphthalenedisulfonic acid,3,3'-[(3,3'-dimethyl[1,1'-biphenyl]-4,4'-diyl)bis(azo)]bis[5-amino-4-hydroxy-, tetrasodium salt", "Tetrasodium 3,3'-((3,3'-dimethyl(1,1'-biphenyl)-4,4'-diyl)bis(azo))bis(5-amino-4-hydroxynaphthalene-2,7-disulphonate)", 'NCGC00167554-01', 'Membraneblue', 'Modr Trypanova', "Tetrasodium 3,3'-[(3,3'-dimethyl[1,1'-biphenyl]-4,4'-diyl)bis(azo)]bis[5-amino-4-hydroxynaphthalene-2,7-disulphonate]", 'Modr Prima 14', 'DSSTox_CID_6268', 'CHEMBL1640', 'DSSTox_RID_78083', 'DSSTox_GSID_26268', 'CHEMBL177987', 'DTXSID4026268', 'KS-00000YE3', 'Tox21_112549', '2084AH', '6952AF', 'AKOS015902434', 'AKOS030228627', 'LS-1618', 'CAS-72-57-1', 'FT-0690008', 'C19307', 'C.I. Direct Blue 14, tetrasodium salt (8CI)', "2,7-Naphthalenedisulfonic acid, 3,3'-((3,3'-dimethyl(1,1'-biphenyl)-4,4'-diyl)bis(2,1-diazenediyl))bis(5-amino-4-hydroxy-, sodium salt (1:4)", "2,7-Naphthalenedisulfonic acid, 3,3'-((3,3'-dimethyl-4,4'-biphenylylene)bis(azo))bis(5-amino-4-hydroxy-, tetrasodium salt", "sodium 3,3'-(1E,1'E)-(3,3'-dimethylbiphenyl-4,4'-diyl)bis(diazene-2,1-diyl)bis(5-amino-4-hydroxynaphthalene-2,7-disulfonate)", "Tetrasodium 3,3'-((3,3'-dimethyl(1,1'-biphenyl)-4,4'-diyl)bis(azo))bis(5-amino-4-hydroxynaphthalene-2,7-disulphonate", "Tetrasodium 3,3'-[(3,3'-dimethyl[1,1'-biphenyl]-4,4'-diyl)bis(diazene-2,1-diyl)]bis(5-amino-4-hydroxynaphthalene-2,7-disulfonate)", "tetrasodium 3,3'-[(3,3'-dimethylbiphenyl-4,4'-diyl)didiazene-2,1-diyl]bis(5-amino-4-hydroxynaphthalene-2,7-disulfonate)"]</t>
  </si>
  <si>
    <t>Compound(6296)</t>
  </si>
  <si>
    <t>C34H24N6Na4O14S4</t>
  </si>
  <si>
    <t>CI Direct Blue 218</t>
  </si>
  <si>
    <t>tetrasodium;5-amino-3-[[4-[4-[(8-amino-1-hydroxy-3,6-disulfonatonaphthalen-2-yl)diazenyl]-3-hydroxyphenyl]-2-hydroxyphenyl]diazenyl]-4-hydroxynaphthalene-2,7-disulfonate;copper</t>
  </si>
  <si>
    <t>['DIRECT BLUE 218', '28407-37-6', 'C.I. Direct Blue 218', 'C.I. 24401', 'Fastusol Blue 9GLP', 'Solantine Blue 10GL', 'Pontamine Bond Blue B', 'Amanil Supra Blue 9GL', 'CI Direct Blue 218', 'Pontamine Fast Blue 7GLN', 'UNII-RR3V5FL20N', 'RR3V5FL20N', 'CCRIS 6142', 'HSDB 4223', 'NCI C60877', 'EINECS 249-008-8', 'DIRECTBLUE218', "(3,3'-((3,3'-Dihydroxy-1,1'-biphenyl-4,4'-diyl)bis(azo)bis(5-amino-2,7-naphthalenedisulfonato-(O4,O3)))dicopper, tetrasodium salt", "2,7-Naphthalenedisulfonic acid, 3,3'((3,3'-dihydroxy(1,1'-biphenyl)-4,4'-diyl)bis(azo)bis(5-amino-4-hydroxy-, sodium salt, copper complex", "Copper, (mu-((tetrahydrogen 3,3'-((3,3'-dihydroxy-4,4'-biphenylene)bis(azo))bis(5-amino-4-hydroxy-2,7-naphthalenedisulfonato))(4-)))di-, tetrasodium salt", "Cuprate(4-) (mu-((3,3'-((3,3'-dihydroxy(1,1'-biphenyl)-4,4'-diyl)bis(azo))bis(5-amino-4-hydroxy-2,7-naphthalenedisulfonato))(8-)))di-, tetrasodium", "Cuprate(4-), (mu-((3,3'-((3,3'-di(hydroxy-kappaO)(1,1'-biphenyl)-4,4'-diyl)bis(azo-kappaN1))bis(5-amino-4-(hydroxy-kappaO)-2,7-naphthalenedisulfonato))(8-)))di-, tetrasodium", "Cuprate(4-), (mu-((3,3'-((3,3'-dihydroxy(1,1'-biphenyl)-4,4'-diyl)bis(azo))bis(5-amino-4-hydroxy-2,7-naphthalenedisulfonato))(8-)))di-, tetrasodium", "Cuprate(4-), (mu-((3,3'-((3,3'-dihydroxy(1,1'-biphenyl)-4,4'-diyl)bis(azo))bis-(5-amino-4-hydroxy-2,7-naphthalenedisulfonato))(8-)))di-, tetrasodium salt", "Tetrasodium (mu-((3,3'-((3,3'-dihydroxy(1,1'-biphenyl)-4,4'-diyl)bis(azo))bis(5-amino-4-hydroxynaphthalene-2,7-disulphonato))(8-)))dicuprate(4-)", "tetrasodium 3,3'-[(3,3'-dihydroxybiphenyl-4,4'-diyl)di(E)diazene-2,1-diyl]bis(5-amino-4-hydroxynaphthalene-2,7-disulfonate)", 'DTXSID2020187', '10401-50-0', "Cuprate(4-), (mu-((3,3'-((3,3'-di(hydroxy-kappaO)(1,1'-biphenyl)-4,4'-diyl)bis(2,1-diazenediyl-kappaN1))bis(5-amino-4-(hydroxy-kappaO)-2,7-naphthalenedisulfonato))(8-)))di-, sodium (1:4)", "Tetrasodium {mu-[5-amino-3-{(Z)-[4'-{(Z)-[8-amino-1-(hydroxy-1kappaO)-3,6-disulfonaphthalen-2-yl]diazenyl}-3'-(hydroxy-1kappaO)-3-(hydroxy-2kappaO)[1,1'-biphenyl]-4-yl]diazenyl}-4-(hydroxy-2kappaO)nap hthalene-2,7-disulfonato(8-)]}dicuprate(4-)"]</t>
  </si>
  <si>
    <t>Compound(34237)</t>
  </si>
  <si>
    <t>C32H20Cu2N6Na4O16S4</t>
  </si>
  <si>
    <t>CI Direct Blue 6</t>
  </si>
  <si>
    <t>tetrasodium;5-amino-3-[[4-[4-[(8-amino-1-hydroxy-3,6-disulfonatonaphthalen-2-yl)diazenyl]phenyl]phenyl]diazenyl]-4-hydroxynaphthalene-2,7-disulfonate</t>
  </si>
  <si>
    <t>['DIRECT BLUE 6', '2602-46-2', 'C.I. Direct Blue 6', 'Airedale Blue 2BD', 'Direct Blue 2BA', 'Direct Sky Blue K', 'Kayaku direct', 'Diamine Blue BB', 'Chlorazol Blue B', 'Direct Blue A', 'Direct Blue BB', 'Direct Blue GS', 'Direct Blue K', 'Nippon Blue BB', 'Azocard Blue 2B', 'Azomine Blue 2B', 'Benzo Blue GS', 'Diamine Blue 2B', 'Diazine Blue 2B', 'Diphenyl Blue KF', 'Fenamin Blue 2B', 'Fixanol Blue 2B', 'Niagara Blue 2B', 'Amanil Blue 2BX', 'Atlantic Blue 2B', 'Belamine Blue 2B', 'Bencidal Blue 2B', 'Benzanil Blue 2B', 'Chlorazol Blue BP', 'Diacotton Blue BB', 'Diazol Blue 2B', 'Diphenyl Blue 2B', 'Direct Blue 2B', 'Direct Blue M2B', 'Hispamin Blue 2B', 'Indigo Blue 2B', 'Modr Prima 6 [Czech]', 'Paramine Blue 2B', 'Phenamine Blue BB', 'Pontamine Blue BB', 'Vondacel Blue 2B', 'Blue 2B salt', 'Enianil Blue 2BN', 'Pheno Blue 2B', 'Calcomine Blue 2B', 'Cresotine Blue 2B', 'Chloramine Blue 2B', 'Diphenyl Blue M2B', 'Diaphtamine Blue BB', 'Blue 2B', 'UNII-21ZL85SYWM', 'Brasilamina Blue 2B', 'Benzo Blue BBA-CF', 'Benzo Blue BBN-CF', 'Tertrodirect Blue 2B', '21ZL85SYWM', 'Atul Direct Blue 2B', 'CCRIS 166', 'Kayaku Direct Blue BB', 'Aizen Direct Blue 2BH', 'Chrome Leather Blue 2B', 'Mitsui Direct Blue 2BN', 'C.I. 22610', 'HSDB 4057', 'Direct Blue 6 (technical grade)', 'NCI-C54579', 'NSC 9614', 'EINECS 220-012-1', 'C.I. Direct Blue 6, tetrasodium salt', 'Direct Blue 6, technical-grade [Benzidine-based dyes]', "2,7-Naphthalenedisulfonic acid, 3,3'-((1,1'-biphenyl)-4,4'-diylbis(azo))bis(5-amino-4-hydroxy-, tetrasodium salt", "2,7-Naphthalenedisulfonic acid, 3,3'-((4,4'-biphenylylene)bis(azo))bis(5-amino-4-hydroxy-, tetrasodium salt", "Tetrasodium 3,3'-((1,1'-biphenyl)-4,4'-diylbis(azo))bis(5-amino-4-hydroxynaphthalene-2,7-disulphonate)", "tetrasodium 5-amino-3-[(E)-{4'-[(E)-(8-amino-1-hydroxy-3,6-disulfonato-4,4a-dihydronaphthalen-2-yl)diazenyl]biphenyl-4-yl}diazenyl]-4-hydroxynaphthalene-2,7-disulfonate", 'di-rect blue', 'Nippon Blue B', 'Benzo Blue 2B', 'Modr Prima 6', "2,7-Naphthalenedisulfonic acid, 3,3'-((1,1'-biphenyl)-4,4'-diylbis(2,1-diazenediyl))bis(5-amino-4-hydroxy-, sodium salt (1:4)", "2,7-Naphthalenedisulfonic acid, 3,3'-[[1,1'-biphenyl]-4,4'-diylbis(2,1-diazenediyl)]bis[5-amino-4-hydroxy-, sodium salt (1:4)", "Tetrasodium 3,3'-[[1,1'-biphenyl]-4,4'-diylbis(azo)]bis[5-amino-4-hydroxynaphthalene-2,7-disulphonate]", 'Direct Blue 6, technical-grade', 'DTXSID2020185', 'C32H20N6O14S4.4Na', 'LS-51', 'AKOS000282858', 'AKOS015903121', 'AKOS024428862', 'T372', 'D0235', 'C.I. Direct Blue 6, tetrasodium salt (8CI)', 'Q27095620', 'Sodium diphenyl-4,4\'-bis-azo-2"-8"-amino-1"-naphthol-3",6"-disulphonate', "sodium diphenyl-4,4'-bis-azo-2''-8''-amino-1''-naphthol-3'',6''-disulfonate", "2,7-Naphthalenedisulfonic acid, 3,3'-((4,4'-biphenylylene)bis(azo))bis(5-amino-4-hydroxy-,tetrasodium salt", "2,7-Naphthalenedisulfonic acid,3,3'-[[1,1'-biphenyl]-4,4'-diylbis(azo)]bis[5-amino-4-hydroxy-,tetrasodium salt", "3,3'-((4,4'-biphenylylene)bis(azo))bis(5-amino-4-hydroxy)-2,7-naphthalene-disulfonic acid tetrasodium salt", "sodium 3,3'-(1E,1'E)-biphenyl-4,4'-diylbis(diazene-2,1-diyl)bis(5-amino-4-hydroxynaphthalene-2,7-disulfonate)", "tetrasodium 3,3'-[biphenyl-4,4'-diyldidiazene-2,1-diyl]bis(5-amino-4-hydroxynaphthalene-2,7-disulfonate)", "tetrasodium 5,5\\'-(1,1\\'-biphenyl-4,4\\'-diylbisazo)-bis-7-amino-6-hydroxy-naphthalene-1,4-disulphonate"]</t>
  </si>
  <si>
    <t>Compound(17449)</t>
  </si>
  <si>
    <t>C32H20N6Na4O14S4</t>
  </si>
  <si>
    <t>CI Direct Black 38</t>
  </si>
  <si>
    <t>disodium;4-amino-3-[[4-[4-[(2,4-diaminophenyl)diazenyl]phenyl]phenyl]diazenyl]-5-hydroxy-6-phenyldiazenylnaphthalene-2,7-disulfonate</t>
  </si>
  <si>
    <t>['Direct Black 38', 'Chlorazol Black E', 'Chlorazol black', '1937-37-7', 'C.I. Direct Black 38', 'Calcomine Black', 'Meta Black', 'Azo Black', 'Carbide Black E', 'Diazine Black E', 'Fenamin Black E', 'Fixanol Black E', 'Amanil Black GL', 'Amanil Black WD', 'Direct Black A', 'Direct Black CX', 'Direct Black E', 'Direct Black EW', 'Direct Black EX', 'Direct Black FR', 'Direct Black GW', 'Direct Black GX', 'Direct Black N', 'Direct Black RX', 'Direct Black SD', 'Direct Black WS', 'Direct Black Z', 'Formic Black C', 'Formic Black CW', 'Formic Black EA', 'Formic Black TG', 'Paper Black T', 'Atlantic Black C', 'Atlantic Black E', 'Bencidal Black E', 'Benzamil Black E', 'Benzanil Black E', 'Fibre Black VF', 'Paper Black BA', 'Apomine Black GK', 'Apomine Black GX', 'Azocard Black EW', 'Diazol Black 2V', 'Enianil Black CN', 'Erie Black B', 'Erie Black BF', 'Lurazol Black BA', 'Direct Black Meta', 'Erie Black GAC', 'Erie Black GXOO', 'Erie Black JET', 'Erie Black NUG', 'Erie Black RXOO', 'Formaline Black C', 'Nippon Deep Black', 'Direct Black BRN', 'Direct Black CXR', 'Direct Black GAC', 'Direct Black GXR', 'Direct Black JET', 'Formic Black MTG', 'Airedale Black ED', 'Atlantic Black BD', 'Atlantic Black EA', 'Atlantic Black GG', 'Atlantic Black SD', 'Belamine Black GX', 'Columbia Black EP', 'Columbus Black EP', 'Hispamin Black EF', 'Azomine Black EWO', 'Chloramine Black C', 'Chlorazol Black EA', 'Chlorazol Black EN', 'Direct Black methyl', 'Atlantic Black GAC', 'Black 2EMBL', 'Black 4EMBL', 'Coir Deep Black C', 'Diaphtamine Black V', 'Chloramine Black EC', 'Chloramine Black EX', 'Chloramine Black XO', 'Benzo Deep Black E', 'Calcomine Black EXL', 'Diacotton Deep Black', 'Atlantic Black GXCW', 'Atlantic Black GXOO', 'Brasilamina Black GN', 'Direct Deep Black E', 'Chloramine Black ERT', 'Chloramine Black EXR', 'ATul Direct Black E', 'Azine Deep Black EW', 'Erie Fibre Black VP', 'Ahco Direct Black GX', 'Direct Deep Black EW', 'Direct Deep Black EX', 'Nippon Deep Black GX', 'Benzo Leather Black E', 'Diphenyl Deep Black G', 'Diamine Deep Black EC', 'Chlorazol Burl Black E', 'Chlorazol Silk Black G', 'Chrome Leather Black E', 'Chrome Leather Black G', 'Coranil Direct Black F', 'Diamine Direct Black E', 'Diazine Direct Black E', 'Diazine Direct Black G', 'Direct Deep Black EAC', 'Erie Brilliant Black S', 'Mitsui Direct Black EX', 'Mitsui Direct Black GX', 'C.I. 30235', 'Pontamine Black E', 'Benzoform Black BCN-CF', 'Chrome Leather Black EC', 'Chrome Leather Black EM', 'Diacotton Deep Black RX', 'Interchem Direct Black Z', 'UNII-C7SV16SLWM', 'C7SV16SLWM', 'Chloramine Carbon Black S', 'Direct Deep Black EA-CF', 'Chloramine Carbon Black SJ', 'Chloramine Carbon Black SN', 'Direct Deep Black E Extra', 'CERN prima 38 [Czech]', 'Kayaku Direct Deep Black S', 'Aizen Direct Deep Black EH', 'Aizen Direct Deep Black GH', 'Aizen Direct Deep Black RH', 'Chlorazol Leather Black ENP', 'CI DIRECT BLACK 38', 'Kayaku Direct Deep Black EX', 'Kayaku Direct Deep Black GX', 'CCRIS 165', 'Direct Black Ndirect Black RX', 'Kayaku Direct Leather Black EX', 'HSDB 5031', 'Kayaku Direct Special Black AAX', 'Brilliant Chrome Leather Black H', 'Chrome Leather Brilliant Black ER', 'EM 38', 'NCI-C54557', 'Direct Black 38 (technical grade)', 'NSC 8679', 'EINECS 217-710-3', 'NSC 47756', 'Chlorazol Black E (Biological Stain)', 'C.I. Direct Black 38, disodium salt', 'Paramine Black B', 'Vondacel Black N', 'Pheno Black EP', 'Union Black EM', 'Tetrazo Deep Black G', "4-Amino-3-((4'-((2,4-diaminophenyl)azo)-4- biphenylyl)azo)-5-hydroxy-6-(phenylazo)-2,7- naphthalenedisulfonic acid, disodium salt", 'Direct Black 38, technical-grade [Benzidine-based dyes]', 'Chlorazole Black E', "2,7-Naphthalenedisulfonic acid, 4-amino-3-((4'-((2,4-diaminophenyl)azo)(1,1'-biphenyl)-4-yl)azo)-5-hydroxy-6-(phenylazo)-, disodium salt", "Disodium 4-amino-3-((4'-((2,4-diaminophenyl)azo)(1,1'-biphenyl)-4-azo))-5-hydroxy-6-(phenylazo)naphthalene-2,7-disulphonate", "Disodium 4-amino-3-((4'-((2,4-diaminophenyl)azo)(1,1'-biphenyl)-4-yl)azo)-5-hydroxy-6-(phenylazo)naphthalene-2,7-disulphonate", "disodium 4-amino-3-[(E)-{4'-[(E)-(2,4-diaminophenyl)diazenyl]biphenyl-4-yl}diazenyl]-5-hydroxy-6-[(E)-phenyldiazenyl]naphthalene-2,7-disulfonate", "Disodium 4-amino-3-[[4'-[(2,4-diaminophenyl)azo][1,1'-biphenyl]-4-yl]azo]-5-hydroxy-6-(phenylazo)naphthalene-2,7-disulphonate", 'azo-black', 'c hlorazol black e', 'nippon deep bla ck', 'tetrodirect black e', 'Direct  Black 38', 'CERN prima 38', "2,7-Naphthalenedisulfonic acid, 4-amino-3-(2-(4'-(2-(2,4-diaminophenyl)diazenyl)(1,1'-biphenyl)-4-yl)diazenyl)-5-hydroxy-6-(2-phenyldiazenyl)-, sodium salt (1:2)", 'DSSTox_CID_184', 'aizen dire ct deep black eh', 'DSSTox_RID_75421', 'DSSTox_GSID_20184', 'CHEMBL3182776', 'DTXSID7020184', 'SCHEMBL20561155', 'SCHEMBL20561156', 'C34H25N9O7S2.2Na', 'Direct Black 38, technical-grade', 'LS-52', 'Chlorazol Black (C.I. 30235)', 'Tox21_302342', 'Chlorazol Black E; C.I. 30235', 'AKOS000282999', 'AKOS015903069', 'C.I. direct blac k 38, disodium salt', 'NCGC00255239-01', 'T353', 'CAS-1937-37-7', 'C.I. Direct Black 38, disodium salt (8CI)', 'W-107713', 'Q27096169', "4-amino-3-[[4'-[(2,4-diaminophenyl)azo][1,1'-biphenyl]-4-yl]azo]-5-hydroxy-6-(phenylazo)-2,7-Naphthalenedisulfonic acid, disodium salt", "disodium 4-amino-3-({4'-[(2,4-diaminophenyl)diazenyl]biphenyl-4-yl}diazenyl)-5-hydroxy-6-[phenyldiazenyl]naphthalene-2,7-disulfonate", "Disodium 4-amino-3-[[4'-[(2,4-diaminophenyl)azo][1,1'-biphenyl]-4-yl]azo] - 5-hydroxy-6-(phenylazo)naphthalene-2,7-disulphonate", 'disodium;4-amino-3-[(E)-[4-[4-[(E)-(2,4-diaminophenyl)diazenyl]phenyl]phenyl]diazenyl]-5-hydroxy-6-[(E)-phenyldiazenyl]naphthalene-2,7-disulfonate', "sodium 4-amino-3-((E)-(4'-((E)-(2,4-diaminophenyl)diazenyl)biphenyl-4-yl)diazenyl)-5-hydroxy-6-((E)-phenyldiazenyl)naphthalene-2,7-disulfonate"]</t>
  </si>
  <si>
    <t>Compound(5284349)</t>
  </si>
  <si>
    <t>C34H25N9Na2O7S2</t>
  </si>
  <si>
    <t>CI Direct Brown 95</t>
  </si>
  <si>
    <t>CI Disperse Yellow 3</t>
  </si>
  <si>
    <t>N-[4-[(2-hydroxy-5-methylphenyl)diazenyl]phenyl]acetamide</t>
  </si>
  <si>
    <t>['Disperse yellow 3', '2832-40-8', 'C.I. Disperse Yellow 3', 'Disperse yellow G', 'Estone yellow gn', 'Amacel Yellow G', 'Fenacet yellow G', 'Kayaset yellow G', 'Palanil yellow G', 'Reliton yellow C', 'Serisol fast yellow gd', 'Setacyl yellow G', 'Yellow reliton G', 'Yellow Z', 'Eastone yellow gn', 'Palacet yellow gn', 'Resiren yellow tg', 'Artisil Yellow G', 'Celliton yellow G', 'Disperse yellow Z', 'Durgacet yellow G', 'Genacron yellow G', 'Hisperse yellow G', 'Perliton yellow G', 'Vonteryl yellow G', 'Vonteryl yellow R', 'Celutate yellow gh', 'Cibacet yellow gba', 'Seriplas yellow gd', 'Synten yellow 2G', 'Synton yellow 2G', 'Cibacet yellow 2gc', 'Cibacete yellow gba', 'Novalon yellow 2gn', 'Samaron yellow pa3', 'Setacyl yellow 2gn', 'Silotras yellow tsg', 'Terasil yellow 2gc', 'Calcosyn Yellow GC', 'Durosperse yellow G', 'Safaritone yellow G', 'Ostacet yellow P2G', 'Acetamine Yellow CG', 'Artisil Yellow 2GN', 'Calcosyn Yellow GCN', 'Cilla fast yellow G', 'Dispersion Yellow 3', 'Intraperse yellow gba', 'Microsetile yellow gr', 'Pamacel yellow G-3', '4-(2-Hydroxy-5-methylphenylazo)acetanilide', 'Dispersol yellow A-G', 'Fenacet fast yellow G', 'Kayalon fast yellow G', 'Miketon fast yellow G', 'Nyloquinone yellow 4J', 'Setacyl yellow P-2gl', 'Acetate Fast Yellow G', 'Nacelan fast yellow cg', 'Disperse fast yellow G', 'Hispacet fast yellow G', 'Supracet fast yellow G', "4'-((6-Hydroxy-m-tolyl)azo)acetanilide", 'Celliton Fast Yellow G', 'Celliton fast yellow ga', 'Dispersol fast yellow G', 'Artisil Direct Yellow G', 'Terasil yellow gba extra', 'Tertranese yellow N-2gl', 'Zlut disperzni 3', 'Acetoquinone Light Yellow', 'Serinyl hosiery yellow gd', "4-Acetamido-2'-hydroxy-5'-methylazobenzene", 'Diacelliton fast yellow G', 'Kca acetate fast yellow g', 'Interchem acetate yellow G', 'Celliton fast yellow ga-cf', 'C.I. Solvent Yellow 77', 'Dispersol printing yellow G', 'Cellutate Yellow GH', 'Interchem disperse yellow gh', 'Intrasperse yellow gba extra', 'Tuladisperse fast yellow 2G', 'Nyloquinone light yellow 4jl', 'Celliton Discharge Yellow GL', 'Dispersive Yellow 3T', 'Esteroquinone light yellow 4jl', 'Zlut rozpoustedlova 77', 'Acetoquinone Light Yellow 4JLZ', 'Atrisil Direct Yellow G', 'CI Solvent Yellow 77', 'CI Solvent Yellow 92', 'CI Solvent Yellow 99', 'Altco Sperse Fast Yellow GFN New', 'NCI-C53781', 'Zlut disperzni 3 [Czech]', 'C.I. 11855', 'N-[4-[(2-hydroxy-5-methylphenyl)azo]phenyl]acetamide', 'CI DISPERSE YELLOW 3', 'Interchem Hisperse Yellow GH', 'CCRIS 169', 'Acetamide, N-[4-[(2-hydroxy-5-methylphenyl)azo]phenyl]-', 'CHEBI:53617', 'CI Solvent Yellow 14 Cytembena', 'Zlut rozpoustedlova 77 [Czech]', 'HSDB 4096', 'UNII-0890872E2E', 'EINECS 220-600-8', 'C.I. 3/11855', 'N-{4-[(E)-(2-hydroxy-5-methylphenyl)diazenyl]phenyl}acetamide', 'BRN 0753492', 'CI 11855', 'N-(4-((2-Hydroxy-5-methylphenyl)azo)phenyl)acetamide', 'Acetamide, N-(4-((2-hydroxy-5-methylphenyl)azo)phenyl)-', 'Disperse yellow 3,CI 11855', 'Acetamide, N-(4((2-hydroxy-5-methylphenyl)azo)phenyl)-', 'N-(4-((2-Hydroxy-5-methylphenyl)diazenyl)phenyl)acetamide', '0890872E2E', 'W-109827', 'Acetamide, N-[4-[2-(2-hydroxy-5-methylphenyl)diazenyl]phenyl]-', 'N-[4-[2-(2-hydroxy-5-methylphenyl)diazenyl]phenyl]-acetamide', 'C.I.Disperse Yellow 3', 'N-[4-[(E)-(2-hydroxy-5-methylphenyl)diazenyl]phenyl]acetamide', 'Acetamide, N-(4-(2-(2-hydroxy-5-methylphenyl)diazenyl)phenyl)-', 'Fast Yellow GD', 'relito n yellow c', 'durga cet yellow g', 'hisperse yell ow g', 'solvent yellow 77', 'D isperse Yellow Z', 'samaron yello w pa3', 'Lurafix Yellow 142', 'Transetile Yellow P-GR', 'celliton fast yel low ga', 'Cibacet Yellow 2GC150', 'DSSTox_CID_1450', 'Epitope ID:116060', 'DSSTox_GSID_21450', 'esterquinone light yellow 4jl', 'SCHEMBL108928', 'SCHEMBL2867995', 'CHEMBL1590721', 'DTXSID6021450', 'CTK8E7059', 'al tco sperse fast yellow gfn new', 'Tox21_304042', 'MFCD00002377', 'AKOS015903469', 'AKOS024319575', 'AKOS025295054', 'ZINC100048680', 'ZINC100858965', 'ZINC254824960', 'ACM2832408', 'Disperse Yellow 3, analytical standard', 'Disperse Yellow 3, Dye content 30 %', 'LS-1124', 'MCULE-8616139454', 'KS-0000004S', 'N-[4-[(2E)-2-(3-methyl-6-oxocyclohexa-2,4-dien-1-ylidene)hydrazinyl]phenyl]acetamide', 'NCGC00164349-01', 'NCGC00357249-01', 'T575', "Acetanilide, 4'-(6-hydroxy-m-tolylazo)-", 'CAS-2832-40-8', "4'-(2-Hydroxy-5-methylphenylazo)acetanilide", 'NS00020069', "4'-[(2-Hydroxy-5-methylphenyl)azo]acetanilide", 'C19412', 'N-[4-[(2-OH-5-methylphenyl)azo]phenyl]acetamide', 'N-[4-(2-Hydroxy-5-methylphenylazo)phenyl]acetamide', 'Q27032530', 'N-{4-(2-hydroxy-5-methylphenyl)diazenyl]phenyl}acetamide', 'N-(4-[2-(2-Hydroxy-5-methylphenyl)diazenyl]phenyl)acetamide']</t>
  </si>
  <si>
    <t>Compound(17811)</t>
  </si>
  <si>
    <t>C15H15N3O2</t>
  </si>
  <si>
    <t>CI Food Red 5</t>
  </si>
  <si>
    <t>disodium;4-[(2,4-dimethylphenyl)diazenyl]-3-hydroxynaphthalene-2,7-disulfonate</t>
  </si>
  <si>
    <t>['Acid Red 26', '3761-53-3', 'Ponceau 2R', 'Xylidine ponceau 2R', 'Xylidine Ponceau', 'Ponceau xylidine', 'Ponceau de Xylidine', 'Ponceau R', 'Ponceau Red R', 'C.I. Acid Red 26', 'Xylidine Red', 'CI F Food Red 5', 'PONCEAU MX', 'C.I. Food Red 5', 'Ponceau G', 'Ponceaux 3R', 'Brilliant ponceau G', 'D and C Red', 'Lake ponceau', 'Ponceau G (VAN)', 'Scarlet R (VAN)', 'Tetracid Ponceau 2R', 'Ponceau fr', 'Ponceau gr', 'Ponceau nr', 'Ponceau rg', 'Acid Scarlet', 'Ponceau Red', 'Calcocid 2ril', 'Ponceau J', 'Ponceaux MX', 'Scarlet R', 'Kiton Ponceau R', 'Ponceau RR', 'Ponceau RS', 'Scarlet 2rl', 'Acetacid Red J', 'Acid Ponceau R', 'Java ponceau 2r', 'Lake Scarlet R', 'Ponceau BNA', 'Ponceau PXM', 'Scarlet RRA', 'Acidal Ponceau G', 'Edicol ponceau rs', 'Neklacid Red RR', 'Ponceau 2Re', 'Acid Scarlet 2B', 'Acid Scarlet 2R', 'Aizen Ponceau RH', 'Scarlet 2R', 'Acilan ponceau rrl', 'Pigment Ponceau R', 'Ponceau 2RL', 'Ponceau 2RX', 'Scarlet 2RB', 'Amacid scarlet 2r', 'C.I. 16150', 'Hispacid ponceau R', 'New Ponceau 4R', 'Paper Red HRR', 'Red For Lakes J', 'Kiton Ponceau 2R', 'Acid Ponceau 2RL', 'Acid Scarlet 2BN', 'Acid Scarlet 2RL', 'Acid Scarlet 2RN', 'Comacid scarlet 2r', 'Fenazo Scarlet 2R', 'Hexacol Ponceau MX', 'Kiton Scarlet 2RC', 'Red R', 'D&amp;C Red No. 5', 'Hexacol Ponceau 2R', 'Hidacid Scarlet 2R', 'Lake Scarlet 2RBN', 'Acid Ponceau Special', 'Scarlet 2RL Bluish', 'Schultz no. 95', 'Calcocid Scarlet 2R', 'Red No. 503', 'Xylidine Ponceau 3rs', 'Calcolake Scarlet 2R', 'Certicol Ponceau MXS', 'Naphthalene Scarlet R', 'Tertracid Ponceau 2R', 'Calcocid scarlet 2ril', 'Cerven kysela 26 [Czech]', 'Red 101', 'Acid Leather Red KPR', 'CCRIS 164', 'Pas kwasowy 2 RL [Polish]', '1695 Red', 'Colacid Ponceau Special', 'Naphthazine Scarlet 2R', 'Acid Leather Red P2R', 'Ahcocid Fast Scarlet R', 'Edicol Supra Ponceau R', 'UNII-U3J3635T4U', 'Amacid Lake Scarlet 2R', 'Food Red No. 101', 'Cerven potravinarska 5 [Czech]', 'Acid Leather Scarlet IRW', 'D and C Red No. 5', 'HSDB 2947', 'Ponceau RR Type 8019', 'Naphthalene Lake Scarlet R', 'Acid Scarlet 2R For Lakes', 'Ponceau 2R Extra A Export', 'EINECS 223-178-3', 'NSC 10458', 'Ponceau R (Biological stain)', 'Ponceau 2R (Biological stain)', 'C.I. 79', 'CI 16150', 'Acid Scarlet 2R FOR Lakes Bluish', 'Ponceau Xylidine (Biological stain)', 'C.I. Acid Red 26, Disodium Salt', 'U3J3635T4U', 'Disodium 1-(2,4-dimethylphenylazo)-2-hydroxynaphthalene-3,6-disulphonate', 'disodium 4-[2-(2,4-dimethylphenyl)diazen-1-yl]-3-hydroxynaphthalene-2,7-disulfonate', 'Xylidine Ponceau 2R (C.l. 16150)', '1-Xylylazo-2-naphthol-3,6-disulfonic acid, disodium salt', '1-Xylylazo-2-naphthol-3,6-disulphonic acid, disodium salt', '1-(2,4-Xylylazo)-2-naphthol-3,6-disulfonic acid, disodium salt', '1-(2,4-Xylylazo)-2-naphthol-3,6-disulphonic acid, disodium salt', 'Disodium salt of 1-(2,4-xylylazo)-2-naphthol-3,6-disulfonic acid', 'Disodium salt of 1-(2,4-xylylazo)-2-naphthol-3,6-disulphonic acid', 'Disodium (2,4-dimethylphenylazo)-2-hydroxynaphthalene-3,6-disulfonate', 'Disodium (2,4-dimethylphenylazo)-2-hydroxynaphthalene-3,6-disulphonate', '3-Hydroxy-4-(2,4-xylylazo)-2,7-naphthalenedisulfonic acid, disodium salt', '2,7-Naphthalenedisulfonic acid, 4-((2,4-dimethylphenyl)azo)-3-hydroxy-, disodium salt', '4-((2,4-Dimethylphenyl)azo)-3-hydroxy-2,7-naphthalenedisulfonic acid, disodium salt', '4-((2,4-Dimethylphenyl)azo)-3-hydroxy-2,7-naphthalenedisulphonic acid, disodium salt', '2,7-Naphthalenedisulfonic acid, 3-hydroxy-4-(2,4-xylylazo)-, disodium salt', 'disodium 4-[(2,4-dimethylphenyl)diazenyl]-3-hydroxynaphthalene-2,7-disulfonate', 'Cerven kysela 26', 'Pas kwasowy 2 RL', '1-(2,4-Xylylazo)-2-naphthol-3,6-disulfonic acid disodium salt', 'Cerven potravinarska 5', 'po nceau j', 'disodium 4-[(Z)-(2,4-dimethylphenyl)diazenyl]-3-hydroxy-2,7-naphthalenedisulfonate', 'c alcocid 2RIL', 'scarlet  2RB', '2,7-Naphthalenedisulfonic acid, 4-(2-(2,4-dimethylphenyl)diazenyl)-3-hydroxy-, sodium salt (1:2)', '2,7-Naphthalenedisulfonic acid, 4-[2-(2,4-dimethylphenyl)diazenyl]-3-hydroxy-, sodium salt (1:2)', 'Ponceau 2 R', 'lake scarle t 2RBN', 'acid le ather red p2R', 'Ponceau G, R, 2R', 'food red n o. 101', 'acid scarlet 2R for lake s', 'SCHEMBL6846278', 'CHEBI:82369', '6430AF', 'MFCD00003897', 'Ponceau Xylidine, analytical standard', '3-Hydroxy-4-(2,4-xylylazo)-2,7-naphthalenedisulphonic acid, disodium salt', '3-Hydroxy-4-(2,4-xylylazo)-3,7-naphthalenedisulfonic acid, disodium salt', '3-Hydroxy-4-(2,4-xylylazo)-3,7-naphthalenedisulphonic acid, disodium salt', 'AKOS000283082', 'AKOS015903398', 'AKOS024319210', 'LS-1245', 'NE18619', 'Ponceau Xylidine, Dye content &gt;=60 %', 'C.I. Acid Red 26, disodium salt (8CI)', 'P0590', 'EN300-60349', '1-xylylazo-2-naphthol-3,6-disulfonic acid disodium salt', '1-(2,4-xylylazo)-2-naphthol-3,6-disulfonic acid disodium  salt', 'disodium 1- (2,4-dimethylphenylazo)-2-hydroxynaphthalene-3,6-disulfonate', 'disodium 1-(2,4-dimethylphenylazo)-2-hydroxynaphthalene-3,6-disulfonate', 'Disodium 3-hydroxy-4-(2,4-dimethylphenylazo)-2,7-naphthalenesulfonate', '3-Hydroxy-4-(2,4-dimethylphenylazo)-2,7-naphthalenedisulfonic acid disodium salt', '4-((2,4-dimethylphenyl)azo)-3-hydroxy-2,7-naphthalenedisulfonic acid, disodium  salt', 'disodium;4-[(E)-(2,4-dimethylphenyl)diazenyl]-3-hydroxynaphthalene-2,7-disulfonate', 'sodium (E)-4-((2,4-dimethylphenyl)diazenyl)-3-hydroxynaphthalene-2,7-disulfonate']</t>
  </si>
  <si>
    <t>Compound(2724065)</t>
  </si>
  <si>
    <t>C18H14N2Na2O7S2</t>
  </si>
  <si>
    <t>(4S,7S)-7-[[(2S)-1-ethoxy-1-oxo-4-phenylbutan-2-yl]amino]-6-oxo-1,2,3,4,7,8,9,10-octahydropyridazino[1,2-a]diazepine-4-carboxylic acid;hydrate</t>
  </si>
  <si>
    <t>['CILAZAPRIL MONOHYDRATE', '92077-78-6', 'Justor', 'Cilazapril (monohydrate)', 'Ro 31-2848 monohydrate', 'UNII-19KW7PI29F', 'Cilazapril [USAN:INN:BAN:JAN]', '19KW7PI29F', 'Inhibace (TN)', '(1S,9S)-9-(((S)-1-Carboxy-3-phenylpropyl)amino)octahydro-10-oxo-6H-pyridazino(1,2-a)(1,2)diazepine-1-carboxylic acid 9-ethyl ester monohydrate', '(1S cis) 9-Aminooctahydro-10-oxo-6Hpyridazino[1,2-a][1,2]diazepine-1-carboxylic acid, t-butyl ester', '6H-Pyridazino(1,2-a)(1,2)diazepine-1-carboxylic acid, 9-((1-(ethoxycarbonyl)-3-phenylpropyl)amino)octahydro-10-oxo-, monohydrate, (1S-(1alpha,9alpha(R*)))-', '6H-Pyridazino(1,2-a)(1,2)diazepine-1-carboxylic acid, octahydro-9-((1-(ethoxycarbonyl)-3-phenylpropyl)amino)-10-oxo-, hydrate, (1S-(1-alpha,9-alpha(R*)))-', 'C22H31N3O5', 'Cilazapril monohydrate (Inhibace)', 'cilazapril.H2O', 'Cilazapril hydrate', 'C22H31N3O5.H2O', 'Cilazapril (USAN)', 'PubChem19097', 'Ro 31-2848', 'Cilazapril hydrate (JP17)', 'SCHEMBL24961', 'HY-A0043A', 'DTXSID00238846', 'CHEBI:145568', '2321AH', 's2081', 'AKOS015895976', 'CS-2448', 'Ro-31-2848', 'LS-129694', 'Ro 31-2848/006', 'D01069', 'Q27252108', '(1S cis) 9-Aminooctahydro-10-oxo-6H-pyridazino[1,2-a][1,2]diazepine-1-carboxylic acid tert-butyl ester', '(1S,9S)-9-((S)-1-ethoxy-1-oxo-4-phenylbutan-2-ylamino)-10-oxooctahydro-1H-pyridazino[1,2-a][1,2]diazepine-1-carboxylic acid hydrate', '(1S,9S)-9-{[(2S)-1-ethoxy-1-oxo-4-phenylbutan-2-yl]amino}-10-oxooctahydro-6H-pyridazino[1,2-a][1,2]diazepine-1-carboxylic acid hydrate', '(1S,9S)-9-{[(2S)-1-ethoxy-1-oxo-4-phenylbutan-2-yl]amino}-10-oxooctahydro-6H-pyridazino[1,2-a][1,2]diazepine-1-carboxylic acid--water (1/1)', '(4S,7S)-7-[[(2S)-1-ethoxy-1-oxo-4-phenylbutan-2-yl]amino]-6-oxo-1,2,3,4,7,8,9,10-octahydropyridazino[1,2-a]diazepine-4-carboxylic acid;hydrate', '6H-Pyridazino[1,2-a][1,2]diazepine-1-carboxylic acid,9-[[(1S)-1-(ethoxycarbonyl)-3-phenylpropyl]amino]octahydro-10-oxo-,monohydrate, (1S,9S)-']</t>
  </si>
  <si>
    <t>Compound(56329)</t>
  </si>
  <si>
    <t>C22H33N3O6</t>
  </si>
  <si>
    <t>ethyl (Z)-2-chloro-3-[2-chloro-5-(1,3-dioxo-4,5,6,7-tetrahydroisoindol-2-yl)phenyl]prop-2-enoate</t>
  </si>
  <si>
    <t>['Cinidon-ethyl', '142891-20-1', 'cinidon ethyl', 'UNII-KXK8669936', 'KXK8669936', 'ethyl (2Z)-2-chloro-3-[2-chloro-5-(1,3-dioxo-1,3,4,5,6,7-hexahydro-2H-isoindol-2-yl)phenyl]acrylate', 'ethyl (2Z)-2-chloro-3-[2-chloro-5-(1,3-dioxo-1,3,4,5,6,7-hexahydro-2H-isoindol-2-yl)phenyl]prop-2-enoate', 'ethyl (Z)-2-chloro-3-[2-chloro-5-(1,3-dioxo-4,5,6,7-tetrahydroisoindol-2-yl)phenyl]prop-2-enoate', 'Cinidon-ethyl [ISO]', 'SCHEMBL39177', 'DTXSID1036753', 'CHEBI:63927', '2-Propenoic acid, 2-chloro-3-[2-chloro-5-(1,3,4,5,6,7-hexahydro-1,3-dioxo-2H-isoindol-2-yl)phenyl]-, ethyl ester, (2Z)-;cinidon ethyl (ISO)', 'ZINC2384334', '132057-06-8', 'Cinidon-ethyl, PESTANAL(R), analytical standard', 'J-007714', 'Q2392858', 'alpha,2-Dichloro-5-(1,3-dioxo-2,3,4,5,6,7-hexahydro-1H-isoindole-2-yl)benzeneacrylic acid ethyl ester', 'ethyl (2Z)-2-chloro-3-(2-chloro-5-(1,3,4,5,6,7-hexahydro-1,3-dioxo-2H-isoindol-2-yl)phenyl)-2-propenoate']</t>
  </si>
  <si>
    <t>Compound(5851439)</t>
  </si>
  <si>
    <t>C19H17Cl2NO4</t>
  </si>
  <si>
    <t>(E)-3-phenylprop-2-enal</t>
  </si>
  <si>
    <t>['cinnamaldehyde', 'trans-Cinnamaldehyde', '104-55-2', '14371-10-9', 'Cinnamic aldehyde', '(E)-Cinnamaldehyde', '3-Phenylacrylaldehyde', 'Cinnamal', '(2E)-3-phenylprop-2-enal', '3-Phenylpropenal', 'Zimtaldehyde', 'trans-Cinnamic aldehyde', 'Cinnamylaldehyde', '(E)-3-Phenylpropenal', 'Phenylacrolein', '(E)-3-Phenyl-2-propenal', 'Cassia aldehyde', '3-Phenylacrolein', 'Cinnemaldehyde', '(E)-3-phenylprop-2-enal', '2-propenal, 3-phenyl-, (2E)-', 'Cinnamyl aldehyde', 'Cinnamaldehyde, (E)-', 'trans-Cinnamylaldehyde', 'Benzylideneacetaldehyde', '3-Phenyl-2-propenal', 'beta-Phenylcrolein', '3-Phenyl-2-propenaldehyde', '2-Propenal, 3-phenyl-', 'Acrolein, 3-phenyl-', '3-Fenylpropenal', 'Abion CA', '3-Phenyl-2-propen-1-al', '(E)-Cinnamic aldehyde', 'Caswell No. 221A', '3-phenylprop-2-enal', 'FEMA Number 2286', '3-Fenylpropenal [Czech]', 'Aldehyd skoricovy [Czech]', 'NCI-C56111', 'UNII-SR60A3XG0F', 'trans-3-Phenyl-2-propenal', 'Cinnamic aldehyde (natural)', '(2E)-3-phenylacrylaldehyde', 'Hefty Dog and Cat Repellent', 'FEMA No. 2286', 'CCRIS 3189', 'CCRIS 6222', 'HSDB 209', 'CHEBI:16731', 'trans-3-Phenylacrolein', '2-Propenal, 3-phenyl-, (E)-', '(E)-3-Phenyl-propenal', 'EINECS 203-213-9', 'MFCD00007000', 'NSC 16935', 'EPA Pesticide Chemical Code 040506', 'trans-Cinnamaldehyde, 99%', 'BRN 0605737', 'BRN 1071571', 'SR60A3XG0F', '(3E)-3-phenylprop-2-enal', '(2E)-3-Phenyl-2-propenal', 'AI3-00473', 'AI3-33275', 'CHEMBL293492', 'Aldehyd skoricovy', 'NCGC00091512-04', 'DSSTox_CID_4834', 'WLN: VH1U1R', 'DSSTox_RID_77548', 'DSSTox_GSID_24834', 'cis-Cinnamic aldehyde', '(Z)-Cinnamylaldehyde', 'beta-phenylacrolein', 'CAS-14371-10-9', 'Cinnamaldehyde [NF]', 'Cinnamaldehyde;', 'cinnamic aldehyde, (E)-isomer', 'e-cinnamaldehyde', 'transcinnamaldehyde', 'trans cinnamaldehyde', 'Nat. Cinnamaldehyde', 'CNMA', '(trans)-cinnamaldehyde', 'trans cinnamic aldehyde', 'Cinnamaldehyde, trans-', 'Cinnamaldehyde, Natural', 'trans-3-phenyl-propenal', '(E)-phenylvinyl aldehyde', '(E)-3-phenylacrylaldehyde', 'bmse010257', 'Epitope ID:150921', 'EC 203-213-9', 'trans-3-Phenylacrylaldehyde', 'Trans-Cinnamaldehyde ,(S)', 'SCHEMBL3441', '(E)-3-phenyl-acrylaldehyde', '3-Phenyl-(Z)-2-Propenal', 'trans-Cinnamaldehyde; trans-3-Phenylacrylaldehyde', 'Cinnamaldehyde (trans), neat', '2-07-00-00273 (Beilstein Handbook Reference)', '4-07-00-00984 (Beilstein Handbook Reference)', 'MLS002454394', 'CINNAMALDEHYDE (TRANS)', 'trans-Cinnamaldehyde, &gt;=99%', '2-propenal,3-phenyl-,(E)-', 'GTPL2423', '(E)-cinnamaldehyde (incorrect)', 'NATURAL CINNAMIC ALDEHYDE', 'DTXSID6024834', 'trans-cinnamaldehyde (incorrect)', 'CHEBI:142921', 'HMS2268O08', 'HY-N0609', 'NSC16935', 'NSC40346', 'ZINC1532777', 'Tox21_111144', 'Tox21_201804', 'Tox21_303271', 'BBL010378', 'BDBM50203065', 'LS-378', 'LS-850', 'NSC-16935', 'NSC-40346', 's3763', 'SBB028652', 'STK397371', 'AKOS000119171', 'Cinnamaldehyde, natural, &gt;=95%, FG', 'ACN-035400', 'CCG-266119', 'DB14184', 'Cinnamaldehyde 100 microg/mL in Toluene', 'NCGC00091512-01', 'NCGC00091512-02', 'NCGC00091512-05', 'NCGC00091512-06', 'NCGC00091512-07', 'NCGC00257017-01', 'NCGC00259353-01', 'trans-Cinnamaldehyde, analytical standard', 'AS-12078', 'M181', 'SC-19143', 'SMR000112334', 'trans-Cinnamaldehyde, &gt;=98%, FCC, FG', '2-Propenal, 3-phenyl-, (E)- (9CI)', '(E)-3-phenyl-2-propenal(E)-cinnamaldehyde', 'DB-003796', 'AM20060482', 'CS-0009609', 'N1482', 'NS00003408', 'ST50213393', 'A14480', 'C00903', 'Cinnamaldehyde, Vetec(TM) reagent grade, 93%', '58840-EP2305682A1', '58840-EP2308879A1', 'A801001', 'Q204036', 'W-205597', 'B99DD6C7-1C6D-4FE3-A172-54BFDB987683', 'Cinnamaldehyde, United States Pharmacopeia (USP) Reference Standard', 'TRANS-CINNAMALDEHYDE (SEE ALSO CINNAMALDEHYDE (104-55-2))', 'CINNAMALDEHYDE (SEE ALSO TRANS-CINNAMALDEHYDE (14371-10-9))', '9Y6']</t>
  </si>
  <si>
    <t>Compound(637511)</t>
  </si>
  <si>
    <t>1-(4,6-dimethoxy-1,3,5-triazin-2-yl)-3-[2-(2-methoxyethoxy)phenyl]sulfonylurea</t>
  </si>
  <si>
    <t>['Cinosulfuron', '94593-91-6', 'Cinosulfuron [ISO]', 'UNII-53HYL452SB', 'CGA 142464', '53HYL452SB', '1-(4,6-Dimethoxy-1,3,5-triazin-2-yl)-3-(2-(2-methoxyethoxy)phenylsulfonyl)urea (IUPAC)', 'Benzenesulfonamide, N-(((4,6-dimethoxy-1,3,5-triazin-2-yl)amino)carbonyl)-2-(2-methoxyethoxy)-', 'Benzenesulfonamide, N-[[(4,6-dimethoxy-1,3,5-triazin-2-yl)amino]carbonyl]-2-(2-methoxyethoxy)-', 'C15H19N5O7S', '1-(4,6-dimethoxy-1,3,5-triazin-2-yl)-3-[2-(2-methoxyethoxy)phenyl]sulfonylurea', 'SCHEMBL54807', 'DTXSID5058220', 'CHEBI:81982', 'ZINC2243725', 'AKOS015900059', 'AC-18027', 'AK552918', 'CC-25812', 'LS-31521', 'O659', 'DB-057511', 'FT-0602948', 'NS00008335', 'C18818', 'Cinosulfuron, PESTANAL(R), analytical standard', '593C916', 'C-21951', 'Q2972826', 'N-(4,6-dimethoxy-1,3,5-triazin-2-ylcarbamoyl)-2-(2-methoxyethoxy)benzenesulfonamide']</t>
  </si>
  <si>
    <t>Compound(92420)</t>
  </si>
  <si>
    <t>C15H19N5O7S</t>
  </si>
  <si>
    <t>ciprofloxacin</t>
  </si>
  <si>
    <t>1-cyclopropyl-6-fluoro-4-oxo-7-piperazin-1-ylquinoline-3-carboxylic acid</t>
  </si>
  <si>
    <t>['ciprofloxacin', '85721-33-1', 'Ciprofloxacine', 'Ciprobay', 'Ciproxan', 'Cipro', 'Ciprofloxacina', 'Cipro IV', 'Ciprofloxacino', 'Ciprofloxacinum', 'Bacquinor', 'Bernoflox', 'Cifloxin', 'Ciprinol', 'Ciprocinol', 'Ciprodar', 'Ciproflox', 'Cipromycin', 'Ciproquinol', 'Ciproxina', 'Septicide', 'Cipro XR', '1-Cyclopropyl-6-fluoro-1,4-dihydro-4-oxo-7-(1-piperazinyl)-3-quinolinecarboxylic acid', '1-cyclopropyl-6-fluoro-4-oxo-7-(piperazin-1-yl)-1,4-dihydroquinoline-3-carboxylic acid', 'Cetraxal', 'Ciloxan', 'BAY q 3939', 'Ciprecu', 'Ciprogis', 'Ciprolin', 'Ciprolon', 'Ciprowin', 'Ciproxine', 'Citopcin', 'Corsacin', 'Fimoflox', 'Ipiflox', 'Italnik', 'Probiox', 'Proflaxin', 'Proflox', 'Quinolid', 'Quintor', 'Roxytal', 'Spitacin', 'Superocin', 'Zumaflox', 'Baflox', 'Ciplus', 'Ciriax', 'Rancif', 'Cilab', 'Cixan', 'Cycin', 'Loxan', 'Unex', 'Sophixin Ofteno', 'Ciprobay Uro', 'Alcon Cilox', 'Bi-Cipro', 'CPFX', 'Proksi 250', 'Proksi 500', '1-Cyclopropyl-6-fluoro-4-oxo-7-(1-piperazinyl)-1,4-dihydro-3-quinolinecarboxylic acid', 'UNII-5E8K9I0O4U', 'Ciprofloxacine [INN-French]', 'Ciprofloxacinum [INN-Latin]', 'Ciprofloxacino [INN-Spanish]', 'Ciproxin', 'Ciflox', 'BAYQ3939', 'CCRIS 5241', 'Bay-09867', 'C17H18FN3O3', 'Ciprofloxacin (Cipro)', 'HSDB 6987', 'CHEMBL8', 'Bay o 9867', '1-CYCLOPROPYL-6-FLUORO-4-OXO-7-PIPERAZIN-1-YL-1,4-DIHYDROQUINOLINE-3-CARBOXYLIC ACID', '3-Quinolinecarboxylic acid, 1-cyclopropyl-6-fluoro-1,4-dihydro-4-oxo-7-(1-piperazinyl)-', 'CIPRO IN DEXTROSE 5% IN PLASTIC CONTAINER', 'BRN 3568352', '1-cyclopropyl-6-fluoro-4-oxo-7-piperazin-1-ylquinoline-3-carboxylic acid', '5E8K9I0O4U', 'CIPRO IN SODIUM CHLORIDE 0.9% IN PLASTIC CONTAINER', 'CHEBI:100241', 'Velmonit', 'Ciprofloxacin monohydrochloride', 'Ciprofloxacin, 98%', 'Otiprio', 'Cipro (TN)', '3-Quinolinecarboxylic acid, 1,4-dihydro-1-cyclopropyl-6-fluoro-4-oxo-7-(1-piperazinyl)-', 'Eni', 'Cyprobay', 'AuriPro', '1-cyclopropyl-6-fluoro-4-oxo-7-piperazinylhydroquinoline-3-carboxylic acid', '1-Cyclopropyl-6-fluoro-4-oxo-7-piperazin-1-yl-1,4-dihydro-quinoline-3-carboxylic acid', '1-cyclopropyl-6-fluoro-7-hexahydro-1-pyrazinyl-4-oxo-1,4-dihydro-3-quinolinecarboxylic acid', 'BAY-o 9867', '1-Cyclopropyl-6-fluoro-7-(4-methyl-piperazin-1-yl)-4-oxo-1,4-dihydro-quinoline-3-carboxylic acid', 'SMR000471901', 'BAY-O-9867', 'CIPROFLOXACIN EXTENDED RELEASE', 'NSC620634', 'SR-05000001863', 'NCGC00016959-01', 'CAS-93107-08-5', 'ciproflaxin', 'rubrum', 'Ciprine', 'Linhaliq', 'Bay 09867', 'Ciprofloxacin [USAN:INN:BAN]', 'Ciprofloxacin,(S)', 'Ciprofloxacin [USAN:USP:INN:BAN]', 'Spectrum_000162', 'Ciprofloxacin protomer I', '3-Quinolinecarboxylic acid, 1-cyclopropyl-6-fluoro-1,4-dihydro-4-oxo-7-(1-piperazinyl)-, hydrochloride', 'Ciprofloxacin Hydrchloride', 'Ciprofloxacin protomer II', 'Prestwick0_000113', 'Prestwick1_000113', 'Prestwick2_000113', 'Prestwick3_000113', 'Spectrum2_001567', 'Spectrum3_001872', 'Spectrum4_000874', 'Spectrum5_001089', 'Cipro (*Hydrochloride*)', 'CBMicro_048498', 'Ciloxan (*Hydrochloride*)', 'SCHEMBL2900', 'Oprea1_008239', 'Oprea1_313572', 'BSPBio_000126', 'BSPBio_003344', 'KBioGR_001567', 'KBioSS_000642', 'ANHYDROUS CIPROFLOXACIN', 'MLS001336035', 'MLS006011837', 'BIDD:GT0205', 'DivK1c_000095', 'SPECTRUM1503614', 'SPBio_001474', 'SPBio_002065', 'ARONIS020379', 'BPBio1_000140', 'DTXSID8022824', 'BAY-O9867', 'BDBM21690', 'CTK3E8144', 'GTPL10902', 'HMS500E17', 'KBio1_000095', 'KBio2_000642', 'KBio2_003210', 'KBio2_005778', 'KBio3_002846', 'Linhaliq [Liposomal Formulation]', 'ZINC20220', 'BAY O 9867 FREE BASE', 'BAY-O-9867 FREE BASE', 'Ciprofloxacin (JP17/USP/INN)', 'NINDS_000095', 'Bay o 9867 (*Hydrochloride*)', 'BAY-Q-3939', 'HMS1922E18', 'HMS2090O07', 'HMS2093I03', 'Pharmakon1600-01503614', 'ALBB-015909', 'BCP28586', 'HY-B0356', 'KS-000002BQ', 'RKL10073', 'BBL005612', 'CCG-39345', 'Ciprofloxacin, &gt;=98.0% (HPLC)', 'MFCD00185755', 'NSC758467', 's2027', 'SBB012554', 'STK021082', '1-cyclopropyl-6-fluoro-4-oxo-7-piperazin-1-yl-quinoline-3-carboxylic acid', 'AKOS000269653', 'AC-7613', 'CS-2410', 'DB00537', 'KS-5006', 'MCULE-8631780654', 'NSC-758467', 'IDI1_000095', 'KS-00004C43', 'SMP1_000125', 'NCGC00016959-02', 'NCGC00016959-03', 'NCGC00016959-04', 'NCGC00016959-05', 'NCGC00016959-07', 'NCGC00095058-01', 'NCGC00095058-02', 'NCGC00178128-01', 'AK163192', 'SC-17889', 'ST024751', 'SBI-0048462.P003', 'AB0011928', 'LS-141563', 'FT-0601635', 'NS00008031', 'A-8526', 'C05349', 'D00186', 'J10137', '721C331', 'Ciprofloxacin, VETRANAL(TM), analytical standard', 'Q256602', 'Ciprofloxacin, Antibiotic for Culture Media Use Only', 'SR-05000001863-1', 'SR-05000001863-3', 'BRD-K04804440-311-02-3', 'Z56933707', 'Ciprofloxacin, European Pharmacopoeia (EP) Reference Standard', 'Ciprofloxacin, United States Pharmacopeia (USP) Reference Standard', '1-Cyclopropyl-6-fluoro-1,4-dihydro 4-oxo-7-[1-piperazinyl)-quinoline-3-carboxylic Acid', '1-Cyclopropyl-6-fluoro-1,4-dihydro-4-oxo-7- (1-piperazinyl)-3-quinoline-carboxylic acid', '1-Cyclopropyl-6-fluoro-1,4-dihydro-4-oxo-7-(1-piperazinyl)-3- quinolinecarboxylic acid', '1-Cyclopropyl-6-fluoro-1,4-dihydro-4-oxo-7-(1-piperazinyl)-3-quinoline-carboxylic acid', '1-cyclopropyl-6-fluoro-1,4-dihydro-4-oxo-7-(1-piperazinyl)-quinoline -3-carboxylic acid', '1-cyclopropyl-6-fluoro-1,4-dihydro-4-oxo-7-(1-piperazinyl)-quinoline-3-carboxylic acid', '1-cyclopropyl-6-fluoro-1,4-dihydro-4-oxo-7-(1-piperazinyl)quinoline-3-carboxylic acid', '1-cyclopropyl-6-fluoro-1,4-dihydro-4-oxo-7-(1piperazinyl)-3quinolinecarboxylic acid', '1-cyclopropyl-6-fluoro-1,4-dihydro-4-oxo-7-(piperazin-1-yl)-quinoline-3-carboxylic acid', '1-Cyclopropyl-6-fluoro-1,4-dihydro-7-(1-piperazinyl)-4-oxo-3-quinoline carboxylic acid', '1-cyclopropyl-6-fluoro-7-(piperazin-1-yl)-1,4-dihydro-4-oxoquinoline-3-carboxylic acid', '3-Quinolinecarboxylic acid,1,4-dihydro-1-cyclopropyl-6-fluoro-4-oxo-7-(1-piperazinyl)', '3-Quinolinecarboxylicacid, 1-cyclopropyl-6-fluoro-1,4-dihydro-4-oxo-7-(1-piperazinyl)-', 'Ciprofloxacin, Pharmaceutical Secondary Standard; Certified Reference Material', '1-cyclopropyl-6-fluoro-4-oxo-7-piperazin-1-yl-1,4-dihydroquinoline-3-carboxylic acid hydrochloride']</t>
  </si>
  <si>
    <t>Compound(2764)</t>
  </si>
  <si>
    <t>C17H18FN3O3</t>
  </si>
  <si>
    <t>CI Solvent Orange 7</t>
  </si>
  <si>
    <t>1-[(2,4-dimethylphenyl)diazenyl]naphthalen-2-ol</t>
  </si>
  <si>
    <t>['Sudan II', '3118-97-6', 'Solvent Orange 7', 'Sudan red', 'C.I. SOLVENT ORANGE 7', 'Oil Red XO', 'Fettorange B', 'Pyronalrot R', 'Sudan Orange', 'Sudan ax', 'Motirot G', 'Oil scarlet apyo', 'Oil scarlet L', 'Oil scarlet Y', 'Ceres Orange RR', 'Cerotinscharlach G', 'Oil Orange X', 'Oil Scarlet BL', 'Oil Scarlet YS', 'Sudan scarlet 6g', 'Sudan X', 'Oil Orange KB', 'Orange Oil KB', 'Cerisol Scarlet G', 'Oil Red Gro', 'Resoform Orange R', 'Fat Scarlet 2G', 'Oil Scarlet 6G', 'Sudan Orange RPA', 'Sudan Orange RRA', 'Grasan Orange 3R', 'Lacquer Orange VR', 'Oil Orange 2R', 'Resin Scarlet 2R', 'Somalia Orange 2R', 'Waxakol vermilion L', 'Oil Red RO', 'Red B', 'Rot B', 'Rot GG fettloeslich', 'Orange Insoluble RR', 'Oil Orange N Extra', 'Oil Scarlet 371', 'Fast Oil Orange II', 'Ponceau insoluble olg', 'Fat Red (yellowish)', 'Calco Oil Scarlet BL', 'Brilliant Oil Scarlet B', 'Red No. 5', 'Aizen Food Red No. 5', 'Japan Red 5', 'Somalia Orange A2R', 'A.F. Red No. 5', '1-(2,4-Xylylazo)-2-naphthol', 'Brasilazina Oil Scarlet 6G', 'Japan Red 505', 'FD and C Red No. 32', '1-(o-Xylylazo)-2-naphthol', 'Waxakol vermilion', 'C.I.Solvent Orange 7', 'Sudan Red II', 'C.I. 12140', 'Oranz rozpoustedlova 7', 'Extract D and C Red No. 14', '1-(2,4-Dimethylphenylazo)-2-naphthol', '2-Naphthalenol, 1-[(2,4-dimethylphenyl)azo]-', 'A F Red No. 5', 'UNII-8C1M5O3ECT', 'Soudan II', 'Ceres oranges RR', '2-Naphthol, 1-(2,4-xylylazo)-', 'Color Index No: 12140', 'CCRIS 906', 'Sudan 2', 'Fat Red (Yellowish) (VAN)', 'Ext D &amp; C Red No. 14', 'Oranz rozpoustedlova 7 [Czech]', 'Calco oil scarlet zbl', 'Ext D and C Red. No. 14', 'FD &amp; C No. 32', 'HSDB 6365', '1-((2,4-Dimethylphenyl)azo)-2-naphthalenol', 'AF Red No. 5', 'EINECS 221-490-4', 'NSC 10457', '8C1M5O3ECT', 'CI 12140', 'Ext D and C Red No. 14', 'AI3-02853', 'Ext. D and C Red No. 14', 'CHEBI:82534', '2-Naphthalenol, 1-((2,4-dimethylphenyl)azo)-', '1-(2,4-Xylidylazo)-2-naphthol', 'Sudan II (C.I. 12140)', 'MFCD00003896', '1-[(E)-(2,4-dimethylphenyl)diazenyl]naphthalen-2-ol', '2-Naphthalenol, 1-[2-(2,4-dimethylphenyl)diazenyl]', '2-Naphthalenol, 1-[2-(2,4-dimethylphenyl)diazenyl]-', '1-[(2,4-Dimethylphenyl)azo]-2-naphthalenol', '1-[(2,4-dimethylphenyl)diazenyl]naphthalen-2-ol', '2-Naphthalenol, 1-(2-(2,4-dimethylphenyl)diazenyl)-', 'sudan2', 'Sudan II, pure', 'Japan Red No.5', 'Somalia Orange A 2R', '2-Naphthol,4-xylylazo)-', 'Red 505', 'DSSTox_CID_20706', 'DSSTox_GSID_40706', 'SCHEMBL338695', 'Sudan II, analytical standard', 'SCHEMBL2312130', 'Sudan II, Dye content 90 %', 'CHEMBL1552233', 'DTXSID5040706', 'Extract D &amp; C Red No. 14', 'SCHEMBL11876770', 'C.I. Solvent Orange 7 (8CI)', 'Ext. D and C. red. no. 14', 'NSC10457', 'ZINC3861451', 'Tox21_303836', '6447AF', 'GT6523', 'NSC-10457', 'SBB057638', 'STL280475', 'Sudan 2;Sudan II;Sudan Orange RPA', 'ZINC12358830', 'AKOS003581978', 'AKOS028109392', 'ZINC118615404', 'ZINC245189269', '2-Naphthalenol,4-dimethylphenyl)azo]-', 'MCULE-4428777093', 'WLN: L66J BNUNR B1 D1&amp; CQ', 'NCGC00164083-01', 'NCGC00357109-01', 'Sudan 2 100 microg/mL in Acetonitrile', 'LS-95477', 'NCI60_000109', 'CAS-3118-97-6', 'FT-0689111', 'NS00020508', 'O0101', 'ST50826070', '1-[(2,4-Dimethylphenyl)diazenyl]-2-naphthol', 'C19526', 'J-018275', '(E)-1-((2,4-dimethylphenyl)diazenyl)naphthalen-2-ol', 'Q15098649', 'C.I. Solvent Orange 7;1-(2,4-dimethylphenylazo)-2-naphthol']</t>
  </si>
  <si>
    <t>Compound(18386)</t>
  </si>
  <si>
    <t>C18H16N2O</t>
  </si>
  <si>
    <t>CI Solvent Yellow 14</t>
  </si>
  <si>
    <t>1-phenyldiazenylnaphthalen-2-ol</t>
  </si>
  <si>
    <t>['Sudan I', '842-07-9', 'Solvent Yellow 14', '1-Phenylazo-2-naphthol', 'C.I. Solvent Yellow 14', '1-(Phenylazo)-2-naphthalenol', 'Grasal Orange', 'Spirit Orange', 'Fast Orange', 'Oil Orange', 'Fast Oil Orange', 'Soudan I', 'Dunkelgelb', 'Pyronalorange', 'Carminaph', 'Fettorange lg', 'Cerotinorange G', 'Organol Orange', 'Stearix Orange', 'Fettorange R', 'Motiorange R', 'Scharlach B', 'Calcogas M', 'Orange Pel', 'Fettorange 4a', 'SUDAN 1', 'Grasan Orange R', 'Petrol Orange Y', 'Sansel Orange G', 'Spirit Yellow I', 'Toyo Oil Orange', 'Ceres Orange R', 'Enial Orange I', 'Oleal Orange R', 'Sudan Orange R', 'Sudan Orange RA', 'Atul Orange R', 'Resinol Orange R', 'Somalia Orange I', 'Fat Orange G', 'Fat Orange I', 'Fat Orange R', 'Oil Orange E', 'Oil Orange R', 'Sudan J', 'Fat Orange RS', 'Oil Orange EP', 'Hidaco Oil Orange', 'Oil Orange PEL', 'Resoform Orange G', 'Waxoline Yellow I', 'Fat Orange 4A', 'Lacquer Orange VG', 'Oil Orange 2B', 'Waxakol Orange GL', 'Fat Soluble Orange', 'Oil Soluble Orange', "Orange A L'Huile", 'Calcogas Orange NC', 'Silotras Orange TR', 'Waxoline Yellow IM', 'Waxoline Yellow IP', 'Waxoline Yellow IS', '2-Naphthalenol, 1-(phenylazo)-', 'Fast Oil Orange I', '2-Naphtholazobenzene', 'Oil Orange 31', 'Dispersol Yellow PP', 'Orange Insoluble Olg', 'Oil Orange R-14', 'Tertrogras Orange SV', 'Sudan Orange RA New', 'Oil Orange 2311', 'Orange R Fat Soluble', 'Brasilazina Oil Orange', 'Campbelline Oil Orange', 'Morton Orange Y', 'Orient Oil Orange PS', '1-Benzoazo-2-naphthol', 'Benzeneazo-beta-naphthol', 'Brilliant Oil Orange R', 'Plastoresin Orange F4A', 'Orange Resenole No. 3', 'Oil Orange 7078-V', 'Oil Orange Z-7078', 'Orange 2 Insoluble', 'Solvent Yellow No. 14', 'Calco Oil Orange 7078', "Orange Soluble A L'Huile", 'Benzene-1-azo-2-naphthol', 'Disperse Yellow 97', 'Calco Oil Orange 7078-Y', 'Calco Oil Orange Z-7078', 'Fettorange IG', 'Orange 3RA Soluble in Grease', '2-Naphthol, 1-(phenylazo)-', '2-Hydroxynaphthyl-1-azobenzene', '1-Benzeneazo-2-naphthol', 'Oil Orange PS', '1-Phenylazo-beta-naphthol', 'Orange Resenole 3', '2-Hydroxy-1-phenylazonaphthalene', '1-(phenyldiazenyl)naphthalen-2-ol', 'NCI-C53929', 'C.I. 12055', 'Zlut rozpoustedlova 14', 'CI 12055', 'Scarlet B', '1-(Phenylazo)-2-naphthol', 'C.I. Disperse Yellow 97', 'UNII-48I7IBB68J', 'alpha-Phenylazo-beta-naphthol', 'CCRIS 174', 'Zlut rozpoustedlova 14 [Czech]', 'C16H12N2O', 'HSDB 4132', 'C.I Solvent yellow 14', 'EINECS 212-668-2', 'NSC 11227', 'NSC 51524', 'Benzeneazo-.beta.-naphthol', 'BRN 0651992', '2-Naphthalenol, 1-(2-phenyldiazenyl)-', '1-Phenylazo-.beta.-naphthol', 'C. I. Solvent Yellow 14', '48I7IBB68J', 'CHEBI:30958', 'Sudan I, pure', '1-[(E)-Phenyldiazenyl]-2-naphthol', '1-[(1E)-2-Phenyldiazenyl]-2-naphthalenol', 'DSSTox_CID_1135', 'DSSTox_RID_75966', 'DSSTox_GSID_21135', 'WLN: L66J BNUNR&amp; CQ', '1-[(E)-phenyldiazenyl]naphthalen-2-ol', '40339-35-3', 'CAS-842-07-9', 'Sudangelb', 'f at orange rs', 'spirit yello w i', 'waxoline yellow i p', 'campbelline oil  orange', 'Waxoline Orange EP-FW', 'plastoresin  orange f4a', 'benzeneazo-beta -naphthol', '1-:phenylazo-2-naphthol', 'SCHEMBL51451', 'Sudan I, analytical standard', '4-16-00-00228 (Beilstein Handbook Reference)', 'KSC244C9T', 'SCHEMBL333149', '2-Naphthalenol, (phenylazo)-', 'orange 3RA soluble  in grease', '1-[phenyldiazenyl]-2-naphthol', '2-Naphthalenol, 1-(phenylazo)', 'CHEMBL1397023', 'DTXSID4021135', 'SCHEMBL11876526', 'SCHEMBL11876532', '1-(2-Hydroxynaphthyl)azobenzene', 'CTK1E4199', 'KS-00000YDE', 'DTXSID50873448', 'DTXSID90873447', 'Sudan I, Dye content &gt;=95 %', '1-(Phenyldiazenyl)-2-naphthol #', '.alpha.-Phenylazo-.beta.-naphthol', 'Sudan I (C.I. 12055)', '1-(Phenylazo)-2-hydroxynaphthalene', 'HY-D0024', 'NSC11227', 'NSC51524', 'ZINC3860848', 'Tox21_200511', 'Tox21_300297', '1-[(E)-Phenylazo]naphthalene-2-ol', 'MFCD00003911', 'NSC-11227', 'NSC-51524', 's6191', 'SBB056854', 'ZINC12405012', '1,2-naphthoquinone-1-phenylhydrazone', 'AKOS003581973', 'AKOS028109814', 'ZINC100048806', '1,2-Naphthalenedione 1-phenylhydrazone', '1-[(Phenyliminio)amino]-2-naphtholate', 'CS-5362', 'LS-1842', 'MCULE-6905364944', '(E)-1-(phenyldiazenyl)naphthalen-2-ol', '1-[(Z)-Phenyldiazenyl]naphthalen-2-ol', 'NCGC00164031-01', 'NCGC00164031-02', 'NCGC00164031-03', 'NCGC00254059-01', 'NCGC00258065-01', 'Sudan 1 100 microg/mL in Acetonitrile', 'AK175994', 'NCI60_000270', 'NCI60_004248', 'ST029273', 'T836', '1,2-Naphthalenedione, 1-(phenylhydrazone)', '1-(Phenyldiazenyl)naphthalen-2-ol, &gt;95%', 'AB0018960', 'FT-0674689', 'FT-0674690', 'NS00000074', 'P0585', 'J3.602.610C', 'C19525', '1-phenylazo-2-naphthol;C.I. Solvent Yellow 14', 'Q901018', '(1Z)-1-(2-Phenylhydrazono)naphthalene-2(1H)-one', '(E)-1-(2-Phenyldiazen-2-ium-1-yl)naphthalen-2-olate', 'Sudan I;1-phenylazo-2-naphthol;C.I. Solvent Yellow 14', '1-[(Z)-2-Phenylhydrazin-1-ylidene]naphthalen-2(1H)-one', '52882-77-6', '71351-99-0']</t>
  </si>
  <si>
    <t>Compound(13297)</t>
  </si>
  <si>
    <t>C16H12N2O</t>
  </si>
  <si>
    <t>CI Solvent Yellow 3</t>
  </si>
  <si>
    <t>2-methyl-4-[(2-methylphenyl)diazenyl]aniline</t>
  </si>
  <si>
    <t>['o-Aminoazotoluene', '97-56-3', 'Solvent Yellow 3', 'C.I. Solvent Yellow 3', 'Fast Garnet GBC Base', 'Toluazotoluidine', 'o-Aminoazotoluol', '2-AMINO-5-AZOTOLUENE', 'Fast Oil Yellow', 'Somalia Yellow R', 'Fast Yellow AT', 'Fat Yellow B', 'Oil Yellow C', 'Oil Yellow I', 'Oil Yellow AT', 'Hidaco Oil Yellow', 'Sudan Yellow RRA', 'Oil Yellow 2R', 'Waxakol Yellow NL', 'Aminoazotoluene', 'Organol Yellow 2T', 'Oil Yellow 21', 'ortho-Aminoazotoluene', 'OAAT', 'o-Amidoazotoluol', 'o-Aminoazotolueno', 'Oil Yellow 2681', 'o-Tolueneazo-o-toluidine', 'Tulabase Fast Garnet GB', 'O-AT', 'Brasilazina Oil Yellow R', 'Tulabase Fast Garnet GBC', "4-Amino-2',3-dimethylazobenzene", '4-(o-Tolylazo)-o-toluidine', 'o-Toluol-azo-o-toluidin', 'Orthoaminoasotoluol', 'Benzenamine, 2-methyl-4-[(2-methylphenyl)azo]-', '4-o-Tolylazo-o-toluidine', '5-(o-Tolylazo)-2-aminotoluene', 'o-Toluidine, 4-(o-tolylazo)-', 'Orthoaminoasotoluene', "2',3-Dimethyl-4-aminoazobenzene", "4'-Amino-2,3'-dimethylazobenzene", 'Zlut rozpoustedlova 3', "4'-Amino-2:3'-azotoluene", 'CI Solvent Yellow 3', 'C.I. 11160B', 'o-Amidoazotoluol [German]', 'UNII-QHZ900P7ZA', 'Aminoazotoluene (indicator)', 'C.I. 11160', 'CCRIS 25', 'Oil Yellow T', 'o-Aminoazotolueno [Spanish]', "4'-Amino-2,3'-azotoluene", 'o-Toluidine, 4-o-tolylazo-', 'o-Aato-amidoazotoluol', 'Zlut rozpoustedlova 3 [Czech]', 'ortho-Tolueneazo-ortho-toluidine', '2-Methyl-4-[(E)-(2-methylphenyl)diazenyl]aniline', 'HSDB 2639', 'o-Toluol-azo-o-toluidin [German]', 'NSC 1797', 'NSC-1797', '2-Methyl-4-((o-tolyl)azo)aniline', 'EINECS 202-591-2', 'CI 11160B', 'NSC-26821', 'Benzenamine, 2-methyl-4-((2-methylphenyl)azo)-', 'BRN 0745567', 'QHZ900P7ZA', 'CI 11160', 'ortho-Toluol-azo-ortho-toluidin [German]', 'AI3-52505', 'Fast Garnet GBC base, 97%', 'MLS000738066', '2-Methyl-4-((2-methylphenyl)azo)benzenamine', 'CHEBI:82285', "4-Amino-3,2'-dimethylazobenzene", '2-Methyl-4-[(o-tolyl)azo]aniline', 'DSSTox_CID_69', 'Aminoazotoluene(indicator)', '2-methyl-4-[(2-methylphenyl)azo]benzenamine', 'DSSTox_RID_75346', 'DSSTox_GSID_20069', 'Azoic diazo component 4, base', 'WLN: ZR B1 DNUNR B1', 'Benzenamine, 2-methyl-4-[2-(2-methylphenyl)diazenyl]-', 'CAS-97-56-3', 'SMR000393738', '2-Methyl-4((2-methylphenyl)azo)benzenamine', '2-Methyl-4[(2-methylphenyl)azo]benzenamine', '2-methyl-4-[(2-methylphenyl)diazenyl]phenylamine', 'o-Aminoazotoluene [MI]', 'o-Toluene-azo-o-toluidine', 'Benzenamine, 2-methyl-4-(2-(2-methylphenyl)diazenyl)-', 'o-Aminoazotoluene [WHO-DD]', 'aminoazo toluene', 'ortho-Toluol-azo-ortho-toluidin', 'o-Aminoazotoulene', '4-Aminoazotoluene', 'su dan yellow rra', 'Orthoaminoazotoluene', "2,3'-Dimethyl-4'-aminoazobenzene", 'O-AAT', '2-Methyl-4-((2-methylphenyl)diazenyl)amine', '2-methyl-4-[(2-methylphenyl)diazenyl]aniline', '4-16-00-00528 (Beilstein Handbook Reference)', 'MLS002152915', 'CHEMBL83552', 'SCHEMBL411206', 'Fast Garnet GBC Base solution', 'Benzenamine, 2-methyl-4-((2-methylphenyl)azo)-, (E)-', 'CHEMBL1701225', 'DTXSID1020069', 'SCHEMBL13338328', 'CTK4F0623', 'NSC1797', 'C.I. Solvent Yellow 3 (8CI)', 'HMS2753N05', '2-Methyl-4-o-tolylazo-phenylamine', 'NSC26821', 'ZINC3860960', 'EINECS 255-448-1', 'Tox21_202261', 'Tox21_300300', 'GT4853', 'MFCD00007733', 'SBB056904', 'ZINC12359990', 'o-Aminoazotoluene, analytical standard', '2-methyl-4-[(E)-o-tolylazo]aniline', 'AKOS000276997', 'AKOS028108451', 'ZINC100075200', 'LS-2029', 'MCULE-9505754571', 'NCGC00091180-01', 'NCGC00091180-02', 'NCGC00091180-03', 'NCGC00091180-04', 'NCGC00091180-05', 'NCGC00091180-06', 'NCGC00253994-01', 'NCGC00259810-01', '61550-68-3', 'NCI60_001507', 'T854', '(E)-2-methyl-4-(o-tolyldiazenyl)aniline', 'DB-057676', 'LS-171616', 'FT-0626389', 'NS00015600', 'ST45028853', '2(Or 3)-methyl-4-((methylphenyl)azo)aniline', '2-methyl-4-((2-methylphenyl)azo )benzenamine', 'C19188', '2-Methyl-4-[(2-methylphenyl)diazenyl]aniline #', 'Benzenamine, ar-methyl-4-(2-(methylphenyl)diazenyl)-', 'Q15726118', 'Q27155855', "4-Amino-2',3-dimethylazobenzene 100 microg/mL in Cyclohexane", 'Benzenamine,2-methyl-4-[2-(2-methylphenyl)diazenyl]-, hydrochloride (1:1)', 'Benzenamine, 2-methyl-4-[(2-methylphenyl)azo]-, monohydrochloride;2(or 3)-methyl-4-[(methylphenyl)azo]aniline;2-Amino-5-azotoluene;o-aminoazotoluene;4-o-tolylazo-o-toluidine']</t>
  </si>
  <si>
    <t>Compound(7340)</t>
  </si>
  <si>
    <t>CI Solvent Yellow 34</t>
  </si>
  <si>
    <t>4-[4-(dimethylamino)benzenecarboximidoyl]-N,N-dimethylaniline</t>
  </si>
  <si>
    <t>['AURAMINE', 'Yellow pyoctanine', 'Glauramine', '492-80-8', 'Auramine O base', 'Apyonine auramine base', 'Auramine base', 'Auramine (free base)', 'Auramine N base', 'Auramine SS', 'Auramine OAF', 'Waxoline Yellow O', 'C.I. Solvent Yellow 34', 'Auramine OO', "4,4'-Dimethylaminobenzophenonimide", 'Bis(p-dimethylaminophenyl)methyleneimine', 'RCRA waste number U014', "4,4'-(Imidocarbonyl)bis(N,N-dimethylaniline)", 'Solvent Yellow 34', 'Caswell No. 063A', 'CI Basic Yellow 2, free base', 'Yellowpyoctanine', 'CI Solvent Yellow 34', 'Tetramethyl-p-diamino-imido-benzophenone', 'C.I. 41000B', 'Orient Oil Yellow 101', "4,4'-Carbonimidoylbis(N,N-dimethylaniline)", 'CCRIS 58', 'Auramine manufacture', 'UNII-73O74R443B', 'HSDB 2935', 'Auramine, manufacture of', 'Auramine, technical-grade', 'EINECS 207-762-5', 'CI 41000B', 'RCRA waste no. U014', 'EPA Pesticide Chemical Code 039501', "Benzenamine, 4,4'-carbonimidoylbis[N,N-dimethyl-", 'BRN 2215338', 'AI3-17282', 'CHEBI:51874', "Aniline, 4,4'-imidocarbonylbis(N,N-dimethyl-", "4,4'-Carbonimidoylbis(N,N-dimethylbenzenamine)", "Aniline, 4,4'-(imidocarbonyl)bis(N,N-dimethyl-", 'C.I. Basic Yellow 2, Free Base', "Benzenamine, 4,4'-carbonimidoylbis(N,N-dimethyl-", '73O74R443B', "4,4'-carbonimidoylbis[N,N-dimethylaniline]", 'EN300-33932', 'Auramine, monohydrochloride', 'Blauramine', 'Auremine', 'Waxoline yellow D', 'Waxolin e yellow D', 'auramine O free base', "Benzenamine, 4,4'-carbonimidoylbis[N,N-dimethyl-, hydrochloride (1:1)", 'Auramine Yellow (Salt/Mix)', 'Benzophenoneidum (Salt/Mix)', 'Oprea1_256545', 'SCHEMBL95306', 'Auramine, analytical standard', '4-14-00-00256 (Beilstein Handbook Reference)', 'Basic Yellow 2 (Salt/Mix)', 'CHEMBL1626329', 'DTXSID7043821', 'CTK8F7876', 'Tetramethyldiaminodiphenylacetimine', 'Auramine hydrochloride (Salt/Mix)', 'ZINC155144', 'ACM492808', 'STK525871', 'MCULE-1159948407', 'NCGC00091235-02', 'Carbonoimidoylbis(N,N-dimethylbenzenamine)', 'LS-19844', 'T856', 'FT-0622508', 'NS00020494', 'ST50307101', 'C19193', 'Q26840770', '4,4-carbonimidoylbis(N,N-dimethylaniline) monohydrochloride', '(4-{[4-(dimethylamino)phenyl]iminomethyl}phenyl)dimethylamine']</t>
  </si>
  <si>
    <t>Compound(10298)</t>
  </si>
  <si>
    <t>C17H21N3</t>
  </si>
  <si>
    <t>(2E)-3,7-dimethylocta-2,6-dienal</t>
  </si>
  <si>
    <t>['Citral', 'GERANIAL', '5392-40-5', 'trans-Citral', '3,7-dimethylocta-2,6-dienal', '(2E)-3,7-dimethylocta-2,6-dienal', 'geranialdehyde', '(E)-Citral', 'Citral a', 'Geranaldehyde', 'alpha-Citral', 'Lemsyn GB', '(E)-Geranial', 'geranal', 'Genanial', 'beta-Geranial', '(E)-3,7-Dimethylocta-2,6-dienal', '141-27-5', '(E)-Neral', 'Citral alpha', '3,7-Dimethyl-2,6-octadienal', 'Citral (natural)', 'CITRAL NATURAL', 'trans-3,7-Dimethyl-2,6-octadienal', 'lemonal', 'Caswell No. 221B', 'cis-Citral', 'citral-b', 'FEMA Number 2303', 'Lemarome n', '2,6-Octadienal, 3,7-dimethyl-', 'NCI-C56348', '2,6-Octadienal, 3,7-dimethyl-, (E)-', '2,6-Octadienal, 3,7-dimethyl-, (2E)-', '(E)-3,7-Dimethyl-2,6-octadienal', '3,7-Dimethyl-trans-2,6-octadienal', 'UNII-758ZMW724E', 'FEMA No. 2303', 'CCRIS 1043', 'HSDB 993', 'CITRAL SINTETICO', '2,6-Dimethyloctadien-2,6-al-8', '3,7-Dimethyl-1,2,6-octadienal', 'cis-3,7-Dimethyl-2,6-octadienal', 'NSC 6170', 'EINECS 205-476-5', 'EINECS 226-394-6', 'EPA Pesticide Chemical Code 040510', 'BRN 1721871', 'BRN 1721873', 'cis/trans-3,7-Dimethyl-2,6-octadienal', 'AI3-01011', 'AI3-28519', '147060-73-9', 'CHEBI:16980', 'Citral, mixture of cis and trans', 'NSC6170', '758ZMW724E', '3,7-DIMETHYL-2,6-OCTADIENAL(TRANS)', 'Citral, analytical standard', 'Z-Citral', 'Citral, 95%, mixture of cis and trans', 'polyprenal', 'polyprenals', 'Natural Citral', '(Z)-3,7-Dimethyl-2,6-octadienal', 'MFCD00006997', 'alpha -Citral', '(2Z)-3,7-Dimethyl-2,6-octadienal', 'Citral-A', '.alpha.-Citral', '3,6-octadienal', 'cis/trans Citral;', 'LEMAROME', '3,2,6-octadienal', '(2E)-3,7-Dimethyl-2,6-octadienal', 'Citral, 95%', 'EC 205-476-5', 'EC 226-394-6', 'Citral Ex Litsea(Citral )', 'litsea cubeba oil terpeneless', 'SCHEMBL23073', '3-01-00-03053 (Beilstein Handbook Reference)', '4-01-00-03569 (Beilstein Handbook Reference)', 'GTPL6327', 'CHEMBL1080997', '3,7- dimethylocta-2,6-dienal', 'FEMA 2303', 'DTXSID20881217', 'CHEBI:137934', 'WLN: VH1UY1&amp;3Y1&amp;U1', 'HY-N7083', 'NSC-6170', 'ZINC1529208', '3,7-dimethyl-(e)-2,6-octadienal', 'BBL011666', 'SBB060834', 'STK802499', 'trans-3,7-Dimethylocta-2,6-dienal', '3,7-dimethyl-(2e)-2,6-octadienal', 'trans-3,7-dimethyl-octa-2,6-dienal', '(E)-3,7-Dimethylocta-2,6-dienal.', 'AKOS000119519', 'CCG-266236', 'Citral, natural, &gt;=96%, FCC, FG', 'CS-W010948', 'EBD2204555', 'LMPR0102010003', 'LS41486', '(2E)-3,7-dimethyl-octa-2,6-dienal', 'Citral, Vetec(TM) reagent grade, 94%', 'NCGC00091550-01', 'NCGC00091550-02', 'NCGC00091550-03', 'NCGC00091550-04', 'AS-35309', 'LS-97778', 'SC-26888', '(2E)-3,7-dimethyl-2,6-octadien-1-al', 'S5138', 'ST50308094', 'C01499', 'C15604', 'Citral, mixture of cis and trans, &gt;=96%, FG', 'A829835', 'Q410888', 'Q-200867', 'F0001-1403', 'UNII-T7EU0O9VPP component WTEVQBCEXWBHNA-JXMROGBWSA-N', '2,6-Octadienal,3,7-dimethyl-, reaction products with Et alc.', 'GRQ']</t>
  </si>
  <si>
    <t>Compound(638011)</t>
  </si>
  <si>
    <t>1-[3-(dimethylamino)propyl]-1-(4-fluorophenyl)-3H-2-benzofuran-5-carbonitrile</t>
  </si>
  <si>
    <t>['citalopram', '59729-33-8', 'Nitalapram', 'Celexa', 'Cipram', 'Citalopramum [INN-Latin]', 'Bonitrile', '[3H]Citalopram', '1-[3-(dimethylamino)propyl]-1-(4-fluorophenyl)-1,3-dihydro-2-benzofuran-5-carbonitrile', 'Lu 10-171', 'Lu-10-171', 'C20H21FN2O', 'EINECS 261-891-1', 'CHEMBL549', '1-[3-(dimethylamino)propyl]-1-(4-fluorophenyl)-3H-2-benzofuran-5-carbonitrile', '1-(3-(Dimethylamino)propyl)-1-(4-fluorophenyl)-1,3-dihydroisobenzofuran-5-carbonitrile', 'CHEBI:77397', '1-(3-(Dimethylamino)propyl)-1-(p-fluorophenyl)-5-phthalancarbonitrile', '1,3-Dihydro-1-(3-(dimethylamino)propyl)-1-(4-fluorophenyl)-5-isobenzofurancarbonitrile', 'Nitalapram HBr', '[3H]-Citalopram', 'Citalopramum', 'Cytalopram', '5-Isobenzofurancarbonitrile, 1-(3-(dimethylamino)propyl)-1-(4-fluorophenyl)-1,3-dihydro-', 'Citalopram [INN:BAN]', 'Perrigo citalopram', '1-[3-(dimethylamino)propyl]-1-(4-fluorophenyl)-1,3-dihydroisobenzofuran-5-carb onitrile', '5-Isobenzofurancarbonitrile, 1,3-dihydro-1-(3-(dimethylamino)propyl)-1-(4-fluorophenyl)-', '5-Isobenzofurancarbonitrile, 1-[3-(dimethylamino)propyl]-1-(4-fluorophenyl)-1,3-dihydro-', 'HSDB 7042', 'SMR000465669', 'Citadur (TN)', 'Citalopram [Celexa]', '1-[3-(dimethylamino)propyl]-1-(4-fluorophenyl)-1,3-dihydro-5-isobenzofurancarbonitrile', 'Citalopram (USP/INN)', 'Citalopram [USP:INN:BAN]', '1-[3-(dimethylamino)propyl]-1-(p-fluorophenyl)-5-phthalancarbonitrile', '[3H]Cytalopram', '1-(3-dimethylaminopropyl)-1-(4-fluorophenyl)-1,3-dihydroisobenzofuran-5-carbonitrile', '[3H]Escitalopram', '[3H]Lexapro', 'Citalopram-d4 oxalate', 'Escitalopram Impurity A', '207559-01-1', 'Prestwick3_000692', 'SCHEMBL946', 'Lopac0_000258', 'BSPBio_000843', 'MLS000028578', 'MLS006011858', 'BPBio1_000929', 'GTPL4621', 'GTPL7547', 'DTXSID8022826', 'BDBM25870', 'WSEQXVZVJXJVFP-UHFFFAOYSA-', 'HMS2090O09', 'HMS2093A14', 'HMS3259B10', 'ACT02666', 'BBL029066', 'LU-10171B', 'STL058639', 'AKOS005711003', 'AC-8894', 'CCG-204353', 'DB00215', 'MCULE-5882770916', 'NC00711', 'SDCCGSBI-0050246.P003', 'VA10838', '(1S)-1-[3-(dimethylamino)propyl]-1-(4-fluorophenyl)-3H-2-benzofuran-5-carbonitrile', '1-[3-(dimethylamino)propyl]-1-(4-fluorophenyl)-3H-isobenzofuran-5-carbonitrile', 'MRF-0000302', 'NCGC00015267-04', 'NCGC00015267-05', 'NCGC00015267-07', 'NCGC00015267-09', 'NCGC00015267-11', 'NCGC00015267-12', 'NCGC00025160-02', 'LS-84327', 'SC-16253', 'ST069372', 'SBI-0050246.P002', 'AB00513896', 'FT-0657967', 'FT-0660873', '4793-EP2275420A1', '4793-EP2284166A1', '4793-EP2298764A1', '4793-EP2298765A1', '4793-EP2305648A1', 'C07572', 'D07704', 'EN300-304884', 'AB00513896-09', 'AB00513896-11', 'AB00513896_12', 'AB00513896_13', '729C338', 'L001223', 'Q409672', 'SR-01000003129-8', 'BRD-A47598013-004-02-0', 'BRD-A47598013-004-06-1', "1-(3'-dimethylaminopropyl)-1-(4'-fluorophenyl)-1,3-dihydroisobenzofuran-5-carbonitrile", "1-(3-(dimethylamino)propyl)-1-(4'-fluorophenyl)-1,3-dihydroisobenzofuran-5-carbonitrile", '1-(3-Dimethylamino-propyl)-1-(4-fluoro-phenyl)-1,3-dihydro-isobenzofuran-5-carbonitrile', '1-[3-(dimethylamino) propyl]-1-(4-fluorophenyl)-1,3-dihydro-5-isobenzofuran carbonitrile', '1-[3-(dimethylamino)propyl]-1-(4-fluorophenyl)-1,3-dihydro-5-isobenzo[b]furancarbonitrile', '1-[3-(dimethylamino)propyl]-1-(4-fluorophenyl)-1,3-dihydro[3,4]benzofuran-5-carbonitrile', '5-Cyano-1-(4-fluorophenyl)-1-(3-dimethylaminopropyl)-1,3-dihydro-isobenzofuran', 'Citalopram hydrobromide;Citalopram;1-[3-(dimethylamino)propyl]-1-(4-fluorophenyl)-1,3-dihydroisobenzofuran-5-carbonitrile monohydrochloride']</t>
  </si>
  <si>
    <t>Compound(2771)</t>
  </si>
  <si>
    <t>C20H21FN2O</t>
  </si>
  <si>
    <t>3,7-dimethyloct-6-en-1-ol</t>
  </si>
  <si>
    <t>['Citronellol', '106-22-9', '3,7-Dimethyloct-6-en-1-ol', 'beta-Citronellol', '3,7-DIMETHYL-6-OCTEN-1-OL', 'DL-Citronellol', 'Cephrol', '6-Octen-1-ol, 3,7-dimethyl-', 'Elenol', 'Rodinol', '2,3-Dihydrogeraniol', '2,6-Dimethyl-2-octen-8-ol', '(+/-)-beta-Citronellol', '.beta.-Citronellol', 'CHEBI:50462', 'NSC 8779', '(+/-)-3,7-dimethyloct-6-en-1-ol', '26489-01-0', '3,7-dimethyl-oct-6-en-1-ol', 'NSC8779', 'Citronellol, 95%', 'MFCD00002935', 'Citronellol (natural)', 'ST069325', 'DSSTox_CID_6726', 'DSSTox_RID_78201', 'DSSTox_GSID_26726', 'l-Citronellol', 'W-108771', 'W-109198', 'W-110227', 'CCRIS 7452', 'EINECS 203-375-0', '(-)-3,7-Dimethyloct-6-en-1-ol', 'Citronellol, dl-', 'BRN 1721507', 'CAS-106-22-9', 'AI3-25080', 'Citronellol (ex. Java citronella oil) (natural)', '(+-)-beta-citronellol', '(+-)-CITRONELLOL', '(R)-(+)-.beta.-Citronellol', '(+/-)-beta-Citronellol, primary pharmaceutical reference standard', 'Levo-citronellol', 'AK-68278', '6-Octen-1-ol, 3,7-dimethyl-, (S)-', 'EINECS 247-737-6', 'Oils,geranium,sapond.', 'CITRONELLOL BRI', 'beta-Citronellol, 95%', '(+-)-beta;-Citronellol', 'ACMC-2098iz', 'EC 203-375-0', 'SCHEMBL21320', '4-01-00-02188 (Beilstein Handbook Reference)', '6-Octen-1-ol,7-dimethyl-', '68916-43-8', 'KSC492E7L', 'MLS002415719', '3,7-dimethyl-oct-6-en1-ol', 'CHEMBL395827', 'DTXSID3026726', '3,7-Dimethyloct-7-en-1-ol.', 'CTK3J2275', 'HSDB 6805', 'KS-00000URS', 'WLN: Q2Y1&amp;3UY1&amp;1', 'HMS2267B17', 'BB_NC-00067', 'Citronellol, &gt;=95%, FCC, FG', 'NSC-8779', 'ZX-AT010559', 'Tox21_202119', 'Tox21_300003', 'ANW-15321', 'BBL009826', 'BDBM50037035', 'OR6011', 's5584', 'SBB012357', 'STK085542', 'AKOS005393175', 'CCG-266265', 'CS-W010917', 'HY-W010201', 'MCULE-4204888723', 'ACM26489010', 'NCGC00091348-01', 'NCGC00091348-02', 'NCGC00091348-03', 'NCGC00091348-04', 'NCGC00254145-01', 'NCGC00259668-01', 'AS-14688', 'BP-21491', 'CC-25897', 'D-Citronellol;(R)-(+)-beta-Citronellol', 'M190', 'SMR000112138', '(+/-)-beta-Citronellol analytical standard', 'DB-060123', 'DB-074976', '(+/-)-beta-Citronellol, analytical standard', '(+/-)-Citronellol;(+/-)-beta-Citronellol', 'FT-0604381', 'FT-0622896', 'FT-0623965', 'FT-0623966', 'FT-0693159', 'FT-0772868', 'C-33687', 'Citronellol, mixture of isomers, natural, &gt;=95%, FG', 'Q27122080']</t>
  </si>
  <si>
    <t>Compound(8842)</t>
  </si>
  <si>
    <t>CI Vat Yellow 4</t>
  </si>
  <si>
    <t>hexacyclo[10.10.2.02,7.09,23.013,18.020,24]tetracosa-1(23),2,4,6,9,11,13,15,17,20(24),21-undecaene-8,19-dione</t>
  </si>
  <si>
    <t>['Vat yellow 4', 'C.I. Vat Yellow 4', '128-66-5', 'Tyrion Yellow', 'Dibenzo[B,def]chrysene-7,14-dione', 'Yellow GK base', 'Vat Yellow ZhKh', 'Dibenzpyrenequinone', 'Helanthrene Yellow', 'Vat Golden Yellow', 'Golden Yellow ZhKh', 'C.I. Vat Yellow', 'Tinon Golden Yellow', 'Mayvat Golden Yellow', 'Yellow', 'Caledon Golden Yellow', 'Tyrian Yellow I-GOK', 'Cibanone Golden Yellow', 'Hostavat Golden Yellow', 'Leucosol Golden Yellow', 'Mikethrene Gold Yellow', 'Paradone Golden Yellow', 'Anthravat Golden Yellow', 'Benzadone Golden Yellow', 'Calcoloid Golden Yellow', 'Caledon Printing Yellow', 'Helanthrene Yellow GOK', 'Tinon Golden Yellow GK', 'Vat Golden Yellow ZhKh', 'Amanthrene Golden Yellow', 'Femanthren Golden Yellow', 'Indanthren Golden Yellow', 'Nyanthrene Golden Yellow', 'Romantrene Golden Yellow', 'Mayvat Golden Yellow GK', 'Arlanthrene Golden Yellow', 'Indanthrene Golden Yellow', 'Nihonthrene Golden Yellow', 'Palanthrene Golden Yellow', 'Sandothrene Golden Yellow', 'Vat Golden Yellow ZhKhD', 'Benzadone Gold Yellow GK', 'Caledon Golden Yellow GK', 'Carbanthrene Golden Yellow', 'Indanthren Printing Yellow', 'Yellow (Dye)', 'Cibanone Golden Yellow GK', 'Hostavat Golden Yellow GK', 'Leucosol Golden Yellow GK', 'Mikethrene Gold Yellow GK', 'Paradone Golden Yellow GK', 'Pharmanthrene Golden Yellow', 'Sandothrene Printing Yellow', 'Ahcovat Printing Golden Yellow GK', 'Anthravat Golden Yellow GK', 'Caledon Printing Yellow GK', 'Cibanone Golden Yellow FGK', 'Indanthrene Gold Yellow GK', 'Solanthrene Brilliant Yellow', 'Amanthrene Golden Yellow GK', 'Fenanthren Golden Yellow GK', 'Indanthren Golden Yellow GK', 'Nyanthrene Golden Yellow GK', 'Arlanthrene Golden Yellow GK', 'Indanthrene Golden Yellow GK', 'Nihonthrene Golden Yellow GK', 'Palanthrene Golden Yellow GK', 'Romantrene Golden Yellow FGK', 'Romantrene Golden Yellow GOK', 'Calcoloid Golden Yellow GKWP', 'Carbanthrene Golden Yellow GK', 'Sandothrene Golden Yellow NGK', 'Ahcovat Printing Golden Yellow', 'Pharmanthrene Golden Yellow GK', 'Sandothrene Printing Yellow NH', 'Solanthrene Brilliant Yellow J', 'Indanthren Printing Yellow GOK', 'CI VAT YELLOW 4', 'NCI-C03565', 'C.I. 59100', 'dibenzo[c,pqr]tetraphene-7,14-dione', 'NSC 30987', 'CCRIS 176', 'UNII-8XO6A4G496', 'C.I Vat yellow 4', 'HSDB 4090', 'Dibenzo(a,B)pyrene-7,14-dione', 'Dibenzo(b,def)chrysene-7,14-dione', 'EINECS 204-903-2', '2,3,7,8-Dibenzopyrene-1,6-quinone', '1,2,6,7-Dibenpyrene-7,14-quinone', '3,4:8,9-Dibenzopyrene-5,10-dione', 'BRN 2000679', 'CI 59100', "1',2',6',7'-Dibenzpyrene-7,14-quinone", '8XO6A4G496', 'Dibenzo[a,14-dione', 'mayvat golden yell ow', 'Dibenzo[B,14-dione', 'mikethrene golden yellow', 'sandothr ene printing yellow', 'SCHEMBL43327', '4-07-00-02709 (Beilstein Handbook Reference)', 'DTXSID6021454', 'CHEBI:82548', 'CTK0H5195', 'dibenzo[a,h]pyrene-7,14-dione', 'di benzo[a,h]pyrene-7,14-dione', '2,7,8-Dibenzopyrene-1,6-quinone', 'NSC30987', 'ZINC4769055', 'LS-718', 'NSC-30987', 'AKOS015914158', 'MCULE-8367465840', "1',6',7'-Dibenzpyrene-7,14-quinone", 'C.I.59100', 'NS00020975', 'C19545', 'Q6585166']</t>
  </si>
  <si>
    <t>Compound(31412)</t>
  </si>
  <si>
    <t>C24H12O2</t>
  </si>
  <si>
    <t>clarithromycin</t>
  </si>
  <si>
    <t>(3R,4S,5S,6R,7R,9R,11R,12R,13S,14R)-6-[(2S,3R,4S,6R)-4-(dimethylamino)-3-hydroxy-6-methyloxan-2-yl]oxy-14-ethyl-12,13-dihydroxy-4-[(2R,4R,5S,6S)-5-hydroxy-4-methoxy-4,6-dimethyloxan-2-yl]oxy-7-methoxy-3,5,7,9,11,13-hexamethyl-oxacyclotetradecane-2,10-dione</t>
  </si>
  <si>
    <t>['clarithromycin', '81103-11-9', 'Biaxin', '6-O-Methylerythromycin', 'Klaricid', '6-O-Methylerythromycin a', 'Clarithromycine', 'Clathromycin', 'Abbott-56268', 'Erythromycin, 6-O-methyl-', 'A-56268', 'Macladin', 'Clarith', 'Klacid', 'Kofron', 'Veclam', 'Clarithromycinum', 'Naxy', 'TE-031', 'Biaxin XL', 'Abbotic', 'Astromen', 'Bicrolid', 'Clacine', 'Clambiotic', 'Claribid', 'Claricide', 'Heliclar', 'Klaciped', 'Mabicrol', 'Cyllid', 'Klarid', 'Klarin', 'Maclar', 'Zeclar', 'Helas', 'Mavid', 'Adel', 'Biaxin filmtab', 'Klax', 'Biaxin HP', 'Biaxin xl filmtab', 'Klaricid Pediatric', 'DRG-0099', 'UNII-H1250JIK0A', 'Clarithromycine [INN-French]', 'Clarithromycinum [INN-Latin]', 'Claritromicina [INN-Spanish]', 'Prevpac', 'CHEBI:3732', 'H1250JIK0A', 'C38H69NO13', 'Claritromicina', 'Claridar', 'Claripen', 'Fromilid', 'Clacee', 'Clacid', 'Clarem', 'Crixan', 'Klabax', '(3R,4S,5S,6R,7R,9R,11R,12R,13S,14R)-6-[(2S,3R,4S,6R)-4-(dimethylamino)-3-hydroxy-6-methyloxan-2-yl]oxy-14-ethyl-12,13-dihydroxy-4-[(2R,4R,5S,6S)-5-hydroxy-4-methoxy-4,6-dimethyloxan-2-yl]oxy-7-methoxy-3,5,7,9,11,13-hexamethyl-oxacyclotetradecane-2,10-dione', 'CLA', 'Clarithromycin extended release', 'Klaricid H.P.', '(3R,4S,5S,6R,7R,9R,11R,12R,13S,14R)-6-(((2S,3R,4S,6R)-4-(dimethylamino)-3-hydroxy-6-methyltetrahydro-2H-pyran-2-yl)oxy)-14-ethyl-12,13-dihydroxy-4-(((2R,4R,5S,6S)-5-hydroxy-4-methoxy-4,6-dimethyltetrahydro-2H-pyran-2-yl)oxy)-7-methoxy-3,5,7,9,11,13-hexamethyloxacyclotetradecane-2,10-dione', 'CTY', 'SMR000466382', 'SR-05000001992', '116836-41-0', 'Clarithromycin (Biaxin, Klacid)', 'clarithromycina', 'Cyllind', 'CCRIS 8833', 'Klaricid XL', 'HSDB 8055', '(14R)-14-Hydroxyclarithromycin', 'Klaricid H.P', 'TE031', '(3R,4S,5S,6R,7R,9R,11R,12R,13S,14R)-6-[(2S,3R,4S,6R)-4-(dimethylamino)-3-hydroxy-6-methyl-tetrahydropyran-2-yl]oxy-14-ethyl-12,13-dihydroxy-4-[(2R,4R,5S,6S)-5-hydroxy-4-methoxy-4,6-dimethyl-tetrahydropyran-2-yl]oxy-7-methoxy-3,5,7,9,11,13-hexamethyl-oxacyclotetradecane-2,10-dione', '(3R,4S,5S,6R,7R,9R,11R,12R,13S,14R)-6-[(2S,3R,4S,6R)-4-(dimethylamino)-3-hydroxy-6-methyloxan-2-yl]oxy-14-ethyl-12,13-dihydroxy-4-[(2R,4R,5S,6S)-5-hydroxy-4-methoxy-4,6-dimethyloxan-2-yl]oxy-7-methoxy', 'Clarithromycin,(S)', 'Biaxin (TN)', 'Clarithromycin [USAN:INN:BAN:JAN]', 'Clarithromycin identity', 'Clarithromycin, 97%', 'Spectrum_000089', 'CPD000466382', 'Clarithromycin [USAN:USP:INN:BAN:JAN]', 'SpecPlus_000559', '6-O-methyl erythromycin', 'O(6)-methylerythromycin', 'CLA;', 'Spectrum2_001668', 'Spectrum3_001667', 'Spectrum4_000629', 'Spectrum5_001729', '6-0-methylerythromycin A', 'CHEMBL1741', 'SCHEMBL38125', 'BSPBio_003453', 'KBioGR_001218', 'KBioSS_000509', 'MLS000759516', 'MLS001201751', 'MLS001424066', 'BIDD:GT0200', 'DivK1c_006655', 'SPECTRUM1504231', 'SPBio_001855', 'Lactoferrin B &amp; Clarithromycin', 'Lactoferrin H &amp; Clarithromycin', 'DTXSID3022829', 'Clarithromycin &amp; Interleukin-12', 'CLM &amp; IL-12', 'GTPL10903', 'KBio1_001599', 'KBio2_000509', 'KBio2_003077', 'KBio2_005645', 'KBio3_002673', 'ANX-015', 'SDP-015', 'Clarithromycin (JP17/USP/INN)', 'Clarithromycin, &gt;=95% (HPLC)', 'Clarithromycin, &gt;=98% (HPLC)', 'HMS1922H09', 'HMS2051G18', 'HMS2090O11', 'HMS2094M05', 'HMS2231A08', 'HMS3715J17', 'Pharmakon1600-01504231', 'Clarithromycin suspension or tablets', 'EBD13493', 'BDBM50404044', 'CCG-39086', 'LMPK04000014', 'MFCD00865140', 'NSC758704', 's2555', 'ZINC85534098', 'C30H54O11.C9H19NO2', 'AKOS015894242', 'CS-2576', 'DB01211', 'LS-1812', 'MCULE-7168853332', 'NC00140', 'NSC-758704', 'NCGC00178054-01', 'NCGC00178054-06', 'CC-25899', 'H781', 'HY-17508', 'SBI-0206716.P001', 'C06912', 'D00276', 'J10130', 'AB00053394-10', 'AB00053394-12', 'AB00053394-13', 'AB00053394_14', 'AB00053394_15', '103C119', 'C-23486', 'Q118551', 'Q-200870', 'SR-05000001992-1', 'SR-05000001992-2', 'BRD-K49668410-001-07-1', 'BRD-K49668410-001-18-8', 'Clarithromycin, European Pharmacopoeia (EP) Reference Standard', 'Clarithromycin, United States Pharmacopeia (USP) Reference Standard', 'Clarithromycin Identity, United States Pharmacopeia (USP) Reference Standard', 'Clarithromycin, Ready Made Solution, 50 mg/mL in DMSO, 0.2 mum filtered', 'Clarithromycin for peak identification, European Pharmacopoeia (EP) Reference Standard', 'Clarithromycin, Pharmaceutical Secondary Standard; Certified Reference Material', '(3R,4S,5S,6R,7R,9R,11R,12R,13S,14R)-6-{[(2S,3R,4S,6R)-4-(dimethylamino)-3-hydroxy-6-methyltetrahydro-2H-pyran-2-yl]oxy}-14-ethyl-12,13-dihydroxy-4-{[(2R,4R,5S,6S)-5-hydroxy-4-methoxy-4,6-dimethyltetrahydro-2H-pyran-2-yl]oxy}-7-methoxy-3,5,7,9,11,13-hexamethyloxacyclotetradecane-2,10-dione (non-preferred name)', '(3R,4S,5S,6R,7R,9R,11S, 12R,13S,14S)-6-{[(2S,3R,4S,6R)- 4-dimethylamino-3-hydroxy-6-methyloxan-2-yl]oxy}-14-ethyl-12,13-dihydroxy- 4-{[(2R,4S,5S,6S)-5-hydroxy-4-methoxy-4,6- dimethyloxan-2-yl]oxy}-7-methoxy-3,5,7,9,11,13-hexamethyl-1- oxacyclotetradecane-2,10-dione', '(3R,4S,5S,6R,7S,9R,11R,12R,13R,14R)-6-{[(2S,3R,4S,6R)-4-(dimethylamino)-3-hydroxy-6-methyloxan-2-yl]oxy}-14-ethyl-12,13-dihydroxy-4-{[(2R,4S,5S,6S)-5-hydroxy-4-methoxy-4,6-dimethyloxan-2-yl]oxy}-7-methoxy-3,5,7,9,11,13-hexamethyl-1-oxacyclotetradecane-2,10-dione', '(3R,4S,6R,7R,9R,11R,12R,13S,14R)-6-{[(2S,3R,4S,6R)-4-(Dimethylamino)-3-hydroxy-6-methyltetrahydro-2H-pyran-2-yl]oxy}-14-ethyl-12,13-dihydroxy-4-{[(2R,4R,5S,6S)-5-hydroxy-4-methoxy-4,6-dimethyltetrahyd ro-2H-pyran-2-yl]oxy}-7-methoxy-3,5,7,9,11,13-hexamethyloxacyclotetradecane-2,10-dione']</t>
  </si>
  <si>
    <t>Compound(84029)</t>
  </si>
  <si>
    <t>C38H69NO13</t>
  </si>
  <si>
    <t>1,2,3,4,6,7,8,9,10,10-decachloropentacyclo[5.3.0.02,6.03,9.04,8]decan-5-one</t>
  </si>
  <si>
    <t>['chlordecone', 'Kepone', '143-50-0', 'Clordecone', 'Merex', 'Decachloroketone', 'Chlordecone (kepone)', 'Compound 1189', 'General chemicals 1189', 'Rcra waste number U142', 'Decachlorotetracyclodecanone', 'Chlordecone [ISO]', 'Caswell No. 275', 'GC 1189', 'UNII-RG5XJ88UDF', 'NCI-C00191', 'Kepone-2-one, decachlorooctahydro-', 'CCRIS 128', 'ENT 16,391', 'NSC 124074', 'HSDB 1558', 'EINECS 205-601-3', 'RG5XJ88UDF', 'RCRA waste no. U142', 'EPA Pesticide Chemical Code 027701', 'Decachlorotetrahydro-4,7-methanoindeneone', 'AI3-16391', 'Decachloro-1,3,4-metheno-2H-cyclobuta(cd)pentalen-2-one', 'CHEBI:16548', 'Decachlorooctahydro-1,3,4-metheno-2H-cyclobuta(cd)pentalen-2-one', '1,1a,3,3a,4,5,5,5a,5b,6-Decachlorooctahydro-1,3,4-metheno-2H-cyclobuta(cd)pentalen-2-one', '1,1a,3,3a,4,5,5,5a,5b,6-decachlorooctahydro-2H-1,3,4-(methanetriyl)cyclobuta[cd]pentalen-2-one', '1,3,4-Metheno-2H-cyclobuta(cd)pentalen-2-one, 1,1a,3,3a,4,5,5,5a,5b,6-decachlorooctahydro-', '1,3,4-Metheno-2H-cyclobuta[cd]pentalen-2-one, 1,1a,3,3a,4,5,5,5a,5b,6-decachlorooctahydro-', 'Decachlorooctahydro-1,3,4-methano-2H-cyclobuta(cd)pentalen-2-one', 'DSSTox_CID_770', 'Perchloropentacyclo(5.3.0.0(2,6).0(3,9).0(4,8))decan-5-one', 'Decachloropentacyclo(5.2.1.0(2,6).0(3,9).0(5),(8))decan-4-one', 'Decachloropentacyclo(5.2.1.0(sup 2,6).0(sup 3,9).0(sup 5,8))decan-4-one', 'Decachloropentacyclo(5.3.0.0(sup 2,6).0(sup 4,10).0(sup 5,9))decan-3-one', '1,2,3,4,5,5,6,7,8,9,10,10-Dodecachlorooctahydro-1,3,4-metheno-2-cyclobuta(c,d)pentalone', '2,3,3a,4,5,6,7,7a,8,8a-Decachloro-3a,4,7,7a-tetrahydro-4,7-methanoinden-1-one', 'DSSTox_RID_75782', 'Chlorodecone', 'DSSTox_GSID_20770', '1,2,3,5,6,7,8,9,10,10-Decachloro(5.2.1.0(sup 2,6).0(sup 3,9).0(sup 5,8))decano-4-one', 'Decachloropentacyclo[5.2.1.0(2,6).0(3,9).0(5,8)]decan-4-one', 'ENT-16391', 'CAS-143-50-0', 'SMR001261798', 'perchloropentacyclo[5.3.0.0(2,6).0(3,9).0(4,8)]decan-5-one', 'Kepone, analytical standard', 'MLS002177806', 'MLS002454392', 'SCHEMBL119101', 'decachlorooctahydrokepone-2-one', 'CHEMBL462576', 'DTXSID1020770', 'CTK8F0287', 'S00336a', 'Tox21_201592', 'Tox21_300098', 'LS-849', 'AKOS015950798', 'chlordecone;Kepone (Chlordecone);Kepone', 'NCGC00091008-01', 'NCGC00091008-02', 'NCGC00091008-03', 'NCGC00091008-04', 'NCGC00091008-05', 'NCGC00091008-06', 'NCGC00091008-07', 'NCGC00091008-08', 'NCGC00091008-09', 'NCGC00254136-01', 'NCGC00259141-01', 'CC-29755', 'DB-042689', 'FT-0603353', 'NS00021657', 'C01792', 'Chlordecone, PESTANAL(R), analytical standard', 'C-22862', 'Q423892', 'Chlordecone, 99%, vial of 1 g, (Kepone equiv.)', 'J-007824', 'decachlorooctahydro-1,3,4- metheno-2H-cyclobuta(cd)pentalen-2-one', 'Decachlorooctahydro-1,3,4-metheno-2H-cyclobuta[cd]pentalin-2-one', 'Decachloropentacyclo(5.3.0.0(2,6).0(4,10).0(5,9))decan-3-one', 'decachlorpentacyclo (5.2.1.0(2,6).0(3,9).0(5,8)) decan-4-one', '1,1a,3,3a,4,5,5a,6-decachlorooctahydro-1,3,4-metheno-2H-cyclobuta(cd)pentalen-2-one', '1,2,3,5,6,7,8,9,10,10-Decachloro(5.2.1.0(2,6).0(3,9) .0(5,8))decan-4-one', 'CHLORDECONE (KEPONE) (SEE ALSO: CHLORDECONE ALCOHOL (CAS 1034-41-9))', '(1R,3aS,5bS,6S)-1,1a,3,3a,4,5,5,5a,5b,6-decachlorooctahydro-2H-1,3,4-(methanetriyl)cyclobuta[cd]pentalen-2-one', '1,1a,3,3a,4,5,5,5a,5b,6-decachlorooctahydro-1,3,4-Metheno-2H-cyclobuta[c,d]pentalen-2-one', '1,2,3,4,6,7,8,9,10,10-decachloropentacyclo[5.3.0.0(2,6).0(3,9).0(4,8)]decan-5-one', '1,2,3,5,6,7,8,9,10,10-de cachloropentacyclo[5.2.1.0(2,6).0(3,9).0(5,8)]decano-4-one', '1,2,3,5,6,7,8,9,10,10-decachloropentacyclo[5.2.1.0(2,6).0(3,9).0(5,8)]decano-4-one', '1,3,4-Metheno-2H-cyclobuta(cd)pentalen-2-one, 1,1a,3,3a,4,5,5,5a,5b,6-decachloroctahydro-']</t>
  </si>
  <si>
    <t>Compound(299)</t>
  </si>
  <si>
    <t>C10Cl10O</t>
  </si>
  <si>
    <t>(2R)-2-[2-[(1R)-1-(4-chlorophenyl)-1-phenylethoxy]ethyl]-1-methylpyrrolidine</t>
  </si>
  <si>
    <t>['clemastine', 'Meclastin', 'Mecloprodin', '15686-51-8', 'Clemastina', 'Clemastinum [INN-Latin]', 'Clemastina [INN-Spanish]', 'HS-592', 'Clemastinum', 'Meclastine', 'HS 592', 'C21H26ClNO', 'UNII-95QN29S1ID', '(+)-(2R)-2-(2-(((R)-p-Chloro-alpha-methyl-alpha-phenylbenzyl)oxy)ethyl)-1-methylpyrrolidine', 'CHEMBL1626', '(2R)-2-{2-[(1R)-1-(4-chlorophenyl)-1-phenylethoxy]ethyl}-1-methylpyrrolidine', '95QN29S1ID', 'CHEBI:3738', '2-(2-(4-Chlor-alpha-methylbenzhydryloxy)ethyl)-1-methylpyrrolidin', '(+)-(2R)-2-[2-[[(R)-p-Chloro-alpha-methyl-alpha-phenylbenzyl]oxy]ethyl]-1-methylpyrrolidine', '(2R)-2-[2-[(1R)-1-(4-chlorophenyl)-1-phenylethoxy]ethyl]-1-methylpyrrolidine', 'MLS002154260', 'Clemastine [USAN:BAN]', 'Tavist (*Fumarate*)', 'Pyrrolidine, 2-(2-(1-(4-chlorophenyl)-1-phenylethoxy)ethyl)-1-methyl-, (R-(R*,R*))-', 'NCGC00016710-01', 'SMR001233520', 'CAS-14976-57-9', 'Clemastine [USAN:INN:BAN]', '(R)-2-(2-((R)-1-(4-chlorophenyl)-1-phenylethoxy)ethyl)-1-methylpyrrolidine', '(R)-2-[2-[(R)-1-(4-chlorophenyl)-1-phenylethoxy]ethyl]-1-methylpyrrolidine', 'Tocris-1453', 'Prestwick0_000306', 'Prestwick1_000306', 'Prestwick2_000306', 'Prestwick3_000306', 'Spectrum2_000689', 'Spectrum3_000353', 'Spectrum4_000955', 'Spectrum5_001520', 'Lopac-C-8903', 'SCHEMBL4178', 'BSPBio_000272', 'BSPBio_002045', 'KBioGR_001570', 'BIDD:GT0391', 'DivK1c_000285', 'SPBio_000817', 'SPBio_002491', 'BPBio1_000300', 'GTPL6063', 'DTXSID2022832', 'BDBM94606', 'KBio1_000285', 'KBio3_001265', 'cid_45479735', 'NINDS_000285', 'HMS2089I22', 'KUC112480N', 'ZINC402830', '2-(2-(1-(4-Chlorophenyl)-1-phenylethoxy)ethyl)-1-methylpyrrolidine', 'BDBM50253157', 'DL-247', '2(R)-[2-[(1R)-(4-Chlorophenyl)-1-phenyl-ethoxy]ethyl-1-methylpyrrolidine', 'API0009140', 'DB00283', '(2R)-2-(2-{[(1R)-1-(4-chlorophenyl)-1-phenylethyl]oxy}ethyl)-1-methylpyrrolidine', 'IDI1_000285', 'Clemastine fumarate;Clemastine;clemastine', 'NCGC00015281-01', 'NCGC00016710-02', 'NCGC00025168-01', 'CC-25901', 'KSC-315-033-', 'M192', 'SBI-0052796.P003', 'LS-137531', 'AB00053766-06', 'AB00053766-07', 'AB00053766_08', 'AB00053766_09', '686C518', 'C-23710', 'Q418145', 'BRD-K30240666-051-05-0', 'BRD-K30240666-051-08-4', '(2R)-2-[2-[(1R)-1-(4-chlorophenyl)-1-phenyl-ethoxy]ethyl]-1-methyl-pyrrolidine', '(2R)-2-[2-[(1R)-1-(4-chlorophenyl)-1-phenyl-ethoxy]ethyl]-1-methyl-pyrrolidine;fumarate', '(E)-2-butenedioate;(2R)-2-[2-[(1R)-1-(4-chlorophenyl)-1-phenylethoxy]ethyl]-1-methylpyrrolidine', '(E)-but-2-enedioate;(2R)-2-[2-[(1R)-1-(4-chlorophenyl)-1-phenyl-ethoxy]ethyl]-1-methyl-pyrrolidine', '(E)-but-2-enedioate;(2R)-2-[2-[(1R)-1-(4-chlorophenyl)-1-phenylethoxy]ethyl]-1-methylpyrrolidine']</t>
  </si>
  <si>
    <t>Compound(26987)</t>
  </si>
  <si>
    <t>C21H26ClNO</t>
  </si>
  <si>
    <t>1-(4-amino-3,5-dichlorophenyl)-2-(tert-butylamino)ethanol</t>
  </si>
  <si>
    <t>['clenbuterol', 'Planipart', '37148-27-9', 'Clenbuterolum', 'Clenbuterolum [INN-Latin]', 'Monores', 'NAB-365', '(+/-)-clenbuterol', '4-Amino-3,5-dichloro-alpha-(((1,1-dimethylethyl)amino)methyl)benzenemethanol', '1-(4-Amino-3,5-dichlorophenyl)-2-(tert-butylamino)ethanol', 'EINECS 253-366-0', '4-Amino-alpha-((tert-butylamino)methyl)-3,5-dichlorobenzyl alcohol', 'BRN 1076467', 'NAB 365', 'CHEBI:174690', 'BENZENEMETHANOL, 4-AMINO-3,5-DICHLORO-alpha-(((1,1-DIMETHYLETHYL)AMINO)METHYL)-', 'NCGC00163150-01', '1-(4-Amino-3,5-dichloro-phenyl)-2-tert-butylamino-ethanol', 'dl-Clenbuterol', 'Benzyl alcohol, 4-amino-alpha-((tert-butylamino)methyl)-3,5-dichloro-', 'DSSTox_CID_2833', '50499-60-0', 'DSSTox_RID_76749', 'DSSTox_GSID_22833', '1-(4-amino-3,5-dichloro-phenyl)-2-(tert-butylamino)ethanol', '1-(4-amino-3,5-dichlorophenyl)-2-(tert-butylamino)ethan-1-ol', 'Clenbuterol [BAN:INN]', '1-(4-amino-3,5-dichlorophenyl)-2-[(1,1-dimethylethyl)amino]ethanol', '4-Amino-alpha-[(tert-butylamino)methyl]-3,5-dichlorobenzyl alcohol', '(RS)-Clenbutero', '(+-)-clenbuterol', 'Clenbuterol (INN)', 'Contraspasmin (TN)', 'CAS-37148-27-9', 'Clenbuterol [INN:BAN]', 'Planipart [veterinary] (TN)', '(-)-4-amino-alpha-[(tert-butylamino)methyl]-3,5-dichlorobenzyl alcohol', 'EINECS 256-529-4', 'Spectrum_001564', 'Prestwick0_000345', 'Prestwick1_000345', 'Prestwick2_000345', 'Prestwick3_000345', 'Spectrum3_000975', 'Spectrum4_000743', 'Spectrum4_001099', 'Spectrum5_001497', 'P 5369', 'SCHEMBL4722', 'BSPBio_000409', 'BSPBio_002609', 'KBioGR_001066', 'KBioGR_001518', 'KBioSS_002044', 'CHEMBL49080', 'DivK1c_000794', 'SPBio_002330', 'BPBio1_000451', 'DTXSID7022833', 'BDBM27958', 'CTK1H4006', 'KBio1_000794', 'KBio2_002044', 'KBio2_004612', 'KBio2_007180', 'KBio3_001829', 'NINDS_000794', 'HMS2089I15', 'Tox21_112016', 'AKOS007930151', 'Tox21_112016_1', 'API0002046', 'DB01407', 'ACM50306031', 'ACM50499600', 'Benzenemethanol, 4-amino-3,5-dichloro-.alpha.-[[(1,1-dimethylethyl)amino]methyl]-', 'IDI1_000794', 'NCGC00163150-02', 'NCGC00163150-03', 'NCGC00163150-04', 'NCGC00163150-05', 'NCGC00163150-07', 'AC-10284', 'LS-30602', 'SBI-0051858.P002', 'AB00053680', 'FT-0665080', 'FT-0665081', 'D07713', 'AB00053680-12', 'AB00053680_13', '148C279', 'Q223412', 'SR-01000721909-2', 'BRD-A75726477-003-04-9', '1-(4-Amino-3,5-dichlorophenyl)-2-(tert-butylamino)ethanol #', '(+)-4-amino-a-[(tert-butylamino)methyl]-3,5-dichlorobenzyl alcohol', '(-)-4-amino-a-[(tert-butylamino)methyl]-3,5-dichlorobenzyl alcohol', '1-(4-Amino-3,5-dichlorophenyl)-2-[(2-methyl-2-propanyl)amino]ethanol', '4-Amino-.alpha.-[(tert-butylamino)methyl]-3,5-dichlorobenzyl alcohol', '(+)-4-Amino-3,5-dichloro-alpha-[[(1,1-dimethylethyl)amino]methyl]benzenemethanol', '4-Amino-3,5-dichloro-.alpha.-(((1,1-dimethylethyl)amino)methyl)benzenemethanol', 'Benzenemethanol,4-amino-3,5-dichloro-a-[[(1,1-dimethylethyl)amino]methyl]-,(as)-']</t>
  </si>
  <si>
    <t>Compound(2783)</t>
  </si>
  <si>
    <t>C12H18Cl2N2O</t>
  </si>
  <si>
    <t>2-[(E)-N-[(E)-3-chloroprop-2-enoxy]-C-ethylcarbonimidoyl]-5-(2-ethylsulfanylpropyl)-3-hydroxycyclohex-2-en-1-one</t>
  </si>
  <si>
    <t>['Clethodim', '99129-21-2', 'Select', 'Clethodim [ISO]', '(Z)-clethodim', 'Clethodime', 'Centurion', '2-[1-[[[(2E)-3-chloro-2-propen-1-yl]oxy]imino]propyl]-5-[2-(ethylthio)propyl]-3-hydroxy-2-cyclohexen-1-one', 'Volunteer', 'Ogive', 'Prism', 'Select MAX', '2-Cyclohexen-1-one, 2-(1-(((3-chloro-2-propenyl)oxy)imino)propyl)-5-(2-(ethylthio)propyl)-3-hydroxy-', 'Centurion 240', 'Prism (pesticide)', '2-(N-{[(2E)-3-chloroprop-2-en-1-yl]oxy}propanimidoyl)-5-[2-(ethylsulfanyl)propyl]-3-hydroxycyclohex-2-en-1-one', 'Trigger [Pesticide]', 'C17H26ClNO3S', 'UNII-05SB62IB6F', 'Cletodime', 'RE 45601', 'CCRIS 9262', 'HSDB 7960', 'EPA Pesticide Chemical Code 121011', 'Clethodim, Technical grade', 'DSSTox_CID_14458', 'DSSTox_GSID_34458', 'SCHEMBL53788', 'SCHEMBL336564', '05SB62IB6F', 'DTXSID3034458', 'SCHEMBL10769831', 'CHEBI:70721', 'Tox21_304029', 'MFCD01632327', 'NCGC00163922-01', 'NCGC00357238-01', '2-(1-(((3-Chloro-2-propenyl)oxy)imino)propyl)-5-(2-(ethylthio)propyl)-3-hydroxy-2-cyclohexen-1-one', '2-{(E)-1-[(E)-3-Chloroallyloxyimino]propyl}-5-[2-(ethylthio)propyl]-3-hydroxy-2-cyclohexen-1-one', 'AS-15187', 'LS-57559', 'O401', 'RE-45601', 'CAS-99129-21-2', 'NS00019754', 'C18609', '129C212', 'Q27294484', 'Clethodim, PESTANAL(R), analytical standard, mixture of isomers', 'Clethodim. Short expiry date due to chemical nature of component(s)', '2-[(1E)-N-{[(2E)-3-Chloroprop-2-en-1-yl]oxy}propanimidoyl]-5-[2-(ethylsulfanyl)propyl]-3-hydroxycyclohex-2-en-1-one', '2-[(1E)-N-{[(2E)-3-chloroprop-2-en-1-yl]oxy}propanimidoyl]-5-[2-(ethylthio)propyl]-3-hydroxycyclohex-2-en-1-one', '2-[(E)-N-[(E)-3-chloroprop-2-enoxy]-C-ethylcarbonimidoyl]-5-(2-ethylsulfanylpropyl)-3-hydroxycyclohex-2-en-1-one']</t>
  </si>
  <si>
    <t>Compound(135491728)</t>
  </si>
  <si>
    <t>C17H26ClNO3S</t>
  </si>
  <si>
    <t>chlorfacinone</t>
  </si>
  <si>
    <t>2-[2-(4-chlorophenyl)-2-phenylacetyl]indene-1,3-dione</t>
  </si>
  <si>
    <t>['CHLOROPHACINONE', '3691-35-8', 'Chlorphacinon', 'Liphadione', 'Redentin', 'Rozol', 'Ratindan 3', 'Orcomolebait', 'Microzul', 'Muriol', 'Partox', 'Ratomet', 'Saviac', 'Topitox', 'Afnor', 'Lepit', 'CAID', 'DRAT', 'Actosin C', 'Chloorfacinon', 'Chlorfacinon', 'Baraage', 'Razol', 'LM 91', 'Chloorfacinon [Dutch]', 'Chlorfacinon [German]', 'Caswell No. 211C', 'Chlorphacinon [Italian]', 'Chlorophacinone [BSI:ISO]', 'HSDB 6432', 'EINECS 223-003-0', 'EPA Pesticide Chemical Code 067707', 'BRN 2063081', '2(2-(4-Chlorophenyl)-2-phenylacetyl)indan-1,3-dione', '2-(2-Phenyl-2-(4-chlorophenyl)acetyl)-1,3-indandione', '2-((4-Chlorophenyl)phenylacetyl)-1H-indene-1,3(2H)-dione', '2-[(4-chlorophenyl)phenylacetyl]-1h-indene-1,3(2h)-dione', '1H-Indene-1,3(2H)-dione, 2-[(4-chlorophenyl)phenylacetyl]-', 'CHEBI:81796', '2-(alpha-p-Chlorophenylacetyl)indane-1,3-dione', '2-((p-Chlorophenyl)phenylacetyl)-1,3-indandione', '2-[(p-Chlorophenyl)phenylacetyl]-1,3-indandione', '((4-Chlorphenyl)-1-phenyl)-acetyl-1,3-indandion', '1-(4-Chlorphenyl)-1-phenyl-acetyl-indan-1,3-dion', '2(2-(4-Cloro-fenil-2fenil)-acetil)indan-1,3-dione', '2(2-(4-Chloor-fenyl-2-fenyl)-acetyl)-indaan-1,3-dion', '2-(2-(4-Chlorophenyl)-2-phenylacetyl)indane-1,3-dione', 'Chlorophacinon', 'Chlorphacinone', 'Chlorphenacone', '((4-Chlorphenyl)-1-phenyl)-acetyl-1,3-indandion [German]', '1-(4-Chlorphenyl)-1-phenyl-acetyl-indan-1,3-dion [German]', '2-(alpha-p-Chlorophenyl-alpha-phenylacetyl)indane-1,3-dione', '2(2-(4-Chlor-phenyl-2-phenyl)acetyl)indan-1,3-dion [German]', '2(2-(4-Cloro-fenil-2FENIL)-acetil)indan-1,3-dione [Italian]', '2(2-(4-Chloor-fenyl-2-fenyl)-acetyl)-indaan-1,3-dion [Dutch]', 'Raticide-Caid', 'Chlorodiphacinone', '1,3-Indandione, 2-((p-chlorophenyl)phenylacetyl)-', '1,3-Indandione, 2-[(p-chlorophenyl)phenylacetyl]-', '1H-Indene-1,3(2H)-dione, 2-((4-chlorophenyl)phenylacetyl)-', 'Chlorophenacone', 'C23H15ClO3', 'Ramucide', 'Skaterpax', 'Raviac', 'Ranac', 'Sakarat special', '2-[2-(4-chlorophenyl)-2-phenylacetyl]indene-1,3-dione', 'Rozol Prairie Dog Bait', 'DSSTox_CID_12348', 'DSSTox_RID_78919', 'DSSTox_GSID_32348', 'SCHEMBL18961', '2(2-(4-Chlor-phenyl-2-phenyl)acetyl)indan-1,3-dion', 'CHEMBL1874081', 'DTXSID2032348', 'CTK8E3593', 'BCP20502', 'Tox21_301565', 'AKOS015896099', 'ACM3691358', 'NCGC00163928-01', 'NCGC00255247-01', 'AC-19783', 'LS-81148', 'M174', 'SC-18654', 'CAS-3691-35-8', 'NS00005218', 'C18514', 'Indandione, 2-((p-chlorophenyl)phenylacetyl)-', '691C358', 'A823450', 'Chlorophacinone, PESTANAL(R), analytical standard', 'Q413488', '2(2-(4-Chlor-phenyl-2-phenyl)acetyl)indan-1,3-dione', '2-[2-(4-chlorophenyl)-2-phenyl-ethanoyl]indene-1,3-dione', 'Indene-1,3(2H)-dione, 2-((4-chlorophenyl)phenylacetyl)-', '2-[(4-Chlorophenyl)(phenyl)acetyl]-1H-indene-1,3(2H)-dione', '2-[2-(4-chlorophenyl)-1-oxo-2-phenylethyl]indene-1,3-dione', '2-(2-(4-Chlorophenyl)-2-phenylacetyl)-1H-indene-1,3(2H)-dione']</t>
  </si>
  <si>
    <t>Compound(19402)</t>
  </si>
  <si>
    <t>C23H15ClO3</t>
  </si>
  <si>
    <t>chloroflurenol</t>
  </si>
  <si>
    <t>2-chloro-9-hydroxyfluorene-9-carboxylic acid</t>
  </si>
  <si>
    <t>['Chlorflurecol', 'Chlorflurenol', '2464-37-1', '2-Chloro-9-hydroxy-9H-fluorene-9-carboxylic acid', 'Chloroflurenol', '2-CHLORO-9-HYDROXYFLUORENE-9-CARBOXYLIC ACID', 'CME 73170P', 'CF 125', 'Caswell No. 192A', 'IT 3299', 'Chlorflurecol [BSI:ISO]', '9H-Fluorene-9-carboxylic acid, 2-chloro-9-hydroxy-', 'Chloroflurenol [ISO-French]', 'NSC 102385', 'EINECS 219-565-1', 'Fluorene-9-carboxylic acid, 2-chloro-9-hydroxy-', 'EPA Pesticide Chemical Code 292200', 'BRN 3344166', '2-chloro-9-hydroxy-9-fluorenecarboxylic acid', 'W-107291', 'SCHEMBL68561', '4-10-00-01339 (Beilstein Handbook Reference)', 'CHEMBL1904254', 'DTXSID2034251', 'CTK1A3036', 'NSC102385', 'AKOS015961500', 'ACM2464371', 'NSC-102385', 'VA10574', 'NCGC00164303-01', 'AC-14072', 'LS-69207', 'O684', 'AX8015705', 'DB-046512', 'FT-0634303', 'NS00027711', 'Chlorflurenol, PESTANAL(R), analytical standard', '2-chloranyl-9-oxidanyl-fluorene-9-carboxylic acid', '464C371', 'A817414', 'C-16273', '9H-Fluorene-9-carboxylicacid, 2-chloro-9-hydroxy-', 'Q27278817', 'Fluorene-9-carboxylic acid, 2-chloro-9-hydroxy- (8CI)']</t>
  </si>
  <si>
    <t>Compound(17169)</t>
  </si>
  <si>
    <t>C14H9ClO3</t>
  </si>
  <si>
    <t>chlorhexidine gluconate</t>
  </si>
  <si>
    <t>(1E)-2-[6-[[amino-[(E)-[amino-(4-chloroanilino)methylidene]amino]methylidene]amino]hexyl]-1-[amino-(4-chloroanilino)methylidene]guanidine;(2R,3S,4R,5R)-2,3,4,5,6-pentahydroxyhexanoic acid</t>
  </si>
  <si>
    <t>['CHLORHEXIDINE DIGLUCONATE', '18472-51-0', 'Chlorhexidine gluconate', 'Unisept', 'Chlorhexidine D-digluconate', 'Peridex', 'UNII-MOR84MUD8E', 'Chlorhexidine di-D-gluconate', 'Exidine', 'Periogard', 'MOR84MUD8E', "1,1'-Hexamethylene bis(5-(p-chlorophenyl)biguanide), digluconate", 'Kleersight', 'Fight bac', 'Chlorhexidin glukonatu', 'MFCD00083599', 'Prevacare', 'pHiso-Med', 'Chlorhexidine digluconate solution', 'Hibitane gluconate', 'Hibiclens (TN)', 'Periogard (TN)', 'D-Gluconic acid, compd. with N1,N14-bis(4-chlorophenyl)-3,12-diimino-2,4,11,13-tetraazatetradecanediimidamide (2:1)', 'Peridex (TN)', 'Chlohexidine gluconate', 'Chlorhexidine gluconate [USAN:USP:JAN]', 'EC 242-354-0', 'SCHEMBL34468', 'CHEMBL4297088', 'DTXSID5034519', 'CHEBI:28312', 'Chx plus concentrate premium chlorhexidine teat dip concentrate', "D-Gluconic acid, compd with N,N''-bis(4-chlorophenyl)-3,12-diimino-2,4,11,13-tetraazatetradecanediimidamide (2:1)", 'Chlorhexidine gluconate (JP17/USP)', 'AKOS015896303', 'AKOS025310696', 'M166', 'C08038', 'D00858', 'Chlorhexidine digluconate solution, 20% in H2O', 'J-011837', "1,1'-Hexamethylenebis[5-(4-chlorophenyl)biguanide] Digluconate", 'Chlorhexidine digluconate, Pharmaceutical Secondary Standard; Certified Reference Material', "1,6-Bis(N5-[p-chlorophenyl]-N1-biguanido)hexane; 1,1'-Hexamethylenebis(5-[p-chlorophenyl]biguanide)", '1-(4-chlorophenyl)-3-[N-[6-[[N-[N-(4-chlorophenyl)carbamimidoyl]carbamimidoyl]amino]hexyl]carbamimidoyl]guanidine; (2R,3S,4R,5R)-2,3,4,5,6-pentahydroxyhexanoic acid', "2,4,11,13-Tetraazatetradecanediimidamide, N,N''-bis(4-chlorophenyl)-3,12-diimino-, digluconate", "Gluconic acid, compd. with 1,1'-hexamethylene bis(5-(p-chlorophenyl)biguanide) (2:1), D- (8CI)", "N',N'''''-hexane-1,6-diylbis[N-(4-chlorophenyl)(imidodicarbonimidic diamide)]--D-gluconic acid (1/2)"]</t>
  </si>
  <si>
    <t>Compound(9552081)</t>
  </si>
  <si>
    <t>C34H54Cl2N10O14</t>
  </si>
  <si>
    <t>clindamycin</t>
  </si>
  <si>
    <t>(2S,4R)-N-[(1S,2S)-2-chloro-1-[(2R,3R,4S,5R,6R)-3,4,5-trihydroxy-6-methylsulfanyloxan-2-yl]propyl]-1-methyl-4-propylpyrrolidine-2-carboxamide</t>
  </si>
  <si>
    <t>['clindamycin', '18323-44-9', 'Dalacine', 'Chlolincocin', 'Clinimycin', 'Dalacin C', 'Sobelin', 'Cleocin', 'UNII-3U02EL437C', '7-Chlorolincomycin', '7-Chloro-7-deoxylincomycin', 'Clindamycine', 'Antirobe', 'Klimicin', 'ClindaDerm', '3U02EL437C', 'U 21251', 'Klindan 300', '7(S)-Chloro-7-deoxylincomycin', '7-Deoxy-7(S)-chlorolincomycin', 'C18H33ClN2O5S', 'methyl 7-chloro-6,7,8-trideoxy-6-{[(4R)-1-methyl-4-propyl-L-prolyl]amino}-1-thio-L-threo-alpha-D-galacto-octopyranoside', 'HSDB 3037', 'Clindamicina', 'Clindamycinum', 'U-21251', 'EINECS 242-209-1', '(2S,4R)-N-((1S,2S)-2-chloro-1-((2R,3R,4S,5R,6R)-3,4,5-trihydroxy-6-(methylthio)tetrahydro-2H-pyran-2-yl)propyl)-1-methyl-4-propylpyrrolidine-2-carboxamide', 'L-threo-a-D-galacto-Octopyranoside, methyl7-chloro-6,7,8-trideoxy-6-[[[(2S,4R)-1-methyl-4-propyl-2-pyrrolidinyl]carbonyl]amino]-1-thio-', 'U-21,251', 'Clindamycin [USAN:INN:BAN]', 'SR-05000001477', 'Clindamycin,(S)', '(2S,4R)-N-[(1S,2S)-2-chloranyl-1-[(2R,3R,4S,5R,6R)-6-methylsulfanyl-3,4,5-tris(oxidanyl)oxan-2-yl]propyl]-1-methyl-4-propyl-pyrrolidine-2-carboxamide', '(2S,4R)-N-[(1S,2S)-2-chloro-1-[(2R,3R,4S,5R,6R)-3,4,5-trihydroxy-6-(methylthio)-2-oxanyl]propyl]-1-methyl-4-propyl-2-pyrrolidinecarboxamide', '(2S,4R)-N-[(1S,2S)-2-chloro-1-[(2R,3R,4S,5R,6R)-3,4,5-trihydroxy-6-methylsulfanyl-tetrahydropyran-2-yl]propyl]-1-methyl-4-propyl-pyrrolidine-2-carboxamide', 'L-threo-alpha-D-galacto-Octopyranoside, methyl 7-chloro-6,7,8-trideoxy-6-(((1-methyl-4-propyl-2-pyrrolidinyl)carbonyl)amino)-1-thio-, (2S-trans)-', 'CLDM', 'NSC305832', 'Clindamycin (USAN/INN)', 'SCHEMBL3154', 'CHEMBL1753', 'CLINDA &amp; IL-12', 'clindamycin;clindamycin hydrochloride;Clindamycin hydrochloride', 'BIDD:GT0418', 'Clindamycin &amp; Interleukin 12', 'DTXSID2022836', 'GTPL10607', 'HMS2089A05', 'HMS2089N16', 'HY-B1455', 'L-threo-alpha-D-galacto-Octopyranoside, methyl 7-chloro-6,7,8-trideoxy-6-((((2S,4R)-1-methyl-4-propyl-2-pyrrolidinyl)carbonyl)amino)-1-thio-', 'L-threo-D-galacto-Octopyranoside, methyl 7-chloro-6,7,8-trideoxy-6-(1-methyl-4-propyl-L-2-pyrrolidinecarboxamido)-1-thio-, trans-alpha-', 'ZINC4038341', '2327AH', 'CC0170', 'AM84752', 'API0002057', 'CCG-268941', '(2S,4R)-N-[(1S,2S)-2-chloro-1-[(2R,3R,4S,5R,6R)-3,4,5-trihydroxy-6-methylsulfanyloxan-2-yl]propyl]-1-methyl-4-propylpyrrolidine-2-carboxamide', 'CS-11147', 'L-threo-.alpha.-D-galacto-Octopyranoside, methyl 7-chloro-6,7,8-trideoxy-6-[[[(2S,4R)-1-methyl-4-propyl-2-pyrrolidinyl]carbonyl]amino]-1-thio-', 'CS-0013163', '58207-19-5', 'C06914', 'D00277', 'AB01275425-01', 'AB01275425_02', '323C449', 'A812757', 'A831786', 'SR-05000001477-1', 'methyl 7-chloro-6,7,8-trideoxy-6-({[(2S,4R)-1-methyl-4-propyl-2-pyrrolidinyl]carbonyl}amino)-1-thio-L-threo-alpha-D-galacto-octopyranoside']</t>
  </si>
  <si>
    <t>Compound(446598)</t>
  </si>
  <si>
    <t>C18H33ClN2O5S</t>
  </si>
  <si>
    <t>chlormequat</t>
  </si>
  <si>
    <t>2-chloroethyl(trimethyl)azanium</t>
  </si>
  <si>
    <t>['Chlormequat', '7003-89-6', 'UNII-8SUZ1123XX', '2-Chloro-N,N,N-trimethylethanaminium', '8SUZ1123XX', 'CHEMBL341956', 'CHEBI:81850', '2-chloro-N,N,N-trimethylethan-1-aminium', 'Chlorocholine chloride', '(2-CHLOROETHYL)TRIMETHYLAMMONIUM', 'CHEMBL118539', 'Chlormequat [BSI:ISO]', 'Chlomequat', '2-chloroethyl(trimethyl)azanium', 'Chlormequat parent', 'Chlorcholinchloride', '2-Chloroethyltrimethylammonium ion', '(2-Chloroethyl)trimethylammonium (8CI)', 'Ethanaminium, 2-chloro-N,N,N-trimethyl-', 'SCHEMBL22644', '2-chloroethyl(trimethyl)ammonium', 'DTXSID4048064', '(beta-chloroethyl)trimethylammonium', 'trimethyl-(2-chloroethyl)-ammonium', 'ZINC1473469', 'BDBM50055170', 'trimethyl-(beta-chloroethyl)-ammonium', 'MCULE-4654671217', 'NCGC00166057-01', 'NCGC00166057-02', 'LS-187080', 'NS00010002', '(2-Chloro-ethyl)-trimethyl-ammonium; chloride', 'C18585', 'Q423860', 'Chlormequat parent;Chlormequat chloride;Ethanaminium, 2-chloro-N,N,N-trimethyl-;chlormequat chloride']</t>
  </si>
  <si>
    <t>Compound(13837)</t>
  </si>
  <si>
    <t>C5H13ClN+</t>
  </si>
  <si>
    <t>clobetasol propionate</t>
  </si>
  <si>
    <t>[(8S,9R,10S,11S,13S,14S,16S,17R)-17-(2-chloroacetyl)-9-fluoro-11-hydroxy-10,13,16-trimethyl-3-oxo-6,7,8,11,12,14,15,16-octahydrocyclopenta[a]phenanthren-17-yl] propanoate</t>
  </si>
  <si>
    <t>['CLOBETASOL PROPIONATE', '25122-46-7', 'Clobetasol 17-propionate', 'Clobex', 'Dermovate', 'Temovate', 'Embeline', 'Embeline E', 'Clobesol', 'Cormax', 'Temovate E', 'Olux-E', 'Clobestasol propionate', 'clobetasol 17-propanoate', 'GR 2/925', 'C25H32ClFO5', 'MLS000028708', '[(8S,9R,10S,11S,13S,14S,16S,17R)-17-(2-chloroacetyl)-9-fluoro-11-hydroxy-10,13,16-trimethyl-3-oxo-6,7,8,11,12,14,15,16-octahydrocyclopenta[a]phenanthren-17-yl] propanoate', 'CCI 4725', 'CGP 9555', '21-Chloro-9-fluoro-11beta,17-dihydroxy-16beta-methylpregna-1,4-diene-3,20-dione 17-propionate', 'EINECS 246-634-3', 'UNII-779619577M', 'CLOBETASOL PROPIONATE (EMOLLIENT)', 'SMR000058745', 'CHEBI:31414', 'CCI-4725', 'Pregna-1,4-diene-3,20-dione, 21-chloro-9-fluoro-11-hydroxy-16-methyl-17-(1-oxopropoxy)-, (11beta,16beta)-', 'DSSTox_CID_25907', 'DSSTox_RID_81219', 'DSSTox_GSID_45907', '21-Chloro-9-fluoro-11-hydroxy-16-methyl-17-(1-oxopropoxy)pregna-1,4-diene-3,20-dione (11beta,16beta)-', '779619577M', 'Dermoxinale', 'Butavate', 'Dermoval', 'Yugofin', '21-chloro-9-fluoro-11beta-hydroxy-16beta-methyl-3,20-dioxopregna-1,4-dien-17-yl propanoate', '21-Chloro-9-fluoro-11beta-hydroxy-16beta-methylpregna-1,4-diene-3,20-dione 17-propionate', 'Clobetasolpropionate', 'Olux E', 'Pregna-1,4-diene-3,20-dione, 21-chloro-9-fluoro-11-beta,17-dihydroxy-16-beta-methyl-, 17-propionate', 'Clobetasol propionate [USAN:JAN]', 'Clobetasol propionate gel', 'Clarelux', 'Impoyz', 'Clobetasolpropionat', 'NCGC00095078-01', 'CAS-25122-46-7', 'Clobex (TN)', 'Cormax (TN)', 'Clobetasol propionate [USAN:USP:JAN]', 'Olux (TN)', 'OLUX FOAM', 'Clobetasol propionate E', 'Propionic acid clobetasol', 'Opera_ID_1470', 'SCHEMBL3997', 'cid_32798', 'MLS001076345', 'AMOT0927', 'GTPL7062', 'CHEMBL1159650', 'DTXSID6045907', 'BDBM39347', 'EBD6220', 'HMS2090A04', 'HMS2230H08', 'HMS3259A10', 'HMS3714M04', 'Clobetasol propionate (JP17/USP)', 'BCP04125', 'ZINC3977767', 'Tox21_111414', 'MFCD00058499', 's2584', 'AKOS015951278', 'Tox21_111414_1', 'BCP9000539', 'CCG-220781', 'CS-2594', 'DB01013', 'NC00551', 'NCGC00023373-03', 'NCGC00023373-04', 'AC-17990', 'AS-12555', 'CC-25914', 'Clobetasol propionate, analytical standard', 'CPD000058745', 'HY-13600', 'BCP0726000094', 'LS-118433', 'D01272', 'AB00383081-10', 'AB00383081_11', '122C467', 'C-22667', 'Q421637', 'SR-01000000280', 'SR-01000000280-4', 'BRD-K10799896-001-10-6', 'BRD-K10799896-001-26-2', 'Clobetasol propionate, European Pharmacopoeia (EP) Reference Standard', 'Clobetasol propionate, United States Pharmacopeia (USP) Reference Standard', '21-Chloro-9-fluoro-11b,17-dihydroxy-16b-methylpregna-1,4-diene-3,20-dione 17-propionate', 'Clobetasol for peak identification, European Pharmacopoeia (EP) Reference Standard', 'Clobetasol Propionate, Pharmaceutical Secondary Standard; Certified Reference Material', '(11b,16b)-21-Chloro-9-fluoro-11-hydroxy-16-methyl-17-(1-oxopropoxy)pregna-1,4-diene-3,20-dione', '(11beta,16beta)-21-chloro-9-fluoro-11-hydroxy-16-methyl-3,20-dioxopregna-1,4-dien-17-yl propanoate', '(11beta,16beta)-21-Chloro-9-fluoro-11-hydroxy-16-methyl-3,20-dioxopregna-1,4-dien-17-yl propionate', '21-chloro-9-fluoro-11 beta-hydroxy-16 beta-methylpregna-1,4-diene-3,20-dione 17-propionate', '21-chloro-9-fluoro-11ss,17-dihydroxy-16ss-methylpregna-1,4-diene-3,20-dione 17-propionate', '21-Chloro-9alpha-fluoro-11beta,17alpha-dihydroxy-16beta-methyl-1,4-pregnadiene-3,20-dione 17-Propionate', 'CGP9555 pound&gt;&gt; CCl 4725 pound&gt;&gt;CGP 9555 pound&gt;&gt; CCl4725 pound&gt;&gt;CGP-9555 pound&gt;&gt; CCl-4725', 'clobetasol;Clobetasol propionate;21-chloro-9-fluoro-11ss,17-dihydroxy-16ss-methylpregna-1,4-diene-3,20-dione 17-propionate', 'Pregna-1,4-diene-3,20-dione, 21-chloro-9-fluoro-11-beta,17-dihydroxy-16-beta-methyl-,17-propionate']</t>
  </si>
  <si>
    <t>Compound(32798)</t>
  </si>
  <si>
    <t>C25H32ClFO5</t>
  </si>
  <si>
    <t>(2R)-2-[4-(5-chloro-3-fluoropyridin-2-yl)oxyphenoxy]propanoic acid</t>
  </si>
  <si>
    <t>['Clodinafop', '114420-56-3', '(R)-Clodinafop', 'UNII-I5VL6U0SD8', 'CGA 193469', '(2R)-2-[4-[(5-Chloro-3-fluoro-2-pyridinyl)oxy]phenoxy]propanoic Acid', 'I5VL6U0SD8', '(2R)-2-[4-(5-chloro-3-fluoropyridin-2-yl)oxyphenoxy]propanoic acid', 'Propanoic acid, 2-[4-[(5-chloro-3-fluoro-2-pyridinyl)oxy]phenoxy]-, (2R)-', '(2R)-2-{4-[(5-chloro-3-fluoropyridin-2-yl)oxy]phenoxy}propanoic acid', 'Clodinafop [ISO]', 'Propanoic acid, 2-(4-((5-chloro-3-fluoro-2-pyridinyl)oxy)phenoxy)-, (2R)-', 'Clodinafop (free acid)', 'SCHEMBL21389', 'CHEMBL2251592', 'DTXSID9042332', 'CHEBI:132841', 'Propanoic acid, 2-[4[[(5-chloro-3-fluoro-2-pyridinyl)oxy]phenoxy]- (2R)- (metabolite of clodinafop-propargyl)', 'ZINC5751089', 'AKOS028112281', 'KS-0000000D', 'AS-73016', 'J-003091', 'Q27225678']</t>
  </si>
  <si>
    <t>Compound(5483847)</t>
  </si>
  <si>
    <t>C14H11ClFNO4</t>
  </si>
  <si>
    <t>prop-2-ynyl (2R)-2-[4-(5-chloro-3-fluoropyridin-2-yl)oxyphenoxy]propanoate</t>
  </si>
  <si>
    <t>['Clodinafop-Propargyl', '105512-06-9', 'Topik', 'Discover', 'Clodinafop Propargyl', 'UNII-QEH394TY6Y', 'Clodinafop-propargyl [ISO]', 'HSDB 7007', 'CGA 184927', 'C17H13ClFNO4', 'QEH394TY6Y', '(R)-Prop-2-yn-1-yl 2-(4-((5-chloro-3-fluoropyridin-2-yl)oxy)phenoxy)propanoate', '(R)-2-(4-((5-chloro-3-fluoro-2-pyridinyl)oxy)phenoxy)propionic acid 2-propynyl ester', 'Clodinafop-propargyl ester', 'prop-2-ynyl (2R)-2-[4-(5-chloro-3-fluoropyridin-2-yl)oxyphenoxy]propanoate', 'prop-2-yn-1-yl (2R)-2-{4-[(5-chloro-3-fluoropyridin-2-yl)oxy]phenoxy}propanoate', 'Q-101471', 'Propanoic acid, 2-(4-((5-chloro-3-fluoro-2-pyridinyl)oxy)phenoxy)-, 2-propynyl ester, (R)-', 'Propanoic acid, 2-[4-[(5-chloro-3-fluoro-2-pyridinyl)oxy]phenoxy]-,2-propynyl ester, (2R)-', 'propynyl (r)-2-(4-((5-chloro-3-fluoro-2-pyridinyl)oxy)phenoxy)propanoate', 'Discover Herbicide', 'Clodinafop-proargyl', 'Discover  Herbicide', 'clodinafop propargyl ester', 'DSSTox_CID_12354', 'DSSTox_RID_78921', 'DSSTox_GSID_32354', 'SCHEMBL63885', 'cc-170', 'CHEMBL1898102', 'DTXSID6032354', 'KS-00000YSB', 'CHEBI:132921', '126301-94-8', 'DNDI1246788', 'EBD18076', 'Propanoic acid, 2-(4-((5-chloro-3-fluoro-2-pyridinyl)oxy)phenoxy)-, 2-propynyl ester, (2R)-', 'ZINC2382730', 'Tox21_300724', 'AKOS015961771', 'AC-1858', 'KS-5120', 'NCGC00164311-01', 'NCGC00164311-02', 'NCGC00164311-03', 'NCGC00254630-01', 'M196', 'LS-195705', 'CAS-105512-06-9', 'J10474', 'K-0499', '512C069', 'Q1102118', 'Clodinafop-propargyl ester 10 microg/mL in Acetonitrile', 'Clodinafop-propargyl ester 100 microg/mL in Acetonitrile', 'Clodinafop-propargyl, PESTANAL(R), analytical standard', 'UNII-BY3NXH6SAL component JBDHZKLJNAIJNC-LLVKDONJSA-N', '(R)-prop-2-ynyl 2-(4-(5-chloro-3-fluoropyridin-2-yloxy)phenoxy)propanoate', 'prop-2-ynyl (R)-2-[4-(5-chloro-3-fluoro-2-pyridyloxy)phenoxy]propionate', '2-propynyl (2R)-2-[4-[(5-chloro-3-fluoro-2-pyridinyl)oxy]phenoxy]propanoate', 'clodinafop-propargyl (ISO);Propanoic acid, 2-[4-[(5-chloro-3-fluoro-2-pyridinyl)oxy]phenoxy]-, 2-propyn-1-yl ester, (2R)-', 'Propynyl (R)-2-[4-[(5-chloro-3-fluoro-2-pyridinyl)oxy]phenoxy]propanoate; Topik; CGA-184927']</t>
  </si>
  <si>
    <t>Compound(92431)</t>
  </si>
  <si>
    <t>C17H13ClFNO4</t>
  </si>
  <si>
    <t>clofibric acid</t>
  </si>
  <si>
    <t>2-(4-chlorophenoxy)-2-methylpropanoic acid</t>
  </si>
  <si>
    <t>['clofibric acid', '882-09-7', '2-(4-Chlorophenoxy)-2-methylpropanoic acid', 'Chlorofibrinic acid', 'Clofibrinic acid', 'Chlorfibrinic acid', 'Clofibrin', '2-(4-CHLOROPHENOXY)-2-METHYLPROPIONIC ACID', 'Chlorophibrinic acid', 'PCIB', 'Clofibrate free acid', 'Clofibrinsaeure', 'Regadrin', 'Regulipid', '2-(4-Chlorophenoxy)isobutyric Acid', 'PCPIB', '2-(p-Chlorophenoxy)-2-methylpropionic acid', '4-CPIB', 'Propanoic acid, 2-(4-chlorophenoxy)-2-methyl-', '2-(p-Chlorophenoxy)isobutyric acid', 'alpha-(p-Chlorophenoxy)isobutyric acid', 'Acido clofibrico', 'Acide clofibrique', 'Acidum clofibricum', 'Acidum chlorphibricum', 'NSC 1149', 'NSC-1149', 'p-Chlorophenoxyisobutyric Acid', 'Clofibrinsaeure [German]', 'Acetic acid, (p-chlorophenoxy)dimethyl-', 'Clofibric acid [INN:DCF]', 'p-(2,4-Chlorophenoxy)isobutyric acid', '(Chlorophenoxy)isobutyric acid', 'Acide (p-chlorophenoxy)-2 methyl-2 propionique', 'Propionic acid, 2-(p-chlorophenoxy)-2-methyl-', 'alpha-(4-Chlorophenoxy)-alpha-methylpropionic acid', 'Acide clofibrique [INN-French]', 'Acido clofibrico [INN-Spanish]', 'Acidum clofibricum [INN-Latin]', 'UNII-53PF01Q249', 'EINECS 212-925-9', 'MFCD00004192', 'CHEMBL683', 'alpha-(4-Chlorophenoxy)isobutyric acid', 'BRN 1874067', '4-(Chlorophenoxy)isobutyric acid (VAN)', 'C10H11ClO3', '(p-Chlorophenoxy)isobutyric acid', '4-(Chlorophenoxy)isobutyric acid', 'CHEBI:34648', '53PF01Q249', 'Acide (p-chlorophenoxy)-2 methyl-2 propionique [French]', 'NCGC00016547-06', '.alpha.-(4-Chlorophenoxy)isobutyric acid', '.alpha.-(p-Chlorophenoxy)isobutyric acid', 'CAS-882-09-7', '2-(p-Chlorophenoxy)-2-methylpropanoic acid', 'DSSTox_CID_20661', 'DSSTox_RID_79526', 'DSSTox_GSID_40661', '.alpha.-(4-Chlorophenoxy)-.alpha.-methylpropionic acid', '2-(4-chlorophenoxy)-2-methylpropionic acid (clofibric acid)', 'SMR000677911', '2-(4-Chlorophenoxy)-2-methylpropionic acid, 99%', 'SR-01000597447', 'p-Chlorophenoxyisobutyrate', '14613-30-0', 'Clofibrinsaure', 'Clofibrate Acid', 'CCRIS 9254', '4-Chlorophenoxy-iso-butyrcc Acid', 'NSC1149', 'Prestwick_39', 'Clofibric acid (INN)', 'Spectrum_000160', 'Tocris-0825', 'ACMC-1BKDT', 'Prestwick0_000783', 'Prestwick1_000783', 'Prestwick2_000783', 'Prestwick3_000783', 'Spectrum2_000157', 'Spectrum3_000356', 'Spectrum4_000293', 'Spectrum5_001569', 'Spectrum5_001985', '2-(p-Chlorophenoxy)-2-methyl-propionic acid', 'alpha-(4-(Chlorphenoxy)-2-methylpropionsaeure', 'BSPBio_000886', 'BSPBio_002051', 'KBioGR_000846', 'KBioSS_000640', 'KSC448C8J', 'MLS001183705', 'MLS001336023', 'MLS001336024', 'MLS002153998', 'DivK1c_000226', 'SCHEMBL102826', 'SPECTRUM1500195', 'SPBio_000294', 'SPBio_002825', 'BPBio1_000976', 'ZINC1187', 'DTXSID1040661', 'p-chloro phenoxy isobutyric acid', 'BDBM28699', 'CTK3E8184', 'HMS500L08', 'KBio1_000226', 'KBio2_000640', 'KBio2_003208', 'KBio2_005776', 'KBio3_001271', 'KS-00000CDD', 'NINDS_000226', '2-(4-Chlorophenoxy)isobutyricAcid', 'HMS1570M08', 'HMS1920O17', 'HMS2097M08', 'HMS2236F05', 'HMS3266H12', 'HMS3373E14', 'HMS3411N07', 'HMS3652B13', 'HMS3675N07', 'HMS3714M08', 'Pharmakon1600-01500195', 'ALBB-000895', 'BCP13968', 'HY-B1415', '2-(p-chlorophenoxy) isobutyric acid', 'Tox21_110486', 'Tox21_301680', 'ANW-38964', 'BBL009445', 'CCG-38959', 'NSC756697', 's4207', 'SBB008306', 'STK141126', 'AKOS000109304', 'p-chlorophenoxy-2-methylpropionic acid', 'Tox21_110486_1', 'CS-4700', 'HS-0042', 'MCULE-3964453066', 'NSC-756697', 'VA10614', 'IDI1_000226', 'NCGC00016547-01', 'NCGC00016547-02', 'NCGC00016547-03', 'NCGC00016547-04', 'NCGC00016547-05', 'NCGC00016547-08', 'NCGC00024807-01', 'NCGC00024807-02', 'NCGC00024807-03', 'NCGC00024807-04', 'NCGC00024807-05', 'NCGC00255701-01', 'AC-15616', 'AK117246', 'K985', 'SBI-0051317.P002', '2-methyl-2-(4-chlorophenoxy)propionic acid', 'Clofibric acid (metabolite of CLOFIBRATE)', 'DB-057048', 'LS-124569', 'AB00051950', 'BB 0244890', 'Clofibric acid, analytical reference material', 'FT-0623988', 'FT-0665115', 'R1093', 'ST50308320', 'SW196355-3', '2-(4-chlorophenoxy)-2-methyl-propionic acid', '2-(p-chloro-phenoxy)-2-methyl-propionic acid', '2-(4-Chloro-phenoxy)-2-methyl-propionic acid', 'A16463', 'C13700', 'D07723', '2-(4-Chloro-phenoxy)-2-methyl-propionic  acid', 'AB00051950_08', 'AB00051950_09', '2-(p-Chlorophenoxy)-2-methylpropionic acid, 97%', 'AS-871/13465032', 'Propanoic acid, 2-methyl, 2-(4-chlorophenyloxy)', 'Q3080279', 'SR-01000597447-1', 'SR-01000597447-2', 'SR-01000597447-5', 'SR-01000597447-6', 'W-100413', 'BRD-K19111024-001-05-0', 'BRD-K19111024-001-10-0', 'BRD-K19111024-001-17-5', '2-(4-Chlorophenoxy)-2-methylpropionic acid 10 microg/mL in Acetonitrile']</t>
  </si>
  <si>
    <t>Compound(2797)</t>
  </si>
  <si>
    <t>clofibrate</t>
  </si>
  <si>
    <t>ethyl 2-(4-chlorophenoxy)-2-methylpropanoate</t>
  </si>
  <si>
    <t>['clofibrate', '637-07-0', 'Ethyl clofibrate', 'Ethyl 2-(4-chlorophenoxy)-2-methylpropanoate', 'Clofibratum', 'Atromid', 'Clofibrato', 'Liprin', 'Atromid-S', 'Miscleron', 'EPIB', 'Angiokapsul', 'Antilipid', 'Antilipide', 'Arterioflexin', 'Arterosol', 'Ateriosan', 'Athebrate', 'Atheromide', 'Atheropront', 'Chlorphenisate', 'Clofibate', 'Lipofacton', 'Ticlobran', 'Amotril', 'Anparton', 'Ateculon', 'Atrolen', 'Atromida', 'Lipavil', 'Lipavlon', 'Lipomid', 'Liprinal', 'Xyduril', 'Apolan', 'Amotril S', 'Ethyl chlorophenoxyisobutyrate', 'Athranid-wirkstoff', 'Atromidin', 'Bioscleran', 'Cartagyl', 'Citiflus', 'Claripex', 'Clofibram', 'Clofibrat', 'Clofinit', 'Clofipront', 'Fibralem', 'Gerastop', 'Hyclorate', 'Klofibrat', 'Klofiran', 'Levatrom', 'Lipidsenker', 'Liponorm', 'Liporeduct', 'Lobetrin', 'Normalip', 'Persantinat', 'Regardin', 'Serotinex', 'Skleromexe', 'Atrovis', 'Azionyl', 'Bresit', 'Clobrat', 'Clofar', 'Delipid', 'Deliva', 'Lipamid', 'Liporil', 'Liposid', 'Normat', 'Regelan', 'Sklero', 'Dura clofibrat', 'Sklero-Tablinen', 'neo-Atomid', 'Neo-Atromid', 'Atromid S', 'Claripex CPIB', 'Clobren-SF', 'CPIB', 'ELPI', 'Cinnarizin', 'Cloberat', 'Misclerone', 'Normolipol', 'Robigram', 'Skerolip', 'Artevil', 'Negalip', 'Normet', 'Recolip', 'Scrobin', 'Yoclo', 'Sklero-tabuls', 'Regelan N', '2-(4-Chlorophenoxy)-2-methylpropanoic acid ethyl ester', 'Lipide 500', 'Chlorfenisate', 'Oxan 600', 'Ethyl 2-(p-chlorophenoxy)isobutyrate', 'Artes', 'Propanoic acid, 2-(4-chlorophenoxy)-2-methyl-, ethyl ester', '2-(p-Chlorophenoxy)-2-methylpropionic acid ethyl ester', 'Ethyl para-chlorophenoxyisobutyrate', 'Ethyl 2-(4-chlorophenoxy)-2-methylpropionate', 'NSC-79389', 'Clofibrato [Spanish]', 'Ethyl p-chlorophenoxyisobutyrate', 'Clofibratum [INN-Latin]', 'Clofibrato [INN-Spanish]', 'AY 61123', 'AY-61123', 'alpha-p-Chlorophenoxyisobutyryl ethyl ester', 'ICI 28257', 'Ethyl 2-(4-chlorophenoxy)isobutyrate', 'Abitrate', 'alpha-(p-Chlorophenoxy)isobutyric acid, ethyl ester', 'UNII-HPN91K7FU3', 'Ethyl 2-(p-chlorophenoxy)-2-methylpropionate', 'C12H15ClO3', 'CCRIS 177', 'Ethyl-alpha-p-chlorophenoxy-isobutyrate', 'Ethyl alpha-(4-chlorophenoxy)isobutyrate', 'Ethyl alpha-(p-chlorophenoxy)isobutyrate', 'HSDB 3038', '19 more names available', 'EINECS 211-277-4', 'ICI-28257', 'NSC 79389', 'CHEMBL565', 'BRN 1913459', 'HPN91K7FU3', 'Acetic acid, (p-chlorophenoxy)dimethyl-, ethyl ester', 'CHEBI:3750', 'Propanoic acid, 2-(p-chlorophenoxy)-2-methyl-, ethyl ester', 'Propionic acid, 2-(4-chlorophenoxy)-2-methyl-, ethyl ester', 'Propionic acid, 2-(p-chlorophenoxy)-2-methyl-, ethyl ester', '.alpha.-p-Chlorophenoxyisobutyryl ethyl ester', 'NSC79389', 'Ethyl alpha-(4-chlorophenoxy)-alpha-methylpropionate', 'Ethyl alpha-(p-Chlorophenoxy)-alpha-methylpropionate', '.alpha.-(p-Chlorophenoxy)isobutyric acid, ethyl ester', 'Isobutyric acid, alpha-(p-chlorophenoxy)-, ethyl ester', 'Ethyl 2-(para-chlorophenoxy)-2-methylpropionate (IUPAC)', 'NCGC00015257-08', 'Sklerepmexe', 'Miskleron', 'Serofinex', 'Sklerolip', 'Skleromex', 'Ethyl .alpha.-(4-chlorophenoxy)isobutyrate', 'Ethyl .alpha.-(p-chlorophenoxy)isobutyrate', 'DSSTox_CID_336', 'Sklero-tablinene', '2-(4-Chlorophenoxy)isobutyric Acid Ethyl Ester', 'Clobren-5F', 'DSSTox_RID_75521', 'Vincamin compositum', 'DSSTox_GSID_20336', 'ethyl 2-[(4-chlorophenyl)oxy]-2-methylpropanoate', 'Ethyl .alpha.-(p-chlorophenoxy)-.alpha.-methylpropionate', 'Ethyl .alpha.-(4-chlorophenoxy)-.alpha.-methylpropionate', 'Clofibric Acid, Ethyl Ester', 'CAS-637-07-0', 'SMR000058279', 'clofibrate (CLOF)', 'Clofibrate [USAN:INN:BAN:JAN]', 'SR-01000075544', 'ATROMID-S (TN)', 'BML2-F02', 'Clofibrate liquid', 'Clobren SF', 'Clofibrate, liquid', 'Ethyl alpha-p-chlorophenoxyisobutyrate', 'Clofibrate [USAN:USP:INN:BAN:JAN]', 'Spectrum_001735', 'p-Chlorophenoxyisobutyric acid ethyl ester', 'Spectrum2_001209', 'Spectrum4_000223', 'Spectrum5_001133', 'Lopac-C-6643', 'UPCMLD-DP019', 'C 6643', 'ethyl 2-(4-chlorophenoxy)-2-methyl-propanoate', 'SCHEMBL2356', 'NCIOpen2_004739', 'BIDD:PXR0178', 'CBiol_001860', 'Lopac0_000306', 'BSPBio_001577', 'KBioGR_000297', 'KBioGR_000885', 'KBioSS_000297', 'KBioSS_002215', 'KSC492E2B', 'MLS001336011', 'MLS001336012', 'MLS002153494', 'BIDD:GT0172', 'DivK1c_000822', 'DivK1c_000926', 'SPBio_000998', 'Clofibrate (JP17/USP/INN)', 'GTPL2667', '2-(4-Chlorophenoxy)-2-methylpropionic acid ethyl ester', 'DTXSID3020336', 'UPCMLD-DP019:001', 'BCBcMAP01_000104', 'CTK3J2220', 'HMS502J04', 'HMS502O08', 'KBio1_000822', 'KBio1_000926', 'KBio2_000297', 'KBio2_002215', 'KBio2_002865', 'KBio2_004783', 'KBio2_005433', 'KBio2_007351', 'KBio3_000593', 'KBio3_000594', 'WLN: GR DOX1&amp;1&amp;VO2', 'ZINC56648', 'Clofibrate, &gt;=98.0% (GC)', 'NINDS_000822', 'NINDS_000926', 'Bio1_000146', 'Bio1_000635', 'Bio1_001124', 'Bio2_000297', 'Bio2_000777', 'HMS1361O19', 'HMS1791O19', 'HMS1989O19', 'HMS2089P03', 'HMS2093G07', 'HMS2233C17', 'HMS3260N14', 'HMS3373C06', 'HMS3402O19', 'HMS3715J03', 'Pharmakon1600-01503429', 'EBD52899', 'HY-B0287', 'ZX-AT020414', 'Tox21_110116', 'Tox21_202414', 'Tox21_300277', 'Tox21_500306', 'ANW-42230', 'BDBM50085047', 'BG0148', 'CCG-40281', 'MFCD00000615', 'NSC758474', 'SBB099633', 'AKOS015889383', 'Tox21_110116_1', 'API0025998', 'CS-2300', 'DB00636', 'LP00306', 'LS-7282', 'MCULE-9236719628', 'NE29896', 'NSC-758474', 'OR26850', 'SDCCGSBI-0050294.P004', 'IDI1_000822', 'IDI1_000926', 'IDI1_034047', 'KS-00000X36', 'Clofibrate, analytical reference material', 'NCGC00015257-01', 'NCGC00015257-02', 'NCGC00015257-03', 'NCGC00015257-04', 'NCGC00015257-05', 'NCGC00015257-06', 'NCGC00015257-07', 'NCGC00015257-09', 'NCGC00015257-10', 'NCGC00015257-11', 'NCGC00015257-12', 'NCGC00015257-14', 'NCGC00093755-01', 'NCGC00093755-03', 'NCGC00093755-04', 'NCGC00093755-05', 'NCGC00093755-06', 'NCGC00093755-07', 'NCGC00093755-08', 'NCGC00254073-01', 'NCGC00259963-01', 'NCGC00260991-01', 'AS-14127', 'CC-05772', 'K009', 'NCI60_041748', 'Ethyl .alpha.-p-(chlorophenoxy)isobutyrate', 'SBI-0050294.P003', 'AB0013973', 'DB-054528', 'AK01050740', 'EU-0100306', 'FT-0625865', 'FT-0665112', 'NS00015389', 'S1820', 'ST50319977', '2-(p-Chlorophenoxy)isobutyric acid ethyl ester', 'C06916', 'D00279', 'EN300-119182', 'AB00052358-07', 'AB00052358-08', 'AB00052358_09', 'AB00052358_10', 'Ethyl 2-(4-chlorophenoxy)-2-methylpropanoate #', 'A834483', 'C-14662', 'ethyl 2-(4-chloranylphenoxy)-2-methyl-propanoate', 'Acetic acid, (p-chlorophenoxy)dimethyl-, ethyl este', 'Ethyl 2-(4-chlorophenoxy)-2-methylpropionate, 99%', 'Q2701912', 'SR-01000075544-1', 'SR-01000075544-4', 'SR-01000075544-5', 'SR-01000075544-8', 'Z53835984', '2-(p-chlorophenoxy)-2-methylPropanoic acid ethyl ester', '2-(p-chlorophenoxy)-2-methylpropionic acid ethyl ester;', '2-(4-Chloro-phenoxy)-2-methyl-propionic acid ethyl ester', 'Clofibrate, European Pharmacopoeia (EP) Reference Standard', 'Isobutyric acid, .alpha.-(p-chlorophenoxy)-, ethyl ester', 'Clofibrate, United States Pharmacopeia (USP) Reference Standard']</t>
  </si>
  <si>
    <t>Compound(2796)</t>
  </si>
  <si>
    <t>C12H15ClO3</t>
  </si>
  <si>
    <t>3-(2-chloro-5,6-dihydrobenzo[b][1]benzazepin-11-yl)-N,N-dimethylpropan-1-amine</t>
  </si>
  <si>
    <t>['clomipramine', 'Chlorimipramine', '303-49-1', 'Monochlorimipramine', '3-Chloroimipramine', 'Hydiphen', 'Anafranil base', 'Anafranil (free base)', '3-(3-chloro-10,11-dihydro-5H-dibenzo[b,f]azepin-5-yl)-N,N-dimethylpropan-1-amine', 'Clomipraminum [INN-Latin]', 'Clomipramina [INN-Spanish]', 'Clomipramine [INN:BAN]', 'Clomicalm', 'NSC 169865', 'UNII-NUV44L116D', '5H-Dibenz[b,f]azepine-5-propanamine, 3-chloro-10,11-dihydro-N,N-dimethyl-', '3-Chloro-5-(3-(dimethylamino)propyl)-10,11-dihydro-5H-dibenz(b,f)azepine', 'Anafranil (TN)', 'EINECS 206-144-2', 'G 34586', 'BRN 1323477', '3-(3-Chloro-10,11-dihydro-5H-dibenzo[b,f]azepin-5-yl)-N,N-dimethyl-1-propanamine', 'NUV44L116D', 'CHEBI:47780', '3-(2-chloro-5,6-dihydrobenzo[b][1]benzazepin-11-yl)-N,N-dimethylpropan-1-amine', '5H-Dibenz(b,f)azepine, 10,11-dihydro-3-chloro-5-(3-(dimethylamino)propyl)-', '5H-Dibenz(b,f)azepine, 3-chloro-5-(3-(dimethylamino)propyl)-10,11-dihydro-', '5H-Dibenz(b,f)azepine-5-propanamine, 3-chloro-10,11-dihydro-N,N-dimethyl-', 'NSC-169865', 'NCGC00015264-08', 'Chlomipramine', 'Clomipramina', 'Clomipraminum', 'AK122641', 'DSSTox_CID_2844', 'DSSTox_RID_76755', 'DSSTox_GSID_22844', 'G-34586', '5H-Dibenz(b,f)azepine, 3-chloro-5-(3-(dimethylamino)propyl)-10,11-dihydro- (8CI)', 'CAS-303-49-1', 'Clomipramine (INN)', 'CAS-17321-77-6', 'Klomipramin', '3-chloro-5-(3-(dimethylamino)propyl)-10,11-dihydro-5H-dibenz[b,f]azepine', 'HSDB 7746', '5H-Dibenz[b,f]azepine, 3-chloro-5-[3-(dimethylamino)propyl]-10,11-dihydro-', 'CLOMIPRIMINE', 'PubChem17200', 'Spectrum_000444', 'Tocris-0457', 'Prestwick0_000269', 'Prestwick1_000269', 'Prestwick2_000269', 'Prestwick3_000269', 'Spectrum2_001729', 'Spectrum3_001707', 'Spectrum4_000350', 'Spectrum5_001235', 'Lopac-C-7291', 'Biomol-NT_000151', 'CHEMBL415', 'BIDD:PXR0151', 'Lopac0_000307', 'Oprea1_312582', 'SCHEMBL35423', 'BSPBio_000118', 'BSPBio_003294', 'KBioGR_000759', 'KBioSS_000924', '5-20-08-00103 (Beilstein Handbook Reference)', 'cid_68539', 'DivK1c_000797', 'SPBio_001778', 'SPBio_002337', 'C14H12ClN.C6H15N', 'BPBio1_000130', 'BPBio1_000661', 'GTPL2398', 'DTXSID6022844', 'BDBM77970', 'KBio1_000797', 'KBio2_000924', 'KBio2_003492', 'KBio2_006060', 'KBio3_002514', 'ZINC20248', 'NINDS_000797', 'HMS3428J14', 'Tox21_110117', 'ACM303491', 'BBL028455', 'MFCD31699980', 'NSC169865', 'PDSP1_000241', 'PDSP2_000240', 'STK534842', '10,11-dihydro-3-chloro-5-(3-(dimethylamino)propyl)-5H-dibenz(b,f)azepine', '3-chloro-10,11-dihydro-N,N-dimethyl-5H-Dibenz(b,f)azepine-5-propanamine', 'AKOS001487687', 'Clomipramine hydrochloride;Clomipramine', 'Tox21_110117_1', 'AB05476', 'API0002067', 'CCG-110307', 'DB01242', 'DS-6718', 'MCULE-6443168248', 'SDCCGSBI-0050295.P004', '3-(2-chloro-5,6-dihydrobenzo[b][1]benzazepin-11-yl)-N,N-dimethyl-propan-1-amine', 'IDI1_000797', 'NCGC00015264-01', 'NCGC00015264-02', 'NCGC00015264-03', 'NCGC00015264-04', 'NCGC00015264-05', 'NCGC00015264-06', 'NCGC00015264-07', 'NCGC00015264-09', 'NCGC00015264-10', 'NCGC00015264-13', 'NCGC00024355-02', 'NCGC00024355-04', 'NCGC00024355-05', 'LS-60386', 'SC-80642', 'SY246341', 'SBI-0050295.P003', 'AX8246819', 'AB00053695', 'NS00000038', 'C06918', 'D07727', 'Q58713', 'AB00053695-14', 'AB00053695_15', 'AB00053695_16', '303C491', 'L000890', '3-Chloro-5-[3-(dimethylamino)propyl]-10,f]azepine', '5H-Dibenz[b, 3-chloro-10,11-dihydro-N,N-dimethyl-', 'Anapramine; Chlorimipramine;G 34586; NSC 169865', 'BRD-K52989797-001-01-1', 'BRD-K52989797-003-05-8', 'BRD-K52989797-003-16-5', 'WLN: T C676 BN &amp; T &amp; J B3N1 &amp; 1 EG', '5H-Dibenz[b, 10,11-dihydro-3-chloro-5-[3-(dimethylamino)propyl]-', '5H-Dibenz[b, 3-chloro-5-[3-(dimethylamino)propyl]-10,11-dihydro-', '3-(2-chloro-5,6-dihydrobenzo[b][1]benzazepin-11-yl)propyl-dimethyl-amine;hydrochloride', '3-(3-Chloro-10,11-dihydro-5H-dibenzo[b,f]azepin-5-yl)-N,N-dimethyl-1-propanamine #', '3-(9-chloro-5,6-dihydrobenzo[b][1]benzazepin-11-yl)-N,N-dimethylpropan-1-amine', 'N,N-Dimethyl-7-chloro-10,11-dihydro-5H-dibenzo[b,f]azepine-5-propanamine-2,4-D2', 'N-[3-(3-chloro-10,11-dihydro-5H-dibenzo[b,f]azepin-5-yl)propyl]-N,N-dimethylamine', '(3-{5-chloro-2-azatricyclo[9.4.0.0^{3,8}]pentadeca-1(11),3(8),4,6,12,14-hexaen-2-yl}propyl)dimethylamine', '2241983-11-7', '3-(2-chloranyl-5,6-dihydrobenzo[b][1]benzazepin-11-yl)-N,N-dimethyl-propan-1-amine;hydrochloride', '3-(2-chloro-5,6-dihydrobenzo[b][1]benzazepin-11-yl)-N,N-dimethyl-1-propanamine;hydrochloride']</t>
  </si>
  <si>
    <t>Compound(2801)</t>
  </si>
  <si>
    <t>C19H23ClN2</t>
  </si>
  <si>
    <t>2-[(2-chlorophenyl)methyl]-4,4-dimethyl-1,2-oxazolidin-3-one</t>
  </si>
  <si>
    <t>['Clomazone', '81777-89-1', 'Dimethazone', '2-(2-Chlorobenzyl)-4,4-dimethylisoxazolidin-3-one', 'Command', 'Gamit', 'UNII-570RAC03NF', 'HSDB 6614', 'FMC 57020', '2-[(2-chlorophenyl)methyl]-4,4-dimethyl-1,2-oxazolidin-3-one', 'EPA Pesticide Chemical Code 125401', '2-(2-Chlorobenzyl)-4,4-dimethyl-1,2-oxazolidin-3-one', '570RAC03NF', 'CHEBI:3751', 'FMC57020', '2-((2-Chlorophenyl)methyl)-4,4-dimethyl-3-isoxazolidinone', '3-Isoxazolidinone, 2-[(2-chlorophenyl)methyl]-4,4-dimethyl-', '3-ISOXAZOLIDINONE, 2-((2-CHLOROPHENYL)METHYL)-4,4-DIMETHYL-', 'Clomazone [ISO]', '89493-06-1', 'Clomazone [ANSI:ISO]', 'CCRIS 9263', 'Clomazone PEAK 1', 'Clomazone PEAK 2', 'Clomazone (Command)', 'CLOMAZON', 'DSSTox_CID_12355', 'DSSTox_RID_78922', 'DSSTox_GSID_32355', 'SCHEMBL23519', 'CHEMBL1076356', 'DTXSID1032355', 'CTK8F8727', '2-[(2-chlorophenyl)methyl]-4,4-dimethyl-isoxazolidin-3-one', 'ZINC900785', 'Tox21_300958', 'AKOS015899346', 'Clomazone 1000 microg/mL in Acetone', 'Clomazone 10 microg/mL in Cyclohexane', 'CS-W020934', 'HY-W040194', 'Clomazone 10 microg/mL in Acetonitrile', 'NCGC00163923-01', 'NCGC00163923-02', 'NCGC00163923-03', 'NCGC00254860-01', 'AC-12514', 'AK129200', 'AS-15910', 'LS-86761', 'R321', 'AX8121951', 'CAS-81777-89-1', 'DB-056552', 'FT-0641841', 'NS00010041', 'Clomazone, PESTANAL(R), analytical standard', 'C11095', '777C891', 'C-36332', '2-(2-Chlorobenzyl)-4,4-dimethyl-3-isoxazolidinone', 'Q2187383', '2-(2-Chlorobenzyl)-4,4-dimethyl-3-isoxazolidinone #', '2-(2-chlorophenyl)methyl-4,4-dimethyl-3-isoxazolidinone', 'clomazone;2,(2-chlorobenzyl)-4,4-dimethyl-1,2-oxazoldin-3-one']</t>
  </si>
  <si>
    <t>Compound(54778)</t>
  </si>
  <si>
    <t>C12H14ClNO2</t>
  </si>
  <si>
    <t>5-(2-chlorophenyl)-7-nitro-1,3-dihydro-1,4-benzodiazepin-2-one</t>
  </si>
  <si>
    <t>['clonazepam', 'Chlonazepam', 'Klonopin', 'Rivotril', 'Antelepsin', 'Cloazepam', 'Iktorivil', '1622-61-3', 'Clonazepamum', 'Clonopin', 'Landsen', 'Antilepsin', 'Lonazep', 'Kenoket', 'Clonex', 'Paxam', 'Lktorivil', 'Solfidin', 'Alti-Clonazepam', 'Ro 4-8180', 'Ro 5-4023', 'Klonopin Rapidly Disintegrating', 'Clonazepamum [INN-Latin]', '5-(2-chlorophenyl)-7-nitro-1,3-dihydro-1,4-benzodiazepin-2-one', '1,3-Dihydro-7-nitro-5-(2-chlorophenyl)-2H-1,4.benzodiazepin-2-one', 'UNII-5PE9FDE8GB', '5-(2-Chlorophenyl)-1,3-dihydro-7-nitro-2H-1,4-benzodiazepin-2-one', '2H-1,4-Benzodiazepin-2-one, 5-(2-chlorophenyl)-1,3-dihydro-7-nitro-', 'NSC 179913', 'Ro 5-4023/B-7', '7-Nitro-5-(2-chlorophenyl)-3H-1,4-benzodiazepin-2(1H)-one', 'HSDB 3265', '5-(o-Chlorophenyl)-1,3-dihydro-7-nitro-2H-1,4-benzodiazepin-2-one', 'EINECS 216-596-2', '5PE9FDE8GB', 'CHEMBL452', 'Ro-5-4023', '5-(2-Chlorophenyl)-7-nitro-1,3-dihydro-2H-1,4-benzodiazepin-2-one', 'BRN 0759557', '2H-1,4-Benzodiazepin-2-one, 5-(o-chlorophenyl)-1,3-dihydro-7-nitro-', 'C15H10ClN3O3', 'CHEBI:3756', 'DEA No. 2737', '5-(o-Chlorophenyl)-7-nitro-1H-1,4-benzodiazepin-2(3H)-one', '5-(o-chlorophenyl)-7-nitro-1,3-dihydro-2H-1,4-benzodiazepin-2-one', '5-(2-Chloro-phenyl)-7-nitro-1,3-dihydro-benzo[e][1,4]diazepin-2-one', 'NSC179913', 'Ro-54023', 'NSC-179913', 'Ravotril', 'Rivatril', 'Rivoril', 'Melzap', '2-H-1,4-Benzodiazepin-2-one, 5-(o-chlorophenyl)-1,3-dihydro-7-nitro-', 'Apetryl', '5-(2-chlorophenyl)-7-nitro-1H-benzo[e][1,4]diazepin-2(3H)-one', 'Klonopin (TN)', 'Ro 54023', '106955-87-7', 'Clonazepam [USAN:INN:BAN:JAN]', 'Klonazepam', 'Clonazepam civ', 'Clonazepam, powder', 'Ro 4023', 'RO4023', 'Clonazepam [USAN:USP:INN:BAN:JAN]', '1,4.benzodiazepin-2-one', 'BIDD:PXR0144', 'Oprea1_168772', 'SCHEMBL38899', '5-24-04-00351 (Beilstein Handbook Reference)', 'Klonopin, Rivotril,Clonazepam', 'MLS003899214', 'DivK1c_000973', 'Clonazepam (JP17/USP/INN)', 'GTPL6963', 'DTXSID1022845', 'NIOSH/DF2374250', 'clonazepam--dea schedule iv item', 'CTK4A4881', 'HMS503C07', 'KBio1_000973', 'NINDS_000973', 'HMS2093H22', 'Clonazepam 0.1 mg/ml in Methanol', 'Clonazepam 1.0 mg/ml in Methanol', 'ZINC3813003', '1,3-Dihydro-5-(o-chlorophenyl)-7-nitro-3H-1,4-benzodiazepin-2-one', 'BDBM50019213', 'AKOS015902192', 'CCG-213669', 'DB01068', 'IDI1_000973', 'WLN: T67 GMV JN IHJ CNW KR BG', 'AC-15733', 'CC-25924', 'LS-34156', 'LS-34260', 'SMR000058982', 'SBI-0206863.P001', 'DF23742500', 'NS00010427', '5-(2-Chlorophenyl)-1,4-benzodiazepin-2-one', '5-(o-Chlorophenyl)-1,4-benzodiazepin-2-one', 'D00280', 'AB01563349_01', '622C613', 'A810362', 'C-19452', 'Q407988', 'SR-01000937610', '2-H-1, 5-(o-chlorophenyl)-1,3-dihydro-7-nitro-', '2H-1, 5-(2-chlorophenyl)-1,3-dihydro-7-nitro-', '2H-1, 5-(o-chlorophenyl)-1,3-dihydro-7-nitro-', 'SR-01000937610-2', 'Clonazepam solution, drug standard, 1.0 mg/mL in methanol', 'Clonazepam, European Pharmacopoeia (EP) Reference Standard', '3H-1,4-Benzodiazepin-2-one, 1,3-dihydro-5-(o-chlorophenyl)-7-nitro-', '5-(2-Chlorophenyl)-7-nitro-1,3-dihydro-2H-1,4-benzodiazepin-2-one #', '5-(2-chlorophenyl)-7-nitro-2,3-dihydro-1H-1,4-benzodiazepin-2-one', '7-nitro-1,3-dihydro-5-(o-chlorophenyl)-2H-1,4-benzodiazepin-2-one', 'Clonazepam solution, 1.0 mg/mL in methanol, ampule of 1 mL, certified reference material']</t>
  </si>
  <si>
    <t>Compound(2802)</t>
  </si>
  <si>
    <t>C15H10ClN3O3</t>
  </si>
  <si>
    <t>3,6-dichloropyridine-2-carboxylic acid</t>
  </si>
  <si>
    <t>['1702-17-6', 'CLOPYRALID', '3,6-Dichloropicolinic acid', '3,6-Dichloropyridine-2-carboxylic acid', '3,6-Dichloro-2-pyridinecarboxylic acid', 'Lontrel', '2-Pyridinecarboxylic acid, 3,6-dichloro-', 'Clopyralide', 'Benzalox', 'Cirtoxin', 'Matrigon', 'Transline', 'Versatill', 'Cyronal', 'Format', 'Reclaim', 'Shield', 'Stinger', 'Lontrel L', 'Dowco 290', 'Lontrel 3', 'Campaign', 'Cliophar', 'Huiloralid', 'Lontrel 100', 'Lontrel 300', 'Loncid', 'Crusader S', 'Acide dichloro-3,6 picolinique', 'Lontrel SF 100', 'Acide 3,6-dichloropicolinique', 'Caswell No. 323H', 'IWD 3523', 'XRM 3972', 'UNII-10G14M0WDH', 'Clopyralid [ANSI:BSI:ISO]', 'Kyselina 3,6-dichlorpikolinova', '3,6-Dichloro-pyridine-2-carboxylic acid', 'Picolinic acid, 3,6-dichloro-', 'HSDB 6593', 'EINECS 216-935-4', 'EPA Pesticide Chemical Code 117401', 'Acide 3,6-dichloropicolinique [French]', 'BRN 0473755', 'Kyselina 3,6-dichlorpikolinova [Czech]', 'Acide dichloro-3,6 picolinique [French]', '10G14M0WDH', '2-Pyridine carboxylic acid, 3,6-dichloro-', 'CHEBI:62961', 'DSSTox_CID_9221', 'DSSTox_RID_78716', 'DSSTox_GSID_29221', 'CAS-1702-17-6', 'Clopiralid', 'Dow shield', '3,6-Dichloro-2-Pyridinecarboxylicacid', 'PubChem20339', 'ACMC-209e0r', 'SCHEMBL54779', '5-22-02-00046 (Beilstein Handbook Reference)', 'CHEMBL1650605', 'DTXSID9029221', 'CTK0H7264', 'ZINC139433', 'ACT01550', 'Tox21_201435', 'Tox21_300876', '3,6-dichloropyridine carboxylic acid', 'AC-330', 'ANW-22441', 'BBL008976', 'MFCD00078655', 'SBB003622', 'STK373127', 'AKOS001083806', 'AB03013', 'CS-W019535', 'MCULE-3850879829', 'PS-6031', '3,6 Dichloropyridine-2-carboxylic acid', '2-Pyridinecarboxylicacid, 3,6-dichloro-', '3,6-dichloro-2-pyridine carboxylic acid', 'Clopyralid 10 microg/mL in Acetonitrile', 'NCGC00163834-01', 'NCGC00163834-02', 'NCGC00163834-04', 'NCGC00163834-05', 'NCGC00163834-06', 'NCGC00254780-01', 'NCGC00258986-01', 'AK-25485', 'BR-25485', 'Clopyralid 100 microg/mL in Acetonitrile', 'P777', 'SC-15507', 'DB-022127', 'LS-109670', 'AM20050872', 'D4117', 'EU-0000162', 'FT-0633781', 'NS00005373', 'ST50827842', 'Clopyralid, PESTANAL(R), analytical standard', 'EN300-08124', '02C176', 'B-7431', 'C18779', 'clopyralid (sous forme de sel de monoethanolamine)', 'SR-01000389672', 'Q2188539', 'SR-01000389672-1', 'W-107887']</t>
  </si>
  <si>
    <t>Compound(15553)</t>
  </si>
  <si>
    <t>heptan-2-yl 2-(5-chloroquinolin-8-yl)oxyacetate</t>
  </si>
  <si>
    <t>['Cloquintocet-mexyl', '99607-70-2', '1-Methylhexyl (5-chloroquinolin-8-yloxy)acetate', 'Cloquintocet-mexyl [ISO]', 'Cloquintocet mexyl', 'cloquintocet-1-methylhexyl ester', 'Heptan-2-yl 2-((5-chloroquinolin-8-yl)oxy)acetate', 'heptan-2-yl 2-(5-chloroquinolin-8-yl)oxyacetate', '2-Heptyl 2-(5-Chloro-8-quinolinyloxy)acetate', 'Acetic acid, [(5-chloro-8-quinolinyl)oxy]-, 1-methylhexyl ester', 'heptan-2-yl [(5-chloroquinolin-8-yl)oxy]acetate', 'heptan-2-yl 2-[(5-chloroquinolin-8-yl)oxy]acetate', '1-methylhexyl 2-[(5-chloro-8-quinolinyl)oxy]acetate', '(RS)-1-methylhexyl (5-chloroquinolin-8-yloxy)acetate', 'Acetic acid, 2-[(5-chloro-8-quinolinyl)oxy]-, 1-methylhexyl ester', 'UNII-99W15EH2M3', 'Cloquintocet - mexyl', 'Acetic acid, ((5-chloro-8-quinolinyl)oxy)-, 1-methylhexyl ester', 'Acetic acid, 2-((5-chloro-8-quinolinyl)oxy)-, 1-methylhexyl ester', 'Cloquintocetmexyl', '99W15EH2M3', 'EC 619-447-3', 'DSSTox_CID_21794', 'DSSTox_RID_79845', 'DSSTox_GSID_41794', 'SCHEMBL96159', 'KSC497A3D', 'CHEMBL3185510', 'DTXSID3041794', 'CTK3J7031', 'CHEBI:143155', 'Cloquintocet- 1 -methylhexyl ester', 'BCP14267', 'EBD40705', 'HY-B2024', 'KS-000011PP', 'Tox21_301561', 'KM3509', 'AKOS005082550', '1J-317S', 'AC-9079', 'CS-5215', 'MCULE-7044705326', 'NCGC00255554-01', 'AK143125', 'LS-11454', 'O792', 'SC-71363', 'AX8035571', 'CAS-99607-70-2', 'DB-057792', 'FT-0642401', 'NS00000113', '2-Heptyl 2-[(5-Chloroquinolin-8-yl)oxy]acetate', '607C702', 'C-36333', 'heptan-2-yl 2-(5-chloroquinolin-8-yloxy)acetate', 'J-521430', 'Q2979582', 'Cloquintocet-mexyl, PESTANAL(R), analytical standard', '(RS)-1-Methylhexyl (5-chloroquinolin-8-yloxy) acetate', '2-[(5-Chloroquinolin-8-yl)oxy]acetic Acid 2-Heptyl Ester', '[(1S)-1-methylhexyl] 2-[(5-chloro-8-quinolyl)oxy]acetate', 'Cloquintocet-1-methylhexyl ester 10 microg/mL in Acetonitrile', 'Cloquintocet mexyl; 1-Methylhexyl (5-chloroquinolin-8-yloxy)acetate', 'Cloquintocet-mexyl;Acetic acid, 2-[(5-chloro-8-quinolinyl)oxy]-, 1-methylhexyl ester']</t>
  </si>
  <si>
    <t>Compound(93528)</t>
  </si>
  <si>
    <t>C18H22ClNO3</t>
  </si>
  <si>
    <t>clothianidin</t>
  </si>
  <si>
    <t>1-[(2-chloro-1,3-thiazol-5-yl)methyl]-3-methyl-2-nitroguanidine</t>
  </si>
  <si>
    <t>['Clothianidin', '(E)-clothianidin', 'TI 435', 'Clothianidin [ISO]', 'Poncho 600', 'UNII-2V9906ABKQ', '2V9906ABKQ', 'CHEBI:39177', 'HSDB 7281', '1-[(2-chloro-1,3-thiazol-5-yl)methyl]-3-methyl-2-nitroguanidine', 'Celero', "(E)-N-(2-chloro-5-thiazolyl)methyl-N'-methyl-N''-nitroguanidine", '(E)-1-[(2-chloro-1,3-thiazol-5-yl)methyl]-3-methyl-2-nitroguanidine', "Guanidine, N-((2-chloro-5-thiazolyl)methyl)-N'-methyl-N''-nitro-, (C(E))-", 'Pancho', 'CLOTHIANIDINE', 'DSSTox_CID_14465', 'DSSTox_RID_79156', 'DSSTox_GSID_34465', 'SCHEMBL21214', 'CCRIS 9264', 'CHEMBL259727', 'DTXSID2034465', 'Tox21_301191', '((e)-1-(2-chloro-1,3-thiazol-5-ylmethyl)-3-methyl-2-nitroguanidine)', 'AKOS015900249', 'NCGC00163946-01', 'NCGC00163946-02', 'NCGC00163946-03', 'NCGC00255089-01', 'ACM205510538', 'AX8122024', 'Clothianidin 100 microg/mL in Acetonitrile', 'LS-183208', 'CAS-210880-92-5', 'C18508', 'EC 433-460-1', 'Clothianidin, PESTANAL(R), analytical standard', '(E)-1-(2-Chloro-1,3-thiazol-5-ylmethyl)-3- methyl-2-nitroguanidine (clothianidin)']</t>
  </si>
  <si>
    <t>Compound(86287519)</t>
  </si>
  <si>
    <t>C6H8ClN5O2S</t>
  </si>
  <si>
    <t>clotrimazole</t>
  </si>
  <si>
    <t>1-[(2-chlorophenyl)-diphenylmethyl]imidazole</t>
  </si>
  <si>
    <t>['clotrimazole', '23593-75-1', 'Lotrimin', 'Canesten', 'Mycelex', 'Clotrimazol', 'Mycosporin', 'Empecid', 'Mykosporin', 'Gyne lotrimin', 'Chlotrimazole', 'Trimysten', '1-(o-Chlorotrityl)imidazole', 'Mycelex G', 'Rimazole', 'Mycelex 7', 'Tibatin', 'Mono-baycuten', 'Lotrimin AF Cream', 'Mycelex Troches', 'Gyne-Lotrimin', 'Lotrimin AF Solution', 'Mycelex OTC', 'Canestine', 'Pedisafe', 'Veltrim', 'Gynix', 'Lotrimin Af', 'Trivagizole 3', 'Desamix F', 'Mycelex-G', 'Fem Care', 'Gyne-Lotrimin 3', 'Mycelex-7', 'Clotrimazolum', 'Monobaycuten', '(Chlorotrityl)imidazole', '1-((2-Chlorophenyl)diphenylmethyl)-1H-imidazole', 'Canifug', 'BAY b 5097', 'Lotrimax', 'Lotrimin AF Jock-Itch Cream', 'Mycelax', 'Mycofug', 'Mycelex-7 Combination Pack', 'BAY 5097', 'Gyne-Lotrimin Combination Pack', '1-(o-Chloro-alpha,alpha-diphenylbenzyl)imidazole', 'Gyne-Lotrimin 3 Combination Pack', 'Bay-B 5097', 'FB 5097', 'Lotrimin (TN)', 'Mycelex (TN)', 'Clotrimazol [INN-Spanish]', 'Clotrimazolum [INN-Latin]', '1-(o-Chlorophenyldiphenylmethyl)imidazole', '1H-Imidazole, 1-[(2-chlorophenyl)diphenylmethyl]-', '(2-Chlorophenyl)diphenyl-1-imidazolylmethane', 'Diphenyl(2-chlorophenyl)(1-imidazolyl)methane', 'Diphenyl-(2-chlorophenyl)-1-imidazolylmethane', '1-(alpha-(2-Chlorophenyl)benzhydryl)imidazole', 'NSC 257473', '1-[(2-chlorophenyl)(diphenyl)methyl]-1H-imidazole', 'Mycelex: MycosporinRimazole', 'DRG-0072', '1-[(2-chlorophenyl)-diphenylmethyl]imidazole', 'Bay b 9057', 'Prestwick_120', 'B 5097', 'UNII-G07GZ97H65', 'Bis-phenyl-(2-chlorophenyl)(1-imidazoyl)methane', 'CCRIS 6245', 'Methane, bis-phenyl-(2-chlorophenyl)-1-imidazolyl-', 'HSDB 3266', 'Bisphenyl-(2-chlorphenyl)-1-imidazolyl-methan', 'EINECS 245-764-8', 'Lopac-C-6019', 'NSC257473', '1-[(2-Chlorophenyl)diphenylmethyl]-1H-imidazole', 'CHEMBL104', '1H-Imidazole, 1-((2-chlorophenyl)diphenylmethyl)-', 'BRN 0622318', 'GNF-Pf-3499', 'MLS000028502', 'CHEBI:3764', '1-((o-Chloro-phenyl)diphenylmethyl)imidazole', '1-[(2-chlorophenyl)-diphenyl-methyl]imidazole', 'G07GZ97H65', 'NSC-257473', 'Bis-fenil-(2-clorofenil)-1-imidazolil-metano [Italian]', 'Bisphenyl-(2-chlorphenyl)-1-imidazolyl-methan [German]', 'NCGC00015251-02', 'Clotrimaderm', 'Klotrimazole', 'Canestene', 'Clomatin', 'Cutistad', 'Esparol', 'Kanesten', 'SMR000058306', 'Stiemazol', 'Nalbix', 'FemCare', 'Lotrimin Lotion', 'Canesten Cream', 'CAS-23593-75-1', 'Gino-Lotremine', 'Lotrimin Cream', 'Mycelex Cream', 'Myclo Solution', 'Mycelex Solution', 'Myclo Cream', 'DSSTox_CID_9871', 'Myclo-Gyne', 'Pan-Fungex', 'Canesten Solution', 'Lotrimin Solution', 'Neo-Zol Cream', 'Bis-phenyl-(2-chlorophenyl)-1-imidazoyl)methane', 'DSSTox_RID_78827', 'Mycelex Twin Pack', 'DSSTox_GSID_29871', 'CLT', 'Lotrimin AF Lotion', 'Imidazole, 1-(o-chloro-alpha,alpha-diphenylbenzyl)-', '1-(o-Chloro-.alpha.,.alpha.-diphenylbenzyl)imidazole', 'Myclo Spray Solution', 'clotrimeizol', 'Jidesheng', 'Canesten 1-Day Therapy', 'Canesten 3-Day Therapy', 'Canesten 6-Day Therapy', 'Canesten 1-Day Cream Combi-Pak', 'Canesten Combi-Pak 1-Day Therapy', 'Canesten Combi-Pak 3-Day Therapy', 'FB b 5097', 'SR-01000075771', 'Clotrimazole [USAN:INN:BAN:JAN]', 'chlortrimazole', 'clortrimazole', 'Klotrimazol', 'Otomax', 'Gyne-Lotrimin3', 'Bis-fenil-(2-clorofenil)-1-imidazolil-metano', 'Clotrimaderm Cream', 'Clotrimazole,(S)', 'clotrimazole crystalline', 'Clotrimazole [USAN:USP:INN:BAN:JAN]', 'Spectrum_001343', 'CPD000058306', 'Clotrimazole (Canesten)', 'Prestwick0_000267', 'Prestwick1_000267', 'Prestwick2_000267', 'Prestwick3_000267', 'Spectrum2_000128', 'Spectrum3_000359', 'Spectrum4_000295', 'Spectrum5_000781', 'CLOTRIMAZOLE;clotrimazole', 'C 6019', 'NCIMech_000609', 'cid_2812', 'SCHEMBL3850', '1-(2-chlorotrityl)imidazole', 'BIDD:PXR0036', 'Lopac0_000315', 'BSPBio_000114', 'BSPBio_002057', 'KBioGR_000850', 'KBioSS_001823', '5-23-04-00291 (Beilstein Handbook Reference)', 'MLS000758243', 'MLS001423972', 'BIDD:GT0450', 'DivK1c_000665', 'SPECTRUM1500200', 'BAY b5097', 'BAYb 5097', 'SPBio_000176', 'SPBio_002333', 'BPBio1_000126', 'GTPL2330', 'component of Otomax (Salt/Mix)', 'DTXSID7029871', 'Gyne-Lotrimin3 Combination Pack', 'BDBM31774', 'Clotrimazole (JP17/USP/INN)', 'HMS502B07', 'KBio1_000665', 'KBio2_001823', 'KBio2_004391', 'KBio2_006959', 'KBio3_001277', 'KS-00000XNX', 'Imidazole, 1-(o-chloro-.alpha.,.alpha.-diphenylbenzyl)-', 'component of Lotrimax (Salt/Mix)', 'NINDS_000665', 'HMS1568F16', 'HMS1920O21', 'HMS2051E11', 'HMS2091G10', 'HMS2095F16', 'HMS2235E20', 'HMS3260P12', 'HMS3369I03', 'HMS3393E11', 'HMS3655I09', 'HMS3712F16', 'Pharmakon1600-01500200', 'Imidazole,.alpha.-diphenylbenzyl)-', 'BAY-5097', 'BCP02150', 'ZINC3807804', 'Tox21_110111', 'Tox21_300415', 'Tox21_500315', 'CCG-35563', 'MFCD00057220', 'NSC756700', 's1606', 'STK700023', 'AKOS005607024', 'Tox21_110111_1', 'API0002086', 'CS-1926', 'DB00257', 'LP00315', 'MCULE-6862012558', 'NC00035', 'NSC-756700', 'SB17418', 'SDCCGSBI-0050303.P005', 'IDI1_000665', 'MRF-0000070', 'QTL1_000024', 'NCGC00015251-01', 'NCGC00015251-03', 'NCGC00015251-04', 'NCGC00015251-05', 'NCGC00015251-06', 'NCGC00015251-07', 'NCGC00015251-08', 'NCGC00015251-09', 'NCGC00015251-10', 'NCGC00015251-11', 'NCGC00015251-13', 'NCGC00015251-14', 'NCGC00093761-01', 'NCGC00093761-02', 'NCGC00093761-03', 'NCGC00093761-04', 'NCGC00093761-05', 'NCGC00093761-06', 'NCGC00254538-01', 'NCGC00261000-01', '[(2-chlorophenyl)diphenylmethyl]imidazole', '1-(o-chloro-a,a-diphenylbenzyl)imidazole', 'AS-13816', 'HY-10882', 'LS-78271', 'N713', 'SC-17936', '1-(2-Chloro-?,?-diphenylbenzyl)imidazole', 'SBI-0050303.P004', 'AB0015989', 'DB-046195', '1-[(2-Chlorophenyl)diphenylmethyl]imidazole', '455-EP2272972A1', '455-EP2272973A1', '455-EP2275420A1', '455-EP2277872A1', '455-EP2281816A1', '455-EP2292595A1', '455-EP2295055A2', '455-EP2295416A2', '455-EP2298748A2', '455-EP2298764A1', '455-EP2298765A1', '455-EP2305642A2', '455-EP2311453A1', '455-EP2311808A1', '455-EP2311829A1', 'AB00051951', 'EU-0100315', 'FT-0603193', 'NS00000282', 'ST50994242', 'SW196431-5', 'C06922', 'D00282', 'J10369', '1-(.alpha.-(2-Chlorophenyl)benzhydryl)imidazole', '1-[(2-chlorophenyl)-di(phenyl)methyl]imidazole', 'AB00051951-14', 'AB00051951_15', 'AB00051951_16', 'Clotrimazole, VETRANAL(TM), analytical standard', '593C751', 'A816789', 'Q413546', '1H-Imidazole, 1-[(2-chlorophenyl)-diphenylmethyl]', 'SR-01000075771-1', 'SR-01000075771-6', 'SR-01000075771-8', 'W-107394', '1-[(2-Chloro-phenyl)-diphenyl-methyl]-1H-imidazole', 'BRD-K15916496-001-14-7', 'SR-01000075771-10', '1-((2-Chlorophenyl)diphenylmethyl)-1H-imidazole (9CI)', '3ACDFDF8-38E3-4368-85D0-BDF8AE1E6591', 'Clotrimazole, British Pharmacopoeia (BP) Reference Standard', 'Clotrimazole, European Pharmacopoeia (EP) Reference Standard', 'Clotrimazole, United States Pharmacopeia (USP) Reference Standard', 'Clotrimazole for peak identification, European Pharmacopoeia (EP) Reference Standard', 'Clotrimazole, Pharmaceutical Secondary Standard; Certified Reference Material', '117829-71-7']</t>
  </si>
  <si>
    <t>Compound(2812)</t>
  </si>
  <si>
    <t>C22H17ClN2</t>
  </si>
  <si>
    <t>cloxacillin</t>
  </si>
  <si>
    <t>(2S,5R,6R)-6-[[3-(2-chlorophenyl)-5-methyl-1,2-oxazole-4-carbonyl]amino]-3,3-dimethyl-7-oxo-4-thia-1-azabicyclo[3.2.0]heptane-2-carboxylic acid</t>
  </si>
  <si>
    <t>['cloxacillin', 'Cloxacillinum', 'Cloxacilina', 'Cloxacilline', '61-72-3', 'Syntarpen', 'Cloxacillin sodium', 'Methocillin S', 'Tegopen', 'Clossacillina [DCIT]', 'Cloxacillin [INN:BAN]', 'Cloxacilina [INN-Spanish]', 'Cloxacilline [INN-French]', 'Cloxacillinum [INN-Latin]', 'BRL 1621', 'Methylchlorphenylisoxazoryl-penicillin', 'UNII-O6X5QGC2VB', '(3-(o-Chlorophenyl)-5-methyl-4-isoxazolyl)penicillin', 'CHEBI:49566', 'HSDB 3042', '6-(3-(o-Chlorophenyl)-5-methyl-4-isoxazolecarboxamido)penicillanic acid', 'Sodium cloxacillin', 'EINECS 200-514-7', 'O6X5QGC2VB', 'CHEMBL891', 'Clossacillina', '(2S,5R,6R)-6-({[3-(2-chlorophenyl)-5-methylisoxazol-4-yl]carbonyl}amino)-3,3-dimethyl-7-oxo-4-thia-1-azabicyclo[3.2.0]heptane-2-carboxylic acid', '4-Thia-1-azabicyclo(3.2.0)heptane-2-carboxylic acid, 6-(((3-(2-chlorophenyl)-5-methyl-4-isoxazolyl)carbonyl)amino)-3,3-dimethyl-7-oxo-, (2S-(2alpha,5alpha,6beta))-', '6-(((3-(2-Chlorophenyl)-5-methyl-4-isoxazolyl)carbonyl)amino)-3,3-dimethyl-7-oxo-4-thia-1-azabicyclo(3.2.0)heptane-2-carboxylic acid', 'Chloroxacillin', '4-Thia-1-azabicyclo(3.2.0)heptane-2-carboxylic acid, 6-(3-(O-chlorophenyl)-5-methyl-4-isoxazolecarboxamido)-3,3-dimethyl-7-oxo-', 'Tegopen (sodium monohydrate)', '4-Thia-1-azabicyclo(3.2.0)heptane-2-carboxylic acid, 6-(3-(o-chlorophenyl)-S-methyl-4-isoxazolecarboxamido)-3,3-dimethyl-7-oxo-', 'Orbenin (TN)', 'Cloxacillin (INN)', 'MCIPC', 'cloxazillin', 'P-25 (sodium monohydrate)', 'CloxacillinNa', 'Cloxapen (sodium monohydrate)', 'BRL-1621 (sodium monohydrate)', '(2S,5R,6R)-6-(3-(2-chlorophenyl)-5-methylisoxazole-4-carboxamido)-3,3-dimethyl-7-oxo-4-thia-1-azabicyclo[3.2.0]heptane-2-carboxylic acid', 'Cloxacillin ,(S)', 'Spectrum_001345', 'Cloxacillin, Antibiotic for Culture Media Use Only', 'Prestwick0_000186', 'Prestwick1_000186', 'Prestwick2_000186', 'Prestwick3_000186', 'Spectrum2_001143', 'Spectrum3_000360', 'Spectrum4_000296', 'Spectrum5_000783', 'Epitope ID:120363', 'SCHEMBL2953', 'BSPBio_000111', 'BSPBio_002059', 'KBioGR_000852', 'KBioSS_001825', 'DivK1c_000736', 'SPBio_001065', 'SPBio_002032', 'BPBio1_000123', 'DTXSID5022853', 'KBio1_000736', 'KBio2_001825', 'KBio2_004393', 'KBio2_006961', 'KBio3_001279', 'NINDS_000736', 'BCP24144', 'ZINC3875417', 'BDBM50022788', 'API0002087', 'DB01147', 'IDI1_000736', '(2S,5R,6R)-6-[[3-(2-chlorophenyl)-5-methyl-isoxazole-4-carbonyl]amino]-3,3-dimethyl-7-oxo-4-thia-1-azabicyclo[3.2.0]heptane-2-carboxylic acid', '(2S,5R,6R)-6-[3-(2-chlorophenyl)-5-methyl-1,2-oxazole-4-amido]-3,3-dimethyl-7-oxo-4-thia-1-azabicyclo[3.2.0]heptane-2-carboxylic acid', 'CC-25943', 'SC-78709', 'SBI-0051319.P003', 'LS-149769', 'C06923', 'D07733', '242C583', 'C-22298', 'Q422219', 'W-105105', 'BRD-K01244426-236-05-5', 'BRD-K01244426-236-08-9', '6-(3-o-Chlorophenyl-5-methylisoxazol-4-ylamido)penicillanic acid', '(2S,5R,6R)-6-(3-(2-chlorophenyl)-5-methylisoxazole-4-carboxamido)-3,3-dimethyl-7-oxo-4-thia-1-aza-bicyclo[3.2.0]heptane-2-carboxylic acid', '(2S,5R,6R)-6-{[3-(2-Chloro-phenyl)-5-methyl-isoxazole-4-carbonyl]-amino}-3,3-dimethyl-7-oxo-4-thia-1-aza-bicyclo[3.2.0]heptane-2-carboxylic acid', '(2S,5R,6R)-6-{[3-(2-Chlorophenyl)-5-methyl-1,2-oxazole-4-carbonyl]amino}-3,3-dimethyl-7-oxo-4-thia-1-azabicyclo[3.2.0]heptane-2-carboxylic acid', '4-Thia-1-azabicyclo[3.2.0]heptane-2-carboxylic acid, 6-[[[3-(2-chlorophenyl)-5-methyl-4-isoxazolyl]carbonyl]amino]-3,3-dimethyl-7-oxo-, (2S,5R,6R)-', '6-{[3-(2-Chloro-phenyl)-5-methyl-isoxazole-4-carbonyl]-amino}-3,3-dimethyl-7-oxo-4-thia-1-aza-bicyclo[3.2.0]heptane-2-carboxylic acid', 'Cloxacillin;cloxacillin sodium;Cloxacillin sodium;Sodium cloxacillin monohydrate;Cloxacillin Sodium Monohydrate']</t>
  </si>
  <si>
    <t>Compound(6098)</t>
  </si>
  <si>
    <t>C19H18ClN3O5S</t>
  </si>
  <si>
    <t>3-chloro-6-(4-methylpiperazin-1-yl)-11H-benzo[b][1,4]benzodiazepine</t>
  </si>
  <si>
    <t>['clozapine', '5786-21-0', 'Leponex', 'Clozapin', 'Fazaclo', 'CLOZARIL', 'Clorazil', 'Iprox', 'Clozapina', 'Clozapinum', 'HF-1854', 'Clozapinum [INN-Latin]', 'Clozapina [INN-Spanish]', 'W-801', 'HF 1854', '8-Chloro-11-(4-methyl-1-piperazinyl)-5H-dibenzo[b,e][1,4]diazepine', '8-chloro-11-(4-methylpiperazin-1-yl)-5H-dibenzo[b,e][1,4]diazepine', 'UNII-J60AR2IKIC', 'CCRIS 9171', 'HSDB 6478', '5H-Dibenzo[b,e][1,4]diazepine, 8-chloro-11-(4-methyl-1-piperazinyl)-', '8-Chloro-11-(4-methyl-1-piperazinyl)-5H-dibenzo(b,e)(1,4)diazepine', 'CHEMBL42', 'EINECS 227-313-7', 'J60AR2IKIC', 'BRN 0764984', 'C18H19ClN4', 'MLS000028472', 'CHEBI:3766', 'Asaleptin', 'Lepotex', '3-chloro-6-(4-methylpiperazin-1-yl)-11H-benzo[b][1,4]benzodiazepine', '5H-Dibenzo(b,e)(1,4)diazepine, 8-chloro-11-(4-methyl-1-piperazinyl)-', 'Fazaclo ODT', 'NCGC00015254-12', 'SMR000058365', 'CAS-5786-21-0', '8-Chloro-11-(4-methyl-piperazin-1-yl)-5H-dibenzo[b,e][1,4]diazepine', 'DSSTox_CID_2855', 'DSSTox_RID_76759', 'DSSTox_GSID_22855', 'W-105432', 'Azaleptine', 'Versacloz', 'Clozaril (TN)', '1333667-72-3', '6-chloro-10-(4-methylpiperazin-1-yl)-2,9-diazatricyclo[9.4.0.0^{3,8}]pentadeca-1,3(8),4,6,10,12,14-heptaene', 'Clozapine [USAN:INN:BAN]', 'LX 100-129', 'SR-01000000096', 'Clozapine (JAN/USP/INN)', 'Klozapin', 'Clozapine, solid', 'LEX-123', 'Clozapine [USAN:USP:INN:BAN]', '3-chloro-6-(4-methylpiperazin-1-yl)-5H-benzo[b][1,4]benzodiazepine', 'Prestwick_693', 'MFCD00153785', 'Clozapine (Clozaril)', 'KS-1166', 'Spectrum_000139', 'Tocris-0444', 'CPD000058365', 'Opera_ID_482', 'Prestwick0_000350', 'Prestwick1_000350', 'Spectrum2_000919', 'Spectrum3_001828', 'Spectrum4_000898', 'Lopac-C-6305', '8-Chloro-11-(4-methyl-1-piperazinyl)-5H-dibenzo[b,e][1,4]-diazepine', 'GTPL38', 'C 6305', 'Clozapine resolution mixture', 'SCHEMBL8397', 'REGID_for_CID_2818', 'SCHEMBL33323', 'KBioGR_000310', 'KBioGR_001336', 'KBioSS_000310', 'KBioSS_000599', 'MLS001077282', 'DivK1c_000343', 'SPECTRUM1500685', 'SPBio_000798', 'SPBio_002340', 'DTXSID5022855', 'BDBM22869', 'CHEBI:92657', 'CTK6I2968', 'HMS501B05', 'KBio1_000343', 'KBio2_000310', 'KBio2_000599', 'KBio2_002878', 'KBio2_003167', 'KBio2_005446', 'KBio2_005735', 'KBio3_000619', 'KBio3_000620', 'KBio3_002979', 'AOB5635', 'NINDS_000343', 'Bio1_000436', 'Bio1_000925', 'Bio1_001414', 'Bio2_000310', 'Bio2_000790', 'HMS1361P12', 'HMS1569E21', 'HMS1791P12', 'HMS1921C16', 'HMS1989P12', 'HMS2089L13', 'HMS2092I16', 'HMS2096E21', 'HMS2235E19', 'HMS3259J17', 'HMS3260H14', 'HMS3266A10', 'HMS3371H05', 'HMS3402P12', 'HMS3414F09', 'HMS3657E15', 'HMS3678F09', 'HMS3713E21', 'HMS3742K03', 'Pharmakon1600-01500685', 'BCP25196', 'ZINC3872123', 'Tox21_110113', 'Tox21_500276', 'ANW-42470', 'BDBM50001884', 'BG0154', 'CC0176', 'CCG-39881', 'GP7633', 'NSC757429', 's2459', 'ZINC19796155', 'Clozapine 1.0 mg/ml in Acetonitrile', '8-Chloro-11-(4-methyl)-1-piperazinyl)-5H-dibenzo[b,e][1,4]diazepine', 'AKOS005064444', 'AKOS026749900', 'Tox21_110113_1', 'CS-0644', 'DB00363', 'LP00276', 'MCULE-3665900006', 'NC00667', 'NSC-757429', 'SDCCGSBI-0050264.P005', 'NCGC00015254-01', 'NCGC00015254-02', 'NCGC00015254-03', 'NCGC00015254-04', 'NCGC00015254-05', 'NCGC00015254-06', 'NCGC00015254-07', 'NCGC00015254-08', 'NCGC00015254-09', 'NCGC00015254-10', 'NCGC00015254-11', 'NCGC00015254-13', 'NCGC00015254-14', 'NCGC00015254-15', 'NCGC00015254-16', 'NCGC00015254-17', 'NCGC00015254-18', 'NCGC00015254-20', 'NCGC00022902-02', 'NCGC00022902-04', 'NCGC00022902-05', 'NCGC00022902-06', 'NCGC00022902-07', 'NCGC00022902-08', 'NCGC00022902-09', 'NCGC00022902-10', 'NCGC00022902-11', 'NCGC00022902-12', 'NCGC00022902-13', 'NCGC00188978-01', 'NCGC00260961-01', 'H482', 'HY-14539', 'LS-60881', 'SC-12183', 'SC-26976', 'SBI-0050264.P004', 'AB0013069', 'DB-053121', 'D-107', 'EU-0100276', 'NS00000413', 'SW220247-1', 'EN300-52510', 'A10236', 'C06924', 'D00283', 'W-2845', 'AB00052158-13', 'AB00052158-14', 'AB00052158_15', 'AB00052158_16', '786C210', 'C-36335', 'Clozapine, drug standard, 1.0 mg/mL in methanol', 'L000195', 'L013417', 'Q221361', 'SR-01000000096-2', 'SR-01000000096-4', 'SR-01000000096-5', 'SR-01000000096-8', 'BRD-K37289225-001-09-1', 'BRD-K37289225-001-23-2', 'Clozapine, British Pharmacopoeia (BP) Reference Standard', 'Z1245633277', 'Clozapine, European Pharmacopoeia (EP) Reference Standard', 'Clozapine, United States Pharmacopeia (USP) Reference Standard', '8-Chloro-11-(4-methylpiperazino)-5H-dibenzo[b,e][1,4]diazepine', '(E)-8-chloro-11-(4-methylpiperazin-1-yl)-5H-dibenzo[b,e][1,4]diazepine', '3-chloro-6-(4-methyl-piperazin-1-yl)-5H-dibenzo[b,e][1,4]diazepine', '8-chloro-11-(4-methyl-piperazin-1-yl)-10H-dibenzo[b,e][1,4]diazepine', '3-Hydroxy-2-phenyl-propionic acid 8-methyl-8-aza-bicyclo[3.2.1]oct-3-yl ester', '8-Chloro-11-(4-methyl-piperazin-1-yl)-5H-dibenzo[b,e][1,4]diazepine (Clozapine)', '8-Chloro-11-(4-methyl-piperazin-1-yl)-5H-dibenzo[b,e][1,4]diazepine( Clozepine )', '8-Chloro-11-(4-methyl-piperazin-1-yl)-5H-dibenzo[b,e][1,4]diazepine(Ciozapine)', '8-Chloro-11-(4-methyl-piperazin-1-yl)-5H-dibenzo[b,e][1,4]diazepine(Clopazine)', 'Clozapine for peak identification, European Pharmacopoeia (EP) Reference Standard', 'Clozapine Resolution Mixture, United States Pharmacopeia (USP) Reference Standard', 'Clozapine solution, 1.0 mg/mL in methanol, ampule of 1 mL, certified reference material', 'CLOZAPINE, 8-CHLORO-11-(4-METHYL-PIPERAZIN-1-YL)-5H-DIBENZO[B,E][1,4]DIAZEPINE', '6-chloro-10-(4-methylpiperazin-1-yl)-2,9-diazatricyclo[9.4.0.0(3),]pentadeca-1,3,5,7,10,12,14-heptaene', '6-chloro-10-(4-methylpiperazin-1-yl)-2,9-diazatricyclo[9.4.0.03,8]pentadeca-1(11),3,5,7,9,12,14-heptaene']</t>
  </si>
  <si>
    <t>Compound(135398737)</t>
  </si>
  <si>
    <t>C18H19ClN4</t>
  </si>
  <si>
    <t>chlorothal-dimethyl</t>
  </si>
  <si>
    <t>dimethyl 2,3,5,6-tetrachlorobenzene-1,4-dicarboxylate</t>
  </si>
  <si>
    <t>['Chlorthal-dimethyl', 'dacthal', '1861-32-1', 'DIMETHYL TETRACHLOROTEREPHTHALATE', 'Dacthalor', 'Fatal', 'Chlorthal-methyl', 'Tetral', 'Dimethyl 2,3,5,6-tetrachloroterephthalate', 'Tetrachloroterephthalic acid dimethyl ester', 'DAC 4', 'Chlorthal dimethyl ester', 'Daktal [Czech]', '1,4-Benzenedicarboxylic acid, 2,3,5,6-tetrachloro-, dimethyl ester', 'Caswell No. 382', 'Dimethyl 2,3,5,6-tetrachlorobenzene-1,4-dicarboxylate', 'UNII-ZU3X5G2QLR', 'DCPA (VAN)', 'Chlorthal dimethyl', 'NSC 155745', 'Chlorthal-dimethyl [BSI:ISO]', 'HSDB 358', '2,3,5,6-Tetrachloroterephthalic acid dimethyl ester', 'DAC 893', 'EINECS 217-464-7', 'Terephthalic acid, tetrachloro-, dimethyl ester', 'ZU3X5G2QLR', 'EPA Pesticide Chemical Code 078701', 'BRN 1888840', 'AI3-52124', '2,3,5,6-Tetrachlorphthalsaure-dimethylester', 'Dimethyl tetrachloro-1,4-benzenedicarboxylate', 'CHEBI:34664', 'DAC-893', 'Dimethylester kyseliny tetrachlortereftalove [Czech]', '2,3,5,6-Tetrachlorphthalsaure-dimethylester [German]', 'NCGC00094521-05', 'DSSTox_CID_4000', 'DSSTox_RID_77254', 'DSSTox_GSID_24000', 'W-107783', 'Dimethyl 2,3,5,6-tetrachloro-1,4-benzenedicarboxylate', 'Daktal', 'CAS-1861-32-1', 'methyl 2,3,5,6-tetrachloro-4-(methoxycarbonyl)benzoate', 'Diformic Acid Chlorotitanate', 'Chlorothal', 'C10H6Cl4O4', 'Dactal', 'CCRIS 9261', 'Chlorothal-methyl', 'FR-0596', 'PubChem20581', 'Spectrum_001803', 'ACMC-1CMRC', 'SpecPlus_000394', 'Dimethylester kyseliny tetrachlortereftalove', 'Spectrum2_001876', 'Spectrum3_000817', 'Spectrum4_000657', 'Spectrum5_001944', 'DCPA / Chlorthal-dimethyl', 'SCHEMBL53477', 'BSPBio_002313', 'KBioGR_001033', 'KBioSS_002296', 'SPECTRUM330025', 'DivK1c_006490', 'SPBio_001752', 'CHEMBL1888079', 'DTXSID0024000', 'CTK8B1069', 'KBio1_001434', 'KBio2_002294', 'KBio2_004862', 'KBio2_007430', 'KBio3_001813', 'KS-00002WWL', 'ZINC156678', 'DCPA ( USA );chlorthal-dimethyl', 'HY-B2062', 'Tox21_300379', 'Tox21_400071', 'Vegetable turf and ornamental weeder', 'ANW-23263', 'CCG-39414', 'LS-953', 'MFCD00014902', 'NSC155745', 'SBB007929', 'AKOS002380307', 'WLN: 1OVR BG CG EG FG DVO1', 'ACM1861321', 'CS-5219', 'KS-5362', 'MCULE-3486663201', 'NSC-155745', 'ACM20098413', 'Dimethyl 2,5,6-tetrachloroterephthalate', 'NCGC00094521-01', 'NCGC00094521-02', 'NCGC00094521-03', 'NCGC00094521-04', 'NCGC00094521-06', 'NCGC00094521-07', 'NCGC00254510-01', '2,5,6-Tetrachlorphthalsaure-dimethylester', 'AC-19871', 'CC-06682', 'SC-52602', 'Terechloroterephthalic acid dimethyl ester', 'Chlorthal-dimethyl (DCPA. Dacthal) (NH4)', 'DB-044581', 'Tetrachloroterephthalic acid, dimethyl ester', '1, 2,3,5,6-tetrachloro-, dimethyl ester', 'DACTHAL (PESTICIDE/FERTILIZERMIXTURE)', 'FT-0625047', 'NS00000701', 'ST50409271', 'Dimethyl ester of tetrachloroterephthalic acid', '61D321', 'C14744', 'Chlorthal-dimethyl 10 microg/mL in Cyclohexane', 'Chlorthal-dimethyl 100 microg/mL in Cyclohexane', 'A813007', 'C-20067', '2,5,6-Tetrachloroterephthalic acid, dimethyl ester', 'Q5277322', '2,3,5,6-Tetrachloroterephthalic acid, dimethyl ester', 'Chlorthal-dimethyl, PESTANAL(R), analytical standard', 'Dimethyl 2,5,6-tetrachloro-1,4-benzenedicarboxylate', 'Terephthalic acid, 2,3,5,6-tetrachloro-,dimethyl ester', 'dimethyl 2,3,5,6-tetrakis(chloranyl)benzene-1,4-dicarboxylate', '2,3,5,6-Tetrachloro-1,4-benzenedicarboxilic acid dimethyl ester', '2,3,5,6-Tetrachloro-1,4-benzenedicarboxylic acid dimethyl ester', '2,3,5,6-tetrachlorobenzene-1,4-dicarboxylic acid dimethyl ester']</t>
  </si>
  <si>
    <t>Compound(2943)</t>
  </si>
  <si>
    <t>C10H6Cl4O4</t>
  </si>
  <si>
    <t>chlorothal</t>
  </si>
  <si>
    <t>2,3,5,6-tetrachloroterephthalic acid</t>
  </si>
  <si>
    <t>['Chlorthal', '2136-79-0', '2,3,5,6-TETRACHLOROTEREPHTHALIC ACID', 'Tetrachloroterephthalic acid', '1,4-Benzenedicarboxylic acid, 2,3,5,6-tetrachloro-', 'Perchloroterephthalic acid', 'Terephthalic acid, tetrachloro-', 'Chlorthal (VAN)', 'Chlorthal [ISO]', 'CHLORTHAL-DIACID', '2,3,5,6-Tetrachloro-1,4-benzenedicarboxylic acid', '2,3,5,6-tetrachlorobenzene-1,4-dicarboxylic acid', 'Caswell No. 833A', '2,3,5,6-Tetrachloro-1,4-dicarboxylic acid', 'UNII-96C2WU8832', 'NSC 12443', '96C2WU8832', 'Terephthalic acid, tetrachloro- (8CI)', 'BRN 1887098', 'AI3-33410', 'Dacthal diacid', 'FR-0614', 'PubChem20580', 'tetrachlorobenzene-1,4-dicarboxylic acid', 'tetrachloro-terephthalic acid', 'Tetrachloroterephthalic acid;', 'SCHEMBL70425', 'tetrachloro-terephthalic acid;', 'Chlorthal, BSI, ISO, WSSA', 'DTXSID3039400', 'CTK1A1961', 'KS-00000ZQI', 'ZINC575904', '2,5,6-Tetrachloroterephthalic acid', 'NSC12443', 'ZX-AT013152', '0864AB', 'EBD953993', 'NSC-12443', 'OR5794', 'SBB007936', 'STK981653', 'AKOS002384106', 'ACM2136790', 'AS06174', 'CM13835', 'LS10664', 'MCULE-2043354317', 'VZ31573', '2,3,5,6-tetrachloroterephthalic acid;', 'AC-19870', 'AK116577', 'LS-29791', 'SC-25483', 'tetrachlorobenzene-1,4-dicarboxylic acid;', 'AX8019355', 'DB-045559', 'FT-0602966', 'NS00006790', 'ST50488261', '33090-EP2305655A2', '33090-EP2311815A1', '136T790', '2,3,5,6-Tetrachloro-1,4-benzenecarboxylic acid;', 'C-18938', 'SR-01000004797', '1,4-Benzenedicarboxylicacid, 2,3,5,6-tetrachloro-', '2,3,5,6-tetrachloro-1,4-benzenedicarboxylic acid;', 'SR-01000004797-1', 'Q27271895', '2,3,5,6-Tetrachloro-1,4-dicarboxylic acid/AEI feminineEa']</t>
  </si>
  <si>
    <t>Compound(16493)</t>
  </si>
  <si>
    <t>C8H2Cl4O4</t>
  </si>
  <si>
    <t>chlorothiophos</t>
  </si>
  <si>
    <t>chloroxylenol</t>
  </si>
  <si>
    <t>4-chloro-3,5-dimethylphenol</t>
  </si>
  <si>
    <t>['4-Chloro-3,5-dimethylphenol', 'chloroxylenol', '88-04-0', '4-Chloro-3,5-xylenol', 'PCMX', 'Dettol', 'Benzytol', 'p-Chloro-m-xylenol', '2-Chloro-m-xylenol', '4-Chloro-m-xylenol', 'Ottasept', 'Desson', 'Espadol', 'Chloro-xylenol', 'Ottasept Extra', 'Husept Extra', 'p-Chloro-3,5-xylenol', 'Phenol, 4-chloro-3,5-dimethyl-', 'Willenol V', '3,5-Dimethyl-4-chlorophenol', 'parachlorometaxylenol', 'Septiderm-Hydrochloride', 'Chloroxylenolum', 'Chlorxylenolum', 'Cloroxilenol', '2-Chloro-5-hydroxy-m-xylene', 'Dettol, liquid antiseptic', 'Nipacide MX', 'Parametaxylenol', 'RBA 777', '2-Chloro-5-hydroxy-1,3-dimethylbenzene', '4-Chloro-1-hydroxy-3,5-dimethylbenzene', '3,5-Xylenol, 4-chloro-', 'Caswell No. 218', 'Clorossilenolo [DCIT]', 'C8H9ClO', 'NSC 4971', 'Cloroxilenol [INN-Spanish]', 'Chloroxylenolum [INN-Latin]', 'UNII-0F32U78V2Q', '4-chloro-3,5-dimethyl-phenol', 'HSDB 7427', 'EINECS 201-793-8', '4-Chloro-3, 5-xylenol', 'EPA Pesticide Chemical Code 086801', 'BRN 1862539', 'AI3-08632', 'CHEBI:34393', 'NSC4971', '0F32U78V2Q', '4-Chloro-3,5-dimethylphenol, 99%', 'NCGC00094614-03', 'Clorossilenolo', 'DSSTox_CID_12316', 'DSSTox_RID_78913', 'DSSTox_GSID_32316', 'Vionexus', 'CAS-88-04-0', 'Camel (pesticide)', 'Ayrtol', 'Chloroxylenol [USAN:INN:BAN]', 'Nipacide PX', 'Chloroxylenol(USAN', 'Chloroxylenol [USAN:USP:INN:BAN]', 'PubChem19739', 'Spectrum_000138', '3, 4-chloro-', 'ACMC-209qqy', 'm-Xylenol, 4-chloro-', 'Para-chloro-meta-xylenol', 'G00014-Watson-Int', 'Para Chloro Meta Xylenol', 'Spectrum2_000136', 'Spectrum3_000344', 'Spectrum4_000281', 'Spectrum5_000713', 'Chloroxylenol (USP/INN)', '4-chloro-3,5dimethylphenol', 'SCHEMBL34163', 'BSPBio_002007', 'KBioGR_000802', 'KBioSS_000598', 'p-Chloro-3,5-dimethylphenol', 'KSC490K5R', 'MLS000028592', 'BIDD:ER0218', 'DivK1c_000801', 'SPECTRUM1500182', 'SPBio_000212', 'WLN: QR DG C1 E1', '3,5-Dimethy-4-Chloro phenol', '3, 5-Dimethyl-4-chlorophenol', 'CHEMBL398440', 'ZINC1132', 'DTXSID0032316', 'CTK3J0558', 'HMS502I03', 'KBio1_000801', 'KBio2_000598', 'KBio2_003166', 'KBio2_005734', 'KBio3_001227', 'KS-00000JQO', 'NINDS_000801', 'HMS1920K19', 'HMS2091C22', 'HMS2233N06', 'HMS3369I18', 'Para Chloro Meta Xylenol (PCMX)', 'Pharmakon1600-01500182', '4-Chloro-3,5-dimethylphenol;PCMX', 'Chlorodimethylphenol (Chloroxylenol)', 'HY-B1414', 'NSC-4971', 'Name: 4-Chloro-3,5-dimethylphenol', 'Tox21_111305', 'Tox21_302047', 'AC-265', 'ANW-38936', 'CCG-38943', 'MFCD00002324', 'NSC756683', 's4518', 'STL183324', 'AKOS009159132', 'Tox21_111305_1', 'CS-4912', 'DB11121', 'MCULE-8065730786', 'NE10171', 'NSC-756683', 'IDI1_000801', 'NCGC00094614-01', 'NCGC00094614-02', 'NCGC00094614-04', 'NCGC00094614-06', 'NCGC00255257-01', 'AK-36681', 'H323', 'SC-22624', 'SMR000059157', '4-Chloro-3,5-xylenol;p-Chloro-m-xylenol', 'SBI-0051310.P003', 'DB-028803', 'LS-162628', 'FT-0618059', 'NS00010134', 'ST50824606', 'A16004', 'C14715', 'D03473', 'AB00051942_07', 'Q426460', 'SR-01000778359', 'SR-01000778359-2', '4-Chloro-3,5-dimethylphenol, purum, &gt;=98.0% (T)', 'BRD-K17223896-001-02-7', 'BRD-K17223896-001-06-8', 'F0001-2183', 'Z1235963354', 'Chloroxylenol, British Pharmacopoeia (BP) Reference Standard', 'Chloroxylenol, United States Pharmacopeia (USP) Reference Standard', 'Chloroxylenol, Pharmaceutical Secondary Standard; Certified Reference Material']</t>
  </si>
  <si>
    <t>Compound(2723)</t>
  </si>
  <si>
    <t>C8H9ClO</t>
  </si>
  <si>
    <t>cis-mevinphos</t>
  </si>
  <si>
    <t>methyl (E)-3-dimethoxyphosphoryloxybut-2-enoate</t>
  </si>
  <si>
    <t>['mevinphos', 'Phosdrin', '(E)-Mevinphos', 'Fosdrin', 'cis-Phosdrin', 'Meniphos', 'Phosfene', 'Gesfid', 'Menite', '7786-34-7', 'CMDP', 'Duraphos', 'Mevinfos', 'Compound 2046', 'alpha-Mevinphos', 'Mevinfos [Dutch]', 'PD 5 (pesticide)', '2-Methoxycarbonyl-1-methylvinyl dimethyl phosphate', 'cis-Mevinphos', 'Caswell No. 160B', 'PD 5', 'Mevinphos [BSI:ISO]', 'OS 2046', 'UNII-Q6VSZ656WV', 'O,O-Dimethyl O-(1-methyl-2-carboxyvinyl) phosphate', 'Phosdrin, .alpha.', 'ENT 22,374', 'HSDB 777', 'Dimethyl methoxycarbonylpropenyl phosphate', '1-Methoxycarbonyl-1-propen-2-yl dimethyl phosphate', '298-01-1', 'Methyl 3-(dimethoxyphosphinyloxy)crotonate', '3-Hydroxycrotonic acid methyl ester dimethyl phosphate', 'EINECS 206-051-7', 'EINECS 232-095-1', '2-Carbomethoxy-1-methylvinyl dimethyl phosphate', 'Dimethyl (1-methoxycarboxypropen-2-yl)phosphate', 'NSC 46470', '2-Carbomethoxy-1-propen-2-yl dimethyl phosphate', 'Dimethyl-1-carbomethoxy-1-propen-2-yl phosphate', 'methyl 3-[(dimethoxyphosphoryl)oxy]but-2-enoate', 'EPA Pesticide Chemical Code 015801', 'BRN 1793349', 'Dimethyl phosphate of methyl 3-hydroxy-cis-crotonate', 'Q6VSZ656WV', 'trans-Mevinphos', 'AI3-22374', 'O,O-Dimethyl-O-(2-carbomethoxy-1-methylvinyl) phosphate', '26718-65-0', '2-Butenoic acid, 3-((dimethoxyphosphinyl)oxy)-, methyl ester', 'Phosphoric acid, (1-methoxycarboxypropen-2-yl) dimethyl ester', 'Methyl 3-(dimethoxyphosphinoyloxy)but-2-enoate', 'methyl (E)-3-dimethoxyphosphoryloxybut-2-enoate', 'Methyl 3-((dimethoxyphosphinyl)oxy)-2-butenoate', '(2-Metossicarbonil-1-metil-vinil)-dimetil-fosfato', 'Dimethyl 2-methoxycarbonyl-1-methylvinyl phosphate', 'Methyl 3-hydroxycrotonate dimethyl phosphate ester', 'Methyl 3-hydroxy-alpha-crotonate dimethyl phosphate', '(2-Methoxycarbonyl-1-methyl-vinyl)-dimethyl-fosfaat', '(2-Methoxycarbonyl-1-methyl-vinyl)-dimethyl-phosphat', 'O,O-Dimethyl 1-carbomethoxy-1-propen-2-yl phosphate', '3-((Dimethoxyphosphinyl)oxy)-2-butenoic acid methyl ester', 'Methyl-3-hydroxy-alpha-crotonate, dimethyl phosphate ester', '(2-Methoxycarbonyl-1-methyl-vinyl)-dimethyl-fosfaat [Dutch]', '(2-Metossicarbonil-1-metil-vinil)-dimetil-fosfato [Italian]', 'Crotonic acid, 3-hydroxy-, methyl ester, dimethyl phosphate', 'Phosphate de dimethyle et de 2-methoxycarbonyl-1 methylvinyle', '(2-Methoxycarbonyl-1-methyl-vinyl)-dimethyl-phosphat [German]', 'Crotonic acid, 3-hydroxy-, methyl ester, dimethyl phosphate, (E)-', 'O,O-Dimethyl-O-2-methoxycarbonyl-1-methyl-vinyl-phosphat [German]', 'Phosphate de dimethyle et de 2-methoxycarbonyl-1 methylvinyle [French]', 'Phosphoric acid, dimethyl ester, ester with methyl 3-hydroxycrotonate', 'Methyl 3-((dimethoxyphosphinyl)oxy)crotonat, (E)-', '2-Butenoic acid, 3-[(dimethoxyphosphinyl)oxy]-, methyl ester', 'Fosdrine', '2-Butenoic acid, 3-((dimethoxyphosphinyl)oxy)-, methyl ester, (E)-', '2-Butenoic acid, 3-[(dimethoxyphosphinyl)oxy]-, methyl ester, (2E)-', '2-Butenoic acid, 3-[(dimethoxyphosphinyl)oxy]-, methyl ester, (E)-', 'Mevinphos (Phosdrin)', 'Apavinphos', 'Mevindrin', 'Gestid', 'C7H13O6P', '2-Butenoic acid, 3-((dimethoxyphosphinyl)oxy)-, methyl ester, (2E)-', 'Phosdrin,.beta.', '.alpha.-Mevinphos', 'Mevinphos Peak 1', 'Metsulphuron-Methyl', 'DSSTox_CID_12683', 'DSSTox_RID_79032', 'DSSTox_GSID_32683', 'SCHEMBL25891', '2-Butenoic acid,3-[(dimethoxyphosphinyl)oxy]-, methyl ester', 'CHEMBL1903674', 'DTXSID0058358', 'Methyl 3-((dimethoxyphosphinyl)oxy)-2-butenoate (9CI)', 'Methyl 3-hydroxycrotonate dimethyl phosphate ester (8CI)', 'CHEBI:38725', 'E-Mevinphos (cis-butenoic acid)', 'GEPDYQSQVLXLEU-AATRIKPKSA-', 'O,O-Dimethyl-O-2-methoxycarbonyl-1-methyl-vinyl-phosphat', '(E)-Mevinphos (cis-butenoic acid)', 'NSC46470', 'Tox21_301153', 'NSC-46470', 'WLN: 1OV1UY1&amp;OPO&amp;O1&amp;O1', 'ZINC13545166', 'AKOS015902589', 'ACM26718650', 'NCGC00163817-01', 'NCGC00163817-02', 'NCGC00163817-03', 'NCGC00163817-04', 'NCGC00255051-01', 'LS-55587', 'LS-55588', 'CAS-7786-34-7', 'C18688', 'Crotonic acid, methyl ester, dimethyl phosphate', '(E)-methyl 3-(dimethoxyphosphoryloxy)but-2-enoate', 'Q413540', 'Dimethyl (2-methoxycarbonyl-1-methylvinyl) phosphate', 'Crotonic acid, methyl ester, dimethyl phosphate, (E)-', 'Methyl (2E)-3-[(dimethoxyphosphoryl)oxy]-2-butenoate', 'methyl (2E)-3-[(dimethoxyphosphoryl)oxy]but-2-enoate', 'O,O-Dimethyl-O-2-carbomethoxy-1-methylvinyl phosphate', 'Phosphoric acid, ester with methyl 3-hydroxycrotonate', '(cis-2-Methoxycarbonyl-1-methylvinyl) dimethyl phosphate', '(.alpha.-2-Carbomethoxy-1-methylvinyl) dimethyl phosphate', 'UNII-14ZYO4IKXT component GEPDYQSQVLXLEU-AATRIKPKSA-N', '2-Carbomethoxy-1-methylvinyl dimethyl phosphate, .alpha. isomer', '3-[(DIMETHOXYPHOSPHINYL)OXY]-2-BUTENOIC ACID, METHYL ESTER', 'Methyl 3-[(dimethoxyphosphinyl)oxy]butenoate, .alpha. &amp; .beta. isomers', '(E)-Mevinphos solution, 100 mug/mL in acetonitrile, PESTANAL(R), analytical standard', 'Pesticide1_Mevinphos Isomer 1*_C7H13O6P_2-Butenoic acid, 3-[(dimethoxyphosphinyl)oxy]-, methyl ester, (2E)-']</t>
  </si>
  <si>
    <t>Compound(5355863)</t>
  </si>
  <si>
    <t>C7H13O6P</t>
  </si>
  <si>
    <t>cocaine</t>
  </si>
  <si>
    <t>methyl (1R,2R,3S,5S)-3-benzoyloxy-8-methyl-8-azabicyclo[3.2.1]octane-2-carboxylate</t>
  </si>
  <si>
    <t>['cocaine', 'Kokain', 'Neurocaine', 'Cocain', 'L-Cocaine', 'Cocaina', 'beta-Cocain', '(-)-Cocaine', 'Methyl Benzoylecgonine', 'l-Cocain', 'Benzoylmethylecgonine', 'Leaf', 'Dama blanca', "Pimp's drug", 'Cocaine free base', '1-Cocaine', 'White girl or lady', 'cocainum', 'Star-spangled powder', 'Cocaine, l-', 'Eritroxilina', 'Erytroxylin', 'Kokayeen', 'Bernies', 'Burese', 'Corine', '50-36-2', 'Kokan', 'Coke', 'UNII-I5Y540LHVR', 'Bernice', 'Cholly', 'Cecil', 'Flake', 'Blow', 'Girl', 'Lady', 'Rock', 'Snow', 'Toot', 'Happy trails', 'Green gold', 'Happy dust', 'Nose candy', 'Gold dust', 'Star dust', 'CHEBI:27958', '2-beta-Carbomethoxy-3-beta-benzoxytropane', 'HSDB 6469', 'C" Carrie', 'I5Y540LHVR', '2-beta-Tropanecarboxylic acid, 3-beta-hydroxy-, methyl ester, benzoate (ester)', 'methyl (1R,2R,3S,5S)-3-(benzoyloxy)-8-methyl-8-azabicyclo[3.2.1]octane-2-carboxylate', 'Crack cocaine', 'Methyl 3beta-hydroxy-1alphaH,5alphaH-tropane-2beta-carboxylate benzoate (ester)', 'COC', 'Ecgonine, methyl ester, benzoate (ester)', 'Jam', 'Crack', '3-Tropanylbenzoate-2-carboxylic acid methyl ester', '2beta-Carbomethoxy-3beta-benzoxytropane', '1-alpha-H,5-alpha-H-Tropane-2-beta-carboxylic acid, 3-beta-hydroxy-, methyl ester, benzoate', '2-Methyl-3beta-hydroxy-1alphaH,5alphaH-tropane-2beta-carboxylate benzoate (ester)', '3-(Benzoyloxy)-8-methyl-8-azabicyclo-(3.2.1)octane-2-carboxylic acid methyl ether', '3beta-Hydroxy-1alphaH,5alphaH-tropane-2beta-carboxylic acid methyl ester benzoate', 'methyl (1S,3S,4R,5R)-3-benzoyloxy-8-methyl-8-azabicyclo[3.2.1]octane-4-carboxylate', 'methyl [1R-(exo,exo)]-3-(benzoyloxy)-8-methyl-8-azabicyclo[3.2.1]octane-2-carboxylate', 'Methyl 3-beta-hydroxy-1-alpha-H,5-alpha-H-tropane-2-beta-carboxylate benzoate (ester)', '(1R,2R,3S,5S)-2-Methoxycarbonyltropan-3-yl benzoate', 'Blow [Street Name]', 'Girl [Street Name]', 'Lady [Street Name]', 'Rock [Street Name]', 'Toot [Street Name]', 'Cecil [Street Name]', 'Flake [Street Name]', 'Sleighride', 'Badrock', 'Bazooka', 'Bernice [Street Name]', 'Blizzard', 'Cabello', 'Charlie', 'Cocktail', 'Goofball', 'Moonrocks', 'Blast', 'Candy', 'Caviar', 'Freeze', 'Heaven', 'Snort', 'Trails', 'Coca', 'Cola', 'Hell', 'Toke', 'Yeyo', 'Bouncing Powder', 'Chicken Scratch', 'Happy powder', 'EINECS 200-032-7', 'Florida Snow', 'Sweet Stuff', 'Gold dust [Street Name]', 'Prime Time', 'C Carrie', 'Happy dust [Street Name]', '8-Azabicyclo(3.2.1)octane-2-carboxylic acid, 3-(benzoyloxy)-8-methyl-, methyl ester, (1R-(exo,exo))-', 'Foo Foo', "Kibbles n' Bits", 'Snow (birds)', 'G-Rock', '[1R-(exo,exo)]-3-(benzoyloxy)-8-methyl-8-azabicyclo[3.2.1]octane-2-carboxylic acid, methyl ester', 'methyl (1R,2R,3S,5S)-8-methyl-3-[(phenylcarbonyl)oxy]-8-azabicyclo[3.2.1]octane-2-carboxylate', 'Cholly [Street Name]', 'Cocaine [USP:BAN]', 'Star dust [Street Name]', 'Green gold [Street Name]', 'DEA No. 9041', 'Happy trails [Street Name]', 'Line', 'Cocaine (-)', '1i7z', 'Epitope ID:158626', 'SCHEMBL21930', 'CHEMBL370805', 'GTPL2286', 'IDS-NC-004', 'DTXSID2038443', 'BDBM22418', '(1R,2R,3S,5S)-2-(methoxycarbonyl)tropan-3-yl benzoate', '1q72', 'Cocaine 0.1 mg/ml in Acetonitrile', 'Cocaine 1.0 mg/ml in Acetonitrile', 'ZINC3875336', 'RX0041', 'AKOS015965554', 'DB00907', 'RX-0041', 'C01416', 'Q41576', '(1R,5S,8R)-2beta-(Methoxycarbonyl)-3beta-(benzoyloxy)tropane', 'cocaine hydrochloride;Cocaine hydrochloride;(-)-Cocaine hydrochloride', '[1R-(exo,exo)]-3-(Benzoyloxy)-8-methyl-8-azabicyclo[3.2.1]octane-2-carboxylic Acid', 'Cocaine solution, 1.0 mg/mL in acetonitrile, ampule of 1 mL, certified reference material', 'methyl (2R,3S)-3-(benzoyloxy)-8-methyl-8-azabicyclo[3.2.1]octane-2-carboxylate', '(1beta,5beta,8-anti)-3beta-Benzoyloxy-8-methyl-8-azabicyclo[3.2.1]octane-2beta-carboxylic acid methyl ester', '1-alpha-H,5-alpha-H-Tropane-2-beta-carboxylic acid, 3-beta-hydroxy-, methyl ester, benzoate (ester) (8CI)', '8-Azabicyclo[3.2.1]octane-2-carboxylic acid, 3-(benzoyloxy)-8-methyl-, methyl ester, (1R,2R,3S,5S)- (9CI)']</t>
  </si>
  <si>
    <t>Compound(446220)</t>
  </si>
  <si>
    <t>C17H21NO4</t>
  </si>
  <si>
    <t>(4R,4aR,7S,7aR,12bS)-9-methoxy-3-methyl-2,4,4a,7,7a,13-hexahydro-1H-4,12-methanobenzofuro[3,2-e]isoquinolin-7-ol</t>
  </si>
  <si>
    <t>['codeine', 'Methylmorphine', 'Codeine anhydrous', 'Codicept', 'l-Codeine', 'Coducept', 'Morphine monomethyl ether', '76-57-3', 'Morphine 3-methyl ether', '(-)-Codeine', 'O3-Methylmorphine', 'codeinum', 'Morphine-3-methyl ether', 'Codein', 'Norcodine, N-methyl', 'Norcodeine, N-methyl', 'CODEINE BASE', 'Codeine polistirex', 'codeina', 'CCRIS 7555', 'Morphine-3-methyl ester', 'HSDB 3043', 'UNII-UX6OWY2V7J', 'O(3)-methylmorphine', 'CHEBI:16714', 'EINECS 200-969-1', 'UX6OWY2V7J', 'Morphinan-6-ol, 7,8-didehydro-4,5-epoxy-3-methoxy-17-methyl-, (5alpha,6alpha)-', '7,8-Didehydro-4,5-epoxy-3-methoxy-17-methylmorphinan-6-ol', 'Codeine Anhydrate', '7,8-didehydro-4,5alpha-epoxy-3-methoxy-17-methylmorphinan-6alpha-ol', 'Morphinan-6alpha-ol, 7,8-didehydro-4,5alpha-epoxy-3-methoxy-17-methyl-', '(5alpha,6alpha)-7,8-Didehydro-4,5-epoxy-3-methoxy-17-methylmorphinan-6-ol', 'Ardinex', 'Morphinan-6-alpha-ol, 7,8-didehydro-4,5-alpha-epoxy-3-methoxy-17-methyl-', 'CHEMBL369475', '(5alpha,6alpha)-17-methyl-3-(methyloxy)-7,8-didehydro-4,5-epoxymorphinan-6-ol', '(4R,4aR,7S,7aR,12bS)-9-methoxy-3-methyl-2,4,4a,7,7a,13-hexahydro-1H-4,12-methanobenzofuro[3,2-e]isoquinoline-7-ol', 'Codeine [INN:BAN]', 'metilmorfina', 'Calcidrine', 'Actacode', 'Novahistine DH', 'Codeine Alkaloid', 'Codeine USP', 'N-methylnorcodeine', '(Codeine)', 'N-methyl norcodine', '10-methoxy-4-methyl-(1S,5R,13R,14S,17R)-12-oxa-4-azapentacyclo[9.6.1.01,13.05,17.07,18]octadeca-7(18),8,10,15-tetraen-14-ol(Codeine)', '10-methoxy-4-methyl-(1S,5R,13R,14S,17R)-12-oxa-4-azapentacyclo[9.6.1.01,13.05,17.07,18]octadeca-7(18),8,10,15-tetraen-14-ol[codeine]', 'Codeine (anhydrous)', 'Codalgin Forte Codate', 'DSSTox_CID_341', 'morphine monomethy l ether', 'CHEMBL485', 'Epitope ID:120369', 'Codeine polistirex [USAN]', 'SCHEMBL3257', 'DSSTox_RID_75524', 'DSSTox_GSID_20341', '3-o-methylmorphine monohydrate', 'GTPL1673', 'Codeine 0.1 mg/ml in Methanol', 'Codeine 1.0 mg/ml in Methanol', 'DTXSID2020341', 'IDS-NC-005(SECT.-2)', 'ZINC3806721', 'Tox21_200082', 'BDBM50019351', 'BDBM50105098', 'AKOS015955539', 'DB00318', 'LS-1695', 'CAS-76-57-3', 'NCGC00248518-01', 'NCGC00257636-01', 'AC-11114', 'C06174', 'Q174723', 'Codeine, European Pharmacopoeia (EP) Reference Standard', '7,8-didehydro-4,5-ep oxy-3-methoxy-17-methylmorphinan-6-ol', 'CODEINE (SEE ALSO: CODEINE PHOSPHATE (CAS 52-28-8))', '3-methoxy-17-methyl-7,8-didehydro-4,5alpha-epoxymorphinan-6alpha-ol', '7,8-didehydro-4,5-alpha-epoxy-3-methoxy-17-methylmorphinan-6-alpha-ol', '(5alpha,6alpha)-3-Methoxy-17-methyl-7,8-didehydro-4,5-epoxymorphinan-6-ol', '(6alpha,13alpha)-3-methoxy-17-methyl-7,8-didehydro-4,5-epoxymorphinan-6-ol', '7,8-didehydro-4,5-epoxy-3-methoxy-17-methyl-(5alpha, 6alpha)-morphinan 6-ol', 'Codeine solution, 1 mg/mL in methanol, ampule of 1 mL, certified reference material', 'Codeine solution, analytical standard, for drug analysis, 1.0 mg/mL in methanol', 'Morphinan-6-ol, 7,8-didehydro-4,5-epoxy-3-methoxy-17-methyl-, (5-alpha,6-alpha)-', 'Morphinan-6-ol, 7,8-didehydro-4,5-epoxy-3-methoxy-17-methyl-, (5-alpha,6-alpha)- (9CI)', 'Morphinan-6-ol, 7,8-didehydro-4,5-epoxy-3-methoxy-17-methyl-, (5alpha,6alpha)- (9CI)', 'Morphinan-6alpha-ol, 7,8-didehydro-4,5alpha-epoxy-3-methoxy-17-methyl- (8CI)', '(1S,13R,14S,17R)-10-methoxy-4-methyl-12-oxa-4-azapentacyclo[9.6.1.0(1,13).0(5,17).0(7,18)]octadeca-7(18),8,10,15-tetraen-14-ol', '(1S,5R,13R,14S,17R)-10-methoxy-4-methyl-12-oxa-4-azapentacyclo[9.6.1.0^{1,13}.0^{5,17}.0^{7,18}]octadeca-7(18),8,10,15-tetraen-14-ol', '(1S,5R,13R,14S,17R)-10-methoxy-4-methyl-12-oxa-4-azapentacyclo[9.6.1.0^{1,13}.0^{5,17}.0^{7,18}]octadeca-7,9,11(18),15-tetraen-14-ol', '(codeine)10-methoxy-4-methyl-(1S,5R,13R,14S,17R)-12-oxa-4-azapentacyclo[9.6.1.01,13.05,17.07,18]octadeca-7(18),8,10,15-tetraen-14-ol', '10-methoxy-4-methyl-(13R,14S)-12-oxa-4-azapentacyclo[9.6.1.01,13.05,17.07,18]octadeca-7(18),8,10-trien-14-ol(Dihydrocodeine)', '10-methoxy-4-methyl-(1S,5R,13R,14S,17R)-12-oxa-4-azapentacyclo[9.6.1.01,13.05,17.07,18]octadeca-7(18),8,10,15-tetraen-14-ol', '10-methoxy-4-methyl-(1S,5R,13R,14S,17R)-12-oxa-4-azapentacyclo[9.6.1.01,13.05,17.07,18]octadeca-7(18),8,10,15-tetraen-14-ol phosphate(codeine)', '10-methoxy-4-methyl-(1S,5R,13R,14S,17R)-12-oxa-4-azapentacyclo[9.6.1.01,13.05,17.07,18]octadeca-7(18),8,10,15-tetraen-14-ol(codeine (H3PO4))', '10-methoxy-4-methyl-(1S,5R,13R,14S,17R)-12-oxa-4-azapentacyclo[9.6.1.01,13.05,17.07,18]octadeca-7(18),8,10,15-tetraen-14-ol(codeine phosphate)']</t>
  </si>
  <si>
    <t>Compound(5284371)</t>
  </si>
  <si>
    <t>C18H21NO3</t>
  </si>
  <si>
    <t>(8E,10E)-dodeca-8,10-dien-1-ol</t>
  </si>
  <si>
    <t>['Codlelure', '8,10-Dodecadien-1-ol', 'Codlemone', '33956-49-9', '8E,10E-Dodecadien-1-ol', '(E,E)-8,10-Dodecadien-1-ol', 'Pherocon CM', '(8E,10E)-Dodeca-8,10-dienol', 'UNII-77N0YTO8YM', 'trans-8,trans-10-Dodecadien-1-ol', 'CCRIS 9118', 'trans-8,trans-10-Dodecadienol', 'EINECS 251-761-2', 'ENT 34872', '8,10-Dodecadien-1-ol, (E,E)-', 'EPA Pesticide Chemical Code 129028', '(8E,10E)-8,10-Dodecadien-1-ol', 'BRN 1907300', '77N0YTO8YM', '(8E,10E)-dodeca-8,10-dien-1-ol', '8,10-Dodecadien-1-ol, (8E,10E)-', 'AI3-34872', 'trans,trans-8,10-dodecadien-1-ol', '57002-06-9', '8,10-dodecadienol', 'E,E-8,10-dodecadienol', 'DSSTox_CID_15288', 'DSSTox_RID_79255', 'DSSTox_GSID_35288', 'dodecan-8E,10E-dien-1-ol', 'SCHEMBL407873', 'SCHEMBL687473', 'E,E-8,10-Dodecadien-1-ol', 'CHEMBL3187120', 'DTXSID1035288', 'trans-8, trans-10-Dodecadienol', 'E8E10-12 OH', 'ZINC2132437', 'Tox21_300836', 'LMFA05000046', 'STL562235', 'AKOS024319620', '(8E,10E)dodeca-8,10-dien-1-ol', 'NCGC00164289-01', 'NCGC00164289-02', 'NCGC00254740-01', 'LS-63398', '(E,E)-8,10-Dodecadien-1ol (Codlemone)', 'CAS-33956-49-9', 'NS00001051', 'ST50411714', 'Codlemone, PESTANAL(R), analytical standard', 'J-019394', 'Q2278916', 'TRANS-8, TRANS-10 DODECADIENOL (8,10-DDDOL)', '8,10-dodecadien-1-ol;(8E,10E)-dodeca-8,10-dienol;(E,E)-8,10-Dodecadien-1ol (Codlemone);Codlelure']</t>
  </si>
  <si>
    <t>Compound(1787910)</t>
  </si>
  <si>
    <t>C12H22O</t>
  </si>
  <si>
    <t>cortisone</t>
  </si>
  <si>
    <t>(8S,9S,10R,13S,14S,17R)-17-hydroxy-17-(2-hydroxyacetyl)-10,13-dimethyl-1,2,6,7,8,9,12,14,15,16-decahydrocyclopenta[a]phenanthrene-3,11-dione</t>
  </si>
  <si>
    <t>['cortisone', '53-06-5', "Kendall's compound E", 'Andreson', 'Cortisal', 'Cortisate', 'Cortistal', 'Cortivite', 'Cortogen', 'Cortone', "Reichstein's substance FA", 'Adrenalex', 'Reichstein Fa', "Wintersteiner's compound F", '11-Dehydro-17-hydroxycorticosterone', '17-Hydroxy-11-dehydrocorticosterone', 'Cortandren', 'Cortisona', 'Pregn-4-ene-3,11,20-trione, 17,21-dihydroxy-', '4-Pregnene-17alpha,21-diol-3,11,20-trione', 'Cortison', 'Kortison', 'Cortisone [INN:BAN]', 'Cortisonum [INN-Latin]', '17alpha-Hydroxy-11-dehydrocorticosterone', 'Cortisona [INN-Spanish]', '17alpha,21-Dihydroxypregn-4-ene-3,11,20-trione', 'NSC 9703', "Kendall's compound", '17,21-Dihydroxypregn-4-ene-3,11,20-trione', '[3H]-cortisone', 'Prestwick_132', 'UNII-V27W9254FZ', 'Pregn-4-en-17alpha,21-diol-3,11,20-trione', '17alpha,21-Dihydroxy-4-pregnene-3,11,20-trione', 'EINECS 200-162-4', 'KE', 'delta(sup4)-pregnene-17alpha,21-diol-3,11,20-trione', 'AI3-52938', 'MLS000028540', 'CHEBI:16962', '[3H]cortisone', 'NSC9703', 'V27W9254FZ', 'Cortisone, 98%', '(8S,9S,10R,13S,14S,17R)-17-hydroxy-17-(2-hydroxyacetyl)-10,13-dimethyl-1,2,6,7,8,9,12,14,15,16-decahydrocyclopenta[a]phenanthrene-3,11-dione', 'SMR000058334', '17.alpha.-Hydroxy-11-dehydrocorticosterone', 'DSSTox_CID_2857', 'DSSTox_RID_76760', 'DSSTox_GSID_22857', 'Cortisonum', '(1S,2R,10S,11S,14R,15S)-14-hydroxy-14-(2-hydroxyacetyl)-2,15-dimethyltetracyclo[8.7.0.0^{2,7}.0^{11,15}]heptadec-6-ene-5,17-dione', 'CAS-53-06-5', 'Cortisone (TN)', 'Cortisone (INN)', 'NCGC00095935-01', 'Kendalls Compound E', 'Corlin (Salt/Mix)', 'Cortelan (Salt/Mix)', 'Ricortex (Salt/Mix)', '(non-d)Cortisone-d2', 'Cortadren (Salt/Mix)', 'Scheroson (Salt/Mix)', 'Cortisone, &gt;=98%', 'Opera_ID_541', 'Reichsteins Substance Fa', 'Prestwick0_000273', 'Prestwick1_000273', 'Prestwick2_000273', 'Prestwick3_000273', 'Spectrum5_002051', 'bmse000663', 'SCHEMBL4888', 'CHEMBL1499', 'Lopac0_000240', 'BSPBio_000146', 'MLS001076142', 'MLS001424269', 'MLS002207137', '17.alpha.,11,20-trione', 'SPBio_002365', 'BPBio1_000162', 'GTPL5171', 'DTXSID5022857', 'BDBM13739', 'CTK8F8789', 'Cortisone 0.1 mg/ml in Methanol', 'HMS1568H08', 'HMS2052A21', 'HMS2095H08', 'HMS2235P19', 'HMS3260P21', 'HMS3712H08', 'ZINC4083557', 'Tox21_111539', 'Tox21_301440', 'Tox21_500240', 'LMST02030090', 'MFCD00003610', 's5869', 'AKOS015840096', 'AKOS015894868', 'Tox21_111539_1', 'ACN-053277', 'API0002117', 'CCG-101143', 'CS-5097', 'DB14681', 'LP00240', 'NC00393', 'SDCCGSBI-0050228.P002', '4-Pregnene-17.alpha.,11,20-trione', 'NCGC00023939-03', 'NCGC00023939-04', 'NCGC00023939-05', 'NCGC00023939-06', 'NCGC00023939-07', 'NCGC00023939-08', 'NCGC00023939-09', 'NCGC00023939-11', 'NCGC00255108-01', 'NCGC00260925-01', 'Pregn-4-en-17.alpha.,11,20-trione', 'AS-11686', 'HY-17461', 'LS-55002', 'NCI60_042165', 'SC-46937', 'EU-0100240', '2708-EP2269977A2', '2708-EP2272834A1', '2708-EP2292228A1', '2708-EP2295411A1', '2708-EP2298747A1', '2708-EP2301929A1', '2708-EP2301935A1', '2708-EP2305674A1', '2708-EP2308851A1', '2708-EP2311811A1', '2708-EP2314585A1', 'C 2755', 'C00762', 'D07749', 'Pregn-4-ene-3,20-trione, 17,21-dihydroxy-', '10841-EP2280008A2', '10841-EP2298767A1', '10841-EP2301536A1', '10841-EP2301538A1', '10841-EP2311455A1', '10841-EP2314587A1', '10841-EP2316452A1', '.delta.(sup4)-pregnene-17.alpha.,11,20-trione', '4-Pregnene-17.alpha.,21-diol-3,11,20-trione', 'Q423185', 'SR-01000000094', 'Pregn-4-en-17.alpha.,21-diol-3,11,20-trione', 'SR-01000000094-3', 'W-105776', '17.alpha.,21-Dihydroxy-4-pregnene-3,11,20-trione', 'BRD-K43736954-001-03-3', 'Cortisone, certified reference material, TraceCERT(R)', 'Delta(4)-pregnene-17alpha,21-diol-3,11,20-trione', 'WLN: L E5 B666 CV OV MUTJ A1 E1 FV1Q FQ', 'Cortisone E (4-Pregnene-17.21-diol-3.11.20-trione)', '.DELTA.4-pregnene-17.alpha.,21-diol-3,11,20-trione', '17.alpha.,21.beta.-Dihydroxypregn-4-ene-3,11,20-trione', "Kendall's Compound E; 4-Pregnene-17alpha,21-diol-3,11,20-trione; Reichstein's Substance Fa"]</t>
  </si>
  <si>
    <t>Compound(222786)</t>
  </si>
  <si>
    <t>C21H28O5</t>
  </si>
  <si>
    <t>4-hydroxy-3-(1,2,3,4-tetrahydronaphthalen-1-yl)chromen-2-one</t>
  </si>
  <si>
    <t>['COUMATETRALYL', 'Racumin', '5836-29-3', 'Endrocid', 'Endrocide', 'Rodentin', 'Endox', 'Raucumin 57', 'Cumatetralyl', 'Bayer 25 634', 'BAY ene 11183 B', 'Caswell No. 496A', 'Coumatetralyl [BSI:ISO]', '3-(d-Tetralyl)-4-hydroxycoumarin', 'ENE 11183 B', 'BAY 25634', 'Cumatetralyl [German, Dutch]', 'CCRIS 6923', '3-(alpha-Tetral)-4-oxycoumarin', 'HSDB 1725', '4-Hydroxy-3-(1,2,3,4-tetrahydro-1-naphthyl)coumarin', 'EINECS 227-424-0', '3-(alpha-Tetralyl)-4-hydroxycoumarin', 'EPA Pesticide Chemical Code 496100', 'BRN 1323631', '2H-1-Benzopyran-2-one, 4-hydroxy-3-(1,2,3,4-tetrahydro-1-naphthalenyl)-', '4-Hydroxy-3-(1,2,3,4-tetrahydro-1-naphthalenyl)-2H-1-benzopyran-2-one', '4-Hydroxy-3-(1,2,3,4-tetrahydro-1-naphthyl)-cumarin', 'Coumarin, 4-hydroxy-3-(1,2,3,4-tetrahydro-1-naphthyl)-', 'CHEBI:80742', '4-Hydroxy-3-(1,2,3,4-tetrahydro-1-naftyl)-cumarine', '4-Idrossi-3-(1,2,3,4-tetraidro-1-naftil)-cumarina', '3-(1,2,3,4-Tetrahydro-1-naphtyl)-4-hydroxycoumarine', '3-(1,2,3,4-Tetrahydro-1-naphthyl)-4-hydroxycumarin [German]', '3-(1,2,3,4-Tetrahydro-1-naphtyl)-4-hydroxycoumarine [French]', '4-Hydroxy-3-(1,2,3,4-tetrahydro-1-naftyl)-cumarine [Dutch]', '4-Idrossi-3-(1,2,3,4-tetraidro-1-naftil)-cumarina [Italian]', 'Coumetralyl', '4-hydroxy-3-(1,2,3,4-tetrahydronaphthalen-1-yl)chromen-2-one', 'DSSTox_CID_21799', 'DSSTox_RID_79847', 'DSSTox_GSID_41799', 'SCHEMBL137261', '3-(1,2,3,4-Tetrahydro-1-naphthyl)-4-hydroxycumarin', 'SCHEMBL5933927', '3-(1,2,3,4-Tetrahydro-1-naphthyl)-4-hydroxycoumarin', 'CHEMBL3184636', 'DTXSID8041799', '3-(1-Tetralyl)-4-hydroxycoumarin', 'Tox21_301252', 'AKOS015903266', '4-Hydroxy-3-(1,2,3,4-tetrahydro-1-naphthalenyl)-2H-1-benzopyran-2-one (8CI)(9CI)', '3-(.alpha.-Tetralyl)-4-hydroxycoumarin', 'NCGC00255682-01', 'AC-12689', 'LS-55246', '3-(.alpha.-Tetralinyl)-4-hydroxycoumarin', 'CAS-5836-29-3', 'Coumatetralyl 1000 microg/mL in Methanol', 'NS00047085', 'C16806', 'Coumatetralyl, PESTANAL(R), analytical standard', 'Q415772', '3-(1,2,3,4-Tetrahydro-1-naphthyl)-4-hydroxycoumarine', '4-Hydroxy-3-(1,2,3,4-tetrahydro-1-naphthalenyl)-2H-chromen-2-one #', '4-Hydroxy-3-(1,2,3,4-tetrahydronaphthalen-1-yl)-2H-1-benzopyran-2-one', '2H-1-Benzopyran-2-one, 4-hydroxy-3-(1,2,3,4-tetrahydro-1-naphthalenyl)- (9CI)', '4-Hydroxy-3-(1,2,3,4-tetrahydro-1-naphthalenyl)-2H-1-benzopyran-2-one (8CI)']</t>
  </si>
  <si>
    <t>Compound(54678504)</t>
  </si>
  <si>
    <t>C19H16O3</t>
  </si>
  <si>
    <t>(3-phenoxyphenyl)methyl (1R,3R)-3-(2,2-dichloroethenyl)-2,2-dimethylcyclopropane-1-carboxylate</t>
  </si>
  <si>
    <t>['CIS-PERMETHRIN', '(+)-CIS-PERMETHRIN', '(1R)-cis-Permethrin', '61949-76-6', 'CCRIS 3486', 'NRDC 167', '54774-45-7', '(+/-)-cis-Permethrin', 'EINECS 263-346-3', 'UNII-620Q217008', 'Elimite', 'Ambush', 'AI3-29264', '1RS cis-Permethrin', 'Cyclopropanecarboxylic acid, 3-(2,2-dichloroethenyl)-2,2-dimethyl-, (3-phenoxyphenyl)methyl ester, cis-', 'm-Phenoxybenzyl cis-3-(2,2-dichlorovinyl)-2,2-dimethylcyclopropanecarboxylate', 'Permethrine', 'Acticin', 'Ambushfog', 'Chinetrin', 'Corsair', 'Dragnet', 'Ecsumin', 'Ectiban', 'Efmethrin', 'Imperator', 'Indothrin', 'Kaleait', 'Kestrel', 'Lyclear', 'Outflank', 'Perigen', 'Permasect', 'Perthrine', 'Quamlin', 'Stomoxi', 'Stomoxin', 'Stomozan', 'Coopex', 'Cosair', 'Cyclopropanecarboxylic acid, 3-(2,2-dichloroethenyl)-2,2-dimethyl-, (3-phenoxyphenyl)methyl ester, (1R,3R)-rel-', 'Cyclopropanecarboxylic acid, 3-(2,2-dichlorovinyl)-2,2-dimethyl-, (3-phenoxyphenyl)methyl ester, (1R-cis)-', 'Eksmin', 'Exsmin', 'Ipitox', 'Picket', 'Pounce', 'Pramex', 'Exmin', 'Expar', 'Kafil', 'Kavil', 'Kudos', '620Q217008', 'Anomethrin N', 'NRDC 143', 'NRDC-143', 'Permethrin trans', 'Diffusil H', 'Ridect pour-on', 'Stomoxin P', 'Insorbcid MP', 'Outflank-stockade', 'Perigen W', 'Dragnet FT', 'Picket G', 'Permethrin,racemic', 'Mitin BC', 'Nittifor', 'Permanone 80', 'Permasect-25EC', 'Kestrel (pesticide)', 'Antiborer 3768', 'Bematin 987', 'FMC 33297', 'FMC-33297', 'NIA 33297', 'NIA-33297', 'PP 557', 'PP-557', 'Permethrinum [Latin]', 'Permetrin (Hungarian)', 'Permitrene (Hungarian)', '(3-phenoxyphenyl)methyl (1R,3R)-3-(2,2-dichloroethenyl)-2,2-dimethylcyclopropane-1-carboxylate', 'Cyclopropanecarboxylic acid, 3-(2,2-dichloroethenyl)-2,2-dimethyl-, (3-phenoxyphenyl)methyl ester, cis-(+)-', 'Permetrina [Portuguese]', 'Caswell No. 652BB', 'Permethrine [ISO-French]', 'S 3151', 'S-3151', 'cis-(1RS)-permethrin', 'trans-(1RS)-Permethrin', 'Permethrin [ANSI:BSI:ISO]', 'Permethrin [USAN:INN:BAN]', 'SBP-1513TEC', 'CCRIS 2001', 'ICI-PP 557', 'MP79', 'Permethrin, (cis)-Isomer', 'SBP 15131TEC', 'HSDB 6790', 'BW-21-Z', 'permetrin', 'Cooper', 'OMS 1821', 'SBP-1513', 'Permethrin, (1R-cis)-Isomer', 'EINECS 258-067-9', 'NRDC-147', 'permethrin, cis-(1RS)-isomer', 'FMC 41655', 'Permethrin, trans-(1RS)-Isomer', 'EPA Pesticide Chemical Code 109701', 'JF 7065', 'Permethrin, cis-', 'BRN 2063148', 'Cyclopropanecarboxylic acid, 3-(2,2-dichloroethenyl)-2,2-dimethyl-, (3-phenoxyphenyl)methyl ester', 'WL 43479', 'AI3-29158', 'LE 79-519', '(RR)-trans-Permethrin', 'Permethrin, (+)-cis-', '(1S,3S)-cis-permethrin', 'DSSTox_CID_18338', 'DSSTox_GSID_52866', 'cis-Permethrin in cyclohexane', 'BIDD:ER0140', 'SCHEMBL584812', 'CHEMBL589356', '3-Phenoxybenzyl 2,2-dimethyl-3-(2,2-dichlorovinyl)cyclopropanecarboxylate', '3-Phenoxybenzyl 3-(2,2-dichlorovinyl)-2,2-dimethylcyclopropanecarboxylate', 'DTXSID0038338', 'DTXSID5052208', 'm-Phenoxybenzyl 3-(2,2-dichlorovinyl)-2,2-dimethylcyclopropanecarboxylate', 'CTK5H2445', 'Permethrin  (cis/trans mixture)', '(+-)-3-Phenoxybenzyl 3-(2,2-dichlorovinyl)-2,2-dimethylcyclopropanecarboxylate', '(3-Phenoxyphenyl)methyl 3-(2,2-dichlorethenyl)-2,2-dimethylcyclopropanecarboxylate', '3-Phenoxybenzyl (1RS)-cis-trans-3-(2,2-dichlorovinyl)-2,2-dimethylcyclopropanecarboxylate', 'm-Phenoxybenzyl (+-)-3-(2,2-dichlorovinyl)-2,2-dimethylcyclopropanecarboxylate', 'm-Phenoxybenzyl (+1)-cis,trans-3-(2,2-dichlorovinyl)-2,2-dimethylcyclopropanecarboxylate', '(3-Phenoxyphenyl)methyl (+-)cis,trans-3-(2,2-dichloroethenyl)-2,2-dimethylcyclopropanecarboxylate', '3-(2,2-Dichloroethenyl)-2,2-dimethylcyclopropanecarboxylic acid (3-phenoxyphenyl)methyl ester', '3-(Phenoxyphenyl)methyl (+-)-cis,trans-3-(2,2-dichloroethenyl)-2,2-dimethylcyclopropanecarboxylate', '3-Phenoxybenzyl (1RS,3RS;1RS,3SR)-3-(2,2-dichlorovinyl)-2,2-dimethylcyclopropanecarboxylate', '3-Phenoxybenzyl(+-)-cis, trans-3-(2,2-dichlorovinyl)-2,2-dimethylcyclopropane-1-carboxylate', 'Cyclopropanecarboxylic acid, 3-(2,2-dichlorovinyl)-2,2-dimethyl-, 3-phenoxybenzyl ester, (+-)-, (cis,trans)-', 'ZINC1850376', 'Tox21_303933', 'AKOS015899724', '(m-Phenoxybenzyl)-cis,trans-3-(2,2-dichlorovinyl)-2,2-dimethylcyclopropanecarboxylate', '3-Phenoxybenzyl-cis,trans-(1RS)-3-(2,2-dichlorovinyl)-2,2-dimethylcyclopropanecarboxylate', 'NCGC00248438-01', 'NCGC00357172-01', '3-Phenoxybenzyl-(+-)-cis,trans-2,2-dichlorovinyl-2,2-dimethyl-cyclopropylcarboxylic acid, ester', 'Cyclopropanecarboxylic acid, 3-(2,2-dichloroethenyl)-2,2-dimethyl-, (3-phenoxyphenyl)methyl ester, (1R,3R)-', 'LS-58635', 'LS-58649', 'LS-58650', 'cis-Permethrin 10 microg/mL in Cyclohexane', 'cis-Permethrin 10 microg/mL in Acetonitrile', 'cis-Permethrin 100 microg/mL in Cyclohexane', 'cis-Permethrin 100 microg/mL in Acetonitrile', '774P457', 'UNII-509F88P9SZ component RLLPVAHGXHCWKJ-HKUYNNGSSA-N', 'UNII-GC30YV53C8 component RLLPVAHGXHCWKJ-HKUYNNGSSA-N', 'cis-Permethrin solution, 10 mug/mL in cyclohexane, PESTANAL(R), analytical standard', '(3-PHENOXYPHENYL)METHYL (1R,3R)-3-(2,2-DICHLOROVINYL)-2,2-DIMETHYL-C YCLOPROPANE-1-CARBOXYLATE', '93388-66-0', 'Cyclopropanecarboxylic acid, 3-(2,2-dichlorovinyl)-2,2-dimethyl-, 3-phenoxybenzyl ester,(+-)-, (cis,trans)-']</t>
  </si>
  <si>
    <t>Compound(40463)</t>
  </si>
  <si>
    <t>C21H20Cl2O3</t>
  </si>
  <si>
    <t>(Z)-1-(2,4-dichlorophenyl)-N-methoxy-2-pyridin-3-ylethanimine</t>
  </si>
  <si>
    <t>['Pyrifenox', 'Dorado', 'Pyrifenox [ISO]', 'Pyrifenox Z-isomer', 'Ro 15-1297', '88283-41-4', "2',4'-Dichloro-2-(3-pyridyl)acetophenone O-methyloxime", 'UNII-70GXJ617L2', '1-(2,4-Dichlorophenyl)-2-(3-pyridinyl)ethanone O-methyloxime', '70GXJ617L2', '83227-23-0', 'ETHANONE, 1-(2,4-DICHLOROPHENYL)-2-(3-PYRIDINYL)-, O-METHYLOXIME', 'CHEBI:81972', 'Pyrifenox ISOMER 1', 'SCHEMBL22696', 'DTXSID70232230', 'ZINC25758396', 'LS-67328', 'NS00009603', 'Pyrifenox, PESTANAL(R), analytical standard', 'C18804', 'C-18488', 'Q27290789', 'UNII-9QNU6BZ7LO component CKPCAYZTYMHQEX-JXAWBTAJSA-N', "Pyrifenox;pyrifenox;2',4'-Dichloro-2-(3-pyridyl)acetophenone (E,Z)-O-methyloxime;Ethanone, 1-(2,4-dichlorophenyl)-2-(3-pyridinyl)-, O-methyloxime"]</t>
  </si>
  <si>
    <t>Compound(6023583)</t>
  </si>
  <si>
    <t>C14H12Cl2N2O</t>
  </si>
  <si>
    <t>creosote</t>
  </si>
  <si>
    <t>2-methoxyphenol</t>
  </si>
  <si>
    <t>['guaiacol', '2-Methoxyphenol', '90-05-1', 'o-Methoxyphenol', '2-Hydroxyanisole', 'Phenol, 2-methoxy-', 'Pyrocatechol monomethyl ether', 'Methylcatechol', 'Guaiastil', 'Guaicol', '1-Hydroxy-2-methoxybenzene', 'Pyroguaiac acid', 'o-Guaiacol', 'o-Hydroxyanisole', 'Guaicolina', 'Anastil', 'Guajol', 'Guasol', 'Phenol, o-methoxy-', 'Catechol monomethyl ether', 'O-Methyl catechol', 'CREOSOTE, WOOD', 'Methoxyphenol', 'Guajakol', '2-Methoxy-Phenol', 'Hydroxyanisole', 'Guajacol', 'Phenol, methoxy-', 'Guajakol [Czech]', '8021-39-4', 'Guaiacol (natural)', 'FEMA No. 2532', 'Methylcatachol', 'Creodon', 'ortho-Guaiacol', 'Pyrocatechol methyl ester', 'UNII-6JKA7MAH9C', '2-methoxy phenol', '2-methoxyphenol;', 'NSC 3815', 'Guaiacol (JAN)', 'Guaiacol [JAN]', 'Creodon (TN)', 'CCRIS 2943', 'HSDB 4241', 'EINECS 201-964-7', 'MFCD00002185', '6JKA7MAH9C', 'Guaiacol (2-Methoxyphenol)', 'CHEMBL13766', 'AI3-05615', 'CHEBI:28591', 'NSC-3815', 'Guaiacol, 99+%', 'NCGC00090827-02', 'NCGC00090827-04', 'Wood creosote', 'DSSTox_CID_3113', 'DSSTox_RID_76880', 'DSSTox_GSID_23113', 'Creosote, beechwood', 'Creosote', 'CAS-90-05-1', 'Guaiacol [JAN:NF]', 'SR-01000838056', 'guiacol', 'methoxy phenol', '6-methoxyphenol', 'hydroxyl anisole', 'Nat.Guaiacol', 'o-Guiacol', 'o--methoxyphenol', 'orthomethoxyphenol', 'o-methoxy-Phenol', 'ortho-methoxyphenol', 'Guaiacol,(S)', 'JZ3', '2-(methyloxy)phenol', '2-methoxyl-4-vinylphenol', 'Catechol mono methyl ether', 'bmse000436', 'bmse010027', '2-methoxyphenol (guaiacol)', 'EC 201-964-7', 'Guaiacol, puriss., 99%', 'WLN: QR BO1', 'DSSTox_RID_77552', '1- hydroxy-2-methoxybenzene', '3-methoxy-4-hydroxy benzene', 'DSSTox_GSID_24853', 'SCHEMBL21626', 'ghl.PD_Mitscher_leg0.900', 'guaiacol (liquid) extra pure', 'Guaiacol, oxidation indicator', 'KSC204S1J', 'MLS001055375', 'DTXSID0023113', 'CTK1A4914', 'KS-00000KSX', 'NSC3815', 'Guaiacol, natural, &gt;=99%, FG', 'HMS2089D18', 'HMS2233P04', 'HMS3372N11', 'HMS3715E11', 'Pharmakon1600-01506165', 'a hydroxlyated aryl lignin fragment', 'ACMC-209784', 'BCP27082', 'CS-D1347', 'HY-N1380', 'STR03604', 'Tox21_111031', 'Tox21_201136', 'Tox21_202990', 'Tox21_400004', 'ANW-13634', 'BDBM50240369', 'NSC760376', 's3872', 'SBB058681', 'STL281868', 'ZINC13512224', 'AKOS000118831', 'CCG-214035', 'DB11359', 'EBD2205193', 'LS-1906', 'MCULE-5627336368', 'NSC-760376', 'PS-3252', 'Guaiacol, SAJ first grade, &gt;=98.0%', 'NCGC00090827-01', 'NCGC00090827-03', 'NCGC00090827-05', 'NCGC00090827-06', 'NCGC00090827-07', 'NCGC00258688-01', 'NCGC00260535-01', '26638-03-9', '9009-62-5', 'AK114448', 'Guaiacol, Vetec(TM) reagent grade, 98%', 'SC-18105', 'SMR000059155', 'CAS-8021-39-4', 'DB-024854', 'FT-0626815', 'FT-0671312', 'M0121', 'NS00010812', 'ST50214385', '7519-EP2292227A2', '7519-EP2295426A1', '7519-EP2295427A1', '7519-EP2305636A1', '7519-EP2305683A1', '7519-EP2308857A1', '7519-EP2308861A1', '7519-EP2311821A1', '7519-EP2311839A1', '7519-EP2314584A1', '7519-EP2314589A1', '7519-EP2316470A2', '7519-EP2316832A1', '7519-EP2316833A1', '7519-EP2316837A1', 'C01502', 'C15572', 'D00117', '2-Methoxyphenol;o-Methoxyphenol;2-Hydroxyanisole', 'AB00876226-06', 'AB00876226_07', '196981-EP2269977A2', '196981-EP2371803A1', '196981-EP2377843A1', 'A843426', 'Q412403', 'Q-100002', 'SR-01000838056-2', 'SR-01000838056-3', 'F2173-0425', 'Guaiacol, European Pharmacopoeia (EP) Reference Standard', 'UNII-3JYG22FD73 component LHGVFZTZFXWLCP-UHFFFAOYSA-N', 'Guaiacol, United States Pharmacopeia (USP) Reference Standard', 'Guaiacol, Pharmaceutical Secondary Standard; Certified Reference Material']</t>
  </si>
  <si>
    <t>Compound(460)</t>
  </si>
  <si>
    <t>C7H8O2</t>
  </si>
  <si>
    <t>crufomat</t>
  </si>
  <si>
    <t>N-[(4-tert-butyl-2-chlorophenoxy)-methoxyphosphoryl]methanamine</t>
  </si>
  <si>
    <t>['Crufomate', 'RUELENE', 'Amidofos', 'Amidophos', 'Montrel', '299-86-5', 'Rulene', 'Ruelene drench', 'Dowco 132', 'Crufomat', 'Crufomate A', 'Ruelene 25E', 'Crufomate [ANSI]', 'ENT 25,602-X', 'Caswell No. 263A', 'Cruformate', 'NSC 253463', 'Crufomatum [INN-Latin]', 'Crufomato [INN-Spanish]', 'Crufomate [USAN:INN:BAN]', 'UNII-V82Q65924L', 'HSDB 1547', '4-tert-Butyl-2-chlorophenyl methyl methylphosphoramidate', 'Phosphoramidic acid, methyl-, 2-chloro-4-(1,1-dimethylethyl)phenyl methyl ester', '4-tert-Butyl-2-chlorophenyl O-methyl methylphosphoroamidate', 'EINECS 206-083-1', 'M-1261', 'N,O-Dimethyl-o-(4-tert-butyl-2-chlorophenyl)phosphoramidate', 'O-Methyl O-2-chloro-4-tert-butylphenyl N-methylamidophosphate', 'EPA Pesticide Chemical Code 012101', 'BRN 2133258', '4-t-Butyl-2-chlorophenyl methyl methylphosphoramidate', 'O-(4-Terz.-butil-2-cloro-fenil)-O-metil-fosforammide', 'AI3-25602', '4-tert-Butyl-2-chlorophenyl N-methyl O-methylphosphoramidate', 'CHEBI:82111', 'Phosphoramidic acid, 4-tert-butyl-2-chlorophenylphosphoramidate', 'Methylphosphoramidic acid, 4-t-butyl-2-chlorophenyl methyl ester', 'O-(4-tert-Butyl-2-chlorophenyl) O-methyl N-methylamido phosphate', 'O-(4-tert Butyl-2-chloor-fenyl)-O-methyl-fosforzuur-N-methyl-amide', 'o-(4-tert-Butyl-2-chlor-phenyl)-O-methyl-phosphorsaeure-N-methylamid', 'Phenol, 4-t-butyl-2-chloro-, ester with methyl methylphosphoramidate', 'Phosphoramidic acid, methyl-, 4-tert-butyl-2-chlorophenyl methyl ester', '4-t-Butyl-2-chlorophenylmethyl methyl phosphoramidate', 'V82Q65924L', '4-Tert. butyl 2-chlorophenyl methylphosphoramidate de methyle', 'Ruerene', 'O-Methyl-O-(4-tert-butyl-2-chlorophenyl)methylphosphoramidate', '2-Chloro-4-(1,1-dimethylethyl)phenyl methyl methylphosphoramidate', 'O-(4-Terz.-butil-2-cloro-fenil)-O-metil-fosforammide [Italian]', '4-Tert. butyl 2-chlorophenyl methylphosphoramidate de methyle [French]', 'Methylphosphoramidic acid 2-chloro-4-(1,1-dimethylethyl)phenyl methyl ester', 'O-(4-Tert butyl-2-chloor-fenyl)-O-methyl-fosforzuur-N-methyl-amide [Dutch]', 'O-(4-Tert-butyl-2-chlor-phenyl)-O-methyl-phosphorsaeure-N-methylamid [German]', 'Crufomatum', 'Crufomato', 'Methylphosphoramidic acid, 4-tert-butyl-2-chlorophenyl methyl ester', 'Phosphoramidic acid methyl-, 2-chloro-4-(1,1-dimethylethyl)phenyl methyl ester', 'Crufomate;Crufomat', 'Crufomate (Ruelene)', 'N-[(4-tert-butyl-2-chlorophenoxy)-methoxyphosphoryl]methanamine', 'Crufomate (USAN/INN)', 'RUELENE (TM)', 'DSSTox_CID_17515', 'DSSTox_RID_79327', 'DSSTox_GSID_37515', '4-06-00-03312 (Beilstein Handbook Reference)', 'SCHEMBL121165', 'CHEMBL1880767', 'DTXSID1037515', 'CTK8E8528', 'Tox21_302262', 'NSC253463', 'Phosphorsaeure-methyl-(2-chlor-4-tert-butyl-phenyl)-diestermethylamid', 'AKOS015888331', 'NSC-253463', 'NCGC00163827-01', 'NCGC00163827-02', 'NCGC00255615-01', 'CAS-299-86-5', 'LS-107346', 'FT-0665229', 'NS00006383', 'Crufomate, PESTANAL(R), analytical standard', 'D03610', 'Phenol, ester with methyl methylphosphoramidate', 'SR-01000945046', 'J-017722', 'SR-01000945046-1', 'Q20983235', 'WLN: 1X1 &amp; 1 &amp; R CG DOPO &amp; O1 &amp; M1', '4-tert-Butyl-2-chlorophenyl methyl methylamidophosphate #', 'Phosphoramidic acid methyl-,1-dimethylethyl)phenyl methyl ester', 'Phosphoramidic acid, 4-tert-butyl-2-chlorophenyl methyl ester', 'Phenol, 4-tert-butyl-2-chloro-, ester with methyl methylphosphoramidate', 'Phosphoramidic acid, 2-chloro-4-(1,1-dimethylethyl)phenyl methyl ester', 'phosphoramidic acid, methyl-, 2-chloro-4-(1,1-dimethylethyl), phenylmethyl ester']</t>
  </si>
  <si>
    <t>Compound(9300)</t>
  </si>
  <si>
    <t>C12H19ClNO3P</t>
  </si>
  <si>
    <t>2-chloro-N,N,6-trimethylpyrimidin-4-amine</t>
  </si>
  <si>
    <t>['CRIMIDINE', '535-89-7', 'Castrix', 'Crimidin', 'Crimidina', '2-chloro-N,N,6-trimethylpyrimidin-4-amine', 'Crimidin [German]', 'Crimidina [Italian]', 'Caswell No. 188', 'Crimidine [ISO:BSI]', 'NSC 2017', '2-Chloro-4-dimethylamino-6-methylpyrimidine', 'W 491', '4-Pyrimidinamine, 2-chloro-N,N,6-trimethyl-', 'Pyrimidine, 2-chloro-4-(dimethylamino)-6-methyl-', 'UNII-W34R2923T3', '2-Cloro-4-dimetilamino-6-metil-pirimidina', 'HSDB 2812', '2-Chloro-N,N-6-trimethyl-4-pyrimidinamine', 'W-491', '2-Chloor-4-dimethylamino-6-methyl-pyrimidine', '2-Chloro-4-dimethylamino-6-methyl-pyrimidine', 'EINECS 208-622-6', 'EPA Pesticide Chemical Code 288200', 'BRN 0127995', '2-Chlor-4-dimethylamino-6-methylpyrimidin', 'AI3-61801', '2-Chloro-4-methyl-6-dimethylaminopyrimidine', '2-Chloro-N,N,6-trimethylpyrimidin-4-ylamine', 'CHEBI:82258', '2-Chlor-4-dimethylamino-6-methylpyrimidin [German]', '2-Cloro-4-dimetilamino-6-metil-pirimidina [Italian]', '2-Chloor-4-dimethylamino-6-methyl-pyrimidine [Dutch]', 'W34R2923T3', '2-Chloro-4-methyl-6-(dimethylamino)pyrimidine', '(2-chloro-6-methylpyrimidin-4-yl)dimethylamine', '(2-chloro-6-methyl-pyrimidin-4-yl)-dimethyl-amine', '2-Chloro-4-(dimethylamino)-6-methylpyrimidine', '2-Chloro-4-(dimethylamino)-6-methyl-pyrimidine', '4-25-00-02184 (Beilstein Handbook Reference)', 'SCHEMBL432253', 'CHEMBL1607733', 'DTXSID0041800', '4-Pyrimidinamine,N,6-trimethyl-', 'NSC2017', 'NSC-2017', 'ZINC1577127', 'STK377491', 'AKOS005177522', 'MCULE-9002162033', 'NE46667', 'VA10645', 'WLN: T6N CNJ BG DN1&amp;1 F1', 'Crimidine 10 microg/mL in Acetonitrile', 'NCGC00166162-01', 'AM804012', 'AS-54836', '4-dimethylamino-2-chloro-6-methylpyrimidine', 'DB-071707', 'LS-134912', 'BB 0261463', 'NS00004032', 'ST50900619', '2-chloro-4-dimethylamino-6-methyl pyrimidine', 'Crimidine, PESTANAL(R), analytical standard', 'EN300-27754', 'C19138', '2-CHLORO-N,6-TRIMETHYL-4-PYRIMIDINAMINE', '144232-EP2287166A2', '144232-EP2292620A2', '2-CHLORO-N,N,6-TRIMETHYL-4-PYRIMIDINAMINE', '535C897', 'Q2645488', 'F1905-0504']</t>
  </si>
  <si>
    <t>Compound(10813)</t>
  </si>
  <si>
    <t>C7H10ClN3</t>
  </si>
  <si>
    <t>crocidolite (blue asbestos)</t>
  </si>
  <si>
    <t>trimagnesium;disodium;dihydroxy(oxo)silane;iron(3+)</t>
  </si>
  <si>
    <t>['Crocidolite', 'Crocidolite asbestos', '12001-28-4', 'ASBESTOS, CROCIDOLITE', 'Blue Asbestos', 'diferric;trimagnesium;disodium;dihydroxy(keto)silane', 'Krokydolith', 'Crocidolite uicc', 'Magnesioriebeckite', 'Riebeckite asbestos', 'Krokydolith [German]', 'Magnesioriebackite asbestos', 'Asbestos, magnesioriebeckite', 'Fibrous crocidolite asbestos', 'Amorphous crocidolite asbestos', 'CCRIS 362', 'NCI C09007', 'Crocidolite [Asbestos]', 'Q26840839']</t>
  </si>
  <si>
    <t>Compound(86278622)</t>
  </si>
  <si>
    <t>Fe2H16Mg3Na2O24Si8+14</t>
  </si>
  <si>
    <t>cumene hydroperoxide</t>
  </si>
  <si>
    <t>2-hydroperoxypropan-2-ylbenzene</t>
  </si>
  <si>
    <t>['CUMENE HYDROPEROXIDE', 'Cumyl hydroperoxide', '80-15-9', 'Hydroperoxide, 1-methyl-1-phenylethyl', 'Cumenyl hydroperoxide', 'Cumolhydroperoxid', '7-Cumyl hydroperoxide', 'Cumolhydroperoxide', 'alpha,alpha-Dimethylbenzyl hydroperoxide', 'Cument hydroperoxide', 'Hydroperoxyde de cumene', 'Hydroperoxyde de cumyle', 'Isopropylbenzene hydroperoxide', 'Cumeenhydroperoxyde', 'Kumenylhydroperoxid', '7-Hydroperoxykumen', 'RCRA waste number U096', 'Hydroperoxide de cumene', 'Idroperossido di cumene', 'Idroperossido di cumolo', 'Cumolhydroperoxid [German]', 'UNII-PG7JD54X4I', 'Cumeenhydroperoxyde [Dutch]', 'Kumenylhydroperoxid [Czech]', '7-Hydroperoxykumen [Czech]', '1-Methyl-1-phenylethyl hydroperoxide', 'CCRIS 3801', 'HSDB 254', 'Hydroperoxyde de cumene [French]', 'Hydroperoxyde de cumyle [French]', 'Idroperossido di cumene [Italian]', 'Idroperossido di cumolo [Italian]', 'EINECS 201-254-7', 'alpha,alpha-Dimethylbenzylhydroperoxide', 'RCRA waste no. U096', 'BRN 1908117', 'Hydroperoxide, 1-methyl-1-phenylethyl-', 'PG7JD54X4I', 'Hydroperoxide, alpha,alpha-dimethylbenzyl-', 'DTXSID3024869', 'CHEBI:78673', 'Hydroperoxide, alpha,alpha-dimethylbenzyl', 'Hydroperoxide, .alpha.,.alpha.-dimethylbenzyl', 'Cumyl hydroperoxide, 80%', 'Hyperiz', 'a,a-dimethylbenzyl hydroperoxide', 'Percumyl H', 'cumyl-hydroperoxide', 'PH 80', 'Trigonox K 80', 'Trigonox K-95', 'Trigonox R 239A', 'alpha-Cumyl hydroperoxide', 'alpha-Cumene hydroperoxide', 'DSSTox_CID_4869', '2-Phenylpropane-2-peroxol', 'EC 201-254-7', '.alpha.-Cumyl hydroperoxide', 'CHP-5', 'DSSTox_RID_77559', '.alpha.-Cumene hydroperoxide', 'DSSTox_GSID_24869', 'SCHEMBL15251', '4-06-00-03221 (Beilstein Handbook Reference)', 'KSC242S5N', '2-hydroperoxy-2-phenylpropane', 'CHEMBL1518369', 'SCHEMBL11210695', 'CHP-158', '2-phenylpropan-2-yl hydroperoxide', 'ZINC8585911', 'Tox21_300283', 'MFCD00002129', 'STL453641', 'AKOS015841738', 'CCG-207896', 'LS-1792', 'UN 2116', 'CAS-80-15-9', 'NCGC00091748-01', 'NCGC00091748-02', 'NCGC00091748-03', 'NCGC00254045-01', 'Cumene hydroperoxide, technical grade, 80%', '.alpha.,.alpha.-Dimethylbenzyl hydroperoxide', 'NS00009523', 'ST50824346', 'Cumene hydroperoxide, technical, ~80% in cumene', 'Q414439', 'a,a-dimethylbenzyl hydroperoxide;Hydroperoxide, 1-methyl-1-phenylethyl-;?,?-dimethylbenzyl hydroperoxide']</t>
  </si>
  <si>
    <t>Compound(6629)</t>
  </si>
  <si>
    <t>3-chloro-7-diethoxyphosphinothioyloxy-4-methylchromen-2-one</t>
  </si>
  <si>
    <t>['COUMAPHOS', 'Asuntol', '56-72-4', 'Coumafos', 'Asunthol', 'Baymix', 'Resitox', 'Azunthol', 'Muscatox', 'Agridip', 'Meldane', 'Meldone', 'Suntol', 'Baymix 50', 'CO-Ral', '3-Chloro-4-methyl-7-hydroxycoumarin diethyl thiophosphoric acid ester', 'Negashunt', 'Umbethion', 'Diolice', 'Bayer 21/199', 'coumophos', 'Cumafos', 'Cumafosum', 'Negasunt', '3-Chloro-4-methyl-7-coumarinyl diethyl phosphorothioate', 'NCI-C08662', 'Cumafos [Dutch]', 'BAY 21/199', 'Coumaphos [ISO]', 'ENT 17,957', 'Phosphorothioic acid, O-(3-chloro-4-methyl-2-oxo-2H-1-benzopyran-7-yl) O,O-diethyl ester', 'Caswell No. 335', 'O,O-Diethyl 3-chloro-4-methyl-7-umbelliferone thiophosphate', 'O,O-Diethyl O-(3-chloro-4-methyl-2-oxo-2H-1-benzopyran-7-yl)phosphorothioate', 'Resistox', '3-Chloro-7-hydroxy-4-methyl-coumarin O,O-diethyl phosphorothioate', 'Coumaphoscumafos', 'Cumafos [INN-Spanish]', 'Coumafosum [INN-Latin]', 'OMS 485', 'Bayer 21199', 'UNII-L08SZ5Z5JC', 'C14H16ClO5PS', '3-Chloro-7-diethoxyphosphinothioyloxy-4-methylcoumarin', 'CCRIS 180', 'HSDB 249', 'Diethyl 3-chloro-4-methylumbelliferyl thionophosphate', 'O-(3-Chloro-4-methyl-2-oxo-2H-chromen-7-yl) O,O-diethyl thiophosphate', 'NSC 8944', 'EINECS 200-285-3', 'O,O-Diethyl O-(3-chloro-4-methylcoumarinyl-7) thiophosphate', 'O,O-Diethyl O-(3-chloro-4-methylumbelliferyl)phosphorothioate', 'O,O-Diethyl O-(3-chloro-4-methyl-7-coumarinyl)phosphorothioate', 'O-3-Chloro-4-methyl-7-coumarinyl O,O-diethyl phosphorothioate', 'EPA Pesticide Chemical Code 036501', 'BRN 0327083', 'L08SZ5Z5JC', '3-Chloro-4-methylumbelliferone O-ester with O,O-diethyl phosphorothioate', 'Diethyl thiophosphoric acid ester of 3-chloro-4-methyl-7-hydroxycoumarin', '3-Chloro-7-hydroxy-4-methyl-coumarin O-ester with O,O-diethyl phosphorothioate', 'Coumarin, 3-chloro-7-hydroxy-4-methyl-, O-ester with O,O-diethyl phosphorothioate', 'O,O-Diethyl O-(3-chloro-4-methyl-2-oxo-2H-benzopyran-7-yl)phosphorothioate', 'o-(3-Chloro-4-methyl-2-oxo-2H-1-benzopyran-7-yl) o,o-diethyl phosphorothioate', 'AI3-17957', 'CHEBI:3903', 'NSC8944', 'O,O-Diaethyl-O-(3-chlor-4-methyl-cumarin-7-yl)-monothiophosphat', 'Coumafos (INN)', 'Coumafos [INN]', 'Thiophosphate de O,O-diethyle et de O-(3-chloro-4-methyl-7-coumarinyle)', 'Phosphorothioic acid, O,O-diethyl ester, O-ester with 3-chloro-7-hydroxy-4-methylcoumarin', 'NCGC00094516-01', '3-chloro-7-diethoxyphosphinothioyloxy-4-methylchromen-2-one', 'Diethyl-O-(3-chloro-4-methyl-7-coumarinyl) phosphorothioate', 'O,O-Diethyl O-(3-chloro-4-methylumbelliferone) thiophosphate', 'O,O-Dietil-O-(3-cloro-4-metil-cumarin-7-il-monotiofosfato)', 'O,O-Diethyl-O-(3-chloor-4-methyl-cumarin-7-yl)monothiofosfaat', 'O-(3-Chloro-4-methyl-7-coumarinyl) O,O-diethylphosphorothioate', 'DSSTox_CID_347', 'O,O-Diethyl-O-(3-chloor-4-methyl-cumarin-7-yl)monothiofosfaat [Dutch]', 'O,O-Dietil-O-(3-cloro-4-metil-cumarin-7-il-monotiofosfato) [Italian]', 'O,O-Diaethyl-O-(3-chlor-4-methyl-cumarin-7-yl)-monothiophosphat [German]', 'O,O-Diethyl O-(3-chloro-4-methyl-2-oxo-2h-benzopyran-7-yl) phosphorothioate', 'DSSTox_RID_75528', 'Phosphorothioic Acid O-(3-Chloro-4-Methyl-2-Oxo-2H-1-Benzopyran-7-yl) O,O-Diethyl Ester', 'Thiophosphate de O,O-diethyle et de O-(3-chloro-4-methyl-7-coumarinyle) [French]', 'DSSTox_GSID_20347', 'Coumafosum', 'O,O-Dietil-O-(3-chloro-4-metil-cumarin-7-il-monotiofosfato)', 'O,O-Diethyl-O-(3-chloro-4-methyl-cumarin-7-yl)monothiofosfaat', 'O-(3-chloro-4-methyl-2-oxo-2H-chromen-7-yl) O,O-diethyl phosphorothioate', 'CAS-56-72-4', 'Coumaphos [ISO:BAN]', 'Asantol', 'Muscotox', 'Perizin', 'Bazmix', 'Koral', 'Meldane (TN)', 'Co-ral (phosphate)', 'Spectrum_001767', 'SpecPlus_000350', 'Spectrum2_001845', 'Spectrum3_000805', 'Spectrum4_000645', 'Spectrum5_001924', 'BSPBio_002269', 'KBioGR_000989', 'KBioSS_002248', 'SPECTRUM330012', '4-18-00-00344 (Beilstein Handbook Reference)', 'MLS002695922', 'DivK1c_006446', 'SCHEMBL120173', 'SPBio_001630', 'CHEMBL251680', 'DTXSID2020347', 'BAYER-21199', 'KBio1_001390', 'KBio2_002247', 'KBio2_004815', 'KBio2_007383', 'KBio3_001769', '3-chloro-7-diethoxyphosphinothioyloxy-4-methyl-chromen-2-one', 'HMS3089A24', 'HMS3264G07', 'Pharmakon1600-00330012', 'ZINC608284', 'NSC-8944', 'O,O-diethyl O-(3-chloro-4-methyl-7-coumarinyl) phosphorothioate', 'Tox21_111290', 'Tox21_201841', 'Tox21_300769', 'BDBM50366033', 'CCG-39383', 'LS-224', 'MFCD00041820', 'NSC759838', 'AKOS015903492', 'Tox21_111290_1', 'DB11390', 'MCULE-8986409592', 'NSC-759838', 'Coumaphos 10 microg/mL in Acetonitrile', 'Coumaphos 100 microg/mL in Acetonitrile', 'NCGC00094516-02', 'NCGC00094516-03', 'NCGC00094516-04', 'NCGC00094516-05', 'NCGC00094516-06', 'NCGC00094516-08', 'NCGC00178730-01', 'NCGC00254673-01', 'NCGC00259390-01', 'AC-12672', 'AS-16079', 'CC-25986', 'S256', 'SMR000777904', 'DB-052962', 'WLN: T66 BOVJ DG E1 IOPS&amp;O2&amp;O2', 'NS00009821', 'Coumaphos, PESTANAL(R), analytical standard', 'C11025', 'D07750', 'M-1115', 'AB00053007_02', 'O,O-diethyl O-(3-chloro-4-methylumbelliferone)', '056C724', 'C-20952', 'Q415896', 'SR-01000892650', 'Coumarin, O-ester with O,O-diethyl phosphorothioate', 'SR-01000892650-2', 'BRD-K41567533-001-02-6', '3-Chloro-4-methylumbelliferone o-ester with O,O-diethyl', 'O-(3-Chloro-4-methylcoumarin-7-yl) O,O-diethyl phosphorothioate', 'Umbelliferone, 3-chloro-4- methyl-, O,O-diethyl phosphorothioate', 'Umbelliferone, 3-chloro-4-methyl-, O,O-diethyl phosphorothioate', '3-chloro-4-methylumbelliferone , O-ester with O,O-diethyl phosphorothioate', '3-chloro-4-methylumbelliferone, O-ester with O,O-diethyl phosphorothioate', 'Diethyl O-(3-chloro-4-methyl-2-oxo-2H-1-benzopyran-7-yl) phosphorothioate', 'O-(3-Chloro-4-methyl-2-oxo-2H-chromen-7-yl) O,O-diethyl thiophosphate #', 'O-3-chloro-4-methyl-2-oxo-2H-chromen-7-yl O,O-diethyl phosphorothioate', '0,0-Diethyl 0-(3-chloro-4-methyl-2-oxo-2H-1-benzopyran-7-yl) phosphorothioate', '3-chloro-7-hydroxy-4-methylcoumarin O-ester with O,O-diethyl phosphorothioate', 'Coumarin, 3-chloro-7-hydroxy-4-methyl-, O- ester with O,O-diethylpyrophosphorothioate', 'Coumarin, 3-chloro-7-hydroxy-4-methyl-, O-ester with O,O-diethylpyrophosphorothioate', 'O,O-diethyl O-(3-chloro-4-methyl-2-oxo-2H-1-benzopyran-7-yl) phosphorothioate', 'O-(3-chloro-4-methyl-2-oxo-2H-1-benzo pyran-7-yl) O,O-diethyl phosphorothioate', 'Phosphorothioic acid,O-diethyl ester, O-ester with 3-chloro-7-hydroxy-4-methylcoumarin']</t>
  </si>
  <si>
    <t>Compound(2871)</t>
  </si>
  <si>
    <t>C14H16ClO5PS</t>
  </si>
  <si>
    <t>cumene</t>
  </si>
  <si>
    <t>['CUMENE', 'Isopropylbenzene', '98-82-8', '2-Phenylpropane', 'Benzene, (1-methylethyl)-', '(1-Methylethyl)benzene', 'Cumol', 'Isopropylbenzol', 'Cumeen', 'Isopropilbenzene', 'Isopropylbenzeen', '2-Fenilpropano', '2-Fenyl-propaan', 'Propan-2-ylbenzene', 'Isopropyl-benzol', 'Benzene, isopropyl', 'Propane, 2-phenyl', 'i-propylbenzene', 'Phenol bottoms', '(propan-2-yl)benzene', '(1-methylethyl)-benzen', 'Polyphenyl residue', 'Cumeen [Dutch]', 'RCRA waste number U055', '(Methylethyl)benzene', 'Isopropylbenzen', 'Isopropylbenzeen [Dutch]', '2-Fenilpropano [Italian]', '2-Fenyl-propaan [Dutch]', 'Isopropyl-benzol [German]', 'Oxidized cumene polyphenyl residues', 'Isopropilbenzene [Italian]', 'NSC 8776', '4-isopropylbenzene', 'UNII-8Q54S3XE7K', 'Benzene, isopropyl-', 'HSDB 172', 'Propane, 2-phenyl-', 'Benzene, 1-methylethyl-', 'EINECS 202-704-5', 'MFCD00008881', 'UN1918', 'RCRA waste no. U055', 'Sulfurized by-product of cumene oxidation', 'AI3-04630', '8Q54S3XE7K', 'Benzene, (1-methylethyl)-, oxidized, polyphenyl residues', 'Benzene, (1-methylethyl)-, oxidized, sulfurized by-products', '(1-methylethyl)benzene (cumene)', 'CHEBI:34656', '68333-89-1', 'Cumene, 98%, pure', 'Cumene, 99%, pure', 'Isopropylbenzene [UN1918] [Flammable liquid]', 'CUMENE (CUMENE HYDROPEROXIDE (80-15-9))', 'Cumene, 99.9%, extra pure', 'ISOPROPYL BENZENE', 'cumen', 'CCRIS 9455', 'isopropyl-benzene', '2-phenyl-propane', 'I-Propyl-Benzene', '4-isopropyl benzene', 'EINECS 269-798-8', 'EINECS 270-120-8', 'Benzene, i-propyl-', '68411-37-0', 'Propane-2-yl-benzene', '1-Methylethyl-Benzene', 'Benzene,isopropyl cumol', 'Cumene, 98%', 'Isopropyl-benzol(german)', '(1-methylethyl)-benzene', 'DSSTox_CID_1827', 'ACMC-20aj02', 'Iso-propylbenzene (cumene)', '1-Methylethylbenzene, 9CI', 'Cumene, analytical standard', 'EC 202-704-5', 'EC 269-798-8', 'DSSTox_RID_76352', 'DSSTox_GSID_21827', 'KSC490M5P', 'MLS002454396', 'BIDD:ER0700', 'CHEMBL1398949', 'DTXSID1021827', 'CTK3J0657', 'ISOPROPYLBENZENE (CUMENE)', 'BENZENE,ISOPROPYL   CUMOL', 'NSC8776', 'WLN: 1Y1 &amp; R', 'HMS3039J15', 'KS-00000V9R', 'NSC-8776', 'ZINC1648223', 'Tox21_202503', 'ANW-75552', 'SBB040817', 'STL282733', 'AKOS000269066', 'Benzene, (1-methylethyl)-, oxidized, cumene residues, methylstyrene fraction', 'LS-2048', 'MCULE-3652295432', 'NE10622', 'UN 1918', 'CAS-98-82-8', 'NCGC00091155-01', 'NCGC00260052-01', '101316-43-2', 'S642', 'SMR001372007', 'Cumene, PESTANAL(R), analytical standard', 'Isopropylbenzene 10 microg/mL in Methanol', 'Isopropylbenzene 100 microg/mL in Methanol', 'FT-0624111', 'NS00005736', 'S0652', 'ST50214393', 'EN300-19973', '6509-EP1441224A2', '6509-EP2269978A2', '6509-EP2269985A2', '6509-EP2269991A2', '6509-EP2270001A1', '6509-EP2270004A1', '6509-EP2272510A1', '6509-EP2277867A2', '6509-EP2277874A1', '6509-EP2279750A1', '6509-EP2280003A2', '6509-EP2280012A2', '6509-EP2281813A1', '6509-EP2284150A2', '6509-EP2284151A2', '6509-EP2284152A2', '6509-EP2284153A2', '6509-EP2284155A2', '6509-EP2284156A2', '6509-EP2284164A2', '6509-EP2287140A2', '6509-EP2287148A2', '6509-EP2287150A2', '6509-EP2289868A1', '6509-EP2289871A1', '6509-EP2289890A1', '6509-EP2292228A1', '6509-EP2292589A1', '6509-EP2292593A2', '6509-EP2295406A1', '6509-EP2295419A2', '6509-EP2298732A1', '6509-EP2298743A1', '6509-EP2298762A2', '6509-EP2298767A1', '6509-EP2301627A1', '6509-EP2301912A2', '6509-EP2301913A1', '6509-EP2301914A1', '6509-EP2301916A2', '6509-EP2301928A1', '6509-EP2305250A1', '6509-EP2305637A2', '6509-EP2305640A2', '6509-EP2305695A2', '6509-EP2305696A2', '6509-EP2305697A2', '6509-EP2305698A2', '6509-EP2305808A1', '6509-EP2308828A2', '6509-EP2308832A1', '6509-EP2308833A2', '6509-EP2308875A1', '6509-EP2311796A1', '6509-EP2311797A1', '6509-EP2311798A1', '6509-EP2311799A1', '6509-EP2311807A1', '6509-EP2311820A1', '6509-EP2311824A1', '6509-EP2311837A1', '6509-EP2311850A1', '6509-EP2314576A1', '6509-EP2314587A1', '6509-EP2371794A1', '6509-EP2374792A1', 'C14396', '10441-EP2269986A1', '10441-EP2301918A1', '10441-EP2305683A1', '10441-EP2311804A2', '10441-EP2311839A1', '10441-EP2314577A1', '10441-EP2314589A1', '10441-EP2316452A1', '10441-EP2316837A1', '36599-EP2275407A1', '36599-EP2281821A1', '36599-EP2284165A1', '36599-EP2292593A2', '36599-EP2305667A2', '36599-EP2305668A1', '36599-EP2308857A1', '36599-EP2309584A1', '36599-EP2311801A1', '36599-EP2311802A1', '36599-EP2311803A1', '36599-EP2311804A2', '36599-EP2371814A1', '36599-EP2380568A1', 'Isopropylbenzene [UN1918]  [Flammable liquid]', 'Q410107', 'J-520110', 'J-660071', 'Benzene,(1-methylethyl)-, oxidized, polyphenyl residues', 'F0001-2320', 'Cumene, United States Pharmacopeia (USP) Reference Standard', 'Cumene, Pharmaceutical Secondary Standard; Certified Reference Material']</t>
  </si>
  <si>
    <t>Compound(7406)</t>
  </si>
  <si>
    <t>azanium;(Z)-oxido-oxidoimino-phenylazanium</t>
  </si>
  <si>
    <t>['CUPFERRON', 'Kupferon', '135-20-6', 'Ammonium cupferron', 'Cupferon [Czech]', 'Kupferron [Czech]', 'N-Nitroso-N-phenylhydroxylamine ammonium salt', 'Cupferron, ammonium salt', 'Ammonium N-nitrosophenylhydroxylamine', 'Ammonium-N-nitrosophenylhydroxylamine', 'UNII-V66QK963ED', 'CCRIS 184', 'N-Nitrosophenylhydroxylamine ammonium salt', 'HSDB 4109', 'Ammonium nitrosophenylhydroxylamine', 'NCI-C03258', 'N-Nitroso-N-phenylhydroxylamine, ammonium salt', 'EINECS 205-183-2', 'NSC 112124', 'Ammonium nitroso-beta-phenylhydroxylamine', 'N-Nitrosofenylhydroxylamin amonny [Czech]', 'AI3-63016', 'V66QK963ED', 'N-Hydroxy-N-nitroso-benzenamine, ammonium salt', 'Hydroxylamine, N-nitroso-N-phenyl-, ammonium salt', 'N-Nitrosophenylhydroxylamin ammonium salz [German]', 'ammonium 2-oxo-1-phenylhydrazinolate', 'DSSTox_CID_352', 'DSSTox_RID_75532', 'DSSTox_GSID_20352', 'CAS-135-20-6', 'MFCD00078422', 'Cupferron, Reagent', 'N-hydroxy-N-nitrosobenzenamine ammonium salt', 'SCHEMBL52291', 'DTXSID1020352', 'Tox21_201493', 'Tox21_302952', 'LS-787', 'nitrosophenylhydroxylamine, azamethane', 'AKOS015890386', 'JC10087', 'NCGC00091873-01', 'NCGC00256368-01', 'NCGC00259044-01', 'M776', 'Ammonium salt of N-hydroxy-N-nitrosoaniline', 'ST51039876', 'N-nitroso-N-phenylhydroxylamine,  ammonium salt']</t>
  </si>
  <si>
    <t>Compound(135465076)</t>
  </si>
  <si>
    <t>C6H9N3O2</t>
  </si>
  <si>
    <t>cyanophenphos</t>
  </si>
  <si>
    <t>4-[ethoxy(phenyl)phosphinothioyl]oxybenzonitrile</t>
  </si>
  <si>
    <t>['CYANOFENPHOS', 'Cyanophenphos', 'Surecide', '13067-93-1', 'Stauffer B-10094', 'Monsanto CP-19699', 'Upjohn U-32714', '(+)-Cyanofenphos', '(-)-Cyanofenphos', 'Cyanofenphos [ISO]', '(+-)-Cyanofenphos', 'Experimental insecticide S-4087', 'ENT 25,832-a', 'ENT 25,832', 'CP 19699', 'O-Ethyl O-4-cyanophenyl phenylphosphonothioate', 'O-p-Cyanophenyl O-ethyl phenyl-phosphonothioate', 'S 4087', 'O-(4-Cyanophenyl) O-ethyl phenylphosphonothioate', 'Phosphonothioic acid, phenyl-, O-(4-cyanophenyl) O-ethyl ester', 'BRN 2945855', 'AI3-25832', 'CYP', 'CHEBI:82112', 'O-Ethyl phenylphosphonothioate, O-ester with p-hydroxybenzonitrile', '4-[ethoxy(phenyl)phosphinothioyl]oxybenzonitrile', 'Benzonitrile, p-hydroxy-, O-ester with O-ethyl phenylphosphonothioate', 'B-10094', 'Phenylphosphonothioic acid O-ethyl ester O-ester with p-hydroxybenzonitrile', 'Phosphonothioic acid, phenyl-, O-(4-cyanophenyl) O-ethyl ester, (+)-', 'Phosphonothioic acid, phenyl-, O-ethyl ester, O-ester with p-hydroxybenzonitrile', '62421-63-0', 'Phenylphosphonothioic acid, O-(4-cyanophenyl) O-ethyl ester', '(+)-Phenylphosphonothioic acid O-(4-cyanophenyl) O-ethyl ester', '(-)-Phenylphosphonothioic acid O-(4-cyanophenyl) O-ethyl ester', '(+-)-Phenylphosphonothioic acid O-(4-cyanophenyl) O-ethyl ester', 'Phosphonothioic acid, phenyl-, O-(4-cyanophenyl) O-ethyl ester, (+-)-', 'Phosphonothioic acid, phenyl-, O-(4-cyanophenyl) O-ethyl ester, (-)-', 'Cyanofenphos solution', 'Surazon', 'Cyanofenphos (Cyanophenphos)', 'SCHEMBL119236', 'CHEMBL2271087', 'DTXSID5041805', 'Phosphonothioic acid, phenyl-, 4-cyanophenyl ethyl ester', 'CTK2F4394', 'OMS 870', 'Cyanofenphos 10 microg/mL in Isooctane', 'Cyanofenphos 1000 microg/mL in Acetone', '34460-46-3', '62421-61-8', '62421-62-9', 'LS-107216', 'LS-107217', 'LS-107218', 'LS-107249', 'NS00000115', 'O-Ethyl O-(4-cyanophenyl) phenylphosphonothioate', 'B 10094', 'J-005854', 'Q26841289', 'UNII-1X6JV2NE2N component LRNJHZNPJSPMGK-LJQANCHMSA-N', 'cyanophenphos;O-4-cyanophenyl O-ethyl phenylphosphonothioate;Cyanofenphos', 'Cyanofenphos solution, 100 mug/mL in acetonitrile, PESTANAL(R), analytical standard']</t>
  </si>
  <si>
    <t>Compound(25669)</t>
  </si>
  <si>
    <t>C15H14NO2PS</t>
  </si>
  <si>
    <t>cyanophos</t>
  </si>
  <si>
    <t>4-dimethoxyphosphinothioyloxybenzonitrile</t>
  </si>
  <si>
    <t>['CYANOPHOS', 'Ciafos', 'Cyanox', '2636-26-2', 'CYAP', 'Cynock', 'Sumitomo S 4084', 'Bayer 34727', 'May &amp; baker S-4084', 'Phosphorothioic acid, O-(4-cyanophenyl) O,O-dimethyl ester', 'Caswell No. 268A', 'Cyanophos [BSI:ISO]', 'O,O-Dimethyl-O-p-cyanophenyl phosphorothioate', 'O-p-Cyanophenyl O,O-dimethyl phosphorothioate', 'O-(4-Cyanophenyl) O,O-dimethyl phosphorothioate', 'OMS 226', 'OMS 869', '4-(Dimethoxyphosphinothioyloxy)benzonitrile', 'UNII-2AB0Z99OXP', 'BAY 34727', 'O,O-Dimethyl O-4-cyanophenyl phosphorothioate', 'O,O-Dimethyl O-(4-cyanophenyl) thionophosphate', 'ENT 25,675', 'HSDB 6427', 'O,O-Dimethyl O-4-cyanophenyl thiophosphate', 'EINECS 220-130-3', 'S 4084', 'EPA Pesticide Chemical Code 268200', 'BRN 2695901', '2AB0Z99OXP', 'AI3-25675', 'CHEBI:38621', 'O-4-cyanophenyl O,O-dimethyl phosphorothioate', '(O-p-Cyanophenyl-O,O-dimethylphosphorothioate)', 'Phosphorothioic acid, O,O-dimethyl ester, O-ester with p-hydroxybenzonitrile', '4-dimethoxyphosphinothioyloxybenzonitrile', 'O,O-Dimethyl-O-(4-cyano-phenyl)-monothiophosphat [German]', 'o-(4-Cyanophenyl) o,o-dimethyl thiophosphate', 'Cyanophos E.C.', 'O,O-Dimethyl-O-(4-cyano-phenyl)-monothiophosphat', 'SCHEMBL83422', 'CHEMBL2271089', 'DTXSID0041806', 'Cyanophos 10 microg/mL in Isooctane', 'O,O-Dimethyl phosphorothioate O-ester with p-hydroxybenzonitrile (8CI)', 'AKOS015888321', 'ACM2636262', 'CC-26018', 'SC-80715', 'DB-046940', 'LS-108809', 'FT-0603169', 'NS00001260', 'Cyanophos, PESTANAL(R), analytical standard', 'O-4-Cyanophenyl O O-dimethyl phosphorothioate', 'C18397', '26864-EP2274983A1', '26864-EP2275422A1', '26864-EP2280009A1', '26864-EP2292608A1', '26864-EP2308857A1', '26864-EP2308858A1', '26864-EP2311816A1', '26864-EP2314583A1', '31936-EP2274983A1', '31936-EP2308858A1', '31936-EP2311816A1', 'O,O-Dimethyl O-(p-cyanophenyl) phosphorothioate', 'O-(4-Cyanophenyl) O,O-dimethyl thiophosphate #', '636C262', 'C-14716', 'O,O-Dimethyl-O-(4-cyano-phenyl)-monothiophosphate', 'J-016395', 'Q1147014', 'O,O-Dimethyl phosphorothioate O-ester with p-hydroxybenzonitrile']</t>
  </si>
  <si>
    <t>Compound(17522)</t>
  </si>
  <si>
    <t>C9H10NO3PS</t>
  </si>
  <si>
    <t>5-bromo-2-(3-chloropyridin-2-yl)-N-[4-cyano-2-methyl-6-(methylcarbamoyl)phenyl]pyrazole-3-carboxamide</t>
  </si>
  <si>
    <t>['Cyantraniliprole', '736994-63-1', 'UNII-LO6K6H48FD', 'LO6K6H48FD', '3-Bromo-1-(3-chloro-2-pyridinyl)-N-[4-cyano-2-methyl-6-[(methylamino)carbonyl]phenyl]-1H-pyrazole-5-carboxamide', '5-bromo-2-(3-chloropyridin-2-yl)-N-[4-cyano-2-methyl-6-(methylcarbamoyl)phenyl]pyrazole-3-carboxamide', "3-bromo-1-(3-chloro-2-pyridyl)-4'-cyano-2'-methyl-6'-(methylcarbamoyl)pyrazole-5-carboxanilide", '3-bromo-1-(3-chloropyridin-2-yl)-n-[4-cyano-2-methyl-6-(methylcarbamoyl)phenyl]-1h-pyrazole-5-carboxamide', 'Cyantraniliprole [ISO]', 'Cyantraniliprol', 'Galaxy', 'Zyrox', '3-bromo-1-(3-chloro-2-pyridinyl)-N-(4-cyano-2-methyl-6-((methylamino)carbonyl)phenyl)-1H-pyrazole-5-carboxamide', 'C19H14BrClN6O2', 'SCHEMBL166640', 'CHEMBL2286761', 'DTXSID2058174', 'CHEBI:132300', 'BCP24173', 'EX-A1458', 'KS-00001D0W', '3565AH', 'ZINC35851465', 'AKOS027322013', 'PST0000226', 'NCGC00485938-01', 'HY-12779', 'NS00040712', 'Cyantraniliprole, PESTANAL(R), analytical standard', 'Q17073330', '1H-Pyrazole-5-carboxamide,3-bromo-1-(3-chloro-2-pyridinyl)-N-[4-cyano-2-methyl-6-[(methylamino)carbonyl]phenyl]-', '3-bromo-1-(3-chloro-2-pyridinyl)-N-[4-cyano-2-methyl-6-[(methylamino)-carbonyl]phenyl]-1H-pyrazole-5-carboxamide']</t>
  </si>
  <si>
    <t>Compound(11578610)</t>
  </si>
  <si>
    <t>C19H14BrClN6O2</t>
  </si>
  <si>
    <t>4-chloro-2-cyano-N,N-dimethyl-5-(4-methylphenyl)imidazole-1-sulfonamide</t>
  </si>
  <si>
    <t>['Cyazofamid', '120116-88-3', 'Cyazofamid [ISO]', '4-Chloro-2-cyano-N,N-dimethyl-5-(p-tolyl)-1H-imidazole-1-sulfonamide', 'UNII-QJC4S2YQ4B', '4-chloro-2-cyano-N,N-dimethyl-5-(4-methylphenyl)-1H-imidazole-1-sulfonamide', '4-chloro-2-cyano-N,N-dimethyl-5-p-tolylimidazole-1-sulfonamide', 'QJC4S2YQ4B', 'CHEBI:81841', '1H-Imidazole-1-sulfonamide, 4-chloro-2-cyano-N,N-dimethyl-5-(4-methylphenyl)-', '4-chloro-2-cyano-N,N-dimethyl-5-(4-methylphenyl)imidazole-1-sulfonamide', 'HSDB 7505', '4-Chloro-1-(dimethylaminosulfonyl)-5-(p-tolyl)imidazole-2-carbonitrile', 'DSSTox_CID_14492', 'DSSTox_RID_79158', 'DSSTox_GSID_34492', 'SCHEMBL22923', 'CHEMBL1863429', 'DTXSID9034492', 'CTK8E9359', 'BCP24647', 'DNDI1729591', 'ZINC2526846', 'Tox21_300788', 'AKOS015917604', 'Cyazofamid 10 microg/mL in Cyclohexane', 'NCGC00168297-01', 'NCGC00168297-02', 'NCGC00254692-01', 'AK117730', 'LS-183354', 'CAS-120116-88-3', 'FT-0665319', 'NS00008379', 'Cyazofamid, PESTANAL(R), analytical standard', 'C18573', '116C883', 'J-004260', 'Q15632870', '4-chloro-2-cyano-N,N-dimethyl-5-p-tolyl-1H-imidazole-1-sulfonamide', '4-chloro-2-cyano-N,N-dimethyl-5-p-tolylimidazole-1-sulfonamide;1H-Imidazole-1-sulfonamide, 4-chloro-2-cyano-N,N-dimethyl-5-(4-methylphenyl)-', 'Pesticide5_Cyazofamid_C13H13ClN4O2S_4-Chloro-1-(dimethylaminosulfonyl)-5-(p-tolyl)imidazole-2-carbonitrile']</t>
  </si>
  <si>
    <t>Compound(9862076)</t>
  </si>
  <si>
    <t>C13H13ClN4O2S</t>
  </si>
  <si>
    <t>cyclododecane</t>
  </si>
  <si>
    <t>['CYCLODODECANE', '294-62-2', 'Cyclododecan', 'UNII-97CN13ZD83', 'HSDB 5557', 'EINECS 206-033-9', 'BRN 1901008', '97CN13ZD83', 'DSSTox_CID_1552', 'EC 206-033-9', 'DSSTox_RID_76206', 'DSSTox_GSID_21552', '4-05-00-00169 (Beilstein Handbook Reference)', 'ACMC-209h94', 'CHEMBL3185808', 'DTXSID9021552', 'CTK1A5915', 'Tox21_202734', 'ANW-26630', 'FCH917934', 'SBB060910', 'ZINC54962163', 'AKOS006227986', 'MCULE-7420288531', 'NCGC00260282-01', 'AS-56381', 'CAS-294-62-2', 'LS-55954', 'DB-047586', 'FT-0624163', 'NS00002938', 'ST50409768', 'C-51729', 'Q118040']</t>
  </si>
  <si>
    <t>Compound(9268)</t>
  </si>
  <si>
    <t>C12H24</t>
  </si>
  <si>
    <t>cyclopentadecane</t>
  </si>
  <si>
    <t>['Cyclopentadecane', '295-48-7', 'EINECS 206-040-7', 'ACMC-209h9p', 'DTXSID1059781', 'CTK1A2866', 'KS-000012KE', 'ACM295487', 'ANW-26651', 'MFCD00039424', 'ZINC49952238', 'AKOS025295076', 'MCULE-3080496617', 'AS-56765', 'DB-047598', 'A5586', 'C1224', 'FT-0631905', 'NS00028724', 'ST50407068', 'C-51002', 'Q17992517']</t>
  </si>
  <si>
    <t>Compound(67525)</t>
  </si>
  <si>
    <t>C15H30</t>
  </si>
  <si>
    <t>cyclohexadecane</t>
  </si>
  <si>
    <t>['Cyclohexadecane', '295-65-8', 'EINECS 206-041-2', 'CTK1A5680', 'DTXSID40183700', 'NS00041689', 'Q17992508']</t>
  </si>
  <si>
    <t>Compound(67526)</t>
  </si>
  <si>
    <t>cyclohexane</t>
  </si>
  <si>
    <t>['CYCLOHEXANE', '110-82-7', 'Hexamethylene', 'Hexanaphthene', 'Hexahydrobenzene', 'Cyclohexan', 'Cykloheksan', 'Cicloesano', 'Cyclohexaan', 'Benzene, hexahydro-', 'Benzenehexahydride', 'Polycyclohexane', 'hexahydro-Benzene', 'Poly(cyclohexane)', 'RCRA waste number U056', 'Cyclohexaan [Dutch]', 'Cyclohexan [German]', 'Cicloesano [Italian]', 'Cykloheksan [Polish]', 'Caswell No. 269', 'cyclo-hexane', 'UNII-48K5MKG32S', 'HSDB 60', 'NSC 406835', 'CCRIS 3928', 'Cyclohexane, oxidized, non-volatile residue', 'EINECS 203-806-2', 'MFCD00003814', 'UN1145', 'RCRA waste no. U056', 'EPA Pesticide Chemical Code 025901', 'AI3-08222', '48K5MKG32S', 'CHEBI:29005', 'NSC-406835', 'Cyclohexane, ACS reagent', 'Cyclohexane, 99+%, pure', 'Ciclohexano', 'Cyclohexane, 99.5%, extra pure', 'Cyclohexane, 99.8%, for HPLC', 'Cyclohexane, 99.5%, for analysis', 'Cyclohexane, ACS reagent, &gt;=99%', 'Cyclohexane, 99+%, for spectroscopy', 'Cyclohexane, for HPLC, &gt;=99.7%', 'Cyclohexane, 99+%, for spectroscopy ACS', 'Cyclohexane, for pesticide residue analysis', 'Cyclohexane, 99.5%, Extra Dry, AcroSeal(R)', 'cylcohexane', 'cylohexane', 'Cyclohexane, puriss. p.a., ACS reagent, &gt;=99.5% (GC)', 'Zyklohexan', 'Cyclohexane, 99.5%, Extra Dry over Molecular Sieve, AcroSeal(R)', 'EINECS 270-147-5', 'Cyclohexane HPLC grade', 'Cyclohexane, for HPLC', 'Cyclohexane, homopolymer', 'Cyclohexane, ACS Grade', 'ACMC-1BUC3', 'DSSTox_CID_1923', 'bmse000545', 'WLN: L6TJ', 'EC 203-806-2', 'EC 270-147-5', 'DSSTox_RID_76404', 'DSSTox_GSID_21923', 'ghl.PD_Mitscher_leg0.242', '68411-76-7', 'Cyclohexane, LR, &gt;=99%', 'KSC176E2J', 'CHEMBL15980', 'Cyclohexane, JIS special grade', 'Cyclohexane, analytical standard', 'Cyclohexane, p.a., 99.0%', 'DTXSID4021923', 'CTK0H6224', 'Cyclohexane, anhydrous, 99.5%', 'Cyclohexane, AR, &gt;=99.5%', 'KS-00000WCC', 'Cyclohexane, reaction product with oxygen, nonvolatile residue', 'BCP08072', 'ZINC1532203', 'Tox21_201087', 'ANW-56408', 'LS-516', 'NSC406835', 'STL283116', 'Cyclohexane, &gt;=99.5%, PRA grade', 'Cyclohexane, for HPLC, &gt;=99.9%', 'AKOS000119975', 'Cyclohexane, HPLC grade, &gt;=99.9%', 'ZINC100503963', 'MCULE-3136361765', 'UN 1145', 'Cyclohexane 2000 microg/mL in Methanol', 'NCGC00248918-01', 'NCGC00258639-01', '25012-93-5', 'CAS-110-82-7', 'Cyclohexane, puriss., &gt;=99.5% (GC)', 'Cyclohexane [UN1145] [Flammable liquid]', 'Cyclohexane, SAJ first grade, &gt;=99.0%', 'Cyclohexane, Laboratory Reagent, &gt;=99.8%', 'Cyclohexane, p.a., ACS reagent, 99.0%', 'Cyclohexane [UN1145]  [Flammable liquid]', 'Cyclohexane, UV HPLC spectroscopic, 99.5%', 'FT-0624180', 'FT-0624182', '5374-EP2269975A2', '5374-EP2269977A2', '5374-EP2269986A1', '5374-EP2269989A1', '5374-EP2269990A1', '5374-EP2269993A1', '5374-EP2269997A2', '5374-EP2270001A1', '5374-EP2270003A1', '5374-EP2270006A1', '5374-EP2270008A1', '5374-EP2270010A1', '5374-EP2270014A1', '5374-EP2270113A1', '5374-EP2270114A1', '5374-EP2272516A2', '5374-EP2272517A1', '5374-EP2272537A2', '5374-EP2272822A1', '5374-EP2272825A2', '5374-EP2272826A1', '5374-EP2272831A1', '5374-EP2272848A1', '5374-EP2272935A1', '5374-EP2274983A1', '5374-EP2275401A1', '5374-EP2275407A1', '5374-EP2275410A1', '5374-EP2275414A1', '5374-EP2275415A2', '5374-EP2275419A2', '5374-EP2275469A1', '5374-EP2277848A1', '5374-EP2277882A1', '5374-EP2277898A2', '5374-EP2280000A1', '5374-EP2280005A1', '5374-EP2280006A1', '5374-EP2280009A1', '5374-EP2280011A1', '5374-EP2280014A2', '5374-EP2281812A1', '5374-EP2281813A1', '5374-EP2281815A1', '5374-EP2281818A1', '5374-EP2281820A2', '5374-EP2281822A1', '5374-EP2284148A1', '5374-EP2284149A1', '5374-EP2284157A1', '5374-EP2284174A1', '5374-EP2286915A2', '5374-EP2287147A2', '5374-EP2287152A2', '5374-EP2287153A1', '5374-EP2287154A1', '5374-EP2287159A1', '5374-EP2287160A1', '5374-EP2287168A2', '5374-EP2287940A1', '5374-EP2289509A2', '5374-EP2289876A1', '5374-EP2289878A1', '5374-EP2289879A1', '5374-EP2289884A1', '5374-EP2289887A2', '5374-EP2289888A2', '5374-EP2289891A2', '5374-EP2289893A1', '5374-EP2289897A1', '5374-EP2289965A1', '5374-EP2292592A1', '5374-EP2292596A2', '5374-EP2292611A1', '5374-EP2292612A2', '5374-EP2292617A1', '5374-EP2292621A1', '5374-EP2292629A1', '5374-EP2292630A1', '5374-EP2295408A1', '5374-EP2295410A1', '5374-EP2295426A1', '5374-EP2295427A1', '5374-EP2295430A2', '5374-EP2295431A2', '5374-EP2298729A1', '5374-EP2298731A1', '5374-EP2298735A1', '5374-EP2298745A1', '5374-EP2298746A1', '5374-EP2298754A1', '5374-EP2298761A1', '5374-EP2298763A1', '5374-EP2298767A1', '5374-EP2298772A1', '5374-EP2298828A1', '5374-EP2301544A1', '5374-EP2301627A1', '5374-EP2301909A1', '5374-EP2301918A1', '5374-EP2301919A1', '5374-EP2301934A1', '5374-EP2301939A1', '5374-EP2301983A1', '5374-EP2302003A1', '5374-EP2305250A1', '5374-EP2305254A1', '5374-EP2305625A1', '5374-EP2305627A1', '5374-EP2305642A2', '5374-EP2305649A1', '5374-EP2305650A1', '5374-EP2305667A2', '5374-EP2305675A1', '5374-EP2305679A1', '5374-EP2305682A1', '5374-EP2305683A1', '5374-EP2305685A1', '5374-EP2305686A1', '5374-EP2305688A1', '5374-EP2305808A1', '5374-EP2305825A1', '5374-EP2308471A1', '5374-EP2308510A1', '5374-EP2308562A2', '5374-EP2308812A2', '5374-EP2308832A1', '5374-EP2308838A1', '5374-EP2308839A1', '5374-EP2308848A1', '5374-EP2308849A1', '5374-EP2308850A1', '5374-EP2308851A1', '5374-EP2308857A1', '5374-EP2308858A1', '5374-EP2308861A1', '5374-EP2308865A1', '5374-EP2308876A1', '5374-EP2308879A1', '5374-EP2308926A1', '5374-EP2309564A1', '5374-EP2309584A1', '5374-EP2311796A1', '5374-EP2311797A1', '5374-EP2311798A1', '5374-EP2311799A1', '5374-EP2311801A1', '5374-EP2311802A1', '5374-EP2311803A1', '5374-EP2311808A1', '5374-EP2311813A1', '5374-EP2311816A1', '5374-EP2311817A1', '5374-EP2311821A1', '5374-EP2311822A1', '5374-EP2311824A1', '5374-EP2311829A1', '5374-EP2311830A1', '5374-EP2311837A1', '5374-EP2311839A1', '5374-EP2311841A1', '5374-EP2311842A2', '5374-EP2311846A1', '5374-EP2314295A1', '5374-EP2314558A1', '5374-EP2314579A1', '5374-EP2314583A1', '5374-EP2314585A1', '5374-EP2314587A1', '5374-EP2314589A1', '5374-EP2316452A1', '5374-EP2316824A1', '5374-EP2316837A1', '5374-EP2371797A1', '5374-EP2371798A1', '5374-EP2371800A1', '5374-EP2371804A1', '5374-EP2371811A2', '5374-EP2371814A1', '5374-EP2371831A1', '5374-EP2374454A1', '5374-EP2375479A1', '5374-EP2376421A1', '5374-EP2376422A1', '5374-EP2377844A2', '5374-EP2377845A1', '5374-EP2377847A1', '5374-EP2380568A1', '5374-EP2380871A1', '5374-EP2380874A2', '5611-EP2270101A1', '5611-EP2272822A1', '5611-EP2272832A1', '5611-EP2272843A1', '5611-EP2275469A1', '5611-EP2281817A1', '5611-EP2281818A1', '5611-EP2284169A1', '5611-EP2287161A1', '5611-EP2287162A1', '5611-EP2287940A1', '5611-EP2289518A1', '5611-EP2292231A1', '5611-EP2292589A1', '5611-EP2292597A1', '5611-EP2292611A1', '5611-EP2295414A1', '5611-EP2298747A1', '5611-EP2298828A1', '5611-EP2301922A1', '5611-EP2305248A1', '5611-EP2305641A1', '5611-EP2311850A1', '5611-EP2371811A2', '5611-EP2372804A1', '5611-EP2374783A1', '5611-EP2377841A1', '5611-EP2378585A1', 'C11249', '56779-EP2272846A1', '56779-EP2275408A1', '56779-EP2275422A1', '56779-EP2277868A1', '56779-EP2277869A1', '56779-EP2277870A1', '56779-EP2287147A2', '56779-EP2287158A1', '56779-EP2292608A1', '56779-EP2292616A1', '56779-EP2292625A1', '56779-EP2295422A2', '56779-EP2295436A1', '56779-EP2298076A1', '56779-EP2298077A1', '56779-EP2298305A1', '56779-EP2298769A1', '56779-EP2301353A1', '56779-EP2305031A1', '56779-EP2305034A1', '56779-EP2305035A1', '56779-EP2308866A1', '56779-EP2308878A2', '56779-EP2374791A1', '56779-EP2377844A2', 'Cyclohexane, ACS spectrophotometric grade, &gt;=99%', 'Q211433', 'Cyclohexane, Pharmaceutical Secondary Standard; Certified Reference Material', 'CYCLOHEXANE;Bis(benzene)chromium;Cyclohexane oxidized, non-volatile residue']</t>
  </si>
  <si>
    <t>Compound(8078)</t>
  </si>
  <si>
    <t>cyclohexene</t>
  </si>
  <si>
    <t>['CYCLOHEXENE', '110-83-8', 'Tetrahydrobenzene', 'Cyclohex-1-ene', 'Benzene tetrahydride', '1,2,3,4-Tetrahydrobenzene', 'Benzenetetrahydride', 'Hexanaphthylene', 'Cykloheksen', 'Benzene, tetrahydro-', '1-Cyclohexene', '3,4,5,6-Tetrahydrobenzene', 'Cykloheksen [Polish]', '4-Cyclohexenyl radical', 'Zyklohexen', 'UNII-12L0P8F7GN', 'NSC 24835', 'HSDB 1624', 'EINECS 203-807-8', 'UN2256', 'BRN 0906737', 'cyclohexen', 'AI3-03146', '12L0P8F7GN', 'CHEBI:36404', '15650-80-3', 'Cyclohexene, 99%, pure, stabilized', 'cylcohexene', 'cyclo hexene', 'cyclo-hexene', 'cyclohexane N', 'CCRIS 8739', '2-cyclohexen', '(e)-cyclohexene', '(Z)-Cyclohexene', 'MFCD00001539', 'UN 2256', '3-Cyclohexenyl radical', '1,3,4-Tetrahydrobenzene', 'ACMC-1BMJ1', 'WLN: L6UTJ', 'EC 203-807-8', '4-05-00-00218 (Beilstein Handbook Reference)', 'KSC177C0F', 'CHEMBL16396', 'Cyclohexane-1beta,2alpha-diyl', 'Cyclohexene, analytical standard', 'DTXSID9038717', 'CTK0H7102', 'KS-00000WQM', 'NSC24835', '7450AF', 'ANW-16200', 'NSC-24835', 'STL445673', 'ZINC13950911', 'AKOS000119959', 'AKOS025243963', 'MCULE-3564016252', '7493-04-1', 'BP-31020', 'LS-57377', 'Cyclohexene [UN2256] [Flammable liquid]', 'Cyclohexene [UN2256]  [Flammable liquid]', 'FT-0624200', 'NS00008978', '12198-EP2269990A1', '12198-EP2270010A1', '12198-EP2272832A1', '12198-EP2272972A1', '12198-EP2272973A1', '12198-EP2275403A1', '12198-EP2277872A1', '12198-EP2280009A1', '12198-EP2281817A1', '12198-EP2281818A1', '12198-EP2284148A1', '12198-EP2284149A1', '12198-EP2284165A1', '12198-EP2287155A1', '12198-EP2292611A1', '12198-EP2295429A1', '12198-EP2295503A1', '12198-EP2298731A1', '12198-EP2298732A1', '12198-EP2298767A1', '12198-EP2301913A1', '12198-EP2301914A1', '12198-EP2301983A1', '12198-EP2302015A1', '12198-EP2305627A1', '12198-EP2305641A1', '12198-EP2305672A1', '12198-EP2305683A1', '12198-EP2305808A1', '12198-EP2305825A1', '12198-EP2308510A1', '12198-EP2308562A2', '12198-EP2308812A2', '12198-EP2308839A1', '12198-EP2308840A1', '12198-EP2308865A1', '12198-EP2308877A1', '12198-EP2311796A1', '12198-EP2311797A1', '12198-EP2311798A1', '12198-EP2311799A1', '12198-EP2311839A1', '12198-EP2314583A1', '12198-EP2314587A1', '12198-EP2314589A1', '12198-EP2315303A1', '12198-EP2316837A1', '12198-EP2316974A1', '12198-EP2371811A2', '12198-EP2380568A1', '77950-EP2272846A1', '77950-EP2275408A1', '77950-EP2287158A1', '77950-EP2308866A1', 'A802251', 'Cyclohexene, inhibitor-free, ReagentPlus(R), 99%', 'Q413328', 'J-002481', 'F0001-0225', 'Z1262252892', 'Cyclohexene, contains 100 ppm BHT as inhibitor, &gt;=99.0%']</t>
  </si>
  <si>
    <t>Compound(8079)</t>
  </si>
  <si>
    <t>['CYCLOHEXANOL', '108-93-0', 'Cyclohexyl alcohol', 'Hexahydrophenol', 'Hydrophenol', '1-Cyclohexanol', 'Hydroxycyclohexane', 'Hexalin', 'Hydralin', 'Adronal', 'Naxol', 'Adronol', 'Anol', 'Cykloheksanol', 'Cicloesanolo', 'Phenol, hexahydro-', 'Cicloesanolo [Italian]', 'Cykloheksanol [Polish]', 'Cyclohexanone cyclohexanol mixture', 'Cyclohexan-1-ol', 'HSDB 61', 'NSC 403656', 'UNII-8E7S519M3P', 'CCRIS 5896', 'EINECS 203-630-6', 'BRN 0906744', 'AI3-00040', 'CHEBI:18099', '8E7S519M3P', 'MFCD00003855', 'Cyclohexanol, 98%', 'CXL', 'Cyclohexanols', 'DSSTox_CID_1894', 'DSSTox_RID_76390', 'DSSTox_GSID_21894', 'CAS-108-93-0', 'Cylcohexanol', 'Cyclohexanol.', 'cyclohexyl-alcohol', 'Cyclohexane, hydroxy-', 'BDBM5', 'Cyanomethylthioacetic acid', 'ACMC-1BU4Y', 'bmse000431', 'WLN: L6TJ AQ', 'EC 203-630-6', 'SCHEMBL5545', '4-06-00-00020 (Beilstein Handbook Reference)', 'KSC175M7H', 'MLS001055343', 'BIDD:ER0291', 'CHEMBL32010', 'Cyclohexanol, p.a., 99.0%', 'DTXSID4021894', 'Cyclohexanol, analytical standard', 'CYCLOHEXANOL;Phenol, hexahydro-', 'HMS3039K08', 'ZINC1532765', 'Tox21_201481', 'Tox21_302803', 'BBL013186', 'Cyclohexanol, ReagentPlus(R), 99%', 'LS-474', 'NSC403656', 'SBB060483', 'STL163965', 'AKOS000119038', 'ZINC100502981', 'DB03703', 'MCULE-8217921343', 'NSC-403656', 'NCGC00090982-01', 'NCGC00090982-02', 'NCGC00256434-01', 'NCGC00259032-01', 'SC-47179', 'SMR000677941', 'Cyclohexanol, puriss., &gt;=99.0% (GC)', 'Cyclohexanol, SAJ first grade, &gt;=95.0%', 'DB-040851', '603-EP2270113A1', '603-EP2272817A1', '603-EP2272849A1', '603-EP2272935A1', '603-EP2275411A2', '603-EP2275469A1', '603-EP2277861A1', '603-EP2280005A1', '603-EP2281810A1', '603-EP2284154A1', '603-EP2284157A1', '603-EP2286811A1', '603-EP2287158A1', '603-EP2287165A2', '603-EP2287166A2', '603-EP2287940A1', '603-EP2289884A1', '603-EP2289965A1', '603-EP2292620A2', '603-EP2298746A1', '603-EP2298828A1', '603-EP2301918A1', '603-EP2301983A1', '603-EP2305033A1', '603-EP2308471A1', '603-EP2308812A2', '603-EP2308857A1', '603-EP2308926A1', '603-EP2309564A1', '603-EP2311815A1', '603-EP2311820A1', '603-EP2314558A1', '603-EP2374783A1', '603-EP2380568A1', 'Cyclohexanol, JIS special grade, &gt;=98.0%', 'FT-0624192', 'FT-0641073', 'NS00010075', 'NS00046667', 'ST51046660', 'Cyclohexanol, Vetec(TM) reagent grade, 98%', 'C00854', 'Q423282', 'Q-200903', 'F0001-0184', 'Hydroxycyclohexane; NSC 403656; NSC 54711; Naxol; Phenol, hexahydro-']</t>
  </si>
  <si>
    <t>Compound(7966)</t>
  </si>
  <si>
    <t>cyclohexanone</t>
  </si>
  <si>
    <t>['CYCLOHEXANONE', '108-94-1', 'Ketohexamethylene', 'Pimelic ketone', 'Sextone', 'Cyclohexyl ketone', 'Nadone', 'Anone', 'Anon', 'Cyclohexanon', 'Hytrol O', 'Hexanon', 'ketocyclohexane', 'oxocyclohexane', 'Pimelin ketone', 'Cykloheksanon', 'Cicloesanone', 'Cyclohexanone, homopolymer', 'Hytrolo', 'Cyclic ketone', 'RCRA waste number U057', 'Cyclohexanon [Dutch]', 'Caswell No. 270', 'NCI-C55005', 'Cicloesanone [Italian]', 'Cykloheksanon [Polish]', 'NSC 5711', 'UNII-5QOR3YM052', 'CCRIS 5897', 'HSDB 186', 'EINECS 203-631-1', 'MFCD00001625', 'UN1915', '9003-41-2', 'RCRA waste no. U057', 'EPA Pesticide Chemical Code 025902', 'cyclohexyloxy', 'CHEMBL18850', 'AI3-00041', '5QOR3YM052', 'CHEBI:17854', 'cyclohexan-1-one', 'DSSTox_CID_359', 'DSSTox_RID_75537', 'DSSTox_GSID_20359', 'CYH', 'Cyclohexanone, 99+%, ACS reagent', 'Cyclohexanone, 99.8%, extra pure', 'CAS-108-94-1', 'CYCLOHEXANONE POLYMER', 'cylcohexanone', 'cylohexanone', 'cyclo-hexanone', 'Cyclohexanone.', '2-cyclohexanone', '4-cyclohexanone', 'Cyclohexanone,(S)', 'Cyclohexanon(dutch)', '[2H10]cyclohexanone', 'Cyclohexanone ACS grade', 'BDBM6', 'Cyclohexanone homopolymer', 'Cyclohexanone, 99.8%', 'ACMC-1BP9A', 'WLN: L6VTJ', 'bmse000405', 'EC 203-631-1', 'KSC491S9H', 'MLS002152896', 'BIDD:ER0292', 'Cyclohexanone, LR, &gt;=99%', 'DTXSID6020359', 'CTK3J1993', 'Cyclohexanone (Industrial Grade)', 'Cyclohexanone, p.a., 99.0%', 'Cyclohexanone, AR, &gt;=99.5%', 'NSC5711', 'Cyclohexanone, analytical standard', 'HMS3039C04', 'Cyclohexanone - Reagent Grade ACS', 'NSC-5711', 'ZINC4528575', 'Tox21_202121', 'Tox21_302750', 'ANW-15994', 'LS-475', 's6236', 'SBB060074', 'STL183287', 'AKOS000119815', 'DB02060', 'MCULE-5664385838', 'UN 1915', 'KS-00000X92', 'Cyclohexanone, ACS reagent, &gt;=99.0%', 'Cyclohexanone, ReagentPlus(R), 99.8%', 'NCGC00091786-01', 'NCGC00091786-02', 'NCGC00256489-01', 'NCGC00259670-01', 'SMR001224507', 'Cyclohexanone 5000 microg/mL in Methanol', 'Cyclohexanone, puriss., &gt;=99.5% (GC)', 'Cyclohexanone, SAJ first grade, &gt;=98.0%', 'DB-059799', 'Cyclohexanone [UN1915] [Flammable liquid]', 'Cyclohexanone, Selectophore(TM), &gt;=99.5%', 'FT-0624193', 'FT-0699543', 'NS00001732', 'ST50214418', 'Y1320', 'Cyclohexanone [UN1915]  [Flammable liquid]', 'Cyclohexanone, JIS special grade, &gt;=99.0%', 'Cyclohexanone, Vetec(TM) reagent grade, 98%', '2628-EP2269986A1', '2628-EP2269990A1', '2628-EP2269995A1', '2628-EP2270113A1', '2628-EP2272817A1', '2628-EP2272825A2', '2628-EP2272832A1', '2628-EP2272849A1', '2628-EP2272935A1', '2628-EP2274983A1', '2628-EP2275403A1', '2628-EP2275407A1', '2628-EP2275411A2', '2628-EP2275469A1', '2628-EP2277878A1', '2628-EP2280005A1', '2628-EP2280009A1', '2628-EP2281810A1', '2628-EP2281812A1', '2628-EP2284148A1', '2628-EP2284165A1', '2628-EP2286915A2', '2628-EP2287153A1', '2628-EP2287159A1', '2628-EP2287940A1', '2628-EP2289868A1', '2628-EP2289884A1', '2628-EP2289893A1', '2628-EP2289897A1', '2628-EP2289965A1', '2628-EP2292592A1', '2628-EP2292593A2', '2628-EP2292599A1', '2628-EP2292606A1', '2628-EP2295407A1', '2628-EP2295438A1', '2628-EP2298736A1', '2628-EP2298763A1', '2628-EP2298767A1', '2628-EP2298828A1', '2628-EP2299326A1', '2628-EP2301918A1', '2628-EP2301919A1', '2628-EP2301924A1', '2628-EP2301983A1', '2628-EP2302003A1', '2628-EP2305655A2', '2628-EP2305658A1', '2628-EP2305668A1', '2628-EP2308838A1', '2628-EP2308848A1', '2628-EP2308851A1', '2628-EP2308857A1', '2628-EP2308858A1', '2628-EP2308883A1', '2628-EP2308926A1', '2628-EP2309564A1', '2628-EP2311807A1', '2628-EP2311815A1', '2628-EP2311816A1', '2628-EP2311817A1', '2628-EP2314558A1', '2628-EP2314583A1', '2628-EP2316824A1', '2628-EP2316832A1', '2628-EP2316833A1', '2628-EP2316836A1', '2628-EP2371805A1', '2628-EP2377845A1', 'C00414', '22788-EP2270011A1', '22788-EP2272517A1', '22788-EP2272817A1', '22788-EP2272822A1', '22788-EP2272832A1', '22788-EP2272935A1', '22788-EP2275398A1', '22788-EP2275401A1', '22788-EP2275409A1', '22788-EP2275469A1', '22788-EP2277867A2', '22788-EP2280003A2', '22788-EP2280009A1', '22788-EP2280010A2', '22788-EP2281817A1', '22788-EP2287940A1', '22788-EP2289887A2', '22788-EP2289888A2', '22788-EP2289895A1', '22788-EP2289965A1', '22788-EP2292592A1', '22788-EP2292597A1', '22788-EP2292606A1', '22788-EP2292611A1', '22788-EP2295414A1', '22788-EP2295421A1', '22788-EP2295422A2', '22788-EP2295436A1', '22788-EP2298731A1', '22788-EP2298746A1', '22788-EP2298750A1', '22788-EP2298767A1', '22788-EP2298772A1', '22788-EP2298774A1', '22788-EP2298828A1', '22788-EP2301921A1', '22788-EP2301926A1', '22788-EP2301983A1', '22788-EP2305250A1', '22788-EP2305633A1', '22788-EP2305651A1', '22788-EP2308510A1', '22788-EP2308562A2', '22788-EP2308839A1', '22788-EP2308854A1', '22788-EP2311810A1', '22788-EP2313397A1', '22788-EP2313398A1', '22788-EP2314575A1', '22788-EP2314583A1', '22788-EP2314587A1', '22788-EP2315502A1', '22788-EP2371810A1', '78030-EP2272846A1', '78030-EP2275422A1', '78030-EP2277868A1', '78030-EP2277869A1', '78030-EP2277870A1', '78030-EP2287158A1', '78030-EP2292608A1', '78030-EP2298076A1', '78030-EP2298077A1', '78030-EP2298762A2', '78030-EP2301353A1', '78030-EP2305031A1', '78030-EP2305033A1', '78030-EP2305034A1', '78030-EP2305035A1', '78030-EP2308866A1', '78030-EP2371823A1', '78030-EP2374791A1', 'Cyclohexanone, puriss. p.a., &gt;=99.5% (GC)', 'Q409178', 'J-520160', 'F0001-0185', 'Z955123528', 'cyclohexanone;CYCLOHEXANONE;Formaldehyde, polymer with cyclohexanone;CYCLOHEXANONE POLYMER']</t>
  </si>
  <si>
    <t>Compound(7967)</t>
  </si>
  <si>
    <t>C6H10O</t>
  </si>
  <si>
    <t>cyclopenta (cd) pyrene</t>
  </si>
  <si>
    <t>pentacyclo[12.3.1.04,17.07,16.010,15]octadeca-1(18),2,4(17),5,7(16),8,10(15),11,13-nonaene</t>
  </si>
  <si>
    <t>['Cyclopenta[cd]pyrene', 'Acepyrene', 'Cyclopenta(cd)pyrene', '27208-37-3', 'Acepyrylene', 'CYCLOPENTA(C,D)PYRENE', 'Cyclopenteno(c,d)pyrene', 'UNII-29XD62TN4D', 'CCRIS 6930', 'BRN 2047004', '29XD62TN4D', 'CHEBI:82279', 'cyclopenta[c,d]pyrene', 'Cyclopenta(c,d)pyren', 'CHEMBL350278', 'DTXSID7074822', 'CTK1A4928', 'LS-58166', 'DB-047183', 'FT-0638680', 'NS00005566', 'Cyclopenta(c,d)pyren;cyclopenta[c , d]pyrene', 'C19173', 'C-28683', 'Cyclopenta[c,d]pyrene 10 microg/mL in Cyclohexane', 'Cyclopenta[c,d]pyrene 10 microg/mL in Acetonitrile', 'J-016691', 'Q27155853']</t>
  </si>
  <si>
    <t>Compound(33743)</t>
  </si>
  <si>
    <t>C18H10</t>
  </si>
  <si>
    <t>cycloate</t>
  </si>
  <si>
    <t>S-ethyl N-cyclohexyl-N-ethylcarbamothioate</t>
  </si>
  <si>
    <t>['CYCLOATE', '1134-23-2', 'Etsan', 'Ronit', 'Ro-Neet', 'Hexylthiocarbam', 'Eurex', 'Sabet', 'S-Ethyl N-cyclohexylthiocarbamate', 'Ro-Neet E', 'Ro-Neet 10G', 'Ro-Neet 6-E', 'Caswell No. 432A', 'Cycloate [BSI:ISO]', 'Carbamothioic acid, cyclohexylethyl-, S-ethyl ester', 'UNII-IMZ37NA07H', 'HSDB 1712', 'S-Ethylethylcyclohexylthiocarbamate', 'S-Ethyl cyclohexylethylthiocarbamate', 'S-Ethyl cyclohexylethylcarbamothioate', 'EINECS 214-482-7', 'R 2063', 'EPA Pesticide Chemical Code 041301', 'S-Ethyl N-ethylthiocyclohexanecarbamate', 'Carbamic acid, cyclohexylethylthio-, S-ethyl ester', 'BRN 2937178', 'S-Ethyl N-ethylcyclohexanecarbamothioate', 'IMZ37NA07H', 'Cyclohexanecarbamic acid, N-ethylthio-, S-ethyl ester', 'S-Ethyl N-ethyl N-cyclohexylthiolcarbamate', 'S-Ethyl N-ethyl-N-cyclohexylthiolcarbamate', 'S-Ethyl N-cyclohexyl-N-ethyl(thiocarbamate)', 'CHEBI:81955', 'R-2063', 'S-ethyl N-cyclohexyl-N-ethylcarbamothioate', 'W-109108', 'S-ethyl cyclohexyl(ethyl)thiocarbamate', 'S-Ethyl N-cyclohexyl-N-ethylthiocarbamate', 'CCRIS 9270', 'Ro-Neet 6E', 'S-Ethyl cyclohexyl(ethyl)carbamothioate', 'DSSTox_CID_12356', 'DSSTox_RID_78923', 'DSSTox_GSID_32356', 'S-Ethyl cyclohexylethylcarbamothioate (8CI)(9CI)', 'SCHEMBL42572', 'CHEMBL1889969', 'DTXSID6032356', 'Ethyl cyclohexylethylthiocarbamate', 'ZINC2039867', 'Tox21_300884', 'AKOS015898605', 'S-Ethyl (cyclohexyl)ethylthiocarbamate', 'NCGC00168298-01', 'NCGC00168298-02', 'NCGC00254788-01', 'CC-26025', 'LS-56523', 'S-Ethyl N-ethyl-N-cyclohexylthiocarbamate', 'CAS-1134-23-2', 'S-Ethyl N-ethyl-N-cyclohexyl-thiocarbamate', 'S-Ethyl cyclohexylethylcarbamothioate (8CI)', 'Cycloate, PESTANAL(R), analytical standard', 'FT-0603168', 'NS00001141', 'C18780', '134C232', 'C-11528', 'Q1147426', 'S-Ethyl N-cyclohexylthiocarbamate;S-ethyl N-cyclohexylthiocarbamate']</t>
  </si>
  <si>
    <t>Compound(14337)</t>
  </si>
  <si>
    <t>C11H21NOS</t>
  </si>
  <si>
    <t>cyclophosphamide</t>
  </si>
  <si>
    <t>N,N-bis(2-chloroethyl)-2-oxo-1,3,2lambda5-oxazaphosphinan-2-amine</t>
  </si>
  <si>
    <t>['cyclophosphamide', '50-18-0', 'Cyclophosphamid', 'Cyclophosphane', 'Neosar', 'Cytoxan', 'Cytophosphan', 'Procytox', 'Clafen', 'Endoxan', 'Cyclophosphan', 'Cyclostin', 'Sendoxan', 'Cyclophosphamidum', 'Cytophosphane', 'Claphene', 'Endoxana', 'Endoxanal', 'Genoxal', 'Endoxan-Asta', 'Endoxan R', 'Zyklophosphamid', 'Mitoxan', '(RS)-Cyclophosphamide', '(+-)-Cyclophosphamide', 'Cyclophosphoramide', 'Cyclofosphamide', 'Cyklofosfamid', 'Endoxane', 'Enduxan', 'Semdoxan', 'Senduxan', 'Cyclophosphanum', 'Ciclophosphamide', 'Cyclophosphamide anhydrous', 'Rcra waste number U058', 'Asta B 518', 'Cycloblastin', 'D,L-Cyclophosphamide', 'ASTA', 'Cyklofosfamid [Czech]', 'Ciclophosphamide [INN]', 'NSC 26271', 'Zyklophosphamid [German]', 'Bis(2-chloroethyl)phosphoramide cyclic propanolamide ester', 'Lyophilized Cytoxan', 'B 518', 'CB 4564', 'NCI-C04900', 'Cyclophosphamide (anhydrous)', 'SK 20501', 'ASTA B518', 'Ciclofosfamida [INN-Spanish]', '2H-1,3,2-Oxazaphosphorin-2-amine, N,N-bis(2-chloroethyl)tetrahydro-, 2-oxide', 'NSC-26271', 'Cyclophosphamidum [INN-Latin]', 'CHEBI:4027', 'N,N-Bis(2-chloroethyl)-1,3,2-oxazaphosphinan-2-amine 2-oxide', 'Occupation, cyclophosphamide exposure', 'CCRIS 188', '(-)-Cyclophosphamide', '4-Hydroxy-cyclophosphan-mamophosphatide', 'UNII-6UXW23996M', 'Cyclophosphamide (anhydrous form)', 'HSDB 3047', 'N,N-Bis(2-chloroethyl)tetrahydro-2H-1,3,2-oxazaphosphorin-2-amine 2-oxide', 'NSC26271', 'Cytoxan (TN)', 'EINECS 200-015-4', 'RCRA waste no. U058', 'BRN 0011744', '2-[Bis(2-chloroethylamino)]-tetrahydro-2H-1,3,2-oxazaphosphorine-2-oxide', 'AI3-26198', '1-Bis(2-chloroethyl)amino-1-oxo-2-aza-5-oxaphosphoridin', '2-(Bis(2-chloroethyl)amino)-2H-1,3,2-oxazaphosphorine 2-oxide', '6UXW23996M', "N,N-Bis(2-chloroethyl)-N',O-propylenephosphoric acid ester diamide", 'N,N-Di(2-chloroethyl)-N,O-propylene-phosphoric acid ester diamide', "Phosphorodiamidic acid, N,N-bis(2-chloroethyl)-N'-(3-hydroxypropyl)-, intramol. ester", 'CY', 'B-518', 'Ciclofosfamida', 'N,N-bis(2-chloroethyl)-2-oxo-1,3,2$l^{5}-oxazaphosphinan-2-amine', "N,N-Bis(beta-chloroethyl)-N',O-propylenephosphoric acid ester diamide", "N,N-Bis(beta-chloroethyl)-N',O-trimethylenephosphoric acid ester diamide", 'EN300-74526', '2-(Bis(2-chloroethyl)amino)tetrahydro-2H-1,3,2-oxazophosphorine 2-oxide', "N,N-Bis-(beta-chloraethyl)-N',O-propylen-phosphorsaeure-ester-diamid [German]", '2H-1,3,2-Oxazaphosphorin-2-amine, N,N-bis(2-chloroethyl)tetrahydro-, 2-oxide, (+-)-', 'W-105248', 'Cyclophosphamides', '2H-1,3,2-Oxazaphosphorin-2-amine, N,N-bis(2-chloroethyl)tetrahydro-,2-oxide', '2H-1,3,2-Oxazaphosphorine, 2-(bis(2-chloroethyl)amino)tetrahydro-, 2-oxide', 'Cyclophosphamide (TN)', '2-[Bis(2-chloroethyl)amino]tetrahydro-2H-1,3,2-oxazaphosphorine 2-oxide', 'Cyclophosphamide (INN)', 'SR-01000075737', '60007-96-7', 'NCGC00015209-05', 'Cyclophosphamide [USP:INN]', 'Ciclofosfamide', '2-(Bis(2-chloroethyl)amino)-2H-1,2-oxazaphosphorine 2-oxide', '2-[Bis(2-chloroethyl)amino]-2H-1,2-oxazaphosphorine 2-oxide', 'Cyclophosphamide, (+-)-Isomer', '(Bis(chloro-2-ethyl)amino)-2-tetrahydro-3,5,6-oxazaphosphorine-1,3,2-oxide-2 hydrate', '[Bis(chloro-2-ethyl)amino]-2-tetrahydro-3,5,6-oxazaphosphorine-1,3,2-oxide-2 hydrate', 'CB-4564', 'Spectrum_000858', 'Anhydrous cyclophosphamide', 'CHEMBL88', 'Spectrum2_001146', 'Spectrum3_000370', 'Spectrum4_000304', 'Spectrum5_000795', 'Clafen(Cyclophosphamide)/', 'Lopac-C-0768', 'Epitope ID:131782', 'C 0768', 'SCHEMBL4346', '(.+/-.)-Cyclophosphamide', 'Lopac0_000238', 'BSPBio_002099', 'KBioGR_000888', 'KBioSS_001338', 'bis(2-Chloroethyl)phosphami de cyclic propanolamide', 'ARONIS24566', 'DivK1c_000246', 'SPBio_001071', 'GTPL7154', 'SCHEMBL4345553', 'bis(2-Chloroethyl)phosphamide cyclic propanolamide ester', 'DTXSID5020364', 'SCHEMBL10262910', 'CMSMOCZEIVJLDB-UHFFFAOYSA-', 'CTK2F5582', 'KBio1_000246', 'KBio2_001338', 'KBio2_003906', 'KBio2_006474', 'KBio3_001319', 'KS-00000XHN', 'BBC/739', 'CYCLOPHOSPAMIDE MONOHYDRATE', 'WLN: T6MPOTJ BO BN2G2G', 'NINDS_000246', '1-(bis(2-chloroethyl)amino)-1-oxo-2-aza-5-oxaphosphoridine', 'HMS2090A12', 'HMS3260P17', 'HMS3715J05', 'Pharmakon1600-01500213', 'BCP02139', 'ZX-AS004939', 'Tox21_500238', 'ABP000629', 'BBL022697', 'BDBM50237604', 'MFCD00005978', 'N,N-bis(2-chloroethyl)-2-oxo-1,3,2lambda5-oxazaphosphinan-2-amine', "N,N-Bis-(beta-chloraethyl)-N',O-propylen-phosphorsaeure-ester-diamid", 'NSC273033', 'NSC273034', 'NSC756711', 'STK177249', 'AKOS005410738', 'API0002151', 'CS-1425', 'DB00531', 'LP00238', 'LS-1302', 'MCULE-5327530727', 'NSC-273033', 'NSC-273034', 'NSC-756711', 'SDCCGSBI-0050226.P004', '(+-)-N,N-Bis(2-chloroethyl)tetrahydro-2H-1,3,2-oxazaphosphorin-2-amine 2-oxide', 'IDI1_000246', 'N,3,2-oxazaphosphorin-2-amine-2-oxide', 'N,O-propylen-phosphorsaeure-ester-diamid', 'NCGC00015209-01', 'NCGC00015209-02', 'NCGC00015209-03', 'NCGC00015209-04', 'NCGC00015209-06', 'NCGC00015209-07', 'NCGC00015209-08', 'NCGC00015209-09', 'NCGC00015209-12', 'NCGC00091741-02', 'NCGC00091741-03', 'NCGC00260923-01', '60007-95-6', 'ACM173547450', 'AS-73255', 'HY-17420', 'LS-99787', 'NCI60_002097', 'OR322611', 'SC-22408', 'SC-47258', 'SC-91286', 'N,O-propylenephosphoric acid ester diamide', 'SBI-0050226.P003', '2-(4-FLUOROPHENYL)CYCLOPROPYL]AMINE', 'AB0007927', 'DB-082057', 'N,O-propylene-phosphoric acid ester diamide', 'A2343', 'EU-0100238', 'FT-0624276', 'FT-0665387', 'N,O-trimethylenephosphoric acid ester diamide', 'NS00000339', 'ST51005945', '3356-EP2269989A1', '3356-EP2270001A1', '3356-EP2270008A1', '3356-EP2270014A1', '3356-EP2270018A1', '3356-EP2270505A1', '3356-EP2272822A1', '3356-EP2272825A2', '3356-EP2272827A1', '3356-EP2275102A1', '3356-EP2275412A1', '3356-EP2275413A1', '3356-EP2275420A1', '3356-EP2277865A1', '3356-EP2277876A1', '3356-EP2280012A2', '3356-EP2281815A1', '3356-EP2281818A1', '3356-EP2287156A1', '3356-EP2289892A1', '3356-EP2289894A2', '3356-EP2292233A2', '3356-EP2292595A1', '3356-EP2292614A1', '3356-EP2292615A1', '3356-EP2292617A1', '3356-EP2295055A2', '3356-EP2295412A1', '3356-EP2295413A1', '3356-EP2295416A2', '3356-EP2295426A1', '3356-EP2295427A1', '3356-EP2298743A1', '3356-EP2298746A1', '3356-EP2298748A2', '3356-EP2298764A1', '3356-EP2298765A1', '3356-EP2298767A1', '3356-EP2298768A1', '3356-EP2298772A1', '3356-EP2298778A1', '3356-EP2298780A1', '3356-EP2301928A1', '3356-EP2301933A1', '3356-EP2305250A1', '3356-EP2305640A2', '3356-EP2305642A2', '3356-EP2305671A1', '3356-EP2305677A1', '3356-EP2305689A1', '3356-EP2308812A2', '3356-EP2308833A2', '3356-EP2308839A1', '3356-EP2308855A1', '3356-EP2308861A1', '3356-EP2311453A1', '3356-EP2311807A1', '3356-EP2311808A1', '3356-EP2311825A1', '3356-EP2311827A1', '3356-EP2311829A1', '3356-EP2311837A1', '3356-EP2311840A1', '3356-EP2311842A2', '3356-EP2314587A1', '3356-EP2314590A1', '3356-EP2316831A1', '3356-EP2316832A1', '3356-EP2316833A1', '3356-EP2316834A1', '3356-EP2371811A2', '3356-EP2374454A1', 'C07888', 'D07760', 'W-5035', '27353-EP2269998A2', '27353-EP2272516A2', '27353-EP2275404A1', '27353-EP2275469A1', '27353-EP2284171A1', '27353-EP2287940A1', '27353-EP2292227A2', '27353-EP2295550A2', '27353-EP2298762A2', '27353-EP2298768A1', '27353-EP2308839A1', '27353-EP2314587A1', '27353-EP2371795A1', 'AB00053446-09', 'AB00053446-11', 'AB00053446-12', 'AB00053446_13', 'AB00053446_14', 'AB00053446_15', '005C978', '110841-EP2272827A1', '110841-EP2298305A1', '139301-EP2270008A1', '139301-EP2292617A1', 'Q408524', 'W-60377', 'N,O-propylenephosphoric acid ester amide monohydrate', 'SR-01000075737-1', 'SR-01000075737-6', 'BRD-A09722536-002-02-4', 'UNII-6UXW23996M component CMSMOCZEIVJLDB-CQSZACIVSA-N', '2-[bis(2-chloroethyl)amino]-1,3,2??-oxazaphosphinan-2-one', '2-[BIS(2-CHLOROETHYL)AMINO]TETRAHYDRO-2H-1,3,2-OXA', '2-[bis(2-chloroethyl)amino]-1,3,2$l^{5}-oxazaphosphinan-2-one', '2-[bis(2-chloroethyl)amino]-1,3,2-oxazaphosphaperhydroin-2-one', '2-[Bis(2-chloroethyl)amino]-1,3,2lambda~5~-oxazaphosphinan-2-one', 'N,N-Bis(2-chloroethyl)-1,3,2-oxazaphosphinan-2-amine 2-oxide #', '2-(bis(2-Chloroethyl)-amino)tetrahydro-2H-1,3,2-oxazaphosphorine 2-oxide', '2-(di(2-chloroethyl)amino)-1-oxa-3-aza-2-phosphacyclohexane 2-oxide', '2-(Di(2-chloroethyl)amino)-2-phospha(V)-tetrahydro-2H-1,3-oxazine-2-one', '2-[Bis(2-chloroethyl)amino]tetrahydro-1,3,2-oxazaphosphorin-2-oxide', '2H-1,2-Oxazaphosphorine, 2-[bis(2-chloroethyl)amino]tetrahydro-, 2-oxide', '2H-1,3,2-Oxazaphosphorine, 2-(bis(2-chloroethyl)amino)tetrahydro-,2-oxide', "N,N-Bis(.beta.-chloroethyl)-N',O-trimethylenephosphoric acid ester diamide", 'N,N-Bis(2-chloroethyl)-1,3,2-oxazaphosphinan-2-amine 2-oxide (H2O)', 'N,N-Bis(2-chloroethyl)tetrahydro-2H-1,3,2-oxazaphosphorin-2-amine-2-oxide', "N,N-Bis-(.beta.-chloraethyl)-N',O-propylen-phosphorsaeure-ester-diamid", "N-bis(beta-Chloroethyl)-N'O,trimethylenephos phoric acid ester diamide", "N-bis(beta-Chloroethyl)-N'O,trimethylenephosphoric acid ester diamide", 'tatrahydro-2-(Bis(2-chloroethyl)amino)-2H-1,3,2-oxazaphosphorine 2-oxide', '(+/-)-2-[Bis(2-chloroethyl)amino]tetrahydro-2 H-1,3,2-oxazaphosphorine 2-oxide', '(R)-2-[Bis(2-chloroethyl)amino]tetrahydro-2H-1,3,2-oxazaphosphorin 2-oxide', '(S)-2-[Bis(2-chloroethyl)amino]tetrahydro-2H-1,3,2-oxazaphosphorine 2-oxide', '2H-1,2-Oxazaphosphorin-2-amine, N,N-bis(2-chloroethyl)tetrahydro-, 2-oxide', '2H-1,2-Oxazaphosphorin-2-amine, N,N-bis(2-chloroethyl)tetrahydro-, 2-oxide, (+)-', '2H-1,2-Oxazaphosphorin-2-amine, N,N-bis(2-chloroethyl)tetrahydro-, 2-oxide, (-)-', '2H-1,2-Oxazaphosphorine, 2-[bis(2-chloroethyl)amino]tetrahydro-, 2-oxide, monohydrate', '2H-1,3,2-Oxazaphosphorin-2-amine, N,N-bis(2-chloroethyl)tetrahydro-, 2-oxide (9CI)', 'N,N-bis(2-chloroethyl)-2-oxo-1-oxa-3-aza-2$l^{5}-phosphacyclohexan-2-amine', "N,N-bis(2-chloroethyl)-N'-(3-h ydroxypropyl)phosphorodiamidic acid intramol. ester", "N,N-bis(2-chloroethyl)-N'-(3-hydroxypropyl)phosphorodiamidic acid intramol. ester", 'N,N-Bis(2-Chloroethyl)tetrahydro-2H-1,3,2-Oxazaphosphorin-2-Amine, 2-Oxide', "Phosphorodiamidic acid,N-bis(2-chloroethyl)-N'-(3-hydroxypropyl)-, intramol. ester", 'te trahydro-N,N-bis(2-chloroethyl)-2H-1,3,2-oxazaphosphorin-2-amine 2-oxide', 'tetrahydro-N,N-bis(2-chloroethyl)-2H-1,3,2-oxazaphosphorin-2-amine 2-oxide', 'Cyclophosphamide;2H-1,3,2-Oxazaphosphorin-2-amine, N,N-bis(2-chloroethyl) tetrahydro-, 2-oxide, monohydrate;2-(Bis(2-chloroethyl)amino)-1-oxa-3-aza-2-phosphocyclohexane 2-oxide monohydrate;Cyclophosphamide monohydrate']</t>
  </si>
  <si>
    <t>Compound(2907)</t>
  </si>
  <si>
    <t>C7H15Cl2N2O2P</t>
  </si>
  <si>
    <t>cyclamate</t>
  </si>
  <si>
    <t>cyclohexylsulfamic acid</t>
  </si>
  <si>
    <t>['Cyclamic acid', 'Cyclohexylsulfamic acid', '100-88-9', 'CYCLAMATE', 'N-Cyclohexylsulfamic acid', 'Cyclohexanesulfamic acid', 'Hexamic acid', 'Sucaryl', 'Sucaryl acid', 'Cyclohexylaminesulphonic acid', 'N-Cyclohexylsulphamic acid', 'Polycat 200', 'Cyclohexylamidosulfuric acid', 'Cyclohexylaminesulfonic acid', 'Sulfamic acid, cyclohexyl-', 'Cylamic acid', 'Cyclohexylsulphamic acid', 'Cyclohexanesulphamic acid', 'Zyklamat', 'Cyclohexylamidosulphuric acid', 'Cyclohexylamide sulfate', 'Sulfamic acid, N-cyclohexyl-', 'Cyclohexylamine sulfamic acid', 'NSC 220327', 'Cyclamic acid [USAN:BAN]', 'UNII-HN3OFO5036', 'Hexamic acid (TN)', 'HSDB 275', 'EINECS 202-898-1', 'Sulfuric acid monoamide, N-cyclohexyl-', 'BRN 2208885', 'Cyclamate, sodium salt', 'HN3OFO5036', 'CHEBI:15964', 'cyclohexanesulfamic', 'Asugryn', 'NSC220327', 'NCGC00165999-01', 'DSSTox_CID_21809', 'DSSTox_RID_79849', 'DSSTox_GSID_41809', 'Cyclamates', 'Cyclamsaeure', 'Cyclamic  acid', 'Cyclamate, Calcium', 'CAS-100-88-9', 'Cyclamate, Potassium', 'N-Cyclohexylsulfamsaeure', 'E952', 'Cyclamicacid', 'N-(Cyclohexyl)aminosulfonsaeure', 'Sucaryl acidxine', 'Cyclamate Calcium (2:1) Salt', 'Cyclamat_2813_n', 'Cyclohexylamide sulphate', 'Cyclamic acid (USAN)', 'cyclohexyl-sulfamic acid', '45951-45-9', 'n-cyclohexyl-sulfamic acid', 'aminocyclohexylsulfonic acid', 'bmse000657', 'N-cyclo-hexylsulphamic acid', 'SCHEMBL6227', 'Cyclamic acid, BAN, USAN', '4-12-00-00102 (Beilstein Handbook Reference)', 'C6H13NSO3', 'ACMC-2097t2', 'CyclohexansulfamidsA currencyure', 'Cyclohexylamine-N-sulfonic acid', 'CHEMBL1206440', 'Cyclohexylsulfamic acid;Cyclamate', 'DTXSID5041809', 'HMS3264K03', 'HMS3652C17', 'Pharmakon1600-01301015', 'HY-B0541', 'KS-00000X6Q', 'ZINC1529532', 'N-Cyclohexyl-Sulfuric acid monoamide', 'Tox21_112285', 'Tox21_301008', '7545AF', 'ANW-14388', 'NSC760133', 's4015', 'STL356798', 'AKOS015913947', 'Tox21_112285_1', 'CCG-213726', 'CS-2641', 'FCH3461095', 'MCULE-4630986316', 'NSC-220327', 'NSC-760133', 'NCGC00165999-02', 'NCGC00165999-03', 'NCGC00254910-01', 'AS-59382', 'CC-26023', 'LS-56995', 'SC-19191', 'N-Cyclohexylsulfamic acid, &gt;=98.0% (T)', 'FT-0624197', 'NS00000401', 'ST45025486', 'SW219574-1', 'C02824', 'D02442', '61097-EP2275105A1', '61097-EP2289882A1', '61097-EP2289886A1', '61097-EP2298744A2', '61097-EP2298761A1', '61097-EP2308848A1', '99387-EP2301940A1', 'AB01563182_01', 'AB01563182_02', '139245-EP2269988A2', '139245-EP2270008A1', '139245-EP2275413A1', '139245-EP2287153A1', '139245-EP2287156A1', '139245-EP2292617A1', 'C-25291', 'SR-01000940120', 'J-000244', 'Q2130929', 'SR-01000940120-2', 'Cyclamic acid, United States Pharmacopeia (USP) Reference Standard']</t>
  </si>
  <si>
    <t>Compound(7533)</t>
  </si>
  <si>
    <t>C6H13NO3S</t>
  </si>
  <si>
    <t>1-[(2,4-dichlorophenyl)carbamoyl]cyclopropane-1-carboxylic acid</t>
  </si>
  <si>
    <t>['Cyclanilide', '113136-77-9', '1-((2,4-Dichlorophenyl)carbamoyl)cyclopropanecarboxylic acid', 'Finish', 'UNII-E5WZ0SSS5V', 'RPA 90946', 'E5WZ0SSS5V', '1-(2,4-dichlorophenylcarbamoyl)cyclopropancarboxylic acid', '1-[(2,4-dichlorophenyl)carbamoyl]cyclopropane-1-carboxylic Acid', '1-[(2,4-dichlorophenyl)carbamoyl]cyclopropanecarboxylic acid', '1-(((2,4-Dichlorophenyl)amino)carbonyl)cyclopropanecarboxylic acid', '1-[[(2,4-Dichlorophenyl)amino]carbonyl]cyclopropanecarboxylic Acid', 'Cyclopropanecarboxylicacid, 1-[[(2,4-dichlorophenyl)amino]carbonyl]-', 'ACMC-20mhjf', 'EC 419-150-7', 'DSSTox_CID_12600', 'DSSTox_RID_78999', 'DSSTox_GSID_32600', 'SCHEMBL119561', 'CHEMBL1904079', 'DTXSID5032600', 'CTK0H6072', 'CHEBI:148439', 'ZINC2511855', 'Tox21_301076', '1-[(2,4-Dichlorophenyl)aminocarbonyl]-1-cyclopropanecarboxylic acid', 'AKOS006045831', 'DS-6004', 'NCGC00163849-01', 'NCGC00163849-02', 'NCGC00163849-03', 'NCGC00254977-01', 'AK128941', 'AX8122542', 'BC1357898', 'CAS-113136-77-9', 'FT-0665332', 'NS00006949', 'Cyclanilide, PESTANAL(R), analytical standard', '136C779', 'J-002899', 'Q1147307', '1-[(2,4-dichloroanilino)carbonyl]cyclopropanecarboxylic acid']</t>
  </si>
  <si>
    <t>Compound(11097730)</t>
  </si>
  <si>
    <t>C11H9Cl2NO3</t>
  </si>
  <si>
    <t>3-cyclooctyl-1,1-dimethylurea</t>
  </si>
  <si>
    <t>['CYCLURON', '3-Cyclooctyl-1,1-dimethylurea', 'Cyclouron', '2163-69-1', "Urea, N'-cyclooctyl-N,N-dimethyl-", 'Caswell No. 271A', "N-Cyclooctyl-N',N'-dimethylurea", 'Cycluron [BSI:ISO]', 'HS 61', 'Urea, 3-cyclooctyl-1,1-dimethyl-', 'UNII-V8K90CTK5Q', 'V8K90CTK5Q', "N'-Cyclooctyl-N,N-dimethylurea", 'CHEBI:82231', 'HSDB 1553', '3-Cyclooctyl-1,1-dimethylharnstoff', 'EINECS 218-493-8', 'EPA Pesticide Chemical Code 035504', 'BRN 2209526', '3-Cyclooctyl-1,1-dimethylharnstoff [German]', 'OMU', 'Alipur (Salt/Mix)', 'Alipur-O (Salt/Mix)', 'SCHEMBL135838', '1,1-Dimethyl-3-cyclooctylurea', 'CHEMBL1879112', 'DTXSID8041824', 'CTK8E4451', 'ZINC13829508', 'AKOS006240838', '(dimethylamino)-N-cyclooctylcarboxamide', 'MCULE-3079278080', 'NCGC00166182-01', 'LS-159701', 'Cycluron, PESTANAL(R), analytical standard', 'NS00008784', 'ST51034343', 'C19109', 'J-014196', 'Q27155824', 'Pesticide3_Cycluron_C11H22N2O_3-Cyclooctyl-1,1-dimethylurea']</t>
  </si>
  <si>
    <t>Compound(16554)</t>
  </si>
  <si>
    <t>C11H22N2O</t>
  </si>
  <si>
    <t>2-[(E)-N-ethoxy-C-propylcarbonimidoyl]-3-hydroxy-5-(thian-3-yl)cyclohex-2-en-1-one</t>
  </si>
  <si>
    <t>['Cycloxydim', 'Cycloxidim', 'Cycloxydime', '101205-02-1', 'Focus Ultra', 'BAS 517-02H', '1,3-Cyclohexanedione, 2-(1-(ethoxyamino)butylidene)-5-(tetrahydro-2H-thiopyran-3-yl)-', '2-[(E)-N-ethoxy-C-propylcarbonimidoyl]-3-hydroxy-5-(thian-3-yl)cyclohex-2-en-1-one', 'Cycloxydim [BSI:ISO]', 'Cycloxydime [ISO-French]', 'SCHEMBL55851', 'CHEBI:4033', '2-[1-(ethoxyimino)butyl]-3-hydroxy-5-(tetrahydro-2H-thiopyran-3-yl)-2-cyclohexen-1-one', 'AKOS015898604', 'Cycloxidim 100 microg/mL in Methanol', 'NS00000116', 'Cycloxidim, PESTANAL(R), analytical standard', 'C10913', '(+-)-2-(1-(Ethoxyimino)butyl)-3-hydroxy-5-thian-3-ylcyclohex-2-enone', '(5Xi)-2-[(1Xi)-N-ethoxybutanimidoyl]-3-hydroxy-5-[(3Xi)-thian-3-yl]cyclohex-2-en-1-one', '2-(1-(Ethoxyamino)butylidene)-5-(2H-tetrahydrothiopyran-3-yl)-1,3-cyclohexanedione', '2-(N-ethoxybutanimidoyl)-3-hydroxy-5-(tetrahydro-2H-thiopyran-3-yl)cyclohex-2-en-1-one', '2-[1-(ethoxyamino)butylidene]-5-tetrahydrothiopyran-3-yl-cyclohexane-1,3-dione', '2-(1-(Ethoxyimino)butyl)-3-hydroxy-5-(tetrahydro-2H-thiopyran-3-yl)-2-cyclohexene-1-one (9CI)', '2-[(1E)-N-Ethoxybutanimidoyl]-3-hydroxy-5-(tetrahydro-2H-thiopyran-3-yl)-2-cyclohexen-1-one', '99434-58-9']</t>
  </si>
  <si>
    <t>Compound(135438605)</t>
  </si>
  <si>
    <t>C17H27NO3S</t>
  </si>
  <si>
    <t>N-[(Z)-N-(cyclopropylmethoxy)-C-[2,3-difluoro-6-(trifluoromethyl)phenyl]carbonimidoyl]-2-phenylacetamide</t>
  </si>
  <si>
    <t>['Cyflufenamid', '180409-60-3', 'UNII-79ID05OQ82', 'CHEBI:81797', '79ID05OQ82', '(N(Z))-N-(((Cyclopropylmethoxy)amino)(2,3-difluoro-6-(trifluoromethyl)phenyl)methylene)benzeneacetamide', 'N-((Z)-((Cyclopropylmethoxy)imino)(2,3-difluoro-6-(trifluoromethyl)phenyl)methyl)-2-phenylacetamide', 'Cyflufenamid [ISO]', '[N(Z)]-N-[[(cyclopropylmethoxy)amino][2,3-difluoro-6-(trifluoromethyl)phenyl]methylene]benzeneacetamide', 'N-[(Z)-N-(cyclopropylmethoxy)-C-[2,3-difluoro-6-(trifluoromethyl)phenyl]carbonimidoyl]-2-phenylacetamide', 'N-{(Z)-[(Cyclopropylmethoxy)imino][2,3-difluoro-6-(trifluoromethyl)phenyl]methyl}-2-phenylacetamide', 'SCHEMBL21751', 'CHEMBL2251733', 'DTXSID30431727', 'ZINC33988475', '149-(E)-FB', 'Cyflufenamid 10 microg/mL in Cyclohexane', 'NS00002257', 'C18516', 'Cyflufenamid, PESTANAL(R), analytical standard', '(Z)-N-[a-(cyclopropylmethoxyimino)-2,3-difluoro-6-(trifluoromethyl)benzyl]-2-phenylacetamide', '(Z)-N-[a-(cyclopropylmethoxyimino)-2,3-difluoro-6-(trifluoromethyl)benzyl]-2-phenylacetamide;Benzeneacetamide, N-[[(cyclopropylmethoxy)amino][2,3-difluoro-6-(trifluoromethyl)phenyl]methylene]-, [N(Z)]-', '(Z)-N-[alp.-(Cyclopropylmethoxyimino)-2,3-difluoro-6-(trifluoromethyl)benzyl]-2-phenylacetamide', '(Z)-N-[alpha-(cyclopropylmethoxyimino)-2,3-difluoro-6-(trifluoromethyl)benzyl]-2-phenylacetamide', 'N-{(Z)-[(cyclopropylmethoxy)amino][2,3-difluoro-6-(trifluoromethyl)phenyl]methylene}-2-phenylacetamide']</t>
  </si>
  <si>
    <t>Compound(135515530)</t>
  </si>
  <si>
    <t>C20H17F5N2O2</t>
  </si>
  <si>
    <t>2-methoxyethyl 2-(4-tert-butylphenyl)-2-cyano-3-oxo-3-[2-(trifluoromethyl)phenyl]propanoate</t>
  </si>
  <si>
    <t>['Cyflumetofen', '400882-07-7', '2-methoxyethyl 2-(4-tert-butylphenyl)-2-cyano-3-oxo-3-[2-(trifluoromethyl)phenyl]propanoate', 'Cyflumetofen [ISO]', 'Cyflometofen', 'SCHEMBL27174', 'CHEMBL2268728', 'DTXSID8058089', 'CHEBI:81798', 'CHEBI:136837', 'AKOS015852468', 'FT-0655283', 'C18517', '31424-EP2274983A1', '31424-EP2275422A1', '31424-EP2308858A1', '31424-EP2311816A1', '31424-EP2311817A1', 'Cyflumetofen, PESTANAL(R), analytical standard', 'A824911', 'Q3008637', '2-(4-tert-butylphenyl)-2-cyano-3-oxo-3-[2-(trifluoromethyl)phenyl]propanoic acid 2-methoxyethyl ester', '2-methoxyethyl (RS)-2-(4-tert-butylphenyl)-2-cyano-3-oxo-3-(alpha,alpha,alpha-trifluoro-o-tolyl)propionate', '2-Methoxyethyl 2-(4-(tert-butyl)phenyl)-2-cyano-3-oxo-3-(2-(trifluoromethyl)phenyl)propanoate', '2-methoxyethyl 2-(4-tert-butylphenyl)-2-cyano-3-oxidanylidene-3-[2-(trifluoromethyl)phenyl]propanoate']</t>
  </si>
  <si>
    <t>Compound(11496052)</t>
  </si>
  <si>
    <t>C24H24F3NO4</t>
  </si>
  <si>
    <t>[cyano-(3-phenoxyphenyl)methyl] 2,2-dimethyl-3-(2-methylprop-1-enyl)cyclopropane-1-carboxylate</t>
  </si>
  <si>
    <t>['Cyphenothrin', '39515-40-7', 'Gokilaht', 'Cyphenothrin [ISO]', 'S 2703 forte', 'UNII-S0IU5Y1R32', 'EINECS 254-484-5', 'SP 2703', 'S0IU5Y1R32', 'CHEBI:31450', 'S 2703', '[cyano-(3-phenoxyphenyl)methyl] 2,2-dimethyl-3-(2-methylprop-1-enyl)cyclopropane-1-carboxylate', 'alpha-Cyano-3-phenoxybenzyl 2,2-dimethyl-3-(2-methylprop-1-enyl)cyclopropanecarboxylate', 'Cyclopropanecarboxylic acid, 2,2-dimethyl-3-(2-methyl-1-propenyl)-, cyano(3-phenoxyphenyl)methyl ester', 'CCRIS 9268', 'd.d-T-Cyphenothrin', 'd.d-T-Cyphenothrin (JAN)', 'DSSTox_CID_12536', 'DSSTox_RID_78973', 'DSSTox_GSID_32536', 'SCHEMBL26783', 'MLS004712077', 'CHEMBL3182113', 'DTXSID4032536', 'CTK8F8874', 'HSDB 8429', 'Tox21_301919', 'NCGC00181753-01', 'NCGC00255243-01', 'AS-15556', 'Cyphenothrin 10 microg/mL in Cyclohexane', 'LS-58683', 'LS-58684', 'P853', 'SMR001564097', 'CAS-39515-40-7', 'DB-049426', '528-EP2274983A1', '528-EP2275422A1', 'FT-0639550', 'NS00009724', 'C12962', 'D01511', 'Cyphenothrin, PESTANAL(R), analytical standard', '515C407', 'A824594', 'C-36399', 'Q5200219', '[cyano-(3-phenoxyphenyl)methyl] 2,2-dimethyl-3-(2-methylprop-1-enyl)cyclopropanecarboxylate', 'a-cyano-3-phenoxybenzyl 2,2-dimethyl-3-(2-methylprop-1-enyl)cyclopropanecarboxylate', 'alpha.-cyano-3-phenoxybenzyl 2,2-dimethyl-3-(2-methylprop-1-enyl)cyclopropa- necarboxylate', 'Cyano(3-phenoxyphenyl)methyl 2,2-dimethyl-3-(2-methyl-1-propen-1-yl)cyclopropanecarboxylate', 'cyano(3-phenoxyphenyl)methyl 2,2-dimethyl-3-(2-methyl-1-propenyl)cyclopropanecarboxylate', 'cyano(3-phenoxyphenyl)methyl 2,2-dimethyl-3-(2-methylprop-1-en-1-yl)cyclopropanecarboxylate', '2,2-dimethyl-3-(2-methylprop-1-enyl)-1-cyclopropanecarboxylic acid [cyano-(3-phenoxyphenyl)methyl] ester', 'alpha.-cyano-3-phenoxybenzyl 2,2-dimethyl-3-(2-methylprop-1-enyl)cyclopropa- necarboxylate;a-cyano-3-phenoxybenzyl 2,2-dimethyl-3-(2-methylprop-1-enyl)cyclopropanecarboxylate;?-cyano-3-phenoxybenzyl 2,2-dimethyl-3-(2-methylprop-1-enyl)cyclopropanecarboxylate']</t>
  </si>
  <si>
    <t>Compound(38283)</t>
  </si>
  <si>
    <t>C24H25NO3</t>
  </si>
  <si>
    <t>[cyano-(4-fluoro-3-phenoxyphenyl)methyl] 3-(2,2-dichloroethenyl)-2,2-dimethylcyclopropane-1-carboxylate</t>
  </si>
  <si>
    <t>['CYFLUTHRIN', '68359-37-5', 'Baythroid', 'Cyfoxylate', 'Responsar', 'Syfrutrin', 'Solfac', 'beta-Cyfluthrin', 'Baythroid H', 'Eulan SP', 'Tempo 2', 'Cyfluthrine', 'Cyfluthine', 'Bay-fcr 1272', 'Cyfluthrin [BAN]', 'Caswell No. 266E', 'Cyano(4-fluoro-3-phenoxyphenyl)methyl 3-(2,2-dichlorovinyl)-2,2-dimethylcyclopropanecarboxylate', 'Cyfluthrin [BSI:ISO]', 'BAY-VI 1704', 'UNII-SCM2QLZ6S0', 'Cyfluthine [ISO-French]', 'FCR 1272', 'FCR 4545', 'BAY FCR 1272', 'HSDB 6599', 'EINECS 269-855-7', 'SCM2QLZ6S0', 'EPA Pesticide Chemical Code 128831', 'BRN 2788149', 'AI3-29604', 'CHEBI:4034', 'Cyclopropanecarboxylic acid, 3-(2,2-dichloroethenyl)-2,2-dimethyl-, cyano(4-fluoro-3-phenoxyphenyl)methyl ester', 'Cyfluthrin (BAN)', '(R,S)-alpha-Cyano-4-fluoro-3-phenoxybenzyl-(1R,S)-cis,trans-3-(2,2-dichlorovinyl)-2,2-dimethylcyclopropanecarboxylate', 'Bulldock', '(1RS,3SR)-3-(2,2-dichlorovinyl)-2,2-dimethylcyclopropanecarboxylate', 'alpha-Cyano-4-fluoro-3-phenoxybenzyl 3-(2,2-dichlorovinyl)-2,2-dimethylcyclopropanecarboxylate', '(RS)-alpha-Cyano-4-fluoro-3-phenoxybenzyl (1RS,3RS:1RS,3SR)-3-(2,2-dichlorovinyl)-2,2-dimethylcyclopropanecarboxylate', '[cyano-(4-fluoro-3-phenoxyphenyl)methyl] 3-(2,2-dichloroethenyl)-2,2-dimethylcyclopropane-1-carboxylate', '3-(2,2-Dichloroethenyl)-2,2-diethylcyclopropanecarboxylic acid cyano(4-fluoro-3-phenoxyphenyl)methyl ester', '3-(2,2-Dichloroethenyl)-2,2-dimethylcyclopropanecarboxylic acid, cyano(4-fluoro-3-phenoxyphenyl)methyl ester', 'Cyano(4-fluoro-3-phenoxyphenyl)methyl 3-(2,2-dichloroethenyl)-2,2-dimethyl-cyclopropanecarboxylate', '(RS)-alpha-Cyano-4-fluoro-3-phenoxybenzyl (1RS,3RS; 1RS,3SR)-3-(2,2-dichlorovinyl)-2,2-dimethylcyclopropanecarboxylate', 'Cyano(4-fluoro-3-phenoxyphenyl)methyl 3-(2,2-dichloroethenyl)-2,2-dimethylcyclopropanecarboxylate', 'Cyclopropanecarboxylic acid, 2-(2,2-dichlorovinyl)-3,3-dimethyl-, ester with (4-fluoro-3-phenoxyphenyl)hydroxyacetonitrile', 'C22H18Cl2FNO3', 'Sofac', 'CCRIS 9269', 'Cyfluthrin (I)', 'Cyfluthrin (II)', 'Cyfluthrin (IV)', '.beta.-Cyfluthrin', '1820573-27-0', 'Cyfluthrin (III)', 'Cylence (TN)', 'Baytroid (Salt/Mix)', 'Baythroid 2 (Salt/Mix)', 'Beta-Cyfluthrin; Cyfluthrin', 'DSSTox_CID_28078', 'DSSTox_RID_79271', 'DSSTox_GSID_35957', 'SCHEMBL26024', 'Cyfluthrin, Mixture of isomers', 'CHEMBL2104608', 'DTXSID5035957', 'BAY VL 1704', 'BAY-VL-1704', 'CTK3E9340', '86560-95-4', 'BCP19177', 'HY-B1837', 'Tox21_300645', 'AKOS015899750', 'DB13828', 'KS-5075', 'Cyfluthrin 10 microg/mL in Cyclohexane', 'Cyfluthrin 100 microg/mL in Cyclohexane', 'NCGC00254553-01', 'AK122227', 'LS-58648', 'AX8022177', 'CAS-68359-37-5', 'DB-055140', '519-EP2308857A1', '519-EP2308858A1', '519-EP2311816A1', '526-EP2274983A1', '526-EP2275422A1', '526-EP2280009A1', '526-EP2292608A1', '526-EP2298076A1', '526-EP2298077A1', '526-EP2301353A1', '526-EP2305031A1', '526-EP2305034A1', '526-EP2305035A1', '526-EP2308857A1', '526-EP2308858A1', '526-EP2311816A1', '526-EP2314583A1', 'CS-0013907', 'FT-0641182', 'C10982', 'D07761', 'Baythroid(R), PESTANAL(R), analytical standard', '359C375', 'C-36396', 'SR-01000883726', 'beta-Cyfluthrin, PESTANAL(R), analytical standard', 'SR-01000883726-1', '(R)-Cyano(4-fluoro-3-phenoxyphenyl)methyl (1S,3R)-3-(2,2-dichloroethenyl)-2,2-dimethylcyclopropanecarboxylate;a-cyano-4-fluoro-3-phenoxybenzyl [1a(S*),3ss]-(+/-)-3-(2,2-dichlorovinyl)-2,2-dimethylcyclopropanecarboxylate', '.alpha.-cyano-4-fluoro-3-phenoxybenzyl 3-(2,2-dichlorovinyl)-2,2-dimethylcyclo- propanecarboxylate', '.alpha.-cyano-4-fluoro-3-phenoxybenzyl 3-(2,2-dichlorovinyl)-2,2-dimethylcyclo- propanecarboxylate;a-cyano-4-fluoro-3-phenoxybenzyl 3-(2,2-dichlorovinyl)-2,2-dimethylcyclopropanecarboxylate;cyfluthrin;?-cyano-4-fluoro-3-phenoxybenzyl 3-(2,2-dichlorovinyl)-2,2-dimethylcyclopropanecarboxylate', '[cyano-(4-fluoro-3-phenoxy-phenyl)methyl] 3-(2,2-dichloroethenyl)-2,2-dimethyl-cyclopropane-1-carboxylate', '[cyano-(4-fluoro-3-phenoxy-phenyl)methyl] 3-(2,2-dichlorovinyl)-2,2-dimethyl-cyclopropanecarboxylate', '83855-46-3', 'cyano(4-fluoro-3-phenoxyphenyl)methyl 3-(2,2-dichloroethenyl)-2,2-dimethylcyclopropane-1-carboxylate', 'Cyano(4-fluoro-3-phenoxyphenyl)methyl 3-(2,2-dichlorovinyl)-2,2-dimethylcyclopropanecarboxylate #']</t>
  </si>
  <si>
    <t>Compound(104926)</t>
  </si>
  <si>
    <t>C22H18Cl2FNO3</t>
  </si>
  <si>
    <t>butyl (2R)-2-[4-(4-cyano-2-fluorophenoxy)phenoxy]propanoate</t>
  </si>
  <si>
    <t>['Cyhalofop-butyl', '122008-85-9', 'Clincher', 'Cyhalofop butyl ester', 'Cyhalofop Butyl', 'Cyhalofop-butyl [ISO]', 'UNII-18HGV9OC6G', 'HSDB 7272', 'XDE 537', '18HGV9OC6G', '(R)-Butyl 2-(4-(4-cyano-2-fluorophenoxy)phenoxy)propanoate', 'CHEBI:81863', 'Propanoic acid, 2-[4-(4-cyano-2-fluorophenoxy)phenoxy]-, butyl ester, (2R)-', 'butyl (2R)-2-[4-(4-cyano-2-fluorophenoxy)phenoxy]propanoate', 'Propanoic acid, 2-(4-(4-cyano-2-fluorophenoxy)phenoxy)-, butyl ester, (2R)-', 'CCRIS 9267', '(2R)-2-[4-(4-cyano-2-fluorophenoxy)phenoxy]propanoic acid butyl ester', 'DSSTox_CID_14503', 'DSSTox_RID_79160', 'DSSTox_GSID_34503', 'SCHEMBL56020', 'CHEMBL1900438', 'DTXSID1034503', 'Butyl (R)-2-[4-(4-Cyano-2-fluorophenoxy)phenoxy]propionate', 'ZINC2381584', 'Tox21_301029', 'AKOS015889006', 'NCGC00168299-01', 'NCGC00168299-02', 'NCGC00254931-01', 'AK326164', 'LS-195719', 'CAS-122008-85-9', 'Cyhalofop-butyl 10 microg/mL in Cyclohexane', 'C18607', '008C859', 'A804822', 'C-20812', 'Cyhalofop-butyl, PESTANAL(R), analytical standard', 'J-004751', 'Q27155630', 'butyl (2R)-2-[4-(4-cyano-2-fluoranyl-phenoxy)phenoxy]propanoate', '(R)-2-[4-(4-Cyano-2-fluorophenoxy)phenoxy]propionic Acid Butyl Ester', 'Cyhalofop Butyl;Propanoic acid, 2-[4-(4-cyano-2-fluorophenoxy)phenoxy]-, butyl ester, (2R)-']</t>
  </si>
  <si>
    <t>Compound(180089)</t>
  </si>
  <si>
    <t>C20H20FNO4</t>
  </si>
  <si>
    <t>[cyano-(3-phenoxyphenyl)methyl] 3-[(Z)-2-chloro-3,3,3-trifluoroprop-1-enyl]-2,2-dimethylcyclopropane-1-carboxylate</t>
  </si>
  <si>
    <t>['CYHALOTHRIN', '68085-85-8', 'Cyhalothrine', 'Grenade', 'lambda-Cyhalothrin', 'alpha-Cyhalothrin', 'UNII-V0V73PEB8M', 'PP 563', 'ICI 146814', 'V0V73PEB8M', 'Scimitar', 'Saber', 'CHEBI:4035', 'Cyhalothrin (BAN)', 'Cyhalothrin [BAN]', 'PP-563', 'Cyhalothrin [BSI:ISO]', 'Cyhalothrine [ISO-French]', '[cyano-(3-phenoxyphenyl)methyl] 3-[(Z)-2-chloro-3,3,3-trifluoro-prop-1-enyl]-2,2-dimethyl-cyclopropanecarboxylate', '3-(2-Chloro-3,3,3-trifluoro-1-propenyl)-2,2-dimethylcyclopropanecarboxylic acid cyano(3-phenoxyphenyl)methyl ester', 'W-111325', '91465-08-6', 'HSDB 6791', 'EINECS 268-450-2', 'EPA Pesticide Chemical Code 128867', 'Cyclopropanecarboxylic acid, 3-(2-chloro-3,3,3-trifluoro-1-propenyl)-2,2-dimethyl-, cyano(3-phenoxyphenyl)methyl ester', 'cyano(3-phenoxyphenyl)methyl 3-[(1Z)-2-chloro-3,3,3-trifluoroprop-1-en-1-yl]-2,2-dimethylcyclopropanecarboxylate', 'gamma-cyhalothrine', 'Lambda-cyhalothrine', '(1alpha,3alpha(Z))-(+-)-Cyano-(3-phenoxyphenyl)methyl 3-(2-chloro-3,3,3-trifluoro-1-propenyl)-2,2-dimethylcyclopropanecarboxylate', '(RS)-alpha-Cyano-3-phenoxybenzyl (Z)-(1RS,3RS)-(2-chloro-3,3,3- trifluoropropenyl)-2,2-dimethylcyclopropanecarboxylate', '3-(2-Chloro-3,3,3-trifluoro-1-propenyl)-2,2-dimethylcyclopropanecarboxylic acid cyan(3-phenoxyphenyl)methyl ester', 'alpha-Cyano-3-phenoxybenzyl 3-(2-chloro-3,3,3-trifluoroprop-1-enyl)-2,2-dimethylcyclopropanecarboxylate', 'Ici-pp 563', 'SCHEMBL23923', 'Coopertix [veterinary] (TN)', 'Cyhalothrin, analytical standard', 'CHEMBL2105498', 'DTXSID6023997', '(RS)-alpha-Cyano-3-phenoxybenzyl (Z)-(1RS,3RS)-3-(2-chloro-3,3,3-trifluoropropenyl)-2,2-dimethylcyclopropanecarboxylate', 'alpha-Cyhalothrin;.alpha-cyano-3-phenoxybenzyl 3-(2-chloro-3,3,3-trifluoroprop-1-enyl)-2,2- dimethyl cyclopropanecarboxylate;a-cyano-3-phenoxybenzyl 3-(2-chloro-3,3,3-trifluoroprop-1-enyl)-2,2-dimethylcyclopropanecarboxylate;cyhalothrin', 'SB18909', 'NCGC00248527-01', 'AS-15902', '527-EP2274983A1', '527-EP2275422A1', '527-EP2280009A1', '527-EP2292608A1', '527-EP2308857A1', '527-EP2308858A1', '527-EP2311816A1', '527-EP2311817A1', '527-EP2314583A1', '538-EP2308857A1', 'NS00009539', 'C10983', 'D07762', '085C858', 'Q421593', 'Cyhalothrin solution, 100 mug/mL in acetonitrile, PESTANAL(R), analytical standard', '(Z)-cyano(3-phenoxyphenyl)methyl 3-(2-chloro-3,3,3-trifluoroprop-1-enyl)-2,2-dimethylcyclopropanecarboxylate', '.alpha-cyano-3-phenoxybenzyl 3-(2-chloro-3,3,3-trifluoroprop-1-enyl)-2,2- dimethyl cyclopropanecarboxylate', '3-(2-Chloro-3,3,3-trifluoro-1-propenyl)-2,2-dimethylcycloproanecarboxylic acid cyano(3-phenoxyphenyl)methyl ester', '3-[(Z)-2-Chloro-3,3,3-trifluoro-1-propenyl]-2,2-dimethylcyclopropanecarboxylic acid alpha-cyano-3-phenoxybenzyl ester', 'Cyano(3-phenoxyphenyl)methyl 3-(2-chloro-3,3,3-trifluoro-1-propen-1-yl)-2,2-dimethylcyclopropanecarboxylate', 'cyano(3-phenoxyphenyl)methyl 3-[(1Z)-2-chloro-3,3,3-trifluoroprop-1-en-1-yl]-2,2-dimethylcyclopropane-1-carboxylate']</t>
  </si>
  <si>
    <t>Compound(5281873)</t>
  </si>
  <si>
    <t>C23H19ClF3NO3</t>
  </si>
  <si>
    <t>['Cyhexatin', '13121-70-5', 'Tricyclohexyltin hydroxide', 'Tricyclohexylhydroxytin', 'PLICTRAN', 'Plyctran', 'Tricyclohexylstannanol', 'Stannane, tricyclohexylhydroxy-', 'Tricyclohexylhydroxystannane', 'Hydroxytricyclohexylstannane', 'Dowco-213', 'Tricyclohexylzinnhydroxid', 'Tin, tricyclohexylhydroxy-', 'Tricyclohexylstannium hydroxide', 'Plictran 5OW miticide', 'Caswell No. 884A', 'UNII-8YJV11QB4R', 'ENT 27,395-X', 'Cyhexatin [ANSI:BSI:ISO]', 'CCRIS 6824', 'HSDB 1782', 'Tricyclohexylzinnhydroxid [German]', 'Ortho Plictran 50 wettable miticide', 'EINECS 236-049-1', 'ENT 27395', 'M 3180', 'EPA Pesticide Chemical Code 101601', 'NSC 179742', '8YJV11QB4R', 'TCTH', 'C18H34OSn', 'Dowco 213', 'SCHEMBL26095', 'tricyclohexyl(hydroxy)stannane', 'CHEBI:4036', 'DTXSID1032357', 'NSC179742', 'AKOS015904131', 'ZINC169876587', 'NSC-179742', 'NCGC00164294-01', 'R453', 'LS-146633', 'WLN: L6TJ A-SN-Q- AL6TJ&amp;- AL6TJ', 'Cyhexatin, PESTANAL(R), analytical standard', 'C11093', '121C705', 'C-36398', 'J-005963']</t>
  </si>
  <si>
    <t>Compound(6327054)</t>
  </si>
  <si>
    <t>C18H35OSn</t>
  </si>
  <si>
    <t>(1E)-2-(ethylcarbamoylamino)-N-methoxy-2-oxoethanimidoyl cyanide</t>
  </si>
  <si>
    <t>['CYMOXANIL', '57966-95-7', 'Curzate', 'Dpx 3217', '1-(2-Cyano-2-methoxyiminoacetyl)-3-ethylurea', 'DPX 3217M', 'UNII-QJO7SS7R8U', '2-Cyano-N-(ethylcarbamoyl)-2-(methoxyimino)acetamide', 'Cymoxanil [ANSI:BSI:ISO]', 'HSDB 6914', 'EINECS 261-043-0', 'QJO7SS7R8U', 'INT-3217-49', '2-Cyano-N-((ethylamino)carbonyl)-2-(methoxyimino)-acetamide', '2-(3-Ethylureido)-N-methoxy-2-oxoacetimidoyl cyanide', 'W-105425', '(2E)-2-cyano-N-(ethylcarbamoyl)-2-(methoxyimino)acetamide', 'Acetamide, 2-cyano-N-((ethylamino)carbonyl)-2-(methoxyimino)-', '2-Cyano-N-((ethylamino)carbonyl)-2-(methoxyimino)acetamide', '2-(ethylcarbamoylamino)-N-methoxy-2-oxoethanimidoyl cyanide', 'Cimoxpron', 'Acetamide, 2-cyano-N-[(ethylamino)carbonyl]-2-(methoxyimino)-', 'CCRIS 9272', 'PubChem18892', 'DSSTox_CID_12358', 'DSSTox_RID_78924', 'DSSTox_GSID_32358', 'SCHEMBL21162', 'CHEMBL59983', 'acetamide, 2-cyano-N-[(ethylamino)carbonyl]-2-(methoxyimino)-, (2E)-', 'DTXSID6032358', 'CHEBI:81788', 'DPX-T3217', '(1E)-2-(ethylcarbamoylamino)-N-methoxy-2-oxo-acetimidoyl cyanide', 'HY-B2067', 'Tox21_300680', 'KM0160', 'ZINC16681693', 'AKOS006281411', 'KS-5113', 'LS-8718', 'NCGC00164268-01', 'NCGC00164268-02', 'NCGC00164268-03', 'NCGC00164268-04', 'NCGC00254588-01', 'CC-26164', 'O516', 'CAS-57966-95-7', 'CS-0014157', 'NS00009143', 'Cymoxanil, PESTANAL(R), analytical standard', 'C18498', '966C957', 'A831689', 'Cymoxanil, certified reference material, TraceCERT(R)', '(2E)-2-cyano-N-(ethylcarbamoyl)-2-methoxyiminoacetamide', '(2E)-2-cyano-N-(ethylcarbamoyl)-2-methoxyimino-ethanamide', "Urea, N-[(2E)-2-cyano-2-(methoxyimino)-1-oxoethyl]-N'-ethyl-", '2-cyano-N-((ethylamino)carbonyl)-2-(methoxyimino)acetamide;2-cyano-N-[(ethylamino)carbonyl]-2-(methoxyimino)acetamide;2-Cyano-N-((ethylamino)carbonyl-2-(methoxyimino))']</t>
  </si>
  <si>
    <t>Compound(5364079)</t>
  </si>
  <si>
    <t>C7H10N4O3</t>
  </si>
  <si>
    <t>cymiazole</t>
  </si>
  <si>
    <t>N-(2,4-dimethylphenyl)-3-methyl-1,3-thiazol-2-imine</t>
  </si>
  <si>
    <t>['Cymiazole', '61676-87-7', 'Besuntol', 'Cymiazol', 'Tifatol', 'Xymiazol', '2,4-Dimethyl-N-(3-methylthiazol-2(3H)-ylidene)aniline', 'UNII-7XR6MQQ6BK', 'N-(2,4-dimethylphenyl)-3-methyl-1,3-thiazol-2-imine', 'EINECS 262-890-9', 'CGA 50439', '7XR6MQQ6BK', 'BRN 1213211', 'N-3-Methyl-4-thiazol-2-ylidene-2,4-xylidene', 'N-3-Methyl-4-thiazolin-2-ylidene-2,4-xylidine', 'N-(3-Methyl-3H-thiazol-2-ylidene)-2,5-xylidine', '2,4-Dimethyl-N-(3-methyl-2(3H)-thiazolylidene)benzenamine', 'N-2,3-Dihydro-3-methyl-1,3-thiazol-2-ylidene-2,4-xylidene', 'N-2,3-Dihydro-3-methyl-1,3-thiazol-2-ylidene-2,4-xylidine', 'BENZENAMINE, 2,4-DIMETHYL-N-(3-METHYL-2(3H)-THIAZOLYLIDENE)-', '(Z)-N-(2,4-dimethylphenyl)-3-methyl-1,3-thiazol-2-imine', 'Tifatol (Cymiazole)', 'Cymiazole;Tifatol;Besuntol', '2-(2,4-Dimethylphenylimino)-3-methylthiazoline', 'SCHEMBL506536', 'SCHEMBL725598', 'SCHEMBL9812107', 'ZINC1237', 'DTXSID5058143', 'AKOS015897344', 'ZINC100045547', 'ZINC256014337', 'AC-8192', 'VA10650', 'Cymiazole 10 microg/mL in Acetonitrile', '2-(2,4-xylylimino)-3-methyl-thiazoline', 'LS-28304', 'O652', 'SC-22746', 'AX8021804', 'FT-0624306', 'NS00005904', 'Cymiazole, PESTANAL(R), analytical standard', 'N-(2,4-dimethylphenyl)-3-methyl-2-thiazolimine', '676C877', 'A833360', 'Q3276808', 'W-105117', 'Cymiazole;N-(3-methyl-3H-thiazol-2-ylidene)-2,5-xylidine', '(E)-2,4-dimethyl-N-(3-methylthiazol-2(3H)-ylidene)aniline', 'N-(2,4-Dimethylphenyl)-3-methyl-1,3-thiazol-2(3H)-imine', '2,4-dimethyl-N-[(2Z)-3-methyl-1,3-thiazol-2(3H)-ylidene]aniline']</t>
  </si>
  <si>
    <t>Compound(43714)</t>
  </si>
  <si>
    <t>C12H14N2S</t>
  </si>
  <si>
    <t>1-methyl-4-(2-tricyclo[9.4.0.03,8]pentadeca-1(15),3,5,7,9,11,13-heptaenylidene)piperidine</t>
  </si>
  <si>
    <t>['CYPROHEPTADINE', 'Periactin', '129-03-3', 'Eiproheptadine', 'Periactinol', 'Dronactin', '4-(5H-dibenzo[a,d][7]annulen-5-ylidene)-1-methylpiperidine', 'Ciproheptadina', 'Cyproheptadinum', 'MK 141', 'Cyproheptadine [INN:BAN]', 'Cyproheptadinum [INN-Latin]', 'Ciproheptadina [INN-Spanish]', '4-(5H-Dibenzo(a,d)cyclohepten-5-ylidene)-1-methylpiperidine', '1-Methyl-4-(5H-dibenzo(a,d)cycloheptenylidene)piperidine', '5-(1-Methylpiperidylidene-4)-5H-dibenzo(a,d)cyclopheptene', '1-Methyl-4-(5-dibenzo(a,e)cycloheptatrienylidene)piperidine', '4-(5-Dibenzo(a,d)cyclohepten-5-ylidine)-1-methylpiperidine', 'UNII-2YHB6175DO', 'CCRIS 5232', 'HSDB 3048', 'EINECS 204-928-9', 'CHEMBL516', 'Piperidine, 4-(5H-dibenzo[a,d]cyclohepten-5-ylidene)-1-methyl-', 'BRN 1685976', '2YHB6175DO', 'CHEBI:4046', 'Cypoheptadine', 'Cyproheptadiene', 'Periactine', '4-(5H-Dibenzo(a,d)cyclohepten-5-ylidene)-1-methylpiperidene', '4-(5H-Dibenzo[a,d]cyclohepten-5-ylidene)-1-methylpiperidine', 'Piperidine, 4-(5H-dibenzo(a,d)cyclohepten-5-ylidene)-1-methyl-', '1-Methyl-4-(5H-dibenzo[a,d]cycloheptenylidene)piperidine', 'NCGC00015252-08', 'Dihexazin', 'Viternum', 'DSSTox_CID_2872', 'DSSTox_RID_76768', 'DSSTox_GSID_22872', '4-Dibenzo[a,d]cyclohepten-5-ylidene-1-methyl-piperidine', '41354-29-4', 'Ciprovit (TN)', 'CAS-129-03-3', 'Cyproheptadine (INN)', 'cyproheptidine', 'Cyproheptadin', 'Reactin', 'Peritol (Salt/Mix)', 'Tocris-0996', 'Prestwick0_000103', 'Prestwick1_000103', 'Prestwick2_000103', 'Prestwick3_000103', 'Lopac-C-6022', 'Biomol-NT_000131', 'SCHEMBL4021', 'Lopac0_000246', 'Oprea1_498140', 'BSPBio_000086', 'GTPL277', '5-20-08-00500 (Beilstein Handbook Reference)', 'BIDD:GT0324', 'SPBio_002025', 'BPBio1_000096', 'BPBio1_000155', 'DTXSID8022872', 'HMS2090P20', 'ZINC968264', 'Tox21_110112', 'BBL010977', 'BDBM50017721', 'DL-136', 'PDSP1_001229', 'PDSP2_001213', 'STK802098', 'AKOS004119847', 'Tox21_110112_1', 'CCG-204341', 'DB00434', 'MCULE-3352282545', 'SDCCGSBI-0050234.P003', 'NCGC00015252-01', 'NCGC00015252-02', 'NCGC00015252-03', 'NCGC00015252-04', 'NCGC00015252-05', 'NCGC00015252-06', 'NCGC00015252-07', 'NCGC00015252-09', 'NCGC00015252-10', 'NCGC00015252-12', 'NCGC00015252-13', 'NCGC00024293-02', 'NCGC00024293-04', 'NCGC00024293-05', 'CAS-969-33-5', 'VS-02784', 'SBI-0050234.P002', 'DB-041917', 'LS-114933', 'FT-0631755', 'H2428', 'NS00004763', 'C06935', 'D07765', '16621-EP2281563A1', '16621-EP2295409A1', '16621-EP2314590A1', '16621-EP2316459A1', '129C033', 'C-36401', 'L001016', 'Q417884', 'BRD-K28143534-001-01-4', 'BRD-K28143534-001-03-0', 'BRD-K28143534-003-03-6', 'BRD-K28143534-003-14-3', '4-(dibenzo[[?],[?]][7]annulen-11-ylidene)-1-methyl-piperidine', "4-(Dibenzo[1,2-A:2',1'-D][7]annulen-11-Ylidene)-1-Methyl-Piperidine", 'cyproheptadine;cyproheptadine hydrochloride;Cyproheptadine hydrochloride', '1-methyl-4-(2-tricyclo[9.4.0.0^{3,8]pentadeca-1(15),3,5,7,9,11,13-heptaenylidene)piperidine', '1-methyl-4-{tricyclo[9.4.0.0(3),?]pentadeca-1(11),3,5,7,9,12,14-heptaen-2-ylidene}piperidine', '1-methyl-4-{tricyclo[9.4.0.0^{3,8}]pentadeca-1(11),3(8),4,6,9,12,14-heptaen-2-ylidene}piperidine', '1-methyl-4-{tricyclo[9.4.0.0^{3,8}]pentadeca-1(15),3,5,7,9,11,13-heptaen-2-ylidene}piperidine', '4-(5H-dibenzo[a,d][7]annulen-5-ylidene)-1-methylpiperidine4-(5H-dibenzo[a,d]cyclohepten-5-ylidene)-1-methylpiperidine']</t>
  </si>
  <si>
    <t>Compound(2913)</t>
  </si>
  <si>
    <t>cyproconazole</t>
  </si>
  <si>
    <t>2-(4-chlorophenyl)-3-cyclopropyl-1-(1,2,4-triazol-1-yl)butan-2-ol</t>
  </si>
  <si>
    <t>['Cyproconazole', '94361-06-5', '2-(4-chlorophenyl)-3-cyclopropyl-1-(1H-1,2,4-triazol-1-yl)butan-2-ol', 'Alto', 'Cyproconazol', 'Atemi', 'Atemi C', 'Cyproconazole [ISO]', 'Alto 100SL', 'UNII-622B9C3E6T', 'SAN 619F', '2-(4-chlorophenyl)-3-cyclopropyl-1-(1,2,4-triazol-1-yl)butan-2-ol', 'Sentinel Turf Fungicide', '113096-99-4', 'SN 108266', 'CHEBI:83748', '622B9C3E6T', '1H-1,2,4-Triazole-1-ethanol, alpha-(4-chlorophenyl)-alpha-(1-cyclopropylethyl)-', 'alpha-(4-Chlorophenyl)-alpha-(1-cyclopropylethyl)-1H-1,2,4-triazole-1-ethanol', 'Cyproconazole I', 'HSDB 7706', 'Cyproconazole (I)', 'Cyproconazol isomer 1', 'Cyproconazol isomer 2', 'DSSTox_CID_12601', 'DSSTox_RID_79000', 'DSSTox_GSID_32601', 'SCHEMBL20791', 'CHEMBL2131954', 'DTXSID0032601', 'CTK8C4842', 'HY-A0277', 'Tox21_301185', 'ANW-73333', 'GA6777', 'MFCD01678672', 'AKOS015907652', 'CS-5833', '1H-1,2,4-Triazole-1-ethanol, .alpha.-(4-chlorophenyl)-.alpha.-(1-cyclopropylethyl)-', 'KS-00001F68', 'NCGC00163963-01', 'NCGC00163963-02', 'NCGC00163963-03', 'NCGC00255083-01', 'AK-87996', 'AS-14696', 'M229', 'SC-46733', 'SC-48413', 'AX8123131', 'CAS-94361-06-5', 'Cyproconazole 10 microg/mL in Acetonitrile', 'Cyproconazole 100 microg/mL in Cyclohexane', 'LS-155976', 'FT-0642271', 'NS00000117', 'C18456', 'Cyproconazol, PESTANAL(R), analytical standard', 'Q27157173', 'Cyproconazol, certified reference material, TraceCERT(R)', '1H-1,2,4-Triazole-1-ethanol,a-(4-chlorophenyl)-a-(1-cyclopropylethyl)-', '.alpha.-(4-Chlorophenyl)-.alpha.-(1-cyclopropylethyl)-1H-1,2,4-triazole-1-ethanol/ Cyproconazole', 'Cyproconazole I;cyproconazole;(2RS,3RS;2RS,3SR)-2-(4-chlorophenyl)-3-cyclopropyl-1-(1H-1,2,4-triazol-1-yl)butan-2-ol']</t>
  </si>
  <si>
    <t>Compound(86132)</t>
  </si>
  <si>
    <t>C15H18ClN3O</t>
  </si>
  <si>
    <t>4-cyclopropyl-6-methyl-N-phenylpyrimidin-2-amine</t>
  </si>
  <si>
    <t>['Cyprodinil', '121552-61-2', '4-Cyclopropyl-6-methyl-N-phenylpyrimidin-2-amine', '4-Cyclopropyl-6-methyl-N-phenyl-2-pyrimidinamine', 'HSDB 7019', 'UNII-42P6T6OFWZ', '2-Pyrimidinamine, 4-cyclopropyl-6-methyl-N-phenyl-', '42P6T6OFWZ', 'CHEBI:4045', '4-cyclopropyl-6-methyl-N-phenyl-pyrimidin-2-amine', '2-Anilino-4-cyclopropyl-6-methylpyrimidine', 'Unix', 'Chorus', 'CGA 219417', 'DSSTox_CID_12359', 'DSSTox_RID_78925', 'DSSTox_GSID_32359', 'SCHEMBL22669', 'CHEMBL521027', 'DTXSID1032359', 'ZINC900539', 'Tox21_300944', 'Cyprodinil 10 microg/mL in Isooctane', 'AKOS015915327', 'Cyprodinil 100 microg/mL in Methanol', 'Cyprodinil 1000 microg/mL in Acetone', 'ABA-7726025', 'Cyprodinil 10 microg/mL in Acetonitrile', 'NCGC00163795-01', 'NCGC00163795-02', 'NCGC00163795-03', 'NCGC00254846-01', 'CC-26167', '2-anilino-4-methyl-6-cyclopropylpyrimidine', 'HY-116214', 'LS-134472', '2-anilino-4-methyl-6-cyclopropyl-pyrimidine', 'CAS-121552-61-2', 'CS-0064379', 'FT-0603148', 'NS00000118', 'Cyprodinil, PESTANAL(R), analytical standard', '2-phenylamino-4-methyl-6-cyclopropylpyrimidine', 'C10914', '552C612', 'A804753', 'C-12780', 'J-004523', 'Q3008902', '4-Cyclopropyl-6-methyl-N-phenyl-2-pyrimidinamine, 9CI', 'cyprodinil;4-cyclopropyl-6-methyl-N-phenylpyrimidin-2-amine']</t>
  </si>
  <si>
    <t>Compound(86367)</t>
  </si>
  <si>
    <t>N-(3-chlorophenyl)-N-(2-oxooxolan-3-yl)cyclopropanecarboxamide</t>
  </si>
  <si>
    <t>['Cyprofuram', 'Vinicur', 'Stanza', '69581-33-5', 'Cyprofuram [ANSI:BSI:ISO]', 'SN 78314', 'EINECS 274-050-9', "3'-Chloro-N-(tetrahydro-2-oxo-3-furyl)cyclopropanecarboxanilide", 'N-(3-Chlorophenyl)-N-(tetrahydro-2-oxo-3-furanyl)cyclopropanecarboxamide', 'N-(3-Chlorophenyl)-N-(tetrahydro-2-oxo-3-furyl)cyclopropanecarboxamide', 'N-(3-chlorophenyl)-N-(2-oxooxolan-3-yl)cyclopropanecarboxamide', '(+-)-alpha-(N-(3-Chlorophenyl)cyclopropanecarboxamido)-gamma-butyrolactone', 'CYCLOPROPANECARBOXAMIDE, N-(3-CHLOROPHENYL)-N-(TETRAHYDRO-2-OXO-3-FURANYL)-', 'SCHEMBL165001', 'CHEBI:82054', 'DTXSID40867831', 'AKOS015902429', 'Cyclopropanecarboxamide, N-(3-chlorophenyl)-N-(tetrahydro-2-oxo-3-furanyl)-, (+-)- (9CI)', 'NCGC00166183-01', 'LS-58558', 'FT-0764044', 'NS00061619', 'Cyprofuram, PESTANAL(R), analytical standard', 'C18909', 'C-56150', 'Q22807388', '.alpha.-(N-(3-Chlorophenyl)cyclopropanecarboxamido)-.gamma.-butyrolactone', 'N-(3-Chlorophenyl)-N-(2-oxotetrahydro-3-furanyl)cyclopropanecarboxamide', 'N-(3-chlorophenyl)-N-(2-oxotetrahydrofuran-3-yl)cyclopropanecarboxamide', 'Cyclopropanecarboxamide, N-(3-chlorophenyl)-N-(tetrahydro-2-oxo-3-furanyl)-, (+-)-']</t>
  </si>
  <si>
    <t>Compound(50590)</t>
  </si>
  <si>
    <t>C14H14ClNO3</t>
  </si>
  <si>
    <t>2-N-cyclopropyl-1,3,5-triazine-2,4,6-triamine</t>
  </si>
  <si>
    <t>['CYROMAZINE', '66215-27-8', 'Larvadex', 'Cyromazin', 'Vetrazin', 'Trigard', 'Cyclopropylmelamine', 'Cypromazine', 'Vetrazine', 'Neporex', 'Citation', 'Azimethiphos', 'N-Cyclopropyl-1,3,5-triazine-2,4,6-triamine', '2-Cyclopropylamino-4,6-diamino-s-triazine', 'Armor', 'N-cyclopropylmelamine', 'Vetrazin (pesticide)', '1,3,5-Triazine-2,4,6-triamine, N-cyclopropyl-', 'Cga 72662', 'Cyromazinum', 'Ciromazina', 'Larvadex Premix', 'N2-cyclopropyl-1,3,5-triazine-2,4,6-triamine', 'OMS-2014', 'Caswell No. 167B', 'Cyromazine [BAN:INN]', 'Cyromazinum [INN-Latin]', 'Ciromazina [INN-Spanish]', 'UNII-CA49Y29RA9', '2,4-Diamino-6-(cyclopropylamino)-s-triazine', 'Neporex (TN)', 'N-Cyclopropyl-2,4,6-triamino-1,3,5-triazine', 'Cyromazine [ANSI:BSI:ISO]', 'N2-Cyclopropylmelamine', 'AI3-52713', 'HSDB 6602', 'EINECS 266-257-8', '2-N-cyclopropyl-1,3,5-triazine-2,4,6-triamine', 'BRN 0882879', 'CA49Y29RA9', 'CHEBI:30260', 'N-Cyclopropyl-1,3,5-triazin-2,4,6-triamine', '2,4-Diamino-6-(cyclopropylamino)-s-triazine (8CI)', 'N~2~-Cyclopropyl-1,3,5-Triazine-2,4,6-Triamine', 'N-cyclopropyltriazine-2,4,6-triamine', 'Diamino-6-(cyclopropylamino)-s-triazine', 'NCGC00163803-03', 'DSSTox_CID_3999', 'Cyclopropyl-1,3,5-triazine-2,4,6-triamine', '2,4-diamino-6-cyclopropylamino-1,3,5-triazine', 'DSSTox_RID_77253', 'DSSTox_GSID_23999', '2,4-Diamino-6-(cyclopropylamino)-1,3,5-triazine', 'N(2)-cyclopropyl-1,3,5-triazine-2,4,6-triamine', 'CAS-66215-27-8', 'CGA-72662', 'Cyromazine [USP:INN:BAN]', 'Neoprex', 'C6H10N6', 'AX3', 'Cyromazine (INN)', 'Cyromazine (USP/INN)', 'Cyromazin;CGA-72662', 'SCHEMBL27231', 'ZINC1239', 'CHEMBL1231107', 'DTXSID6023999', 'KS-00000UFY', 'HMS3264K09', 'HMS3652N03', 'Pharmakon1600-01505903', 'BCP13527', 'HY-B1331', 'Tox21_112074', 'Tox21_201846', 'Tox21_300784', 'CC0195', 'MFCD00078650', 'NSC759268', 's4167', 'AKOS007930524', 'Tox21_112074_1', 'AC-6858', 'CCG-213992', 'CS-4864', 'NSC-759268', 'NCGC00163803-01', 'NCGC00163803-02', 'NCGC00163803-04', 'NCGC00163803-05', 'NCGC00163803-06', 'NCGC00254688-01', 'NCGC00259395-01', '2Cyclopropylamino-4,6-diamino-s-triazine', 'AS-12700', 'SC-16763', '2,4-diamino-6-cyclopropylamino-s-triazine', 'AB0012348', 'DB-054884', 'LS-155551', 'FT-0603144', 'FT-0665421', 'NS00001536', 'SW220183-1', 'Cyromazin, PESTANAL(R), analytical standard', 'A16473', 'C14147', 'D07767', 'M-2893', '31408-EP2274983A1', '31408-EP2305658A1', '31408-EP2308857A1', '31408-EP2308858A1', '31408-EP2311816A1', '31408-EP2311817A1', 'AB01563373_01', 'AB01563373_02', '215C278', '4-N-cyclopropyl-1,3,5-triazine-2,4,6-triamine', 'A835367', 'Q412423', 'SR-01000944274', 'Q-200914', 'SR-01000944274-1', 'N-CYCLOPROPY-1,3,5-TRIAZIN-2,4,6-TRIAMINE', 'N-Cyclopropyl-1,3,5-triazine-2,4,6-triamine, 9CI', 'N-Cyclopropyl-2,4,6-triamino-1,3,5-triazine, 97%', 'N-cyclopropyl-1,3,5-triazine-2,4,6-triamine;cyromazine', 'Cyromazine / N-cyclopropyl-1,3,5-triazine-2,4,6-triamine', 'Cyromazine, United States Pharmacopeia (USP) Reference Standard']</t>
  </si>
  <si>
    <t>Compound(47866)</t>
  </si>
  <si>
    <t>C6H10N6</t>
  </si>
  <si>
    <t>cythioate</t>
  </si>
  <si>
    <t>4-dimethoxyphosphinothioyloxybenzenesulfonamide</t>
  </si>
  <si>
    <t>['CYTHIOATE', 'Proban', '115-93-5', 'Cyflee', 'American CL-26691', 'American cyanamid CL-26,691', 'CL 26691', 'Cythioate [BAN]', 'Proban (VAN)', 'Caswell No. 272B', 'ENT 25,640', 'NSC 310287', 'AC 26,691', 'American CL-26,691', 'UNII-3OOH7Q4333', 'O,O-Dimethyl O-p-sulfamoylphenyl phosphorothioate', 'EINECS 204-115-9', 'O,O-Dimethyl O-4-sulfamoylphenyl phosphorothioate', 'EPA Pesticide Chemical Code 059501', 'O,O-Dimethyl O-(4-sulphamoylphenyl) thiophosphate', 'BRN 2148114', 'O,O-Dimethyl O-(4-sulfamoylphenyl) phosphorothioate', 'Phosphorothioic acid, O-[4-(aminosulfonyl)phenyl] O,O-dimethyl ester', 'AI3-25640', 'O-(4-(Aminosulfonyl)phenyl) O,O-dimethyl phosphorothioate', '3OOH7Q4333', 'Cythioate (BAN)', 'Benzenesulfonamide, p-hydroxy-, O-ester with O,O-dimethyl phosphorothioate', 'O,O-Dimethyl O-4-sulphamoylphenyl phosphorothioate', 'O,O-Dimethyl-O-(p-sulfamoylphenyl)-phosphorothioate', 'NCGC00182551-01', 'Phosphorothioic acid, O-(4-(aminosulfonyl)phenyl) O,O-dimethyl ester', 'Phosphorothioic acid, O,O-dimethyl ester, O-ester with p-hydroxybenzenesulfonamide', 'american cl 26691', 'C8H12NO5PS2', '4-dimethoxyphosphinothioyloxybenzenesulfonamide', 'Cyflee (Cythioate)', 'Proban (TN)', 'DSSTox_CID_21828', 'DSSTox_RID_79854', 'DSSTox_GSID_41828', 'O,O-dimethyl O-(4-sulfamoylphenyl) thiophosphate', 'SCHEMBL118958', 'CHEMBL2104588', 'DTXSID8041828', 'O,O-Dimethyl O-(4-(aminosulfonyl)phenyl) phosphorothioate (9CI)', 'ZINC1569224', 'Tox21_113080', 'NSC310287', 'O,O-Dimethyl phosphorothioate O-ester with p-hydroxybenzenesulfonamide (8CI)', 'DB11392', 'NSC-310287', 'WLN: ZSWR DOPS &amp; O1 &amp; O1', 'CAS-115-93-5', 'CC-26174', 'DB-041294', 'LS-108808', 'FT-0603143', 'NS00015268', 'V2461', 'Cythioate, PESTANAL(R), analytical standard', 'D07768', '115C935', 'C-18615', 'SR-01000945023', 'O,O-dimethyl O-(4-sulfamoyl phenyl)phosphorothioate', 'Q5201320', 'SR-01000945023-1', 'O,O-Dimethyl O-(4-(aminosulfonyl)phenyl) phosphorothioate', 'O-[4-(Aminosulfonyl)phenyl] O,O-dimethyl thiophosphate #', 'Benzenesulfonamide, O-ester with O,O-dimethyl phosphorothioate', 'O,O-Dimethyl phosphorothioate O-ester with p-hydroxybenzenesulfonamide', 'Phosphorothioic acid,O-dimethyl ester, O-ester with p-hydroxybenzenesulfonamide']</t>
  </si>
  <si>
    <t>Compound(8293)</t>
  </si>
  <si>
    <t>C8H12NO5PS2</t>
  </si>
  <si>
    <t>delta-hexachlorocyclohexane</t>
  </si>
  <si>
    <t>Significant wave height difference in last two iterations</t>
  </si>
  <si>
    <t>Temperature difference</t>
  </si>
  <si>
    <t>1-[(2R,4S,5R)-4-hydroxy-5-(hydroxymethyl)oxolan-2-yl]-5-methylpyrimidine-2,4-dione</t>
  </si>
  <si>
    <t>['thymidine', '50-89-5', 'deoxythymidine', "2'-Deoxythymidine", 'Thymidin', 'Beta-Thymidine', '5-Methyldeoxyuridine', 'DThyd', "5-Methyl-2'-deoxyuridine", 'Thymine-2-deoxyriboside', 'Thyminedeoxyriboside', 'Thymine-2-desoxyriboside', 'dThd', '5-Methyldeoxyurindine', 'Thymine deoxyriboside', "2'-thymidine", "Uridine, 2'-deoxy-5-methyl-", 'dT', "thymine 2'-deoxyriboside", 'UNII-VC2W18DGKR', 'Deoxyribothymidine', "2'-deoxy-5-methyluridine", 'AI3-52267', 'beta-D-Ribofuranoside, thymine-1 2-deoxy-', 'CCRIS 1283', 'CHEBI:17748', 'alpha-tritiated thymidine', 'Thymine 2-desoxyriboside', 'EINECS 200-070-4', 'MFCD00006537', 'NSC 21548', 'VC2W18DGKR', 'Zidovudine Related Compound D', '1-(2-Deoxy-beta-D-erythro-pentofuranosyl)-5-methyl-2,4(1H,3H)-pyrimidinedione', '2,4(1H,3H)-Pyrimidinedione, 1-(2-deoxy-beta-D-erythro-pentofuranosyl)-5-methyl-', '1-((2R,4S,5R)-4-Hydroxy-5-(hydroxymethyl)tetrahydrofuran-2-yl)-5-methylpyrimidine-2,4(1H,3H)-dione', 'Thymidine, 99+%', '[3H]-Thymidine', 'NCGC00142484-03', '1-[(2R,4S,5R)-4-hydroxy-5-(hydroxymethyl)oxolan-2-yl]-5-methylpyrimidine-2,4-dione', '1-[(2R,4S,5R)-4-hydroxy-5-(hydroxymethyl)oxolan-2-yl]-5-methyl-1,2,3,4-tetrahydropyrimidine-2,4-dione', '157049-39-3', 'THM', '1-(2-deoxy-beta-D-erythro-pentofuranosyl)-5-methylpyrimidine-2,4(1H,3H)-dione', '1-((2R,4S,5R)-4-Hydroxy-5-(hydroxymethyl)tetrahydro-furan-2-yl)-5-methylpyrimidine-2,4(1H,3H)-dione', '1-[(4S,2R,5R)-4-hydroxy-5-(hydroxymethyl)oxolan-2-yl]-5-methyl-1,3-dihydropyri midine-2,4-dione', 'THYMIDINE;Deoxythymidine', 'NSC-21548', 'deoxyribosylthymine', '4qsv', 'Thymidinedeoxyriboside', 'PubChem6943', '1w2g', 'Thymidine, &gt;=99%', 'Thymidine (8CI,9CI)', 'DSSTox_CID_3661', 'bmse000244', 'Epitope ID:138113', 'EC 200-070-4', "2'-deoxy-5-methyl-Uridine", 'DSSTox_RID_77133', '1-(2-Deoxy-beta-D-ribofuranosyl)-5-methyluracil', 'DSSTox_GSID_23661', 'SCHEMBL19894', 'KSC170M6B', "2'-dT", 'CHEMBL52609', 'GTPL4718', 'DTXSID5023661', 'Zidovudine related compound d rs', 'CTK0H0660', 'ZINC25672', 'BIT2044', 'ZX-AFC000458', '157049-40-6', 'ACT03217', 'HY-N1150', 'STR05630', 'Thymidine, &gt;=99.0% (HPLC)', 'ZX-AT021585', 'Tox21_111560', 'ANW-31155', 'CT0194', 'GE6597', 'HG1139', 'OR4884', 's4803', 'SBB003204', 'AKOS015895360', 'thymine-1 2-deoxy-b-D-Ribofuranoside', 'AC-1475', 'AM83949', 'CCG-266886', 'CS-W019644', 'DB04485', 'PB32085', 'CAS-50-89-5', "DEOXYTHYMIDINE; 2'-DEOXYTHYMIDINE", 'NCGC00142484-01', '1-(2-Deoxy-beta-D-ribofuranosyl)thymine', 'BR-47328', 'SC-04918', 'ST056941', 'Thymidine, Vetec(TM) reagent grade, 99%', 'AB0010514', 'AX8008729', 'DB-030432', 'LS-153777', 'thymine-1 2-deoxy-beta-delta-Ribofuranoside', '1-(2-Deoxy-A-D-ribofuranosyl)-5-methyluracil', '1-(2-Deoxy-beta-ribofuranosyl)-5-methyluracil', 'C00214', 'J10255', 'M-5516', 'X-3097', 'Q422464', 'SR-01000883981', '(1-[2-Deoxy-beta-D-ribofuranosyl]-5-methyluracil)', '1-(2-Deoxy-.beta.-D-ribofuranosyl)-5-methyluracil', 'J-700251', 'SR-01000883981-1', 'BRD-K28309349-001-02-4', 'Q27124084', 'D7E43A69-265B-4DAA-BC8F-193FB357140F', 'Thymidine, powder, BioReagent, suitable for cell culture', '1-[4-hydroxy-5-(hydroxymethyl)oxolan-2-yl]-5-methyl-pyrimidine-2,4-dione', '1-(2-Deoxy-b-D-erythro-pentofuranosyl)-5-methyl-2,4(1H,3H)-pyrimidinedione', '1-(2-Deoxy-beta-D-erythro-pentofuranosyl)-5-methylpyrimidine-2,4(1H,3H)-dione (Thymidine)', '1-(2-Deoxy-beta-delta-erythro-pentofuranosyl)-5-methyl-2,4(1H,3H)-pyrimidinedione', '1-[(2R,4S,5R)-4-Hydroxy-5-(hydroxymethyl)oxolan-2-yl]-5-methyl-pyrimidine-2,4-dione', 'Zidovudine Related Compound D, United States Pharmacopeia (USP) Reference Standard', '1-[(2R,4S,5R)-4-hydroxy-5-(hydroxymethyl)tetrahydrofuran-2-yl]-5-methyl-pyrimidine-2,4-dione', '1211376-53-2']</t>
  </si>
  <si>
    <t>Compound(5789)</t>
  </si>
  <si>
    <t>C10H14N2O5</t>
  </si>
  <si>
    <t>7-hydroxy-3-(4-hydroxyphenyl)chromen-4-one</t>
  </si>
  <si>
    <t>['daidzein', '486-66-8', "4',7-Dihydroxyisoflavone", 'Daidzeol', "7,4'-Dihydroxyisoflavone", '7-hydroxy-3-(4-hydroxyphenyl)-4H-chromen-4-one', '7-Hydroxy-3-(4-hydroxyphenyl)-4H-1-benzopyran-4-one', '4H-1-Benzopyran-4-one, 7-hydroxy-3-(4-hydroxyphenyl)-', '7-hydroxy-3-(4-hydroxyphenyl)chromen-4-one', '7-Hydroxy-3-(4-hydroxyphenyl)-4-benzopyrone', 'UNII-6287WC5J2L', 'CCRIS 7600', 'K 251b', 'EINECS 207-635-4', 'MFCD00016954', 'BRN 0231523', 'CHEMBL8145', "4',7-Dihydroxy-iso-flavone", 'd-(+)-alpha-methylbenzylamine', 'CHEBI:28197', '6287WC5J2L', 'Daidzein,(S)', 'Daidzein, 98%', 'AK-94232', 'Diadzein', '7-Hydroxy-3-(4-hydroxy-phenyl)-chromone', 'DSSTox_CID_2310', '7-Hydroxy-3-(4-hydroxy-phenyl)-chromen-4-one', 'DSSTox_RID_76543', 'DSSTox_GSID_22310', 'Q-200924', 'CAS-486-66-8', 'SMR000326832', 'Daidzein (6CI)', '4,7-Dihydroxyisoflavone', 'SR-01000075492', 'NPI 031E', '4&amp;prime;,7-Dihydroxyisoflavone', 'Daidzein (DAI)', 'PubChem9841', 'Spectrum_000255', 'Tocris-1417', 'BiomolKI_000060', 'Spectrum2_000053', 'Spectrum3_000191', 'Spectrum4_001964', 'Spectrum5_000857', 'Lopac-D-7802', 'BiomolKI2_000066', 'UPCMLD-DP052', "4',7-dihydroxy isoflavone", "4',7-dihydroxy-Isoflavone", "4',7-Dihydroxyisoflavanone", 'Lopac0_000412', 'Oprea1_182317', 'Oprea1_305345', 'SCHEMBL19814', 'BSPBio_001741', 'Daidzein, analytical standard', 'KBioGR_002432', 'KBioSS_000735', 'SPECTRUM200789', '5-18-04-00089 (Beilstein Handbook Reference)', 'MLS000859973', 'MLS001304056', 'MLS006011853', 'BIDD:ER0120', 'DivK1c_001023', 'SPBio_000205', 'Daidzein, &gt;=98%, synthetic', "Isoflavone, 4',7-dihydroxy-", 'BIMB2005', 'BMK1-F12', 'GTPL2828', 'MEGxm0_000123', 'NPI-031E', 'd-(+)-alpha-methylbenzyl amine', 'DTXSID9022310', 'UPCMLD-DP052:001', 'ACon0_001477', 'ACon1_000543', 'BDBM23420', 'HMS503M07', 'K-251b', 'KBio1_001023', 'KBio2_000735', 'KBio2_003303', 'KBio2_005871', 'KBio3_001241', 'KS-00000MGD', 'AOB5524', 'OR1035T', "4',7-Dihydroxyisoflavone, 97%", 'NINDS_001023', 'ZX-AFC000144', "7,4'-Dihydroxy-isoflavone (3a)", 'HMS1922P18', 'HMS2233H24', 'HMS3261C06', 'HMS3267J04', 'HMS3370C03', 'HMS3412O12', 'HMS3468L18', 'HMS3649B20', 'HMS3655A18', 'HMS3676O12', 'ALBB-015933', 'BCP28286', 'HY-N0019', 'ZX-AN014640', 'ZX-AT022124', 'Tox21_201444', 'Tox21_303650', 'Tox21_500412', 'BBL010490', 'BS0244', 'CCG-38357', 'LMPK12050038', 's1849', 'SBB066056', 'STK801626', 'ZINC18847034', "Daidzein (4',7-Dihydroxyisoflavone)", '7-hydroxy-3-(4-hydroxyphenyl)-4H-', 'AKOS002385052', "Isoflavone, 4',7-dihydroxy- (8CI)", 'AC-6035', 'ACN-034764', 'CS-2332', 'Daidzein, purum, &gt;=98.0% (TLC)', 'DB13182', 'KS-5260', 'LP00412', 'LS-2143', 'MCULE-8239511422', 'SDCCGMLS-0066422.P001', 'SDCCGSBI-0050397.P003', 'IDI1_001023', 'SMP1_000089', 'NCGC00015365-01', 'NCGC00015365-02', 'NCGC00015365-03', 'NCGC00015365-04', 'NCGC00015365-05', 'NCGC00015365-06', 'NCGC00015365-07', 'NCGC00015365-08', 'NCGC00015365-09', 'NCGC00015365-10', 'NCGC00015365-11', 'NCGC00015365-12', 'NCGC00015365-13', 'NCGC00015365-14', 'NCGC00015365-15', 'NCGC00015365-16', 'NCGC00015365-17', 'NCGC00015365-18', 'NCGC00025156-01', 'NCGC00025156-02', 'NCGC00025156-03', 'NCGC00025156-04', 'NCGC00025156-05', 'NCGC00025156-06', 'NCGC00025156-07', 'NCGC00025156-08', 'NCGC00025156-09', 'NCGC00025156-10', 'NCGC00168978-01', 'NCGC00168978-02', 'NCGC00257367-01', 'NCGC00258995-01', 'NCGC00261097-01', 'CC-17424', 'SC-46504', 'ST057515', 'AB0010476', 'BB 0259520', 'D2668', 'EU-0100412', 'FT-0603419', 'FT-0665448', 'FT-0665449', 'N1862', 'NS00010903', 'R1341', 'SW218107-2', '7-hydroxy-3-(4-hydroxyphenyl)-chromen-4-one', '7-HYDROXY-3-(4-HYDROXYPHENYL)CHROMONE', 'C10208', 'D 7802', 'S00273', 'US8552057, 7', 'AB00052712-08', 'AB00052712_10', '486D668', 'C-15745', 'Daidzein, primary pharmaceutical reference standard', 'Q408732', 'SR-01000075492-1', 'SR-01000075492-3', 'SR-01000075492-7', 'SR-01000075492-8', 'BRD-K42095107-001-02-3', 'BRD-K42095107-001-05-6', 'BRD-K42095107-001-08-0', 'SR-01000075492-12', '80E3ED75-D852-4D97-9BD6-B5ADE7EA25A1', '7-Hydroxy-3-(4-hydroxy-phenyl)-4H-1-benzo-pyran-4-one', 'UNII-71B37NR06D component ZQSIJRDFPHDXIC-UHFFFAOYSA-N', 'Daidzein, United States Pharmacopeia (USP) Reference Standard', 'daidzein;DAIDZEIN;7-hydroxy-3-(4-hydroxyphenyl)-4-benzopyrone', 'Daidzein, Pharmaceutical Secondary Standard; Certified Reference Material']</t>
  </si>
  <si>
    <t>Compound(5281708)</t>
  </si>
  <si>
    <t>C15H10O4</t>
  </si>
  <si>
    <t>4-(2,2-dimethylhydrazinyl)-4-oxobutanoic acid</t>
  </si>
  <si>
    <t>['Daminozide', '1596-84-5', 'DMASA', 'Aminozide', 'Kylar', 'ALAR', 'Succinic acid 2,2-dimethylhydrazide', 'N-(Dimethylamino)succinamic acid', 'SADH', 'B-Nine', 'Dimas', 'DYaK', 'Butanedioic acid, mono(2,2-dimethylhydrazide)', 'Alar 85', 'Dimethylaminosuccinamic acid', 'Caswell No. 808', 'B 995', '4-(2,2-dimethylhydrazinyl)-4-oxobutanoic acid', "Succinic N',N'-dimethylhydrazide", 'UNII-F6KF33M5UB', 'Succinic acid, mono(2,2-dimethylhydrazide)', 'CCRIS 191', 'Daminozide [ANSI:BSI:ISO]', 'NINE', 'Succinic 1,1-dimethyl hydrazide', 'HSDB 1769', 'NCI-C03827', 'Butanedioic acid mono(2,2-dimethylhydrazide)', 'Succinic acid N,N-dimethylhydrazide', 'EINECS 216-485-9', 'EPA Pesticide Chemical Code 035101', 'BRN 1863230', 'F6KF33M5UB', 'N-Dimethylamino-succinamidsaeure [German]', 'N-Dimethylamino-beta-carbamylpropionic acid', 'AI3-50727', 'CHEBI:4312', 'CHEMBL2164243', 'SUCCINIC ACID, 2,2-DIMETHYLHYDRAZIDE', 'Bernsteinsaeure-2,2-dimethylhydrazid [German]', 'C6H12N2O3', '4-(2,2-Dimethylhydrazino)-4-oxobutanoic acid', '2,2-Dimethylhydrazid kyseliny jantarove [Czech]', "3-(N',N'-dimethylhydrazinecarbonyl)propanoic acid", 'DSSTox_CID_370', 'Butanedioic acid, 1-(2,2-dimethylhydrazide)', 'DSSTox_RID_75546', 'DSSTox_GSID_20370', 'CAS-1596-84-5', '3-[N-(dimethylamino)carbamoyl]propanoic acid', 'diaminozide', 'Aminozid', 'Dazide', 'N-Dimethylamino-succinamidsaeure', 'Daminozide (B9)', 'Bernsteinsaeure-2,2-dimethylhydrazid', 'alar-85', '2,2-Dimethylhydrazid kyseliny jantarove', '4-(2,2-dimethylhydrazino)-4-oxo-butanoic acid', 'SCHEMBL50347', 'MLS006012018', 'GTPL7025', 'DTXSID9020370', 'HMS3426I11', 'STR04971', 'ZINC1532111', 'Succinic acid-2,2-dimethylhydrazide', 'Tox21_202199', 'Tox21_300919', 'BDBM50395076', 'CCG-55990', 'LS-908', 's4800', 'SBB057747', 'Succinic Acid, N,N-dimethylhydrazide', 'AKOS005208038', 'CS-1288', 'MCULE-6532969482', 'NCGC00091281-01', 'NCGC00091281-02', 'NCGC00091281-03', 'NCGC00091281-04', 'NCGC00091281-05', 'NCGC00091281-07', 'NCGC00254822-01', 'NCGC00259748-01', 'HY-13643', 'S346', 'SMR000777919', '1-(2,2-Dimethylhydrazide)butanedioic acid', 'Succinic acid mono(2,2-dimethylhydrazide)', 'Succinic acid, mono-2,2-dimethylhydrazine', 'AB0018582', 'N-dimethylamino-beta-carbamyl propionic acid', 'Succinic acid mono-(2,2-dimethylhydrazide)', '1-(2,2-Dimethylhydrazide)butanedioi c acid', 'D4015', 'FT-0629276', 'N-dimethylamino-beta-car bamyl propionic acid', 'NS00009842', 'ST50308567', 'Daminozide, PESTANAL(R), analytical standard', '6853-EP2272516A2', '6853-EP2274983A1', '6853-EP2275420A1', '6853-EP2275425A1', '6853-EP2277879A1', '6853-EP2289892A1', '6853-EP2292612A2', '6853-EP2292613A1', '6853-EP2292615A1', '6853-EP2295550A2', '6853-EP2298760A1', '6853-EP2301934A1', '6853-EP2305260A1', '6853-EP2305686A1', '6853-EP2308865A1', '6853-EP2308875A1', '6853-EP2308882A1', '6853-EP2316836A1', '6853-EP2371808A1', 'butanedioic acid, mono (2,2-dimethylhydrazide)', 'C10996', 'K-5005', '26949-EP2305658A1', '26949-EP2314583A1', '26949-EP2371823A1', 'DAMINOZIDE (DIMETHYLAMINOSUCCINAMIC ACID)', '4-(2,2-Dimethylhydrazino)-4-oxobutanoic acid #', 'Q424372', 'SR-01000644985-1', 'W-107985']</t>
  </si>
  <si>
    <t>Compound(15331)</t>
  </si>
  <si>
    <t>C6H12N2O3</t>
  </si>
  <si>
    <t>1-cyclopropyl-6-fluoro-7-[(1S,4S)-5-methyl-2,5-diazabicyclo[2.2.1]heptan-2-yl]-4-oxoquinoline-3-carboxylic acid</t>
  </si>
  <si>
    <t>['Danofloxacin', '112398-08-0', 'UNII-24CU1YS91D', '24CU1YS91D', 'C19H20FN3O3', 'NCGC00164548-01', 'Danofloxacine', 'Danofloxacino', 'Danofloxacinum', 'DSSTox_CID_26432', 'DSSTox_RID_81609', 'DSSTox_GSID_46432', 'CAS-112398-08-0', '1-cyclopropyl-6-fluoro-7-[(1S,4S)-5-methyl-2,5-diazabicyclo[2.2.1]heptan-2-yl]-4-oxoquinoline-3-carboxylic acid', 'Danofloxacin [INN:BAN]', 'Danofloxacine [INN-French]', 'Danofloxacinum [INN-Latin]', 'Danofloxacino [INN-Spanish]', 'Advocin (TN)', 'Danofloxacin (INN)', '5-methyl-2,5-diazabicyclo', 'MLS004774070', 'SCHEMBL149627', 'CHEMBL157548', 'DTXSID0046432', 'ZINC607798', '1-cyclopropyl-6-fluoro-7-[(1S,4S)-5-methyl-2,5-diazabicyclo[2.2.1]hept-2-yl]-4-oxo-1,4-dihydroquinoline-3-carboxylic acid;danofloxacin', 'Tox21_112177', 'A180 (TN)', 'MFCD00864910', 'AKOS016844311', 'Tox21_112177_1', 'API0002210', 'CS-W011833', 'DB11393', 'HY-W011117', 'NCGC00164548-02', '1-cyclopropyl-6-fluoro-7-((1S,4S)-', '3-Quinolinecarboxylic acid, 1-cyclopropyl-6-fluoro-1,4-dihydro-7-(5-methyl-2,5-diazabicyclo(2.2.1)hept-2-yl)-4-oxo-, (1S)-', 'CC-26248', 'SMR003500744', '[2.2.1]heptan-2-yl)-4-oxo-1,4-', 'AX8123394', 'D07774', 'AB01566811_01', 'Danofloxacin, VETRANAL(TM), analytical standard', 'C-20813', 'SR-01000872586', 'Q5220980', 'SR-01000872586-1', '1-cyclopropyl-6-fluoro-7-[(1s,4s)-3-methyl-3,6-diazabicyclo[2.2.1]heptan-6-yl]-4-oxo-1,4-dihydro-quinoline-3-carboxylic acid', '1-Cyclopropyl-6-fluoro-7-[(1S,4S)-5-methyl-2,5-diazabicyclo[2.2.1]hept-2-yl]-4-oxo-1,4-dihydro-3-quinolinecarboxylic acid', '3-Quinolinecarboxylic acid, 1-cyclopropyl-6-fluoro-1,4-dihydro-7-[(1S,4S)-5-methyl-2,5-diazabicyclo[2.2.1]hept-2-yl]-4-oxo-']</t>
  </si>
  <si>
    <t>Compound(71335)</t>
  </si>
  <si>
    <t>C19H20FN3O3</t>
  </si>
  <si>
    <t>dapsone</t>
  </si>
  <si>
    <t>4-(4-aminophenyl)sulfonylaniline</t>
  </si>
  <si>
    <t>['dapsone', '80-08-0', 'Diaphenylsulfone', "4,4'-Sulfonyldianiline", 'Dapson', '4-Aminophenyl sulfone', "4,4'-Diaminodiphenyl sulfone", "4,4'-Diaminodiphenylsulfone", 'Diaphenylsulfon', 'Sulfona', 'DADPS', 'Avlosulfone', 'Diphenasone', 'Sulfadione', 'Sulphadione', 'Disulone', 'Udolac', 'p-Aminophenyl sulfone', 'Bis(4-aminophenyl) sulfone', 'Avlosulfon', 'Croysulfone', 'Dapsonum', 'Dumitone', 'Novophone', 'Aczone', 'Diphone', 'Eporal', 'Diaphenylsulphon', 'Diaphenylsulphone', 'Metabolite C', 'Sulfonyldianiline', 'Sumicure S', 'Bis(p-aminophenyl) sulfone', 'Sulphonyldianiline', 'p,p-Sulphonylbisbenzamine', 'Sulfona-MAE', 'Avlosulphone', 'Croysulphone', 'Dubronax', "4,4'-Dapsone", 'Diaminodiphenyl sulfone', 'Tarimyl', 'p,p-Sulphonylbisbenzenamine', 'Sulfone ucb', "4,4'-Sulfonylbisaniline", "p,p'-Diaminodiphenyl sulfone", 'Dapsona', "Benzenamine, 4,4'-sulfonylbis-", 'Diaminodiphenylsulfone', '4-(4-aminophenyl)sulfonylaniline', 'Bis(4-aminophenyl)sulfone', 'Di(p-aminophenyl) sulfone', 'p,p-Sulphonyldianiline', "4,4'-Sulfonylbisbenzamine", 'Di(4-aminophenyl) sulfone', "p,p'-sulfonyldianiline", 'NSC-6091', "4,4'-Sulfonylbisbenzenamine", 'p,p-Sulfonylbisbenzamine', 'Diaminodifenilsulfona', 'DDS, pharmaceutical', 'Di(p-aminophenyl)sulphone', 'Sulfanona-mae', 'p,p-Sulfonylbisbenzenamine', 'Araldite HT 976', 'Bis(p-aminophenyl)sulphone', 'Di(4-aminophenyl)sulphone', 'Sulfon-mere', 'Bis(4-aminophenyl)sulphone', 'p,p-Diaminodiphenyl sulphone', "N,N'-Diphenyl sulfondiamide", "1,1'-Sulfonylbis(4-aminobenzene)", "4,4'-Sulphonyldianiline", 'Di(4-aminophenyl)sulfone', "4,4'-Diaminodiphenyl sulphone", 'Hardener HT 976', "4,4'-Sulphonylbisbenzamine", 'DDS (pharmaceutical)', "4,4'-Sulphonylbisbenzenamine", 'Dapsonum [INN-Latin]', 'Dapsona [INN-Spanish]', 'WR 448', '4,4-Diaminodifenylsulfon', "Diamino-4,4'-diphenyl sulfone", 'DDS', "Diamino-4,4'-diphenyl sulphone", 'NSC 6091D', 'DSS (VAN)', 'NCI-C01718', "1,1'-Sulfonylbis[4-aminobenzene]", "1,1'-Sulphonylbis(4-aminobenzene)", "Aniline, 4,4'-sulfonyldi-", "4,4'-Diaminodiphenyl suphone", 'HT 976', 'Diaminodifenilsulfona [Spanish]', "4,4'-diamino diphenyl sulphone", 'F 1358', '4,4-Diaminodifenylsulfon [Czech]', "4,4'-Sulfonyldianiline (Dapsone)", '1358F', '4-[(4-aminobenzene)sulfonyl]aniline', 'HY 976', "4,4'-Sulfonylbisbenzeneamine", 'CCRIS 192', 'HSDB 5073', "4,4'-Sulfonyldianilin", 'UNII-8W5C518302', 'NSC 6091', '4-[(4-aminophenyl)sulfonyl]aniline', "Sulfone, diphenyl, 4,4'-diamino-", 'EINECS 201-248-4', 'MFCD00007887', 'BRN 0788055', 'CHEMBL1043', '4-Aminophenyl sulfone, 97%', 'AI3-08087', 'MLS000069409', 'CHEBI:4325', 'DTXSID4020371', 'NSC6091', "4,4'-DDS", '4-[(4-Aminophenyl)sulfonyl]phenylamine', '4-(4-amino-benzenesulfonyl)-phenylamine', 'NCGC00016322-08', 'SMR000059064', 'Sulphon-mere', 'DSSTox_CID_371', '8W5C518302', 'Araldite HT', 'DSSTox_RID_75547', 'DSSTox_GSID_20371', 'ICI', 'DDS, diaphenylsulfone', 'Atrisone', 'Avsulfor', 'Dubronaz', 'Protogen', 'Dapsone [USAN:BAN]', 'CAS-80-08-0', "4,4'-diaminophenyl sulfone", 'Dapsone (USP)', '4-Aminophenylsulfone', 'Aczone (TN)', '4,4-Sulfonyldianiline', '4-Aminop henyl sulfone', 'Diaphenylsulfone (JAN)', 'SR-01000002976', 'D SS', '(4-sulfanilylphenyl)amine', 'AZT + Dapsone cominbation', 'Servidapson', 'diaphenylsulfone;', 'Diaphenyl sulfone', 'Dapsone [USAN:USP:INN:BAN]', 'Dapsone-d8', '4-(4-aminobenzenesulfonyl)aniline', 'Dapsone,(S)', 'Prestwick_152', 'ALBB-005917', 'IN-201', 'W R 448', 'BIS SULFONE', "4,4''-dapsone", 'Spectrum_000888', 'ACMC-209piw', "Aniline,4'-sulfonyldi-", 'Opera_ID_1950', 'Prestwick0_000035', 'Prestwick1_000035', 'Prestwick2_000035', 'Prestwick3_000035', 'Spectrum2_001133', 'Spectrum3_000375', 'Spectrum4_000310', 'Spectrum5_000825', 'WLN: ZR DSWR DZ', "4,4''-sulfonyldianiline", "4,4''-sulfonylbisaniline", "4'-Diaminodiphenyl sulfone", '4,4-Diaminodiphenylsulfone', 'EC 201-248-4', "4,4'-Sulfonyldiphenylamine", "Benzenamine,4'-sulfonylbis-", '4,4-Diaminodiphenyl Sulfone', 'Oprea1_143052', 'SCHEMBL21428', 'BSPBio_000129', 'BSPBio_002129', 'CBDivE_013582', "Dianiline, 4,4'-sulfonyl-", 'KBioGR_000900', 'KBioSS_001368', 'KSC647I3R', 'MLS001055349', 'MLS001076146', "4,4''-Sulfonylbisbenzenamine", "4,4'-Sulfonylbis-benzenamine", "4,4'-Sulfonylbis[benzamine]", 'BIDD:GT0770', 'DivK1c_000573', "p,p''-diaminodiphenyl sulfone", 'SPECTRUM1500222', 'SPBio_001025', 'SPBio_002050', "4,4''-diaminodiphenyl sulfone", "4,4'-diamino diphenyl sulfone", 'BPBio1_000143', 'ZINC6310', 'CTK5E7438', 'GTPL10934', 'HMS501M15', 'KBio1_000573', 'KBio2_001368', 'KBio2_003936', 'KBio2_006504', 'KBio3_001349', 'NSC-6091D', '4-(4-aminophenylsulfonyl)aniline', 'J04BA02', 'NINDS_000573', 'HMS1568G11', 'HMS1920C14', 'HMS2091K04', 'HMS2095G11', 'HMS2231G09', 'HMS3259C13', 'HMS3369B11', 'HMS3712G11', 'Pharmakon1600-01500222', 'ACT07431', 'EBD28910', 'HY-B0688', 'KS-00000JP1', "1,1''-sulfonylbis(4-aminobenzene)", 'Tox21_110371', 'Tox21_201347', 'Tox21_300558', '4-(4-aminophenylsulfonyl)benzenamine', 'ANW-37350', 'BBL002412', 'BDBM50029764', 'CCG-40260', 'CD0112', 'NSC756716', 's4612', 'SBB003168', 'STK387118', 'AKOS000119322', 'Tox21_110371_1', 'CS-2928', 'DB00250', 'HT 9664', 'KS-1450', 'LS-1790', 'LS10738', 'MCULE-7294380437', 'NC00488', 'NSC-756716', 'IDI1_000573', 'NCGC00016322-01', 'NCGC00016322-02', 'NCGC00016322-03', 'NCGC00016322-04', 'NCGC00016322-05', 'NCGC00016322-06', 'NCGC00016322-07', 'NCGC00016322-09', 'NCGC00016322-10', 'NCGC00016322-13', 'NCGC00023946-03', 'NCGC00023946-04', 'NCGC00023946-05', 'NCGC00023946-06', 'NCGC00254533-01', 'NCGC00258899-01', 'AC-10922', 'AK175100', 'SC-46793', '4-[(4-Aminophenyl)sulfonyl]phenylamine #', 'SBI-0051331.P003', 'DB-056406', 'AB00051962', 'D0089', 'Dapsone, VETRANAL(TM), analytical standard', 'FT-0624447', 'FT-0665473', 'NS00000683', 'R1186', 'ST50308134', '4 inverted exclamation marka-Sulfonyldianiline', 'C07666', 'D00592', 'AB00051962_19', 'A839828', 'Q422226', '4 inverted exclamation marka-Diaminodiphenyl sulfone', 'Q-200435', 'SR-01000002976-2', 'SR-01000002976-4', 'BRD-K62363391-001-05-8', 'BRD-K62363391-001-15-7', '4 4-Diamino Diphenyl Sulfone 99.5%min Cas:80-08-8', 'Dapsone, British Pharmacopoeia (BP) Reference Standard', 'Dapsone, European Pharmacopoeia (EP) Reference Standard', 'F0266-3067', 'Dapsone, United States Pharmacopeia (USP) Reference Standard', 'Dapsone, Pharmaceutical Secondary Standard; Certified Reference Material']</t>
  </si>
  <si>
    <t>Compound(2955)</t>
  </si>
  <si>
    <t>C12H12N2O2S</t>
  </si>
  <si>
    <t>dazomet sodium salt</t>
  </si>
  <si>
    <t>['Dazomet-sodium', 'DAZOMET SODIUM SALT', 'Dazomet, sodium salt', 'Dazomet-sodium [ISO]', 'UNII-18DF1JJB0F', '18DF1JJB0F', '53404-60-7', '1,5-Dimethyl-2H-tetrahydro-1,3,5-thiadiazine-2-thione ion(1-) sodium', '2H-1,3,5-Thiadiazine-2-thione, tetrahydro-3,5-dimethyl-, ion(1-), sodium', 'Tetrahydro-3,5-dimethyl-2H-1,3,5-thiadiazine-2-thione, ion(1-), sodium', 'Sodium tetrahydro-3,5-dimethyl-2H-1,3,5-thiadiazine-2-thione', 'Dazomet,sodium salt', 'DTXSID2058417', 'AKOS006276794', 'LS-150191', 'Q27251996']</t>
  </si>
  <si>
    <t>Compound(23690887)</t>
  </si>
  <si>
    <t>C5H9N2NaS2</t>
  </si>
  <si>
    <t>3,5-dimethyl-1,3,5-thiadiazinane-2-thione</t>
  </si>
  <si>
    <t>['DAZOMET', '533-74-4', 'Basamid', '3,5-Dimethyl-1,3,5-thiadiazinane-2-thione', 'Thiazone', 'Tiazon', 'DMTT', 'Mylone', 'Carbothialdin', 'Nefusan', 'Prezervit', 'Thiazon', 'Crag nemacide', 'Basamid-Puder', 'Mico-fume', 'Dimethylformocarbothialdine', 'Basamid G', 'Basamid P', 'Basamide', 'Crag 974', 'Mylon', 'Mylone 85', 'Fennosan B 100', 'Stauffer N 521', 'Basamid-Granular', 'Crag fungicide 974', 'Nalcon 243', 'Crag 85W', 'Thiadiazin (pesticide)', 'Troysan 142', 'Dazomet-Powder BASF', 'UCC 974', '3,5-Dimethyltetrahydro-1,3,5-thiadiazine-2-thione', 'Basamid - Purder', 'Mylon [Czech]', 'Salvo [Czech]', '2H-1,3,5-Thiadiazine-2-thione, tetrahydro-3,5-dimethyl-', 'NSC 4737', 'Caswell No. 840', 'Dazomet [BSI:ISO]', 'N 521', 'UNII-S7419CG4W5', '2-Thio-3,5-dimethyltetrahydro-1,3,5-thiadiazine', 'D 35', '3,5-Dimethyl-2-thionotetrahydro-1,3,5-thiadiazine', 'HSDB 1642', '3,5-Dimethyltetrahydro-1,3,5-2H-thiadiazine-2-thione', '3,5-Dimethyltetrahydro-2H-1,3,5-thiadiazine-2-thione', 'Tetrahydro-2H-3,5-dimethyl-1,3,5-thiadiazine-2-thione', 'Tetrahydro-3,5-dimethyl-2H-1,3,5-thiadiazine-2-thione', 'EINECS 208-576-7', '3,5-Dimethyl-1,2,3,5-tetrahydro-1,3,5-thiadiazinethione-2', 'EPA Pesticide Chemical Code 035602', 'BRN 0116039', '3,5-Dimethyl-1,3,5-(2H)-tetrahydrothiadiazine-2-thione', 'C5H10N2S2', 'CHEBI:75212', 'NSC4737', '3,5-Dimetil-peridro-1,3,5-tiadiazin-2-tione', '3,5-Dimethylperhydro-1,3,5-thiadiazin-2-thion', 'S7419CG4W5', '3,5-Dimetil-peridro-1,3,5-tiadiazin-2-tione [Italian]', '3,5-Dimethylperhydro-1,3,5-thiadiazin-2-thion [Czech, German]', 'DSSTox_CID_4902', 'DSSTox_RID_77573', 'DSSTox_GSID_24902', 'W-105744', 'CAS-533-74-4', 'Dazoberg', 'Micofume', '3,3,5-thiadiazine', '53404-60-7', 'Maybridge1_000020', 'MixCom1_000020', '3,3,5-tiadiazin-2-tione', 'Amerstat 233 (Salt/Mix)', 'dazomet;Dazomet, sodium salt', 'SCHEMBL21382', '3,3,5-thiadiazin-2-thion', '2-Thio-3,3,5-thiadiazine', '4-27-00-07436 (Beilstein Handbook Reference)', 'MLS000104430', '3,3,5-thiadiazine-2-thione', 'CHEMBL1407826', 'DTXSID7024902', 'CTK8E4304', '3,3,5-2H-thiadiazine-2-thione', 'HMS2277P17', '3,3,5-2H-thioadiazine-2-thione', 'CCG-2038', 'NSC-4737', 'Tox21_201236', 'Tox21_300990', 'FCH831564', 'LS-196', 'ZINC19300079', 'WLN: T6NYS ENTJ A1 BUS E1', 'AKOS006230484', 'MCULE-5198790230', 'VA10673', 'Tetrahydro-3,3,5-thiadiazine-2-thione', 'NCGC00080412-01', 'NCGC00080412-02', 'NCGC00080412-03', 'NCGC00080412-04', 'NCGC00254892-01', 'NCGC00258788-01', 'AC-12680', 'AS-15262', 'O664', 'SC-81210', 'SMR000054365', '3,3,5-2H-tetrahydrothiadiazine-2-thione', 'AX8009478', 'Dazomet, PESTANAL(R), analytical standard', 'DB-052323', 'Tetrahydro-2H-3,3,5-thiadiazine-2-thione', 'FT-0603127', 'MLS000104430-02', 'NS00006011', 'Z3743', 'C18457', '3,2,3,5-tetrahydro-1,3,5-thiadiazinethione-2', '3,5-Dimethyl-1,3,5-thiadiazinane-2-thione #', '533D744', 'A829551', 'C-04250', 'Q424814', 'SR-01000641863-1', '3,5-Dimethyl-tetrahydro-1,3,5-thiadiazine-2-thione', '2H-1,5-Thiadiazine-2-thione, tetrahydro-3,5-dimethyl-', '3,5-Dimethyl-1,3,5-2H-tetrahydrothiadiazine-2-thione', '3,5-Dimethyltetrahydro-1,3,5-2H-thioadiazine-2-thione', 'Tetrahydro-3,5-dimethyl-2H-1,3,5-thiodiazin-2-thione', '2H-1,3,5-Thiadiazine-2-thione, tetrahydro-3,5-dimethyl', '3,5-Dimethyl tetrahydro-2-H,1,3,5-thiadiazone-2-thione', 'tetra-hydro-3,5-dimethyl-2h-1,3,5-thiadiazine-2-thione']</t>
  </si>
  <si>
    <t>Compound(10788)</t>
  </si>
  <si>
    <t>C5H10N2S2</t>
  </si>
  <si>
    <t>d-carvone</t>
  </si>
  <si>
    <t>(5S)-2-methyl-5-prop-1-en-2-ylcyclohex-2-en-1-one</t>
  </si>
  <si>
    <t>['2244-16-8', 'd-Carvone', '(S)-(+)-Carvone', '(+)-Carvone', '(S)-Carvone', '(+)-(S)-Carvone', '(S)-2-Methyl-5-(prop-1-en-2-yl)cyclohex-2-enone', 'D(+)-Carvone', 'Carvone, (+)-', 'Carvol', '(S)-(+)-p-Mentha-6,8-dien-2-one', 'D-(+)-Carvone', 'd-Carvone (natural)', 'S-(+)-carvone', '(5S)-2-methyl-5-(prop-1-en-2-yl)cyclohex-2-en-1-one', '(+)-(4S)-carvone', 'UNII-4RWC1CMS3X', '2-Cyclohexen-1-one, 2-methyl-5-(1-methylethenyl)-, (5S)-', '(S)-2-Methyl-5-(1-methylvinyl)cyclohex-2-en-1-one', 'd-1-Methyl-4-isopropenyl-6-cyclohexen-2-one', '(S)-2-methyl-5-(1-methylethenyl)-2-Cyclohexen-1-one', 'CCRIS 2385', 'CHEBI:15399', 'p-Mentha-6,8-dien-2-one, (S)-(+)-', 'EINECS 218-827-2', '2-Cyclohexen-1-one, 2-methyl-5-(1-methylethenyl)-, (S)-', 'd-p-Mentha-6,8,(9)-dien-2-one', '4RWC1CMS3X', '(S)-d-p-Mentha-6,8,(9)-dien-2-one', 'AI3-39004', '(S)-5-Isopropenyl-2-methyl-2-cyclohexenone', 'd-p-Mentha-6,8(9)-dien-2-one', 'MFCD00062997', '(5S)-2-methyl-5-(1-methylethenyl)-2-cyclohexen-1-one', 'DSSTox_CID_256', '(4R)-(-)-Carvone', '(S)-5-isopropenyl-2-methylcyclohex-2-en-1-one', 'DSSTox_RID_75467', 'DSSTox_GSID_20256', 'Q-200930', '2-Methyl-4-(1 -methylethenyl)-2-cyclohexene-1 -one', '(5S)-2-methyl-5-(1-methylethenyl)cyclohex-2-en-1-one', '(5S)-2-methyl-5-(1-methylvinyl)cyclohex-2-en-1-one', 'D(+)-Carvone, 96%, natural', 'D(+)-Carvone, 98%, synthetic', '(R)-Carvone', 'L(-)-Carvone', 'CAS-2244-16-8', 'dextro-carvone', 's-carvone', 'd-carvon', '(+)carvone', 'AK116586', '(4S)-carvone', '5-isopropenyl-2-methylcyclohex-2-en-1-one', 'S(+)-Carvone', 'carvone, (S)-isomer', 'dill weed oil terpeneless', 'Epitope ID:141510', 'd-CARVONE (SYNTHETIC)', 'MLS002415723', 'SCHEMBL184022', 'D-Carvone, &gt;=96%, FG', 'CHEMBL501949', 'DTXSID8020256', '(S)-(+)-Carvone, 96%', '(+)-Carvone, analytical standard', 'HMS3039E10', 'LS-73', 'ZINC968102', 'KS-00000LN1', 'ZX-AT010518', 'Tox21_201441', 'Tox21_302743', 's6049', 'SBB012349', 'AKOS016843871', 'ACM2244168', 'AM84798', 'CS-W014295', 'DS-4662', 'FCH1120205', 'HY-W013579', '(4S)-p-mentha-1(6),8-dien-2-one', 'NCGC00091882-01', 'NCGC00091882-02', 'NCGC00091882-03', 'NCGC00091882-04', 'NCGC00256315-01', 'NCGC00258992-01', '(S)-(+)-p-mentha-6,8-dien- 2-one', 'SMR001370898', 'ST069328', 'V0240', 'C11383', '(S)-(+)-5-Isopropenyl-2-methyl-2-cyclohexenone', 'A816212', '5-Isopropenyl-2-methyl-2-cyclohexen-1-one, (S)-', 'Q27889969', '(5S)-2-methyl-5-(1-methylethenyl)-1-cyclohex-2-enone', '(5S)-2-methyl-5-prop-1-en-2-yl-cyclohex-2-en-1-one', '2-Methyl-5-(1-methylethenyl)-(R)-2-Cyclohexen-1-one', '(+)-Carvone, certified reference material, TraceCERT(R)', 'UNII-75GK9XIA8I component ULDHMXUKGWMISQ-VIFPVBQESA-N', 'D-CARVONE;(S)-2-methyl-5-(1-methylvinyl)cyclohex-2-en-1-one', '0WU']</t>
  </si>
  <si>
    <t>Compound(16724)</t>
  </si>
  <si>
    <t>dimethoxy-(2-methylsulfanylethoxy)-sulfanylidene-lambda5-phosphane;1-dimethoxyphosphorylsulfanyl-2-methylsulfanylethane</t>
  </si>
  <si>
    <t>['DEMEPHION', '8065-62-1', 'Demephion [BSI]', 'Phosphorothioic acid, O,O-dimethyl O-(2-(methylthio)ethyl) ester, mixt. with O,O-dimethyl S-(2-(methylthio)ethyl) phosphorothioate', 'O,O-dimethyl O-2-(methylthio)ethyl phosphorothioate compound with O,O-dimethyl S-2-(methylthio)ethyl phosphorothioate (1:1)']</t>
  </si>
  <si>
    <t>Compound(115122)</t>
  </si>
  <si>
    <t>C10H26O6P2S4</t>
  </si>
  <si>
    <t>1-dimethoxyphosphorylsulfanyl-2-ethylsulfanylethane</t>
  </si>
  <si>
    <t>['DEMETON-S-METHYL', 'Metaisoseptox', 'Metaisosystox', 'Thiometon oxon', 'Methyl isosystox', 'Metasystox J', 'Metasystox 55', '919-86-8', 'Demetox', 'Duratox', 'Mifatox', 'Methyl demeton thioester', 'Demeton-S-metile', 'Metasystox (I)', 'Methyl thionodemeton', 'Bayer 25/154', 'O,O-Dimethyl S-ethylmercaptoethyl thiophosphate', 'UNII-HU8BO5S9WK', 'Phosphorothioic acid, S-[2-(ethylthio)ethyl] O,O-dimethyl ester', 'Bayer 18 436', 'Demeton-S-metile [Italian]', 'BAY 18436', 'Methylmercaptofostiol (USSR)', 'CCRIS 5215', 'Dimethyl S-(2-eththioethyl)thiophosphate', 'O,O-Dimethyl S-(2-(ethylthio)ethyl)phosphorothioate', 'HSDB 6410', 'Methyl-mercaptofos teolovy (USSR)', 'EINECS 213-052-6', 'HU8BO5S9WK', 'O,O-Dimethyl S-(2-eththioethyl)phosphorothioate', 'S-(2-(Ethylthio)ethyl) dimethyl phosphorothiolate', 'BRN 1707311', 'DEP 836 349', 'S-(2-(Ethylthio)ethyl) O,O-dimethyl thiophosphate', 'S-(2-(Ethylthio)ethyl) O,O-dimethyl phosphorothioate', '2-Ethylthioethyl dimethyl phosphorothioate', 'USP 2 571 989', 'AI3-24963', 'Demeton-S-methyl [BSI:ISO]', 'CHEBI:38624', 'O,O-Dimethyl 2-ethylmercaptoethyl thiophosphate, thiolo isomer', 'Phosphorothioic acid, O,O-dimethyl S-(2-(ethylthio)ethyl) ester', 'O,O-Dimetil-S-(2-etiltio-etil)-monotiofosfato', 'O,O-Dimethyl-S-(3-thia-pentyl)-monothiophosphat', 'Ethanethiol, 2-(ethylthio)-, S-ester with O,O-dimethyl phosphorothioate', 'O,O-Dimethyl-S-(2-ethylthio-ethyl)-monothiofosfaat', 'O,O-Dimethyl-S-(2-aethylthio-aethyl)-monothiophosphat', 'O,O-Dimethyl-S-(3-thia-pentyl)-monothiophosphat [German]', 'O,O-Dimetil-S-(2-etiltio-etil)-monotiofosfato [Italian]', 'Thiophosphate de O,O-dimethyle et de S-2-ethylthio-ethyle', 'O,O-Dimethyl-S-(2-ethylthio-ethyl)-monothiofosfaat [Dutch]', 'O,O-Dimethyl-S-(2-aethylthio-aethyl)-monothiophosphat [German]', 'Thiophosphate de O,O-dimethyle et de S-2-ethylthio-ethyle [French]', '1-dimethoxyphosphorylsulfanyl-2-ethylsulfanylethane', 'S-[2-(Ethylsulfanyl)ethyl] o,o-dimethyl thiophosphate', 'S-[2-(Ethylthio)ethyl] O,O-dimethyl phosphorothioate', 'S-[2-(ethylsulfanyl)ethyl] O,O-dimethyl phosphorothioate', 'Phosphorothioic acid, S-(2-(ethylthio)ethyl) O,O-dimethyl ester', 'Metasystox I', 'Methylthionodemeton', 'S-[2-(Ethylthio)ethyl] O,O-dimethyl thiophosphate', 'Persyst', 'meta-Isosystox', 'Demeton-S-methyl [ISO:BSI]', 'Demetone-S-methyl', 'Power DSM', 'Methylmercaptofostiol', 'Demeton-S-methyl sulfide', 'Methyl-mercaptofos teolery', 'SCHEMBL73358', 'CHEMBL1898805', 'DTXSID5037521', 'ZINC2036772', 'Demeton-S-methyl, analytical standard', 'AKOS015902495', 'NCGC00163787-01', 'LS-108922', 'NS00000119', 'Demeton-S-methyl 1000 microg/mL in Acetone', '5866-EP2269978A2', '5866-EP2269985A2', '5866-EP2269991A2', '5866-EP2280014A2', '5866-EP2284150A2', '5866-EP2284151A2', '5866-EP2284152A2', '5866-EP2284153A2', '5866-EP2284155A2', '5866-EP2284156A2', '5866-EP2284164A2', '5866-EP2287140A2', '5866-EP2287148A2', '5866-EP2287150A2', '5866-EP2287168A2', '5866-EP2292590A2', '5866-EP2295419A2', '5866-EP2301534A1', '5866-EP2301912A2', '5866-EP2301916A2', '5866-EP2305637A2', '5866-EP2308831A1', '5866-EP2311451A1', '5866-EP2311823A1', '5866-EP2316450A1', 'C18655', 'Demeton-S-methyl 100 microg/mL in Acetonitrile', '135755-EP2275422A1', '135755-EP2292608A1', 'O,O-dimethyl S-[2-(ethylthio)ethyl]thiophosphate', 'O,O-Dimethyl S-2-(ethylthio)ethyl phosphorothioate', 'Q1865134', 'dimethyl {[2-(ethylsulfanyl)ethyl]sulfanyl}phosphonate', 'S-[2-(Ethylthio)ethyl] O,O-dimethyl phophorothioate', 'S-[2-(Ethylsulfanyl)ethyl] O,O-dimethyl thiophosphate #', 'UNII-B9PMD9I0FE component WEBQKRLKWNIYKK-UHFFFAOYSA-N', 'Demeton-S-methyl. Short expiry date due to chemical nature of component(s)', 'Demeton-S-methyl solution, 100 mug/mL in acetonitrile, PESTANAL(R), analytical standard', 'methyl mercaptophos;Oxydemeton-methyl;demeton-S-methyl;Demeton-s-methyl;Demeton-S-methyl']</t>
  </si>
  <si>
    <t>Compound(13526)</t>
  </si>
  <si>
    <t>C6H15O3PS2</t>
  </si>
  <si>
    <t>demeton-S-methyl sulfone</t>
  </si>
  <si>
    <t>1-dimethoxyphosphorylsulfanyl-2-ethylsulfonylethane</t>
  </si>
  <si>
    <t>['Demeton-S-methyl sulfone', 'Demeton-S-methylsulphon', 'Demeton-S-methylsulfone', '17040-19-6', 'Isometasystox sulfone', 'Dioxydemeton-S-methyl', 'Demeton-S-methylsulfon', 'Isomethylsystox sulfone', 'Demeton-S-methyl-sulfon', 'Demeton-S-methyl-sulphone', 'Bayer 20315', 'Sulfone, demeton-S-methyl-', 'Metaisosystox-solfon 20 315', 'Metasystox i sulfone', 'UNII-RSO143122K', 'Demeton-S-methylsulphon [ISO]', 'Demeton-S-methylsulphone [BSI]', 'Demeton-S-methylsulfon [German]', 'O,O-Dimethyl S-ethylsulphonylethyl phosphorothiolate', 'Dimethyl S-(2-ethsulfonylethyl)thiophosphate', 'E 158', 'EINECS 241-109-5', 'Demeton-S-methylsulfone [ISO-French]', 'M 3/158', 'BRN 1712536', 'O,O-Dimethyl S-(2-ethsulfonylethyl)phosphorothioate', 'O,O-Dimethyl S-ethyl-2-sulfonylethyl phosphorothiolate', 'CHEBI:82118', 'Phosphorothioic acid, O,O-dimethyl S-(2-(ethylsulfonyl)ethyl) ester', 'RSO143122K', 'S-2-Ethylsulphonylethyl O,O-dimethyl phosphorothioate', 'O,O-Dimethyl-S-(2-aethylsulfonyl-aethyl)-thiolphosphat', 'O,O-Dimethyl-S-(2-aethylsulfonyl-aethyl)-thiolphosphat [German]', 'Phosphorothioic acid, S-[2-(ethylsulfonyl)ethyl] O,O-dimethyl ester', 'Metasystox R sulfone', 'Oxydemetonmethyl sulfone', 'Demeton-S-methylsulphone', '1-dimethoxyphosphorylsulfanyl-2-ethylsulfonylethane', 'Demeton-S-methyl sulfon', 'Demeton-S-methyl sulphon', 'Demeton-S-methyl-sulfone', 'DSSTox_CID_17582', 'DSSTox_RID_79344', 'DSSTox_GSID_37582', 'MLS002695972', 'SCHEMBL120152', 'O,O-Dimethyl S-2-(ethylsulfonyl)ethyl phosphorothioate', 'CHEMBL1871365', 'DTXSID4037582', 'S-[2-(Ethylsulfonyl)ethyl] O,O-dimethyl phosphorothioate', 'HMS3089A20', 'ZINC2018209', 'Tox21_301575', 'S-(2-(Ethylsulfonyl)ethyl) O,O-dimethyl phosphorothioate (8CI)(9CI)', 'AKOS015903718', 'NCGC00160638-01', 'NCGC00255471-01', 'SMR001262250', 'CAS-17040-19-6', 'LS-108828', 'NS00015269', 'C18979', 'demeton-S-methylsulphon;Demeton-S-methyl-sulfone', 'J-010619', 'O,O-Dimethyl S-[2-(ethylsulfonyl)ethyl] thiophosphate', 'Q18411289', 'dimethyl {[2-(ethanesulfonyl)ethyl]sulfanyl}phosphonate', 'S-[2-(Ethylsulfonyl)ethyl] O,O-dimethyl thiophosphate #', 'Demeton-S-methyl-sulfon, PESTANAL(R), analytical standard', 'O,O-Dimethyl S-[2-(ethylsulfonyl)ethyl] monothiophosphate', 'S-(2-(Ethylsulfonyl)ethyl) O,O-dimethyl phosphorothioate (8CI)']</t>
  </si>
  <si>
    <t>Compound(28213)</t>
  </si>
  <si>
    <t>C6H15O5PS2</t>
  </si>
  <si>
    <t>diethoxy-(2-ethylsulfanylethoxy)-sulfanylidene-lambda5-phosphane</t>
  </si>
  <si>
    <t>['Demeton-O', 'Demetonthione', 'Thiolmecaptophos', 'Di-septon', '298-03-3', 'Demeton thiono', 'Demeton-O [BSI:ISO]', 'NSC 8928', 'UNII-8H0T22KH9W', 'O,O-Diethyl O-2-(ethylthio)ethyl phosphorothioate', 'EINECS 206-053-8', 'Phosphorothioic acid, O,O-diethyl O-[2-(ethylthio)ethyl] ester', 'BRN 1709115', '8H0T22KH9W', 'Diethyl 2-(ethylthio)ethyl phosphorothionate', 'CHEBI:82116', 'Ethanol, 2-(ethylthio)-, O-ester with O,O-diethyl phosphorothioate', 'Diaethylthiophosphorsaeureester des aethylthioglykol', 'O,O-Diethyl O-(2-(ethylthio)ethyl) phosphorothionate', 'Diaethylthiophosphorsaeureester des aethylthioglykol [German]', 'O,O-Diethyl O-[2-(ethylthio)ethyl] phosphorothionate', 'Phosphorothioic acid, O,O-diethyl O-(2-(ethylthio)ethyl) ester', 'Phosphorothioic acid, O,O-diethyl ester O-(2-(ethylthio)ethyl) ester', 'Diethyl (2-(eththio)ethyl) thionophosphate', 'Diethyl [2-(eththio)ethyl] thionophosphate', 'Diethyl (2-(ethylthio)ethyl) phosphorothionate', 'Diethyl [2-(ethylthio)ethyl] phosphorothionate', 'Vnuran', 'Ethylthiodemeton', 'Demethon-O', 'Phosphorothioic acid, O,O-diethyl ester O-[2-(ethylthio)ethyl] ester', 'Diethoxy-(2-ethylsulfanylethoxy)-sulfanylidene-lambda5-phosphane', '4-01-00-02446 (Beilstein Handbook Reference)', 'SCHEMBL119049', 'CHEMBL1520836', 'DTXSID7041839', 'NSC8928', 'NSC-8928', 'WLN: 2S2OPS &amp; O2 &amp; O2', 'Demeton-O 10 microg/mL in Cyclohexane', 'Demeton-O;Ethylthiometon;Demeton;demeton', 'NCGC00166313-01', 'LS-108626', 'NS00003839', 'Demeton-O, PESTANAL(R), analytical standard', 'C18977', 'O,O-Diethyl-2-ethylthio ethyl phosphorothioate', 'O,O-diethyl O-[2-(ethylthio)ethyl]-thiophosphate', 'Ethanol, O-ester with O,O-diethyl phosphorothioate', 'J-017648', 'O,O-Diethyl O-[2-(eththio)ethyl] phosphorothioate', 'O,O-Diethyl O-(2-(ethylthio)ethyl) phosphorothioate', 'Q15632896', 'UNII-F74QXK6K3Q component DGLIBALSRMUQDD-UHFFFAOYSA-N', 'diethoxy-(2-ethylsulfanylethoxy)-sulfanylidene-?^{5}-phosphane', 'Phosphorothioic acid,O-diethyl O-[2-(ethylthio)ethyl] ester']</t>
  </si>
  <si>
    <t>Compound(9273)</t>
  </si>
  <si>
    <t>C8H19O3PS2</t>
  </si>
  <si>
    <t>1-diethoxyphosphorylsulfanyl-2-ethylsulfanylethane</t>
  </si>
  <si>
    <t>['Demeton-S', 'demeton s', '126-75-0', 'Demetonthiol', 'Thioldemeton', 'Isodemeton', 'Izosystox', 'ISOSYSTOX', 'Thiol systox', 'PO-Systox', 'Izosystox [Czech]', 'Demeton-S [ISO]', 'IS [Pesticide]', 'UNII-3UQ7N6O63K', 'Diethyl S-(2-ethioethyl)thiophosphate', 'Mercaptofos teolovy [Russian]', 'HSDB 6201', 'EINECS 204-801-8', 'O,O-Diethyl S-(2-eththioethyl)phosphorothioate', 'BRN 1709166', 'O,O-Diethyl S-ethyl-2-ethylmercaptophosphorothiolate', 'O,O-Dietyl-S-2-etylmerkaptoetyltiofosfat', 'O,O-Diethyl S-(2-(ethylthio)ethyl) phosphorothiolate', 'AI3-24045', '3UQ7N6O63K', 'CHEBI:82117', 'O,O-Dietil-S-(2-etiltio-etil)-monotiofosfato', 'Phosphorothioic acid, O,O-diethyl S-(2-(ethylthio)ethyl) ester', 'IS (pesticide)', 'O,O-Diethyl S-2-(ethylthio)ethyl phosphorothioate', 'O,O-Dietyl-S-2-etylmerkaptoetyltiofosfat [Czech]', 'O,O-Diethyl-S-(2-ethylthio-ethyl)-monothiofosfaat', 'O,O-Diaethyl-S(2-aethylthio-aethyl)-monothiophosphat', 'IS', 'O,O-Dietil-S-(2-etiltio-etil)-monotiofosfato [Italian]', 'O,O-Diethyl-S-(2-ethylthio-ethyl)-monothiofosfaat [Dutch]', 'Thiophosphate de O,O-diethyle et de S-(2-ethylthio-ethyle)', 'O,O-Diaethyl-S(2-aethylthio-aethyl)-monothiophosphat [German]', 'Phosphorothioic acid, O,O-diethyl S-[2-(ethylthio)ethyl] ester', 'DSSTox_CID_2306', 'Ethanethiol, 2-(ethylthio)-, S-ester with O,O-diethyl phosphorothioate', 'Thiophosphate de O,O-diethyle et de S-(2-ethylthio-ethyle) [French]', '1-diethoxyphosphorylsulfanyl-2-ethylsulfanylethane', 'O,O-Diethyl S-[2-(ethylthio)ethyl] thiophosphate', 'Systox-thiol', 'Mercaptofos teolovy', 'Disulfoton oxon', 'Demeton thiolo', 'C8H19O3PS2', 'Ethylthionodemeton', 'Disulfoton O-analog', 'DSSTox_RID_76540', 'DSSTox_GSID_22306', 'DSSTox_GSID_37535', 'SCHEMBL117918', 'CHEMBL1900921', 'DTXSID9037535', 'CTK8E8201', 'BCP07259', 'ZINC2015522', 'demeton-S;Demeton-s;Demeton;demeton', 'Tox21_200239', 'Tox21_303989', 'Demeton-S 10 microg/mL in Isooctane', 'AKOS015898642', 'NCGC00163826-01', 'NCGC00257793-01', 'NCGC00357287-01', 'CAS-126-75-0', 'CAS-8065-48-3', 'LS-108627', 'NS00009445', 'Y0480', '5845-EP2272827A1', '5845-EP2275413A1', '5845-EP2295406A1', '5845-EP2308833A2', '5845-EP2308838A1', '5845-EP2314576A1', '5845-EP2371814A1', 'O,O-diethyl S-[2-(ethylthio)ethyl]-thiophosphate', 'J-005432', 'Q2788153', 'O,O-Diethyl S-[2-(Ethylthio)ethyl] phosphorothioate', 'UNII-F74QXK6K3Q component GRPRVIYRYGLIJU-UHFFFAOYSA-N']</t>
  </si>
  <si>
    <t>Compound(24723)</t>
  </si>
  <si>
    <t>pine oil</t>
  </si>
  <si>
    <t>1-(3-methylbut-1-en-2-yl)cyclopentane-1-carbaldehyde</t>
  </si>
  <si>
    <t>['2228-95-7', 'Pine oil', 'CTK4E9121', 'DTXSID00725064', '1-(3-methylbut-1-en-2-yl)cyclopentane-1-carbaldehyde', 'Cyclopentanecarboxaldehyde,1-(1,1-dimethyl-2-propen-1-yl)-']</t>
  </si>
  <si>
    <t>Compound(57375910)</t>
  </si>
  <si>
    <t>C11H18O</t>
  </si>
  <si>
    <t>7-chloro-5-phenyl-1,3-dihydro-1,4-benzodiazepin-2-one</t>
  </si>
  <si>
    <t>['Nordiazepam', 'Nordazepam', 'desmethyldiazepam', 'Dealkylprazepam', 'Norprazepam', 'N-Demethyldiazepam', '1-Demethyldiazepam', 'N-Desmethyldiazepam', 'N-Deoxydemoxepam', '1088-11-5', 'Chlordesmethyldiazepam', 'N1-Desmethyldiazepam', 'Calmday', 'Demethyldiazepam', 'Desalkylprazepam', 'Madar', 'Stilny', 'Nordazepamum', 'Vegesan', 'DMDZ', 'N-Deoxydemoxapam', 'Demadar', 'Lomax', 'Sopax', 'Ro 5-2180', 'N-Descyclopropylmethylprazepam', '7-Chloro-1,3-dihydro-5-phenyl-2H-1,4-benzodiazepin-2-one', 'Nordazepam [INN]', '7-chloro-5-phenyl-1,3-dihydro-1,4-benzodiazepin-2-one', 'A 101', 'A101', '7-Chloro-5-phenyl-1,3-dihydro-2H-1,4-benzodiazepin-2-one', 'Nordazepamum [INN-Latin]', 'NSC 46078', 'CCRIS 9181', 'UNII-67220MCM01', 'EINECS 214-123-4', '2H-1,4-Benzodiazepin-2-one, 7-chloro-1,3-dihydro-5-phenyl-', 'CHEMBL523', 'BRN 0751823', 'DEA No. 2838', 'NDZ', '2H-1,4-Benzodiazepin-2-one, 1,3-dihydro-7-chloro-5-phenyl-', 'CHEBI:111762', 'Nordazepam (INN)', 'NSC631619', '67220MCM01', 'NDD', '7-Chlor-2,3-dihydro-5-phenyl-1H-1,4-benzodiazepin-2-on', 'NCGC00168263-01', 'Praxadium', 'Nordaz', '7-Chloro-1,3-dihydro-5-phenyl-(2H)-1,4-benzodiazepin-2-one', '7-Chloro-5-phenyl-1,3-dihydro-benzo[e][1,4]diazepin-2-one', 'Deoxydemoxepam', 'Nordazepam CIV', 'N-Desalkylhalazepam', 'N-Destrifluoroethylhalazepam', 'Desoxydemoxepam', 'N-Descyclopropylmethyl-Prazepam', 'Diazepam-Nor', 'Calmday (TN)', 'Ro 52180', 'Diazepam EP Impurity A', 'Nordazepam (Nordiazepam)', 'ChemDiv1_028362', 'MixCom6_000554', 'DSSTox_CID_28926', 'DSSTox_RID_83192', 'DSSTox_GSID_49000', 'Oprea1_578139', 'SCHEMBL78453', '5-24-04-00291 (Beilstein Handbook Reference)', 'MLS001173623', 'DivK1c_000979', 'DTXSID2049000', 'Nordazepam;nordazepam;Nordiazepam', 'CTK6H1721', 'HMS503C19', 'HMS667J04', 'KBio1_000979', 'NINDS_000979', 'HMS2272B05', 'NSC46078', 'ZINC1249069', 'Tox21_113493', 'BDBM50027835', 'NSC-46078', 'STK560158', 'Desmethyldiazepam, analytical standard', 'WLN: T67 GMV JN IHJ CG KR', 'AKOS000636746', 'AKOS005486646', 'DB14028', 'MCULE-2705262252', 'NSC-631619', 'IDI1_000979', 'Desmethyldiazepam|||Oxazepam intermediate', 'CC-33069', 'LS-34147', 'SMR000238153', 'CAS-1088-11-5', '2H-1, 1,3-dihydro-7-chloro-5-phenyl-', '2H-1, 7-chloro-1,3-dihydro-5-phenyl-', 'DB-040846', '5-phenyl-7-chloro-1,4-benzodiazepin-2-one', 'NS00007814', '7-chloro-5-phenyl-3H-1,4-benzodiazepin-2-ol', 'C07486', 'D08283', '7-Chloro-5-phenyl-3H-1,4-benzodiazepin-2-one', 'Nordazepam (Nordiazepam) 0.1 mg/ml in Methanol', 'Nordazepam (Nordiazepam) 1.0 mg/ml in Methanol', '088N115', '3h-1,4-benzodiazepin-2-ol, 7-chloro-5-phenyl-', 'A801929', 'C-17036', 'Q3180288', '7-chloranyl-5-phenyl-1,3-dihydro-1,4-benzodiazepin-2-one', '7-chloro-5-phenyl-1,3-dihydro-[1,4]benzodiazepin-2-one', '7-chloro-5-phenyl-1H-benzo[e][1,4]diazepin-2(3H)-one', '(z)-7-chloro-5-phenyl-1h-benzo[e][1,4]diazepin-2(3h)-one', '7-chloro-1,3 -dihydro-5-phenyl-2H-1,4-benzodiazepine-2-one', '7-chloro-2,3-dihydro-5-phenyl-1H-1,4-benzodiazepin-2-one', '7-Chloro-5-phenyl-1,3-dihydro-2H-1,4-benzodiazepin-2-one #', '7-Chloro-5-phenyl-1,3-dihydro-benzo[e][1,4]diazepin-2-one( am)', '7-Chloro-5-phenyl-2-oxo-2,3-dihydro-1H-benzo[f]-1,4-diazepine', 'Desmethyldiazepam solution, drug standard, 1.0 mg/mL in methanol', '7-Chloro-5-phenyl-1,3-dihydro-2H-1,4-benzodiazepin-2-one (Nordazepam)', '7-Chloro-5-phenyl-1,3-dihydro-benzo[e][1,4]diazepin-2-one(nordiazepam)', '7-Chloro-5-phenyl-1,3-dihydro-benzo[e][1,4]diazepin-2-one(desmethyldiazepam)', 'Nordiazepam solution, 1 mg/mL in methanol, ampule of 1 mL, certified reference material', 'Nordazepam; DesMethyl Amino Diazepam; 7-chloro-5-phenyl-1,3-dihydro-2H-1,4-benzodiazepin-2-one']</t>
  </si>
  <si>
    <t>Compound(2997)</t>
  </si>
  <si>
    <t>C15H11ClN2O</t>
  </si>
  <si>
    <t>6-chloro-2-N-propan-2-yl-1,3,5-triazine-2,4-diamine</t>
  </si>
  <si>
    <t>['Deethylatrazine', 'Atrazine-desethyl', '6190-65-4', 'DESETHYL ATRAZINE', 'Deethylatrazin', 'Desethylatrazine', '4-Deethylatrazine', 'Des-ethyl atrazine', 'Atrazine desethyl', '6-Chloro-N2-isopropyl-1,3,5-triazine-2,4-diamine', '2-Chloro-4-amino-6-(isopropylamino)-s-triazine', 'UNII-07PV14BK6X', 'CIAT', 'CCRIS 3555', 'Desisopropyl propazine', 'HSDB 2672', '2-Chloro-4-isopropylamino-6-amino-s-triazine', '6-Chloro-N-(1-methylethyl)-1,3,5-triazine-2,4-diamine', '1,3,5-Triazine-2,4-diamine, 6-chloro-N-(1-methylethyl)-', 's-Triazine, 2-amino-4-chloro-6-(isopropylamino)-', '07PV14BK6X', 'CHEBI:28212', 'G 30033', '2-Amino-4-chloro-6-(isopropylamino)-1,3,5-triazine', '6-chloro-2-N-propan-2-yl-1,3,5-triazine-2,4-diamine', '2-Amino-4-isopropylamino-6-chloro-S-triazine', '2-chloro-4-amino-6-isopropylamino-s-triazine', '2-amino-4-chloro-6-(isopropylamino)-s-triazine', '2-AMINO-4-ISOPROPYLAMINO-6-CHLOROTRIAZINE', '6-chloro-N-isopropyl-1,3,5-triazine-2,4-diamine', '6-chloro-N-(propan-2-yl)-1,3,5-triazine-2,4-diamine', 'Deethyatrazine', 'Desethyl-atrazine', '6-Chloro-N-isopropyl-1,3,5-triazine-2,4-diamine (Atrazine-desethyl)', 'Atrazine- desethyl', 'Atrazine M (des-ethyl)', 'Atrazine-deethyl (DEA)', 'Atrazine-Desethyl_309_ p', 'DSSTox_CID_17494', 'DSSTox_RID_79322', 'DSSTox_GSID_37494', 'SCHEMBL1425222', 'CHEMBL3184909', 'DTXSID5037494', 'CTK6B0179', 'ZINC896284', 'Tox21_301071', 'SBB017586', 'Atrazine-desethyl, analytical standard', 'AKOS004119348', 'NCGC00163770-01', 'NCGC00163770-02', 'NCGC00163770-03', 'NCGC00163770-04', 'NCGC00163770-05', 'NCGC00254972-01', 'CAS-6190-65-4', 'DB-082361', 'LS-155233', 'FT-0661868', 'Atrazine-desethyl 10 microg/mL in Acetonitrile', 'Atrazine-desethyl 100 microg/mL in Cyclohexane', 'C06559', 'Atrazine-desethyl 100 microg/mL in Acetonitrile', '2-Amino-4-chloro-6-isopropylamino-1,3,5-triazine', '2-Amino-4-(isopropylamino)-6-chloro-1,3,5-triazine', 'Atrazine-desethyl, PESTANAL(R), analytical standard', 'Q22330060', '(4-amino-6-chloro(1,3,5-triazin-2-yl))(methylethyl)amine', '6-chloro-2-N-(propan-2-yl)-1,3,5-triazine-2,4-diamine', '6-Chloro-N-(1-methylethyl)-1,3,5-triazine-2,4-diamine, 9CI', '6-Chloro-N~2~-(propan-2-yl)-1,3,5-triazine-2,4-diamine', '4-deethylatrazine;deethylatrazine;atrazine-desethyl;Desisopropyl-hydroxy-atrazine', 'Atrazine-desethyl solution, 100 mug/mL in methanol, PESTANAL(R), analytical standard']</t>
  </si>
  <si>
    <t>Compound(22563)</t>
  </si>
  <si>
    <t>C6H10ClN5</t>
  </si>
  <si>
    <t>desethylsebuthylazine</t>
  </si>
  <si>
    <t>2-N-butan-2-yl-6-chloro-1,3,5-triazine-2,4-diamine</t>
  </si>
  <si>
    <t>['Desethylsebutylazine', 'Sebuthylazin-desethyl', '37019-18-4', 'SEBUTHYLAZINE-DESETHYL', '6-Chloro-N-sec-butyl-1,3,5-triazine-2,4-diamine', 'Desethylsebuthylazine', '2-N-butan-2-yl-6-chloro-1,3,5-triazine-2,4-diamine', 'SCHEMBL2494097', 'DTXSID20407557', '1,3,5-Triazine-2,4-diamine, 6-chloro-N2-(1-methylpropyl)-', 'AKOS017391002', 'FT-0693787', 'NS00004702', 'N-sec-Butyl-6-chloro-1,3,5-triazine-2,4-diamine', 'N2-sec-butyl-6-chloro-1,3,5-triazine-2,4-diamine', 'Sebuthylazin-desethyl, PESTANAL(R), analytical standard', 'N~2~-(Butan-2-yl)-6-chloro-1,3,5-triazine-2,4-diamine', 'N2-(butan-2-yl)-6-chloro-1,3,5-triazine-2,4-diamine']</t>
  </si>
  <si>
    <t>Compound(5018112)</t>
  </si>
  <si>
    <t>C7H12ClN5</t>
  </si>
  <si>
    <t>desethyl terbuthylazine</t>
  </si>
  <si>
    <t>2-N-tert-butyl-6-chloro-1,3,5-triazine-2,4-diamine</t>
  </si>
  <si>
    <t>['Desethylterbuthylazine', '30125-63-4', 'Terbuthylazin-desethyl', 'Desethylterbutylazine', 'Terbuthylazine-desethyl', 'UNII-NO1MX260Z2', 'terbutylazine-desethyl', 'Desethyl Terbuthylazine', 'NO1MX260Z2', '6-Chloro-N-(1,1-dimethylethyl)-1,3,5-triazine-2,4-diamine', 'CHEBI:83522', '1,3,5-Triazine-2,4-diamine, 6-chloro-N-(1,1-dimethylethyl)-', 'N-tert-butyl-6-chloro-1,3,5-triazine-2,4-diamine', 'N2-tert-butyl-6-chloro-1,3,5-triazine-2,4-diamine', '4-N-tert-butyl-6-chloro-1,3,5-triazine-2,4-diamine', 'Desethylterbutylazin', 'Desethyl-terbutylazine', 'Desethyl-terbuthylazine', 'Terbuthylazine (des-ethyl)', 'Oprea1_439414', 'Oprea1_718445', 'MLS000692837', '2-Amino-4-tert-butylamino-6-chloro-1,3,5-triazine', 'SCHEMBL2491819', '2-N-tert-butyl-6-chloro-1,3,5-triazine-2,4-diamine', 'CHEMBL1589090', 'DTXSID80184211', 'HMS2626N06', 'ZINC206409', 'STK070781', 'AKOS000593825', 'MT1, GS 26379', 'MCULE-1555777887', 'NCGC00245063-01', 'SMR000285563', 'DB-082357', 'FT-0693968', 'NS00007860', 'Desethyl-terbuthylazine OR sebuthylazine-desethyl', 'SR-01000508992', 'N-tert-Butyl-6-chlor-[1,3,5]triazin-2,4-diamine', 'SR-01000508992-1', 'Terbuthylazine-desethyl 10 microg/mL in Acetonitrile', 'Q21547034', 'Terbuthylazine-desethyl 100 microg/mL in Acetonitrile', 'N-tert-Butyl-6-chloro-[1,3,5]triazinane-2,4-diamine', 'Terbuthylazin-desethyl, PESTANAL(R), analytical standard', 'Desethylterbuthylazine;desethylterbuthylazine;Desethylterbutylazin']</t>
  </si>
  <si>
    <t>Compound(108201)</t>
  </si>
  <si>
    <t>desethyl terbumetone</t>
  </si>
  <si>
    <t>2-N-tert-butyl-6-methoxy-1,3,5-triazine-2,4-diamine</t>
  </si>
  <si>
    <t>['Terbumeton-desethyl', '30125-64-5', 'Deethylterbumeton', '2-Amino-4-tert-butylamino-6-methoxy-1,3,5-triazine', '2-N-tert-butyl-6-methoxy-1,3,5-triazine-2,4-diamine', 'N-tert-Butyl-6-methoxy-1,3,5-triazine-2,4-diamine', 'N2-tert-butyl-6-methoxy-1,3,5-triazine-2,4-diamine', 'Desethylterbumeton', 'Deethyl terbumeton', 'GS 26571', 'SCHEMBL2489467', 'CTK4G4499', 'DTXSID50879248', 'ZINC2516864', 'AKOS006280742', 'FT-0737429', 'Terbumeton-desethyl 10 microg/mL in Methanol', 'Terbumeton-desethyl, PESTANAL(R), analytical standard', '2-Methoxy-4-amino-6-(tert-butylamino)-1,3,5-triazine', 'N2-(tert-Butyl)-6-methoxy-1,3,5-triazine-2,4-diamine', '1,3,5-Triazine-2,4-diamine,N2-(1,1-dimethylethyl)-6-methoxy-', '6-Methoxy-N-(2-methyl-2-propanyl)-1,3,5-triazine-2,4-diamine']</t>
  </si>
  <si>
    <t>Compound(185719)</t>
  </si>
  <si>
    <t>desphenylchloridazone</t>
  </si>
  <si>
    <t>6-chloro-2-N-ethyl-1,3,5-triazine-2,4-diamine</t>
  </si>
  <si>
    <t>['Deisopropylatrazine', '1007-28-9', 'Atrazine-desisopropyl', '6-Deisopropylatrazine', 'desisopropylatrazine', 'deethylsimazine', 'Desethylsimazine', 'Desisopropyl Atrazine', 'Caswell No. 033F', 'G 28279', '2-Amino-4-chloro-6-ethylamino-s-triazine', '2-Chloro-4-amino-6-ethylamino-s-triazine', 'UNII-E8EGZ3S34H', 'NSC 13909', 'Atrazin-desisopropyl', 'Atrazine deisopropyl', 'CCRIS 3557', '1,3,5-Triazine-2,4-diamine, 6-chloro-N-ethyl-', 's-Triazine, 2-amino-4-chloro-6-(ethylamino)-', '6-Chloro-N-ethyl-1,3,5-triazine-2,4-diamine', '6-Chloro-N2-ethyl-1,3,5-triazine-2,4-diamine', 'Amino-2-chloro-6-ethylamino-s-triazine', 'E8EGZ3S34H', '2-Choro-6-ethylamino-4-amino-s-triazine', '2-amino-4-chloro-6-(ethylamino)-s-triazine', 'CHEBI:27399', 'G-28279', '2-CEAT', '6-chloro-4-N-ethyl-1,3,5-triazine-2,4-diamine', 'Desethyl simazine', 'F 703', '6-Chloro-N-ethyl-1,3,5-triazine-2,4-diamine (Atrazine-desisopropyl)', 'ATRAZIN-DESISOPROPYL PESTANA', 'Simazine, desethyl', 'CEAT', 'Atrazine, desisopropyl', '6-deisopropyl atrazine', 'Desisopropylatrazine-d5', 'DSSTox_CID_17495', 'DSSTox_RID_79323', 'DSSTox_GSID_37495', '6-chloro-2-N-ethyl-1,3,5-triazine-2,4-diamine', 'SCHEMBL1425806', 'CHEMBL1895845', 'DTXSID0037495', 'ZINC896276', 'NSC13909', 'Tox21_300753', 'NSC-13909', 'AKOS006228875', 'NCGC00163766-01', 'NCGC00163766-02', 'NCGC00163766-03', 'NCGC00163766-04', 'NCGC00254658-01', 'Atrazine-desisopropyl, analytical standard', '2-chloro-4-ethylamino-6-amino-s-triazine', 'Atrazine-desisopropyl (Deisopropylatrazine)', 'CAS-1007-28-9', 'LS-188223', 'FT-0666031', 'C06556', '1,5-Triazine-2,4-diamine, 6-chloro-N-ethyl-', 'Atrazine Desisopropyl 100 microg/mL in Methanol', 'Atrazine-desisopropyl 10 microg/mL in Acetonitrile', '6-Chloro-N~2~-ethyl-1,3,5-triazine-2,4-diamine', 'Atrazine-desisopropyl 100 microg/mL in Acetonitrile', 'J-000205', 'Q22330219', 'Atrazine-desisopropyl, PESTANAL(R), analytical standard', 's-Triazine, 2-amino-4-chloro-6-(ethylamino)- (8CI)', '1,3,5-Triazine-2,4-diamine, 6-chloro-N-ethyl- (9CI)', '6-Deisopropylatrazine / 6-chloro-N-ethyl-1,3,5-Triazine-2,4-diamine', '6-Deisopropylatrazine;Deisopropylatrazine;atrazine-desisopropyl;6-deisopropylatrazine', 'Atrazine-desisopropyl solution, 100 ng/muL in methanol, PESTANAL(R), analytical standard']</t>
  </si>
  <si>
    <t>Compound(13878)</t>
  </si>
  <si>
    <t>C5H8ClN5</t>
  </si>
  <si>
    <t>desmedipham</t>
  </si>
  <si>
    <t>[3-(ethoxycarbonylamino)phenyl] N-phenylcarbamate</t>
  </si>
  <si>
    <t>['DESMEDIPHAM', '13684-56-5', 'Bentanex', 'Betanex', 'Synbetan D', 'Betanal AM', 'Schering 38107', 'Betanal AM 11', '[3-(ethoxycarbonylamino)phenyl] N-phenylcarbamate', 'Ethyl (3-((phenylcarbamoyl)oxy)phenyl)carbamate', 'Caswell No. 447AAA', 'Desmediphame [ISO-French]', '3-Ethoxycarbonylaminophenyl-N-phenylcarbamate', 'UNII-C7V2TTX346', 'Ethyl phenylcarbamoyloxyphenylcarbamate', "Ethyl 3'-phenylcarbamoyloxycarbanilate", 'Desmedipham [ANSI:BSI:ISO]', 'SN 38107', 'EINECS 237-198-5', 'Carbanilic acid, m-carbaniloyloxy-, ethyl ester', 'EP-475', '3-(Aethoxycarbonylaminophenyl)-N-phenyl-carbamat', 'EPA Pesticide Chemical Code 104801', 'BRN 2395716', 'Ethyl 3-phenylcarbamoyloxyphenylcarbamate', 'SN 38170', 'C7V2TTX346', 'CHEBI:81733', 'Ethyl m-hydroxycarbanilate carbanilate (ester)', '3-((Ethoxycarbonyl)amino)phenyl phenylcarbamate', 'Carbamic acid, [3-[[(phenylamino)carbonyl]oxy]phenyl]-, ethyl ester', 'Carbamic acid, phenylcarbamoyloxyphenyl-, ethyl ester', '3-(Aethoxycarbonylaminophenyl)-N-phenyl-carbamat [German]', 'Ethyl meta-hydroxycarbanilate carbanilate', 'Carbanilic acid, m-hydroxy-, ethyl ester, carbanilate (ester)', 'Desmediphame', 'Carbamic acid, (3-(((phenylamino)carbonyl)oxy)phenyl)-, ethyl ester', '3-[(ethoxycarbonyl)amino]phenyl phenylcarbamate', 'Tiancaian', 'CCRIS 9306', 'DSSTox_CID_14518', 'DSSTox_RID_79161', 'DSSTox_GSID_34518', 'SCHEMBL55084', 'CBDivE_001126', 'CHEMBL16024', 'DTXSID0034518', 'Medipham-Desmethyl (desmedipham)', 'Ethyl (3-(((phenylamino)carbonyl)oxy)phenyl)carbamate (9CI)', 'ZINC187408', 'Tox21_301854', 'Carbanilic acid, m-hydroxy-, ethyl ester, carbanilate (ester) (8CI)', 'Ethyl m-hydroxycarbanilate carbanilate', 'AKOS015895883', 'Carbamic acid, (3-(((phenylamino)carbonyl)oxy)phenyl)-, ethyl ester (9CI)', 'MCULE-1556003564', 'ethyl-3-phenylcarbamoyloxyphenylcarbamate', 'NCGC00163997-01', 'NCGC00255340-01', 'CC-26351', 'LS-50533', 'S367', 'AX8123826', 'CAS-13684-56-5', 'DB-042360', 'HY-116482', '3-Ethoxycarbonylaminophenyl N-phenylcarbamate', 'CS-0065617', 'FT-0603107', 'NS00000069', 'C18417', 'Desmedipham, PESTANAL(R), analytical standard', '684D565', 'A807148', 'C-18756', 'Ethyl N-[3-(N-phenylcarbamoyloxy)phenyl]carbamate', 'J-006923', 'Q3024527', 'Ethyl (3-(((phenylamino)carbonyl)oxy)phenyl)carbamate', 'N-[3-[anilino(oxo)methoxy]phenyl]carbamic acid ethyl ester', '3-[(Ethoxycarbonyl)amino]phenyl phenylcarbamate (non-preferred name)', 'Carbamic acid, N-[3-[[(phenylamino)carbonyl]oxy]phenyl]-, ethyl ester']</t>
  </si>
  <si>
    <t>Compound(24743)</t>
  </si>
  <si>
    <t>C16H16N2O4</t>
  </si>
  <si>
    <t>4-N-methyl-6-methylsulfanyl-2-N-propan-2-yl-1,3,5-triazine-2,4-diamine</t>
  </si>
  <si>
    <t>['Desmetryn', 'Norametryne', 'Samuron', 'Semeron', 'Topusyn', '1014-69-3', 'DESMETRYNE', 'Semeron 250', 'Semeron-25', 'Desmetryn [German]', 'Caswell No. 509B', 'Desmetryn [BSI:ISO]', 'UNII-36FZV8OVJS', 'Desmetryne [ISO-French]', 'Desmetryn [German, Dutch]', 'GS 34360', 'HSDB 1729', "1,3,5-Triazine-2,4-diamine, N-methyl-N'-(1-methylethyl)-6-(methylthio)-", 'EINECS 213-800-1', '36FZV8OVJS', 'G 34360', 's-Triazine, 2-(isopropylamino)-4-(methylamino)-6-(methylthio)-', 'EPA Pesticide Chemical Code 080810', 'BRN 0612017', '2-Methylthio-4-isopropylamino-6-methylamino-s-triazine', 'Methylmercapto-4-isopropylamino-6-methylamino-s-triazine', '2-Isopropylamino-4-methylamino-6-methylmercapto-s-triazine', '2-Methylmercapto-4-methylamino-6-isopropylamino-s-triazine', '2-Isopropylamino-4-methylamino-6-methylthio-1,3,5-triazine', '2-Methylamino-4-methylthio-6-isopropylamino-1,3,5-triazine', '2-(Methylthio)-4-(methylamino)-6-(isopropylamino)-s-triazine', '2-Isopropilamino-4-metilamino-6-metiltio-1,3,5-triazina', '2-(Isopropylamino)-4-(methylamino)-6-(methylthio)-s-triazine', '2-Isopropilamino-4-metilamino-6-metiltio-1,3,5-triazina [Italian]', 'N2-Isopropyl-N4-methyl-6-methylthio-1,3,5-triazine-2,4-diamine', '4-N-methyl-6-methylsulfanyl-2-N-propan-2-yl-1,3,5-triazine-2,4-diamine', "N-Methyl-N'-(1-methylethyl)-6-(methylthio)-1,3,5-triazine-2,4-diamine", 'emeron', 'Desmethryn', 'Semeron 25', 'SCHEMBL66639', 'DTXSID6041842', 'CHEBI:82222', 'CTK8F9081', 'ZINC2040064', 'AKOS015904120', 'Desmetryn 10 microg/mL in Acetonitrile', "N-Methyl-N'-(1-methylethyl)-6-(methylthio)-1,3,5-triazine-2,4-diamine (9CI)", 'Desmetryn 100 microg/mL in Acetonitrile', 'LS-155450', 'NS00000121', 'Desmetryn, PESTANAL(R), analytical standard', 'C19100', 'J-000398', 'Methylthio-4-isopropylamino-6-methylamino-s-triazine', 'Q3024532', '2-Methylthio-4-isopropylamino-6-methylamino-1,3,5-triazine', '2-Methylthio-4-methylamino-6-isopropylamine-1,3,5-triazine', 'Methylamino-4-methylthio-6-isopropylamino-1,3,5-triazine', 'Triazine, 2-(isopropylamino)-4-(methylamino)-6-(methylthio)-', "N-Isopropyl-N'-methyl-6-(methylsulfanyl)-1,3,5-triazine-2,4-diamine", "1,3,5-Triazine-2,4-diamine, N-methyl-N'-(1-methylethyl)-6-(methylthio)- (9CI)", '2-N-methyl-6-(methylsulfanyl)-4-N-(propan-2-yl)-1,3,5-triazine-2,4-diamine', 'Desmetryn solution, 100 ng/muL in methanol, PESTANAL(R), analytical standard', 'N~2~-Methyl-6-(methylsulfanyl)-N~4~-(propan-2-yl)-1,3,5-triazine-2,4-diamine']</t>
  </si>
  <si>
    <t>Compound(13904)</t>
  </si>
  <si>
    <t>C8H15N5S</t>
  </si>
  <si>
    <t>dexamethasone</t>
  </si>
  <si>
    <t>(8S,9R,10S,11S,13S,14S,16R,17R)-9-fluoro-11,17-dihydroxy-17-(2-hydroxyacetyl)-10,13,16-trimethyl-6,7,8,11,12,14,15,16-octahydrocyclopenta[a]phenanthren-3-one</t>
  </si>
  <si>
    <t>['dexamethasone', '50-02-2', 'Decadron', 'Maxidex', 'Dexamethazone', 'Dexasone', 'Hexadrol', 'Oradexon', 'Prednisolone F', 'Cortisumman', 'Decaspray', 'Desametasone', 'Hexadecadrol', 'Millicorten', 'Auxiron', 'Calonat', 'Dexacort', 'Dexason', 'Azium', 'Fluormethylprednisolone', 'Aeroseb-Dex', 'Deltafluorene', 'Desamethasone', 'Mediamethasone', 'Superprednol', 'Visumetazone', 'Aphtasolon', 'Decaderm', 'Decasone', 'Dectancyl', 'Dekacort', 'Dergramin', 'Desadrene', 'Desameton', 'Dexacortal', 'Dexacortin', 'Dexadeltone', 'Dexalona', 'Dexameth', 'Dexapolcort', 'Dextelan', 'Dinormon', 'Fortecortin', 'Gammacorten', 'Mymethasone', 'Turbinaire', 'Corsone', 'Decalix', 'Dexone', 'Mexidex', 'Dexa-Cortidelt', 'Dexa-Cortisyl', 'Dexa-Scheroson', 'Prednisolon F', 'Aeroseb-D', 'SK-Dexamethasone', 'Anaflogistico', 'Decacortin', 'Deseronil', 'Dexafarma', 'Dexaprol', 'Dexinolon', 'Dexinoral', 'Loverine', 'Luxazone', 'Policort', 'Spoloven', 'Decagel', 'Deronil', 'Dezone', 'Sunia Sol D', 'Bisu DS', 'Dexa Mamallet', 'Hexadrol Elixir', 'Dexa-sine', 'Lokalison F', 'Isopto-Dex', 'Ocu-trol', 'Dex-ide', 'Hl-dex', 'Dexamethasonum', 'Dexone 4', 'Fluorocort', 'Decaject', 'Decameth', 'Fluormone', 'Dexpak', 'Pet Derm III', 'Dxms', 'Dexamethasone alcohol', 'Hexadrol Tablets', 'Dexamethasone Intensol', 'Methylfluorprednisolone', 'Desametasone [DCIT]', 'Dexone 0.5', 'Dexone 1.5', 'Dexone 0.75', 'Dexametasona', 'Dexacidin', 'Maxitrol', 'Dexametasona [INN-Spanish]', 'Dexamethasonum [INN-Latin]', 'Decadron Tablets, Elixir', '9alpha-Fluoro-16alpha-methylprednisolone', 'Azium (Veterinary)', 'Dexamethansone', 'Ozurdex', 'Posurdex', 'Prodex', 'Corson', 'MK 125', 'OTO-104', '(3H)-Dexamethasone', 'Azimycin (Veterinary)', 'NSC 34521', 'Naquasone (Veterinary)', 'Tresaderm (Veterinary)', '16alpha-Methyl-9alpha-fluoro-1-dehydrocortisol', '16alpha-Methyl-9alpha-fluoroprednisolone', 'C22H29FO5', '16-alpha-Methyl-9-alpha-fluoroprednisolone', '9-alpha-Fluoro-16-alpha-methylprednisolone', 'UNII-7S5I7G3JQL', '1-Dehydro-16alpha-methyl-9alpha-fluorohydrocortisone', 'delta1-9alpha-Fluoro-16alpha-methylcortisol', 'Decacort', 'Dexamethasone (DHAP)', 'CCRIS 7067', '(11beta,16alpha)-9-Fluoro-11,17,21-trihydroxy-16-methylpregna-1,4-diene-3,20-dione', '16-alpha-Methyl-9-alpha-fluoro-1-dehydrocortisol', '16-alpha-Methyl-9-alpha-fluoro-delta1-hydrocortisone', 'delta(sup 1)-9-alpha-Fluoro-16-alpha-methylcortisol', 'HSDB 3053', '9A-FLUORO-16BETA-METHYLPREDNISOLONE', '16alpha-Methyl-9alpha-fluoro-delta(sup 1)-hydrocortisone', '16-alpha-Methyl-9-alpha-fluoro-delta(sup 1)-hydrocortisone', 'EINECS 200-003-9', 'MFCD00064136', '7S5I7G3JQL', 'AI3-50934', 'Prednisolone, 9alpha-fluoro-16alpha-methyl-', 'CHEBI:41879', 'ISV-305', '[3H]-dexamethasone', 'NSC-34521', 'Pregna-1,4-diene-3,20-dione, 9-fluoro-11,17,21-trihydroxy-16-methyl-, (11beta,16alpha)-', 'Decaject-L.A.', 'Dexamethasone, 96%', '(8S,9R,10S,11S,13S,14S,16R,17R)-9-fluoro-11,17-dihydroxy-17-(2-hydroxyacetyl)-10,13,16-trimethyl-6,7,8,11,12,14,15,16-octahydrocyclopenta[a]phenanthren-3-one', '16.alpha.-Methyl-9.alpha.-fluoroprednisolone', '9.alpha.-Fluoro-16.alpha.-methylprednisolone', '9-Fluoro-11beta,17,21-trihydroxy-16alpha-methylpregna-1,4-diene-3,20-dione', '16-alpha-Methyl-9-alpha-fluoro-1,4-pregnadiene-11-beta,17-alpha,21-triol-3,20-dione', '16-alpha-Methyl-9-alpha-fluoro-11-beta,17-alpha,21-trihydroxypregna-1,4-diene-3,20-dione', '4-alpha-Fluoro-16-alpha-methyl-11-beta,17,21-trihydroxypregna-1,4-diene-3,20-dione', '9-alpha-Fluoro-16-alpha-methyl-1,4-pregnadiene-11-beta,17-alpha,21-triol-3,20-dione', '(1R,2S,10S,11S,13R,14R,15S,17S)-1-fluoro-14,17-dihydroxy-14-(2-hydroxyacetyl)-2,13,15-trimethyltetracyclo[8.7.0.0^{2,7}.0^{11,15}]heptadeca-3,6-dien-5-one', '16.alpha.-Methyl-9.alpha.-fluoro-1-dehydrocortisol', '1-Dehydro-16.alpha.-methyl-9.alpha.-fluorohydrocortisone', 'Dextenza', 'Osurdex', 'Dexamethasone Base', 'Pregna-1,4-diene-3,20-dione, 9-fluoro-11beta,17,21-trihydroxy-16alpha-methyl-', 'Decadron (TN)', '(8S,9R,10S,11S,13S,14S,16R,17R)-9-Fluoro-11,17-dihydroxy-17-(2-hydroxyacetyl)-10,13,16-trimethyl-6,7,8,9,10,11,12,13,14,15,16,17-dodecahydro-3H-cyclopenta[a]ph', '(8S,9R,10S,11S,13S,14S,16R,17R)-9-fluoro-11,17-dihydroxy-17-(2-hydroxyacetyl)-10,13,16-trimethyl-6,7,8,9,10,11,12,13,14,15,16,17-dodecahydro-3H-cyclopenta[a]phenanthren-3-one', 'SMR000857119', 'DXM [Steroid]', 'Dexamethasone [INN:BAN:JAN]', 'dexamethasone (tetramethyl-rhodamine conjugated )', 'Prednisolone, 9.alpha.-fluoro-16.alpha.-methyl-', 'Dexametasone', 'Solurex', '.delta.(sup 1)-9-.alpha.-Fluoro-16-.alpha.-methylcortisol', '16.alpha.-Methyl-9.alpha.-fluoro-.delta.(sup1)-hydrocortisone', 'Diodex', 'DexaSite', 'NSC34521', '.gamma.corten', '9-Fluoro-11,17,21-trihydroxy-16-methylpregna-1,4-diene-3,20-dione', 'Apo-dexamethasone', 'Dexasone 4mg', 'Zema-Pak', 'PHL-dexamethasone', 'PMS-dexamethasone', '[3H]dexamethasone', 'Dexamethasone-omega', 'NCGC00091019-08', 'Dexasone 0.5mg', 'Dexamethasone [USP:INN:BAN:JAN]', 'Pregna-1,4-diene-3,20-dione, 9-fluoro-11,17,21-trihydroxy-16-methyl-, (11.beta.,16.alpha.)-', 'Dexasone 0.75mg', 'Sandoz Dexamethasone', 'Dexamethasone, topical', 'Maxidex Ont 0.1%', 'Maxidex Sus 0.1%', 'DSSTox_CID_384', 'Spectrum5_002019', 'Betamethasone/Dexamethasone', 'MolMap_000018', 'SCHEMBL3774', 'DSSTox_RID_75557', 'BIDD:PXR0060', 'DSSTox_GSID_20384', 'BSPBio_000995', 'MLS001055412', 'MLS001332507', 'MLS001332508', 'ARONIS27003', 'BIDD:ER0494', 'sustained-release dexamethasone', 'CHEMBL384467', 'GTPL2768', 'GTPL3447', 'SGCUT00126', '9-Fluoro-16-methylprednisolone', 'Ak Dex Oph Otic Soln 0.1%', 'DTXSID3020384', 'BDBM18207', 'Dexamethasone (anti-inflammatory)', 'Dexamethasone (JP17/USP/INN)', '1p93', 'HMS1792A17', 'HMS1990A17', 'HMS2089N13', 'HMS2235F08', 'HMS3039L11', 'HMS3259N11', 'HMS3403A17', 'Dexamethasone  Cyclodextrin complex', 'to_000038', 'ZINC3875332', 'Tox21_200122', 'Dexamethasone, &gt;=97.0% (HPLC)', 'IBI-10090', 's1322', 'Dexamethasone 1.0 mg/ml in Methanol', 'PMS Dexamethasone Elixir 0.5mg/5ml', 'AKOS005259009', 'AKOS015895509', 'Decadron phosphate, Decdan, Dexacort,', 'ACN-036253', 'CCG-264887', 'CS-1505', 'DB01234', 'KS-1451', 'LS-7300', 'MCULE-4773827191', 'NC00645', 'alpha -Fluoro-16-alpha -methylcortisol', 'CAS-50-02-2', 'KS-000048I3', 'SMP1_000092', 'Dexamethasone, &gt;=98% (HPLC), powder', 'NCGC00091019-01', 'NCGC00091019-02', 'NCGC00091019-03', 'NCGC00091019-04', 'NCGC00091019-05', 'NCGC00091019-06', 'NCGC00091019-07', 'NCGC00091019-23', 'NCGC00257676-01', '(11beta,16alpha)-9-Fluoro-11,17,21-trihydroxy-16-methylpregna-1,4-diene-3,20-dione labeled with tritium', '23495-06-9', '9alpha-fluoro-16alpha-methyl-Prednisolone', 'AC-11056', 'HY-14648', 'NCI60_003067', 'Pregna-1,4-diene-3,20-dione, 9-fluoro-11,17,21-trihydroxy-16-methyl-, labeled with tritium, (11beta,16alpha)-', 'SC-16127', 'SMR001227192', '16alpha -Methyl-9alpha -fluoroprednisolone', '9alpha -Fluoro-16alpha -methylprednisolone', 'AB0072035', 'Dexamethasone, tested according to Ph.Eur.', 'ST50307091', 'EN300-52607', '1793-EP2269977A2', '1793-EP2269989A1', '1793-EP2269990A1', '1793-EP2270008A1', '1793-EP2270014A1', '1793-EP2270018A1', '1793-EP2272832A1', '1793-EP2275420A1', '1793-EP2277565A2', '1793-EP2277566A2', '1793-EP2277567A1', '1793-EP2277568A2', '1793-EP2277569A2', '1793-EP2277570A2', '1793-EP2277861A1', '1793-EP2277865A1', '1793-EP2277876A1', '1793-EP2279741A2', '1793-EP2281563A1', '1793-EP2289894A2', '1793-EP2292227A2', '1793-EP2292280A1', '1793-EP2292589A1', '1793-EP2292614A1', '1793-EP2292617A1', '1793-EP2295055A2', '1793-EP2295402A2', '1793-EP2295409A1', '1793-EP2295412A1', '1793-EP2295413A1', '1793-EP2295416A2', '1793-EP2298731A1', '1793-EP2298743A1', '1793-EP2298748A2', '1793-EP2298764A1', '1793-EP2298765A1', '1793-EP2298772A1', '1793-EP2298778A1', '1793-EP2298779A1', '1793-EP2298780A1', '1793-EP2305248A1', '1793-EP2305642A2', '1793-EP2305663A1', '1793-EP2305689A1', '1793-EP2308562A2', '1793-EP2308812A2', '1793-EP2308833A2', '1793-EP2308839A1', '1793-EP2308880A1', '1793-EP2311453A1', '1793-EP2314585A1', '1793-EP2314590A1', '1793-EP2316459A1', '1793-EP2316832A1', '1793-EP2316833A1', '1793-EP2316834A1', '1793-EP2371811A2', 'C15643', 'D00292', 'Dexamethasone, meets USP testing specifications', 'J10029', 'Prednisolone, 9alpha -fluoro-16alpha -methyl-', 'W-5058', '9.alpha.-Fluoro-16.alpha.-methyl-1,20-dione', 'AB00918428-05', 'AB00918428-08', 'AB00918428-09', 'AB00918428_10', '064D136', '16alpha -Methyl-9alpha -fluoro-1-dehydrocortisol', 'Dexamethasone, VETRANAL(TM), analytical standard', 'Q422252', 'Neomycin and polymyxin b sulphates and dexamethasone', 'Q-200939', 'BRD-K38775274-001-02-3', 'BRD-K38775274-001-06-4', '1-Dehydro-16alpha -methyl-9alpha -fluorohydrocortisone', '9-Fluoro-11alpha -methylpregna-1,4-diene-3,20-dione', 'Dexamethasone, British Pharmacopoeia (BP) Assay Standard', 'Z802671480', 'Pregna-1,4-diene-3,20-dione, 9-fluoro-11alpha -methyl-', 'Dexamethasone, European Pharmacopoeia (EP) Reference Standard', 'WLN: L E5 B666 OV KU MUTJ A1 BF CQ E1 FV1Q FQ G1', 'Dexamethasone, powder, BioReagent, suitable for cell culture, &gt;=97%', 'Dexamethasone, United States Pharmacopeia (USP) Reference Standard', '16-.alpha.-Methyl-9-.alpha.-fluoro-1,17-.alpha.,21-triol-3,20-dione', '4.alpha.-Fluoro-16.alpha.-methyl-11.beta.-17,4-diene-3,20-dione', '9a-Fluoro-11b,17a,21-trihydroxy-16a-methylpregna-1,4-diene-3,20-dione', 'Pregna-1,20-dione, 9-fluoro-11.beta.,17,21-trihydroxy-16.alpha.-methyl-', '16.alpha.-Methyl-9.alpha.-fluoro-11.beta.-17.alpha.-21-trihydroxypregna-1,20-dione', '9-Fluoro-11.beta.,21-trihydroxy-16.alpha.-methylpregna-1,4-diene-3,20-dione', '9-fluoro-16alpha-methyl-11beta,17,21-trihydroxypregna-1,4-diene-3,20-dione', '9.alpha.-Fluoro-11.beta.-17.alpha.- 21-trihydroxy-16.alpha.-methylpregna-1,20-dione', '9alpha-Fluoro-16alpha-methyl-11beta,17alpha,21-trihydroxy-1,4-pregnadiene-3,20-dione', 'Dexamethasone for peak identification, European Pharmacopoeia (EP) Reference Standard', 'Dexamethasone for system suitability, European Pharmacopoeia (EP) Reference Standard', 'Dexamethasone solution, 1.0 mg/mL in methanol, ampule of 1 mL, certified reference material', 'Dexamethasone, Pharmaceutical Secondary Standard; Certified Reference Material', 'Dexamethasone, powder, gamma-irradiated, BioXtra, suitable for cell culture, &gt;=80% (HPLC)', 'Pregna-1,20-dione, 9-fluoro-11,17,21-trihydroxy-16-methyl-, (11.beta.,16.alpha.)-', '(11alpha,14beta,16alpha,17alpha)-9-fluoro-11,17,21-trihydroxy-16-methylpregna-1,4-diene-3,20-dione', '(1R,2S,10S,11S,13R,14R,15S,17S)-1-fluoro-14,17-dihydroxy-14-(2-hydroxyacetyl)-2,13,15-trimethyltetracyclo[8.7.0.0(2),.0(1)(1),(1)]heptadeca-3,6-dien-5-one', '(1R,2S,10S,11S,13R,14R,15S,17S)-1-fluoro-14,17-dihydroxy-14-(2-hydroxyacetyl)-2,13,15-trimethyltetracyclo[8.7.0.0;{2,7}.0;{11,15}]heptadeca-3,6-dien-5-one', '(2S,10S,11S,15S,17S,1R,13R,14R)-1-fluoro-14,17-dihydroxy-14-(2-hydroxyacetyl)- 2,13,15-trimethyltetracyclo[8.7.0.0&lt;2,7&gt;.0&lt;11,15&gt;]heptadeca-3,6-dien-5-one', '1050677-47-8', '9.alpha.-Fluoro-16.alpha.-methyl-11.beta.,21.beta.-trihydroxy-pregna-1,4-diene-3,20-dione']</t>
  </si>
  <si>
    <t>Compound(5743)</t>
  </si>
  <si>
    <t>C22H29FO5</t>
  </si>
  <si>
    <t>2-(4-chlorophenyl)-2-[2,6-dichloro-4-(3,5-dioxo-1,2,4-triazin-2-yl)phenyl]acetonitrile</t>
  </si>
  <si>
    <t>['DICLAZURIL', '101831-37-2', '2-(4-chlorophenyl)-2-[2,6-dichloro-4-(3,5-dioxo-1,2,4-triazin-2-yl)phenyl]acetonitrile', 'NCGC00168785-01', 'Diclazurilo', 'Diclazurilum', 'Vecoxan', '2,6-Dichloro-alpha-(4-chlorophenyl)-4-[4,5-dihydro-3,5-dioxo-1,2,4-triazin-2(3H)-yl]benzeneacetonitrile', '2-(4-chlorophenyl)-2-(2,6-dichloro-4-(3,5-dioxo-4,5-dihydro-1,2,4-triazin-2(3H)-yl)phenyl)acetonitrile', 'SR-05000001484', 'Diclazuril [USAN:USP:INN:BAN]', '(4-chlorophenyl)[2,6-dichloro-4-(3,5-dioxo-4,5-dihydro-1,2,4-triazin-2(3H)-yl)phenyl]acetonitrile', '2,6-dichloro-alpha-(4-chlorophenyl)-4-(4,5-dihydro-3,5-dioxo-1,2,4-triazin-2(3H)-yl)benzeneacetonitrile', 'Diclazuril (USP/INN)', 'DSSTox_CID_26787', 'DSSTox_RID_81905', 'DSSTox_GSID_46787', 'SCHEMBL126138', 'CHEMBL284733', 'DTXSID4046787', 'CHEBI:95118', 'HMS2089N18', 'HMS3655D11', 'HMS3715D21', 'Pharmakon1600-01502348', 'BCP12257', 'HY-B0357', 'Tox21_112645', 'BBL005225', 'BDBM50088493', 'GP6995', 'NSC759642', 'STL135982', 'AKOS005746928', 'CCG-213044', 'CS-2411', 'DB11398', 'KS-5064', 'MCULE-4598187571', 'NSC-759642', 'SB18820', 'NCGC00168785-02', 'NCGC00168785-03', 'AC-12108', 'CC-26555', 'SC-13717', 'AB0105674', 'CAS-101831-37-2', 'D5457', 'FT-0603078', 'NS00000688', 'NS00098833', 'SW199606-2', 'D03794', 'Diclazuril, VETRANAL(TM), analytical standard', 'AB01562968_01', 'AB01562968_02', '831D372', 'A800467', 'C-21857', 'J-000501', 'Q5273856', 'SR-05000001484-1', 'SR-05000001484-2', 'Diclazuril, United States Pharmacopeia (USP) Reference Standard', '2-[4-(4-chloro-alpha-cyanobenzyl)-3,5-dichlorophenyl]-1,2,4-triazine-3,5(2H,4H)-dione', 'Diclazuril for system suitability, European Pharmacopoeia (EP) Reference Standard', '(4-chlorophenyl)[2,6-dichloro-3-(3,5-dioxo-4,5-dihydro-1,2,4-triazin-2(3h)-yl)phenyl]acetonitrile', '2,6-Dichloro-.alpha.-(4-chlorophenyl)-4-(4,5-dihydro-3,5-dioxo-1,2,4-triazin-2(3H)-yl)benzeneacetonitrile', '2,6-dichloro-alpha-(4-chlorophenyl)-4-(4,5-dihydro-3,5-dioxo-1,2,4-triazin-2(3H)-yl)-benzeneacetonitrile', '2-[4-[3,5-bis(oxidanylidene)-1,2,4-triazin-2-yl]-2,6-bis(chloranyl)phenyl]-2-(4-chlorophenyl)ethanenitrile']</t>
  </si>
  <si>
    <t>Compound(456389)</t>
  </si>
  <si>
    <t>C17H9Cl3N4O2</t>
  </si>
  <si>
    <t>(1R,2S,3S,6R,7R,8S,9S,11R)-3,4,5,6,13,13-hexachloro-10-oxapentacyclo[6.3.1.13,6.02,7.09,11]tridec-4-ene</t>
  </si>
  <si>
    <t>['dieldrin', 'HEOD', '60-57-1', 'UNII-I0246D2ZS0', 'Compound 497', 'Alvit 55', 'Insectlack', 'Dieldren', 'Dieldrex', 'Dieldrine', 'Dieldrite', 'Dielmoth', 'Dildrin', 'Dorytox', 'Illoxol', 'Octalox', 'Shelltox', 'Termitox', 'Alvit', 'Aldrin epoxide', 'exo-Dieldrin', 'Kombi-Albertan', 'Red Shield', 'CHEBI:34696', 'Moth Snub D', 'I0246D2ZS0', 'Dieldrine [French]', 'Panoram D-31', '(1R,4S,4aS,5R,6R,7S,8S,8aR)-1,2,3,4,10,10-Hexachloro-1,4,4a,5,6,7,8,8a-octahydro-6,7-epoxy-1,4:5,8-dimethanonaphthalene', 'Caswell No. 333', 'NCGC00244579-01', 'Dieldrin [INN:BAN]', 'Insecticide No. 497', 'Latka 497 [Czech]', 'Dieldrine [INN-French]', 'Dieldrine [ISO-French]', 'Dieldrinum [INN-Latin]', 'Dieldrina [INN-Spanish]', 'RCRA waste number P037', 'CCRIS 233', 'HSDB 322', 'Dieldrinum', 'Dieldrina', 'NCI-C00124', 'NSC 8934', 'EINECS 200-484-5', 'ENT 16,225', 'EPA Pesticide Chemical Code 045001', 'SD 3417', 'Dieldrin [BSI:ISO]', '(1aalpha,2beta,2aalpha,3beta,6beta,6aalpha,7beta,7aalpha)-3,4,5,6,9,9-hexachloro-1a,2,2a,3,6,6a,7,7a-octahydro-2,7:3,6-dimethanonaphtho[2,3-b]oxirene', '1,2,3,4,10,10-Hexachloro-6,7-epoxy-1,4,4a,5,6,7,8,8a-octahydro-1,4-endo-exo-5,8-dimethanonaphthalene', '1,2,3,4,10,10-Hexachloro-6,7-epoxy-1,4,4a,5,6,7,8,8a-octahydro-endo,exo-1,4:5,8-dimethanonaphthalene', '2,7:3,6-Dimethanonaphth(2,3-b)oxirene, 3,4,5,6,9,9-hexachloro-1a,2,2a,3,6,6a,7,7a-octahydro-, (1aalpha,2beta,2aalpha,3beta,6beta,6aalpha,7beta,7aalpha)-', '2,7:3,6-Dimethanonaphth[2,3-b]oxirene, 3,4,5,6,9,9-hexachloro-1a,2,2a,3,6,6a,7,7a-octahydro-, (1aalpha,2beta,2aalpha,3beta,6beta,6aalpha,7beta,7aalpha)-', 'rel-(1R,2S,3S,6R,7R,8S,9S,11R)-3,4,5,6,13,13-hexachloro-10-oxapentacyclo[6.3.1.1(3,6).0(2,7).0(9,11)]tridec-4-ene', 'AI3-16225', 'HEOD [BSI:ISO]', 'RCRA waste no. P037', 'Latka 497', 'Hexachloroepoxyoctahydro-endo,exo-dimethanonaphthalene', 'diedlrin', '(1aalpha,2beta,2aalpha,3beta,6beta,6aalpha,7beta,7aalpha)-3,4,5,6,9,9-hexachloro-1a,2,2a,3,6,6a,7,7a-octahydro-2,7:3,6-dimethanonaphth(2,3-b)oxirene', '(1aR,2R,2aS,3S,6R,6aR,7S,7aS)-3,4,5,6,9,9-hexachloro-1a,2,2a,3,6,6a,7,7a-octahydro-2,7:3,6-dimethanonaphtho[2,3-b]oxirene', '1,2,3,4,10,10-Hexachloro-1R,4S,4aS,5R,6R,7S,8S,8aR-octahydro-6,7-epoxy-1,4:5,8-dimethanonaphthalene', '1,2,3,4,10,10-Hexachloro-6,7-epoxy-1,4,4a,5,6,7,8,8a-octahydro-endo-1,4-exo-5,8-dimethanonaphthalene', '1,4:5,8-Dimethanonaphthalene, 1,2,3,4,10,10-hexachloro-6,7-epoxy-1,4,4a,5,6,7,8,8a-octahydro-, endo,exo-', '1,8,9,10,11,11-Hexachloro-4,5-exo epoxy-2,3-7,6-endo-2,1-7,8-exo-tetracyclo(6.2.1.1 3,6.0 2,7)dodec-9-ene', 'endo,exo-3,4,5,6,9,9-Hexachloro-1a,2,2a,3,6,6a,7,7a-octahydro-2,7:3,6-dimethenapth(2,3-b)oxirene', 'rel-(1aR,2R,2aS,3S,6R,6aR,7S,7aS)-3,4,5,6,9,9-hexachloro-1a,2,2a,3,6,6a,7,7a-octahydro-2,7:3,6-dimethanonaphth[2,3-b]oxirene', 'DSSTox_CID_453', 'DSSTox_RID_75602', 'DSSTox_GSID_20453', 'SCHEMBL72829', 'Dieldrin, analytical standard', 'CHEMBL1873703', 'DTXSID9020453', 'Dieldrin [NA2761]  [Poison]', 'Dieldrin, technical grade, ~90%', 'ZINC607816', '1,4:5,8-Dimethanonaphthalene, 1,2,3,4,10,10-hexachloro-6,7-epoxy-1,4,4a,5,6,7,8,8a-octahydro, endo,exo-', '2,7:3,6-Dimethanonaphth(2,3-b)oxirene, 3,4,5,6,9,9-hexachloro-1a,2,2a,3,6,6a,7,7a-octahydro-, (1aR,2R,2aS,3S,6R,6aR,7S,7aS)-rel-', 'A mixture containing 85 percent of 1,2,3,4,10,10-hexachloro-6,7-epoxy-1,4,4a,5,6,7,8,8a-octahydro-1,4-exo-5,8-endo-dimethanonaphthalene', 'Tox21_400029', 'Dieldrin 10 microg/mL in Cyclohexane', 'Dieldrin 100 microg/mL in Cyclohexane', 'CAS-60-57-1', 'NCGC00163991-01', 'NCGC00244579-02', 'Dieldrin, PESTANAL(R), analytical standard', 'C13718', 'Dieldrin, vial of 1 g, 99%, analytical standard', 'Q423992', 'Dieldrin solution, certified reference material, 1000 mug/mL in methanol', 'Dieldrin solution, 100 mug/mL in acetonitrile, PESTANAL(R), analytical standard', '(1R,2S,3S,6R,7R,8S,9S,11R)-3,4,5,6,13,13-hexachloro-10-oxapentacyclo[6.3.1.13,6.02,7.09,11]tridec-4-ene']</t>
  </si>
  <si>
    <t>Compound(969491)</t>
  </si>
  <si>
    <t>C12H8Cl6O</t>
  </si>
  <si>
    <t>dikegulac sodium</t>
  </si>
  <si>
    <t>sodium;(1R,2S,6R,8S)-4,4,11,11-tetramethyl-3,5,7,10,12-pentaoxatricyclo[6.4.0.02,6]dodecane-6-carboxylate</t>
  </si>
  <si>
    <t>['Dikegulac sodium', 'Dikegulac-sodium', 'Atrinal', 'Cutlass', 'Dikegulac [ANSI]', 'Dikegulac [German]', '52508-35-7', 'Caswell No. 098AA', 'UNII-3M4815901H', 'EINECS 257-976-8', 'EPA Pesticide Chemical Code 109601', 'Ro 7-6145', 'Dikegulac Na', 'Natrium-2,3:4,6-di-O-isopropyliden-2-keto-L-gulonat [German]', 'Sodium 2,3:4,6-Di-O-isopropylidene-a-L-xylo-2-hexulofuranosonate', '3M4815901H', 'Sodium 2,3:4,6-di-O-isopropylidene-alpha-L-xylo-2-hexulofuranosonate', "2,3':4,6-Bis-O-(1-methylethylidene)-alpha-L-xylo-2-hexulofuranosonic acid sodium salt", 'DSSTox_CID_14540', 'DSSTox_RID_79164', 'DSSTox_GSID_34540', 'Sodium 2,3:4,6-bis-O-(1-methylethylidine)-alpha-L-xylo-2-hexulofuranosonate', 'alpha-L-xylo-2-Hexulofuranosonic acid, 2,3:4,6-bis-O-(1-methylethylidene)-, sodium salt', 'CAS-52508-35-7', 'Dikegulac-sodium [ISO]', 'HSDB 8032', 'sodium;(3aR,4aS,8aR,8bS)-2,2,7,7-tetramethyl-4a,5,8a,8b-tetrahydro-[1,3]dioxolo[3,4]furo[1,3-d][1,3]dioxine-3a-carboxylate', 'NCGC00166284-01', 'SCHEMBL144093', 'Natrium-2,3:4,6-di-O-isopropyliden-2-keto-L-gulonat', 'CHEMBL3561805', 'DTXSID2034540', 'Tox21_112391', 'Tox21_112391_1', 'NCGC00164282-01', 'NCGC00344572-01', 'LS-75673', 'Dikegulac sodium 10 microg/mL in Acetonitrile', 'W-202976', 'Q27257626', '2,3:4,6-Di-O-isopropylidene-2-keto-L-gulonic acid sodium salt']</t>
  </si>
  <si>
    <t>Compound(23667639)</t>
  </si>
  <si>
    <t>C12H17NaO7</t>
  </si>
  <si>
    <t>[(2S,3S)-5-[2-(dimethylamino)ethyl]-2-(4-methoxyphenyl)-4-oxo-2,3-dihydro-1,5-benzothiazepin-3-yl] acetate</t>
  </si>
  <si>
    <t>['diltiazem', '42399-41-7', 'Cardizem', 'd-cis-Diltiazem', 'Anoheal', 'Dilcontin', 'Dilticard', 'Endrydil', 'Acalix', 'Dilzen', 'Dilta-Hexal', 'Dilt-cd', 'Incoril AP', 'Diltiazemum', 'Diltzac', 'Cardil', 'Dilren', 'Tiazac', '(+)-diltiazem', 'Tiamate', 'Diltiazem [INN:BAN]', 'Diltiazemum [INN-Latin]', '(+)-cis-diltiazem', 'Diltiazen', 'UNII-EE92BBP03H', 'HSDB 6528', 'CHEMBL23', 'EINECS 255-796-4', 'BRN 3573079', 'EE92BBP03H', '(2S,3S)-5-(2-(dimethylamino)ethyl)-2-(4-methoxyphenyl)-4-oxo-2,3,4,5-tetrahydrobenzo[b][1,4]thiazepin-3-yl acetate', 'CHEBI:101278', '(2S,3S)-5-[2-(dimethylamino)ethyl]-2-(4-methoxyphenyl)-4-oxo-2,3,4,5-tetrahydro-1,5-benzothiazepin-3-yl acetate', '[(2S,3S)-5-(2-dimethylaminoethyl)-2-(4-methoxyphenyl)-4-oxo-2,3-dihydro-1,5-benzothiazepin-3-yl] acetate', 'Acetic acid (2S,3S)-5-(2-dimethylamino-ethyl)-2-(4-methoxy-phenyl)-4-oxo-2,3,4,5-tetrahydro-benzo[b][1,4]thiazepin-3-yl ester', 'NCGC00024309-05', 'Aldizem', 'DSSTox_CID_2940', 'Dilacor-XR', 'DSSTox_RID_76797', 'DSSTox_GSID_22940', '(+)-cis-5-[2-(dimethylamino)ethyl]-2,3-dihydro-3-hydroxy-2-(p-methoxyphenyl)-1,5-benzothiazepin-4(5H)-one acetate ester', '(2S-cis)-3-(acetyloxy)-5-[2-(dimethylamino)ethyl]-2,3-dihydro-2-(4-methoxyphenyl)-1,5-benzothiazepin-4(5H)-one', 'C22H26N2O4S', 'Diltiazem (INN)', '[(2~{S},3~{S})-5-[2-(dimethylamino)ethyl]-2-(4-methoxyphenyl)-4-oxidanylidene-2,3-dihydro-1,5-benzothiazepin-3-yl] ethanoate', 'Surazem (TN)', 'CAS-42399-41-7', 'Cardizem (Hydrochloride)', 'MK-793 (Malate)', 'RG-83606', 'tetrahydrobenzo', 'RG 83606 (Hydrochloride)', 'Diltiazem HCI', 'D-(cis)-diltiazem', 'Tocris-0685', '103532-26-9', 'Prestwick0_000134', 'Prestwick1_000134', 'Prestwick2_000134', 'Prestwick3_000134', 'Lopac0_000327', 'SCHEMBL17776', 'BSPBio_000208', 'BSPBio_001311', 'BIDD:GT0548', 'SPBio_002147', 'BPBio1_000230', 'GTPL2298', 'DTXSID9022940', 'CTK8F9218', 'Bio1_000371', 'Bio1_000860', 'Bio1_001349', 'HMS1791B13', 'HMS1989B13', 'HMS2089H09', 'ZINC621893', '[b][1,4]thiazepin-3-yl acetate', 'Acetic acid 5-(2-dimethylamino-ethyl)-2-(4-methoxy-phenyl)-4-oxo-2,3,4,5-tetrahydro-benzo[b][1,4]thiazepin-3-yl ester', 'methoxyphenyl)-4-oxo-2,3,4,5-', 'Tox21_110898', 'AC-936', 'BDBM50004704', 'CD0163', 'AKOS015897257', 'Tox21_110898_1', 'API0005791', 'CCG-204422', 'DB00343', 'MCULE-9931403933', 'SDCCGSBI-0050315.P002', 'VA10739', 'NCGC00024309-02', 'NCGC00024309-04', 'NCGC00024309-06', 'NCGC00024309-07', 'NCGC00024309-08', 'NCGC00024309-09', 'NCGC00024309-10', 'NCGC00024309-11', 'NCGC00024309-17', '(2S,3S)-5-[2-(dimethylamino)ethyl]-2-[4-(methyloxy)phenyl]-4-oxo-2,3,4,5-tetrahydro-1,5-benzothiazepin-3-yl acetate', '1,5-Benzothiazepin-4(5H)-one, 3-(acetyloxy)-5-[2-(dimethylamino)ethyl]-2,3-dihydro-2-(4-methoxyphenyl)-, (2S,3S)-', 'LS-40510', 'SC-16185', 'C06958', 'D07845', '(2S,3S)-5-(2-(dimethylamino)ethyl)-2-(4-', 'C-21975', 'Q422229', 'W-106274', 'BRD-K24023109-001-02-5', 'BRD-K24023109-003-03-9', 'BRD-K24023109-003-11-2', 'BRD-K24023109-003-20-3', '8-Chloro-1-methyl-6-phenyl-4H-2,3,5,10b-tetraaza-benzo[e]azulene', '(2S-cis)-3-acetoxy-5-[2-(dimethylamino)ethyl]-2,3-;(2S-cis)-3-acetoxy-5-[2-(dimethylamino)ethyl]-2,3-dihydro-2-(4-methoxyphenyl)-1,5-benzothiazepin-4(5H)-one monohydrochloride;Diltiazem hydrochloride;Diltiazem;(+)-Diltiazem', '5-(2-dimethylamino-ethyl)-2-(4-methoxy-phenyl)-4-oxo-2,3,4,5-tetrahydro-benzo[b][1,4]thiazepin-3-yl ester(Diltiazem)Acetic acid', 'Acetic acid (S)-5-(2-dimethylamino-ethyl)-2-(4-methoxy-phenyl)-4-oxo-2,3,4,5-tetrahydro-benzo[b][1,4]thiazepin-3-yl ester', 'Acetic acid 5-(2-dimethylamino-ethyl)-2-(4-methoxy-phenyl)-4-oxo-2,3,4,5-tetrahydro-benzo[b][1,4]thiazepin-3-yl ester (Diltiazem)', 'Acetic acid 5-(2-dimethylamino-ethyl)-2-(4-methoxy-phenyl)-4-oxo-2,3,4,5-tetrahydro-benzo[b][1,4]thiazepin-3-yl ester(cis-(+)-Diltiazem)', 'Acetic acid 5-(2-dimethylamino-ethyl)-2-(4-methoxy-phenyl)-4-oxo-2,3,4,5-tetrahydro-benzo[b][1,4]thiazepin-3-yl ester; hydrochloride', 'C9F', 'cis-Acetic acid 5-(2-dimethylamino-ethyl)-2-(4-methoxy-phenyl)-4-oxo-2,3,4,5-tetrahydro-benzo[b][1,4]thiazepin-3-yl ester', 'diltiazem;Acetic acid 5-(2-dimethylamino-ethyl)-2-(4-methoxy-phenyl)-4-oxo-2,3,4,5-tetrahydro-benzo[b][1,4]thiazepin-3-yl ester']</t>
  </si>
  <si>
    <t>Compound(39186)</t>
  </si>
  <si>
    <t>C22H26N2O4S</t>
  </si>
  <si>
    <t>[1-(dimethylcarbamoyl)-5-methylpyrazol-3-yl] N,N-dimethylcarbamate</t>
  </si>
  <si>
    <t>['DIMETILAN', 'Dimetilane', 'Snip', '644-64-4', 'Snip fly bands', 'Snip Fly', 'Geigy gs-13332', 'FLY Bands', 'Dimetilan [BSI]', 'Geigy 22870', 'Caswell No. 496B', 'OMS 479', 'ENT 25595-X', 'Gs-13332', 'ENT 25,922', 'UNII-S53KQ82I35', 'HSDB 1726', '5-Methyl-1H-pyrazol-3-yl dimethylcarbamate', '1-Dimethylcarbamoyl-5-methyl-3-pyrazolyl dimethylcarbamate', 'EINECS 211-420-0', 'G-22870', 'RCRA waste no. P191', 'EPA Pesticide Chemical Code 090101', 'BRN 0889837', 'Dimethyl 2-carbamyl-3-methylpyrazolyldimethylcarbamate', 'AI3-25922', '2-Dimethylcarbamoyl-3-methyl-5-pyrazolyl dimethylcarbamate', 'Carbamic acid, dimethyl-, 5-methyl-1H-pyrazol-3-yl ester', '2-(N,N-Dimethylcarbamyl)-3-methylpyrazolyl-5 N,N-dimethylcarbamate', 'S53KQ82I35', 'Dimethylcarbamic acid 1-((dimethylamino)carbonyl)-5-methyl-1H-pyrazol-3-yl ester', 'Dimethylcarbamic acid ester with 3-hydroxy-N,N,5-trimethylpyrazole-1-carboxamide', 'Pyrazole-1-carboxamide, 3-hydroxy-N,N,5-trimethyl-, dimethylcarbamate (ester)', 'Carbamic acid, dimethyl-, ester with 3-hydroxy-N,N,5-trimethylpyrazole-1-carboxamide', '1-Dimethylcarbamoyl-2-methyl-4-pyrazolyl dimethylcarbamate', '2-Dimethylcarbamoyl-3-methylpyrazolyl-(5)-N,N-dimethylcarbamat', '3-Hydroxy-N,N,5-trimethylpyrazole-1-carboxamide dimethylcarbamate', '2-Dimethylcarbamoyl-3-methylpyrazolyl-(5)-N,N-dimethylcarbamat [German]', 'Pyrazole-1-carboxamide, 3-hydroxy-N,N,5-trimethyl-, dimethyl carbamate (ester)', 'Carbamic acid, dimethyl-, 1-((dimethylamino)carbonyl)-5-methyl-1H-pyrazol-3-yl ester', 'Carbamic acid, dimethyl-, 1-[(dimethylamino)carbonyl]-5-methyl-1H-pyrazol-3-yl ester', 'DSSTox_CID_21880', 'DSSTox_RID_79863', 'DSSTox_GSID_41880', '5-23-10-00525 (Beilstein Handbook Reference)', 'SCHEMBL118922', 'CHEMBL3183014', 'DTXSID2041880', 'ZINC2031546', 'Tox21_301855', '[1-(dimethylcarbamoyl)-5-methylpyrazol-3-yl] N,N-dimethylcarbamate', 'NCGC00166185-01', 'NCGC00255561-01', 'CAS-644-64-4', 'CC-27046', 'LS-49474', 'DB-054663', 'NS00005716', 'Dimetilan, PESTANAL(R), analytical standard', 'C-14394', 'Q5277351', '1-(dimethylcarbamoyl)-5-methyl-1H-pyrazol-3-yl dimethylcarbamate', '1-[(Dimethylamino)carbonyl]-5-methyl-1H-pyrazol-3-yl dimethylcarbamate #', 'Pyrazole-1-carboxamide, 3-hydroxy-N,N,5-trimethyl-, dimethylcarbamate']</t>
  </si>
  <si>
    <t>Compound(12572)</t>
  </si>
  <si>
    <t>C10H16N4O3</t>
  </si>
  <si>
    <t>(1S,2S,4S,5'R,6R,7S,8R,9S,12S,13R,16S)-5',7,9,13-tetramethylspiro[5-oxapentacyclo[10.8.0.02,9.04,8.013,18]icos-18-ene-6,2'-oxane]-16-ol</t>
  </si>
  <si>
    <t>['DIOSGENIN', '512-04-9', 'Nitogenin', 'UNII-K49P2K8WLX', 'Spirost-5-en-3-ol, (3b,25R)-', 'K49P2K8WLX', 'CHEBI:4629', '(25R)-spirost-5-en-3beta-diol', '(3beta,25R)-spirost-5-en-3-ol', '(20R,25R)-Spirost-5-en-3beta-ol', 'CCRIS 6803', '22alpha-Spirost-5-en-3beta-ol', '(25R)-Spirost-5-en-3beta-ol', 'SP 37', 'EINECS 208-134-3', 'NSC 33396', 'BRN 0094582', '3beta-Hydroxy-5-spirostene', 'nitrogen in', '(20R,25R)-spirost-5-en-3ss-ol', 'Spirost-5-en-3-beta-ol, (25R)-', 'Diosgenin,(S)', 'Spirost-5-en-3-ol, (3-beta,25R)-', "(7S,8S,10S,13S,15S,18S,22S,3R,12R,14R,19R)-3,13,15,19-tetramethyl-11-oxaspiro[ 2H-3,4,5,6-tetrahydropyran-6,6'-pentacyclo[10.8.0.0&lt;2,9&gt;.0&lt;4,8&gt;.0&lt;13,18&gt;]icosa ne]-24-en-22-ol", 'DISOGENIN', 'Diosgenin, &gt;=93%', '3A-Hydroxy-5-spirostene', 'SCHEMBL83359', '5-19-03-00030 (Beilstein Handbook Reference)', '(25R)-5-Spirosten-3A-ol', 'CHEMBL412437', '(25R)-5-Spirosten-3beta-ol', 'DTXSID00895074', '(25R)-Spirost-5-en-3.beta-ol', 'HY-N0177', 'ZINC6857614', 'LMST01080037', 'MFCD00016887', 'SBB058140', 'AKOS015961083', 'ACN-034765', 'CS-5303', 'MCULE-6739922044', 'NCGC00386027-01', 'AS-13640', 'CC-27080', 'ST097775', 'AB0090307', 'N1715', 'S2291', 'Spirost-5-en-3beta-ol, (25R)- (8CI)', 'C08898', 'J10028', 'M03858', 'Spirost-5-en-3-ol, (3beta,25R)- (9CI)', '512D049', 'C-21981', 'Q-100574', 'Q1107734', 'BRD-K28690501-001-02-1', 'Diosgenin, European Pharmacopoeia (EP) Reference Standard', 'UNII-5E5W122QCR component WQLVFSAGQJTQCK-VKROHFNGSA-N', "(2R,5'R)-5'-tetramethylspiro[[?]-2,2'-tetrahydropyran]ol", 'NCGC00386027-01_C27H42O3_Spirost-5-en-3-ol, (3beta,25R)-']</t>
  </si>
  <si>
    <t>Compound(99474)</t>
  </si>
  <si>
    <t>C27H42O3</t>
  </si>
  <si>
    <t>d-limonene</t>
  </si>
  <si>
    <t>(4R)-1-methyl-4-prop-1-en-2-ylcyclohexene</t>
  </si>
  <si>
    <t>['D-Limonene', '(+)-Limonene', '5989-27-5', '(R)-(+)-Limonene', '(+)-carvene', '(+)-(4R)-Limonene', '(4R)-Limonene', 'D-(+)-Limonene', '(R)-Limonene', '(R)-p-Mentha-1,8-diene', 'Citrene', '(+)-p-Mentha-1,8-diene', '(R)-4-Isopropenyl-1-methyl-1-cyclohexene', 'D-Limonen', 'Carvene', 'Glidesafe', 'Glidsafe', 'Kautschiin', 'Refchole', '(+)-R-Limonene', 'Cyclohexene, 1-methyl-4-(1-methylethenyl)-, (4R)-', 'd-p-Mentha-1,8-diene', '(D)-Limonene', 'Limonene, D-', '(+)-4-Isopropenyl-1-methylcyclohexene', '(+)-Dipentene', '(4R)-4-isopropenyl-1-methylcyclohexene', '(R)-(+)-p-Mentha-1,8-diene', 'Biogenic SE 374', '(+)-alpha-Limonene', 'd-Limonene (natural)', 'd-Limoneno [Spanish]', 'Limonene, (+)-', '(R)-1-Methyl-4-(1-methylethenyl)cyclohexene', '(+)-(R)-Limonene', 'Hemo-sol', '(4R)-(+)-Limonene', 'UNII-GFD7C86Q1W', 'MFCD00062991', 'CCRIS 671', 'r-(+)-limonene', 'FEMA No. 2633', 'EC 7', 'HSDB 4186', 'D-1,8-p-Menthadiene', 'NCI-C55572', 'EINECS 227-813-5', 'p-Mentha-1,8-diene, (R)-(+)-', 'GFD7C86Q1W', '(4R)-1-methyl-4-(prop-1-en-2-yl)cyclohex-1-ene', '4betaH-p-mentha-1,8-diene', '(+)-1,8-para-Menthadiene', 'AI3-15191', 'CHEBI:15382', '1-Methyl-4-(1-methylethenyl)cyclohexene, (R)-', '(R)-1-Methyl-4-(prop-1-en-2-yl)cyclohex-1-ene', '(+) Limonene', 'Cyclohexene, 1-methyl-4-(1-methylethenyl)-, (R)-', '(4R)-1-methyl-4-isopropenylcyclohex-1-ene', '(R)-(+)-4-Isopropenyl-1-methylcyclohexene', '(4R)-1-methyl-4-(1-methylethenyl)cyclohexene', '(+)-Limonene, stabilized with 0.03% tocopherol', 'Cyclohexene, 1-methyl-4-(1-methylethenyl)-, (theta)-', '(+)-Limonene, 96%, unstabilized', 'd-Limoneno', 'D-limonene [JAN]', '(4R)-4-isopropenyl-1-methyl-cyclohexene', 'Citrus stripper oil', 'Terpenes and Terpenoids, limonene fraction', 'Sulfate turpentine, distilled', 'Dextro-limonene', 'd limonene', 'citre ne', '65996-98-7', 'EINECS 266-034-5', 'D-(+)-Limonen', 'limonene, (R)-isomer', 'D-Limonene Reagent Grade', 'DSSTox_CID_778', '(4R)-1-methyl-4-prop-1-en-2-ylcyclohexene', 'EC 227-813-5', 'DSSTox_RID_75785', 'DSSTox_GSID_20778', 'CHEMBL449062', 'PARA-MENTHA-1,8-DIENE', 'DTXSID1020778', '(R)-(+)-Limonene, 95%', '(R)-(+)-Limonene, 97%', 'ZINC967513', 'CS-M3273', 'KS-000001WP', '(R)-(+)-Limonene, &gt;=93%', 'Tox21_200400', '6458AE', 'SBB055254', 'AKOS015899935', 'CCG-266134', 'DB08921', 'LMPR0102090013', 'LS-1427', 'NE11118', '(R)-(+)-Limonene, analytical standard', 'NCGC00248591-01', 'NCGC00257954-01', 'SC-65387', 'CAS-5989-27-5', 'L0047', 'L0105', 'C06099', '(4R)-1-Methyl-4-(prop-1-en-2-yl)cyclohexene', '(4R)-1-methyl-4-(1-methylvinyl)cyclohex-1-ene', 'J-502148', 'W-105295', 'Q27888324', '(R)-(+)-Limonene, primary pharmaceutical reference standard', 'UNII-9MC3I34447 component XMGQYMWWDOXHJM-JTQLQIEISA-N', '(R)-(+)-Limonene, purum, &gt;=96.0% (sum of enantiomers, GC)', '(R)-(+)-Limonene, technical, ~90% (sum of enantiomers, GC)', 'd-Limonene;D-LIMONENE;Cyclohexene, 1-methyl-4-(1-methylethenyl)-, (4R)-;D-Limonene']</t>
  </si>
  <si>
    <t>Compound(440917)</t>
  </si>
  <si>
    <t>7-desmethylmicrocystin-LR</t>
  </si>
  <si>
    <t>(5R,8R,11R,12S,15S,18S,19S,22R)-15-[3-(diaminomethylideneamino)propyl]-18-[(1E,3E,5S,6S)-6-methoxy-3,5-dimethyl-7-phenylhepta-1,3-dienyl]-5,12,19-trimethyl-2-methylidene-8-(2-methylpropyl)-3,6,9,13,16,20,25-heptaoxo-1,4,7,10,14,17,21-heptazacyclopentacosane-11,22-dicarboxylic acid</t>
  </si>
  <si>
    <t>['7-Desmethylmicrocystin LR', '134842-07-2', 'Cyanoginosin LA, 1-(2,3-didehydroalanine)-5-L-arginine-']</t>
  </si>
  <si>
    <t>Compound(6441244)</t>
  </si>
  <si>
    <t>C48H72N10O12</t>
  </si>
  <si>
    <t>7-desmethylmicrocystin RR</t>
  </si>
  <si>
    <t>(5R,8S,11R,12S,15S,18S,19S,22R)-8,15-bis[3-(diaminomethylideneamino)propyl]-18-[(1E,3E,5S,6S)-6-methoxy-3,5-dimethyl-7-phenylhepta-1,3-dienyl]-5,12,19-trimethyl-2-methylidene-3,6,9,13,16,20,25-heptaoxo-1,4,7,10,14,17,21-heptazacyclopentacosane-11,22-dicarboxylic acid</t>
  </si>
  <si>
    <t>['7-Demethylmicrocystin RR', '(Dha7)microcystin RR', '7-Desmethylmicrocystin RR', '7-Desmethyl-microcystin-RR', '131022-02-1', 'LS-192064', 'Cyanoginosin LA, 1-(2,3-didehydroalanine)-3-L-arginine-5-L-arginine-']</t>
  </si>
  <si>
    <t>Compound(6441234)</t>
  </si>
  <si>
    <t>C48H73N13O12</t>
  </si>
  <si>
    <t>[(S)-cyano-(3-phenoxyphenyl)methyl] (1R,3R)-3-(2,2-dibromoethenyl)-2,2-dimethylcyclopropane-1-carboxylate</t>
  </si>
  <si>
    <t>['deltamethrin', 'Decamethrin', '52918-63-5', 'Decamethrine', 'Butox', 'Decis', 'DeltaGard', 'K-Othrin', 'Deltamethrine', 'Crackdown', 'Deltagran', 'Esbecythrin', 'Cislin', 'Suspend', 'Zorcis', 'New Musigie', 'K-Othrine', 'K-Obiol', 'Phagase 1', 'Nrdc 161', 'Glossinex 200', 'Deltacide', 'Stricker', 'Butoss', 'Zodiac', 'Decis 0.5ULV', 'Decis 1.5ULV', 'Decis 2.5ULV', 'Deltametryna [Polish]', 'Dekametrin (Hungarian)', 'Deltamethrin [BSI:ISO]', 'Deltamethrine [ISO-French]', 'UNII-2JTS8R821G', 'CCRIS 3704', 'HSDB 6604', 'RUP 987', 'IPO 8831', 'OMS 1988', 'EINECS 258-256-6', 'FMC 45498', 'EPA Pesticide Chemical Code 978051', 'RU 22974', 'AI3-29279', '2JTS8R821G', 'CHEBI:4388', 'Deltamethrin (BAN)', 'Deltamethrin [BAN]', '(S)-alpha-Cyano-3-phenoxybenzyl (1R)-cis-3-(2,2-dibromovinyl)-2,2-dimethylcyclopropanecarboxylate', 'DSSTox_CID_381', 'DSSTox_RID_75555', 'Dekametrin', 'DSSTox_GSID_20381', '(1R-(1alpha(S*),3alpha))-Cyano(3-phenoxyphenyl)methyl 3-(2,2-dibromoethenyl)-2,2-dimethylcyclopropanecarboxylate', '(S)-alpha-Cyano-3-phenoxybenzyl (1R,3R)-3-(2,2-dibromovinyl)-2,2-dimethyl-cyclopropan-1-carboxylate', '(S)-alpha-Cyano-3-phenoxybenzyl-(1R)-cis-3-(2,2-dibromovinyl)-2,2-dimethyl-cyclopropane carboxyate', '(S)-cyano(3-phenoxyphenyl)methyl (1R,3R)-3-(2,2-dibromoethenyl)-2,2-dimethylcyclopropane-1-carboxylate', '3-(2,2-Dibromoethenyl)-2,2-dimethylcyclopropanecarboxylic acid, cyano(3-phenoxy-phenyl)-, methyl ester', 'Deltamethrin, analytical standard', 'Deltametryna', '(S)-alpha-Cyano-3-phenoxybenzyl (1R,3S)-3-(2,2-dibromovinyl)-2,2-dimethylcyclopropanecarboxylate', '(S)-cyano(3-phenoxyphenyl)methyl (1R,3R)-3-(2,2-dibromoethenyl)-2,2-dimethylcyclopropanecarboxylate', '(S)-cyano[3-(phenyloxy)phenyl]methyl (1R,3R)-3-(2,2-dibromoethenyl)-2,2-dimethylcyclopropanecarboxylate', '[(S)-cyano-(3-phenoxyphenyl)methyl] (1R,3R)-3-(2,2-dibromoethenyl)-2,2-dimethylcyclopropane-1-carboxylate', 'alpha-Cyano-3-phenoxybenzyl (1R-(1alpha(S*),3alpha))-3-(2,2-dibromovinyl)-2,2-dimethylcyclopropanecarboxylate', 'Cyclopropanecarboxylic acid, 3-(2,2-dibromoethenyl)-2,2-dimethyl-, cyano(3-phenoxyphenyl)methyl ester, (1R-(1-alpha(S*),3-alpha))-', 'Cyclopropanecarboxylic acid, 3-(2,2-dibromoethenyl)-2,2-dimethyl-,(S)-cyano(3-phenoxyphenyl)methyl ester, (1R,3R)-', 'CAS-52918-63-5', 'Cyclopropanecarboxylic acid, 3-(2,2-dibromoethenyl)-2,2-dimethyl-, (S)-cyano(3-phenoxyphenyl)methyl ester, (1R,3R)-', 'Striker', 'Othrin', 'Delta-methrin', 'Deltamet hrin', 'Deltamethrin Formulations', 'Deltamethrin, &gt;=98%', 'Deltamethrin (Decamethrin)', 'Scalibor [veterinary] (TN)', 'SCHEMBL22196', 'BIDD:ER0143', 'CHEMBL1593566', 'DTXSID8020381', 'CTK8F9016', 'OWZREIFADZCYQD-NSHGMRRFSA-', 'HY-B1971', 'ZINC1532094', 'Tox21_201432', 'Tox21_303009', 'AKOS015895185', 'API0002244', 'DB13600', 'KS-5078', 'LS-7298', 'NCGC00163904-01', 'NCGC00163904-02', 'NCGC00163904-03', 'NCGC00256465-01', 'NCGC00258983-01', '62229-77-0', 'Deltamethrin 10 microg/mL in Cyclohexane', 'Deltamethrin 100 microg/mL in Cyclohexane', '529-EP2274983A1', '529-EP2275422A1', '529-EP2280009A1', '529-EP2292608A1', '529-EP2298076A1', '529-EP2298077A1', '529-EP2301353A1', '529-EP2305031A1', '529-EP2305034A1', '529-EP2305035A1', '529-EP2305662A1', '529-EP2308857A1', '529-EP2308858A1', '529-EP2311816A1', '529-EP2311817A1', '529-EP2314583A1', 'CS-0014071', 'D4775', 'C10985', 'D07785', 'Deltamethrin, PESTANAL(R), analytical standard', '918M635', 'A829307', 'Q422257', 'Deltamethrin, certified reference material, TraceCERT(R)', '[(S)-cyano-[3-(phenoxy)phenyl]methyl] (1R,3R)-3-(2,2-dibromoethenyl)-2,2-dimethy', 'Cyano-m-phenoxybenzyl (1R,3R)-3-(2,2-dibromovi nyl)-2,2-dimethylcyclopropanecarboxylate', 'Deltamethrin solution, 100 ng/muL in cyclohexane, PESTANAL(R), analytical standard', '(1R,3R)-((S)-cyano(3-phenoxyphenyl)methyl) 3-(2,2-dibromovinyl)-2,2-dimethylcyclopropanecarboxylate', '(1R,3R)-3-(2,2-dibromoethenyl)-2,2-dimethyl-1-cyclopropanecarboxylic acid [(S)-cyano-(3-phenoxyphenyl)methyl] ester', '(1R,3R)-3-(2,2-dibromovinyl)-2,2-dimethylcyclopropane carboxylic acid, (S)-alpha-cy ano-3-phenoxybenzyl ester', '(1R,3R)-3-(2,2-Dibromovinyl)-2,2-dimethylcyclopropanecarboxylic Acid (S)-alpha-Cyano-3-phenoxybenzyl Ester', '(1R-(1alpha(S*),3alpha))-3-(2,2-dibromoethenyl)-2,2-dimethyl-, cyano(3-phenoxyphenyl)methyl cyclopropanecarboxylate', '(s)-alpha-cyano-3-phenoxybenzyl (1r,3r)-3-(2,2-dibromovinyl)-2,2-dimethylcyclopropanecarboxylate', '(S)-I+/--cyano-3-phenoxybenzyl (1R)-cis-3-(2,2-dibromovinyl)-2,2-dimethylcyclopropane carboxylate', '.alpha.-cyano-3-phenoxybenzyl [1R-[1.alpha.(S*),3.alpha.]]-3-(2,2-dibromovinyl)-2,2-dimethylcyclopropanecarboxylate', '.alpha.-cyano-3-phenoxybenzyl [1R-[1.alpha.(S*),3.alpha.]]-3-(2,2-dibromovinyl)-2,2-dimethylcyclopropanecarboxylate;deltamethrin;?-cyano-3-phenoxybenzyl [1R-[1?(S*),3?]]-3-(2,2-dibromovinyl)-2,2-dimethylcyclopropanecarboxylate;DELTAMETHRIN;a-cyano-3-phenoxybenzyl [1R-[1a(S*),3a]]-3-(2,2-dibromovinyl)-2,2-dimethylcyclopropanecarboxylate', '[(S)-cyano-(3-phenoxyphenyl)methyl] (1R,3R)-3-[2,2-bis(bromanyl)ethenyl]-2,2-dimethyl-cyclopropane-1-carboxylate', '3-(2,2-Dibromoethenyl)-2,2-dimethylcyclopropanecarboxylic acid cyano(3-phenoxyphenyl)methyl ester', 'a-cyano-3-phenoxybenzyl [1R-[1a(S*),3a]]-3-(2,2-dibromovinyl)-2,2-dimethylcyclopropanecarboxylate', 'Cyclopropanecarboxylic acid, 3-(2,2-dibromoethenyl)-2,2-dimethyl-, cyano(3-phenoxyphenyl)methyl ester, (1R-(1alpha(s*),3alpha))-']</t>
  </si>
  <si>
    <t>Compound(40585)</t>
  </si>
  <si>
    <t>C22H19Br2NO3</t>
  </si>
  <si>
    <t>[(1S,2S,3R,4S,7R,9S,10S,12R,15S)-4-acetyloxy-1,9,12-trihydroxy-15-[(2R,3S)-2-hydroxy-3-[(2-methylpropan-2-yl)oxycarbonylamino]-3-phenylpropanoyl]oxy-10,14,17,17-tetramethyl-11-oxo-6-oxatetracyclo[11.3.1.03,10.04,7]heptadec-13-en-2-yl] benzoate</t>
  </si>
  <si>
    <t>['docetaxel', 'Taxotere', '114977-28-5', 'Docetaxel anhydrous', 'Docetaxol', 'RP-56976', 'EmDOC', 'RP 56976', 'NSC 628503', 'N-debenzoyl-N-tert-butoxycarbonyl-10-deacetyltaxol', 'UNII-699121PHCA', 'TXL', 'Taxotere (TN)', 'N-debenzoyl-N-Boc-10-deacetyl taxol', 'N-debenzoyl-N-(tert-butoxycarbonyl)-10-deacetyltaxol', 'CHEBI:4672', '699121PHCA', 'Docetaxel, 98%', 'NSC628503', 'NSC-628503', 'N-debenzoyl-N-(tert-butoxycarbonyl)-10-deacetylpaclitaxel', 'Docetaxolum [INN-Latin]', 'DSSTox_CID_20464', 'DSSTox_RID_79497', 'DSSTox_GSID_40464', '(2alpha,5beta,7beta,10beta,13alpha)-4-(acetyloxy)-13-({(2R,3S)-3-[(tert-butoxycarbonyl)amino]-2-hydroxy-3-phenylpropanoyl}oxy)-1,7,10-trihydroxy-9-oxo-5,20-epoxytax-11-en-2-yl benzoate', 'Docetaxel, Trihydrate', 'HSDB 6965', 'Docetaxolum', 'Taxoel', 'Docetaxel intermediate', 'Taxotere(R)', 'Docetaxel Winthrop', 'Docetaxel [INN]', '(1S,2S,3R,4S,7R,9S,10S,12R,15S)-4-(acetyloxy)-15-{[(2R,3S)-3-{[(tert-butoxy)carbonyl]amino}-2-hydroxy-3-phenylpropanoyl]oxy}-1,9,12-trihydroxy-10,14,17,17-tetramethyl-11-oxo-6-oxatetracyclo[11.3.1.0^{3,10}.0^{4,7}]heptadec-13-en-2-yl benzoate', '(2aR,4S,4aS,6R,9S,11S,12S,12aR,12bS)-12b-acetoxy-9-(((2R,3S)-3-((tert-butoxycarbonyl)amino)-2-hydroxy-3-phenylpropanoyl)oxy)-4,6,11-trihydroxy-4a,8,13,13-tetramethyl-5-oxo-2a,3,4,4a,5,6,9,10,11,12,12a,12b-dodecahydro-1H-7,11-methanocyclodeca[3,4]benzo[1,2-b]oxet-12-yl benzoate', 'CAS-114977-28-5', 'Docecad', 'Docefrez', 'docetaxel 114977-28-5', 'XRP-6976L', 'ANX-514', 'SDP-014', 'SID 530', 'Docetaxel (TN)', 'NCGC00181306-01', 'NCGC00181306-02', '5?,20-Epoxy-1,7?,10?-trihydroxy-9-oxotax-11-ene-2?,4,13?-triyl 4-acetate 2-benzoate 13-[(2R,3S)-3-[[(1,1-dimethylethoxy)carbonyl]amino]-2-hydroxy-3-phenylpropanoate]', 'AK-72918', 'Benzenepropanoic acid, beta-(((1,1-dimethylethoxy)carbonyl)amino)-alpha-hydroxy-, 12b-(acetyloxy)-12-(benzoyloxy)-2a,3,4,4a,5,6,9,10,11,12,12a,12b-dodecahydro-4,6,11-trihydroxy-4a,8,13,13-tetramethyl-5-oxo-7,11-methano-1H-cyclodeca(3,4)benz(1,2-b)oxet-9-yl ester', 'Taxotere (Aventis)', 'CID148124', 'MFCD00800737', 'Docetaxel - Taxotere', 'bind-014', 'Docetaxel (JAN/INN)', 'CHEMBL92', 'SCHEMBL4419', 'GTPL6809', 'DTXSID0040464', 'BDBM36351', 'SYP-0704A', 'ZDZOTLJHXYCWBA-VCVYQWHSSA-', '114977-28-5, Docetaxel', 'HMS2089K08', 'Benzenepropanoic acid, beta-(((1,1-dimethylethoxy)carbonyl)amino)-alpha-hydroxy-, (2aR,4S,4aS,6R,9S,11S,12S,12aR,12bS)-12b-(acetyloxy)-12-(benzoyloxy)-2a,3,4,4a,5,6,9,10,11,12,12a,12b-dodecahydro-4,6,11-trihydroxy-4a,8,13,13-tetramethyl-5-oxo-7,11-methano-1H-cyclodeca(3,4)benz(1,2-b)oxet-9-yl ester, (alphaR,betaS)-', 'EX-A1206', 'HY-B0011', 'Tox21_112781', 'Tox21_113088', 'AC-383', 'CD0182', 'ZINC85537053', 'AKOS015960718', 'AKOS024457953', 'Tox21_112781_1', 'CS-1144', 'DB01248', 'KS-1452', 'MCULE-1930158681', 'Docetaxel, purum, &gt;=97.0% (HPLC)', 'NCGC00181306-04', 'NCGC00242509-01', '4-(acetyloxy)-13alpha-({(2R,3S)-3-[(tert-butoxycarbonyl)amino]-2-hydroxy-3-phenylpropanoyl}oxy)-1,7beta,10beta-trihydroxy-9-oxo-5beta,20-epoxytax-11-en-2alpha-yl benzoate', 'SC-16998', 'AB0072965', 'D4102', 'C11231', 'D07866', 'W-1428', 'AB01273941-01', 'AB01273941-02', 'Q420436', 'SR-01000003023', 'W-60384', 'Q-100074', 'SR-01000003023-5', 'BRD-K30577245-001-04-3', 'BRD-K30577245-341-01-9', 'Z1551429742', 'Anhydrous Docetaxel, European Pharmacopoeia (EP) Reference Standard', '(1R,2aR,4S,4aS,6R,9S,11S,12S,12aR)-1-Acetoxy-9-(((2R,3S)-3-((tert-butoxycarbonyl)amino)-2-hydroxy-3-phenylpropanoyl)oxy)-4,6,11-trihydroxy-4a,8,13,13-tetramethyl-5-oxo-2a,3,4,4a,5,6,9,10,11,12,12a,12b-dodecahydro-1H-7,11-methanocyclodeca[3,4]benzo[1,2-b]oxet-12-yl benzoate', '(2aR,4S,4aS,6R,9S,11S,12S,12aR,12bS)-12b-(acetyloxy)-12-(benzoyloxy)-2a,3,4,4a,5,6,9,10,11,12,12a,12b-dodecahydro-4,6,11-trihydroxy-4a,8,13,13-tetramethyl-5-oxo-7,11-methano-1H-cyclodeca[3,4]benz[1,2-b]oxet-9-yl (aR,bS)-b-[[(1,1-dimethylethoxy)carbonyl]amino]-a-hydroxybenzenepropanoate', '(2beta,5beta,7alpha,8alpha,10alpha,13alpha)-4-(acetyloxy)-13-({(2R,3S)-3-[(tert-butoxycarbonyl)amino]-2-hydroxy-3-phenylpropanoyl}oxy)-1,7,10-trihydroxy-9-oxo-5,20-epoxytax-11-en-2-yl benzoate', '[2aR-[2a?,4?,4a?,6?,9?(?R*,?S*),11?,12?,12a?,12b?]]-?-[[(1,1-Dimethylethoxy)carbonyl]amino]-?-hydroxy-12b-(acetyloxy)-12-(benzoyloxy)-2a,3,4,4a,5,6,9,10,11,12,12a,12b-dodecahydro-4,6,11-trihydroxy-4a,8,13,13-tetramethyl-5-oxo-7,11-methano-1H-cyclodeca[3,4]benz[1,2-b]oxet-9-yl ester benzenepropanoic acid', '[acetoxy-[(2R,3S)-3-(tert-butoxycarbonylamino)-2-hydroxy-3-phenyl-propanoyl]oxy-trihydroxy-tetramethyl-oxo-[?]yl] benzoate', '114915-20-7', 'Benzenepropanoic acid,1-dimethylethoxy)carbonyl]amino]-.alpha.-hydroxy-, (2aR,4S,4aS,6R,9S,11S,12S,12aR,12bS)-12b-(acetyloxy)-12-(benzyloxy)-2a,3,4,4a,5,6,9,10,11,12,12a,12b-dodecahydro-4,6,11-trihydroxy-4a,8,13,13-tetramethyl-5-oxo-7,11-methano-1H-cyclodeca[3,4]benz[1,2-b]oxet-9-yl ester, (.alpha.R,.beta.S)', 'DOCETAXEL;(2aR,4S,4aS,6R,9S,11S,12S,12aR,12bS)-12b-acetoxy-9-(((2R,3S)-3-((tert-butoxycarbonyl)amino)-2-hydroxy-3-phenylpropanoyl)oxy)-4,6,11-trihydroxy-4a,8,13,13-tetramethyl-5-oxo-2a,3,4,4a,5,6,9,10,11,12,12a,12b-dodecahydro-1H-7,11-methanocyclodeca[3,4]benzo[1,2-b]oxet-12-yl']</t>
  </si>
  <si>
    <t>Compound(148124)</t>
  </si>
  <si>
    <t>C43H53NO14</t>
  </si>
  <si>
    <t>dodecylbenzene</t>
  </si>
  <si>
    <t>['DODECYLBENZENE', '1-Phenyldodecane', '123-01-3', 'Benzene, dodecyl-', 'n-Dodecylbenzene', 'Phenyldodecane', 'Laurylbenzene', 'Marlican', 'Dodecane, 1-phenyl-', 'Detergent alkylate', 'Dodecane, phenyl-', 'Alkylate P 1', 'Phenyldodecan', 'Nalkylene 500', 'Alkane', '25265-78-5', 'Detergent Alkylate No. 2', 'Dodecylbenzene, crude', '1-dodecylbenzene', 'Ucane alkylate 12', 'Phenyldodecan [German]', 'Dodecylbenzene (linear)', 'Benzene, mono-C10-14-alkyl derivs.', 'NSC 102805', 'CCRIS 2291', 'HSDB 937', 'UNII-A2AX003680', '1-Phenyldodecane, 97%', 'EINECS 204-591-8', 'MFCD00008974', 'BRN 1909107', 'AI3-00435', '68442-69-3', 'A2AX003680', '29986-57-0', 'DSSTox_CID_6994', 'DSSTox_RID_78276', 'DSSTox_GSID_26994', 'WLN: 12R', 'CAS-123-01-3', 'Dodecylbenzene, hard type', 'Alkylbenzene', 'dodecyl-benzene', 'Dodecane,phenyl-', 'EINECS 270-486-9', 'Linear monoalkyl (C10-C14) benzene', 'Dodecyl benzene,linear', 'ACMC-1BS92', '4-05-00-01200 (Beilstein Handbook Reference)', 'Dodecane, 1-phenyl- (8CI)', 'CHEMBL3187866', 'DTXSID7026994', 'CTK0H5794', 'NSC4584', 'BCP26389', 'KS-000016UT', 'NSC-4584', 'ZINC1679987', 'ZX-AH014208', 'Tox21_201344', 'Tox21_303061', '2016AB', 'ANW-18090', 'LS-674', 'NSC102805', '1-Phenyldodecane, analytical standard', 'Benzene, C10-C14 alkyl derivatives', 'AKOS009031474', 'FR-2627', 'NSC-102805', 'ABA-5855406', 'ACM25265785', 'ACM29986570', 'NCGC00164039-01', 'NCGC00164039-02', 'NCGC00256949-01', 'NCGC00258896-01', 'CC-27355', 'K975', 'MS-20701', 'SC-62314', 'AX8126795', 'DB-041701', 'D0988', 'D1074', 'FT-0631711', 'NS00019424', 'KS-00001524', 'Q-9251', 'C-28186', 'Q414469', 'DODECYLBENZENE (ALKYLBENZENE (1081-77-2))', 'Dodecylbenzene(hardtype)(mixtureofbranchedchainisomers)', '1-Dodecylbenzene; 1-Phenyl-n-dodecane; 1-Phenyldodecane']</t>
  </si>
  <si>
    <t>Compound(31237)</t>
  </si>
  <si>
    <t>dodemorph</t>
  </si>
  <si>
    <t>4-cyclododecyl-2,6-dimethylmorpholine</t>
  </si>
  <si>
    <t>['Dodemorph', '1593-77-7', 'Doazine', 'Meltatox', '4-Cyclododecyl-2,6-dimethylmorpholine', 'Dodemorphe', 'Morpholine, 4-cyclododecyl-2,6-dimethyl-', 'Dodemorph [BSI:ISO]', 'Dodemorphe [ISO-French]', 'EINECS 216-474-9', 'dodemorf', 'Cyclododecane, morpholine deriv.', 'SCHEMBL29393', '4-Cyclododecyl-2,6-dimethylmorpholine (8CI)(9CI)', 'DTXSID5041019', 'CHEBI:81960', 'Cyclododecane, morpholine deriv. (9CI)', '4-Cyclododecyl-2,6-dimethylmorpholine #', 'LS-92666', 'NS00010382', 'V0405', '4-Cyclododecyl-2,6-dimethylmorpholine (8CI)', 'Dodemorph, PESTANAL(R), analytical standard', 'C18786', 'dodemorph;4-cyclododecyl-2,6-dimethylmorpholine', 'J-009599', 'Q2642073', 'dodemorph;Dodemorph acetate;dodemorph acetate;Dodemorph benzoate']</t>
  </si>
  <si>
    <t>Compound(61899)</t>
  </si>
  <si>
    <t>C18H35NO</t>
  </si>
  <si>
    <t>acetic acid;2-dodecylguanidine</t>
  </si>
  <si>
    <t>['Dodine', '2439-10-3', '1-Dodecylguanidine acetate', 'Dodin', 'n-Dodecylguanidine acetate', 'Dodecylguanidine acetate', 'Melprex Liquid Dodine', 'Laurylguanidine acetate', 'Aadodin', 'Carpene', 'Curitan', 'Doguadine', 'Melprex', 'Questuran', 'Radspor', 'Tsitrex', 'Venturol', 'Vondodine', 'Karpen', 'Syllit', 'Dodecylguanidine monoacetate', '1-Dodecylguanidinium acetate', 'Melprex 65', 'Melprex 65W', 'Cyprex 65W', 'Syllit 65', 'CYPREX', 'Caswell No. 419', 'Guanidine, dodecyl-, monoacetate', 'American cyanamid 5223', 'Dodine [ANSI:BSI:ISO]', 'Dodine, mixture with glyodin', 'Experimental fungicide 5223', 'Guanidine, dodecyl-, acetate', 'CHEBI:74889', 'HSDB 1705', 'UNII-259C423Y98', 'EINECS 219-459-5', 'ENT 16,436', 'EPA Pesticide Chemical Code 044301', 'AC 5223', 'Kyselina 3-dodecylguanidinooctova [Czech]', '259C423Y98', 'dodine monoacetate', 'dodine acetate', 'n-Dodecyl guanidine', 'DIODINE', 'Guanidine,N-dodecyl-', 'Dodin, technical grade', 'N-Dodecylguanidineacetat', 'dodecylguanidinium acetate', 'DSSTox_CID_548', 'aceto de N-dodecilguanidina', 'n-dodecylguanidinium acetate', 'DSSTox_RID_75654', 'DSSTox_GSID_20548', 'SCHEMBL22124', 'n-dodecylguanidine monoacetate', 'acetic acid;1-dodecylguanidine', 'n-dodecylguanidinium monoacetate', 'CHEMBL450348', 'DTXSID3020548', 'CTK4F3545', 'Kyselina 3-dodecylguanidinooctova', 'C13H29N3.C2H4O2', 'C15H33N3O2', 'Tox21_202731', 'AKOS015916371', 'AKOS025293903', 'amino(dodecylamino)methaniminium acetate', 'LS-7369', 'NCGC00260279-01', '(dodecylamino)(imino)methanaminium acetate', 'AS-16097', 'CC-27362', 'Dodin, PESTANAL(R), analytical standard', 'S362', 'CAS-2439-10-3', 'DB-046429', 'C18723', 'K-0012', 'Q424835', 'J-015490', 'Cyprex; Karpen; Syllit 65; Melprex 65; ENT 16,436;']</t>
  </si>
  <si>
    <t>Compound(17110)</t>
  </si>
  <si>
    <t>C15H33N3O2</t>
  </si>
  <si>
    <t>doramectin</t>
  </si>
  <si>
    <t>(1'R,2R,3S,4'S,6S,8'R,10'E,12'S,13'S,14'E,16'E,20'R,21'R,24'S)-2-cyclohexyl-21',24'-dihydroxy-12'-[(2R,4S,5S,6S)-5-[(2S,4S,5S,6S)-5-hydroxy-4-methoxy-6-methyloxan-2-yl]oxy-4-methoxy-6-methyloxan-2-yl]oxy-3,11',13',22'-tetramethylspiro[2,3-dihydropyran-6,6'-3,7,19-trioxatetracyclo[15.6.1.14,8.020,24]pentacosa-10,14,16,22-tetraene]-2'-one</t>
  </si>
  <si>
    <t>['Doramectin', '117704-25-3', 'UNII-KGD7A54H5P', 'KGD7A54H5P', 'Doramectine', 'Doramectine [INN-French]', 'Doramectinum [INN-Latin]', 'Doramectina [INN-Spanish]', 'Doramectin [USAN:INN:BAN]', 'HSDB 7452', 'Doramectina', 'Doramectinum', 'C50H74O14', 'UK 67994', 'UK 67,994', 'Avermectin A1a, 25-cyclohexyl-5-O-demethyl-25-de(1-methylpropyl)-', 'NCGC00185761-01', 'UK-67994', 'UK-67,994', 'EC 601-490-4', 'DSSTox_CID_28908', 'DSSTox_RID_83176', 'DSSTox_GSID_48982', 'SCHEMBL118775', 'Avermectin A(sub 1a), 25-cyclohexyl-5-O-demethyl-25-de(1-methylpropyl)-', 'CHEMBL2361641', 'DTXSID9048982', "(2aE,4E,5'S,6S,6'R,7S,8E,11R,13S,15S,17aR,20R,20aR,20bS)-6'-cyclohexyl-20,20b-dihydroxy-5',6,8,19-tetramethyl-17-oxo-5',6,6',10,11,14,15,17,17a,20,20a,20b-dodecahydro-2H,7H-spiro[11,15-methanofuro[4,3", 'Tox21_113442', 's5117', 'AKOS005146234', 'ZINC238809351', 'ZINC245253793', 'CCG-270566', 'CS-0736', 'DB11400', 'AC-27772', 'AS-17466', 'HY-17035', 'AB0125563', 'CAS-117704-25-3', 'V0254', 'W-5195', '704D253', 'Doramectin, Antibiotic for Culture Media Use Only', 'Q-201041', "(1'R,2S,4'S,5S,6R,8'R,10'E,12'R,13'S,14'E,20'R,21'R,24'S)-6-Cyclohexyl-21',24'-dihydroxy-12'-(((2R,4S,5S,6S)-5-(((2S,4S,5S,6S)-5-hydroxy-4-methoxy-6-methyloxan-2-yl)oxy)-4-methoxy-6-methyloxan-2-yl)oxy)-5,11',13',22'-tetramethyl-5,6-dihydro-3',7',19'-trioxaspiro(pyran-2,6'-tetracyclo(15.6.1.14,8.020,24)pentacosane)-10',14',16',22'-tetraen-2'-one"]</t>
  </si>
  <si>
    <t>Compound(9832750)</t>
  </si>
  <si>
    <t>C50H74O14</t>
  </si>
  <si>
    <t>(4S,4aR,5S,5aR,6R,12aR)-4-(dimethylamino)-1,5,10,11,12a-pentahydroxy-6-methyl-3,12-dioxo-4a,5,5a,6-tetrahydro-4H-tetracene-2-carboxamide</t>
  </si>
  <si>
    <t>['doxycycline', 'Vibramycin', '564-25-0', 'Doxytetracycline', 'Doxiciclina', 'Doxycyclinum', 'Monodox', 'Oracea', 'Doxy-Caps', 'Vibravenos', 'Doxycycline (anhydrous)', 'Vibra-tabs', '6-Deoxytetracycline', 'Azudoxat', 'Deoxymykoin', 'Doxitard', 'Doxivetin', 'Doxycycline hyclate', 'Investin', 'Liviatin', 'Vibramycine', 'Doxycen', 'Ronaxan', 'Spanor', '6alpha-Deoxy-5-oxytetracycline', 'Doxy-Puren', 'alpha-Doxycycline', 'Doxy-Tabs', 'alpha-6-Deoxyoxytetracycline', '5-Hydroxy-alpha-6-deoxytetracycline', '6-alpha-Deoxy-5-oxytetracycline', 'Doxycyclin', '6-Deoxyoxytetracycline', 'Dossiciclina [DCIT]', 'Doxiciclina [Italian]', 'alpha-6-Deoxy-5-hydroxytetracycline', 'BMY-28689', 'Doxycyclinum [INN-Latin]', 'Doxycycline (internal use)', 'Doxiciclina [INN-Spanish]', 'BU-3839T', 'DOXYCYCLINE CALCIUM', 'Doxycycline anhydrous', 'Oxytetracycline, 6-deoxy-', 'DOXY', 'HSDB 3071', 'EINECS 209-271-1', 'UNII-334895S862', 'Dossiciclina', 'Doxychel', 'CHEBI:50845', 'MMV000011', '2-Naphthacenecarboxamide, 4-(dimethylamino)-1,4,4a,5,5a,6,11,12a-octahydro-3,5,10,12,12a-pentahydroxy-6-methyl-1,11-dioxo-, (4S-(4alpha,4aalpha,5alpha,5aalpha,6alpha,12aalpha))-', 'Supracyclin', 'Doxysol', 'Jenacyclin', 'Vibramycin Novum', '(4S,4aR,5S,5aR,6R,12aS)-4-(dimethylamino)-3,5,10,12,12a-pentahydroxy-6-methyl-1,11-dioxo-1,4,4a,5,5a,6,11,12a-octahydrotetracene-2-carboxamide', 'GS-3065', 'Doxycycline-Chinoin', '334895S862', 'Zenavod', 'DOXCYCLINE ANHYDROUS', 'Doxycycline (hyclate)', 'Doxycycline (TN)', 'Doxychel (TN)', '2-Naphthacenecarboxamide, 4-alpha-S-(dimethylamino)-1,4,4a-alpha-5,5a-alpha,6,11,12a-octahydro-3,5-alpha,10,12,12a-alpha-pentahydroxy-6-alpha-methyl-1,11-dioxo-', '2-Naphthacenecarboxamide,4-(dimethylamino)-1,4,4a,5,5a,6,11,12a-octahydro-3,5,10,12,12a-pentahydroxy-6-methyl-1,11-dioxo-, (4S,4aR,5S,5aR,6R,12aS)-', 'Vivox (*Hyclate)', 'Doxycycline (INN)', 'DMSC (*Fosfatex)', 'NSC633557', 'Monodox (*monohydrate)', 'BMY28689', 'BU 3839T', 'BMY 28689', 'Vibramycin (*monohydrate)', 'GS-3065 (*monohydrate)', 'Doxycycline [USAN:INN:BAN]', 'SR-01000075844', '2-Naphthacenecarboxamide, 4-(dimethylamino)-1,4,4a,5,5a,6,11,12a-octahydro-3,5,10,12,12a-pentahydroxy-6-methyl-1,11-dioxo-, (4S,4aR,5S,5aR,6R,12aS)-', 'Anhydrous doxycycline', 'Doxycycline (200mg/day) or Placebo', 'AB08 (*Fosfatex)', 'Spectrum_000807', '24390-14-5', '94088-85-4', 'Spectrum2_000143', 'Spectrum3_000408', 'Spectrum4_000527', 'Spectrum5_000947', 'UPCMLD-DP021', 'CHEMBL1433', 'Lopac0_000405', 'SCHEMBL40930', 'SCHEMBL66828', 'BSPBio_001936', 'KBioGR_001133', 'KBioSS_001287', 'BIDD:GT0146', 'DivK1c_000345', 'SPBio_000246', 'CHEMBL436921', 'GTPL6464', 'SCHEMBL1176275', '4-Epioxytetracycline, 6-deoxy-', 'DTXSID0037653', 'SCHEMBL17826665', 'SCHEMBL19270298', 'SCHEMBL21753474', 'UPCMLD-DP021:001', 'BCBcMAP01_000024', 'KBio1_000345', 'KBio2_001287', 'KBio2_003855', 'KBio2_006423', 'KBio3_001156', 'DTXSID80992212', 'NINDS_000345', 'HMS2090E06', 'DOXYTETRACYCLINE; DOXYCYCLINE', 'HY-N0565', 'LMPK07000001', 's5159', 'ZINC16052277', 'AKOS015900372', 'ZINC100056779', 'ZINC100302137', 'ZINC100611210', 'ZINC109562088', 'API0002491', 'CCG-204498', 'DB00254', 'MCULE-4368118692', 'SDCCGSBI-0050391.P005', 'IDI1_000345', 'SMP1_000107', 'NCGC00161602-01', 'NCGC00161602-03', 'NCGC00161602-04', 'NCGC00161602-05', 'NCGC00188979-01', '(4s,4ar,5s,5ar,6r,12as)-4-(dimethylamino)-1,4,4a,5,5a,6,11,12a-octahydro-3,5,10,12,12a-pentahydroxy-6-methyl-1,11-dioxo-2-naphthacenecarboxamide', '2-Naphthacenecarboxamide, 4-(dimethylamino)-1,4,4a,5,5a,6,11,12a-octahydro-3,5,10,12,12a-pentahydroxy-6-methyl-1,11-dioxo-, (4S,4aR,5S,5aR,6R,12aS)', 'AS-13499', 'I455', 'LS-93868', 'SC-15766', 'SBI-0050391.P004', 'LS-187766', 'CS-0009105', '1368-EP2269978A2', '1368-EP2269985A2', '1368-EP2269991A2', '1368-EP2284150A2', '1368-EP2284151A2', '1368-EP2284152A2', '1368-EP2284153A2', '1368-EP2284155A2', '1368-EP2284156A2', '1368-EP2284164A2', '1368-EP2287140A2', '1368-EP2287148A2', '1368-EP2287150A2', '1368-EP2289871A1', '1368-EP2295402A2', '1368-EP2295419A2', '1368-EP2298732A1', '1368-EP2301534A1', '1368-EP2301912A2', '1368-EP2301913A1', '1368-EP2301914A1', '1368-EP2301916A2', '1368-EP2305637A2', '1368-EP2305640A2', '1368-EP2308863A1', '1368-EP2311451A1', '1368-EP2311796A1', '1368-EP2311797A1', '1368-EP2311798A1', '1368-EP2311799A1', '1368-EP2316450A1', 'C06973', 'D07876', 'AB00053465-03', 'AB00053465_04', 'AB00053465_05', '564D250', 'Doxycycline, Antibiotic for Culture Media Use Only', 'Q422442', 'SR-01000075844-7', 'W-105517', '(4S,4aR,5S,5aR,6R,12aR)-4-(dimethylamino)-1,5,10,11,12a-pentahydroxy-6-methyl-3,12-dioxo-4a,5,5a,6-tetrahydro-4H-tetracene-2-carboxamide', '(4S,4aR,5S,5aR,6R,12aS)-4-(Dimethylamino)-3,5,10,12,12a-pentahydroxy-6-methyl-1,11-dioxo-1,4,4a,5,5a,6,11,12a-octahydro-2-tetracenecarboxamide', '(4S,4aR,5S,5aR,6R,12aS)-4-(dimethylamino)-3,5,10,12,12a-pentahydroxy-6-methyl-1,11-dioxo-4a,5,5a,6-tetrahydro-4H-tetracene-2-carboxamide', '4-(Dimethylamino)-1,5,10,11,12a-pentahydroxy-6-methyl-3,12-dioxo-3,4,4a,5,5a,6,12,12a-octahydrotetracene-2-carboximidic acid', '7164-70-7']</t>
  </si>
  <si>
    <t>Compound(54671203)</t>
  </si>
  <si>
    <t>doxycycline hyclate</t>
  </si>
  <si>
    <t>(4S,4aR,5S,5aR,6R,12aR)-4-(dimethylamino)-1,5,10,11,12a-pentahydroxy-6-methyl-3,12-dioxo-4a,5,5a,6-tetrahydro-4H-tetracene-2-carboxamide;ethanol;hydrate;dihydrochloride</t>
  </si>
  <si>
    <t>['Doxycycline hyclate', '24390-14-5', 'Periostat', 'Atridox', 'Doryx', 'Vibra-tabs', 'Vivox', 'Doxy-Lemmon', 'Doxychel Hyclate', 'Doxycycline hydrochloride hemiethanolate hemihydrate', 'Vibramycin', 'Doxy 100', 'UNII-19XTS3T51U', 'DOXY 200', 'Doxycycline hyclate (internal use)', 'DOXY', '19XTS3T51U', '6-Deoxy-5-hydroxytetracycline hydrochloride hemihydrate', '4-(Dimethylamino)-1,4,4a,5,5a,6,11,12a-octahydro-3,5,10,12,12a-pentahydroxy-6-methyl-1,11-dioxo-2-naphthacenecarboxamide monohydrochloride, compound with ethyl alcohol (2:1), monohydrate', 'Tetraclean', 'Acticlate', 'Dentista', 'Doxteric', 'Doxyprex', 'Monodoks', '2-Naphthacenecarboxamide, 4-(dimethylamino)-1,4,4a,5,5a,6,11,12a-octahydro-3,5,10,12,12a-pentahydroxy-6-methyl-1,11-dioxo-, monohydrochloride, compd. with ethanol (2:1), monohydrate, (4S-(4alpha,4aalpha,5alpha,5aalpha,6alpha,12aalpha))-', '2-Naphthacenecarboxamide, 4beta-(dimeethylamino)-1,4,4abeta,5,5abeta,6,11,12a-octahydro-3,5beta,10,12,12abeta-pentahydroxy-6beta-methyl-1,11-dioxo-, monohydrochloride, compd. with ethyl alcohol (2:1), monohydrate', 'Ethanol, compd. with (4S,4aR,5S,5aR,6R,12aS)-4-(dimethylamino)-1,4,4a,5,5a,6,11,12a-octahydro-3,5,10,12,12a-pentahydroxy-6-methyl-1,11-dioxo-2-naphthacenecarboxamide monohydrochloride (1:2), monohydrate', '10592-13-9 (. HCl)', 'Acticlate CAP', 'Doryx Mpc', 'Doxycycline hyclate [USAN:USP]', 'Periostat (TN)', '(4S,4aR,5S,5aR,6R,12aS)-4-(dimethylamino)-3,5,10,12,12a-pentahydroxy-6-methyl-1,11-dioxo-4a,5,5a,6-tetrahydro-4H-tetracene-2-carboxamide;ethanol;hydrate;dihydrochloride', '2-Naphthacenecarboxamide, 4-(dimethylamino)-1,4,4a,5,5a,6,11,12a-octahydro-3,5,10,12,12a-pentahydroxy-6-methyl-1,11-dioxo-, hydrochloride, (4S,4aR,5S,5aR,6R,12aS)-, compd. with ethanol, hydrate (2:2:1:1)', 'Vibra-tabs (TN)', 'Lymepak (TN)', 'Doryx (TN)', 'WC 2031', 'DOXYCYCLINE HYLATE', '564-25-0', 'Doxycycline hyclate (USP)', 'Doxycycline Hyclate (100 mg)', 'CHEMBL3989740', 'Doxycycline hydrochloride hydrate', 'DTXSID4041020', '(4S,4aR,5S,5aR,6R,12aS)-4-(dimethylamino)-3,5,10,12,12a-pentahydroxy-6-methyl-1,11-dioxo-1,4,4a,5,5a,6,11,12a-octahydrotetracene-2-carboxamide compound with ethanol (2:1) dihydrochloride hydrate', '2387AH', 'MFCD07357237', 'AKOS025402170', 'doxycycline hyclate 20 mg twice daily', '2C22H24N2O8.C2H6O.H2O', 'AC-6017', 'CCG-270611', 'DS-9077', 'Doxycycline hydrochloride hydrate (JP17)', '2C22H24N2O8.C2H6O.2ClH.H2O', 'LS-174052', 'SW219440-1', 'SW219440-2', 'D02129', 'Q27116248', 'Z2791720087', '(4S,4aR,5S,5aR,6R,12aS)-4-(dimethylamino)-3,5,10,12,12a-pentahydroxy-6-methyl-1,11-dioxo-1,4,4a,5,5a,6,11,12a-octahydrotetracene-2-carboxamide - ethanol (2:1) dihydrochloride hydrate', '(4S,4aR,5S,5aR,6R,12aS)-4-(Dimethylamino)-3,5,10,12,12a-pentahydroxy-6-methyl-1,11-dioxo-1,4,4a,5,5a,6,11,12a-octahydrotetracene-2-carboxamide--ethanol--hydrogen chloride--water (2/1/2/1)', 'bis((4S,4aR,5S,5aR,6R,12aS)-4-(dimethylamino)-3,5,10,12,12a-pentahydroxy-6-methyl-1,11-dioxo-1,4,4a,5,5a,6,11,12a-octahydrotetracene-2-carboxamide) ethanol hydrate dihydrochloride']</t>
  </si>
  <si>
    <t>Compound(54686183)</t>
  </si>
  <si>
    <t>C46H58Cl2N4O18</t>
  </si>
  <si>
    <t>doxorubicin</t>
  </si>
  <si>
    <t>(7S,9S)-7-[(2R,4S,5S,6S)-4-amino-5-hydroxy-6-methyloxan-2-yl]oxy-6,9,11-trihydroxy-9-(2-hydroxyacetyl)-4-methoxy-8,10-dihydro-7H-tetracene-5,12-dione</t>
  </si>
  <si>
    <t>['doxorubicin', 'Adriamycin', '23214-92-8', 'Doxil', 'Adriablastin', 'Doxorubicine', 'Adriblastina', 'Doxorubicinum', '14-Hydroxydaunomycin', '14-Hydroxydaunorubicine', 'Adriamycin semiquinone', 'Doxorubicine [INN-French]', 'Doxorubicinum [INN-Latin]', 'Doxorubicina [INN-Spanish]', 'FI 106', 'Doxorubicin [USAN:INN:BAN]', 'Hydroxydaunorubicin', 'CCRIS 739', 'HSDB 3070', 'NDC 38242-874', 'NCI-C01514', 'UNII-80168379AG', 'EINECS 245-495-6', 'CHEMBL53463', 'Doxorubicina', 'CHEBI:28748', 'NSC 123127', '5,12-Naphthacenedione, 10-((3-amino-2,3,6-trideoxy-alpha-L-lyxo-hexopyranosyl)oxy)-7,8,9,10-tetrahydro-6,8,11-trihydroxy-8-(hydroxyacetyl)-1-methoxy-, (8S-cis)-', '80168379AG', 'ADM', '(1S,3S)-3,5,12-trihydroxy-3-(hydroxyacetyl)-10-methoxy-6,11-dioxo-1,2,3,4,6,11-hexahydrotetracen-1-yl 3-amino-2,3,6-trideoxy-alpha-L-lyxo-hexopyranoside', '(1S,3S)-3-Glycoloyl-1,2,3,4,6,11-hexahydro-3,5,12-trihydroxy-10-methoxy-6,11-dioxo-1-naphthacenyl-(3-amino-2,3,6-tridesoxy-alpha-L-lyxo-hexopyranosid)', '(1S,3S)-3-glycoloyl-3,5,12-trihydroxy-10-methoxy-6,11-dioxo-1,2,3,4,6,11-hexahydrotetracen-1-yl 3-amino-2,3,6-trideoxy-alpha-L-lyxo-hexopyranoside', '(8S,10S)-10-((3-Amino-2,3,6-trideoxy-alpha-L-lyxo-hexopyranosyl)oxy)-8-glycoloyl-7,8,9,10-tetrahydro-6,8,11-trihydroxy-1-methoxy-5,12-naphthacenedione', '1,2,3,4,6,11-Hexahydro-4beta,5,12-trihydroxy-4-(hydroxyacetyl)-10-methoxy-6,11-dioxonaphthacen-1beta-yl-3-amino-2,3,6-trideoxy-alpha-L-lyxohexopyranoside', '10-((3-Amino-2,3,6-trideoxy-D-lyxohexopyranosyl)oxy)-8-glycolcyl-7,8,9,10-tetrahydro-6,8,11-trihydroxy-1-methoxy-5,12-naphthacenedione', 'DOX-SL', 'ThermoDox', 'Adriblas tina', 'DOX', 'MLS000028393', 'Doxorubicin-hLL1', '(1S,3S)-3,5,12-trihydroxy-3-(hydroxyacetyl)-10-(methyloxy)-6,11-dioxo-1,2,3,4,6,11-hexahydrotetracen-1-yl 3-amino-2,3,6-trideoxy-alpha-L-lyxo-hexopyranoside', '(7S,9S)-7-[(2R,4S,5S,6S)-4-amino-5-hydroxy-6-methyl-tetrahydropyran-2-yl]oxy-6,9,11-trihydroxy-9-(2-hydroxyacetyl)-4-methoxy-8,10-dihydro-7H-tetracene-5,12-dione', '(8S,10S)-10-{[(2R,4S,5S,6S)-4-amino-5-hydroxy-6-methyloxan-2-yl]oxy}-6,8,11-trihydroxy-8-(2-hydroxyacetyl)-1-methoxy-5,7,8,9,10,12-hexahydrotetracene-5,12-dione', '(8S-cis)-10-((3-amino-2,3,6-trideoxy-alpha-L-lyxo-hexopyranosyl)oxy)-7,8,9,10-tetrahydro-6,8,11-trihydroxy-8-(hydroxyacetyl)-1-methoxy-5,12-naphthacenedione', '5,12-Naphthacenedione, 10-[(3-amino-2,3,6-trideoxy-alpha-L-lyxo-hexopyranosyl)oxy]-7,8,9,10-tetrahydro-6,8,11-trihydroxy-8-(2-hydroxyacetyl)-1-methoxy-, (8S,10S)-', 'Adriblastina (TN)', 'Aerosolized Doxorubicin', 'Doxorubicin-P4/D10', '111266-55-8', 'Doxorubicin (USAN/INN)', 'Doxorubicin-hLL1 conjugate', 'Rubex (hydrochloride salt)', 'Adriacin (hydrochloride salt)', 'Doxorubicin-P4/D10 conjugate', 'TLC D-99', 'adiblastine (hydrochloride salt)', 'adriblatina (hydrochloride salt)', 'adriablatina (hydrochloride salt)', 'Adriblastina (hydrochloride salt)', 'adriablastine (hydrochloride salt)', 'Farmablastina (hydrochloride salt)', 'adr iablatina (hydrochloride salt)', 'Adriamycin PFS (hydrochloride salt)', 'Adriamycin RDF (hydrochloride salt)', 'NSC-123127', '(7S,9S)-7-[(2R,4S,5S,6S)-4-amino-5-hydroxy-6-methyloxan-2-yl]oxy-6,9,11-trihydroxy-9-(2-hydroxyacetyl)-4-methoxy-8,10-dihydro-7H-tetracene-5,12-dione;hydrochloride', '(8S,10S)-10-(((2R,4S,5S,6S)-4-Amino-5-hydroxy-6-methyltetrahydro-2H-pyran-2-yl)oxy)-6,8,11-trihydroxy-8-(2-hydroxyacetyl)-1-methoxy-7,8,9,10-tetrahydrotetracen', 'Prestwick0_000438', 'Prestwick1_000438', 'Prestwick2_000438', 'Prestwick3_000438', 'ADR', 'Doxorubicin hydrochloride (hydrochloride salt)', 'Probes1_000151', 'Probes2_000129', 'SCHEMBL3243', 'BSPBio_000456', 'BSPBio_001031', 'Hydroxydaunomycin hydrochloride (hydrochloride salt)', 'Caelyx (liposomal doxorubicin)', 'Hydroxydaunomycin hydrochlor ide (hydrochloride salt)', 'SPBio_002395', 'BPBio1_000502', 'cid_443939', 'GTPL7069', 'Hydroxydaunorubicin hydrochloride (hydrochloride salt)', 'Valrubicin impurity, doxorubicin', 'DTXSID8021480', 'BDBM22984', 'BDBM32022', 'HMS2089H06', 'ZINC3918087', 'GR-319', 'HY-15142A', 'LMPK13050001', 'AKOS015951330', 'Conjugate of doxorubicin with humanized monoclonal antibody LL1 against CD74', 'Conjugate of doxorubicin with monoclonal antibody P4/D10 against GP120', 'CS-2759', 'DB00997', 'MCULE-4188577717', 'SB21799', 'SMP1_000106', 'NCGC00024415-35', 'NCGC00024415-37', 'NCGC00024415-38', 'NCGC00024415-40', 'NCGC00024415-41', 'NCGC00024415-42', 'BP-23114', 'CC-23807', 'LS-165655', '14D928', 'A14403', 'C01661', 'D03899', 'Q18936', '10336-EP2270008A1', '10336-EP2270014A1', '10336-EP2270018A1', '10336-EP2270505A1', '10336-EP2272827A1', '10336-EP2272832A1', '10336-EP2275420A1', '10336-EP2277565A2', '10336-EP2277566A2', '10336-EP2277567A1', '10336-EP2277568A2', '10336-EP2277569A2', '10336-EP2277570A2', '10336-EP2277865A1', '10336-EP2277876A1', '10336-EP2280012A2', '10336-EP2281815A1', '10336-EP2289892A1', '10336-EP2292280A1', '10336-EP2292614A1', '10336-EP2292615A1', '10336-EP2292617A1', '10336-EP2295055A2', '10336-EP2295416A2', '10336-EP2295426A1', '10336-EP2295427A1', '10336-EP2298748A2', '10336-EP2298764A1', '10336-EP2298765A1', '10336-EP2298768A1', '10336-EP2298778A1', '10336-EP2298780A1', '10336-EP2301536A1', '10336-EP2301538A1', '10336-EP2301928A1', '10336-EP2301933A1', '10336-EP2302382A2', '10336-EP2302383A2', '10336-EP2305243A1', '10336-EP2305250A1', '10336-EP2305640A2', '10336-EP2305642A2', '10336-EP2305671A1', '10336-EP2305679A1', '10336-EP2305689A1', '10336-EP2308562A2', '10336-EP2308812A2', '10336-EP2308833A2', '10336-EP2308855A1', '10336-EP2308861A1', '10336-EP2311453A1', '10336-EP2311455A1', '10336-EP2311808A1', '10336-EP2311825A1', '10336-EP2311827A1', '10336-EP2311829A1', '10336-EP2311840A1', '10336-EP2311842A2', '10336-EP2316452A1', '10336-EP2316832A1', '10336-EP2316833A1', '10336-EP2316834A1', '10336-EP2371811A2', '10336-EP2374454A1', '13171-EP2269989A1', '13171-EP2269994A1', '13171-EP2270008A1', '13171-EP2270018A1', '13171-EP2270505A1', '13171-EP2275102A1', '13171-EP2277865A1', '13171-EP2277876A1', '13171-EP2281815A1', '13171-EP2286812A1', '13171-EP2289892A1', '13171-EP2292227A2', '13171-EP2292233A2', '13171-EP2292614A1', '13171-EP2292615A1', '13171-EP2292617A1', '13171-EP2295407A1', '13171-EP2295412A1', '13171-EP2295413A1', '13171-EP2295416A2', '13171-EP2298305A1', '13171-EP2298736A1', '13171-EP2298746A1', '13171-EP2298748A2', '13171-EP2298768A1', '13171-EP2298772A1', '13171-EP2298780A1', '13171-EP2301933A1', '13171-EP2305640A2', '13171-EP2305642A2', '13171-EP2305671A1', '13171-EP2305679A1', '13171-EP2305689A1', '13171-EP2308833A2', '13171-EP2308839A1', '13171-EP2308861A1', '13171-EP2311827A1', '13171-EP2316832A1', '13171-EP2316833A1', '13171-EP2316834A1', '13171-EP2316937A1', '45970-EP2275413A1', '45970-EP2287156A1', '45970-EP2311807A1', 'C-23275', 'BRD-K92093830-003-04-3', 'BRD-K92093830-003-25-8', '(7S,9R)-7-[(2S,4S,5S,6S)-4-Amino-5-hydroxy-6-methyl-oxan-2-yl]oxy-6,9,11-trihydroxy-9-(2-hydroxyacetyl)-4-methoxy-8,10-dihydro-7H-tetracene-5,12-dione', '(7S,9S)-7-[(2R,4S,5S,6S)-4-amino-5-hydroxy-6-methyl-tetrahydropyran-2-yl]oxy-9-glycoloyl-6,9,11-trihydroxy-4-methoxy-8,10-dihydro-7H-tetracene-5,12-quinone;hydrochloride', '(7S,9S)-7-[(2R,4S,5S,6S)-4-azanyl-6-methyl-5-oxidanyl-oxan-2-yl]oxy-4-methoxy-6,9,11-tris(oxidanyl)-9-(2-oxidanylethanoyl)-8,10-dihydro-7H-tetracene-5,12-dione;hydrochloride', '(7S,9S)-7-[[(2R,4S,5S,6S)-4-amino-5-hydroxy-6-methyl-2-oxanyl]oxy]-6,9,11-trihydroxy-9-(2-hydroxy-1-oxoethyl)-4-methoxy-8,10-dihydro-7H-tetracene-5,12-dione;hydrochloride', '(8S,10S)-10-(((2R,4S,5S,6S)-4-amino-5-hydroxy-6-methyltetrahydro-2H-pyran-2-yl)oxy)-6,8,11-trihydroxy-8-(2-hydroxyacetyl)-1-methoxy-7,8,9,10-tetrahydrotetracene-5,12-dione', '(8S,10S)-10-((2R,4S,5S,6S)-4-amino-5-hydroxy-6-methyltetrahydro-2H-pyran-2-yloxy)-6,8,11-trihydroxy-8-(2-hydroxyacetyl)-1-methoxy-7,8,9,10-tetrahydrotetracene-5,12-dione', '(8S-cis)-10-(3-Amino-2,3,6-Tr ideoxy-alpha-L-Lyxo-Hexopyranosyl)Oxy-7,8,9,10-Tetrahydro-6,8,11-Trihydroxy-8-(Hydroxyacetyl)-1-Methoxy-5,12-Naphthacenedione', '(8S-cis)-10-(3-Amino-2,3,6-Trideoxy-alpha-L-Lyxo-Hexopyranosyl)Oxy-7,8,9,10-Tetrahydro-6,8,11-Trihydroxy-8-(Hydroxyacetyl)-1-Methoxy-5,12-Naphthacenedione', '(8S-cis)-10-[(3-Amino-2,3,6-trideoxy-.alpha.-L-lyxo-hexopyranosyl]-7,8,9,10-tetrahydro-6,8,11-trihydroxy-8-(hydroxyacetyl)-1-methoxy-5,12-naphthacenedione', '10-((3-Amino-2,3,6-trideoxy-alpha-L-lyso-hexopyranosyl)oxy)-7,8,9,10-tetrahydro-6,8,11-trihydroxy-8-(hydroxyacetyl)-1-methoxy-5,12-naphthacenedione', '5,12-Naphthacenedione, 10-((3-amino-2,3,6-trideoxy-alpha-L-lyxo-hexopyranosyl)oxy)-7,8,9,10-tetrahydro-6,8,11-trihydroxy-8-(hydroxyacetyl)-1-methoxy-, (8S,10S)-']</t>
  </si>
  <si>
    <t>Compound(31703)</t>
  </si>
  <si>
    <t>C27H29NO11</t>
  </si>
  <si>
    <t>[(1S)-2-methyl-4-oxo-3-prop-2-enylcyclopent-2-en-1-yl] (1R,3R)-2,2-dimethyl-3-(2-methylprop-1-enyl)cyclopropane-1-carboxylate</t>
  </si>
  <si>
    <t>['S-Bioallethrin', 'Esbiol', 'trans-(+)-Allethrin', 'UNII-GFF4AL7FRM', '(+)-trans-(S)-allethrin', '28434-00-6', 'bioallethrin S-cyclopentenyl isomer', 'GFF4AL7FRM', 'bioallethrin S-cyclopentenyl', 'CHEBI:39115', '(S)-3-Allyl-3-methyl-4-oxocyclopent-2-enyl (+)-trans-chrysanthemate', 'Esbiol concentrate 90%', 'D-TRANS-ALLETHRIN', '(1S)-2-methyl-4-oxo-3-(prop-2-en-1-yl)cyclopent-2-en-1-yl (1R,3R)-2,2-dimethyl-3-(2-methylprop-1-en-1-yl)cyclopropanecarboxylate', 'EINECS 249-013-5', 'd-Allethrolone d-trans-chrysanthemumate', '(+)-trans-Allethrin', 'BRN 2059862', '(1S)-3-allyl-2-methyl-4-oxocyclopent-2-en-1-yl (1R,3R)-2,2-dimethyl-3-(2-methylprop-1-en-1-yl)cyclopropanecarboxylate', '[(1S)-2-methyl-4-oxo-3-prop-2-enylcyclopent-2-en-1-yl] (1R,3R)-2,2-dimethyl-3-(2-methylprop-1-enyl)cyclopropane-1-carboxylate', 'Caswell No. 025A', 'trans-D-Allethrin', '(S)-Bioallethrin', '2,2-Dimethyl-3-(2-methyl-1-propenyl)cyclopropanecarboxylic acid 2-methyl-4-oxo-3-(2-propenyl)-2- cyclopenten-1-yl ester', '28057-48-9', 'Allethrin, DL-trans-', 'alpha-dl-trans-Allethrin', 'Bioallethrin (Esbiothrin)', 'DSSTox_CID_19336', 'DSSTox_RID_79434', 'DSSTox_GSID_39336', '4-09-00-00174 (Beilstein Handbook Reference)', 'SCHEMBL288757', 'CHEMBL1887350', 'DTXSID2039336', '3-Allyl-2-methyl-4-oxocyclopent-2-en-1-yl (1R-(1alpha(S*),3beta))-2,2-dimethyl-3-(2-methylprop-1-enyl)cyclopropanecarboxylate', 'Cyclopropanecarboxylic acid, 2,2-dimethyl-3-(2-methyl-1-propenyl)-, 2-methyl-4-oxo-3-(2-propenyl)-2-cyclopenten-1-yl ester, (1R-(1alpha(S*),3beta))-', 'ZINC4480365', 'Tox21_301044', 'LMPR0102060006', 'DL-2-Allyl-4-hydroxy-3-methyl-2-cyclopenten-1-one, d-trans-chrysanthemum monocarboxylic ester', 'NCGC00163816-01', 'NCGC00168304-01', 'NCGC00168304-02', 'NCGC00254946-01', 'CAS-28434-00-6', 'J-017068', 'Q14715593', 'UNII-0X03II877M component ZCVAOQKBXKSDMS-PVAVHDDUSA-N', 'UNII-G79DM7O471 component ZCVAOQKBXKSDMS-PVAVHDDUSA-N', 'UNII-Y8J603E78R component ZCVAOQKBXKSDMS-PVAVHDDUSA-N', '(1S)-2-methyl-4-oxo-3-prop-2-en-1-ylcyclopent-2-en-1-yl (1R,3R)-2,2-dimethyl-3-(2-methylprop-1-en-1-yl)cyclopropanecarboxylate', '3-allyl-2-methyl-4-oxocyclopent-2-en-1-yl [1R-[1?(S*),3?]]-2,2-dimethyl-3-(2-methylprop-1-enyl)cyclopropanecarboxylate;3-allyl-2-methyl-4-oxocyclopent-2-en-1-yl [1R-[1a(S*),3ss]]-2,2-dimethyl-3-(2-methylprop-1-enyl)cyclopropanecarboxylate', '3972-20-1', 'Cyclopropanecarboxylic acid, 2,2-dimethyl-3-(2-methyl-1-propenyl)-, (1R)-2-methyl-4-oxo-3-(2-propenyl)-2-cyclopenten-1-yl ester, (1R,3R)-rel-', 'Cyclopropanecarboxylic acid, 2,2-dimethyl-3-(2-methyl-1-propenyl)-, ster with 2-allyl-4-hydroxy-3-methyl-2-cyclopenten-1-one, trans-(+-)-']</t>
  </si>
  <si>
    <t>Compound(62829)</t>
  </si>
  <si>
    <t>(3S)-N-methyl-3-naphthalen-1-yloxy-3-thiophen-2-ylpropan-1-amine</t>
  </si>
  <si>
    <t>['duloxetine', '116539-59-4', '(S)-Duloxetine', 'Cymbalta', 'Yentreve', 'DULOXETINE HYDROCHLORIDE', 'Duloxetine [INN:BAN]', '(S)-N-Methyl-3-(naphthalen-1-yloxy)-3-(thiophen-2-yl)propan-1-amine', 'LY 248686', 'UNII-O5TNM5N07U', 'Ariclaim', 'Xeristar', '136434-34-9', 'LY248686', 'HSDB 7368', 'Yentreve (TN)', 'O5TNM5N07U', '(S)-N-Methyl-gamma-(1-naphthalenyloxy)-2-thiophenepropanamine', 'CHEBI:36795', '(3S)-N-methyl-3-(1-naphthyloxy)-3-(2-thienyl)propan-1-amine', '(3S)-N-methyl-3-naphthalen-1-yloxy-3-thiophen-2-ylpropan-1-amine', 'LY-248686', 'methyl[(3S)-3-(naphthalen-1-yloxy)-3-(thiophen-2-yl)propyl]amine', '(3s)-N-Methyl-3-(Naphthalen-1-Yloxy)-3-(Thiophen-2-Yl)propan-1-Amine', '2-Thiophenepropanamine, N-methyl-gamma-(1-naphthalenyloxy)-, (gammaS)-', 'duloxetine, (+)-isomer', '2-Thiophenepropanamine, N-methyl-gamma-(1-naphthalenyloxy)-, (S)-', 'Duloxetine (INN)', 'SMR000449282', 'C18H19NOS', 'NCGC00164559-01', 'Duloxetine Boehringer Ingelheim', '29E', 'CPD000449282', 'SCHEMBL8291', 'CHEMBL1175', 'GTPL202', 'cc-636', 'MLS000758267', 'MLS001423946', '(S)-Duloxetine;LY248686', 'DTXSID6048385', 'N-Methyl-gama-(1-naphthalenyloxy)-2-thiophenepropanamine', 'BDBM84745', 'CTK8B9954', 'HMS2051I05', 'HY-B0161', 'ZINC1536779', '(3S)-N-methyl-3-(naphthalen-1-yloxy)-3-(2-thienyl)propan-1-amine', 'ANW-63714', 'MFCD06801358', 'PDSP1_000969', 'PDSP1_001385', 'PDSP2_000953', 'PDSP2_001369', 's5071', 'AKOS015851058', 'CCG-100763', 'CM14423', 'CS-2885', 'DB00476', 'NC00013', 'SB19317', 'VA11973', 'NCGC00164559-02', 'NCGC00164559-04', 'AC-15704', 'AS-35259', 'SC-19047', 'SBI-0206832.P001', 'AX8017669', 'LS-172322', 'CAS_136434-34-9', 'D07880', 'AB00639911-13', 'AB00639911_15', 'AB00639911_16', '539D594', 'Q411932', 'J-003455', 'J-523680', '(+)-(S)-N-Methyl-3-(1-naphthyloxy)-3-(2-thienyl)propylamin', '(S)-(+)-N-methyl-3-(1-naphthyloxy)-3-(2-thienyl)propylamine', '(S)-N-methyl-3-(1-naphthalenyloxy)-3-(2-thienyl) propanamine', '(3S)-N-methyl-3-naphthalen-1-yloxy-3-thiophen-2-yl-propan-1 amine', '(3S)-N-methyl-3-naphthalen-1-yloxy-3-thiophen-2-yl-propan-1-amine', '(3s)-n-methyl-3-naphthalen-1-yloxy-3-thiophen-2-yl-propan-1amine', '(S)-(+)-N-methyl-3-(1-naphthaleneoxy)-3-(2-thienyl)propanamine', '(3S)-N-Methyl-3-[(naphthalen-1-yl)oxy]-3-(thiophen-2-yl)propan-1-amine', 'duloxetine;2-Thiophenepropanamine, N-methyl-?-(1-naphthalenyloxy)-, (?S)-;Duloxetine hydrochloride']</t>
  </si>
  <si>
    <t>Compound(60835)</t>
  </si>
  <si>
    <t>C18H19NOS</t>
  </si>
  <si>
    <t>epsilon-hexachlorocyclohexane</t>
  </si>
  <si>
    <t>etridiazole</t>
  </si>
  <si>
    <t>5-ethoxy-3-(trichloromethyl)-1,2,4-thiadiazole</t>
  </si>
  <si>
    <t>['Etridiazole', '2593-15-9', 'Echlomezol', 'Echlomezole', 'Etridiazol', '5-Ethoxy-3-(trichloromethyl)-1,2,4-thiadiazole', 'Terracoat', 'Aaterra', 'Banrot', 'Ethazol', 'Pansoil', 'Planvate', 'Etcmtb', 'Koban', 'Truban', 'TERRAZOLE', 'Terracoat L21', 'Terrachlor-super X', 'Terraflo', 'Dwell', 'Olin mathieson 2,424', 'ETMT', 'Ethazole (fungicide)', '5-Ethoxy-3-trichloromethyl-1,2,4-thiadiazole', '1,2,4-Thiadiazole, 5-ethoxy-3-(trichloromethyl)-', 'OM 2424', 'Caswell No. 428', 'OM 2425', 'Etridiazole [BSI:ISO]', '3-(Trichloromethyl)-5-ethoxy-1,2,4-thiadiazole', 'MF-344', 'NSC 524929', 'HSDB 1709', 'UNII-9F8237I875', '5-Aethoxy-3-trichlormethyl-1,2,4-thiadiazol', 'EINECS 219-991-8', 'EPA Pesticide Chemical Code 084701', 'BRN 1074817', 'AI3-29280', 'CHEBI:81761', '5-Aethoxy-3-trichlormethyl-1,2,4-thiadiazol [German]', 'Ethyl 3-trichloromethyl-1,2,4-thiadiazol-5-yl ether', '9F8237I875', 'C5H5Cl3N2OS', 'etridazole', 'Etridiazole (Echlomezole)', 'DSSTox_CID_12547', 'DSSTox_RID_78976', 'DSSTox_GSID_32547', 'SCHEMBL20227', 'Etridiazole, analytical standard', 'CHEMBL3183350', 'DTXSID3032547', 'WLN: T5NS DNJ CO2 EXGGG', 'ZINC1605809', 'Tox21_300924', 'NSC524929', 'AKOS015898229', 'ACM2593159', 'FCH1326199', 'NSC-524929', 'Etridiazole 10 microg/mL in Cyclohexane', 'NCGC00163854-01', 'NCGC00163854-02', 'NCGC00163854-03', 'NCGC00254826-01', 'AK129253', 'BP-10210', 'OR322212', 'CAS-2593-15-9', '5-Aethoxy-3-trichlormethyl-1,4-thiadiazol', 'AX8129889', 'DB-046794', 'LS-150294', 'FT-0603613', 'NS00007073', '5-Ethoxy-3-trichloromethyl-1,2,4-thiadiazol', '3-(Trichloromethyl)-5-ethoxy-1,4-thiadiazole', '3-trichloromethyl-5-ethoxy-1,2,4-thiadiazole', '5-Ethoxy-3-(trichloromethyl)-1,4-thiadiazole', 'C18460', 'Etridiazole, PESTANAL(R), analytical standard', '26817-EP2305662A1', '26817-EP2308857A1', '26817-EP2314583A1', '1,4-Thiadiazole, 5-ethoxy-3-(trichloromethyl)-', '135638-EP2275422A1', '135638-EP2292608A1', '593E159', 'C-15145', 'J-016188', 'Q1371667', 'Ethyl 3-(trichloromethyl)-1,2,4-thiadiazol-5-yl ether #', 'Echlomezole;etridiazole;5-ethoxy-3-trichloromethyl-1,2,4-thiadiazole;Carbamic acid, [1,2-phenylenebis(iminocarbonothioyl)]bis-, dimethyl ester, mixt. with 5-ethoxy-3-(trichloromethyl)-1,2,4-thiadiazole']</t>
  </si>
  <si>
    <t>Compound(17432)</t>
  </si>
  <si>
    <t>C5H5Cl3N2OS</t>
  </si>
  <si>
    <t>azepan-2-one</t>
  </si>
  <si>
    <t>['azepan-2-one', 'epsilon-Caprolactam', 'CAPROLACTAM', '105-60-2', '6-Caprolactam', '2-Oxohexamethylenimine', 'Aminocaproic lactam', '2H-Azepin-2-one, hexahydro-', 'Hexahydro-2H-azepin-2-one', '2-Azacycloheptanone', '6-Hexanelactam', 'Hexanolactam', '2-Perhydroazepinone', '2-Oxohexamethyleneimine', 'Hexahydro-2-azepinone', '1,6-Hexolactam', 'E-Caprolactam', 'Hexanone isoxime', 'Caprolattame', 'Hexanonisoxim', '2-Ketohexamethylenimine', 'Cyclohexanone iso-oxime', '6-Aminocaproic acid lactam', 'Caprolactam monomer', 'Epsylon kaprolaktam', '2-Ketohexamethyleneimine', '1-Aza-2-cycloheptanone', 'Kaprolaktam', 'Kapromine', 'Stilon', 'hexannic acid', 'e-Kaprolaktam', 'Hexamethylenimine, 2-oxo-', '6-Aminohexanoic acid cyclic lactam', 'Extrom 6N', 'Capron PK4', '2H-Azepin-7-one, hexahydro-', 'Perhydroazepin-2-one', 'E-caprolactum', 'gamma-caprolactam', 'omega-caprolactum', '1,6-Hexalactam', 'Hexanoic acid, 6-amino-, lactam', '.omega.-Caprolactam', 'NCI-C50646', '.epsilon.-Caprolactam', 'Caprolattame [French]', 'e-Kaprolaktam [Czech]', 'Hexanonisoxim [German]', 'Hexanoic acid, 6-amino-, cyclic lactam', '2H-azepin-7-one,hexahydro', 'Caprolactam solution', 'Epsylon kaprolaktam [Polish]', 'CCRIS 119', 'Aza-2-cycloheptanone', 'HSDB 187', 'UNII-6879X594Z8', 'A1030', 'EINECS 203-313-2', 'MFCD00006936', 'Caprolactam dust and vapor', 'cis-Hexahydro-2-azepinone', 'NSC 117393', 'BRN 0106934', 'AI3-14515', 'hexanoic acid-6-amino-,lactam', 'CHEBI:28579', '2-Azepinone, hexahydro-, (Z)-', 'Cyclohexanoneisooxime', 'Hexahydro-2H-azepin-2-one (9CI)', 'azaperhydroepin-2-one', 'Hexanoic acid, lactam', 'DSSTox_CID_240', 'WLN: T7MVTJ', '6879X594Z8', 'DSSTox_RID_75454', 'epsilon-Caprolactam, 99+%', 'DSSTox_GSID_20240', 'Hexanoic acid, cyclic lactam', 'HEXANOIC ACID,6-AMINO,LACTAM   E-CAPROLACTAM', '34876-18-1', 'CAS-105-60-2', 'caprolactim', 'Steelon', 'Stylon', '2H-Azepin-2-one, hexahydro-, homopolymer', '6-hexanolactam', 'hexannic  acid', 'U-Caprolactam', 'hexano-6-lactam', '2-Azepanone', 'Polyamide pk 4', 'Caprolactam,(S)', 'epsilon caprolactam', '2-Azepanone #', 'epsilon-?Caprolactam', 'Lactam, aminocaproic', 'Tarnamid T 27', 'azacycloheptan-2-one', 'azacycloheptane-2-one', 'hexahydroazepin-2-one', 'zlchem 1213', 'Capron 8257', '2H-Azepin-2-one, hexahydro-, polyamides', 'ATM 2(NYLON)', 'bmse000372', 'epsilon-Caprolactam, 99%', 'EC 203-313-2', '6-Aminohexanoic acid lactam', 'hexahydro 2H Azepin 2 one', 'Hexahydro-2H-azepine-2-one', 'SCHEMBL19610', '6-amino-hexanoic acid lactam', 'hexanoic acid-6-amino-lactam', '5-21-06-00444 (Beilstein Handbook Reference)', '9012-16-2', '6- amino-hexanoic acid lactam', 'CHEMBL276218', 'DTXSID4020240', 'NIOSH/CM3900000', 'CTK4H3192', 'NSC4977', 'ZLD0682', 'NSC-4977', 'NSC25536', 'STR02412', 'ZINC5133576', 'Tox21_202202', 'Tox21_300163', 'ANW-66478', 'BBL002914', 'c0432', 'LS-390', 'MFCD19226350', 'NSC-25536', 'NSC117393', 'SBB058658', 'STK378587', 'AKOS000119969', 'MCULE-4544579564', 'NSC-117393', 'epsilon-Caprolactam, analytical standard', 'NCGC00247913-01', 'NCGC00247913-02', 'NCGC00253933-01', 'NCGC00259751-01', 'AK-44925', 'AM802872', 'LS-22987', 'DB-003880', 'DB-032192', 'CM39000000', 'FT-0623443', 'FT-0625676', 'NS00008125', 'ST50308104', 'T7289', 'A23500', 'C06593', '77345-EP2279741A2', '77345-EP2292599A1', '77345-EP2301919A1', '77345-EP2308831A1', '77345-EP2377846A1', 'Q409397', 'J-510225', 'Cyclohexanoneisooxime;E-Caprolactam; Epsilon-caprolactam', 'F0001-0110']</t>
  </si>
  <si>
    <t>Compound(7768)</t>
  </si>
  <si>
    <t>C6H11NO</t>
  </si>
  <si>
    <t>[ethoxy(phenylsulfanyl)phosphoryl]sulfanylbenzene</t>
  </si>
  <si>
    <t>['Edifenphos', '17109-49-8', 'EDDP', 'Hinosan', 'Ediphenphos', 'EDDP (pesticide)', 'Bay-hinosan', 'O-ETHYL S,S-DIPHENYL PHOSPHORODITHIOATE', 'Bayer 78418', 'Ediphenophos', 'Edifenphos [BSI:ISO]', 'BAY 78418', 'O-Ethyl-S,S-diphenyl phosphorodithioate', 'O-Aethyl-S,S-diphenyl-dithiophosphat', 'O-Ethyl S,S-diphenyl dithiophosphate', 'Caswell No. 434B', 'Blastoff', 'Edifenfos', 'Phosphorodithioic acid, O-ethyl S,S-diphenyl ester', 'SRA 7847', 'UNII-770M9U0F8Q', 'HSDB 6623', 'EINECS 241-178-1', 'O-Ethyl-S,S-diphenyl dithiophosphate', 'EPA Pesticide Chemical Code 434300', 'Phosphorodithioic acid, O-ethyl-S,S-diphenyl ester', 'BRN 1988797', 'CHEMBL1671900', 'CHEBI:34735', 'Dithiophosphorsaeure-O-aethyl-S,S-diphenylester', 'O-Aethyl-S,S-diphenyl-dithiophosphat [German]', '770M9U0F8Q', 'Dithiophosphorsaeure-O-aethyl-S,S-diphenylester [German]', '[ethoxy(phenylsulfanyl)phosphoryl]sulfanylbenzene', 'Edifenphos, BSI', 'Edifenphos (EDDP)', 'EDPP / Edifenphos', 'DSSTox_CID_21910', 'DSSTox_RID_79873', 'DSSTox_GSID_41910', 'SCHEMBL20330', 'BIDD:ER0392', 'Edifenphos, analytical standard', 'DTXSID7041910', 'AWZOLILCOUMRDG-UHFFFAOYSA-', 'C14H15O2PS2', 'ethyl bis(phenylsulfanyl)phosphinate', 'Tox21_301355', 'BDBM50417962', 'AKOS015901344', 'Edifenphos 10 microg/mL in Cyclohexane', 'NCGC00255720-01', 'AC-12684', 'CC-27438', 'CAS-17109-49-8', 'DB-043850', 'LS-108279', 'FT-0630436', 'NS00001472', 'Edifenphos, PESTANAL(R), analytical standard', '(ethoxy-phenylsulfanylphosphoryl)sulfanylbenzene', 'C14436', '109E498', 'C-19232', 'J-010687', 'Q15632710']</t>
  </si>
  <si>
    <t>Compound(28292)</t>
  </si>
  <si>
    <t>C14H15O2PS2</t>
  </si>
  <si>
    <t>protein total</t>
  </si>
  <si>
    <t>emamectin benzoate</t>
  </si>
  <si>
    <t>benzoic acid;(1'R,2R,3S,4'S,6S,8'R,10'E,12'S,13'S,14'E,16'E,20'R,21'R,24'S)-2-[(2S)-butan-2-yl]-21',24'-dihydroxy-12'-[(2R,4S,5S,6S)-4-methoxy-5-[(2S,4S,5S,6S)-4-methoxy-6-methyl-5-(methylamino)oxan-2-yl]oxy-6-methyloxan-2-yl]oxy-3,11',13',22'-tetramethylspiro[2,3-dihydropyran-6,6'-3,7,19-trioxatetracyclo[15.6.1.14,8.020,24]pentacosa-10,14,16,22-tetraene]-2'-one</t>
  </si>
  <si>
    <t>['Emamectin benzoate', 'Emamectin', '155569-91-8', '137512-74-4', '119791-41-2', 'SCHEMBL4291571', 'CHEMBL1883852', 'C49H75NO13.C7H6O2', 'AKOS025311598', 'AS-72351', '569E918']</t>
  </si>
  <si>
    <t>Compound(11650986)</t>
  </si>
  <si>
    <t>C56H81NO15</t>
  </si>
  <si>
    <t>(1'R,2R,3S,4'S,6S,8'R,10'E,12'S,13'S,14'E,16'E,20'R,21'R,24'S)-2-[(2S)-butan-2-yl]-21',24'-dihydroxy-12'-[(2R,4S,5S,6S)-4-methoxy-5-[(2S,4S,5S,6S)-4-methoxy-6-methyl-5-(methylamino)oxan-2-yl]oxy-6-methyloxan-2-yl]oxy-3,11',13',22'-tetramethylspiro[2,3-dihydropyran-6,6'-3,7,19-trioxatetracyclo[15.6.1.14,8.020,24]pentacosa-10,14,16,22-tetraene]-2'-one</t>
  </si>
  <si>
    <t>['emamectin B1a', 'Emamectin', 'CHEBI:39231', '119791-41-2', 'Emamectin benzoate', 'SCHEMBL229406', 'CHEMBL1907098', 'C49H75NO13', 'ZINC245204542', 'S512', '155569-91-8', '791E412', 'J-004450', 'Q27119776']</t>
  </si>
  <si>
    <t>Compound(11549937)</t>
  </si>
  <si>
    <t>C49H75NO13</t>
  </si>
  <si>
    <t>(1'R,2R,3S,4'S,6S,8'R,10'E,12'S,13'S,14'E,16'E,20'R,21'R,24'S)-2-[(2S)-butan-2-yl]-21',24'-dihydroxy-12'-[(2R,4S,5S,6S)-4-methoxy-5-[(2S,4S,5R,6S)-4-methoxy-6-methyl-5-(methylamino)oxan-2-yl]oxy-6-methyloxan-2-yl]oxy-3,11',13',22'-tetramethylspiro[2,3-dihydropyran-6,6'-3,7,19-trioxatetracyclo[15.6.1.14,8.020,24]pentacosa-10,14,16,22-tetraene]-2'-one</t>
  </si>
  <si>
    <t>['UNII-IX4GP7848F', '121124-29-6', 'IX4GP7848F', 'Emamectin', "(2aE,4E,5'S,6S,6'R,7S,8E,11R,13S,15S,17aR,20R,20aR,20bS)-6'-(butan-2-yl)-20,20b-dihydroxy-5',6,8,19-tetramethyl-17-oxo-5',6,6',10,11,14,15,17,17a,20,20a,20b-dodecahydro-2H,7H-spiro[11,15-methanofuro[4", '119791-41-2', 'SCHEMBL18293713', 'DTXSID80153164', 'BBL030831', 'STK801950', 'AKOS005622619', 'ZINC252463563', 'UNII-8C43B81H4W component CXEGAUYXQAKHKJ-COFQVFHOSA-N', "(2aE,4E,5'S,6S,6'R,7S,8E,11R,13S,15S,17aR,20R,20aR,20bS)-6'-[(2S)-Butan-2-yl]-20,20b-dihydroxy-5',6,8,19-tetramethyl-17-oxo-5',6,6',10,11,14,15,17,17a,20,20a,20b-dodecahydro-2H,7H-spiro[11,15-methanof"]</t>
  </si>
  <si>
    <t>Compound(11136686)</t>
  </si>
  <si>
    <t>(1'R,2R,3S,4'S,6S,8'R,10'E,12'S,13'S,14'E,16'E,20'R,21'R,24'S)-21',24'-dihydroxy-12'-[(2R,4S,5S,6S)-4-methoxy-5-[(2S,4S,5R,6S)-4-methoxy-6-methyl-5-(methylamino)oxan-2-yl]oxy-6-methyloxan-2-yl]oxy-3,11',13',22'-tetramethyl-2-propan-2-ylspiro[2,3-dihydropyran-6,6'-3,7,19-trioxatetracyclo[15.6.1.14,8.020,24]pentacosa-10,14,16,22-tetraene]-2'-one</t>
  </si>
  <si>
    <t>['emamectin B1b', 'UNII-P37ZE6MHXI', 'P37ZE6MHXI', '121424-52-0', 'SCHEMBL18293714', 'DTXSID80153265', 'J-004494', 'UNII-8C43B81H4W component DXIOOXFZLKCVHK-VAUHGISYSA-N', "(2aE,4E,5'S,6S,6'R,7S,8E,11R,13S,15S,17aR,20R,20aR,20bS)-20,20b-Dihydroxy-5',6,8,19-tetramethyl-17-oxo-6'-(propan-2-yl)-5',6,6',10,11,14,15,17,17a,20,20a,20b-dodecahydro-2H,7H-spiro[11,15-methanofuro["]</t>
  </si>
  <si>
    <t>Compound(15279960)</t>
  </si>
  <si>
    <t>C48H73NO13</t>
  </si>
  <si>
    <t>[(E)-4-methylhept-4-en-1-yn-3-yl] 2,2-dimethyl-3-(2-methylprop-1-enyl)cyclopropane-1-carboxylate</t>
  </si>
  <si>
    <t>['Empenthrin', '54406-48-3', 'd-Empenthrin', 'Vaporthrin', 'Bunganon VA Plate', 'Empenthrin [ISO]', 'S 2852 forte', 'S 2852F', '4-Methylhept-4-en-1-yn-3-yl 2,2-dimethyl-3-(2-methylprop-1-en-1-yl)cyclopropanecarboxylate', 'EINECS 259-154-4', 'MA 108', 'BRN 2281977', 'AI3-29695', 'S 2852', '1-Ethynyl-2-methylpent-2-enyl 2,2-dimethyl-3-(2-methylprop-1-enyl)cyclopropanecarboxylate', '(RS)-(E)-1-Ethynyl-2-methyl-2-pentenyl(1R)-cis,trans-chrysanthemate', 'Cyclopropanecarboxylic acid, 2,2-dimethyl-3-(2-methyl-1-propenyl)-, 1-ethynyl-2-methyl-2-pentenyl ester', 'CCRIS 8472', 'Empenthrin (I)', 'Empenthrin (II)', 'SCHEMBL117552', 'DTXSID2058122', 'CHEBI:81804', 'AKOS015903532', '[(E)-4-methylhept-4-en-1-yn-3-yl] 2,2-dimethyl-3-(2-methylprop-1-enyl)cyclopropane-1-carboxylate', 'CC-27454', 'LS-58699', 'O257', 'NS00008644', 'Empenthrin, PESTANAL(R), analytical standard', 'C18524', '406E483', 'C-17304', 'Q757060', 'W-105629', '(4E)-4-Methyl-4-hepten-1-yn-3-yl (1R)-2,2-dimethyl-3-(2-methyl-1-propen-1-yl)cyclopropanecarboxylate', '(E)-4-methylhept-4-en-1-yn-3-yl 2,2-dimethyl-3-(2-methylprop-1-enyl)cyclopropanecarboxylate', '1-ethynyl-2-methylpent-2-enyl 2,2-dimethyl-3-(2-methylprop-1-enyl)cyclopropa- necarboxylate', '1-ethynyl-2-methylpent-2-enyl 2,2-dimethyl-3-(2-methylprop-1-enyl)cyclopropa- necarboxylate;Empenthrin']</t>
  </si>
  <si>
    <t>Compound(6434488)</t>
  </si>
  <si>
    <t>C18H26O2</t>
  </si>
  <si>
    <t>3,4,5,6,6,7-hexachloropentacyclo[6.3.0.02,4.03,7.05,9]undecane-10-carbaldehyde</t>
  </si>
  <si>
    <t>['ENDRIN ALDEHYDE', '1,2,4-Methenocyclopenta[cd]pentalene-5-carboxaldehyde, 2,2a,3,3,4,7-hexachlorodecahydro-, (1.alpha.,2.beta.,2a.beta.,4.beta.,4a.beta.,5.beta.,6a.beta.,6b.beta.,7R*)-', '7421-93-4', 'HSDB 6181', 'SD 7442', 'SCHEMBL5933813', 'CTK8F9446', 'DTXSID10860011', '1,2,4-Methenocyclopenta(cd)pentalene-5-carboxaldehyde, 2,2a,3,3,4,7-hexachlorodecahydro-, (1alpha,2beta,2abeta,4beta,4abeta,5beta,6abeta,6bbeta,7R*)-', 'Endrin Aldehyde, vial of 1 g, 99%, analytical standard', '1,1,2,2a,6a,6b-Hexachlorodecahydro-2,3,6-(methanetriyl)cyclopropa[cd]azulene-5-carbaldehyde', '77287-19-5']</t>
  </si>
  <si>
    <t>Compound(522524)</t>
  </si>
  <si>
    <t>(1R,2R,3R,6S,7S,8S,9S,11R)-3,4,5,6,13,13-hexachloro-10-oxapentacyclo[6.3.1.13,6.02,7.09,11]tridec-4-ene</t>
  </si>
  <si>
    <t>['ENDRIN', 'Endricol', 'Endrex', 'Mendrin', 'Nendrin', 'Oktanex', 'Endrin isomer', 'Compound 269', 'Stardrin', 'Hexadrin', 'Endrine [French]', 'Rcra waste number P051', 'Stardrin 20', 'Endrin 20 EC', 'Experimental insecticide 269', 'Caswell No. 423', 'Endrin and metabolites', 'Latka 269', 'Endrin mixture', 'Latka 269 [Czech]', 'UNII-OB9NVE7YCL', 'OMS 197', 'EN 57', 'NCI-C00157', '72-20-8', 'Endrine', 'CCRIS 276', 'ENT 17,251', 'SD 3419', 'HSDB 198', 'OB9NVE7YCL', 'NSC 8935', 'EINECS 200-775-7', 'RCRA waste no. D013', 'RCRA waste no. P051', 'EPA Pesticide Chemical Code 041601', 'BRN 0091397', 'Hexachloroepoxyoctahydro-endo,endo-dimethanonaphthalene', 'AI3-17251', '3,4,5,6,9,9-Hexachloro-1a,2,2a,3,6,6a,7,7a-octahydro-2,7:3,6-dimethanonaphth(2,3-b)oxirene', '1,2,3,4,10,10-Hexachloro-6,7-epoxy-1,4,4a,5,6,7,8,8a-octahydro-endo,endo-1,4:5,8-dimethanonaphthalene', 'DSSTox_CID_561', 'DSSTox_RID_75660', 'DSSTox_GSID_20561', '(1aalpha,2beta,2abeta,3alpha,6alpha,6abeta,7beta,7aalpha)-3,4,5,6,9,9-hexachloro-1a,2,2a,3,6,6a,7,7a-octahydro-2,7:3,6-dimethanonaphth(2,3-b)oxirene', '(1R,4S,4aS,5S,6S,7R,8R,8aR)-1,2,3,4,10,10-Hexachloro-1,4,4a,5,6,7,8,8a-octahydro-6,7-epoxy-1,4:5,8-dimethanonaphthalene', '1,2,3,4,10,10-Hexachloro-1R,4S,4aS,5S,6,7R,8R,8aR-octahydro-6,7-epoxy-1,4:5,8-dimethanonaphthalene', '1,4:5,8-Dimethanonaphthalene, 1,2,3,4,10,10-hexachloro-6,7-epoxy-1,4,4a,5,6,7,8,8a-octahydro-, endo,endo-', '2,7:3,6-Dimethanonaphth(2,3-b)oxirene, 3,4,5,6,9,9-hexachloro-1a,2,2a,3,6,6a,7,7a-octahydro-, (1aalpha,2beta,2abeta,3alpha,6alpha,6abeta,7beta,7aalpha)-', '3,4,5,6,9,9-Hexachloro-1aalpha,2beta,2abeta,3alpha,6alpha,6abeta,7beta,7aalpha-octahydro-2,7:3,6-dimethanonaphth(2,3-b)oxirene', 'Hexachloroepoxyoctahydro-endo,endo-dimethanonapthalene', 'CAS-72-20-8', 'SD 3419 Illoxol', '1,2,3,4,10,10-HEXACHLORO-6,7-EPOXY-1,4,4A,5,6,7,8,8A-OCTAHYDRO-ENDO,ENDO-,1,4:5,8-DIMETHANONAPHTHALENE', 'Endrin [ISO]', 'experimental insecticide no. 269', 'NCGC00091352-02', '(1aalpha,2beta,2abeta,3alpha,6alpha,6abeta,7beta,7aalpha)-3,4,5,6,9,9-hexachloro-1a,2,2a,3,6,6a,7,7a-octahydro-2,7:3,6-Dimethanonaphth[2,3-b]oxirene', '(1aR,2R,2aR,3R,6S,6aS,7S,7aS)-3,4,5,6,9,9-hexachloro-1a,2,2a,3,6,6a,7,7a-octahydro-2,7:3,6-dimethanonaphtho[2,3-b]oxirene', '2,7:3,6-Dimethanonaphth[2,3-b]oxirene, 3,4,5,6,9,9-hexachloro-1a,2,2a,3,6,6a,7,7a-octahydro-, (1a.alpha.,2.beta.,2a.beta.,3.alpha.,6.alpha.,6a.beta.,7.beta.,7a.alpha.)-', 'rel-(1aR,2R,2aR,3R,6S,6aS,7S,7aS)-3,4,5,6,9,9-hexachloro-1a,2,2a,3,6,6a,7,7a-octahydro-2,7:3,6-dimethanonaphth[2,3-b]oxirene', 'Endrin 1.6 EC', 'Cmpd. 269', '4-17-00-00525 (Beilstein Handbook Reference)', 'Endrin microg/mL in Cyclohexane', 'CHEMBL2356732', 'DTXSID6020561', 'SCHEMBL21820798', 'Endrin 1000 microg/mL in Hexane', '(3R,6S)-3,4,5,6,9,9-hexachloro-1a,2,2a,3,6,6a,7,7a-octahydro-2,7:3,6-dimethanonaphtho[2,3-b]oxirene', '2,7:3,6-Dimethanonaphth(2,3-b)oxirene, 3,4,5,6,9,9-hexachloro-1a,2,2a,3,6,6a,7,7a-octahydro-,  (1aR,2R,2aR,3R,6S,6aS,7S,7aS)-rel-', 'Endrin 100 microg/mL in Isooctane', 'Tox21_111120', 'Tox21_300613', 'Endrin 10 microg/mL in Acetonitrile', 'LS-1613', 'NA 2761', 'NCGC00248106-01', 'NCGC00254373-01', 'Q423354', '(1R,4S,5R,8S)-1,2,3,4,10,10-hexachloro-1,4, 4a,5,6,7,8,8a-octahydro-6,7-epoxy-1,4:5,8-dimethanonaphthalene', '(1R,4S,5R,8S)-1,2,3,4,10,10-hexachloro-1,4,4a,5,6,7,8,8a-octahydro-6,7-epoxy-1,4:5,8-dimethanonaphthalene', '1,2,3,4,10,10-Hexachloro-6,7-epoxy-1,4,4a,5,6,7,8,8a-octahydro-1,4-endo,endo-5,8-dimethanonaphthalene', '1,2,3,4,10,10-hexachloro-6,7-epoxy-1,4,4a,5,6,7,8,8a-octahydro-1,4-endo-endo-5,8-dimethano-naphthalene', '1,2,3,4,10,10-hexachloro-6,7-epoxy-1,4,4a,5,6,7,8,8a-octahydro-endo,endo-1,4:5,8-dimethanonaphth alene', '1,2,3,4,10,10-Hexachloro-6,7-epoxy-1,4,4a,5,6,7,8,8a-octahydro-endo-1,4-endo-5,8-dimethanonaphthalene', '1,2,3,4,10,10-Hexachloro-6,7-Epoxy-1,4,4a,5,6,7,8,8a-octahydro-exo-1,4-exo-5,8-dimethanonaphthalene', '2,7:3,6-Dimethanonaphth(2,3-b)oxirane, 3,4,5,6,9,9-hexachloro-1a,2,2a,3,6,6a,7,7a-octahydro-, (1aalpha,2beta,3alpha,6alpha,6abeta,7beta, 7aalpha)-', '2,7:3,6-Dimethanonaphth(2,3-b)oxirane, 3,4,5,6,9,9-hexachloro-1a,2,2a,3,6,6a,7,7a-octahydro-, (1aalpha,2beta,3alpha,6alpha,6abeta,7beta,7aalpha)-', '2,7:3,6-Dimethanonaphth[2,3-b]oxirene, 3,4,5,6,9,9-hexachloro-1a,2,2a,3,6,6a,7,7a-octahydro-, (1aI+/-,2I(2),2aI(2),3I+/-,6I+/-,6aI(2),7I(2),7aI+/-)-', '3,4,5,6,9,9-hexachloro-1a,2,2a,3,6,6a,7,7a-octahydro-2,7:3,6-dimethanonaphth(2,3-b)oxirene, (1aA, 2B,2aB,3A,6A,6aB,7B,7aA)-', '3,4,5,6,9,9-hexachloro-1a,2,2a,3,6,6a,7,7a-octahydro-2,7:3,6-dimethanonaphth(2,3-b)oxirene, (1aA,2B,2aB,3A,6A,6aB,7B,7aA)-']</t>
  </si>
  <si>
    <t>Compound(12358480)</t>
  </si>
  <si>
    <t>endosulfan sulfate</t>
  </si>
  <si>
    <t>1,9,10,11,12,12-hexachloro-4,6-dioxa-5lambda6-thiatricyclo[7.2.1.02,8]dodec-10-ene 5,5-dioxide</t>
  </si>
  <si>
    <t>['ENDOSULFAN SULFATE', 'Endosulfan sulphate', '1031-07-8', 'Thiodan sulfate', '6,9-Methano-2,4,3-benzodioxathiepin, 6,7,8,9,10,10-hexachloro-1,5,5a,6,9,9a-hexahydro-, 3,3-dioxide', '5-Norbornene-2,3-dimethanol, 1,4,5,6,7,7-hexachloro-, cyclic sulfate', '6,7,8,9,10,10-Hexachloro-1,5,5a,6,9,9a-hexahydro- 6,9-methano-2,4,3-benzodioxathiepin-3,3-dioxide', 'HSDB 6180', '6749-25-3', 'endosulfansulfate', 'Endosulphan sulphate', 'Endosulfan metabolite', 'DSSTox_CID_17541', 'DSSTox_RID_79332', 'DSSTox_GSID_37541', 'SCHEMBL630451', 'CHEMBL2272380', 'DTXSID3037541', 'Tox21_300782', 'Endosulfan sulfate;Endosulfan-sulfate', 'NCGC00248167-01', 'NCGC00254686-01', 'LS-97225', 'CAS-1031-07-8', 'HY-117179', 'CS-0064099', 'NS00009999', '5-Norbornene-2,3-dimethanol, 1,4,5,6,7,7-hexachoro-, cyclic', '(1R, 9S)-1,9,10,11,12,12,-hexachloro-4,6-dioxa-5-tiatricyclododec-10-ene-5,5-dioxide', '1,9,10,11,12,12-hexachloro-4,6-dioxa-5lambda6-thiatricyclo[7.2.1.02,8]dodec-10-ene 5,5-dioxide', '6,7,8,9,10,10-Hexachloro-1,5,5a,6,9,9a-hexahydro-3H-6,9-methano-3lambda~6~-2,4,3lambda~6~-benzodioxathiepine-3,3-dione']</t>
  </si>
  <si>
    <t>Compound(13940)</t>
  </si>
  <si>
    <t>C9H6Cl6O4S</t>
  </si>
  <si>
    <t>endosulfan ether</t>
  </si>
  <si>
    <t>1,7,8,9,10,10-hexachloro-4-oxatricyclo[5.2.1.02,6]dec-8-ene</t>
  </si>
  <si>
    <t>['Endosulfan ether', '3369-52-6', 'NSC 37660', 'BRN 1288889', 'AI3-29023', '4,7-Methanoisobenzofuran, 4,5,6,7,8,8-hexachloro-1,3,3a,4,7,7a-hexahydro-', '1,3,3a,4,7,7a-Hexahydro-4,5,6,7,8,8-hexachloro-4,7-methanoisobenzofuran', '4,7-Methanoisobenzofuran, 1,3,3a,4,7,7a-hexahydro-4,5,6,7,8,8-hexachloro-', 'NSC37660', '4,7-methanoisobenzofuran', 'DTXSID0052704', 'CTK8F9443', 'NSC-37660', 'LS-90971', 'J-019299', '(1R, 7S)-1,7,8,9,10,10-hexachloro-4-oxatricyclodec-8-ene', '4, 4,5,6,7,8,8-hexachloro-1,3,3a,4,7,7a-hexahydro-']</t>
  </si>
  <si>
    <t>Compound(97768)</t>
  </si>
  <si>
    <t>C9H6Cl6O</t>
  </si>
  <si>
    <t>endosulfan lactone</t>
  </si>
  <si>
    <t>1,7,8,9,10,10-hexachloro-4-oxatricyclo[5.2.1.02,6]dec-8-en-3-one</t>
  </si>
  <si>
    <t>['Endosulfan lactone', 'Endolacton', 'Endosulfan lacton', '3868-61-9', 'BRN 1322148', '3a,4,7,7a-Tetrahydro-4,5,6,7,8,8-hexachloro-4,7-methanoisobenzofuran-1(3H)-one', '4,7-Methanoisobenzofuran-1(3H)-one, 3a,4,7,7a-tetrahydro-4,5,6,7,8,8-hexachloro-', '5-Norbornene-2-carboxylc acid, 1,4,5,6,7,7-hexachloro-3-(hydroxymethyl)-, gamma-lactone', 'DTXSID5052707', '4,7-Methanoisobenzofuran-1(3H)-one, 4,5,6,7,8,8-hexachloro-3a,4,7,7a-tetrahydro-', 'LS-90975', 'Endosulfan lactone, PESTANAL(R), analytical standard', '5-Norbornene-2-carboxylic acid, 1,4,5,6,7,7-hexachloro-3-(hydroxymethyl)-, .gamma.-lactone']</t>
  </si>
  <si>
    <t>Compound(145710)</t>
  </si>
  <si>
    <t>C9H4Cl6O2</t>
  </si>
  <si>
    <t>endosulfan (sum of alpha and beta isomer)</t>
  </si>
  <si>
    <t>1,9,10,11,12,12-hexachloro-4,6-dioxa-5lambda4-thiatricyclo[7.2.1.02,8]dodec-10-ene 5-oxide</t>
  </si>
  <si>
    <t>['endosulfan', 'Benzoepin', 'Thiodan', '115-29-7', 'Thiosulfan', 'Thionex', 'Chlorthiepin', 'Insectophene', 'Rasayansulfan', 'Devisulphan', 'Endosulphan', 'Beosit', 'Endocel', 'Endotaf', 'Hildan', 'Sialan', 'Thifor', 'Thimul', 'Tionex', 'Tiovel', 'Malix', 'Thiodan 35', 'Crisulfan', 'Thionate', 'Phaser', 'Thiotox (insecticide)', 'Kop-thiodan', 'Niagara 5,462', 'Thiosulfan tionel', 'Thiodan 4EC', 'PFF Thiodan 4E', 'Endosulfan 35 EC', 'Thiodan 50 WP', 'Caswell No. 420', 'Endosol', 'Goldenleaf tobacco spray', 'Thiodan 4EC Insecticide', 'Thiodan Dust Insecticide', 'OMS 570', 'Endosulfan and metabolites', 'RCRA waste number P050', 'FMC 5462', 'Endosulfan 35EC', 'Thiodan 50 WP Insecticide', '1,4,5,6,7,7-Hexachloro-5-norbornene-2,3-dimethanol cyclic sulfite', 'BIO 5,462', 'HOE 2,671', 'CCRIS 275', 'Endosulfan [ANSI:BSI:ISO]', 'ENT 23,979', 'Thiodan 4E Insecticide Liquid', 'HSDB 390', '6,9-Methano-2,4,3-benzodioxathiepin, 6,7,8,9,10,10-hexachloro-1,5,5a,6,9,9a-hexahydro-, 3-oxide', 'NCI-C00566', '1,4,5,6,7,7-Hexachloro-8,9,10-trinorborn-5-en-2,3-ylenedimethyl sulphite', 'NIA 5462', 'alpha,beta-1,2,3,4,7,7-Hexachlorobicyclo(2.2.1)-2-heptene-5,6-bisoxymethylene sulfite', 'EINECS 204-079-4', 'RCRA waste no. P050', 'EPA Pesticide Chemical Code 079401', 'SD-4314', '6,7,8,9,10,10-hexachloro-1,5,5a,6,9,9a-hexahydro-6,9-methano-2,4,3-benzodioxathiepine 3-oxide', 'AI3-23979', 'CHEBI:4791', 'CHEMBL194399', 'Endosulfan B', 'Endosulfan II', '.beta.-Endosulfan', '.alpha.-Endosulfan', 'Hexachlorohexahydromethano 2,4,3-benzodioxathiepin-3-oxide', '6,9-Methano-2,4,3-benzodioxathiepin, 6,7,8,9,10,10-hexahydro-', 'DSSTox_CID_560', '1,2,3,4,7,7-Hexachlorobicyclo(2.2.1)hepten-5,6-bioxymethylenesulfite', '5-Norbornene-2,3-dimethanol, 1,4,5,6,7,7-hexachloro-, cyclic sulfite', '1,9,10,11,12,12-hexachloro-4,6-dioxa-5-thiatricyclo[7.2.1.0(2,8)]dodec-10-ene 5-oxide', 'DSSTox_RID_75659', 'Sulfurous acid, cyclic ester with 1,4,5,6,7,7-hexachloro-5-norbornene-2,3-dimethanol', 'DSSTox_GSID_20560', '6,9-Methano-2,4,3-benzodioxathiepin, 6,7,8,9,10,10-hexachloro-1,5,5a,6,9,9a-hexahydro-, 3-oxide, (3.alpha.,5a.alpha.,6.beta.,9.beta.,9a.alpha.)-', '6,9-Methano-2,4,3-benzodioxathiepin, 6,7,8,9,10,10-hexachloro-1,5,5a,6,9,9a-hexahydro-, 3-oxide, (3.alpha.,5a.beta.,6.alpha.,9.alpha.,9a.beta.)-', 'UNII-OKA6A6ZD4K', '33213-65-9', '6,7,8,9,10,10-HEXACHLORO-1,5,5A,6,9,9A-HEXAHYDRO-6,9-METHANO-2,4,3-BENZODIOXATHIEPIN3-OXIDE', 'CAS-115-29-7', 'endosulfan, technical grade', '6,7,8,9,10,10-Hexachloro-1,5,5a,6,9,9a-hexahydro-6,9-methano-2,4,3-benzodioxathiepin-3-oxide', 'devisulfan', 'thiofor', 'thiomul', 'tionel', 'Chlortiepin', 'OKA6A6ZD4K', 'Thiodan rophen', 'niagra 5462', 'Spectrum_001971', 'SpecPlus_000600', 'Spectrum2_001893', 'Spectrum3_000870', 'Spectrum4_000710', 'Spectrum5_002064', 'Endosalfan and metabolites', 'SCHEMBL21377', 'BSPBio_002519', 'KBioGR_001239', 'KBioSS_002537', 'SPECTRUM330083', 'bio 5,642', 'DivK1c_006696', 'SPBio_001826', 'DTXSID1020560', 'KBio1_001640', 'KBio2_002528', 'KBio2_005096', 'KBio2_007664', 'KBio3_002019', 'BIO 5462', 'Tox21_202365', 'Tox21_300657', 'BDBM50240986', 'CCG-39349', 'LS-574', 'AKOS015951078', 'benzo[e][1,3,2]dioxathiepin-3-oxide', 'SD 4314', 'NCGC00091498-01', 'NCGC00091498-02', 'NCGC00091498-03', 'NCGC00091498-05', 'NCGC00091498-06', 'NCGC00091498-07', 'NCGC00091498-08', 'NCGC00091498-09', 'NCGC00254565-01', 'NCGC00259914-01', '6,7,8,9,10,10-Hexachloro-1,5,5a,6,9,9a-hexahydro-6,9-methano-2,4,3-benzodioxathiepin 3-oxide', 'CC-27466', 'DB-041256', 'NS00008052', 'C11090', '26907-EP2280009A1', '26907-EP2314583A1', '31403-EP2274983A1', '31403-EP2275422A1', '31403-EP2305033A1', '31403-EP2305662A1', '31403-EP2308858A1', '31403-EP2311816A1', '31403-EP2311817A1', 'C-21842', 'Q424208', '1,2,3,4,7,7-Hexachloro-5-norbornene-2,3-dimethanol, cyclic sulfite', '1,2,3,4,7,7-hexachlorobicyclo[2.2.1]hepten-5,6-bioxymethylene sulfite', '1,4,5,6,7,7-hexachloro-5- norbornene-2,3-dimethanol cyclic sulfite', '1,4,5,6,7,7-hexachloro-5-norbornene-2,3-dimethanol, cyclic sulfate', '5-Norbornene-2,3-dimethanol, 1,4,5,6,7,7-hexachloro-, cyclic sulfi te', 'ENDOCRINE DISRUPTER (ENDOSULFAN) (SEE ALSO ENDOSULFAN (115-29-7))', '(1R, 9S), 1,9,10,11,12,12-hexachloro-4,6-dioxa-5-thiatricyclododec-10-ene-5-oxide', '1,2,3,4,7,7-hexachlorobicyclo[2.2.1]-2-h eptene-5,6-bisoxymethylene sulfite', '1,2,3,4,7,7-hexachlorobicyclo[2.2.1]-2-heptene-5,6-bisoxymethylene sulfite', 'alpha,beta-1,2,3,4,7,7-hexachlorobicyclo[2.2.1]-2-heptene-5,6-bisoxy-methylene sulfite', 'Su lfurous acid, cyclic ester with 1,4,5,6,7,7-hexachloro-5-norbornene-2,3-dimethanol', '(6R,9S)-6,7,8,9,10,10-hexachloro-1,5,5a,6,9,9a-hexahydro-6,9-methano-2,4,3-benzodioxathiepine 3-oxide', '1,2,3,4,7,7-Hexachloro-1,5,5a,6,9,9a-hexahydro-6,9-methano-2,4,3-benzodioxathiepin-3-oxide', '1,5,5a,6,9,9a-hexahydro-3-oxo-6,7,8,9,10,10-Hexachloro-6,9-methano-2,4,3-benzodioxathiepin', '6,7,8,9,10,10-Hexachloro-1,5,5a,6,9,9a-hexahydro-3H-6,9-methano-3lambda~4~-2,4,3lambda~4~-benzodioxathiepin-3-one', '6,7,8,9,10,10-hexachloro-1,5,5a,6,9,9a-hexahydro-6,9-methano-2,3,4-benzodioxathiepin-3-oxide', '6,7,8,9,10,10-Hexachloro-1,5,5a,6,9,9a-hexahydro-6,9-methano-2,4,3-benzo-dioxathiepin 3-oxide', '6,7,8,9,10,10-Hexachloro-1,5,5a,6,9,9a-hexahydro-6,9-methano-2,4,3-benzo[e]-dioxathiepin-3-oxide', 'Beta-6,7,8,9,1 0,10-hexachloro-1,5,5a,6,9,9a-hexahydro-endo-6,9-methano-2,4,3-benzodioxathiepin 3-oxide', 'Beta-6,7,8,9,10,10-hexachloro-1,5,5a,6,9,9a-hexahydro-endo-6,9-methano-2,4,3-benzodioxathiepin 3-oxide']</t>
  </si>
  <si>
    <t>Compound(3224)</t>
  </si>
  <si>
    <t>7-oxabicyclo[2.2.1]heptane-2,3-dicarboxylic acid</t>
  </si>
  <si>
    <t>['endothall', 'Endothal', '7-Oxabicyclo[2.2.1]heptane-2,3-dicarboxylic acid', 'Hydout', 'Tri-Endothal', 'Endothal technical', 'Hydrothal-47', 'Hydrothal-191', 'Aquathol', '145-73-3', 'Aquothol', 'Hydrothol', 'Herbon pennout', 'Endothall Weed Killer', '3,6-endo-Oxohexahydrophthalic acid', 'RCRA waste number P088', '3,6-endo-Oxyphthalic acid hexahydro-', '3,6-Endoxohexahydrophthalic acid', '3,6-Endooxyphthalic acid, hexahydro-', 'NSC 112771', 'Phthalic acid, hexahydro-3,6-endo-oxy-', 'Aquathol Plus', 'Des-i-cate', 'Endothal [BSI]', '1,2-Cyclohexanedicarboxylic acid, 3,6-endo-epoxy-', 'Endothall [ANSI]', 'NSC237771', '1,2-Benzenedicarboxylic acid, hexahydro-3,6-endo-oxy-', 'Caswell No. 421', 'Aquathol Plus Granular', 'Endothall Turf Herbicide', 'Endothal monohydrate', 'DSSTox_CID_4081', 'Herbicide 273', 'DSSTox_RID_77281', 'DSSTox_GSID_24081', '7-Oxabicyclo(2.2.1)heptane-2,3-dicarboxylic acid', 'HSDB 391', '3,6-Endooxohexahydrophthalic acid', 'EINECS 205-660-5', 'EPA Pesticide Chemical Code 038901', 'CAS-145-73-3', '3,6-Epoxycyclohexane-1,2-dicarboxylic acid', 'RCRA waste no. P088', 'Niagrathal', 'NSC-112771', '62059-43-2', '1, 3,6-endo-epoxy-', '4-Bromophenylacetone,97%', 'Phthalic acid,6-endo-oxy-', 'CHEMBL8080', 'Lopac0_000542', 'SCHEMBL55158', 'BMK1-H1', '1, hexahydro-3,6-endo-oxy-', 'DTXSID7024081', 'CTK0H5601', 'WLN: T55 A AOTJ CVQ DVQ', 'Tox21_202446', 'Tox21_300094', 'HSCI1_000365', 'NSC112771', 'AKOS024418784', 'CCG-204632', 'MCULE-1828714380', 'NSC-237771', 'NCGC00015419-02', 'NCGC00015419-03', 'NCGC00015419-04', 'NCGC00015419-05', 'NCGC00015419-06', 'NCGC00015419-07', 'NCGC00093930-01', 'NCGC00093930-02', 'NCGC00254025-01', 'NCGC00259995-01', '28874-46-6', 'LS-98710', 'DB-042801', 'EU-0100542', 'FT-0603356', 'NS00015678', 'E 7649', '7-Oxabicyclo[2.2.1]heptane-2,3-dicarboxylicacid', 'SR-01000075864', 'J-008144', 'Q3054030', 'SR-01000075864-1']</t>
  </si>
  <si>
    <t>Compound(3225)</t>
  </si>
  <si>
    <t>C8H10O5</t>
  </si>
  <si>
    <t>(2S)-1-[(2S)-2-[[(2S)-1-ethoxy-1-oxo-4-phenylbutan-2-yl]amino]propanoyl]pyrrolidine-2-carboxylic acid</t>
  </si>
  <si>
    <t>['enalapril', '75847-73-3', 'Vasotec', 'Enalaprilum', 'Enalaprila', 'Lexxel', 'Enalaprilum [INN-Latin]', 'Enalaprila [INN-Spanish]', 'UNII-69PN84IO1A', 'Enalapril Richet', 'CHEMBL578', 'Gadopril', '69PN84IO1A', 'CHEBI:4784', '(S)-1-(N-(1-(Ethoxycarbonyl)-3-phenylpropyl)-L-alanyl)-L-proline', 'C20H28N2O5', "1-(N-((S)-1-Carboxy-3-phenylpropyl)-L-alanyl)-L-proline 1'-ethyl ester", 'NCGC00021569-04', 'Enalapril [INN:BAN]', 'N-[(2S)-1-ethoxy-1-oxo-4-phenylbutan-2-yl]-L-alanyl-L-proline', 'DSSTox_CID_2982', 'DSSTox_RID_76817', 'DSSTox_GSID_22982', '(S)-1-{(S)-2-[1-((S)-Ethoxycarbonyl)-3-phenyl-propylamino]-propionyl}-pyrrolidine-2-carboxylic acid', 'Epaned', '76095-16-4', 'L-Proline, N-[(1S)-1-(ethoxycarbonyl)-3-phenylpropyl]-L-alanyl-', 'Enalapril (INN)', 'Enalapril (TN)', '(2S)-1-[(2S)-2-{[(2S)-1-ethoxy-1-oxo-4-phenylbutan-2-yl]amino}propanoyl]pyrrolidine-2-carboxylic acid', 'CAS-75847-73-3', 'analapril', 'Enaladex', 'L-Proline, N-((1S)-1-(ethoxycarbonyl)-3-phenylpropyl)-L-alanyl-', 'L-Proline, 1-(N-(1-(ethoxycarbonyl)-3-phenylpropyl)-L-alanyl)-, (S)-', 'Enalapril, AldrichCPR', 'Spectrum_001307', 'SCHEMBL18', 'Prestwick3_000314', 'Spectrum2_001455', 'Spectrum3_001478', 'Spectrum4_000008', 'Spectrum5_001107', 'Enalapril Maleate Usp Xxi', 'BSPBio_000308', 'BSPBio_003035', 'KBioGR_000355', 'KBioSS_001787', 'BIDD:GT0751', 'DivK1c_000408', 'SPBio_001349', 'BPBio1_000340', 'GTPL6322', 'PRO106', 'DTXSID5022982', 'CTK8F9436', 'KBio1_000408', 'KBio2_001787', 'KBio2_004355', 'KBio2_006923', 'KBio3_002535', 'C09AA02', 'NINDS_000408', 'HMS2090E08', 'HY-B0331', 'ZINC3791297', 'Tox21_110872', 'BDBM50017129', 'N-{(1S)-1-[(ethyloxy)carbonyl]-3-phenylpropyl}-L-alanyl-L-proline', 'AKOS025310615', 'Tox21_110872_1', 'API0002541', 'CS-2918', 'DB00584', 'IDI1_000408', 'NCGC00016932-01', 'NCGC00021569-05', 'NCGC00021569-06', 'NCGC00021569-09', 'CC-27456', 'K298', 'SC-17520', 'SC-76440', 'SBI-0051691.P002', 'CAS-76095-16-4', 'LS-190651', 'C06977', 'D07892', 'AB00053615-17', 'AB00053615-18', 'AB00053615_19', 'AB00053615_20', '847E733', 'C-21264', 'Q422185', 'BRD-K57545991-050-16-5', 'N-(1(S)-Ethoxycarbonyl-3-phenylpropyl)-L-alanyl-L-proline', '((S)-1-ethoxy-1-oxo-4-phenylbutan-2-yl)-L-alanyl-L-proline', '(S)-1-[N-[1-(ETHOXYCARBONXYL)-3-PHENYLPROPYL]-L-AL', 'N-[1-(S)-ethoxycarbonyl-3-phenylpropyl]-L-alanyl-L-proline', 'N-[(2S)-1-Ethoxy-1-oxo-4-phenyl-2-butanyl]-L-alanyl-L-proline', 'Nalpha -[(S)-1-ethoxycarbonyl-3-phenylpropyl]-L-alanyl-L-proline', '(SSS)1-[2-(1-Ethoxycarbonyl-3-phenyl-propylamino)-propionyl]-pyrrolidine-2-carboxylic acid', '1-[2-(1-Ethoxycarbonyl-3-phenyl-propylamino)-propionyl]-pyrrolidine-2-carboxylic acid', '(S)-1-((S)-2-((R)-1-ethoxy-1-oxo-4-phenylbutan-2-ylamino)propanoyl)pyrrolidine-2-carboxylic acid', '(S)-1-[(R)-2-((R)-1-Ethoxycarbonyl-3-phenyl-propylamino)-propionyl]-pyrrolidine-2-carboxylic acid', '(S,S,S)-1-[2-(1-Ethoxycarbonyl-3-phenyl-propylamino)-propionyl]-pyrrolidine-2-carboxylic acid', '1-[2-(1-Ethoxycarbonyl-3-phenyl-propylamino)-propionyl]-pyrrolidine-2-carboxylic acid (Enalapril)', '1-[2-(1-Ethoxycarbonyl-3-phenyl-propylamino)-propionyl]-pyrrolidine-2-carboxylic acid(enalapril)', '2-[2-(1-Carboxy-3-phenyl-propylamino)-propionyl]-1,2,3,4-tetrahydro-isoquinoline-3-carboxylic acid(enalapril)']</t>
  </si>
  <si>
    <t>Compound(5388962)</t>
  </si>
  <si>
    <t>C20H28N2O5</t>
  </si>
  <si>
    <t>enrofloxacin</t>
  </si>
  <si>
    <t>1-cyclopropyl-7-(4-ethylpiperazin-1-yl)-6-fluoro-4-oxoquinoline-3-carboxylic acid</t>
  </si>
  <si>
    <t>['Enrofloxacin', '93106-60-6', 'Baytril', 'Enrofloxacine', 'CFPQ', 'Enrofloxacino', 'Enrofloxacinum', 'endrofloxicin', 'BAY VP 2674', 'Bay-Vp-2674', 'Enrofloxacine [French]', 'Enrofloxacinum [Latin]', 'Enroxil', '1-cyclopropyl-7-(4-ethylpiperazin-1-yl)-6-fluoro-4-oxo-1,4-dihydroquinoline-3-carboxylic acid', 'Enrofloxacino [Spanish]', 'UNII-3DX3XEK1BN', 'Baytril (TN)', 'N-Ethylciprofloxacin', 'ERFX', '1-Cyclopropyl-7-(4-ethyl-1-piperazinyl)-6-fluoro-1,4-dihydro-4-oxo-3-quinolinecarboxylic acid', 'Enrofloxacin [USAN:BAN:INN]', 'HSDB 6952', '3DX3XEK1BN', 'BRN 5307824', '3-Quinolinecarboxylic acid, 1-cyclopropyl-7-(4-ethyl-1-piperazinyl)-6-fluoro-1,4-dihydro-4-oxo-', 'MLS000069441', 'C19H22FN3O3', 'CHEBI:35720', '1-cyclopropyl-7-(4-ethylpiperazin-1-yl)-6-fluoro-4-oxoquinoline-3-carboxylic acid', 'NCGC00018143-04', 'AK323592', 'CPD000059011', 'SMR000059011', '1,4-Dihydro-1-cyclopropyl-7-(4-ethyl-1-piperazinyl)-6-fluoro-4-oxo-3-quinolinecarboxylic acid', 'DSSTox_CID_25619', 'DSSTox_RID_81007', 'DSSTox_GSID_45619', '1-cyclopropyl-7-(4-ethylpiperazinyl)-6-fluoro-4-oxohydroquinoline-3-carboxylic acid', '1-Cyclopropyl-7-(4-ethyl-1-piperazinyl)-6-fluoro-1,4-dihydro-4-oxoquinoline-3-carboxylic Acid', '3-Quinolinecarboxylic acid, 1,4-dihydro-1-cyclopropyl-7-(4-ethyl-1-piperazinyl)-6-fluoro-4-oxo-', 'CAS-93106-60-6', 'CCRIS 8214', 'Enrofloxacin [USAN:USP:INN:BAN]', 'PD160788', 'Opera_ID_1106', 'Enrofloxacin (USP/INN)', 'Enrofloxacin (USAN/INN)', 'MLS001076496', 'MLS001424169', 'CHEMBL15511', 'SCHEMBL149150', 'SPECTRUM1503721', 'DTXSID1045619', 'KS-00000JRV', 'HMS2052O09', 'HMS2090E12', 'HMS2093I21', 'HMS2234M11', 'HMS3373P14', 'HMS3394O09', 'HMS3715B18', 'Pharmakon1600-01503721', 'ZINC597112', 'ALBB-030792', 'BCP15457', 'HY-B0502', 'Enrofloxacin, &gt;=98.0% (HPLC)', 'Tox21_110831', 'BBL009982', 'DL-384', 'GA3066', 'HTS028366', 'KM3166', 'MFCD00792463', 'NSC758616', 's3059', 'SBB012586', 'STK711109', 'AKOS005530685', 'BAY-Vp2674;PD160788', 'Tox21_110831_1', 'AC-7614', 'API0007273', 'CCG-101102', 'CS-2699', 'DB11404', 'KS-5010', 'MCULE-6446074322', 'NC00352', 'NSC-758616', '1-cyclopropyl-7-(4-ethylpiperazin-1-yl)-6-fluoro-4-oxo-quinoline-3-carboxylic acid', 'BAY Vp 2674;PD160788', 'NCGC00018143-01', 'NCGC00018143-02', 'NCGC00018143-03', 'NCGC00018143-05', 'NCGC00021632-03', 'CC-27475', 'H734', 'SC-16013', 'ST072197', 'ACM1173021925', 'SBI-0206725.P001', 'AB0013220', 'DB-057368', 'LS-141553', 'B1742', 'E0786', 'FT-0625663', 'FT-0667862', 'NS00010889', 'D02473', 'AB00384269-16', 'AB00384269_17', 'AB00384269_18', 'Enrofloxacin, VETRANAL(TM), analytical standard', '106E606', 'A844445', 'C-20873', 'Q414413', 'SR-01000000045', 'SR-01000000045-3', 'BRD-K76534306-001-11-0', 'Enrofloxacin, European Pharmacopoeia (EP) Reference Standard', 'Enrofloxacin, United States Pharmacopeia (USP) Reference Standard', '1-cyclopropyl-7-(4-ethyl-1-piperazinyl)-6-fluoro-4-oxo-3-quinolinecarboxylic acid', 'Enrofloxacin for system suitability, European Pharmacopoeia (EP) Reference Standard', 'Enrofloxacin, Pharmaceutical Secondary Standard; Certified Reference Material', '1-cyclopropyl-6-fluoro-1,4-dihydro-4-oxo-7-(4-ethyl-1-piperazinyl)-3-quinoline-carboxylic acid', '1-cyclopropyl-6-fluoro-1,4-dihydro-4-oxo-7-(4-ethyl-1-piperazinyl)-3-quinolinecarboxylic acid', '1-Cyclopropyl-7-(4-ethyl-1-piperazinyl)-6-fluoro-1,4-dihydro-4-oxo-3- quinolonecarboxylic acid', '1-Cyclopropyl-7-(4-ethyl-1-piperazinyl)-6-fluoro-1,4-dihydro-4-oxo-3-quinolinecarboxylic acid, 9CI', '1-Cyclopropyl-7-(4-ethyl-1-piperazinyl)-6-fluoro-4-oxo-1,4-dihydro-3-quinolinecarboxylic acid', '1-cyclopropyl-7-(4-ethylpiperazin-1-yl)-6-fluoranyl-4-oxidanylidene-quinoline-3-carboxylic acid', 'enrofloxacin;1-cyclopropyl-7-(4-ethylpiperazin-1-yl)-6-fluoro-4-oxo-1,4-dihydroquinoline-3-carboxylic acid']</t>
  </si>
  <si>
    <t>Compound(71188)</t>
  </si>
  <si>
    <t>C19H22FN3O3</t>
  </si>
  <si>
    <t>enoxacin</t>
  </si>
  <si>
    <t>1-ethyl-6-fluoro-4-oxo-7-piperazin-1-yl-1,8-naphthyridine-3-carboxylic acid</t>
  </si>
  <si>
    <t>['enoxacin', '74011-58-8', 'Penetrex', 'Enoxacine', 'Comprecin', 'AT-2266', 'Bactidan', 'Enoxacino', 'Enoxacinum', 'Flumark', '1-Ethyl-6-fluoro-1,4-dihydro-4-oxo-7-(1-piperazinyl)-1,8-naphthyridine-3-carboxylic acid', 'Enoxor', 'Almitil', 'Enoram', 'CI-919', 'Enoxacine [French]', 'Enoxacinum [Latin]', 'enofloxacin', 'CI 919', 'Enoxacin (Penetrex)', 'Enoxacino [Spanish]', 'PD 107779', '1-ethyl-6-fluoro-4-oxo-7-(piperazin-1-yl)-1,4-dihydro-1,8-naphthyridine-3-carboxylic acid', 'PD-107779', 'NSC 629661', 'UNII-325OGW249P', 'CCRIS 5242', 'C15H17FN4O3', 'CHEBI:157175', '1-ethyl-6-fluoro-4-oxo-7-piperazin-1-yl-1,8-naphthyridine-3-carboxylic acid', 'CHEMBL826', 'NSC 627409', 'BRN 3628995', '1-Ethyl-6-fluoro-4-oxo-7-piperazin-1-yl-1,4-dihydro-[1,8]naphthyridine-3-carboxylic acid', 'Enoxin', '325OGW249P', 'NSC629661', '1,8-Naphthyridine-3-carboxylic acid, 1-ethyl-6-fluoro-1,4-dihydro-4-oxo-7-(1-piperazinyl)-', 'NSC-629661', 'NCGC00016927-01', 'Enoksetin', 'CAS-74011-58-8', 'Enoxacin (hydrate)', 'DSSTox_CID_2984', '1,8-Naphthyridine-3-carboxylic acid, 1,4-dihydro-1-ethyl-6-fluoro-4-oxo-7-(1-piperazinyl)-', 'DSSTox_RID_76818', 'DSSTox_GSID_22984', 'Enofloxacine', 'Bactidron', 'Enoxen', '1-ethyl-6-fluoro-4-oxo-7-piperazin-1-yl-1,4-dihydro-1,8-naphthyridine-3-carboxylic acid', '1-ethyl-6-fluoro-4-oxo-7-piperazinylhydropyridino[2,3-b]pyridine-3-carboxylic acid', 'Penetrex (TN)', 'SMR000058233', 'Enoxacin [USAN:BAN:INN:JAN]', 'Enoxacin (USAN/INN)', 'SR-01000000202', 'Enoxacin [USAN:INN:BAN:JAN]', 'ENX', 'Prestwick_708', 'Spectrum_001539', '1-ethyl-6-fluoranyl-4-oxidanylidene-7-piperazin-1-yl-1,8-naphthyridine-3-carboxylic acid', 'Prestwick0_000353', 'Prestwick1_000353', 'Prestwick2_000353', 'Prestwick3_000353', 'Spectrum2_001731', 'Spectrum3_001570', 'Spectrum4_000166', 'Spectrum5_001044', 'E0762', 'Epitope ID:119069', 'Oprea1_147866', 'SCHEMBL33963', 'BSPBio_000445', 'BSPBio_003080', 'Enoxacin, analytical standard', 'KBioGR_000651', 'KBioSS_002019', 'MLS000069645', 'MLS006011976', 'BIDD:GT0191', 'DivK1c_000420', 'SPECTRUM1503215', 'SPBio_001802', 'SPBio_002366', 'BPBio1_000491', 'GTPL8882', 'DTXSID5022984', 'BCBcMAP01_000009', 'CTK8E3243', 'HMS501E22', 'KBio1_000420', 'KBio2_002019', 'KBio2_004587', 'KBio2_007155', 'KBio3_002580', 'NINDS_000420', 'HMS1569G07', 'HMS1922I17', 'HMS2090E10', 'HMS2092N20', 'HMS2233K20', 'HMS3372A12', 'HMS3655M08', 'HMS3715H13', 'Pharmakon1600-01503215', 'BCP22623', 'HY-B0268', 'Tox21_110688', 'BDBM50296358', 'CCG-39452', 'MFCD00133308', 'NSC758416', 's1756', 'ZINC19594549', 'AKOS015838626', 'Tox21_110688_1', 'AT 2266;CI 919', 'CS-2257', 'DB00467', 'KS-5190', 'MCULE-2632820619', 'NE58656', 'NSC-758416', 'IDI1_000420', 'SMP1_000113', 'NCGC00016927-02', 'NCGC00016927-03', 'NCGC00016927-04', 'NCGC00016927-05', 'NCGC00016927-06', 'NCGC00016927-07', 'NCGC00016927-08', 'NCGC00016927-10', 'NCGC00016927-11', 'NCGC00023864-03', 'NCGC00023864-04', 'NCGC00178309-01', 'NCGC00178309-02', 'K259', 'LS-95946', 'NCI60_009618', 'SC-13757', 'ST044514', 'SBI-0051788.P002', 'AB0014125', 'DB-055829', 'FT-0630825', 'NS00000506', 'SW196857-3', 'C06979', 'D00310', 'J10280', '1, 6-fluoro-1,4-dihydro- 4-oxo-7-piperazinyl', 'AB00052328-09', 'AB00052328_10', 'AB00052328_11', '011E588', 'A837996', 'Q1639616', 'SR-01000000202-2', 'SR-01000000202-3', 'BRD-K78113049-001-05-5', 'BRD-K78113049-001-07-1', 'BRD-K78113049-001-12-1', 'Enoxacin sesquihydrate;AT-2266 hydrate;CI-919 hydrate', 'Z1551429746', '84294-96-2 (.1.5H2O)', '1-Ethyl-6-fluoro-4-oxo-7-(1-piperazinyl)-1,4-dihydro[1,8]naphthyridine-3-carboxylic acid', '1-ethyl-6-fluoro-4-oxo-7-(1-piperazinyl)-1,8-naphthyridine-3-carboxylic acid']</t>
  </si>
  <si>
    <t>Compound(3229)</t>
  </si>
  <si>
    <t>C15H17FN4O3</t>
  </si>
  <si>
    <t>epichlorohydrin-dimethylamine copolymer</t>
  </si>
  <si>
    <t>2-(chloromethyl)oxirane;N-methylmethanamine</t>
  </si>
  <si>
    <t>['68609-88-1', 'Epichlorohydrin, dimethylamine polymer', 'EINECS 271-840-5', 'Methanamine, N-methyl-, reaction products with epichlorohydrin', 'SCHEMBL185538', 'DTXSID10988289', '25988-97-0', 'N-Methylmethanamine--2-(chloromethyl)oxirane (1/1)']</t>
  </si>
  <si>
    <t>Compound(155108)</t>
  </si>
  <si>
    <t>C5H12ClNO</t>
  </si>
  <si>
    <t>epichlorohydrin</t>
  </si>
  <si>
    <t>2-(chloromethyl)oxirane</t>
  </si>
  <si>
    <t>['EPICHLOROHYDRIN', '2-(Chloromethyl)oxirane', 'Epichlorhydrin', '106-89-8', '1-Chloro-2,3-epoxypropane', 'Glycidyl chloride', 'Oxirane, (chloromethyl)-', 'Epichlorhydrine', 'Chloromethyloxirane', '1,2-Epoxy-3-chloropropane', '2,3-Epoxypropyl chloride', 'Chloropropylene oxide', '3-Chloro-1,2-epoxypropane', 'Glycerol epichlorhydrin', 'Epichloorhydrine', 'Glycerol epichlorohydrin', '3-Chloropropylene oxide', '(CHLOROMETHYL)OXIRANE', 'Epicloridrina', '3-Chloro-1,2-propylene oxide', 'Epichlorohydryna', 'Epichlorophydrin', '(Chloromethyl)ethylene oxide', 'alpha-Epichlorohydrin', 'epi-Chlorohydrin', '3-Chloropropene-1,2-oxide', 'SKEKhG', 'Oxirane, 2-(chloromethyl)', '(+/-)-Epichlorohydrin', 'Epoxypropyl chloride', 'gamma-Chloropropylene oxide', 'Propane, 1-chloro-2,3-epoxy-', '1-Chlor-2,3-epoxy-propan', '1-Cloro-2,3-epossipropano', '2-Chloromethyl-oxirane', '1-Chloor-2,3-epoxy-propaan', 'Rcra waste number U041', '(+/-)-2-(Chloromethyl)oxirane', 'Allyl chloride oxide', 'DL-a-Epichlorohydrin', 'Epoxy-3-chloropropane', 'Caswell No. 424', '(chloromethyl)-Oxirane', 'Chloropropylene', '.alpha.-Epichlorohydrin', 'epichlorohydrine', 'Epicloridrina [Italian]', 'Epichloorhydrine [Dutch]', 'Epichlorhydrine [French]', 'Epichlorohydryna [Polish]', '(RS)-3-chloro-1,2-epoxypropane', 'NSC 6747', 'Alyl chloride oxide', 'Chloropropyl epoxide', '.gamma.-Chloropropylene oxide', 'CCRIS 277', 'HSDB 39', '(DL)-.alpha.-Epichlorohydrin', '3-Chloropropyl epoxide', 'Epichlorohydrin, 99%', 'NCI-C07001', 'Oxirane,(chloromethyl)-', 'Chloro-1,2-epoxypropane', 'Chloro-2,3-epoxypropane', 'Chloropropene-1,2-oxide', '3-Chloro-propylene oxide', '2-(chloromethyl)-oxirane', 'EINECS 203-439-8', 'UN2023', '1-Chlor-2,3-epoxy-propan [German]', 'RCRA waste no. U041', '1-Chloor-2,3-epoxy-propaan [Dutch]', '1-Cloro-2,3-epossipropano [Italian]', 'EPA Pesticide Chemical Code 097201', 'BRN 0079785', 'Chloro-1,2-propylene oxide', 'oxirane, 2-(chloromethyl)-', '(chloromethyl) Ethylene oxide', '1-chloro-2,3-epoxy-propane', '1-Chloro-2,3-epoxy propone', 'AI3-03545', 'CHEBI:37144', 'NCGC00091792-01', 'DSSTox_CID_566', 'Epichlorohydrin, &gt;=99%', 'DSSTox_RID_75662', 'DSSTox_GSID_20566', '56227-39-5', 'ECH', 'EPI', 'Polidexide', 'Oxirane, (chloromethyl)-, (R)-', 'Epichlorohydrin, 99%, AcroSeal(R)', 'Polidexidi sulfas', '9009-12-5', 'CAS-106-89-8', 'C3H5ClO', 'Sulfate de polidexide', 'Sulfato de polidexido', '5-17-01-00020 (Beilstein Handbook Reference)', 'CCRIS 6387', 'epichiorohydrin', 'Polidexidi sulfas [INN-Latin]', 'epi-chlorohydrine', 'a-Epichlorohydrin', 'Epichloro hydrine', 'BRN 1420785', 'Sulfate de polidexide [INN-French]', 'Sulfato de polidexido [INN-Spanish]', '(rs)-epichlorohydrin', '(+) epichlorohydrin', '(-) epichlorohydrin', '2-chloromethyloxirane', 'chloromethyl) Oxirane', '(rac)-epichlorohydrin', 'Cardolite NC-513', 'racemic epichlorohydrin', 'beta-epoxypropylchloride', 'racemic epichlorohydrine', 'Epoxy-3-chlor opropane', '3-Chloropro pylene Oxide', '2-(chloromethyl) Oxirane', 'bmse000722', 'UNII-61TTR6T3SE', 'EC 203-439-8', 'WLN: T3OTJ B1G', '(DL)-alpha-Epichlorohydrin', '(RS)-(chloromethyl)oxirane', '3-chloro-1,2-epoxypropene', '61TTR6T3SE', 'Epichlorohydrin Reagent Grade', 'CHEMBL1421613', 'DTXSID1020566', 'CTK5A4812', 'NSC6747', 'KS-00000V0U', 'NSC-6747', 'Tox21_111167', 'Tox21_200276', '6660AH', 'BBL012223', 'LS-409', 'MFCD00005132', 'STL163564', '(+/-)-1-Chloro-2,3-epoxypropane', 'Epichlorohydrin [UN2023] [Poison]', 'AKOS000118974', 'AKOS016039400', 'Epichlorohydrin [UN2023]  [Poison]', 'MCULE-9759519789', 'UN 2023', 'NCGC00091792-02', 'NCGC00091792-03', 'NCGC00257830-01', '13403-37-7', 'BP-31004', 'BP-31046', 'SC-47193', '(+/-)-Epichlorohydrin, analytical standard', 'DB-018066', 'Epichlorhydrin 1000 microg/mL in Methanol', 'LS-101030', 'E0012', 'Epichlorhydrin 100 microg/mL in Cyclohexane', 'FT-0605064', 'FT-0605270', 'FT-0625672', 'FT-0667883', '(+/-)-Epichlorohydrin, purum, &gt;=99% (GC)', '5717-EP2269977A2', '5717-EP2270011A1', '5717-EP2272817A1', '5717-EP2272839A1', '5717-EP2272840A1', '5717-EP2272841A1', '5717-EP2275418A1', '5717-EP2277874A1', '5717-EP2277878A1', '5717-EP2280001A1', '5717-EP2280009A1', '5717-EP2280010A2', '5717-EP2284159A1', '5717-EP2284169A1', '5717-EP2287161A1', '5717-EP2287162A1', '5717-EP2292227A2', '5717-EP2292592A1', '5717-EP2292596A2', '5717-EP2292628A2', '5717-EP2295407A1', '5717-EP2295426A1', '5717-EP2295427A1', '5717-EP2295434A2', '5717-EP2295437A1', '5717-EP2298312A1', '5717-EP2298734A2', '5717-EP2298736A1', '5717-EP2298750A1', '5717-EP2298774A1', '5717-EP2298775A1', '5717-EP2301921A1', '5717-EP2301924A1', '5717-EP2301926A1', '5717-EP2301929A1', '5717-EP2301934A1', '5717-EP2301935A1', '5717-EP2301936A1', '5717-EP2301937A1', '5717-EP2301939A1', '5717-EP2305219A1', '5717-EP2305649A1', '5717-EP2305658A1', '5717-EP2305674A1', '5717-EP2305682A1', '5717-EP2308828A2', '5717-EP2308857A1', '5717-EP2308858A1', '5717-EP2308861A1', '5717-EP2308873A1', '5717-EP2308875A1', '5717-EP2308877A1', '5717-EP2308879A1', '5717-EP2311808A1', '5717-EP2311816A1', '5717-EP2311817A1', '5717-EP2311822A1', '5717-EP2311829A1', '5717-EP2311831A1', '5717-EP2311846A1', '5717-EP2314558A1', '5717-EP2314583A1', '5717-EP2314584A1', '5717-EP2314585A1', '5717-EP2316824A1', '5717-EP2316836A1', '5717-EP2371810A1', '5717-EP2371831A1', '5717-EP2372804A1', '5717-EP2374454A1', '5717-EP2378585A1', 'C14449', '23287-EP2270113A1', '23287-EP2270114A1', '23287-EP2272935A1', '23287-EP2275417A2', '23287-EP2277867A2', '23287-EP2280003A2', '23287-EP2280008A2', '23287-EP2280012A2', '23287-EP2284146A2', '23287-EP2284147A2', '23287-EP2284162A2', '23287-EP2284163A2', '23287-EP2285791A1', '23287-EP2286811A1', '23287-EP2292597A1', '23287-EP2295438A1', '23287-EP2298776A1', '23287-EP2301941A1', '23287-EP2305666A1', '23287-EP2308862A1', '23287-EP2308865A1', '23287-EP2314584A1', '204282-EP2277867A2', '204282-EP2280003A2', 'Q423083', '(+/-)-Epichlorohydrin, puriss., &gt;=99.5% (GC)', 'Q-201062', 'F0001-0128', 'Z955123632', 'Starch, 2-(diethylamino)ethyl 2-((2-(diethylamino)ethyl)diethylammonio)ethyl ether, chloride, hydrochloride, polymer with (chloromethyl)oxirane']</t>
  </si>
  <si>
    <t>Compound(7835)</t>
  </si>
  <si>
    <t>N-[(2S,3R,4R,6S)-6-[(2S,3R,4S,6R)-6-[(1'R,2R,3S,4'S,6S,8'R,10'Z,12'S,13'S,14'Z,16'Z,20'R,21'R,24'S)-21',24'-dihydroxy-3,11',13',22'-tetramethyl-2'-oxo-2-propan-2-ylspiro[2,3-dihydropyran-6,6'-3,7,19-trioxatetracyclo[15.6.1.14,8.020,24]pentacosa-10,14,16,22-tetraene]-12'-yl]oxy-4-methoxy-2-methyloxan-3-yl]oxy-4-methoxy-2-methyloxan-3-yl]acetamide</t>
  </si>
  <si>
    <t>['Eprinex', 'Eprinomectin [USAN:USP:INN]', 'MK 397', 'ZINC306122586', 'DB11405', 'A mixture of two components having a ratio of 90% or more of epinometin component B1a and 10% or less of eprinometin component B1b', 'A mixture of two components having a ratio of 90% or more of Eprinomectin Component B1a and 10% or less of Eprinomectin Component B1b']</t>
  </si>
  <si>
    <t>Compound(6450531)</t>
  </si>
  <si>
    <t>C49H73NO14</t>
  </si>
  <si>
    <t>4-[[2-butyl-5-[(E)-2-carboxy-3-thiophen-2-ylprop-1-enyl]imidazol-1-yl]methyl]benzoic acid</t>
  </si>
  <si>
    <t>['Eprosartan', '133040-01-4', 'Teveten', 'SK&amp;F 108566', 'SK&amp;F-108566', 'UNII-2KH13Z0S0Y', '(E)-2-Butyl-1-(p-carboxybenzyl)-alpha-2-thenylimidazole-5-acrylic acid', '(E)-4-((2-Butyl-5-(2-carboxy-3-(thiophen-2-yl)prop-1-en-1-yl)-1H-imidazol-1-yl)methyl)benzoic acid', 'CHEMBL813', 'SK-108566', '2KH13Z0S0Y', 'CHEBI:4814', '(E)-3-[2-n-butyl-1-{(4-carboxyphenyl)methyl}-1H-imidazol-5-yl]-2-(2-thienyl)methyl-2-propenoic acid', '(E)-alpha{[2-butyl-1-[(4-carboxyphenyl)methyl]-1H-imidazole-5-yl]methylene}-2-thiopheneproprionic acid', '4-({2-butyl-5-[(1E)-2-carboxy-3-(2-thienyl)prop-1-en-1-yl]-1H-imidazol-1-yl}methyl)benzoic acid', '4-({2-butyl-5-[(1E)-2-carboxy-3-(thiophen-2-yl)prop-1-en-1-yl]-1H-imidazol-1-yl}methyl)benzoic acid', '4-[[2-butyl-5-[(E)-3-hydroxy-3-oxo-2-(thiophen-2-ylmethyl)prop-1-enyl]imidazol-1-yl]methyl]benzoic acid', '[3H]eprosartan', '[3H]-eprosartan', '(E)-4-((2-butyl-5-(2-carboxy-3-(thiophen-2-yl)prop-1-enyl)-1H-imidazol-1-yl)methyl)benzoic acid', '2-Thiophenepropanoic acid, alpha-((2-butyl-1-((4-carboxyphenyl)methyl)-lH-imidazol-5-yl)methylene)-, (E)-', '4-({2-butyl-5-[(1E)-2-carboxy-2-(thiophen-2-ylmethyl)eth-1-en-1-yl]-1H-imidazol-1-yl}methyl)benzoic acid', 'Eprosartan [USAN:BAN:INN]', 'SKF-108566', 'NCGC00164557-01', 'Eprosartan (USAN/INN)', 'Eprozar', 'Eprosartan [USAN:INN:BAN]', 'SR-05000001450', 'HSDB 7521', '[3H]SK&amp;F 108566', '(4-carboxybenzyl)imidazole-5-acrylic acid', 'SCHEMBL4025', 'GTPL588', 'BIDD:GT0030', 'GTPL3940', 'DTXSID0022989', 'CHEBI:94094', 'BCPP000239', 'HMS2089O10', 'BCP02353', 'BDBM50011977', 'STK618317', 'ZINC29319828', 'AKOS005552473', 'API0000548', 'BCP9000656', 'DB00876', 'NCGC00164557-06', 'NCGC00164557-11', 'AK105088', 'AX8127396', 'LS-172855', 'NS00000388', '40E014', 'C07467', 'D04040', '66929-EP2270011A1', '66929-EP2277879A1', '66929-EP2295406A1', '66929-EP2295430A2', '66929-EP2295431A2', '66929-EP2298772A1', '66929-EP2298779A1', '66929-EP2301923A1', '66929-EP2301931A1', '66929-EP2305219A1', '66929-EP2305670A1', '66929-EP2308839A1', 'AB01275448-01', 'AB01275448_02', 'L000248', 'Q784717', 'J-006289', 'SR-05000001450-1', 'BRD-K67977190-066-01-5', '1-[4-Carboxybenzyl]-2-butyl-alpha-[(2-thienyl)methyl]-1H-imidazole-5-propenoic acid', '4-[[2-butyl-5-(2-carboxy-3-thiophen-2-yl-prop-1-enyl)imidazol-1-yl]methyl]benzoic acid', '(E)-3-[2-Butyl-1-[(4-carboxyphenyl)methyl]imidazol-5-yl]-2-(2-thienylmethyl)-2-propenoic acid', '(E)-alpha-[[2-Butyl-1-[(4-carboxyphenyl)-methyl]-1H-imidazol-5-yl]methylene]-2-thiophene Propanoic Acid', '(E)-alpha-[[2-butyl-1-[(4carboxyphenyl)methyl]-1H-imidazol-5-yl]methylene]-2-thiophene propanoic acid', '2-Thiophenepropanoic acid, alpha-[[2-butyl-1-[(4-carboxyphenyl)methyl]-1H-imidazol-5-yl]methylene]-, (alphaE)-', '4-[[2-butyl-5-[(E)-3-hydroxy-3-keto-2-(2-thenyl)prop-1-enyl]imidazol-1-yl]methyl]benzoic acid']</t>
  </si>
  <si>
    <t>Compound(5281037)</t>
  </si>
  <si>
    <t>C23H24N2O4S</t>
  </si>
  <si>
    <t>epoxiconazole</t>
  </si>
  <si>
    <t>1-[[(2S,3R)-3-(2-chlorophenyl)-2-(4-fluorophenyl)oxiran-2-yl]methyl]-1,2,4-triazole</t>
  </si>
  <si>
    <t>['Epoxiconazole', 'Epoxiconazol', 'epoxyconazole', 'OPUS', 'Epoxiconazole [ISO]', '(2S,3R)-epoxiconazole', '133855-98-8', '(2RS,35R)-1-(3-(2-Chlorophenyl)-2,3-epoxy-2-(4-fluorophenyl)propyl)-1H-1,2,4-triazole', '106325-08-0', 'BAS 480F', '(2RS,3RS)-3-(2-chlorophenyl)-2-(4-fluorophenyl)-((1H-1,2,4-triazol-1-yl)methyl)oxirane', 'Opal 7.5 EC', 'EC 406-850-2', '1-[[(2S,3R)-3-(2-chlorophenyl)-2-(4-fluorophenyl)oxiran-2-yl]methyl]-1,2,4-triazole', 'SCHEMBL1285204', 'CHEBI:83759', '1H-1,2,4-Triazole, 1-(((2R,3S)-3-(2-chlorophenyl)-2-(4-fluorophenyl)oxiranyl)methyl)-, rel-', 'ZINC4099033', 'AKOS015899598', '1-((3-(2-Chlorophenyl)-2-(4-fluorophenyl)oxiranyl)methyl)-1H-1,2,4-triazole cis-(+-)-', 'HY-119683', 'LS-192865', 'CS-0077811', 'C11229', 'J-001573', 'Q27157183', 'UNII-U80T84L776 component ZMYFCFLJBGAQRS-IAGOWNOFSA-N', '1-[[(2S,3R)-3-(2-chlorophenyl)-2-(4-fluorophenyl)-2-oxiranyl]methyl]-1,2,4-triazole', '1-[[(2S,3R)-3-(2-Chlorophenyl)-2-(4-fluorophenyl)oxiranyl]methyl]-1H-1,2,4-triazole', '1-{[(2S,3R)-3-(2-chlorophenyl)-2-(4-fluorophenyl)oxiran-2-yl]methyl}-1H-1,2,4-triazole', '1-rel-[(2S,3R)-3-(2-chlorophenyl)-2-(4-fluorophenyl)oxiran-2-ylmethyl]-1H-[1,2,4]triazole', '1H-1,2,4-Triazole, 1-((3-(2-chlorophenyl)-2-(4-fluorophenyl)oxiranyl)methyl)-, cis-(+-)-']</t>
  </si>
  <si>
    <t>Compound(107901)</t>
  </si>
  <si>
    <t>C17H13ClFN3O</t>
  </si>
  <si>
    <t>erucic acid</t>
  </si>
  <si>
    <t>(Z)-docos-13-enoic acid</t>
  </si>
  <si>
    <t>['ERUCIC ACID', '(Z)-Docos-13-enoic acid', '112-86-7', 'cis-13-Docosenoic acid', '13-Docosenoic acid, (Z)-', 'cis-erucic acid', '13-cis-Docosenoic acid', '13-Docosenoic acid', 'Hystrene 2290', '(13Z)-docos-13-enoic acid', 'Z-13-Docosenoic acid', '(Z)-13-Docosenoic acid', 'delta13-cis-Docosenoic acid', 'MFCD00063188', 'delta13:14-Docosenoic acid', '(13Z)-13-Docosenoic acid', '13Z-docosenoic acid', 'UNII-075441GMF2', 'Prifrac 2990', 'HSDB 5015', 'NSC 6814', '(13Z)-Docosenoic acid', 'EINECS 204-011-3', 'AI3-18180', '13-Docosenoic acid, (13Z)-', '.delta.13-cis-Docosenoic acid', 'CHEBI:28792', 'C22:1n-9', '075441GMF2', 'AK114209', '(Z)-13-docosenoate', '(13Z)docos-13-enoic acid', 'W-108635', '1072-39-5', 'NSC6814', 'Erucasaeure', 'cis-eruic acid', '13-docosenoate', 'cis-13-Docosenoate', 'docos-13c-enoic acid', 'Prifac 2990', '22:1omega9', 'Erucic acid, &gt;=99%', 'delta 13-cis-Docosenoate', 'delta.13-cis-Docosenoate', 'DSSTox_CID_6931', '(13Z)-13-Docosenoate', 'SCHEMBL5987', 'DSSTox_RID_78259', 'DSSTox_GSID_26931', 'delta 13-cis-Docosenoic acid', 'delta.13-cis-Docosenoic acid', 'Docosenoic acid, 13-(Z)-', 'cis-Delta(13)-docosenoic acid', 'CHEMBL1173380', 'DTXSID8026931', 'Erucic acid, analytical standard', '(13Z)-13-Docosenoic acid #', 'HMS3649F15', 'HY-N7109', 'NSC-6814', 'ZINC8220981', 'Tox21_200242', '2227AA', 'LMFA01030089', 'SBB061130', 'AKOS015961814', 'Erucic acid, &gt;=99% (capillary GC)', 'Erucic acid, technical, ~90% (GC)', '13-docosenoic acid (ACD/Name 4.0)', 'CCG-267904', 'NCGC00166073-01', 'NCGC00166073-02', 'NCGC00257796-01', 'CAS-112-86-7', 'LS-63376', 'AX8127466', 'CS-0014094', 'D0965', 'NS00005003', 'S5383', 'ST51047187', '2960-EP2275413A1', '2960-EP2287156A1', '2960-EP2311807A1', 'C08316', 'Q413531', 'SR-01000946653', 'SR-01000946653-1', '084C86E4-C0FF-45E5-9F1D-09913C9193BE', 'UNII-44NH37HHP9 component DPUOLQHDNGRHBS-KTKRTIGZSA-N', 'UNII-MK2D1PBV6N component DPUOLQHDNGRHBS-KTKRTIGZSA-N', 'UNII-MO7HV04S9Y component DPUOLQHDNGRHBS-KTKRTIGZSA-N', 'UNII-UDR641JW8W component DPUOLQHDNGRHBS-KTKRTIGZSA-N', '(13Z)-Docos-13-enoic acid;13-Docosenoic acid, (13Z)-;(Z)-docos-13-enoic acid;ERUCIC ACID;Sodium (Z)-docos-13-enoate']</t>
  </si>
  <si>
    <t>Compound(5281116)</t>
  </si>
  <si>
    <t>C22H42O2</t>
  </si>
  <si>
    <t>(1S,3Z)-3-[(2E)-2-[(1R,3aS,7aR)-1-[(E,2R,5R)-5,6-dimethylhept-3-en-2-yl]-7a-methyl-2,3,3a,5,6,7-hexahydro-1H-inden-4-ylidene]ethylidene]-4-methylidenecyclohexan-1-ol</t>
  </si>
  <si>
    <t>['ergocalciferol', 'Calciferol', 'VITAMIN D2', 'Viosterol', '50-14-6', 'Oleovitamin D2', 'Deltalin', 'Ercalciol', 'Ergorone', 'Sterogyl', 'Detalup', 'Condocaps', 'Crystallina', 'Fortodyl', 'Mulsiferol', 'Radsterin', 'Condol', 'Deratol', 'Diactol', 'Drisdol', 'Ertron', 'Geltabs', 'Daral', 'Novovitamin-D', 'Divit urto', 'D-Tracetten', 'Hi-Deratol', 'Calciferon 2', 'Dee-Ronal', 'Vitavel-D', 'D-Arthin', 'Dee-Ron', 'De-rat concentrate', 'Davitin', 'Metadee', 'Mykostin', 'Decaps', 'Infron', 'Shock-ferol', 'Vio-D', 'Davitamon D', 'Dee-Osterol', 'Dee-Roual', 'Rodine C', 'Buco-D', 'Activated ergosterol', 'Calciferolum', 'Hyperkil', 'Rodinec', 'Mina D2', 'Viosterol in Oil', 'Radiostol', 'Ostelin', 'Haliver', 'Ergocalciferolum', '(+)-Vitamin D2', 'Geltabs Vitamin D', 'Ergocalciferolo [DCIT]', 'Oleovitamin D, Synthetic', 'Uvesterol D', 'UNII-VS041H42XC', 'Vitamin D2 (Ergocalciferol)', 'Ergocalciferolum [INN-Latin]', 'Ergosterol irradiated', 'Irradiated ergosterol', 'Oleovitamin D', 'HSDB 819', 'CHEBI:28934', 'C28H44O', 'Irradiated ergosta-5,7,22-trien-3-beta-ol', 'EINECS 200-014-9', 'Synthetic Vitamin D', 'NSC 62792', 'Condacaps', 'Viostdrol', 'Crtron', '9,10-Secoergosta-5,7,10(19),22-tetraen-3-beta-ol', 'VS041H42XC', 'Uvesterol-D', 'VitaminD2', '(3S,5Z,7E,22E)-9,10-secoergosta-5,7,10,22-tetraen-3-ol', '(5Z,7E,22E)-(3S)-9,10-seco-5,7,10(19),22-ergostatetraen-3-ol', 'Ergosterol activated', 'Ergocalciferols', '9,10-Seco(5Z,7E,22E)-5,7,10(19),22-ergostatetraen-3-ol', 'DSSTox_CID_233', '(3beta,5Z,7E,22E)-9,10-secoergosta-5,7,10(19),22-tetraen-3-ol', '(3-beta,5Z,7E,22E)-9,10-Secoergosta-5,7,10,(19),22-tetraen-3-ol', 'DSSTox_RID_75449', 'DSSTox_GSID_20233', '(1S,3Z)-3-[(2E)-2-[(1R,3aS,7aR)-1-[(E,2R,5R)-5,6-dimethylhept-3-en-2-yl]-7a-methyl-2,3,3a,5,6,7-hexahydro-1H-inden-4-ylidene]ethylidene]-4-methylidenecyclohexan-1-ol', 'Ergocalciferolo', 'Disdrol', 'Radstein', '(5Z,7E,22E)-(3S)-9,10-secoergosta-5,7,10(19),22-tetraen-3-ol', '9,10-Secoergosta-5,7,10(19),22-tetraen-3-ol, (3beta,5Z,7E,22E)-', 'vitamin d-2', 'SMR000857106', 'Vitamin D 2', 'Shock-ferol sterogyl', 'Sorex C.R.', 'Doral [Vitamin Derivative]', 'Osteil', 'delta-Tracetten', 'Lanes', 'delta-Arthin', 'beta-ol', 'NSC-62792', 'Ergocalciferol [INN:BAN:JAN]', 'D-forte', '9,10-Secoergosta-5,7,10(19),22-tetraen-3-ol, (3.beta.,5Z,7E,22E)-', 'ergocalciferol oil', 'Eciferol D2', 'Vitamina D2', 'Calciferol (TN)', 'CAS-50-14-6', 'Ergoral D2', 'NCGC00166307-01', 'Sterogyl-15', 'Sterogyl 15H', 'Prestwick_554', 'Drisdol (TN)', 'Sorex C.R', 'Vio D', 'Ergocalciferol [USP:INN:BAN:JAN]', 'Ergo-D2', 'Osto-D2', 'PubChem16654', 'Calciferol In Arach Oil', 'Prestwick3_000420', 'Ergocalciferol;Vitamin D2', 'bmse000510', 'SCHEMBL3420', 'CHEMBL1536', 'BSPBio_000380', 'Ergocalciferol (JP17/USP)', 'MLS001332467', 'MLS001332468', 'BPBio1_000418', 'MEGxm0_000466', 'DTXSID5020233', 'ACon1_002187', 'HMS2096C22', 'HMS2230E20', 'ACT02622', 'CS-M1019', 'Cyclohexanol, 4-methylene-3-((2E)-2-((1R,3aS,7aR)-octahydro-7a-methyl-1-((1R,2E,4R)-1,4,5-trimethyl-2-hexen-1-yl)-4H-inden-4-ylidene)ethylidene)-, (1S,3Z)-', 'Cyclohexanol, 4-methylene-3-[(2E)-2-[(1R,3aS,7aR)-octahydro-7a-methyl-1-[(1R,2E,4R)-1,4,5-trimethyl-2-hexen-1-yl]-4H-inden-4-ylidene]ethylidene]-, (1S,3Z)-', 'ZINC4629876', 'Tox21_112404', 'Tox21_202348', 'Tox21_302752', 'BDBM50247883', 'LMST03010001', 'MFCD00166988', 's4035', 'Vitamin D2; Ergocalciferol; Deltalin', 'AKOS022185284', 'CCG-268614', 'DB00153', 'LS-3228', 'Ergocalciferol, Sigma Reference Standard', 'NCGC00166307-02', 'NCGC00166307-03', 'NCGC00256529-01', 'NCGC00259897-01', 'AS-11649', 'Ergocalciferol (D2), analytical standard', 'HY-76542', 'Irradiated ergosta-5,7,22-trien-3beta-ol', 'Vitamin D2 Ergocalciferol 400,000 IU/g', 'Ergocalciferol, 40,000,000 USP units/g', '7067-EP2305662A1', 'C05441', 'D00187', '166V988', 'Q139200', 'Q-201930', '9,10-Secoergosta-5,7,10(19),22-tetraen-3b-ol', 'Ergocalciferol, &gt;=98.0% (sum of enantiomers, HPLC)', '22-tetraen 3beta 9,10,Secoergosta-5,7,10(19)-ol', '7E677DC1-E1C4-4FC5-8F4A-BCE1857F7E87', 'UNII-9VU1KI44GP component MECHNRXZTMCUDQ-RKHKHRCZSA-N', 'Vitamin D2 solution, 100 mug/mL in ethanol, 98% (CP)', '(5E,7E,22E)-9,10-Secoergosta-5,7,10,22-tetraen-3-ol', 'Ergocalciferol, British Pharmacopoeia (BP) Reference Standard', 'Ergocalciferol, European Pharmacopoeia (EP) Reference Standard', 'Ergocalciferol, United States Pharmacopeia (USP) Reference Standard', '(3S,5Z,7E,22E)-9,10-secoergosta-5,7,10(19),22-tetraen-3-ol', 'Vitamin D2. Short expiry date due to chemical nature of component(s)', '(3S,5Z,7E,14xi,17alpha,22E)-9,10-secoergosta-5,7,10,22-tetraen-3-ol', 'Ergocalciferol (Vitamin D2), Pharmaceutical Secondary Standard; Certified Reference Material', 'Ergocalciferol for system suitability, EuropePharmacopoeia (EP) Reference Standard', 'Vitamin D2 solution, 1 mg/mL in ethanol, ampule of 1 mL, certified reference material', '(1S,3Z)-3-[(2E)-2-[(1R,3aS,7aR)-7a-methyl-1-[(E,1R,4R)-1,4,5-trimethylhex-2-enyl]-2,3,3a,5,6,7-hexahydro-1H-inden-4-ylidene]ethylidene]-4-methylene-cyclohexanol', '31316-19-5', '4-methylene-3-[2-[tetrahydro-7a-methyl-1-(1,4,5-trimethyl-2-hexenyl)-4(3aH)-indanylidene]ethylidene]-Cyclohexanol', 'Cycloheanol, 4-methylene-3-(2-(tetrahydro-7a-methyl-1-(1,4,5-trimethyl-2-hexenyl)-4(3aH)-indanylidene)ethylidene)-']</t>
  </si>
  <si>
    <t>Compound(5280793)</t>
  </si>
  <si>
    <t>C28H44O</t>
  </si>
  <si>
    <t>erythromycin</t>
  </si>
  <si>
    <t>(3R,4S,5S,6R,7R,9R,11R,12R,13S,14R)-6-[(2S,3R,4S,6R)-4-(dimethylamino)-3-hydroxy-6-methyloxan-2-yl]oxy-14-ethyl-7,12,13-trihydroxy-4-[(2R,4R,5S,6S)-5-hydroxy-4-methoxy-4,6-dimethyloxan-2-yl]oxy-3,5,7,9,11,13-hexamethyl-oxacyclotetradecane-2,10-dione</t>
  </si>
  <si>
    <t>['erythromycin', 'Erythromycin A', '114-07-8', 'E-Mycin', 'Abomacetin', 'Erythrocin', 'Erythromycinum', 'Erymax', 'Emgel', 'Eritromicina', 'Erythromycine', 'Erythro-Statin', 'Ilotycin', 'E-Glades', 'Eryacne', '(-)-ERYTHROMYCIN', 'Erythromycin base', 'Torlamicina', 'Abboticin', 'Erycette', 'Robimycin', 'Ery-Tab', 'E-Base', 'erythro', 'Erythroguent', 'Dumotrycin', 'Eritrocina', 'Erycinum', 'Erythrogran', 'Erythromid', 'Mephamycin', 'Pantomicina', 'Propiocine', 'Stiemycin', 'Dotycin', 'Ermycin', 'Erycen', 'Erycin', 'Eryderm', 'Erygel', 'Ilocaps', 'Sansac', 'Aknin', 'Wemid', 'ERYC', 'Eryc Sprinkles', 'Erythra-Derm', 'Theramycin Z', 'Kesso-Mycin', 'Akne-Mycin', 'Taimoxin-F', 'Ak-Mycin', 'Erythromast 36', 'Erythromycin Lactate', 'T-Stat', 'R-P Mycin', 'Benzamycin', 'Endoeritrin', 'Eritomicina', 'Erythroderm', 'Erytrociclin', 'Paediathrocin', 'Pharyngocin', 'Proterytrin', 'Acneryne', 'Acnesol', 'Aknemycin', 'Derimer', 'Deripil', 'Erisone', 'Eryacnen', 'Erydermer', 'Eryhexal', 'Erysafe', 'Iloticina', 'Latotryd', 'Lederpax', 'Mercina', 'Oftamolets', 'Pantoderm', 'Pantodrin', 'Primacine', 'Romycin', 'Stiemicyn', 'Tiloryth', 'Tiprocin', 'E-Solve 2', 'Emuvin', 'Emycin', 'Erecin', 'Erymed', 'Erytab', 'Erytop', 'Inderm', 'Retcin', 'AustriaS', 'Eros', 'Ery-maxin', 'Erythro-Teva', 'Sans-acne', 'Erimycin-T', 'Ery-Diolan', 'Inderm Gel', 'Del-Mycin', 'UNII-63937KV33D', 'Aknederm Ery Gel', 'Udima Ery Gel', 'Eryc 125', 'Emu-Ve', 'Skid Gel E', 'Akne Cordes Losung', 'Ilosone (estolate)', 'E-Mycin (base)', 'Ery-Tab (base)', 'E-Base (base)', 'Emu-V', 'Ery-B', 'CHEMBL532', 'ERYC (base)', 'C-Solve-2', 'PCE Dispertab (base)', 'erythromycin-A', 'Eryc-125', 'Eryc-250', 'CHEBI:42355', 'Eritromicina [INN-Spanish]', 'Erythromycine [INN-French]', 'Erythromycinum [INN-Latin]', 'A/T/S', 'Oftalmolosa Cusi Eritromicina', '63937KV33D', 'NCI-C55674', 'MFCD00084654', 'DSSTox_CID_2991', '(-)-Erythromycin, 98%', 'UNII-8HPH7ND0LN', 'DSSTox_RID_76820', 'DSSTox_GSID_22991', '8HPH7ND0LN', '(3R*,4S*,5S*,6R*,7R*,9R*,11R*,12R*,13S*,14R*)-4-((2,6-Dideoxy-3-C-methyl-3-O-methyl-alpha-L-ribo-hexopyranosyl)oxy)-14-ethyl-7,12,13-trihydroxy-3,5,7,9,11,13-hexamethyl-6-((3,4,6-trideoxy-3-(dimethylamino)-beta-D-xylo-hexopyranosyl)oxy)oxacyclotetradecane-2,10-dione', 'ERY', 'Ilotycin T.S.', '(-)-Erythromycin, Eur.Ph.', 'CCRIS 9078', 'HSDB 3074', 'N-Methylerythromycin A', 'EINECS 204-040-1', 'NSC 55929', 'Staticin (TN)', 'Akne-mycin (TN)', 'AI3-50138', 'Erygel (TN)', 'Eryc (TN)', 'T-stat (TN)', 'Pce (TN)', 'SR-05000001618', 'Sentry AQ mardel maracyn', '7704-67-8', 'erthromycin', 'Erythromycines', 'NSC55929', 'NSC-55929', 'NCGC00094670-01', 'Erythromycin [USP:INN:BAN:JAN]', '82343-12-2', 'CAS-114-07-8', 'Prestwick_205', 'Erythromycin C-13', 'Spectrum_000115', 'Spectrum_000659', 'EM-A', 'Prestwick3_000151', 'Spectrum2_000759', 'Spectrum2_001263', 'Spectrum4_000538', 'Spectrum5_001596', 'E0751', 'Erythromycin A, B + C', 'EC 204-040-1', 'SCHEMBL2601', 'BSPBio_000282', 'BSPBio_002480', 'KBioGR_001175', 'KBioSS_000555', 'KBioSS_001139', 'MLS001066618', 'BIDD:GT0017', 'DivK1c_000294', 'DivK1c_000397', 'DivK1c_000702', 'SPECTRUM1500280', 'SPBio_000778', 'SPBio_001226', 'BPBio1_000312', 'GTPL1456', 'DTXSID4022991', 'Erythromycin (JP17/USP/INN)', 'HMS500O16', 'KBio1_000294', 'KBio1_000397', 'KBio1_000702', 'KBio2_000555', 'KBio2_001139', 'KBio2_003123', 'KBio2_003707', 'KBio2_005691', 'KBio2_006275', 'J01FA01', 'Erythromycin (mixture of A,B,C)', 'NINDS_000294', 'NINDS_000397', 'NINDS_000702', 'ZX-AFC000696', 'HMS1920M04', 'HMS2091D05', 'HMS2095O04', 'HMS3712O04', 'Pharmakon1600-01500280', '[3R-(3R*,4S*,5S*,6R*,7R*,9R*,11R*,12R*,13S*,14R*)]-4-[(2,6-Dideoxy-3-C-methyl-3-O-methyl-alpha-L-ribo-hexopyranosyl)oxy]-14-ethyl-7,12,13-trihydroxy-3,5,7,9,11,13-hexamethyl-6-[[3,4,6-trideoxy-3-(dimethylamino)-beta-D-xylo-hexopyranosyl]oxy]oxacyclotetradecane-2,10-dione', 'ACT03320', 'HY-B0220', 'RKL10096', 'Tox21_111311', 'Tox21_111869', 'Tox21_300515', 'BDBM50344942', 'CCG-38992', 'LMPK04000006', 'NSC756759', 'ZINC85534336', 'Erythromycin, labeled with carbon-13', 'AKOS015895249', 'CS-2168', 'DB00199', 'MCULE-4566208867', 'NSC-756759', 'IDI1_000294', 'IDI1_000397', 'IDI1_000702', 'SMP1_000119', 'NCGC00179619-01', 'NCGC00179619-02', 'NCGC00179619-03', 'NCGC00254234-01', '(3R,4S,5S,6R,7R,9R,11R,12R,13S,14R)-6-[(2S,3R,4S,6R)-4-(dimethylamino)-3-hydroxy-6-methyloxan-2-yl]oxy-14-ethyl-7,12,13-trihydroxy-4-[(2R,4R,5S,6S)-5-hydroxy-4-methoxy-4,6-dimethyloxan-2-yl]oxy-3,5,7,9,11,13-hexamethyl-oxacyclotetradecane-2,10-dione', 'AC-12744', 'AC-12901', 'CC-27517', 'SC-13736', 'SMR000544946', 'Erythromycin, potency: &gt;=850 mug per mg', 'Erythromycin, tested according to Ph.Eur.', 'SBI-0051368.P003', 'Erythromycin, N-demethyl-N-(methyl-11C)-', 'LS-187077', 'Erythromycin, meets USP testing specifications', 'C01912', 'D00140', 'E-3250', 'Erythromycin, plant cell culture tested, ~98%', '44496-EP2272846A1', '44496-EP2275422A1', '44496-EP2292608A1', '44496-EP2305644A1', '44496-EP2308866A1', '44496-EP2311814A1', '44496-EP2311828A1', '44496-EP2380568A1', 'AB00051981_09', 'AB00051981_10', 'Erythromycin standard solution, 1 mg/mL in H2O', 'Erythromycin, Biotechnology Performance Certified', '114E078', 'C-23475', 'Q213511', 'SR-01000799155', '9,11,13-hexamethyl-oxacyclotetradecane-2,10-dione', 'Erythromycin, Antibiotic for Culture Media Use Only', 'Erythromycin, BioReagent, suitable for cell culture', 'SR-01000799155-2', 'SR-05000001618-1', 'SR-05000001618-2', 'BRD-K63550407-001-13-5', 'BRD-K63550407-028-03-9', 'Erythromycin A, British Pharmacopoeia (BP) Reference Standard', 'Erythromycin A, European Pharmacopoeia (EP) Reference Standard', 'Erythromycin, United States Pharmacopeia (USP) Reference Standard', 'Erythromycin, for microbiological assay, European Pharmacopoeia (EP) Reference Standard', 'Erythromycin, Pharmaceutical Secondary Standard; Certified Reference Material', '(3R*,4S*,5S*,6R*,7R*,9R*,11R*,12R*,13S*,14R*)-4-[(2,6-Dideoxy-3-C-methyl-3-O-methyl-.alpha.-L-ribo-hexopyranosyl)oxy]-14-ethyl-7,12,13-trihydroxy-3,5,9,11,13-hexamethyl-6-[[3,4,6-trideoxy-3-', '(3R,4S,5S,6R,7R,9R,11R,12R,13S,14R)-4-(2,6-dideoxy-3-C-methyl-3-O-methyl-alpha-L-ribo-hexopyranosyloxy)-14-ethyl-7,12,13-trihydroxy-6-[3,4,6-trideoxy-3-(dimethylamino)-beta-D-xylo-hexopyranosyloxy]-3,5,7,9,11,13-hexamethyloxacyclotetradecane-2,10-dione', '(3R,4S,5S,6R,7R,9R,11R,12R,13S,14R)-6-[(2S,3R,4S,6R)-4-(dimethylamino)-3-hydroxy-6-methyl-tetrahydropyran-2-yl]oxy-14-ethyl-7,12,13-trihydroxy-4-[(2R,4R,5S,6S)-5-hydroxy-4-methoxy-4,6-dimethyl-tetrahydropyran-2-yl]oxy-3,5,7,9,11,13-hexamethyl-oxacyclotetradecane-2,10-dione', '(3R,4S,5S,6R,7R,9R,11R,12R,13S,14R)-6-[(2S,3R,4S,6R)-4-(dimethylamino)-3-hydroxy-6-methyloxan-2-yl]oxy-14-ethyl-7,12,13-trihydroxy-4-[(2R,4R,5S,6S)-5-hydroxy-4-methoxy-4,6-dimethyloxan-2-yl]oxy-3,5,7,', '(3R,4S,5S,6R,7R,9R,11R,12R,13S,14R)-6-[(2S,3R,4S,6R)-4-dimethylamino-3-hydroxy-6-methyloxan-2-yl]oxy-14-ethyl-7,12,13-trihydroxy-4-[(2R,4R,5S,6S)-5-hydroxy-4-methoxy-4,6-dimethyloxan-2-yl]oxy-3,5,7,9,11,13-hexamethyl-1-oxacyclotetradecane-2,10-dione', '(3R,4S,5S,6R,7R,9R,11R,12R,13S,14R)-6-{[(2S,3R,4S,6R)-4-(Dimethylamino)-3-hydroxy-6-methyltetrahydro-2H-pyran-2-yl]oxy}-14-ethyl-7,12,13-trihydroxy-4-{[(2R,4R,5S,6S)-5-hydroxy-4-methoxy-4,6-dimethylte trahydro-2H-pyran-2-yl]oxy}-3,5,7,9,11,13-hexamethyloxacyclotetradecane-2,10-dione', '(3R,4S,5S,6R,7R,9R,11R,12R,13S,14R)-6-{[(2S,3R,4S,6R)-4-(dimethylamino)-3-hydroxy-6-methyltetrahydro-2H-pyran-2-yl]oxy}-14-ethyl-7,12,13-trihydroxy-4-{[(2R,4R,5S,6S)-5-hydroxy-4-methoxy-4,6-dimethyltetrahydro-2H-pyran-2-yl]oxy}-3,5,7,9,11,13-hexamethyloxacyclotetradecane-2,10-dione', '(3R,4S,5S,6R,7R,9R,11R,12R,13S,14R)-6-{[(2S,3R,4S,6R)-4-(dimethylamino)-3-hydroxy-6-methyltetrahydro-2H-pyran-2-yl]oxy}-14-ethyl-7,12,13-trihydroxy-4-{[(2R,4R,5S,6S)-5-hydroxy-4-methoxy-4,6-dimethyltetrahydro-2H-pyran-2-yl]oxy}-3,5,7,9,11,13-hexamethyloxacyclotetradecane-2,10-dione (non-preferred name)', '(3R,4S,5S,6R,7S,9R,11R,12R,13R,14R)-6-{[(2S,3R,4S,6R)-4-(dimethylamino)-3-hydroxy-6-methyloxan-2-yl]oxy}-14-ethyl-7,12,13-trihydroxy-4-{[(2R,4S,5S,6S)-5-hydroxy-4-methoxy-4,6-dimethyloxan-2-yl]oxy}-3,5,7,9,11,13-hexamethyl-1-oxacyclotetradecane-2,10-dione', '215031-94-0', 'erythromycin lactobionate;Erythromycin phosphate;Erythromycin-H2O;erythromycin stearate;erythromycin thiocyanate']</t>
  </si>
  <si>
    <t>Compound(12560)</t>
  </si>
  <si>
    <t>C37H67NO13</t>
  </si>
  <si>
    <t>(8R,9S,13S,14S,16R,17R)-13-methyl-6,7,8,9,11,12,14,15,16,17-decahydrocyclopenta[a]phenanthrene-3,16,17-triol</t>
  </si>
  <si>
    <t>['estriol', 'Oestriol', '50-27-1', 'Trihydroxyestrin', 'Estratriol', 'Ovestin', 'Ovestrion', 'Destriol', 'Tridestrin', 'Aacifemine', 'Oestratriol', 'Orestin', 'Theelol', '16alpha-Hydroxyestradiol', 'Ortho-Gynest', 'Deuslon-A', 'Hemostyptanon', 'Hormomed', 'Klimoral', 'Oestriolum', 'Orgastyptin', 'Overstin', 'Thulol', 'Triovex', 'Holin', '16alpha,17beta-Estriol', 'Gynaesan', 'Hormonin', 'Stiptanon', 'Synapause', 'Triodurin', 'Estriel', 'Trihydroxyoestrin', 'Follicular hormone hydrate', '16-alpha-Hydroxyestradiol', 'Estriolo [Italian]', '16alpha-Hydroxyoestradiol', '16alpha,17beta-Oestriol', '16-alpha,17-beta-Estriol', '16-alpha,17-beta-Oestriol', 'Estriolo', 'Estriol, unconjugated', '(16alpha,17beta)-Estra-1,3,5(10)-triene-3,16,17-triol', '16-alpha-Hydroxyoestradiol', 'Deuslon A', '3,16alpha,17beta-Estriol', '16alpha-Hydroxy-17beta-estradiol', '3,16-alpha,17-beta-Estriol', 'NSC-12169', '3,16-alpha,17-beta-Oestriol', '3,16alpha,17beta-Trihydroxy-1,3,5(10)-estratriene', '16.alpha.-Hydroxyestradiol', '16.alpha.-Estriol', 'Colpogyn', 'Gynasan', 'Incurin', 'Ovesterin', '1,3,5-Estratriene-3beta,16alpha,17beta-triol', 'Ovo-vinces', '1,3,5-Oestratriene-3beta,16alpha,17beta-triol', 'A 13610', 'Klimax E', 'Estra-1,3,5(10)-trien-3,16alpha,17beta-triol', 'Oestra-1,3,5(10)-triene-3,16alpha,17beta-triol', '16.alpha.-Hydroxyoestradiol', '3,16alpha,17beta-Trihydroxy-delta-1,3,5-oestratriene', '3,16-alpha,17-beta-Trihydroxy-delta-1,3,5-estratriene', '3,16-alpha,17-beta-Trihydroxy-delta-1,3,5-oestratriene', '3,16-alpha,17-beta-Trihydroxyestra-1,3,5(10)-triene', '3,16-alpha,17-beta-Trihydroxyoestra-1,3,5(10)-triene', 'CCRIS 284', 'UNII-FB33469R8E', '(16alpha,17beta)-Oestra-1,3,5(10)-triene-3,16,17-triol', 'Oestriol [Steroidal oestrogens]', '16.alpha.,17.beta.-Estriol', '16.alpha.,17.beta.-Oestriol', '1,3,5(10)-Estratriene-3,16-alpha,17beta-triol', 'CHEBI:27974', 'Estra-1,3,5(10)-triene-3,16alpha,17beta-triol', 'HSDB 3590', 'Oestra-1,3,5(10)-triene-3,16-alpha,17-beta-triol', '3,16alpha,17beta-trihydroxy-Delta(1,3,5)-estratriene', 'EINECS 200-022-2', 'NSC 12169', 'OE3', '1,3,5(10)-Estratriene-3,16alpha,17beta-Triol', '16.alpha.-Hydroxy-17.beta.-estradiol', 'BRN 2508172', '16-Epiestriol', 'Estra-1,3,5(10)-triene-3,16,17-triol, (16alpha,17beta)-', 'FB33469R8E', 'NSC12169', '(8R,9S,13S,14S,16R,17R)-13-methyl-6,7,8,9,11,12,14,15,16,17-decahydrocyclopenta[a]phenanthrene-3,16,17-triol', 'Estriol, 97%', 'Estra-1,3,5(10)-triene-3,16,17-triol, (16a,17b)-', 'Estra-1,3,5(10)-triene-3,16,17-triol', 'DSSTox_CID_2366', 'DSSTox_RID_76559', 'DSSTox_GSID_22366', '3,16.alpha.,17.beta.-Estriol', 'Estriol [USAN:JAN]', 'Folicular hormone', '3,17.beta.-Estriol', 'Estriel (TN)', '16-Hydroxyestradiol', 'SR-01000721851', '1,3,5(10)-Estratriene-3,16.alpha.,17.beta.-triol', 'Estra-1,3,5(10)-trien-3,16.alpha.,17.beta.-triol', 'Estra-1,3,5(10)-triene-3,16.alpha.,17.beta.-triol', '1,3,5(10)-ESTRATRIENE-3,16,17-TRIOL', '1,3,5-Estratriene-3.beta.,16-.alpha.,17-.beta.-triol', '1,3,5-Oestratriene-3-.beta.,16.alpha.,17.beta.-triol', '3,16.alpha.,17.beta.-Trihydroxy-1,3,5(10)-estratriene', '3,16.alpha.,17.beta.-Trihydroxyestra-1,3,5(10)-triene', 'Oestra-1,3,5(10)-triene-3,16.alpha., 17.beta.-triol', '3,16.alpha.,17.beta.-Trihydroxy-.delta.-1,3,5-estratriene', 'Ovestinon', 'Trimesta', '3,16.alpha.,17.beta.-Trihydroxy-.delta.-1,3,5-oestratriene', '(16.alpha.,17.beta.)-Estra-1,3,5(10)-triene-3,16,17-triol', '(16.alpha.,17.beta.)-Oestra-1,3,5(10)-triene-3,16,17-triol', 'Estriol [USP:INN:BAN:JAN]', '3,16-.alpha.,17-.beta.-Oestriol', 'Holin V', 'CAS-50-27-1', '16a-Estriol', 'NCGC00166111-01', '(8R,9S,13S,14S,16R,17R)-13-methyl-7,8,9,11,12,13,14,15,16,17-decahydro-6H-cyclopenta[a]phenanthrene-3,16,17-triol', '16a-Hydroxyestradiol', '16a,17b-Estriol', 'Estriol, 98%', 'Estriol, &gt;=97%', '3,16a,17b-Estriol', 'Prestwick0_001096', 'Prestwick1_001096', 'Prestwick2_001096', 'Prestwick3_001096', 'Estriol (JP17/USP)', 'E0218', 'Epitope ID:140131', '1,3,5(10)-Estratrien-3,16.alpha.,17.beta.-triol', 'Estra-1,3,5(10)-triene-3,16-.alpha., l7-.beta.-triol', 'SCHEMBL78033', 'BSPBio_001172', '3,16-.alpha.,17-.beta.-Trihydroxyoestra-1,3,5(10)-triene', '4-06-00-07550 (Beilstein Handbook Reference)', 'MLS000069812', 'BIDD:ER0124', 'SPBio_003056', 'BPBio1_001290', 'CHEMBL193482', 'GTPL2821', 'DTXSID9022366', 'Estriol 1.0 mg/ml in Methanol', 'HMS1571K14', 'HMS2090E20', 'HMS2098K14', 'HMS2234A18', 'HMS3715K14', 'BCP23357', 'HY-B0412', 'ZINC3815418', 'Tox21_112320', 'Tox21_301604', '16-alpha-Hydroxy-17-beta-estradiol', 'BDBM50410506', 'LMST02010003', 'MFCD00003691', 's2466', 'AKOS015894926', 'Tox21_112320_1', 'BCP9000661', 'CCG-221096', 'CS-2516', 'DB04573', 'Estriol 100 microg/mL in Acetonitrile', 'Estriol, purum, &gt;=97.0% (HPLC)', 'MCULE-4009524570', 'SMP1_000122', 'NCGC00166111-02', 'NCGC00179277-01', 'NCGC00255193-01', 'NCGC00274080-01', 'AS-13735', 'Estriol, meets USP testing specifications', 'LS-64877', 'SC-12123', 'SMR000059210', 'BCP0726000219', 'AB0106020', 'AB00514045', 'B1507', 'Estriol, VETRANAL(TM), analytical standard', 'NS00009155', 'WLN: L E5 B666TTT&amp;J E1 FQ GQ OQ', 'C05141', 'D00185', 'Estra-1,3,5(10)-triene-3,16a,17b-triol', 'J10208', '3,16a,17b-Trihydroxyestra-1,3,5(10)-triene', '3,17.beta.-Trihydroxy-1,3,5(10)-estratriene', '3,17.beta.-Trihydroxyestra-1,3,5(10)-triene', 'AB00514045-08', 'AB00514045-09', 'AB00514045_10', '(16.alpha.,3,5(10)-triene-3,16,17-triol', '003E691', 'Q409721', '3,17.beta.-Trihydroxy-.delta.-1,3,5-estratriene', '3,17.beta.-Trihydroxy-.delta.-1,3,5-oestratriene', 'Q-201072', 'SR-01000721851-3', 'SR-01000721851-4', '1,5(10)-Estratriene-3,16.alpha., 17.beta.-triol', '1,5(10)-Estratriene-3,16.alpha.,17.beta.-triol', '3,16alpha,17beta-Trihydroxyestra-1,3,5(10)-triene', 'BRD-K17016787-001-03-5', 'BRD-K17016787-001-16-7', 'Estra-1,5(10)-trien-3,16.alpha.,17.beta.-triol', 'Estra-1,5(10)-triene-3,16.alpha.,17.beta.-triol', '1,5-Estratriene-3.beta.,16-.alpha.,17-.beta.-triol', '1,5-Oestratriene-3-.beta.,16.alpha.,17.beta.-triol', '13b-Methyl-1,3,5(10)-gonatriene-3,16a,17b-triol', 'E3 estriol (1-3-5(10)-estratrien-3 16-17-triol)', 'Estra-1,5(10)-trien-3,16.alpha., 17.beta.-triol', 'Estra-1,5(10)-triene-3,16.alpha., 17.beta.-triol', 'Estriol, European Pharmacopoeia (EP) Reference Standard', 'Oestra-1,5(10)-triene-3,16.alpha., 17.beta.-triol', 'Oestra-1,5(10)-triene-3,16.alpha.,17.beta.-triol', '6EC6F23B-A991-4606-8BC7-146D915DAB31', 'Estriol, United States Pharmacopeia (USP) Reference Standard', 'estra-1(10),2,4-triene-3,16,17-triol, (16alpha,17beta)-', 'Estra-1,5(10)-triene-3,16,17-triol, (16.alpha.,17.beta.)-', '(9beta,13alpha,16beta,17beta)-estra-1(10),2,4-triene-3,16,17-triol', 'Estriol for system suitability, European Pharmacopoeia (EP) Reference Standard', 'Estriol solution, 1.0 mg/mL in methanol, ampule of 1 mL, certified reference material', '(13S,16R,17R)-13-methyl-7,8,9,11,12,13,14,15,16,17-decahydro-6H-cyclopenta[a]phenanthrene-3,16,17-triol', '(8R,13S,16R,17R)-13-Methyl-7,8,9,11,12,13,14,15,16,17-decahydro-6H-cyclopenta[a]phenanthrene-3,16,17-triol', '(8R,9S,13S,14S,16R,17R)-13-methyl-6,7,8,9,11,12,14,15,16, 17-decahydrocyclopenta[a]phenanthrene-3,16,17-triol']</t>
  </si>
  <si>
    <t>Compound(5756)</t>
  </si>
  <si>
    <t>C18H24O3</t>
  </si>
  <si>
    <t>esfenvalerate</t>
  </si>
  <si>
    <t>[(S)-cyano-(3-phenoxyphenyl)methyl] (2S)-2-(4-chlorophenyl)-3-methylbutanoate</t>
  </si>
  <si>
    <t>['ESFENVALERATE', '66230-04-4', 'Fenvalerate (S,S)-isomer', 'Sumi-alpha', 'UNII-7F07OXM0PP', 'Asana', '7F07OXM0PP', 'Halmark', 'Sumi-alfa', 'A alpha', 'Fenvalerate alpha', 'CHEBI:39346', 'Sumiciclin Aalpha', 'Asana XL', 'Sumicidin A alpha', 'Fenvalerate A alpha', '(S)-cyano(3-phenoxyphenyl)methyl (2S)-2-(4-chlorophenyl)-3-methylbutanoate', 'S-5620A alpha', 'S 5602 A alpha', 'HSDB 6625', 'OMS 3023', 'BRN 4275674', 'Esfenvalerate [ISO]', 'S 1844', 'S-1844', '(S)-alpha-Cyano-3-phenoxybenzyl (S)-2-(4-chlorophenyl)-3-methylbutyrate', '(S)-alpha-Cyano-3-phenoxybenzyl(S)-2-(4-chlorophenyl)-3-methylbutyrate', '[(S)-cyano-(3-phenoxyphenyl)methyl] (2S)-2-(4-chlorophenyl)-3-methylbutanoate', '(S-(R*,R*))-Cyano(3-phenoxyphenyl)methyl 4-chloro-2-(1-methylethyl)benzeneacetate', 'SS/RR-Fenvalerate', '(S,S)-Fenvalerate', 'Asana (Esfenvalerate)', 'DSSTox_CID_12667', 'DSSTox_RID_79029', 'DSSTox_GSID_32667', 'SCHEMBL26507', 'CHEMBL1891190', 'DTXSID4032667', 'NIOSH/CY1576370', 'Esfenvalerate / (S)-.alpha.-Cyano-3-phenoxybenzyl (S)-2-(4-chlorophenyl)-3-methylbutyrate', 'Esfenvalerate/Fenvalerate Isomer 1', '(S)-a-cyano-3-phenoxybenzyl-(S)-2-(4-chlorophenyl)-3-methylbutyrate;esfenvalerate;Benzeneacetic acid, 4-chloro-?-(1-methylethyl)-, (S)-cyano(3-phenoxyphenyl)methyl ester, (?S)-', 'Benzeneacetic acid, 4-chloro-alpha-(1-methylethyl)-, cyano(3-phenoxyphenyl)methyl ester, (S-(R*,R*))-', 'ZINC1532099', 'Tox21_300785', 'AKOS025310580', 'VA10841', 'NCGC00163956-01', 'NCGC00163956-02', 'NCGC00163956-03', 'NCGC00254689-01', 'CC-27526', 'M378', 'Esfenvalerate 10 microg/mL in Cyclohexane', 'CAS-66230-04-4', 'HY-129257', '531-EP2274983A1', '531-EP2275422A1', '531-EP2308857A1', '531-EP2308858A1', '531-EP2311816A1', '531-EP2311817A1', 'CS-0104423', 'CY15763700', 'Esfenvalerate 100 microg/mL in Acetonitrile', 'NS00004711', 'C18147', 'Esfenvalerate, PESTANAL(R), analytical standard', '230E044', 'A835377', 'C-22056', 'Q424851', 'UNII-Z6MXZ39302 component NYPJDWWKZLNGGM-RPWUZVMVSA-N', '(2S)-2-(4-chlorophenyl)-3-methylbutanoic acid [(S)-cyano-(3-phenoxyphenyl)methyl] ester', '(S)-((S)-cyano(3-phenoxyphenyl)methyl) 2-(4-chlorophenyl)-3-methylbutanoate', '[(S)-cyano-(3-phenoxyphenyl)methyl] (2S)-2-(4-chlorophenyl)-3-methyl-butanoate', 'Benzeneacetic acid, 4-chloro-alpha-(1-methylethyl)-, (S)-cyano(3-phenoxyphenyl)methyl ester, (alphaS)-', 'Benzeneacetic acid, 4-chloro-alpha-(1-methylethyl)-, cyano(3-phenoxyphenyl)methyl ester, (S,S)-']</t>
  </si>
  <si>
    <t>Compound(10342051)</t>
  </si>
  <si>
    <t>C25H22ClNO3</t>
  </si>
  <si>
    <t>S-benzyl N-ethyl-N-(3-methylbutan-2-yl)carbamothioate</t>
  </si>
  <si>
    <t>['Esprocarb', '85785-20-2', 'Fuji grass', 'Esprocarb [ISO]', 'SC 2957', 'CHEBI:34743', 'Carbamothioic acid, (1,2-dimethylpropyl)ethyl-, S-(phenylmethyl) ester', 'S-benzyl N-ethyl-N-(3-methylbutan-2-yl)carbamothioate', 'S-(Phenylmethyl) (1,2-dimethylpropyl)ethylcarbamothioate', 'S-Benzyl 1,2-dimethylpropyl(ethyl)thiocarbamate (IUPAC)', 'S-Benzyl 1,2-dimethylpropyl(ethyl)thiocarbamate', 'SCHEMBL66416', 'CHEMBL2252174', 'DTXSID2058201', 'Esprocarb 10 microg/mL in Acetone', 'Esprocarb 100 microg/mL in Acetone', 'AKOS015902871', 'LS-50824', 'NS00003817', 'Esprocarb, PESTANAL(R), analytical standard', 'C14526', 'S-benzyl ethyl(3-methylbutan-2-yl)carbamothioate', 'Q22809053', 'Carbamothioic acid, N-(1,2-dimethylpropyl)-N-ethyl-, S-(phenylmethyl) ester;S-(Phenylmethyl) (ethyl-(3-methylbutan-2-yl)amino)methanethioate']</t>
  </si>
  <si>
    <t>Compound(91740)</t>
  </si>
  <si>
    <t>C15H23NOS</t>
  </si>
  <si>
    <t>etaconazole</t>
  </si>
  <si>
    <t>1-[[2-(2,4-dichlorophenyl)-4-ethyl-1,3-dioxolan-2-yl]methyl]-1,2,4-triazole</t>
  </si>
  <si>
    <t>['Etaconazole', 'Vangard', 'Benit', 'Sonax', '60207-93-4', 'Caswell No. 321AB', 'CGA 64251', 'Etaconazole [BSI:ISO]', 'UNII-3MT15AE9VG', 'EINECS 262-107-0', 'EPA Pesticide Chemical Code 120501', 'BRN 0834090', '3MT15AE9VG', 'CHEBI:4874', '1-((2-(2,4-Dichlorophenyl)-4-ethyl-1,3-dioxolan-2-yl)methyl)-1H-1,2,4-triazole', '1-[[2-(2,4-dichlorophenyl)-4-ethyl-1,3-dioxolan-2-yl]methyl]-1,2,4-triazole', '1-[[2-(2,4-Dichlorophenyl)-4-ethyl-1,3-dioxolan-2-yl]methyl]-1H-1,2,4-triazole', '1H-1,2,4-Triazole, 1-[[2-(2,4-dichlorophenyl)-4-ethyl-1,3-dioxolan-2-yl]methyl]-', '1H-1,2,4-Triazole, 1-((2-(2,4-dichlorophenyl)-4-ethyl-1,3-dioxolan-2-yl)methyl)-', 'Etaconazole (I)', '1-{[2-(2,4-dichlorophenyl)-4-ethyl-1,3-dioxolan-2-yl]methyl}-1H-1,2,4-triazole', 'Etaconazole (II)', 'Triazole-based ligand, 17', 'DSSTox_CID_21913', 'DSSTox_RID_79874', 'DSSTox_GSID_41913', 'SCHEMBL21043', 'CHEMBL270271', 'ETACONAZOLE-.beta. (ESO)', 'DTXSID2041913', 'ETACONAZOLE-.alpha. (ESO)', 'BDBM21166', 'Tox21_301568', 'CGA-64251', 'AKOS015903377', 'Etaconazole 10 microg/mL in Cyclohexane', 'NCGC00166188-01', 'NCGC00255938-01', 'CAS-60207-93-4', 'LS-155943', 'NS00006409', 'Etaconazol, PESTANAL(R), analytical standard', 'C11293', 'Q19279347', '1-([2-(2,4-Dichlorophenyl)-4-ethyl-1,3-dioxolan-2-yl]methyl)-1H-1,2,4-triazole #', 'Pesticide6_Etaconazole Isomer 1*_C14H15Cl2N3O2_1-{[2-(2,4-Dichlorophenyl)-4-ethyl-1,3-dioxolan-2-yl]methyl}-1H-1,2,4-triazole']</t>
  </si>
  <si>
    <t>Compound(91673)</t>
  </si>
  <si>
    <t>C14H15Cl2N3O2</t>
  </si>
  <si>
    <t>1-(5-ethylsulfonyl-1,3,4-thiadiazol-2-yl)-1,3-dimethylurea</t>
  </si>
  <si>
    <t>['Ethidimuron', '30043-49-3', 'Sulfodiazol', 'Ustilan', 'Caswell No. 902C', 'BAY-MET 1486', 'Ethidimuron [BSI:ISO]', 'MET 1486', 'UNII-1MC4836A60', 'EINECS 250-010-6', 'EPA Pesticide Chemical Code 122501', 'BRN 0551847', '1-(5-Ethylsulfonyl-1,3,4-thiadiazol-2-yl)-1,3-dimethylurea', '1-(5-Ethylsulphonyl-1,3,4-thiadiazol-2-yl)-1,3-dimethylurea', "N-(5-(Ethylsulfonyl)-1,3,4-thiadiazol-2-yl)-N,N'-dimethylurea", '1,3-Dimethyl-3-(5-aethylsulfonyl-1,3,4-thiadiazol-2-yl)-harnstoff', '1MC4836A60', '3-(5-Aethylsulfonyl-1,3,4-thiadiazol-2-yl)-1,3-dimethylharnstoff', 'Urea, 1,3-dimethyl-1-(5-ethylsulfonyl-1,3,4-thiadiazol-2-yl)-', "Urea, N-[5-(ethylsulfonyl)-1,3,4-thiadiazol-2-yl]-N,N'-dimethyl-", '1,3-Dimethyl-3-(5-aethylsulfonyl-1,3,4-thiadiazol-2-yl)-harnstoff [German]', '3-(5-Aethylsulfonyl-1,3,4-thiadiazol-2-yl)-1,3-dimethylharnstoff [German]', '1-(5-(ethylsulfonyl)-1,3,4-thiadiazol-2-yl)-1,3-dimethylurea', '1-[5-(Ethylsulfonyl)-1,3,4-thiadiazol-2-yl]-1,3-dimethylurea', "Urea, N-(5-(ethylsulfonyl)-1,3,4-thiadiazol-2-yl)-N,N'-dimethyl-", 'Ethidimuron (Sulfadiazole)', 'SCHEMBL134172', 'DTXSID8035005', 'CHEBI:82214', "N-(5-(Ethylsulfonyl)-1,3,4-thiazol)-N,N'-dimethylurea (8CI)", 'ZINC2555387', '1-(5-Ethylsulfonyl-1,3,4-thiadiazol-2-yl)-1,3-dimethylurea (8CI)', 'ACM30043493', 'LS-159984', 'FT-0725655', 'NS00007743', 'C19092', 'Ethidimuron, PESTANAL(R), analytical standard', 'C-56165', "N-(5-(Ethylsulfonyl)-1,3,4-thiazol)-N,N'-dimethylurea", "N-[5-(Ethanesulfonyl)-1,3,4-thiadiazol-2-yl]-N,N'-dimethylurea"]</t>
  </si>
  <si>
    <t>Compound(91596)</t>
  </si>
  <si>
    <t>C7H12N4O3S2</t>
  </si>
  <si>
    <t>etofibrate</t>
  </si>
  <si>
    <t>2-[2-(4-chlorophenoxy)-2-methylpropanoyl]oxyethyl pyridine-3-carboxylate</t>
  </si>
  <si>
    <t>['Etofibrate', '31637-97-5', 'Etofibrate [INN]', 'Etofibratum [INN-Latin]', 'Etofibrato [INN-Spanish]', 'C18H18ClNO5', 'UNII-23TF67G79M', 'EINECS 250-743-1', 'ethofibrate', '23TF67G79M', 'Etofibrate (INN)', 'Lipo-Merz', 'Q-201101', 'Etofibrato', 'Etofibratum', '2-(2-(4-chlorophenoxy)-2-methylpropanoyloxy)ethyl nicotinate', '2-(p-Chlorophenoxy)-2-methylpropionic acid 2-(nicotinoyloxy)ethyl ester', '2-Hydroxyethyl nicotinate 2-(p-chlorophenoxy)-2-methylpropionate (ester)', 'Etofibrat', 'SCHEMBL3122', '3-Pyridinecarboxylic acid, 2-[2-(4-chlorophenoxy)-2-methyl-1-oxopropoxy]ethyl ester', 'MLS006010106', 'Etofibrate, analytical standard', 'CHEMBL358150', 'AOB5320', 'DTXSID80185521', 'CHEBI:135535', 'HMS3652N04', 'BCP07572', 'HY-A0127', 'ZINC2019929', '2-(p-chlorophenoxy)-2-methylpropionic acid 2- (nicotinoyloxy)ethyl ester', '2-[2-(4-chlorophenoxy)-2-methylpropanoyl]oxyethyl pyridine-3-carboxylate', 'AKOS025311314', 'API0007315', 'CCG-268206', 'DB08983', '121GE005', 'AC-23121', 'AS-16847', 'CC-28327', 'SC-19255', 'SMR002529563', 'LS-174347', 'AK00149223', 'CS-0017444', 'FT-0660287', 'NS00005283', 'S4264', 'SW219681-1', 'V1802', 'D07187', 'K-7453', '637E975', 'C-23711', 'Q4116990', '2-{[2-(4-Chlorophenoxy)-2-methylpropanoyl]oxy}ethyl pyridine-3-carboxylate', 'Etofibrate;2-[2-(4-chlorophenoxy)-2-methylpropionyloxy]ethyl nicotinate hydrochloride;2-(2-(4-Chlorophenoxy)-2-methylpropionyloxy)ethyl nicotinate hydrochloride;3-[2-[2-(p-chlorophenoxy)-2-methylpropionyloxy]ethoxycarbonyl]pyridinium hydrogen sulphate']</t>
  </si>
  <si>
    <t>Compound(65777)</t>
  </si>
  <si>
    <t>ethofumesate</t>
  </si>
  <si>
    <t>(2-ethoxy-3,3-dimethyl-2H-1-benzofuran-5-yl) methanesulfonate</t>
  </si>
  <si>
    <t>['ETHOFUMESATE', '26225-79-6', 'Progress', 'Tramat', 'NORTRON', 'Nortron (new)', 'Nortran', 'Caswell No. 427BB', '(2-ethoxy-3,3-dimethyl-2H-1-benzofuran-5-yl) methanesulfonate', '2-Ethoxy-3,3-dimethyl-2,3-dihydro-1-benzofuran-5-yl methanesulfonate', 'NC 8438', 'Ethofumesate [ANSI:BSI:ISO]', 'CR 14658', 'HSDB 7451', 'EINECS 247-525-3', 'EPA Pesticide Chemical Code 110601', 'BRN 5759730', 'CHEBI:83768', '5-Benzofuranol, 2-Ethoxy-2,3-dihydro-3,3-dimethyl-, methanesulfonate', '(+-)-2-Ethoxy-2,3-dihydro-3,3-dimethyl-5-benzofuranol methanesulfonate', '(+-)-2-Ethoxy-2,3-dihydro-3,3-dimethylbenzofuran-5-yl methanesulphonate', '5-Benzofuranol, 2-ethoxy-2,3-dihydro-3,3-dimethyl-, methanesulfonate, (+-)-', '2-Ethoxy-2,3-dihydro-3,3-dimethyl-5-benzofuranyl methanesulfonate', '5-Benzofuranol, 2-ethoxy-2,3-dihydro-3,3-dimethyl-, methanesulfonate, (.+/-.)-', 'Nortranese', 'Prograss', 'DSSTox_CID_14580', 'DSSTox_RID_79169', 'DSSTox_GSID_34580', 'SCHEMBL55264', 'CBDivE_013978', 'CHEMBL2133153', 'DTXSID8034580', 'Ethofumesate, analytical standard', 'Tox21_301112', 'AKOS015895891', 'MCULE-6921746518', '(+-)-2-Ethoxy-2,3-dihydro-3,3-dimethyl-5-benzofuranyl methanesulfonate (8CI)(9CI)', '5-Benzofuranol, 2-ethoxy-2,3-dihydro-3,3-dimethyl-, methanesulfonate, (+-)- (8CI)(9CI)', 'ACM26225796', 'NCGC00160411-01', 'NCGC00160411-02', 'NCGC00160411-03', 'NCGC00160411-04', 'NCGC00255012-01', 'LS-35308', 'S272', 'Ethofumesate 10 microg/mL in Acetonitrile', 'CAS-26225-79-6', 'Ethofumesate 100 microg/mL in Acetonitrile', 'FT-0654068', 'NS00010438', 'C18829', 'Ethofumesate, PESTANAL(R), analytical standard', '225E796', 'A818330', 'SR-01000201862', 'J-016329', 'SR-01000201862-1', 'Q27157188', '2-ethoxy-2,3-dihydro-3,3-dimethylbenzofuran-5-yl methanesulphonate', '2-Ethoxy-3,3-dimethyl-2,3-dihydrobenzofuran-5-yl methanesulfonate', '(+/-)-2-ethoxy-2,3-dihydro-3,3-dimethyl-5-benzofuranyl methanesulfonate', '(.+/-.)-2-Ethoxy-2,3-dihydro-3,3-dimethyl-5-benzofuranol methanesulfonate', '(.+/-.)-2-Ethoxy-2,3-dihydro-3,3-dimethyl-5-benzofuranylmethanesulfonate', 'methanesulfonic acid (2-ethoxy-3,3-dimethyl-2H-benzofuran-5-yl) ester', '(+-)-2-Ethoxy-2,3-dihydro-3,3-dimethyl-5-benzofuranyl methanesulfonate (8CI)', '5-Benzofuranol, 2-ethoxy-2,3-dihydro-3,3-dimethyl-, methanesulfonate, (+-)- (8CI)', 'Methanesulfonic acid 2-ethoxy-3,3-dimethyl-2,3-dihydrobenzofuran-5-yl ester']</t>
  </si>
  <si>
    <t>Compound(33360)</t>
  </si>
  <si>
    <t>C13H18O5S</t>
  </si>
  <si>
    <t>ethephon</t>
  </si>
  <si>
    <t>2-chloroethylphosphonic acid</t>
  </si>
  <si>
    <t>['ETHEPHON', '16672-87-0', '2-Chloroethylphosphonic acid', '(2-Chloroethyl)phosphonic acid', 'Ethrel', 'Phosphonic acid, (2-chloroethyl)-', 'Chlorethephon', 'Bromeflor', 'Camposan', '2-Cepa', '2-Chloroethanephosphonic acid', 'Etheverse', 'Flordimex', 'Kamposan', 'Tomathrel', 'Cerone', 'Ethefon', 'Florel', 'Chloroethylphosphonic acid', 'Ethel', 'Roll-Fruct', 'Ethrel C', 'Bromoflor', 'CEPA', 'Ethepon', 'Floridex', 'PREP', 'Terpal', 'Cepha', 'Cepha 10LS', 'Gagro', 'Amchem 68-250', 'Chipco Florel PRO', 'Ethephon [ANSI]', 'Florel Plant Growth', '2-Chloraethyl-phosphonsaeure', 'Caswell No. 426A', 'Acide chloro-2-ethyl-phosphonique', 'UNII-XU5R5VQ87S', 'HSDB 2618', 'G 996', 'EINECS 240-718-3', '2-Chloraethyl-phosphonsaeure [German]', 'EPA Pesticide Chemical Code 099801', 'BRN 1751208', 'XU5R5VQ87S', 'Acide chloro-2-ethyl-phosphonique [French]', 'CHEBI:52741', 'CEP', 'DSSTox_CID_4085', 'DSSTox_RID_77282', 'DSSTox_GSID_24085', 'Arvest', '2-Chloroethylphosphonic acid, 90%, tech.', 'CAS-16672-87-0', 'Ethrel-E', 'Ethephon S.P.', 'Ethrel-R (Salt/Mix)', 'C2H6ClO3P', 'Chloroethyl)phosphonic acid', 'SCHEMBL37574', '2-Chloroethyl phosphoric acid', 'Ethephon 40% aqueous solution', 'CHEMBL1895474', 'DTXSID7024085', 'Ethephon, &gt;=96% (titration)', 'CTK3J4435', 'ZINC3957753', 'Tox21_202118', 'Tox21_301134', '2-chloroethylphosphonic acid;ethephon', 'AKOS009031487', 'NCGC00163720-01', 'NCGC00163720-02', 'NCGC00163720-03', 'NCGC00163720-04', 'NCGC00163720-05', 'NCGC00163720-06', 'NCGC00255033-01', 'NCGC00259667-01', 'L247', 'SC-79944', 'DB-043662', 'LS-106506', 'Ethephon, PESTANAL(R), analytical standard', 'FT-0611951', 'NS00001210', 'C18399', 'K-5165', '672C870', 'Q209355', 'J-010306']</t>
  </si>
  <si>
    <t>Compound(27982)</t>
  </si>
  <si>
    <t>C2H6ClO3P</t>
  </si>
  <si>
    <t>1-ethoxy-4-[2-methyl-1-[(3-phenoxyphenyl)methoxy]propan-2-yl]benzene</t>
  </si>
  <si>
    <t>['Etofenprox', 'Ethofenprox', '80844-07-1', '1-((2-(4-Ethoxyphenyl)-2-methylpropoxy)methyl)-3-phenoxybenzene', 'Ethophenprox', 'Trebon', 'Etofenprox [INN]', 'Etofenproxum [Latin]', 'UNII-0LD7P9153C', 'MTI 500', 'BRN 7047812', '3-Phenoxybenzyl 2-(4-ethoxyphenyl)-2-methylpropyl ether', 'CHEBI:39348', '0LD7P9153C', 'Benzene, 1-((2-(4-ethoxyphenyl)-2-methylpropoxy)methyl)-3-phenoxy-', '1-ethoxy-4-[2-methyl-1-[(3-phenoxyphenyl)methoxy]propan-2-yl]benzene', 'Etofenprox (INN)', 'AK-93029', '1-((2-(4-Ethoxyphenyl)-2-methylpropoxy)methyl)-3-phenoxy benzene', '1-{[2-(4-ethoxyphenyl)-2-methylpropoxy]methyl}-3-phenoxybenzene', 'Etofenproxum', 'alpha-((p-Ethoxy-beta,beta-dimethylphenethyl)oxy)-m-phenoxytoluene', '2-(4-Ethoxyphenyl)-2-methylpropyl 3-phenoxybenzyl ether', '1-ethoxy-4-{2-methyl-1-[(3-phenoxyphenyl)methoxy]propan-2-yl}benzene', 'EC 407-980-2', 'DSSTox_CID_12610', 'DSSTox_RID_79002', 'DSSTox_GSID_32610', 'SCHEMBL27691', 'MLS004774036', 'CHEMBL2105573', 'DTXSID9032610', 'CTK8C4727', 'HY-B0816', 'KS-00000IL4', 'ZINC2558051', 'Tox21_300378', 'ANW-72928', 'AKOS015896468', 'API0007140', 'DS-2089', 'Etofenprox 10 microg/mL in Cyclohexane', 'Etofenprox 10 microg/mL in Acetonitrile', 'NCGC00163891-01', 'NCGC00163891-02', 'NCGC00254410-01', 'AC-12690', 'CC-28326', 'Etofenprox 100 microg/mL in Acetonitrile', 'K439', 'LS-30339', 'SMR000855767', 'AB0014221', 'AX8017240', 'CAS-80844-07-1', 'DB-056465', 'CS-0012833', 'FT-0630883', 'NS00002113', 'Etofenprox, PESTANAL(R), analytical standard', 'C18410', 'D09202', 'M-8604', '26892-EP2275422A1', '26892-EP2280009A1', '26892-EP2305658A1', '26892-EP2308857A1', '26892-EP2314583A1', '31371-EP2274983A1', '31371-EP2292608A1', '31371-EP2308858A1', '31371-EP2311816A1', '31371-EP2311817A1', '844E071', 'A841298', 'SR-01000883714', 'Q2415193', 'SR-01000883714-1', '1-((2-(4-Ethoxyphenyl)-2-methylpropoxy)-methyl)-3-phenoxybenzene', '3-phenoxybenzyl-2-(4-ethoxyphenyl)-2-methylpropylether/Etofenprox', 'Etofenprox / 3-phenoxybenzyl-2-(4-ethoxyphenyl)-2-methylpropylether', '.alpha.-[(p-Ethoxy-.beta.,.beta.-dimethylphenethyl)oxy]-m-phenoxytoluene']</t>
  </si>
  <si>
    <t>Compound(71245)</t>
  </si>
  <si>
    <t>C25H28O3</t>
  </si>
  <si>
    <t>(6-ethoxy-2-ethylpyrimidin-4-yl)oxy-dimethoxy-sulfanylidene-lambda5-phosphane</t>
  </si>
  <si>
    <t>['ETRIMFOS', '38260-54-7', 'Etrimphos', 'Ekamet', 'Satisfar', 'Ekamet G', 'Ekamet ULV', 'Satisfar DP-2', 'Satisfar LS 3', 'Satisfar LS 5', 'San 197', 'Etrimfos [ANSI:BSI:ISO]', 'UNII-XHX5LWR4ME', 'SAN 197 I', 'SAN-I 197', 'Caswell No. 365AAA', 'OMS 1806', 'ENT 29126', 'HSDB 6630', 'Phosphorothioic acid, O,O-dimethyl O-(6-ethoxy-2-ethyl-4-pyrimidinyl) ester', 'XHX5LWR4ME', 'EINECS 253-855-9', 'O-6-Ethoxy-2-ethylpyrimidin-4-yl O,O-dimethylphosphorothioate', 'EPA Pesticide Chemical Code 427500', 'Phosphorothioic acid, O-(6-ethoxy-2-ethyl-4-pyrimidinyl) O,O-dimethyl ester', 'AI3-29126', 'CHEBI:82124', 'O-6-Ethoxy-2-ethylpyrimidin-4-yl O,O-dimethyl phosphorothioate', 'O,O-Dimethyl O-(2-ethyl-4-ethoxypyrimidinyl)-6-thionophosphate', 'O,O-Dimethyl O-(2-ethyl-4-ethoxypyriminidyl-6) thionophosphate', 'O,O-Dimethyl O-(2-ethyl-6-ethoxy-4-pyrimidyl)phosphorothioate', 'Dimethyl-O-(2-ethyl-4-ethoxy-pyrimidinyl-6)-thionophosphate', 'O,O-Dimethyl O-(6-ethoxy-2-ethyl-4-pyrimidinyl) phosphorothioate', 'O-(6-Ethoxy-2-ethyl-4-pyrimidinyl) O,O-dimethyl phosphorothioate', 'o-(6-Ethoxy-2-ethyl-4-pyrimidinyl) o,o-dimethyl thiophosphate', '(6-ethoxy-2-ethylpyrimidin-4-yl)oxy-dimethoxy-sulfanylidene-?^{5}-phosphane', 'DSSTox_CID_21964', 'DSSTox_RID_79888', 'DSSTox_GSID_41964', 'SCHEMBL116652', 'CHEMBL1316772', 'DTXSID7041964', 'CTK8E8149', 'Tox21_301572', 'AKOS015898813', 'Phosphorothioic acid, O-(6-ethoxy-2-ethyl-4-pyrimidinyl) O,O-dimethyl ester (9CI)', 'NCGC00166189-01', 'NCGC00255959-01', 'CAS-38260-54-7', 'LS-108823', 'Etrimfos, PESTANAL(R), analytical standard', 'NS00002608', 'C18985', 'Q22807519', 'Etrimfos; Etrimphos; SAN 197; SAN-I 197; Satisfar', '2-Ethyl-6-ethoxypyrimidin-4-yl dimethyl phosphorothionate', 'Etrimfos. Short expiry date due to chemical nature of component(s)', 'O-(6-Ethoxy-2-ethyl-4-pyrimidinyl) O,O-dimethyl thiophosphate #', '6-ethoxy-2-ethylpyrimidin-4-yl methyl methoxy(sulfanylidene)phosphonite', 'etrimfos;O-6-ethoxy-2-ethylpyrimidin-4-yl O,O-dimethylphosphorothioate', 'O-(6-Ethoxy-2-ethyl-4-pyrimidinyl) O,O-dimethyl phosphorothioate, 9CI', 'Etrimfos 10 microg/mL in Cyclohexane. Short expiry date due to chemical nature of component(s)']</t>
  </si>
  <si>
    <t>Compound(37995)</t>
  </si>
  <si>
    <t>C10H17N2O4PS</t>
  </si>
  <si>
    <t>ethinyl estradiol</t>
  </si>
  <si>
    <t>(8R,9S,13S,14S,17R)-17-ethynyl-13-methyl-7,8,9,11,12,14,15,16-octahydro-6H-cyclopenta[a]phenanthrene-3,17-diol</t>
  </si>
  <si>
    <t>['ethinyl estradiol', 'Ethynylestradiol', 'Ethynyl estradiol', 'ETHINYLESTRADIOL', '57-63-6', 'Ethinyloestradiol', 'Ginestrene', '17-Ethinylestradiol', '17alpha-Ethynylestradiol', 'Progynon C', 'Ethinoral', 'Eticyclin', 'Eticyclol', 'Etinestrol', 'Etinestryl', 'Etinoestryl', 'Etistradiol', 'Follicoral', 'Novestrol', 'Orestralyn', 'Spanestrin', 'Amenoron', 'Dyloform', 'Ertonyl', 'Estigyn', 'Estinyl', 'Estoral', 'Estorals', 'Ethidol', 'Inestra', 'Linoral', 'Lynoral', 'Menolyn', 'Oradiol', 'Primogyn', 'Esteed', 'Neo-Estrone', 'Primogyn C', 'Primogyn M', 'Nogest-S', 'Eston-E', 'Feminone', 'Palonyl', 'Perovex', '17-Ethynylestradiol', 'Diogyn E', 'Microfollin', 'Chee-O-Genf', 'Chee-O-Gen', '17-Ethinyl-3,17-estradiol', 'Ethynyloestradiol', '17-Ethinyl-3,17-oestradiol', '17alpha-Ethinylestradiol', '17-Ethynyloestradiol', 'Estoral (Orion)', '17alpha-Ethinyl estradiol', 'Amenorone', 'Diprol', 'Ethinyl-oestranol', 'Diognat-E', 'Diogyn-E', 'Aethinyloestradiolum', 'Ethinylestriol', 'Estopherol', 'Eticylol', 'Kolpolyn', 'Orestrayln', 'Ylestrol', 'Anovlar', 'Etivex', 'Progynon M', 'Ethinyl E2', 'Estradiol, 17-ethynyl-', 'Estoral (VAN)', 'Aethinyoestradiol [German]', '17a-Ethynylestradiol', 'Etinilestradiol [INN-Spanish]', 'EE(sub 2)', 'NSC-10973', 'Etinilestradiolo [DCIT]', '17alpha-Ethynyloestradiol', 'Ethinylestradiolum [INN-Latin]', '17-alpha-Ethynylestradiol', 'Ethinyl Estradiol [USP]', '17alpha-Ethinylestradiol-17beta', 'Ethinylestradiol [INN:BAN:JAN]', 'ethynyl-estradiol', '17-alpha-Ethynylestradiol-17-beta', '17.alpha.-Ethinylestradiol', '17.alpha.-Ethynylestradiol', 'Estoral [Orion]', '17-alpha-Ethinyl-17-beta-estradiol', '17.alpha.-Ethynyloestradiol', '17-alpha-Ethynyl-17-beta-oestradiol', 'CCRIS 286', '17a-Ethinylestradiol', 'UNII-423D2T571U', 'HSDB 3587', '17 alpha-ethinyestradiol', 'Ethinyl estradiol (USP)', 'EINECS 200-342-2', 'EE', 'CHEMBL691', 'OVULEN-21', 'OVULEN-28', '17-alpha-ethynyl estradiol', '17.alpha.-Ethinyl-17.beta.-estradiol', 'BRN 2419975', 'Ethinyloestradiol [Steroidal oestrogens]', '17.alpha.-Ethynyl-17.beta.-oestradiol', 'Norinyl', 'AI3-52941', 'MLS000028479', 'CHEBI:4903', 'EE2', 'EO', 'Prosexol', '17-Ethynyl-3,17-dihydroxy-1,3,5-oestratriene', '19-Norpregna-1,3,5(10)-trien-20-yne-3,17-diol, (17alpha)-', '17.alpha.-Ethynylestradiol-l7.beta.', '17-alpha-Ethynyl-1,3,5-oestratriene-3,17-beta-diol', '423D2T571U', '(8R,9S,13S,14S,17R)-17-ethynyl-13-methyl-7,8,9,11,12,14,15,16-octahydro-6H-cyclopenta[a]phenanthrene-3,17-diol', '17.alpha.-Ethynyloestradiol-17.beta.', '17alpha-ethinylestra-1,3,5(10)-triene-3,17beta-diol', '17alpha-ethinyloestra-1,3,5(10)-triene-3,17beta-diol', '(17beta)-17-ethynylestra-1(10),2,4-triene-3,17-diol', '17-alpha-Ethinylestra-1,3,5(10)-triene-3,17-beta-diol', '17-alpha-Ethynyl-1,3,5(10)-estratriene-3,17-beta-diol', 'NCGC00091533-04', 'Etinilestradiol', '17-alpha-Ethinyloestra-1,3,5(10)-triene-3,17-beta-diol', '17-alpha-Ethynyl-1,3,5(10)-oestratriene-3,17-beta-diol', '17alpha-Ethinyl-3,17-dihydroxy-delta(sup1,3,5)-estratriene', '17alpha-ethinyl-3,17-dihydroxy-delta(sup1,3,5)oestratriene', '3,17beta-Dihydroxy-17alpha-ethynyl-1,3,5(10)-estratriene', '3,17beta-Dihydroxy-17alpha-ethynyl-1,3,5(10)-oestratriene', 'Certostat', 'Estra-1,3,5(10)-triene-3,17beta-diol, 17alpha-ethynyl-', 'Ethinylestradiol, 98%', 'SMR000058319', '17-alpha-Ethinyl-3,17-dihydroxy-delta(sup 1,3,5)-estratriene', '19-Nor-17alpha-pregna-1,3,5(10)-trien-20-yne-3,17-diol', '3,17-beta-Dihydroxy-17-alpha-ethynyl-1,3,5(10)-estratriene', '3,17-beta-Dihydroxy-17-alpha-ethynyl-1,3,5(10)-oestratriene', 'Estra-1,3,5(10)-triene-3,17-beta-diol, 17-alpha-ethynyl-', 'Etinilestradiolo', '(17-alpha)-19-Norpregna-1,3,5(10)-trien-20-yne-3,17,diol', '17alpha-ethinyl-delta(sup1,3,5(10))oestratriene-3,17-beta -diol', '17alpha-Ethynyloestradiol-17beta; 17beta-Estradiol, 17-ethynyl-', '19-Nor-17-alpha-pregna-1,3,5(10)-triene-20-yne-3,17-diol', 'DSSTox_CID_576', 'Aethinyoestradiol', '17-alpha-Ethinyl-delta(sup 1,3,5(10))oestratriene-3,17-beta-diol', 'Ethinylestradiolum', 'Microfollin Forte', 'DSSTox_RID_75668', 'DSSTox_GSID_20576', '17alpha-Ethynylestra-1,3,5(10)-triene-3,17beta-diol', '17alpha-ethinyl-estra-1,3,5(10)-triene-3,17beta-diol', '(17alpha)-19-norpregna-1,3,5(10)-trien-20-yne-3,17-diol', '19-Nor-17-alpha-pregna-1,3,5(10)-trien-20-yne-3,17-diol', '19-Norpregna-1,3,5(10)-trien-20-yne-3,17-diol, (17a)-', 'CAS-57-63-6', '(1S,10R,11S,14R,15S)-14-ethynyl-15-methyltetracyclo[8.7.0.0^{2,7}.0^{11,15}]heptadeca-2(7),3,5-triene-5,14-diol', 'component of Oracon', 'component of Ortrel', 'Estinyl (TN)', 'component of Demulen', 'Estra-1,5(10)-triene-3,17.beta.-diol, 17-ethynyl-', 'Estra-1,5[10]-triene-3,17.beta.-diol, 17-ethynyl-', 'Ylestol', '19-Nor-17.alpha.-pregna-1,5(10)-trien-20-yne-3,17-diol', '19-Nor-17.alpha.-pregna-1,5[10]-trien-20-yne-3,17-diol', '19-Norpregna-1,3,5(10)-trien-20-yne-3,17-diol, (17.alpha.)-', '17alpha-Ethinyl-17beta-estradiol', 'component of Ovral', '(8R,9S,13S,14S,17R)-17-ethynyl-13-methyl-7,8,9,11,12,13,14,15,16,17-decahydro-6H-cyclopenta[a]phenanthrene-3,17-diol', '3WF', 'Levlen (Salt/Mix)', 'MFCD00003690', 'Oracon (Salt/Mix)', 'Ortrel (Salt/Mix)', 'Anovlar (Salt/Mix)', 'Desogen (Salt/Mix)', '17a-Ethynyloestradiol', 'Estoral {[Orion]}', 'Nordette (Salt/Mix)', 'PUBERTAL ETHINYL ESTRADIOL STUDY', 'Secrovin (Salt/Mix)', 'Seasonale (Salt/Mix)', 'Triphasil (Salt/Mix)', 'Estopherol (Salt/Mix)', 'Seasonique (Salt/Mix)', '17-Ethynylestradiol ram', 'Ortho Evra (Salt/Mix)', 'Tri-Levlen (Salt/Mix)', 'Ethinyl Estradiol;Ethinylestradiol;ETHINYLESTRADIOL', 'Opera_ID_1808', '17 alpha Ethynylestradiol', '17a-Ethynylestradiol-l7b', '19-Norpregna-1,3,5(10)-trien-20-yne-3,17-diol', 'Ortho-Cyclen (Salt/Mix)', '17a-Ethynyloestradiol-17b', 'SCHEMBL4071', '17a-Ethinyl-17b-estradiol', '17a-Ethynyl-17b-oestradiol', 'MLS000758274', 'MLS001424011', 'BIDD:ER0162', 'Ethinylestradiol (JP17/INN)', 'GTPL7071', 'SGCUT00127', 'DTXSID5020576', '17alpha-Ethynylestradiol (EE2)', 'HMS2051I19', 'HMS2235J09', 'HMS3715J09', '17alpha-Ethynylestradiol, &gt;=98%', '17.beta.-Estradiol, 17-ethynyl-', 'HY-B0216', 'NSC10973', 'to_000048', 'ZINC3812897', 'Tox21_111147', 'Tox21_201291', 'Tox21_300413', 'BDBM50187243', 'LMST02010036', 'LS-231', 's1625', 'SBB066068', '17|A-Ethynylestradiol;Ethynylestradiol', 'AKOS015894925', 'Tox21_111147_1', 'AC-2169', 'CCG-100819', 'CS-2161', 'DB00977', 'KS-5257', 'MCULE-5991854877', 'NC00069', '17.alpha.-ethinyl-3,3,5)oestratriene', '17.alpha.-Ethinyl-3,3,5)-estratriene', 'NCGC00091533-01', 'NCGC00091533-05', 'NCGC00091533-07', 'NCGC00091533-08', 'NCGC00091533-09', 'NCGC00091533-10', 'NCGC00254514-01', 'NCGC00258843-01', 'NCI60_000234', 'ST081364', '392-EP2270017A1', '392-EP2272846A1', '392-EP2275422A1', '392-EP2277622A1', '392-EP2281816A1', '392-EP2308866A1', '392-EP2372017A1', '392-EP2374791A1', '17-Ethynyl-3-17-dihydroxy-1,5-oestratriene', '17alpha-Ethynylestradiol, &gt;=98.0% (HPLC)', 'C07534', 'D00554', 'EN300-119516', '17-Ethynyl-3-17-dihydroxy-1,3,5-oestratriene', 'AB00441335-11', 'AB00441335_12', 'WLN: L E5 B666TTT&amp;J E1 FQ F1UU1 OQ', '003E690', 'Q415563', 'SR-01000721903', '17-Ethynylestra-1,3,5(10)-triene-3,17beta-diol', '17a-Ethinylestradiol 100 microg/mL in Acetonitrile', 'Q-201076', 'SR-01000721903-3', '17-Ethynyloestra-1,5(10)-triene-3,17.beta.-diol', '17.alpha.-Ethynyl-1,5-estratriene-3,17.beta.-diol', '17.alpha.-Ethynyl-1,5-oestratriene-3,17.beta.-diol', '17alpha-Ethinyl-1,3,5(10)-estratriene-3,17-diol', 'BRD-K48195008-001-19-9', 'TRANSGENIC MODEL EVALUATION (ETHINYL ESTRADIOL)', '17-Ethynyloestra-1,3,5(10)-triene-3,17.beta.-diol', '17.alpha.-Ethinyl-1,3,5(10)-estratriene-3,17-diol', '17alpha-Ethynyl-1,3,5(10)-estratriene-3,17beta-diol', 'Z1541638513', '(17beta)-17-ethynylestra-1,3,5(10)-triene-3,17-diol', '17.alpha.-ethinylestra-1,5(10)-triene-3,17.beta.-diol', '17.alpha.-ethinyloestra-1,5(10)-triene-3,17.beta.-diol', '17.alpha.-Ethynylestra-1,5(10)-triene-3,17.beta.-diol', '17.alpha.-Ethynyloestra-1,5(10)-triene-3,17.beta.-diol', '17.alpha.-ethinylestra-1,3,5(10)-triene-3,17.beta.-diol', '17.alpha.-ethinyloestra-1,3,5(10)-triene-3,17.beta.-diol', '17.alpha.-Ethynyl-1,3,5(10)-estratriene-3,17.beta.-diol', '17.alpha.-Ethynyl-1,3,5(10)-oestratriene-3,17.beta.-diol', '17.alpha.-Ethynylestra-1,3,5(10)-triene-3,17.beta.-diol', '17.alpha.-Ethynyloestra-1,3,5(10)-triene-3,17.beta.-diol', '17alpha-Ethynylestradiol, VETRANAL(TM), analytical standard', '19-Nor-1,3,5(10),17alpha-pregnatrien-20-yne-3,17-diol', '19-nor-17.alpha.-Pregna-1,5(10)-trien-2-yne-3,17-diol', 'Estra-1,5(10)-triene-3,17.beta.-diol, 17.alpha.-ethynyl-', '17.alpha.-Ethinyl-3,17-dihydroxy-.delta.(sup1,3,5)-estratriene', '17.alpha.-ethinyl-3,17-dihydroxy-.delta.(sup1,3,5)oestratriene', '19-Nor-17.alpha.-pregna-1,3,5(10)-trien-20-yn-3,17-diol', '19-Nor-17.alpha.-pregna-1,3,5(10)-trien-20-yne-3,17-diol', '19-Norpregna-1,5(10)-trien-20-yne-3,17-diol, (17.alpha.)-', '3,17.beta.-Dihydroxy-17.alpha.-ethynyl-1,3,5(10)-estratriene', '3,17.beta.-Dihydroxy-17.alpha.-ethynyl-1,3,5(10)-oestratriene', 'Estra-1,3,5(10)-triene-3,17.beta.-diol, 17.alpha.-ethynyl-', 'Ethinylestradiol, European Pharmacopoeia (EP) Reference Standard', '17.alpha.-ethinyl-.delta.(sup1,3,5(10))oestratriene-3,17-.beta. -diol', '17.alpha.-ethinyl-.delta.(sup1,5(10))oestratriene-3,17-.beta.-diol', '19-Nor-17.alpha.-pregna-1,3,5(10)-trien-20-yne-3,17.beta.-diol', 'Ethinyl estradiol, United States Pharmacopeia (USP) Reference Standard', '(9beta,13alpha,14beta,17alpha)-17-ethynylestra-1(10),2,4-triene-3,17-diol', 'ENDOCRINE DISRUPTOR (ETHINYL ESTRADIOL) (SEE ALSO ETHINYL ESTRADIOL (57-63-6))', 'Ethinyl Estradiol, Pharmaceutical Secondary Standard; Certified Reference Material', 'Ethinylestradiol for system suitability, European Pharmacopoeia (EP) Reference Standard', '(1S,11S,15S,10R,14R)-14-ethynyl-15-methyltetracyclo[8.7.0.0&lt;2,7&gt;.0&lt;11,15&gt;]hept adeca-2(7),3,5-triene-5,14-diol', '(1S,11S,15S,10R,14R)-14-ethynyl-15-methyltetracyclo[8.7.0.0&lt;2,7&gt;.0&lt;11,15&gt;]hept adeca-2,4,6-triene-5,14-diol', '1050678-65-3']</t>
  </si>
  <si>
    <t>Compound(5991)</t>
  </si>
  <si>
    <t>C20H24O2</t>
  </si>
  <si>
    <t>(8S,9S,10R,13S,14S,17R)-13-ethyl-17-ethynyl-17-hydroxy-11-methylidene-2,6,7,8,9,10,12,14,15,16-decahydro-1H-cyclopenta[a]phenanthren-3-one</t>
  </si>
  <si>
    <t>['ETONOGESTREL', 'Implanon', '54048-10-1', '3-Oxodesogestrel', 'nexplanon', '3-Ketodesogestrel', '3-Keto-desogestrel', 'Org-3236', 'UNII-304GTH6RNH', 'ORG 3236', '304GTH6RNH', 'CHEBI:50777', '(8S,9S,10R,13S,14S,17R)-13-ethyl-17-ethynyl-17-hydroxy-11-methylidene-2,6,7,8,9,10,12,14,15,16-decahydro-1H-cyclopenta[a]phenanthren-3-one', '18,19-Dinorpregn-4-en-20-yn-3-one,13-ethyl-17-hydroxy-11-methylene-, (17a)-', 'etonogestrelum', 'EINECS 258-936-2', 'Implanon (TN)', '17-Ethinyl-17-beta-hydroxy-18-methyl-11-methylene-4-estren-3-one', '13-Ethyl-17-hydroxy-11-methylene-18,19-dinor-17alpha-pregn-4-en-20-yn-3-one', 'Etonogestrel (USAN/INN)', 'Etonogestrel [USAN:INN:BAN]', '13-Ethyl-11-methylene-18,19-dinor-17-alpha-pregn-4-en-20-yn-3-one', '(17-alpha)-13-Ethyl-17-hydroxy-11-methylene-18,19-dinorpregn-4-en-20-yn-3-one', '(17alpha)-13-Ethyl-17-hydroxy-11-methylene-18,19-dinorpregn-4-en-20-yn-3-one', '18,19-Dinorpregn-4-en-20-yn-3-one, 13-ethyl-17-hydroxy-11-methylene-, (17-alpha)-', 'NCGC00168777-01', 'CHEMBL1531', 'DSSTox_CID_26782', 'DSSTox_RID_81900', 'DSSTox_GSID_46782', 'SCHEMBL117703', 'GTPL7590', 'DTXSID9046782', 'Etonogestrel (3-Ketodesogestrel)', 'Etonogestrel, &gt;=98% (HPLC)', '18,19-Dinor-17alpha-pregn-4-en-20-yn-3-one, 13-ethyl-17-hydroxy-11-methylene-', 'etonogestrel;(17a)-13-ethyl-17-hydroxy-11-methylene-18,19-dinorpregn-4-en-20-yn-3-one', 'BCP28481', 'HY-B0652', '3-Oxodesogestrel;3-keto-Desogestrel', 'Tox21_112638', 'BDBM50423516', 's4673', 'ZINC11680067', '3-Ketodesogestrel|||3-Oxodesogestrel', '17alpha-ethynyl-17beta-hydroxy-11-methylidene-18a-homo-estr-4-en-3-one', 'ACN-037292', 'CCG-267753', 'CS-2884', 'DB00294', 'NCGC00168777-04', 'AS-73246', 'CC-28331', 'CAS-54048-10-1', 'D04104', '048E101', 'C-23775', 'Q3733839', 'Etonogestrel, United States Pharmacopeia (USP) Reference Standard', '(17a)-13-ethyl-17-hydroxy-11-methylene-18,19-dinorpregn-4-en-20-yn-3-one', 'Desogestrel Related Compound C, United States Pharmacopeia (USP) Reference Standard', '(1R,3aS,3bS,9aR,9bS,11aS)-11a-ethyl-1-ethynyl-1-hydroxy-10-methylidene-1H,2H,3H,3aH,3bH,4H,5H,7H,8H,9H,9aH,9bH,10H,11H,11aH-cyclopenta[a]phenanthren-7-one', '(1S,2R,10S,11S,14R,15S)-15-ethyl-14-ethynyl-14-hydroxy-17-methylidenetetracyclo[8.7.0.0^{2,7}.0^{11,15}]heptadec-6-en-5-one', '(8S,9S,13S,14S,17R)-13-ethyl-17-ethynyl-17-hydroxy-11-methylene-6,7,8,9,10,11,12,13,14,15,16,17-dodecahydro-1H-cyclopenta[a]phenanthren-3(2H)-one', '13-Ethyl-17-hydroxy-11-methylidene-18,19-dinor-17alpha-pregn-4-en-20-yn-3-one (3-Ketodesogestrel)']</t>
  </si>
  <si>
    <t>Compound(6917715)</t>
  </si>
  <si>
    <t>C22H28O2</t>
  </si>
  <si>
    <t>[2-(ethylsulfanylmethyl)phenyl] N-methylcarbamate</t>
  </si>
  <si>
    <t>['Ethiofencarb', '29973-13-5', 'CRONETON', 'Arylmate', 'Kronetone', 'Croneton 500', 'Ethiophencarbe', 'Ethiofencarb [BSI:ISO]', 'alpha-Ethylthio-o-tolyl methylcarbamate', 'Hox 1901', '2-((Ethylthio)methyl)phenol methylcarbamate', '2-((Ethylthio)methyl)phenyl methylcarbamate', 'BAY-HOX-1901', 'Caswell No. 263AA', 'CHOX 1901', 'alpha-(Ethylthio)-o-tolyl methylcarbamate', 'UNII-FY0YB813XV', 'Ethiophencarbe [ISO-French]', '2-[(Ethylsulfanyl)methyl]phenyl methylcarbamate', '2-Ethylthiomethylphenyl N-methylcarbamate', 'HSDB 7140', '(2-Ethylthiomethyl-phenyl)-N-methylcarbamate', 'EINECS 249-981-9', '2-Ethyl-mercaptomethyl-phenyl-N-methylcarbamate', 'Phenol, 2-[(ethylthio)methyl]-, methylcarbamate', '[2-(ethylsulfanylmethyl)phenyl] N-methylcarbamate', 'EPA Pesticide Chemical Code 112101', 'BRN 2973224', 'FY0YB813XV', 'alpha-(Ethylthio)-o-tolyl methylcarbamate [ISO:BSI]', 'AI3-29007', 'CHEMBL493480', 'CHEBI:38483', 'Phenol, 2-((ethylthio)methyl)-, methylcarbamate', 'Carbamic acid, methyl-, 2-(ethylthiomethyl)phenyl ester', '2-[(Ethylthio)methyl]phenyl N-methylcarbamate', '2-[(ethylsulfanyl)methyl]phenyl N-methylcarbamate', 'Carbamic acid, methyl-, alpha-(ethylthio)-o-tolyl ester', 'Phenol, 2-((ethylthio)methyl)-, methylcarbamate (9CI)', '2-(ethylthiomethyl) phenyl methylcarbamate', 'DSSTox_CID_17545', 'DSSTox_RID_79333', 'C5H11NNa2O6S4', 'DSSTox_GSID_37545', 'SCHEMBL74938', 'DTXSID3037545', 'CTK8E8200', 'HEZNVIYQEUHLNI-UHFFFAOYSA-', 'Carbamic acid, methyl-, .alpha.-(ethylthio)-o-tolyl ester', 'ZINC2011298', 'ZX-AT013327', 'Tox21_301356', 'BDBM50253090', 'AKOS015888329', 'alpha-Ethylthio-o-tolylmethyl carbamate', 'OR59939', 'ACM29973135', '2-(ethylthiomethyl)phenyl methylcarbamate', 'NCGC00163882-01', 'NCGC00255441-01', '.alpha.-Ethylthio-o-tolyl methylcarbamate', 'LS-50210', 'Ethiofencarb 100 microg/mL in Cyclohexane', '2-ethylthiomethyl-phenyl N-methyl-carbamate', 'CAS-29973-13-5', 'NS00000130', '2-(Ethylthiomethyl)phenyl methylcarbamate, 9CI', 'C18649', 'N-Methyl-O-(2-ethylthiomethyl) phenylcarbamate', 'Ethiofencarb, PESTANAL(R), analytical standard', 'J-017713', 'Q3591963', 'Carbamic acid, methyl-,2-(ethylthiomethyl)phenyl ester', 'Carbamic acid, methyl-, alpha-(ethylthio)-o-tolyl ester (8CI)', 'Pesticide2_Ethiofencarb_C11H15NO2S_Phenol, 2-[(ethylthio)methyl]-, methylcarbamate']</t>
  </si>
  <si>
    <t>Compound(34766)</t>
  </si>
  <si>
    <t>C11H15NO2S</t>
  </si>
  <si>
    <t>ethiophencarb sulfoxide</t>
  </si>
  <si>
    <t>[2-(ethylsulfinylmethyl)phenyl] N-methylcarbamate</t>
  </si>
  <si>
    <t>['Ethiofencarb sulfoxide', 'Ethiofencarb-sulfoxide', 'Croneton sulfoxide', '53380-22-6', '2-((Ethylsulfinyl)methyl)phenol methylcarbamate', 'BRN 1978450', 'Phenol, 2-((ethylsulfinyl)methyl)-, methylcarbamate', '2-(Ethylsulfinylmethyl)phenyl methylcarbamate', '2-[(ETHANESULFINYL)METHYL]PHENYL N-METHYLCARBAMATE', '[2-(ethylsulfinylmethyl)phenyl] N-methylcarbamate', 'DTXSID20968032', 'LS-104654', 'NS00000132', 'J-019282', 'Ethiofencarb-sulfoxide, PESTANAL(R), analytical standard', '2-[(Ethanesulfinyl)methyl]phenyl hydrogen methylcarbonimidate', '2-[(Ethanesulfinyl)methyl]phenyl hydrogen methylcarbonimidate (Ethiofencarb sulfoxide)']</t>
  </si>
  <si>
    <t>Compound(3035207)</t>
  </si>
  <si>
    <t>C11H15NO3S</t>
  </si>
  <si>
    <t>ethiophencarbsulfone</t>
  </si>
  <si>
    <t>[2-(ethylsulfonylmethyl)phenyl] N-methylcarbamate</t>
  </si>
  <si>
    <t>['Ethiofencarb-sulfone', 'Croneton sulfone', 'Ethiofencarb sulfone', '53380-23-7', '2-((Ethylsulfonyl)methyl)phenol methylcarbamate', 'Phenol, 2-((ethylsulfonyl)methyl)-, methylcarbamate', 'BRN 1988595', '2-(Ethylsulfonylmethyl)phenyl methylcarbamate', '[2-(ethylsulfonylmethyl)phenyl] N-methylcarbamate', 'ethiofencarbsulfone', 'DTXSID80968033', 'ZINC2243723', 'LS-104655', 'NS00000131', '2-[(ethanesulfonyl)methyl]phenyl N-methylcarbamate', 'Ethiofencarb-sulfone, PESTANAL(R), analytical standard', '2-[(Ethanesulfonyl)methyl]phenyl hydrogen methylcarbonimidate']</t>
  </si>
  <si>
    <t>Compound(119490)</t>
  </si>
  <si>
    <t>C11H15NO4S</t>
  </si>
  <si>
    <t>ethiolate</t>
  </si>
  <si>
    <t>S-ethyl N,N-diethylcarbamothioate</t>
  </si>
  <si>
    <t>['Ethiolate', 'Etirox', '2941-55-1', 'S-Ethyl diethylthiocarbamate', 'Ethiolate [ISO]', 'S-ETHYL DIETHYLCARBAMOTHIOATE', 'Caswell No. 434AA', 'UNII-7PT8NM2AQ8', 'Carbamothioic acid, diethyl-, S-ethyl ester', 'S-Ethyl N,N-diethylthiocarbamate', 'Carbamic acid, diethylthio-, S-ethyl ester', 'EPA Pesticide Chemical Code 103701', 'BRN 1755151', '7PT8NM2AQ8', 'CHEBI:82217', 'S 15076', 'Ethiolat', 'S-ethyl N,N-diethylcarbamothioate', 'Prefox (Salt/Mix)', 'DSSTox_CID_21925', 'DSSTox_RID_79880', 'DSSTox_GSID_41925', 'S 6176 (Salt/Mix)', '4-04-00-00386 (Beilstein Handbook Reference)', 'SCHEMBL134304', 'CHEMBL3186553', 'DTXSID6041925', 'ZINC2030968', 'Tox21_301357', 'AKOS006229465', 'NCGC00255740-01', 'LS-49342', 'CAS-2941-55-1', 'Ethiolat, PESTANAL(R), analytical standard', 'NS00015072', 'C19095', '33253-EP2311815A1', 'S-15076', 'Carbamothioic acid, diethyl-, S-ethyl ester (9CI)', 'J-017500', 'Q27155814', 'Carbamothioic acid, diethyl-, S-ethyl ester, mixt. with 6-chloro-N-cyclopropyl-N-(1-methylethyl)-1,3,5-triazine-2,4-diamine']</t>
  </si>
  <si>
    <t>Compound(18055)</t>
  </si>
  <si>
    <t>C7H15NOS</t>
  </si>
  <si>
    <t>diethoxyphosphinothioylsulfanylmethylsulfanyl-diethoxy-sulfanylidene-lambda5-phosphane</t>
  </si>
  <si>
    <t>['ethion', '563-12-2', 'Diethion', 'Ethanox', 'Ethopaz', 'Nialate', 'Embathion', 'Rhodocide', 'Ethodan', 'Hylemox', 'Rodocid', 'Phosphotox E', 'Fosfatox E', 'Niagara 1240', 'Fosfono 50', 'KWIT', 'Ethiol 100', 'Vegfru fosmite', 'Caswell No. 427', 'Bis(S-(diethoxyphosphinothioyl)mercapto)methane', 'RP 8167', 'Ethyl methylene phosphorodithioate', 'FMC-1240', 'NIA 1240', 'Ethion [ANSI:BSI:ISO]', 'UNII-2TI07NO12Y', 'ENT 24,105', 'HSDB 399', "S,S'-Methylene bis(O,O-diethyl phosphorodithioate)", "Phosphorodithioic acid, S,S'-methylene O,O,O',O'-tetraethyl ester", "O,O,O',O'-Tetraethyl S,S'-methylenebis(phosphorodithioate)", 'EINECS 209-242-3', 'EPA Pesticide Chemical Code 058401', 'BRN 1804530', "Tetraethyl S,S'-methylene bis(phosphorothiolothionate)", "O,O,O',O'-Tetraethyl S,S'-methylenebisphosphordithioate", "S,S'-Methylene O,O,O',O'-tetraethyl phosphorodithioate", 'AI3-24105', "O,O,O',O'-Tetraaethyl-bis(dithiophosphat)", '2TI07NO12Y', "O,O,O',O'-Tetraethyl-S,S'-methylenebisphosphorodithioate", "O,O,O',O'-Tetraethyl S,S'-Methylene bisphosphorodithioate", 'CHEBI:38663', "Methyleen-S,S'-bis(O,O-diethyl-dithiofosfaat)", "S,S'-Methylen-bis(O,O-diaethyl-dithiophosphat)", "Methylene-S,S'-bis(O,O-diaethyl-dithiophosphat)", 'Phosphorodithioic acid, O,O-diethyl ester, S,S-diester with methanedithiol', "O,O,O',O'-Tetraaethyl-bis(dithiophosphat) [German]", "O,O,O,O-Tetraethyl S,S'-methylenebis(dithiophosphate)", "Methyleen-S,S'-bis(O,O-diethyl-dithiofosfaat) [Dutch]", "Methylene-S,S'-bis(O,O-diaethyl-dithiophosphat) [German]", "S,S'-Methylen-bis(O,O-diaethyl-dithiophosphat) [German]", "O,O,O',O'-Tetraethyl S,S'-methylene di(phosphorodithioate)", "O,O,O',O'-tetraethyl S,S'-methanediyl bis(dithiophosphate)", 'Ethiol', "O,O,O',O'-tetraethyl S,S'-methanediyl bis(phosphorodithioate)", 'Hylemax', 'Rodocide', 'Itopaz', 'Vegfru-fosmite', 'C9H22O4P2S4', 'diethoxyphosphinothioylsulfanylmethylsulfanyl-diethoxy-sulfanylidene-?^{5}-phosphane', 'Echio (Ethion)', 'RP-Thion', 'Spectrum_001765', 'SpecPlus_000346', 'Spectrum2_001225', 'Spectrum3_000803', 'Spectrum4_000643', 'Spectrum5_001923', 'DSSTox_CID_4086', 'Ethion, analytical standard', 'DSSTox_RID_77283', 'DSSTox_GSID_24086', 'SCHEMBL26750', 'BSPBio_002265', 'KBioGR_000985', 'KBioSS_002246', '4-01-00-03093 (Beilstein Handbook Reference)', 'MLS002695987', 'BIDD:ER0160', 'DivK1c_006442', 'SPBio_001070', 'CHEMBL1713417', 'DTXSID2024086', 'KBio1_001386', 'KBio2_002245', 'KBio2_004813', 'KBio2_007381', 'KBio3_001765', 'RIZMRRKBZQXFOY-UHFFFAOYSA-', 'HMS3091A24', 'Ethion 1000 microg/mL in Acetone', 'Ethion 10 microg/mL in Cyclohexane', 'Tox21_300175', 'CCG-39131', 'Ethion 10 microg/mL in Acetonitrile', "S,S'-Methylene O,O,O',O'-tetraethyl di(phosphorodithioate) (8CI)", 'Ethion 100 microg/mL in Cyclohexane', 'AKOS015962063', 'diethoxyphosphinothioylsulfanylmethylsulfanyl-diethoxy-sulfanylidene-lambda5-phosphane', 'NCGC00163850-01', 'NCGC00163850-02', 'NCGC00163850-03', 'NCGC00254044-01', 'AC-15695', 'CAS-563-12-2', 'CC-27544', 'S229', 'SMR001262213', 'Ethion, PESTANAL(R), analytical standard', 'LS-108299', 'NS00010882', 'C18725', '26862-EP2274983A1', '26862-EP2275422A1', '26862-EP2280009A1', '26862-EP2292608A1', '26862-EP2308858A1', '26862-EP2311816A1', '26862-EP2311817A1', '26862-EP2314583A1', '563E122', 'C-21408', 'Q414724', 'BRD-K84268861-001-02-1', 'Ethyl methylene phosphorodithioate ([(EtO)2P(S)S]2CH2)', "O,O,O',O'-tetraethyl S,S'-methylene bis(dithiophosphate)", "O,O,O',O'-tetraethyl S,S'-methylene diphosphorodithioate", "o,o,o',o'-tetraethyl s,s'-methylene bis(phosphorodithioate)", "O,O,O',O'-Tetraethyl-S,S'-methylene di(phosphorodithioate)", "S,S'-Methylene O,O,O',O'-tetraethyl di(phosphorodithioate)", 'diethoxyphosphinothioylsulfanylmethylsulfanyl-diethoxy-sulfanylidenephosphorane']</t>
  </si>
  <si>
    <t>Compound(3286)</t>
  </si>
  <si>
    <t>C9H22O4P2S4</t>
  </si>
  <si>
    <t>ethoprophos</t>
  </si>
  <si>
    <t>1-[ethoxy(propylsulfanyl)phosphoryl]sulfanylpropane</t>
  </si>
  <si>
    <t>['Ethoprophos', 'ethoprop', '13194-48-4', 'O-Ethyl S,S-dipropyl phosphorodithioate', 'Rovokil', 'Jolt', 'MOCAP', 'O-Ethyl S,S-dipropyl dithiophosphate', 'Phosethoprop', 'Phophos', 'Phosphorodithioic acid, O-ethyl S,S-dipropyl ester', 'Ethoprop [ANSI]', 'Mobil V-C 9-104', 'Caswell No. 434C', 'Virginia-carolina VC 9-104', 'V-C Chemical V-C 9-104', 'VC 9-104', 'ENT 27,318', 'UNII-765Y5683OQ', 'HSDB 1715', 'V-C 9-104', 'Ethoprophos [BSI:ISO]', 'EINECS 236-152-1', 'Phosphorodithioic acid O-ethyl S,S-dipropyl ester', 'EPA Pesticide Chemical Code 041101', 'O-Ethyl S,S-dipropylphosphorodithioate', 'O-Ethyl-S,S-dipropyl phosphorodithionate', 'AI3-27318', 'CHEBI:38665', '1-[ethoxy(propylsulfanyl)phosphoryl]sulfanylpropane', '765Y5683OQ', 'NCGC00163774-04', 'Ethoprophos [ISO]', 'Mocap 10g', 'ethoprophos;Ethoprop', 'Ethoprophos (Ethoprop)', 'Spectrum_001921', 'SpecPlus_000552', 'Spectrum2_001874', 'Spectrum3_000856', 'Spectrum4_000696', 'Spectrum5_002030', 'DSSTox_CID_12611', 'DSSTox_RID_79003', 'DSSTox_GSID_32611', 'SCHEMBL22610', 'BSPBio_002471', 'KBioGR_001191', 'KBioSS_002463', 'DivK1c_006648', 'O-Ethyl S,S-dipropyl phosphorodithioate (8CI)(9CI)', 'SPBio_001748', 'C8H19O2PS2', 'CHEMBL1894994', 'DTXSID4032611', 'CTK8E7935', 'KBio1_001592', 'KBio2_002456', 'KBio2_005024', 'KBio2_007592', 'KBio3_001971', 'Ethoprop 100 microg/mL in Acetone', 'Tox21_400082', 'CCG-39412', 'AKOS015897265', 'o-Ethyl S,S-dipropyl dithiophosphate #', 'S,S-Dipropyl O-ethyl phosphorodithioate', 'NCGC00163774-01', 'NCGC00163774-02', 'NCGC00163774-03', 'NCGC00163774-05', 'O-Ethyl-S,S-dipropyl phosphorodiothioate', 'CC-27549', 'Ethoprophos 10 microg/mL in Acetonitrile', 'Ethoprophos 100 microg/mL in Cyclohexane', 'CAS-13194-48-4', 'DB-042071', 'LS-108280', 'FT-0630399', 'NS00000685', 'C18687', 'Ethoprophos, PESTANAL(R), analytical standard', 'O-Ethyl S,S-dipropyl phosphorodithioate (8CI)', '31341-EP2274983A1', '31341-EP2275422A1', '31341-EP2292608A1', '31341-EP2308858A1', '31341-EP2311816A1', '31341-EP2311817A1', '194E484', 'C-14631', 'Ethoprophos (Prophos) 1000 microg/mL in Methanol', 'Q411754', 'J-006091', 'BRD-K08556791-001-02-7']</t>
  </si>
  <si>
    <t>Compound(3289)</t>
  </si>
  <si>
    <t>C8H19O2PS2</t>
  </si>
  <si>
    <t>5-amino-1-[2,6-dichloro-4-(trifluoromethyl)phenyl]-4-ethylsulfinylpyrazole-3-carbonitrile</t>
  </si>
  <si>
    <t>['Ethiprole', '181587-01-9', 'CHEBI:81827', '5-Amino-1-(2,6-dichloro-4-(trifluoromethyl)phenyl)-4-(ethylsulfinyl)-1H-pyrazole-3-carbonitrile', 'Kirappu', 'Ethiprole [ISO]', '1H-Pyrazole-3-carbonitrile, 5-amino-1-[2,6-dichloro-4-(trifluoromethyl)phenyl]-4-(ethylsulfinyl)-', 'rpa 107382', '5-Amino-1-[2,6-dichloro-4-(trifluoromethyl)phenyl]-4-(ethylsulfinyl)-1H-pyrazole-3-carbonitrile', 'C13H9Cl2F3N4OS', '5-Amino-1-[2,6-Dichloro-4-(trifluoromethyl)phenyl]-4-(ethylsulfinyl)pyrazole-3-carbonitrile', 'SCHEMBL27048', 'CHEMBL2228921', 'DTXSID6058003', 'HMS3741G13', 'ACT02699', 'BCP13106', 'AKOS015914939', '5-amino-1-[2,6-dichloro-4-(trifluoromethyl)phenyl]-4-ethylsulfinylpyrazole-3-carbonitrile', '5-amino-3-cyano-1-(2,6-dichloro-4-trifluoromethylphenyl)-4-ethylsulfinylpyrazole', 'AS-14739', 'M382', 'AB0005517', 'CS-0077980', 'FT-0653443', 'NS00006009', 'Ethiprole, PESTANAL(R), analytical standard', 'C18552', 'K-5539', '587E019', 'A812624', 'J-011597', 'Q22807466', 'UNII-5527E53JNB component FNELVJVBIYMIMC-DEOSSOPVSA-N', '5-amino-1-[2,6-dichloro-4-(trifluoromethyl)phenyl]-4-ethylsulfinyl-3-pyrazolecarbonitrile', '1-[2,6-dichloro-4-(trifluoromethyl)phenyl]-5-amino-4-(ethylsulfinyl)-1H-pyrazole-3-carbonitrile', '5-amino-1-(2,6-dichloro-a,a,a-trifluoro-p-tolyl)-4-ethylsulfinylpyrazole-3-carbonitrile;1H-Pyrazole-3-carbonitrile, 5-amino-1-[2,6-dichloro-4-(trifluoromethyl)phenyl]-4-(ethylsulfinyl)-', '5-azanyl-1-[2,6-bis(chloranyl)-4-(trifluoromethyl)phenyl]-4-ethylsulfinyl-pyrazole-3-carbonitrile', 'Pesticide5_Ethiprole_C13H9Cl2F3N4OS_1H-Pyrazole-3-carbonitrile, 5-amino-1-[2,6-dichloro-4-(trifluoromethyl)phenyl]-4-(ethylsulfinyl)-']</t>
  </si>
  <si>
    <t>Compound(9930667)</t>
  </si>
  <si>
    <t>C13H9Cl2F3N4OS</t>
  </si>
  <si>
    <t>(5S,5aR,8aR,9R)-5-[[(2R,4aR,6R,7R,8R,8aS)-7,8-dihydroxy-2-methyl-4,4a,6,7,8,8a-hexahydropyrano[3,2-d][1,3]dioxin-6-yl]oxy]-9-(4-hydroxy-3,5-dimethoxyphenyl)-5a,6,8a,9-tetrahydro-5H-[2]benzofuro[6,5-f][1,3]benzodioxol-8-one</t>
  </si>
  <si>
    <t>['etoposide', 'VePesid', '33419-42-0', 'Toposar', 'trans-Etoposide', 'Lastet', '(-)-Etoposide', 'Zuyeyidal', 'Etoposido', 'Etoposidum', 'Etoposidum [INN-Latin]', 'VP-16', 'Etoposide (VP16)', 'VP 16-213', 'Etoposido [INN-Spanish]', 'Vepesid J', 'VP 16 (pharmaceutical)', 'Etopophos (phosphate salt)', 'VP 16', 'VP-16-213', '4-Demethylepipodophyllotoxin beta-D-ethylideneglucoside', 'VP 16213', 'UNII-6PLQ3CP4P3', 'NK 171', 'NSC 141540', 'NSC-141540', 'CCRIS 2392', 'HSDB 6517', "4'-Demethylepipodophyllotoxin 9-(4,6-O-(R)-ethylidene-beta-D-glucopyranoside)", 'EINECS 251-509-1', '6PLQ3CP4P3', 'Epipodophyllotoxin VP-16213', 'CHEMBL44657', 'CHEBI:4911', 'Demethylepipodophyllotoxin-beta-D-ethylideneglucoside', "4'-O-Demethyl-1-O-(4,6-O-ethylidene-beta-D-glucopyranosyl)epipodophyllotoxin", "Epipodophyllotoxin, 4'-demethyl-, 9-(4,6-O-ethylidene-beta-D-glucopyranoside)", "Epipodophyllotoxin-beta-D-ethyliden-glucoside, 4'-demethyl-", 'Eposide', "4'-Demethylepipodophyllotoxin 9-(4,6-O-ethylidene-beta-D-glucopyranoside)", 'Etosid', '[1,3]benzodioxol-8-one', "(5S,5aR,8aR,9R)-9-(4-hydroxy-3,5-dimethoxyphenyl)-8-oxo-5,5a,6,8,8a,9-hexahydrofuro[3',4':6,7]naphtho[2,3-d][1,3]dioxol-5-yl 4,6-O-[(1R)-ethylidene]-beta-D-glucopyranoside", "9-((4,6-O-Ethylidene-beta-D-glucopyranosyl)oxy)-5,8,8a,9-tetrahydro-5-(4-hydroxy-3,5-dimethoxyphenyl)-furo(3',4':6,7)naphtho(2,3-d)-1,3-dioxol-6(5aH)-one, (5R-(5alpha,5abeta,8aalpha,9beta(R*)))-", "9-((4,6-O-Ethylidine-beta-D-glucopyranosyl)oxy)-5,8,8a,9-tetrahydro-5-(4- hydroxy-3,4-dimethyloxyphenyl)furo (3',4'':6,7) naptho-(2,3-d)-1,3-dioxol-6 (5aH)-one", 'Vepeside', 'Etopol', 'C29H32O13', 'NSC141540', 'Etoposide (VP-16)', '121471-01-0', "9-((4,6-O-Ethylidine-beta-D-glucopyranosyl)oxy)-5,8,8a,9-tetrahydro-5-(4-hydroxy-3,4-dimethyloxyphenyl)furo(3',4'':6,7)naptho-(2,3-d)-1,3-dioxol-6(5aH)-one", "Furo(3',4':6,7)naphtho(2,3-d)-1,3-dioxol-6(5aH)-one, 9-((4,6-O-(1R)-ethylidene-beta-D-glucopyranosyl)oxy)-5,8,8a,9-tetrahydro-5-(4-hydroxy-3,5-dimethoxyphenyl)-, (5R,5aR,8aR,9S)-", "Furo(3',4':6,7)naphtho(2,3-d)-1,3-dioxol-6(5aH)-one-, 9-((4,6-O-ethylidene-beta-D-glucopyranosyl)oxy)5,8,8a,9-tetrahydro-5-(4-hydroxy-3,5-dimethoxyphenyl), (5R-(5alpha,5abeta,8aalpha,9beta(R*)))-", 'SMR000112002', 'Etoposide [USAN:INN:BAN:JAN]', 'VePESID (TN)', "4'-Demethylepipodophyllotoxin ethylidene-.beta.-D-glucoside", 'Etoposide,(S)', 'Etoposide;etoposide', '(5S,5aR,8aR,9R)-5-[[(2R,4aR,6R,7R,8R,8aS)-7,8-dihydroxy-2-methyl-4,4a,6,7,8,8a-hexahydropyrano[3,2-d][1,3]dioxin-6-yl]oxy]-9-(4-hydroxy-3,5-dimethoxyphenyl)-5a,6,8a,9-tetrahydro-5H-[2]benzofuro[5,6-f]', 'EVP', "Furo[3',4':6,7]naphtho[2,3-d]-1,3-dioxol-6(5aH)-one, 9-[[4,6-O-(1R)-ethylidene-.beta.-D-glucopyranosyl]oxy]-5,8,8a,9-tetrahydro-5-(4-hydroxy-3,5-dimethoxyphenyl)-, (5R,5aR,8aR,9S)-", 'MFCD00869325', 'Etoposide [USAN:USP:INN:BAN:JAN]', 'Etoposide; VP-16', 'CPD000112002', 'Prestwick3_000396', 'Demethyl Epipodophyllotoxin Ethylidine Glucoside', 'SCHEMBL4259', 'BSPBio_000611', "Furo(3',4':6,7)naphtho(2,3-d)-1,3-dioxol-6(5aH)-one, 9-((4,6-O-ethylidene-beta-D-glucopyranosyl)oxy)-5,8,8a,9-tetrahydro-5-(4-hydroxy-3,5-dimethoxyphenyl)-, (5R-(5alpha,5abeta,8aalpha,9beta(R*)))-", 'MLS000049957', 'MLS001074951', 'MLS001424283', 'MLS002153463', 'MLS002207239', 'MLS002222184', 'Etoposide (JP17/USP/INN)', 'BPBio1_000673', 'GTPL6815', 'HMS2052N05', 'HMS2089F14', 'HMS2096O13', 'HMS2232L03', 'HMS3713O13', 'EX-A1207', 'ZINC3938684', 'BDBM50127140', 's1225', 'AKOS007930275', "Epipodophyllotoxin, 4'-demethyl-, 4,6-O-ethylidene-beta-D-glucopyranoside", 'AB07572', 'ACN-057122', 'BCP9000669', 'CCG-101165', 'CS-1774', 'DB00773', 'EBD2157958', 'Etoposide, synthetic, &gt;=98%, powder', 'LS-1214', 'NC00415', 'SDCCGSBI-0050405.P002', "4'-Demethyl-epipodophyllotoxin 9-[4,6-O-(R)-ethylidene-beta-D-glucopyranoside", "Epipodophyllotoxin, 4'-demethyl-, 4,6-O-ethylidene-beta-D-glucopyranoside (8CI)", 'NCGC00179504-02', '(5S,5aR,8aR,9R)-5-[[(2R,4aR,6R,7R,8R,8aS)-7,8-dihydroxy-2-methyl-4,4a,6,7,8,8a-hexahydropyrano[3,2-d][1,3]dioxin-6-yl]oxy]-9-(4-hydroxy-3,5-dimethoxyphenyl)-5a,6,8a,9-tetrahydro-5H-[2]benzofuro[6,5-f][1,3]benzodioxol-8-one', 'AS-35312', 'CC-28332', 'HY-13629', 'SBI-0051910.P002', 'AB00438905', 'A-8109', 'C01576', 'D00125', '13165-EP2269989A1', '13165-EP2270008A1', '13165-EP2270014A1', '13165-EP2270018A1', '13165-EP2272827A1', '13165-EP2272832A1', '13165-EP2275413A1', '13165-EP2275420A1', '13165-EP2277565A2', '13165-EP2277566A2', '13165-EP2277567A1', '13165-EP2277568A2', '13165-EP2277569A2', '13165-EP2277570A2', '13165-EP2277865A1', '13165-EP2277876A1', '13165-EP2280012A2', '13165-EP2281815A1', '13165-EP2287156A1', '13165-EP2289892A1', '13165-EP2292280A1', '13165-EP2292614A1', '13165-EP2292615A1', '13165-EP2292617A1', '13165-EP2295055A2', '13165-EP2295416A2', '13165-EP2295426A1', '13165-EP2295427A1', '13165-EP2298305A1', '13165-EP2298746A1', '13165-EP2298748A2', '13165-EP2298764A1', '13165-EP2298765A1', '13165-EP2298768A1', '13165-EP2298772A1', '13165-EP2298778A1', '13165-EP2298780A1', '13165-EP2301928A1', '13165-EP2301933A1', '13165-EP2305640A2', '13165-EP2305642A2', '13165-EP2305671A1', '13165-EP2305679A1', '13165-EP2305689A1', '13165-EP2308812A2', '13165-EP2308833A2', '13165-EP2308839A1', '13165-EP2308855A1', '13165-EP2308861A1', '13165-EP2311453A1', '13165-EP2311807A1', '13165-EP2311808A1', '13165-EP2311825A1', '13165-EP2311827A1', '13165-EP2311829A1', '13165-EP2311840A1', '13165-EP2311842A2', '13165-EP2314574A1', '13165-EP2316832A1', '13165-EP2316833A1', '13165-EP2316834A1', '13165-EP2374454A1', 'AB00438905-17', 'AB00438905-18', 'AB00438905_19', '419E420', 'C-23291', 'Q418817', 'SR-01000763196', 'SR-01000763196-3', 'BRD-K37798499-001-02-5', 'BRD-K37798499-001-05-8', 'BRD-K37798499-001-10-8', 'BRD-K37798499-001-14-0', 'BRD-K37798499-001-27-2', 'Etoposide, British Pharmacopoeia (BP) Reference Standard', 'Etoposide, European Pharmacopoeia (EP) Reference Standard', 'Etoposide, United States Pharmacopeia (USP) Reference Standard', "4''-Demethylepipodophyllotoxin 9-(4,6-O-(R)-ethylidene-beta-D-glucopyranoside)", 'Etoposide for system suitability, European Pharmacopoeia (EP) Reference Standard', '(10r,11r,15r,16s)-16-([(2r,4ar,7r,8r,8as)-7,8-dihydroxy-2-methyl-hexahydro-2h-pyrano[3,2-d][1,3]diox', '(10R,11R,15R,16S)-16-{[(2R,4aR,6R,7R,8R,8aS)-7,8-dihydroxy-2-methyl-hexahydro-2H-pyrano[3,2-d][1,3]dioxin-6-yl]oxy}-10-(4-hydroxy-3,5-dimethoxyphenyl)-4,6,13-trioxatetracyclo[7.7.0.0^{3,7}.0^{11,15}]hexadeca-1(9),2,7-trien-12-one', '(5R,5AR,8aR,9S)-9-(((2R,4aR,6R,7R,8R,8aS)-7,8-dihydroxy-2-methylhexahydropyrano[3,2-d][1,3]dioxin-6-yl)oxy)-5-(4-hydroxy-3,5-dimethoxyphenyl)-5,5a,8a,9-tetrahy', "(5R,5aR,8aR,9S)-9-(((2R,4aR,6R,7R,8R,8aS)-7,8-dihydroxy-2-methylhexahydropyrano[3,2-d][1,3]dioxin-6-yl)oxy)-5-(4-hydroxy-3,5-dimethoxyphenyl)-5,5a,8a,9-tetrahydrofuro[3',4':6,7]naphtho[2,3-d][1,3]dioxol-6(8H)-one", '(5S,5aR,8aR,9R)-5-[[(2R,4aR,6R,7R,8R,8aS)-7,8-dihydroxy-2-methyl-4,4a,6,7,8,8a-hexahydropyrano[3,2-d][1,3]dioxin-6-yl]oxy]-9-(4-hydroxy-3,5-dimethoxy-phenyl)-5a,6,8a,9-tetrahydro-5H-isobenzofuro[5,6-f][1,3]benzodioxol-8-one', "(5S,5aR,8aR,9R)-9-(4-hydroxy-3,5-dimethoxyphenyl)-8-oxo-5,5a,6,8,8a,9-hexahydrofuro[3'',4'':6,7]naphtho[2,3-d][1,3]dioxol-5-yl 4,6-O-[(1R)-ethylidene]-beta-D-glucopyranoside", "[5R-[5?,5a?,8a?,9?(R*)]]-9-[(4,6-?-Ethylidene-?-D-glucopyranosyl)oxy]-5,8,8a,9-tetrahydro-5-(4-hydroxy-3,5-dimethoxyphenyl)furo[3',4':6,7]naphtho[2,3-d]-1,3-dioxol-6-(5aH)-one", "9-((4,6-O-Ethylidine-beta-D-glucopyranosyl)oxy)-5,8,8a,9-tetrahydro-5-(4-hydroxy-3,4-dimethyloxyphenyl)furo(3'',4'''':6,7)naptho-(2,3-d)-1,3-dioxol-6(5aH)-one"]</t>
  </si>
  <si>
    <t>Compound(36462)</t>
  </si>
  <si>
    <t>C29H32O13</t>
  </si>
  <si>
    <t>5-butyl-2-(ethylamino)-4-methyl-1H-pyrimidin-6-one</t>
  </si>
  <si>
    <t>['Ethirimol', '23947-60-6', 'Ethirimal', 'Ethrimiol', 'Milgo', 'Milgo E', 'Ethyrimol', 'MILSTEM', 'New milstem', 'Milstem seed dressing', 'Caswell No. 128H', 'Ethirimol [BSI:ISO]', '4(1H)-Pyrimidinone, 5-butyl-2-(ethylamino)-6-methyl-', 'Ethyrimol [ISO:French]', 'UNII-ZFF86Y4NA6', '5-Butyl-2-(ethylamino)-6-methyl-4(1H)-pyrimidinone', 'NSC 263491', '2-Ethylamino-4-methyl-5-n-butyl-6-hydroxypyrimidine', '5-n-Butyl-2-ethylamino-4-hydroxy-6-methylpyrimidine', 'PP149', 'EINECS 245-949-3', 'EPA Pesticide Chemical Code 228900', 'BRN 0882476', 'ZFF86Y4NA6', '4(3H)-Pyrimidinone, 5-butyl-2-(ethylamino)-6-methyl-', '4-(1H)Pyrimidinone, 5-butyl-2-(ethylamino)-6-methyl-', 'CHEBI:81989', '5-butyl-2-(ethylamino)-6-methylpyrimidin-4-ol', 'PP 149', '5-Butyl-2-(ethylamino)-6-methyl-4-pyrimidinol', '5-Butyl-2-ethylamino-4-hydroxy-6-methylpyrimidine', '5-Butyl-2-(ethylamino)-4-hydroxy-6-methylpyrimidine', 'DSSTox_CID_21927', 'DSSTox_RID_79881', 'DSSTox_GSID_41927', 'SCHEMBL20692', '5-butyl-2-(ethylamino)-6-methyl-1H-pyrimidin-4-one', '5-Butyl-2-(ethylamino)-6-methyl-4-pyrimidinol (8CI)', 'CHEMBL1863416', 'DTXSID6041927', 'SCHEMBL10391126', 'CTK8E7657', 'DNDI1255616', 'EBD59179', 'Tox21_301780', 'NSC263491', 'ZINC17061407', 'AKOS015843248', 'AKOS015892467', 'NSC-263491', 'ACM23947606', 'NCGC00255983-01', 'AS-14740', 'M383', 'AB0015184', 'CAS-23947-60-6', 'DB-046302', 'LS-135862', 'FT-0630507', 'NS00009659', 'Pesticide6_Ethirimol_C11H19N3O_882476', 'Ethirimol, PESTANAL(R), analytical standard', 'C18828', '947E606', 'C-10741', 'J-015288', 'J-520458', 'Q3059320', '5-butyl-2-(ethylamino)-6-methylpyrimidin-4(1H)-one', '4(3H)-Pyrimidinone, 5-butyl-2-(ethylamino)-6-methyl- (8CI)', '5-butyl-2-(ethylamino)-6-methyl-3,4-dihydropyrimidin-4-one']</t>
  </si>
  <si>
    <t>Compound(135424354)</t>
  </si>
  <si>
    <t>3-ethyl-3-methylpyrrolidine-2,5-dione</t>
  </si>
  <si>
    <t>['ethosuximide', '77-67-8', 'Zarontin', 'Etosuximida', '2-Ethyl-2-methylsuccinimide', 'Ethosuxide', 'Ethosuccimide', 'Ethosuccinimide', 'Etosuximid', 'Petnidan', 'Suxinutin', 'Atysmal', 'Emeside', 'Ethymal', 'Suxilep', 'Pentinimid', 'Peptinimid', 'Petinimid', 'Pyknolepsinum', 'Succimitin', 'Zaraondan', 'Capitus', 'Mesentol', 'Pemalin', 'Simatin', 'Succimal', 'Suximal', 'Thetamid', 'Zarodan', 'Zarondan', 'Zartalin', 'Asamid', 'Etomal', 'Pemal', 'Ronton', 'Suxin', '3-Ethyl-3-methylpyrrolidine-2,5-dione', 'Aethosuximide', 'Piknolepsin', 'Thilopemal', 'Epileo Petit MAL', 'Zarondan-Saft', 'Simatin(E)', 'Ethosuximidum', '3-Methyl-3-ethylsuccinimide', '2-Methyl-2-ethylsuccinimide', 'Aethosuccimidum', 'Etosuximide', '2,5-Pyrrolidinedione, 3-ethyl-3-methyl-', '3-Ethyl-3-methyl-2,5-pyrrolidinedione', 'CI-366', 'Succinimide, 2-ethyl-2-methyl-', '3-Ethyl-3-methylsuccinimide', 'PM 671', 'PM-671', 'Etosuccimide [DCIT]', '3-Methyl-3-ethylpyrrolidine-2,5-dione', 'alpha-Ethyl-alpha-methylsuccinimide', 'alpha-Methyl-alpha-ethylsuccinimide', 'Aethosuximide [German]', 'gamma-Methyl-gamma-ethyl-succinimide', 'CN-10,395', 'N-Ethyl methylsuccinimide', 'Ethosuximidum [INN-Latin]', 'Etosuximida [INN-Spanish]', 'C.I. 366', 'H 940', 'H-490', 'Cl 366', '(+-)-2-Ethyl-2-methylsuccinimide', 'CN-10395', 'HSDB 1119', 'gamma-ethyl-gamma-methyl-succinimide', 'EINECS 201-048-7', 'CI 366', 'NSC 64013', 'NSC-64013', '3-Ethyl-3-methylpyrroline-2,5-dione', 'CHEMBL696', '.alpha.-Ethyl-.alpha.-methylsuccinimide', 'BRN 0117054', '3-ethyl-3-methyl-pyrrolidine-2,5-dione', 'CHEBI:4887', 'NSC64013', '.gamma.-Methyl-.gamma.-ethylsuccinimide', 'Ethosuccimid', 'Etosuccimide', 'Suksilep', 'DSSTox_CID_3019', 'DSSTox_RID_76832', 'DSSTox_GSID_23019', 'Ethylmethylsuccimide', '2,5-Pyrrolidinedione, 3-ethyl-3-methyl-, (+-)-', 'Pyknole.psi.num', 'Piknole.psi.n', 'Zarontin (TN)', 'SR-01000075863', 'Ethosuximide [USAN:INN:BAN:JAN]', 'CAS-77-67-8', 'NCGC00016320-01', 'Prestwick_611', 'Zorontin,Ethosuximide', 'Ethosuximide [USAN:USP:INN:BAN:JAN]', 'Spectrum_001385', 'Prestwick0_000165', 'Prestwick1_000165', 'Prestwick2_000165', 'Prestwick3_000165', 'Spectrum2_001483', 'Spectrum3_000944', 'Spectrum4_001051', 'Spectrum5_001073', 'E0746', '(.+/-.)-Ethosuximide', '2, 3-ethyl-3-methyl-', 'E 7138', 'NCIOpen2_000014', 'Lopac0_000532', 'SCHEMBL34212', 'BSPBio_000029', 'KBioGR_001342', 'KBioSS_001865', '5-21-09-00595 (Beilstein Handbook Reference)', 'DivK1c_000218', 'SPECTRUM1502196', 'SPBio_001465', 'SPBio_001950', 'BPBio1_000033', 'GTPL7182', 'WLN: T5VMVTJ D2 D1', 'DTXSID7023019', 'SCHEMBL20541518', 'CTK8B3160', 'Ethosuximide (JP17/USP/INN)', 'Ethosuximide, analytical standard', 'HMS500K20', 'KBio1_000218', 'KBio2_001865', 'KBio2_004433', 'KBio2_007001', 'KBio3_002008', 'AOB5337', 'NINDS_000218', 'HMS1568B11', 'HMS1921L14', 'HMS2092D20', 'HMS2095B11', 'HMS3261L05', 'HMS3712B11', 'Pharmakon1600-01502196', 'HY-B1378', 'Ethosuximide 1.0 mg/ml in Methanol', 'Tox21_110370', 'Tox21_500532', '(+/-)-2-ethyl-2-methylsuccinimide', 'ANW-41860', 'BDBM50240424', 'CCG-39217', 'MFCD00072123', 'NSC758192', 's4626', '3-ethyl-3-methylazolidine-2,5-dione', 'AKOS005261742', 'Tox21_110370_1', 'CS-7976', 'DB00593', 'LP00532', 'MCULE-4034034545', 'NE54559', 'NSC-758192', 'SDCCGSBI-0050515.P004', '.alpha.-Methyl-.alpha.-ethylsuccinimide', 'IDI1_000218', 'NCGC00015418-02', 'NCGC00015418-03', 'NCGC00015418-04', 'NCGC00015418-05', 'NCGC00015418-06', 'NCGC00015418-08', 'NCGC00015418-09', 'NCGC00093923-01', 'NCGC00093923-02', 'NCGC00093923-03', 'NCGC00093923-04', 'NCGC00261217-01', '3-Ethyl-3-methyl-2, 5-pyrrolidinedione', 'AS-16859', 'SC-65415', 'SBI-0050515.P003', '2, 5-Pyrrolidinedione, 3-ethyl-3-methyl-', 'LS-147585', 'AB00052288', 'AK01050738', 'EU-0100532', 'FT-0668060', 'FT-0668061', 'NS00010826', 'NS00099247', 'ST51037248', 'C07505', 'D00539', 'AB00052288_04', 'zarontin3-Ethyl-3-methyl-pyrrolidine-2,5-dione', 'Q421567', 'SR-01000075863-1', 'SR-01000075863-3', 'SR-01000075863-5', 'W-109273', '3-Ethyl-3-methyl-pyrrolidine-2,5-dione(Ethosuximide)', 'BRD-A99633051-001-04-7', 'BRD-A99633051-001-05-4', '3-Ethyl-3-methyl-pyrrolidine-2,5-dione (ethosuximide)', 'Z2379802739', '3-ethyl-5-hydroxy-3-methyl-3,4-dihydro-2H-pyrrol-2-one', '4-ethyl-5-hydroxy-4-methyl-3,4-dihydro-2H-pyrrol-2-one', 'Ethosuximide, European Pharmacopoeia (EP) Reference Standard', 'Ethosuximide, United States Pharmacopeia (USP) Reference Standard', 'Ethosuximide solution, 1.0 mg/mL in methanol, ampule of 1 mL, certified reference material']</t>
  </si>
  <si>
    <t>Compound(3291)</t>
  </si>
  <si>
    <t>C7H11NO2</t>
  </si>
  <si>
    <t>ethoxyquin</t>
  </si>
  <si>
    <t>6-ethoxy-2,2,4-trimethyl-1H-quinoline</t>
  </si>
  <si>
    <t>['ethoxyquin', '91-53-2', '6-Ethoxy-2,2,4-trimethyl-1,2-dihydroquinoline', 'Ethoxyquine', 'Santoquin', 'Santoquine', 'Niflex', 'Antioxidant EC', 'Santoflex A', 'Santoflex AW', 'Stop-Scald', "Dawe's nutrigard", 'Nix-Scald', 'Nocrack AW', 'Quinol ED', 'Permanax 103', 'Quinoline, 6-ethoxy-1,2-dihydro-2,2,4-trimethyl-', 'Aries Antox', 'Niflex D', 'Antage AW', 'Nocrac AW', 'Alterungsschutzmittel EC', '(-)-Normetazocine', 'Ethoxychin', 'Usaf B-24', 'Amea 100', 'Ethoxyquin [ISO]', 'Santoquine (VAN)', '1,2-Dihydro-6-ethoxy-2,2,4-trimethylquinoline', '6-Ethoxy-1,2-dihydro-2,2,4-trimethylquinoline', 'Ethoxychin [Czech]', '6-ethoxy-2,2,4-trimethyl-1H-quinoline', 'Caswell No. 427D', '1,2-Dihydro-2,2,4-trimethyl-6-ethoxyquinoline', '2,2,4-Trimethyl-6-ethoxy-1,2-dihydroquinoline', 'NSC-6795', 'UNII-9T1410R4OR', 'CCRIS 2513', 'HSDB 400', 'EINECS 202-075-7', 'EMQ', 'EQ', 'EPA Pesticide Chemical Code 055501', 'AI3-17715', 'CHEBI:77323', '9T1410R4OR', '6-(ethyloxy)-2,2,4-trimethyl-1,2-dihydroquinoline', 'CAS-91-53-2', 'NCGC00016348-02', 'AK116687', 'E324', 'DSSTox_CID_582', 'DSSTox_RID_75672', 'DSSTox_GSID_20582', '16603-67-1', 'W-100306', 'Ethyl 2,2,4-trimethyl-1,2-dihydro-6-quinolinyl ether', 'Santoflex', '6-ETMDQ', 'Polyflex', 'SantoquinEQ', 'Prestwick_1064', 'Spectrum_001214', 'Quinoline, 6-ethoxy-1,2-dihydro-2,2,4-trimethyl-, homopolymer', 'Prestwick0_000765', 'Prestwick1_000765', 'Prestwick2_000765', 'Prestwick3_000765', 'Spectrum2_001384', 'Spectrum3_001423', 'Spectrum4_000404', 'Spectrum5_001530', 'SCHEMBL21601', 'BSPBio_000810', 'BSPBio_003126', 'KBioGR_000668', 'KBioSS_001694', '63301-91-7', 'MLS001055488', 'BIDD:GT0822', 'DivK1c_000183', 'SPECTRUM1500998', 'SPBio_001368', 'SPBio_002749', 'BPBio1_000892', 'CHEMBL172064', 'DTXSID9020582', 'CTK8F1416', 'HMS500J05', 'KBio1_000183', 'KBio2_001694', 'KBio2_004262', 'KBio2_006830', 'KBio3_002346', 'KS-00000LXG', 'NSC6795', 'NINDS_000183', 'HMS1570I12', 'HMS1923K03', 'HMS2097I12', 'HMS3714I12', '1,2,4-trimethyl-6-ethoxyquinoline', 'HY-B1425', 'NSC 6795', 'ZINC3872521', '6-Ethoxy-1,2,4-trimethylquinoline', 'Tox21_110388', 'Tox21_201336', 'Tox21_300328', 'CCG-39002', 'Ethoxyquin, &gt;=75% (capillary GC)', 's5369', 'SBB012680', 'STK772149', 'AKOS000121441', 'CS-8200', 'LS-1921', 'MCULE-2419717294', 'IDI1_000183', 'NCGC00016348-01', 'NCGC00016348-03', 'NCGC00016348-04', 'NCGC00016348-05', 'NCGC00016348-06', 'NCGC00016348-07', 'NCGC00016348-08', 'NCGC00016348-09', 'NCGC00016348-15', 'NCGC00090792-01', 'NCGC00090792-02', 'NCGC00090792-03', 'NCGC00090792-04', 'NCGC00090792-05', 'NCGC00254395-01', 'NCGC00258888-01', 'AC-11742', 'AS-14741', 'CC-27555', 'M384', 'SMR000686069', 'BC4134527', 'DB-057260', 'Ethoxyquin, Vetec(TM) reagent grade, 75%', 'ST4083901', 'WLN: T66 BM CHJ C1 C1 E1 HO2', 'E 324', 'E0237', 'FT-0621107', 'FT-0673108', 'NS00009586', '2,4-Trimethyl-6-ethoxy-1,2-dihydroquinoline', '6-Ethoxy-2,4-trimethyl-1,2-dihydroquinoline', 'Ethoxyquin, PESTANAL(R), analytical standard', '2,2, 4-Trimethyl-6-ethoxy-1,2-dihydroquinoline', '6-Ethoxy-1, 2-dihydro-2,2,4-trimethylquinoline', '6-Ethoxy-1,2-dihydro-2,2,4-trimethyl-Quinoline', '6-Ethoxy-2,2,4-trimethyl-1, 2-dihydroquinoline', 'C-27991', 'SR-01000854319', 'J-010251', 'Q1657816', 'SR-01000854319-2', 'BRD-K56792340-001-05-8', '6-Ethoxy-1,2-dihydro-2,2,4-trimethylquinoline, 9CI, 8CI', 'A10AE280-05F4-4846-ACAE-D565B0D263A2', 'Ethyl 2,2,4-trimethyl-1,2-dihydro-6-quinolinyl ether #', 'Ethoxyquin. Short expiry date due to chemical nature of component(s)']</t>
  </si>
  <si>
    <t>Compound(3293)</t>
  </si>
  <si>
    <t>C14H19NO</t>
  </si>
  <si>
    <t>etoxazole</t>
  </si>
  <si>
    <t>4-(4-tert-butyl-2-ethoxyphenyl)-2-(2,6-difluorophenyl)-4,5-dihydro-1,3-oxazole</t>
  </si>
  <si>
    <t>['Etoxazole', '153233-91-1', '4-(4-(tert-Butyl)-2-ethoxyphenyl)-2-(2,6-difluorophenyl)-4,5-dihydrooxazole', 'Baroque', 'Borneo', '4-(4-tert-butyl-2-ethoxyphenyl)-2-(2,6-difluorophenyl)-4,5-dihydro-1,3-oxazole', 'TetraSan', 'Etoxazole [ISO]', 'HSDB 7277', '2-(2,6-Difluorophenyl)-4-(4-(1,1-dimethylethyl)-2-ethoxyphenyl)-4,5-dihydrooxazole', 'YI 5301', 'EINECS Annex I Index 603-199-00-8', 'CHEBI:39329', '4-(4-tert-butyl-2-ethoxyphenyl)-2-(2,6-difluorophenyl)-4,5-dihydrooxazole', 'Oxazole, 2-(2,6-difluorophenyl)-4-(4-(1,1-dimethylethyl)-2-ethoxyphenyl)-4,5-dihydro-', '2-(2,6-DIFLUOROPHENYL)-4-[4-(TERT-BUTYL)-2-ETHOXYPHENYL]-4,5-DIHYDROOXAZOLE', 'Etoxazol', 'C21H23F2NO2', 'DSSTox_CID_14586', 'DSSTox_RID_79171', 'DSSTox_GSID_34586', 'SCHEMBL27300', 'CHEMBL1881674', 'DTXSID8034586', 'CTK8C3877', 'Tox21_301024', '7689AA', 'ANW-70747', 'AKOS016007918', 'Etoxazole 10 microg/mL in Cyclohexane', 'PB30878', '(RS)-5-tert-Butyl-2-[2-(2,6-difluorophenyl)-4,5-dihydro-1,3-oxazol-4-yl]phenetole', 'KS-000005A5', 'Etoxazole 100 microg/mL in Acetonitrile', 'NCGC00163813-01', 'NCGC00163813-02', 'NCGC00163813-03', 'NCGC00254926-01', 'AS-35105', 'SC-87176', 'LS-183884', 'CAS-153233-91-1', 'CS-0051196', 'NS00000133', 'Etoxazole, PESTANAL(R), analytical standard', 'C-8433', 'C18495', '31440-EP2274983A1', '31440-EP2275422A1', '31440-EP2305658A1', '31440-EP2308857A1', '31440-EP2308858A1', '31440-EP2311816A1', '31440-EP2311817A1', '233E911', 'A809408', 'Q1371651', '2-(2,6-difluorophenyl)-4-[4-(1,1-dimethylethyl)-2-ethoxyphenyl]-4,5-dihydro-oxazole', '2-[2,6-bis(fluoranyl)phenyl]-4-(4-tert-butyl-2-ethoxy-phenyl)-4,5-dihydro-1,3-oxazole', '(RS)-5-tert-butyl-2-[2-(2,6-difluorophenyl)-4,5-dihydro-1,3-oxazol-4-yl]phenetole;Oxazole, 2-(2,6-difluorophenyl)-4-[4-(1,1-dimethylethyl)-2-ethoxyphenyl]-4,5-dihydro-', 'Pesticide6_Etoxazole_C21H23F2NO2_4-(4-tert-Butyl-2-ethoxyphenyl)-2-(2,6-difluorophenyl)-4,5-dihydro-1,3-oxazole']</t>
  </si>
  <si>
    <t>Compound(153974)</t>
  </si>
  <si>
    <t>C21H23F2NO2</t>
  </si>
  <si>
    <t>2-methoxy-4-prop-2-enylphenol</t>
  </si>
  <si>
    <t>['eugenol', '97-53-0', '4-Allyl-2-methoxyphenol', '4-Allylguaiacol', 'Eugenic acid', 'Allylguaiacol', 'Caryophyllic acid', 'p-Allylguaiacol', 'p-Eugenol', '2-Methoxy-4-prop-2-enylphenol', 'Engenol', '2-Methoxy-4-allylphenol', 'Phenol, 2-methoxy-4-(2-propenyl)-', '1,3,4-Eugenol', '4-Allylcatechol-2-methyl ether', '2-Methoxy-4-(2-propenyl)phenol', 'Synthetic eugenol', '1-Hydroxy-2-methoxy-4-allylbenzene', '2-Methoxy-1-hydroxy-4-allylbenzene', '4-Allyl-1-hydroxy-2-methoxybenzene', '2-methoxy-4-(prop-2-en-1-yl)phenol', '5-Allylguaiacol', '1-Hydroxy-2-methoxy-4-prop-2-enylbenzene', 'Eugenol (natural)', '4-Hydroxy-3-methoxy-1-allylbenzene', '2-Hydroxy-5-allylanisole', '4-Hydroxy-3-methoxyallylbenzene', 'Phenol, 4-allyl-2-methoxy-', '2-Methoxy-4-(2-propen-1-yl)phenol', 'Eugenol [USAN]', 'NCI-C50453', '1-allyl-4-hydroxy-3-methoxybenzene', '1-Allyl-3-methoxy-4-hydroxybenzene', 'FEMA No. 2467', '4-Allylcatechol 2-methyl ether', 'Caswell No. 456BC', 'FEMA Number 2467', '2-Metoksy-4-allilofenol', 'FA 100', 'CCRIS 306', 'Eugenol [USP]', 'NSC 209525', 'UNII-3T8H1794QW', 'CHEBI:4917', 'HSDB 210', '2-Metoksy-4-allilofenol [Polish]', 'EINECS 202-589-1', 'MFCD00008654', 'EPA Pesticide Chemical Code 102701', 'BRN 1366759', 'CHEMBL42710', 'Phenol, 2-methoxy-4-(2-propen-1-yl)-', 'AI3-00086', '2-Methoxy-4-(3-propenyl)phenol', '3T8H1794QW', 'Eugenol (USP)', 'Eugenol, 99%', 'NCGC00091449-05', 'DSSTox_CID_617', 'DSSTox_RID_75693', 'DSSTox_GSID_20617', 'WLN: 1U2R DQ CO1', 'CAS-97-53-0', 'SR-05000002043', 'Eugenolum', 'Eugenol Special', 'EUGENOL;eugenol', 'Caryophyllic ac id', 'Eugenol,(S)', '4-allyl-2methoxyphenol', '3s0e', 'Spectrum2_001264', 'Spectrum3_000646', 'Spectrum4_001783', 'Spectrum5_000425', 'ACMC-1AOH6', '4-allyl-2-methoxy-Phenol', 'bmse010053', 'Epitope ID:114091', 'Eugenol, puriss., 98%', 'EC 202-589-1', 'SCHEMBL20361', 'BSPBio_002251', 'KBioGR_002327', 'KSC486Q8H', 'MLS000028901', 'BIDD:ER0696', 'DivK1c_000692', 'SPECTRUM1500296', 'SPBio_001228', 'GTPL2425', 'ZINC1411', 'DTXSID9020617', 'CTK3I6883', 'HMS502C14', 'KBio1_000692', 'KBio3_001471', 'Eugenol, ReagentPlus(R), 99%', 'NSC8895', '4-(2-Propenyl)-2-methoxyphenol', 'Eugenol, natural, &gt;=98%, FG', 'NINDS_000692', 'Eugenol, &gt;=98%, FCC, FG', 'HMS1920O08', 'HMS2091F09', 'Pharmakon1600-01500296', 'HY-N0337', 'KS-00000WP5', 'NSC-8895', '1-hydroxy-4-allyl-2-methoxybenzene', 'Tox21_111134', 'Tox21_202040', 'Tox21_300105', '2-Methoxy-4-(2-propenyl)-phenol.', 'ANW-40868', 'BBL027721', 'BDBM50164168', 'CCG-38827', 'NSC209525', 'NSC757030', 's4706', 'SBB012362', 'STL371304', '4 -allyl-1-hydroxy-2-methoxybenzene', 'Eugenol, tested according to Ph.Eur.', '3-(3-methoxy-4-hydroxyphenyl)propene', 'AKOS000121354', 'Tox21_111134_1', 'CS-7807', 'DB09086', 'FS-2702', 'LS-2027', 'NSC-209525', 'NSC-757030', 'SDCCGMLS-0066578.P001', '1-hydroxy-2-methoxy-4-propenylbenze ne', 'IDI1_000692', 'NCGC00091449-01', 'NCGC00091449-02', 'NCGC00091449-03', 'NCGC00091449-04', 'NCGC00091449-06', 'NCGC00091449-07', 'NCGC00091449-08', 'NCGC00091449-10', 'NCGC00253915-01', 'NCGC00259589-01', 'AK307784', 'Eugenol, Vetec(TM) reagent grade, 98%', 'K753', 'SMR000059114', 'ST069318', 'SBI-0051381.P003', 'Eugenol, PESTANAL(R), analytical standard', 'A0232', 'FT-0615974', 'N1805', 'NS00003629', 'C10453', 'D04117', 'AB00051992_02', 'Eugenol, primary pharmaceutical reference standard', 'Q423357', 'Eugenol, certified reference material, TraceCERT(R)', 'Q-201105', 'SR-05000002043-1', 'SR-05000002043-2', 'BRD-K32977963-001-01-9', 'BRD-K32977963-001-03-5', 'Eugenol, European Pharmacopoeia (EP) Reference Standard', 'F0001-2306', '2-methoxy-4-(prop-2-en-1-yl)phenol4-allyl-2-methoxyphenol', 'Eugenol, United States Pharmacopeia (USP) Reference Standard', 'Eugenol, Pharmaceutical Secondary Standard; Certified Reference Material', 'EOL']</t>
  </si>
  <si>
    <t>Compound(3314)</t>
  </si>
  <si>
    <t>(Z)-N-diethoxyphosphinothioyloxybenzenecarboximidoyl cyanide</t>
  </si>
  <si>
    <t>['PHOXIM', 'Baythion', 'Phoxime', 'Valexon', 'Valexone', 'Volaton', 'Foxima', 'Bayer 77488', 'BAY sra 7502', 'BAY 77488', 'Phoxim [INN:BAN]', 'Caswell No. 902L', 'Foxima [INN-Spanish]', 'Phoxime [INN-French]', 'Phoxime [ISO-French]', 'Phoximum [INN-Latin]', '14816-18-3', 'BAY 5621', 'OMS 1170', 'ENT 27488', '(E)-Phoxim', 'Phoxim [BSI:ISO]', 'Bayer 9053', 'SRA 7502', 'EINECS 238-887-3', 'Benzoyl cyanide O-(diethoxyphosphinothioyl)oxime', 'B 77488', 'EPA Pesticide Chemical Code 598800', '(Diethoxy-thiophosphoryloxyimino)-phenyl acetonitrile', '3,5-Dioxa-6-aza-4-phosphaoct-6-ene-8-nitrile, 4-ethoxy-7-phenyl-, 4-sulfide', '2-(Diethoxyphosphinothioyloxyimino)-2-phenylacetonitrile', 'Phenylglyoxylonitrile oxime O,O-diethyl phosphorothioate', 'AI3-27448', 'O,O-Diethyl phosphorothioate, O-ester with phenylglyoxylonitrile oxime', 'Diethoxyphosphinothioyloxyimino(phenyl)acetonitrile', '4-Ethoxy-7-phenyl-3,5-dioxa-6-aza-4-phosphaoct-6-ene-8-nitrile 4-sulfide', 'Phenylglyoxylnitrile oxime O,O-diethyl phosphorothioate', 'O,O-Diethyl alpha-cyanobenzylideneamino-oxyphosphonothioate', 'NCGC00166158-01', 'Benzeneacetonitrile, alpha-(((diethoxyphosphinothioyl)oxy)imino)-', 'O,O-Diaethyl-O-(alpha-cyanbenzyliden-amino)-thionphosphat [German]', 'O,O-Diaethyl-O-(alpha-cyano-benzylidenamino)-monothiophosphat [German]', 'DSSTox_CID_14324', 'DSSTox_RID_79143', 'UNII-6F5V775VPO', 'DSSTox_GSID_34324', 'C12H15N2O3PS', 'Glyoxylonitrile, phenyl-, oxime, O,O-diethyl phosphorothioate', 'Phoximum', 'Valekson', 'O,O-Diethyl-alpha-cyanobenzylidineaminooxyphosphonothiate', 'alpha-(((Diethoxyphosphinothioyl)oxy)imino)benzeneacetonitrile', 'CAS-14816-18-3', '6F5V775VPO', 'Phoxin', 'Foxim', 'Phoxim (BAN)', 'PubChem14339', 'Phoxim-d5 (deuterated)', 'Bayer 5621', 'Sebacil [veterinary] (TN)', 'SCHEMBL591312', 'BAYER-9053', 'phenylglyoxylonitrile oxime O,O-diethylphosphorothioate', 'CHEMBL1906626', 'DTXSID8034324', 'ATROHALUCMTWTB-WYMLVPIESA-', 'O,O-Diaethyl-O-(alpha-cyanbenzyliden-amino)-thionphosphat', 'Glyoxylonitrile, phenyl-, oxime O,O-diethyl phosphorothioate', 'O,O-Diaethyl-O-(alpha-cyano-benzylidenamino)-monothiophosphat', 'Tox21_113357', 'Tox21_301580', 'AKOS015915518', 'Tox21_113357_1', 'NCGC00163705-02', 'NCGC00166158-02', 'NCGC00255304-01', 'LS-73012', 'Phoxim, PESTANAL(R), analytical standard', 'C18757', 'D08373', '816P183', 'A808742', 'SR-01000883974', 'J-008445', 'SR-01000883974-1', 'N-diethoxyphosphinothioyloxybenzenecarboximidoyl cyanide', 'Q27895843', '(2Z)-2-diethoxyphosphinothioyloxyimino-2-phenylacetonitrile', '(Z)-N-diethoxyphosphinothioyloxybenzenecarboximidoyl cyanide', 'Benzeneacetonitrile, [[(diethoxyphosphinothioyl)oxy]imino]-', 'O,O-Diaethyl-O-(.alpha.-cyanbenzyliden-amino)-thionphosphat', 'O,O-Diethyl-.alpha.-cyanobenzylidineaminooxyphosphonothiate', '(2Z)-2-diethoxyphosphinothioyloxyimino-2-phenyl-ethanenitrile', '.alpha.-(((Diethoxyphosphinothioyl)oxy)imino)benzeneacetonitrile', 'O,O-Diaethyl-O-(.alpha.-cyano-benzylidenamino)-monothiophosphat', 'O,O-Diethyl .alpha.-cyanobenzylideneamino-oxyphosphonothioate', 'O,O-Diethyl O-(.alpha.-cyanobenzylideneamino)phosphorothioate', 'Benzeneacetonitrile, .alpha.-[[(diethoxyphosphinothioyl)oxy]imino]-', '4-Ethoxy-7-phenyl-3,5-dioxa-6-aza-4-phosphaoct-6-ene-8-nitril 4-sulfide']</t>
  </si>
  <si>
    <t>Compound(9570290)</t>
  </si>
  <si>
    <t>C12H15N2O3PS</t>
  </si>
  <si>
    <t>4-dimethoxyphosphinothioyloxy-N,N-dimethylbenzenesulfonamide</t>
  </si>
  <si>
    <t>['Famphur', 'FAMOPHOS', 'Warbex', 'Warbexol', 'Famfur', 'Famofos', 'Famphos', 'Fanfos', 'Dovip', 'Famophos warbex', '52-85-7', 'BO-Ana', 'Rcra waste number P097', 'American cyanamid-38023', 'Caswell No. 456D', 'American cyanamid CL-38,023', 'UNII-02UOP4Z0O0', 'ENT 25,644', 'AC 38023', 'HSDB 6048', 'Phosphorothioic acid, O-(4-((dimethylamino)sulfonyl)phenyl) O,O-dimethyl ester', 'EINECS 200-154-0', 'RCRA waste no. P097', 'EPA Pesticide Chemical Code 059901', 'BRN 2224254', 'CL-38023', 'AI3-25644', '02UOP4Z0O0', 'O-4-Dimethylsulfamoylphenyl O,O-dimethyl phosphorothioate', 'CHEBI:38677', 'O,O-Dimethyl O-(p-(N,N-dimethylsulfamoyl)phenyl) phosphorothioate', 'O-(4-((Dimethylamino)sulfonyl)phenyl) O,O-dimethyl phosphorothioate', 'Phosphorothioic acid, O,O-dimethyl ester, O-ester with p-hydroxy-N,N-dimethylbenzenesulfonamide', 'O-4-Dimethylsulphamoylphenyl O,O-dimethyl phosphorothioate', 'NCGC00160631-01', 'O-[4-(dimethylsulfamoyl)phenyl] O,O-dimethyl thiophosphate', 'O,O-Dimethyl O-(p-(dimethylsulfamoyl)phenyl) phosphorothioate', 'O,O-Dimethyl O-(p-(N,N-dimethylsulfamoyl)phenyl)phosphorothioate', 'O-(4-((Dimethylamino)sulfonyl)phenyl) O,O-dimethylphosphorothioate', 'Phosphorothioic acid, O-[4-[(dimethylamino)sulfonyl]phenyl] O,O-dimethyl ester', 'DSSTox_CID_21966', 'DSSTox_RID_79889', 'p-Hydroxy-N,N-dimethylbenzenesulfonamide ester with phosphorothioic acid O,O-dimethyl ester', 'DSSTox_GSID_41966', '4-dimethoxyphosphinothioyloxy-N,N-dimethylbenzenesulfonamide', 'O-[4-(dimethylsulfamoyl)phenyl] O,O-dimethyl phosphorothioate', 'Varbex', 'O-[4-[(dimethylamino)sulphonyl]phenyl] O,O-dimethyl thiophosphate', 'O-(4-((Dimethylamino)sulphonyl)phenyl) O,O-dimethyl thiophosphate', 'american cyanamid 38023', 'CAS-52-85-7', 'O,O-Dimethyl phosphorothioate O-ester with p-hydroxy-N,N-dimethylbenzenesulfonamide', 'Phosphorothioic acid, O,O-dimethyl ester, O-ester with p-hydroxy-N,N-dimethylbenzene-sulfonamide', 'O,O-Dimethyl O-[p-(Dimethylsulfamoyl)phenyl] phosphorothioate', 'C10H16NO5PS2', 'Famphur (Famophos)', 'MLS004712074', 'SCHEMBL119176', 'CHEMBL1525287', 'DTXSID7041966', 'O,O-dimethyl O-p-(dimethylsulfamoyl)phenylphosphorothioate', 'Phosphorothioic acid, O-(4-((dimethylamino)sulfonyl)phenyl) O,O-', 'Tox21_111946', 'Tox21_301907', 'Famphur 10 microg/mL in Cyclohexane', 'AKOS015903057', 'Tox21_111946_1', 'DB11408', 'O,O-Dimethyl phosphorothioate O-ester with p-hydroxy-N,N-dimethylbenzenesulfonamide (8CI)', 'NCGC00160631-02', 'NCGC00255779-01', 'CL 38023', 'SMR001564080', 'Famphur, PESTANAL(R), analytical standard', 'LS-108812', 'NS00002635', 'C18658', 'Q27117937', 'O,O-dimethyl-O-, p (dimethylsulfamoyl)phenyl phosphorothioate', 'O,O-Dimethyl-O-(p-(N,N-dimethylsulfamoyl)phenyl)phosphorothioate', 'O-(4-[(Dimethylamino)sulfonyl]phenyl) O,O-dimethyl thiophosphate #']</t>
  </si>
  <si>
    <t>Compound(5859)</t>
  </si>
  <si>
    <t>C10H16NO5PS2</t>
  </si>
  <si>
    <t>3-anilino-5-methyl-5-(4-phenoxyphenyl)-1,3-oxazolidine-2,4-dione</t>
  </si>
  <si>
    <t>['Famoxadone', '131807-57-3', 'Famoxate', '3-anilino-5-methyl-5-(4-phenoxyphenyl)-1,3-oxazolidine-2,4-dione', 'Famoxadone [ISO:BSI]', 'DPX-JE 874', 'HSDB 7266', '2,4-Oxazolidinedione, 5-methyl-5-(4-phenoxyphenyl)-3-(phenylamino)-', 'CHEBI:83250', 'Famoxadone solution', '2,4-Oxazolidinedione,5-methyl-5-(4-phenoxyphenyl)-3-(phenylamino)-', '5-methyl-5-(4-phenoxyphenyl)-3-(phenylamino)-1,3-oxazolidine-2,4-dione', '5-METHYL-5-(4-PHENOXYPHENYL)-3-(PHENYLAMINO)-2,4-OXAZOLIDINEDIONE', 'ACMC-20car7', 'DPX-JE 874;Famoxate', 'DSSTox_CID_14588', 'DSSTox_RID_79172', 'DSSTox_GSID_34588', 'SCHEMBL63351', 'CHEMBL1812200', 'DTXSID8034588', 'CTK4B7532', 'BCP10368', 'HY-B2008', 'Tox21_301144', '5-Methyl-5-(4-phenoxyphenyl)-3-(phenylamino)oxazolidine-2,4-dione', 'AKOS015917628', 'Famoxadone 10 microg/mL in Cyclohexane', 'NCGC00168306-01', 'NCGC00168306-02', 'NCGC00168306-03', 'NCGC00255042-01', 'AS-35178', 'CC-28351', 'DB-042062', 'LS-100368', '486-EP2274983A1', '486-EP2305662A1', '486-EP2308857A1', '486-EP2314583A1', 'CAS-131807-57-3', 'CS-0014109', 'FT-0631140', 'NS00000488', 'NS00098813', '807F573', 'C-21219', 'Q412776', 'J-006058', '5-Methyl-5-(4-phenoxyphenyl)-3-phenylamino-2,4-oxazolidinedione', 'DPX-JE874 pound&gt;&gt;DPX JE874 pound&gt;&gt;Famoxadon pound&gt;&gt;Famoxate; FMX', 'Famoxadone solution, 100 ng/muL in acetonitrile, PESTANAL(R), analytical standard', '2,4-Oxazolidinedione, 5-methyl-5-(4-phenoxyphenyl)-3-(phenylamino)-;3-anilino-5-methyl-5-(4-phenoxyphenyl)-1,3-oxazolidine-2,4-dione']</t>
  </si>
  <si>
    <t>Compound(213032)</t>
  </si>
  <si>
    <t>C22H18N2O4</t>
  </si>
  <si>
    <t>(2E,6E)-3,7,11-trimethyldodeca-2,6,10-trien-1-ol</t>
  </si>
  <si>
    <t>['farnesol', 'trans,trans-Farnesol', '106-28-5', '(E,E)-Farnesol', '(2E,6E)-3,7,11-trimethyldodeca-2,6,10-trien-1-ol', 'trans-Farnesol', '(2E,6E)-Farnesol', '4602-84-0', '2-trans,6-trans-Farnesol', 'All-trans-Farnesol', 'Farnesyl alcohol', '3,7,11-Trimethyl-2,6,10-dodecatrien-1-ol', 'FCI 119a', 'Inhibitor A2', '(E)-farnesol', '2,6-Di-trans-Farnesol', '2,6,10-dodecatrien-1-ol, 3,7,11-trimethyl-, (2E,6E)-', '2E,6E-farnesol', 'Farnesol (mixture of isomers)', 'UNII-X23PI60R17', 'FEMA No. 2478', 'HSDB 445', 'Trimethyl dodecatrienol', '3,7,11-Trimethyl-2,6,10-dodecatrienol', 'EINECS 225-004-1', 'NSC 60597', '2,6,10-Dodecatrien-1-ol, 3,7,11-trimethyl-', 'EPA Pesticide Chemical Code 128911', '(2-trans,6-trans)-farnesol', 'AI3-44561', 'Floral Green', 'CHEBI:16619', 'X23PI60R17', '(2E,6E)-3,7,11-Trimethyl-2,6,10-dodecatrien-1-ol', 'trans,trans-3,7,11-Trimethyl-2,6,10-dodecatrien-1-ol', '2,6,10-Dodecatrien-1-ol, 3,7,11-trimethyl-, (E,E)-', 'ST072172', 'Farnesol 97+% FCC', '(E,E)-3,7,11-Trimethyl-2,6,10-dodecatrien-1-ol', '3,7,11-trimethyldodeca-2,6,10-trien-1-ol', 'FEMA 2478', 'polyprenols', 'transfarnesol', 'Nikkosome', 'trans- farnesol', '.beta.-Farnesol', 'E,E-farnesol', 'all-trans farnesol', '(E,E)farnesol', 'FOF', 'trans,trans farnesol', 'Farnesol (6CI)', '(E,E,)-farnesol', 'Farnesol, 95%', '(2Z,6Z)-Farnesol', 'Farnesol (2E,6E)', 'Farnesol, (E,E)-', 'Farnesol, trans, trans', '2E,6E-Farnesyl alcohol', 'Spectrum5_002027', 'trans,trans-alpha-farnesol', 'DSSTox_CID_12389', 'DSSTox_RID_78934', 'trans,trans-Farnesol, 96%', 'DSSTox_GSID_32389', 'Farnesol, mixture of isomers', 'SCHEMBL58068', '2-trans-S-6-trans-farnesol', 'BSPBio_002660', 'Farnesol, analytical standard', 'CHEMBL25308', 'SPECTRUM1501022', '(e,e)-FARNESOL 97+%', 'DTXSID2040789', 'BDBM11021', 'CHEBI:26199', 'CHEBI:28600', 'HY-Y0248A', 'BCP22704', 'ZINC1532860', 'Tox21_302034', 'AC-422', 'BBL027412', 'CCG-38862', 's4941', 'SBB012426', 'STL372743', 'AKOS004907430', 'LMPR0103010001', 'LS-2755', 'MB00132', 'NCGC00095654-01', 'NCGC00095654-02', 'NCGC00095654-03', 'NCGC00095654-04', 'NCGC00095654-05', 'NCGC00255293-01', 'trans,trans-Farnesol, analytical standard', 'AS-16107', 'CC-28352', 'S409', 'SC-68954', 'CAS-4602-84-0', '3,7,11-Trimethyldodeca-2,6,10-trienol.', 'CS-0031456', 'NS00007807', '06F285', 'C01126', 'Farnesol, mixture of isomers, analytical standard', 'A801411', 'C-33680', 'Q420449', 'Q-201851', 'W-109985', 'BRD-K24656285-001-01-0', 'Farnesol, mixture of isomers, &gt;=95%, stabilized, FG', '(2E, 6E)-3,7,11-trimethyl2,6,10-dodecatrien-1-ol', '(2E,6E)-3,7,11-trimethyl-1-dodeca-2,6,10-trienol', '(E,E,)-3,7,11-Trimethyl-2,6,10-dodecatrien-1-ol', 'F1905-7040', '(2E,6E)-3,7,11-trimethyl-dodeca-2,6,10-trien-1-ol', 'UNII-EB41QIU6JL component CRDAMVZIKSXKFV-YFVJMOTDSA-N', '2,6,10-Dodecatrien-1-ol, 3,7,11-trimethyl- (8CI,9CI)', 'A2865747-EC66-4B9C-A593-0A066A438904', 'Farnesol;FARNESOL;3,7,11-Trimethyldodeca-2,6,10-trien-1-ol', '(2-trans,6-trans)-3,7,11-trimethyldodeca-2,6,10-trien-1-ol', '(Z,E)-3,7,11-trimethyl-2,6,10-dodecatrien-1-ol ( aka Farnesol)']</t>
  </si>
  <si>
    <t>Compound(445070)</t>
  </si>
  <si>
    <t>C15H26O</t>
  </si>
  <si>
    <t>dimethoxy-(3-methyl-4-nitrophenoxy)-sulfanylidene-lambda5-phosphane</t>
  </si>
  <si>
    <t>['FENITROTHION', '122-14-5', 'Phenitrothion', 'Sumithion', 'Methylnitrophos', 'Folithion', 'Metathion', 'Nitrophos', 'Oleosumifene', 'Ovadofos', 'Owadofos', 'Owadophos', 'Sumifene', 'Verthion', 'Cekutrothion', 'Metathione', 'Metathionine', 'Accothion', 'Agrothion', 'Akotion', 'Arbogal', 'Falithion', 'Fenitox', 'Metation', 'Novathion', 'Nuvanol', 'Cyfen', 'Cytel', 'Kotion', 'Macbar', 'Mglawik F', 'Folithion ec 50', 'MEP (Pesticide)', 'Super Sumithion', 'Pennwalt C-4852', 'Agriya 1050', 'Sumitomo S-1102A', 'Agria 1050', 'Bayer S 5660', 'Fentrothione', 'Oleometathion', 'Fenition', 'Sumigran', 'O,O-Dimethyl O-(3-methyl-4-nitrophenyl) phosphorothioate', 'Insectigas F', 'O,O-Dimethyl O-4-nitro-m-tolyl phosphorothioate', 'Monsanto CP 47114', 'Metathionine E50', 'American cyanamid CL-47,300', 'Bayer 41831', 'Metation E50', 'Metathion E 50', 'Fenitrothion [BAN]', 'Tionfos 50 LE', 'Caswell No. 373', 'S 112A', 'Fenitrotion', 'Aceothion', 'Dicofen', 'OMS 43', 'Sumithian', 'Fenitrotion (Hungarian)', 'Cyten', 'O,O-Dimethyl O-(3-methyl-4-nitrophenyl) thiophosphate', 'Dimethyl 4-nitro-m-tolyl phosphorothionate', 'UNII-W8M4X3Y7ZY', 'C9H12NO5PS', 'Phosphorothioic acid, O,O-dimethyl O-(3-methyl-4-nitrophenyl) ester', 'BAY 41831', 'Metathion E-50', 'ENT 25,715', 'Metathio E-50', 'Metathionine E-50', 'Metation E-50', 'S-1102A', 'Dimethyl 3-methyl-4-nitrophenyl phosphorothionate', 'CCRIS 1559', 'AC-47300', 'CL 47300', 'CP 47114', 'EI 47300', 'HSDB 1590', 'O,O-Dimethyl O-(4-nitro-3-methylphenyl)thiophosphate', 'EINECS 204-524-2', 'Fenitrothion [BSI:ISO]', '8057HC', 'EPA Pesticide Chemical Code 105901', 'BRN 1887367', 'W8M4X3Y7ZY', 'MEP (Phosphorus insecticide)', 'O,O-Dimetil-O-(3-metil-4-nitro-fenil)-monotiofosfato', 'O,O-Dimethyl-O-(3-methyl-4-nitrofenyl)-monothiofosfaat', 'AI3-25715', 'CHEBI:34757', 'Phosphorothioic acid, O,O-dimethyl O-(4-nitro-m-tolyl) ester', 'Dimethyl-(3-methyl-4-nitrophenyl)thiophosphate', 'm-Cresol, 4-nitro-, O-ester with O,O-dimethyl phosphorothioate', 'C-9146', 'Dimethyl (3-methyl-4-nitrophenyl) thiophosphate', '3-Methyl-4-nitrophenyl dimethyl phosphorothioate', 'O,O-Dimethyl O-(4-nitro-3-methylphenyl) thiophosphate', 'O,O-Dimethyl O-(3-methyl-4-nitrophenyl) phosphorothionate', 'O,O-Dimethyl-O-(3-methyl-4-nitrofenyl)-monothiofosfaat [Dutch]', 'O,O-Dimetil-O-(3-metil-4-nitrofenil) fosforotioato (Portugese)', 'O,O-Dimethyl-O-(4-nitro-5-methylphenyl)-thionophosphat [German]', 'O,O-Dimetil-O-(3-metil-4-nitro-fenil)-monotiofosfato [Italian]', 'Thiophosphate de O,O-dimethyle et de O-(3-methyl-4-nitrophenyle)', 'Tionofosforan O,O-dwumetylo-O-(3-metylo)-4-nitrofenylowy [Polish]', 'O,O-Dimethyl-O-(3-methyl-4-nitro-phenyl)-monothiophosphat [German]', 'O,O-Dimethyl O-4-nitro-m-tolyl thiophosphate', 'Thiophosphate de O,O-dimethyle et de O-(3-methyl-4-nitrophenyle) [French]', 'O,O-DiMe O-(3-methyl-4-nitrophenyl) thiophosphate', 'O,O-Dimetil-O-(3-metil-4-nitrofenil) fosforotioato', 'O,O-dimethyl O-(3-methyl-4-nitrophenyl)phosphorothioate', 'O,O-Dimethyl-O-(4-nitro-5-methylphenyl)-thionophosphate', 'Sumithione', 'O,O-Dimethyl-O-(3-methyl-4-nitro-phenyl)-monothiophosphate', 'dimethoxy-(3-methyl-4-nitrophenoxy)-sulfanylidene-?^{5}-phosphane', 'Fenitrothion (MEP)', 'PubChem2339', 'S 5660', 'DSSTox_CID_12613', 'DSSTox_RID_79004', 'DSSTox_GSID_32613', 'SCHEMBL26916', 'BIDD:ER0336', 'CHEMBL347698', 'ZINC1434', 'DTXSID4032613', 'O,O-Dimethyl-O-(4-nitro-5-methylphenyl)-thionophosphat', 'CTK2H8821', 'O,O-Dimethyl-O-(3-methyl-4-nitro-phenyl)-monothiophosphat', 'Tionofosforan O,O-dwumetylo-O-(3-metylo)-4-nitrofenylowy', 'BAY S 5660', 'HY-B1885', 'Tox21_300906', 'AKOS015907800', 'KS-5043', 'Fenitrothion 1000 microg/mL in Toluene', 'NCGC00091902-04', 'NCGC00166191-01', 'NCGC00166191-02', 'NCGC00166191-03', 'NCGC00254810-01', 'CAS-122-14-5', 'CC-28381', 'Fenitrothion 10 microg/mL in Cyclohexane', 'I470', 'Fenitrothion 100 microg/mL in Cyclohexane', 'DB-041652', 'Fenitrothion 100 microg/mL in Acetonitrile', 'LS-108871', 'CS-0013949', 'NS00003255', 'C14442', '26846-EP2274983A1', '26846-EP2275422A1', '26846-EP2280009A1', '26846-EP2292608A1', '26846-EP2305658A1', '26846-EP2305662A1', '26846-EP2308857A1', '26846-EP2308858A1', '26846-EP2311816A1', '26846-EP2311817A1', '26846-EP2314583A1', 'Fenitrothion, PESTANAL(R), analytical standard', '122F145', 'A804852', 'C-17432', 'Q417614', 'J-004767', 'dimethoxy-(3-methyl-4-nitrophenoxy)-sulfanylidenephosphorane', 'methyl 3-methyl-4-nitrophenyl methoxy(sulfanylidene)phosphonite', 'O,O-DIMETHYL O-3-METHYL-4-NITROPHENYL PHOSPHOROTHIOATE', 'dimethoxy-(3-methyl-4-nitro-phenoxy)-sulfanylidene-$l^{5}-phosphane', 'O,O-Dimethyl-(3-methyl-4-nitrophenyl) ester of phosphorothioic acid', 'Fenitrothion solution, 100 ng/muL in cyclohexane, PESTANAL(R), analytical standard']</t>
  </si>
  <si>
    <t>Compound(31200)</t>
  </si>
  <si>
    <t>C9H12NO5PS</t>
  </si>
  <si>
    <t>fenchlorazole-ethyl</t>
  </si>
  <si>
    <t>ethyl 1-(2,4-dichlorophenyl)-5-(trichloromethyl)-1,2,4-triazole-3-carboxylate</t>
  </si>
  <si>
    <t>['Fenchlorazole-ethyl', 'Fenchlorazol-ethyl', '103112-35-2', 'Fenchlorazole-Et', 'Fenchlorazole-ethyl [ISO]', 'UNII-4R856T003A', 'HOE 070542', 'CHEBI:81992', 'ethyl 1-(2,4-dichlorophenyl)-5-(trichloromethyl)-1,2,4-triazole-3-carboxylate', '1H-1,2,4-Triazole-3-carboxylic acid, 1-(2,4-dichlorophenyl)-5-(trichloromethyl)-, ethyl ester', '4R856T003A', 'Fenchlorazole ethyl', 'DSSTox_CID_21268', 'DSSTox_RID_79671', 'Ethyl 1-(2,4-dichlorophenyl)-5-(trichloromethyl)-1H-1,2,4-triazole-3-carboxylate', 'DSSTox_GSID_41268', 'SCHEMBL125425', 'CHEMBL2229892', 'DTXSID6041268', 'Tox21_300653', 'ZINC25761563', 'Fenchlorazol-ethyl, analytical standard', 'NCGC00248129-01', 'NCGC00254561-01', 'DB-040416', 'LS-155862', 'CAS-103112-35-2', 'FT-0631022', 'NS00008308', 'C18831', '112F352', 'C-21774', 'J-000872', 'Fenchlorazol-ethyl, PESTANAL(R), analytical standard', 'Q27155674', 'Fenchlorazol-ethyl;1H-1,2,4-Triazole-3-carboxylic acid, 1-(2,4-dichlorophenyl)-5-(trichloromethyl)-, ethyl ester;1-(2,4-dichloro-phenyl)-5-trichloromethyl-1.H.-[1,2,4]triazole-3-carboxylic acid ethyl ester;Ethyl 1-(2,4-dichlorophenyl)-5-trichloromethyl-1,2,4-(1H)-triazol-3-carboxylate']</t>
  </si>
  <si>
    <t>Compound(3033865)</t>
  </si>
  <si>
    <t>C12H8Cl5N3O2</t>
  </si>
  <si>
    <t>fenchlorphos</t>
  </si>
  <si>
    <t>dimethoxy-sulfanylidene-(2,4,5-trichlorophenoxy)-lambda5-phosphane</t>
  </si>
  <si>
    <t>['Fenchlorphos', 'RONNEL', 'Fenclofos', 'Fenchlorfos', '299-84-3', 'Dermafos', 'Phenchlorfos', 'Ectoral', 'Etrolene', 'Korlane', 'Nanchor', 'Trolene', 'Viozene', 'Blitex', 'Korlan', 'Nanker', 'Nankor', 'Remelt', 'Rovan', 'Trichlorometafos', 'Gesektin K', 'Fenchloorfos', 'Dermaphos', 'Trolene 20L', 'Trichlormetaphos', 'Dow ET 14', 'Dow ET 57', 'Fenchlorfosu', 'Fenchlorophos', 'Dermafosu', 'Smear', "Moorman's Medicated Rid-Ezy", 'Dermafosu [Polish]', 'OMS 123', 'ET 14', 'ET 57', 'Ronnel [ANSI]', 'Ronnel [USAN]', 'Fenchlorphos [ISO]', 'Fenchloorfos [Dutch]', 'Caswell No. 724', 'Fenchlorfosu [Polish]', 'Trolen', 'ENT 23,284', 'Fenclofosum [INN-Latin]', 'UNII-89RAG7SB3B', 'Dimethyl trichlorophenyl thiophosphate', 'HSDB 667', 'Phosphorothioic acid, O,O-dimethyl O-(2,4,5-trichlorophenyl) ester', 'NSC 8926', 'EINECS 206-082-6', 'EPA Pesticide Chemical Code 058301', 'BRN 1885571', 'Dimethyl (2,4,5-trichlorophenyl) phosphorothionate', '89RAG7SB3B', 'AI3-23284', 'O,O-Dimethyl O-(2,4,5-trichlorophenyl) phosphorothioate', 'CHEBI:82125', 'Fenclofos (INN)', 'Fenclofos [INN]', 'Phenol, 2,4,5-trichloro-, O-ester with O,O-dimethyl phosphorothioate', 'O,O-Dimethyl O-(2,4,5-trichlorophenyl)thiophosphate', 'Ronnel (USAN)', 'O,O-Dimethyl-O-(2,4,5-trichlorphenyl)-thionophosphat', 'O-(2,4,5-Tricloro-fenil)-O,O-dimetil-monotiofosfato', 'O-(2,4,5-Trichloor-fenyl)-O,O-dimethyl-monothiofosfaat', 'O-(2,4,5-Trichlor-phenyl)-O,O-dimethyl-monothiophosphat', 'NCGC00163886-02', 'NCGC00163886-03', 'O,O-Dimethyl-O-(2,4,5-trichlorphenyl)-thionophosphat [German]', 'O-(2,4,5-Tricloro-fenil)-O,O-dimetil-monotiofosfato [Italian]', 'O-(2,4,5-Trichloor-fenyl)-O,O-dimethyl-monothiofosfaat [Dutch]', 'O-(2,4,5-Trichlor-phenyl)-O,O-dimethyl-monothiophosphat [German]', 'Thiophosphate de o,o-dimethyle et de o-(2,4,5-trichlorophenyle)', 'Phenol, 2,4,5-trichloro-, O-ester with O,O-dimethylphosphorothioate', 'Thiophosphate de O,O-dimethyle et de O-(2,4,5-trichlorophenyle) [French]', 'DSSTox_CID_14885', 'DSSTox_RID_79218', 'DSSTox_GSID_34885', 'Fenclofosum', 'Fenclos', 'CAS-299-84-3', 'dimethoxy-sulfanylidene-(2,4,5-trichlorophenoxy)-?^{5}-phosphane', 'Trichlorometaphos', 'Fenclofos.Ronnel', 'FENCLORFOS', 'Ronnel = fenchlorfos', 'Fenchlorphos (Ronnel)', 'Ronnel, analytical standard', 'SCHEMBL19438', "Moor Man's Medicated Rid-Ezy", 'CHEMBL1871418', 'DTXSID2034885', 'NSC8926', 'HMS2093B20', 'HY-B1093', 'NSC-8926', 'fenchlorphos;Fenchlorphos;fenchlorfos', 'Tox21_113416', 'Tox21_113425', 'Tox21_301334', 'O,4,5-trichlorophenyl) thiophosphate', 'AKOS015888330', 'Tox21_113416_1', 'CCG-213503', 'CS-4660', 'DB11456', 'O,4,5-trichlorophenyl) phosphorothioate', 'Phosphorothioic acid, O,O-dimethyl O-(2,4,5-trichlorophenyl) ester (8CI)(9CI)', 'NCGC00163886-01', 'NCGC00163886-05', 'NCGC00255659-01', 'Fenchlorphos 10 microg/mL in Cyclohexane', 'Thiophosphate de O,4,5-trichlorophenyle)', 'Fenchlorphos 100 microg/mL in Cyclohexane', 'SBI-0206816.P001', 'WLN: GR BG DG EOPS &amp; O1 &amp; O1', 'LS-108887', 'NS00006758', 'C18986', 'D05753', 'AB01563101_01', 'Dimethyl (2,5-trichlorophenyl) phosphorothionate', 'Fenchlorphos, PESTANAL(R), analytical standard', 'Dimethyl O-(2,4,5-trichlorophenyl) thiophosphate', 'J-017721', 'O-(2,5-Tricloro-fenil)-O,O-dimetil-monotiofosfato', 'Q1853255', 'O,O-Dimethyl O-(2,4,5-trichlorophenyl) thiophosphate', 'O-(2,5-Trichloor-fenyl)-O,O-dimethyl-monothiofosfaat', 'O-(2,5-Trichlor-phenyl)-O,O-dimethyl-monothiophosphat', 'O,O-Dimethyl O-(2,4,5-trichlorophenyl) phosphorothionate', 'methyl 2,4,5-trichlorophenyl methoxy(sulfanylidene)phosphonite', 'Phosphorothioic acid,O-dimethyl O(2,4,5-trichlorophenyl) ester', 'dimethoxy-sulfanylidene-(2,4,5-trichlorophenoxy)-$l^{5-phosphane', 'Phenol,4,5-trichloro-, O-ester with O,O-dimethyl phosphorothioate', 'Phosphorothioic acid,O-dimethyl O-(2,4,5-trichlorophenyl) ester', 'Phosphorothioic acid, O,O-dimethyl O-(2,4,5-trichlorophenyl) ester (8CI)', 'phosphorothioic acid, O-(2,4,5-trichlorphenyl)-, O,O-dimethyl ester']</t>
  </si>
  <si>
    <t>Compound(9298)</t>
  </si>
  <si>
    <t>C8H8Cl3O3PS</t>
  </si>
  <si>
    <t>ethyl 2-[4-[(6-chloro-1,3-benzoxazol-2-yl)oxy]phenoxy]propanoate</t>
  </si>
  <si>
    <t>['FENOXAPROP-ETHYL', 'Fenoxaprop ethyl', '66441-23-4', 'Acclaim', 'Furore', 'Depon', 'Whip', 'Excel', 'PUMA', 'Tiller Herbicide', 'Fenoxaprop ethyl ester', 'Option', 'HOE-A 25-01', 'HOE 33171', 'Caswell No. 431C', 'Fenoxaprop ethyl ester [ANSI]', 'HSDB 6848', 'EINECS 266-362-9', 'EPA Pesticide Chemical Code 128701', 'ethyl 2-[4-[(6-chloro-1,3-benzoxazol-2-yl)oxy]phenoxy]propanoate', 'BRN 1166633', 'CHEBI:5008', 'Ethyl-2-((4-(6-chloro-2-benzoxazolyloxy))-phenoxy)propionate', 'Ethyl (+-)-2-(4-(6-chloro-2-benzoxazolyloxy)phenoxy)propanoate', 'Ethyl (D+)-2-(4-(6-chlor-2-benzoxazolyloxy)phenoxy)propanoate [French]', '(+/-)-2-(4-((6-Chloro-2-benzoxazolyl)oxy)phenoxy)propanoic acid ethyl ester', 'Ethyl 2-(4-((6-chlorobenzoxazol-2-yl)oxy)phenoxy)propionate', '2-(4-((6-Chloro-2-benzoxazolylen)oxy)phenoxy)propanoic acid, ethyl ester', 'Propanoic acid, 2-(4-((6-chloro-2-benzoxazolyl)oxy)phenoxy)-, ethyl ester', 'Propanoic acid, 2-[4-[(6-chloro-2-benzoxazolyl)oxy]phenoxy]-, ethyl ester', 'C18H16ClNO5', 'Propanoic acid, 2-(4-((6-chloro-2-benzoxazolyl)oxy)phenoxy)-, ethyl ester, (+-)-', 'W-111270', 'Ethyl 2-[4-[(6-chlorobenzoxazol-2-yl)oxy]phenoxy]propionate', 'ethyl 2-{4-[(6-chloro-1,3-benzoxazol-2-yl)oxy]phenoxy}propanoate', 'Fenoxaprop-ethyl [ISO]', 'option.', 'ACMC-20al2g', 'Ethyl (D+)-2-(4-(6-chlor-2-benzoxazolyloxy)phenoxy)propanoate', 'DSSTox_CID_12392', 'DSSTox_RID_78936', 'DSSTox_GSID_32392', 'Oprea1_475947', 'Oprea1_660788', 'SCHEMBL54528', 'CHEMBL37932', 'DTXSID2032392', 'Propanoic acid, 2-[4-[(6-chloro-2-benzoxazolyl)oxy]phenoxy]-, ethyl ester, (2R)-', 'Tox21_301166', 'AKOS015895792', 'DB05252', 'VA10893', 'FENOXAPROP-ETHYL RACEMATE PESTANAL', 'NCGC00168307-01', 'NCGC00168307-02', 'NCGC00168307-03', 'NCGC00255064-01', '82110-72-3', 'CC-28394', 'M447', 'CAS-66441-23-4', 'DB-054931', 'LS-121247', 'FT-0641069', 'FT-0693370', 'NS00000137', 'C11024', '441F234', 'A835467', 'Fenoxaprop-ethyl, PESTANAL(R), analytical standard', 'Q27095578', 'ethyl 2-(4-(6-chlorobenzo[d]oxazol-2-yloxy)phenoxy)propanoate', 'Ethyl 2-(4-((6-chlorobenzo[d]oxazol-2-yl)oxy)phenoxy)propanoate', 'ethyl 2-[4-[(6-chloranyl-1,3-benzoxazol-2-yl)oxy]phenoxy]propanoate', '2-[4-[(6-chloro-1,3-benzoxazol-2-yl)oxy]phenoxy]propanoic acid ethyl ester', 'Propanoic acid, 2-(4-((6-chloro-2-benzoxazolyl)oxy)phenoxy)-, ethyl ester, (.+/-.)-', '87714-45-2', 'Ethyl 2-[4-[(6-chlorobenzoxazol-2-yl)oxy]phenoxy]propionate;ethyl 2-[4-[(6-chlorobenzoxazol-2-yl)oxy]phenoxy]propionate']</t>
  </si>
  <si>
    <t>Compound(47938)</t>
  </si>
  <si>
    <t>C18H16ClNO5</t>
  </si>
  <si>
    <t>phenoxycarb</t>
  </si>
  <si>
    <t>ethyl N-[2-(4-phenoxyphenoxy)ethyl]carbamate</t>
  </si>
  <si>
    <t>['FENOXYCARB', '72490-01-8', 'Insegar', 'Ethyl (2-(4-phenoxyphenoxy)ethyl)carbamate', 'Varikill', 'Logic', 'Pictyl', 'Pyctyl', 'Torus', 'Fenoxycarb [ANSI]', 'ethyl [2-(4-phenoxyphenoxy)ethyl]carbamate', 'Caswell No. 652C', 'Fenoxycarb [BSI:ISO]', 'Ro 13-5223', 'UNII-JEN0LSV1G9', 'N-(2-(p-Phenoxyphenoxy)ethyl)carbamic acid', '(2-(4-Phenoxyphenoxy)ethyl)carbamic acid ethyl ester', 'ethyl N-[2-(4-phenoxyphenoxy)ethyl]carbamate', 'Fenoxycarb [ISO]', 'HSDB 6635', 'ABG 6215', 'EINECS 276-696-7', 'Ethyl (2-(p-phenoxy)ethyl)carbamate', 'JEN0LSV1G9', '79127-80-3', 'EPA Pesticide Chemical Code 125301', 'Ethyl 2-(4-phenoxyphenoxy)ethylcarbamate', 'Ethyl(2-(p-phenoxyphenoxy)ethyl)carbamate', 'AI3-29460', 'CHEBI:5009', 'Carbamic acid, (2-(4-phenoxyphenoxy)ethyl)-, ethyl ester', 'ethyl (2-(p-phenoxyphenoxy)ethyl)carbamate', 'O-ethyl N-[2-(4-phenoxyphenoxy)ethyl]carbamate', 'W-104487', '2-(4-(Phenoxy-phenoxy)ethyl)carbamic acid ethyl ester', 'Carbamic acid, (2-(4-phenoxyphenyl)ethyl)-, ethyl ester', 'Carbamic acid, [2-(4-phenoxyphenoxy)ethyl]-, ethyl ester', 'fenoxicarbe', 'PHENOXYCARB', 'ethyl N-[2-[4-(phenoxy)phenoxy]ethyl]carbamate', 'DSSTox_CID_12393', 'DSSTox_RID_78937', 'DSSTox_GSID_32393', 'SCHEMBL27336', 'CHEMBL15780', 'DTXSID7032393', 'CTK5B9018', 'HJUFTIJOISQSKQ-UHFFFAOYSA-', 'Carbamic acid, (2-(4-phenoxyphenoxy)ethyl)-, ethyl ester (9CI)', 'ZINC1532145', 'Tox21_301209', '1238AC', 'AKOS015917663', 'Fenoxycarb 10 microg/mL in Acetonitrile', 'NCGC00163823-01', 'NCGC00163823-02', 'NCGC00163823-03', 'NCGC00163823-04', 'NCGC00254765-01', 'LS-50530', 'AX8130251', 'CAS-72490-01-8', 'DB-074570', 'FT-0626260', 'FT-0757929', 'NS00000439', 'Fenoxycarb, PESTANAL(R), analytical standard', 'C11078', '402F415', 'Q415472', 'Carbamic acid,ethyl-,2-(4-phenoxyphenoxy)ethyl ester(9ci)', 'Fenoxycarb / Ethyl N-[2-(4-phenoxyphenoxy)ethyl]carbamate', 'Carbamic acid, ethyl-,2-(4-phenoxyphenoxy)ethyl ester (9CI)']</t>
  </si>
  <si>
    <t>Compound(51605)</t>
  </si>
  <si>
    <t>C17H19NO4</t>
  </si>
  <si>
    <t>fenamiphos sulfoxide</t>
  </si>
  <si>
    <t>N-[ethoxy-(3-methyl-4-methylsulfinylphenoxy)phosphoryl]propan-2-amine</t>
  </si>
  <si>
    <t>['Fenamiphos sulfoxide', '31972-43-7', 'Fenamiphos-sulfoxide', 'BAY 68138 SULFOXIDE', 'Phosphoramidic acid, (1-methylethyl)-, ethyl 3-methyl-4-(methylsulfinyl)phenyl ester', 'N-[ethoxy-(3-methyl-4-methylsulfinylphenoxy)phosphoryl]propan-2-amine', 'Fenamiphos sulphoxide', 'Nemacur sulfoxide', 'Fenamifos sulfoxido', 'SCHEMBL5933910', 'CHEMBL1904448', 'DTXSID8037548', 'O-Ethyl O-(4-methylsulfinyl)-m-tolyl)isopropylphosphoramidate', 'Phosphoramidic acid, isopropyl-, ethyl 4-(ethylsulfinyl)-m-tolyl ester', 'AKOS015903287', 'fenamiphos sulfoxide;Fenamiphos-sulfoxide', 'NCGC00163858-01', 'SC-67397', 'NS00004448', 'Fenamiphos-sulfoxide 1000 microg/mL in Acetone', 'J-018582', 'Q27896416', 'Fenamiphos-sulfoxide, PESTANAL(R), analytical standard', 'Ethyl 3-methyl-4-(methylsulfinyl)phenyl isopropylamidophosphate #', 'Phosphoramidic acid, isopropyl-, ethyl 4-(methylsulfinyl)-m-tolyl ester', '124793-11-9']</t>
  </si>
  <si>
    <t>Compound(36027)</t>
  </si>
  <si>
    <t>C13H22NO4PS</t>
  </si>
  <si>
    <t>fenamiphos</t>
  </si>
  <si>
    <t>N-[ethoxy-(3-methyl-4-methylsulfanylphenoxy)phosphoryl]propan-2-amine</t>
  </si>
  <si>
    <t>['FENAMIPHOS', 'Phenamiphos', 'Nemacur', '22224-92-6', 'Methaphenamiphos', 'Nemacur P', 'BAY sra 3886', 'Fenamiphos [BSI:ISO]', 'BAY 68138', 'Caswell No. 453A', 'Ethyl 4-(methylthio)-m-tolyl isopropylphosphoramidate', 'Phenamiphos [ISO-French]', 'SRA 3886', 'ENT 27572', 'NSC 195106', 'CCRIS 4694', 'Isopropylamino-O-ethyl-(4-methylmercapto-3-methylphenyl)phosphate', 'HSDB 6452', 'Phosphoramidic acid, (1-methylethyl)-, ethyl 3-methyl-4-(methylthio)phenyl ester', 'Ethyl 3-methyl-4-(methylthio)phenyl isopropylphosphoramidate', 'EINECS 244-848-1', 'EPA Pesticide Chemical Code 100601', 'Ethyl 3-methyl-4-(methylthio)phenyl (1-methylethyl)phosphoramidate', 'BRN 4752893', 'AI3-27572', 'CHEBI:38680', '1-(Methylethyl)-ethyl 3-methyl-4-(methylthio)phenyl phosphoramidate', 'Phosphoramidic acid, isopropyl-, ethyl 4-(methylthio)-m-tolyl ester', 'NCGC00091830-04', 'Phosphoramidic acid, isopropyl-, 4-(methylthio)-m-tolyl ethyl ester', 'N-[ethoxy-(3-methyl-4-methylsulfanylphenoxy)phosphoryl]propan-2-amine', 'O-Aethyl-O-(3-methyl-4-methylthiophenyl)-isopropylamido-phosphorsaeureester', 'O-Aethyl-O-(3-methyl-4-methylthiophenyl)-isopropylamido-phosphorsaeureester [German]', 'Ethyl-4-(methylthio)-m-tolyl isopropylphosphoramidate', 'ethyl 3-methyl-4-(methylthio)phenyl isopropylamidophosphate', 'm-Cresol, 4-(methylthio)-, ethyl isopropylphosphoramidate', 'Phosphoramidic acid, (1-methylethyl)-, ethyl (3-methyl-4-(methylthio)phenyl) ester', 'Bayer 68138', 'C13H22NO3PS', 'Phenamifos sulfoxide', 'Fenamiphos;fenamiphos', 'DSSTox_CID_4102', 'DSSTox_RID_77289', 'B 68138', 'DSSTox_GSID_24102', 'Fenamiphos (aka phenamiphos)', 'SCHEMBL76010', 'MLS002454436', 'ethyl 4-(methylthio)m-tolyl isopropylphosphoroamidate', 'CHEMBL1313005', 'DTXSID3024102', 'CTK8F9734', 'HMS3041D09', 'Tox21_400081', 'AKOS015888416', 'LS-1021', 'ACM22224926', 'Fenamiphos 10 microg/mL in Cyclohexane', 'NCGC00091830-01', 'NCGC00091830-02', 'NCGC00091830-03', 'NCGC00091830-05', 'AC-12688', 'CC-33614', 'Fenamiphos 100 microg/mL in Acetonitrile', 'S282', 'SMR000777957', 'CAS-22224-92-6', 'DB-045846', 'NS00000134', 'Fenamiphos, PESTANAL(R), analytical standard', 'C18659', 'Q32693', '224F926', 'C-18920', 'J-014591', 'Ethyl 4-methylthio-m-tolyl isopropylphosphoramidate, 8CI', 'UNII-H4NO3L2HBE component ZCJPOPBZHLUFHF-SFHVURJKSA-N', 'Ethyl 3-methyl-4-(methylsulfanyl)phenyl isopropylamidophosphate #', '{ethoxy[3-methyl-4-(methylsulfanyl)phenoxy]phosphoryl}(propan-2-yl)amine', 'ethyl 3-methyl-4-(methylsulfanyl)phenyl (1-methylethyl)amidophosphate', 'ethyl 3-methyl-4-(methylsulfanyl)phenyl N-(propan-2-yl)phosphoramidate', 'Ethyl 3-methyl-4-(methylthio)phenyl 1-methylethylphosphoramidate, 9CI']</t>
  </si>
  <si>
    <t>Compound(31070)</t>
  </si>
  <si>
    <t>C13H22NO3PS</t>
  </si>
  <si>
    <t>fenamiphos sulfone</t>
  </si>
  <si>
    <t>N-[ethoxy-(3-methyl-4-methylsulfonylphenoxy)phosphoryl]propan-2-amine</t>
  </si>
  <si>
    <t>['Fenamiphos sulfone', 'Fenamiphos-sulfone', '31972-44-8', 'Fenamiphos sulphone', 'Phosphoramidic acid, isopropyl-, ethyl 4-(methylsulfonyl)-m-tolyl ester', 'Phosphoramidic acid, (1-methylethyl)-, ethyl 3-methyl-4-(methylsulfonyl)phenyl ester', 'N-[ethoxy-(3-methyl-4-methylsulfonylphenoxy)phosphoryl]propan-2-amine', 'Fenamiphos sulfphone', 'BAY 68138 SULFONE', 'Fenamiphos - sulfone', 'SCHEMBL5933867', 'CHEMBL3186568', 'DTXSID3037547', 'Ethyl 4-(methylsulfonyl)-m-tolyl isopropylphosphoramidate', 'Fenamiphos-sulfone;Fenamiphos sulfone', 'AKOS015903315', 'Fenamiphos-sulfone, ampule of 100 mg', 'NCGC00163876-01', 'NS00000702', '972F448', 'Fenamiphos-sulfone 10 microg/mL in Ethyl acetate', 'J-018583', 'Fenamiphos-sulfone, PESTANAL(R), analytical standard', 'Q27891497', 'UNII-77I51XA8L2 component LVNYJXIBJFXIRZ-FQEVSTJZSA-N', 'Ethyl 3-methyl-4-(methylsulfonyl)phenyl isopropylamidophosphate', 'Ethyl 3-methyl-4-(methylsulfonyl)phenyl isopropylphosphoramidate']</t>
  </si>
  <si>
    <t>Compound(36028)</t>
  </si>
  <si>
    <t>C13H22NO5PS</t>
  </si>
  <si>
    <t>(2-chlorophenyl)-(4-chlorophenyl)-pyrimidin-5-ylmethanol</t>
  </si>
  <si>
    <t>['FENARIMOL', '60168-88-9', 'Rimidin', 'Rubigan', 'BLOC', '(2-Chlorophenyl)(4-chlorophenyl)(pyrimidin-5-yl)methanol', 'Compound 56722', 'Caswell No. 207AA', 'EL 222', 'Fenarimol [ANSI:BSI:ISO]', 'EINECS 262-095-7', 'EPA Pesticide Chemical Code 206600', 'BRN 5972869', 'CHEMBL28971', 'CHEBI:83686', 'alpha-(2-Chlorophenyl)-alpha-(4-chlorophenyl)-5-pyrimidinemethanol', '5-Pyrimidinemethanol, .alpha.-(2-chlorophenyl)-.alpha.-(4-chlorophenyl)-', '(2-chlorophenyl)(4-chlorophenyl)pyrimidin-5-ylmethanol', "2,4'-Dichloro-alpha(pyrimidin-5-yl)benzhydryl alcohol", '(2-chlorophenyl)-(4-chlorophenyl)-pyrimidin-5-ylmethanol', "(+-)-2,4'-Dichloro-alpha-(pyrimidin-5-yl)benzhydryl alcohol", 'DSSTox_CID_12390', 'DSSTox_RID_78935', 'DSSTox_GSID_32390', 'W-111179', '5-Pyrimidinemethanol, alpha-(2-chlorophenyl)-alpha-(4-chlorophenyl)-', 'alpha-(2-Chlorophenyl)-alpha-4-(chlorophenyl)-5-pyrimidinemethanol', '.alpha.-(2-Chlorophenyl)-.alpha.-(4-chlorophenyl)-5-pyrimidinemethanol', 'CAS-60168-88-9', '(+/-)-Fenarimol', 'EL 222;Rubigan', 'PubChem16971', 'SCHEMBL42209', 'DTXSID2032390', 'DNDI1246778', 'Tox21_201631', 'Tox21_300650', 'BDBM50024511', '5-Pyrimidinemethanol, alpha-(2-chlorophenyl)-alpha-(4-chlorophenyl)- (9CI)', 'AKOS015895790', 'Fenarimol 10 microg/mL in Cyclohexane', 'Fenarimol 100 microg/mL in Cyclohexane', 'Fenarimol 10 microg/mL in Ethyl acetate', 'NCGC00163917-01', 'NCGC00163917-02', 'NCGC00163917-03', 'NCGC00163917-04', 'NCGC00163917-05', 'NCGC00254558-01', 'NCGC00259180-01', 'CC-28369', 'SC-81548', 'AX8130183', 'DB-053545', 'LS-135442', 'FT-0630719', 'NS00000135', 'Fenarimol, PESTANAL(R), analytical standard', 'C11226', '168F889', "2,4'-Dichloro-(pyrimidin-5-yl)benzhydryl alcohol", 'C-20045', 'Q906987', "2,4'-dichloro-a(pyrimidin-5-yl)benzhydryl alcohol", '(2-Chlorophenyl)(4-chlorophenyl)5-pyrimidinylmethanol #', '(2-Chlorophenyl)-.alpha.-(4-chlorophenyl)-5-pyrimidinemethanol', '(4-Chloro-phenyl)-(2-chloro-phenyl)-pyrimidin-5-yl-methanol', "fenarimol;2,4'-dichloro-a(pyrimidin-5-yl)benzhydryl alcohol", 'Pesticide6_Fenarimol_C17H12Cl2N2O_(2-Chlorophenyl)(4-chlorophenyl)5-pyrimidinylmethanol']</t>
  </si>
  <si>
    <t>Compound(43226)</t>
  </si>
  <si>
    <t>C17H12Cl2N2O</t>
  </si>
  <si>
    <t>phenobarbital</t>
  </si>
  <si>
    <t>5-ethyl-5-phenyl-1,3-diazinane-2,4,6-trione</t>
  </si>
  <si>
    <t>['phenobarbital', 'Phenobarbitone', 'Phenobarbitol', 'Luminal', 'Phenylethylbarbiturate', 'Phenobarbituric acid', 'Phenylethylmalonylurea', 'Fenobarbital', 'Phenemal', '50-06-6', 'Adonal', 'Phenylethylbarbituric acid', 'Nunol', 'Neurobarb', 'Phenaemal', 'Dormiral', 'Gardenal', 'Hysteps', 'Aphenylbarbit', 'Aphenyletten', 'Dezibarbitur', 'Lepinaletten', 'Lumofridetten', 'Aephenal', 'Agrypnal', 'Amylofene', 'Barbenyl', 'Barbiphenyl', 'Barbipil', 'Barbivis', 'Barbonal', 'Barbophen', 'Bialminal', 'Cabronal', 'Calmetten', 'Calminal', 'Cardenal', 'Codibarbita', 'Coronaletta', 'Cratecil', 'Doscalun', 'Ensobarb', 'Ensodorm', 'Episedal', 'Epsylone', 'Eskabarb', 'Fenbital', 'Fenylettae', 'Gardepanyl', 'Glysoletten', 'Haplopan', 'Hennoletten', 'Hypnaletten', 'Hypnette', 'Hypnogen', 'Hypnolone', 'Hypnoltol', 'Liquital', 'Lixophen', 'Lubergal', 'Lubrokal', 'Lumesettes', 'Luphenil', 'Nirvonal', 'Parkotal', 'Pharmetten', 'Phenemalum', 'Phenobal', 'Phenobarbyl', 'Phenoluric', 'Phenolurio', 'Phenomet', 'Phenonyl', 'Phenoturic', 'Phenyletten', 'Phenyral', 'Polcominal', 'Promptonal', 'Sedizorin', 'Sedonettes', 'Solfoton', 'Sombutol', 'Somnolens', 'Somnoletten', 'Somnosan', 'Spasepilin', 'Starifen', 'Starilettae', 'Teolaxin', 'Barbita', 'Bardorm', 'Bartol', 'Chinoin', 'Duneryl', 'Epanal', 'Epidorm', 'Epilol', 'Etilfen', 'Euneryl', 'Fenemal', 'Fenosed', 'Haplos', 'Henotal', 'Leonal', 'Lepinal', 'Linasen', 'Lumesyn', 'Luramin', 'Molinal', 'Noptil', 'Sedabar', 'Sedicat', 'Sedlyn', 'Sedofen', 'Sedonal', 'Sevenal', 'Somonal', 'Lumen', 'Seda-Tablinen', 'Blu-phen', 'Nova-Pheno', 'Solu-Barb', 'Hypno-Tablinetten', 'Stental Extentabs', 'Phen-Bar', 'Phenobarb', 'Sedophen', 'Talpheno', 'Triabarb', 'Versomnal', '5-Ethyl-5-phenylbarbituric acid', 'PHOB', '5-Phenyl-5-ethylbarbituric acid', 'Tridezibarbitur', 'Triphenatol', 'Zadoletten', 'Barbinal', 'Barbiphen', 'Damoral', 'Dormina', 'Lefebar', 'Lephebar', 'Stental', 'Teoloxin', 'Theoloxin', 'Zadonal', 'SK-Phenobarbital', 'Phenobarbitalum', 'Phenobarbitonum', 'Thenobarbital', 'Austrominal', '5-ethyl-5-phenylpyrimidine-2,4,6(1H,3H,5H)-trione', '5-ethyl-5-phenyl-1,3-diazinane-2,4,6-trione', 'Dormital', 'Fenobarbitale [DCIT]', 'Elixir of phenobarbital', 'Phenobarbitalum [INN]', 'Phenylethylbarbitursaeure', 'Chardonna-2', 'Phenylaethylbarbitursaeure', '2,4,6(1H,3H,5H)-Pyrimidinetrione, 5-ethyl-5-phenyl-', 'Phenylethyl barbituric acid', '5-Ethyl-5-phenyl-2,4,6(1H,3H,5H)-pyrimidinetrione', 'Fenobarbital [INN-Spanish]', 'Phenyl-ethyl-barbituric acid', 'Phenobarbitalum [INN-Latin]', 'Barbituric acid, 5-ethyl-5-phenyl-', '5-Ethyl-5-phenyl-pyrimidine-2,4,6-trione', 'Barbilehae (barbilettae)', 'UNII-YQE403BP4D', 'component of Tedral', 'Levsin PB Drops and Tablets', 'Sedonal (sedative)', 'CCRIS 502', 'component of Slowten', 'CHEBI:8069', 'component of Antrocol', 'component of Hecadrol', 'Acido 5-fenil-5-etilbarbiturico [Italian]', 'component of Bronkotabs', 'HSDB 3157', '5-Ethyl-5-phenyl-2,4,6-(1H,3H,5H)pyrimidinetrione', 'component of Primatene P', 'CHEMBL40', 'EINECS 200-007-0', 'NSC 128143', 'component of Valpin 50-PB', 'YQE403BP4D', 'AI3-02726', 'DEA No. 2285', 'NSC-9848', 'NSC-128143', 'NCGC00159493-02', 'Fenobarbitale', 'DSSTox_CID_1122', 'DSSTox_RID_75953', 'DSSTox_GSID_21122', 'barbapil', 'barbellen', 'barbellon', 'barbilehae', 'phenylral', 'theominal', 'WLN: T6VMVMV FHJ F2 FR', 'Barbipenyl', 'Barbinol', 'Donphen', 'aephe nal', 'Fenemal recip', 'le phebar', 'fen osed', 'seda-tabl inen', 'Gustase-Plus', 'Phazyme-PB', 'Arco-Lase Plus', 'Pamine PB', 'stental exte ntabs', 'CAS-50-06-6', '11097-06-6', 'Luminal (TN)', 'phenobarbital (PB)', 'Phenobarbital, Monosodium Salt', 'Valprin 50-PB', 'Phenobarbital [USAN:INN:JAN]', 'Acido 5-fenil-5-etilbarbiturico', '5-Ethyl-5-phenyl-2,6(1H,3H,5H)-pyrimidinetrione', '2,6(1H,3H,5H)-Pyrimidinetrione, 5-ethyl-5-phenyl-', 'Phenobar', 'd ezibarbitur', 'Barbital-Pheno', 'PUBERTAL PHENOBARBITAL STUDY', 'Phenobarbital [USP:INN:BAN:JAN]', 'Tedral (Salt/Mix)', 'Primidone Impurity B', 'Kinesed (Salt/Mix)', 'Antrocol (Salt/Mix)', 'Donnatal (Salt/Mix)', 'Donnazyme (Salt/Mix)', 'Quadrinal (Salt/Mix)', 'Mephobarbital M (nor)', 'Barbidonna (Salt/Mix)', 'Bronkotabs (Salt/Mix)', 'PHENOBARBITAL CIV', 'Chardonna-2 (Salt/Mix)', 'Epitope ID:116048', 'BIDD:PXR0061', 'Oprea1_384816', 'SCHEMBL16583', '5-ethyl-5-phenyl-hexahydropyrimidine-2,4,6-trione', 'Methylphenobarbital, M(nor-)', 'MLS001240232', 'DivK1c_000987', 'GTPL2804', 'DTXSID5021122', 'SCHEMBL11114624', 'CTK4F9033', 'HMS503E15', 'KBio1_000987', 'NSC9848', 'Phenobarbital (JP17/USP/INN)', 'NINDS_000987', 'HMS2272G06', 'Tox21_111713', 'Tox21_200510', 'BBL028111', 'BDBM50021437', 'LS-135', 'NSC128143', 'STL367898', 'ZINC95588079', 'component of Primatene P (Salt/Mix)', 'Phenobarbital 0.1 mg/ml in Methanol', 'Phenobarbital 1.0 mg/ml in Methanol', 'AKOS000605404', 'AKOS015964976', 'Barbituric acid, 5-ethyl-5-phenyl-,', 'AB02704', 'API0003811', 'DB01174', 'MCULE-1782264021', 'component of Valpin 50-PB (Salt/Mix)', 'IDI1_000987', 'NSC-128143-', 'Levsin PB Drops and Tablets (Salt/Mix)', 'NCGC00159493-03', 'NCGC00159493-04', 'NCGC00258064-01', 'CC-33629', 'SMR000058986', 'DB-051722', 'NS00010275', 'C07434', 'D00506', 'Phenobarbital solution, 1.0 mg/mL in methanol', 'A827956', 'C-13571', 'Q407241', 'SR-01000313151', 'SR-01000313151-1', 'Phenobarbital, United States Pharmacopeia (USP) Reference Standard', 'Phenobarbital solution, 1 mg/mL in methanol, ampule of 1 mL, certified reference material', 'Calcium bis[5-(1-cyclohexen-1-yl)-5-ethylbarbiturate];barbexaclone;Barbexaclone;Phenobarbital;Phenobarbital sodium;phenobarbital sodium']</t>
  </si>
  <si>
    <t>Compound(4763)</t>
  </si>
  <si>
    <t>C12H12N2O3</t>
  </si>
  <si>
    <t>phenobucarb</t>
  </si>
  <si>
    <t>(2-butan-2-ylphenyl) N-methylcarbamate</t>
  </si>
  <si>
    <t>['Fenobucarb', '3766-81-2', 'BPMC', '2-sec-Butylphenyl N-methylcarbamate', 'Baycarb', 'Bassa', '2-sec-Butylphenyl methylcarbamate', 'Fenobcarb', 'Barizon', 'Carvil', 'Hopcin', 'Osbac', '2-(Sec-butyl)phenyl methylcarbamate', '2-(1-Methylpropyl)phenyl methylcarbamate', 'Bayer 41367C', 'Bayer 41637', 'Geocarb 50EC', 'Methylcarbamic acid o-sec-butylphenyl ester', 'Phenol, 2-(1-methylpropyl)-, methylcarbamate', 'Fenobucarb [BSI:ISO]', 'o-sec-Butylphenyl methylcarbamate', 'BAY 41637', 'Carbamic acid, methyl-, o-sec-butylphenyl ester', '(2-butan-2-ylphenyl) N-methylcarbamate', 'EINECS 223-188-8', 'BRN 2052332', '2-Butylphenyl methylcarbamate', 'AI3-27212', 'CHEBI:34304', '2-sek.Butylfenylester kyseliny methylkarbaminove', '2-sec-Butylphenyl-N-methylcarbamate', '2-(butan-2-yl)phenyl methylcarbamate', 'Phenol, 2-(1-methylpropyl)-, 1-(N-methylcarbamate)', '2-sek.Butylfenylester kyseliny methylkarbaminove [Czech]', 'baycarb (tm)', 'Fenobucarb solution', 'Fenobucarb (Baycarb)', 'SCHEMBL73674', 'CHEMBL226650', 'DTXSID4058077', 'CTK8E4127', 'DIRFUJHNVNOBMY-UHFFFAOYSA-', '2-sec-butyl-phenyl methylcarbamate', '2-sec butylphenyl N-methylcarbamate', 'KS-000010BM', '2-Sec-butylphenyl methylcarbamate #', '2-Sec. butylphenyl N-methylcarbamate', 'AKOS015960925', 'ACM3766812', 'Fenobucarb 10 microg/mL in Cyclohexane', 'CC-28384', 'LS-50077', 'AX8130229', 'DB-049163', 'FT-0603649', 'NS00009809', 'Fenobucarb, PESTANAL(R), analytical standard', 'C14425', '766F812', 'C-10461', 'Q3268119']</t>
  </si>
  <si>
    <t>Compound(19588)</t>
  </si>
  <si>
    <t>C12H17NO2</t>
  </si>
  <si>
    <t>fenbuconazole</t>
  </si>
  <si>
    <t>4-(4-chlorophenyl)-2-phenyl-2-(1,2,4-triazol-1-ylmethyl)butanenitrile</t>
  </si>
  <si>
    <t>['Fenbuconazole', '114369-43-6', 'Fenbuconazol', 'Fenethanil', 'Fenbuconazole [ISO]', '4-(4-chlorophenyl)-2-phenyl-2-(1,2,4-triazol-1-ylmethyl)butanenitrile', '119611-00-6', 'RH 7592', 'CHEBI:83920', 'alpha-(2-(4-Chlorophenyl)ethyl)-alpha-phenyl-1H-1,2,4-triazole-1-propanenitrile', '4-(4-Chlorophenyl)-2-phenyl-2-(1H-1,2,4-triazol-1-ylmethyl)butyronitrile', '(+-)-alpha-(2-(4-Chlorophenyl)ethyl)-alpha-phenyl-1H-1,2,4-triazole-1-propanenitrile', '1H-1,2,4-Triazole-1-propanenitrile, alpha-(2-(4-chlorophenyl)ethyl)-alpha-phenyl-', '1H-1,2,4-Triazole-1-propanenitrile, alpha-(2-(4-chlorophenyl)ethyl)-alpha-phenyl-, (+-)-', '2-((1H-1,2,4-Triazol-1-yl)methyl)-4-(4-chlorophenyl)-2-phenylbutanenitrile', '4-(4-chlorophenyl)-2-phenyl-2-(1H-1,2,4-triazol-1-ylmethyl)butanenitrile', '1H-1,2,4-Triazole-1-propanenitrile, alpha-[2-(4-chlorophenyl)ethyl]-alpha-phenyl-', 'ACMC-20mogr', 'EC 406-140-2', 'DSSTox_CID_12548', 'DSSTox_RID_78977', 'DSSTox_GSID_32548', 'SCHEMBL21792', 'CHEMBL1879687', 'DTXSID8032548', 'CTK0H9369', 'Fenbuconazol, analytical standard', 'Tox21_300795', 'AKOS015903734', '1H-1,2,4-Triazole-1-propanenitrile, .alpha.-[2-(4-chlorophenyl)ethyl]-.alpha.-phenyl-', 'NCGC00163760-01', 'NCGC00163760-02', 'NCGC00163760-03', 'NCGC00254699-01', 'Fenbuconazole 10 microg/mL in Cyclohexane', 'DB-041216', 'LS-156096', 'LS-156097', 'CAS-114369-43-6', 'FT-0626397', 'NS00000136', 'C18461', 'Fenbuconazol, PESTANAL(R), analytical standard', 'C-20228', 'J-003085', 'Q3068332', '4-(4-Chlorophenyl)-2-phenyl-2-((1H-1,2,4-triazol-1-yl)methyl)butanenitrile', 'alpha-(2-(4-chlorophenyl)ethyl)-alpha-phenyl-1H-1,2,4-triazole- 1propanenitrile', '4-(4-Chlorophenyl)-2-phenyl-2-[(1H-1,2,4-triazol-1-yl)methyl]butanenitrile;1H-1,2,4-Triazole-1-propanenitrile, ?-[2-(4-chlorophenyl)ethyl]-?-phenyl-;fenbuconazole', 'Pesticide6_Fenbuconazole_C19H17ClN4_4-(4-Chlorophenyl)-2-phenyl-2-(1H-1,2,4-triazol-1-ylmethyl)butanenitrile']</t>
  </si>
  <si>
    <t>Compound(86138)</t>
  </si>
  <si>
    <t>C19H17ClN4</t>
  </si>
  <si>
    <t>fenbendazole</t>
  </si>
  <si>
    <t>methyl N-(6-phenylsulfanyl-1H-benzimidazol-2-yl)carbamate</t>
  </si>
  <si>
    <t>['fenbendazole', '43210-67-9', 'Panacur', 'Fenbendazol', 'Phenbendasol', 'Fenbendazolum', 'Safe-Guard', 'Methyl 5-(phenylthio)-2-benzimidazolecarbamate', 'Safe-quard', 'Hoe 881v', '2-(Methoxycarbonylamino)-5-(phenylthio)benzimidazole', 'methyl [5-(phenylsulfanyl)-1H-benzimidazol-2-yl]carbamate', 'Fenbendazol [INN-Spanish]', 'Fenbendazolum [INN-Latin]', 'methyl N-(6-phenylsulfanyl-1H-benzimidazol-2-yl)carbamate', 'UNII-621BVT9M36', 'CCRIS 7309', 'Fenbendazole [USAN:BAN:INN]', 'Fenbendazole (Panacur)', 'EINECS 256-145-7', 'Fenbendazole (USP/INN)', 'Carbamic acid, [5-(phenylthio)-1H-benzimidazol-2-yl]-, methyl ester', 'HOE-881v', 'Methyl (5-(phenylthio)-1H-benzimidazol-2-yl)carbamate', 'CHEMBL37161', '5-(phenylthio)-2-benzimidazolecarbamic acid methyl ester', 'MLS000069723', '2-Benzimidazolecarbamic acid, 5-(phenylthio)-, methyl ester', 'C15H13N3O2S', 'CHEBI:77092', '[5-(Phenylthio)-1H-benzimidazol-2-yl]carbamic acid methyl ester', 'HOE 881', '621BVT9M36', 'Carbamic acid, (5-(phenylthio)-1H-benzimidazol-2-yl)-, methyl ester', 'N-[6-(phenylthio)-1H-benzimidazol-2-yl]carbamic acid methyl ester', 'methyl [5-(phenylthio)-1H-benzimidazol-2-yl]carbamate', 'NCGC00016855-01', 'SMR000058217', 'CAS-43210-67-9', 'Carbamic acid, N-[6-(phenylthio)-1H-benzimidazol-2-yl]-, methyl ester', 'DSSTox_CID_20672', 'DSSTox_RID_79532', 'DSSTox_GSID_40672', 'Methyl [5-(Phenylthio)benzimidazol-2-yl]carbamate', 'methyl 5-(phenylthio)-1H-benzo[d]imidazol-2-ylcarbamate', 'methyl N-(5-phenylsulfanyl-1H-benzimidazol-2-yl)carbamate', '[5-(Phenylthio)benzimidazol-2-yl]carbamic Acid Methyl Ester', 'Pancacur', 'Axilur', 'methyl (6-(phenylthio)-1H-benzo[d]imidazol-2-yl)carbamate', 'Worm-A-Rest', 'Prestwick_213', 'Fenbendazole [USAN:USP:INN:BAN]', 'Panacur (TN)', 'Spectrum_001254', 'Fenbendazole, &gt;=98%', 'Prestwick0_000210', 'Prestwick1_000210', 'Prestwick2_000210', 'Prestwick3_000210', 'Spectrum2_000040', 'Spectrum3_000911', 'Spectrum4_001010', 'Spectrum5_001359', 'cid_3334', 'Panacur [veterinary] (TN)', 'Oprea1_477843', 'BSPBio_000199', 'KBioGR_001479', 'KBioSS_001734', 'MLS006010049', 'DivK1c_000257', 'SCHEMBL166352', 'SPECTRUM1501016', 'SPBio_000139', 'SPBio_002120', 'BPBio1_000219', 'HOE-881Y', 'SCHEMBL8469702', 'DTXSID0040672', 'SCHEMBL20796999', 'BDBM31047', 'CTK6J2932', 'HMS500M19', 'KBio1_000257', 'KBio2_001734', 'KBio2_004302', 'KBio2_006870', 'KBio3_001882', 'NINDS_000257', 'HMS1568J21', 'HMS1921D03', 'HMS2090G12', 'HMS2092B11', 'HMS2095J21', 'HMS2234P14', 'HMS3371J16', 'HMS3656C04', 'HMS3712J21', 'Pharmakon1600-01501016', 'ZINC402911', 'BCP22258', 'HY-B0413', 'methyl N-[5-(phenylsulfanyl)-1H-1,3-benzodiazol-2-yl]carbamate', 'Tox21_110649', 'Tox21_301828', 'CCG-39631', 'MFCD00144301', 'NSC757824', 's2468', 'SBB058152', 'STK378581', 'AKOS005448335', 'AKOS024462438', 'Tox21_110649_1', 'AC-8717', 'CCG-220210', 'CS-2517', 'DB11410', 'KS-5042', 'MCULE-9731772039', 'NSC-757824', 'IDI1_000257', 'KS-00000G97', 'NCGC00016855-02', 'NCGC00016855-03', 'NCGC00016855-04', 'NCGC00016855-05', 'NCGC00016855-06', 'NCGC00016855-07', 'NCGC00016855-08', 'NCGC00016855-10', 'NCGC00016855-11', 'NCGC00022515-03', 'NCGC00022515-04', 'NCGC00022515-05', 'NCGC00255694-01', 'AK163194', 'I011', 'LS-32702', 'SC-17699', 'SMR004701217', 'ST011977', 'SBI-0051634.P002', 'AB0013422', 'AB00052199', 'F0812', 'FT-0630630', 'NS00010603', 'SW196522-3', 'C21876', 'D04140', 'J10252', 'AB00052199-13', 'AB00052199-14', 'AB00052199_15', 'AB00052199_16', 'Fenbendazole, VETRANAL(TM), analytical standard', '210F679', 'A826225', 'methyl 5-(phenyl-thio)-2-benzimidazole-carbamate', 'Methyl 5-phenylthio-1H-benzimidazol-2-ylcarbamate', 'Q908013', 'SR-01000000195', 'SR-05000001768', 'methoxy-N-(5-phenylthiobenzimidazol-2-yl)carboxamide', 'methoxy-N-(6-phenylthiobenzimidazol-2-yl)carboxamide', 'Q-201109', 'SR-01000000195-2', 'SR-05000001768-1', 'BRD-K51318897-001-04-7', 'BRD-K51318897-001-07-0', 'BRD-K56309460-001-03-0', 'Methyl 5-(phenylsulfanyl)-1H-benzimidazol-2-ylcarbamate #', 'Fenbendazole, European Pharmacopoeia (EP) Reference Standard', '(5-Phenylsulfanyl-1H-benzoimidazol-2-yl)-carbamic acid methyl ester', 'Fenbendazole, United States Pharmacopeia (USP) Reference Standard', 'Panacur; Phenbendasol; Safe-quard; Hoe 881v; Hoe881v; Hoe-881v', 'Fenbendazole, Pharmaceutical Secondary Standard; Certified Reference Material']</t>
  </si>
  <si>
    <t>Compound(3334)</t>
  </si>
  <si>
    <t>C15H13N3O2S</t>
  </si>
  <si>
    <t>fenbutatin oxide</t>
  </si>
  <si>
    <t>tris(2-methyl-2-phenylpropyl)-tris(2-methyl-2-phenylpropyl)stannyloxystannane</t>
  </si>
  <si>
    <t>['FENBUTATIN OXIDE', '13356-08-6', 'Vendex', 'Fenbutatin-oxide', 'Torque', 'Bendex', 'Hexakis', 'Osdaran', 'Fenbutatin-oxyde', 'Fenylbutatin oxide', 'Neostanox', '1,1,1,3,3,3-Hexakis(2-methyl-2-phenylpropyl)distannoxane', 'Bis(trineophyltin) oxide', 'Neostanox [ISO:PROP]', 'Fenbutatin oxide [BSI:ISO]', 'Hexakis(2-methyl-2-phenylpropyl)distannoxane', 'Fenylbutylstannium oxide', 'Caswell No. 481DD', 'Distannoxane, hexakis(2-methyl-2-phenylpropyl)-', 'Shell SD-14114', 'UNII-ZSV4C2L4E7', 'Bis(tris(2-methyl-2-phenylpropyl)tin)oxide', 'Bis(tris(2-methyl-2-phenylpropyl)tin) oxide', '2-(Methyl-2-phenylpropyl)distannoxane', 'Di(tri-(2,2-dimethyl-2-phenylethyl)tin)oxide', 'Fenbutatin-oxyde [ISO-French]', 'SD 14114', 'Fenylbutylstannium oxide [Czech]', 'HSDB 6632', 'Bis(tris(beta,beta-dimethylphenethyl)tin)oxide', 'EINECS 236-407-7', 'ENT 27738', 'Hexakis (2-methyl-2-phenylpropyl)-distannoxane', 'Hexakis(beta,beta-dimethylphenethyl)-distannoxane', 'EPA Pesticide Chemical Code 104601', 'BRN 4097400', 'ZSV4C2L4E7', 'AI3-27738', 'Bis[tris(2-methyl-2-phenylpropyl)tin]oxide', 'Hexakis(beta,beta-dimethylphenethyl)distannoxane', 'tris(2-methyl-2-phenylpropyl)-tris(2-methyl-2-phenylpropyl)stannyloxystannane', 'C60H78OSn2', 'Distannoxane, hexakis(beta,beta-dimethylphenethyl)-', 'Distannoxane, 1,1,1,3,3,3-hexakis(2-methyl-2-phenylpropyl)-', 'Bis[tris(2-methyl-2-phenylpropyl)tin] oxide', 'Hexaneophyldistannoxane', 'Fenbutatin oxide, BSI', 'Bis[tris-(2-methyl-2-phenylpropyl)tin] oxide', 'SCHEMBL55578', 'DTXSID7032391', 'CHEBI:39294', 'AKOS015903969', 'ZINC169747780', 'NCGC00166151-01', 'AC-12682', 'LS-63013', 'R451', 'DB-042189', 'hexakis(2-methyl-2-phenypropyl)distannoxane', 'HY-133004', 'CS-0109204', 'FT-0630402', 'NS00054660', 'Fenbutatin-oxide 10 microg/mL in Cyclohexane', 'Hexakis(2-methyl-2-phenylpropyl)-Distannoxane', 'C15435', 'J10134', '356F086', 'C-23602', 'Fenbutatin oxide, PESTANAL(R), analytical standard', 'J-006408', 'Q1404581', '1,1,1,3,3,3-Hexakis(2-methyl-2-phenylpropyl)-Distannoxane', 'tris(2-methyl-2-phenylpropyl)({[tris(2-methyl-2-phenylpropyl)stannyl]oxy})stannane', 'hexakis(2-methyl-2-phenypropyl)distannoxane;bis(tris(2-methyl-2-phenylpropyl)tin) oxide;fenbutatin oxide;Bis(tris(2-methyl-2-phenylpropyl)tin) oxide;Hexakis(2-methyl-2-phenylpropyl)distannoxane']</t>
  </si>
  <si>
    <t>Compound(16683004)</t>
  </si>
  <si>
    <t>C60H78OSn2</t>
  </si>
  <si>
    <t>phenacitin</t>
  </si>
  <si>
    <t>N-(4-ethoxyphenyl)acetamide</t>
  </si>
  <si>
    <t>['phenacetin', '62-44-2', 'Acetophenetidin', 'N-(4-Ethoxyphenyl)acetamide', 'Acetphenetidin', 'Acetophenetidine', 'Acetophenetin', 'Phenacetine', 'p-Acetophenetidide', "4'-Ethoxyacetanilide", 'Contradouleur', 'Achrocidin', 'Codempiral', 'Commotional', 'Contradol', 'Phenazetin', 'Acetamide, N-(4-ethoxyphenyl)-', '4-Ethoxyacetanilide', 'p-Acetophenetidine', 'Fenacetina', 'Fenidina', 'Pertonal', 'Phenacet', 'Phenacetinum', 'Phenacitin', 'Phenedina', 'Phenidin', 'Pyraphen', 'Fenina', 'Kalmin', 'p-Ethoxyacetanilide', 'Phenin', 'p-Acetophenetide', 'p-Acetphenetidin', 'Phenazetina', 'Tetracydin', 'Clistanol', 'Coriforte', 'Daprisal', 'Dasikon', 'Dolostop', 'Edrisal', 'Empiral', 'Emprazil', 'Epragen', 'Fortacyl', 'Gelonida', 'Gewodin', 'Helvagit', 'Hocophen', 'Melabon', 'Melaforte', 'Pamprin', 'Paramette', 'Paratodol', 'Phenodyne', 'Pyrroxate', 'Quadronal', 'Salgydal', 'Sanalgine', 'Seranex', 'Sinedal', 'Sinubid', 'Sinutab', 'Stellacyl', 'Synalogos', 'Treupel', 'Veganine', 'Anapac', 'Fenia', 'Malex', 'Tacol', 'Viden', 'Xaril', 'Acetylphenetidin', 'para-Phenacetin', 'Bromo seltzer', 'Kafa', 'Phenaphen plus', 'Robaxisal-ph', 'Aceto-4-phenetidine', 'Citra-fort', 'Super Anahist', 'Dasin ch', 'Emprazil-C', 'Acet-p-phenalide', 'Coryban-D', 'Paracetophenetidin', "Hjorton'S powder", 'Acet-p-phenetidin', 'Thephorin A-C', 'N-Acetyl-p-phenetidine', 'Buff-A-Comp', 'Para-acetphenetidin', '1-Acetamido-4-ethoxybenzene', 'Fiorinal', 'Sinutabs', 'Saridon', 'Aceto-para-phenalide', 'para-Acetophenetidide', 'Darvon compound', "Acetanilide, 4'-ethoxy-", 'Synalgos-dc', 'p-Phenetidine, N-acetyl-', 'Aceto-para-phenetidide', 'Fenacetin [Czech]', 'Rcra waste number U187', 'para-Acetophenetidine', 'Fenacetin', 'para-Ethoxyacetanilide', 'Fenacetina [INN-Spanish]', 'N-para-Ethoxyphenylacetamide', 'CCRIS 496', 'HSDB 3152', 'N-Acetyl-4-ethoxyaniline', 'N-Acetyl-para-phenetidine', 'Phenacetine [INN-French]', 'Phenacetinum [INN-Latin]', 'UNII-ER0CTH01H9', 'p-Ethoxyanilid kyseliny octove', 'p-Ethoxyanilid kyseliny octove [Czech]', 'BRN 1869238', 'Acetic acid amide, N-(4-ethoxyphenyl)-', '1-Acetyl-p-phenetidin', 'AI3-00783', 'Acetamide, N-(4-ethoxyphenol)-', 'NSC 7651', '4-(Acetylamino)phenetole', 'EINECS 200-533-0', 'RCRA waste no. U187', 'ER0CTH01H9', 'N-(4-ethoxyphenyl)ethanamide', 'N-(4-ethoxyphenyl)-acetamide', 'CHEBI:8050', 'N-[4-(ethyloxy)phenyl]acetamide', 'MFCD00009094', 'CAS-62-44-2', 'NCGC00016281-06', 'DSSTox_CID_1116', 'DSSTox_RID_75948', 'DSSTox_GSID_21116', 'Phenacetin [Analgesic mixtures containing phenacetin]', 'SMR000752916', 'Phenacetin [INN:JAN]', 'SR-01000787183', 'Acetophenidin', 'Terracydin', 'Phenacetin [USP:INN:JAN]', 'paracetophentidin', 'Acetylphenetidine', 'Zactirin compound', 'p-Acetophenetitide', 'acet-p-phenal ide', '4-Acetophenetidide', 'Prestwick_862', 'Phenacetin, 97%', '4-Ethoxy-acetanilid', 'N-acetylphenetylamine', '4-Ethoxy-acetanilide', 'ASA COMPOUND', 'Butigetic (Salt/Mix)', 'Spectrum_000782', 'Acetanilide, p-ethoxy-', 'Phenacetin (JAN/INN)', 'N-Acetyl-p-ethoxyaniline', 'Prestwick0_000533', 'Prestwick1_000533', 'Prestwick2_000533', 'Prestwick3_000533', 'Spectrum2_001940', 'Spectrum3_001404', 'Spectrum4_000515', 'Spectrum5_001902', 'p-Acetophenetidide (8CI)', 'N-Acetyl-4-ethoxyani line', 'WLN: 2OR DMV1', 'SCHEMBL23280', "4'-Ethoxyacetanilide, 97%", 'BSPBio_000545', 'BSPBio_003048', 'KBioGR_001089', 'KBioSS_001262', 'ZINC602', 'MLS001304971', 'MLS002153862', 'MLS002303055', '4-Ethoxy-1-acetylaminobenzene', 'ARONIS25011', 'CHEMBL16073', 'DivK1c_000580', 'P-A-C Compound (Salt/Mix)', 'SPECTRUM1500642', 'SPBio_001979', 'SPBio_002466', 'BPBio1_000601', 'GTPL7402', 'DTXSID1021116', 'SCHEMBL20476396', 'HMS501M22', 'KBio1_000580', 'KBio2_001262', 'KBio2_003830', 'KBio2_006398', 'KBio3_002268', 'NSC7651', 'Phenacetin;PHENACETIN;phenacetin', 'NINDS_000580', 'HMS1569L07', 'HMS1921M21', 'HMS2092E14', 'HMS2096L07', 'HMS2234P11', 'HMS3373I02', 'HMS3651N07', 'HMS3713L07', 'Pharmakon1600-01500642', 'BCP09084', 'HY-B0476', 'KS-00000W7P', 'KS-000046XI', 'NSC-7651', 'Phenacetin, &gt;=98.0% (HPLC)', 'Tox21_110347', 'Tox21_201926', 'Tox21_302895', 'BBL004038', 'BDBM50420191', 'CCG-39439', 'LS-269', 'NSC757401', 'STK011463', 'AKOS000370201', 'Phenacetin 1.0 mg/ml in Acetonitrile', 'Tox21_110347_1', 'ACN-048769', 'CS-2590', 'DB03783', 'MCULE-2069106916', 'NSC-757401', 'IDI1_000580', 'Acetamide, N-(4-ethoxyphenyl)- (9CI)', 'NCGC00016281-01', 'NCGC00016281-02', 'NCGC00016281-03', 'NCGC00016281-04', 'NCGC00016281-05', 'NCGC00016281-07', 'NCGC00016281-08', 'NCGC00016281-11', 'NCGC00091376-01', 'NCGC00091376-02', 'NCGC00091376-03', 'NCGC00091376-04', 'NCGC00091376-05', 'NCGC00256345-01', 'NCGC00259475-01', 'AC-28909', 'AK174284', 'S361', 'SC-18380', 'SBI-0051571.P002', 'DB-054164', 'Phenacetin, Vetec(TM) reagent grade, 98%', 'AB00052135', 'FT-0631277', 'FT-0673664', 'NS00006373', 'P1669', 'S2577', 'ST45053771', 'SW196989-3', 'T8098', 'A11906', 'BIM-0051571.0001', 'C07591', 'D00569', 'AB00052135_10', 'AB00052135_11', 'A833774', 'AE-848/04969036', 'Q419175', 'SR-01000787183-2', 'SR-01000787183-3', 'BRD-K38323065-001-05-8', 'BRD-K38323065-001-09-0', 'Phenacetin, United States Pharmacopeia (USP) Reference Standard', 'Phenacetin Melting Point Standard, United States Pharmacopeia (USP) Reference Standard', 'N4E', 'Phenacetin melting point standard, Pharmaceutical Secondary Standard; Certified Reference Material', 'Phenacetin solution, 1.0 mg/mL in acetonitrile, ampule of 1 mL, certified reference material']</t>
  </si>
  <si>
    <t>Compound(4754)</t>
  </si>
  <si>
    <t>fenofibric acid</t>
  </si>
  <si>
    <t>2-[4-(4-chlorobenzoyl)phenoxy]-2-methylpropanoic acid</t>
  </si>
  <si>
    <t>['Fenofibric acid', '42017-89-0', 'Procetofenic acid', '2-(4-(4-Chlorobenzoyl)phenoxy)-2-methylpropanoic acid', '2-[4-(4-chlorobenzoyl)phenoxy]-2-methylpropanoic acid', 'NSC 281318', 'Trilipix', 'alpha 1081', 'LF 178 acid', 'UNII-BGF9MN2HU1', 'LF 153', 'C17H15ClO4', 'CCRIS 7302', 'EINECS 255-626-9', 'BGF9MN2HU1', 'CHEMBL981', 'BRN 2058973', '2-[4-(4-Chlorobenzoyl)phenoxy]-2-methylpropionic Acid', 'CHEBI:83469', 'NSC-281318', 'ABT-335', 'AK117112', 'Propanoic acid, 2-(4-(4-chlorobenzoyl)phenoxy)-2-methyl-', '2-{4-[(4-chlorophenyl)carbonyl]phenoxy}-2-methylpropanoic acid', 'FNF Acid', 'W-106287', '2-(4-(4-Chlorobenzoyl)phenoxy)-2-methylpropionic acid', '2-[4-(4-Chloro-benzoyl)-phenoxy]-2-methyl-propionic acid (Fenofibric acid)', 'ABT 335', 'Propanoic acid, 2-[4-(4-chlorobenzoyl)phenoxy]-2-methyl-', 'Fenofibrinsaure', 'Acid fenofibric', 'feno-fibric acid', 'Fibricor (TN)', 'Fenofibrate free acid', 'FENOFIBRIC  ACID', 'SCHEMBL16377', 'Fenofibrate related compound b', 'GTPL2662', 'ZINC1984', 'DTXSID8041030', 'BDBM28700', 'BCP22437', 'HY-B0760', 'KS-00000MR0', 'Fenofibric acid, analytical standard', 'LF-153', 'NSC281318', 's4527', 'AKOS015889489', 'API0000561', 'API0025995', 'CCG-213311', 'CS-2965', 'DB13873', 'KS-1234', 'MCULE-1938576029', 'AC-22277', 'SC-15796', 'AB0011864', 'AX8069177', 'LS-121251', 'F1011', 'Fenofibric acid (metabolite of FENOFIBRATE)', 'FT-0600402', 'NS00000286', 'ST50998899', 'D11579', 'J10251', 'M-1210', 'AB01563028_01', '017F890', 'Q27077290', '2-[4-(4-Chlorobenzoyl)-phenoxy]-2-methylpropionic acid', "2-methyl-((4'-4-chlorobenxoly)-2-phenoxy)propionic acid", "2-methyl-((4'-p-chlorobenzoyl)-2-phenoxy)propionic acid", '2-[4-(4-Chlorobenzoyl)phenoxy]-2-methylpropionic acid, 95%', '2-[4-(4-Chlorobenzoyl)phenoxy]-2-methylpropanoic Acid (Fenofibric Acid)', 'Fenofibrate impurity B, European Pharmacopoeia (EP) Reference Standard', 'procetofenic acid;2-[4-(4-chlorobenzoyl)phenoxy]-2-methylpropionic acid', 'Fenofibrate Related Compound B, United States Pharmacopeia (USP) Reference Standard']</t>
  </si>
  <si>
    <t>Compound(64929)</t>
  </si>
  <si>
    <t>C17H15ClO4</t>
  </si>
  <si>
    <t>fenofibrate</t>
  </si>
  <si>
    <t>propan-2-yl 2-[4-(4-chlorobenzoyl)phenoxy]-2-methylpropanoate</t>
  </si>
  <si>
    <t>['fenofibrate', '49562-28-9', 'Procetofen', 'Lipantil', 'Lipanthyl', 'Tricor', 'Fenobrate', 'Lipidil', 'Secalip', 'Antara', 'Finofibrate', 'Lipoclar', 'Lipofene', 'Proctofene', 'Triglide', 'Fenogal', 'Lipirex', 'Sedufen', 'Elasterin', 'Fenoglide', 'Fenotard', 'Protolipan', 'Ankebin', 'Lipidex', 'Lipifen', 'Lipofen', 'Liposit', 'Lipsin', 'Nolipax', 'Elasterate', 'Procetofene', 'Luxacor', 'Fenofibratum [INN-Latin]', 'Fenofibrato [INN-Spanish]', 'Lipantil (TN)', 'Tricor (TN)', 'propan-2-yl 2-[4-(4-chlorobenzoyl)phenoxy]-2-methylpropanoate', 'LF-178', 'TRICOR (MICRONIZED)', 'Isopropyl 2-(4-(4-chlorobenzoyl)phenoxy)-2-methylpropanoate', 'FENOFIBRATE (MICRONIZED)', 'Isopropyl 2-(4-(4-chlorobenzoyl)phenoxy)-2-methylpropionate', 'C20H21ClO4', '2-(4-(4-Chlorobenzoyl)phenoxy)-2-methylpropanoic acid 1-methylethyl ester', 'NSC 281319', 'UNII-U202363UOS', 'CCRIS 7282', "Isopropyl (4'-(p-chlorobenzoyl)-2-phenoxy-2-methyl)propionate", 'FNF', 'EINECS 256-376-3', 'CHEMBL672', 'BRN 2062462', 'Propanoic acid, 2-[4-(4-chlorobenzoyl)phenoxy]-2-methyl-, 1-methylethyl ester', 'MLS000028515', 'CHEBI:5001', 'isopropyl 2-[4-(4-chlorobenzoyl)phenoxy]-2-methylpropanoate', 'Lofibra', 'U202363UOS', 'Propanoic acid, 2-(4-(4-chlorobenzoyl)phenoxy)-2-methyl-, 1-methylethyl ester', 'Fenofibrate, 98%', 'NSC-281319', 'NCGC00015437-10', 'Fenofibrato', 'Fenofibratum', 'Phenofibrate', 'Isopropyl 2-(p-(p-chlorobenzoyl)phenoxy)-2-methylpropionate', 'SMR000058299', 'Supralip', 'CAS-49562-28-9', 'DSSTox_CID_9874', 'Propanoic acid, 2-[4-(4-chlorobenzoyl)phenoxy]-2-methyl-, 1-methylethylester', 'DSSTox_RID_78828', 'DSSTox_GSID_29874', 'Antara (micronized)', 'Q-201111', 'Fenomax', 'Pharmavit', 'Fulcro', 'Fenofibrate [INN:BAN]', '2-[4-(4-Chlorobenzoyl)phenoxy]-2-methylpropanoic acid isopropyl ester', 'CIP-Fenofibrate', '2-[4-(4-Chlorobenzoyl)phenoxy]-2-methylpropanoic acid 1-methylethyl ester', 'LCP-FenoChol', 'LCP-Feno', 'Triglide (TN)', 'Fenofibrate IDD-P', 'Lipofen (TN)', 'Antara (TN)', 'SR-01000000091', 'LF 178', 'Isopropyl 2-[p-(p-chlorobenzoyl)phenoxy]-2-methylpropionate', 'Procetoken', 'Isopropyl 2-[4-(4-Chlorobenzoyl)phenoxy]-2-methylpropionate', 'fenofibrate;', 'methylethyl 2-{4-[(4-chlorophenyl)carbonyl]phenoxy}-2-methylpropanoate', 'HSDB 7736', 'Fenofibrate,(S)', 'GRS-027', 'Fenofibrate [USAN:USP:INN:BAN]', 'Prestwick_217', 'PubChem17489', 'Spectrum_001250', 'Opera_ID_328', 'Prestwick0_000275', 'Prestwick1_000275', 'Prestwick2_000275', 'Prestwick3_000275', 'Spectrum2_001390', 'Spectrum3_001431', 'Spectrum4_000413', 'Spectrum5_001479', 'Lopac-F-6020', 'EC 256-376-3', 'F 6020', 'SCHEMBL4670', 'Lopac0_000486', 'BSPBio_000150', 'BSPBio_003162', 'KBioGR_000706', 'KBioSS_001730', 'MLS001148191', 'MLS002548878', 'BIDD:GT0574', 'DivK1c_000557', 'Fenofibrate (JAN/USP/INN)', 'SPECTRUM1501010', 'SPBio_001380', 'SPBio_002369', 'Fenofibrate, &gt;=99%, powder', 'BPBio1_000166', 'Fenofibrate (Tricor, Trilipix)', 'GTPL7186', 'DTXSID2029874', 'CTK8B3039', 'HMS501L19', 'KBio1_000557', 'KBio2_001730', 'KBio2_004298', 'KBio2_006866', 'KBio3_002382', 'NINDS_000557', 'HMS1568H12', 'HMS1921B17', 'HMS2090G20', 'HMS2092B05', 'HMS2095H12', 'HMS2231B14', 'HMS3259K03', 'HMS3261B13', 'HMS3369M13', 'HMS3649D20', 'HMS3655K12', 'HMS3712H12', 'isopropyl 2-[4-(4-chlorobenzoyl)phenoxy]-2-methyl-propanoate', 'Pharmakon1600-01501010', 'ZINC584092', 'ALBB-028958', 'BCP21243', 'EBD45918', 'ZX-AN079771', 'Tox21_110147', 'Tox21_300151', 'Tox21_500486', 'ANW-41658', 'BDBM50085042', 'BG0483', 'CCG-38996', 'GP4850', 'MFCD00133314', 'NSC281319', 'NSC757822', 's1794', 'SBB037926', 'AKOS005107777', 'Tox21_110147_1', 'AB03716', 'AC-4227', 'API0003184', 'API0025994', 'API0026002', 'API0026009', 'CS-0892', 'DB01039', 'LP00486', 'MCULE-9460650238', 'MS-2223', 'NC00452', 'NSC-757822', 'SDCCGSBI-0050470.P004', 'IDI1_000557', 'NCGC00015437-01', 'NCGC00015437-02', 'NCGC00015437-03', 'NCGC00015437-04', 'NCGC00015437-05', 'NCGC00015437-06', 'NCGC00015437-07', 'NCGC00015437-08', 'NCGC00015437-09', 'NCGC00015437-11', 'NCGC00015437-12', 'NCGC00015437-13', 'NCGC00015437-14', 'NCGC00015437-16', 'NCGC00015437-17', 'NCGC00021475-03', 'NCGC00021475-04', 'NCGC00021475-05', 'NCGC00021475-06', 'NCGC00021475-07', 'NCGC00021475-08', 'NCGC00253945-01', 'NCGC00261171-01', 'AK-88651', 'CC-28385', 'FENOFIBRATE (MICRONIZED) (fenofibrate', 'Fenofibrate, analytical reference material', 'HY-17356', 'ST085313', 'SBI-0050470.P003', 'AB0012237', 'AX8021009', 'DB-051642', 'LS-121256', 'AB00052196', 'EU-0100486', 'F0674', 'FT-0626400', 'FT-0654669', 'NS00000285', 'SW196525-4', 'KS-00000655', 'C07586', 'D00565', 'J10318', 'K-9221', '28073-EP2272825A2', '28073-EP2272841A1', '28073-EP2277565A2', '28073-EP2277566A2', '28073-EP2277567A1', '28073-EP2277568A2', '28073-EP2277569A2', '28073-EP2277570A2', '28073-EP2287163A1', '28073-EP2287165A2', '28073-EP2287166A2', '28073-EP2292280A1', '28073-EP2292620A2', '28073-EP2295409A1', '28073-EP2298742A1', '28073-EP2298776A1', '28073-EP2301923A1', '28073-EP2301936A1', '28073-EP2305678A1', '28073-EP2314588A1', 'AB00052196-15', 'AB00052196-16', 'AB00052196_17', 'AB00052196_18', '562F289', 'A827746', 'C-20905', 'Q419724', 'SR-01000000091-2', 'SR-01000000091-5', 'SR-01000000091-6', 'SR-01000000091-8', 'BRD-K50388907-001-05-6', 'BRD-K50388907-001-18-9', 'BRD-K50388907-001-20-5', 'SR-01000000091-16', 'Z2768724415', 'Fenofibrate, European Pharmacopoeia (EP) Reference Standard', 'Isopropyl 2-(4-(4-chlorobenzoyl)-phenoxy)-2-methylpropanoate', '1-methylethyl 2-[4-(4-chlorobenzoyl)phenoxy]-2-methylpropanoate', '2-[4-(4-chlorobenzoyl)phenoxy]-2-methylpropanoicacidisopropylester', 'Fenofibrate, United States Pharmacopeia (USP) Reference Standard', "Isopropyl (4''-(p-chlorobenzoyl)-2-phenoxy-2-methyl)propionate", '2-[4-(4-chlorobenzoyl)phenoxy]-2-methyl-propanoic acid,1-methylethylester', '2-[4-(4-Chlorobenzoyl)phenoxy]-2-methylpropanoic acid 1-methyl-ethyl ester', '2-[4-(4-Chlorobenzoyl)phenoxy]-2-methylpropionic Acid Isopropyl Ester', 'Fenofibrate, Pharmaceutical Secondary Standard; Certified Reference Material', 'propan-2-yl 2-[4-(4-chlorophenyl)carbonylphenoxy]-2-methyl-propanoate', 'propan-2-yl 2-{4-[(4-chlorophenyl)carbonyl]phenoxy}-2-methylpropanoate', '2-[4-[(4-chlorophenyl)-oxomethyl]phenoxy]-2-methylpropanoic acid propan-2-yl ester']</t>
  </si>
  <si>
    <t>Compound(3339)</t>
  </si>
  <si>
    <t>C20H21ClO4</t>
  </si>
  <si>
    <t>2-methyl-N-phenylfuran-3-carboxamide</t>
  </si>
  <si>
    <t>['Fenfuram', 'Fenfurame', '24691-80-3', '2-Methyl-3-furanilide', 'Fenuram', 'Panoram', '2-Methylfuran-3-carboxanilide', '2-methyl-N-phenylfuran-3-carboxamide', 'Fenfuram [BSI:ISO]', 'Fenfurame [ISO-French]', 'UNII-5RCI1Z8OVH', '3-Furanilide, 2-methyl-', '2-Methyl-N-phenyl-3-furancarboxamide', '2-Methyl-2-furanilide', 'EINECS 246-421-5', '5RCI1Z8OVH', 'BRN 0153863', '3-Furancarboxamide, 2-methyl-N-phenyl-', 'WL 22361', 'Furamide, 2-methyl-N-phenyl-', 'CHEBI:81994', '2-methyl-furan-3-carboxanilide', 'Furanil', '2-Methyl-3-furanilide (8CI)', 'SCHEMBL18978', '4-18-00-04072 (Beilstein Handbook Reference)', 'CHEMBL1862959', 'DTXSID8058035', '(2-methyl(3-furyl))-N-benzamide', 'DNDI1729590', 'ZINC2169427', 'STK414546', 'AKOS003298259', 'MCULE-3624819589', 'NCGC00166190-01', 'LS-69974', 'Fenfuram, PESTANAL(R), analytical standard', 'NS00007278', 'ST50941566', 'C18833', '3-Furancarboxamide, 2-methyl-N-phenyl- (9CI)', 'Q3068357', 'W-110600']</t>
  </si>
  <si>
    <t>Compound(90590)</t>
  </si>
  <si>
    <t>fenhexamid</t>
  </si>
  <si>
    <t>N-(2,3-dichloro-4-hydroxyphenyl)-1-methylcyclohexane-1-carboxamide</t>
  </si>
  <si>
    <t>['Fenhexamid', '126833-17-8', 'N-(2,3-Dichloro-4-hydroxyphenyl)-1-methylcyclohexanecarboxamide', 'Elevate', 'Teldor', 'Fenhexamide', 'KBR 2738', 'Cyclohexanecarboxamide, N-(2,3-dichloro-4-hydroxyphenyl)-1-methyl-', 'Fenhexamid [ISO:BSI]', 'UNII-Q68C3C9P1U', 'HSDB 7273', 'N-(2,3-dichloro-4-hydroxyphenyl)-1-methylcyclohexane-1-carboxamide', 'Q68C3C9P1U', 'CHEBI:81853', 'N-(2,3-dichloro-4-hydroxy-phenyl)-1-methyl-cyclohexanecarboxamide', 'Q63395375', 'KBR-2738', 'DSSTox_CID_12549', 'DSSTox_RID_78978', 'DSSTox_GSID_32549', 'SCHEMBL23092', 'Teldor; Elevate;KBR 2738', 'CHEMBL1688541', 'DTXSID3032549', 'ZINC2384330', 'Tox21_301042', 'AKOS015903660', 'Fenhexamid 10 microg/mL in Cyclohexane', 'KS-000017Q3', 'NCGC00163791-01', 'NCGC00163791-02', 'NCGC00163791-03', 'NCGC00254944-01', 'LS-56568', 'AX8130220', 'CAS-126833-17-8', 'F0967', 'FT-0668488', 'NS00008208', 'Fenhexamid, PESTANAL(R), analytical standard', 'C18593', 'J-005440', "2',3'-dichloro-4'-hydroxy-1-methylcyclohexanecarboxanilide", 'N-(2,3-dichloro-4-hydroxyphenyl)-1-methylcyclohexanecarboxamide;fenhexamid']</t>
  </si>
  <si>
    <t>Compound(213031)</t>
  </si>
  <si>
    <t>C14H17Cl2NO2</t>
  </si>
  <si>
    <t>fenmedipham</t>
  </si>
  <si>
    <t>[3-(methoxycarbonylamino)phenyl] N-(3-methylphenyl)carbamate</t>
  </si>
  <si>
    <t>['Phenmedipham', '13684-63-4', '3-((Methoxycarbonyl)amino)phenyl m-tolylcarbamate', 'Fenmedifam', 'BETANAL', 'Phenmediphame', 'Kemifam', 'Spin-aid', 'Synbetan P', 'Schering 4072', 'Schering-38584', '[3-(methoxycarbonylamino)phenyl] N-(3-methylphenyl)carbamate', 'Caswell No. 648B', 'Morton EP 452', 'UNII-UJE31KXP78', 'Phenmediphame [ISO-French]', 'EP-452', 'SN 4075', 'CCRIS 6091', 'Phenmedipham [ANSI:BSI:ISO]', 'SN-38584', 'HSDB 1402', 'Methyl 3-(3-methylcarbaniloyloxy)carbanilate', 'Methyl 3-(m-tolylcarbamoyloxy)phenylcarbamate', '3-[(Methoxycarbonyl)amino]phenyl (3-methylphenyl)carbamate', 'EINECS 237-199-0', '3-(Carbomethoxyamino)phenyl 3-methylcarbanilate', 'EPA Pesticide Chemical Code 098701', 'BRN 2395027', 'UJE31KXP78', 'Carbamic acid, (3-methylphenyl)-, 3-[(methoxycarbonyl)amino]phenyl ester', "3-Methoxycarbonylaminophenyl N-3'-methylphenylcarbamate", 'Methyl-3-m-tolycarbamoloxyphenyl carbamate', 'm-Hydroxycarbanilic acid methyl ester m-methylcarbanilate', 'CHEMBL1079421', 'CHEBI:81734', 'Methyl-3-hydroxycarbanilate-3-methylcarbanilate', "3-Methoxycarbonyl-N-(3'-methylphenyl)-carbamat", 'Methyl m-hydroxycarbanilate, m-methylcarbanilate', 'S 4075', '3-(Methylphenyl)carbamic acid 3-((methoxycarbonyl)amino)phenyl ester', "3-Methoxycarbonylaminophenyl 3'-methylcarbanilate", '3-((Methoxycarbonyl)amino)phenyl (3-methylphenyl)carbamate', "3-Methoxycarbonyl-N-(3'-methylphenyl)-carbamat [German]", '3-[(Methoxycarbonyl)amino]phenyl N-(3-methylphenyl)carbamate', 'AK129706', 'Carbanilic acid, m-hydroxy-, methyl ester, m-methylcarbanilate', 'Methyl N-(3-(N-(3-methylphenyl)carbamoyloxy)phenyl)carbamate', 'Carbanilic acid, m-hydroxy, methyl ester, m-methylcarbanilate (ester)', 'Carbanilic acid, m-hydroxy-, methyl ester, m-methylcarbanilate (ester)', 'DSSTox_CID_4255', 'Carbamic acid, (3-methylphenyl)-, 3-((methoxycarbonyl)amino)phenyl ester', 'DSSTox_RID_77343', 'DSSTox_GSID_24255', '3-((Methoxycarbonyl)amino)phenyl N-(3-methylphenyl)carbamate (Phenmedipham)', 'CAS-13684-63-4', 'Beetomax', 'Betosip', 'Alegro', 'Beetup', 'Fender', 'Methyl N-[3-[N-(3-methylphenyl)carbamoyloxy]phenyl]carbamate', 'Gusto', 'Tripart beta', 'Betanal E', 'Protrum K', 'Kemifam FL', 'Betamix (Salt/Mix)', 'Medipham (Salt/Mix)', 'Synbetan mix (Salt/Mix)', 'Betanal compact (Salt/Mix)', 'SCHEMBL54580', 'DTXSID1024255', 'CTK8G8751', 'KS-00000GWH', 'Methyl m-hydroxycarbanilate m-methylcarbanilate (ester) (8CI)', 'ZINC390960', 'HY-B2032', 'Tox21_201295', 'Tox21_303044', 'BDBM50311785', 'Ethofumesate-phenmedipham (Salt/Mix)', 'LS-799', 'AKOS015895890', 'DS-2923', 'MCULE-2867831626', 'MP-1928', 'NCGC00090870-01', 'NCGC00090870-02', 'NCGC00257194-01', 'NCGC00258847-01', 'CC-33628', 'O438', 'SN 38584', 'ST094978', 'AX8147450', 'DB-042361', 'CS-0014127', 'FT-0630409', 'NS00001690', 'Methyl m-hydroxycarbanilate m-methylcarbanilate', 'C18420', "3-methoxycarbonyl-N-(3'-methylphenyl)-carbamate", 'Phenmedipham, PESTANAL(R), analytical standard', '684P634', 'A807149', 'C-18755', '3-(methoxyformamido)phenyl (3-methylphenyl)carbamate', 'J-006924', 'Q2085502', "3-methoxycarbonylaminophenyl N-3'methylphenylcarbamate", 'Methyl m-hydroxycarbanilate m-methylcarbanilate (ester)', '[3-(methoxycarbonylamino)phenoxy]-N-(3-methylphenyl)carboxamide', "Phenmedipham (3-Methoxycarbonylaminophenyl-N-3'-methylphenyl", 'N-[3-[(3-methylanilino)-oxomethoxy]phenyl]carbamic acid methyl ester', '3-((METHOXYCARBONYL)AMINO) PHENYL N-(3-METHYLPHENYL) CARBAMATE (PHENMEDIPHAM)', 'Carbamic acid, (3-methylphenyl)-, 3-((methoxycarbonyl)amino)phenyl ester (9CI)']</t>
  </si>
  <si>
    <t>Compound(24744)</t>
  </si>
  <si>
    <t>fenamidone</t>
  </si>
  <si>
    <t>(5S)-3-anilino-5-methyl-2-methylsulfanyl-5-phenylimidazol-4-one</t>
  </si>
  <si>
    <t>['Fenamidone', '161326-34-7', 'Fenamidone [ISO]', 'Consento', 'UNII-DN24MG2Z5E', 'DN24MG2Z5E', '(S)-1-anilino-4-methyl-2-methylthio-4-phenylimidazolin-5-one', 'CHEBI:83258', '(5S)-3,5-dihydro-5-methyl-2-(methylthio)-5-phenyl-3-(phenylamino)-4H-imidazol-4-one', '1-Anilino-4-methyl-2-methylthio-4-phenylimidazolin-5-one', '(S)-4-Methyl-2-(methylthio)-4-phenyl-1-(phenylamino)-1H-imidazol-5(4H)-one', '(5S)-3-anilino-5-methyl-2-(methylsulfanyl)-5-phenyl-3,5-dihydro-4H-imidazol-4-one', '4H-Imidazol-4-one, 3,5-dihydro-5-methyl-2-(methylthio)-5-phenyl-3-(phenylamino)-, (5S)-', 'DSSTox_CID_14590', 'DSSTox_RID_79173', 'DSSTox_GSID_34590', 'SCHEMBL22306', '(5S)-3-anilino-5-methyl-2-methylsulfanyl-5-phenylimidazol-4-one', 'CHEMBL1232792', 'DTXSID2034590', '(S)-5-methyl-2-methylthio-5-phenyl-3-phenylamino-3,5-dihydroimidazol-4-one;4H-Imidazol-4-one, 3,5-dihydro-5-methyl-2-(methylthio)-5-phenyl-3-(phenylamino)-, (5S)-', 'Tox21_301093', 'ZINC13827994', 'Fenamidone 10 microg/mL in Acetonitrile', 'Fenamidone 100 microg/mL in Cyclohexane', 'NCGC00164263-01', 'NCGC00164263-02', 'NCGC00164263-03', 'NCGC00254993-01', 'LS-79967', 'CAS-161326-34-7', 'Fenamidone, PESTANAL(R), analytical standard', 'J-009814', 'Q5442966', '(+)-(4S)-4-methyl-2-methylthio-4-phenyl-1-phenylamino-2-imidazolin-5-one', '(+)-(4S)-4-methyl-2-methylthio-4-phenyl-1-phenylamino-2-imidazolin-5one', '(5S)-3-anilino-5-methyl-2-(methylthio)-5-phenyl-2-imidazolin-4-one', '(5S)-3-anilino-5-methyl-2-(methylthio)-5-phenyl-3,5-dihydro-4H-imidazol-4-one', '(5S)-5-methyl-2-(methylsulfanyl)-5-phenyl-3-(phenylamino)-3,5-dihydro-4H-imidazol-4-o']</t>
  </si>
  <si>
    <t>Compound(10403199)</t>
  </si>
  <si>
    <t>C17H17N3OS</t>
  </si>
  <si>
    <t>phenaminosulf</t>
  </si>
  <si>
    <t>sodium;N-[4-(dimethylamino)phenyl]iminosulfamate</t>
  </si>
  <si>
    <t>['Fenaminosulf', '140-56-7', 'DEXON', 'Phenaminosulf', 'Deksonal', 'Dexoxon', 'Diazoben', 'Lesan', 'Formulated fenaminosulf', 'Gold Orange MP', 'Sodium fenaminosulf', 'Dexon (pesticide)', 'DAPA (pesticide)', 'Dexon 70', 'Caswell No. 359B', 'Fenaminosulf, formulated', 'Bayer 5072', 'Fenaminosulf [BSI:ISO]', 'Bayer 22555', 'Phenaminosulf [ISO-French]', 'UNII-2VX11X81VX', 'CCRIS 309', 'HSDB 295', 'NCI-C03010', 'BAY 5072', 'EINECS 205-419-4', 'BAY 22555', 'p-(Dimethylamino)benzenediazosulfonate', 'p-(Dimethylamino)benzenediazosulphonate', 'EPA Pesticide Chemical Code 034201', 'p-Dimethylaminobenzenediazosulfonic acid, sodium salt', 'p-Dimethylaminobenzenediazosodium sulphonate', 'AI3-16841', 'p-Dimethylaminobenzenediazo sodium sulfonate', '2VX11X81VX', 'p-Dimethylaminobenzene diazo sodium sulfonate', 'Sodium p-(dimethylamino)benzenediazosulfonate', 'Sodium 4-(dimethylamino)benzenediazosulfonate', 'CHEBI:82078', 'Sodium 4-(dimethylamino)benzenediazosulphonate', 'Sodium p-(dimethylamino)benzenediazosulphonate', 'para-Dimethylaminoazobenzenediazo sodium sulfonate', 'Sodium (4-(dimethylamino)phenyl)diazenesulfonate', '4-Dimethylaminobenzenediazosulfonic acid sodium salt', '4-Dimethylaminobenzenediazosulfonic acid, sodium salt', '4-Dimethylaminophenyl diazene sulfonate, sodium salt', 'N,N-Dimethyl-p-anilinediazosulfonic acid sodium salt', '4-Dimethylaminobenzenediazosulphonic acid, sodium salt', 'p-(Dimethylamino)-phenyldiazo-natriumsulfonat [German]', 'p-(Dimethylamino)benzenediazosulphonic acid, sodium salt', 'p-Dimethylaminobenzoldiazosulfonat (natriumsalz) [German]', '(4-(Dimethylamino)phenyl)diazenesulfonic acid, sodium salt', '4-((Dimethylamino)phenyl)diazenesulphonic acid, sodium salt', 'Sodium 4-dimethylaminophenyldiazosulfonate', 'p-Dimethylaminoazobenzenediazo sodium sulphonate', 'sodium (E)-[4-(dimethylamino)phenyl]diazenesulfonate', 'Benzenediazosulfonic acid, p-(dimethylamino)-, sodium salt', 'Diazenesulfonic acid, (4-(dimethylamino)phenyl)-, sodium salt', 'Diazenesulfonic acid, [4-(dimethylamino)phenyl]-, sodium salt', 'NCGC00091080-03', 'gold orange hp', 'Bravo D', 'Formulated fenaminosul f', 'Fenaminosulf, &gt;=98%', 'DSSTox_CID_619', 'p-(Dimethylamino)-phenyldiazo-natriumsulfonat', 'Dexon, analytical standard', 'p-Dimethylaminobenzoldiazosulfonat (natriumsalz)', 'sodium N-[4-(dimethylamino)phenyl]iminosulfamate', 'DSSTox_RID_79487', 'DSSTox_GSID_40371', 'SCHEMBL20450', 'bay 72555', 'CHEMBL1526736', 'CHEMBL2359592', 'DTXSID6040371', 'CTK8F9097', 'Tox21_400002', 'LS-819', 'MFCD11853122', 'AKOS015888306', 'NCGC00091080-01', 'NCGC00091080-02', 'CAS-140-56-7', 'Sodium 4-Dimethylaminobenzenediazosulfonate', 'DB-042520', 'D1394', 'para-Dimethylaminobenzenediazosodium sulfonate', '[4-(dimethylamino)phenyl]diazenesulfonic acid', 'C18937', 'Fenaminosulf, PESTANAL(R), analytical standard', 'SODIUM P-DIMETHYLAMINOBENZENEDIAZOSULFONATE', '4-Dimethylaminophenyldiazosulfonic Acid Sodium Salt', 'A807662', 'sodium (4-(dimethylamino)phenyl)diazenesulfona te', 'J-007402', '(E)-[4-(Dimethylamino)phenyl]diazenesulfonate (Na+)', 'Q22807545', 'sodium;(NE)-N-[4-(dimethylamino)phenyl]iminosulfamate', 'sodium (E)-2-(4-(dimethylamino)phenyl)diazenesulfonate']</t>
  </si>
  <si>
    <t>Compound(23668198)</t>
  </si>
  <si>
    <t>C8H10N3NaO3S</t>
  </si>
  <si>
    <t>(2R)-2-[4-[(6-chloro-1,3-benzoxazol-2-yl)oxy]phenoxy]propanoic acid</t>
  </si>
  <si>
    <t>['Fenoxaprop-P', '113158-40-0', 'UNII-9U4W2QEC5Q', '9U4W2QEC5Q', 'Fenoxaprop-P [ISO]', 'Fenoxaprop-P (R-enantiomer)', 'Fenoxaprop P', '(R)-2-(4-((6-Chloro-2-benzoxazolyl)oxy)phenoxy)propanoic acid', 'Propanoic acid, 2-(4-((6-chloro-2-benzoxazolyl)oxy)phenoxy)-, (R)-', '(2R)-2-[4-[(6-chloro-1,3-benzoxazol-2-yl)oxy]phenoxy]propanoic acid', 'SCHEMBL118085', 'CHEMBL2251589', 'AE F088406, active metabolite', 'ZINC2243719', '(R)-2-[4-(6-CHLORO-1,3-BENZOXAZOL-2-YLOXY)PHENOXY]PROPIONIC ACID', 'AKOS015903688', 'Fenoxaprop-P 10 microg/mL in Acetonitrile', 'Fenoxaprop-P, PESTANAL(R), analytical standard', '158F400', 'J-002902', 'Q27273227', 'UNII-ZMB74WE9LB component MPPOHAUSNPTFAJ-SECBINFHSA-N', '(R)-2-(4-(6-chlorobenzo[d]oxazol-2-yloxy)phenoxy)propanoic acid']</t>
  </si>
  <si>
    <t>Compound(11949285)</t>
  </si>
  <si>
    <t>C16H12ClNO5</t>
  </si>
  <si>
    <t>4-(2,3-dichlorophenyl)-1H-pyrrole-3-carbonitrile</t>
  </si>
  <si>
    <t>['Fenpiclonil', '74738-17-3', 'Beret', '3-(2,3-Dichlorophenyl)-4-cyanopyrrole', '4-(2,3-dichlorophenyl)-1H-pyrrole-3-carbonitrile', 'Fenpiclonil [ISO]', 'Fenpicionil', 'UNII-21OCB8KDQ9', 'CGA 142705', '4-Cyano-3-(2,3-dichlorophenyl)pyrrole', 'BRN 5433281', '21OCB8KDQ9', '1H-Pyrrole-3-carbonitrile, 4-(2,3-dichlorophenyl)-', 'CHEBI:34759', '4-(2,3-Dichlorophenyl)pyrrole-3-carbonitrile', '3-(2,3-dichlorophenyl)-4-cyano-pyrrole', 'SCHEMBL22130', 'CHEMBL1770195', 'DTXSID0036633', 'ZINC2516895', 'AKOS015902859', '3-cyano-4-(2,3-dichlorophenyl)pyrrole', '4-(2,3-dichlorophenyl)-3-cyanopyrrole', 'CC-28397', 'DB-055905', 'LS-136640', 'FT-0630838', 'NS00000139', 'C14268', 'Fenpiclonil, PESTANAL(R), analytical standard', 'C-14069', 'Q3068402', 'Fenpicionil;1H-Pyrrole-3-carbonitrile, 4-(2,3-dichlorophenyl)-;fenpicionil']</t>
  </si>
  <si>
    <t>Compound(91724)</t>
  </si>
  <si>
    <t>C11H6Cl2N2</t>
  </si>
  <si>
    <t>2-(3-phenoxyphenyl)propanoic acid</t>
  </si>
  <si>
    <t>['fenoprofen', '2-(3-Phenoxyphenyl)propanoic acid', '29679-58-1', '31879-05-7', 'Fenoprofenum', 'Nalfon', 'Fenoprofene', 'Fenoprofeno', '2-(3-Phenoxyphenyl)propionic acid', 'Fenoprofen calcium', '(+-)-m-Phenoxyhydratropic acid', 'alpha-Methyl-3-phenoxybenzeneacetic acid', 'Fenoprofene [INN-French]', 'Fenoprofenum [INN-Latin]', 'Fenoprofeno [INN-Spanish]', '(+-)-2-(3-Phenoxyphenyl)propionic acid', '(+/-)-Fenoprofen', 'alpha-(m-phenoxyphenyl)propionic acid', '2-(m-phenoxyphenyl)propionic acid', 'CHEBI:5004', 'Fenoprofen calcium hydrate', 'HSDB 3328', 'EINECS 250-850-3', 'BRN 2118687', 'CHEMBL1297', 'Benzeneacetic acid, alpha-methyl-3-phenoxy-, (+-)-', 'Fenoprofen calcium salt dihydrate', 'Benzeneacetic acid, alpha-methyl-3-phenoxy-', 'Benzeneacetic acid, .alpha.-methyl-3-phenoxy-, (.+/-.)-', 'Lilly 53838', 'Fenoprofen [USAN:BAN:INN]', 'Feneprofen calcium salt dihydrate', 'Fenoprofen Dihydrate, Calcium Salt', '3-Phenoxyhydratropic acid', 'Fenoprofen (USAN/INN)', 'Lilly 53858', 'UNM-0000306101', 'FenoprofenCa', 'Fenoprofen [USAN:INN:BAN]', 'EINECS 249-770-1', '2-[3-(phenyloxy)phenyl]propanoic acid', 'Hydratropic acid, m-phenoxy-, (+-)-', 'Spectrum_001252', '53746-45-5', '71720-56-4', 'Prestwick0_000754', 'Prestwick1_000754', 'Prestwick2_000754', 'Prestwick3_000754', 'Spectrum2_001391', 'Spectrum3_000910', 'Spectrum4_001009', 'Spectrum5_001311', 'Lilly-53858', '3-phenoxy-hydratropic acid', 'Epitope ID:139975', 'SCHEMBL3797', 'BSPBio_000768', 'KBioGR_001477', 'KBioSS_001732', 'DivK1c_000848', 'SPECTRUM1501011', 'SPBio_001402', 'SPBio_002707', 'BPBio1_000846', 'GTPL4820', 'DTXSID9023045', 'BDBM54705', 'CTK4G3649', 'HMS502K10', 'KBio1_000848', 'KBio2_001732', 'KBio2_004300', 'KBio2_006868', 'KBio3_001860', '(+/-)-m-phenoxyhydratropic acid', 'cid_16219353', 'NINDS_000848', 'HMS1921B19', 'HMS2090G18', 'HMS2092B07', 'Pharmakon1600-01501011', '2-(3-phenoxyphenyl)-propionic acid', '(.+/-.)-m-Phenoxyhydratropic acid', 'BBL100921', 'CCG-39009', 'NSC757813', 'STL554715', '2-(3-Phenoxy-phenyl)-propionic acid', '2-(3-Phenoxyphenyl)propanoic acid #', 'AKOS005256238', 'alpha-(m-phenoxyphenyl)-propionic acid', 'DL-2-(3-phenoxyphenyl)propionic acid', 'DB00573', 'MCULE-2686503876', 'NSC-757813', 'IDI1_000848', 'NCGC00094887-01', 'NCGC00094887-02', 'NCGC00094887-03', 'AK116448', 'AS-30559', 'LS-76362', 'Benzeneacetic acid, |A-methyl-3-phenoxy-', 'SBI-0051632.P002', '(+/-)-2-(3-Phenoxyphenyl)propionic acid', 'AB0065019', 'DS-017185', 'Hydratropic acid, m-phenoxy-, (.+/-.)-', 'AB00052197', 'Z4588', 'C06997', 'D02350', 'M-8808', 'AB00052197-04', 'AB00052197_05', 'AB00052197_06', 'Benzeneacetic acid, a-methyl-3-phenoxy-, (as)-', '879F057', 'calcium;2-(3-phenoxyphenyl)propanoic acid;hydrate', 'calcium;2-(3-phenoxyphenyl)propionic acid;hydrate', 'SR-05000001767', 'J-018559', 'Q2555245', 'SR-05000001767-1', 'Di-benzeneacetate, .alpha.-methyl-3-phenoxy-, calcium salt, dihydrate', '2-(3-phenoxyphenyl)propionic acid;fenoprofen;Fenoprofen Calcium;Fenoprofen calcium salt dihydrate']</t>
  </si>
  <si>
    <t>Compound(3342)</t>
  </si>
  <si>
    <t>C15H14O3</t>
  </si>
  <si>
    <t>1-[3-(4-tert-butylphenyl)-2-methylpropyl]piperidine</t>
  </si>
  <si>
    <t>['Fenpropidin', 'Fenpropidine', 'Patrol', '67306-00-7', '1-[3-(4-tert-butylphenyl)-2-methylpropyl]piperidine', 'Fenpropidin [BSI:ISO]', 'Fenpropidine [ISO-French]', '1-(3-(4-tert-Butylphenyl)-2-methylpropyl)piperidine', '1-(3-(4-(1,1-Dimethylethyl)phenyl)-2-methylpropyl)piperidine', 'CGA 114900', 'BRN 1245248', 'Ro 12-3049', 'CHEBI:83291', 'Piperidine, 1-(3-(4-(1,1-dimethylethyl)phenyl)-2-methylpropyl)-', 'Piperidine, 1-[3-[4-(1,1-dimethylethyl)phenyl]-2-methylpropyl]-', 'SCHEMBL21278', '5-20-02-00071 (Beilstein Handbook Reference)', 'CHEMBL1889041', 'DTXSID9058157', '(RS)-1-[3-(4-tert-butylphenyl)-2-methylpropyl]piperidine', 'DB12728', 'Fenpropidin 10 microg/mL in Cyclohexane', 'NCGC00166202-01', 'Ro-12-3049', 'Fenpropidin 100 microg/mL in Cyclohexane', 'LS-115107', 'NS00000452', 'NS00098807', 'C18726', 'Fenpropidin, PESTANAL(R), analytical standard', 'Q64825', '1-[3-(p-tert.butyl-phenyl)-2-methyl-propyl]-piperidine', '1-[3-(p-tert.-butyl-phenyl)-2-methyl-propyl]-piperidine', "N-(3'-(p-tertiary butylphenyl)-2'-methylpropyl)-piperidine", '1-{2-Methyl-3-[4-(2-methyl-2-propanyl)phenyl]propyl}piperidine', 'fenpropidine;(R,S)-1-[3-(4-tert-butylphenyl)-2-methylpropyl]-piperidine']</t>
  </si>
  <si>
    <t>Compound(91694)</t>
  </si>
  <si>
    <t>C19H31N</t>
  </si>
  <si>
    <t>fenpropimorph</t>
  </si>
  <si>
    <t>(2S,6R)-4-[3-(4-tert-butylphenyl)-2-methylpropyl]-2,6-dimethylmorpholine</t>
  </si>
  <si>
    <t>['Fenpropimorph', 'cis-Fenpropimorph', 'Fenpropimorphe', '67564-91-4', 'Fenpropimorph cis-form', 'Forbel 750', '(2R,6S)-Fenpropimorph', 'Fenpropimorph [BSI:ISO]', 'Fenpropimorphe [ISO-French]', 'Mistral', 'Corbel', 'BAS 42100F', 'EINECS 266-719-9', '(2R,6S)-4-[3-(4-tert-butylphenyl)-2-methylpropyl]-2,6-dimethylmorpholine', 'Mildofix', 'Funbas', '(+-)-cis-4-(3-(4-tert-Butylphenyl)-2-methylpropyl)-2,6-dimethylmorpholine', 'cis-2,6-Dimethyl-4-(3-(4-(1,1-dimethylethyl)phenyl)-2-methylpropyl)morpholine', 'CHEMBL372700', 'Mistral T', 'cis-4-(3-(p-tert-Butylphenyl)-2-methylpropyl)-2,6-dimethylmorpholine', 'LAB 108 406', 'cis-4-[3-(p-tert-butylphenyl)-2-methylpropyl]-2,6-dimethylmorpholine', 'Ro 14-3169/000', 'cis-4-(3-(4-(1,1-dimethylethyl)phenyl)-2-methylpropyl)-2,6-dimethylmorpholine', 'BAS 421F', 'Morpholine, 2,6-dimethyl-4-(3-(4-(1,1-dimethylethyl)phenyl)-2-methylpropyl)-, cis-', 'Fenpropimorph [ISO]', 'DSSTox_CID_14601', 'DSSTox_RID_79175', 'DSSTox_GSID_34601', 'SCHEMBL22362', 'DTXSID4034601', 'UNII-4548UM725F', 'CTK5E3024', 'Fenpropimorph (Ro 14-3169)', 'CHEBI:143732', 'EINECS 266-639-4', 'Tox21_301571', 'BDBM50170654', '(2S,6R)-4-[3-(4-tert-butylphenyl)-2-methylpropyl]-2,6-dimethylmorpholine', '4548UM725F', 'cis-4-(3-(4-(1,1-Dimethylethyl)phenyl)-2-methylpropyl)-2,6-dimethylmorpholine (9CI)', 'NCGC00255608-01', 'LS-92754', 'LS-92759', 'CAS-67564-91-4', 'Fenpropimorph 10 microg/mL in Acetonitrile', 'Fenpropimorph 100 microg/mL in Cyclohexane', 'LS-192084', 'C18787', 'Q2368524', 'cis-4-(3-(p-t-butylphenyl)-2-methylpropyl)-2,6-dimethyl-morpholin', "N-(3'-p-tertiary butylphenyl-2'-methyl-propyl)-cis-2,6-dimethylmorpholine", '(2beta,6beta)-4-[3-[4-(1,1-Dimethylethyl)phenyl]-2-methylpropyl]-2,6-dimethylmorpholine', '(2R,6S)-2,6-Dimethyl-4-{2-methyl-3-[4-(2-methyl-2-propanyl)phenyl]propyl}morpholine', '(2S,6R)-2,6-DIMETHYL-4-[2-METHYL-3-(4-TERT-BUTYLPHENYL)PROPYL]MORPHOLI NE', '(RS)-cis-4-[3-(4-tert-butylphenyl)-2-methylpropyl]-2,6-dimethyl-morpholine', '(2R,6S)-Fenpropimorph;cis-4-[3-(p-tert-butylphenyl)-2-methylpropyl]-2,6-dimethylmorpholine;cis-4-[3-(p-tert-Butylphenyl)-2-methylpropyl]-2,6-', '76492-89-2']</t>
  </si>
  <si>
    <t>Compound(93365)</t>
  </si>
  <si>
    <t>C20H33NO</t>
  </si>
  <si>
    <t>S-prop-2-enyl 5-amino-4-(2-methylphenyl)-3-oxo-2-propan-2-ylpyrazole-1-carbothioate</t>
  </si>
  <si>
    <t>['Fenpyrazamine', 'UNII-2N3SPH9RQG', '473798-59-3', '2N3SPH9RQG', 'S-allyl 5-amino-2,3-dihydro-2-isopropyl-3-oxo-4-(o-tolyl)pyrazole-1-carbothioate', 'S-2-propen-1-yl 5-amino-2,3-dihydro-2-(1-methylethyl)-4-(2-methylphenyl)-3-oxo-1H-pyrazole-1-carbothioate', 'Fenpyrazamine [ISO]', 'Fenpyrazamin', 'Botrycide', 'SCHEMBL68482', 'DTXSID2074742', 'CHEBI:83327', 'AKOS016011990', 'S-prop-2-enyl 5-amino-4-(2-methylphenyl)-3-oxo-2-propan-2-ylpyrazole-1-carbothioate', 'NS00040716', 'Q2855604', '5-amino-2-isopropyl-3-oxo-4-o-tolyl-2,3-dihydropyrazole-1-thiocarboxylic acid S-allyl ester', 'fenpyrazamine (ISO); S-allyl 5-amino-2-isopropyl-4-(2-methylphenyl)-3-oxo-2,3-dihydro-1H-pyrazole-1-carbothioate', 'S-allyl 5-amino-2-isopropyl-4-(2-methylphenyl)-3-oxo-2,3-dihydro-1H-pyrazole-1-carbothioat']</t>
  </si>
  <si>
    <t>Compound(11493665)</t>
  </si>
  <si>
    <t>C17H21N3O2S</t>
  </si>
  <si>
    <t>[cyano-(3-phenoxyphenyl)methyl] 2,2,3,3-tetramethylcyclopropane-1-carboxylate</t>
  </si>
  <si>
    <t>['Fenpropathrin', '39515-41-8', 'Meothrin', 'Danitol', 'Meiothrin', 'Miothrin', 'Danimen', 'Herald', 'Kilumal', 'Smash', 'Rody', 'FENPROPANATE', 'Danitol Fiori', 'Ortho Danitol', '(+-)-Fenpropathrin', 'Fenpropathrin [ISO]', 'Cyano(3-phenoxyphenyl)methyl 2,2,3,3-tetramethylcyclopropanecarboxylate', 'Caswell No. 273H', 'XE-938', 'S 3206', 'CCRIS 7727', 'SD 41706', 'WL 41706', 'HSDB 6636', 'OMS-1999', 'Cyclopropanecarboxylic acid, 2,2,3,3-tetramethyl-, cyano(3-phenoxyphenyl)methyl ester', 'EINECS 254-485-0', '64257-84-7', 'EPA Pesticide Chemical Code 127901', '2,2,3,3-Tetramethylcyclopropanecarboxylic acid cyano(3-phenoxyphenyl)methyl ester', 'AI3-29234', 'CHEBI:39353', '[cyano-(3-phenoxyphenyl)methyl] 2,2,3,3-tetramethylcyclopropane-1-carboxylate', 'Cyano-3-phenoxybenzyl-2,2,3,3-tetramethylcyclopropanecarboxylate', 'alpha-Cyano-3-phenoxybenzyl 2,2,3,3-tetramethylcyclopropanecarboxylate', 'DSSTox_CID_4002', '(RS)-alpha-Cyano-3-phenoxybenzyl 2,2,3,3-tetramethylcyclopropanecarboxylate', 'DSSTox_RID_77256', 'DSSTox_GSID_24002', 'Fenpropathrin, analytical standard', '.alpha.-Cyano-3-phenoxybenzyl 2,2,3,3-tetramethyl-1-cyclopropanecarboxylate', 'cyano(3-phenoxyphenyl)methyl 2,2,3,3-tetramethylcyclopropane-1-carboxylate', 'CAS-39515-41-8', 'Fenpropathrin [BSI:ISO]', 'Fenpropathrine', 'Danitrol', 'XE 938', '(.+/-.)-Fenpropathrin', 'SCHEMBL26248', 'CHEMBL522994', 'DTXSID0024002', 'XQUXKZZNEFRCAW-UHFFFAOYSA-', 'KS-000028EK', 'Tox21_201531', 'Tox21_300882', '[cyano-(3-phenoxyphenyl)methyl] 2,2,3,3-tetramethylcyclopropanecarboxylate', 'AKOS005109978', 'MCULE-9289129000', 'MS-3673', 'ACM39515418', 'Fenpropathrin 10 microg/mL in Isooctane', 'NCGC00160404-01', 'NCGC00160404-02', 'NCGC00160404-03', 'NCGC00160404-04', 'NCGC00160404-05', 'NCGC00254786-01', 'NCGC00259081-01', 'CC-28399', 'Fenpropathrin 100 microg/mL in Isooctane', 'LS-58765', 'LS-58766', 'O180', 'HY-123178', '532-EP2274983A1', '532-EP2275422A1', '532-EP2280009A1', '532-EP2292608A1', '532-EP2308857A1', '532-EP2308858A1', '532-EP2311816A1', '532-EP2311817A1', '532-EP2314583A1', 'CS-0081661', 'NS00000140', 'C18411', 'Fenpropathrin, PESTANAL(R), analytical standard', '515F418', 'A824595', 'C-20595', 'Q1404816', 'a-cyano-3-phenoxybenzyl 2,2,3,3-tetramethylcyclopropanecarboxylate', '.alpha.-Cyano-3-phenoxybenzyl 2,2,3,3-tetramethylcyclopropanecarboxylate', 'alpha-cyano-3-phenoxybenzyl 2,2,3,3-tetramethylcyclopropane carboxylate', '[cyano-[3-(phenoxy)phenyl]methyl] 2,2,3,3-tetramethylcyclopropane-1-carboxylate', '2,2,3,3-tetramethyl-1-cyclopropanecarboxylic acid [cyano-(3-phenoxyphenyl)methyl] ester', 'Cyclopropanecarboxylic acid, 2,2,3,3-tetramethyl-, cyano(3-phenoxyphenyl)methyl ester, (+-)-']</t>
  </si>
  <si>
    <t>Compound(47326)</t>
  </si>
  <si>
    <t>C22H23NO3</t>
  </si>
  <si>
    <t>fenpyroximate</t>
  </si>
  <si>
    <t>tert-butyl 4-[[(E)-(1,3-dimethyl-5-phenoxypyrazol-4-yl)methylideneamino]oxymethyl]benzoate</t>
  </si>
  <si>
    <t>['Fenpyroximate', '134098-61-6', '(Z)-Fenpyroximate', 'Fenpyroximate [ISO]', 'UNII-9W557V4RYA', 'FENPYROXYMATE', 'NNI 850', '111812-58-9', '9W557V4RYA', 'CHEBI:5011', '(E)-Fenpyroximate', 'Fenpyroximate (Z,E)', 'fenperoximate', 't-Butyl (E)-alpha-(1,3-dimethyl-5-phenoxypyrazol-4-ylmethyleneaminooxy)-p-toluate (IUPAC)', 'tert-butyl 4-[({[(1E)-(1,3-dimethyl-5-phenoxy-1H-pyrazol-4-yl)methylene]amino}oxy)methyl]benzoate', 'Assault', 'Danitron', 'Acari', 'Kendo', 'Ortus', 'FujiMite', 'Naja', 'DL-Fenpyroximate', 't-butyl (E)-alpha-(1,3-dimethyl-5-phenoxypyrazol-4-ylmethyleneaminooxy)-p-toluate', 'Fenpyroximate, DL', 'Benzoic acid, 4-(((((1,3-dimethyl-5-phenoxy-1H-pyrazol-4-yl)methylene)amino)oxy)methyl)-, 1,1-dimethylethyl ester, (E)-', 'Benzoic acid, 4-((((E)-((1,3-dimethyl-5-phenoxy-1H-pyrazol-4-yl)methylene)amino)oxy)methyl)-, 1,1-dimethylethyl ester', 'Benzoic acid,4-[[[(E)-[(1,3-dimethyl-5-phenoxy-1H-pyrazol-4-yl)methylene]amino]oxy]methyl]-, 1,1-dimethylethyl ester', 'HSDB 7943', 'tert-butyl 4-[[(E)-(1,3-dimethyl-5-phenoxypyrazol-4-yl)methylideneamino]oxymethyl]benzoate', '(Z,E)-Fenpyroximate', 'DSSTox_CID_12550', 'DSSTox_RID_78979', 'DSSTox_GSID_32550', 'SCHEMBL74176', 'CHEMBL365100', 'DTXSID7032557', 'YYJNOYZRYGDPNH-MFKUBSTISA-', 'Tox21_300898', 'ZINC25763821', 'AKOS015895778', 'KS-5364', 'NCGC00163915-01', 'NCGC00163915-02', 'NCGC00163915-03', 'NCGC00163915-04', 'NCGC00163915-05', 'NCGC00163915-06', 'NCGC00254802-01', 'Benzoic acid, 4-(1,3-dimethyl-5-phenoxy-1H-pyrazol-4- yl)methyleneaminooxymethyl-, 1,1-dimethylethyl ester', 'LS-37235', 'SC-12556', 'CAS-111812-58-9', 'F1195', 'NS00002695', '(E)-Fenpyroximate 10 microg/mL in Cyclohexane', 'C11098', 'K-4223', '(E)-Fenpyroximate 10 microg/mL in Acetonitrile', '(E)-Fenpyroximate 100 microg/mL in Cyclohexane', 'Fenpyroximate, PESTANAL(R), analytical standard', '098F616', 'A806730', 'Q27265074', 'tert-Butyl 4-({[(E)-1,3-dimethyl-5-phenoxypyrazol-4-yl]methyl}aminooxymethyl)benzoate', 'tert-butyl 4-[[[1,3-dimethyl-5-(phenoxy)pyrazol-4-yl]methylideneamino]oxymethyl]', '4-[[(E)-(1,3-dimethyl-5-phenoxy-4-pyrazolyl)methylideneamino]oxymethyl]benzoic acid tert-butyl ester', '4-[[[(E)-[(1,3-Dimethyl-5-phenoxy-1H-pyrazol-4-yl)methylene]amino]oxy]methyl]benzoic Acid tert-Butyl Ester', 'Fenpyroximate;Benzoic acid, 4-[[[[(1,3-dimethyl-5-phenoxy-1H-pyrazol-4-yl)methylene]amino]oxy]methyl]-, 1,1-dimethylethyl ester;fenpyroximate;tert-butyl (E)-alpha-(1,3-dimethyl-5-phenoxypyrazol-4-ylmethyleneamino-oxy)-p-toluate', 'Pesticide4_Fenpyroximate_C24H27N3O4_tert-Butyl 4-[({[(1E)-(1,3-dimethyl-5-phenoxy-1H-pyrazol-4-yl)methylidene]amino}oxy)methyl]benzoate', 'tert-butyl 4-[[(E)-(1,3-dimethyl-5-phenoxy-pyrazol-4-yl)methylideneamino]oxymethyl]benzoate', 'tert-Butyl 4-[[[(E)-[(1,3-Dimethyl-5-phenoxy-1H-pyrazol-4-yl)methylene]amino]oxy]methyl]benzoate']</t>
  </si>
  <si>
    <t>Compound(9576412)</t>
  </si>
  <si>
    <t>C24H27N3O4</t>
  </si>
  <si>
    <t>1,1-dimethyl-3-phenylurea</t>
  </si>
  <si>
    <t>['FENURON', '1,1-Dimethyl-3-phenylurea', '101-42-8', 'Falisilvan', "Urea, N,N-dimethyl-N'-phenyl-", "N,N-Dimethyl-N'-phenylurea", 'Electrum', 'Fenidin', 'Dibar', 'Dybar', 'Amicure UR', 'PUD (herbicide)', 'Omicure 94', 'Fikure 62U', 'Quintex', '3-Phenyl-1,1-dimethylurea', 'Croptex Chrome', 'Herbon Yellow', 'Croptex Ruby', 'Dyhard RU 300', 'Dyhard UR 300', "N-Phenyl-N',N'-dimethylurea", '1-Phenyl-3,3-dimethylurea', 'Caswell No. 457', 'Urea, 1,1-dimethyl-3-phenyl-', 'Fenuron [ANSI:BSI:ISO]', 'UNII-O7L040435W', 'HSDB 6639', 'EINECS 202-941-4', 'EPA Pesticide Chemical Code 035507', 'BRN 2208535', 'CHEBI:5013', 'Fenuron;1,1-Dimethyl-3-phenylurea', 'O7L040435W', 'PUD', '(dimethylamino)-N-benzamide', '1,1-Dimethyl-3-phenylurea, analytical standard', '3,3-dimethyl-1-phenylurea', 'Fenulon', '1,1-dimethyl-3-phenyl-urea', 'Maybridge4_003841', 'DSSTox_CID_17551', 'DSSTox_RID_79334', 'DSSTox_GSID_37551', 'SCHEMBL62004', 'MLS000861661', "N-phenyl-N',N'-dimethyl urea", 'CHEMBL1492698', 'DTXSID7037551', 'SCHEMBL21049119', 'ZINC97471', 'HMS1531O13', 'HMS2809O05', 'BCP30318', 'Tox21_300902', '0384AA', 'CCG-54419', 'MFCD00025662', 'SBB058215', 'STK399737', 'Fenuron (N,N-Dimethyl-N-phenylurea)', 'Fenuron 10 microg/mL in Acetonitrile', 'AKOS001178467', 'MCULE-4375507264', 'NCGC00163883-01', 'NCGC00163883-02', 'NCGC00163883-03', 'NCGC00254806-01', 'AS-59690', 'CAS-101-42-8', 'SMR000460445', 'Fenuron, PESTANAL(R), analytical standard', 'LS-160027', 'FT-0631536', 'NS00000525', 'ST50410378', 'C11224', '33330-EP2305655A2', '33330-EP2311815A1', '33330-EP2371823A1', 'J-000390', 'Q3742493', 'SR-01000643516-1', 'BRD-K32813024-001-01-3', 'fenuron;1,1-dimethyl-3-phenyluronium trichloroacetate;Fenuron trichloroacetate']</t>
  </si>
  <si>
    <t>Compound(7560)</t>
  </si>
  <si>
    <t>C9H12N2O</t>
  </si>
  <si>
    <t>diethoxy-(4-methylsulfinylphenoxy)-sulfanylidene-lambda5-phosphane</t>
  </si>
  <si>
    <t>['FENSULFOTHION', '115-90-2', 'Dasanit', 'Daconit', 'Terracur P', 'Bayer 25141', 'Fensulfothione', 'Chemagro 25141', 'VUAgT 96', 'VUAgT 108', 'Caswell No. 343', 'OMS 37', 'Fensulfothion [BSI:ISO]', 'O,O-Diethyl O-p-(methylsulfinyl)phenyl thiophosphate', 'S 767', 'BAY 25141', 'ENT 24,945', 'HSDB 1580', 'O,O-Diethyl O-4-methylsulphinylphenyl phosphorothioate', 'O,O-Diethyl O-(p-(methylsulfinyl)phenyl) phosphorothioate', 'EINECS 204-114-3', 'EPA Pesticide Chemical Code 032701', 'BRN 2219515', 'Phosphorothioic acid, O,O-diethyl O-[4-(methylsulfinyl)phenyl] ester', 'o,o-Diethyl o-[4-(methylsulfinyl)phenyl] thiophosphate', 'AI3-24945', 'Diethyl p-methylsulfinylphenyl thiophosphate', 'O,O-Diethyl O-(4-(methylsulfinyl)phenyl) phosphorothioate', 'CHEBI:34760', 'Phosphorothioic acid, O,O-diethyl O-(4-(methylsulfinyl)phenyl) ester', 'Phenol, p-(methylsulfinyl)-, O-ester with O,O-diethyl phosphorothioate', 'p,O-Diethyl O-p-(methylsulfinyl)phenyl thiophosphate', 'O,O-Diaethyl-O-(4-methylsulfinyl-phenyl)-thionophosphat', 'O,O-Diaethyl-O-4-methylsulfinyl-phenyl-monothiophosphat', 'O,O-diethyl O-[4-(methanesulfinyl)phenyl] phosphorothioate', 'O,O-Diaethyl-O-(4-methylsulfinyl-phenyl)-thionophosphat [German]', 'O,O-Diaethyl-O-4-methylsulfinyl-phenyl-monothiophosphat [German]', 'O,O-Diethyl O-[p-(Methylsulfinyl)phenyl] phosphorothioate', 'Phosphorothioic acid, O,O-diethyl O-(p-(methylsulfinyl)phenyl) ester', 'O,O-diethyl O-{4-[methylsulfinyl]phenyl} thiophosphate', 'O,O-Diethyl O-[4-(methylsulfinyl)phenyl] phosphorothioate', 'diethoxy-(4-methylsulfinylphenoxy)-sulfanylidene-?^{5}-phosphane', 'Phosphorothioic acid, O,O-diethyl O-[p-(methylsulfinyl)phenyl] ester', 'Bayer S767', 'DSSTox_CID_1953', 'DSSTox_RID_76424', 'DSSTox_GSID_21953', 'SCHEMBL73185', 'BIDD:ER0310', 'CHEMBL3186021', 'DTXSID6021953', 'O,O-diethyl O-4-(methylsulfinyl)phenyl phosphorothioate', 'XDNBJTQLKCIJBV-UHFFFAOYSA-', 'diethoxy-(4-methylsulfinylphenoxy)-sulfanylidenephosphorane', 'Fensulfothion, analytical standard', 'ACT08698', 'Tox21_301858', 'AKOS015890636', 'VA10895', 'NCGC00163892-01', 'NCGC00255240-01', 'CAS-115-90-2', 'LS-108678', 'Fensulfothion 100 microg/mL in Acetonitrile', 'NS00009300', 'A26234', 'C14510', 'Fensulfothion, PESTANAL(R), analytical standard', 'B 25141', 'J-003331', 'J-521362', 'Q5443592', 'O O-Diethyl O-[4-(methylsulphinyl)phenyl phosphorothioate', 'O,O-Diethyl O-[4-(methylsulfinyl)phenyl] thiophosphate #']</t>
  </si>
  <si>
    <t>Compound(8292)</t>
  </si>
  <si>
    <t>C11H17O4PS2</t>
  </si>
  <si>
    <t>fentin acetate</t>
  </si>
  <si>
    <t>triphenylstannyl acetate</t>
  </si>
  <si>
    <t>['Fentin acetate', 'TRIPHENYLTIN ACETATE', 'Phentin acetate', 'Phentinoacetate', 'Brestan', '900-95-8', 'Fentinacetat', 'Liromatin', 'Lirostanol', 'Tinestan', 'Batasan', 'Acetoxytriphenylstannane', 'Suzu', 'Fenolovo acetate', 'Tin triphenyl acetate', 'Triphenylaceto stannane', 'Acetatotriphenylstannane', 'Brestan 60', 'Fentine acetate', 'Triphenyl-zinnacetat', 'Fentin acetaat', 'Fentin azetat', 'Fintin acetato', 'Stannane, (acetyloxy)triphenyl-', 'Phenostat A', 'TPTA', 'TPZA', 'Acetoxytriphenyltin', 'Trifenyl-tinacetaat', 'Tinestan 60 wp', 'Triphenylstannium acetate', 'Acetoxy-triphenyl-stannan', 'Fentin acetat', 'Stannane, acetoxytriphenyl-', 'Tin, acetoxytriphenyl-', 'Triphenyltin(IV) acetate', 'Tinestan WP 20', 'Tinestan WP 60', 'Acetate de triphenyl-etain', 'Acetato di stagno trifenile', '(Acetyloxy)triphenylstannane', 'Trifenil stagno acetato', 'triphenylstannyl acetate', 'Fentin acetate [BSI]', 'Acetoxy-triphenylstannane', 'Acetic acid, triphenylstannyl ester', 'HOE-2824', 'ENT 25208', 'Caswell No. 896C', 'Fentin acetaat [Dutch]', 'Fentin acetat [German]', 'Fentin azetat [German]', 'GC 6936', 'Fentine acetate [French]', 'Fintin acetato [Italian]', 'VP 19-40', 'OMS 1020', 'Trifenyl-tinacetaat [Dutch]', 'NSC 76068', 'Triphenyl-zinnacetat [German]', '(Acetyloxy)(triphenyl)stannane', 'CCRIS 8605', 'HSDB 1783', 'Trifenil stagno acetato [Italian]', 'Acetoxy-triphenyl-stannan [German]', 'Acetate de triphenyl-etain [French]', 'EINECS 212-984-0', 'Acetato di stagno trifenile [Italian]', 'EPA Pesticide Chemical Code 496700', 'BRN 4146107', 'AI3-25208', 'm-Nitrobenzaldehyde 3-thio-4-o-tolylsemicarbazone', 'Benzaldehyde, m-nitro-, 3-thio-4-o-tolylsemicarbazone', 'Fentin acetat (german)', 'Triphenyl-zinnacetat (german)', 'Acetoxy-triphenyl-stannan (german)', 'Fentin acetate [BSI:ISO]', 'Fentin-acetate', 'Acetoxytriphenyl-Tin', 'Acetoxytriphenyl-Stannane', 'acetoxy(triphenyl)stannane', 'DSSTox_CID_1408', 'DSSTox_RID_76144', 'DSSTox_GSID_21408', 'SCHEMBL68978', '(acetyloxy)triphenyl-Stannane', 'WLN: 1VO-SN-R&amp;R&amp;R', 'DTXSID6021408', 'CHEBI:81918', '(Acetyloxy)(triphenyl)stannane #', 'Vp 1940', 'NSC76068', 'Tox21_202600', 'NSC-76068', 'AKOS015902800', 'ZINC169795090', 'LS-7742', 'NCGC00166128-01', 'NCGC00260148-01', '900-45-8', 'CAS-900-95-8', 'DB-057182', 'FT-0603522', 'C18728', 'Fentin acetate, PESTANAL(R), analytical standard', 'Q168685', 'W-100342']</t>
  </si>
  <si>
    <t>Compound(16682804)</t>
  </si>
  <si>
    <t>C20H18O2Sn</t>
  </si>
  <si>
    <t>phenthoate</t>
  </si>
  <si>
    <t>ethyl 2-dimethoxyphosphinothioylsulfanyl-2-phenylacetate</t>
  </si>
  <si>
    <t>['PHENTHOATE', 'Fenthoate', 'Dimephenthioate', 'Dimephenthoate', 'Cidial', 'Phendal', '2597-03-7', 'Elsan', 'Dimefenthoat', 'Cidemul', 'Papthion', 'Tsidial', 'Tagson', 'Tanone', 'dl-Papthion', 'd-Papthion', 'l-Papthion', 'Montecatini L-561', 'Bayer 18510', 'Cidial ULV', 'Elsan ULV', 'Phenthoate 50 EC', 'ENT 27386GC', 'Caswell No. 427B', 'Phenthoate [BSI:ISO]', 'OMS 1075', 'BAY 33051', 'ENT 27386', 'NSC 190978', 'BRN 2474108', 'TH 346-1', 'CCRIS 3399', 'Ethyl alpha-((dimethoxyphosphenothioyl)thio)benzeneacetate', '61391-87-5', 'Bay 18510', 'O,O-Dimethyl S-alpha-Ethoxycarbonylbenzyl phosphorodithioate', 'CHEBI:34917', 'HSDB 1708', 'S 2940', 'TH-346-I', 'EINECS 219-997-0', 'O,O-Dimethyl S-(1-carboethoxybenzyl) dithiophosphate', 'ENT 23,438', 'EPA Pesticide Chemical Code 104901', 'ethyl 2-dimethoxyphosphinothioylsulfanyl-2-phenylacetate', 'Ethyl mercaptophenylacetate-O,O-dimethylphosphorodithioate', 'O,O-Dimethyl S-(phenyl)(carboethoxy)methyl phosphorodithioate', '(Dimethyl S-(phenylethoxycarbonylmethyl)phosphorothiolothionate)', 'Acetic acid, (O,O-dimethyldithiophosphorylphenyl)-, ethyl ester', 'AI3-27386', 'O,O-Dimethyl-S-(phenylacetic acid ethyl ester) phosphorodithioate', 'L-561', '(+)-alpha-((Dimethoxyphosphinothioyl)thio)benzeneacetic acid ethyl ester', '(-)-alpha-((Dimethoxyphosphinothioyl)thio)benzeneacetic acid ethyl ester', 'Benzeneacetic acid, alpha-((dimethoxyphosphinothioyl)thio)-, ethyl ester', '(+-)-alpha-((Dimethoxyphosphinothioyl)thio)benzeneacetic acid ethyl ester', 'Benzeneacetic acid, .alpha.-[(dimethoxyphosphinothioyl)thio]-, ethyl ester', 'Benzeneacetic acid, alpha-((dimethoxyphosphinothioyl)thio)-, ethyl ester, (+)-', 'Benzeneacetic acid, alpha-((dimethoxyphosphinothioyl)thio)-, ethyl ester, (+-)-', 'Benzeneacetic acid, alpha-((dimethoxyphosphinothioyl)thio)-, ethyl ester, (-)-', 'Ethyl O,O-dimethylphosphorodithioylphenylacetate', 'Acetic acid, mercaptophenyl-, ethyl ester, S-ester with O,O-dimethyl phosphorodithioate', 'Ethyl O,O-dimethylphosphorodithioyl phenyl acetate', 'Ethyl 2-dimethoxyphosphinothioylthio(phenyl)acetate', 'Ethyl 2-dimethoxythiophosphorylthio-2-phenylacetate', 'Ethyl [(dimethoxyphosphorothioyl)sulfanyl](phenyl)acetate', 'Ethyl alpha-((dimethoxyphosphinothioyl)thio)benzeneacetate', 'Ethyl mercaptophenylacetate O,O-dimethyl phosphorodithioate', 'O,O-Dimethyl S-(alpha-ethoxycarbonylbenzyl) thiophosphate', 'Dimethenthoate', 'O,O-Dimethyl-S-(alpha-(carboethoxy)benzyl)phosphorodithioate', 'S-alpha-Ethoxycarbonylbenzyl dimethyl phosphorothiolothionate', 'S-alpha-Ethoxycarbonylbenzyl O,O-dimethyl phosphorodithioate', '2-(dimethoxyphosphinothioylthio)-2-phenylacetic acid ethyl ester', 'Ethyl ester of O,O-dimethyldithiophosphoryl alpha-phenyl acetate', 'S-[alpha-(Ethoxycarbonyl)benzyl] O,O-dimethyl phosphorodithioate', 'PHOSPHORODITHIOIC ACID O,O-DIMETHYL S-(ALPHA-(ETHOXYCARBONYL)BENZYL) ESTER', 'Phentoate', 'Aimsan', 'Rogodial (Salt/Mix)', 'Phenthoate (Fenthoate)', 'Bayer 18,510', 'DSSTox_CID_22280', 'DSSTox_RID_79987', 'DSSTox_GSID_42280', 'SCHEMBL27217', 'Phenthoate, analytical standard', 'CHEMBL1476858', 'DTXSID6042280', 'C10H13O4PS2', 'CTK5B3165', 'XAMUDJHXFNRLCY-UHFFFAOYSA-', 'phenthoate;Elsan = Dimephenthoate', 'Tox21_301564', 'ENT 23438', 'Phenthoate 10 microg/mL in Isooctane', 'AKOS016014175', 'Phenthoate 100 microg/mL in Isooctane', 'NCGC00166204-01', 'NCGC00255711-01', '61361-99-7', '61362-00-3', 'LS-12364', 'LS-28766', 'LS-28767', 'LS-28768', 'S333', 'CAS-2597-03-7', 'HY-118165', 'CS-0065352', 'L 561', 'NS00004968', 'Phenthoate, PESTANAL(R), analytical standard', 'C14429', '597P037', 'A805041', 'Ethyl O,O-dimethyl phosphorodithioylphenyl acetate', 'J-016198', 'Q7181408', 'ethyl 2-(dimethoxyphosphorothioylthio)-2-phenylacetate', 'Ethyl .alpha.-((dimethoxyphosphenothioyl)thio)benzeneacetate', 'Ethyl [(dimethoxyphosphorothioyl)sulfanyl](phenyl)acetate #', 'ethyl 2-dimethoxyphosphinothioylsulfanyl-2-phenyl-ethanoate', 'O,O-Dimethyl S-.alpha.-Ethoxycarbonylbenzyl phosphorodithioate', 'S-.alpha.-Ethoxycarbonylbenzyl dimethyl phosphorothiolothionate', 'S-.alpha.-Ethoxycarbonylbenzyl-O,O-dimethyl phosphorodithioate', 'ETHYL 2-DIMETHOXYPHOSPHINOTHIOYLSULFANYL-2-PHENYL-ACETATE', 'S-[.alpha.-(Ethoxycarbonyl)benzyl] O,O-dimethyl phosphorodithioate', 'Ethyl ester of O,O-dimethyldithiophosphoryl .alpha.-phenyl acetic acid', 'Ethyl mercaptophenylacetate S-ester with O,O-dimethyl phosphorodithioate', 'Ethyl mercaptophenylacetate S-ester with O,O-dimethyl phosphorodithioate (8CI)']</t>
  </si>
  <si>
    <t>Compound(17435)</t>
  </si>
  <si>
    <t>C12H17O4PS2</t>
  </si>
  <si>
    <t>phenothrin</t>
  </si>
  <si>
    <t>(3-phenoxyphenyl)methyl 2,2-dimethyl-3-(2-methylprop-1-enyl)cyclopropane-1-carboxylate</t>
  </si>
  <si>
    <t>['phenothrin', '26002-80-2', 'Sumithrin', 'Phenoxythrin', 'Phenothrine', 'Pibutin', 'Sumitrin', 'Duet', 'Anchimanaito 20S', 'Wellcide', 'Solo (insecticide)', 'Multicide 2154', 'Fenotrina', 'S 2539 (pesticide)', 'Fenotrina [Spanish]', 'Phenothrine [French]', 'Phenothrinum [Latin]', '3-Phenoxybenzyl chrysanthemate', 'Caswell No. 652B', 'Phenothrin [INN:BAN]', 'Phenothrine [ISO-French]', 'OMS 1809', 'OMS 1810', 'PT 515', 'CCRIS 2502', 'D-Phenothrin', 'Multicide Concentrate F-2271', 'HSDB 3922', 'UNII-707484X33X', 'Phenothrin [BSI:ISO]', 'Cyclopropanecarboxylic acid, 2,2-dimethyl-3-(2-methyl-1-propenyl)-, (3-phenoxyphenyl)methyl ester', 'EINECS 247-404-5', 'S-2539', 'ENT 27 972', 'EPA Pesticide Chemical Code 069005', 'delta-(cis-trans)-Phenothrin', 'AI3-29062', '188023-86-1', 'CHEBI:34916', '3-Phenoxybenzyl (+-)-cis-trans-chrysanthemate', '3-Phenoxybenzyl (1RS)-cis,trans-chrysanthemate', '3-Phenoxybenzyl 2-dimethyl-3-(methylpropenyl)cyclopropanecarboxylate', 'm-Phenoxybenzyl 2,2-dimethyl-3-(2-methylpropenyl)cyclopropanecarboxylate', '2,2-Dimethyl-3-(2-methylpropenyl)cyclopropanecarboxylic acid m-phenoxybenzyl ester', '3-phenoxybenzyl 2,2-dimethyl-3-(2-methylprop-1-en-1-yl)cyclopropanecarboxylate', '3-Phenoxybenzyl 2,2-dimethyl-3-(2-methylprop-1-enyl)cyclopropanecarboxylate', '(3-phenoxyphenyl)methyl 2,2-dimethyl-3-(2-methylprop-1-enyl)cyclopropane-1-carboxylate', '2,2-Dimethyl-3-(2-methyl-1-propenyl)cyclopropanecarboxylic acid (3-phenoxyphenyl)methyl ester', 'S-2539F', 'NCGC00094561-01', '707484X33X', '(3-Phenoxyphenyl)methyl 2,2-dimethyl-3-(2-methyl-1-propenyl)cyclopropanecarboxylate', '3-Phenoxybenzyl (1RS)-cis,trans-2,2-dimethyl-3-(2-methylprop-1-enyl)cyclopropanecarboxylate', '3-Phenoxybenzyl (1RS,3RS;1RS,3SR)-2,2-dimethyl-3-(2-methylprop-1-enyl)cyclopropanecarboxylate', 'Benzyl alcohol, m-phenoxy-, 2,2-dimethyl-3-(2-methylpropenyl)cyclopropanecarboxylate', 'Cyclopropanecarboxylic acid, 2,2-dimethyl-3-(2-methylpropenyl)-, m-phenoxybenzyl ester', 'DSSTox_CID_12688', 'DSSTox_RID_79033', 'DSSTox_GSID_32688', 'Cyclopropanecarboxylic acid, 2,2-dimethyl-3-(2-methyl-1-propenyl)-,(3-phenoxyphenyl)methyl ester', 'Phenothrinum', 'm-Phenoxybenzyl (+-)-cis,trans-2,2-dimethyl-3-(2-methylpropenyl)cyclopropanecarboxylate', '(-)-trans-Phenothrin', 'Cyclopropanecarboxylic acid, 2,2-dimethyl-3-(2-methyl-1-propenyl)-, 3-(phenoxyphenyl)methyl ester', 'Cyclopropanecarboxylic acid, 2,2-dimethyl-3-(2-methyl-1-propenyl)-, 3-(phenoxyphenyl)methyl ester, cis,trans-(+/-)-', 'CAS-26002-80-2', '(3-phenoxyphenyl)methyl (1R,3R)-2,2-dimethyl-3-(2-methylprop-1-enyl)cyclopropane-1-carboxylate', 'Phonothrin', '(R)-Phenothrin', 'Phenothrin (I)', 'Phenothrin (II)', 'Phenothrin (INN)', 'Hegor antipoux (TN)', 'Spectrum_001981', 'SpecPlus_000796', 'Spectrum3_001204', 'Spectrum4_000583', 'Spectrum5_000644', 'Phenothrin (tech) Peak 1', 'SCHEMBL74649', 'BSPBio_002588', 'KBioGR_001046', 'KBioSS_002547', 'MLS004712075', 'DivK1c_006892', 'SPECTRUM1504098', 'CHEMBL1322884', 'DTXSID7032688', 'CTK8G3999', 'KBio1_001836', 'KBio2_002538', 'KBio2_005106', 'KBio2_007674', 'KBio3_002088', 's538', 'HMS1922B17', 'Pharmakon1600-01504098', 'HY-B1072', 'Tox21_111297', 'Tox21_301570', 'CCG-38960', 'NSC758668', 'Phenothrin 10 microg/mL in Isooctane', 'AKOS015914551', 'Tox21_111297_1', 'CS-4628', 'DB13717', 'NSC-758668', 'ACM26002802', 'NCGC00094561-02', 'NCGC00094561-03', 'NCGC00094561-04', 'NCGC00094561-06', 'NCGC00255299-01', 'ACM188023861', 'AK129237', 'LS-58710', 'SC-16053', 'SC-19633', 'SMR001563205', 'SBI-0051922.P002', 'AX8019762', 'DB-046812', 'DB-046822', '542-EP2274983A1', '542-EP2280009A1', '542-EP2308857A1', '542-EP2314583A1', 'FT-0630520', 'FT-0630521', 'NS00001911', 'SW220054-1', 'Phenothrin, PESTANAL(R), analytical standard', 'C14387', 'D08357', 'S 2539', 'AB00052445_02', 'AB00052445_03', '002P802', 'A818137', 'Q999813', 'SR-01000872757', 'J-016219', 'SR-01000872757-1', 'BRD-A22106989-001-01-9', 'BRD-A22106989-001-02-7', '(3-phenoxyphenyl)methyl 2,2-dimethyl-3-(2-methylprop-1-enyl)cyclopropanecarboxylate', '2,2-Dimethyl-3-(2-methylpropenyl-1)cyclopropancarbonic acid, 3-phenoxybenzyl ester', '3-Phenoxybenzyl 2,2-dimethyl-3-(2-methyl-1-propenyl)cyclopropanecarboxylate #', '3-phenoxyphenylmethyl 2,2-dimethyl- 3-(2-methyl-1-propenyl)cyclopropanecarboxylate', 'Cyclopropanecarboxylic acid,2,2-dimethyl-3-(2-methylpropen-1-yl), 3-phenoxybenzyl ester', '2,2-Dimethyl-3-(2-methyl-1-propenyl)cyclopropanecarboxylic acid (3-phenoxy-phenyl)methyl ester', '2,2-dimethyl-3-(2-methylprop-1-enyl)-1-cyclopropanecarboxylic acid (3-phenoxyphenyl)methyl ester']</t>
  </si>
  <si>
    <t>Compound(4767)</t>
  </si>
  <si>
    <t>C23H26O3</t>
  </si>
  <si>
    <t>N-phenyl-N-[1-(2-phenylethyl)piperidin-4-yl]propanamide</t>
  </si>
  <si>
    <t>['fentanyl', 'Fentanil', 'Phentanyl', 'Fentora', 'Duragesic', 'Fentanest', 'Sublimaze', '437-38-7', 'Fentanylum', 'Durogesic', 'Fentanila', 'Sentonil', 'Duragesic-100', 'IONSYS', 'Duragesic-12', 'Duragesic-25', 'Duragesic-50', 'Duragesic-75', 'Fentanyl-12', 'Fentanyl-25', 'Fentanyl-50', 'Fentanyl-75', 'Fentanylum [INN-Latin]', 'Fentanila [INN-Spanish]', 'Fentanyl-100', '1-Phenethyl-4-N-propionylanilinopiperidine', 'Matrifen', 'Sublimase', 'N-(1-Phenethylpiperidin-4-yl)-N-phenylpropionamide', 'N-(1-Phenethyl-4-piperidyl)propionanilide', 'N-phenyl-N-[1-(2-phenylethyl)piperidin-4-yl]propanamide', 'N-Phenethyl-4-(N-propionylanilino)piperidine', 'Fentanil [DCIT]', '1-Phenethyl-4-(N-phenylpropionamido)piperidine', 'R 4263', 'Fentanyl CII', 'N-(1-Phenethyl-4-piperidinyl)-N-phenylpropionamide', 'N-Phenyl-N-(1-(2-phenylethyl)-4-piperidinyl)propanamide', 'UNII-UF599785JZ', 'HSDB 3329', 'CHEBI:119915', 'N-(1-Phenethyl-piperidin-4-yl)-N-phenyl-propionamide', 'Propionanilide, N-(1-phenethyl-4-piperidyl)-', 'EINECS 207-113-6', 'CHEMBL596', 'BRN 0494484', 'R4263', 'UF599785JZ', 'NCGC00168252-01', 'Propanamide, N-phenyl-N-(1-(2-phenylethyl)-4-piperidinyl)-', 'Propanamide, N-phenyl-N-[1-(2-phenylethyl)-4-piperidinyl]-', 'Subsys', 'effentora', 'N-Phenyl-N-[1-(2-phenylethyl)-4-piperidinyl]propanamide', 'Fentanyl buccal', 'PecFent', 'Durotep MT', 'Fentanyl [INN:BAN]', 'Fentanyl Transdermal System', 'JNS020QD', 'Fentanyl [USAN:USP:INN:BAN]', 'Duragesic (TN)', 'Subsys (TN)', 'FENTANYL-HCl', 'DSSTox_CID_3049', 'Epitope ID:153507', 'SCHEMBL8804', 'Fentanyl (JAN/USP/INN)', 'DSSTox_RID_76851', 'DSSTox_GSID_23049', 'Oprea1_152073', 'Oprea1_207148', '5-22-08-00049 (Beilstein Handbook Reference)', 'BIDD:GT0555', 'GTPL1626', 'IDS-NF-001', 'DTXSID9023049', 'CTK8G2863', 'Fentanyl 0.1 mg/ml in Methanol', 'Fentanyl 1.0 mg/ml in Methanol', 'N-(1-(2-phenylethyl)-4-piperidinyl)-N-phenylpropanamide', 'N02AB03', 'ACN-S001735', 'ZINC2522669', 'Tox21_112611', 'AD 923', 'AD-923', 'BDBM50008984', 'CF0052', 'HY-U00158', 'PDSP1_000860', 'PDSP2_000846', 'API0002693', 'CS-7211', 'DB00813', 'CAS-437-38-7', 'LS-124439', 'NS00000044', 'N-(1-Phenylethyl-4-piperidinyl)propionanilide', '9235-EP2275420A1', '9235-EP2277861A1', '9235-EP2277875A2', '9235-EP2280008A2', '9235-EP2298764A1', '9235-EP2298765A1', '9235-EP2298768A1', '9235-EP2305652A2', '9235-EP2305654A1', '9235-EP2308509A1', '9235-EP2308872A1', '9235-EP2314585A1', '9235-EP2314590A1', '9235-EP2316829A1', 'D00320', '1-(2-Phenylethyl)-4-(N-propananilido)piperidine', 'L001275', 'Q407541', 'N-Phenyl-N-[1-(2-phenylethyl)-4-piperidinyl]propanamide #', 'N-(1-Phenethyl-piperidin-4-yl)-N-phenyl-propionamide(Fentanyl)', 'Propanamide, N-phenyl-N-(1-(2-phenylethyl)-4-piperidinyl)- (9CI)', 'Fentanyl solution, 1.0 mg/mL in methanol, ampule of 1 mL, certified reference material', 'Fentanyl solution, 100 mug/mL in methanol, ampule of 1 mL, certified reference material', 'Fentanyl;Fentanyl dihydrogen citrate;fentanyl dihydrogen citrate;Fentanyl citrate']</t>
  </si>
  <si>
    <t>Compound(3345)</t>
  </si>
  <si>
    <t>C22H28N2O</t>
  </si>
  <si>
    <t>fenthion sulfoxide</t>
  </si>
  <si>
    <t>dimethoxy-(3-methyl-4-methylsulfinylphenoxy)-sulfanylidene-lambda5-phosphane</t>
  </si>
  <si>
    <t>['Mesulfenfos', 'FENTHION SULFOXIDE', 'FENTHION-SULFOXIDE', '3761-41-9', 'Fensulfoxide', 'Mesulfenos', 'Mesulfenfos [ISO]', 'BRN 2136026', 'O,O-Dimethyl O-(4-(methylsulfinyl)-m-tolyl) phosphorothioate', 'O,O-Dimethyl O-((4-methylthio)-m-tolyl)phosphorothioate sulfoxide', 'UNII-TM8HKU4HKN', 'Phosphorothioic acid, O,O-dimethyl O-(4-(methylsulfinyl)-m-tolyl) ester', 'Phosphorothioic acid, O,O-dimethyl O-(3-methyl-4-(methylsulfinyl)phenyl) ester', 'UNII-J04Q566L5K', 'Mesulfenfos, (+)-', 'Fenthionsulfoxide', 'TM8HKU4HKN', 'Mesulfenfos, (R)-', 'Mesulfenfos, (S)-', 'Mesulfenfos, (-)-', 'Mesulfenphos', 'J04Q566L5K', 'Fenthion-sulfoxid', 'SCHEMBL115692', 'DTXSID9058076', 'Fenthion sulfoxide (Mesulfenfos)', 'AKOS015903359', 'ACM3761419', 'Phosphorothioic acid, O,O-dimethyl O-(3-methyl-4-((R)-methylsulfinyl)phenyl) ester', 'Phosphorothioic acid, O,O-dimethyl O-(3-methyl-4-((S)-methylsulfinyl)phenyl) ester', '852952-67-1', '852952-68-2', 'LS-108855', 'FT-0719265', 'NS00000703', 'C-56522', 'Fenthionsulfoxide, PESTANAL(R), analytical standard', 'Q27266020', 'O,O-dimethyl O-3-methyl-4-(methylsulfinyl)phenyl phosphorothioate', 'dimethoxy-(3-methyl-4-methylsulfinylphenoxy)-sulfanylidene-?^{5}-phosphane', 'Phosphorothioic acid, O,O-dimethyl O-(3-methyl-4-(methylsulfinyl)phenyl) ester (9CI)', 'O,O-Dimethyl O-[3-methyl-4-(methylsulfinyl)phenyl]ester phosphorothioic acid;O,O-Dimethyl-O-(3-methyl-4-methylsulfinylphenyl)-thiophosphate;Mesulfenfos']</t>
  </si>
  <si>
    <t>Compound(19577)</t>
  </si>
  <si>
    <t>C10H15O4PS2</t>
  </si>
  <si>
    <t>dimethoxy-(3-methyl-4-methylsulfanylphenoxy)-sulfanylidene-lambda5-phosphane</t>
  </si>
  <si>
    <t>['fenthion', 'Mercaptophos', '55-38-9', 'Baytex', 'Lebaycid', 'Fenthione', 'Phenthion', 'Queletox', 'Spotton', 'Talodex', 'Baycid', 'Entex', 'Sulfidophos', 'Figuron', 'Tiguvon', 'Fenthion-methyl', 'Bayer 29493', 'Fenthion 4E', 'MPP (pesticide)', 'Bay-Bassa', 'Pro-Spot', 'Bayer 9007', 'Bayer S-1752', '4-Methylmercapto-3-methylphenyl dimethyl thiophosphate', 'OMS 2', 'Caswell No. 456F', 'Lebayeid', 'UNII-BL0L45OVKT', 'NCI-C08651', 'BAY 29493', 'Fenthion [BAN]', 'Mosquitocide 700', 'CCRIS 310', 'ENT 25,540', 'O,O-Dimethyl-O-4-(methylmercapto)-3-methylphenyl thiophosphate', 'O,O-Dimethyl O-4-(methylmercapto)-3-methylphenyl phosphorothioate', 'C10H15O3PS2', 'HSDB 1403', 'Fenthion [BSI:ISO]', 'EINECS 200-231-9', 'S 1752', 'BL0L45OVKT', 'B 29493', 'EPA Pesticide Chemical Code 053301', 'BRN 1974129', 'O,O-Dimethyl O-4-methylthio-m-tolyl phosphorothioate', 'Phosphorothioic acid, O,O-dimethyl O-(3-methyl-4-(methylthio)phenyl) ester', 'AI3-25540', 'O,O-Dimethyl O-(4-(methylthio)-m-tolyl) phosphorothioate', 'O,O-Dimethyl O-(4-methylthio-3-methylphenyl) thiophosphate', 'CHEBI:34761', 'O,O-Dimethyl O-(4-methylthio-3-methylphenyl) phosphorothioate', 'O,O-Dimethyl O-(3-methyl-4-methylmercaptophenyl)phosphorothioate', 'Fenthion (BAN)', 'm-Cresol, 4-(methylthio)-, O-ester with O,O-dimethyl phosphorothioate', 'Phosphorothioic acid, O,O-dimethyl O-[3-methyl-4-(methylthio)phenyl] ester', 'ENT 25540', 'Dimethyl methylthiotolyl phosphorothioate', 'O,O-Dimetil-O-(3-metil-4-metiltio-fenil)-monotiofosfato', 'NCGC00091635-01', 'O,O-Dimethyl O-3-methyl-4-methylthiophenyl phosphorothioate', 'O,O-Dimethyl O-(3-methyl-4-(methylthio)phenyl)phosphorothioate', 'O,O-Dimethyl-O-(3-methyl-4-methylthio-fenyl)-monothiofosfaat', 'DSSTox_CID_620', 'O,O-Dimethyl O-(4-methylmercapto-3-methylphenyl) thionophosphate', 'O,O-Dimethyl-O-(3-methyl-4-methylmercaptophenyl)phosphorothioate', 'O,O-Dimethyl-O-4-(methylmercapto)-3-methylphenyl phosphorothioate', 'O,O-Dimetil-O-(3-metil-4-metiltio-fenil)-monotiofosfato [Italian]', 'O,O-Dimethyl O-(3-methyl-4-methylthio-fenyl)-monothiofosfaat [Dutch]', 'O,O-Dimethyl-O-(3-methyl-4-methylthio-fenyl)-monothiofosfaat [Dutch]', 'O,O-Dimethyl-O-(3-methyl-4-methylthio-phenyl)-thionophosphat [German]', 'O,O-Dimethyl-O-(3-methyl-4-methylthiophenyl)-monothiophosphat [German]', 'Thiophosphate de O,O-dimethyle et de O-(3-methyl-4-methylthiophenyle)', 'Thiophosphate de O,O-dimethyle et de O-(3-methyl-4-methylthiophenyle) [French]', 'DSSTox_RID_75695', 'DSSTox_GSID_20620', 'Fenthion, analytical standard', 'Dimethyl O-(4-(methylthio)-m-tolyl) phosphorothioate', 'Dimethyl (3-methyl-4-(methylthio)phenyl) phosphorothionate', 'Dimethyl O-(3-methyl-4-(methylthio)phenyl) thiophosphate', 'O,O-dimethyl-O-[4-(methylthio)-m-tolyl] phosphorothioate', 'O,O-dimethyl O-[3-methyl-4-(methylthio)phenyl] thiophosphate', 'o,o-Dimethyl o-[3-methyl-4-(methylsulfanyl)phenyl] thiophosphate', 'O,O-dimethyl O-[3-methyl-4-(methylsulfanyl)phenyl] phosphorothioate', 'Phosphorothioic acid, O,O-dimethyl O-(4-(methylthio)-m-tolyl) ester', 'Phosphorothioic acid, O,O-dimethyl O-[4-(methylthio)-m-tolyl] ester', 'CAS-55-38-9', 'Fenthion [INN:BAN]', 'Spotten', 'o,o-Dimethyl o-[3-methyl-4-(methylthio)phenyl]phosphorothioate', 'Quel etox', 'dimethoxy-(3-methyl-4-methylsulfanylphenoxy)-sulfanylidene-?^{5}-phosphane', 'Lebaycid(R)', 'Rid-a-Bird', 'Fenthion (MPP)', 'MPP (Pestiide)', 'Tiguvon (TN)', 'Spectrum_001919', 'SpecPlus_000550', 'Spectrum2_001231', 'Spectrum3_000855', 'Spectrum4_000695', 'Spectrum5_002028', 'SCHEMBL26907', 'BSPBio_002469', 'KBioGR_001189', 'KBioSS_002461', 'SPECTRUM330064', 'MLS002695988', 'BIDD:ER0528', 'DivK1c_006646', 'SPBio_001102', 'BX-2', 'ZINC1443', 'CHEMBL1604375', 'DTXSID8020620', 'KBio1_001590', 'KBio2_002454', 'KBio2_005022', 'KBio2_007590', 'KBio3_001969', 'PNVJTZOFSHSLTO-UHFFFAOYSA-', 'HMS3091A22', 'HMS3264I08', 'O,O-Dimethyl O-(3-methyl-4-methylthio-fenyl)-monothiofosfaat', 'O,O-Dimethyl-O-(3-methyl-4-methylthio-phenyl)-thionophosphat', 'O,O-Dimethyl-O-(3-methyl-4-methylthiophenyl)-monothiophosphat', 'Pharmakon1600-00330064', 'Tox21_111157', 'Tox21_201595', 'Tox21_300658', 'CCG-39101', 'NSC755881', 'Fenthion 10 microg/mL in Cyclohexane', 'Fenthion 1000 microg/mL in Acetone', 'AKOS015889922', 'Tox21_111157_1', 'ACN-048892', 'DB11412', 'LS-1355', 'NSC-755881', 'NCGC00091635-02', 'NCGC00091635-03', 'NCGC00091635-04', 'NCGC00091635-05', 'NCGC00091635-06', 'NCGC00091635-07', 'NCGC00091635-08', 'NCGC00091635-09', 'NCGC00254566-01', 'NCGC00259144-01', 'AC-16722', 'CC-28403', 'Dimethyl methylthiotolyl phosphorothioat e', 'SMR000777965', 'SBI-0052549.P002', 'Fenthion, PESTANAL(R), analytical standard', 'FT-0603232', 'NS00000066', 'C14420', 'D07950', 'AB00053057_04', 'C-17512', 'Q418354', 'SR-01000872733', 'SR-01000872733-1', 'BRD-K67217586-001-02-3', 'BRD-K67217586-001-04-9', '4-Meth ylmercapto-3-methylphenyl dimethyl thiophosphate', 'O,O-dimethyl O-(3-methyl-4-methylthiophenyl) thiophosphate', 'Dimethyl O-((4-me thylmercapto)-3-methylphenyl)thionophosphate', 'Dimethyl O-((4-methylmercapto)-3-methylphenyl)thionophosphate', 'O,O-dimethyl O-[3-methyl-4-(methylthio)phenyl]thiophosphate', 'O,O-dimethyl O-3-methyl-4-(methylthio)phenyl phosphorothioate', 'O,O-Dimethyl-O-(3-methyl-4-methylthio-phenyl)-thionophosphate', 'O,O-Dimethyl-O-(3-methyl-4-methylthiophenyl)-monothiophosphate', 'Cresol, 4-(methylthio)-, O-ester with O,O-dimethyl phosphorothioate', 'dimethoxy-(3-methyl-4-methylsulfanylphenoxy)-sulfanylidenephosphorane', 'O,O-Dimethyl O-[3-methyl-4-(methylsulfanyl)phenyl] thiophosphate #', 'O,O-dimethyl O-4-(methylmercapto)-3-methylphenyl phosphorothio ate', 'phosphorothioic acid O,O-dimethyl O-(4-methylthio)-m-tolyl ester', 'Cresol, 4-(methylthio)-, O-ester with O,O-d imethyl phosphorothioate', 'dimethoxy-(3-methyl-4-methylsulfanylphenoxy)-sulfanylidene-$l^{5}-phosphane', 'methyl 3-methyl-4-(methylsulfanyl)phenyl methoxy(sulfanylidene)phosphonite', 'O,O-Dimethyl O-[(3-methyl-4-methylthio)phenyl] phosphorothioate, 9CI', 'Phosphorothioic acid O,O-dimethyl O-[3-methyl-4-(methylthio)phenyl]ester']</t>
  </si>
  <si>
    <t>Compound(3346)</t>
  </si>
  <si>
    <t>C10H15O3PS2</t>
  </si>
  <si>
    <t>fenthion sulfone</t>
  </si>
  <si>
    <t>dimethoxy-(3-methyl-4-methylsulfonylphenoxy)-sulfanylidene-lambda5-phosphane</t>
  </si>
  <si>
    <t>['Fenthion sulfone', 'Fenthion-sulfone', 'Fenthione sulfone', '3761-42-0', 'O,O-Dimethyl O-(4-(methylsulfonyl)-m-tolyl) phosphorothioate', 'O,O-Dimethyl O-((4-methylthio)-m-tolyl)phosphorothioate sulfone', 'Q63396464', 'Phosphorothioic acid, O,O-dimethyl O-[4-(methylsulfonyl)-m-tolyl] ester', 'Phosphorothioic acid, O,O-dimethyl O-(3-methyl-4-(methylsulfonyl)phenyl) ester', 'PHOSPHOROTHIOIC ACID, O,O-DIMETHYL O-(4-(METHYLSULFONYL)-m-TOLYL) ESTER', 'Phosphorothioic acid, O,O-dimethyl O-[3-methyl-4-(methylsulfonyl)phenyl] ester', 'Fenthion-sulfon', 'O,O-Dimethyl O-(3-methyl-4-(methylsulfonyl)phenyl) phosphorothioate', 'O,O-Dimethyl O-[3-methyl-4-(methylsulfonyl)phenyl] phosphorothioate', 'dimethoxy-(3-methyl-4-methylsulfonylphenoxy)-sulfanylidene-?^{5}-phosphane', 'Fenthione sulphone', 'DTXSID6041975', 'AKOS015903360', 'Phosphorothioic acid, O,O-dimethyl O-(3-methyl-4-(methylsulfonyl)phenyl) ester (9CI)', 'LS-108856', 'Fenthion-sulfone 1000 microg/mL in Acetone', 'NS00000669', 'Fenthion-sulfone 100 microg/mL in Ethyl acetate', 'Fenthion-sulfone, PESTANAL(R), analytical standard', 'O,O-Dimethyl o-[3-methyl-4-(methylsulfonyl)phenyl] thiophosphate #', 'm-Cresol, 4-(methylsulfonyl)-, O-ester with O,O-dimethyl phosphorothioate', 'Phosphorothioic acid, O,O-dimethyl O-(4-(methylsulfonyl)-m-tolyl) esther;O,O-Dimethyl O-[3-methyl-4-(methylsulfonyl)phenylester phosphorothioic acid;Fenthion sulfone']</t>
  </si>
  <si>
    <t>Compound(19578)</t>
  </si>
  <si>
    <t>C10H15O5PS2</t>
  </si>
  <si>
    <t>5-[1-hydroxy-2-[1-(4-hydroxyphenyl)propan-2-ylamino]ethyl]benzene-1,3-diol</t>
  </si>
  <si>
    <t>['fenoterol', 'Phenoterol', '13392-18-2', 'Berotec', 'Fenoterolum', 'Fenoterolum [INN-Latin]', 'Th-1165a', 'TH 1165', '1-(3,5-Dihydroxyphenyl)-1-hydroxy-2-((4-hydroxyphenyl)isopropylamino)ethane', '3,5-Dihydroxy-alpha-(((p-hydroxy-alpha-methylphenethyl)amino)methyl)benzyl alcohol', '5-(1-hydroxy-2-{[1-(4-hydroxyphenyl)propan-2-yl]amino}ethyl)benzene-1,3-diol', "1-(p-Hydroxyphenyl)-2-((beta-hydroxy-beta-(3',5'-dihydroxyphenyl))ethyl)aminopropane", 'BRN 2157041', '5-[1-hydroxy-2-[1-(4-hydroxyphenyl)propan-2-ylamino]ethyl]benzene-1,3-diol', 'CHEMBL32800', 'CHEBI:149226', '1,3-Benzenediol, 5-(1-hydroxy-2-((2-(4-hydroxyphenyl)-1-methylethyl)amino)ethyl)-', '5-{1-Hydroxy-2-[2-(4-hydroxy-phenyl)-1-methyl-ethylamino]-ethyl}-benzene-1,3-diol', 'Berotek', 'CHEMBL537445', 'p-Hydroxyphenylorciprenaline', 'Benzyl alcohol, 3,5-dihydroxy-alpha-(((p-hydroxy-alpha-methylphenethyl)amino)methyl)-', 'p-Hydroxyphenyl-orciprenaline', 'Fenoterol [USAN:BAN:INN]', 'Fenoterol (USAN/INN)', 'Fenoterol [USAN:INN:BAN]', 'TH-1165', '5-(1-hydroxy-2-(1-(4-hydroxyphenyl)propan-2-ylamino)ethyl)benzene-1,3-diol', 'Berotec (Salt/Mix)', 'Spectrum_001246', 'Th-1165;Phenoterol', 'Partusisten (Salt/Mix)', 'Prestwick0_000282', 'Prestwick1_000282', 'Prestwick2_000282', 'Prestwick3_000282', 'Spectrum2_001388', 'Spectrum3_000915', 'Spectrum4_001014', 'Spectrum5_001572', 'Fenoterol (Th 1165a)', 'SCHEMBL5009', 'Lopac0_000544', 'BSPBio_000184', 'GTPL557', 'KBioGR_001507', 'KBioSS_001726', 'DivK1c_000405', 'SPBio_001376', 'SPBio_002403', 'BPBio1_000204', 'TH 1165A FREE BASE', 'TH-1165A FREE BASE', 'DTXSID4023046', 'CTK0H5893', 'KBio1_000405', 'KBio2_001726', 'KBio2_004294', 'KBio2_006862', 'KBio3_001890', 'NINDS_000405', 'BCP29485', 'HY-B0976', 'BBL023034', 'BDBM50131281', 'BDBM50221768', 's5769', 'STL356034', 'TH-1165A [As Hydrobromide Salt]', 'AKOS015964608', 'API0006491', 'CCG-204634', 'CS-4466', 'DB01288', 'SDCCGSBI-0050527.P004', '5-(1-hydroxy-2-{[2-(4-hydroxyphenyl)-1-methylethyl]amino}ethyl)benzene-1,3-diol', '5-[1-Hydroxy-2-[[2-(4-hydroxyphenyl)-1-methylethyl]amino]ethyl]-1,3-benzenediol', 'IDI1_000405', 'NCGC00015430-02', 'NCGC00015430-03', 'NCGC00162181-01', 'AC-13630', 'LS-42858', 'SBI-0050527.P003', 'TH 1165A [AS HYDROBROMIDE SALT]', 'AB00053590', 'NS00002340', 'NS00098888', 'T7382', 'V0579', 'D04157', 'AB00053590_10', '392F182', 'L000255', 'Q420188', 'BRD-A97104540-004-04-4', 'BRD-A97104540-004-08-5', 'Th-1165;Th 1165;Th1165; Phenoterol;Partusisten', "1-(p-Hydroxyphenyl)-2-((.beta.-hydroxy-.beta.-(3',5'-dihydroxyphenyl))ethyl)aminopropane", '3,5-Dihydroxy-.alpha.-(((p-hydroxy-.alpha.-methylphenethyl)amino)methyl)benzyl alcohol', '5-(1-Hydroxy-2-{[1-(4-hydroxyphenyl)-2-propanyl]amino}ethyl)-1,3-benzenediol', 'Benzyl alcohol, 3,5-dihydroxy-.alpha.-(((p-hydroxy-.alpha.-methylphenethyl)amino)methyl)-', 'fenoterol;5-[1-hydroxy-2-[[2-(4-hydroxyphenyl)-1-methylethyl]amino]ethyl]resorcinol hydrobromide', 'rac-(2S)-N-[(2R)-2-(3,5-dihydroxyphenyl)-2-hydroxyethyl]-1-(4-hydroxyphenyl)propan-2-amonium bromide']</t>
  </si>
  <si>
    <t>Compound(3343)</t>
  </si>
  <si>
    <t>fenvalerate</t>
  </si>
  <si>
    <t>[cyano-(3-phenoxyphenyl)methyl] 2-(4-chlorophenyl)-3-methylbutanoate</t>
  </si>
  <si>
    <t>['fenvalerate', '51630-58-1', 'Pydrin', 'Phenvalerate', 'Sumicidin', 'Belmark', 'Aqmatrine', 'Phenoxin', 'Agrofen', 'Ectrin', 'Fenaxin', 'Fenkem', 'Fenkill', 'Fenoxin', 'Fenval', 'Tirade', 'Furitrothion', 'Insectral', 'Sanmarton', 'Sumibac', 'Sumifleece', 'Sumifly', 'Sumipower', 'Sumitick', 'Sumkidin', 'Tribute', 'Evercide 2362', 'Cyano(3-phenoxyphenyl)methyl 2-(4-chlorophenyl)-3-methylbutanoate', 'Gold crest tribute', 'Sumicidin 20E', 'Caswell No. 077A', 'Fenvalerate [BSI:ISO]', 'C25H22ClNO3', 'Fenvalerate-d5', 'CCRIS 311', 'Asana', 'UNII-Z6MXZ39302', 'alpha-Cyano-3-phenoxybenzyl alpha-(4-chlorophenyl)isovalerate', 'WL 43775', 'HSDB 6640', 'EPA Shaughnessy Code: 109301', 'OMS-2000', 'EINECS 257-326-3', 'S-5602', 'BRN 2025982', 'SD 43775', 'AI3-29235', 'alpha-Cyano-3-phenoxybenzyl 2-(4-chlorophenyl)isovalerate', 'CHEBI:5014', 'S 5602', 'Fenvalerate A-beta', 'Z6MXZ39302', '4-Chloro-alpha-(1-methylethyl)benzeneacetic acid cyano(3-phenoxyphenyl)methyl ester', 'Cyano (3-phenoxybenzyl)-2-(4-chlorophenyl)-3-methylbutyrate', 'alpha-Cyano-3-phenoxybenzyl-2-(4-chlorophenyl)-3-methylbutyrate', 'alpha-Cyano-3-phenoxybenzyl alpha-isopropyl-4-chlorophenylacetate', 'DSSTox_CID_621', 'S 5602A-beta', '(+)-alpha-Cyano-3-phenoxybenzyl-(+)-alpha-(4-chlorophenyl)isovalerate', '[cyano-(3-phenoxyphenyl)methyl] 2-(4-chlorophenyl)-3-methylbutanoate', '(Cyano(3-phenoxyphenyl)methyl-4-chloro-alpha-(1-methylethyl)phenylacetate)', '(RS)-alpha-Cyano-3-phenoxybenzyl (RS)-2-(4-chlorophenyl)-3-methylbutyrate', 'alpha-Cyano-(3-phenoxyphenyl)methyl-4-chloro-alpha-(1-methylethyl)benzeneacetate', 'Cyano(3-phenoxyphenyl)methyl 4-chloro-alpha-(1-methylethyl)benzeneacetate', 'Benzeneacetic acid, 4-chloro-.alpha.-(1-methylethyl)-, cyano(3-phenoxyphenyl)methyl ester', 'DSSTox_RID_75696', 'DSSTox_GSID_20621', 'Halmark', 'W-111022', 'Sumi-alfa', 'fenvalarate', 'Asana XL', 'Sumi-.alpha.', 'Cyano(3-phenoxybenzyl)methyl 2-(4-chlorophenyl)-3-methylbutyrate', 'Fenvalerate .alpha.', 'cyano[3-(phenyloxy)phenyl]methyl 2-(4-chlorophenyl)-3-methylbutanoate', '(RS)-alpha-Cyano-3-phenoxybenzyl (RS)-2-(4-chloro-phenyl)-3-methylbutyrate', 'Sumicidin A .alpha.', '[(S)-cyano-(3-phenoxyphenyl)methyl] (2R)-2-(4-chlorophenyl)-3-methylbutanoate', 'Benzeneacetic acid, 4-chloro-alpha-(1-methylethyl)-, cyano(3-phenoxyphenyl)methyl ester', 'BRN 5857755', 'Fenvalerate A .alpha.', 'Benzeneacetic acid, 4-chloro-.alpha.-(1-methylethyl)-, (S)-cyano(3-phenoxyphenyl)methyl ester, (.alpha.S)-', 'Benzeneacetic acid, 4-chloro-.alpha.-(1-methylethyl)-, cyano (3-phenoxyphenyl)methyl ester,(S-(R*,R*))-', 'CAS-51630-58-1', 'Fenvalerate (pydrin)', 'S 5602 A .alpha.', 'S 5602B-alpha', '67614-33-9', 'Fenvalerate [INN:BAN]', 'S 5602B-beta', 'fenvaierate', 'OMS 3023', 'pydrin, (R-(R*,S*))-isomer', 'Fenvalerate E.C.', '66267-77-4', '67614-32-8', 'Benzeneacetic acid, 4-chloro-alpha-(1-methylethyl)-, cyano(3-phenoxyphenyl)methyl ester, (R-(R*,S*))-', 'Acadrex (TN)', 'Fenvalerate (BAN)', '(+-)-Fenvalerate', 'S 1844', 'Fenvalerate, &gt;=97%', 'SCHEMBL26911', '(S)-alpha-Cyano-3-phenoxybenzyl(S)-2-(4-chlorophenyl)isovalerate', 'Cyano(3-phenoxyphenyl)methyl 2-(4-chlorophenyl)-3-methylbutanoate #', 'BMK1-H10', 'CHEMBL492491', '(S)-.alpha.-Cyano-3-phenoxybenzyl(S)-2-(4-chlorophenyl)-3-methylbutyrate', 'DTXSID3020621', 'NIOSH/CY1576360', 'CTK8E5624', 'Esfenvalerate / (S)-.alpha.-Cyano-3-phenoxybenzyl (S)-2-(4-chlorophenyl)-3-methylbutyrate', 'alpha-Cyano-3-phenoxybenzyl-alpha-(4-chlorophenyl)isovalerate', 'alpha-cyano-3-phenoxybenzyl 2-(4-chlorophenyl)-3- methylbutyrate', 'alpha-cyano-3-phenoxybenzyl alpha-isopropyl-4-chlorophenyl acetate', 'HY-B2006', 'Tox21_201838', 'Tox21_302957', 'GL6974', 'HSCI1_000043', 'MFCD00055324', 'AKOS015904814', 'Fenvalerate 10 microg/mL in Isooctane', 'LS-7394', 'Fenvalerate 100 microg/mL in Isooctane', 'NCGC00163508-01', 'NCGC00163508-02', 'NCGC00163508-03', 'NCGC00256483-01', 'NCGC00259387-01', 'AC-22281', 'AS-49365', 'Benzeneacetic acid, 4-chloro-.alpha.-(1-methylethyl)-, (R)-cyano(3-phenoxyphenyl)methyl ester, (.alpha.S)-', 'Benzeneacetic acid, 4-chloro-alpha-(1-methylethyl)-, cyano(3-phenoxyphenyl)methyl ester, (R-(R*,R*))-', 'Benzeneacetic acid, 4-chloro-alpha-(1-methylethyl)-, cyano(3-phenoxyphenyl)methyl ester, (S-(R*,S*))-', 'CC-28411', 'Fenvalerate 10 microg/mL in Acetonitrile', 'H653', 'LS-28682', 'LS-28683', 'LS-28685', 'SC-18544', 'ACM1246815008', 'AX8021157', '533-EP2274983A1', '533-EP2275422A1', '533-EP2280009A1', '533-EP2292608A1', '533-EP2305658A1', '533-EP2308857A1', '533-EP2308858A1', '533-EP2311816A1', '533-EP2311817A1', '533-EP2314583A1', 'CS-0014107', 'CY15763600', 'FT-0630648', 'FT-0630761', 'FT-0668516', 'C10988', 'D07952', 'Fenvalerate, PESTANAL(R), analytical standard', '630F581', 'C-22054', 'Q412010', 'Fenvalerate, certified reference material, TraceCERT(R)', 'a-Cyano-3-phenoxybenzyl 2-(4-chlorophenyl)-3-methylbutyrate', 'alpha-Cyano-3-phenoxybenzyl alpha-(4-chlorophenyl)-iso-valerate', 'alpha-cyano-m-phenoxybenzyl 2-(p-chlorophenyl)-3-methylbutyrate', 'alpha-cyano-3-phenoxy-benzyl 2-(p-chlorophenyl)-2-isopropyl-acetate', 'alpha-cyano-3-phenoxybenzyl 2-(4-chlorophenyl)-3-methylbutanoate', 'alpha-cyano-3-phenoxybenzyl 2-(4-chlorophenyl)-3-methylbutyrate', 'Cyano(3-phenoxyphenyl)methyl 4-chloro-a-(1-methylethyl)benzeneacetate, 9CI', '(+-)-4-Chloro-alpha-(1-methylethyl)benzeneacetic acid cyano(3-phenoxyphenyl)methyl ester', 'Cyano(3-phenoxyphenyl)methyl ester, 4-chloro-alpha-(1-methylethyl)benzeneacetic acid', 'Benzeneacetic acid, 4-chloro-alpha-(1-methylethyl)-, cyano(3-phenoxyphenyl)methyl ester, (+-)-', 'Benzeneacetic acid, 4-chloro-alpha-(1-methylethyl)-, cyano(3-phenoxyphenyl)methyl ester,(R-(R*,S*))-']</t>
  </si>
  <si>
    <t>Compound(3347)</t>
  </si>
  <si>
    <t>ethyl (2R)-2-[4-[(6-chloro-1,3-benzoxazol-2-yl)oxy]phenoxy]propanoate</t>
  </si>
  <si>
    <t>['Fenoxaprop-P-ethyl', '71283-80-2', 'Ethyl (2R)-(+)-2-[4-(6-chlorobenzoxazol-2-yloxy)phenoxy]propionate', 'UNII-54CSW9U08K', '54CSW9U08K', 'C18H16ClNO5', 'Fenoxaprop-P-ethyl [ISO:BSI]', 'Propanoic acid, 2-(4-((6-chloro-2-benzoxazolyl)oxy)phenoxy)-, ethyl ester, (2R)-', 'Fenoxaprop P-ethyl', 'ethyl (2R)-2-[4-[(6-chloro-1,3-benzoxazol-2-yl)oxy]phenoxy]propanoate', 'DSSTox_CID_14598', 'DSSTox_RID_79174', 'DSSTox_GSID_34598', 'SCHEMBL54125', 'CHEMBL2251729', 'DTXSID2034598', 'CTK8C5658', 'ZINC642574', 'HY-B2013', 'Tox21_301569', 'AKOS015994777', 'CS-5199', 'KS-5121', 'NCGC00255428-01', 'O742', 'CAS-71283-80-2', '283F802', 'A837141', 'Fenoxaprop-P-ethyl, PESTANAL(R), analytical standard', 'Q16064370', 'UNII-7U20WEM458 component PQKBPHSEKWERTG-LLVKDONJSA-N', 'Ethyl (2R)-(+)-2-[4-(6-chlorobenzoxazol-2-yloxy)phenoxy]propionate, 95%', 'ethyl (2R)-2-[4-[(6-chloranyl-1,3-benzoxazol-2-yl)oxy]phenoxy]propanoate', '(2R)-2-[4-[(6-chloro-1,3-benzoxazol-2-yl)oxy]phenoxy]propanoic acid ethyl ester', 'Propanoic acid, 2-[4-[(6-chloro-2-benzoxazolyl)oxy]phenoxy]-, ethyl ester, (2R)-;(R)-2-[4-(6-chloro-1,3-benzoxazol-2-yloxy)phenoxy]propionic acid ethyl ester']</t>
  </si>
  <si>
    <t>Compound(91707)</t>
  </si>
  <si>
    <t>4-[2-(4-tert-butylphenyl)ethoxy]quinazoline</t>
  </si>
  <si>
    <t>['Fenazaquin', '120928-09-8', '4-(4-(tert-Butyl)phenethoxy)quinazoline', 'Fenazaquin [ISO]', '4-[2-(4-tert-butylphenyl)ethoxy]quinazoline', '4-tert-Butylphenethylquinazolin-4-yl ether', 'UNII-DK5Q534WEE', 'DK5Q534WEE', 'CHEBI:38593', '4-((4-(1,1-Dimethylethyl)phenyl)ethoxy)quinazoline', 'Quinazoline, 4-((4-(1,1-dimethylethyl)phenyl)ethoxy)-', 'Quinazoline, 4-[2-[4-(1,1-dimethylethyl)phenyl]ethoxy]-', 'Fenazachin', 'Fenaza', 'Magus', 'Pride Ultra', 'Quinazoline, 4-(2-(4-(1,1-dimethylethyl)phenyl)ethoxy)-', 'Fenazaquine', 'HSDB 7948', 'XDE 436', 'GWN 1708', 'EL 436', 'EC 410-580-0', 'DSSTox_CID_20476', 'DSSTox_RID_79499', 'DSSTox_GSID_40476', 'SCHEMBL26216', 'CHEMBL243282', 'XDE436', 'DTXSID4040476', 'ZINC2383010', 'Tox21_301223', '4-(4-tert-butylphenethoxy)quinazoline', 'AKOS015903772', 'KS-5370', 'Fenazaquin 10 microg/mL in Cyclohexane', 'KS-00000G96', 'Fenazaquin 10 microg/mL in Acetonitrile', 'Fenazaquin 100 microg/mL in Cyclohexane', 'NCGC00255594-01', 'SC-19723', 'DB-041590', 'LS-140102', 'CAS-120928-09-8', 'FT-0631103', 'NS00006654', '4-[2-[4-(t-Butyl)phenyl]ethoxy]quinazoline', 'Fenazaquin, PESTANAL(R), analytical standard', 'C18727', '31411-EP2274983A1', '31411-EP2275422A1', '31411-EP2292608A1', '31411-EP2308857A1', '31411-EP2308858A1', '31411-EP2311816A1', '31411-EP2311817A1', '928F098', 'J-004412', 'Q1404580', '4-(2-(4-(1,1-Dimethylethyl)phenyl)ethoxy)quinazoline', '4-{2-[4-(2-Methyl-2-propanyl)phenyl]ethoxy}quinazoline', '4-[2-[4-(1,1-Dimethylethyl)phenyl]-ethoxy]quinazoline;fenazaquin']</t>
  </si>
  <si>
    <t>Compound(86356)</t>
  </si>
  <si>
    <t>C20H22N2O</t>
  </si>
  <si>
    <t>N,N-dimethylcarbamodithioate;iron(3+)</t>
  </si>
  <si>
    <t>['Ferbam', 'Iron(III) dimethyldithiocarbamate', 'Ferric dimethyldithiocarbamate', '14484-64-1', 'Trimanzone', 'Cormate', 'Fermacide', 'Fermate', 'Ferradow', 'Hexaferb', 'Hokmate', 'Trifungol', 'Karbam Black', 'Iron dimethyldithiocarbamate', 'iron(3+) tris(dimethyldithiocarbamate)', 'Tris(N,N-dimethyldithiocarbamato)iron(III)', 'Aaferzimag', 'Aafertis', 'Ferberk', 'Fermocide', 'Fuklazin', 'Knockmate', 'Liromate', 'Niacide', 'Stauffer ferbam', 'Fuklasin Ultra', 'Ferbam, iron salt', 'Bercema fertam 50', 'Vancide FE95', 'Ferbam 50', 'Caswell No. 458', 'Ferbam [BSI:ISO]', 'Ferbame [ISO-French]', 'Fermate ferbam fungicide', "Sup'R-flo ferbam flowable", 'UNII-SKM8W5154H', 'CCRIS 1031', 'Tris(dimethyldithiocarbamato)iron', 'HSDB 1645', 'Iron tris(dimethyldithiocarbamate)', 'Eisendimethyldithiocarbamat [German]', 'EINECS 238-484-2', 'Iron, tris(dimethyldithiocarbamato)-', 'Dimethyldithiocarbamic acid, iron salt', 'ENT 14,689', 'EPA Pesticide Chemical Code 034801', 'Dimethyldithiocarbamic acid, ferric salt', "Tris(dimethylcarbamodithioato-S,S')iron", "Iron, tris(dimethylcarbamodithioato-S,S')-, (OC-6-11)-", 'Dimethylcarbamodithioic acid, iron complex', 'ACMC-209cti', 'Carbamic acid, dimethyldithio-, iron salt', 'AI3-14689', 'Dimethyldithiocarbamic acid, iron(3+) salt', 'Dimethylcarbamodithioic acid, iron(3+) salt', 'DSSTox_CID_624', 'Carbamodithioic acid, dimethyl-, iron complex', 'Tris(N,N-dimethyldithiocarbamato) iron(111)', 'Carbamic acid, dimethyldithio-, iron(3+) salt', 'DSSTox_RID_75698', 'DSSTox_GSID_20624', "(OC-6-11)-tris(dimethylcarbamodithioato-S,S')iron", 'Eisen(III)-tris(N,N-dimethyldithiocarbamat) [German]', 'SKM8W5154H', 'DTXSID8020624', 'CTK8B0798', 'Tox21_202589', 'ANW-20884', 'Dimethyldithiocarbamic Acid Ferric Salt', 'LS-7396', 'NCGC00163965-01', 'NCGC00163965-02', 'NCGC00260137-01', 'CAS-14484-64-1', 'D1267', 'C11223', 'Q426535', 'J-008014', "Iron, tris(dimethylcarbamodithioato-kappaS,kappaS')-, (OC-6-11)-"]</t>
  </si>
  <si>
    <t>Compound(26710)</t>
  </si>
  <si>
    <t>C9H18FeN3S6</t>
  </si>
  <si>
    <t>ferrocene</t>
  </si>
  <si>
    <t>cyclopenta-1,3-diene;iron(2+)</t>
  </si>
  <si>
    <t>['FERROCENE', '102-54-5', 'Catane', 'UNII-U96PKG90JQ', 'CCRIS 3195', 'HSDB 2878', 'NSC 2033', 'EINECS 203-039-3', 'U96PKG90JQ', 'AI3-23119', 'Iron, bis(eta5-2,4-cyclopentadien-1-yl)-', 'DSSTox_CID_5326', 'EC 203-039-3', 'DSSTox_RID_77749', 'DSSTox_GSID_25326', 'Bis( cyclopentadienyl)eisen(II)', 'DTXSID9025326', 'Tox21_202514', 'LS-357', 'NCGC00091936-01', 'NCGC00260063-01', 'CAS-102-54-5', 'Q211972', 'Bis(cyclopentadienyl)iron, Di(cyclopentadienyl)iron']</t>
  </si>
  <si>
    <t>Compound(7611)</t>
  </si>
  <si>
    <t>C10H10Fe</t>
  </si>
  <si>
    <t>2-[4-[1-hydroxy-4-[4-[hydroxy(diphenyl)methyl]piperidin-1-yl]butyl]phenyl]-2-methylpropanoic acid</t>
  </si>
  <si>
    <t>['fexofenadine', '83799-24-0', 'Carboxyterfenadine', 'Terfenadine carboxylate', 'Terfenadine-COOH', 'Terfenadine acid metabolite', 'Allegra', 'Fexofenadine [INN:BAN]', 'HSDB 7486', 'MDL 16455', '2-(4-(1-Hydroxy-4-(4-(hydroxydiphenylmethyl)piperidin-1-yl)butyl)phenyl)-2-methylpropanoic acid', '4-(1-Hydroxy-4-(4-(hydroxydiphenylmethyl)-1-piperidinyl)butyl)-alpha,alpha-dimethylbenzeneacetic acid', 'CHEMBL914', 'CHEBI:5050', '2-[4-(1-hydroxy-4-{4-[hydroxy(diphenyl)methyl]piperidin-1-yl}butyl)phenyl]-2-methylpropanoic acid', 'Fexofendine', 'AK-75768', '139965-10-9', '138452-21-8', '2-(4-{1-HYDROXY-4-[4-(HYDROXYDIPHENYLMETHYL)PIPERIDIN-1-YL]BUTYL}PHENYL)-2-METHYLPROPANOIC ACID', 'Q-201113', 'MDL 16455 hydrochloride', '2-(4-(1-Hydroxy-4-(4-(hydroxydiphenylmethyl)-piperidin-1-yl)butyl)phenyl)-2-methylpropanoic acid', 'Benzeneacetic acid, 4-(1-hydroxy-4-(4-(hydroxydiphenylmethyl)-1-piperidinyl)butyl)-alpha,alpha-dimethyl-', 'Telfast (TN)', 'Fexofenadine (INN)', 'Terfenidine carboxylate hydrochloride', 'MDL-16455', 'MFCD00865710', '139965-11-0', 'NCGC00015453-05', 'UNII-E6582LOH6V', 'Fexofenadin', 'SR-01000075889', 'piperidin-1-yl)', 'Terfenidine carboxylate, MDL 16455', 'Spectrum_001914', 'Spectrum2_001179', 'Spectrum3_001921', 'Spectrum4_000204', 'Spectrum5_001474', 'EC 801-893-7', 'F 9427', 'SCHEMBL4900', 'Lopac0_000488', 'BSPBio_003521', 'KBioGR_000807', 'KBioSS_002456', 'SPBio_001197', 'E6582LOH6V', 'GTPL4819', 'butyl)phenyl)-2-methylpropanoic', 'BDBM22874', 'CTK8F0592', 'KBio2_002449', 'KBio2_005017', 'KBio2_007585', 'KBio3_002742', 'DTXSID00861411', 'HMS3261B17', 'HMS3370C16', 'BCP11806', 'Tox21_500488', 'BBL029080', 'STK624102', 'MDL-16455; Terfenadine carboxylate', 'AKOS005557315', 'API0002698', 'BCP9000683', 'CCG-204579', 'DB00950', 'LP00488', 'MCULE-4193800017', 'SDCCGSBI-0050472.P003', 'VA10906', 'NCGC00015453-03', 'NCGC00015453-04', 'NCGC00015453-06', 'NCGC00015453-10', 'NCGC00092389-02', 'NCGC00092389-03', 'NCGC00092389-04', 'NCGC00261173-01', '(+/-)-4-(1-Hydroxy-4-(4-(hydroxydiphenyl-methyl)-1- piperidinyl)butyl)-alpha-dimethylbenzeneacetic acid', '2-[4-[1-hydroxy-4-[4-[hydroxy(diphenyl)methyl]-1-piperidyl]butyl]phenyl]-2-methyl-propanoic acid', 'AS-35188', 'CC-28419', 'LS-28827', 'SBI-0050472.P002', 'AX8130353', 'DB-016658', 'EU-0100488', 'FT-0626423', 'FT-0668526', 'FT-0668527', 'FT-0668529', '5315-EP2281815A1', '5315-EP2289878A1', '5315-EP2295409A1', '5315-EP2301933A1', '5315-EP2305640A2', '5315-EP2308562A2', '5315-EP2311827A1', '5315-EP2314590A1', '5315-EP2371811A2', 'C06999', 'D07958', '2-(4-(1-hydroxy-4-(4-(hydroxydiphenylmethyl)', 'AB00876239_06', 'AB00876239_07', '439F408', '799F240', 'C-22951', 'L000869', 'Q415122', 'SR-01000075889-1', 'BRD-A73368467-003-02-8', 'BRD-A73368467-003-07-7', '(+)-4-[4-[4-(hydroxydiphenylmethyl)-1-piperidinyl]-1-hydroxybutyl]-alpha,alpha-dimethylbenzeneacetic-acid', '(+/-)-4-(1-Hydroxy-4-(4-(hydroxydiphenyl-methyl)-1- piperidinyl)butyl)-.alpha.-dimethylbenzeneacetic acid', '1319714-86-7', '2-[4-(1-hydroxy-4-{4-[hydroxy(diphenyl)methyl]piperidino}butyl)phenyl]-2-methylpropanoic acid', '2-[4-[1-hydroxy-4-[4-(hydroxydiphenylmethyl)-1-piperidyl]butyl]phenyl]-2-methyl-propanoic acid', '2-[4-[1-hydroxy-4-[4-[hydroxy(diphenyl)methyl]-1-piperidinyl]butyl]phenyl]-2-methylpropanoic acid', '4-[4-(4-(Hydroxydiphenylmethyl)-1-piperidinyl]-1-hydroxybutyl]-alpha, alpha-dimethylbenzeneacetic acid', '4-[4-[4-(hydroxydiphenylmethyl)-1-piperidinyl]-1-hydroxybutyl] -alpha,alpha-dimethylbenzeneacetic acid', '4-[4-[4-(Hydroxydiphenylmethyl)-1-piperidinyl]-1-hydroxybutyl]-alpha,alpha-dimethylbenzeneacetic acid', '4-[4-[4-(hydroxydiphenylmethyl)-1-piperidinyl]-1-hydroxybutyl]-alpha,alpha-dimethylphenylacetic acid', '4-[4[4-(hydroxydiphenylmethyl)-1-piperidinyl]-1-hydroxybutyl]-alpha,alpha-dimethylbenzeneacetic acid', 'Benzeneacetic acid, 4-[1-hydroxy-4-[4-(hydroxydiphenylmethyl)-1-piperidinyl]butyl]-?,?-dimethyl-, hydrochloride (1:1);Fexofenadine hydrochloride;Fexofenadine;Fexofenadin_3019_ p', 'Benzeneacetic acid,4-[1-hydroxy-4-[4-(hydroxydiphenylmethyl)-1-piperidinyl]butyl]-a,a-dimethyl-', 'racemic 4-[4-[4-(hydroxydiphenylmethyl)-1-piperidinyl]-1-hydroxybutyl]-alpha,alpha-dimethylbenzeneacetic acid']</t>
  </si>
  <si>
    <t>Compound(3348)</t>
  </si>
  <si>
    <t>C32H39NO4</t>
  </si>
  <si>
    <t>5-amino-1-[2,6-dichloro-4-(trifluoromethyl)phenyl]-4-(trifluoromethyl)pyrazole-3-carbonitrile</t>
  </si>
  <si>
    <t>['Fipronil Desulfinyl', 'FIPRONIL-DESULFINYL', 'Desulfinylfipronil', '205650-65-3', 'UNII-A9Y6W9QM9D', 'A9Y6W9QM9D', '5-Amino-1-(2,6-dichloro-4-(trifluoromethyl)phenyl)-4-(trifluoromethyl)-1H-pyrazole-3-carbonitrile', '5-Amino-1-[2,6-dichloro-4-(trifluoromethyl)phenyl]-4-(trifluoromethyl)-1H-pyrazole-3-carbonitrile', '5-amino-1-[2,6-dichloro-4-(trifluoromethyl)phenyl]-4-(trifluoromethyl)pyrazole-3-carbonitrile', '1H-Pyrazole-3-carbonitrile, 5-amino-1-(2,6-dichloro-4-(trifluoromethyl)phenyl)-4-(trifluoromethyl)-', 'Fipronil metabolite 46513', '1H-Pyrazole-3-carbonitrile, 5-amino-1-[2,6-dichloro-4-(trifluoromethyl)phenyl]-4-(trifluoromethyl)-', 'MB-46513', 'J783.262A', 'SCHEMBL5729771', 'DTXSID0043719', 'CHEBI:83489', 'ZINC77292600', 'FT-0668541', 'NS00000352', 'Fipronil-desulfinyl 10 microg/mL in Acetonitrile', 'Fipronil-desulfinyl 100 microg/mL in Acetonitrile', 'Fipronil-desulfinyl, PESTANAL(R), analytical standard', 'Q27156872', '5-Amino-1-(2,6-dichloro-alpha,alpha,alpha-trifluoro-p-tolyl)-4-trifluoro-methylpyrazole-3-carbonitrile', '5-amino-1-[2,6-dichloro-4-(trifluoromethyl)phenyl]-4-[(1r,s)-(trifluoromethyl)]-1h-pyrazole-3-carbonitrile']</t>
  </si>
  <si>
    <t>Compound(22673275)</t>
  </si>
  <si>
    <t>C12H4Cl2F6N4</t>
  </si>
  <si>
    <t>5-amino-1-[2,6-dichloro-4-(trifluoromethyl)phenyl]-4-(trifluoromethylsulfinyl)pyrazole-3-carbonitrile</t>
  </si>
  <si>
    <t>['fipronil', '120068-37-3', 'Fipronil [ISO]', 'C12H4Cl2F6N4OS', 'HSDB 7051', 'RM 1601', 'MB 46030', 'CHEMBL101326', '5-amino-1-[2,6-dichloro-4-(trifluoromethyl)phenyl]-4-(trifluoromethylsulfinyl)pyrazole-3-carbonitrile', '5-amino-1-[2,6-dichloro-4-(trifluoromethyl)phenyl]-4-[(trifluoromethyl)sulfinyl]-1H-pyrazole-3-carbonitrile', 'CHEBI:83394', 'M &amp; B 46030', '5-amino-1-(2,6-dichloro-4-(trifluoromethyl)phenyl)-4-((trifluoromethyl)sulfinyl)-1h-pyrazole-3-carbonitrile', 'NCGC00094574-06', '5-Amino-3-cyano-1-(2,6-dichloro-4-trifluoromethylphenyl)-4-trifluoromethylsulfinylpyrazole', 'DSSTox_CID_14609', 'DSSTox_RID_79176', 'DSSTox_GSID_34609', '1H-Pyrazole-3-carbonitrile, 5-amino-1-[2,6-dichloro-4-(trifluoromethyl)phenyl]-4-[(trifluoromethyl)sulfinyl]-', 'Q-201115', '(RS)-5-Amino-1-(2,6-dichloro-4-trifluoromethylphenyl)-4-(trifluoromethylsulfinyl)pyrazole-3-carbonitrile', '1H-Pyrazole-3-carbonitrile, 5-amino-1-(2,6-dichloro-4-(trifluoromethyl)phenyl)-4-((trifluoromethyl)sulfinyl)-', '5-amino-1-[2,6-dichloro-4-(trifluoromethyl)phenyl]-4-[(S)-trifluoromethylsulfinyl]pyrazole-3-carbonitrile', 'CAS-120068-37-3', 'Fipronil (JAN)', 'Fipronil [INN:BAN]', 'UPCMLD-DP011', 'EC 424-610-5', 'CBiol_001754', 'SCHEMBL15088', 'BSPBio_001315', 'BSPBio_002266', 'KBioGR_000035', 'KBioSS_000035', 'MLS004712079', 'SPECTRUM1505354', 'DTXSID4034609', 'UPCMLD-DP011:001', 'UPCMLD-DP011:002', 'BCBcMAP01_000152', 'KBio2_000035', 'KBio2_002603', 'KBio2_005171', 'KBio3_000069', 'KBio3_000070', 'KS-00000IPK', 'Bio1_000040', 'Bio1_000529', 'Bio1_001018', 'Bio2_000035', 'Bio2_000515', 'HMS1361B17', 'HMS1791B17', 'HMS1922F08', 'HMS1989B17', 'HMS2093D09', 'HMS3402B17', 'Pharmakon1600-01505354', 'BCP14931', 'HY-B0822', 'Tox21_111300', 'Tox21_301114', 'AC-427', 'BDBM50106148', 'CM-102', 'MFCD00867812', 'NSC758960', 's5366', 'Fipronil 1000 microg/mL in Acetone', 'AKOS015960931', 'Tox21_111300_1', 'ACN-048916', 'CCG-213975', 'KS-5066', 'NSC-758960', 'RM-1601', 'Fipronil 100 microg/mL in Acetonitrile', 'IDI1_033785', 'NCGC00094574-01', 'NCGC00094574-02', 'NCGC00094574-03', 'NCGC00094574-05', 'NCGC00094574-07', 'NCGC00094574-08', 'NCGC00094574-09', 'NCGC00094574-10', 'NCGC00094574-11', 'NCGC00094574-12', 'NCGC00094574-13', 'NCGC00094574-15', 'NCGC00255014-01', '5-amino-1-(2,6-dichloro-alpha,alpha,alpha-trifluoro-p-tolyl)-4-trifluoromethylsulfinylpyrazole-3-carbonitile', 'AK343459', 'CC-28429', 'MB-46030', 'SC-14106', 'SMR000777967', 'SBI-0206839.P001', 'DB-041522', 'LS-128077', 'CS-0012838', 'F0822', 'Fipronil, PESTANAL(R), analytical standard', 'FT-0631097', 'NS00000349', 'C11099', 'D01042', 'K-1417', 'AB00643326_02', '068F373', 'C-22325', 'Q415933', 'SR-05000002006', 'SR-05000002006-1', 'BRD-A50675702-001-03-0', 'BRD-A50675702-001-04-8', 'Fipronil, certified reference material, TraceCERT(R)', '5-amino-1-(2,6-dichloro-4-trifluoromethylphenyl)-3-cyano-4-trifluoromethylsulfinylpyrazole', '5-Amino-1-(2,6-dichloro-4-trifluoromethylphenyl)-3-cyano-4-trifluoromethylsulphinylpyrazole', '5-Amino-3-cyano-1-(2,6-dichloro-4-trifluoromethylphenyl)-4-trifluoromethylsulfinyl-pyrazole', '5-Amino-3-cyano-1-(2,6-dichloro-4-trifluoromethylphenyl)-4-trifluoromethylsulfinylpyrazol e', '5-amino-3-cyano-1-(2,6-dichloro-4-trifluoromethylphenyl)-4-trifluoromethylsulphinylpyrazole', '5-amino-1 -(2,6-dichloro-4-trifluoromethylphenyl)-4-trifluoromethylsulfinyl-1 H-pyrazole-3-carbonitrile', '5-amino-1-(2,6-dichloro-4-(trifluoromethyl) phenyl)-4-((trifluoromethyl) sulfinyl)-1H-pyrazol-3-carbonitrile', '5-amino-1-(2,6-dichloro-4-(trifluoromethyl)phenyl)-4-(trifluoromethylsulfinyl)-1H-pyrazole-3-carbonitrile', '5-amino-1-(2,6-dichloro-4-trifluoromethylphenyl)-3-cyano-4-trifluoromethylsulphinyl pyrazole', '5-Amino-1-[2,6-dichloro-4-(trifluoromethyl)phenyl]-3-cyano-4-(trifluoromethyl)sulfinylpyrazole', '5-Amino-1-[2,6-dichloro-4-(trifluoromethyl)phenyl]-4-(trifluoromethanesulfinyl)-1H-pyrazole-3-carbonitrile', '5-Amino-1-[2,6-dichloro-4-(trifluoromethyl)phenyl]-4-(trifluoromethyl)sulfinylpyrazole-3-carbonitrile', '5-amino-1-[2,6-dichloro-4-(trifluoromethyl)phenyl]-4-trifluoromethanesulfinyl-1H-pyrazole-3-carbonitrile', '5-amino-3-cyano-1-(2,6-dichloro-4-trifluoromethylphenyl) -4-trifluoromethylsulphinylpyrazole', 'Fipronil 10 microg/mL in Acetonitrile. Short expiry date due to chemical nature of component(s)', 'fipronil;5-amino-1-[2,6-dichloro-4-(trifluoromethyl)phenyl]-4-[(trifluoromethyl)sulfinyl]-1H-pyrazole-3-carbonitrile']</t>
  </si>
  <si>
    <t>Compound(3352)</t>
  </si>
  <si>
    <t>C12H4Cl2F6N4OS</t>
  </si>
  <si>
    <t>fipronil sulfone</t>
  </si>
  <si>
    <t>5-amino-1-[2,6-dichloro-4-(trifluoromethyl)phenyl]-4-(trifluoromethylsulfonyl)pyrazole-3-carbonitrile</t>
  </si>
  <si>
    <t>['fipronil sulfone', '120068-36-2', 'FIPRONIL-SULFONE', 'UNII-KE7T0T1PQ7', 'M &amp; B 46136', 'KE7T0T1PQ7', '5-amino-1-[2,6-dichloro-4-(trifluoromethyl)phenyl]-4-(trifluoromethylsulfonyl)pyrazole-3-carbonitrile', '1H-Pyrazole-3-carbonitrile, 5-amino-1-(2,6-dichloro-4-(trifluoromethyl)phenyl)-4-((trifluoromethyl)sulfonyl)-', '1-(2,6-Dichloro-4-trifluoromethylphenyl)-3-cyano-4-trifluoromethanesulfonyl-5-aminopyrazole', '5-amino-1-[2,6-dichloro-4-(trifluoromethyl)phenyl]-4-[(trifluoromethyl)sulfonyl]-1H-pyrazole-3-carbonitrile', 'MB 46136', 'Fipronil MB 46136', 'SCHEMBL922220', 'DTXSID6074750', 'CHEBI:83487', 'ZINC33900823', '5-Amino-1-(2,6-dichloro-4-trifluoromethylphenyl)-3-cyano-4-trifluoromethylsulfonylpyrazole', 'LS-128078', 'FT-0668543', 'NS00000350', 'Fipronil-sulfone 10 microg/mL in Acetonitrile', 'Fipronil-sulfone 100 microg/mL in Acetonitrile', 'Fipronil sulfone, PESTANAL(R), analytical standard', 'Q27156870', '5-amino-1-(2,6-dichloro-4-trifluoromethylphenyl)-3-cyano-4-trifluoromethylsulphonylpyrazole', '5-Amino-3-cyano-1-(2,6-dichloro-4-trifluoromethylphenyl)-4-trifluoromethylsulfonylpyrazole', '5-amino-1-(2,6-dichloro-4-(trifluoromethyl)phenyl)-4-((trifluoromethyl)sulfonyl)-1H-pyrazol-3-carbonitrile', '5-amino-1-(2,6-dichloro-4-(trifluoromethyl)phenyl)-4-(trifluoromethylsulfonyl)-1H-pyrazole-3-carbonitrile', '5-amino-1-(2,6-dichloro-4-trifluoromethylphenyl)-4-trifluoromethylsulfonyl-1 H-pyrazole-3-carbonitrile', '5-Amino-1-[2,6-dichloro-4-(trifluoromethyl)phenyl]-4-(trifluoromethanesulfonyl)-1H-pyrazole-3-carbonitrile', '5-amino-3-cyano-1-(2,6-dichloro-4-trifluoromethylphenyl)-4-trifluoromethanesulphonylpyrazole', 'Fipronil-sulfone;MB46136;5-Amino-1-(2,6-dichloro-alpha,alpha,alpha-trifluoro-p-tolyl)-4-trifluoro-methylsulfonylpyrazole-3-carbonitrile']</t>
  </si>
  <si>
    <t>Compound(3078139)</t>
  </si>
  <si>
    <t>C12H4Cl2F6N4O2S</t>
  </si>
  <si>
    <t>propan-2-yl (2R)-2-(N-benzoyl-3-chloro-4-fluoroanilino)propanoate</t>
  </si>
  <si>
    <t>['Flamprop-m-isopropyl', 'Commando', 'Superbarnon', 'Effix', 'Barnon plus', 'Super suffix', '(-)-Flamprop-isopropyl', '63782-90-1', 'UNII-I84Y647LPJ', 'Flamprop-M-isopropyl [ISO]', 'Isopropyl N-benzoyl-N-(3-chloro-4-fluorophenyl)-D-alaninate', 'WL 43 425', 'I84Y647LPJ', 'D-Alanine, N-benzoyl-N-(3-chloro-4-fluorophenyl)-, isopropyl ester', 'BRN 2899801', 'D-Alanine, N-benzoyl-N-(3-chloro-4-fluorophenyl)-, 1-methylethyl ester', 'SCHEMBL143032', 'DTXSID8058245', 'BIF6378', 'ZX-AFC000880', 'ZINC2004887', 'LS-15819', 'Q27280559', 'UNII-54ZX2H5250 component IKVXBIIHQGXQRQ-CYBMUJFWSA-N']</t>
  </si>
  <si>
    <t>Compound(94583)</t>
  </si>
  <si>
    <t>C19H19ClFNO3</t>
  </si>
  <si>
    <t>1-(4,6-dimethoxypyrimidin-2-yl)-3-[3-(trifluoromethyl)pyridin-2-yl]sulfonylurea</t>
  </si>
  <si>
    <t>['Flazasulfuron', '104040-78-0', 'Shibagen [Japanese]', 'Flazasulfuron [ISO]', 'UNII-3SB13WWV30', '1-(4,6-Dimethoxypyrimidin-2-yl)-3-(3-trifluoromethyl-2-pyridylsulfonyl)urea', 'SL-160', 'OK-1166', '3SB13WWV30', 'CHEBI:81749', 'N-(((4,6-Dimethoxy-2-pyrimidinyl)amino)carbonyl)-3-(trifluoromethyl)-2-pyridinesulfonamide', '2-Pyridinesulfonamide, N-(((4,6-dimethoxy-2-pyrimidinyl)amino)carbonyl)-3-(trifluoromethyl)-', 'Shibagen', '2-Pyridinesulfonamide, N-[[(4,6-dimethoxy-2-pyrimidinyl)amino]carbonyl]-3-(trifluoromethyl)-', 'C13H12F3N5O5S', 'HSDB 7957', 'SCHEMBL54678', 'CHEMBL1878071', 'DTXSID3034610', 'CTK8E8791', 'ZINC6088311', 'AKOS015900343', '1-(4,6-dimethoxypyrimidin-2-yl)-3-[3-(trifluoromethyl)pyridin-2-yl]sulfonylurea', 'NCGC00164266-01', 'CC-28435', 'SC-19977', 'DB-040506', 'LS-131963', 'FT-0642552', 'NS00000142', 'C18441', 'Flazasulfuron, PESTANAL(R), analytical standard', '040F780', 'A800883', 'C-21847', 'J-001097', 'Q3073504', '1-(4,6-dimethoxy-2-pyrimidinyl)-3-[[3-(trifluoromethyl)-2-pyridinyl]sulfonyl]urea', '1-(4,6-dimethoxypyrimidin-2-yl)-3-[3-(trifluoromethyl)pyridin-2-yl]sulfonyl-urea', 'N-(4,6-dimethoxypyrimidin-2-ylcarbamoyl)-3-(trifluoromethyl)pyridine-2-sulfonamide', 'N-[(4,6-Dimethoxypyrimidin-2-yl)carbamoyl]-3-(trifluoromethyl)pyridine-2-sulfonamide', '2-Pyridinesulfonamide, N-[[(4,6-dimethoxy-2-pyrimidinyl)amino]carbonyl]-3-(trifluoromethyl)-;1-(4,6-dimethoxypyrimidin-2-yl)-3-(3-trifluoromethyl-2-pyridylsulfonyl)urea']</t>
  </si>
  <si>
    <t>Compound(93539)</t>
  </si>
  <si>
    <t>C13H12F3N5O5S</t>
  </si>
  <si>
    <t>N-(piperidin-2-ylmethyl)-2,5-bis(2,2,2-trifluoroethoxy)benzamide</t>
  </si>
  <si>
    <t>['flecainide', '54143-55-4', 'Flecaine', 'Tambocor', 'N-(piperidin-2-ylmethyl)-2,5-bis(2,2,2-trifluoroethoxy)benzamide', 'Flecainida', 'Flecainidum', '(+-)-Flecainide', 'Flecainidum [INN-Latin]', 'Flecainida [INN-Spanish]', 'Flecainide [INN:BAN]', 'Benzamide, N-(2-piperidinylmethyl)-2,5-bis(2,2,2-trifluoroethoxy)-', 'CCRIS 313', 'N-(2-Piperidinylmethyl)-2,5-bis(2,2,2-trifluoroethoxy)benzamide', 'C17H20F6N2O3', 'CHEMBL652', 'CHEBI:75984', 'NCGC00015443-06', 'DSSTox_CID_3054', 'DSSTox_RID_76854', 'DSSTox_GSID_23054', '127413-31-4', 'N-[(piperidin-2-yl)methyl]-2,5-bis(2,2,2-trifluoroethoxy)benzamide', 'Flecainide (INN)', 'CAS-54143-55-4', 'Flecainid', 'Flekainid', '(+)-Flecainide', '(-)-Flecainide', '(+/-)-flecainide', 'Flecainid_3020_ p', 'Prestwick0_000735', 'Prestwick1_000735', 'Prestwick2_000735', 'Prestwick3_000735', 'Lopac0_000546', 'SCHEMBL14970', 'BSPBio_000690', 'BSPBio_001317', 'KBioGR_000037', 'KBioSS_000037', 'SPBio_002629', 'BPBio1_000760', 'GTPL2560', 'DTXSID8023054', 'BCBcMAP01_000189', 'KBio2_000037', 'KBio2_002605', 'KBio2_005173', 'KBio3_000073', 'KBio3_000074', 'Bio1_000375', 'Bio1_000864', 'Bio1_001353', 'Bio2_000037', 'Bio2_000517', 'HMS1791B19', 'HMS1989B19', 'HMS2089E17', 'BCP24373', 'N-(2-Piperidylmethyl)-2,5-bis(2,2,2-trifluoroethoxy)benzamide', 'Tox21_110151', 'BDBM50131434', 'N-(piperidin-2-ylmethyl)-2,5-bis[(2,2,2-trifluoroethyl)oxy]benzamide', 'NSC719273', 'THN-102 COMPONENT FLECAINIDE', 'AKOS015962192', 'Tox21_110151_1', 'CCG-204636', 'DB01195', 'MCULE-3327347453', 'NSC-719273', 'SB19141', 'IDI1_033787', 'SMP1_000074', 'NCGC00015443-04', 'NCGC00015443-05', 'NCGC00015443-07', 'NCGC00015443-08', 'NCGC00015443-10', 'NCGC00015443-11', 'NCGC00015443-12', 'NCGC00015443-13', 'NCGC00015443-14', 'NCGC00015443-15', 'NCGC00015443-17', 'NCGC00025175-03', 'NCGC00025175-04', 'NCGC00025175-05', 'NCGC00025175-06', 'AC-16019', 'AK116465', 'AS-71745', 'LS-27388', 'DB-052496', 'AB00513907', 'FT-0630666', 'FT-0668551', 'FT-0668552', 'FT-0668553', 'C07001', 'D07962', 'AB00384356-13', '143F554', 'Q421381', 'BRD-A09472452-001-02-8', 'BRD-A09472452-015-03-6', 'BRD-A09472452-015-11-9', '2,5-bis(2,2,2-trifluoroethoxy)-N-(2-piperidylmethyl)benzamide', '2,5-bis(2,2,2-trifluoroethoxy)-N-(2-piperidylmethyl)-benzamide', 'N-(2-Piperidinylmethyl)-2,5-bis(2,2,2-trifluoroethoxy)benzamide #', 'N-Piperidin-2-ylmethyl-2,5-bis-(2,2,2-trifluoro-ethoxy)-benzamide', 'N-Piperidin-2-ylmethyl-2,5-bis-(2,2,2-trifluoro-ethoxy)-benzamide (Flecainide)', 'N-Piperidin-2-ylmethyl-2,5-bis-(2,2,2-trifluoro-ethoxy)-benzamide(Flecainide)', 'N-Piperidin-2-ylmethyl-2,5-bis-(2,2,2-trifluoro-ethoxy)-benzamide(Flecanide)', '(+/-)-Flecainide solution, 1.0 mg/mL in methanol, ampule of 1 mL, certified reference material', '99495-87-1']</t>
  </si>
  <si>
    <t>Compound(3356)</t>
  </si>
  <si>
    <t>C17H20F6N2O3</t>
  </si>
  <si>
    <t>4-hydroxy-3-[3-[4-[[4-(trifluoromethyl)phenyl]methoxy]phenyl]-1,2,3,4-tetrahydronaphthalen-1-yl]chromen-2-one</t>
  </si>
  <si>
    <t>['Flocoumafen', '90035-08-8', 'Flocoumafene', 'Storm', 'Stratgem', 'Flocoumafen [BSI:ISO]', 'Flocoumafene [ISO-French]', 'HSDB 6643', 'WL 108366', '4-Hydroxy-3-(1,2,3,4-tetrahydro-3-(4-(4-trifluoromethylbenzyloxy)phenyl)-1-naphthyl)coumarin', '2H-1-Benzopyran-2-one, 4-hydroxy-3-(1,2,3,4-tetrahydro-3-(4-((4-(trifluoromethyl)phenyl)methoxy)phenyl)-1-naphthalenyl)-', '2H-1-Benzopyran-2-one, 4-hydroxy-3-[1,2,3,4-tetrahydro-3-[4-[[4-(trifluoromethyl)phenyl]methoxy]phenyl]-1-naphthalenyl]-', 'C33H25F3O4', '104563-60-2', '104563-61-3', '4-hydroxy-3-[3-[4-[[4-(trifluoromethyl)phenyl]methoxy]phenyl]-1,2,3,4-tetrahydronaphthalen-1-yl]chromen-2-one', 'Flocoumafen (JAN)', 'ACMC-20cg8v', 'ACMC-20cg8w', 'EC 421-960-0', 'SCHEMBL53492', 'SCHEMBL53493', '2-hydroxy-3-[3-(4-{[4-(trifluoromethyl)benzyl]oxy}phenyl)-1,2,3,4-tetrahydronaphthalen-1-yl]-4h-chromen-4-one', 'DTXSID1058212', 'CHEBI:81894', 'CTK8D5489', '2H-1-Benzopyran-2-one,4-hydroxy-3-[1,2,3,4-tetrahydro-3-[4-[[4-(trifluoromethyl)phenyl]methoxy]phenyl]-1-naphthalenyl]-,cis- (9CI)', '2H-1-Benzopyran-2-one,4-hydroxy-3-[1,2,3,4-tetrahydro-3-[4-[[4-(trifluoromethyl)phenyl]methoxy]phenyl]-1-naphthalenyl]-,trans- (9CI)', '95694-10-3', 'Flocoumafen 10 microg/mL in Acetonitrile', 'LS-39733', 'DB-057179', 'NS00019925', 'Y0317', 'C18696', 'D07134', 'Flocoumafen, PESTANAL(R), analytical standard', '035F088', 'Q408221', '1-(4-hydroxycoumarin-3-yl)-3-[4-(4-trifluoromethylbenzyloxy)phenyl]-1,2,3,4-tetrahydronaphthalene', '4-hydroxy-3-(3-(4-(4-(trifluoromethyl)benzyloxy)phenyl)-1,2,3,4-tetrahydronaphthalen-1-yl)-2H-chromen-2-one', 'A mixture of: cis-4-Hydroxy-3-(1,2,3,4-tetrahydro-3-(4-(4-trifluoromethylbenzyloxy)phenyl)-1-naphthyl)coumarin; trans-4-Hydroxy-3-(1,2,3,4-tetrahydro-3-(4-(4-trifluoromethylbenzyloxy)phenyl)-1-naphthyl)coumarin']</t>
  </si>
  <si>
    <t>Compound(54698175)</t>
  </si>
  <si>
    <t>C33H25F3O4</t>
  </si>
  <si>
    <t>N-(cyanomethyl)-4-(trifluoromethyl)pyridine-3-carboxamide</t>
  </si>
  <si>
    <t>['Flonicamid', '158062-67-0', 'Aria', 'Flonicamid [ISO]', 'N-(cyanomethyl)-4-(trifluoromethyl)nicotinamide', '3-Pyridinecarboxamide, N-(cyanomethyl)-4-(trifluoromethyl)-', 'UNII-9500W2Z53J', 'IKI 220', 'CHEBI:39291', 'F 1785', '9500W2Z53J', 'N-(cyanomethyl)-4-(trifluoromethyl)pyridine-3-carboxamide', 'Flonicamide', 'HSDB 7937', 'SCHEMBL26954', 'CHEMBL1882892', 'DTXSID8034611', 'N-(Cyanomethyl)-4-(trifluoromethyl)-3-pyridinecarboxamide', 'BCP29996', 'ZINC13827887', 'AKOS015909866', 'NCGC00163878-01', 'Flonicamid 100 microg/mL in Acetonitrile', 'DB-043376', 'LS-184272', 'FT-0631185', 'NS00000440', 'Flonicamid, PESTANAL(R), analytical standard', 'C18463', 'Q4328316', 'N-(cyanomethyl)-4-(trifluoromethyl)pyridine-3-carboxamide;3-Pyridinecarboxamide, N-(cyanomethyl)-4-(trifluoromethyl)-']</t>
  </si>
  <si>
    <t>Compound(9834513)</t>
  </si>
  <si>
    <t>C9H6F3N3O</t>
  </si>
  <si>
    <t>2,2-dichloro-N-[(1R,2S)-3-fluoro-1-hydroxy-1-(4-methylsulfonylphenyl)propan-2-yl]acetamide</t>
  </si>
  <si>
    <t>['Florfenicol', '73231-34-2', 'Nuflor', '(-)-Florfenicol', 'Sch-25298', '76639-94-6', 'Nuflor gold', 'Sch 25298', 'florphenicol', 'C12H14Cl2FNO4S', 'Florfenicol [USAN:INN:BAN]', 'UNII-9J97307Y1H', '2,2-dichloro-N-[(1R,2S)-3-fluoro-1-hydroxy-1-(4-methylsulfonylphenyl)propan-2-yl]acetamide', 'CHEBI:87185', 'D-threo-2,2-Dichloro-N-(alpha-(fluoromethyl)-beta-hydroxy-p-(methylsulfonyl)phenethyl)acetamide', '9J97307Y1H', '2,2-Dichloro-N-(1-(fluoromethyl)-2-hydroxy-2-(4-(methylsulfonyl)phenyl)ethyl)acetamide', '2,2-dichloro-N-[(1R,2R)-3-fluoro-1-hydroxy-1-(4-methylsulfonylphenyl)propan-2-yl]acetamide', 'DSSTox_CID_25500', 'DSSTox_RID_80918', 'DSSTox_GSID_45500', 'Aquafen', '2,2-Dichloro-N-[(1R,2S)-3-fluoro-1-hydroxy-1-(4-methylsulfonylphenyl)-2-propyl]acetamide', '2,2-Dichloro-N-((alphaS,betaR)-alpha-(fluoromethyl)-beta-hydroxy-p-(methylsulfonyl)phenethyl)acetamide', 'Acetamide, 2,2-dichloro-N-((1S,2R)-1-(fluoromethyl)-2-hydroxy-2-(4-(methylsulfonyl)phenyl)ethyl)-', 'Acetamide, 2,2-dichloro-N-(1-(fluoromethyl)-2-hydroxy-2-(4-(methylsulfonyl)phenyl)ethyl)-, (R-(R*,S*))-', 'Benzenesulfonic acid, 4-(2-((dichloroacetyl)amino)-3-fluoro-1-hydroxypropyl)-, methyl ester, (R-(R*,S*))-', 'NCGC00016922-01', 'CAS-73231-34-2', 'Nuflor (TN)', '3-fluorothiamphenicol', 'PubChem13648', 'thiamphenicol, 3-fluoro', 'Prestwick0_000955', 'Prestwick1_000955', 'Prestwick2_000955', 'Prestwick3_000955', 'Florfenicol;FLORFENICOL', 'Florfenicol (USAN/INN)', 'SCHEMBL49425', 'BSPBio_000950', 'MLS002154071', 'SPBio_003099', 'BPBio1_001046', 'CHEMBL1241590', 'DTXSID9045500', 'SCHEMBL21835523', '(-)-Florfenicol;SCH-25298', 'D-(-)-threo-2-Dichloroacetamido-3-fluoro-1-(4-methylsulfonylphenyl)-1-propanol', 'HMS1570P12', 'HMS2090I10', 'HMS2097P12', 'HMS2230K18', 'HMS3714P12', 'ZINC537733', 'ACT06682', 'HY-B1374', 'KS-00000G9G', 'Aquafen|||Nuflor|||SCH-25298', 'Tox21_110683', 'MFCD00864834', 's4201', 'AKOS015889457', 'Tox21_110683_1', 'AC-4340', 'API0002713', 'CCG-220955', 'CS-4857', 'DB11413', 'KS-5028', 'NCGC00179366-01', 'NCGC00179366-03', 'NCGC00179366-04', '[R-(R*,S*)]-2,2-Dichloro-N-[1-(fluoromethyl)-2-hydroxy-2-[4-(methylsulfonyl)phenyl]ethyl]acetamide', '2,2-Dichloro-N-[(1S,2R)-1-(fluoromethyl)-2-hydroxy-2-[4-(methylsulfonyl)phenyl]ethyl]acetamide', 'LS-31853', 'SC-16844', 'SC-59762', 'SMR001233384', 'AB0008500', '(methylsulfonyl)phenyl)propan-2-yl)acetamide', 'AB00513976', 'F0811', 'SW197224-3', 'D04194', 'J10454', 'AB00513976_09', '231F342', 'A838774', 'Q408400', 'Florfenicol, analytical standard, for drug analysis', 'BRD-K11298197-001-03-9', '2,2-dichloro-N-((1R,2S)-3-fluoro-1-hydroxy-1-(4-', '(1R,2S)-2-DICHLOROACETAMIDO-3-FLUORO-1-[4-(METHYLSULFONYL) PHENYL]-1-PROPANOL', '(1R,2S)-2-dichloroacetamido-3-fluoro-1-[4-(methylsulfonyl)phenyl]-1-propanol', '2,2-bis(chloranyl)-N-[(1R,2S)-3-fluoranyl-1-(4-methylsulfonylphenyl)-1-oxidanyl-propan-2-yl]ethanamide', '2,2-Dichloro-N-((1R,2S)-3-fluoro-1-hydroxy-1-(4-(methylsulfonyl)phenyl)propan-2-yl)acetamide', '2,2-dichloro-N-[(1R,2S)-3-fluoro-1-hydroxy-1-(4-methanesulfonylphenyl)propan-2-yl]acetamide', '2,2-dichloro-N-{(1R,2S)-3-fluoro-1-hydroxy-1-[4-(methanesulfonyl)phenyl]propan-2-yl}acetamide', '81588-76-3', 'Benzenesulfonic acid, 4-(2-((dichloroacetyl)amino)-3-fluoro-1-hydroxypropyl)-,methyl ester, (R-(R*,S*))-']</t>
  </si>
  <si>
    <t>Compound(114811)</t>
  </si>
  <si>
    <t>C12H14Cl2FNO4S</t>
  </si>
  <si>
    <t>5-(methylamino)-2-phenyl-4-[3-(trifluoromethyl)phenyl]furan-3-one</t>
  </si>
  <si>
    <t>['Flurtamone', '96525-23-4', 'Benchmark', 'Flurtamone [ISO:ANSI:BSI]', '5-(methylamino)-2-phenyl-4-[3-(trifluoromethyl)phenyl]furan-3-one', 'RE 40885', '5-(methylamino)-2-phenyl-4-[3-(trifluoromethyl)phenyl]furan-3(2H)-one', '(+-)-5-(Methylamino)-2-phenyl-4-(3-(trifluoromethyl)phenyl)-3(2H)-furanone', '3(2H)-Furanone, 5-(methylamino)-2-phenyl-4-[3-(trifluoromethyl)phenyl]-', '3(2H)-Furanone, 5-(methylamino)-2-phenyl-4-(3-(trifluoromethyl)phenyl)-, (+-)-', '3(2H)-Furanone, 5-(methylamino)-2-phenyl-4-(3-(trifluoromethyl)phenyl)-', 'SCHEMBL54435', 'CHEMBL1863061', 'DTXSID5058228', 'CHEBI:138738', 'DNDI1246784', '5-(methylamino)-2-phenyl-4-[3-(trifluoromethyl)phenyl]-3(2h)-furanone', 'AKOS015902461', 'LS-70505', 'DS-001452', 'NS00009620', 'Flurtamone, PESTANAL(R), analytical standard', 'Q27290582', '2-Phenyl-3-oxo-4-(-3-trifluoromethylphenyl)-5-methylamino-2,3-dihydrofuran', '2-Phenyl-3-oxo-4-(3-trifluoromethylphenyl)-5-methylamino-2,3-dihydrofuran']</t>
  </si>
  <si>
    <t>Compound(91755)</t>
  </si>
  <si>
    <t>C18H14F3NO2</t>
  </si>
  <si>
    <t>N-(2-chloroethyl)-2,6-dinitro-N-propyl-4-(trifluoromethyl)aniline</t>
  </si>
  <si>
    <t>['FLUCHLORALIN', 'Basalin', '33245-39-5', 'N-(2-Chloroethyl)-2,6-dinitro-N-propyl-4-(trifluoromethyl)aniline', 'Caswell No. 460B', 'BAS 3924H', 'BAS 3920', 'BAS 3921', 'BAS 3922', 'Fluchloraline [ISO-French]', 'UNII-98UIF19AH9', 'BAS 392 04 H', 'Fluchloralin [ANSI:BSI:ISO]', 'BAS 392-H', 'BAS 3921H', 'HSDB 3919', 'Benzenamine, N-(2-chloroethyl)-2,6-dinitro-N-propyl-4-(trifluoromethyl)-', 'EINECS 251-426-0', 'EPA Pesticide Chemical Code 108701', 'BRN 2778716', '98UIF19AH9', 'CHEBI:81919', 'N-Propyl-N-(2-chloroethyl)-2,6-dinitro-4-trifluoromethylaniline', 'N-(2-Chloroethyl)-2,6-dinitro-N-propyl-4-(trifluoromethyl)benzenamine', 'N-(2-Chloroethyl)-2,6-dinitro-N-propyl-4-(trifluoromethyl)benzenamide', 'N-(2-Chloroethyl)-alpha,alpha,alpha-trifluoro-2,6-dinitro-N-propyl-p-toluidine', 'N-Propyl-N-(2-chloroethyl)-alpha,alpha,alpha-trifluoro-2,6-dinitro-p-toluidine', 'p-Toluidine, N-(2-chloroethyl)-2,6-dinitro-N-propyl-alpha,alpha,alpha-trifluoro-', 'Fluchloraline', 'N-(2-Chloroethyl)-N-propyl-2,6-dinitro-4-trifluoromethylaniline', 'DSSTox_CID_12614', 'DSSTox_RID_79005', 'DSSTox_GSID_32614', 'SCHEMBL54746', 'CHEMBL1256704', 'DTXSID9032614', 'BAS 3921 H', 'ZINC5139155', 'Tox21_301333', 'AKOS015903552', 'N-(2-Chloroethyl)-2,6-dinitro-N-propyl-4-(trifluoromethyl)benzenamine (9CI)', 'Benzenamine, N-(2-chloroethyl)-2,6-dinitro-N-propyl-4-(trifluoromethyl)- (9CI)', 'p-Toluidine, N-(2-chloroethyl)-.alpha.,.alpha.,.alpha.-trifluoro-2,6-dinitro-N-propyl-', 'p-Toluidine, N-(2-chloroethyl)-alpha,alpha,alpha-trifluoro-2,6-dinitro-N-propyl- (8CI)', 'NCGC00255196-01', 'CC-28452', 'CAS-33245-39-5', 'DB-048372', 'LS-154336', 'FT-0630569', 'NS00003831', 'C18730', 'Fluchloralin, PESTANAL(R), analytical standard', 'C-20763', 'J-019109', 'Q15632819', 'N-(2-Chloroethyl)-.alpha.,.alpha.,.alpha.-trifluoro-2,6-dinitro-N-propyl-p-toluidine', 'N-Propyl-N-(2-chloroethyl)-.alpha.,.alpha.,.alpha.-trifluoro-2,6-dinitro-p-toluidine', 'p-Toluidine, N-(2-chloroethyl)-2,6-dinitro-N-propyl-.alpha.,.alpha.,.alpha.-trifluoro-', 'p-Toluidine, N-(2-chloroethyl)-alpha,alpha,alpha-trifluoro-2,6-dinitro-N-propyl-']</t>
  </si>
  <si>
    <t>Compound(36392)</t>
  </si>
  <si>
    <t>C12H13ClF3N3O4</t>
  </si>
  <si>
    <t>octan-2-yl 2-(4-amino-3,5-dichloro-6-fluoropyridin-2-yl)oxyacetate</t>
  </si>
  <si>
    <t>['Fluroxypyr-meptyl', 'Starane', '81406-37-3', 'Starane 2', 'Starane 250', 'Dowco 433', 'Fluroxypyr meptyl', 'Fluroxypyr 1-methylheptyl ester', 'Fluroxypyr-1-methylheptyl ester', 'Fluroxypyr-meptyl [ISO]', 'Fluroxypyr-(1-methylheptyl)', 'XRM 5084', 'EINECS 279-752-9', 'Acetic acid, ((4-amino-3,5-dichloro-6-fluoro-2-pyridinyl)oxy)-, 1-methylheptyl ester', '1-methylheptyl [(4-amino-3,5-dichloro-6-fluoropyridin-2-yl)oxy]acetate', 'W-104211', 'UNII-9W47M4YJ3Q', '1-Methylheptyl ((4-amino-3,5-dichloro-6-fluoropyridin-2-yl)oxy)acetate', '[(4-Amino-3,5-dichloro-6-fluoro-2-pyridinyl)oxy]acetic acid 1-methylheptyl ester', 'Acetic acid, [(4-amino-3,5-dichloro-6-fluoro-2-pyridinyl)oxy]-, 1-methylheptyl ester', 'C15H21Cl2FN2O3', '2-[(4-amino-3,5-dichloro-6-fluoro-2-pyridinyl)oxy]acetic acid octan-2-yl ester', 'octan-2-yl 2-[4-azanyl-3,5-bis(chloranyl)-6-fluoranyl-pyridin-2-yl]oxyethanoate', '9W47M4YJ3Q', 'Fluroxypyr methyl heptyl', 'DSSTox_CID_14303', 'DSSTox_RID_79141', 'Fluroxypyr methylheptyl ester', 'DSSTox_GSID_34303', 'SCHEMBL161697', 'CHEMBL1882270', 'DTXSID5034303', 'ZX-AFC000903', 'Tox21_300897', 'BI1013', 'octan-2-yl 2-(4-amino-3,5-dichloro-6-fluoropyridin-2-yl)oxyacetate', 'AKOS015895875', 'Acetic acid, 2-[(4-amino-3,5-dichloro-6-fluoro-2-pyridinyl)oxy]-, 1-methylheptyl ester', 'NCGC00168311-01', 'NCGC00168311-02', 'NCGC00254801-01', 'AS-15363', 'LS-10948', 'P036', 'SC-83439', 'Fluroxypyr 1-methylheptyl ester (Starane)', 'CAS-81406-37-3', 'DB-056524', 'AM20061523', 'FT-0630892', 'NS00006504', '406S373', 'A836460', 'A840123', 'C-21056', 'Q27273305', '2-Octanyl [(4-amino-3,5-dichloro-6-fluoro-2-pyridinyl)oxy]acetate', 'Fluroxypyr-1-methylheptyl ester, PESTANAL(R), analytical standard', '1-Methylheptyl (4-Amino-3,5-dichloro-6-fluoro-2-pyridinyloxy)acetate', '1-Methylheptyl[(4-amino-3,5-dichloro-6-fluoropyridin-2-yl)oxy]acetate', 'octan-2-yl 2-(4-amino-3,5-dichloro-6-fluoropyridin-2-yloxy)acetate', '1-Methylheptyl [(4-amino-3,5-dichloro-6-fluoropyri;1-methylheptyl [(4-amino-3,5-dichloro-6-fluoropyridin-2-yl)oxy]acetate']</t>
  </si>
  <si>
    <t>Compound(54745)</t>
  </si>
  <si>
    <t>C15H21Cl2FN2O3</t>
  </si>
  <si>
    <t>1-(2-fluorophenyl)-1-(4-fluorophenyl)-2-(1,2,4-triazol-1-yl)ethanol</t>
  </si>
  <si>
    <t>['Flutriafol', '76674-21-0', 'Impact', 'Impact (pesticide)', 'PP 450', 'Flutriafol [BSI:ISO]', 'R 152450', '1-(2-fluorophenyl)-1-(4-fluorophenyl)-2-(1,2,4-triazol-1-yl)ethanol', 'alpha-(2-Fluorophenyl)-alpha-(4-fluorophenyl)-1H-1,2,4-triazole-1-ethanol', 'CHEBI:83707', "(RS)-2,4'-Difluoro-alpha-(1H-1,2,4-triazol-1-ylmethyl)benzhydryl alcohol", '1H-1,2,4-Triazole-1-ethanol, .alpha.-(2-fluorophenyl)-.alpha.-(4-fluorophenyl)-', 'C16H13F2N3O', '1H-1,2,4-Triazole-1-ethanol, alpha-(2-fluorophenyl)-alpha-(4-fluorophenyl)-', 'flutriafole076674-21-0', 'Impact sopra', 'Impact Excel (Salt/Mix)', 'DSSTox_CID_20727', 'DSSTox_RID_79574', 'DSSTox_GSID_40727', 'Oprea1_336494', 'Oprea1_365445', 'SCHEMBL24004', 'Impact 2000 (Salt/Mix)', 'TRI038', 'CHEMBL2136951', 'DTXSID8040727', 'EBD30812', 'Tox21_301338', '1-(2-Fluorophenyl)-1-(4-fluorophenyl)-2-(1H-1,2,4-triazol-1-yl)ethanol', 'AKOS015915013', 'AGR0000743', 'MCULE-4031619752', 'Flutriafol 10 microg/mL in Acetonitrile', 'NCGC00164269-01', 'NCGC00255461-01', '87676-93-5', 'CAS-76674-21-0', 'LS-155987', 'LS-155988', 'FT-0652199', 'NS00000704', 'Flutriafol, PESTANAL(R), analytical standard', 'C18734', '674F210', 'A838792', 'C-34927', 'Q1434425', '1H-1,2,4-Triazole-1-ethanol, |A-(2-fluorophenyl)-|A-(4-fluorophenyl)-', '(+-)-alpha-(2-Fluorophenyl)-alpha-(4-fluorophenyl)-1H-1,2,4-triazole-1-ethanol', '(1R)-1-(2-fluorophenyl)-1-(4-fluorophenyl)-2-(1,2,4-triazol-1-yl)ethanol', '.alpha.-(2-Fluorophenyl)-.alpha.-(4-fluorophenyl)-1H-1,2,4-triazole-1-ethanol', '1H-1,2,4-Triazole-1-ethanol, alpha-(2-fluorophenyl)-alpha-(4-fluorophenyl)-, (+-)-', "(RS)-2,4'-difluoro-a-(1H-1,2,4-triazol-1-ylmethyl)benzhydryl alcohol;flutriafol;1H-1,2,4-Triazole-1-ethanol, ?-(2-fluorophenyl)-?-(4-fluorophenyl)-"]</t>
  </si>
  <si>
    <t>Compound(91727)</t>
  </si>
  <si>
    <t>C16H13F2N3O</t>
  </si>
  <si>
    <t>methyl (E)-3-methoxy-2-[2-[[2-propan-2-yloxy-6-(trifluoromethyl)pyrimidin-4-yl]oxymethyl]phenyl]prop-2-enoate</t>
  </si>
  <si>
    <t>['fluacrypyrim', '229977-93-9', 'UNII-FHJ1L9VJTH', 'FHJ1L9VJTH', 'CHEBI:38591', '178813-81-5', 'methyl (2E)-2-[2-({[2-(propan-2-yl)oxy-6-(trifluoromethyl)pyrimidin-4-yl]oxy}methyl)phenyl]-3-methoxyacrylate', 'methyl (2E)-2-[2-({[2-isopropoxy-6-(trifluoromethyl)pyrimidin-4-yl]oxy}methyl)phenyl]-3-methoxyacrylate', 'Fluacrypyrim [ISO]', 'Fluacryppyrim', 'SCHEMBL83958', 'SCHEMBL5997532', 'CHEMBL2392676', 'DTXSID4058027', 'ZINC34046865', 'AKOS025401798', 'AC-25666', 'ACM178813815', 'C18595', '31441-EP2274983A1', '31441-EP2275422A1', '31441-EP2308858A1', '31441-EP2311816A1', '31441-EP2311817A1', 'Fluacrypyrim, PESTANAL(R), analytical standard', '977F939', 'J-521368', 'Q22807579', '(E)-methyl 2-(2-((2-isopropoxy-6-(trifluoromethyl)pyrimidin-4-yloxy)methyl)phenyl)-3-methoxyacrylate', 'Benzeneacetic acid, ?-(methoxymethylene)-2-[[[2-(1-methylethoxy)-6-(trifluoromethyl)-4-pyrimidinyl]oxy]methyl]-, methyl ester, (?E)-', 'methyl (E)-3-methoxy-2-[2-[[2-propan-2-yloxy-6-(trifluoromethyl)pyrimidin-4-yl]oxymethyl]phenyl]prop-2-enoate']</t>
  </si>
  <si>
    <t>Compound(9954185)</t>
  </si>
  <si>
    <t>C20H21F3N2O5</t>
  </si>
  <si>
    <t>fluvalinate</t>
  </si>
  <si>
    <t>[cyano-(3-phenoxyphenyl)methyl] 2-[2-chloro-4-(trifluoromethyl)anilino]-3-methylbutanoate</t>
  </si>
  <si>
    <t>['FLUVALINATE', 'Mavrik', 'Apistan', 'Kartan', 'Minadox', 'Mavrik aquaflow', '69409-94-5', 'Klartan', 'Mavrik HR', 'Mavrik 2E', 'Mavrik 25EC', 'SPUR', 'Fluvalinate [ANSI]', 'Caswell No. 934', 'Spur 22EW', 'UNII-364G5G03VC', 'ZR 3210', 'HSDB 6659', 'EPA Pesticide Chemical Code 109302', 'AI3-29426', 'CHEBI:5135', '364G5G03VC', 'N-(2-Chloro-4-(trifluoromethyl)phenyl)-DL-valine cyano(3-phenoxyphenyl)methyl ester', 'N-(2-Chloro-alpha,alpha,alpha-trifluoro-p-tolyl)-DL-valine alpha-cyano-phenoxybenzyl ester', 'Valine, N-[2-chloro-4-(trifluoromethyl)phenyl]-, cyano(3-phenoxyphenyl)methyl ester', '(RS)-alpha-Cyano-3-phenoxybenzyl (R)-2-(2-chloro-4-(trifluoromethyl)anilino-3-methyl-butanoate)', 'cyano(3-phenoxyphenyl)methyl N-[2-chloro-4-(trifluoromethyl)phenyl]valinate', 'DL-Valine, N-(2-chloro-4-(trifluoromethyl)phenyl)-, cyano(3-phenoxyphenyl)methyl ester', 'DL-Valine, N-[2-chloro-4-(trifluoromethyl)phenyl]-, cyano(3-phenoxyphenyl)methyl ester', 'N-(2-Chloro-4-(trifluoromethyl)phenyl)-DL-valine (+)-cyano(3-phenoxyphenyl)methyl ester', '(RS)-alpha-Cyano-3-phenoxybenzyl N-(2-chloro-alpha,alpha,alpha-trifluoro-p-tolyl)-D-valinate', 'Fluvalinate [ANSI:ISO]', 'Valine, N-(2-chloro-4-(trifluoromethyl)phenyl)-, cyano(3-phenoxyphenyl)methyl ester', 'Fluvalinate Isomer 2', 'DSSTox_CID_4110', 'DSSTox_RID_77295', 'DSSTox_GSID_24110', 'SCHEMBL116510', 'CHEMBL3185183', 'DTXSID7024110', 'Tox21_200245', '[cyano-(3-phenoxyphenyl)methyl] 2-[2-chloro-4-(trifluoromethyl)anilino]-3-methylbutanoate', 'Valine,N-[2-chloro-4-(trifluoromethyl)phenyl]-, cyano(3-phenoxyphenyl)methyl ester', 'NCGC00248576-01', 'NCGC00257799-01', 'CAS-69409-94-5', 'DB-114562', 'LS-161305', 'FT-0604861', 'NS00009151', 'C10989', '26891-EP2274983A1', '26891-EP2275422A1', '26891-EP2280009A1', '26891-EP2292608A1', '26891-EP2308858A1', '26891-EP2311816A1', '26891-EP2311817A1', '26891-EP2314583A1', 'Q408440', '(RS)-a-Cyano-3-phenoxybenzyl 2-(2-chloro-4-(trifluoromethyl)anilino-3-methylbutanoate)', 'Cyano(3-phenoxyphenyl)methyl 2-[2-chloro-4-(trifluoromethyl)anilino]-3-methylbutanoate #', 'N-(2-Chloro-4-(trifluoromethyl)phenyl)-DL-valine, ( -)-cyano(3-phenoxyphenyl)methyl ester', 'N-(2-Chloro-4-(trifluoromethyl)phenyl)-DL-valine, (+-)-cyano(3-phenoxyphenyl)methyl ester']</t>
  </si>
  <si>
    <t>Compound(50516)</t>
  </si>
  <si>
    <t>C26H22ClF3N2O3</t>
  </si>
  <si>
    <t>butyl 2-[4-[5-(trifluoromethyl)pyridin-2-yl]oxyphenoxy]propanoate</t>
  </si>
  <si>
    <t>['FLUAZIFOP-BUTYL', 'Fluazifop butyl', 'Fusilade', 'Halokon', 'Onecide', '69806-50-4', 'Hache uno super', 'Onecide EC', 'Fusilade 4E', 'Caswell No. 460C', 'Fluazifop-butyl [ISO]', 'IH 773B', 'PP 009', 'TF 1169', 'HSDB 6644', 'EINECS 274-125-6', 'SL-236', 'Butyl 2-(4-(5-trifluoromethyl-2-pyridinyloxy)phenoxy)propanoate', 'EPA Pesticide Chemical Code 122805', 'butyl 2-[4-[[5-(trifluoromethyl)-2-pyridyl]oxy]phenoxy]propionate', 'TS-7236', 'Propionic acid, 2-(p-((5-(trifluoromethyl)-2-pyridyl)oxy)phenoxy)-, butyl ester', 'Propanoic acid, 2-[4-[[5-(trifluoromethyl)-2-pyridinyl]oxy]phenoxy]-, butyl ester', '86334-14-7', 'Butyl 2-[4-(5-trifluoromethyl-2-pyridyloxy)phenoxy]propionate', 'butyl 2-(4-{[5-(trifluoromethyl)pyridin-2-yl]oxy}phenoxy)propanoate', '(+-)-Butyl-2-(4-(((5-trifluoro-methyl)-2-pyridinyl)oxy)phenoxy)propanoate', '2-[4-[[5-(Trifluoromethyl)-2-pyridinyl]oxy]phenoxy]propanoic acid butyl ester', 'BRN 1510062', 'Butyl 2-(4-((5-(trifluoromethyl)-2-pyridyl)oxy)phenoxy)propionate', 'butyl 2-[4-[5-(trifluoromethyl)pyridin-2-yl]oxyphenoxy]propanoate', 'Butyl (RS)-2-(4-((5-(trifluoromethyl)-2-pyridinyl)oxy)phenoxy)propanoate', '2-(4-((5-(Trifluoromethyl)-2-pyridinyl)oxy)phenoxy)propanoic acid butyl ester', '2-(4-((5-(Trifluoromethyl)-2-pyridinyl)oxy)phenoxy)propanoic acid, butyl ester', 'Propanoic acid, 2-(4-((5-(trifluoromethyl)-2-pyridinyl)oxy)phenoxy)-, butyl ester', 'Fusilade W', 'Fluaziflop-P-butyl', '(+)-Fluazifop-butyl', 'Fluazifop, butyl ester', 'DSSTox_CID_14612', 'DSSTox_RID_79177', 'DSSTox_GSID_34612', 'SCHEMBL54222', 'CHEBI:5097', 'CHEMBL449397', 'DTXSID3034612', 'CTK5F6482', 'CHEBI:132963', 'Propanoic acid, 2-[4-[[5-(trifluoromethyl)-2-pyridinyl]oxy]phenoxy]-, butyl ester, (2R)-', 'Tox21_301085', 'AKOS015963166', 'fluazifop-butyl:Butyl 2-[4-(5-trifluoromethyl-2-pyridyloxy)-phenoxy]propionate', 'Propanoic acid, 2-(4-((5-(trifluoromethyl)-2-pyridinyl)oxy)phenoxy)-,butyl ester', 'NCGC00164281-02', 'NCGC00164281-03', 'NCGC00254986-01', 'AC-19981', 'CAS-69806-50-4', 'DB-055350', 'DB-056353', 'LS-121609', 'FT-0630791', 'FT-0630864', 'Fluazifop-butyl 10 microg/mL in Acetonitrile', '06F504', 'C11029', 'Fluazifop-butyl 100 microg/mL in Acetonitrile', 'Fluazifop-butyl, PESTANAL(R), analytical standard', 'W-104585', 'Q27891163', 'butyl 2-(4-(5-(trifluoromethyl)pyridin-2-yloxy)phenoxy)propanoate', 'butyl 2-[4-[[5-(trifluoromethyl)-2-pyridyl]oxy]phenoxy]propanoate', 'n-butyl 2-[4-(5-trifluoromethylpyrid-2-yloxy)-phenoxy]propionate', 'n-butyl 2-[4-(5-trifluoromethylpyridin-2-yloxy)phenoxy]propionate', 'Butyl 2-(4-([5-(trifluoromethyl)-2-pyridinyl]oxy)phenoxy)propanoate #', 'Butyl 2-(4-{[5-(trifluoromethyl)-2-pyridinyl]oxy}phenoxy)propanoate', 'Butyl 2-[4-[[5-(trifluoromethyl)-2-pyridyl]oxy]phenoxy]propionate;fluazifop-butyl', 'BUTYL 2-[4-[5-(TRIFLUOROMETHYL)(PYRIDIN-2-YL)]OXYPHENOXY]PROPANOATE']</t>
  </si>
  <si>
    <t>Compound(50897)</t>
  </si>
  <si>
    <t>C19H20F3NO4</t>
  </si>
  <si>
    <t>butyl (2R)-2-[4-[5-(trifluoromethyl)pyridin-2-yl]oxyphenoxy]propanoate</t>
  </si>
  <si>
    <t>['FLUAZIFOP-P-BUTYL', '79241-46-6', 'Fusilade S', 'Fusilade DX', 'Fusilade II', 'Fusilade 2000', 'Fusilade super', 'Fusilade 5', 'PP005 2E Herbicide', 'UNII-N99K0AJ91S', 'PP 005', 'EPA Pesticide Chemical Code 122809', 'N99K0AJ91S', 'butyl (2R)-2-[4-[5-(trifluoromethyl)pyridin-2-yl]oxyphenoxy]propanoate', 'Butyl (R)-2-(4-(5-trifluoromethyl)-2-pyridyloxy)phenoxypropionate', 'Butyl (R)-2-(4-((5-(trifluoromethyl)-2-pyridinyl)oxy)phenoxy)propanoate', 'BRN 1510062', '(R)-Butyl 2-(4-((5-(trifluoromethyl)pyridin-2-yl)oxy)phenoxy)propanoate', 'butyl (2R)-2-(4-{[5-(trifluoromethyl)pyridin-2-yl]oxy}phenoxy)propanoate', 'Propanoic acid, 2-(4-((5-(trifluoromethyl)-2-pyridinyl)oxy)phenoxy)-, butyl ester, (R)-', 'Fluazifop-P-butyl [ISO]', 'Fluazifop E.C.', 'Butyl (R)-2-[4-(5-trifluoromethyl-2-pyridyloxy)phenoxy]propionate', 'DSSTox_CID_14855', 'DSSTox_RID_79211', 'DSSTox_GSID_34855', 'SCHEMBL55176', 'BIDD:ER0605', 'CHEMBL1864569', 'DTXSID0034855', 'CHEBI:132964', 'Propanoic acid, 2-(4-((5-(trifluoromethyl)-2-pyridinyl)oxy)phenoxy)-, butyl ester, (2R)-', 'HY-B2007', 'ZINC1532125', 'Tox21_301193', 'AKOS015896007', 'NCGC00163739-01', 'NCGC00163739-02', 'NCGC00163739-03', 'NCGC00164281-01', 'NCGC00255091-01', 'O741', 'SC-75103', 'CAS-79241-46-6', 'Fluazifop-P-butyl 10 microg/mL in Acetone', 'LS-121608', 'CS-0014108', '806F504', 'A839625', 'Q-101459', 'Q1430447', 'Fluazifop-P-butyl, PESTANAL(R), analytical standard', 'UNII-12O1Z35LQA component VAIZTNZGPYBOGF-CYBMUJFWSA-N', '(R)-butyl 2-(4-(5-(trifluoromethyl)pyridin-2-yloxy)phenoxy)propanoate', 'butyl (2R)-2-[4-[[5-(trifluoromethyl)-2-pyridinyl]oxy]phenoxy]propanoate', 'butyl (R)-2-{4-[5-(trifluoromethyl)-2-pyridyloxy]phenoxy}propionate', '(2R)-2-[4-[[5-(trifluoromethyl)-2-pyridinyl]oxy]phenoxy]propanoic acid butyl ester', 'Propanoic acid, 2-[4-[[5-(trifluoromethyl)-2-pyridinyl]oxy]phenoxy]-, butyl ester, (2R)-;butyl (R)-2-[4-(5-trifluoromethyl-2-pyridyloxy)phenoxy]propionate']</t>
  </si>
  <si>
    <t>Compound(3033674)</t>
  </si>
  <si>
    <t>2-[4-[5-(trifluoromethyl)pyridin-2-yl]oxyphenoxy]propanoic acid</t>
  </si>
  <si>
    <t>['Fluazifop', '69335-91-7', 'Fluazifop acid', 'Fluazifop [ANSI:BSI:ISO]', 'Fluazifop (free acid)', '2-[4-[5-(trifluoromethyl)pyridin-2-yl]oxyphenoxy]propanoic acid', 'CHEBI:83598', '2-[4-(5-Trifluoromethyl-2-pyridyloxy)phenoxy]propionic acid', '(RS)-2-(4-(5-Trifluoromethyl-2-pyridyloxy)phenoxy)propionic acid', '2-(4-{[5-(trifluoromethyl)pyridin-2-yl]oxy}phenoxy)propanoic acid', 'Propanoic acid, 2-(4-((5-(trifluoromethyl)-2-pyridinyl)oxy)phenoxy)-', 'Fluazifop-P (free acid)', 'SCHEMBL67403', 'CHEMBL376218', '(2R)-2-[4-[[5-(trifluoromethyl)-2-pyridinyl]oxy]phenoxy]propanoic acid', 'DTXSID3058163', 'CTK3E9725', '2-[4-[[5-(trifluoromethyl)-2-pyridyl]oxy]phenoxy]propanoic acid', 'Propanoic acid, 2-(4-((5-(trifluoromethyl)-2-pyridinyl)oxy)phenoxy)- (9CI)', '(+-)-2-(4-((5-(Trifluoromethyl)-2-pyridinyl)oxy)phenoxy)propanoic acid (9CI)', 'Propanoic acid, 2-(4-((5-(trifluoromethyl)-2-pyridinyl)oxy)phenoxy)-, (+-)-', '86023-37-2', 'LS-184119', 'Fluazifop, PESTANAL(R), analytical standard', 'C18527', '066F880', 'Fluazifop (free acid) 100 microg/mL in Acetonitrile', 'Q27156995', '(+-)-2-(4-((5-(Trifluoromethyl)-2-pyridinyl)oxy)phenoxy)propanoic acid', '(RS)-(+)-2-[4-(5-trifluoromethyl-2-pyridyloxy)phenoxy]propionic acid', 'Fluazifop solution, 10 mug/mL in ethyl acetate, PESTANAL(R), analytical standard']</t>
  </si>
  <si>
    <t>Compound(91701)</t>
  </si>
  <si>
    <t>C15H12F3NO4</t>
  </si>
  <si>
    <t>(2R)-2-[4-[5-(trifluoromethyl)pyridin-2-yl]oxyphenoxy]propanoic acid</t>
  </si>
  <si>
    <t>['Fluazifop-P', '83066-88-0', '(R)-fluazifop', 'UNII-P3S3257FZF', 'P3S3257FZF', 'CHEBI:83599', '(R)-2-(4-(5-Trifluoromethyl-2-pyridyloxy)phenoxy)propionic acid', 'Propanoic acid, 2-[4-[[5-(trifluoromethyl)-2-pyridinyl]oxy]phenoxy]-, (2R)-', '(R)-2-[4-(5-Trifluoromethyl-2-pyridyloxy)phenoxy]propionic acid', '(2R)-2-(4-((5-(Trifluoromethyl)pyridin-2-yl)oxy)phenoxy)propanoic acid', '(2R)-2-(4-{[5-(trifluoromethyl)pyridin-2-yl]oxy}phenoxy)propanoic acid', 'Fluazifop-P (free acid)', 'Fluazifop-P [ANSI:BSI:ISO]', 'Fluazifop P', '(r)-2-{4-[5-(trifluoromethyl)-2-pyridyloxy]phenoxy}propionic acid', '(+)-fluazifop', '(+)-(R)-fluazifop', '(R)-(+)-fluazifop', 'FLUAZIFOP-P-ETHYL', '(R)-2-(4-((5-(Trifluoromethyl)-2-pyridinyl)oxy)phenoxy)propanoic acid', 'EC 617-435-2', 'SCHEMBL118853', '(2R)-2-[4-[[5-(trifluoromethyl)-2-pyridinyl]oxy]phenoxy]propanoic acid', 'CHEMBL2272787', 'DTXSID0058194', 'ZINC2562444', '(2R)-2-[4-[5-(trifluoromethyl)pyridin-2-yl]oxyphenoxy]propanoic acid', 'Fluazifop-P, PESTANAL(R), analytical standard', 'Q27156996', 'UNII-8JD49YW45K component YUVKUEAFAVKILW-SECBINFHSA-N', 'Propanoic acid, 2-(4-((5-(trifluoromethyl)-2-pyridinyl)oxy)phenoxy)-, (R)-']</t>
  </si>
  <si>
    <t>Compound(91733)</t>
  </si>
  <si>
    <t>fluazolate</t>
  </si>
  <si>
    <t>propan-2-yl 5-[4-bromo-1-methyl-5-(trifluoromethyl)pyrazol-3-yl]-2-chloro-4-fluorobenzoate</t>
  </si>
  <si>
    <t>['Fluazolate', 'Isopropazol', '174514-07-9', 'UNII-KJX9P1E61K', 'KJX9P1E61K', 'Fluazolate [ISO:BSI]', 'JV 485', 'MON 48500', 'Benzoic acid, 5-(4-bromo-1-methyl-5-(trifluoromethyl)-1H-pyrazol-3-yl)-2-chloro-4-fluoro-, 1-methylethyl ester', 'Benzoic acid, 5-[4-bromo-1-methyl-5-(trifluoromethyl)-1H-pyrazol-3-yl]-2-chloro-4-fluoro-, 1-methylethyl ester', 'SCHEMBL38910', 'DTXSID7057999', 'CTK8E7255', 'ZINC22059330', 'AKOS025394451', 'Isopropazol; JV-485;MON 48500', 'isopropyl 5-(4-bromo-1-methyl-5-(trifluoromethyl)-1H-pyrazol-3-yl)-2-chloro-4-fluorobenzoate', 'ACM174514079', 'ACM1189932726', 'FT-0668563', 'FT-0668564', 'J-010997', 'Q1430444', '1-Methylethyl 5-[4-bromo-1-methyl-5-(trifluoromethyl)-1H-pyrazol-3-yl]-2-chloro-4-fluorobenzoate', '5-(4-Bromo-1-methyl-5-(trifluoromethyl)-1H-pyrazol-3-yl)-2-chloro-4-fluorobenzoic acid isopropyl ester']</t>
  </si>
  <si>
    <t>Compound(3083545)</t>
  </si>
  <si>
    <t>C15H12BrClF4N2O2</t>
  </si>
  <si>
    <t>3-chloro-N-[3-chloro-2,6-dinitro-4-(trifluoromethyl)phenyl]-5-(trifluoromethyl)pyridin-2-amine</t>
  </si>
  <si>
    <t>['Fluazinam', '79622-59-6', 'Frowncide', 'Shirlan Flow', 'Shirlan (Zeneca)', 'Fluazinam [ISO]', '3-Chloro-N-(3-chloro-2,6-dinitro-4-trifluoromethylphenyl)-5-trifluoromethyl-2-pyridylamine', '3-chloro-N-[3-chloro-2,6-dinitro-4-(trifluoromethyl)phenyl]-5-(trifluoromethyl)pyridin-2-amine', 'IKF 1216', 'UNII-0P91PCK33Q', 'ASC 66825', 'ASC 67178', 'PP 192', 'HSDB 7264', 'C13H4Cl2F6N4O4', '0P91PCK33Q', 'CHEBI:81843', 'Altima', 'Sekoya', 'Mapro', '3-Chloro-N-(5-chloro-2,6-dinitro-4-trifluoromethylphenyl)-5-trifluoromethyl-2-pyridinamine', 'Fluaziname', '2-Pyridinamine, 3-chloro-N-(3-chloro-2,6-dinitro-4-(trifluoromethyl)phenyl)-5-(trifluoromethyl)-', '2-Pyridinamine, 3-chloro-N-[3-chloro-2,6-dinitro-4-(trifluoromethyl)phenyl]-5-(trifluoromethyl)-', '3-chloranyl-N-[3-chloranyl-2,6-dinitro-4-(trifluoromethyl)phenyl]-5-(trifluoromethyl)pyridin-2-amine', '3-Chloro-N-(3-chloro-2,6-dinitro-4-(trifluoromethyl)phenyl)-5-(trifluoromethyl)pyridin-2-amine', 'Fluazinam (Shirlan)', 'PubChem20996', '3-chloro-N-[3-chloro-2,6-dinitro-4-(trifluoromethyl)phenyl]-5-(trifluoromethyl)-2-pyridinamine', 'DSSTox_CID_12551', 'DSSTox_RID_78980', 'DSSTox_GSID_32551', 'SCHEMBL22373', 'CHEMBL1878267', 'DTXSID7032551', 'CTK8E8241', 'UZCGKGPEKUCDTF-UHFFFAOYSA-', 'HY-B1839', 'Tox21_301177', 'ZINC13827765', 'AKOS015895939', 'AC-8413', 'Fluazinam 10 microg/mL in Cyclohexane', 'KS-5367', 'N-(3-Chloro-5-trifluoromethyl-2-pyridyl)-2,6-dinitro-3-chloro-4-trifluoromethylaniline', 'NCGC00163725-01', 'NCGC00163725-02', 'NCGC00163725-03', 'NCGC00163725-04', 'NCGC00255075-01', 'CC-28449', 'Q986', 'CAS-79622-59-6', 'LS-130084', 'CS-0013909', 'F0869', 'FT-0630873', 'NS00008648', 'Fluazinam, PESTANAL(R), analytical standard', 'C18578', 'J10117', '622F596', 'A839728', 'C-22641', 'Q2202504', '3-chlor-n-[3-chlor-2,6-dinitro-4-(trifluormethyl)phenyl]-5-(trifluormethyl)-2-pyridinamin', '3-chloro-N-[3-chloro-2,6-dinitro-4-(trifluoromethyl)phenyl]-5-(trifluoromethyl)p', 'Fluazinam solution, 100 mug/mL in acetonitrile, PESTANAL(R), analytical standard', '3-Chloro-N-(3-chloro-5-trifluoromethyl-2-pyridyl)-alpha,alpha,alpha-trifluoro-2,6-dinitro-p-toluidine', '3-Chloro-N-[3-chloro-5-(trifluoromethyl)pyridin-2-yl]-2,6-dinitro-4-(trifluoromethyl)aniline', 'fluazinam (ISO); 3-chloro-N-[3-chloro-2,6-dinitro-4-(trifluoromethyl)phenyl]-5-(trifluoromethyl)pyridin-2-amine;fluazinam']</t>
  </si>
  <si>
    <t>Compound(91731)</t>
  </si>
  <si>
    <t>C13H4Cl2F6N4O4</t>
  </si>
  <si>
    <t>1-N-[4-(1,1,1,2,3,3,3-heptafluoropropan-2-yl)-2-methylphenyl]-3-iodo-2-N-(2-methyl-1-methylsulfonylpropan-2-yl)benzene-1,2-dicarboxamide</t>
  </si>
  <si>
    <t>['flubendiamide', '272451-65-7', '3-Iodo-N2-(2-methyl-1-(methylsulfonyl)propan-2-yl)-N1-(2-methyl-4-(perfluoropropan-2-yl)phenyl)phthalamide', 'UNII-GEV84ZI4K6', 'GEV84ZI4K6', 'CHEBI:38798', '1-N-[4-(1,1,1,2,3,3,3-heptafluoropropan-2-yl)-2-methylphenyl]-3-iodo-2-N-(2-methyl-1-methylsulfonylpropan-2-yl)benzene-1,2-dicarboxamide', 'N(2)-[1,1-dimethyl-2-(methylsulfonyl)ethyl]-3-iodo-N(1)-{2-methyl-4-[1,2,2,2-tetrafluoro-1-(trifluoromethyl)ethyl]phenyl}benzene-1,2-dicarboxamide', 'N(2)-[1,1-dimethyl-2-(methylsulfonyl)ethyl]-3-iodo-N(1)-{2-methyl-4-[1,2,2,2-tetrafluoro-1-(trifluoromethyl)ethyl]phenyl}phthalamide', 'Flubendiamide [ISO]', 'HSDB 7883', 'DSSTox_CID_27672', 'DSSTox_RID_82490', 'DSSTox_GSID_47672', 'SCHEMBL27362', 'CHEMBL563789', 'DTXSID4047672', 'CTK8C3876', 'Tox21_303432', 'ANW-70746', 'ZINC43065317', 'AKOS016007707', 'ACN-053737', 'NCGC00257277-01', "3-iodo-N-(2-methanesulfonyl-1,1-dmethylethyl)-N'-(2-methyl-4-(1,2,2,2-tetrafluoro-1-trifluoromethylethyl)phenyl)phthalamide", 'AX8239278', 'CAS-272451-65-7', 'NS00004502', 'C18520', '31423-EP2274983A1', '31423-EP2308858A1', '31423-EP2311816A1', '31423-EP2311817A1', 'Flubendiamide, PESTANAL(R), analytical standard', 'J-016707', 'Q17300229', '1,2-Benzenedicarboxamide, N2-[1,1-dimethyl-2-(methylsulfonyl)ethyl]-3-iodo-N1-[2-methyl-4-[1,2,2,2-tetrafluoro-1-(trifluoromethyl)ethyl]phenyl]-', "3-iodo-N'-(2-mesyl-1,1-dimethylethyl)-N-{4-[1,2,2,2-tetrafluoro-1-(trifluoromethyl)ethyl]-o-tolyl}phthalamide;1,2-Benzenedicarboxamide, N2-[1,1-dimethyl-2-(methylsulfonyl)ethyl]-3-iodo-N1-[2-methyl-4-[1,2,2,2-tetrafluoro-1-(trifluoromethyl)ethyl]phenyl]-"]</t>
  </si>
  <si>
    <t>Compound(11193251)</t>
  </si>
  <si>
    <t>C23H22F7IN2O4S</t>
  </si>
  <si>
    <t>methyl N-[6-(4-fluorobenzoyl)-1H-benzimidazol-2-yl]carbamate</t>
  </si>
  <si>
    <t>['Flubendazole', '31430-15-6', 'Flumoxane', 'Flubendazol', 'Fluvermal', 'Flubenol', 'Flubendazolum', 'Flumoxal', 'Methyl (5-(4-fluorobenzoyl)-1H-benzo[d]imidazol-2-yl)carbamate', 'Methyl 5-(p-fluorobenzoyl)-2-benzimidazolecarbamate', 'Flubendazol [INN-Spanish]', 'Flubendazolum [INN-Latin]', 'UNII-R8M46911LR', 'Methyl [5-(4-fluorobenzoyl)-1H-benzimidazol-2-yl]carbamate', 'CCRIS 4480', 'R 17899', 'R 17,889', 'EINECS 250-624-4', 'NSC 313680', '(5-(4-Fluorobenzoyl)-1H-benzimidazole-2-yl)carbamic acid methyl ester', 'Methyl N-(5-(p-fluorobenzoyl)-2-benzimidazolyl)carbamate', 'C16H12FN3O3', 'CHEBI:77095', 'R8M46911LR', 'Carbamic acid, (5-(4-fluorobenzoyl)-1H-benzimidazol-2-yl)-, methyl ester', 'NSC313680', 'AK-86471', 'CPD000466360', '2-BENZIMIDAZOLECARBAMIC ACID, 5-(p-FLUOROBENZOYL)-, METHYL ESTER', 'Q-201119', 'Flumoxanal', 'methyl N-[5-(4-fluorobenzoyl)-1H-benzimidazol-2-yl]carbamate', 'fluoromebendazole', 'SMR000466360', 'SR-01000759412', 'Flicum', 'Flubendazole [USAN:BAN:INN]', 'Flubendazole [USAN:INN:BAN]', 'methyl {6-[(4-fluorophenyl)carbonyl]-1H-benzimidazol-2-yl}carbamate', 'Flubendazole;Flubendazol', 'methyl N-[6-(4-fluorobenzoyl)-1H-benzimidazol-2-yl]carbamate', 'Flubendazole (Flutelmium)', 'Flubendazole (USAN/INN)', 'KSC914O9F', 'MLS000759477', 'MLS001424042', 'MLS006010905', 'SCHEMBL167185', 'CHEMBL1454946', 'DTXSID8023058', 'CTK8B4792', 'KS-00000XOE', 'HMS2051A18', 'HMS2090I16', 'HMS3393A18', 'HMS3714D06', 'methyl(5-(4-fluorobenzoyl)-1H-benzimidazol- 2-yl)carbamate', 'ACT02027', 'BCP34258', 'HY-B0294', 'ZINC3830847', 'ANW-46231', 'MFCD00871999', 's1837', 'AKOS015894917', 'AKOS015960439', 'AC-8716', 'API0002715', 'CCG-100887', 'CCG-267614', 'CS-2320', 'DB08974', 'NC00137', 'NSC-313680', 'NCGC00246966-01', 'NCGC00246966-03', 'NCGC00246966-12', 'AS-12271', 'LS-32696', 'SC-17315', 'AB0011631', 'AX8130449', 'F0825', 'FT-0626436', 'NS00008198', 'D04200', 'J10180', 'AB00639981-06', 'AB00639981-08', 'AB00639981_09', 'Flubendazol, VETRANAL(TM), analytical standard', '430F156', 'A820846', 'Q241992', 'R-17889', 'Flubendazole, Antibiotic for Culture Media Use Only', 'SR-01000759412-4', 'SR-01000759412-5', 'Methyl [5-(4-Fluorobenzoyl)benzimidazol-2-yl]carbamate', 'Flubendazol, European Pharmacopoeia (EP) Reference Standard', 'methyl 5-(4-fluorobenzoyl)-1H-benzo[d]imidazol-2-ylcarbamate', '[5-(4-Fluorobenzoyl)benzimidazol-2-yl]carbamic Acid Methyl Ester', 'Methyl (5-(4-fluorobenzoyl)-1H-benzo-[d]imidazol-2-yl)carbamate', 'methyl (6-(4-fluorobenzoyl)-1H-benzo[d]imidazol-2-yl)carbamate', 'methyl N-[6-(4-fluorophenyl)carbonyl-1H-benzimidazol-2-yl]carbamate', 'N-{5-[(4-Fluorophenyl)carbonyl]benzimidazol-2-yl}methyloxymethanamide', 'Flubendazole for system suitability, European Pharmacopoeia (EP) Reference Standard', 'N-[6-[(4-fluorophenyl)-oxomethyl]-1H-benzimidazol-2-yl]carbamic acid methyl ester', 'NSC 313680; NSC313680; NSC-313680; R 17899; R17899; R-17899']</t>
  </si>
  <si>
    <t>Compound(35802)</t>
  </si>
  <si>
    <t>C16H12FN3O3</t>
  </si>
  <si>
    <t>2-N,3-diphenyl-4-N,5-N-bis(trifluoromethyl)-1,3-thiazolidine-2,4,5-triimine</t>
  </si>
  <si>
    <t>['Flubenzimine', 'Flubenzimin', '37893-02-0', 'N-((2Z,4Z,5E)-3-Phenyl-5-([(E)-trifluoromethyl]imino)-4-([(Z)-trifluoromethyl]imino)-1,3-thiazolidin-2-ylidene)aniline #', 'ZINC2555385', 'ZINC255980108', 'ZINC255980109', 'ZINC255980110', 'ZINC255980111', 'NS00015278', '4,5-bis(trifluoromethylimino)-3-phenyl-2-phenyliminothiazolidine', 'N-{(2Z,4E,5Z)-3-Phenyl-4,5-bis[(trifluoromethyl)imino]-1,3-thiazolidin-2-ylidene}aniline', "(N,N'E,N,N'Z)-N,N'-((Z)-3-phenyl-2-(phenylimino)thiazolidine-4,5-diylidene)bis(1,1,1-trifluoromethanamine)"]</t>
  </si>
  <si>
    <t>Compound(91625)</t>
  </si>
  <si>
    <t>C17H10F6N4S</t>
  </si>
  <si>
    <t>flucloxacillin</t>
  </si>
  <si>
    <t>(2S,5R,6R)-6-[[3-(2-chloro-6-fluorophenyl)-5-methyl-1,2-oxazole-4-carbonyl]amino]-3,3-dimethyl-7-oxo-4-thia-1-azabicyclo[3.2.0]heptane-2-carboxylic acid</t>
  </si>
  <si>
    <t>['Flucloxacillin', 'FLOXACILLIN', 'Floxapen', '5250-39-5', 'flucloxacilina', 'Flucloxacilline', 'Flucloxacillinum', 'flucloxacillin sodium', 'Flucloxacilina [INN-Spanish]', 'Flucloxacilline [INN-French]', 'Flucloxacillinum [INN-Latin]', 'Floxacillin [USAN]', 'BRL 2039', '3-(2-Chloro-6-fluorophenyl)-5-methyl-4-isoxazolylpenicillin', 'Flucloxacillin-Sodium', 'C19H17ClFN3O5S', 'UNII-43B2M34G2V', 'CHEBI:5098', 'Floxacillin (USAN)', 'Flucloxacillin (INN)', 'Floxapen (TN)', 'EINECS 226-051-0', 'Floxacillin sodium salt', '43B2M34G2V', 'BRL-2039', '(2S,5R,6R)-6-({[3-(2-chloro-6-fluorophenyl)-5-methyl-1,2-oxazol-4-yl]carbonyl}amino)-3,3-dimethyl-7-oxo-4-thia-1-azabicyclo[3.2.0]heptane-2-carboxylic acid', 'Flucloxacillin [INN]', '1847-24-1', 'Fluorochloroxacillin', '(2S,5R,6R)-6-[[3-(2-chloro-6-fluorophenyl)-5-methyl-1,2-oxazole-4-carbonyl]amino]-3,3-dimethyl-7-oxo-4-thia-1-azabicyclo[3.2.0]heptane-2-carboxylic acid', '4-Thia-1-azabicyclo(3.2.0)heptane-2-carboxylic acid, 6-(((3-(2-chloro-6-fluorophenyl)-5-methyl-4-isoxazolyl)carbonyl)amino)-3,3-dimethyl-7-oxo-, (2S(2alpha,5alpha,6beta))', '6-(3-(2-Chloro-6-fluorophenyl)-5-methyl-4-isoxazolecarboxamido)-3,3-dimethyl-7-oxo-4-thia-1-azabicyclo(3.2.0)heptane-2-carboxylic acid', '4-Thia-1-azabicyclo[3.2.0]heptane-2-carboxylic acid,6-[[[3-(2-chloro-6-fluorophenyl)-5-methyl-4-isoxazolyl]carbonyl]amino]-3,3-dimethyl-7-oxo-,(2S,5R,6R)-', 'MFIPC', '(2S,5R,6R)-6-{[3-(2-Chloro-6-fluorophenyl)-5-methyl-1,2-oxazole-4-carbonyl]amino}-3,3-dimethyl-7-oxo-4-thia-1-azabicyclo[3.2.0]heptane-2-carboxylic acid', 'Flucloxacillin,(S)', 'Floxapen sodium salt', 'FK 900 sodium', 'BRL 2039 sodium', 'Epitope ID:117416', 'SCHEMBL3823', '4-Thia-1-azabicyclo(3.2.0)heptane-2-carboxylic acid, 6-(((3-(2-chloro-6-fluorophenyl)-5-methyl-4-isoxazolyl)carbonyl)amino)-3,3-dimethyl-7-oxo-, (2S-(2alpha,5alpha,6beta))-', 'CHEMBL222645', 'DTXSID8023056', 'GTPL10910', 'BRL2039', '5250-39-5 (acid)', 'ZINC4102187', 'BDBM50370590', 'Floxacillin;Flucloxacillin;floxacillin', 'API0002714', 'DB00301', 'NCGC00485420-01', '(2S,5R,6R)-6-({[3-(2-chloro-6-fluorophenyl)-5-methylisoxazol-4-yl]carbonyl}amino)-3,3-dimethyl-7-oxo-4-thia-1-azabicyclo[3.2.0]heptane-2-carboxylic acid', '(2S,5R,6R)-6-[3-(2-chloro-6-fluorophenyl)-5-methyl-1,2-oxazole-4-amido]-3,3-dimethyl-7-oxo-4-thia-1-azabicyclo[3.2.0]heptane-2-carboxylic acid', '6beta-[3-(2-chloro-6-fluorophenyl)-5-methyl-1,2-oxazole-4-carboxamido]-2,2-dimethylpenam-3alpha-carboxylic acid', 'NCI60_002254', 'AX8130437', 'LS-175377', 'C11748', 'D04196', '250F395', 'Q1994556', 'W-105817', 'BRD-K27871792-001-01-8', 'Flucloxacillin, Antibiotic for Culture Media Use Only', '(2S,5R,6R)-6-(3-(2-chloro-6-fluorophenyl)-5-methylisoxazole-4-carboxamido)-3,3-dimethyl-7-oxo-4-thia-1-azabicyclo[3.2.0]heptane-2-carboxylic acid', '(2S,5R,6R)-6-[[[3-(2-Chloro-6-fluorophenyl)-5-methyl-4-isoxazolyl]carbonyl]amino]-3,3-dimethyl-7-oxo-4-thia-1-azabicyclo[3.2.0]heptane-2-carboxylic Acid Sodium']</t>
  </si>
  <si>
    <t>Compound(21319)</t>
  </si>
  <si>
    <t>C19H17ClFN3O5S</t>
  </si>
  <si>
    <t>N-[[4-[[[(4-chlorophenyl)-cyclopropylmethylidene]amino]oxymethyl]phenyl]carbamoyl]-2,6-difluorobenzamide</t>
  </si>
  <si>
    <t>['Flucycloxuron', '113036-88-7', 'CHEBI:39375', 'Andalin;DU 319722;A 1335', 'N-[[4-[[[(4-chlorophenyl)-cyclopropylmethylidene]amino]oxymethyl]phenyl]carbamoyl]-2,6-difluorobenzamide', '26903-EP2274983A1', '26903-EP2275422A1', '26903-EP2280009A1', '26903-EP2292608A1', '26903-EP2308858A1', '26903-EP2311816A1', '26903-EP2311817A1', '26903-EP2314583A1', 'Q27119838', 'N-({4-[({[(4-chlorophenyl)(cyclopropyl)methylene]amino}oxy)methyl]phenyl}carbamoyl)-2,6-difluorobenzamide', "N-(2,6-difluorobenzoyl)-N'-[4-(alpha-cyclopropyl-4-chlorobenzylideneaminooxymethyl)phenyl]urea"]</t>
  </si>
  <si>
    <t>Compound(86309)</t>
  </si>
  <si>
    <t>C25H20ClF2N3O3</t>
  </si>
  <si>
    <t>1,3-bis[4-chloro-3-(trifluoromethyl)phenyl]urea</t>
  </si>
  <si>
    <t>['Flucofuron', '370-50-3', 'TCMDC-137559', '1,3-bis[4-chloro-3-(trifluoromethyl)phenyl]urea', 'UNII-U3V3S70655', 'CHEBI:59242', '1,3-Bis(4-chloro-alpha,alpha,alpha-trifluoro-m-tolyl)urea', 'SORAFENIB IMPURITY 8', "N,N'-bis[4-chloro-3-(trifluoromethyl)phenyl]urea", 'U3V3S70655', 'Mitin N', 'N,Na(2)-Bis[4-chloro-3-(trifluoromethyl)phenyl]urea', 'Flucofuron [ISO]', 'EINECS 206-728-7', 'Flucofuron;Flucofuron', 'Epitope ID:131790', 'SCHEMBL118026', 'CHEMBL530543', "Urea, N,N'-bis(4-chloro-3-(trifluoromethyl)phenyl)-", 'DTXSID50891521', 'DS-000329', 'bis(4-chloro-3-(trifluoromethyl)phenyl)urea', 'NS00014525', '1,3-bis(4-chloro-a,a,a-trifluoro-m-tolyl)urea', 'Q27126562']</t>
  </si>
  <si>
    <t>Compound(67788)</t>
  </si>
  <si>
    <t>C15H8Cl2F6N2O</t>
  </si>
  <si>
    <t>fluconazole</t>
  </si>
  <si>
    <t>2-(2,4-difluorophenyl)-1,3-bis(1,2,4-triazol-1-yl)propan-2-ol</t>
  </si>
  <si>
    <t>['fluconazole', '86386-73-4', 'Diflucan', 'Triflucan', 'Biozolene', 'Elazor', 'Biocanol', 'Fluconazol', 'Fungata', 'Fluconazolum', 'Flucazol', 'Flucostat', 'Flukezol', 'Flunizol', 'Pritenzol', 'Zonal', 'UK 49858', 'Alflucoz', 'Oxifugol', '2-(2,4-DIFLUOROPHENYL)-1,3-DI(1H-1,2,4-TRIAZOL-1-YL)PROPAN-2-OL', 'Canzol', 'Cryptal', 'Dimycon', 'Flusol', 'Forcan', 'Syscan', 'Zoltec', 'Baten', 'Mutum', 'Zemyc', '2-(2,4-Difluorophenyl)-1,3-bis(1H-1,2,4-triazol-1-yl)propan-2-ol', 'Fluconazol [Spanish]', 'Fluconazolum [Latin]', 'UK-49858', 'DRG-0005', 'UNII-8VZV102JFY', '2-(2,4-difluorophenyl)-1,3-bis(1,2,4-triazol-1-yl)propan-2-ol', 'CCRIS 7211', 'C13H12F2N6O', 'DIFLUCAN IN SODIUM CHLORIDE 0.9%', 'HSDB 7420', 'CHEMBL106', '2-(2,4-Difluorophenyl)-1,3-bis(1H-1,2,4-triazol-1-yl)-2-propanol', 'DIFLUCAN IN DEXTROSE 5% IN PLASTIC CONTAINER', '8VZV102JFY', '2,4-Difluoro-alpha,alpha-bis(1H-1,2,4-triazol-1-ylmethyl)benzyl alcohol', '1H-1,2,4-Triazole-1-ethanol, alpha-(2,4-difluorophenyl)-alpha-(1H-1,2,4-triazol-1-ylmethyl)-', 'CHEBI:46081', '2-(2,4-Difluorophenyl)-1,3-di-1H-1,2,4-triazol-1-ylpropan-2-ol', 'Fluconazole, 98%', 'alpha-(2,4-Difluorophenyl)-alpha-(1H-1,2,4-triazol-1-ylmethyl)-1H-1,2,4-triazole-1-ethanol', 'difluconazole', 'NCGC00095089-01', 'Flunazol', 'Fluzone', 'Loitin', 'DIFLUCAN IN SODIUM CHLORIDE 0.9% IN PLASTIC CONTAINER', 'DSSTox_CID_627', 'DSSTox_RID_75701', 'DSSTox_GSID_20627', '123631-92-5', 'FLC', 'Diflazon', 'Fuconal', 'Triconal', 'Diflucan (TN)', 'SMR000471882', 'CAS-86386-73-4', 'FLCZ', 'Fluconazole &amp; hGCSF', 'SR-01000765440', 'Fluconazole [USAN:INN:BAN:JAN]', 'Fluconazole in sodium chloride 0.9%', 'Flukonazol', 'Flucoral', '2-(2,4-difluorophenyl)-1,3-di(1,2,4-triazolyl)propan-2-ol', 'Fluconazole &amp; MC-510,011', 'Fluconazole (f)', 'Fluconazole,(S)', 'Fluconazole in dextrose 5% in plastic container', '2,4-Difluoro-alpha,alpha-1-bis(1H-1,2,4-triazol-1-ylmethyl)benzyl alcohol', 'Fluzon [Antifungal]', 'Fluconazole [USAN]', 'KS-1059', 'Fluconazol_328_ p', 'Fluconazole [USAN:USP:INN:BAN:JAN]', 'Fluconazole in sodium chloride 0.9% in plastic container', 'Fluconazole in combination with MGCD290', 'Spectrum_001654', 'Spectrum2_001607', 'Spectrum3_001912', 'Spectrum4_000090', 'Spectrum5_001277', 'F0677', 'MGCD290 and Fluconazole', 'cid_3365', 'MG-3290 and Fluconazole', 'SCHEMBL3151', 'BSPBio_003504', 'KBioGR_000360', 'KBioSS_002134', 'MLS001066394', 'MLS001165780', 'MLS001195645', 'MLS001304713', 'MLS001306492', 'MLS006011884', 'BIDD:GT0799', 'DivK1c_001030', 'SPECTRUM1503975', 'SPBio_001613', '1-p-tolylpyridin-2(1H)-one', 'ZINC4009', 'Fluconazole (JP17/USP/INN)', 'DTXSID3020627', 'BDBM25817', 'CTK4B3573', 'HMS503M21', 'KBio1_001030', 'KBio2_002134', 'KBio2_004702', 'KBio2_007270', 'KBio3_003009', 'NINDS_001030', 'HMS1922O10', 'HMS2090I20', 'HMS2093M21', 'HMS2230O22', 'HMS3259H13', 'HMS3373I19', 'HMS3654P15', 'HMS3715F21', 'HMS3748G19', 'Pharmakon1600-01503975', 'BCP28522', 'Fluconazole 2.0 mg/ml in Methanol', 'HY-B0101', 'KS-000000NR', '1,2,4-triazol-1-yl)propan-2-ol', 'Tox21_111419', 'Tox21_202240', 'Tox21_300581', '2-(2,4-Difluoro-phenyl)-1,3-bis-[1,2,4]triazol-1-yl-propan-2-ol', 'ABP001077', 'AC-428', 'ANW-42860', 'BBL005614', 'CCG-39065', 'CF0055', 'DL-407', 'Fluconazole &amp; Human recombinant granulocyte colony stimulating factor', 'KM2402', 'MFCD00274549', 'NSC758661', 's1331', 'SBB066063', 'STK619301', 'AKOS000280854', 'Tox21_111419_1', 'CS-1835', 'DB00196', 'Fluconazole, &gt;=98% (HPLC), powder', 'LS-1858', 'MCULE-8641424658', 'NC00650', 'NSC-758661', 'IDI1_001030', 'NCGC00095089-02', 'NCGC00095089-04', 'NCGC00095089-05', 'NCGC00095089-06', 'NCGC00095089-07', 'NCGC00095089-08', 'NCGC00095089-09', 'NCGC00095089-10', 'NCGC00095089-11', 'NCGC00254412-01', 'NCGC00259789-01', '2-(2,4-difluorophenyl)-1,3-di(1H-', 'SC-12182', 'SC-26357', 'SC-35622', 'SBI-0051880.P002', 'AB0008515', 'UK-049858', 'UK-49,858', 'FT-0626437', 'NS00000281', 'ST51039043', 'SW199616-2', 'EN300-53634', 'C07002', 'D00322', 'J10407', 'AB00052399-07', 'AB00052399-08', 'AB00052399_09', 'AB00052399_10', '386F734', 'A841625', 'Q411478', 'Q-201120', 'SR-01000765440-2', 'SR-01000765440-4', 'SR-01000765440-8', 'UK-49858;UK 49858;UK49858', 'BRD-K05977355-001-02-6', 'BRD-K05977355-001-09-1', 'F2173-0496', 'Z235354561', 'Fluconazole, European Pharmacopoeia (EP) Reference Standard', '2-(2,4-difluorophenyl)-1,3-bis(1,2,4-triazol-1-yl)-2-propanol', 'Fluconazole, United States Pharmacopeia (USP) Reference Standard', '2-[2,4-bis(fluoranyl)phenyl]-1,3-bis(1,2,4-triazol-1-yl)propan-2-ol', '86386-73-4,155347-36-7(H2O),159532-41-9(methanesulfonate)', 'Fluconazole, Pharmaceutical Secondary Standard; Certified Reference Material', 'Fluconazole for peak identification, European Pharmacopoeia (EP) Reference Standard', 'Fluconazole solution, 2.0 mg/mL in methanol, ampule of 1 mL, certified reference material', '.alpha.-(2,4-Difluorophenyl)-.alpha.-(1H-1,2,4-triazol-1-ylmethyl)-1H-1,2,4-triazole-1-ethanol', '340962-81-4']</t>
  </si>
  <si>
    <t>Compound(3365)</t>
  </si>
  <si>
    <t>C13H12F2N6O</t>
  </si>
  <si>
    <t>flucythrinate</t>
  </si>
  <si>
    <t>[cyano-(3-phenoxyphenyl)methyl] 2-[4-(difluoromethoxy)phenyl]-3-methylbutanoate</t>
  </si>
  <si>
    <t>['FLUCYTHRINATE', '70124-77-5', 'Fluorocythrin', 'CyBolt', 'Pay-Off', 'Cythrin', 'Guardian', 'Funchiong jujr', 'Stock Guard', 'Pay Off', 'Caswell No. 002AA', 'AC 222705', 'UNII-57D0GAO3RX', 'Flucythrinate [ANSI:BSI:ISO]', 'HSDB 6647', 'EINECS 274-322-7', 'EPA Pesticide Chemical Code 118301', 'BRN 2195795', '57D0GAO3RX', '[cyano-(3-phenoxyphenyl)methyl] 2-[4-(difluoromethoxy)phenyl]-3-methylbutanoate', 'Cyano(3-phenoxyphenyl)methyl 4-(difluoromethoxy)-alpha-(1-methylethyl)benzeneac', '(+-)-alpha-Cyano-m-phenoxy-benzyl (+)-2-(p-difluoromethoxy)phenyl-3-methylbutyrate', '(+-)-Cyano(3-phenoxyphenyl)methyl (+)-(4-difluoromethoxy)-alpha-(1-methylethyl)benzeneacetate', '(+-)-Cyano(3-phenoxyphenyl)methyl(+)-4-(difluoromethoxy)-alpha-(1-methylethyl)benzeneacetate', '(+-)-cyano-(3-phenoxyphenyl)methyl (+)-4-(difluoromethoxy)-alpha-(methylethyl)benzeneacetate', '(RS)-alpha-Cyano-3-phenoxybenzyl (S)-2-(4-difluoromethoxyphenyl)-3-methylbutyrate', '(RS)-Cyano-(3-phenoxyphenyl)methyl (S)-4-(difluoromethoxy)-alpha-(1-methylethyl)benzeneacetate', '4-(Difluoromethoxy)-alpha-(1-methylethyl)benzeneacetic acid cyano(3-phenoxy-phenyl)methyl ester', 'Benzeneacetic acid, 4-(difluoromethoxy)-.alpha.-(1-methylethyl)-, cyano(3-phenoxyphenyl)methyl ester', 'Benzeneacetic acid, 4-(difluoromethoxy)-alpha-(1-methylethyl)-, cyano(3-phenoxyphenyl)methyl ester', 'Cyano(3-phenoxyphenyl)methyl 2-(4-(difluoromethoxy)phenyl)-3-methylbutyrate', '(+-)-Cyano-(3-phenoxyphenyl)methyl (+)-4-(difluoromethoxy)-alpha-(1-methylethyl)benzeneacetate', 'Fludioxanil', 'cyano(3-phenoxyphenyl)methyl 2-(4-(difluoromethoxy)phenyl)-3-methylbutanoate', 'Cyano(3-phenoxyphenyl)methyl 2-[4-(difluoromethoxy)phenyl]-3-methylbutanoate', 'Flucythrinate Isomer 1', 'alpha-Cyano-3-phenoxybenzyl 4-difluoromethoxy-alpha-isopropylphenylacetate', 'Flucythrinate E.C.(10%)', 'Fluorocythrin E.C.(10%)', 'SCHEMBL682196', 'CHEMBL2289397', 'CTK8E5623', 'flucythrinate;Cyano(3-phenoxyphenyl)methyl 2-[4-difluoromethoxy)phenyl]-3-methylbutyrate', 'AKOS015902545', 'Cyano(3-phenoxyphenyl)methyl 2-[4-difluoromethoxy)phenyl]-3-methylbutyrate', 'AC-12669', 'Flucythrinate 100 microg/mL in Isooctane', 'LS-28745', 'SC-74644', 'Flucythrinate 10 microg/mL in Cyclohexane', 'DB-055378', 'FT-0630796', 'NS00002275', 'Fluorocythrin; Pay-Offv;AC 222705; CyBolt', 'C14524', 'Flucythrinate, PESTANAL(R), analytical standard', 'Q1430580', 'alpha-Cyano-m-phenoxybenzyl alpha-Isopropyl-4-difluoromethoxyphenylacetate', '(+)-alpha-cyano-m-phenoxybenzyl (+)-alpha-isopropyl-4-difluoromethoxyphenylacetate', '[cyano-(3-phenoxyphenyl)methyl] 2-[4-(difluoromethoxy)phenyl]-3-methyl-butanoate', 'Cyano(3-phenoxyphenyl)methyl 2-[4-(difluoromethoxy)phenyl]-3-methylbutanoate #', 'cyano[3-(phenyloxy)phenyl]methyl 2-{4-[(difluoromethyl)oxy]phenyl}-3-methylbutanoate', 'Flucythrinate solution, 10 mug/mL in cyclohexane, PESTANAL(R), analytical standard']</t>
  </si>
  <si>
    <t>Compound(50980)</t>
  </si>
  <si>
    <t>C26H23F2NO4</t>
  </si>
  <si>
    <t>4-(2,2-difluoro-1,3-benzodioxol-4-yl)-1H-pyrrole-3-carbonitrile</t>
  </si>
  <si>
    <t>['Fludioxonil', '131341-86-1', '4-(2,2-Difluorobenzo[d][1,3]dioxol-4-yl)-1H-pyrrole-3-carbonitrile', '4-(2,2-Difluoro-1,3-benzodioxol-4-yl)-1H-pyrrole-3-carbonitrile', '1H-Pyrrole-3-carbonitrile, 4-(2,2-difluoro-1,3-benzodioxol-4-yl)-', 'Fludioxonil [ISO]', 'UNII-ENS9J0YM16', 'C12H6F2N2O2', 'ENS9J0YM16', 'CHEBI:81763', 'AK-57600', 'Savior', 'Geoxe', '4-(2,2-difluoro-2H-1,3-benzodioxol-4-yl)-1H-pyrrole-3-carbonitrile', 'Fludioxonil 100 microg/mL in Acetonitrile', 'Fludioxinil', 'fludioxonil;fludioxonil', 'DSSTox_CID_12398', 'DSSTox_RID_78938', 'DSSTox_GSID_32398', 'SCHEMBL22172', 'KSC917S0N', 'CHEMBL485833', 'PYR434', 'DTXSID2032398', 'CTK8B7906', 'HSDB 8246', 'BCP14355', 'EBD95262', 'KS-00000G9J', 'ZINC2381595', 'Tox21_301049', '5808AA', 'ANW-58911', 'Fludioxonil 10 microg/mL in Acetone', 'FLUDIOXONIL ANALYTICAL STANDARD', 'AKOS005063367', 'MCULE-8409821275', 'PB10198', 'NCGC00163884-01', 'NCGC00163884-02', 'NCGC00163884-03', 'NCGC00254951-01', 'AS-10363', 'CC-28458', 'Fludioxonil 10 microg/mL in Acetonitrile', 'SC-90837', 'AX8130467', 'DB-001265', 'LS-136641', 'CAS-131341-86-1', 'CS-0035318', 'FT-0631137', 'FT-0668567', 'NS00011514', 'C18462', 'Fludioxonil, PESTANAL(R), analytical standard', 'J90055', 'Q-2415', '341F861', 'C-15190', 'Q975876', 'J-005981', '1H-Pyrrole-3-carbonitrile, 4-(2,2-difluoro-1,3-ben', 'Fludioxonil, certified reference material, TraceCERT(R)', '4-(2,2-difluoro-1,3-benzodioxol-4-yl)-1h-pyrrole-3-carbonitril', '4-(2,2-DIFLUORO-1,3-BENZDIOXOL-4-YL)-1H-PYRROLE-3-CARBONITRILE']</t>
  </si>
  <si>
    <t>Compound(86398)</t>
  </si>
  <si>
    <t>C12H6F2N2O2</t>
  </si>
  <si>
    <t>N-(4-fluorophenyl)-N-propan-2-yl-2-[[5-(trifluoromethyl)-1,3,4-thiadiazol-2-yl]oxy]acetamide</t>
  </si>
  <si>
    <t>['Flufenacet', '142459-58-3', 'Thiafluamide', 'Fluthiamide', 'Fluthiamid', 'Flufenacet [ISO]', 'Foe 5043', 'UNII-OL44PP5145', 'BAY-FOE 5043', 'HSDB 7011', 'EINECS Annex I Index 613-164-00-9', 'CHEBI:81920', 'OL44PP5145', 'N-(4-fluorophenyl)-N-propan-2-yl-2-[[5-(trifluoromethyl)-1,3,4-thiadiazol-2-yl]oxy]acetamide', 'Acetamide, N-(4-fluorophenyl)-N-(1-methylethyl)-2-((5-(trifluoromethyl)-1,3,4-thiadiazol-2-yl)oxy)-', 'N-(4-Fluorophenyl)-N-(1-methylethyl)-2-((5-(trifluoromethyl)-1,3,4-thiadiazol-2-yl)oxy)acetamide', 'n-(4-fluorophenyl)-n-(1-methylethyl)-2-[[5-(trifluoromethyl)-1,3,4-thiadiazol-2-yl]oxy]acetamide', 'N-(4-fluorophenyl)-N-(propan-2-yl)-2-{[5-(trifluoromethyl)-1,3,4-thiadiazol-2-yl]oxy}acetamide', 'Thiafluamide;Fluthiamide', 'DSSTox_CID_12552', 'DSSTox_RID_78981', 'DSSTox_GSID_32552', 'cc-167', 'SCHEMBL116467', 'CHEMBL1886718', 'DTXSID2032552', 'BCP31114', 'ZINC2383330', 'Tox21_301073', 'AKOS015917661', 'LS-9639', 'Flufenacet 10 microg/mL in Cyclohexane', 'NCGC00164314-01', 'NCGC00164314-02', 'NCGC00164314-03', 'NCGC00254974-01', 'AC-26781', 'AS-10720', 'SC-98109', 'DB-130276', 'CAS-142459-58-3', 'FT-0696707', 'NS00000324', 'Flufenacet, PESTANAL(R), analytical standard', 'C18731', '459F583', 'Q1430589', "4'-fluoro-N-isopropyl-2-[5-(trifluoromethyl)-1,3,4-thiadiazol-2-yloxy]acetanilide", 'FOE 5043;flufenacet;N-(4-fluorophenyl)-N-isopropyl-2-(5-trifluoromethyl-[1,3,4]thiadiazol-2-yloxy)acetamide', 'N-(4-fluorophenyl)-N-isopropyl-2-{[5-(trifluoromethyl)-1,3,4-thiadiazol-2-yl]oxy}acetamide']</t>
  </si>
  <si>
    <t>Compound(86429)</t>
  </si>
  <si>
    <t>C14H13F4N3O2S</t>
  </si>
  <si>
    <t>N-[[4-[2-chloro-4-(trifluoromethyl)phenoxy]-2-fluorophenyl]carbamoyl]-2,6-difluorobenzamide</t>
  </si>
  <si>
    <t>['Flufenoxuron', '101463-69-8', 'Cascade', 'Flufenoxuron [ISO]', 'UNII-OD068OSS0N', 'OD068OSS0N', 'WL 115110', 'Benzamide, N-[[[4-[2-chloro-4-(trifluoromethyl)phenoxy]-2-fluorophenyl]amino]carbonyl]-2,6-difluoro-', 'CHEBI:39382', 'N-[[4-[2-chloro-4-(trifluoromethyl)phenoxy]-2-fluorophenyl]carbamoyl]-2,6-difluorobenzamide', 'N-(((4-(2-chloro-4-(trifluoromethyl)phenoxy)-2-fluorophenyl)amino)carbonyl)-2,6-difluorobenzamide', 'N-((4-(2-Chloro-4-(trifluoromethyl)phenoxy)-2-fluorophenyl)carbamoyl)-2,6-difluorobenzamide', 'N-({4-[2-chloro-4-(trifluoromethyl)phenoxy]-2-fluorophenyl}carbamoyl)-2,6-difluorobenzamide', 'Benzamide, N-(((4-(2-chloro-4-(trifluoromethyl)phenoxy)-2-fluorophenyl)amino)carbonyl)-2,6-difluoro-', 'HSDB 7959', 'Cascade;WL 115110', 'EC 417-680-3', 'DSSTox_CID_21978', 'DSSTox_RID_79893', 'DSSTox_GSID_41978', 'SCHEMBL27798', 'CHEMBL2287680', 'DTXSID1041978', 'RYLHNOVXKPXDIP-UHFFFAOYSA-', 'HY-B2009', 'ZINC2564891', 'Tox21_300764', 'AKOS015895780', 'DB15006', 'Flufenoxuron 1000 microg/mL in Acetone', 'NCGC00248160-01', 'NCGC00254668-01', 'CC-28461', 'Flufenoxuron 10 microg/mL in Cyclohexane', 'LS-26232', 'SC-67398', 'CAS-101463-69-8', 'CS-0014110', 'FT-0631013', 'NS00003296', 'C18430', '26902-EP2274983A1', '26902-EP2275422A1', '26902-EP2280009A1', '26902-EP2292608A1', '26902-EP2298076A1', '26902-EP2298077A1', '26902-EP2301353A1', '26902-EP2305031A1', '26902-EP2305034A1', '26902-EP2305035A1', '26902-EP2308857A1', '26902-EP2308858A1', '26902-EP2311816A1', '26902-EP2311817A1', '26902-EP2314583A1', 'Flufenoxuron, PESTANAL(R), analytical standard', '463F698', 'A800390', 'C-22853', 'Q2787491', '1-[4-(2-chloro-4-trifluoromethylphenoxy)-2-fluorophenyl]-3-(2,6-difluorobenzoyl)urea', 'N-(4-(2-chloro-4-(trifluoromethyl)phenoxy)-2-fluorophenylcarbamoyl)-2,6-difluorobenzamide', 'N-[[4-[2-chloro-4-(trifluoromethyl)phenoxy]-2-fluorophenyl]carbamoyl]-2,6-difluo', '1-(4-(2-cloro-a,a,a-p-trifluorotolyloxy)-2-fluorophenyl)-3-(2,6-difluorobenzolyl) urea/Flufenoxuron', '1-(4-(2-cloro-a,a,a-p-trifluorotolyloxy)-2-fluorophenyl)-3-(2,6-difluorobenzolyl) urea/Flufenoxuron;flufenoxuron;1-(4-(2-cloro-a,a,a-p-trifluorotolyloxy)-2-fluorophenyl)-3-(2,6-difluorobenzolyl)urea', '1-(4-(2-Cloro-alpha,alpha,alpha-P-trifluorotolyloxy)-2-fluorophenyl)-3-(2,6-difluorobenzolyl)urea', '1-[4-(5-chloro-alpha,alpha,alpha-trifluoro-p-tolyloxy)-2-fluorophenyl]-3-(2,6-difluorobenzoyl)urea', 'N-[[4-[2-chloranyl-4-(trifluoromethyl)phenoxy]-2-fluoranyl-phenyl]carbamoyl]-2,6-bis(fluoranyl)benzamide', 'N-[[4-[2-chloro-4-(trifluoromethyl)phenoxy]-2-fluoroanilino]-oxomethyl]-2,6-difluorobenzamide']</t>
  </si>
  <si>
    <t>Compound(91766)</t>
  </si>
  <si>
    <t>C21H11ClF6N2O3</t>
  </si>
  <si>
    <t>fluphenazine</t>
  </si>
  <si>
    <t>2-[4-[3-[2-(trifluoromethyl)phenothiazin-10-yl]propyl]piperazin-1-yl]ethanol</t>
  </si>
  <si>
    <t>['FLUPHENAZINE', 'Triflumethazine', 'Fluorophenazine', 'Fluorphenazine', 'Fluorfenazine', '69-23-8', 'Siqualon', 'Elinol', 'Phthorphenazine', 'Ftorphenazine', 'Siqualine', 'Vespazine', 'Pacinol', 'Sevinol', 'Prolixin', 'Fluphenazinum', 'Flufenazin', 'Flufenazina', 'Valamina', 'Dapotum', 'Flufenazina [DCIT]', 'SQ 4918', '2-(4-(3-(2-(trifluoromethyl)-10H-phenothiazin-10-yl)propyl)piperazin-1-yl)ethanol', 'Fluphenazine [INN:BAN]', 'Moditen (Tabl or elixir)', 'Fluphenazinum [INN-Latin]', '10-(3-(2-Hydroxyethyl)piperazinopropyl)-2-(trifluoromethyl)phenothiazine', '4-(3-(2-Trifluoromethyl-10-phenothiazyl)-propyl)-1-piperazineethanol', 'UNII-S79426A41Z', '4-(3-(-Trifluoromethyl-10-phenothiazyl)-propyl)-1-piperazineethanol', 'HSDB 3334', '1-(2-Hydroxyethyl)-4-(3-(trifluoromethyl-10-phenothiazinyl)propyl)-piperazine', '4-(3-(2-(Trifluoromethyl)-10H-phenothiazin-10-yl)propyl)-1-piperazineethanol', 'EINECS 200-702-9', 'NSC 62323', 'S94', 'C22H26F3N3OS', '1-Piperazineethanol, 4-(3-(2-(trifluoromethyl)-10H-phenothiazin-10-yl)propyl)-', '2-[4-[3-[2-(trifluoromethyl)phenothiazin-10-yl]propyl]piperazin-1-yl]ethanol', "10-(3'-(4''-(beta-Hydroxyethyl)-1''-piperazinyl)-propyl)-3-trifluoromethylphenothiazine", 'CHEBI:5123', 'Calmansial', '1-(2-Hydroxyethyl)-4-[3-(trifluoromethyl-10-phenothiazinyl)propyl]piperazine', '10-(3\'-(4"-(beta-Hydroxyethyl)-1"-piperazinyl)-propyl)-3-trifluoromethylphenothiazine', '2-(Trifluoromethyl)-10-(3-(1-(beta-hydroxyethyl)-4-pipe razinyl)propyl)phenothiazine', 'Phenothiazine, 10-(3-(4-(2-hydroxyethyl)-1-piperazinyl)propyl)-2-(trifluoromethyl)-', 'S79426A41Z', 'NCGC00015436-07', 'Yespazine', 'DSSTox_CID_3068', '1-Piperazineethanol, 4-[3-[2-(trifluoromethyl)-10H-phenothiazin-10-yl]propyl]-', '2-(4-(3-[2-(Trifluoromethyl)-10H-phenothiazin-10-yl]propyl)-1-piperazinyl)ethanol', '2-(4-{3-[2-(trifluoromethyl)-10H-phenothiazin-10-yl]propyl}piperazin-1-yl)ethan-1-ol', '2-(4-{3-[2-(trifluoromethyl)-10H-phenothiazin-10-yl]propyl}piperazin-1-yl)ethanol', '2-(Trifluoromethyl)-10-(3-(1-(beta-hydroxyethyl)-4-piperazinyl)propyl)phenothiazine', 'DSSTox_RID_76862', 'DSSTox_GSID_23068', 'MLS001076508', '4-[3-(2-Trifluoromethyl-10-phenothiazyl)-propyl]-1-piperazineethanol', '1-Piperazineethanol, 4-(3-(2-(trifluoromethyl)phenothiazin-10-yl)propyl)-', '4-[3-[2-(Trifluoromethyl)-10H-phenothiazin-10-yl]propyl]-1-piperazineethanol', 'CAS-69-23-8', 'Moditen (TN)', 'Fluphenazine (INN)', 'NSC62323', 'NSC-62323', 'flufenazine', 'A 4077', '1-Piperazineethanol, 4-[3-[2-(trifluoromethyl)phenothiazin-10-yl]propyl]-', '2-(4-{3-[2-(Trifluoromethyl)-10H-phenothiazin-10-yl]propyl}-1-piperazinyl)ethanol', 'Permitil (Salt/Mix)', 'Prolixin (Salt/Mix)', 'Tensofin (Salt/Mix)', 'Anatensol (Salt/Mix)', 'Prolixine (Salt/Mix)', 'Spectrum_000289', 'Prestwick0_000320', 'Prestwick1_000320', 'Prestwick2_000320', 'Prestwick3_000320', 'Spectrum2_001199', 'Spectrum3_001420', 'Spectrum4_000828', 'Spectrum5_001536', 'Lopac-F-4765', 'ChemDiv1_024180', 'Biomol-NT_000023', 'CHEMBL726', 'Probes1_000254', 'Probes2_000295', 'cid_3372', 'BIDD:PXR0184', 'Lopac0_000555', 'SCHEMBL19221', 'BSPBio_000320', 'BSPBio_003100', 'GTPL204', 'KBioGR_001375', 'KBioGR_002386', 'KBioSS_000769', 'KBioSS_002391', 'DivK1c_000511', 'SPBio_001277', 'SPBio_002539', 'BPBio1_000352', 'BPBio1_001187', 'DTXSID2023068', 'BDBM78433', 'cid_6602611', 'CTK8F9822', 'HMS655L02', 'KBio1_000511', 'KBio2_000769', 'KBio2_002386', 'KBio2_003337', 'KBio2_004954', 'KBio2_005905', 'KBio2_007522', 'KBio3_002320', 'KBio3_002865', 'cMAP_000035', 'NINDS_000511', 'HMS2089C16', 'BCP21399', 'Tox21_110146', '0680AC', 'BG0198', 'MFCD00242759', 'STK050763', 'ZINC19203912', '4-(3-(2-(trifluoromethyl)phenothiazin-10-yl)propyl)-1-Piperazineethanol', 'AKOS001659031', 'Tox21_110146_1', 'API0006719', 'CCG-204645', 'DB00623', 'MCULE-7579992672', 'SDCCGSBI-0050538.P004', '2-[4-[3-[2-(trifluoromethyl)phenothiazin-10-yl]propyl]piperazin-1-yl]ethanol dihydrochloride', 'IDI1_000511', 'MRF-0000359', 'NCGC00015436-01', 'NCGC00015436-02', 'NCGC00015436-03', 'NCGC00015436-04', 'NCGC00015436-05', 'NCGC00015436-06', 'NCGC00015436-08', 'NCGC00015436-09', 'NCGC00015436-11', 'NCGC00024429-03', 'NCGC00024429-04', 'CAS-146-56-5', 'S 94', 'SBI-0050538.P003', 'AX8130619', 'Fluorfenazine pound (3/4)&lt;&lt;EnAa pound(c)', 'LS-112565', 'AB00053587', 'NS00005055', '1451-EP2272537A2', '1451-EP2298776A1', 'C07010', 'D07977', 'Q58376', 'AB00053587-18', 'AB00053587_19', 'A836405', 'L000257', 'fluphenazine dihydrochloride;Fluphenazine;fluphenazine', 'SR-01000003048-5', 'BRD-K55127134-001-01-7', 'BRD-K55127134-300-05-4', 'BRD-K55127134-300-07-0', '1-Piperazineethanol, 4-(3-(2-(trifluoromethyl)-10H-phenothiazin-10-yl)propyl)- (9CI)', '2-(4-(3-[2-(Trifluoromethyl)-10H-phenothiazin-10-yl]propyl)-1-piperazinyl)ethanol #', '2-[4-[3-[2-(trifluoromethyl)-10-phenothiazinyl]propyl]-1-piperazinyl]ethanol', '2-[4-[3-[2-(trifluoromethyl)-10-phenothiazinyl]propyl]-1-piperazinyl]ethanol;hydrochloride', '2-[4-[3-[2-(trifluoromethyl)phenothiazin-10-yl]propyl]piperazin-1-yl]ethanol;hydrochloride', '2-[4-[3-[2-(trifluoromethyl)phenothiazin-10-yl]propyl]piperazino]ethanol;hydrochloride']</t>
  </si>
  <si>
    <t>Compound(3372)</t>
  </si>
  <si>
    <t>C22H26F3N3OS</t>
  </si>
  <si>
    <t>flumioxazine</t>
  </si>
  <si>
    <t>2-(7-fluoro-3-oxo-4-prop-2-ynyl-1,4-benzoxazin-6-yl)-4,5,6,7-tetrahydroisoindole-1,3-dione</t>
  </si>
  <si>
    <t>['Flumioxazin', '103361-09-7', 'Flumioxazine', 'Sumisoya', 'Flumioxazin [ISO]', 'S 53482', 'S-53482', 'UNII-L0PX7OGI22', 'V 53482', 'HSDB 7012', 'EINECS Annex I Index 613-166-00-X', 'L0PX7OGI22', 'CHEBI:8939', '2-(7-fluoro-3-oxo-4-prop-2-ynyl-1,4-benzoxazin-6-yl)-4,5,6,7-tetrahydroisoindole-1,3-dione', '7-Fluoro-6-(3,4,5,6-tetrahydrophthalimido)-4-(2-propynyl)-1,4-benzoxazin-3(2H)-one', '1H-Isoindole-1,3(2H)-dione, 4,5,6,7-tetrahydro-2-(7-fluoro-3,4-dihydro-3-oxo-4-(2-propynyl)-2H-1,4-benzoxazin-6-yl)-', '2-[7-fluoro-3-oxo-4-(prop-2-yn-1-yl)-3,4-dihydro-2H-1,4-benzoxazin-6-yl]-4,5,6,7-tetrahydro-1H-isoindole-1,3(2H)-dione', 'Fluminoxazin', 'Sumisoya; V 53482', 'DSSTox_CID_12555', 'DSSTox_RID_78984', 'DSSTox_GSID_32555', 'SCHEMBL39699', 'CHEMBL2133606', 'DTXSID7032555', 'ZINC900727', 'Tox21_301061', 'AKOS015903850', 'Flumioxazin 10 microg/mL in Cyclohexane', 'NCGC00163707-01', 'NCGC00163707-02', 'NCGC00163707-03', 'NCGC00254963-01', '141490-50-8', '2-[7-Fluoro-3,4-dihydro-3-oxo-4-(2-propyn-1-yl)-2H-1,4-benzoxazin-6-yl]-4,5,6,7-tetrahydro-1H-isoindole-1,3(2H)-dione', 'Flumioxazin 10 microg/mL in Acetonitrile', 'LS-84645', 'DB-040441', 'HY-114507', 'CAS-103361-09-7', 'CS-0063339', 'FT-0631025', 'NS00010176', 'C11035', 'Flumioxazin, PESTANAL(R), analytical standard', '361F097', 'Q1434160', '2-(7-fluoro-3-oxo-4-(prop-2-ynyl)-3,4-dihydro-2H-benzo[b][1,4]oxazin-6-yl)-4,5,6,7-tetrahydro-1H-isoindole-1,3(2H)-dione', '2-(7-fluoro-3-oxo-4-prop-2-yn-1-yl-3,4-dihydro-2H-1,4-benzoxazin-6-yl)-4,5,6,7-tetrahydro-1H-isoindole-1,3(2H)-dione', '2-[7-Fluoro-3,4-dihydro-3-oxo-4-(2-propynyl)-2H-1,4-benzoxazin-6-yl]-4,5,6,7-tetrahydro-1H-isoindole-1,3(2H)-dione, 9CI', '2-[7-fluoro-3,4-dihydro-3-oxo-4-(2-propynyl)-2H-1,4-benzoxazine-6-yl]-4,5,6,7-tetrahydro-1H-isoindole-1,3(2H)-dione', '2-[7-Fluoro-3,4-dihydro-3-oxo-4-(prop-2-yn-1-yl)-2H-1,4-benzoxazin-6-yl]-4,5,6,7-tetrahydro-1H-isoindole-1,3(2H)-dione', '2-[7-fluoro-3-oxo-4-(prop-2-yn-1-yl)-3,4-dihydro-2H-1,4-benzoxazin-6-yl]-2,3,4,5,6,7-hexahydro-1H-isoindole-1,3-dione', '2-[7-fluoro-4-(2-propynyl)-2H-1,4-benzoxazin-3(4H)-on-6-yl]-4,5,6,7-tetrahydro-2H-isoindole-1,3-dione', 'n-(7-fluoro-3,4-dihydro-3-oxo-4-prop-2-ynyl-2h-1,4-benzoxazin-6-yl)cyclohex-1-ene-1,2-dicarboxamide', 'N-(7-fluoro-3,4-dihydro-3-oxo-4-prop-2-ynyl-2H-1,4-benzoxazin-6-yl)cyclohex-1-ene-1,2-dicarboxamide;1H-Isoindole-1,3(2H)-dione, 2-[7-fluoro-3,4-dihydro-3-oxo-4-(2-propyn-1-yl)-2H-1,4-benzoxazin-6-yl]-4,5,6,7-tetrahydro-', 'N-[7-Fluoro-3-oxo-4-(2-propynyl)-3,4-dihydro-2H-1,4-benzoxazine-6-yl]-1-cyclohexene-1,2-dicarboximide']</t>
  </si>
  <si>
    <t>Compound(92425)</t>
  </si>
  <si>
    <t>C19H15FN2O4</t>
  </si>
  <si>
    <t>7-fluoro-12-methyl-4-oxo-1-azatricyclo[7.3.1.05,13]trideca-2,5,7,9(13)-tetraene-3-carboxylic acid</t>
  </si>
  <si>
    <t>['flumequine', '42835-25-6', 'Flumigal', 'Apurone', 'Flumiquil', 'Flumisol', 'Imequyl', 'Flumix', '9-Fluoro-5-methyl-1-oxo-1,5,6,7-tetrahydropyrido[3,2,1-ij]quinoline-2-carboxylic acid', 'R 802 (bactericide)', 'Flumequinum [INN-Latin]', 'Flumequino [INN-Spanish]', 'HSDB 7034', 'R 802', 'EINECS 255-962-6', 'MLS000069546', 'R-802', 'CHEBI:85269', '9-fluoro-6,7-dihydro-5-methyl-1-oxo-1h,5h-benzo[ij]quinolizine-2-carboxylic acid', 'NCGC00018211-03', 'Flumequinum', 'AK-27078', 'Flumequino', 'SMR000058826', '1H,5H-Benzo(ij)quinolizine-2-carboxylic acid, 9-fluoro-6,7-dihydro-5-methyl-1-oxo-', '9-Fluoro-5-methyl-1-oxo-6,7-dihydro-1H,5H-pyrido[3,2,1-ij]quinoline-2-carboxylic acid', '9-Fluoro-6,7-dihydro-5-methyl-1-oxo-1H,5H-benzo(ij)quinolizine-2-carboxylic acid', 'DSSTox_CID_25623', 'DSSTox_RID_81008', 'DSSTox_GSID_45623', 'Q-201123', '6,7-Dihydro-9-fluoro-5-methyl-1-oxo-1H,5H-quinolizine-2-carboxylic acid', '1H,5H-Benzo[ij]quinolizine-2-carboxylic acid, 9-fluoro-6,7-dihydro-5-methyl-1-oxo-', 'FLM', 'SR-01000000130', 'Fantacin', 'Flumequin', 'Flumequine [USAN:BAN:INN]', 'Flumequine [USAN:INN:BAN]', '(RS)-9-Fluoro-5-methyl-1-oxo-6,7-dihydro-1H,5H-benzo[i,j]quinolizine-2-carboxylic acid', 'Prestwick_603', 'Apurone (TN)', 'CAS-42835-25-6', 'Spectrum_000367', 'Flumequine (USAN/INN)', 'Opera_ID_1399', 'Prestwick0_000204', 'Prestwick1_000204', 'Prestwick2_000204', 'Prestwick3_000204', 'Spectrum2_001200', 'Spectrum3_001417', 'Spectrum4_000826', 'Spectrum5_001532', 'SCHEMBL49829', 'BSPBio_000187', 'BSPBio_003094', 'KBioGR_001371', 'KBioSS_000847', 'MLS001074120', 'DivK1c_000089', 'SPECTRUM1500992', 'SPBio_001279', 'SPBio_002108', 'BPBio1_000207', 'CHEMBL370252', 'DTXSID5045623', 'CHEBI:94431', 'CTK1D6186', 'HMS500E11', 'KBio1_000089', 'KBio2_000847', 'KBio2_003415', 'KBio2_005983', 'KBio3_002314', 'NINDS_000089', 'HMS1568J09', 'HMS1921O10', 'HMS2092O08', 'HMS2095J09', 'HMS2230F14', 'HMS3373O15', 'HMS3652K09', 'HMS3712J09', 'Pharmakon1600-01500992', 'EBD52299', 'HY-B0526', 'KS-00000G9K', 'Tox21_110840', 'ANW-59991', 'CCG-40315', 'GA3854', 'MFCD00079298', 'NSC757806', 's3181', 'SBB012470', 'fluoro-methyl-oxo-[?]carboxylic acid', '6,7-dihydro-9-fluoro-5-methyl-1-oxo- 1H,5H-quinolizine-2-carboxylic acid', 'AKOS015904879', 'Tox21_110840_1', 'AC-1284', 'API0002722', 'CS-2747', 'DB08972', 'HS-0096', 'MCULE-1576355150', 'NSC-757806', 'IDI1_000089', 'NCGC00018211-02', 'NCGC00018211-04', 'NCGC00018211-05', 'NCGC00018211-06', 'NCGC00018211-10', 'NCGC00089803-02', 'NCGC00089803-03', 'NCGC00178300-01', 'NCGC00178300-02', 'CC-28464', 'LS-40210', 'ST072199', 'SBI-0051623.P002', 'AX8130483', 'F0832', 'FT-0626439', 'NS00008160', 'NS00099114', 'SW196774-3', 'D02302', 'Flumequine, VETRANAL(TM), analytical standard', 'AB00052187_17', 'AB00052187_18', '835F256', 'C-16315', 'Q3074500', 'SR-01000000130-2', 'SR-01000000130-4', 'BRD-A69777949-001-05-1', 'BRD-A69777949-001-15-0', 'Flumequine, European Pharmacopoeia (EP) Reference Standard', '42835-25-6,143984-63-8,42835-68-7(sodiumsalt)', '1H,5H-Benzo[ij]quinolizine-2-carboxylic acid, 9-fluoro-6,7-dihydro-5-methyl-1-oxo', '1H,5H-Benzo[ij]quinolizine-2-carboxylicacid, 9-fluoro-6,7-dihydro-5-methyl-1-oxo-', '6,7Dihydro-9-fluoro-5-methyl-1-oxo-1H,5H-benzo[ij]-quinolizine-2-carboxylic acid', '9-Fluoro-1,5,6,7-tetrahydro-5-methyl-1-oxopyrido[3,2,1-ij]quinoline-2-carboxylic Acid', '7-fluoro-12-methyl-4-oxo-1-azatricyclo[7.3.1.0^{5,13}]trideca-2,5,7,9(13)-tetraene-3-carboxylic acid', '7-fluoro-12-methyl-4-oxo-1-azatricyclo[7.3.1.05,13]trideca-2,5,7,9(13)-tetraene-3-carboxylic acid']</t>
  </si>
  <si>
    <t>Compound(3374)</t>
  </si>
  <si>
    <t>C14H12FNO3</t>
  </si>
  <si>
    <t>fluoroglycofen-ethyl</t>
  </si>
  <si>
    <t>(2-ethoxy-2-oxoethyl) 5-[2-chloro-4-(trifluoromethyl)phenoxy]-2-nitrobenzoate</t>
  </si>
  <si>
    <t>['Fluoroglycofen-ethyl', '77501-90-7', 'Super blazer', 'Fluoroglycofen ethyl ester', 'BAS 9106 H', 'UNII-0RCH0H6C4N', 'Fluoroglycofen-ethyl [ISO]', 'RH-0265', '0RCH0H6C4N', 'Benzoic acid, 5-(2-chloro-4-(trifluoromethyl)phenoxy)-2-nitro-, 2-ethoxy-2-oxoethyl ester', 'Benzoic acid, 5-(2-chloro-4-(trifluoromethyl)phenoxy)-2-nitro-, ester with ethyl glycolate', '2-Ethoxy-2-oxoethyl 5-(2-chloro-4-(trifluoromethyl)-phenoxy)-2-nitrobenzoate', 'Benzoic acid, 5-[2-chloro-4-(trifluoromethyl)phenoxy]-2-nitro-, 2-ethoxy-2-oxoethyl ester', 'C18H13ClF3NO7', 'Compete', 'Fluoroglycofene-ethyl', '(2-ethoxy-2-oxoethyl) 5-[2-chloro-4-(trifluoromethyl)phenoxy]-2-nitrobenzoate', 'DSSTox_CID_21983', 'DSSTox_RID_79895', 'DSSTox_GSID_41983', 'SCHEMBL38860', 'CHEMBL3185853', 'DTXSID0041983', 'ZINC1853861', 'Tox21_301254', 'AKOS015902860', 'VA10944', '2-ethoxy-2-oxoethyl 5-(2-chloro-4-', 'NCGC00255806-01', '(trifluoromethyl)phenoxy)-2-nitrobenzoate', 'AC-12564', 'LS-36662', 'CAS-77501-90-7', 'DB-056224', 'FT-0626478', 'NS00001136', 'X6745', '501F907', 'A839118', 'C-22449', 'Q15632848', 'Fluoroglycofen-ethyl, PESTANAL(R), analytical standard', '5-[2-chloro-4-(trifluoromethyl)phenoxy]-2-nitrobenzoic acid (2-ethoxy-2-oxoethyl) ester', '(2-ethoxy-2-oxidanylidene-ethyl) 5-[2-chloranyl-4-(trifluoromethyl)phenoxy]-2-nitro-benzoate', 'Fluoroglycofene-ethyl;Benzoic acid, 5-[2-chloro-4-(trifluoromethyl)phenoxy]-2-nitro-, 2-ethoxy-2-oxoethyl ester']</t>
  </si>
  <si>
    <t>Compound(53672)</t>
  </si>
  <si>
    <t>C18H13ClF3NO7</t>
  </si>
  <si>
    <t>1,1-dimethyl-3-[3-(trifluoromethyl)phenyl]urea</t>
  </si>
  <si>
    <t>['FLUOMETURON', '2164-17-2', '1,1-Dimethyl-3-[3-(trifluoromethyl)phenyl]urea', 'Higalcoton', 'Pakhtaran', 'Cotoran', 'Lanex', '1,1-Dimethyl-3-(3-(trifluoromethyl)phenyl)urea', 'Fluomethuron', 'Cottonex', 'Ciba 2059', 'Cotoran multi 50WP', 'Herbicide C-2059', 'Cotogard', 'Caswell No. 460A', 'NCI-C08695', '3-(m-Trifluoromethylphenyl)-1,1-dimethylurea', '3-(3-Trifluoromethylphenyl)-1,1-dimethylurea', 'C 2059', "N,N-Dimethyl-N'-(3-(trifluoromethyl)phenyl)urea", 'CCRIS 314', 'Fluometuron [ANSI:BSI:ISO]', 'CHEBI:82012', 'HSDB 1721', '1,1-Dimethyl-3-(3-trifluoromethylphenyl)urea', "N-(3-Trifluoromethylphenyl)-N',N'-dimethylurea", "N-(m-Trifluoromethylphenyl)-N',N'-dimethylurea", '3,3-dimethyl-1-[3-(trifluoromethyl)phenyl]urea', 'UNII-296378G1S8', 'EINECS 218-500-4', "Urea, N,N-dimethyl-N'-[3-(trifluoromethyl)phenyl]-", 'EPA Pesticide Chemical Code 035503', 'BRN 2217354', 'DSSTox_CID_628', '296378G1S8', 'N-(3-Trifluoromethylphenyl)-1,1-dimethylurea', "N-(3-Trifluoromethylphenyl)-N'-N'-dimethylurea", 'DSSTox_RID_75702', '3-(5-Trifluormethylphenyl)-1,1-dimethylharnstoff', 'DSSTox_GSID_20628', "N,N-Dimethyl-N'-[3-(trifluoromethyl)phenyl]urea", "N-(meta-Trifluoromethylphenyl)-N,N'-dimethylurea", "Urea, N,N-dimethyl-N'-(3-(trifluoromethyl)phenyl)-", '1,1-Dimethyl-3-(alpha,alpha,alpha-trifluoro-m-tolyl)urea', '3-(5-Trifluormethylphenyl)-1,1-dimethylharnstoff [German]', 'Urea, 1,1-dimethyl-3-(alpha,alpha,alpha-trifluoro-m-tolyl)-', 'Urea, 1,1-dimethyl-3-(.alpha.,.alpha.,.alpha.-trifluoro-m-tolyl)-', 'CAS-2164-17-2', 'Flumeturon', 'Fluometuraon', 'Cortoran', 'Cottenex', 'Kotoran', 'Cotoran 4L', 'Meturon 4L', 'Cotoran 80W', 'Cotoran 80WP', 'ACMC-209fmv', 'Meturon 4L (Salt/Mix)', 'SCHEMBL67252', 'Fluometuron, analytical standard', 'CHEMBL1569926', 'DTXSID8020628', 'CTK8B1200', 'KS-000012VT', 'ZINC2038834', 'Tox21_201875', 'Tox21_300715', 'ANW-24533', 'AKOS001180895', 'ACM2164172', 'MCULE-3987043240', 'VZ20303', 'NCGC00091385-01', 'NCGC00091385-02', 'NCGC00091385-03', 'NCGC00091385-04', 'NCGC00091385-05', 'NCGC00254621-01', 'NCGC00259424-01', 'AC-12091', 'AS-66954', 'CC-28475', 'Fluometuron 10 microg/mL in Acetonitrile', 'Dimethyl-3-(a,a,a-trifluoro-m-tolyl)urea', 'AX8019394', 'BC4123036', 'DB-045653', 'D3773', 'FT-0603595', 'NS00010278', 'C18853', 'Fluometuron, PESTANAL(R), analytical standard', '3-(m-Trifluoromethyl-phenyl)-1,1-Dimethyl urea', '3-[3-(trifluoromethyl)phenyl]-1,1-dimethylurea', "N-(m-trifluoromethylphenyl)-N',N'-dimethylure a", '164F172', 'A815567', 'C 205 9', 'C-13561', 'SR-01000312686', 'J-012811', 'J-014201', "N,N-Dimethyl-N'-[3-(trifluoromethyl)phenyl]urea #", 'Q5462798', 'SR-01000312686-1', "Urea, N'-(3-(trifluoromethyl)phenyl)-N,N-dimethyl-", 'Z55293727', '1,1-Dimethyl-3-(alpha,alpha,alpha-trifluoro-m-tolyl) urea', '3-(alpha,alpha,alpha-trifluoro-m-tolyl)-1,1-dimethylurea', '1,1-Dimethyl-3-(.alpha.,.alpha.,.alpha.-trifluoro-m-tolyl) urea']</t>
  </si>
  <si>
    <t>Compound(16562)</t>
  </si>
  <si>
    <t>C10H11F3N2O</t>
  </si>
  <si>
    <t>2,6-dichloro-N-[[3-chloro-5-(trifluoromethyl)pyridin-2-yl]methyl]benzamide</t>
  </si>
  <si>
    <t>['Fluopicolide', '239110-15-7', '2,6-Dichloro-N-((3-chloro-5-(trifluoromethyl)pyridin-2-yl)methyl)benzamide', 'UNII-6TRO75M67P', '6TRO75M67P', '2,6-Dichloro-N-[3-chloro-5-(trifluoromethyl)-2-pyridylmethyl]benzamide', '2,6-dichloro-N-[[3-chloro-5-(trifluoromethyl)pyridin-2-yl]methyl]benzamide', '2,6-dichloro-N-{[3-chloro-5-(trifluoromethyl)pyridin-2-yl]methyl}benzamide', 'Fluopicolide [ISO]', '2,6-dichloro-N-(3-chloro-5-(trifluoromethyl)-2-pyridylmethyl)benzamide', 'HSDB 7886', 'AE C638206', 'DSSTox_CID_14624', 'DSSTox_GSID_34624', 'SCHEMBL21950', 'CHEMBL3560526', 'DTXSID7034624', 'CHEBI:81764', 'CTK8E8240', 'Tox21_303793', 'ZINC35822503', 'NCGC00357081-01', 'ACM239110157', 'AX8130514', 'Fluopicolide 100 microg/mL in Acetonitrile', 'CAS-239110-15-7', 'NS00004383', 'C18464', 'Fluopicolide, PESTANAL(R), analytical standard', '110F157', 'J-015272', 'Q13636695', '2,6-dichloro-N-((3-chloro-5-(trifluoromethyl)-2-pyridinyl)methyl)benzamide', '2,6-dichloro-N-[3-chloro-5-(trifluoromethyl)-2-pyridylmethyl]benzamide;Benzamide, 2,6-dichloro-N-[[3-chloro-5-(trifluoromethyl)-2-pyridinyl]methyl]-']</t>
  </si>
  <si>
    <t>Compound(11159021)</t>
  </si>
  <si>
    <t>C14H8Cl3F3N2O</t>
  </si>
  <si>
    <t>N-[2-[3-chloro-5-(trifluoromethyl)pyridin-2-yl]ethyl]-2-(trifluoromethyl)benzamide</t>
  </si>
  <si>
    <t>['Fluopyram', '658066-35-4', 'UNII-F0VT7K5302', 'CHEBI:83070', 'F0VT7K5302', 'N-[2-[3-chloro-5-(trifluoromethyl)pyridin-2-yl]ethyl]-2-(trifluoromethyl)benzamide', 'n-[2-[3-chloro-5-(trifluoromethyl)-2-pyridinyl]ethyl]-2-trifluoromethylbenzamide', 'N-{2-(3-chloro-5-(trifluoromethyl)-2-pyridyl)ethyl}-alpha,alpha,alpha-trifluoro-o-toluamide', 'N-{2-[3-chloro-5-(trifluoromethyl)pyridin-2-yl]ethyl}-2-(trifluoromethyl)benzamide', 'Fluopyram [ISO]', 'Luna', 'N-{2-[3-chloro-5-(trifluoromethyl)-2-pyridyl]ethyl}-alpha,alpha,alpha-trifluoro-o-toluamide', 'AE C656948', 'SCHEMBL67230', 'CHEMBL2286755', 'DTXSID9058151', 'ZINC34431012', 'AKOS027323805', 'N-[2-[3-Chloro-5-(trifluoromethyl)-2-pyridinyl]ethyl]-2-(trifluoromethyl)benzamide', 'HY-119459', 'CS-0068436', 'NS00001768', 'Fluopyram, PESTANAL(R), analytical standard', 'Q15632704', 'N-[2-[3-Chloro-5-(trifluoromethyl)-2-pyridyl]ethyl]-2-(trifluoromethyl)benzamide', 'N-{2-[3-Chloro-5-(trifluoromethyl)pyridin-2-yl]ethyl}-2-(trifluoromethyl)benzene-1-carboximidic acid']</t>
  </si>
  <si>
    <t>Compound(11158353)</t>
  </si>
  <si>
    <t>C16H11ClF6N2O</t>
  </si>
  <si>
    <t>1-[2-[6-(2-chlorophenoxy)-5-fluoropyrimidin-4-yl]oxyphenyl]-1-(5,6-dihydro-1,4,2-dioxazin-3-yl)-N-methoxymethanimine</t>
  </si>
  <si>
    <t>['Fluoxastrobin (E,Z isomer)', '193740-76-0', 'DTXSID8058328', 'CTK8E8537', '(2-((6-(2-Chlorophenoxy)-5-fluoropyrimidin-4-yl)oxy)phenyl)(5,6-dihydro-1,4,2-dioxazin-3-yl)methanone O-methyl oxime', '(E)-{2-[6-(2-chlorophenoxy)-5-fluoropyrimidin-4-yloxy]phenyl}(5,6-dihydro-1,4,2-dioxazin-3-yl)methanone O-methyloxime;Methanone, [2-[[6-(2-chlorophenoxy)-5-fluoro-4-pyrimidinyl]oxy]phenyl](5,6-dihydro-1,4,2-dioxazin-3-yl)-, O-methyloxime, (1E)-', 'ZINC256003980', '(e)-{2-[6-(2-chlorophenoxy)-5-fluoropyrimidin-4-yloxy]phenyl}(5,6-dihydro-1,4,2-dioxazin-3-yl)methanone o-methyloxime', 'FT-0668748', 'A823137', '(E)-1-(2-{[6-(2-Chlorophenoxy)-5-fluoro-4-pyrimidinyl]oxy}phenyl) -1-(5,6-dihydro-1,4,2-dioxazin-3-yl)-N-methoxymethanimine', '1-[2-[[6-(2-chlorophenoxy)-5-fluoro-4-pyrimidinyl]oxy]phenyl]-1-(5,6-dihydro-1,4,2-dioxazin-3-yl)-N-methoxymethanimine', '1-[2-[6-(2-chloranylphenoxy)-5-fluoranyl-pyrimidin-4-yl]oxyphenyl]-1-(5,6-dihydro-1,4,2-dioxazin-3-yl)-N-methoxy-methanimine']</t>
  </si>
  <si>
    <t>Compound(53395436)</t>
  </si>
  <si>
    <t>C21H16ClFN4O5</t>
  </si>
  <si>
    <t>N-methyl-3-phenyl-3-[4-(trifluoromethyl)phenoxy]propan-1-amine</t>
  </si>
  <si>
    <t>['fluoxetine', '54910-89-3', 'Prozac', 'Fluoxetin', 'Pulvules', 'Portal', 'Eufor', 'Animex-On', 'Fluoxetina', 'Fluoxetina [Spanish]', 'Fluoxetinum', 'Fluoxetinum [INN-Latin]', 'Fluoxetina [INN-Spanish]', 'Reconcile', 'N-methyl-3-phenyl-3-[4-(trifluoromethyl)phenoxy]propan-1-amine', 'Fluoxetine [USAN:INN:BAN]', '(+-)-N-Methyl-gamma-(4-(trifluoromethyl)phenoxy)benzenepropanamine', '(+-)-N-Methyl-3-phenyl-3-((alpha,alpha,alpha-trifluoro-p-tolyl)oxy)propylamine', 'N-Methyl-3-(p-trifluoromethylphenoxy)-3-phenylpropylamine', 'CHEMBL41', 'dl-3-(p-Trifluoromethylphenoxy)-N-methyl-3-phenylpropylamine', 'Methyl-[3-phenyl-3-(4-trifluoromethyl-phenoxy)-propyl]-amine', 'Symbyax', 'CHEBI:86990', 'Benzenepropanamine, N-methyl-gamma-(4-(trifluoromethyl)phenoxy)-, (+-)-', 'Selfemra', 'NSC-283480', '(+/-)-Fluoxetine', 'NCGC00015428-08', '(+/-) -Fluoxetine', 'Fluval', 'Methyl({3-phenyl-3-[4-(trifluoromethyl)phenoxy]propyl})amine', 'Benzenepropamine, N-methyl-gamma-(4-(trifluoromethyl)phenoxy)-, (+-)-', 'DSSTox_CID_3067', '(+) or (-)-N-Methyl-gamma-(4-(trifluoromethyl)phenoxy)benzenepropanamine', '(+) or (-)-N-Methyl-3-phenyl-3-((alpha,alpha,alpha-trifluoro-p-tolyl)oxy)propylamine', 'DSSTox_RID_76861', 'DSSTox_GSID_23067', 'n-methyl-3-phenyl-3-(4-(trifluoromethyl)phenoxy)propan-1-amine', 'N-Methyl-3-phenyl-3-[4-(trifluoromethyl)phenoxy]-1-propanamine', 'N-methyl-3-phenyl-3-{[4-(trifluoromethyl)phenyl]oxy}propan-1-amine', 'N-methyl-3-[4-(trifluoromethyl)phenoxy]-3-(3-tritiophenyl)propan-1-amine', 'Lilly-110140', 'Fluoxetine (TN)', '57226-07-0', 'fluoxetine (Prozac)', 'CAS-54910-89-3', 'Fluoxetine (USAN/INN)', 'methyl{3-phenyl-3-[4-(trifluoromethyl)phenoxy]propyl}amine', 'Spectrum_001679', 'N-Methyl-gamma-(4-(trifluoromethyl)phenoxy)benzenepropanamine', 'SpecPlus_000723', 'Prestwick0_000511', 'Prestwick1_000511', 'Prestwick2_000511', 'Prestwick3_000511', 'Spectrum2_001658', 'Spectrum3_001648', 'Spectrum4_000613', 'Spectrum5_001518', 'Biomol-NT_000152', 'Epitope ID:224550', 'SCHEMBL8353', 'Lopac0_000558', 'BSPBio_000461', 'BSPBio_003375', 'GTPL203', 'KBioGR_001166', 'KBioSS_002159', 'cid_62857', 'DivK1c_006819', 'SPBio_001815', 'SPBio_002382', 'BEN445', 'BPBio1_000354', 'BPBio1_000509', 'CHEBI:5118', 'DTXSID7023067', 'BDBM30130', 'CTK8D4092', 'KBio1_001763', 'KBio2_002159', 'KBio2_004727', 'KBio2_007295', 'KBio3_002595', '3-(p-Trifluoromethylphenoxy)-N-methyl-3-phenylpropylamine', 'HMS2090H14', '(+/-)-N-Methyl-3-(p-trifluoromethylphenoxy)-3-phenylpropylamine', 'ALBB-025606', 'BCP28440', 'HY-B0102', 'ZX-AN024120', 'Tox21_110144', '(+/-)-N-Methyl-3-p-(p-trifluoromethylphenoxy)-3-phenylpropylamine', '(+/-)-N-Methyl-3-phenyl-3-[4-(trifluoromethyl)phenoxy]propylamine]', '(+/-)-N-Methyl-gamma-[4-(trifluoromethyl)phenoxy]benzenepropanamine', 'BBL012251', 'NS-140', 'NSC283480', 'SBB017267', 'STK734483', 'AKOS003663021', 'Tox21_110144_1', 'AC-8478', 'API0002736', 'CCG-204648', 'CS-2861', 'DB00472', 'SDCCGSBI-0050541.P004', '(+/-)-N-Methyl-3-phenyl-3-[(alpha,alpha,alpha-trifluoro-p-tolyl)oxy]propylamine', 'NCGC00015428-06', 'NCGC00015428-07', 'NCGC00015428-10', 'NCGC00015428-11', 'NCGC00015428-12', 'NCGC00015428-13', 'NCGC00015428-15', 'NCGC00024879-03', 'NCGC00024879-04', 'AS-44989', 'CC-28508', 'LS-31040', 'SC-46324', 'ST076807', 'SBI-0050541.P003', 'AB0107059', 'DB-015148', 'AB00053774', 'FT-0626489', 'D00326', 'EN300-199668', 'AB00053774-13', 'AB00053774-14', 'AB00053774_15', 'AB00053774_16', 'C-34924', 'L000931', 'Q422244', 'BRD-A31159102-001-01-9', 'BRD-A31159102-003-05-6', 'BRD-A31159102-003-16-3', 'LY-110140;LY 110140;LY110140', 'N-methyl 3-(p-trifluoromethylphenoxy)-3-phenylpropylamine', 'N-Methyl-3-phenyl-3-(p-trifluoromethylphenoxy)propylamine', 'Benzenepropanamine, N-methyl-|A-[4-(trifluoromethyl)phenoxy]-', 'benzenepropanamine, N-methyl-gamma-[4-(trifluoromethyl)phenoxy]-', 'N-Methyl-3-phenyl-3-[4-(trifluoromethyl)phenoxy]-1-propanamine #', 'Benzenepropanamine, N-methyl-gamma-[4-(trifluoromethyl)phenoxy]-, (+/-)-', 'methyl{3-phenyl-3-[4-(trifluoromethyl)phenoxy]propyl}amine hydrochloride', 'N-methyl-3-phenyl-3-[(alpha,alpha,alpha-trifluoro-p-tolyl)oxy]propylamine', '(.+/-.)-N-Methyl-3-phenyl-3-[(.alpha.,.alpha.,.alpha.-trifluoro-p-tolyl)oxy]propylamine', '(.+/-.)-N-Methyl-3-phenyl-3-[(.alpha.,la,.alpha.-trifluoro-p-tolyl)oxy]propylamine', 'Benzenepropanamine, N-methyl-.gamma.-[4-(trifluoromethyl)phenoxy]-, (.+/-.)-']</t>
  </si>
  <si>
    <t>Compound(3386)</t>
  </si>
  <si>
    <t>C17H18F3NO</t>
  </si>
  <si>
    <t>3-[(6-chloropyridin-3-yl)methyl-(2,2-difluoroethyl)amino]-2H-furan-5-one</t>
  </si>
  <si>
    <t>['Flupyradifurone', '951659-40-8', 'UNII-8H7JT159D0', '8H7JT159D0', 'Flupyradifurone [ISO]', 'Flupyradifuron', 'Sivanto', '4-[[(6-chloropyridin-3-yl)methyl](2,2-difluoroethyl)amino]furan-2(5H)-one', '4-{[(6-chloropyridin-3-yl)methyl](2,2-difluoroethyl)amino}furan-2(5H)-one', 'SCHEMBL123283', 'DTXSID10872811', 'CHEBI:133997', 'BYI-02960', 'ZINC86012803', '3-[(6-chloropyridin-3-yl)methyl-(2,2-difluoroethyl)amino]-2H-furan-5-one', 'Flupyradifurone, PESTANAL(R), analytical standard', 'Q21050747', '4-[(6-chloro-3-pyridylmethyl)(2,2-difluoroethyl)amino]furan-2(5H)-one', '4-[[(6-chloropyridin-3-yl)methyl](2,2-difluoroethyl)amino]furan-2(5H)one', '4-{[(6-chloropyrid-3-yl)methyl](2,2-difluoroethyl)amino}furan-2(5h)-one', '4[[(6-chloropyridin-3-yl)methyl](2,2-difluoroethyl)amino]furan-2(5H)-one', '4-[[(6-chloro-3-pyridinyl)methyl](2,2-difluoroethyl)amino]-2(5H)-furanone', '4-[[(6-chloropyridin-3-yl)methyl](2,2-difluoroethyl)amino]furan- 2(5H)-one']</t>
  </si>
  <si>
    <t>Compound(16752772)</t>
  </si>
  <si>
    <t>C12H11ClF2N2O2</t>
  </si>
  <si>
    <t>sodium;(4,6-dimethoxypyrimidin-2-yl)carbamoyl-[3-methoxycarbonyl-6-(trifluoromethyl)pyridin-2-yl]sulfonylazanide</t>
  </si>
  <si>
    <t>['Flupyrsulfuron-methyl sodium', '144740-54-5', 'Flupyrsulfuron methyl sodium', 'SCHEMBL1535821', 'Q27254414', 'Flupyrsulfuron-methyl sodium, PESTANAL(R), analytical standard', 'methyl 2-[(4,6-dimethoxypyrimidin-2-ylcarbamoyl)sulfamoyl]-6-(trifluoromethyl)nicotinate monosodium salt', 'sodium (4,6-dimethoxypyrimidin-2-ylcarbamoyl)(3-(methoxycarbonyl)-6-(trifluoromethyl)pyridin-2-ylsulfonyl)amide']</t>
  </si>
  <si>
    <t>Compound(15764724)</t>
  </si>
  <si>
    <t>C15H13F3N5NaO7S</t>
  </si>
  <si>
    <t>2-[4-[(3E)-3-[2-(trifluoromethyl)thioxanthen-9-ylidene]propyl]piperazin-1-yl]ethanol</t>
  </si>
  <si>
    <t>['(E)-Flupenthixol', 'Flupentixol', 'beta-Flupenthixol', 'trans-flupenthixol', 'FLUPENTHIXOL', 'trans-(E)-Flupentixol', 'trans-Flupentixol', '(E)-flupentixol', '53772-85-3', 'EINECS 258-759-0', '2709-56-0', 'UNII-895OJP78MJ', 'Flupentiol', '895OJP78MJ', 'Flupenthixol, Beta', 'FLUPENTHIXOL, Alpha', '(E)-4-(3-(2-(Trifluoromethyl)-9H-thioxanthen-9-ylidene)propyl)-1-piperazineethanol', '1-Piperazineethanol, 4-(3-(2-(trifluoromethyl)-9H-thioxanthen-9-ylidene)propyl)-, (E)-', '(E)-4-(3-(2-(Trifluoromethyl)-9H-thioxanthen-9-ylidene)propyl)piperazine-1-ethanol', '(E)-4-[3-[2-(trifluoromethyl)-9H-thioxanthen-9-ylidene]propyl]piperazine-1-ethanol', 'FLUPENTIXOLE', 'E-Flupentixol', 'trans(E)Flupenthixol', 'Flupentixol, (E)-', 'Lopac-F-114', 'GTPL968', 'CHEMBL42055', 'SCHEMBL145726', 'SCHEMBL414352', 'BDBM86722', 'CHEBI:93235', 'DTXSID50110027', '(Z)-2-[4-[3-[2-(trifluoromethyl)thioxanthen-9-ylidene]propyl]piperazin-1-yl]ethanol', 'BDBM50026957', 'NSC_17012', 'PDSP1_001542', 'PDSP1_001543', 'PDSP2_001526', 'PDSP2_001527', 'ZINC28643021', 'AKOS003588967', 'ACM2709560', '2-[4-[(3E)-3-[2-(trifluoromethyl)thioxanthen-9-ylidene]propyl]piperazin-1-yl]ethanol', 'ACM51529023', 'NCGC00015425-01', 'NCGC00015425-02', 'CAS-2413-38-9', 'CAS_53772-82-0', 'CAS_53772-85-3', 'LS-112583', '709F560', 'L000188', 'Q27896066', 'UNII-21HMQ851IS component NJMYODHXAKYRHW-BLLMUTORSA-N', '1-Piperazineethanol, 4-[(3E)-3-[2-(trifluoromethyl)-9H-thioxanthen-9-ylidene]propyl]-', '2-(4-{3-[2-Trifluoromethyl-thioxanthen-(9E)-ylidene]-propyl}-piperazin-1-yl)-ethanol', '2-[4-[3-[2-(trifluoromethyl)thioxanthen-9-ylidene]propyl]piperazin-1-yl]ethanol', '2-{4-[3-(2-Trifluoromethyl-thioxanthen-9-ylidene)-propyl]-piperazin-1-yl}-ethanol', '(cis) 2-{4-[3-(2-Trifluoromethyl-thioxanthen-9-ylidene)-propyl]-piperazin-1-yl}-ethanol(Flupentixol)', '(trans-flupenthixol)2-{4-[3-(2-Trifluoromethyl-thioxanthen-9-ylidene)-propyl]-piperazin-1-yl}-ethanol', 'FLUPENTHIXOL2-{4-[3-(2-Trifluoromethyl-thioxanthen-9-ylidene)-propyl]-piperazin-1-yl}-ethanol']</t>
  </si>
  <si>
    <t>Compound(5281878)</t>
  </si>
  <si>
    <t>C23H25F3N2OS</t>
  </si>
  <si>
    <t>fluquinconazole</t>
  </si>
  <si>
    <t>3-(2,4-dichlorophenyl)-6-fluoro-2-(1,2,4-triazol-1-yl)quinazolin-4-one</t>
  </si>
  <si>
    <t>['Fluquinconazole', '136426-54-5', 'UNII-0AE2N0JNI1', '0AE2N0JNI1', 'CHEBI:83923', '3-(2,4-dichlorophenyl)-6-fluoro-2-(1,2,4-triazol-1-yl)quinazolin-4-one', '3-(2,4-Dichlorophenyl)-6-fluoro-2-(1H-1,2,4-triazol-1-yl)-4(3H)-quinazolinone', '3-(2,4-dichlorophenyl)-6-fluoro-2-(1H-1,2,4-triazol-1-yl)quinazolin-4(3H)-one', '3-(2,4-dichlorophenyl)-6-fluoro-2-(1h-1,2,4-triazol-1-yl)quinazolin-4-(3h)-one', 'Fluquinconazole [ISO]', 'Fluquinconazole (I)', 'EC 411-960-9', 'SCHEMBL21234', 'CHEMBL481473', 'DTXSID5057965', 'CTK8E8252', 'ZINC2382736', 'AKOS015903631', '4(3H)-Quinazolinone, 3-(2,4-dichlorophenyl)-6-fluoro-2-(1H-1,2,4-triazol-1-yl)-', 'Fluquinconazole 10 microg/mL in Isooctane', 'LS-192655', 'NS00004084', 'Fluquinconazole, PESTANAL(R), analytical standard', 'J-006843', 'Q1355196', '3-(2,4-dichlorophenyl)-6-fluoro-2-(1H-1,2,4-triazol-1-yl)-3,4-dihydroquinazolin-4-one', '3-(2,4-Dichlorophenyl)-6-fluoro-2-(1H-1,2,4-triazol-1-yl)quinazolin-4-(3H)-one;4(3H)-Quinazolinone, 3-(2,4-dichlorophenyl)-6-fluoro-2-(1H-1,2,4-triazol-1-yl)-', 'Pesticide6_Fluquinconazole_C16H8Cl2FN5O_4(3H)-Quinazolinone, 3-(2,4-dichlorophenyl)-6-fluoro-2-(1H-1,2,4-triazol-1-yl)-']</t>
  </si>
  <si>
    <t>Compound(86417)</t>
  </si>
  <si>
    <t>C16H8Cl2FN5O</t>
  </si>
  <si>
    <t>2-(4-amino-3,5-dichloro-6-fluoropyridin-2-yl)oxyacetic acid</t>
  </si>
  <si>
    <t>['Fluroxypyr', '69377-81-7', 'Advance', 'Fluroxypyr [BSI:ISO]', '2-((4-Amino-3,5-dichloro-6-fluoropyridin-2-yl)oxy)acetic acid', 'EF 689', '4-Amino-3,5-dichloro-6-fluoro-2-pyridyloxyacetic acid', 'UNII-8O40SHO197', 'HSDB 6655', '((4-Amino-3,5-dichloro-6-fluoro-2-pyridinyl)oxy)acetic acid', 'FF4014', 'ACETIC ACID, ((4-AMINO-3,5-DICHLORO-6-FLUORO-2-PYRIDINYL)OXY)-', 'EINECS Annex I Index 607-255-00-2', '4,5-Amino-3,5-dichloro-6-fluoro-2-pyridinyloxyacetic acid', '[(4-amino-3,5-dichloro-6-fluoropyridin-2-yl)oxy]acetic acid', '2-(4-amino-3,5-dichloro-6-fluoropyridin-2-yl)oxyacetic acid', 'CHEBI:82017', '8O40SHO197', 'Acetic acid, [(4-amino-3,5-dichloro-6-fluoro-2-pyridinyl)oxy]-', 'Q-201130', 'Dauko 433', 'Fluroxypyr acid', '2-[(4-amino-3,5-dichloro-6-fluoropyridin-2-yl)oxy]acetic acid', 'EF-689', 'Fluroxypyr (free acid)', 'DSSTox_CID_14627', 'DSSTox_RID_79181', 'DSSTox_GSID_34627', 'SCHEMBL23545', 'CHEMBL1895005', 'DTXSID2034627', 'CTK2F3606', 'ZINC5178425', 'Tox21_301096', 'AKOS015916307', 'NCGC00163805-01', 'NCGC00163805-02', 'NCGC00163805-03', 'NCGC00254996-01', 'Shuangzhiling; Starane Advanced;EF 689', 'Fluroxypyr 100 microg/mL in Acetonitrile', 'LS-10947', 'AX8022221', 'CAS-69377-81-7', 'DB-055264', 'FT-0641235', 'NS00001734', 'Fluroxypyr, PESTANAL(R), analytical standard', 'C18858', '377F817', 'C-24327', 'Q13416874', '4-amino-3,5-di chloro-6-fluoro-2-pyridyloxyacetic acid', '2-(4-amino-3,5-dichloro-6-fluoropyridin-2-yloxy)acetic acid', 'Aceticacid, 2-[(4-amino-3,5-dichloro-6-fluoro-2-pyridinyl)oxy]-', '4,5-amino-3,5-dichloro-6-fluoro-2-pyridinyloxyacetic acid;4-amino-3,5-dichloro-6-fluoro-2-pyridyloxyacetic acid']</t>
  </si>
  <si>
    <t>Compound(50465)</t>
  </si>
  <si>
    <t>C7H5Cl2FN2O3</t>
  </si>
  <si>
    <t>5-fluoro-1H-pyrimidine-2,4-dione</t>
  </si>
  <si>
    <t>['5-Fluorouracil', 'fluorouracil', '51-21-8', '5-FU', 'Fluoroplex', 'Efudex', 'Adrucil', 'Carac', 'Fluracil', '5-fluoropyrimidine-2,4(1H,3H)-dione', 'Fluoroblastin', 'Kecimeton', 'Carzonal', 'Timazin', 'Arumel', 'Efudix', 'Fluril', '5-Fluoracil', 'Fluracilum', 'Queroplex', 'Ulup', 'Phthoruracil', 'Fluro Uracil', '5-fluoro-1H-pyrimidine-2,4-dione', '5-Fluoro-2,4(1H,3H)-pyrimidinedione', 'Fluorouracilum', 'Ftoruracil', 'Efurix', 'Fluri', '5 Fluorouracil', '5-Fluoropyrimidine-2,4-dione', 'Effluderm (free base)', 'Fluorouracilo', 'Fluroblastin', '2,4(1H,3H)-Pyrimidinedione, 5-fluoro-', '2,4-Dihydroxy-5-fluoropyrimidine', 'Fluoro-uracile', 'Fluoro-uracilo', 'Uracil, 5-fluoro-', '5-Fluoruracil', '5-Faracil', 'Cinco FU', 'Ro 2-9757', '5-Fluor-2,4-pyrimidindiol', 'Fluorouracile [DCIT]', '5-Fluoracil [German]', '5-fluoro uracil', '5-Ftouracyl', '5-Fluoruracil [German]', 'Fluorouracil, 5-', 'Fluorouracilum [INN-Latin]', 'Fluorouracilo [INN-Spanish]', '5-Fluoropyrimidin-2,4-diol', '5-fluoropyrimidine-2,4-diol', 'NSC 19893', 'NSC-19893', '2,4-Dioxo-5-fluoropyrimidine', '5-Fluoro-2,4-pyrimidinedione', 'Fluorouracil (Adrucil)', '5-Fluor-2,4-dihydroxypyrimidin', 'U-8953', '5-fluoro-uracil', '5-Fluor-2,4-pyrimidindiol [Czech]', 'C4H3FN2O2', 'Ro-2-9757', 'UNII-U3P01618RT', 'CCRIS 2582', '5-Fluor-2,4-dihydroxypyrimidin [Czech]', 'FU', 'HSDB 3228', '5-Fluor-2,4(1H,3H)-pyrimidindion [Czech]', '5-Fluorouracil, 99%', 'EINECS 200-085-6', 'CHEMBL185', '5-fluoro-1,2,3,4-tetrahydropyrimidine-2,4-dione', 'AI3-25297', 'MLS000069498', '191047-65-1', '5FU', 'Phtoruracil', 'CHEBI:46345', 'U3P01618RT', 'NSC19893', 'MFCD00006018', 'URF', 'NCGC00015442-02', 'Fluorouracile', 'Effluderm', 'SMR000038082', 'DSSTox_CID_634', '5-Fluoracyl', 'DSSTox_RID_75705', 'DSSTox_GSID_20634', 'Fluorouracil Cream', 'CAS-51-21-8', 'Fluoroplex (TN)', '1004-03-1', 'Adrucil (TN)', '5-fluoro-1,3-dihydropyrimidine-2,4-dione', 'Carac (TN)', 'SR-01000075881', 'Fluorouracil [USAN:INN:BAN:JAN]', '5-Fluor-2,4(1H,3H)-pyrimidindion', 'Fluouracil', 'inhibits thymilidate synthetase', 'Tolak', '2,4-Dioxo-5-fluoropryimidine', '5-fluorourasil', 'Fluoro Uracil', '5-florouracil', '5-fluorouacil', '5-FU (TN)', '5-Fluracil', '1upf', '5F-uracil', 'U 8953', '1-fluoro-1h-pyrimidine-2,4-dione', 'Adrucil (ICN)', 'Fluorouracil (5-Fluoracil, 5-FU)', 'Adrucil (Fluorouracil)', 'Fluorouracil - Adrucil', 'Fluorouracil [USAN:USP:INN:BAN:JAN]', 'Spectrum_000841', 'ACMC-1ATRK', 'Opera_ID_134', 'Spectrum2_000076', 'Spectrum3_000434', 'Spectrum4_000557', 'Spectrum5_000718', 'WLN: T6MVMVJ EF', 'Lopac-F-6627', 'F0151', 'UPCMLD-DP130', 'EC 200-085-6', 'F 6627', 'SCHEMBL3646', '5-fluorpyrimidin-2,4-diol', 'Lopac0_000536', 'BSPBio_002048', 'KBioGR_001253', 'KBioSS_001321', 'KSC270K6T', 'MLS002415705', '5-fluoro-2,4-Pyrimidinediol', 'DivK1c_000054', 'SPECTRUM1500305', 'SPBio_000291', '5 FU', '5-fluoro-2,4-dioxo-pyrimidin', '5-fluoro-pyrimidine-2,4-diol', 'GTPL4789', 'DTXSID2020634', 'UPCMLD-DP130:001', 'CTK1H0569', 'CTK8H4220', 'Fluorouracil (JP17/USP/INN)', 'HMS500C16', 'KBio1_000054', 'KBio2_001321', 'KBio2_003889', 'KBio2_006457', 'KBio3_001268', '5-Fluoro-2,3H)-pyrimidinedione', '2,4-Pyrimidinedione, 5-fluoro-', 'NINDS_000054', 'BCPP000428', 'HMS1920O18', 'HMS2090I04', 'HMS2091F19', 'HMS3259O03', 'HMS3261L13', 'HMS3654K22', 'HMS3715H03', 'HMS3865L03', 'Pharmakon1600-01500305', '5-Fluorouracil, analytical standard', 'BCP02083', 'KS-00000DY3', '2,3H)-Pyrimidinedione, 5-fluoro-', 'Tox21_110150', 'Tox21_202335', 'Tox21_300112', 'Tox21_500536', 'ANW-31214', 'BBL009635', 'BDBM50340677', 'CCG-39879', 'CF0033', 'DL-399', 'LS-153', 'NSC757036', 'Ro-29757', 'RW2456', 's1209', 'SBB085751', 'STK297802', 'STL367375', 'ZINC38212689', '5-fluoranyl-1H-pyrimidine-2,4-dione', 'AKOS000119162', 'AKOS003237897', 'AKOS008044307', 'Tox21_110150_1', 'BCP9000239', 'CS-0993', 'DB00544', 'KS-5129', 'LP00536', 'LS40596', 'MCULE-6338086431', 'NC00454', 'NSC-757036', 'SDCCGSBI-0050519.P005', 'IDI1_000054', 'NCGC00015442-01', 'NCGC00015442-03', 'NCGC00015442-04', 'NCGC00015442-05', 'NCGC00015442-06', 'NCGC00015442-07', 'NCGC00015442-08', 'NCGC00015442-09', 'NCGC00015442-10', 'NCGC00015442-11', 'NCGC00015442-12', 'NCGC00015442-15', 'NCGC00015442-16', 'NCGC00091349-01', 'NCGC00091349-02', 'NCGC00091349-03', 'NCGC00091349-04', 'NCGC00091349-05', 'NCGC00091349-07', 'NCGC00091349-08', 'NCGC00254023-01', 'NCGC00259884-01', 'NCGC00261221-01', '5-Fluoro-2,4-(1H,3H)-pyrimidinedione', 'AC-11201', 'AK-46307', 'HY-90006', 'NCI60_001652', 'SC-09038', 'SRI-10792-04', 'SRI-10792-05', 'SRI-10792-06', 'SRI-10792_07', 'SRI-10792_08', '5-Fluoro-1H-pyrimidine-2,4-dione(5FU)', '5-Fluorouracil, &gt;=99% (HPLC), powder', 'SBI-0050519.P004', '5-Fluoro-1H-pyrimidine-2,4-dione(5-FU)', 'DB-051923', 'DB-065735', '5-Fluoro-1H-pyrimidine-2,4-dione (5-FU)', 'AM20100252', 'EU-0100536', 'FT-0601511', 'FT-0668745', 'FT-0695666', 'FT-0695667', 'FT-0707652', 'NS00000337', 'ST45025877', 'SW199617-3', '5-Fluoro-1H-pyrimidine-2,4-dione(5-FUra)', 'Fluorouracil, meets USP testing specifications', '51F218', '7375-EP2269989A1', '7375-EP2269994A1', '7375-EP2270008A1', '7375-EP2270018A1', '7375-EP2272827A1', '7375-EP2272832A1', '7375-EP2275102A1', '7375-EP2275412A1', '7375-EP2275413A1', '7375-EP2277876A1', '7375-EP2280012A2', '7375-EP2281563A1', '7375-EP2281815A1', '7375-EP2287156A1', '7375-EP2289892A1', '7375-EP2292233A2', '7375-EP2292614A1', '7375-EP2292615A1', '7375-EP2292617A1', '7375-EP2295416A2', '7375-EP2295426A1', '7375-EP2295427A1', '7375-EP2298748A2', '7375-EP2298768A1', '7375-EP2298772A1', '7375-EP2298780A1', '7375-EP2301928A1', '7375-EP2301933A1', '7375-EP2305219A1', '7375-EP2305243A1', '7375-EP2305640A2', '7375-EP2305642A2', '7375-EP2305671A1', '7375-EP2305689A1', '7375-EP2308833A2', '7375-EP2308839A1', '7375-EP2308855A1', '7375-EP2308861A1', '7375-EP2311807A1', '7375-EP2311808A1', '7375-EP2311825A1', '7375-EP2311827A1', '7375-EP2311829A1', '7375-EP2311840A1', '7375-EP2314590A1', '7375-EP2316459A1', '7375-EP2316831A1', '7375-EP2316834A1', '7375-EP2316974A1', '7375-EP2374454A1', 'C07649', 'D00584', 'W-5036', '29507-EP2270008A1', '29507-EP2270505A1', '29507-EP2272827A1', '29507-EP2289892A1', '29507-EP2292234A1', '29507-EP2292617A1', '29507-EP2295426A1', '29507-EP2295427A1', '29507-EP2298305A1', '29507-EP2308861A1', '29507-EP2311842A2', '42164-EP2272827A1', '42164-EP2275420A1', '42164-EP2277565A2', '42164-EP2277566A2', '42164-EP2277567A1', '42164-EP2277568A2', '42164-EP2277569A2', '42164-EP2277570A2', '42164-EP2277876A1', '42164-EP2292280A1', '42164-EP2292614A1', '42164-EP2295412A1', '42164-EP2295413A1', '42164-EP2295416A2', '42164-EP2298748A2', '42164-EP2298764A1', '42164-EP2298765A1', '42164-EP2298778A1', '42164-EP2305642A2', '42164-EP2308833A2', '42164-EP2311808A1', '42164-EP2311829A1', '42164-EP2311840A1', '5-Fluorouracil, Vetec(TM) reagent grade, &gt;=99%', 'Q238512', 'W-60379', '(5-fluorouracil)5-Fluoro-1H-pyrimidine-2,4-dione', '5-Fluoro-1H-pyrimidine-2,4-dione(5-fluoro uracil)', 'SR-01000075881-1', 'SR-01000075881-3', 'SR-01000075881-5', 'W-202929', '5-Fluoro-1H-pyrimidine-2,4-dione (5-Fluorouracil)', 'BRD-K24844714-001-02-1', 'Z275128052', '5-Fluoro-1H-pyrimidine-2,4-dione(5-fluorouracil)(5-FU)', '5-Fluorouracil, certified reference material, TraceCERT(R)', 'Fluorouracil, British Pharmacopoeia (BP) Reference Standard', 'Fluorouracil, European Pharmacopoeia (EP) Reference Standard', 'Fluorouracil, United States Pharmacopeia (USP) Reference Standard', 'pyrimidine antimetabolite: inhibits nucleic acid replication; tetratogen', 'Fluorouracil, Pharmaceutical Secondary Standard; Certified Reference Material']</t>
  </si>
  <si>
    <t>Compound(3385)</t>
  </si>
  <si>
    <t>C4H3FN2O2</t>
  </si>
  <si>
    <t>3-chloro-4-(chloromethyl)-1-[3-(trifluoromethyl)phenyl]pyrrolidin-2-one</t>
  </si>
  <si>
    <t>['Flurochloridone', 'Fluorochloridone', '61213-25-0', 'Flurochloridon', 'Raiser', 'Racer', '3-Chloro-4-(chloromethyl)-1-(3-(trifluoromethyl)phenyl)pyrrolidin-2-one', 'Caswell No. 721B', '3-chloro-4-(chloromethyl)-1-[3-(trifluoromethyl)phenyl]pyrrolidin-2-one', 'Flurochloridone [ISO:BSI]', '2-Pyrrolidinone, 3-chloro-4-(chloromethyl)-1-[3-(trifluoromethyl)phenyl]-', 'EINECS 262-661-3', 'EPA Pesticide Chemical Code 128401', 'CHEBI:5131', '3-Chloro-4-(chloromethyl)-1-(3-(trifluoromethyl)phenyl)-2-pyrrolidinone', 'R 40244', '1-(m-Trifluoromethylphenyl)-3-chloro-4-chloromethyl-2-pyrrolidone', '(3RS,4RS;3RS,4SR)-3-Chloro-4-chloromethyl-1-(alpha,alpha,alpha-trifluoro-m-tolyl)-2-pyrrolidone', 'W-105176', '2-Pyrrolidinone, 3-chloro-4-(chloromethyl)-1-(3-(trifluoromethyl)phenyl)-', '3-Chloro-4-(chloromethyl)-1-[3-(trifluoromethyl)phenyl]-2-pyrrolidinone', 'BAS 00444577', 'DSSTox_CID_21987', 'DSSTox_RID_79897', 'DSSTox_GSID_41987', 'SCHEMBL54056', 'CHEMBL2272973', 'DTXSID0041987', 'KS-00000G9O', 'Tox21_302259', 'MFCD00144317', 'STK373128', '3-Chloro-4-(chloromethyl)-1-(3-(trifluoromethyl)phenyl)-2-pyrrolidone (9CI)', 'AKOS000545957', 'AKOS016844370', 'MCULE-3568324860', 'VA10953', 'NCGC00255939-01', 'AC-12495', 'AK129207', 'AS-12674', 'CC-28500', 'SY233452', 'AX8130577', 'CAS-61213-25-0', 'LS-138658', 'FT-0653571', 'NS00010153', 'ST50229976', 'Flurochloridone 100 microg/mL in Acetonitrile', 'C11100', '213F250', 'C-34908', 'Flurochloridon, PESTANAL(R), analytical standard', 'SR-01000362363', 'SR-01000362363-1', 'Q18624139', 'N-(m-trifluoromethylphenyl)-3-chloro-4-chloromethyl-2-pyrrolidone', '3-Chloro-4-(chloromethyl)-1-(3-(trifluoromethyl)phenyl)-2-pyrrolidone', '3-chloro-4-(chloromethyl)-1-[3-(trifluoromethyl)=phenyl]-2-pyrrolidinone', '3-Chloro-4-(chloromethyl)-1-[3-(trifluoromethyl)phenyl]-2-pyrrolidinone #']</t>
  </si>
  <si>
    <t>Compound(91677)</t>
  </si>
  <si>
    <t>C12H10Cl2F3NO</t>
  </si>
  <si>
    <t>1-methyl-3-phenyl-5-[3-(trifluoromethyl)phenyl]pyridin-4-one</t>
  </si>
  <si>
    <t>['FLURIDONE', '59756-60-4', 'Brake', 'Sonar', 'Pride', 'Caswell No. 130C', 'UNII-3L0JQA61JX', 'EL 171', 'EL-171', 'Fluridone [ANSI:BSI:ISO]', '1-Methyl-3-phenyl-5-(3-(trifluoromethyl)phenyl)-4(1H)-pyridinone', 'HSDB 6653', '4(1H)-Pyridinone, 1-methyl-3-phenyl-5-[3-(trifluoromethyl)phenyl]-', 'EINECS 261-916-6', 'EPA Pesticide Chemical Code 112900', '1-Methyl-3-phenyl-5-(3-(trifluoromethyl)phenyl)pyridin-4(1H)-one', 'BRN 1547990', '3L0JQA61JX', 'CHEBI:82016', 'MFCD00078682', '1-Methyl-3-phenyl-5-(3-(trifluoromethyl)phenyl)-4-pyridone', 'Fluridon', '1-methyl-3-phenyl-5-[3-(trifluoromethyl)phenyl]pyridin-4(1H)-one', '1-Methyl-3-phenyl-5-(alpha,alpha,alpha-trifluoro-m-tolyl)-4-pyridone', 'DSSTox_CID_4107', 'DSSTox_RID_77292', 'DSSTox_GSID_24107', '1-methyl-3-phenyl-5-[3-(trifluoromethyl)phenyl]-4-pyridone', '1-methyl-3-phenyl-5-(3-trifluoromethylphenyl)-pyridin-4(1H)-one', '4(1H)-Pyridinone, 1-methyl-3-phenyl-5-(3-(trifluoromethyl)phenyl)-', 'CAS-59756-60-4', '1-methyl-3-phenyl-5-[3-(trifluoromethyl)phenyl]pyridin-4-one', 'SCHEMBL54579', '5-21-09-00264 (Beilstein Handbook Reference)', 'CHEMBL1887342', 'DTXSID8024107', 'AMPD00152', 'BIF0357', 'ZX-AFC003085', 'ZINC2001313', 'Tox21_202162', 'Tox21_300200', 'AKOS015903233', 'ACN-049273', 'AM85839', 'NCGC00164295-01', 'NCGC00164295-02', 'NCGC00164295-03', 'NCGC00254102-01', 'NCGC00259711-01', 'AK117720', 'SY238237', 'LS-133065', 'Fluridon, PESTANAL(R), analytical standard', 'FT-0608061', 'NS00000143', 'C18857', 'W-2863', '756F604', 'C-56163', 'Q1434245', '3-(3-(Trifluoromethyl)phenyl)-1-methyl-5-phenylpyridin-4(1H)-one', '1-Methyl-3-phenyl-5-[3-(trifluoromethyl)phenyl]-4(1H)-pyridinone #', 'fluridone;1-methyl-3-phenyl-5-[3-(trifluoromethyl)phenyl]-4-pyridone']</t>
  </si>
  <si>
    <t>Compound(43079)</t>
  </si>
  <si>
    <t>C19H14F3NO</t>
  </si>
  <si>
    <t>butyl 9-hydroxyfluorene-9-carboxylate</t>
  </si>
  <si>
    <t>['Flurenol-butyl', 'Butyl 9-hydroxyfluorene-9-carboxylate', 'FLURECOL-BUTYL', 'Flurenol-n-butyl ester', '2314-09-2', 'Butyl flurenol', 'Flurenol ester', 'Butyl morphactin', 'Flurenol-butyl ester', 'Flurenol n-butyl ester', 'Morphactin IT 3233', 'Butyl 9-hydroxy-9H-fluorene-9-carboxylate', '9H-Fluorene-9-carboxylic acid, 9-hydroxy-, butyl ester', 'Flurecol [BSI]', 'Flurenol butyl ester', 'Caswell No. 130B', 'TH 407-H', 'UNII-54FU8JOO5Q', 'IT 3233', '54FU8JOO5Q', 'EMD 7311W', 'EINECS 219-011-9', 'Fluorene-9-carboxylic acid, 9-hydroxy-, butyl ester', 'Butyl 9-hydroxyfluorenyl-9-carboxylate', 'EPA Pesticide Chemical Code 230300', 'AI3-28705', 'W-107427', 'Flurenol butyl', 'Flurenol-butylester', '9-Hydroxyfluorene-9-Carboxylic acid butyl ester', 'SCHEMBL145937', 'DTXSID5041986', 'CTK4F0954', 'EMD 7311 W', 'ZINC2003561', 'STK832945', 'Butyl 9-hydroxy-9-fluorenecarboxylate', 'AKOS000583076', 'MCULE-3174914493', 'AC-19722', 'CC-28516', 'LS-69221', 'ST020594', 'NS00006408', 'Butyl 9-hydroxy-9H-fluorene-9-carboxylate #', '314B092', '9-Hydroxyfluorene-9-carboxylic acid n-butyl ester', 'Butyl ester of 9-hydroxyfluorene-9-carboxylic acid', 'C-34925', 'SR-01000314951', 'SR-01000314951-1', 'Q27261212', '9H-Fluorene-9-carboxylicacid, 9-hydroxy-, butyl ester', 'Flurenol-butylester;butyl 9-hydroxy-9H-fluorene-9-carboxylate']</t>
  </si>
  <si>
    <t>Compound(40816)</t>
  </si>
  <si>
    <t>C18H18O3</t>
  </si>
  <si>
    <t>9-hydroxyfluorene-9-carboxylic acid</t>
  </si>
  <si>
    <t>['Flurenol', '467-69-6', '9-Hydroxyfluorene-9-carboxylic acid', '9-Hydroxy-9-fluorenecarboxylic acid', 'Flurecol', '9-Hydroxy-9H-fluorene-9-carboxylic acid', 'Glycolic acid, diphenylene-', '9H-Fluorene-9-carboxylic acid, 9-hydroxy-', 'Flurecol [BSI:ISO]', 'UNII-4TKT65AM8P', 'NSC 97576', '9-Hydooxyfluorene-9-carboxylic acid', '9-Hydroxy-9-fluorene carboxyli acid', 'EINECS 207-397-1', 'BRN 1314711', '4TKT65AM8P', 'Fluorene-9-carboxylic acid, 9-hydroxy-', 'CHEBI:82015', 'ACMC-1AETH', 'ChemDiv2_000095', '9-Hydroxy-9H-fluorene-9-carboxylic acid (9CI)', 'Oprea1_647849', 'Oprea1_737334', 'SCHEMBL66735', 'CHEMBL1452438', 'DTXSID0075029', 'CTK1D5982', 'ZINC43476', 'HMS1369E07', '9-hydroxyfluorene-9-carboxlic acid', 'ALBB-025613', 'NSC97576', 'ZX-AN024127', 'ANW-30468', 'BBL027326', 'NSC-97576', 'SBB072614', 'STK726749', '9-hydroxy-9-fluorene carboxylic acid', 'AKOS001582514', 'AC-4869', 'CCG-103077', 'MCULE-1104392629', 'OR52146', 'Fluorene-9-carboxylic acid, 9-hydooxy-', 'KS-0000196X', 'NCGC00166225-01', '188853-09-0', 'ACM188853090', 'CC-23560', 'LS-69220', 'PS-11089', 'ST020592', '9-Hydroxy-9-fluorenecarboxylic acid, 97%', '9-hydroxy-9-H-fluoren-9-ylcarboxylic acid', 'AX8008490', 'DB-051403', 'EU-0066698', 'FT-0632173', 'NS00008950', 'R1010', 'C18856', 'Fluorene-9-carboxylic acid, 9-hydooxy- (8CI)', 'Fluorene-9-carboxylic acid, 9-hydroxy- (8CI)', 'C-24463', 'SR-01000388705', 'SR-01000388705-1', 'Q27155691', 'bis(2-{[4-(dimethylamino)phenyl]amino}-2-oxoethyl) cyanodithioimidocarbonate']</t>
  </si>
  <si>
    <t>Compound(10087)</t>
  </si>
  <si>
    <t>C14H10O3</t>
  </si>
  <si>
    <t>2-methyl-1-pyrimidin-5-yl-1-[4-(trifluoromethoxy)phenyl]propan-1-ol</t>
  </si>
  <si>
    <t>['Flurprimidol', '56425-91-3', 'Cutless', 'Compound 72500', 'Flurprimidol [ANSI:BSI:ISO]', '2-methyl-1-pyrimidin-5-yl-1-[4-(trifluoromethoxy)phenyl]propan-1-ol', 'EL 500', 'EPA Pesticide Chemical Code 125701', 'BRN 0892930', 'CHEBI:81765', '(RS)-2-Methyl-1-pyrimidin-5-yl-1-(4-trifluoromethoxy)phenylpropan-2-ol', 'alpha-Isopropyl-alpha-(p-(trifluoromethoxy)phenyl)-5-pyrimidinemethanol', 'alpha-(1-Methylethyl)-alpha-(4-(trifluoromethoxy)phenyl)-5-pyrimidinemethanol', 'alpha-(1-methylethyl)-alpha-[4-(trifluoromethoxy)phenyl]-5-pyrimidinemethanol', '5-Pyrimidinemethanol, alpha-(1-methylethyl)-alpha-(4-(trifluoromethoxy)phenyl)-', 'DSSTox_CID_4108', 'DSSTox_RID_77293', 'DSSTox_GSID_24108', 'SCHEMBL69378', 'BIF564', 'CHEMBL3184763', 'DTXSID3024108', 'ZX-AFC001297', 'BCP33321', 'Compound72500; El500; Cutless', 'Tox21_201156', 'GY4609', 'MFCD00072512', 'AKOS015903452', '5-Pyrimidinemethanol, .alpha.-(1-methylethyl)-.alpha.-[4-(trifluoromethoxy)phenyl]-', 'NCGC00248940-01', 'NCGC00258708-01', 'Flurprimidol 10 microg/mL in Acetonitrile', 'CAS-56425-91-3', 'LS-135462', 'NS00006885', 'C18465', 'Flurprimidol, PESTANAL(R), analytical standard', '425F913', 'Q2378257', '2-Methyl-1-(pyriMidin-5-yl)-1-(4-trifluoroMethoxy)', '5-Pyrimidinemethanol, ?-(1-methylethyl)-?-[4-(trifluoromethoxy)phenyl]-', 'alpha-(1-methylethyl)-alpha-(4-(trifluoromethoxy)phenyl)-5-pyrimidinemethano']</t>
  </si>
  <si>
    <t>Compound(73668)</t>
  </si>
  <si>
    <t>C15H15F3N2O2</t>
  </si>
  <si>
    <t>N-(2,6-difluorophenyl)-8-fluoro-5-methoxy-[1,2,4]triazolo[1,5-c]pyrimidine-2-sulfonamide</t>
  </si>
  <si>
    <t>['Florasulam', '145701-23-1', 'N-(2,6-Difluorophenyl)-8-fluoro-5-methoxy-[1,2,4]triazolo[1,5-c]pyrimidine-2-sulfonamide', 'Primus', 'UNII-00A64ZX8NB', '00A64ZX8NB', 'CHEBI:82009', 'AK122317', '[1,2,4]Triazolo[1,5-c]pyrimidine-2-sulfonamide, N-(2,6-difluorophenyl)-8-fluoro-5-methoxy-', 'A1-01909', 'Kantor', 'N-(2,6-Difluorophenyl)-8-fluoro-5-methoxy[1,2,4]triazolo[1,5-c]pyrimidine-2-sulfonamide', 'Florasulam [ISO]', 'HSDB 7941', 'Kantor; Primus; Primus SC', 'DSSTox_CID_24340', 'DSSTox_RID_80157', 'DSSTox_GSID_44340', 'SCHEMBL116614', 'C12H8F3N5O3S', 'CHEMBL3185236', 'DTXSID7044340', 'KS-00000G9F', 'Tox21_302433', '7205AA', 'ZINC38276325', 'AKOS015901201', 'DB15316', 'DS-6608', 'MCULE-3451149266', 'N-(2,6-difluorophenyl)-5-methoxy-8-fluoro-(1,2,4)-triazolo-(1,5c)-pyrimidine-2-sulfonamide', 'Florasulam 10 microg/mL in Acetonitrile', 'NCGC00255762-01', 'AX8130425', 'DB-042799', 'CAS-145701-23-1', 'FT-0631173', 'NS00001447', 'Florasulam, PESTANAL(R), analytical standard', 'C18850', '701F231', 'C-20869', 'J-008140', 'Q22807578', "[1,2,4]Triazolo[1,5-c]pyrimidine-2-sulfonamide, N-(2,6-difluorophenyl)-8-fluoro-5-methoxy-;2',6',8-trifluoro-5-methoxy-5-triazolo[1,5-c]"]</t>
  </si>
  <si>
    <t>Compound(11700495)</t>
  </si>
  <si>
    <t>C12H8F3N5O3S</t>
  </si>
  <si>
    <t>flusilazole</t>
  </si>
  <si>
    <t>bis(4-fluorophenyl)-methyl-(1,2,4-triazol-1-ylmethyl)silane</t>
  </si>
  <si>
    <t>['Flusilazole', 'Flusilazol', '85509-19-9', 'Nustar', 'Sanction', 'Fluzilazol', 'Olymp', 'Punch', 'Flusilazole [ISO]', 'DPX-H 6573', 'Caswell No. 419K', 'UNII-F3WG2VVD87', 'DPX 6573', 'Bis(4-fluorophenyl)methyl(1H-1,2,4-triazol-1-ylmethyl)silane', 'EPA Pesticide Chemical Code 128835', 'BRN 5824097', 'F3WG2VVD87', 'bis(4-fluorophenyl)-methyl-(1,2,4-triazol-1-ylmethyl)silane', 'CHEBI:81922', '1-[[Bis(4-fluorophenyl)methylsilyl]methyl]-1H-1,2,4-triazole', '1-((Bis(4-fluorophenyl)methylsilyl)methyl)-1H-1,2,4-triazole', '1-{[bis(4-fluorophenyl)(methyl)silyl]methyl}-1H-1,2,4-triazole', '1H-1,2,4-Triazole, 1-((bis(4-fluorophenyl)methylsilyl)methyl)-', '1H-1,2,4-Triazole, 1-[[bis(4-fluorophenyl)methylsilyl]methyl]-', 'DSSTox_CID_4235', 'DSSTox_RID_77333', 'DSSTox_GSID_24235', 'Punch 40EC', 'bis(4-fluorophenyl)(methyl)(1H-1,2,4-triazol-1-ylmethyl)silane', 'Punch (pesticide)', 'CAS-85509-19-9', 'DPD 78710F', 'C16H15F2N3Si', '1-((Bis(4-fluorophenyl)(methyl)silyl)methyl)-1H-1,2,4-triazole', '1-([Bis(4-fluorophenyl)(methyl)silyl]methyl)-1H-1,2,4-triazole', 'SCHEMBL21313', 'Flusilazole, analytical standard', 'CHEMBL1900522', 'DTXSID3024235', 'DPX-N6573', 'PPX-H6573', 'HY-B2012', 'Tox21_201484', 'Tox21_300761', 'AKOS015907679', 'ZINC169876613', 'VA10954', 'Flusilazole 1000 microg/mL in Acetone', 'NCGC00164304-01', 'NCGC00164304-02', 'NCGC00164304-03', 'NCGC00164304-04', 'NCGC00254665-01', 'NCGC00259035-01', 'CC-28517', 'Flusilazole 10 microg/mL in Acetonitrile', 'Flusilazole 100 microg/mL in Ethyl acetate', 'LS-155821', 'CS-0014113', 'FT-0652761', 'C18733', 'Flusilazole, PESTANAL(R), analytical standard', '509F199', 'C-34926', 'Q499791', 'di(4-fluorophenyl)(1,2,4-triazole-2-ylmethyl)methylsilane', '1-[[Bis(4-fluorophenyl)methylsilyl]methyl]-1H-1,2,4- triazole', '1-[[Bis(4-fluorophenyl)methylsilyl]methyl]-1H-1,2,4-triazole, 9CI', 'flusilazole;bis(4-fluorophenyl)(methyl)(1H-1,2,4-triazol-1-ylmethyl)silane']</t>
  </si>
  <si>
    <t>Compound(73675)</t>
  </si>
  <si>
    <t>C16H15F2N3Si</t>
  </si>
  <si>
    <t>fluticasone propionate</t>
  </si>
  <si>
    <t>[(6S,8S,9R,10S,11S,13S,14S,16R,17R)-6,9-difluoro-17-(fluoromethylsulfanylcarbonyl)-11-hydroxy-10,13,16-trimethyl-3-oxo-6,7,8,11,12,14,15,16-octahydrocyclopenta[a]phenanthren-17-yl] propanoate</t>
  </si>
  <si>
    <t>['FLUTICASONE PROPIONATE', 'Flovent', 'Cutivate', 'Flixotide', 'Flonase', 'Flixonase', '80474-14-2', 'Flovent HFA', 'Flunase', 'Flusonal', 'Fluspiral', 'Flutide', 'atemur', 'Flutivate', 'Asmatil', 'Axotide', 'Brethal', 'Fluinol', 'Flovent Diskus 50', 'Flixotide Disks', 'Flixotide Disk', 'Flovent Diskus', 'Flovent Diskus 100', 'Flovent Diskus 250', 'Flixotide Inhaler', 'Cultivate', 'Inalacor', 'Rinosone', 'Trialona', 'Ubizol', 'Zoflut', 'Flixonase Nasal Spray', 'Flonase Aq', 'Fluticasonpropionat Allen', 'Fluticasone (propionate)', 'UNII-O2GMZ0LF5W', 'CCI-18781', 'CCI 18781', 'O2GMZ0LF5W', 'CHEBI:31441', '[(6S,8S,9R,10S,11S,13S,14S,16R,17R)-6,9-difluoro-17-(fluoromethylsulfanylcarbonyl)-11-hydroxy-10,13,16-trimethyl-3-oxo-6,7,8,11,12,14,15,16-octahydrocyclopenta[a]phenanthren-17-yl] propanoate', 'Fluticasone propionate (Flonase, Veramyst)', 'S-(Fluoromethyl) 6alpha,9-difluoro-11beta,17-dihydroxy-16alpha-methyl-3-oxoandrosta-1,4-diene-17beta-carbothioate, 17-propionate', 'C25H31F3O5S', 'Flovent-hfa', 'MFCD00866007', 'Androsta-1,4-diene-17-carbothioic acid, 6,9-difluoro-11-hydroxy-16-methyl-3-oxo-17-(1-oxopropoxy)-, (6alpha,11beta,16alpha,17alpha)-S-(fluoromethyl) ester', 'fluticasone 17-propionate', 'Fluxonal', 'Skyron', 'Xhance', 'Fluticasone propionate [USAN]', 'Flovent Rotadisk', 'Cutivate (TN)', 'Fluticasone propionate [USAN:USP]', 'ArmonAir RespiClick', 'Flonase (TN)', 'Flovent (TN)', 'ArmonAir RespiClickTM', 'Flonase Allergy Relief', 'Fluticasone Impurity B', 'Prestwick0_000997', 'Prestwick1_000997', 'Prestwick2_000997', 'Prestwick3_000997', 'SCHEMBL4068', 'CHEMBL1473', 'BSPBio_001093', 'MLS001424085', 'SPBio_002984', 'BPBio1_001203', 'GTPL7080', 'BIF0710', 'Fluticasone propionate (JAN/USP)', 'FN-25', 'HMS1571G15', 'HMS2051N19', 'HMS2098G15', 'HMS3413A19', 'HMS3677A19', 'HMS3715G15', '(6alpha,8xi,11beta,16alpha,17alpha)-6,9-Difluoro-17-{[(fluoromethyl)sulfanyl]carbonyl}-11-hydroxy-16-methyl-3-oxoandrosta-1,4-dien-17-yl propanoate', 'HY-B0154', 'ZINC3920027', 'AC-457', 'BDBM50354849', 's1992', 'AKOS015895220', 'CCG-100981', 'CS-1986', 'DB00588', 'KS-1173', 'NC00231', 'NCGC00179308-01', 'NCGC00179308-05', 'BR-72799', 'LS-19323', 'SC-19333', 'SMR000469159', 'AB00513992', 'PF-00241939', 'D01708', 'AB00513992-06', 'AB00513992_08', 'Fluticasone propionate, &gt;=98% (HPLC), powder', '474F142', 'AN-584/43505443', 'SR-01000763355', 'Q-101393', 'Q8564098', 'SR-01000763355-3', 'BRD-K62310379-001-03-0', 'Fluticasone propionate, European Pharmacopoeia (EP) Reference Standard', 'Fluticasone propionate, United States Pharmacopeia (USP) Reference Standard', 'Fluticasone Propionate, Pharmaceutical Secondary Standard; Certified Reference Material', '(1R,2S,8S,10S,11S,13R,14R,15S,17S)-1,8-difluoro-14-{[(fluoromethyl)sulfanyl]carbonyl}-17-hydroxy-2,13,15-trimethyl-5-oxotetracyclo[8.7.0.0^{2,7}.0^{11,15}]heptadeca-3,6-dien-14-yl propanoate', '(6?,11?,16?,17?)-6,9-Difluoro-11-hydroxy-16-methyl-3-oxo-17-(1-oxopropoxy)androsta-1,4-diene-17-carbothioic acid fluoromethyl ester', '(6alpha,11beta,16alpha,17alpha)-6,9-Difluoro-11-hydroxy-16-methyl-3-oxo-17-(1-oxopropoxy)androsta-1,4-diene-17-carbothioic acid S-(fluoromethyl) ester', '6alpha,9-difluoro-17beta-{[(fluoromethyl)sulfanyl]carbonyl}-11beta-hydroxy-16-methyl-3-oxoandrosta-1,4-dien-17alpha-yl propanoate', 'Androsta-1,4-diene-17-carbothioic acid, 6,9-difluoro-11-hydroxy-16-methyl-3-oxo-17-(1-oxopropoxy)-, S-(fluoromethyl) ester, (6-alpha,11-beta,16-alpha,17-alpha)-', 'Fluticasone propionate for impurity C identification, EuropePharmacopoeia (EP) Reference Standard', 'Fluticasone propionate for impurity G identification, EuropePharmacopoeia (EP) Reference Standard']</t>
  </si>
  <si>
    <t>Compound(444036)</t>
  </si>
  <si>
    <t>C25H31F3O5S</t>
  </si>
  <si>
    <t>N-(3-propan-2-yloxyphenyl)-2-(trifluoromethyl)benzamide</t>
  </si>
  <si>
    <t>['FLUTOLANIL', '66332-96-5', 'Moncut', 'Folistar', 'Prostar', 'NNF-136', 'Flutolanil [BSI:ISO]', 'UNII-2USL6Y9JZ4', 'N-(3-Isopropoxyphenyl)-2-(trifluoromethyl)benzamide', 'FLUTOLUANIL', 'EPA Pesticide Chemical Code 128975', 'BRN 2163858', '2USL6Y9JZ4', "alpha,alpha,alpha-Trifluoro-3'-isopropoxy-o-toluanilide", 'N-(3-propan-2-yloxyphenyl)-2-(trifluoromethyl)benzamide', 'N-(3-(1-Methylethoxy)phenyl)-2-(trifluoromethyl)benzamide', 'CHEBI:81792', 'NCGC00160537-04', 'N-[3-(1-Methylethoxy)phenyl]-2-(Trifluoromethyl)benzamide', 'Benzamide, N-(3-(1-methylethoxy)phenyl)-2-(trifluoromethyl)-', "o-trifluoromethyl-m'-isopropoxybenzoic anilide", 'Benzamide, N-[3-(1-methylethoxy)phenyl]-2-(trifluoromethyl)-', 'FTN', 'Maybridge1_007471', 'DSSTox_CID_4109', 'Moncoat; Moncut; ProStar', 'DSSTox_RID_77294', 'DSSTox_GSID_24109', 'SCHEMBL18555', 'CHEMBL487185', 'ZINC1479', 'DTXSID8024109', 'CTK8E7267', 'HMS562L13', 'HSDB 6658', 'PTCGDEVVHUXTMP-UHFFFAOYSA-', 'Tox21_400085', 'AKOS015902922', 'MCULE-9182987528', 'Flutolanil 10 microg/mL in Cyclohexane', 'NCGC00160537-01', 'NCGC00160537-02', 'NCGC00160537-03', 'NCGC00160537-05', 'LS-27196', 'CAS-66332-96-5', 'DB-054915', 'FT-0630764', 'NS00009245', 'C18502', "3'-isopropoxy-2-trifloromethylbenzoic acid anilide", 'N-(3-Isopropoxy-phenyl)-2-trifluoromethylbenzamide', 'Q2338052', "Alpha-alpha-alpha-trifluoro-3'isopropoxy-o-toluanilide", 'N-(3-Isopropoxyphenyl)-2-(trifluoromethyl)benzamide #', 'Benzamide,n-(3-(1-methylethoxy)phenyl)-2-(trifluoromethyl)', 'N-(3-(1-methylethoxy)phenyl)-2-(trifluoromethyl)-benzamide', 'N-[3-(propan-2-yloxy)phenyl]-2-(trifluoromethyl)benzamide', 'N-{3-[(Propan-2-yl)oxy]phenyl}-2-(trifluoromethyl)benzamide', "ALPHA-ALPHA-ALPHA-TRIFLURO-3'-ISOPROPOXY-ORTHO-TOLUANILIDE", "flutolanil;alpha, alpha, alpha-Trifluor-3'-isopropoxy-o-toluanilid"]</t>
  </si>
  <si>
    <t>Compound(47898)</t>
  </si>
  <si>
    <t>C17H16F3NO2</t>
  </si>
  <si>
    <t>2-methyl-N-[4-nitro-3-(trifluoromethyl)phenyl]propanamide</t>
  </si>
  <si>
    <t>['flutamide', '13311-84-7', 'Niftolide', 'Eulexin', 'Niftholide', '2-Methyl-N-[4-nitro-3-(trifluoromethyl)phenyl]propanamide', 'NFBA', 'niftolid', 'Drogenil', 'Flutamin', 'Sch 13521', 'Cebatrol, veterinary', 'Flutamida', 'Flutamidum', 'Sch-13521', "4'-Nitro-3'-trifluoromethylisobutyranilide", "Ham's F-12 medium", 'Flutamidum [INN-Latin]', 'Flutamida [INN-Spanish]', 'Propanamide, 2-methyl-N-[4-nitro-3-(trifluoromethyl)phenyl]-', '2-Methyl-N-(4-nitro-3-[trifluoromethyl]phenyl)propanamide', 'NSC 215876', 'Flutamide (Eulexin)', 'CCRIS 7246', "alpha,alpha,alpha-Trifluoro-2-methyl-4'-nitro-m-propionotoluidide", 'UNII-76W6J0943E', 'C11H11F3N2O3', 'EINECS 236-341-9', 'CHEMBL806', 'BRN 2157663', '4-Nitro-3-(trifluoromethyl)isobutyranilide', 'CHEBI:5132', 'N-(4-NITRO-3-(TRIFLUOROMETHYL)PHENYL)ISOBUTYRAMIDE', 'Propanamide, 2-methyl-N-(4-nitro-3-(trifluoromethyl)phenyl)-', '76W6J0943E', 'NSC-215876', 'NCGC00015452-09', 'Eulexine', 'Chimax', "4'-Nitro-3'-trifluoromethylisobutyramilide", 'CAS-13311-84-7', 'DSSTox_CID_11121', 'DSSTox_RID_78899', 'DSSTox_GSID_32004', 'Flutamide USP25', 'Prostandril', 'Odyne', "m-Propionotoluidide, 2-methyl-4'-nitro-alpha,alpha,alpha-triflouro-", '37209-54-4', 'SMR000058187', 'Eulexin (TN)', 'Flutamide [USAN:BAN:INN]', 'm-Propionotoluidide,.alpha.,.alpha.-trifluoro-', 'SR-01000075888', 'SCH13521', 'N1-[4-nitro-3-(trifluoromethyl)phenyl]-2-methylpropanamide', 'Flutamid', ".alpha.,.alpha.-Trifluoro-2-methyl-4'-nitro-m-propionotoluidide", "m-Propionotoluidide,.alpha.,.alpha.-trifluoro-2-methyl-4'-nitro-", "4'-Nitro-3'-(trifluoromethyl)isobutyranilide", 'flutamide;Flutamid', 'Flutamide [USAN:USP:INN:BAN]', 'Flutamide,(S)', 'Prestwick_228', 'MFCD00072009', 'NK-601', 'ACMC-20hidt', 'PubChem13536', 'Spectrum_001210', '2-Methyl-N-[4-nitro-3-(trifluoromethyl)phenyl]propionamide', 'CPD000058187', 'Prestwick0_000180', 'Prestwick1_000180', 'Prestwick2_000180', 'Prestwick3_000180', 'Spectrum2_001201', 'Spectrum3_001421', 'Spectrum4_000829', 'Spectrum5_001450', 'Lopac-F-9397', 'F0663', 'Flutamide (pubertal study)', 'F 9397', 'SCHEMBL3934', 'Lopac0_000557', 'BSPBio_000079', 'BSPBio_003122', 'KBioGR_001377', 'KBioSS_001690', 'MLS000069634', 'MLS001065596', 'MLS002548892', 'DivK1c_000459', 'SPECTRUM1500995', 'SPBio_000982', 'SPBio_002000', 'Flutamide (JP17/USP/INN)', 'BPBio1_000087', 'GTPL6943', 'DTXSID7032004', 'SCHEMBL12932289', 'CTK4B8363', 'HMS501G21', 'KBio1_000459', 'KBio2_001690', 'KBio2_004258', 'KBio2_006826', 'KBio3_002342', 'NINDS_000459', 'HMS1568D21', 'HMS1921O16', 'HMS2090I18', 'HMS2092O14', 'HMS2095D21', 'HMS2230P19', 'HMS3259I03', 'HMS3261P15', 'HMS3373C12', 'HMS3655G22', 'HMS3712D21', 'Pharmakon1600-01500995', 'BCP23006', 'HY-B0022', "m-propionotoluidide,alpha,alpha,alpha-trifluoro-2-methyl-4'-nitro", 'ZINC3812944', 'Tox21_110154', 'Tox21_202169', 'Tox21_300536', 'Tox21_500557', 'BDBM50131270', 'CCG-39105', 'NSC147834', 'NSC215876', 'NSC757817', 's1908', 'SBB006930', 'AKOS001025465', 'AKOS025243203', "m-Propionotoluidide, .alpha.,.alpha.,.alpha.-trifluoro-2-methyl-4'-nitro-", 'Tox21_110154_1', 'AB02835', 'CS-2359', 'DB00499', 'KS-5091', 'LP00557', 'LS-2105', 'MCULE-7498839065', 'NC00451', 'NSC-147834', 'NSC-757817', 'SDCCGSBI-0050540.P004', 'IDI1_000459', 'KS-00000L22', 'NCGC00015452-01', 'NCGC00015452-02', 'NCGC00015452-03', 'NCGC00015452-04', 'NCGC00015452-05', 'NCGC00015452-06', 'NCGC00015452-07', 'NCGC00015452-08', 'NCGC00015452-10', 'NCGC00015452-11', 'NCGC00015452-12', 'NCGC00015452-13', 'NCGC00015452-14', 'NCGC00015452-15', 'NCGC00015452-16', 'NCGC00015452-19', 'NCGC00015452-20', 'NCGC00091460-01', 'NCGC00091460-02', 'NCGC00091460-03', 'NCGC00091460-04', 'NCGC00091460-05', 'NCGC00091460-06', 'NCGC00091460-07', 'NCGC00091460-08', 'NCGC00091460-09', 'NCGC00254495-01', 'NCGC00259718-01', 'NCGC00261242-01', 'AC-24192', 'AK499646', 'SC-12180', 'ST058409', 'SBI-0050540.P003', 'AB0005010', 'DB-042163', "3'-Trifluoromethyl-4'-Nitro-Isobutyranilide", 'AB00052188', 'EU-0100557', 'FT-0626493', 'FT-0668764', 'NS00002675', 'SW196536-4', "4''-nitro-3''-trifluoromethylisobutyranilide", 'C07653', 'D00586', 'J10037', 'K-4175', 'AB00052188-09', 'AB00052188_10', 'AB00052188_11', '311F847', 'A806562', 'Q418669', 'Q-201131', 'SR-01000075888-1', 'SR-01000075888-6', 'SR-01000075888-7', 'SR-01000075888-9', 'BRD-K28307902-001-05-0', 'Flutamide, certified reference material, TraceCERT(R)', 'Z56755651', "a,a,a-Trifluoro-2-methyl-4'-nitro- m-propionotoluidide", 'Flutamide, European Pharmacopoeia (EP) Reference Standard', '2-Methyl-N-[4-nitro-3-(trifluoromethyl)phenyl]propanamide #', 'Flutamide, United States Pharmacopeia (USP) Reference Standard', 'Propanamide,2-methyl-N-[4-nitro-3-(trifluoromethyl)phenyl]-', "alpha,alpha,alpha-trifluoro-2-methyl-4''-nitro-m-propionotoluidide", "m-Propionotoluidide, alpha,alpha,alpha-trifluoro-2-methyl-4'-nitro-", ".alpha.,.alpha.,.alpha.-Trifluoro-2-methyl-4'-nitro-m-propionotoluidide", "m-Propionotoluidide, 2-methyl-4'-nitro-.alpha.,.alpha.,.alpha.-trifluoro-", "m-Propionotoluidide, alpha,alpha,alpha-trifluoro-2-methyl-4'-nitro- (8CI)", 'Flutamide for system suitability, European Pharmacopoeia (EP) Reference Standard', 'PUBERTAL FLUTAMIDE STUDY (PUBERTAL STUDIES OF VINCLOZOLIN; METHOXYCHLOR; ETHINYL ESTRADIOL)']</t>
  </si>
  <si>
    <t>Compound(3397)</t>
  </si>
  <si>
    <t>C11H11F3N2O3</t>
  </si>
  <si>
    <t>3-(difluoromethyl)-1-methyl-N-[2-(3,4,5-trifluorophenyl)phenyl]pyrazole-4-carboxamide</t>
  </si>
  <si>
    <t>['Fluxapyroxad', '907204-31-3', 'UNII-7U8P4NAR2S', '7U8P4NAR2S', '3-(difluoromethyl)-1-methyl-N-[2-(3,4,5-trifluorophenyl)phenyl]pyrazole-4-carboxamide', "3-(Difluoromethyl)-1-methyl-N-(3',4',5'-trifluoro-[1,1'-biphenyl]-2-yl)-1H-pyrazole-4-carboxamide", 'Xemium', "3-(difluoromethyl)-1-methyl-N-(3',4',5'-trifluorobiphenyl-2-yl)pyrazole-4-carboxamide", "3-(difluoromethyl)-1-methyl-N-(3',4',5'-trifluoro(1,1'-biphenyl)-2-yl)-1H-pyrazole-4-carboxamide", "3-(Difluoromethyl)-1-methyl-N-(3',4',5'-trifluorobiphenyl-2-yl)-1H-pyrazole-4-carboxamide; Xemium", 'Fluxapyroxad [ISO]', "3-(difluoromethyl)-1-methyl-N-(3',4',5'-trifluoro[1,1'-biphenyl]-2-yl)-1H-pyrazole-4-carboxamide", 'SCHEMBL167627', 'DTXSID6058215', 'CHEBI:83113', 'EX-A1676', 'ZINC35076028', 'AS-36599', 'NS00006403', 'Fluxapyroxad, PESTANAL(R), analytical standard', 'Q15632875', "3-(difluoromethyl)-1-methyl-N-(3',4',5'-trifluorobiphenyl-2-yl)-1H-pyrazole-4-carboxamide", 'N-(2-(3,4,5-trifluorophenyl)phenyl)-3-difluoromethyl-1-methylpyrazole-4-carboxamide', "N-(3',4',5'-trifluorobiphenyl-2-yl)-1-methyl-3-difluoromethyl-1H-pyrazole-4-carboxamide", "N-(3',4',5'-trifluorobiphenyl-2-yl)-3-difluoromethyl-1-methyl-1H-pyrazole-4-carboxamide", '3-(Difluoromethyl)-1-methyl-N-(3 inverted exclamation marka,4 inverted exclamation marka,5 inverted exclamation marka-trifluorobiphenyl-2-yl)pyrazole-4-carboxamide']</t>
  </si>
  <si>
    <t>Compound(16095400)</t>
  </si>
  <si>
    <t>C18H12F5N3O</t>
  </si>
  <si>
    <t>2-(trichloromethylsulfanyl)isoindole-1,3-dione</t>
  </si>
  <si>
    <t>['Folpet', '133-07-3', 'Faltan', 'Orthophaltan', 'Phthaltan', 'Folpel', 'Acryptan', 'Spolacid', 'Folnit', 'Folpan', 'Ftalan', 'Intercide TMP', 'PHALTAN', 'Fungitrol 11', 'N-(Trichloromethylthio)phthalimide', 'Fungitrol', 'Vinicoll', 'Faltex', 'Cosan I', 'Phaltane', 'Thiophal', 'Fungitrol II', 'Ortho phaltan 50W', 'Troysan anti-mildew O', 'Trichloromethylthiophthalimide', "Murphy's rose fungicide", 'Folpel [French]', '2-[(Trichloromethyl)thio]-1H-isoindole-1,3(2H)-dione', 'Folpet [ANSI:BSI:ISO]', 'Caswell No. 464', 'Folpex', '2-(Trichloromethylsulfanyl)isoindole-1,3-dione', 'N-(Trichloromethanesulphenyl)phthalimide', 'N-(Trichlormethylthio)phthalimide', 'N-(Trichlor-methylthio)-phthalamid', 'N-[(Trichloromethyl)thio]phthalimide', 'N-(Trichloromethylmercapto)phthalimide', '1H-Isoindole-1,3(2H)-dione, 2-[(trichloromethyl)thio]-', 'UNII-X5NFK36917', 'CCRIS 1036', 'HSDB 2651', 'EINECS 205-088-6', 'ENT 26539', '2-((Trichloromethyl)thio)isoindoline-1,3-dione', 'Trichlormethylthioimid kyseliny ftalove', 'EPA Pesticide Chemical Code 081601', 'BRN 0193373', '2-((Trichloromethyl)thio)-1H-isoindole-1,3(2H)-dione', 'AI3-26539', 'Trichloromethyl(thio)phthalimide', 'N-(Trichlor-methylthio)-phthalamid [German]', 'CHEBI:82019', 'Trichlormethylthioimid kyseliny ftalove [Czech]', 'X5NFK36917', 'Phthalimide, N-((trichloromethyl)thio)-', 'Phthalimide, N-[(trichloromethyl)thio]-', 'Trifol', 'DSSTox_CID_1385', 'Cosan T', 'DSSTox_RID_76127', 'DSSTox_GSID_21385', 'PHTHALIC ACID,IMIDE,N-TRICHLOROMETHYL SULFENYL', '1H-Isoindole-1,3(2H)-dione, 2-((trichloromethyl)thio)-', '2-[(Trichloromethyl)sulfanyl]-1H-isoindole-1,3(2H)-dione', 'N-((Trichloromethyl)thio)-Phthalimide', 'N-[(Trichloromethyl)thio]-Phthalimide', 'CAS-133-07-3', 'C9H4Cl3NO2S', 'Phalton', 'N-(trichloromethyl)-thiophthalimide', 'Folpet (fungicide)', 'N-(TRICHLOROMETHYL)THIOPHTHALIMIDE', 'SCHEMBL19853', '5-21-11-00118 (Beilstein Handbook Reference)', 'CHEMBL1883819', 'DTXSID0021385', 'HY-B1878', 'ZINC2041008', 'Folpet 10 microg/mL in Cyclohexane', 'Tox21_201987', 'Tox21_301077', 'AC-997', 'MFCD00047303', 'Folpet 100 microg/mL in Cyclohexane', 'AKOS015895774', 'N-(trichloromethanesulfenyl)phthalimide', 'FCH2709964', 'LS-7733', 'MCULE-7604769697', 'N-(trichloromethylthio)phthalimide/Folpet', 'NCGC00168313-01', 'NCGC00168313-02', 'NCGC00168313-03', 'NCGC00254978-01', 'NCGC00259536-01', 'CC-28811', 'O669', 'Folpet, PESTANAL(R), analytical standard', '2-(trichloromethylthio)isoindole-1,3-dione', 'Folpet / N-(trichloromethylthio)phthalimide', 'CS-0013944', 'FT-0659392', 'NS00005935', '2-(trichloromethylthio)isoindoline-1,3-dione', 'C18860', '133F073', 'A806547', 'C-34942', 'Q426485', 'J-006303', '2-[(Trichloromethyl)sulfanyl]-1H-isoindole-1,3(2H)-dione #', '2-[(Trichloromethyl)thio]-1H-isoindole-1,3(2H)-dione, 9CI', '2-[(trichloromethyl)sulfanyl]-2,3-dihydro-1H-isoindole-1,3-dione', 'N-(trichloromethylthio)phthalimide/Folpet;N-(trichloromethylthio)phthalimide']</t>
  </si>
  <si>
    <t>Compound(8607)</t>
  </si>
  <si>
    <t>C9H4Cl3NO2S</t>
  </si>
  <si>
    <t>5-[2-chloro-4-(trifluoromethyl)phenoxy]-N-methylsulfonyl-2-nitrobenzamide</t>
  </si>
  <si>
    <t>['Fomesafen', '72178-02-0', 'Fomesafene', '5-(2-Chloro-4-(trifluoromethyl)phenoxy)-N-(methylsulfonyl)-2-nitrobenzamide', 'Reflex', 'UNII-M0A3U4CDTF', 'Fomesafene [ISO-French]', '5-[2-chloro-4-(trifluoromethyl)phenoxy]-N-methylsulfonyl-2-nitrobenzamide', 'Fomesafen [ANSI:BSI:ISO]', 'Fomesafen sodium', 'HSDB 6660', 'PP021', 'EINECS 276-439-9', 'M0A3U4CDTF', 'EPA Pesticide Chemical Code 123802', '5-[2-Chloro-4-(trifluoromethyl)phenoxy]-N-(methylsulfonyl)-2-nitrobenzamide', 'CHEBI:81925', '5-(2-Chloro-alpha,alpha,alpha-trifluoro-p-tolyloxy)-N-mesyl-2-nitrobenzamide', 'DSSTox_CID_4112', '5-[2-chloro-4-(trifluoromethyl)phenoxy]-N-(methylsulphonyl)-2-nitrobenzamide', '5-(2-Chloro-alpha,alpha,alpha-trifluoro-p-tolyloxy)-N-methylsulfonyl-2-nitrobenzamide', '5-(2-Chloro-alpha,alpha,alpha-trifluoro-p-tolyloxy)-N-methylsulphonyl-2-nitrobenzamide', 'DSSTox_RID_77296', 'DSSTox_GSID_24112', '5-(2-Chloro-4-(trifluoromethyl)phenoxy)-N-(methylsulphonyl)-2-nitrobenzamide', '5-(2-Chloro-4-(trifluoromethyl)phenoxy)-N-methylsulfonyl-2-nitrobenzamide', 'BENZAMIDE, 5-(2-CHLORO-4-(TRIFLUOROMETHYL)PHENOXY)-N-(METHYLSULFONYL)-2-NITRO-', 'Benzamide, 5-[2-chloro-4-(trifluoromethyl)phenoxy]-N-(methylsulfonyl)-2-nitro-', 'CAS-72178-02-0', 'C15H10ClF3N2O6S', 'SCHEMBL39607', 'CHEMBL1898629', 'DTXSID7024112', 'SCHEMBL16881788', 'Flex; Flexstar;PP021; Reflex', 'HY-B2010', 'KS-00002WW1', 'ZINC1851764', 'Tox21_201395', 'Tox21_300518', 'AKOS015902892', 'KS-5045', 'VA10961', 'Fomesafen 10 microg/mL in Acetonitrile', 'NCGC00163908-01', 'NCGC00163908-02', 'NCGC00163908-03', 'NCGC00254441-01', 'NCGC00258946-01', 'AC-12677', 'CC-28812', 'K226', 'LS-26233', 'AX8022382', 'DB-055612', 'CS-0014111', 'FT-0630807', 'NS00005859', 'Fomesafen, PESTANAL(R), analytical standard', 'C18736', '178F020', 'A837441', 'C-22344', 'Q22807800', '5-[2-chloro-4-(trifluoromethyl)phenoxy]-N-mesyl-2-nitrobenzamide', '5-(2-chloro-4-trifluoromethylphenoxy)-2-nitro-N-methanesulphonyl benzamide', '5-(2chloro-4-trifluoromethylphenoxy)-2-nitro-N-methansulphonyl benzamide', '5-[2-chloro-4-(trifluoromethyl)phenoxy]-2-nitro-N-methanesulfonyl benzamide', 'N-methylsulfonyl-5-[2-chloro-4-(trifluoromethyl)phenoxy]-2-nitro-benzamide', '5-[2-chloranyl-4-(trifluoromethyl)phenoxy]-N-methylsulfonyl-2-nitro-benzamide', '5-[2-chloro-4-(trifiuoromethyl)phenoxyl]-N-(methylsulphony)-2-nitrobenzamide', '5-[2-chloro-4-(trifluoromethyl)phenoxy]-N-(methanesulfonyl)-2-nitrobenzamide', '5-[2-chloro-4-(trifluoromethyl)phenoxyl]-N-(methylsulphonyl)-2-nitrobenzamide', '5-[2-chloro-4-(trifluoromethyl)phenoxy]-N-(methylsulphonyl)-2-nitrobenzamide;Fomesafen;fomesafen']</t>
  </si>
  <si>
    <t>Compound(51556)</t>
  </si>
  <si>
    <t>C15H10ClF3N2O6S</t>
  </si>
  <si>
    <t>ethoxy-ethyl-phenylsulfanyl-sulfanylidene-lambda5-phosphane</t>
  </si>
  <si>
    <t>['Fonofos', 'Dyfonate', 'DYPHONATE', 'Fonophos', '944-22-9', 'Difonate', 'Difonatul', 'Stauffer N 2790', 'Doubledown', 'O-Ethyl S-phenyl ethylphosphonodithioate', 'Fonofos [ISO]', '(+-)-Fonofos', 'Caswell No. 454B', 'Dyfonate Tillam 1-4E', 'OMS 410', 'Phosphonodithioic acid, ethyl-, O-ethyl S-phenyl ester', 'ENT 25,796', 'O-Ethyl S-phenyl ethyldithiophosphonate', 'Ethylphosphonodithioic acid O-ethyl S-phenyl ester', 'HSDB 1717', '(+-)-O-Ethyl S-phenyl ethylphosphonodithioate', 'EINECS 213-408-0', 'EPA Pesticide Chemical Code 041701', 'O-Ethyl-S-phenyl ethylphosphonodithioate', 'O-Aethyl-S-phenyl-aethyl-dithiophosphonat', 'AI3-25796', 'O-Ethyl S-phenyl ethylphosphonothiolothionate', 'CHEBI:38689', 'N-2788', 'N-2790', 'O-Aethyl-S-phenyl-aethyl-dithiophosphonat [German]', 'O-Ethyl S-phenyl ethylphosphonrothiolothionate', 'BRN 1958949', 'Stauffer N2790', 'Fonofos (Dyfonate)', 'Stauffer N-2790', 'ethoxy-ethyl-phenylsulfanyl-sulfanylidene-?^{5}-phosphane', 'Dyfonat', 'C10H15OPS2', 'Dyfonate 10G', '62680-03-9', 'DSSTox_CID_4113', 'Fonofos, analytical standard', 'DSSTox_RID_77297', 'DSSTox_GSID_24113', 'SCHEMBL74085', 'CHEMBL3187845', 'DTXSID2024113', 'CTK5B5568', 'Phosphonodithioic acid, ethyl-, O-ethyl S-phenyl ester, (+-)-', 'Tox21_200009', 'Fonofos 10 microg/mL in Cyclohexane', 'Fonofos 1000 microg/mL in Methanol', 'AKOS015902803', 'Fonofos 100 microg/mL in Acetonitrile', 'LS-1970', 'NCGC00248489-01', 'NCGC00257563-01', '994-22-9', 'CAS-944-22-9', 'CC-28814', 'DB-057499', 'LS-106989', 'FONOFOS (PESTICIDE/FERTILIZERMIXTURE)', 'NS00008243', 'C18987', 'N 2790', '(.+/-.)-O-Ethyl S-phenyl ethylphosphonodithioate', 'C-15022', 'ethoxy-ethyl-(phenylthio)-sulfanylidenephosphorane', 'Q2080990', '(+-)-O-Ethyl S-phenyl ethylphosphonodithioate (8CI)', 'ETHOXY-ETHYL-PHENYLSULFANYL-SULFANYLIDENE-PHOSPHORANE', 'UNII-P4VT8081QO component KVGLBTYUCJYMND-LBPRGKRZSA-N', 'Fonofos solution, 100 mug/mL in acetonitrile, PESTANAL(R), analytical standard']</t>
  </si>
  <si>
    <t>Compound(13676)</t>
  </si>
  <si>
    <t>C10H15OPS2</t>
  </si>
  <si>
    <t>phosphorus sulfoxide</t>
  </si>
  <si>
    <t>1-[ethoxy(ethylsulfinylmethylsulfanyl)phosphoryl]oxyethane</t>
  </si>
  <si>
    <t>['Phoratoxon sulfoxide', 'Phorate oxon sulfoxide', '2588-05-8', 'O,O-Diethyl S-eththionylmethyl phosphorothioate', 'Diethyl S-eththionylmethyl thiophosphate', 'Phorate-oxon-sulfoxide', 'BRN 2504793', 'Phosphorothioic acid, O,O-diethyl S-((ethylsulfinyl)methyl) ester', 'Phosphorothioic acid, O,O-diethyl S-[(ethylsulfinyl)methyl] ester', 'Phorat-oxon-sulfoxide', 'Phorate sulfoxide oxon', 'Phorate O-analog sulfoxide', 'SCHEMBL5933690', 'DTXSID6042284', 'ZX-AT020780', 'MFCD00155406', 'LS-108622', 'NS00010174', 'Phorate-oxon-sulfoxide 1000 microg/mL in Acetone', 'Phorate-oxon-sulfoxide 100 microg/mL in Cyclohexane', 'O,O-Diethyl S-[(ethylsulfinyl)methyl] thiophosphate #', 'O,O-Diethyl S-[(ethylsulphinyl)methyl] thiophosphate', 'Q27282712', 'Phorat-oxon-sulfoxide;Phorate oxon sulfoxide;Phorate-sulfoxide']</t>
  </si>
  <si>
    <t>Compound(17426)</t>
  </si>
  <si>
    <t>C7H17O4PS2</t>
  </si>
  <si>
    <t>2-[(4,6-dimethoxypyrimidin-2-yl)carbamoylsulfamoyl]-4-formamido-N,N-dimethylbenzamide</t>
  </si>
  <si>
    <t>['Foramsulfuron', '173159-57-4', '2-(N-((4,6-Dimethoxypyrimidin-2-yl)carbamoyl)sulfamoyl)-4-formamido-N,N-dimethylbenzamide', 'UNII-4XJD212JQB', '4XJD212JQB', 'CHEMBL1243071', 'CHEBI:83502', '2-[(4,6-dimethoxypyrimidin-2-yl)carbamoylsulfamoyl]-4-formamido-N,N-dimethylbenzamide', 'Benzamide, 2-[[[[(4,6-dimethoxy-2-pyrimidinyl)amino]carbonyl]amino]sulfonyl]-4-(formylamino)-N,N-dimethyl-', 'Formasulfuron', 'Option 35WDG', 'Option Corn Herbicide', 'Foramsulfuron [ISO:BSI]', 'C17H20N6O7S', 'HSDB 7894', 'Benzamide, 2-(((((4,6-dimethoxy-2-pyrimidinyl)amino)carbonyl)amino)sulfonyl)-4-(formylamino)-N,N-dimethyl-', 'SCHEMBL116874', 'DTXSID7034753', 'BDBM50326179', 'ZINC13831531', '2-[(4,6-dimethoxypyrimidin-2-yl)carbamoylsulfamoyl]-4-formamido-N,N-dimethyl-benzamide', 'NCGC00168314-01', 'M507', 'AM20120621', 'NS00000389', 'Foramsulfuron, PESTANAL(R), analytical standard', 'J-010880', 'Q22807801', '1-(4,6-dimethoxypyrimidin-2-yl)-3-[2-(dimethylcarbamoyl)-5-formamidophenylsulfonyl]urea', '2-(N-(4,6-dimethoxypyrimidin-2-ylcarbamoyl)sulfamoyl)-4-formamido-N,N-dimethylbenzamide', '2-{[(4,6-dimethoxypyrimidin-2-yl)carbamoyl]sulfamoyl}-4-(formylamino)-N,N-dimethylbenzamide', '2-{[(4,6-Dimethoxypyrimidin-2-yl)carbamoyl]sulfamoyl}-4-formamido-N,N-dimethylbenzamide', '2-({[(4,6-dimethoxypyrimidin-2-yl)carbamoyl]amino}sulfonyl)-4-formamido-N,N-dimethylbenzamide', 'N,N-Dimethyl 2-(N-(N-(4,6-dimethoxypyrimid-2-yl)-aminocarbonyl)-aminosulfonyl)4-formamidobenzamide', 'N-[(4,6-Dimethoxypyrimidin-2-yl)aminocarbonyl]-5-formylamino-2-dimethylaminocarbonylbenzenesulfonamide']</t>
  </si>
  <si>
    <t>Compound(11419598)</t>
  </si>
  <si>
    <t>C17H20N6O7S</t>
  </si>
  <si>
    <t>['formamide', '75-12-7', 'Methanamide', 'carbamaldehyde', 'Formimidic acid', 'Formic acid, amide', 'formamid', 'Methanoic acid, amide', 'Amid kyseliny mravenci', 'Amid kyseliny mravenci [Czech]', 'Formic amide', 'NSC 748', 'HSDB 88', 'CCRIS 6240', 'UNII-4781T907ZS', 'AI3-15357', 'HCONH2', 'EINECS 200-842-0', 'MFCD00007941', 'hydroxidonitridocarbonate(.1-)', 'DTXSID8025337', 'CHEBI:16397', '4781T907ZS', 'DSSTox_CID_5337', 'DSSTox_RID_77755', 'DSSTox_GSID_25337', 'Formamide, 99.5%, for analysis', 'Formamide, 99.5+%, extra pure', 'Formamide, 99+%, for spectroscopy', 'CAS-75-12-7', 'Formamide, puriss. p.a., ACS reagent, &gt;=99.5% (GC/T)', 'Methanamid', 'imidoformic acid', 'Ameisensaeureamid', 'N-formyl amine', 'Methanimidic acid', 'Formamide, 99%, for molecular biology, DNAse, RNAse and Protease free', 'amino-formaldehyde', 'Imino-methylalkohol', 'Formamide solution, NMR reference standard, 90% in DMSO-d6 (99.9 atom % D), NMR tube size 5 mm x 8 in.', 'MB8', 'Amide C1', 'formamide;FORMAMIDE', 'Formamide, ACS reagent', 'NH2CHO', 'WLN: ZVH', 'ACMC-1BIX7', 'bmse000267', 'Methanamide;Formimidic acid', 'EC 200-842-0', 'Formamide, &gt;=99.0%', 'Formamide, &gt;=99.5%', 'KSC379A6T', 'Formamide, p.a., 99.5%', 'CHEMBL266160', 'GTPL4739', 'NSC748', 'Formamide, reagent grade, 98%', 'CHEBI:48431', 'CTK2F1420', 'CTK2H9069', 'NSC-748', 'Formamide, 99.6%, ACS reagent', 'HY-Y0842', 'KS-00000W0A', 'Tox21_201942', 'Tox21_302824', 'ANW-13591', 'STL197469', 'Formamide, ACS reagent, &gt;=99.5%', 'Formamide, BioXtra, &gt;=99% (GC)', 'AKOS009031608', 'LS-1656', 'MCULE-4202420620', 'Formamide, SAJ first grade, &gt;=98.5%', 'NCGC00091516-01', 'NCGC00091516-02', 'NCGC00256321-01', 'NCGC00259491-01', 'Formamide, p.a., ACS reagent, 99.5%', 'SC-46172', 'Formamide, JIS special grade, &gt;=98.5%', 'Formamide, Vetec(TM) reagent grade, 98%', 'DB-055937', 'CS-0015817', 'F0045', 'Formamide, spectrophotometric grade, &gt;=99%', 'FT-0631311', 'FT-0637321', 'NS00008593', 'Formamide, ReagentPlus(R), &gt;=99.0% (GC)', 'C00488', 'A838330', 'Q283917', 'J-521386', 'Q27110288', 'F0001-1892', 'Formamide, BioUltra, for molecular biology, &gt;=99.5% (T)', 'Formamide, for molecular biology, &gt;=99.5% (GC), liquid', 'Formamide, &gt;=99.5% (GC), BioReagent, for molecular biology', '60100-09-6', 'Formamide solution, NMR reference standard, 45% in DMSO-d6 (99.9 atom % D), NMR tube size 3 mm x 8 in.', 'Formamide solution, NMR reference standard, 45% in DMSO-d6 (99.9 atom % D), NMR tube size 5 mm x 8 in.', 'Formamide solution, NMR reference standard, 90% in DMSO-d6 (99.9 atom % D), NMR tube size 10 mm x 8 in.', 'Formamide solution, NMR reference standard, 90% in DMSO-d6 (99.9 atom % D), NMR tube size 3 mm x 8 in.']</t>
  </si>
  <si>
    <t>Compound(713)</t>
  </si>
  <si>
    <t>CH3NO</t>
  </si>
  <si>
    <t>formetanate hydrochloride</t>
  </si>
  <si>
    <t>[3-(dimethylaminomethylideneamino)phenyl] N-methylcarbamate;hydrochloride</t>
  </si>
  <si>
    <t>['FORMETANATE HYDROCHLORIDE', 'Carzol', '23422-53-9', 'Formetanate HCl', 'Carzol SP', 'Carzol 92SP', 'Schering 36056', 'Caswell No. 465B', 'Morton EP 332', 'UNII-W0Y3OP0N2Z', 'Nor-AM EP 332', 'Formetanate monohydrochloride', 'Formetanate hydrochloride [ISO]', 'HSDB 2619', 'EINECS 245-656-0', 'ENT-27566', 'EP-332', 'RCRA waste no. P198', 'EPA Pesticide Chemical Code 097301', 'NSC 379585', 'W0Y3OP0N2Z', 'SN 36056', 'AI3-27566', 'm-(((Dimethylamino)methylene)amino)phenyl methylcarbamate hydrochloride', '3-Dimethylaminomethyleneiminophenyl-N-methylcarbamate, hydrochloride', "N,N-Dimethyl-N'-(((methylamino)carbonyl)oxy)phenylmethanimidamide monohydrochloride", "Carbamic acid, methyl-, ester with N'-(m-hydroxyphenyl)-N,N-dimethylformamidine, hydrochloride", "Methanimidamide, N,N'-dimethyl-N'-(3-(((methylamino)carbonyl)oxy)phenyl)-, monohydrochloride", "Methanimidamide, N,N-dimethyl-N'-(3-(((methylamino)carbonyl)oxy)phenyl)-, monohydrochloride", "Methanimidamide, N,N-dimethyl-N'-(3-(((methylamino)carbonyl)oxy)phenyl)-, hydrochloride (1:1)", 'DSSTox_CID_12405', 'DSSTox_RID_78939', 'DSSTox_GSID_32405', 'SCHEMBL158752', 'SCHEMBL1121890', 'SCHEMBL9064005', 'CHEMBL1895287', 'CHEMBL3183339', 'DTXSID4032405', 'Tox21_300778', 'NSC379585', 'AKOS015888429', 'NSC-379585', 'ACM23422539', 'NCGC00168315-01', 'NCGC00254682-01', 'CC-28825', 'LS-50190', 'CAS-23422-53-9', 'DB-046145', 'FT-0630500', 'FT-0668803', 'J-015104', 'Q22137078', 'Formetanate hydrochloride, PESTANAL(R), analytical standard', '(E)-3-((dimethylamino)methyleneamino)phenyl methylcarbamate hydrochloride', '[3-[(E)-dimethylaminomethylideneamino]phenyl] N-methylcarbamate;hydrochloride', 'Formetanate hydrochloride3-{[(1E)-(dimethylamino)methylene]amino}phenyl methylcarbamate hydrochloride', 'Pesticide9_Formetanate HCl_C11H15N3O2 . HCl_3-{[(E)-(Dimethylamino)methylidene]amino}phenyl methylcarbamate hydrochloride (1:1)']</t>
  </si>
  <si>
    <t>Compound(31899)</t>
  </si>
  <si>
    <t>C11H16ClN3O2</t>
  </si>
  <si>
    <t>formetanate</t>
  </si>
  <si>
    <t>[3-(dimethylaminomethylideneamino)phenyl] N-methylcarbamate</t>
  </si>
  <si>
    <t>['FORMETANATE', 'Dicarzol', 'Formetanat', '22259-30-9', 'Caswell No. 465A', 'UNII-532HEC1KKM', 'Formetanate [ANSI:BSI:ISO]', 'EINECS 244-879-0', 'EP 322', 'EPA Pesticide Chemical Code 465200', "N'-(m-Hydroxyphenyl)-N,N-dimethylformamidine methylcarbamate ester", 'BRN 2807600', '532HEC1KKM', "Carbamic acid, methyl-, ester with N'-(m-hydroxyphenyl)-N,N-dimethylformamidine", 'CHEBI:38491', '3-Dimethylaminomethyleneaminophenyl methylcarbamate', 'Carbamic acid, methyl-, m-(((dimethylamino)methylene)amino)phenyl ester', "Methanimidamide, N,N-dimethyl-N'-[3-[[(methylamino)carbonyl]oxy]phenyl]-", "Methylcarbamic acid ester with N'-(m-hydroxyphenyl)-N,N-dimethylformamidine", 'm-(((Dimethylamino)methylene)amino)phenyl methylcarbamate', "N,N-Dimethyl-N'-(3-(((methylamino)carbonyl)oxy)phenyl)methanimidamide", '3-{[(dimethylamino)methylidene]amino}phenyl methylcarbamate', "Methanimidamide, N,N-dimethyl-, N'-(3-(((methylamino)carbonyl)oxy)phenyl)-", '3-[(Dimethylamino)methylenimino]phenyl N-methylcarbamate', 'm-[[(Dimethylamino)methylene]amino]phenyl methylcarbamate', 'formetante', '3-([(Dimethylamino)methylidene]amino)phenyl methylcarbamate', "Methanimidamide, N,N-dimethyl-N'-(3-(((methylamino)carbonyl)oxy)phenyl)-", 'Phenol, m-[[(dimethylamino)methylene]amino]-, methylcarbamate (ester)', "Methanimidamide, N,N-dimethyl-N'-[3-[[(methylamino)carbonyl]oxy]phenyl]-, hydrochloride (1:1)", 'SCHEMBL116477', 'SCHEMBL116478', 'CHEMBL1907183', 'CHEMBL3303111', 'DTXSID9041990', 'SCHEMBL10975855', 'ZINC18168858', 'ZINC100112381', 'ZINC255999521', 'NCGC00168315-02', 'LS-50189', 'NS00008102', 'C18668', 'Q1027605', '3-{[(dimethylamino)methylidene]amino}phenyl N-methylcarbamate', 'formetanate;Formetanate hydrochloride;formetanate hydrochloride']</t>
  </si>
  <si>
    <t>Compound(31099)</t>
  </si>
  <si>
    <t>C11H15N3O2</t>
  </si>
  <si>
    <t>2-dimethoxyphosphinothioylsulfanyl-N-formyl-N-methylacetamide</t>
  </si>
  <si>
    <t>['FORMOTHION', 'Toprose', 'Anthio', '2540-82-1', 'Aflix', 'Antio', 'Anthio 25', 'Spencer S-6900', 'Sandoz S-6900', 'Afliz [Sandoz]', 'Formothion 25 EC', 'Caswell No. 366C', 'Formothion [BSI:ISO]', 'SAN 244 I', 'OMS-968', 'SAN 6913 I', 'SAN 7107 I', 'VEL 4284', 'UNII-7O9EWV477R', 'ENT 27,257', 'CCRIS 5213', 'CP 53926', 'J-38', 'HSDB 1587', 'EINECS 219-818-6', 'S 6900', 'EPA Pesticide Chemical Code 366400', 'BRN 5942199', 'AI3-27257', '7O9EWV477R', 'CHEBI:82126', 'O,O-Dimethyl dithiophosphorylacetic acid N-methyl-N-formylamide', 'N-Formyl-N-methylcarbamoylmethyl O,O-dimethyl phosphorodithioate', 'O,O-Dimethyl S-(N-formyl-N-methylcarbamoylmethyl) phosphorodithioate', 'O,O-Dimethyl S-(N-methyl-N-formylcarbamoylmethyl)phosphorodithioate', 'S-(2-(Formylmethylamino)-2-oxoethyl) O,O-dimethylphosphorodithioate', 'S-(N-Formyl-N-methylcarbamoylmethyl) dimethyl phosphorothiolothionate', 'S-(N-Formyl-N-methylcarbamoylmethyl) O,O-dimethyl phosphorodithioate', 'O,O-Dimethyl phosphorodithioate N-formyl-2-mercapto-N-methylacetamide S-ester', 'Phosphorodithioic acid, S-[2-(formylmethylamino)-2-oxoethyl] O,O-dimethyl ester', 'Acetamide, N-formyl-2-mercapto-N-methyl-, S-ester with O,O-dimethyl phosphorodithioate', 'Phosphorodithioic acid, O,O-dimethyl ester, N-formyl-2-mercapto-N-methylacetamide S-ester', '2-Dimethoxyphosphinothioylthio-N-formyl-N-methylacetamide', '2-dimethoxyphosphinothioylsulfanyl-N-formyl-N-methylacetamide', 'S-(Formyl(methyl)carbamoylmethyl) O,O-dimethyl phosphorodithioate', 'O,O-Dimethyl-S-(3-methyl-2,4-dioxo-3-aza-butyl)-dithiofosfaat [Dutch]', 'O,O-Dimetil-S-(N-formil-N-metil-carbamoil-metil)-ditiofosfato [Italian]', 'S-(2-(Formylmethylamino)-2-oxoethyl) O,O-dimethyl phosphorodithioate', 'O,O-Dimethyl-S-(3-methyl-2,4-dioxo-3-aza-butyl)-dithiophosphat [German]', 'O,O-Dimethyl-S-(N-methyl-N-formyl-carbamoylmethyl)-dithiophosphat [German]', 'Phosphorodithioic acid, S-(2-(formylmethylamino)-2-oxoethyl) O,O-dimethyl ester', 'O,O-Dimethyl phosphorodithioate S-ester with N-formyl-2-mercapto-N-methylacetamide', 'P 1', 'Afliz', 'Phosphorodithioic acid S-(2-(formylmethylamino)-2-oxoethyl) O,O-dimethyl ester', 'Formothion solution', 'Phosphorodithioic acid, O,O-dimethyl ester, S-ester with N-formyl-2-mercapto-N-methyl-acetamide', 'SCHEMBL116325', 'CHEMBL449733', 'DTXSID4041991', 'O,O-Dimethyl-S-(3-methyl-2,4-dioxo-3-aza-butyl)-dithiofosfaat', 'O,O-Dimethyl-S-(3-methyl-2,4-dioxo-3-aza-butyl)-dithiophosphat', 'O,O-Dimethyl-s-(N-methyl-N-formyl-carbamoylmethyl)-dithiophosphat', 'O,O-Dimetil-S-(N-formil-N-metil-carbamoil-metil)-ditiofosfato', 'AKOS015898765', 'Phosphorodithioic acid, O,O-dimethyl ester, S-ester with N-formyl-2-mercapto-N-methylacetamide', 'Formothion 100 microg/mL in Acetonitrile', 'Anthio 25;ENT 27257;CP 53926', 'LS-108221', 'NS00004887', 'C18988', '26853-EP2274983A1', '26853-EP2275422A1', '26853-EP2280009A1', '26853-EP2292608A1', '26853-EP2308857A1', '26853-EP2308858A1', '26853-EP2311816A1', '26853-EP2311817A1', '26853-EP2314583A1', 'J-015984', 'Q5470249', 'O,O-Dimetil-S-(N-formil-N-metilcarbamoilmetil)ditiofosfato', 'O,O-Dimethyl-S-(3-methyl-2,4-dioxo-3-azabutyl)dithiofosfaat', 'O,O-Dimethyl-S-(3-methyl-2,4-dioxo-3-azabutyl)dithiophosphat', 'O,O-Dimethyl-S-(N-methyl-N-formylcarbamoylmethyl)dithiophosphat', 'Formothion solution, ~80% in xylene, PESTANAL(R), analytical standard', 'S-(2-[Formyl(methyl)amino]-2-oxoethyl) O,O-dimethyl dithiophosphate #', 'S-{2-[formyl(methyl)amino]-2-oxoethyl} O,O-dimethyl phosphorodithioate']</t>
  </si>
  <si>
    <t>Compound(17345)</t>
  </si>
  <si>
    <t>C6H12NO4PS2</t>
  </si>
  <si>
    <t>phorate sulfone</t>
  </si>
  <si>
    <t>diethoxy-(ethylsulfonylmethylsulfanyl)-sulfanylidene-lambda5-phosphane</t>
  </si>
  <si>
    <t>['PHORATE SULFONE', 'Thimet sulfone', '2588-04-7', 'Phorat-sulfone', 'Phorate-sulfone', 'Caswell No. 849B', 'UNII-R20VQB36US', 'R20VQB36US', 'BRN 2506019', 'CL 18,161', 'Phosphorodithioic acid, O,O-diethyl S-[(ethylsulfonyl)methyl] ester', 'Methanethiol, (ethylsulfonyl)-, S-ester with O,O-diethyl phosphorodithioate', 'O,O-Diethyl S-ethylsulfonylmethyl thionophosphate', 'O,O-Diethyl S-ethsulfonylmethyl thiothionophosphate', 'O,O-Diethyl S-ethylsulfonylmethyl phosphorodithioate', 'O,O-Diethyl-S-ethylsulfonyl methylphosphorodithioate', 'Phosphorodithioic acid, O,O-diethyl S-((ethylsulfonyl)methyl) ester', '4-01-00-03090 (Beilstein Handbook Reference)', 'diethoxy-(ethylsulfonylmethylsulfanyl)-sulfanylidene-?^{5}-phosphane', 'DSSTox_CID_22282', 'DSSTox_GSID_42282', 'SCHEMBL1713135', 'DTXSID6042282', 'CID17427', 'ZX-AT022292', 'Tox21_303939', 'AKOS015898766', 'NCGC00357177-01', 'CAS-2588-04-7', 'LS-108140', 'Phorate-sulfone 1000 microg/mL in Acetone', 'NS00010171', 'Phorate sulfone 10 microg/mL in Cyclohexane', 'O,O-Diethyl S-ethylsulfonylmethyl dithiophosphate', 'Phorat-sulfone, PESTANAL(R), analytical standard', 'J-016160', 'O,O-Diethyl S-ethylsulfonylmethyl thiothionophosphate', 'Q27287688', 'O,O-Diethyl S-[(ethylsulphonyl)methyl] dithiophosphate', 'diethyl {[(ethanesulfonyl)methyl]sulfanyl}(sulfanylidene)phosphonite']</t>
  </si>
  <si>
    <t>Compound(17425)</t>
  </si>
  <si>
    <t>C7H17O4PS3</t>
  </si>
  <si>
    <t>forate</t>
  </si>
  <si>
    <t>diethoxy-(ethylsulfanylmethylsulfanyl)-sulfanylidene-lambda5-phosphane</t>
  </si>
  <si>
    <t>['phorate', 'Thimet', '298-02-2', 'Granutox', 'Agrimet', 'Timet', 'Thimenox', 'Geomet', 'Vegfru', 'Thimet 10G', 'Rampart', 'Vegfru foratox', 'American cyanamid 3,911', 'Thimet 10-G', 'Foraat', 'Phorat', 'VUAgT 182', 'O,O-Diethyl S-ethylmercaptomethyl dithiophosphate', 'Phorat [German]', 'Foraat [Dutch]', 'Rcra waste number P094', 'Phorate-10G', 'Caswell No. 660', 'Experimental insecticide 3911', 'ENT 24,042', 'AC 3911', 'O,O-Diethyl S-(ethylthio)methyl phosphorodithioate', 'Phorate [ANSI:BSI:ISO]', 'UNII-3W54X3W9IV', 'EI3911', 'L 11/6', 'CCRIS 2747', 'Phosphorodithioic acid, O,O-diethyl S-((ethylthio)methyl) ester', 'HSDB 1183', 'O,O-Diethyl ethylthiomethyl phosphorodithioate', 'EINECS 206-052-2', 'O,O-Diethyl S-ethylthiomethyl dithiophosphonate', 'O,O-Diethyl S-ethylthiomethyl thiothionophosphate', 'Phosphorodithioic acid, O,O-diethyl S-[(ethylthio)methyl] ester', 'RCRA waste no. P094', 'EPA Pesticide Chemical Code 057201', 'BRN 1708517', 'phosphatidylcholine O-34:2', 'AI3-24042', 'O,O-Dietil-S-(etiltio-metil)-ditiofosfato', '3W54X3W9IV', 'CHEBI:38764', 'O,O-Diethyl-S-(ethylthio-methyl)-dithiofosfaat', 'O,O-Diaethyl-S-(aethylthio-methyl)-dithiophosphat', 'O,O-Diethyl S-ethylmercaptomethyl dithiophosphonate', 'O,O-Diethyl-S-((ethylthio)methyl)phosphorodithioate', "Dithiophosphate de O,O-diethyle et D'ethylthiomethyle", 'O,O-Dietil-S-(etiltio-metil)-ditiofosfato [Italian]', 'o,o-Diethyl S-[(ethylsulfanyl)methyl] dithiophosphate', 'O,O-diethyl S-[(ethylsulfanyl)methyl] phosphorodithioate', 'O,O-Diethyl-S-(ethylthio-methyl)-dithiofosfaat [Dutch]', 'O,O-Diaethyl-S-(aethylthio-methyl)-dithiophosphat [German]', "Dithiophosphate de O,O-diethyle et d'ethylthiomethyle [French]", 'Methanethiol, (ethylthio)-, S-ester with O,O-diethyl phosphorodithioate', 'Methanethiol, (ethylthio)-, S-ester with O,O-diethylphosphorodithioate', 'Phosphorodithioic acid, O,O-diethyl S-(ethylthio)methyl ester', 'Thimet G', 'Phorate 10G', 'Thimet 10 G', 'Thimate', 'Volphor', 'Forate', 'C7H17O2PS3', 'diethoxy-(ethylsulfanylmethylsulfanyl)-sulfanylidene-?^{5}-phosphane', 'Vegfru foratox.', 'Spectrum_001801', 'SpecPlus_000392', 'Spectrum2_001860', 'Spectrum3_000816', 'Spectrum4_000656', 'Spectrum5_001942', 'O,O-Diethyl S-ethylthiomethyl dithiophosphate', 'DSSTox_CID_12459', 'DSSTox_RID_78949', 'DSSTox_GSID_32459', 'SCHEMBL26312', 'BSPBio_002311', 'KBioGR_001031', 'KBioSS_002294', 'O,O-Diethyl S-(ethylthiomethyl) phosphorodithioate', 'DivK1c_006488', 'SPBio_001680', 'CHEMBL510014', 'DTXSID4032459', 'KBio1_001432', 'KBio2_002292', 'KBio2_004860', 'KBio2_007428', 'KBio3_001811', 'ZINC2040889', 'Phorate 100 microg/mL in Methanol', 'Tox21_300398', 'ACM298022', 'CCG-39364', 'Phorate 10 microg/mL in Cyclohexane', 'Phorate 1000 microg/mL in Acetone', 'Phorate 1000 microg/mL in Methanol', 'AKOS015898767', 'Phorate 100 microg/mL in Cyclohexane', 'NCGC00163889-01', 'NCGC00163889-02', 'NCGC00163889-03', 'NCGC00254280-01', 'CAS-298-02-2', 'CC-33743', 'DB-047653', 'LS-108142', 'Phorate, PESTANAL(R), analytical standard', '552-EP2274983A1', '552-EP2275422A1', '552-EP2305662A1', '552-EP2308857A1', 'NS00007855', 'C18690', 'o,o-diethyl s-ethylthiomethyl phosphorodithioate', 'O,O-diethyl-S-ethylthiomethylphosphorodithioate', '298P022', 'C-16262', 'Q421197', 'J-017647', 'O,O-Diethyl S-(ethylthio)methyl phosphorodithioic acid', 'O,O-Diethyl S-[(ethylthio)methyl] phosphorodithioate', 'O,O-Diethyl S-[(ethylsulfanyl)methyl] dithiophosphate #', 'O,O-Diethyl S-[(ethylsulphanyl)methyl] dithiophosphate', 'O,O-Diethyl S-ethylmercaptomethyl dithiophosphoric acid', 'O,O-Diethyl S-[(ethylsulfanyl)methyl] dithiophosphoric acid', 'Phosphorodithioate, O,O-diethyl S-((ethylthio)methyl) ester', 'O,O-Diethyl S-[(ethylsulphanyl)methyl] dithiophosphoric acid', 'Methanethiol, (ethylthio)-, S-ester with O,O-diethyl phosphorodithioic acid']</t>
  </si>
  <si>
    <t>Compound(4790)</t>
  </si>
  <si>
    <t>C7H17O2PS3</t>
  </si>
  <si>
    <t>fosetyl aluminum</t>
  </si>
  <si>
    <t>['Fosetyl-al', 'Aliette', 'Phosethyl Al', 'Phosethyl aluminum', 'Aluminium phosethyl', 'FOSETYL AL', 'Valiant', 'Rhodax', 'Mikal', 'aluminum tris(ethyl phosphonate)', 'Epal', 'Aliette Extra', 'Efosite aluminum', 'Fosetyl aluminum', 'Rhone-Poulenc', 'Aluminum tris(O-ethylphosphonate)', 'Efosite-Al', 'Aluminum phosethyl', 'Hy-Cote', 'Hy-Tona', 'R6 Triplo', 'Aluminium triethyl triphosphonate', 'Aluminium tris(ethyl phosphonate)', 'Caswell No. 012B', 'Aluminum tris(O-ethyl phosphonate)', 'Phosethyl [ISO-French]', 'Aluminum tris(ethyl phosphite)', 'UNII-3979UH4J7X', 'CCRIS 8510', 'Phosphonic acid monoethyl ester aluminum salt', 'CHEBI:84033', 'HSDB 6856', '3979UH4J7X', 'EXP 1659', 'EINECS 254-320-2', 'EPA Pesticide Chemical Code 123301', '32545 RP', 'LS 74-783', 'Phosphonic acid, monoethyl ester, aluminum salt (3:1)', 'Fosetyl-aluminum, Technical grade', 'Phosethyl', 'Sinophos', 'Yilinlu', 'Fosetylaluminium', 'Phosphonic acid, monoethyl ester, aluminum salt', 'FOSETHYL-AL', 'Fosetyl Aluminium Salt', 'aluminum;ethoxyphosphinate', 'Fosetyl-aluminium [ISO]', 'CHEMBL2251448', 'DTXSID1020643', 'Fosetyl-aluminum, Techincal grade', 'LS-7409', 'VA10974', 'ALUMINIUM TRIS[O-ETHYLPHOSPHONATE]', 'FT-0630605', 'Q16185870']</t>
  </si>
  <si>
    <t>Compound(6328269)</t>
  </si>
  <si>
    <t>C6H15AlO9P3+3</t>
  </si>
  <si>
    <t>phosphamidon</t>
  </si>
  <si>
    <t>phosphine</t>
  </si>
  <si>
    <t>phosphane</t>
  </si>
  <si>
    <t>['7803-51-2', 'FW6947296I', 'Phosphine', 'phosphane', 'Hydrogen phosphide', 'Phosphorus trihydride', 'Phosphorus hydride', 'Phosphorus-31', 'Phosphorwasserstoff', 'Fosforowodor', 'Gas-Ex-B', 'Hishigado', 'Black phosphorus', 'Hishigado AP', 'Hishigado CP', 'Hishigado PL', 'Amgard CPC', 'Phosphorus (red)', 'Rat-Nip', 'Exolit LPKN', 'Novaexcel F 5', 'Novaexcel 140', 'Novaexcel 150', 'RCRA waste number P096', 'Hishigado NP 10', 'Novared F 5', 'Trihydrogen phosphide', 'Novared 120UF', 'Novared 120UFA', 'Novared 120VFA', 'Novared 140', 'Novared 280', 'Phosphine (fumigant)', 'Phosphoretted hydrogen', 'Hostaflam RP 602', 'Hostaflam RP 614', 'Hostaflam RP 622', 'Hostaflam RP 654', 'Novaexcel ST 100', 'Novaexcel ST 140', 'Novaexcel ST 300', 'Exolit 385', 'Exolit 405', 'Caswell No. 663', 'Fosforowodor [Polish]', 'Novared C 120', 'Exolit LPKN 275', 'Masteret 70450', 'phosphanyl', 'Amgard CPC 405', 'ECO2FUME', 'Exolit RP 605', 'Exolit RP 650', 'Exolit RP 652', 'Exolit RP 654', 'FR-T 2 (element)', 'Nova Sol R 20', 'Phosphene', 'Exolit VPK-n 361', 'Gelber phosphor [German]', 'trihydridophosphorus', 'Phosphorwasserstoff [German]', 'UNII-27YLU75U4W', 'Bonide blue death rat killer', 'UN 2199', 'Phosphorus, elemental', 'UNII-FW6947296I', 'HSDB 1169', 'HSDB 1233', 'NVE 140', 'EINECS 231-768-7', 'EINECS 232-260-8', 'UN2199', 'RCRA waste no. P096', 'EPA Pesticide Chemical Code 066502', 'Common sense cockroach and rat preparations', 'hydridophosphorus(.) (triplet)', 'CHEBI:30278', 'PH3', 'Q60998683', 'fosfina', 'Gelber phosphor', 'Phosphorus-30', 'Phosphorus monohydride', 'fosfano', 'fosforo', 'phosphore', 'Phosphor', 'Phosphorus red', 'CCRIS 8578', 'Phosphorus,yellow', 'hydrogen phosphine', 'Phosphorous (Red)', '15P', "Hittorf's phosphorus", 'Phosphorus, amorphous', 'Phosphorus, red, CP', 'ACMC-1BLMH', 'Phosphorus, red, puriss.', 'DEA Code 6795', 'DEA Code 6796', 'Phosphorus hydride (PH3)', 'EC 231-768-7', 'EC 232-260-8', 'Phosphorous (White or Yellow)', 'Phosphorus, red, &gt;=97.0%', 'CHEMBL2227836', 'DTXSID1024382', 'DTXSID2021157', 'CHEBI:28659', 'CTK1H3160', '[PH3]', 'KS-00000W3S', 'MFCD00133771', 'AKOS004909650', 'Phosphine [UN2199]  [Poison gas]', 'Black Phosphorus, Crystal, 99.995%', 'DB14151', 'LS-1765', 'SC-74959', 'LS-109036', 'Phosphine, electronic grade, &gt;=99.9995%', 'Y1337', 'Phosphorus, red, &gt;=99.99% trace metals basis', '803P512', 'Phosphorus, red, powder, 99% trace metals basis', 'Q207877', 'Phosphorus, amorphous [UN1338]  [Flammable solid]', 'Phosphorus, red, lumps, 99.999% trace metals basis', 'Q27110342', 'Q27110349']</t>
  </si>
  <si>
    <t>Compound(24404)</t>
  </si>
  <si>
    <t>H3P</t>
  </si>
  <si>
    <t>phosgene</t>
  </si>
  <si>
    <t>carbonyl dichloride</t>
  </si>
  <si>
    <t>['PHOSGENE', 'Carbonic dichloride', 'Carbonyl dichloride', 'Carbonyl chloride', 'Phosgen', 'Chloroformyl chloride', 'Carbon oxychloride', 'Carbonic chloride', 'Carbonylchlorid', 'Carbon dichloride oxide', 'Fosgeen', 'Fosgen', '75-44-5', 'Carbonic acid dichloride', 'Dichloroformaldehyde', 'Carbone (oxychlorure de)', 'Fosgene', 'Combat gas', 'Fosgeen [Dutch]', 'Fosgen [Polish]', 'Koolstofoxychloride', 'Phosgen [German]', 'Fosgene [Italian]', 'RCRA waste number P095', 'chloroketone', 'Carbonylchlorid [German]', 'Carbonio (ossicloruro di)', 'NCI-C60219', 'Koolstofoxychloride [Dutch]', 'UN 1076', 'HSDB 796', 'Carbone (oxychlorure de) [French]', 'EINECS 200-870-3', 'Carbonio (ossicloruro di) [Italian]', 'UN1076', 'UNII-117K140075', 'RCRA waste no. P095', 'BRN 1098367', 'Phosgene solution, 20% in Toluene', '117K140075', 'dichloroketone', 'carbonylchloride', 'chloro ketone', 'C O Cl2', 'EC 200-870-3', '4-03-00-00031 (Beilstein Handbook Reference)', 'SCHEMBL4685827', 'DTXSID0024260', 'CHEBI:29365', 'CTK2H7567', 'Phosgene [UN1076] [Poison gas]', 'Phosgene solution, ~20% in toluene', 'ZINC59372684', 'Phosgene [UN1076]  [Poison gas]', 'AKOS015915019', 'MCULE-7497763781', 'Phosgene solution, 15 wt. % in toluene', 'LS-105937', 'NS00008543', 'Q189090']</t>
  </si>
  <si>
    <t>Compound(6371)</t>
  </si>
  <si>
    <t>CCl2O</t>
  </si>
  <si>
    <t>phosalon</t>
  </si>
  <si>
    <t>6-chloro-3-(diethoxyphosphinothioylsulfanylmethyl)-1,3-benzoxazol-2-one</t>
  </si>
  <si>
    <t>['phosalone', '2310-17-0', 'Zolone', 'Fosalon', 'Benzophosphate', 'Azofene', 'Fozalon', 'Phosalon', 'Phozalon', 'Rubitox', 'Zolone PM', 'Agria 1060 A', 'Benzphos', 'Zone', 'Chipman 11974', 'Agria 1060', 'Zolone DT', 'Rhodia RP 11974', 'Phosalone 35 EC', 'Niagara 9241', 'Caswell No. 660A', 'Fosalone', 'Phasolon', 'Zoolon', 'Phosalone [ANSI:BSI:ISO]', 'UNII-448B85HT8M', 'CCRIS 2000', 'HSDB 4050', 'P 974', '11 974 rp', 'NIA-9241', 'NPH-1091', 'EINECS 218-996-2', 'ENT 27,163', 'EPA Pesticide Chemical Code 097701', 'BRN 0694650', '6-chloro-3-(diethoxyphosphinothioylsulfanylmethyl)-1,3-benzoxazol-2-one', 'AI3-27163', 'RP 11,974', 'CHEBI:8121', 'Phosphorodithioic acid, O,O-diethyl ester, S-ester with 6-chloro-3-(mercaptomethyl)-2-benzoxazolinone', 'P-974', '448B85HT8M', 'S-(6-Chloro-2-oxobenzoxazolin-3-yl)methyl diethyl phosphorothiolothionate', 'Phosphorodithioic acid, S-((6-chloro-2-oxo-3(2H)-benzoxazolyl)methyl) O,O-diethyl ester', 'Phosphorodithioic acid, S-[(6-chloro-2-oxo-3(2H)-benzoxazolyl)methyl] O,O-diethyl ester', 'S-6-Chloro-2,3-dihydro-2-oxo-benzoxazol-3-ylmethyl O,O-diethyl phosphorodithioate', '3-Diethyldithiophosphorylmethyl-6-chlorobenzoxazolone-2', '3-(O,O-Diethyldithiophosphorylmethyl)-6-chlorobenzoxazolinone', '3-(O,O-Diethyldithiophosphorylmethyl)-6-chlorobenzoxazolone', '6-Chloro-3-(O,O-diethyldithiophosphorylmethyl)benzoxazolone', '3-[O,O-(Diethyldithiophosphoryl)methyl]-6-chlorobenzoxazolinone', 'O,O-Diethyl S-(6-chlorobenzoxazolinyl-3-methyl) dithiophosphate', 'O,O-Diethyl-S-(6-chlorobenzoxazonyl-3-methyl) dithiophosphate', '6-Chloro-3-diethoxyphosphinothioylthiomethyl-1,3-benzoxazol-2(3H)-one', 'DSSTox_CID_4259', '3-(6-Chloro-2-oxobenzoxazolin-3-yl)methyl O,O-diethyl phosphorothiolothionate', '3-(6-Chloro-2-oxobenzoxazolin-3-yl)methyl-O,O-diethyl phosphorothiolothionate', 'O,O-Diethyl S-((6-chloro-2-oxobenzoxazolin-3-yl)methyl) phosphorodithioate', 'O,O-Diethyl-S-(6-chloro-2-oxo-benzoxazolin-3-yl)methyl-phosphorothiolothionate', 'O,O-Diethyl-S-(6-chloro-2-oxobenzoxazolin-3-yl-methyl)-phosphorodithioate', 'Phosphorodithioic acid-S-ester of 6-chloro-3-mercaptomethylbenzoxazyol-2-one', 'S-((3-Benzoxazolinyl-6-chloro-2-oxo)methyl) O,O-diethyl phosphorodithioate', 'S-((6-Chloro-2-oxo-3(2H)-benzoxazolyl)methyl) O,O-diethyl phosphorodithioate', 'DSSTox_RID_77344', 'O,O-Diaethyl-S-(6-chlor-2-oxo-ben(b)-1,3-oxalin-3-yl)-methyl-dithiophosphat [German]', 'O,O-Diethyl phosphorodithioate, S-ester with 6-chloro-3-(mercaptomethyl)-2-benzoxazolinone', 'O,O-Diethyl-S-((6-chloor-2-oxo-benzoxazolin-3-yl)-methyl)-dithiofosfaat [Dutch]', 'O,O-Dietil-S-((6-cloro-2-oxo-benzossazolin-3-il)-metil)-ditiofosfato [Italian]', 'Phosphorodithioic acid, S-[(6-chloro-2-oxo-3(2H)-benzoxazolyl)methyl]O,O-diethyl ester', 'S-(6-Chloro-3-(mercaptomethyl)-2-benzoxazolinone) O,O-diethyl phosphorodithioate', 'S-[(6-Chloro-2-oxo-1,3-benzoxazol-3(2H)-yl)methyl] o,o-diethyl dithiophosphate', 'S-[(6-chloro-2-oxo-1,3-benzoxazol-3(2H)-yl)methyl] O,O-diethyl phosphorodithioate', 'S-6-Chloro-2,3-dihydro-2-oxo-1,3-benzoxazol-3-ylmethyl O,O-diethyl phosphorodithioate', 'DSSTox_GSID_24259', 'Phosalone, analytical standard', 'fozalone', 'phoazlone', 'phozalone', 'O,O-DIETHYL S-(6-CHLOROBENZOXZAOLON-3-YL)METHYL PHOSPHORODITHIOATE', 'S-((6-Chloro-2-oxo-3H)-benzoxazolylmethyl)O,O-diethyl phosphorodithioate', 'CAS-2310-17-0', 'Spectrum_001797', 'SpecPlus_000388', 'Spectrum2_001862', 'Spectrum3_000814', 'Spectrum4_000654', 'Spectrum5_001938', 'CBMicro_004841', 'C12H15ClNO4PS2', 'Oprea1_627117', 'SCHEMBL26843', 'BSPBio_002307', 'KBioGR_001027', 'KBioSS_002290', 'SPECTRUM330022', 'BIDD:ER0422', 'DivK1c_006484', 'SPBio_001704', 'CHEMBL1528531', 'DTXSID1024259', 'CTK4J9916', 'IOUNQDKNJZEDEP-UHFFFAOYSA-', 'KBio1_001428', 'KBio2_002288', 'KBio2_004856', 'KBio2_007424', 'KBio3_001807', 'CCG-2037', 'HY-B2029', 'NIA 9241', 'SMSF0001368', 'Tox21_202294', 'Tox21_300811', 'ENT 27163', 'O,O-Dietil-S-((6-cloro-2-oxo-benzossazolin-3-il)-metil)-ditiofosfato', 'AKOS015896127', 'O,O-Diaethyl-S-(6-chlor-2-oxo-ben(b)-1,3-oxalin-3-yl)-methyl-dithiophosphat', 'O,O-Diethyl-S-((6-chloor-2-oxo-benzoxazolin-3-yl)-methyl)-dithiofosfaat', 'Phosalone 1000 microg/mL in Acetone', 'S-((6-chloro- 2-oxo-3H)-benzoxazolylmethyl)O,O-diethyl phosphorodithioate', 'ACM2310170', 'CB06818', 'CS-5216', 'MCULE-7104953013', 'Phosalone 10 microg/mL in Cyclohexane', 'Phosalone 10 microg/mL in Acetonitrile', 'Phosalone 100 microg/mL in Cyclohexane', 'NCGC00094519-01', 'NCGC00094519-02', 'NCGC00094519-03', 'NCGC00094519-04', 'NCGC00094519-05', 'NCGC00094519-06', 'NCGC00094519-07', 'NCGC00178712-01', 'NCGC00254715-01', 'NCGC00259843-01', '11974 RP', 'AC-20097', 'CC-33746', 'RP 11974', 'BIM-0004803.P001', 'LS-108056', 'FT-0603602', 'NS00001562', 'Phosalone, PESTANAL(R), analytical standard', 'C11028', '310P170', 'C-21067', 'Q413116', 'J-014987', 'BRD-K71671197-001-02-6', '6-Chloro-3-[O,O-(diethyldithiophosphoryl)methyl]benzoxazolone', 'O,O-Diethyl phosphorodithioate S-ester with 6-chloro-3-(mercaptomethyl)-2-benzoxazolinone', 'S-(6-chloro-2-oxobenzo[d]oxazol-3(2H)-yl)methyl O,O-diethyl phosphorodithioate', 'S-[(6-Chloro-2-oxo-1,3-benzoxazol-3(2H)-yl)methyl] O,O-diethyl dithiophosphate #', 'S-[(6-Chloro-2-oxo-3(2H)-benzoxazoly)methyl] O,O-diethyl phosphorodithioate', 'S-6-chloro-2,3-dihydro-2-oxo benzoxazol-3-ylmethyl O,O-diethylphosphorodithioate', '54182-71-7', 'diethyl {[(6-chloro-2-oxo-2,3-dihydro-1,3-benzoxazol-3-yl)methyl]sulfanyl}(sulfanylidene)phosphonite']</t>
  </si>
  <si>
    <t>Compound(4793)</t>
  </si>
  <si>
    <t>C12H15ClNO4PS2</t>
  </si>
  <si>
    <t>phosmet-oxone</t>
  </si>
  <si>
    <t>2-(dimethoxyphosphorylsulfanylmethyl)isoindole-1,3-dione</t>
  </si>
  <si>
    <t>['Phosmet oxon', 'Phosmetoxon', 'Imidoxon', 'Oxoimidan', 'Stauffer R-1571', '3735-33-9', 'PHOSMET-OXON', 'Stauffer R-1571-A', 'R 1571', 'ENT 25,707', 'UNII-6C4K5681ND', 'R 1571A', 'BRN 0264370', 'AI3-25707', '6C4K5681ND', 'S-((1,3-Dihydro-1,3-dioxo-2H-isoindol-2-yl)methyl) O,O-dimethyl phosphorothioate', '2-(dimethoxyphosphorylsulfanylmethyl)isoindole-1,3-dione', 'Phosphorothioic acid, S-((1,3-dihydro-1,3-dioxo-2H-isoindol-2-yl)methyl) O,O-dimethyl ester', 'Phosphorothioic acid, S-[(1,3-dihydro-1,3-dioxo-2H-isoindol-2-yl)methyl] O,O-dimethyl ester', 'Phosphorothioic acid, O,O-dimethyl S-phthalimidomethyl ester', 'Oxoa', 'Imidan oxon', 'Stauffer R-1571A', 'Stauffer R-1,571', 'SCHEMBL5933920', 'DTXSID6042286', 'Phosmet oxon (Imidoxon) (Oxoimidan)', 'Phosphorothioic acid, O,O-dimethyl S-phthalimidomethyl ester (6CI)', 'Phosmet-oxon 10 microg/mL in Isooctane', 'Phosphorothioic acid, O,O-dimethyl ester, S-ester with N-(mercaptomethyl)phthalimide', 'Phosmet oxon 100 microg/mL in Isooctane', 'SC-94776', 'LS-108739', 'R-1571', 'O,O-Dimethyl S-phthalimidomethyl phosphorothioate', 'S-Phthalimidomethyl O,O-Dimethyl phosphorothioate', 'R-1,571', 'Phosphorothioic acid, S-[(1,3-dihydro-1,3-dioxo-2H', 'Q27264472', 'N-(Mercaptomethyl)phthalimide S-(O,O-dimethylphosphorothioate)', '1H-Isoindole-1,3(2H)-dione, 2-[[(dimethoxyphosphono)thio]methyl]-', 'O,O-Dimethylphosphorothioate S-ester with N-(mercaptomethyl)phthalimide', 'S-[(1,3-Dioxo-1,3-dihydro-2H-isoindol-2-yl)methyl] o,o-dimethyl thiophosphate #']</t>
  </si>
  <si>
    <t>Compound(77323)</t>
  </si>
  <si>
    <t>C11H12NO5PS</t>
  </si>
  <si>
    <t>phosmet</t>
  </si>
  <si>
    <t>2-(dimethoxyphosphinothioylsulfanylmethyl)isoindole-1,3-dione</t>
  </si>
  <si>
    <t>['Phosmet', 'Fosmet', 'Decemthion', '732-11-6', 'Phthalophos', 'Prolate', 'Imidathion', 'Percolate', 'IMIDAN', 'Ftalophos', 'Kemolate', 'Safidon', 'Simidan', 'Smidan', 'Decemthion P-6', 'PMP (Pesticide)', 'Phtalofos', 'Stauffer R 1504', 'Prolate E', 'Imidan WP', 'Prolate 5 Dust', 'Decemtion P-6', 'Imidan 5 Dust', 'O,O-Dimethyl S-phthalimidomethyl phosphorodithioate', 'Phosmet [BAN]', 'Prolate 8-OS', 'Caswell No. 543', 'O,O-Dimethyl S-(phthalimidomethyl) dithiophosphate', 'UNII-VN04LI540Y', 'ENT 25,705', 'O,O-Dimethyl phthalimidomethyl phosphorodithioate', '2-(dimethoxyphosphinothioylsulfanylmethyl)isoindole-1,3-dione', 'CCRIS 5295', 'HSDB 1734', 'Phosmet [BSI:ISO]', 'Phthalimido O,O-dimethyl phosphorodithioate', 'EINECS 211-987-4', 'R 1504', 'Phthalimidomethyl O,O-dimethyl phosphorodithioate', 'phthalimidomethyl-o,o-dimethyl phosphorodithioate', '(O,O-Dimethyl-phthalimidiomethyl-dithiophosphate)', 'EPA Pesticide Chemical Code 059201', 'BRN 0264869', 'O,O-Dimethyl S-(N-phthalimidomethyl)dithiophosphate', 'O,O-Dimethyl S-(phthalimidomethyl)phosphorodithioate', 'SMR000054364', 'S-[(1,3-Dioxo-1,3-dihydro-2H-isoindol-2-yl)methyl] o,o-dimethyl dithiophosphate', 'AI3-25705', 'MLS000104429', 'MLS001074294', 'VN04LI540Y', 'CHEBI:38786', 'N-(Dimethoxyphosphinothioylthiomethyl)phthalimide', 'R-1504', 'O,O-Dimethyl S-phthalimidomethyl phosphorothionate', 'Phosmet (BAN)', 'Phthalimide, N-(mercaptomethyl)-, S-ester with O,O-dimethyl phosphorodithioate', 'Phosphorodithioic acid, O,O-dimethyl ester, S-ester with N-(mercaptomethyl)phthalimide', 'Phosphorodithioic acid, S-((1,3-dihydro-1,3-dioxo-isoindol-2-yl)methyl) O,O-dimethyl ester', 'Phosphorodithioic acid, S-[(1,3-dihydro-1,3-dioxo-2H-isoindol-2-yl)methyl] O,O-dimethyl ester', 'S-[(1,3-dioxo-1,3-dihydro-2H-isoindol-2-yl)methyl] O,O-dimethyl phosphorodithioate', 'O,O-Dimethyl S-(phthalimididomethyl)phosphorodithioate', '5104-30-3', 'NCGC00080392-01', 'N-(Mercaptomethyl)phthalimide S-(O,O-dimethyl phosphorodithioate)', 'DSSTox_CID_4261', 'S-((1,3-Dioxo-2H-isoindol-2-yl)methyl) O,O-dimethyl phosphorodithioate', 'O,O-Dimethyl phosphorodithioate S-ester with N-(mercaptomethyl)phthalimide', 'DSSTox_RID_77345', 'Phosphorodithioic acid O,O-dimethyl ester S-ester with N-(mercaptomethyl) phthalimide', 'Phosphorodithioic acid, S-((1,3-dihydro-1,3-dioxo-2H-isoindol-2-yl)methyl) O,O-dimethyl ester', 'S-((1,3-Dihydro-1,3-dioxo-2H-isoindol-2-yl)methyl) O,O-dimethy phosphorodithioate', 'S-((1,3-Dihydro-1,3-dioxo-2H-isoindol-2-yl)methyl) O,O-dimethyl phosphorodithioate', 'S-((1,3-Dihydro-1,3-dioxo-2H-isoindol-2-yl)methyl)phosphorodithioic acid O,O-dimethyl ester', 'DSSTox_GSID_24261', 'W-104463', 'Phosmet (Imidan)', 'CAS-732-11-6', 'SR-01000195222', 'Phosmet [BAN:BSI:ISO]', '2-[(dimethoxythioxophosphinothio)methyl]benzo[c]azoline-1,3-dione', 'C11H12NO4PS2', 'Poron (TN)', 'Del-Phos (TN)', 'Opera_ID_1806', 'CBMicro_004801', 'SCHEMBL3620', 'Oprea1_616683', 'cid_12901', 'CHEMBL1481873', 'DTXSID5024261', 'BDBM79427', 'CTK8E9055', 'LMNZTLDVJIUSHT-UHFFFAOYSA-', 'HMS2230D06', 'HMS3370L13', 'SMSF0003235', 'Tox21_110993', 'Tox21_202316', 'Tox21_300093', 'Phosmet 10 microg/mL in Cyclohexane', 'Phosmet 1000 microg/mL in Acetone', 'SBB061414', 'STK097158', 'AKOS001603761', 'Phosmet 100 microg/mL in Cyclohexane', 'Tox21_110993_1', 'CB06771', 'DB11448', 'FCH3751544', 'MCULE-6423853407', 'NCGC00080392-02', 'NCGC00080392-03', 'NCGC00080392-04', 'NCGC00080392-05', 'NCGC00254165-01', 'NCGC00259865-01', 'CC-33747', 'S271', 'BIM-0004802.P001', 'DB-055733', 'LS-108241', 'Phosmet, PESTANAL(R), analytical standard', 'FT-0603507', 'NS00000517', 'ST51047433', 'C18756', 'D08372', '732P116', 'C-19519', 'O,O-Dimethyl S-(phthalimidomethyl)dithiophosphate', 'Q421379', 'O,O-dimethyl S-phthalimido methyl phosphorodithioate', 'SR-01000195222-1', 'SR-01000195222-4', '2-[(dimethoxyphosphinothioylthio)methyl]isoindole-1,3-dione', '2-[(dimethoxythiophosphorylthio)methyl]isoindoline-1,3-quinone', 'N-(Mercaptomethyl)phthalimide S-(O,O-dimethyl) phosphorodithioate', 'S-(1,3-dioxoisoindolin-2-yl)methyl O,O-dimethyl phosphorodithioate', 'S-[(1,3-Dioxo-1,3-dihydro-2H-isoindol-2-yl)methyl] O,O-dimethyl dithiophosphate #']</t>
  </si>
  <si>
    <t>Compound(12901)</t>
  </si>
  <si>
    <t>C11H12NO4PS2</t>
  </si>
  <si>
    <t>fosthiazate</t>
  </si>
  <si>
    <t>3-[butan-2-ylsulfanyl(ethoxy)phosphoryl]-1,3-thiazolidin-2-one</t>
  </si>
  <si>
    <t>['Fosthiazate', '98886-44-3', 'Nemathorin', 'Fosthiazate [ISO:BSI]', '(RS)-S-sec-butyl-O-ethyl-2-oxo-1,3-thiazolidin-3-ylphosphonothioate', 'IKI 1145', 'ASC-66824', 'O-Ethyl S-(1-methylpropyl) (2-oxo-3-thiazolidinyl)phosphonothioate', 'CHEBI:38692', 'Phosphonothioic acid, (2-oxo-3-thiazolidinyl)-, O-ethyl S-(1-methylpropyl) ester', '3-[butan-2-ylsulfanyl(ethoxy)phosphoryl]-1,3-thiazolidin-2-one', 'S-sec-butyl O-ethyl (2-oxo-1,3-thiazolidin-3-yl)phosphonothioate', 'S-sec-Butyl O-ethyl (2-oxo-1,3-thiazolidine-3-yl)phosphonothioate', 'O-ethyl S-(butan-2-yl) (2-oxo-1,3-thiazolidin-3-yl)phosphonothioate', 'HSDB 7961', 'Fosthiazate Isomer 1', 'Fosthiazate Isomer 2', 'FOSTHIAZATE-1', 'FOSTHIAZATE-2', 'PubChem14577', 'DSSTox_CID_14930', 'DSSTox_RID_79223', 'DSSTox_GSID_34930', 'SCHEMBL73578', 'C9H18NO3PS2', 'CHEMBL1905657', 'DTXSID0034930', 'CTK8F9935', 'DUFVKSUJRWYZQP-UHFFFAOYSA-', 'Tox21_301059', 'AKOS015897274', 'NCGC00168316-01', 'NCGC00168316-02', 'NCGC00254961-01', 'Fosthiazate 10 microg/mL in Acetonitrile', 'O213', 'SC-21819', 'CAS-98886-44-3', 'LS-107202', 'FT-0652182', 'NS00000489', 'C18402', 'Fosthiazate, PESTANAL(R), analytical standard', '26919-EP2274983A1', '26919-EP2275422A1', '26919-EP2280009A1', '26919-EP2305662A1', '26919-EP2308857A1', '26919-EP2308858A1', '26919-EP2311816A1', '26919-EP2311817A1', '26919-EP2314583A1', '886F443', 'Q1266349', '3-[(butan-2-ylthio)-ethoxyphosphoryl]-2-thiazolidinone', 'S-sec-butyl O-ethyl 2-oxothiazolidin-3-ylphosphonothioate', '3-(butan-2-ylsulfanyl-ethoxyphosphoryl)-1,3-thiazolidin-2-one', 'S-sec-Butyl O-ethyl (2-oxothiazolidin-3-yl)phosphonothioate', '3-[ethoxy-[(1S)-1-methylpropyl]sulfanyl-phosphoryl]thiazolidin-2-one', '(RS)-S-sec-butyl-O-ethyl-2-oxo-1,3-thiazolidin-3-ylphosphonothioate;Phosphonothioic acid, P-(2-oxo-3-thiazolidinyl)-, O-ethyl S-(1-methylpropyl) ester']</t>
  </si>
  <si>
    <t>Compound(91758)</t>
  </si>
  <si>
    <t>C9H18NO3PS2</t>
  </si>
  <si>
    <t>ethoxy-hydroxy-oxophosphanium</t>
  </si>
  <si>
    <t>['Fosetyl', 'Ethyl phosphite', 'Ethyl hydrogen phosphonate', 'Monoethyl phosphonate', '15845-66-6', 'Phosphonic acid, monoethyl ester', 'Ethyl phosphonate', 'Monoethyl phosphite', 'Fosetyl [ISO]', 'UNII-ZUL337Z2KC', 'TL 463', 'BRN 0969557', 'ZUL337Z2KC', 'CHEBI:40926', 'fosethyl-aluminium', 'Ethyl hydrogen phosphonate (9CI)', 'ethyl phosphinic acid', 'SCHEMBL28925', 'ethyl hydrogen (R)-phosphonate', 'CHEMBL1231082', 'DTXSID2057990', 'ZINC4529330', 'AKOS006227665', 'LS-106203', 'NS00014285', 'C18401', '845E666', 'Q27120411', 'fosetyl;Aluminium triethyl triphosphonate;aluminium triethyl triphosphonate;fosethyl-aluminium;Fosetyl-Al;Fosetyl-aluminium']</t>
  </si>
  <si>
    <t>Compound(6328134)</t>
  </si>
  <si>
    <t>C2H6O3P+</t>
  </si>
  <si>
    <t>phthalic anhydride</t>
  </si>
  <si>
    <t>2-benzofuran-1,3-dione</t>
  </si>
  <si>
    <t>['PHTHALIC ANHYDRIDE', '85-44-9', 'Isobenzofuran-1,3-dione', '1,3-Isobenzofurandione', '2-Benzofuran-1,3-dione', '1,3-Dioxophthalan', '1,3-Phthalandione', 'Phthalic acid anhydride', 'o-Phthalic acid anhydride', 'Phthalsaeureanhydrid', 'Phthalandione', 'Retarder esen', 'Retarder AK', 'Retarder PD', 'Vulkalent B/C', '1,2-Benzenedicarboxylic anhydride', 'ESEN', 'Anidride ftalica', 'Ftaalzuuranhydride', 'Ftalowy bezwodnik', '1,2-Benzenedicarboxylic acid anhydride', 'Anhydride phtalique', 'Ftalanhydrid', 'Vulkalent B', 'Wiltrol P', 'RCRA waste number U190', 'NCI-C03601', 'TGL 6525', 'Ftalanhydrid [Czech]', 'Anhydrid kyseliny ftalove', 'phtalic anhydride', 'Ftaalzuuranhydride [Dutch]', 'UNII-UVL263I5BJ', 'Anidride ftalica [Italian]', 'Ftalowy bezwodnik [Polish]', 'NSC 10431', 'ortho-phthalic acid anhydride', 'Anhydride phtalique [French]', '1,3-dihydro-2-benzofuran-1,3-dione', 'CCRIS 519', 'Phthalsaeureanhydrid [German]', 'Isobenzofuran, 1,3-dihydro-1,3-dioxo-', 'CHEBI:36605', 'HSDB 4012', 'Anhydrid kyseliny ftalove [Czech]', 'EINECS 201-607-5', 'UN2214', 'RCRA waste no. U190', 'Phthalic anhydride (molten)', 'UVL263I5BJ', 'AI3-04869', 'MFCD00005918', 'Phthalic anhydride, 99%', 'Phthalic anhydride, ACS reagent', 'Phthalanhydride', 'Sconoc 7', 'Araldite HT 901', '1,3-Isobenzofurandione, oxidized', 'Phthalic anhydride, oxidized', 'pthalic anhydride', 'Retarder PX', 'Ht 901', '1,3 Phthalandione', 'EINECS 270-149-6', '68411-80-3', 'PubChem17494', '1,3 Isobenzofurandione', '2,5-Isobenzofurandione', 'Phthal ic acid anhydride', 'isobenzofurane-1,3-dione', 'DSSTox_CID_1159', 'SCHEMBL220', 'Epitope ID:112744', 'EC 201-607-5', 'WLN: T56 BVOVJ', 'DSSTox_RID_75982', 'DSSTox_GSID_21159', 'Isobenzo[b]furan-1,3-dione', '2-Benzofuran-1,3-dione #', 'UN 2214 (Salt/Mix)', 'Phthalic anhydride treated BSA', 'Phthalic anhydride treated HSA', 'ACMC-209q60', 'CHEMBL1371297', 'DTXSID2021159', 'CTK3E8282', 'Phthalic anhydride treated gelatin', 'Phthalic anhydride treated casein I', 'ACT03366', 'KS-000000UD', 'NSC10431', 'ZINC8100883', 'Phthalic anhydride treated casein II', 'Tox21_200142', '1,3-dihydro-1,3-dioxoisobenzofuran', '1,3-dihydroisobenzofuran-1,3-dione', 'ANW-38182', 'Isobenzofuran,3-dihydro-1,3-dioxo-', 'NSC-10431', 'SBB040869', 'STL194302', 'AKOS000121309', 'LS-1848', 'MCULE-5260748273', 'NE10417', 'CAS-85-44-9', 'NCGC00091060-01', 'NCGC00091060-02', 'NCGC00257696-01', 'BP-30002', 'K528', 'Phthalic anhydride, ACS reagent, &gt;=99%', 'PS-10628', 'SC-46773', 'Phthalic anhydride, for synthesis, 99.0%', 'Phthalic anhydride, ReagentPlus(R), 99%', 'FT-0652549', 'NS00004500', 'P1614', 'Phthalic anhydride, purum, &gt;=97.0% (NT)', 'ST50214459', 'Phthalic anhydride treated human serum albumin', '7788-EP2269992A1', '7788-EP2272517A1', '7788-EP2277878A1', '7788-EP2295503A1', '7788-EP2301911A1', '7788-EP2302015A1', '7788-EP2305248A1', '7788-EP2308844A2', '7788-EP2308845A2', '7788-EP2308846A2', '7788-EP2308865A1', '7788-EP2309584A1', '7788-EP2311824A1', '7788-EP2314593A1', '7788-EP2316905A1', '7788-EP2316906A2', '7788-EP2371805A1', '7788-EP2371831A1', 'Phthalic anhydride treated bovine serum albumin', 'Phthalic anhydride treated rabbit serum albumin', 'Phthalic anhydride with &gt;0.05% maleic anhydride', 'Phthalic anhydride, SAJ first grade, &gt;=99.0%', 'A841333', 'Q410882', 'Phthalic anhydride treated-reduced and alkylated BSA', 'F1908-0105', 'Phthalic anhydride treated-reduced and alkylated bovine serum albumin', 'Phthalic anhydride with &gt;0.05% maleic anhydride [UN2214]  [Corrosive]', 'Phthalic anhydride with &gt;0.05% maleic anhydride [UN2214] [Corrosive]', 'Phthalic anhydride, anhydrous, free-flowing, Redi-Dri(TM), ACS reagent, &gt;=99%']</t>
  </si>
  <si>
    <t>Compound(6811)</t>
  </si>
  <si>
    <t>C8H4O3</t>
  </si>
  <si>
    <t>phthalimide</t>
  </si>
  <si>
    <t>isoindole-1,3-dione</t>
  </si>
  <si>
    <t>['PHTHALIMIDE', '85-41-6', 'Isoindole-1,3-dione', '1H-Isoindole-1,3(2H)-dione', 'isoindoline-1,3-dione', 'O-Phthalimide', 'o-Phthalic imide', '1,3-Isoindolinedione', 'Benzoimide', '2-Diazoindan-1,3-dione', 'Phenylimide', 'Phthalimid', '1,2-Benzenedicarboximide', 'phtalimide', 'Ftalimmide', '2,3-dihydro-1H-isoindole-1,3-dione', 'Phthalimid [German]', 'Ftalimmide [Italian]', '1,3-Dihydroisoindole-1,3-dione', 'NSC 3108', 'UNII-1J6PQ7YI80', '1,3-Isoindoledione', 'HSDB 5007', 'EINECS 201-603-3', 'BRN 0118522', 'AI3-07565', '1J6PQ7YI80', 'CHEBI:38817', 'Phthalimide, 99%', 'DSSTox_CID_6514', 'DSSTox_RID_78130', 'DSSTox_GSID_26514', '2H-benzo[c]azoline-1,3-dione', 'CAS-85-41-6', 'Phthalic dicarboximide', '1,3-Dihydro-1,3-dioxoisoindole', 'isoindoledione', 'Pthalimide', 'phthalimide-', 'CCRIS 9479', 'hydroxyisoindolone', 'hydroxy isoindolone', '1,3-dioxoisoindole', 'isoindol-1,3-dione', 'isoindoline-1,3 dione', 'PubChem15713', 'ACMC-20aj0q', 'Phthalimide, &gt;=99%', '3-hydroxyisoindol-1-one', 'SCHEMBL64', 'isoindoline -1,3-dione', '1h-isoindole-1,3-dione', 'Milnacipran EP Impurity B', 'PHTHALIC ACID,IMIDE', 'EC 201-603-3', 'WLN: T56 BVMVJ', 'isoindole-1,3(2H)-dione', '5-21-10-00270 (Beilstein Handbook Reference)', 'KSC492S1D', '1H-isoindole-1,3(2H)dione', 'CHEMBL277294', '1H-isoindole-1,3(2H) dione', 'DTXSID3026514', 'CTK3J2911', 'KS-00000VOK', '1H-isoindol-1,3-(2H)-dione', 'NSC3108', '1H-isoindole-1,3-(2H)-dione', 'ZINC157623', 'BCP21906', 'NSC-3108', 'Tox21_201800', 'Tox21_303319', 'ANW-75576', 'BBL037023', 'BDBM50350644', 'Benzene-1,2-dicarboxylic acid imide', 'MFCD00005881', 'SBB059859', 'STK299439', '2,3-dihydro-1H-isoindole-1,3-dion', 'AKOS000119824', '1,3-Dihydro-2H-isoindole-1,3-dione', 'AM90367', 'FS-3820', 'MCULE-2271536382', 'NE10414', 'NCGC00249121-01', 'NCGC00257137-01', 'NCGC00259349-01', 'Phthalimide, puriss., &gt;=99.0% (T)', 'SC-13042', 'DS-002743', 'LS-109405', 'phthalimide [1h-isoindole-1,3(2h)-dione]', 'FT-0648821', 'FT-0648824', 'NS00010682', 'P0402', 'ST45061499', '4385-EP1441224A2', '4385-EP2269989A1', '4385-EP2272537A2', '4385-EP2272827A1', '4385-EP2272832A1', '4385-EP2275404A1', '4385-EP2275412A1', '4385-EP2277865A1', '4385-EP2277880A1', '4385-EP2280001A1', '4385-EP2284157A1', '4385-EP2289893A1', '4385-EP2289894A2', '4385-EP2292589A1', '4385-EP2292592A1', '4385-EP2292593A2', '4385-EP2292610A1', '4385-EP2292630A1', '4385-EP2295402A2', '4385-EP2295415A1', '4385-EP2298732A1', '4385-EP2298757A2', '4385-EP2298767A1', '4385-EP2301534A1', '4385-EP2301913A1', '4385-EP2301914A1', '4385-EP2301918A1', '4385-EP2305219A1', '4385-EP2305651A1', '4385-EP2305682A1', '4385-EP2308854A1', '4385-EP2308857A1', '4385-EP2308879A1', '4385-EP2311451A1', '4385-EP2311796A1', '4385-EP2311797A1', '4385-EP2311798A1', '4385-EP2311799A1', '4385-EP2311823A1', '4385-EP2311824A1', '4385-EP2314576A1', '4385-EP2314587A1', '4385-EP2314590A1', '4385-EP2314593A1', '4385-EP2316450A1', '4385-EP2316831A1', '4385-EP2316974A1', 'N-potassium phthalimide;Phthalimide;phthalimide', 'Phthalimide, PESTANAL(R), analytical standard', '34357-EP2275102A1', '34357-EP2301536A1', '34357-EP2301538A1', '34357-EP2305682A1', '34357-EP2308879A1', '34357-EP2311455A1', 'A841324', 'AP-770/40217754', 'Q412784', 'J-521539', 'Z57127356', 'F9995-1638', 'Phthalimide; 1,2-Benzenedicarboximide; 1,3-Dihydro-2H-isoindole-1,3-dione; 1,3-Dioxo-1,3-dihydroisoindole']</t>
  </si>
  <si>
    <t>Compound(6809)</t>
  </si>
  <si>
    <t>C8H5NO2</t>
  </si>
  <si>
    <t>fuberidazole</t>
  </si>
  <si>
    <t>2-(furan-2-yl)-1H-benzimidazole</t>
  </si>
  <si>
    <t>['FUBERIDAZOLE', '3878-19-1', 'Fubridazole', 'Fuberidatol', 'Fuberidazol', 'Furidazol', 'Furidazole', '1H-Benzimidazole, 2-(2-furanyl)-', 'Fuberisazol', 'Voronit', 'Voronite', '2-(2-Furyl)benzimidazole', 'Bayer 33172', '2-(2-Furyl)-1H-benzimidazole', 'Benzimidazole, 2-(2-furyl)-', '2-(2-Furanyl)-1H-benzimidazole', 'BAY 33172', 'W VII/117', '2-(furan-2-yl)-1H-benzo[d]imidazole', 'Fuberidazole [BSI:ISO]', '2-(furan-2-yl)-1H-benzimidazole', 'UNII-RXD450F6C7', 'NSC 72670', 'B-33172', '2-benzimidazol-2-ylfuran', 'EINECS 223-404-0', "2-(2'-Furyl)-benzimidazole", 'CHEMBL201094', 'RXD450F6C7', 'CHEBI:81926', '2-Furan-2-yl-1H-benzoimidazole', '2-(2-Furanyl)-1H-benzimidazole (9CI)', 'DSSTox_CID_21995', 'DSSTox_RID_79898', 'DSSTox_GSID_41995', 'SCHEMBL23174', '2-(furan-2-yl)-benzimidazole', 'DTXSID4041995', 'CTK3I9124', 'Fuberidazole, analytical standard', 'ZINC40234', '2-(2-Furyl)-1H-benzimidazole #', 'ALBB-017849', 'NSC72670', 'Tox21_301574', '2279AE', 'BBL023354', 'BDBM50180740', 'NSC-72670', 'SBB083945', 'STK741597', 'WLN: T56 BM DNJ C- BT5OJ', '2-(2-furyl)-1H-1,3-benzimidazole', 'AKOS000591107', 'Fuberidazole 10 microg/mL in Methanol', 'MCULE-1895628564', 'NCGC00255946-01', '101575-84-2', 'LS-32988', 'ST065434', 'CAS-3878-19-1', 'BB 0219597', 'NS00000144', 'R1859', 'C18737', 'Furidazole; NSC 72670;Voronit;BAY 33172', 'Fuberidazole, PESTANAL(R), analytical standard', 'AE-641/02605022', 'SR-01000393557', 'Q5506905', 'SR-01000393557-1', 'F0346-3053', 'Pesticide6_Fuberidazole_C11H8N2O_2-(2-Furyl)-1H-benzimidazole']</t>
  </si>
  <si>
    <t>Compound(19756)</t>
  </si>
  <si>
    <t>C11H8N2O</t>
  </si>
  <si>
    <t>furan-2-carbaldehyde</t>
  </si>
  <si>
    <t>['FURFURAL', '2-Furaldehyde', 'furan-2-carbaldehyde', '98-01-1', '2-Furancarboxaldehyde', 'Furaldehyde', 'Furfuraldehyde', '2-Formylfuran', 'Fural', '2-Furanaldehyde', '2-Furancarbonal', '2-Furfural', '2-Furfuraldehyde', 'Furancarbonal', 'Furfurole', 'Furale', 'Furole', 'Furfurylaldehyde', 'Furol', '2-Furylaldehyde', '2-Furylcarboxaldehyde', 'Pyromucic aldehyde', '2-Furyl-methanal', 'Artificial ant oil', 'Furfurale', 'Artificial oil of ants', 'Furan-2-carboxaldehyde', 'Furyl-methanal', '2-Furylmethanal', 'Bran oil', '2-Furil-metanale', '2-furancarbaldehyde', 'Fufural', 'Quakeral', 'alpha-Furole', '2-Formylofuran', 'Nci-C56177', '2-Formyl furan', 'furan-2-aldehyde', '2-Furankarbaldehyd', 'Rcra waste number U125', 'alpha-Furfuraldehyde', 'Furfural (natural)', 'Ant Oil, artificial', 'Furfurale [Italian]', 'Caswell No. 466', '2-Formylofuran [Polish]', 'UNII-DJ1HGI319P', '.alpha.-Furole', 'NSC 8841', '2-Furankarbaldehyd [Czech]', '2-Furil-metanale [Italian]', 'FEMA No. 2489', 'CCRIS 1044', 'HSDB 542', 'EINECS 202-627-7', 'MFCD00003229', 'UN1199', 'RCRA waste no. U125', 'EPA Pesticide Chemical Code 043301', 'BRN 0105755', 'DJ1HGI319P', 'AI3-04466', 'CHEBI:34768', 'NCGC00091328-01', '2-Furaldehyde, 99%', 'DSSTox_CID_647', 'DSSTox_RID_75709', 'DSSTox_GSID_20647', 'Wood Tar', 'Pyroligneous acids', 'CAS-98-01-1', 'Furaldehydes', 'Furfuralu', 'a-furfuraldehyde', 'Qo furfural', 'a-Furole', 'Fuf ural', '2-furanal', 'Furancarboxaldehyde', 'Ant Oil', 'Pyroligneous vinegar', 'furan-2 carbaldehyde', 'Furfural, 99%', '2-furancarboxyaldehyde', 'Furane-2-carbaldehyde', 'Caswell No. 904', 'WOOD VINEGAR', '2-Furaldehyde, 8CI', '2-furan-carboxaldehyde', 'Furfuraldehyde(Furfural)', 'Pyroligneous acid extract', '2-Furylaldehyde xypropane', 'WLN: T5OJ BVH', 'EC 202-627-7', '5-17-09-00292 (Beilstein Handbook Reference)', 'KSC214C0J', 'BIDD:ER0698', 'ACMC-20978u', 'FEMA No. 2967', 'FEMA No. 2968', 'Furfural, ACS reagent, 99%', 'CHEMBL189362', 'EBD294', 'QSPL 006', 'QSPL 102', 'DTXSID1020647', 'CTK1B4104', 'FEMA 2489', 'KS-00000WKJ', 'NSC8841', 'Furfural, &gt;=98%, FCC, FG', 'Furfural, for synthesis, 98.0%', 'LS-28', 'Furaldehydes [UN1199] [Poison]', 'NSC-8841', 'STR00358', 'ZINC3861345', 'EINECS 232-450-0', 'Tox21_111114', 'Tox21_202191', 'Tox21_300170', 'ANW-13660', 'Furaldehydes [UN1199]  [Poison]', 'SBB004386', 'STL283124', 'AKOS000118907', 'AM81812', 'EPA Pesticide Chemical Code 067206', 'Furfural, analytical reference material', 'MCULE-5757882837', 'Furfural, natural, &gt;=98%, FCC, FG', 'Furfural, SAJ first grade, &gt;=99.0%', 'NCGC00091328-02', 'NCGC00091328-03', 'NCGC00091328-04', 'NCGC00253954-01', 'NCGC00259740-01', 'BP-31002', 'SC-18048', 'DB-003668', 'LS-162370', 'CS-0015696', 'F0073', 'FT-0612462', 'NS00003316', 'ST50213385', 'U1199', 'C14279', 'Furfural;2-furaldehyde;2-Furaldehyde;FURFURAL', '72277-EP2277848A1', '72277-EP2308867A2', '72277-EP2308870A2', 'A845786', 'Q412429', 'F1294-0048', 'UNII-N4G9GAT76C component HYBBIBNJHNGZAN-UHFFFAOYSA-N', '39276-09-0']</t>
  </si>
  <si>
    <t>Compound(7362)</t>
  </si>
  <si>
    <t>C5H4O2</t>
  </si>
  <si>
    <t>methyl 2-[N-(furan-2-carbonyl)-2,6-dimethylanilino]propanoate</t>
  </si>
  <si>
    <t>['Furalaxyl', '57646-30-7', 'Fonganil', 'Fongarid', 'Furalaxyl [BSI:ISO]', 'Methyl N-(2-furoyl)-N-(2,6-xylyl)-DL-alaninate', 'EINECS 260-875-1', 'A 5430', 'CGA 38140', 'Methyl N-(2,6-dimethylphenyl)-N-(2-furylcarbonyl)-DL-alaninate', 'CHEBI:82787', 'Methyl N-(2,6-dimethylphenyl)-N-(2-furoyl)-DL-alaninate', 'ALANINE, N-(2-FUROYL)-N-(2,6-XYLYL)-, METHYL ESTER, DL-', 'Methyl N-(2,6-dimethylphenyl)-N-(2-furanylcarbonyl)-DL-alaninate', 'DL-Alanine, N-(2,6-dimethylphenyl)-N-(2-furanylcarbonyl)-, methyl ester', 'W-111142', 'methyl 2-[N-(furan-2-carbonyl)-2,6-dimethylanilino]propanoate', 'Fongaride', 'DSSTox_CID_27543', 'DSSTox_RID_82408', 'DSSTox_GSID_47543', 'SCHEMBL22528', 'CHEMBL3183557', 'DTXSID4047543', 'CTK8F9958', 'Tox21_302489', 'CGA-38140', 'AKOS015903108', 'N-(2,6-Dimethylphenyl)-N-(2-furanylcarbonyl)-DL-alanine methyl ester (9CI)', 'AC01003', 'Furalaxyl 10 microg/mL in Cyclohexane', 'NCGC00256891-01', 'LS-16121', 'CAS-57646-30-7', 'FT-0716026', 'NS00000526', 'Furalaxyl, PESTANAL(R), analytical standard', 'C10941', 'methyl N-(2,6-dimethylphenyl)-N-2-furoylalaninate', 'Methyl 2-(2-furoyl-2,6-dimethylanilino)propanoate #', 'Q19280071', 'methyl 2-(N-(2,6-dimethylphenyl)furan-2-carboxamido)propanoate', 'Methyl N-(2,6-dimethylphenyl)-N-(2-furylcarbonyl)-dlalaninate', 'methyl2-(N-(2,6-dimethylphenyl)furan-2-carboxamido)propanoate', 'methyl 2-[N-(furan-2-carbonyl)-2,6-dimethyl-anilino]propanoate', 'Methyl N-(2,6-dimethylphenyl)-N-(2-furanylcarbonyl)-dl-alanine', 'N-(2,6-Dimethylphenyl)-N-(2-furanylcarbonyl)-DL-alanine methyl ester', '2-(N-[2-furanyl(oxo)methyl]-2,6-dimethylanilino)propanoic acid methyl ester', 'DL-Alanine, N-(2,6-dimethylphenyl)-N-(2-furanylcarbonyl)-, methyl ester (9CI)', '66063-54-5', 'methyl N-(2,6-dimethylphenyl)-N-(2-furylcarbonyl)-DL-alaninate;Methyl N-(2,6-dimethylphenyl)-N-(2-furylcarbonyl)-DL-alaninate']</t>
  </si>
  <si>
    <t>Compound(42504)</t>
  </si>
  <si>
    <t>N-cyclohexyl-N-methoxy-2,5-dimethylfuran-3-carboxamide</t>
  </si>
  <si>
    <t>['Furmecyclox', 'Campogran', 'Furmetamide', 'Epic', '60568-05-0', 'Xyligen B', 'N-Cyclohexyl-N-methoxy-2,5-dimethyl-3-furamide', 'Epic Algaecide', 'Caswell No. 907B', 'BAS 389F', 'BAS 389', 'Furmecyclox [BSI:ISO]', 'GUS 215', 'UNII-S3UB8K4YYS', 'EINECS 262-302-0', 'S3UB8K4YYS', 'EPA Pesticide Chemical Code 122601', '3-FURANCARBOXAMIDE, N-CYCLOHEXYL-N-METHOXY-2,5-DIMETHYL-', 'N-Cyclohexyl-N-methoxy-2,5-dimethyl-3-furancarboxamide', 'N-cyclohexyl-N-methoxy-2,5-dimethylfuran-3-carboxamide', 'Methyl N-cyclohexyl-2,5-dimethylfuran-3-carbohydroxamate', 'SCHEMBL55842', 'DTXSID2024119', 'CHEBI:82055', 'ZINC2001102', 'Furmecyclox 10 microg/mL in Cyclohexane', 'LS-70123', 'NS00009436', 'C18912', 'Furmecyclox, PESTANAL(R), analytical standard', 'W-111184', 'Q15632815', 'O-methyl-N-cyclohexyl-2,5-dimethylfuran-3-hydroxamic acid']</t>
  </si>
  <si>
    <t>Compound(43359)</t>
  </si>
  <si>
    <t>C14H21NO3</t>
  </si>
  <si>
    <t>4-chloro-2-(furan-2-ylmethylamino)-5-sulfamoylbenzoic acid</t>
  </si>
  <si>
    <t>['furosemide', '54-31-9', 'Frusemide', 'Lasix', 'Furosemid', 'Furanthril', 'Errolon', 'Fusid', 'Aisemide', 'Beronald', 'Desdemin', 'Frusemin', 'Fuluvamide', 'Furanthryl', 'Furantril', 'Fursemide', 'Lowpstron', 'Macasirool', 'Prefemin', 'Rosemide', 'Trofurit', 'Fulsix', 'Furesis', 'Katlex', 'Lasilix', 'Radonna', 'Seguril', 'Transit', 'Lasex', 'Salix', 'Urex', 'Eutensin', 'Frusetic', 'Fursemid', 'Promedes', 'Frusid', 'Lazix', 'Frusemid', 'Frusenex', 'Furanturil', 'Furosedon', 'Profemin', 'Urosemide', 'Aluzine', 'Diural', 'Dryptal', 'Impugan', 'Nicorol', 'Rusyde', 'Uremide', 'Uresix', 'Yidoli', 'Disal', 'Laxur', 'Urian', 'Apo-Frusemide', 'Hydro-rapid', 'Anfuramaide', 'Arasemide', 'Bioretic', 'Disemide', 'Diurapid', 'Diurolasa', 'Diusemide', 'Durafurid', 'Fluidrol', 'Frusedan', 'Fuluvamine', 'Furobeta', 'Furodiurol', 'Furodrix', 'Furorese', 'Furosemix', 'Furoside', 'Furosifar', 'Furovite', 'Fursemida', 'Hissuflux', 'Hydroled', 'Jenafusid', 'Lasiletten', 'Logirene', 'Lowpston', 'Marsemide', 'Moilarorin', 'Novosemide', 'Protargen', 'Radisemide', 'Selectofur', 'Sigasalur', 'Spirofur', 'Synephron', 'Zafimida', 'Aldalix', 'Aquarid', 'Aquasin', 'Cetasix', 'Dirine', 'Discoid', 'Diurin', 'Diusil', 'Diuzol', 'Dranex', 'Edemid', 'Edenol', 'Endural', 'Farsix', 'Franyl', 'Frumex', 'Frumide', 'Frusema', 'Furetic', 'Furfan', 'Furmid', 'Furocot', 'Furomen', 'Furomex', 'Furosan', 'Furose', 'Furosix', 'Furoter', 'Fursol', 'Hydrex', 'Kofuzon', 'Kolkin', 'Kutrix', 'Lasemid', 'Liside', 'Luscek', 'Mirfat', 'Nelsix', 'Odemase', 'Odemex', 'Oedemex', 'Promide', 'Puresis', 'Radouna', 'Salinex', 'Salurex', 'Salurid', 'Uridon', 'Uritol', 'Aldic', 'Depix', 'Desal', 'Eliur', 'Fluss', 'Furex', 'Furix', 'Golan', 'Hydro', 'Nadis', 'Retep', 'Rosis', 'Vesix', 'Mita', 'Apo-Furosemide', 'Furo-puren', 'Lasix Retard', 'Polysquall A', 'less Diur', 'Neo-renal', 'Furo-Basan', '4-Chloro-N-furfuryl-5-sulfamoylanthranilic acid', 'Furosemidu', 'Furosemidum', 'Urex-M', 'Nephron', 'Furomide M.D.', 'Furosemida', 'Osyrol', 'Furosemidu [Polish]', '4-Chloro-N-(2-furylmethyl)-5-sulfamoylanthranilic acid', 'Furosemidum [INN-Latin]', 'Furosemida [INN-Spanish]', 'LB 502', '5-(Aminosulfonyl)-4-chloro-2-[(2-furylmethyl)amino]benzoic acid', '2-Furfurylamino-4-chloro-5-sulfamoylbenzoic acid', 'Benzoic acid, 5-(aminosulfonyl)-4-chloro-2-[(2-furanylmethyl)amino]-', 'Furosemide "mita"', 'NCI-C55936', 'Lasix (TN)', 'Diumide-K', 'LB-502', '4-Chloro-5-sulfamoyl-N-furfuryl-anthranilic acid', 'UNII-7LXU5N7ZO5', 'C12H11ClN2O5S', 'CCRIS 1951', '4-chloro-2-[(furan-2-ylmethyl)amino]-5-sulfamoylbenzoic acid', 'Chlor-N-(2-furylmethyl)-5-sulfamylanthranilsaeure', "furosemide ''mita''", 'Anthranilic acid, 4-chloro-N-furfuryl-5-sulfamoyl-', 'HSDB 3086', 'CHEMBL35', 'EINECS 200-203-6', '4-Chloro-2-((furan-2-ylmethyl)amino)-5-sulfamoylbenzoic acid', '106391-48-4', 'NSC 269420', 'Benzoic acid, 5-(aminosulfonyl)-4-chloro-2-((2-furanylmethyl)amino)-', 'BRN 0840915', '7LXU5N7ZO5', 'Chlor-N-(2-furylmethyl)-5-sulfamylanthranilsaeure [German]', 'CHEBI:47426', '5-(Aminosulfonyl)-4-chloro-2-((2-furanylmethyl)amino)benzoic acid', '5-(Aminosulfonyl)-4-chloro-2-[(2-furanylmethyl)amino]benzoic acid', 'NSC-269420', 'Furosemide, 97+%', '4-chloro-2-(furan-2-ylmethylamino)-5-sulfamoylbenzoic acid', 'CAS-54-31-9', 'NCGC00016241-06', '4-chloro-2-[(2-furylmethyl)amino]-5-sulfamoylbenzoic acid', 'Furantral', 'Myrosemide', 'Sal diureticum', '4-chloro-2-{[(furan-2-yl)methyl]amino}-5-sulfamoylbenzoic acid', 'DSSTox_CID_648', 'DSSTox_RID_75710', 'DSSTox_GSID_20648', 'FUN', 'fulvamide', 'Furosemide mita', 'Furosemide oral', '5-(Aminosulfonyl)-4-chloro-2-([2-furanylmethyl]amino)benzoic acid', '5-(aminosulfonyl)-4-chloro-2-[(furan-2-ylmethyl)amino]benzoic acid', 'Fu sid', 'Furomide M.D', 'SMR000058202', 'Furosemide [USAN:INN:JAN]', 'FUROSEMIDE USP', 'SR-01000765380', 'Hoe-058A', 'Neosemid', 'Zafurida', 'Furosemide, 4', 'Urex M', 'furosemide (lasix)', 'Prestwick_752', 'Furosemide(Lasix)/', 'Furosemide;furosemide', 'Frumil (Salt/Mix)', 'PubChem7165', 'Furosemide [USAN:USP:INN:BAN:JAN]', 'Spectrum_001100', '1z9y', 'Prestwick0_000341', 'Prestwick1_000341', 'Prestwick2_000341', 'Prestwick3_000341', 'Spectrum2_001005', 'Spectrum3_000437', 'Spectrum4_000560', 'Spectrum5_000744', 'F0182', 'ACMC-20e7w6', 'UPCMLD-DP022', 'SCHEMBL9811', 'Oprea1_667724', 'BSPBio_000401', 'BSPBio_002054', 'KBioGR_001259', 'KBioSS_001580', '5-18-09-00555 (Beilstein Handbook Reference)', 'KSC181M1P', 'MLS001066374', 'MLS001306403', 'MLS002548896', 'ARONIS24304', 'BIDD:GT0139', 'DivK1c_000575', 'SPECTRUM1500310', 'SPBio_001129', 'SPBio_002322', 'BPBio1_000443', 'Furosemide (JP17/USP/INN)', 'GTPL4839', 'DTXSID6020648', 'UPCMLD-DP022:001', 'BDBM25902', 'CTK0I1617', 'HMS501M17', 'KBio1_000575', 'KBio2_001580', 'KBio2_004148', 'KBio2_006716', 'KBio3_001274', 'ZINC35804', '4-chloro-2-(2-furylmethylamino)-5-sulfamoyl-benzoic acid', 'BBC/460', 'NINDS_000575', 'HMS1569E03', 'HMS1920B03', 'HMS2090K06', 'HMS2091H05', 'HMS2096E03', 'HMS2233H03', 'HMS3259M03', 'HMS3370J22', 'HMS3655E09', 'HMS3713E03', 'HMS3874G03', 'Pharmakon1600-01500310', 'Furosemide 1.0 mg/ml in Methanol', 'ALBB-019200', 'HY-B0135', 'ZX-AN034923', 'ZX-AS004664', 'ZX-AT016383', 'Tox21_110322', 'Tox21_202213', 'Tox21_302971', 'ABP000639', 'BBL027780', 'BG0201', 'CCG-40223', 'MFCD00010549', 'NSC269420', 'NSC757039', 'OR5475', 'SBB012613', 'STK177334', 'WLN: T5OJ B1MR CG FVQ DSZW', 'AKOS000266625', 'Tox21_110322_1', 'API0002772', 'BCP9000708', 'CS-1915', 'DB00695', 'KS-1226', 'MCULE-8037874224', 'NC00453', 'NSC-757039', 'IDI1_000575', 'SMP1_000129', 'NCGC00016241-01', 'NCGC00016241-02', 'NCGC00016241-03', 'NCGC00016241-04', 'NCGC00016241-05', 'NCGC00016241-07', 'NCGC00016241-08', 'NCGC00016241-10', 'NCGC00016241-11', 'NCGC00090893-01', 'NCGC00090893-02', 'NCGC00090893-03', 'NCGC00090893-05', 'NCGC00090893-06', 'NCGC00256523-01', 'NCGC00259762-01', 'AC-11067', 'BP-13261', 'CC-28906', 'H788', 'SC-05214', 'ST005581', 'SBI-0051389.P003', 'AB0007947', 'DB-052536', 'AB00052001', 'NS00008630', 'SW196894-3', '54F319', 'C07017', 'D00331', 'J10011', 'K-9798', 'AB00052001-10', 'AB00052001-11', 'AB00052001_12', 'AB00052001_13', 'A830094', 'C-20036', 'Q388801', 'SR-01000765380-2', 'SR-01000765380-3', 'SR-01000765380-7', 'BRD-K78010432-001-05-8', 'BRD-K78010432-001-10-8', 'Z275128584', '4-chloro-2-(2-furanylmethylamino)-5-sulfamoylbenzoic acid', 'Furosemide, British Pharmacopoeia (BP) Reference Standard', 'Furosemide, European Pharmacopoeia (EP) Reference Standard', '4-chloranyl-2-(furan-2-ylmethylamino)-5-sulfamoyl-benzoic acid', 'Furosemide, United States Pharmacopeia (USP) Reference Standard', '4-CHLORO-N-FURFURYL-5-SULFAMOYLANTHRANILIC ACID pound&gt;&gt;Fu', '5-(Aminosulfamyl)-4-chloro-2-[(2-furanylmethyl)amino]benzoic acid', '5-(Aminosulfonyl)-4-chloro-2-[(2-furylmethyl)amino]benzoic acid #', '4-CHLORO-N-FURFURYL-5-SULFAMOYLANTHRANILIC ACID pound&gt;&gt;Furosemide', 'Furosemide, Pharmaceutical Secondary Standard; Certified Reference Material', 'Furosemide for peak identification, European Pharmacopoeia (EP) Reference Standard', 'Furosemide solution, 1.0 mg/mL in methanol, ampule of 1 mL, certified reference material']</t>
  </si>
  <si>
    <t>Compound(3440)</t>
  </si>
  <si>
    <t>C12H11ClN2O5S</t>
  </si>
  <si>
    <t>(2,2-dimethyl-3H-1-benzofuran-7-yl) N-[butoxycarbonyl(methyl)amino]sulfanyl-N-methylcarbamate</t>
  </si>
  <si>
    <t>['Furathiocarb', '65907-30-4', 'Deltanit', 'Deltanet', 'Promet', 'Promet 660SCO', 'UNII-WZI2IZ80UY', 'Furathiocarb [BSI:ISO]', 'CGA 73102', 'HSDB 6664', 'EINECS 265-974-3', 'WZI2IZ80UY', 'Butyl 2,3-dihydro-2,2-dimethylbenzofuran-7-yl N,N-dimethyl-N,N-thiodicarbamate', 'CHEBI:38504', '2,3-Dihydro-2,2-dimethyl-7-benzofuranyl 2,4-dimethyl-5-oxo-6-oxa-3-thia-2,4-diazadecanoate', '6-Oxa-3-thia-2,4-diazadecanoic acid, 2,4-dimethyl-5-oxo-, 2,3-dihydro-2,2-dimethyl-7-benzofuranyl ester', '2,3-Dihydro-2,2-dimethyl-7-benzofuryl 2,4-dimethyl-6-oxa-5-oxo-3-thia-2,4-diazadecanoate', 'butyl 2,2-dimethyl-2,3-dihydro-1-benzofuran-7-yl sulfanediylbis(methylcarbamate)', 'Benzofuran, 2,3-dihydro-2,2-dimethyl-7-(N-(N-methyl-N-butoxycarbonylaminothio)-N-methylcarbamoyloxy)-', 'Promet 666SCO', 'SCHEMBL26806', 'CHEMBL1551453', 'DTXSID3052725', 'ZINC5514002', 'AKOS015902770', '(2,2-dimethyl-3H-1-benzofuran-7-yl) N-[butoxycarbonyl(methyl)amino]sulfanyl-N-methylcarbamate', 'NCGC00166193-01', '2,3-Dihydro-2,2-dimethyl-7-benzofuranyl 2,4-dimethyl-5-oxo-6-oxa-3-thia-2,4-diazadecanoate (9CI)', 'CC-28893', 'LS-35056', 'DB-054853', 'Furathiocarb 100 microg/mL in Acetonitrile', 'FT-0630757', 'NS00000148', 'C18650', 'Furathiocarb, PESTANAL(R), analytical standard', '907F304', 'C-21357', 'Q1474820', "butyl 2,3-dihydro-2,2-dimethylbenzofuran-7-yl n,n'-dimethyl-n,n'-thiodicarbamate", 'Benzofuran, 2,3-dihydro-2,2-dimethyl-7-(n-(n-methyl-n-butoxycarbonylaminothio)-n-methylcarbamate', "Pesticide2_Furathiocarb_C18H26N2O5S_Butyl 2,3-dihydro-2,2-dimethylbenzofuran-7-yl-N,N'-dimethyl-N,N'-thiodicarbamate"]</t>
  </si>
  <si>
    <t>Compound(47759)</t>
  </si>
  <si>
    <t>C18H26N2O5S</t>
  </si>
  <si>
    <t>furazolidone</t>
  </si>
  <si>
    <t>3-[(E)-(5-nitrofuran-2-yl)methylideneamino]-1,3-oxazolidin-2-one</t>
  </si>
  <si>
    <t>['furazolidone', 'Nitrofurazolidone', 'Furoxone', 'Furazolidine', 'Nitrofuroxon', '67-45-8', 'Furazolidon', 'Diafuron', 'Furaxone', 'Furazol', 'Furazon', 'Furidon', 'Nitrofurazolidonum', 'Furozolidine', 'Nifurazolidone', 'Coryzium', 'Furoxane', 'Nifulidone', 'Roptazol', 'Tikofuran', 'Topazone', 'Trichofuron', 'Tricofuron', 'Tricoron', 'Trifurox', 'Furall', 'Furaxon', 'Furoxal', 'Furoxon', 'Giardil', 'Giarlam', 'Medaron', 'Neftin', 'Nicolen', 'Optazol', 'Ortazol', 'Puradin', 'Corizium', 'Enterotoxon', 'Sclaventerol', 'Viofuragyn', 'Bifuron', 'Furovag', 'Nifuran', 'Furox', 'Furoxone Swine Mix', 'Usaf ea-1', "3-(5'-Nitrofurfuralamino)-2-oxazolidone", 'N-(5-Nitro-2-furfurylidene)-3-amino-2-oxazolidone', 'Furazolidona', 'Furazolidonum', 'NF 180 custom mix ten', '3-(5-Nitrofurfurylideneamino)-2-oxazolidinone', '5-Nitro-N-(2-oxo-3-oxazolidinyl)-2-furanmethanimine', 'N-(5-Nitro-2-furfurylidene)-3-aminooxazolidine-2-one', '3-[(5-Nitrofurfurylidene)amino]-2-oxazolidinone', 'Nifurazolidonum', 'Furazolum', '3-((5-Nitrofurylidene)amino)-2-oxazolidone', '3-((5-Nitrofurfurylidene)amino)-2-oxazolidone', '3-((5-Nitrofurfurylidene)amino)-2-oxazolidinone', '3-[(5-Nitrofurylidene)amino]-2-oxazolidone', '3-(((5-Nitro-2-furanyl)methylene)amino)-2-oxazolidinone', '3-[(5-Nitrofurfurylidene)amino]-2-oxazolidone', '3-{[(5-nitrofuran-2-yl)methylidene]amino}-1,3-oxazolidin-2-one', '3-[(E)-(5-nitrofuran-2-yl)methylideneamino]-1,3-oxazolidin-2-one', '2-Furanmethanimine, 5-nitro-N-(2-oxo-3-oxazolidinyl)-', 'MLS000069727', '3-[[(5-Nitro-2-furanyl)methylene]amino]-2-oxazolidinone', '3-{[(5-Nitro-2-furanyl)methylene]amino}-2-oxazolidinone', 'Furazolidonum [INN-Latin]', 'NSC6469', 'F-8900', 'Furazolidona [INN-Spanish]', 'NF-180', 'NSC-6469', '2-Oxazolidinone, 3-((5-nitrofurfurylidine)amino)-', '2-Oxazolidinone, 3-[[(5-nitro-2-furanyl)methylene]amino]-', 'MFCD00010550', 'NF 180', 'NCGC00095304-02', 'Furox Aerosol Powder (Veterinary)', 'SMR000058228', 'UNII-5J9CPU3RE0', 'DSSTox_CID_21997', 'DSSTox_RID_79899', 'DSSTox_GSID_41997', '2-Oxazolidinone, 3-((5-nitrofurfurylidene)amino)-', 'CCRIS 1540', 'Fiurox aerosol powder', 'HSDB 7036', 'NSC 6469', 'EINECS 200-653-3', 'Furazolidone [INN:BAN]', '2-Oxazolidinone, 3-(((5-nitro-2-furanyl)methylene)amino)-', 'Furoxone (TN)', 'FZL', 'AI3-50103', '3-((5-Nitrofurfurylidine)amino)-2-Oxazolidinone', '3-[(5-Nitrofurfurylidine)amino]-2-Oxazolidinone', '5J9CPU3RE0', 'SR-05000001632', '2-Oxazolidinone, 3-[(5-nitrofurfurylidene)amino]-', '2-Oxazolidinone, 3-[(5-nitrofurfurylidine)amino]-', 'Furazolidone (USP/INN)', 'CHEBI:5195', '3-{[(5-nitro-2-furyl)methylene]amino}-1,3-oxazolidin-2-one', '3-[(1E)-2-(5-nitro(2-furyl))-1-azavinyl]-1,3-oxazolidin-2-one', 'CAS-67-45-8', 'component of Topazone', 'component of Tricofuron', 'Opera_ID_256', 'Prestwick2_000808', 'Prestwick3_000808', 'Spectrum5_000742', 'CHEMBL1103', 'SCHEMBL64996', 'BSPBio_000675', 'BSPBio_002052', 'MLS001304180', 'BIDD:GT0182', 'SPECTRUM1500309', 'BPBio1_000743', 'HMS500E07', '3-[(E)-(5-nitro-2-furyl)methyleneamino]oxazolidin-2-one', '3-[[(5-Nitro-2-furanyl)methylene]-amino]-2-oxazolidinone', 'HMS1920O22', 'HMS2091H03', 'Pharmakon1600-01500309', 'HY-B1336', 'ZINC7997571', 'Tox21_111502', '3-{[(E)-(5-nitrofuran-2-yl)methylidene]amino}-1,3-oxazolidin-2-one', 'CCG-40233', 'GA1580', 'NSC757038', 's4528', 'SBB057396', 'STK388219', 'AKOS001678302', 'Furazolidone, Vetec(TM) reagent grade', 'Tox21_111502_1', 'CCG-266758', 'CS-4897', 'DB00614', 'NE48875', 'NSC-757038', 'IDI1_000085', 'WLN: T5OJ BNW E1UN- AT5NVOTJ', 'NCGC00095304-01', 'NCGC00095304-03', 'NCGC00095304-04', 'NCGC00095304-05', 'NCGC00188974-01', 'AC-11695', 'H863', 'SC-12651', 'ST024756', 'SBI-0051388.P003', 'LS-100676', 'AB00443658', 'NS00003471', '3-(5-nitrofurfurylideneamino)oxazolidin-2-one', 'A16011', 'C07999', 'D00830', 'AB00052000_03', 'Furazolidone, VETRANAL(TM), analytical standard', 'A835757', 'Furazolidone, Antibiotic for Culture Media Use Only', 'SR-05000001632-1', 'SR-05000001632-3', 'BRD-K10647544-001-02-0', 'BRD-K11756522-001-03-2', 'BRD-K11756522-001-04-0', '3-[(E)-(5-nitro-2-furanyl)methylideneamino]-2-oxazolidinone', '3-[[(5-Nitro-2-furanyl)methylene]amino]-2-oxazolidinone, 9CI', '3-([(5-Nitro-2-furyl)methylidene]amino)-1,3-oxazolidin-2-one #', '3-{[(1E)-(5-nitro-2-furyl)methylene]amino}-1,3-oxazolidin-2-one', 'Furazolidone, United States Pharmacopeia (USP) Reference Standard']</t>
  </si>
  <si>
    <t>Compound(5323714)</t>
  </si>
  <si>
    <t>C8H7N3O5</t>
  </si>
  <si>
    <t>phycocyanin</t>
  </si>
  <si>
    <t>phytol</t>
  </si>
  <si>
    <t>(E,7R,11R)-3,7,11,15-tetramethylhexadec-2-en-1-ol</t>
  </si>
  <si>
    <t>['Phytol', 'trans-Phytol', '150-86-7', '(E)-Phytol', '2-Hexadecen-1-ol, 3,7,11,15-tetramethyl-, (2E,7R,11R)-', 'UNII-MZQ4XE15TP', 'CHEBI:17327', '(E,7R,11R)-3,7,11,15-tetramethylhexadec-2-en-1-ol', 'EINECS 205-776-6', 'MZQ4XE15TP', 'BRN 1726098', '3,7,11,15-Tetramethylhexadec-2-en-1-ol', 'AI3-24344', '(2E,7R,11R)-3,7,11,15-tetramethyl-2-hexadecen-1-ol', '(2E,7R,11R)-3,7,11,15-tetramethylhexadec-2-en-1-ol', '3,7,11,15-TETRAMETHYL-2-HEXADECEN-1-OL', '3R,7R,11R,15-tetramethyl-2E-hexadecen-1-ol', '2-Hexadecen-1-ol, 3,7,11,15-tetramethyl-, (theta-(theta,theta-(E)))-', 'Phytol,mixture of isomers', '2-Hexadecen-1-ol, 3,7,11,15-tetramethyl-, (R-(R*,R*-(E)))-', '7541-49-3', 'CCRIS 8226', '2-Hexadecen-1-ol, 3,7,11,15-tetramethyl-, [R-[R*,R*-(E)]]-', 'AK112311', 'Phytol, E-', '(Z,E)-phytol', '(2E)(7R,11R)-3,7,11,15-tetramethylhexadec-2-en-1-ol', 'SCHEMBL22783', 'SCHEMBL22785', '3,7,11,15-teramethyl-2-hexadecene-1-ol-, (2E,7R,11R)-', '3,7,11,15-Tetramethyl-2-hexadecen-1-ol-, (2E,7R,11R)-', '4-01-00-02208 (Beilstein Handbook Reference)', 'CHEMBL1644111', 'DTXSID1040586', '102608-53-7', 'HY-N3075', 'ZINC3861087', 'BDBM50041288', 'AKOS015841769', 'EBD2203590', 'LMPR0104010002', 'AS-18094', 'LS-109572', 'CS-0023163', 'P0411', 'W1330', '3,7,11,15-tetramethyl-2-hexadecen-1-ol;', '3267-EP2305825A1', 'C01389', 'A809083', 'Q415945', 'EF32FF86-42DC-475E-935A-5C0AE6F1CAA0', '(E,7R,11R)-3,7,11,15-tetramethyl-2-hexadecen-1-ol', 'UNII-5BC2RZ81NG component BOTWFXYSPFMFNR-PYDDKJGSSA-N', '2-Hexadecen-1-ol, 3,7,11,15-tetramethyl-, (R-(R*,R*-(E)))- (9CI)', 'Phytol;(2E,7R,11R)-Phytol;2-Hexadecen-1-ol, 3,7,11,15-tetramethyl-;PHYTOL']</t>
  </si>
  <si>
    <t>Compound(5280435)</t>
  </si>
  <si>
    <t>C20H40O</t>
  </si>
  <si>
    <t>gabapentin</t>
  </si>
  <si>
    <t>2-[1-(aminomethyl)cyclohexyl]acetic acid</t>
  </si>
  <si>
    <t>['gabapentin', '60142-96-3', 'Neurontin', '1-(Aminomethyl)cyclohexaneacetic acid', 'Gabapentine', 'Aclonium', '2-[1-(aminomethyl)cyclohexyl]acetic acid', 'Gabapetin', 'Gabapentinum', 'Fanatrex', 'Gabapentino', 'Serada', '[1-(AMINOMETHYL)CYCLOHEXYL]ACETIC ACID', 'Gabapentino [Spanish]', 'Cyclohexaneacetic acid, 1-(aminomethyl)-', 'gabapentina', 'Gabapentine [INN-French]', 'Gabapentinum [INN-Latin]', 'Gralise', 'Gabapentino [INN-Spanish]', 'Go 3450', '2-(1-(aminomethyl)cyclohexyl)acetic acid', 'Goe-3450', 'GOE 2450', 'CI 945', 'CI-945', 'gabapentin (Neurontin)', '(1-Aminomethyl-cyclohexyl)-acetic acid', 'DM-1796', 'UNII-6CW7F3G59X', 'Gabarone', '1-(Aminomethyl)-cyclohexaneacetic acid', 'DM-5689', 'C9H17NO2', 'CCRIS 7210', 'HSDB 7364', 'GOE 3450', 'EINECS 262-076-3', 'CHEMBL940', 'BRN 2359739', '6CW7F3G59X', 'CHEBI:42797', 'NCGC00015466-08', 'Gabapen', 'DSSTox_CID_74', 'Vultin', 'CAS-60142-96-3', 'Gabapentin GR', 'DSSTox_RID_75350', 'DSSTox_GSID_20074', 'GBN', 'gabapentinium', 'Neuontin', 'Sefelsa', 'Therapentin-90', 'Neurontin (TN)', 'Gabapentin [USAN:INN:BAN]', 'SR-01000000019', 'Neurentin', 'Gabapentin-ER', 'Novo-Gabapentine', 'Gabapentin, solid', 'Gabapentin [USAN:USP:INN:BAN]', 'DDS-2003', 'Prestwick_151', 'Gralise (TN)', 'Neurontin,Gabapentin', 'MFCD00865286', 'Tocris-0806', 'Gabapentin_2561_ p', 'Lopac-G-154', 'Prestwick0_000861', 'Prestwick1_000861', 'Prestwick2_000861', 'Prestwick3_000861', 'G-154', 'SCHEMBL8343', 'GABAPENTIN; NEURONTIN', 'Lopac0_000582', 'BSPBio_000901', 'Gabapentin (JAN/USP/INN)', 'KSC492E1H', 'MLS000069358', 'BIDD:GT0656', 'SPBio_002822', 'BPBio1_000993', 'GTPL5483', 'ZINC4949', 'DTXSID0020074', 'CTK3J2213', 'HMS1570N03', 'HMS2089J03', 'HMS2097N03', 'HMS2236O03', 'HMS3261F06', 'HMS3650A20', 'HMS3714N03', '1-aminomethyl cyclohexaneacetic acid', '1-aminomethylcyclohexane acetic acid', 'ACT03340', 'BCP25698', 'HY-A0057', 'KS-00000AF6', '1-(aminomethyl)cyclohexanacetic acid', '1-(Aminomethyl)cyclohexaneaceticAcid', 'Tox21_110157', 'Tox21_500582', 'ANW-43124', 'BBL010794', 'BDBM50080153', 'NSC742194', 's2133', 'SBB066157', 'STK598009', '1-(aminomethyl)cyclohexyl-acetic Acid', 'AKOS000280865', 'Tox21_110157_1', '1-Aminomethyl-1cyclohexane-acetic acid', '2-[(aminomethyl)cyclohexyl]acetic acid', 'AB07485', 'AC-1485', 'CCG-204671', 'CS-1545', 'DB00996', 'KS-1064', 'LP00582', 'LS-7194', 'MCULE-5392848565', 'NSC-742194', 'SDCCGSBI-0050564.P002', '1-aminomethyl-1-cyclohexane-acetic acid', 'NCGC00015466-01', 'NCGC00015466-02', 'NCGC00015466-03', 'NCGC00015466-04', 'NCGC00015466-05', 'NCGC00015466-06', 'NCGC00015466-07', 'NCGC00015466-09', 'NCGC00015466-11', 'NCGC00016891-01', 'NCGC00021545-02', 'NCGC00021545-04', 'NCGC00021545-05', 'NCGC00261267-01', 'BR-35803', 'SC-12130', 'SMR000058311', 'SBI-0206904.P001', 'AB0068842', 'AM20070538', 'EU-0100582', 'FT-0626586', 'FT-0668920', 'G0318', 'NS00000335', 'EN300-52516', '42G963', 'C07018', 'D00332', 'M-2788', 'L000733', 'Q410352', 'SR-01000000019-2', 'SR-01000000019-6', 'SR-01000000019-11', 'Z1258578343', 'Gabapentin, European Pharmacopoeia (EP) Reference Standard', 'Gabapentin, United States Pharmacopeia (USP) Reference Standard', 'Gabapentin, Pharmaceutical Secondary Standard; Certified Reference Material', 'Gabapentin solution, 1.0 mg/mL in methanol, ampule of 1 mL, certified reference material', 'Gabapentin solution, 10 mg/mL in methanol, ampule of 1 mL, certified reference material']</t>
  </si>
  <si>
    <t>Compound(3446)</t>
  </si>
  <si>
    <t>C9H17NO2</t>
  </si>
  <si>
    <t>gabapentin-lactam</t>
  </si>
  <si>
    <t>2-azaspiro[4.5]decan-3-one</t>
  </si>
  <si>
    <t>['2-azaspiro[4.5]decan-3-one', '64744-50-9', 'Gabapentin-lactam', '4,4-Pentamethylene-2-pyrrolidinone', '3,3-Pentamethylene-4-butyrolactam', '2-Azaspiro-[4,5]-Decan-3-One', 'Gabapentin lactam', '3-Azaspiro[4.5]decan-2-one', '2-AZASPIRO(4,5)DECAN-3-ONE', 'BRN 0119500', '2-Aza-spiro[4.5]decan-3-one', 'UNII-0IP6953295', 'beta,beta-Pentamethylen-gamma-butyrolactam [German]', '0IP6953295', '2-Azaspiro(4.5)decan-3-one', 'Gabapentin Related Compound A', 'PubChem15198', 'PubChem20713', 'beta,beta-Pentamethylen-gamma-butyrolactam', 'EC 451-630-1', '5-21-07-00071 (Beilstein Handbook Reference)', 'SCHEMBL483007', 'A gabapentin dehydration product', '3,3-Pentenylene-4-butyrolactam', '8-aza-spiro[5,4]decan-9-on', 'CHEMBL3115477', 'CTK3J6610', '2-Aza-spiro[4,5]decan-3-one', 'DTXSID40215070', '4,4-Pentamethylene-2-pyrrolidone', '3,3-Pentamethylene-4-butyrolactum', 'ACT02804', 'ALBB-013331', 'KS-00000E6W', 'ZINC1845277', "3,3'-Pentamethylene-4-butyrolactam", '2-Pyrrolidone, 4,4-pentamethylene-', 'ANW-43503', 'CG0026', 'MFCD00177938', 'SBB051418', 'STL450936', 'AKOS005169332', 'AC-8435', 'KS-5267', 'LS41265', 'MCULE-6823485026', '2-PYRROLIDONE,4,4-PENTAMETHYLENE', 'AK-86397', 'LS-22729', 'SC-12106', 'SY006466', '4,4-Pentamethylene-2-pyrrolidinone, 96%', 'AB0012338', '1-(Aminomethyl)cyclohexaneacetic acid lactam', 'CS-0096868', 'FT-0640970', 'NS00011447', 'P1695', 'EN300-94425', '44G509', 'M-3140', '.beta.,.beta.-Pentamethylen-.gamma.-butyrolactam', 'Q-200416', 'Q27236831', 'Z1270207933', 'Gabapentin EP Impurity A; Gabapentin USP Related Compound A', '2-Azaspiro[4.5]decan-3-one (3,3-Pentamethylene-4-butyrolactam)', 'Gabapentin impurity A, European Pharmacopoeia (EP) Reference Standard', 'Gabapentin Related Compound A, United States Pharmacopeia (USP) Reference Standard', '4,4-PENTAMETHYLENE-2-PYRROLIDONE(Gabapentin Related Compound A)(Gabapentin Impurity A), Pharmaceutical Secondary Standard; Certified Reference Material', 'Gabapentin USP Related Compound A; Gabapentin Lactam; 3-Azaspiro-[4,5]decan-3-one; 3,3-Pentamethylene-5-butyrolactam; 4,4-Pentamethylene-2-pyrrolidinone']</t>
  </si>
  <si>
    <t>Compound(47457)</t>
  </si>
  <si>
    <t>C9H15NO</t>
  </si>
  <si>
    <t>gibberellin</t>
  </si>
  <si>
    <t>(1R,2R,5S,8R,9S,10R,11S,12S)-12-hydroxy-11-methyl-6-methylidene-16-oxo-15-oxapentacyclo[9.3.2.15,8.01,10.02,8]heptadecane-9-carboxylic acid;(1R,2R,5S,8R,9S,10R,11S,12S)-12-hydroxy-11-methyl-6-methylidene-16-oxo-15-oxapentacyclo[9.3.2.15,8.01,10.02,8]heptadec-13-ene-9-carboxylic acid</t>
  </si>
  <si>
    <t>['8030-53-3', 'Gibb-3-ene-1,10-dicarboxylic acid, 2,4a-dihydroxy-1-methyl-8-methylene-, 1,4a-lactone, (1?,2?,4a?,4b?,10?)-, mixt. with (1?,2?,4a?,4b?,10?)-2,4a-dihydroxy-1-methyl-8-methylenegibbane-1,10-dicarboxylic acid 1,4a-lactone', 'Gibberellin A4 mixture with Gibberellin A7', 'SCHEMBL3246172', '2,4a-Dihydroxy-1-methyl-8-methylenegibb-3-ene-1,10-dicarboxylic acid 1,4a-lactone, (1alpha,2beta,4aalpha,4bbeta,10beta)-, mixt. with (1alpha,2beta,4aalpha,4bbeta,10beta)-2,4a-dihydroxy-1-methyl-8-methylenegibbane-1,10-dicarboxylic acid 1,4a-lactone', 'Gibb-3-ene-1,10-dicarboxylic acid, 2,4a-dihydroxy-1-methyl-8-methylene-, 1,4a-lactone, (1alpha,2beta,4aalpha,4bbeta,10beta)-, mixt. with (1alpha,2beta,4aalpha,4bbeta,10beta)-2,4a-dihydroxy-1-methyl-8-methylenegibbane-1,10-dicarboxylic acid 1,4a-lactone']</t>
  </si>
  <si>
    <t>Compound(165669)</t>
  </si>
  <si>
    <t>C38H46O10</t>
  </si>
  <si>
    <t>gibberellic acid</t>
  </si>
  <si>
    <t>(1R,2R,5S,8S,9S,10R,11S,12S)-5,12-dihydroxy-11-methyl-6-methylidene-16-oxo-15-oxapentacyclo[9.3.2.15,8.01,10.02,8]heptadec-13-ene-9-carboxylic acid</t>
  </si>
  <si>
    <t>['GIBBERELLIC ACID', '77-06-5', 'Gibberellin', 'Gibberellin A3', 'Gibberellic acid GA3', 'Gibreskol', 'Berelex', 'Brellin', 'Cekugib', 'Grocel', 'Gibberellin X', 'Gib-Tabs', 'Pro-Gibb', 'Pro-Gibb Plus', 'Gib-Sol', 'Gibberellins A4A7', 'Gibefol', 'Gibrescol', 'Regulex', 'Ryzup', 'Activol GA', 'Pgr-iv', 'Acide gibberellique', 'GA3', 'Gibberellins', '(+)-Gibberellic Acid', 'UNII-BU0A7MWB6L', 'Acide gibberellique [ISO-French]', 'NCI-C55823', 'BU0A7MWB6L', 'Gibbrel', 'Gibberellic acid [BSI:ISO]', 'AI3-52922', 'Gibberellinsaeure', 'Gibb-3-ene-1,10-dicarboxylic acid, 2,4a,7-trihydroxy-1-methyl-8-methylene-, 1,4a-lactone, (1alpha,2beta,4aalpha,4bbeta,10beta)-', 'CHEBI:28833', '(3S,3aS,4S,4aS,6S,8aR,8bR,11S)-6,11-Dihydroxy-3-methyl-12-methylene-2-oxo-4a,6-ethano-3,8b-prop-1-enoperhydroindeno[1,2-b]furan-4-carboxylic acid', 'Caswell No. 467', 'NCGC00091033-01', 'DSSTox_CID_656', '2,4a,7-Trihydroxy-1-methyl-8-methylenegibb-3-ene-1,10-dicarboxylic acid 1,4a-lactone', 'DSSTox_RID_75715', 'Gibb-3-ene-1,10-dicarboxylic acid, 2,4a,7-trihydroxy-1-methyl-8-methylene-, 1,4a-lactone', 'DSSTox_GSID_20656', '(1alpha,2beta,4aalpha,4bbeta,10beta)-2,4a,7-Trihydroxy-1-methyl-8-methylenegibb-3-ene-1,10-dicarboxylic acid 1,4a-lactone', '(3S,3aR,4S,4aS,7S,9aR,9bR,12S)-7,12-Dihydroxy-3-methyl-6-methylene-2-oxoperhydro-4a,7-methano-9b,3-propenoazuleno(1,2-b)furan-4-carboxylic acid', '(3S,3aS,4S,4aS,6S,8aS,8bS,11S)-6,11-Dihydroxy-3-methyl-12-methylene-2-oxo-4a,6-ethano-3,8b-prop-1-enoperhydroindeno(1,2-b)furan-4-carboxylic acid', '(3S,3aS,4S,4aS,7S,9aR,9bR,12S)-7,12-Dihydroxy-3-methyl-6-methylene-2-oxoperhydro-4a,7-methano-9b,3-propeno(1,2-b)furan-4-carboxylic acid', '2beta,4aalpha,7-Trihydroxy-1beta-methyl-8-methylene-4aalpha,4bbeta-gibb-3-ene-1alpha,10beta-dicarboxylic acid 1,4a-lactone', '2beta,4alpha,7-Trihydroxy-1-methyl-8-methylene-4aalpha,4bbeta-gibb-3-ene-1alpha,10beta-dicarboxylic acid 1,4a-lactone', '2beta,4alpha,7-Trihydroxy-1-methylene-4aalpha,4bbeta-gibb-3-ene-1alpha,10beta-dicarboxylic acid 1,4a-lactone', 'Gibberelic acid', 'CCRIS 4820', 'HSDB 712', 'EINECS 201-001-0', 'GIBERELLIN', 'MFCD00079329', 'NSC 14190', 'EPA Pesticide Chemical Code 043801', 'BRN 0054346', '(3S,3aS,4S,4aS,6S,8aR,8bR,11S)-6,11-dihydroxy-3-methyl-12-methylene-2-oxo-4a,6-ethano-3,8b-prop-1-enoperhydroindeno(1,2-b)furan-4-carboxylic acid', '2,4alpha,7-Trihydroxy-1-methyl-8-methylenegibb-3-ene-1,10 beta-dicarboxylic acid 1,4alpha-lactone', 'GIBBERELLIC ACID, 90%', 'GA [Plant Growth Regulator]', 'Gibberellic acid [ISO:BSI]', 'NSC14190', 'NSC19450', 'gibberellin 3', 'Gibberellin Acid', '4psb', '2,7-Trihydroxy-1-methyl-8-methylenegibb-3-ene-1,10-carboxylic acid 1-4-lactone', 'CAS-77-06-5', 'Gibberellin (GA)', 'Gibb-3-ene-1, 2,4a,7-trihydroxy-1-methyl-8-methylene-, 1,4a-lactone, (1.alpha.,2.beta.,4a.alpha.,4b.beta.,10.beta.)-', 'GIBERILLIC ACID', 'Spectrum_000628', '4q0k', 'SpecPlus_000148', 'GibberellinsA currencyure', 'PS49_SUPELCO', 'Prestwick0_000965', 'Prestwick1_000965', 'Prestwick2_000965', 'Prestwick3_000965', 'Spectrum2_000311', 'Spectrum3_001301', 'Spectrum4_001444', 'Spectrum5_000027', 'gibberellic acid (ga-3)', 'bmse000317', 'SCHEMBL15577', 'BSPBio_000969', 'BSPBio_002961', 'KBioGR_001927', 'KBioSS_001108', '5-18-09-00269 (Beilstein Handbook Reference)', 'MLS001055447', 'MLS002154076', 'DivK1c_006244', 'G7645_SIGMA', 'SPBio_000302', 'SPBio_002890', 'BPBio1_001067', 'MEGxm0_000440', 'CHEMBL1232952', 'DTXSID0020656', 'ACon0_000224', 'ACon1_000551', 'BCBcMAP01_000012', 'KBio1_001188', 'KBio2_001108', 'KBio2_003676', 'KBio2_006244', 'KBio3_002181', 'HMS1571A11', 'HMS2098A11', 'HMS2231J16', 'HMS3039M06', '(1S,2S,4aR,4bR,7S,9aS,10S,10aR)-2,7-dihydroxy-1-methyl-8-methylene-13-oxo-1,2,4b,5,6,7,8,9,10,10a-decahydro-4a,1-(epoxymethano)-7,9a-methanobenzo[a]azulene-10-carboxylic acid', 'HY-N1964', 'ZINC3860467', 'Tox21_202052', 'Tox21_303023', 'NSC-14190', 'NSC-19450', 's4766', 'AKOS025310145', 'CCG-208472', 'DB07814', 'EBD2198547', 'SMP1_000136', 'NCGC00091033-02', 'NCGC00091033-03', 'NCGC00091033-04', 'NCGC00091033-05', 'NCGC00091033-06', 'NCGC00091033-09', 'NCGC00256446-01', 'NCGC00259601-01', 'AK163693', 'AS-14216', 'K339', 'NCI60_000922', 'SC-11963', 'SMR000686070', 'SMR001233386', 'AB00513979', 'CS-0018282', 'Gibberellin, 80% gibberellin A3 basis (TLC)', '079G329', 'Q411138', 'Gibberellic acid, 90% gibberellin A3 basis (HPLC)', 'Gibberellic acid, PESTANAL(R), analytical standard', 'BRD-K92758126-001-05-5', 'BRD-K92758126-001-06-3', 'BRD-K92758126-001-17-0', '6F94D8A8-3230-4AB5-93C1-46F5E84FE343', 'Gibberellic acid, United States Pharmacopeia (USP) Reference Standard', 'Gibberellic Acid, Pharmaceutical Secondary Standard; Certified Reference Material', '(1R,2R,5S,8S,9S,10R,11S,12S)-5,12-Dihydroxy-11-methyl-6-methylene-16-oxo-15-oxapentacyclo[9.3.2.15,8.01,10.02,8]heptadec-13-ene-9-carboxylic acid', '(1R,2R,5S,8S,9S,10R,11S,12S)-5,12-dihydroxy-11-methyl-6-methylidene-16-oxo-15-oxapentacyclo[9.3.2.1(5,8).0(1,10).0(2,8)]heptadec-13-ene-9-carboxylic acid', '(1S,2S,4aR,4bR,7S,9aS,10S,10aR)-2,7-dihydroxy-1-methyl-8-methylidene-13-oxo-1,2,4b,5,6,7,8,9,10,10a-decahydro-4a,1-(epoxymethano)-7,9a-methanobenzo[a]azulene-10-carboxylic acid', '10365-11-4', '2beta,7alpha-dihydroxy-1beta-methyl-8-methylidene-13-oxo-4a,1alpha-epoxymethano-4aalpha,4bbeta-gibb-3-ene-10beta-carboxylic acid', 'Gibberellic acid, plant cell culture tested, BioReagent, &gt;=90% gibberellin A3 basis (of total gibberellins.)']</t>
  </si>
  <si>
    <t>Compound(6466)</t>
  </si>
  <si>
    <t>C19H22O6</t>
  </si>
  <si>
    <t>ethoxylated C12-C14 alcohols</t>
  </si>
  <si>
    <t>2-[2-[2-[2-[2-[2-[2-[2-[2-[2-[2-[2-[2-[2-[2-[2-[2-[2-[2-[2-[2-[2-(2-dodecoxyethoxy)ethoxy]ethoxy]ethoxy]ethoxy]ethoxy]ethoxy]ethoxy]ethoxy]ethoxy]ethoxy]ethoxy]ethoxy]ethoxy]ethoxy]ethoxy]ethoxy]ethoxy]ethoxy]ethoxy]ethoxy]ethoxy]ethanol</t>
  </si>
  <si>
    <t>['Brij-35', 'Brij(R) L23', 'Polyoxyethylene (23) lauryl ether', 'Brij 35 solution', 'Laureth-23', 'Brij L23 solution', 'Brij30', '68439-50-9', 'Brij L23', 'CHEMBL449312', 'SCHEMBL5314873', 'Thesit(R), for membrane research', 'Brij 35, 10% solution in water', '7301AF', 'C12E23', 'MFCD00080891', 'Brij(R) L23, for molecular biology', 'AKOS024418763', 'C58H118O24', 'MCULE-1164078697', 'AK172809', 'Brij(R) L23 solution, ~10% in H2O', 'C12 Alcohol, predominately linear 23 EO', 'Tricosaethylene glycol mono-N-dodecyl ether', 'Brij(R) L23 solution, 30 % (w/v) in H2O', 'BRIJ 35 POLYOXYETHYLENE (23) LAURYL ETHER', 'Brij(R) L23, suitable for Stein-Moore chromatography', 'Decaethylene glycol mono??dodecyl ether, nonionic surfactant', 'Brij(R) L4, main component: tetraethylene glycol dodecyl ether', 'Brij(R) L23, main component: tricosaethylene glycol dodecyl ether', 'Polyoxyl lauryl ether, United States Pharmacopeia (USP) Reference Standard']</t>
  </si>
  <si>
    <t>Compound(2724258)</t>
  </si>
  <si>
    <t>C58H118O24</t>
  </si>
  <si>
    <t>ethoxylated C16-C18 alcohols</t>
  </si>
  <si>
    <t>ethoxylated C9-C11 alcohols</t>
  </si>
  <si>
    <t>ethoxylated isodecyl alcohol</t>
  </si>
  <si>
    <t>2-(8-methylnonoxy)ethanol</t>
  </si>
  <si>
    <t>['Ethylan CD 109', 'Igepal DA 530', 'Polyoxyethylene isodecyl ether', 'Trycol LF 1', 'Rhodasurf DA 630', 'Emulphogene DA 530', 'Polyoxyethylated (4) isodecyl alcohol', '61827-42-7', 'alpha-Isodecyl-omega-hydroxypoly(oxy-1,2-ethanediyl)', 'Poly(oxy-1,2-ethanediyl), alpha-isodecyl-omega-hydroxy-', 'Isodeceth-32', 'ether alkyl aryl polyglycol', '2-(8-methylnonoxy) ethanol', 'SCHEMBL1034519', 'CTK5E9609', 'LS-118179', 'NS00014200', "2-(8-methylnonoxy)ethanol;Poly(oxy-1,2-ethanediyl), ?-isodecyl-?-hydroxy-;ether d'alkyl aryl polyglycol", '82376-08-7']</t>
  </si>
  <si>
    <t>Compound(94600)</t>
  </si>
  <si>
    <t>C12H26O2</t>
  </si>
  <si>
    <t>4-amino-1-[(2R,4R,5R)-3,3-difluoro-4-hydroxy-5-(hydroxymethyl)oxolan-2-yl]pyrimidin-2-one</t>
  </si>
  <si>
    <t>['gemcitabine', '95058-81-4', "2'-Deoxy-2',2'-difluorocytidine", "2',2'-Difluorodeoxycytidine", 'GEMCITABINE HYDROCHLORIDE', "Cytidine, 2'-deoxy-2',2'-difluoro-", 'Gamcitabine', 'DFdCyd', 'dFdC', 'UNII-B76N6SBZ8R', 'LY188011', 'Gemcitabinum [INN-Latin]', 'Gemcitabina [INN-Spanish]', '4-amino-1-[(2R,4R,5R)-3,3-difluoro-4-hydroxy-5-(hydroxymethyl)oxolan-2-yl]-1,2-dihydropyrimidin-2-one', 'DDFC', '103882-84-4', 'B76N6SBZ8R', "2',2'-difluoro-2'-deoxycytidine", '4-Amino-1-[(2R,4R,5R)-3,3-difluoro-4-hydroxy-5-(hydroxymethyl)oxolan-2-yl]pyrimidin-2-one', 'CHEBI:175901', 'Gemcitabine, 98%', 'LY 188011', 'Gemcitabina', 'Gemcitabinum', 'Folfugem', 'Gemcel', 'Zefei', 'GemLip', 'NSC 613327', 'Gemcitabin', '4-amino-1-((2R,4R,5R)-3,3-difluoro-4-hydroxy-5-(hydroxymethyl)-tetrahydrofuran-2-yl)pyrimidin-2(1H)-one', '4-amino-1-((2R,4R,5R)-3,3-difluoro-4-hydroxy-5-(hydroxymethyl)tetrahydrofuran-2-yl)pyrimidin-2(1H)-one', 'CCRIS 8984', 'Gemcitabine stereoisomer', 'Gemcitabine free base', 'Gemzar (hydrochloride)', '2(1H)-Pyrimidinone, 4-amino-1-(2-deoxy-2,2-difluoro-D-erythro-pentofuranosyl)-', 'SR-05000001491', 'Gemcitabine (USAN/INN)', "2',2'-DiF-dC", 'Gemcitabine [USAN:INN:BAN]', 'HSDB 7567', '2vpp', 'gemcitabine (Gemzar)', 'PubChem16297', '4pd5', 'NSC-613327', "2'-Deoxy-.beta.-D-2',2'-difluorocytidine", 'CHEMBL888', 'SCHEMBL4295', 'GTPL4793', 'Gemcitabine Hydrochloride/Gemzar', 'DTXSID3040487', 'CTK3I6765', "2'deoxy-2',2'-difluorocytidine", 'AOB2689', 'BCPP000219', 'HMS2089P10', 'HMS3715N07', '2`-Deoxy-2`,2`-difluorocytidine', 'ABP000929', 'Cytosine, 1-(2-deoxy-2,2-difluoro-beta-D-erythro-pentofuranosyl)-', 'DL-215', 's1714', 'ZINC18279854', 'AKOS015920303', "Cytidine, 2'-deoxy-2',2'-difluoro-2'-Deoxy-.beta.-D-2',2'-difluorocytidine", 'BCP9000721', 'CCG-221183', 'CS-0643', 'DB00441', 'GS-3582', 'SB17337', '4-Amino-1-[3,3-difluoro-4-hydroxy-5-(hydroxymethyl) tetrahydrofuran-2-yl]-1H-pyrimidin-2-one', 'NCGC00168784-02', 'NCGC00168784-08', 'BR-23700', 'HY-17026', 'LS-59139', 'SC-18069', 'SW199649-2', 'C07650', 'D02368', 'J10023', 'S-2618', 'AB01274777-01', 'AB01274777-02', 'AB01274777_05', 'AB01274777_06', '124814-EP2295426A1', '124814-EP2295427A1', '882G844', 'Q414143', 'J-001056', 'SR-05000001491-1', 'SR-05000001491-2', 'BRD-K15108141-001-04-1', 'Z1741982024', '1-(2-deoxy-2,2-difluoro-|A-D-erythropentofuranosyl)cytosine', '4-amino-1-[(2R,4R,5R)-3,3-difluoro-4-hydroxy-5-(hydroxymethyl)tetrahydrofuran-2-yl]pyrimidin-2-one', "Cytidine, 2-deoxy-2,2-difluoro-, hydrochloride (1:1);(+)-2'-Deoxy-2',2'-difluorocytidine hydrochloride;Gemcitabine"]</t>
  </si>
  <si>
    <t>Compound(60750)</t>
  </si>
  <si>
    <t>C9H11F2N3O4</t>
  </si>
  <si>
    <t>5-(2,5-dimethylphenoxy)-2,2-dimethylpentanoic acid</t>
  </si>
  <si>
    <t>['gemfibrozil', '25812-30-0', '5-(2,5-Dimethylphenoxy)-2,2-dimethylpentanoic acid', 'Lopid', 'Decrelip', 'Jezil', 'Lipur', 'Bolutol', 'Apo-Gemfibrozil', 'Gemfibromax', 'Cholespid', 'Fibratol', 'Fibrocit', 'Gemfibril', 'Gemlipid', 'Hipolixan', 'Lipazil', 'Litarek', 'Trialmin', 'Ausgem', 'Pilder', 'CI-719', 'Gemfibrozilo', 'Gemfibrozilum', 'Ipolipid', 'Lanaterom', 'Lifibron', 'Normolip', 'Progemzal', 'Renabrazin', 'Synbrozil', 'Taborcil', 'Brozil', 'Clearol', 'Elmogan', 'Fetinor', 'Gemnpid', 'Innogen', 'Lipigem', 'Lipira', 'Lipizyl', 'Micolip', 'Polyxit', 'Reducel', 'Regulip', 'Sinelip', 'Tentroc', 'Gozid', 'Hidil', 'Gemd', 'WL-Gemfibrozil', 'Gevilon Uno', 'Gen-Fibro', 'Low-Lip', '2,2-Dimethyl-5-(2,5-xylyloxy)valeric acid', 'Gem-S', 'Pentanoic acid, 5-(2,5-dimethylphenoxy)-2,2-dimethyl-', 'Gemfibrozilum [INN-Latin]', 'Gemfibrozilo [INN-Spanish]', '2,2-Dimethyl-5-(2,5-xylyloxy)valeriansaeure', '2,2-Dimethyl-5-(2,5-dimethylphenoxy)valeriansaeure', 'CI 719', 'CCRIS 318', 'Gemfibrozil (Lopid)', 'UNII-Q8X02027X3', 'EINECS 247-280-2', 'CHEMBL457', 'Valeric acid, 2,2-dimethyl-5-(2,5-xylyloxy)-', 'BRN 1881200', 'MLS000028421', 'CHEBI:5296', 'Gemfibrosil', 'Gemfibrozil, 98%', '2,2-Dimethyl-5-(2,5-dimethylphenoxy)pentanoic acid', '5-(2,5-dimethylphenoxy)-2,2-dimethyl-pentanoic acid', 'Q8X02027X3', '5-[(2,5-dimethylphenyl)oxy]-2,2-dimethylpentanoic acid', 'NCGC00016794-09', 'Lipozid', 'SMR000058393', 'CAS-25812-30-0', 'DSSTox_CID_652', 'Lopid R', 'DSSTox_RID_75712', 'DSSTox_GSID_20652', 'W-107216', 'Innogem', 'Gemcor', 'Gemfibrozil [USAN:BAN:INN]', 'Lopid (TN)', 'TEVA-A', 'SR-01000000056', 'Gemfibrozil (JAN/USP/INN)', 'HSDB 7735', 'Gemfibrozil,(S)', 'Gemfibrozil [USAN:USP:INN:BAN]', 'Prestwick_637', 'dimethylpentanoic acid', '5-(2,5-Dimethyl-Phenoxy)-2,2-Dimethyl-Pentanoic Acid', 'Spectrum_000825', 'CPD000058393', 'Opera_ID_1658', 'Prestwick0_000214', 'Prestwick1_000214', 'Prestwick2_000214', 'Prestwick3_000214', 'Spectrum2_001097', 'Spectrum3_000440', 'Spectrum4_000562', 'Spectrum5_000750', 'Spectrum5_001991', 'SCHEMBL4813', 'BSPBio_000227', 'BSPBio_002060', 'KBioGR_000964', 'KBioSS_001305', 'MLS001055364', 'MLS006011850', 'ARONIS24091', 'DivK1c_000138', 'SPECTRUM1500313', 'SPBio_001174', 'SPBio_002148', 'BPBio1_000251', 'GTPL3439', 'Gemfibrozil, analytical standard', 'DTXSID0020652', 'HMS500G20', 'KBio1_000138', 'KBio2_001305', 'KBio2_003873', 'KBio2_006441', 'KBio3_001280', 'BBC/228', 'NINDS_000138', 'HMS1568L09', 'HMS1920B07', 'HMS2090K14', 'HMS2091H11', 'HMS2095L09', 'HMS2230H24', 'HMS3259M12', 'HMS3655C06', 'HMS3712L09', 'Pharmakon1600-10500313', '5-(2,5-dimethylphenoxy)-2,2-', 'BB_SC-04837', 'BCP08437', 'GEMFIBROZIL (SEE ALSO PEROXISOME PROJECT (GEMFIBROZIL))', 'HY-B0258', 'KS-00000VK6', 'KS-000046JO', 'PEROXISOME PROJECT (GEMFIBROZIL) (SEE ALSO GEMFIBROZIL)', 'ZINC1530641', 'ZX-AS004442', 'Tox21_110613', 'Tox21_201997', 'Tox21_302784', 'A0G461', 'BBL010807', 'BDBM50110590', 'BG0205', 'CCG-40111', 'CG0035', 'DL-414', 'GP1460', 'MFCD00079335', 'NSC757024', 's1729', 'SBB012457', 'STK618740', 'AKOS001606691', 'Tox21_110613_1', 'AB03034', 'AC-4225', 'API0002816', 'CS-2244', 'DB01241', 'KS-5192', 'LS-1085', 'MCULE-4563546953', 'NC00565', 'NSC-757024', 'VA11004', 'IDI1_000138', 'SEL11160931', 'NCGC00016794-01', 'NCGC00016794-02', 'NCGC00016794-03', 'NCGC00016794-04', 'NCGC00016794-05', 'NCGC00016794-06', 'NCGC00016794-07', 'NCGC00016794-08', 'NCGC00016794-10', 'NCGC00016794-11', 'NCGC00016794-13', 'NCGC00016794-14', 'NCGC00022722-03', 'NCGC00022722-04', 'NCGC00022722-05', 'NCGC00022722-06', 'NCGC00022722-07', 'NCGC00256601-01', 'NCGC00259546-01', 'AK309283', 'CC-28946', 'H900', 'SC-17669', 'ST072198', 'gemfibrozil metabolite: carboxy gemfibrozil', 'SBI-0051391.P003', 'AB0013344', 'AX8032912', '2,2-Dimethyl-5-(2,5-zlyloxy)valeric acid', 'AB00052003', 'FT-0626641', 'FT-0700924', 'G0368', 'NS00010281', 'SW196802-3', 'C07020', 'D00334', 'J10068', 'Z-0832', 'AB00052003-15', 'AB00052003-16', 'AB00052003_17', 'AB00052003_18', 'A818037', 'C-15436', 'Q384295', '2,2-Dimethyl-5-(2,5-dimethylphenoxy)valeric Acid', 'SR-01000000056-3', 'SR-01000000056-4', 'SR-01000000056-6', 'SR-01000000056-7', '2,2-Dimethyl-5-(2,5-dimethylphenoxy)-pentanoic acid', 'BRD-K11129031-001-05-1', 'Gemfibrozil, British Pharmacopoeia (BP) Reference Standard', 'Gemfibrozil, European Pharmacopoeia (EP) Reference Standard', 'Gemfibrozil, United States Pharmacopeia (USP) Reference Standard', 'Gemfibrozil, Pharmaceutical Secondary Standard; Certified Reference Material', 'Gemfibrozil for system suitability, European Pharmacopoeia (EP) Reference Standard', '114413-98-8', '4TX']</t>
  </si>
  <si>
    <t>Compound(3463)</t>
  </si>
  <si>
    <t>C15H22O3</t>
  </si>
  <si>
    <t>phenothiocarb</t>
  </si>
  <si>
    <t>S-(4-phenoxybutyl) N,N-dimethylcarbamothioate</t>
  </si>
  <si>
    <t>['FENOTHIOCARB', 'Phenothiocarb', 'Panocon', '62850-32-2', 'Fenothiocarb [BSI:ISO]', 'UNII-R49R81TMFY', 'KCO-3001', 'S-4-Phenoxybutyl dimethylthiocarbamate', 'BI-5452', 'BRN 2125738', 'R49R81TMFY', 'S-(4-phenoxybutyl) N,N-dimethylcarbamothioate', 'Dimethylcarbamothioic acid S-(4-phenoxybutyl)ester', 'Carbamothioic acid, dimethyl-, S-(4-phenoxybutyl)ester', 'S-(4-Phenoxybutyl) dimethylcarbamothioate', 'S-(4-Phenoxybutyl) dimethylcarbamothioate (9CI)', 'SCHEMBL83501', 'CHEBI:5006', 'DTXSID5058145', 'ZINC1532150', 'AKOS015898872', 'Fenothiocarb 100 microg/mL in Toluene', 'S-4-phenoxybutyl dimethylcarbamothioate', 'CC-28391', 'LS-50823', 'DB-054306', 'FT-0630732', 'NS00002816', 'C11084', 'Fenothiocarb, PESTANAL(R), analytical standard', 'C-15688', 'Carbamothioic acid,dimethyl-,S-(4-phenoxybutyl) ester', 'Q17540581', 'Carbamothioic acid, N,N-dimethyl-, S-(4-phenoxybutyl) ester']</t>
  </si>
  <si>
    <t>Compound(44178)</t>
  </si>
  <si>
    <t>C13H19NO2S</t>
  </si>
  <si>
    <t>gentisic acid</t>
  </si>
  <si>
    <t>2,5-dihydroxybenzoic acid</t>
  </si>
  <si>
    <t>['2,5-DIHYDROXYBENZOIC ACID', 'gentisic acid', '490-79-9', 'Hydroquinonecarboxylic acid', 'Benzoic acid, 2,5-dihydroxy-', 'Gentisate', '5-Hydroxysalicylic acid', 'Gensigen', 'Gensigon', '2,5-Dioxybenzoic acid', '2,5-Dhba', 'Gentisinic acid', 'Salicylic acid, 5-hydroxy-', 'Kyselina gentisinova', 'Gentisinate', 'UNII-VP36V95O3T', 'NSC 27224', 'Kyselina gentisinova [Czech]', 'Acide gentisique [INN-French]', 'Acido gentisico [INN-Spanish]', 'Acidum gentisicum [INN-Latin]', 'Kyselina 2,5-dihydroxybenzoova', 'EINECS 207-718-5', 'MFCD00002460', '3,6-dihydroxybenzoic acid', 'Acido 2,5-diidrossibenzoico [Italian]', '2,5-Dihydroxy benzoic acid', 'BRN 2209119', 'Kyselina 2,5-dihydroxybenzoova [Czech]', 'CHEMBL1461', 'AI3-60431', 'VP36V95O3T', 'CHEBI:17189', 'BENZOIC ACID,2,5-DIHYDROXY', 'Gentinatre', 'Gentalpin', 'Gentasol', 'Gentidol', 'Gentisan', 'Gentisod', 'Legential', 'Nagentis', 'Casate', 'Gabail', 'Nagent', 'Carboxyhydroquinone', 'Casate sodium', 'Gensalate sodium', 'Sodium-Gent', 'WLN: QVR BQ EQ', 'GENTISATE SODIUM', '2,5-Dihydroxybenzoic acid, 99%', 'Acido gentisico', 'Acide gentisique', 'Acidum gentisicum', 'NSC8512', 'Gentisic acid [INN]', 'Acido 2,5-diidrossibenzoico', 'Dihydroxybenzoicacid', 'GTQ', '2,5-Dioxybenzoate', 'GENOP', '2,5-Dihydrobenzoate', '5-hydroxy-Salicylate', 'Mesalamine Impurity G', '3,6-Dihydroxybenzoate', 'Gentisinic acid polymer', 'PubChem14414', 'Spectrum_001241', '2,5dihydroxybenzoic acid', '5-hydroxy-Salicylic acid', 'Spectrum2_000773', 'Spectrum3_001326', 'Spectrum4_001821', 'Spectrum5_000581', '2,5-DihydroxybenzoicAcid', 'ACMC-1AP4E', '2,5,dihydroxybenzoic acid', 'bmse000326', 'SCHEMBL3690', '2,5-dihydroxy-benzoic acid', '2,5-Dihydroxybenzoate, VI', 'NCIOpen2_000913', 'Oprea1_039290', 'BSPBio_003051', 'KBioGR_002487', 'KBioSS_001721', '4-10-00-01441 (Beilstein Handbook Reference)', 'KSC236E9L', 'MLS002207134', 'Benzoicacid, 2,5-dihydroxy-', 'DivK1c_000538', 'SPBio_000846', 'ZINC1507', 'DTXSID4060078', 'CTK1D6295', 'HMS501K20', 'KBio1_000538', 'KBio2_001721', 'KBio2_004289', 'KBio2_006857', 'KBio3_002271', 'KS-00000COX', 'Sodium Gentisate (gentisic acid)', 'NINDS_000538', '2,5-Dihydroxybenzoic acid, 98%', 'NSC27224', 'NSC49098', 'ANW-30725', 'BBL013232', 'BDBM50335808', 'CCG-40154', 'NSC-27224', 'NSC-49098', 's3799', 'SBB058777', 'STK426343', 'AKOS003267857', 'AS04641', 'CS-W001179', 'HY-W001179', 'MCULE-7171470745', 'PS-6232', 'VZ22769', 'IDI1_000538', 'NCGC00178325-01', 'AC-23625', 'AK-49825', 'LS-71157', 'SC-46608', 'SMR000393742', 'SY014321', 'gentisic acid (2,5-dihydroxybenzoic acid)', 'DB-051598', 'D0569', 'D2933', 'FT-0610382', 'FT-0667079', 'NS00007790', 'ST50824443', 'EN300-81715', '2,5-Dihydroxybenzoic acid, analytical standard', 'C00628', 'K-9198', 'AE-562/40605400', 'Q417831', 'Resorcyllic acid, alphaodium 2,5-dihydroxybenzoate', 'W-106033', '26A2CD0F-7EBD-431F-8BDA-168766205AE1', 'Z275164274', '2,5-Dihydroxybenzoic acid, matrix substance for MALDI-MS, &gt;99.0% (HPLC)', '2,5-Dihydroxybenzoic acid, matrix substance for MALDI-MS, &gt;=99.5% (HPLC), Ultra pure']</t>
  </si>
  <si>
    <t>Compound(3469)</t>
  </si>
  <si>
    <t>C7H6O4</t>
  </si>
  <si>
    <t>(2E)-3,7-dimethylocta-2,6-dien-1-ol</t>
  </si>
  <si>
    <t>['GERANIOL', '106-24-1', 'Lemonol', 'Geranyl alcohol', 'trans-Geraniol', '(E)-Geraniol', '(E)-3,7-Dimethylocta-2,6-dien-1-ol', '(E)-Nerol', '(2E)-3,7-dimethylocta-2,6-dien-1-ol', 'trans-3,7-Dimethyl-2,6-octadien-1-ol', '(E)-3,7-Dimethyl-2,6-octadien-1-ol', 'beta-Geraniol', 'Geraniol Extra', 'Geraniol alcohol', 't-geraniol', '2,6-Octadien-1-ol, 3,7-dimethyl-, (2E)-', '3,7-Dimethyl-trans-2,6-octadien-1-ol', 'Guaniol', '3,7-dimethylocta-2,6-dien-1-ol', '2E-geraniol', '3,7-Dimethyl-2,6-octadien-1-ol', '2-trans-3,7-Dimethyl-2,6-octadien-1-ol', 'Geraniol (natural)', '2,6-Octadien-1-ol, 3,7-dimethyl-', '2,6-Octadien-1-ol, 3,7-dimethyl-, (E)-', 'CHEBI:17447', '(2E)-3,7-Dimethyl-2,6-octadien-1-ol', 'NSC 9279', '2,6-Octadien-1-ol, 3,7-dimethyl-, trans-', 'UNII-L837108USY', 'FEMA No. 2507', 'CCRIS 7243', 'HSDB 484', 'NSC9279', '3,7-Dimethyl-2,6-octadien-1-ol, (E)-', 'NSC-9279', '2,6-Dimethyl-2,6-octadien-8-ol', 'EINECS 203-377-1', 'MFCD00002917', 'EPA Pesticide Chemical Code 597501', 'BRN 1722456', 'AI3-00206', 'L837108USY', 'NSC-46105', 'Geraniol, 99%', '2,6-Dimethyl-trans-2,6-octadien-8-ol', 'trans-2,6-Dimethyl-2,6-octadien-8-ol', '2-trans-3,7-dimethyl-2,6-octadiene-1-ol', 'DSSTox_CID_6727', 'DSSTox_RID_78202', '3,7-DIMETHYL-2,6-OCTADIEN-1-OL(TRANS)', 'DSSTox_GSID_26727', '3,7-Dimethyl-2,6-octadienol', 'racemic Geraniol', 'CAS-106-24-1', '1-Octanol, 3,7-dimethyl-, tetradehydro deriv.', 'FEMA No. 2770', 'Meranol', 'Neraniol', 'b-Geraniol', 'EINECS 203-378-7', '.beta.-Geraniol', 'Geraniol 98', 'Geraniol (E)', '68311-14-8', 'EINECS 210-831-2', 'EINECS 269-750-6', 'AI3-28202', '3,7-Dimethyl-2,6-octadien-1-ol, (Z)-', 'Geraniol, 98%', 'GERANIOL BRI', '2,6-octadien-8-ol', 'trans-3,7-dimethyl-2,6-octadien-8-ol', 'Spectrum5_001513', 'cis-3,6-octadien-1-ol', 'Epitope ID:181525', 'EC 203-377-1', 'trans-3,6-octadien-1-ol', '3,7-Dimethyloctan-1-ol, tetradehydro derivative', 'SCHEMBL19824', 'SCHEMBL19826', 'BSPBio_002919', 'Geraniol, analytical standard', '4-01-00-02277 (Beilstein Handbook Reference)', 'CHEMBL25719', 'SPECTRUM1501132', '2, 3,7-dimethyl-, trans-', 'GTPL2467', '2, 3,7-dimethyl-,(Z)-', 'DTXSID8026727', 'CHEBI:24221', 'FEMA 2507', 'HMS500J15', 'NCI9279', '2, 3,7-dimethyl-, (E)-', '2, 3,7-dimethyl-, (Z)-', 'Geraniol, &gt;=97%, FCC, FG', 'Geraniol, natural, &gt;=97%, FG', 'HMS1921H17', 'HY-N6952', 'NSC46105', 'ZINC1529210', 'Tox21_110010', 'Tox21_202386', 'Tox21_300136', '(E)-3,7-dimethyl-2,6-octadienol', 'BDBM50037023', 'CCG-37618', 'NCGC00013095', 's5530', 'SBB007719', 'WLN: Q2UY1&amp;3UY1&amp;1 -T', 'AKOS009031393', 'Tox21_110010_1', 'ACN-052273', 'DB14183', 'EBD2761143', 'FCH2256423', 'FCH3409296', 'FCH4510642', 'LMPR0102010016', 'LS-2765', 'LS-2977', '(E)-3,7-dimethyl-2,6octadien-1-ol', 'IDI1_000193', '3,7-dimethyl-octa-2trans,6-dien-1-ol', 'Geraniol 1000 microg/mL in Isopropanol', 'NCGC00013095-01', 'NCGC00013095-02', 'NCGC00013095-03', 'NCGC00013095-04', 'NCGC00013095-05', 'NCGC00013095-06', 'NCGC00013095-07', 'NCGC00013095-08', 'NCGC00013095-10', 'NCGC00094905-01', 'NCGC00094905-02', 'NCGC00094905-03', 'NCGC00094905-04', 'NCGC00094905-05', 'NCGC00253926-01', 'NCGC00259935-01', '3,7-Dimethyl-(E)-2,6-Octadien-1-ol', '3,7-dimethyl-trans-2,6-octadiene-1-ol', 'AS-12880', 'BBV-34551455', 'Geraniol, Vetec(TM) reagent grade, 97%', 'Octadien-1-ol, 3,7-dimethyl-, (E)-', 'SC-22671', 'SC-79539', '(2E)-3,7-dimethyl-1-octa-2,6-dienol', '(E)-3,7-dimethyl-octa-2,6-dien-1-ol', 'trans-3,7-Dimethy- octa-2,6-dien-1-ol', 'trans-3,7-Dimethyl octa-2,6-dien-1-ol', 'WLN: Q2UY1 &amp; 3UY1 &amp; 1-C', 'WLN: Q2UY1 &amp; 3YU1 &amp; 1-Z', '3,7-Dimethyl-(2E)-2,6-Octadien-1-ol', '(E) 3,7-Dimethyl--2,6-octadien-1-ol.', 'CS-0003478', 'G0027', 'NS00001866', 'ST50824486', '(2E)-3,7-Dimethyl-2,6-octadien-1-ol #', 'C01500', 'A834344', 'Q410836', 'SR-05000002389', 'Q-201154', 'SR-05000002389-1', 'BRD-K03568070-001-01-1', 'Q27109834', 'A884F9B1-42B7-4350-ACC7-8E71E86A9943']</t>
  </si>
  <si>
    <t>Compound(637566)</t>
  </si>
  <si>
    <t>5-chloro-N-[2-[4-(cyclohexylcarbamoylsulfamoyl)phenyl]ethyl]-2-methoxybenzamide</t>
  </si>
  <si>
    <t>['Glibenclamide', 'glyburide', '10238-21-8', 'Glybenclamide', 'Micronase', 'Diabeta', 'Glynase', 'Daonil', 'Euglucon', 'Maninil', 'Semi-daonil', 'Apo-Glibenclamide', 'Euglucon 5', 'Azuglucon', 'Bastiverit', 'Benclamin', 'Betanase', 'Duraglucon', 'Euglucan', 'Euglykon', 'Glibenil', 'Glucolon', 'Neogluconin', 'Orabetic', 'Prodiabet', 'Renabetic', 'Yuglucon', 'Dibelet', 'Gilemal', 'Glibens', 'Glibil', 'Glimel', 'Glimide', 'Humedia', 'Libanil', 'Suraben', 'Tiabet', 'Adiab', 'Glybenzcyclamide', 'Melix', 'Pira', 'Med-Glionil', 'Gewaglucon', 'Glibenbeta', 'Glucohexal', 'Glucoremed', 'Hexaglucon', 'Lisaglucon', 'Normoglucon', 'Praeciglucon', 'Calabren', 'Cytagon', 'Euclamin', 'Glamide', 'Glibesyn', 'Glibetic', 'Gliboral', 'Glidiabet', 'Glisulin', 'Glitisol', 'Glubate', 'Glucobene', 'Glucomid', 'Glucoven', 'Glycomin', 'Lederglib', 'Miglucan', 'Debtan', 'Gliban', 'Gliben', 'Glibet', 'Glicem', 'Gluben', 'Glyben', 'Nadib', 'Sugril', 'Novo-Glyburide', 'Glibenclamid AL', 'Gen-Glybe', 'Norglicem 5', 'Betanese 5', 'Glibenclamid Fabra', 'Glibenclamid Basics', 'Glibenclamid-Cophar', 'Glibenclamida', 'Glibenclamidum', 'Glibenclamid Heumann', 'Semi-Euglucon', 'Glibenclamid Genericon', 'Hemi-Daonil', 'Glibenclamid-Ratiopharm', 'Glibenclamidum [INN-Latin]', 'Glibenclamida [INN-Spanish]', 'HB 419', '5-Chloro-N-(4-(N-(cyclohexylcarbamoyl)sulfamoyl)phenethyl)-2-methoxybenzamide', 'Semi-Gliben-Puren N', 'GBN 5', 'Glyburide (micronized)', 'UR 606', 'glyburide (glibenclamide)', 'UNII-SX6K58TVWC', '1-(p-(2-(5-Chloro-2-methoxybenzamido)ethyl)benzenesulfonyl)-3-cyclohexylurea', 'C23H28ClN3O5S', 'HB-419', '1-((p-(2-(5-Chloro-o-anisamido)ethyl)phenyl)sulfonyl)-3-cyclohexylurea', '5-Chloro-N-(2-(4-((((cyclohexylamino)carbonyl)amino)sulfonyl)phenyl)ethyl)-2-methoxybenzamide', 'U 26452', 'EINECS 233-570-6', 'SX6K58TVWC', 'CHEMBL472', 'BRN 2230085', '5-chloro-N-[2-[4-(cyclohexylcarbamoylsulfamoyl)phenyl]ethyl]-2-methoxybenzamide', "N-(4-(2-(5-Chloro-2-methoxybenzamido)ethyl)phenylsulfonyl)-N'-cyclohexylurea", 'MLS000069721', 'CHEBI:5441', '5-chloro-N-(2-{4-[(cyclohexylcarbamoyl)sulfamoyl]phenyl}ethyl)-2-methoxybenzamide', 'Urea, 1-(p-(2-(5-chloro-2-methoxybenzamido)ethyl)benzenesulfonyl)-3-cyclohexyl-', 'MFCD00056625', 'Benzamide, 5-chloro-N-(2-(4-((((cyclohexylamino)carbonyl)amino)sulfonyl)phenyl)ethyl)-2-methoxy-', 'NCGC00015467-11', 'Abbenclamide', 'Diabiphage', 'Glibadone', 'SMR000058229', 'CAS-10238-21-8', 'Glibenclamid Riker M.', '5-Chloro-N-[4-(cyclohexylureidosulfonyl)phenethyl]-2-methoxybenzamide', 'Euglucon N', 'Urea, 1-((p-(2-(chloro-o-anisamido)ethyl)phenyl)sulfonyl)-3-cyclohexyl-', '5-chloro-N-[2-(4-{[(cyclohexylcarbamoyl)amino]sulfonyl}phenyl)ethyl]-2-methoxybenzamide', '5-Chloro-N-[2-[4-[[[(cyclohexylamino)carbonyl]-amino]sulfonyl]phenyl]-ethyl]-2-methoxybenzamide', 'DSSTox_CID_17237', 'DSSTox_RID_79313', "N-(4-(beta-(2-Methoxy-5-chlorbenzamido)-aethyl)-benzolsulfonyl)-N'-cyclohexyl-harnstoff", 'DSSTox_GSID_37237', 'Benzamide, 5-chloro-N-[2-[4-[[[(cyclohexylamino)carbonyl]amino]sulfonyl]phenyl]ethyl]-2-methoxy-', 'Micronized glyburide', 'Glyburide [USAN]', 'W-108874', 'Glycron', '1-[[p-[2-(5-Chloro-o-anisamido)ethyl]phenyl]sulfonyl]-3-cyclohexylurea', '5-chloro-N-(2-{4-[N-(N-cyclohexylcarbamoyl)sulfamoyl]phenyl}ethyl)-2-methoxybenzamide', '5-Chloro-N-(4-(N-(cyclohexylcarbamoyl)sulfamoyl)-phenethyl)-2-methoxybenzamide', 'Glyburide (USP)', 'Micronase (TN)', '1-{4-[2-(5-chloro-2-methoxybenzamido)ethyl]benzenesulfonyl}-3-cyclohexylurea;1-{4-[2-(5-chloro-2-methoxybenzamido)ethyl]benzenesulfonyl}-3-cyclohexylurea', 'Diabeta (TN)', 'Glynase (TN)', 'GIBENCLAMIDE', 'Glibenclamid Riker M', 'SR-01000000196', 'Glyburide [USAN:USP]', 'HB-420', 'Glibenklamid', 'Amglidia', 'Delmide', '5-chloro-N-(4-[N-(cyclohexylcarbamoyl)sulfamoyl]phenethyl)-2-methoxybenzamide', 'Glibenclamide,(S)', 'GBM', 'Prestwick_569', 'Glibenclamide B.P.', 'Glyburide (Diabeta)', 'Glibenclamide [INN]', 'RP-1127', 'Spectrum_000250', 'Tocris-0911', 'Opera_ID_801', 'glibenclamide (glyburide)', 'Prestwick0_000316', 'Prestwick1_000316', 'Prestwick2_000316', 'Prestwick3_000316', 'Spectrum2_001816', 'Spectrum3_001327', 'Spectrum4_001199', 'Spectrum5_001631', 'Lopac-G-0639', 'ACMC-20a66i', 'Probes1_000431', 'Probes2_000378', 'UPCMLD-DP006', 'G 0639', 'Glibenclamide (JP17/INN)', 'CBiol_001790', 'Lopac0_000499', 'Oprea1_764617', 'SCHEMBL22009', 'U-26452', 'BSPBio_000312', 'BSPBio_001351', 'BSPBio_003053', 'KBioGR_000071', 'KBioGR_001897', 'KBioSS_000071', 'KBioSS_000730', 'MLS001077262', 'BIDD:GT0239', 'DivK1c_000481', 'SPECTRUM2300229', 'SPBio_001831', 'SPBio_002531', 'BPBio1_000344', 'GTPL2414', 'DTXSID0037237', 'UPCMLD-DP006:001', 'CTK8B7917', 'HMS501I03', 'KBio1_000481', 'KBio2_000071', 'KBio2_000730', 'KBio2_002639', 'KBio2_003298', 'KBio2_005207', 'KBio2_005866', 'KBio3_000141', 'KBio3_000142', 'KBio3_002273', 'AOB6214', 'SYN3026', 'Glybenclamide, &gt;=99% (HPLC)', 'NINDS_000481', 'Bio1_000076', 'Bio1_000565', 'Bio1_001054', 'Bio2_000071', 'Bio2_000551', 'HMS1361D13', 'HMS1568P14', 'HMS1791D13', 'HMS1922L08', 'HMS1989D13', 'HMS2089L06', 'HMS2093P04', 'HMS2095P14', 'HMS3259O12', 'HMS3261D19', 'HMS3267A15', 'HMS3402D13', 'HMS3411F16', 'HMS3428D15', 'HMS3651E17', 'HMS3675F16', 'HMS3712P14', 'Pharmakon1600-02300229', 'ZINC537805', 'BCP05327', 'Tox21_110158', 'Tox21_300758', 'Tox21_500499', 'ANW-58936', 'BDBM50012957', 'BG0207', 'CCG-39618', 'GP8701', 'HD 419', 'NSC759618', 'SBB057426', 'STK362992', 'AKOS001487495', "N-p-[2-(5-Chloro-2-methoxybenzamido)ethyl]benzenesulfonyl-N'-cyclohexylurea", 'Tox21_110158_1', 'BCP9000729', 'CS-1075', 'DB01016', 'KS-5326', 'LP00499', 'MCULE-2351642942', 'NC00566', 'NSC-759618', 'SB17414', 'SDCCGSBI-0050483.P004', 'IDI1_000481', 'IDI1_033821', 'Glibenclamide 1.0 mg/ml in Acetonitrile', 'NCGC00015467-01', 'NCGC00015467-02', 'NCGC00015467-03', 'NCGC00015467-04', 'NCGC00015467-05', 'NCGC00015467-06', 'NCGC00015467-07', 'NCGC00015467-08', 'NCGC00015467-09', 'NCGC00015467-10', 'NCGC00015467-12', 'NCGC00015467-13', 'NCGC00015467-14', 'NCGC00015467-15', 'NCGC00015467-16', 'NCGC00015467-17', 'NCGC00015467-18', 'NCGC00015467-20', 'NCGC00015467-36', 'NCGC00016689-01', 'NCGC00023447-02', 'NCGC00023447-04', 'NCGC00023447-05', 'NCGC00023447-06', 'NCGC00023447-07', 'NCGC00023447-08', 'NCGC00023447-09', 'NCGC00023447-10', 'NCGC00023447-11', 'NCGC00023447-12', 'NCGC00254662-01', 'NCGC00261184-01', 'HY-15206', 'SC-17437', 'ST024780', 'SBI-0050483.P003', 'AB0012611', 'Glyburide, meets USP testing specifications', 'LS-159295', 'AB00051949', 'EU-0100499', 'FT-0601608', 'G-150', 'G0382', 'NS00001144', 'S1716', 'SW195828-5', 'A19539', 'C07022', 'D00336', 'J10021', 'W-5054', '78637-EP2270001A1', '78637-EP2270011A1', '78637-EP2272825A2', '78637-EP2272841A1', '78637-EP2275414A1', '78637-EP2287165A2', '78637-EP2287166A2', '78637-EP2292620A2', '78637-EP2298750A1', '78637-EP2298776A1', '78637-EP2298779A1', '78637-EP2301923A1', '78637-EP2301936A1', '78637-EP2305648A1', '78637-EP2308847A1', 'AB00051949-16', 'AB00051949-17', 'AB00051949_18', 'AB00051949_19', 'C-22898', 'GLIBENCLAMIDE;Glyburide;Gibenclamide;Glibenclamide', 'Q420626', 'U-26,45', 'SR-01000000196-2', 'SR-01000000196-4', 'SR-01000000196-5', 'SR-01000000196-6', 'SR-01000000196-8', 'U-26,452', 'BRD-K36927236-001-06-0', 'BRD-K36927236-001-17-7', 'Z277540138', 'Glybenclamide, European Pharmacopoeia (EP) Reference Standard', 'Glyburide, United States Pharmacopeia (USP) Reference Standard', '1-((p-(2-(5-Chloro-o-anisamido)ethyl)phenyl)sulfonyl)-3-cyclohexyl urea', '5-Chloro-N-[4-(3-cyclohexylureidosulfonyl)phenethyl]-2-methoxybenzamide', '5-chloro-N-[2-[4-(cyclohexylcarbamoylsulfamoyl)phenyl]ethyl]-2-methoxybenzamide.', '5-chloro-N-[4-({[(cyclohexylamino)carbonyl]amino}sulfonyl)phenethyl]-2-methoxybenzamide', 'Glibenclamide for peak identification, European Pharmacopoeia (EP) Reference Standard', 'Glyburide (Glibenclamide), Pharmaceutical Secondary Standard; Certified Reference Material', "N-(4-(.beta.-(2-Methoxy-5-chlorbenzamido)-aethyl)-benzolsulfonyl)-N'-cyclohexyl-harnstoff", 'N1-[4-({[(cyclohexylamino)carbonyl]amino}sulfonyl)phenethyl]-5-chloro-2-methoxybenzamide', '(5-chloro-2-methoxyphenyl)-N-[2-(4-{[(cyclohexylamino)carbonylamino]sulfonyl}p henyl)ethyl]carboxamide', '5-Chloro-N-(2-[4-(([(cyclohexylamino)carbonyl]amino)sulfonyl)phenyl]ethyl)-2-methoxybenzamide #', '5-Chloro-N-[2-[4-[[[(Cylcohexylamino)carbonyl]amino]sulphonyl]phenyl]ethyl]-2-methoxybenzamide', 'N-[(4-{2-[(5-chloro-2-methoxyphenyl)carbonylamino]ethyl}phenyl)sulfonyl](cyclo hexylamino)carboxamide']</t>
  </si>
  <si>
    <t>Compound(3488)</t>
  </si>
  <si>
    <t>C23H28ClN3O5S</t>
  </si>
  <si>
    <t>4-ethyl-3-methyl-N-[2-[4-[(4-methylcyclohexyl)carbamoylsulfamoyl]phenyl]ethyl]-5-oxo-2H-pyrrole-1-carboxamide</t>
  </si>
  <si>
    <t>['glimepiride', '93479-97-1', 'Amaryl', 'Glimepirid', 'Amarel', 'Glimepirida', 'Glimepiridum', 'Endial', 'Hoe-490', 'Glimepride', 'cis-Glimepiride', 'Glimepiridum [Latin]', 'HOE 490', 'Glimepirida [Spanish]', 'UNII-24T6XIR2MZ', 'CCRIS 7083', 'CHEBI:5383', '684286-46-2', 'UNII-6KY687524K', '1-((p-(2-(3-Ethyl-4-methyl-2-oxo-3-pyrroline-1-carboxamido)ethyl)phenyl)sulfonyl)-3-(trans-4-methylcyclohexyl)urea', '4-ethyl-3-methyl-N-[2-[4-[(4-methylcyclohexyl)carbamoylsulfamoyl]phenyl]ethyl]-5-oxo-2H-pyrrole-1-carboxamide', 'BRN 5365754', '24T6XIR2MZ', '6KY687524K', 'NCGC00016960-03', 'Roname', 'CAS-93479-97-1', 'Glista OD', 'DSSTox_CID_20675', 'DSSTox_RID_79534', 'DSSTox_GSID_40675', '3-ethyl-4-methyl-N-[2-(4-{[(trans-4-methylcyclohexyl)carbamoyl]sulfamoyl}phenyl)ethyl]-2-oxo-2,5-dihydro-1H-pyrrole-1-carboxamide', 'GLIMPERIDE', 'Glymepirid', 'Glorion', 'Glemax', 'Glimer', 'Solosa', 'Glimepiride, cis-', '1H-Pyrrole-1-carboxamide, 2,5-dihydro-3-ethyl-4-methyl-N-(2-(4-(((((4-methylcyclohexyl)amino)carbonyl)amino)sulfonyl)phenyl)ethyl)-2-oxo-, trans-', '1H-Pyrrole-1-carboxamide, 3-ethyl-2,5-dihydro-4-methyl-N-(2-(4-(((((4-methylcyclohexyl)amino)carbonyl)amino)sulfonyl)phenyl)ethyl)-2-oxo-, trans-', '3-Ethyl-4-Methyl-N-[2-(4-{[(Cis-4-Methylcyclohexyl)carbamoyl]sulfamoyl}phenyl)ethyl]-2-Oxo-2,5-Dihydro-1h-Pyrrole-1-Carboxamide', 'SMR000466368', 'Amaryl (TN)', 'Glimepiride [USAN:BAN:INN]', 'SR-05000001508', 'gimepiride', 'Niddaryl', 'Sugral', 'HOE490', 'Vitaimin E', 'Glimepiride,(S)', '3-ethyl-4-methyl-N-[2-[4-[(4-methylcyclohexyl)carbamoylsulfamoyl]phenyl]ethyl]-2-oxo-5H-pyrrole-1-carboxamide', 'Glimepiride [USAN:USP:INN:BAN]', 'CPD000466368', 'Prestwick0_000651', 'Prestwick1_000651', 'Prestwick2_000651', 'Prestwick3_000651', 'CHEMBL1481', 'Oprea1_382896', 'SCHEMBL16084', 'SCHEMBL16086', 'BSPBio_000681', 'MLS000759495', 'MLS001076674', 'MLS001401419', 'MLS003915622', 'MLS006011260', 'SPBio_002602', 'BPBio1_000751', 'CHEMBL149223', 'GTPL6820', 'SCHEMBL8738802', 'Glimepiride (JP17/USP/INN)', 'DTXSID5040675', 'SCHEMBL14371714', 'SCHEMBL14965363', 'CHEBI:92609', 'CTK8E7555', 'AOB5663', 'HMS1570C03', 'HMS2052L03', 'HMS2090K18', 'HMS2097C03', 'HMS2235L07', 'HMS3269A09', 'HMS3372O07', 'HMS3394L03', 'HMS3413K06', 'HMS3654F17', 'HMS3677K06', 'HMS3714C03', 'Pharmakon1600-01504915', 'ZINC537791', 'BCP05331', 'HY-B0104', 'Tox21_110713', 'AC-476', 'BDBM50237590', 'MFCD00878417', 'NSC759809', 's1344', 'STL451059', 'STL453194', 'AKOS015894919', 'AKOS015969663', 'Glimepiride, &gt;=98% (HPLC), solid', 'Tox21_110713_1', 'ZINC100001976', 'ZINC100070954', 'AB07644', 'AT-6093', 'BCP9000728', 'CCG-101156', 'CS-1844', 'DB00222', 'KS-5238', 'NC00406', 'NSC-759809', 'NCGC00016960-01', 'NCGC00016960-02', 'NCGC00016960-04', 'NCGC00016960-05', 'NCGC00016960-07', 'NCGC00161404-01', 'NCGC00161404-02', 'NCGC00181757-01', 'NCGC00371061-06', '1-{[4-(2-{[(3-ethyl-4-methyl-2-oxo-2,5-dihydro-1H-pyrrol-1-yl)carbonyl]amino}ethyl)phenyl]sulfonyl}-3-(trans-4-methylcyclohexyl)urea', '3-ethyl-4-methyl-n-(4-(n-((1r,4r)-4-methylcyclohexylcarbamoyl)sulfamoyl)phenethyl)-2-oxo-2,5-dihydro', 'AK164454', 'SC-13775', 'SC-46287', 'SMR001550123', 'AB0073063', 'LS-136752', 'AB00513874', 'FT-0626713', 'FT-0668978', 'G0395', 'NS00004860', 'SW196369-4', 'C07669', 'D00593', '46931-EP2269989A1', '46931-EP2270011A1', '46931-EP2272825A2', '46931-EP2272841A1', '46931-EP2275414A1', '46931-EP2287165A2', '46931-EP2287166A2', '46931-EP2292620A2', '46931-EP2295406A1', '46931-EP2295422A2', '46931-EP2298769A1', '46931-EP2298772A1', '46931-EP2298776A1', '46931-EP2301936A1', '46931-EP2305648A1', '46931-EP2308839A1', '46931-EP2308847A1', '46931-EP2308878A2', '46931-EP2311822A1', 'AB00513874-06', 'AB00513874-08', 'AB00513874-09', 'AB00513874_10', 'AB00513874_11', '479G971', 'Q425027', 'Q-201158', 'SR-05000001508-1', 'SR-05000001508-2', 'SR-05000001508-3', 'BRD-K34776109-001-03-4', 'BRD-K42693031-001-01-8', 'Q27253874', 'Glimepiride, British Pharmacopoeia (BP) Reference Standard', 'Glimepiride, European Pharmacopoeia (EP) Reference Standard', '3-ethyl-4-methyl-N-(4-(N-((1r,4r)-4-methylcyclohexylcarbamoyl)', 'Glimepiride, United States Pharmacopeia (USP) Reference Standard', 'sulfamoyl)phenethyl)-2-oxo-2,5-dihydro-1H-pyrrole-1-carboxamide', 'Glimepiride for system suitability, European Pharmacopoeia (EP) Reference Standard', '1-[[4-[2-[[(3-Ethyl-4-methyl-2-oxo-2,3-dihydro-1H-pyrrol-1-yl)carbonyl]amino]ethyl]phenyl]sulphonyl]-3-(cis-4-methylcyclohexyl)urea (cis-Glimepiride)', '3-Ethyl-2,5-dihydro-4-methyl-N-[2-[4-[[[[(trans-4-methylcyclohexyl)amino]carbonyl]amino]sulfonyl]phenyl]ethyl]-2-oxo-1H-pyrrole-1-carboxamide', '3-ethyl-4-methyl-2-oxo-N-(2-{4-[({[(1r,4r)-4-methylcyclohexyl]carbamoyl}amino)sulfonyl]phenyl}ethyl)-2,5-dihydro-1H-pyrrole-1-carboxamide', '3-ethyl-4-methyl-N-(4-(N-(((1r,4r)-4-methylcyclohexyl)carbamoyl)sulfamoyl)phenethyl)-2-oxo-2,5-dihydro-1H-pyrrole-1-carboxamide', '3-ETHYL-4-METHYL-N-(4-(N-((1R,4R)-4-METHYLCYCLOHEXYLCARBAMOYL)SULFAMOYL)PHENETHYL)-2-OXO-2,5-DIHYDRO-1H-PYRROLE-1-CARBOXAMIDE', '3-ethyl-4-methyl-N-(4-(N-((trans-4-methylcyclohexyl)carbamoyl)sulfamoyl)phenethyl)-2-oxo-2,5-dihydro-1H-pyrrole-1-carboxamide', '3-ethyl-4-methyl-N-[2-(4-{[(4-methylcyclohexyl)carbamoyl]sulfamoyl}phenyl)ethyl]-2-oxo-2,5-dihydro-1H-pyrrole-1-carboxamide', '3-ethyl-4-methyl-N-[2-(4-{[(cis-4-methylcyclohexyl)carbamoyl]sulfamoyl}phenyl)ethyl]-2-oxo-2,5-dihydro-1H-pyrrole-1-car', '3-Ethyl-4-methyl-N-[2-[4-[[3-(4-methylcyclohexyl)ureido]sulfonyl]phenyl]ethyl]-2-oxo-2,5-dihydro-1H-pyrrole-1-carboxamide', '3-Ethyl-4-methyl-N-{2-[4-({[(1r,4r)-4-methylcyclohexyl]carbamoyl}sulfamoyl)phenyl]ethyl}-2-oxo-2,5-dihydro-1H-pyrrole-1-carboxamide', '3-ethyl-4-methyl-N-{2-[4-({[(4-methylcyclohexyl)carbamoyl]amino}sulfonyl)phenyl]ethyl}-2-oxo-2,5-dihydro-1H-pyrrole-1-carboxamide', "N'-{[4-(2-{[(3-ethyl-4-methyl-2-oxo-2,5-dihydro-1H-pyrrol-1-yl)carbonyl]amino}ethyl)phenyl]sulfonyl}-N-(4-methylcyclohexyl)carbamimidic acid", "N-[4-[2-(3-ethyl-4-methyl-2-oxo-3-pyrroline-1-carboxamido)-ethyl]-benzenesulfonyl]-N'-4-methylcyclohexylurea", 'trans-3-Ethyl-2,5-dihydro-4-methyl-N-[2-[4-[[[[(4-methyl cyclohexyl)amino]carbonyl]amino]sulfonyl]phenyl]ethyl]-2-oxo-1H-pyrrole-1-carboxamide', 'Trans-3-Ethyl-2,5-dihydro-4-methyl-N-[2-[4-[[[[(4-methylcyclohexyl)amino]carbonyl]amino]sulfonyl]phenyl]ethyl]-2-oxo-1H-pyrrole-1-carboxamide', 'trans-3-Ethyl-2,5-dihydro-4-methyl-N-[2-[4-[[[[trans-4-methylcyclohexyl)amino]carbonyl]amino]sulfonyl]phenyl]ethyl]-2-oxo-1H-pyrrole-1-carboxyamide']</t>
  </si>
  <si>
    <t>Compound(3476)</t>
  </si>
  <si>
    <t>C24H34N4O5S</t>
  </si>
  <si>
    <t>gamma linolenic acid</t>
  </si>
  <si>
    <t>(6Z,9Z,12Z)-octadeca-6,9,12-trienoic acid</t>
  </si>
  <si>
    <t>['gamma-Linolenic acid', 'GAMOLENIC ACID', '506-26-3', '(6Z,9Z,12Z)-octadeca-6,9,12-trienoic acid', '(Z,Z,Z)-6,9,12-Octadecatrienoic acid', '(6,9,12)-linolenic acid', 'CCRIS 7668', 'all-cis-6,9,12-Octadecatrienoic acid', 'gamoleic acid', 'Ligla', 'UNII-78YC2MAX4O', 'Acide gamolenique [French]', 'Acido gamolenico [Spanish]', 'Acidum gamolenicum [Latin]', '6,9,12-Octadecatrienoic acid, (Z,Z,Z)-', 'Gamolenic acid [INN:BAN]', 'Gamma-?Linolenic acid', '.gamma.-Linolenic Acid', '6Z,9Z,12Z-octadecatrienoic acid', '(6Z,9Z,12Z)-6,9,12-Octadecatrienoic acid', '(6Z,9Z,12Z)-Octadecatrienoic acid', '78YC2MAX4O', 'cis-Delta(6,9,12)-octadecatrienoic acid', '6-cis,9-cis,12-cis-Octadecatrienoic acid', 'cis,cis,cis-6,9,12-Octadecatrienoic acid', 'CHEMBL464982', 'CHEBI:28661', '6,9,12-Octadecatrienoic acid', '6,9,12-all-cis-Octadecatrienoic acid', 'NCGC00160469-01', '6(Z),9(Z),12(Z)-Octadecatrienoic acid', 'GAMMA-LINOLENIC ACID (18:3 n-6)', '18:3 (n-6)', 'Efamast', 'Epogam', 'Acido gamolenico', '6Z,9Z,12Z-octadecatrienoate', 'Acide gamolenique', 'Acidum gamolenicum', '(6Z,9Z,12Z)-Octadecatrienoate', 'SMR000058609', 'all-cis-6,9,12-octadecatrienoate', 'cis-Delta(6,9,12)-octadecatrienoate', 'Viacutan', 'gamma-Linolensaeure', 'Gamma-linoleic acid', 'Gamma Linoleic Acid', 'gamma-Llnolenic acid', 'C18:3,n-6', 'Gamolenic acid (INN)', 'cis-6,cis-9,cis-12-Octadecatrienoic acid', '6,9,12-Octadecatrienoate', 'DSSTox_CID_26170', 'DSSTox_RID_81401', 'DSSTox_GSID_46170', 'SCHEMBL19418', 'BSPBio_001338', 'gamolenic acid;Gamolenic acid', 'MLS001333661', 'MLS001333662', 'Octadeca-6,9,12-triensaeure', 'BML3-B06', 'GTPL4710', 'DTXSID7046170', 'NDI 609', 'HMS1361C20', 'HMS1791C20', 'HMS1989C20', 'HMS2230A18', 'HMS3402C20', 'HMS3649H09', '6,9,12-all-cis-Octadecatrienoate', 'HY-N7140', 'ZINC3777423', 'Tox21_111835', 'BDBM50269532', 'LMFA01030141', 'MFCD00065718', 's5743', 'C18:3, n-6,9,12 all-cis', '(Z,Z,Z)-6,9,12-Octadecatrienoate', 'AKOS022175367', 'z,z,z-6,9,12-Octadecatrienoic acid', 'CS-W012291', 'DB13854', 'gamma-Linolenic acid, &gt;=99%, liquid', 'z,z,z-octadeca-6,9,12-trienoic acid', '6(Z),9(Z),12(Z)-Octadecatrienoate', 'IDI1_033808', 'gamma-Linolenic acid, analytical standard', 'NCGC00160469-02', 'NCGC00160469-03', 'NCGC00160469-04', 'AK-26042', 'C18:3 (n-6)', 'CAS-506-26-3', 'CC-28926', 'DS-10685', 'LS-97722', 'M520', 'AX8131857', 'DB-029858', 'C18:3n-6,9,12', 'L0152', 'NS00009631', 'Octadecatrienoic acid, 6,9,12-(Z,Z,Z)-', 'cis-6, cis-9, cis-12-octadecatrienoic acid', 'C06426', 'D07213', '506L263', 'Q415885', 'SR-01000838334', 'SR-01000838334-2', '18:3(N-6)', 'BRD-K18059238-001-02-1', 'D58CCA4A-7FFA-4E8B-A758-EAA7D073B343', 'C18H30O2 (cis,cis,cis-octadeca-6,9,12-trienoic acid)', 'UNII-116Z6MZN1M component VZCCETWTMQHEPK-QNEBEIHSSA-N', 'UNII-44NH37HHP9 component VZCCETWTMQHEPK-QNEBEIHSSA-N', 'UNII-F85N2YHE4E component VZCCETWTMQHEPK-QNEBEIHSSA-N', 'cis,cis,cis,6,9,12-Octa-decatrienoic acid-18:3 n6 lithium salt']</t>
  </si>
  <si>
    <t>Compound(5280933)</t>
  </si>
  <si>
    <t>(2R,3S,4R,5R)-2,3,4,5,6-pentahydroxyhexanal</t>
  </si>
  <si>
    <t>['D(+)-Glucose', '50-99-7', '(2R,3S,4R,5R)-2,3,4,5,6-pentahydroxyhexanal', 'aldehydo-D-glucose', 'Blood sugar', 'Dextrose Anhydrous', 'Glucose, anhydrous', 'D-Glucose In Linear Form', 'Dextrose, anhydrous', 'D-Glucose, anhydrous', 'Glucosteril', 'Anhydrous dextrose', 'Dextrose solution', 'Maxim Energy Gel', 'Cartose', 'Cerelose', 'Staleydex 333', 'UNII-5SL0G7R0OK', '5SL0G7R0OK', 'Dextropur', 'Dextrosol', 'Glucolin', 'CCRIS 950', 'Sirup', 'Glucose liquid', 'anhydrous dextrose (open form)', 'HSDB 489', '58367-01-4', 'Sugar, grape', 'CHEBI:42758', 'Dextrose (polymer)', 'EINECS 200-075-1', 'MFCD00063774', 'NSC 406891', 'BRN 1724615', 'AI3-09328', 'Glucose Polymer', 'Dextrose (D-Glucose) Anhydrous', 'DL-Glucose', 'Polyglucose', 'Glucans', 'Glucopur', 'Maxijul', 'Synthetic glucan', 'Poly-D-glucose', 'D-Glucose polymer', 'Glucose homopolymer', 'GLO', 'D-Glucose, polymers', '(14C)-Glucose', '(14C)D-Glucose', '(C13)D-Glucose', '(U-14C)Glucose', '28823-03-2', 'D-Glucose, homopolymer', 'Glucose (C-13)', 'Glucose (C-14)', 'D-(U-14C)Glucose', '(U-13C)-D-glucose', 'D-Glucose, labeled with tritium', 'linear D-glucose', 'D(+)-Glucose, anhydrous, specificied according to the requirements of Ph.Eur., USP, BP', '25191-16-6', 'D-Glucose, labeled with carbon-13', 'D-Glucose, labeled with carbon-14', 'Glucose [JAN]', 'NSC 83659', 'D-Glucose - anhydrous', 'CHEMBL448805', 'Dextrosum (Glucosum) anhydricum', 'DTXSID4048729', 'DTXSID7022910', 'CTK1G8036', 'D-Glucose;Grape sugar;Glucopyranose', 'HY-B0389', '7531AF', 'ANW-31176', 's2123', 'AKOS006239080', 'ZINC100009383', 'CCG-266428', 'CS-2474', 'DB01914', 'LS-2327', 'MP-2142', 'D(+)-Glucose, ACS reagent, anhydrous', 'NCGC00386163-02', '19030-38-7', '8027-56-3', '815-92-9', 'SC-11343', 'SW220288-1', 'AB01274744-01', 'AB01274744_02', '4-01-00-04302 (Beilstein Handbook Reference)', 'A828386', 'Q21036645', '(2R,3S,4R,5R)-2,3,4,5,6-pentakis(oxidanyl)hexanal', '109427F7-ABCA-4F12-91AE-01BC27C22B31', 'UNII-ED959S6ACY component GZCGUPFRVQAUEE-SLPGGIOYSA-N', 'UNII-IY9XDZ35W2 component GZCGUPFRVQAUEE-SLPGGIOYSA-N', 'UNII-W8K377W98I component GZCGUPFRVQAUEE-SLPGGIOYSA-N', 'UNII-YUH1C99228 component GZCGUPFRVQAUEE-SLPGGIOYSA-N', 'D-GLUCOSE,2-(ACETYLAMINO)-4-O-[2-(ACETYLAMINO)-2-DEOXY-4-O-SULFO-B-D-GALACTOPYRANOSYL]-2-DEOXY-']</t>
  </si>
  <si>
    <t>Compound(107526)</t>
  </si>
  <si>
    <t>C6H12O6</t>
  </si>
  <si>
    <t>glufosinate</t>
  </si>
  <si>
    <t>2-amino-4-[hydroxy(methyl)phosphoryl]butanoic acid</t>
  </si>
  <si>
    <t>['GLUFOSINATE', 'phosphinothricin', '51276-47-2', 'DL-Phosphinothricin', 'Glufosinate [ISO]', 'Basta', 'glufosin', '2-amino-4-[hydroxy(methyl)phosphoryl]butanoic acid', '2-Amino-4-(hydroxymethylphosphinyl)butyric acid', '3-Amino-3-carboxypropylmethylphosphinic acid', 'DL-2-Amino-4-(methylphosphino)butanoic acid', 'Glufosinate-ammonium', 'EINECS 257-102-5', 'Butanoic acid, 2-amino-4-(hydroxymethylphosphinyl)-', 'HOE 39866', 'GLUFOSINATE AMMONIUM', '2-Amino-4-(hydroxy-methyl-phosphoryl)butanoic acid', '(S)-Glufosinate', '( -)-Phosphinothricin', '(+-)-Phosphinothricin', 'Glufosinate [BSI:ISO]', '2-amino-4-(hydroxy(methyl)phosphoryl)butanoic acid', '77182-82-2', 'UNII-72P470U27C', 'phosphinothricin hydrochloride', 'C5H12NO4P', '72P470U27C', '2-amino-4-methylphosphinobutyric acid', 'Glufosinate-P [ISO]', 'DL-Homoalanin-4-yl (methyl)phosphinic acid', '(2S)-2-amino-4-(hydroxymethylphosphinyl)butanoic acid', '4-(Hydroxy(methyl)phosphinoyl)-DL-homoalanine', '(2S)-2-amino-4-(hydroxy(methyl)phosphinoyl)butyric acid', 'ammonium-DL-homoalanine-4-yl(methyl)-phosphinate', 'SCHEMBL17697', 'C5H12NO2P', 'CHEMBL450298', 'DTXSID0043973', 'SCHEMBL14826101', 'CHEBI:52136', 'CTK7I4515', 'CHEBI:142851', 'HMS3741K13', 'HY-W019870A', 'AKOS016344180', 'FCH1117521', 'ACM51276472', 'NCGC00160382-01', 'AS-15138', 'LS-46089', 'O214', 'LS-175245', 'BB 0259833', 'CS-0111198', 'NS00005957', 'NS00099030', 'C05042', '2-Amino-4-(hydroxymethylphosphinyl)butanoic acid', '33195-EP2272846A1', '33195-EP2274983A1', '33195-EP2277868A1', '33195-EP2277869A1', '33195-EP2277870A1', '33195-EP2305655A2', '33195-EP2305658A1', '33195-EP2308866A1', '33195-EP2311815A1', '33195-EP2371823A1', '33195-EP2374791A1', '2-amino-4-[hydroxy(methyl)phosphoryl]butyric acid', '276A472', 'Q302204', '2-Amino-4-(hydroxy-methyl-phosphinoyl)-butyric acid', '(+-)-2-Amino-4-(hydroxymethylphosphinyl)butanoic acid', '2-AMINO-4-(HYDROXY-METHYL-PHOSPHINOYL)-BUTYRICACID', 'Butanoic acid, 2-amino-4-(hydroxymethylphosphinyl)-, (+-)-', '2-amino-4-(hydroxymethylphosphinyl)butyric acid;2-Amino-4-(Hydroxymethyl-Phosphinyl)Butanoic Acid;Ammonium 2-amino-4-(hydroxymethylphosphinyl)butyra;Ammonium 2-amino-4-(hydroxymethylphosphinyl)butyrate;ammonium 2-amino-4-(hydroxymethylphosphinyl)butyrate;Glufosinate-ammonium']</t>
  </si>
  <si>
    <t>Compound(4794)</t>
  </si>
  <si>
    <t>C5H12NO4P</t>
  </si>
  <si>
    <t>glufosinate ammonium</t>
  </si>
  <si>
    <t>2-amino-4-[hydroxy(methyl)phosphoryl]butanoic acid;azane</t>
  </si>
  <si>
    <t>['Glufosinate-ammonium', '77182-82-2', 'GLUFOSINATE AMMONIUM', 'ammonium glufosinate', 'Liberty', 'Basta', 'Finale', 'Ignite', 'Dash', 'Glufosinate (ammonium)', 'Basta LS', 'Ammonium glufusinate', 'Basta F1', 'Gluphosinate ammonium', 'Liberty (pesticide)', 'Finale 14SL', 'Ignite ISC Herbicide', 'Caswell No. 580I', 'Glufosinate-ammonium [ISO]', 'HSDB 6666', 'EINECS 278-636-5', 'HOE 00661', 'HOE 39866', 'EPA Pesticide Chemical Code 128850', 'Ammonium (DL-homoalanine-4-yl)methylphosphinate', 'Ammonium (3-amino-3-carboxypropyl)methylphosphinate', 'Ammonium 2-amino-4-(hydroxymethylphosphinyl)butanoate', 'Monoammonium-2-amino-4-(hydroxymethylphosphinyl)butanoate', 'Monoammonium 4-(hydroxy(methyl)phosphinoyl)-DL-homoalaninate', '2-Amino-4-(hydroxymethylphosphinyl)butanoic acid monoammonium salt', 'PubChem19901', 'SCHEMBL15668', 'C5H11NO4P.H4N', 'BIP0679', 'ZX-AFC000274', 'ZX-AFC000351', 'phosphinothricin, monoammonium salt', 'AKOS006228606', 'HY-W019870', 'AK668619', 'AS-13794', 'LS-46090', 'SC-46809', 'AB0109717', 'CS-0031674', 'J10332', 'M-2281', '182G822', 'Glufosinate-ammonium, PESTANAL(R), analytical standard', 'Glufosinate-ammonium, certified reference material, TraceCERT(R)']</t>
  </si>
  <si>
    <t>Compound(11564649)</t>
  </si>
  <si>
    <t>C5H15N2O4P</t>
  </si>
  <si>
    <t>glutaraldehyde</t>
  </si>
  <si>
    <t>pentanedial</t>
  </si>
  <si>
    <t>['glutaraldehyde', 'Pentanedial', 'Glutaral', '111-30-8', 'Glutaric dialdehyde', 'Cidex', 'Glutardialdehyde', '1,5-Pentanedial', 'Sonacide', 'Pentane-1,5-dial', 'Glutaric aldehyde', 'Glutaraldehyd', 'Glutaralum', 'Glutarol', 'Ucarcide', 'Aldesan', 'Alhydex', 'Hospex', 'Glutaric acid dialdehyde', '1,3-Diformylpropane', 'Gluteraldehyde', '1,5-Pentanedione', 'Aldesen', 'Novaruca', 'Sporicidin', 'Aldehyd glutarowy', 'Polyglutaraldehyde', 'Poly(glutaraldehyde)', 'NCI-C55425', 'Caswell No. 468', 'Glutaraldehyd [Czech]', 'Glutaraldehyde solution', 'Glutaclean', 'Sterihyde', 'Aqucar', 'Glutaralum [INN-Latin]', 'Veruca-sep', 'Relugan GT', 'Relugan GTW', 'Aldehyd glutarowy [Polish]', 'component of Cidex', 'Glutarex 28', 'NSC 13392', 'Glutaral [USAN:INN:JAN]', 'Sonacide (TN)', 'Cidex 7', 'Ucarcide 250', 'UNII-T3C89M417N', 'Relugan GT 50', 'Sterihyde L (TN)', 'CCRIS 3800', 'HSDB 949', 'Pentanedial, homopolymer', 'Coldcide-25 microbiocide', 'EINECS 203-856-5', 'EPA Pesticide Chemical Code 043901', 'Glutaral (JAN/USP/INN)', 'BRN 0605390', 'Potentiated acid glutaraldehyde', 'CHEBI:64276', 'T3C89M417N', '1, 5-Pentanedial', 'MFCD00007025', 'Glutaraldehyde solution (50% or less)', 'Glutaraldehyde solution, 25% in water', 'NCGC00091110-01', 'DSSTox_CID_5355', 'DSSTox_RID_77761', 'DSSTox_GSID_25355', 'Glutaraldehyde Solution, 25%', '1,3-Diformyl propane', 'Diswart', 'Gludesin', 'Glutarol-1,5-pentanedial', 'CAS-111-30-8', 'Glutaric dialdehyde, 25 wt.% solution in water', 'Glutaric dialdehyde, 50 wt.% solution in water', 'pentandial', 'Dioxopentane', 'Glutural', 'Ucarset', 'Verucasep', 'Glutaraldehyde solution, for electron microscopy, ~25% in H2O', 'Virsal', 'Glutaral(usan)', 'Sterihyde L', 'glutaric dihydride', 'Glutaral [USAN:USP:INN:JAN]', 'Glutaric dialdehyde, electron microscopy grade, 25% solution in water, purified', 'GLUTARALDEHYDE, 25% SOLN', 'Bactron K31', 'Ucarcide 225', 'Glutaraldehyde,solution', 'ACMC-1BGTC', 'pentane-1,5-dialdehyde', 'Glutaral, INN, USAN', 'Protectol GDA, GT 50', 'SCHEMBL836', 'WLN: VH3VH', 'EC 203-856-5', 'Glutaric dialdehyde solution', '4-01-00-03659 (Beilstein Handbook Reference)', 'KSC175E5H', 'BIDD:ER0299', 'Glutaraldehyde Solution, 50%', '[DID-no:2408]', 'CHEMBL1235482', 'DTXSID6025355', 'CTK0H5253', 'KS-00000WUC', 'Bio1_000462', 'Bio1_000951', 'Bio1_001440', 'NSC13392', 'STR01121', 'ZINC1729593', 'Tox21_111083', 'Tox21_201742', 'Tox21_303295', 'ANW-43543', 'LS-529', 'NSC-13392', 'STL281872', 'AKOS008967285', 'DB03266', 'MCULE-6802048757', 'NE10465', 'Glutaric dialdehyde, 25%sol. In water', 'Glutaric dialdehyde, 25% sol. in water', 'NCGC00091110-02', 'NCGC00091110-03', 'NCGC00257231-01', 'NCGC00259291-01', '29257-65-6', 'I856', 'SC-22641', 'Glutaric dialdehyde, 8% solution in water', 'Glutaraldehyde solution, 25 wt. % in H2O', 'Glutaraldehyde solution, 50 wt. % in H2O', 'FT-0626730', 'G0067', 'G0068', 'NS00004136', 'EN300-18037', 'C12518', 'D01120', 'glutaral;glutaraldehyde;Glutaraldehyde;GLUTARAL', 'Glutaraldehyde solution, for synthesis, 25.0%', '49147-EP2270505A1', '49147-EP2280274A2', '49147-EP2282200A2', '49147-EP2287152A2', '49147-EP2287155A1', '49147-EP2298312A1', '49147-EP2301940A1', '49147-EP2308848A1', '49147-EP2311823A1', '49147-EP2372017A1', '49147-EP2377842A1', '49147-EP2377845A1', 'Glutaraldehyde solution, Grade II, 25% in H2O', 'Glutaric dialdehyde solution, 50 wt. % in H2O', 'A802339', 'Q416475', 'Glutaraldehyde solution, for in vitro diagnostic use', 'Q-201162', 'Glutaric dialdehyde solution, 50 wt. % in H2O, FCC', 'F2191-0161', 'Glutaraldehyde solution, SAJ first grade, 20.0-26.0%', 'Glutaraldehyde solution, technical, ~25% in H2O (2.6 M)', 'Glutaraldehyde solution, technical, ~50% in H2O (5.6 M)', 'Glutaraldehyde solution, 1.2 % (w/v) glutaraldehyde in H2O', 'Glutaraldehyde solution, for electron microscopy, ~50% in H2O', 'Glutaraldehyde solution, for electron microscopy, ~8% in H2O', 'Glutaraldehyde solution, 50% in H2O, suitable for photographic applications', 'Glutaraldehyde solution, Grade I, 25% in H2O, specially purified for use as an electron microscopy fixative', 'Glutaraldehyde solution, Grade I, 50% in H2O, specially purified for use as an electron microscopy fixative or other sophisticated use', 'Glutaraldehyde solution, Grade I, 70% in H2O, specially purified for use as an electron microscopy fixative or other sophisticated use', 'Glutaraldehyde solution, Grade I, 8% in H2O, specially purified for use as an electron microscopy fixative or other sophisticated use']</t>
  </si>
  <si>
    <t>Compound(3485)</t>
  </si>
  <si>
    <t>glutamic acid</t>
  </si>
  <si>
    <t>(2S)-2-aminopentanedioic acid</t>
  </si>
  <si>
    <t>['L-glutamic acid', '56-86-0', 'GLUTAMIC ACID', '(2S)-2-Aminopentanedioic acid', 'H-Glu-OH', '(S)-2-Aminopentanedioic acid', 'Glutaminol', 'Glutaton', '(S)-Glutamic acid', 'L-Glutaminic acid', 'L-glutamate', 'glutacid', 'Glutamicol', 'Glutamidex', 'Aciglut', 'Glusate', 'glutaminic acid', 'L-glu', 'D-Glutamiensuur', 'Acidum glutamicum', 'Poly-L-glutamate', 'alpha-aminoglutaric acid', 'L-(+)-glutamic acid', 'L-2-Aminoglutaric acid', 'Acido glutamico', 'Glutamic acid polymer', 'Acide glutamique', '1-Aminopropane-1,3-dicarboxylic acid', 'POLYGLUTAMIC ACID', 'Acidum glutaminicum', 'glut', 'Glutamic acid, L-', '(S)-(+)-Glutamic acid', 'Glutamic acid (VAN)', 'Poly(alpha-L-glutamic acid)', 'alpha-L-Glutamic acid polymer', 'Glutamic acid (H-3)', 'Glutaminic acid (VAN)', 'FEMA No. 3285', 'glutamate', 'Glutamate, L-', 'alpha-Glutamic acid', 'glu', 'Glutamic Acid [USAN:INN]', 'Pentanedioic acid, 2-amino-, (S)-', '2-Aminoglutaric acid', 'Glutamicacid', 'CCRIS 7314', 'Acide glutamique [INN-French]', 'Acido glutamico [INN-Spanish]', 'Acidum glutamicum [INN-Latin]', 'Glutamic acid, (S)-', 'alpha-Aminoglutaric acid (VAN)', 'L-alpha-Aminoglutaric acid', 'AI3-18472', 'UNII-3KX376GY7L', 'Glutamic acid, L-, peptides', 'EPA Pesticide Chemical Code 374350', 'NSC 143503', 'Poly-L-glutamic acid', 'Gamma-L-Glutamic Acid', 'Glutamic Acid (L-glutamic acid)', '2-Aminopentanedioic acid, (S)-', 'EINECS 200-293-7', 'MFCD00002634', '3KX376GY7L', 'E 620', 'CHEBI:16015', '25513-46-6', 'NCGC00024502-03', 'a-Glutamic acid', 'a-Aminoglutaric acid', 'L(+)-Glutamic acid, 99%', 'L-a-Aminoglutaric acid', '(2S)-2-aminopentanedioate', 'L-Glutaminsaeure', 'L-Acido glutamico', '.alpha.-Glutamic acid', 'glt', '.alpha.-Aminoglutaric acid', 'L(+)-Monosodium glutamate monohydrate', '1-amino-propane-1,3-dicarboxylic acid', 'L-Glutamic acid (9CI)', 'aminoglutarate', 'alpha-Glutamate', 'a-Glutamate', 'L-gluatmate', 'a-Aminoglutarate', 'L-Glutamic adid', '2-Aminoglutarate', 'aminoglutaric acid', '1ftj', '1xff', 'NSC-143503', '(S)-glutamate', 'L-a-Aminoglutarate', 'alpha-Aminoglutarate', 'E620', 'GGL', 'Sodium Glutamate (L-glutamic Acid)', '(L)-glutamic acid', 'H-Glu', 'L-Glutamic,(S)', 'L-(+)-Glutamate', 'L-Glutamic acid, homopolymer (9CI)', 'poly(L-glutamicacid)', 'PubChem8516', 'L-alpha-Aminoglutarate', 'Glutamic acid (USP)', 'poly(L-glutamic acid)', 'Tocris-0218', '[3h]-l-glutamic acid', '1ii5', '(S)-(+)-Glutamate', '(S)-Glu', '6106-04-3', 'DSSTox_CID_659', 'L-[14C(U)]glutamate', '(S)-2-Aminopentanedioate', 'Biomol-NT_000170', 'EC 200-293-7', 'L-Glutamic acid (JP17)', 'SCHEMBL2202', 'DSSTox_RID_75716', 'gamma-poly(L-glutamic acid)', 'H-Glu-2-Chlorotrityl Resin', 'DSSTox_GSID_20659', 'L-Glutamic acid, 98.5%', 'Lopac0_000529', 'S)-2-Aminopentanedioic acid', 'KSC355G8T', 'L-Glutamic acid-13C5,15N', '[DID-no:2031]', 'BPBio1_001132', 'CHEMBL575060', 'GTPL1369', 'HSDB 490', 'INS NO.620', 'L-Glutamic acid, 99%, FCC', 'DTXSID5020659', 'BDBM17657', 'CHEBI:53374', 'CTK2F5389', 'INS-620', '1-Aminopropane-1,3-dicarboxylate', 'Glutamic acid, L- (7CI,8CI)', 'L (+)-glutamic acid, alpha-form', '1-amino-propane-1,3-dicarboxylate', 'ZINC1482113', 'Tox21_113053', 'ANW-32593', 'HSCI1_000269', 'PDSP1_000128', 'PDSP1_001539', 'PDSP2_000127', 'PDSP2_001523', 's6266', 'AKOS006238837', 'AKOS015854087', 'AM81690', 'CCG-204619', 'DB00142', 'LS-2330', 'MCULE-7782530856', 'SDCCGSBI-0050512.P002', 'CAS-56-86-0', 'NCGC00024502-01', 'NCGC00024502-02', 'NCGC00024502-04', 'AC-11294', 'DS-13284', 'gamma-poly(L-glutamic acid) macromolecule', 'HY-14608', 'LS-71885', 'SC-19546', '(S)-1-Aminopropane-1,3-dicarboxylic acid', 'AB0065761', 'A6810', 'CS-0003473', 'E-620', 'G0059', 'L-Glutamic acid, BioUltra, &gt;=99.5% (NT)', 'L-Glutamic acid, tested according to Ph.Eur.', 'C00025', 'D00007', 'L-Glutamic acid, NIST(R)RM 8573, USGS40', 'M02979', 'M03872', 'L-Glutamic acid, JIS special grade, &gt;=99.0%', 'L-Glutamic acid, NIST(R) RM 8574, USGS41', '002G634', 'SR-01000597730', 'J-502415', 'L-Glutamic acid, ReagentPlus(R), &gt;=99% (HPLC)', 'L-Glutamic acid, Vetec(TM) reagent grade, &gt;=99%', 'SR-01000597730-1', 'L-Glutamic acid, &gt;=99%, FCC, natural sourced, FG', 'Q26995161', 'F8889-8668', 'Z1250208666', 'UNII-0O72R8RF8A component WHUUTDBJXJRKMK-VKHMYHEASA-N', 'UNII-3KX376GY7L component WHUUTDBJXJRKMK-VKHMYHEASA-N', 'UNII-61LJO5I15S component WHUUTDBJXJRKMK-VKHMYHEASA-N', '27322E29-9696-49C1-B541-86BEF72DE2F3', 'Glutamic acid, European Pharmacopoeia (EP) Reference Standard', 'L-Glutamic acid, certified reference material, TraceCERT(R)', 'Glutamic acid, United States Pharmacopeia (USP) Reference Standard', 'L-Glutamic acid, from non-animal source, meets EP testing specifications, suitable for cell culture, 98.5-100.5%', 'L-Glutamic acid, PharmaGrade, Ajinomoto, EP, manufactured under appropriate GMP controls for Pharma or Biopharmaceutical production, suitable for cell culture']</t>
  </si>
  <si>
    <t>Compound(33032)</t>
  </si>
  <si>
    <t>C5H9NO4</t>
  </si>
  <si>
    <t>oxiran-2-ylmethanol</t>
  </si>
  <si>
    <t>['GLYCIDOL', '556-52-5', 'oxiran-2-ylmethanol', 'Oxiranemethanol', '2,3-Epoxy-1-propanol', '1-Propanol, 2,3-epoxy-', 'Epihydrin alcohol', 'Glycide', 'Oxiranylmethanol', '3-Hydroxypropylene oxide', '2-(Hydroxymethyl)oxirane', '2,3-Epoxypropanol', 'Glycidyl alcohol', '2,3-Epoxypropan-1-ol', '2-Oxiranemethanol', 'Epoxypropyl alcohol', 'Allyl alcohol oxide', 'Monoepoxide glycidol', '3-Hydroxy-1,2-epoxypropane', 'Methanol, oxiranyl-', '1,2-Epoxy-3-hydroxypropane', '1-Hydroxy-2,3-epoxypropane', '(S)-Oxiranemethanol', '(R)-Oxiran-2-ylmethanol', 'Hydroxymethyl ethylene oxide', 'NCI-C55549', '2-Hydroxymethyloxiran', 'Oxiranemethanol, (R)-', 'Oxiranemethanol, (S)-', 'S-Glycidol', '(RS)-3-hydroxy-1,2-epoxypropane', 'NSC 46096', '(RS)-Glycidol', 'CCRIS 1052', 'Glycidol, 96%', '(+/-)-Glycidol', 'HSDB 1819', 'EINECS 209-128-3', 'BRN 0383562', 'AI3-50540', 'CCRIS 6389', 'CCRIS 6390', 'CHEBI:30966', '(+)-Glycidol', 'MFCD00005147', 'BRN 0079782', 'BRN 0079783', 'DSSTox_CID_666', 'DSSTox_RID_75719', 'DSSTox_GSID_20666', '5-17-03-00009 (Beilstein Handbook Reference)', 'Glycerolglycide', '(R)-(+)-2,3-Epoxy-1-propanol', '2-Oxiranylmethanol #', 'CAS-556-52-5', '2,3-Epoxypropanol-1', 'Glycerol glycid', 'glycerol glycide', 'MFCD00074873', 'MFCD00074874', 'oxiranyl-methanol', '2-Oxiranylmethanol', 'Hydroxymethyloxirane', 'epoxypropyl  alcohol', '(RS)-Oxiranemethanol', '2-hydroxymethyloxirane', '(oxiran-2-yl)methanol', '1-Propanol,3-epoxy-', 'PubChem21960', 'EC 209-128-3', 'R-2,3-epoxy-1-propanol', 'WLN: T3OTJ B1Q', '(+/-)-Oxirane-2-methanol', 'KSC270Q8L', 'KSC492O3J', 'KSC914S2H', 'MLS002174255', '1,2-Epoxy-3-Hydroxy Propane', 'CHEMBL1530150', 'DTXSID4020666', 'Glycidol 2,3-epoxy-1-propanol', 'CTK1H0885', 'CTK3J2734', 'CTK8B4923', '(+/-)-2-(hydroxymethyl)oxirane', 'HMS3039K06', 'ACT05634', 'KS-000008YV', 'NSC46096', 'STR01325', 'Tox21_201309', 'Tox21_300301', 'ANW-33502', 'ANW-43909', 'ANW-46706', 'LS-217', 'NSC-46096', 'STL483075', '(+/-)-Glycidol, analytical standard', 'AKOS009031473', '( inverted exclamation markA)-Glycidol', 'NE50320', 'KS-0000025E', 'KS-0000025G', 'NCGC00090738-01', 'NCGC00090738-02', 'NCGC00090738-03', 'NCGC00090738-04', 'NCGC00253997-01', 'NCGC00258861-01', 'AK-81933', 'SC-18485', 'SMR001261426', 'SY013955', 'SY031944', 'LS-101054', 'LS-101055', 'AM20100365', 'CS-0016001', 'FT-0601500', 'FT-0601501', 'FT-0609741', 'FT-0745851', 'NS00006946', 'Y6562', 'EN300-19950', 'C10920', 'EC 404-660-4', 'TRANSGENIC MODEL EVALUATION II (GLYCIDOL)', '131142-EP2275417A2', '131142-EP2280012A2', '131142-EP2284162A2', '131142-EP2284163A2', '131142-EP2286811A1', '131142-EP2292597A1', '131142-EP2295399A2', '131142-EP2295438A1', '131142-EP2377848A1', 'Q418265', 'J-502270', 'J-502514', 'Q-201169', 'F0001-1460', 'Levodropropizine impurity C, European Pharmacopoeia (EP) Reference Standard', '2 , 3-epoxypropanol;2,3-epoxypropan-1-ol;2-Oxiranemethanol, homopolymer, nonylphenyl ether']</t>
  </si>
  <si>
    <t>Compound(11164)</t>
  </si>
  <si>
    <t>glycol (monoethylene glycol)</t>
  </si>
  <si>
    <t>ethane-1,2-diol</t>
  </si>
  <si>
    <t>['ETHYLENE GLYCOL', '1,2-ethanediol', 'Ethane-1,2-diol', '107-21-1', 'glycol', 'monoethylene glycol', '1,2-Dihydroxyethane', '2-hydroxyethanol', 'Glycol alcohol', 'Ethylene alcohol', 'polyethylene glycol', 'Macrogol', 'Fridex', 'Tescol', 'Ethylene dihydrate', 'Norkool', 'Macrogol 400 BPC', 'Dowtherm SR 1', 'ethanediol', 'Zerex', 'Ucar 17', 'Lutrol-9', 'Polyethylene glycol 200', 'ethyleneglycol', 'Aethylenglykol', 'Glycol, ethylene-', '1,2-Ethandiol', 'Glycols, polyethylene', 'Caswell No. 441', 'Ethylenglycol', 'Aethylenglykol [German]', 'ethylen glycol', 'ethylene-glycol', 'Lutrol', 'PEG 400', 'Polyethylene glycol 600', '146AR', 'Polyethylene glycol 1000', 'UNII-FC72KVT52F', 'Lutrol 9', 'Carbowax 20', 'MFCD00002885', 'NSC 93876', 'Carbowax 300', 'Carbowax 400', 'CCRIS 3744', 'Carbowax 1000', 'Dowtherm 4000', '1,2-ethylene glycol', '1,2-dihydroxy ethane', 'Ethylene glycol polymer', 'HSDB 5012', 'NCI-C00920', 'HOCH2CH2OH', 'Union Carbide XL 54 Type I De-icing Fluid', 'PEG 3350', 'EINECS 203-473-3', 'M.e.g.', 'Ethylene glycol homopolymer', 'Polyethylene Glycol 4000', 'EPA Pesticide Chemical Code 042203', '1,2-Ethanediol homopolymer', 'FC72KVT52F', 'AI3-03050', 'PEG', 'DTXSID8020597', 'CHEBI:30742', 'PEG 4000', '1, 2-Ethanediol', 'DuPont Zonyl FSO Fluorinated Surfactants', 'alpha-Hydro-omega-hydroxypoly(oxyethylene)', 'DSSTox_CID_597', 'H(OCH2CH2)nOH', 'Ethylene glycol, technical', 'Polyethylene oxide', 'DSSTox_RID_75680', 'Polyethylene Glycol 400', 'DSSTox_GSID_20597', 'alpha-Hydro-omega-hydroxypoly(oxy-1,2-ethanediyl)', 'Glycol, polyethylene', 'Carbowax', 'Miralax', 'Ethylene glycol, 99.5%, for analysis', 'CAS-107-21-1', 'Polyethylene Glycols', 'Ethylene glycol, 99.8%, anhydrous, AcroSeal(R)', 'Polyethylene glycol 3350', 'Polyethylene Glycol 6000', 'ethyleneglycole', 'Athylenglykol', 'Aquaffin', 'Badimol', 'Modopeg', 'Nosilen', 'Nycoline', 'ehtylene glycol', 'etylene glycol', 'Carbowax Sentry', '2-ethanediol', 'Pluracol E', 'Polyaethylenglykol', 'Aquacide III', 'Ilexan E', 'Bradsyn PEG', 'ethylene  alcohol', 'Merpol OJ', 'Polyaethylenglykole', 'MEG 100', 'Alkox SR', 'Oxide Wax AN', 'Oxyethylene polymer', 'Poly-G', 'Solbanon (TN)', '1,2-ethane diol', '1,2-ethane-diol', 'ethane-1.2-diol', 'GXT', 'PEG 1000', '1,2-ethyleneglycol', 'ethan-1,2-diol', 'mono-ethylene glycol', 'Carbowax 100', 'Carbowax 200', 'Carbowax 600', 'Macrogol 400', 'Polyox wsr-N 60', 'Mono Ethylene Glycol', 'Carbowax 1350', 'Carbowax 1500', 'Carbowax 1540', 'Carbowax 3350', 'Carbowax 4500', 'Carbowax 4600', '1,2-ethylene-glycol', 'Breox 20M', 'Lutrol E (TN)', 'Ethylene oxide polymer', 'Gafanol E 200', 'Pluriol E 200', 'Carbowax 14000', 'Carbowax 20000', 'Carbowax 25000', 'Emkapol 4200', 'Alcox E 30', 'Alkox E 45', 'Alkox E 60', 'Alkox E 75', 'Alkox R 15', 'Antarox E 4000', 'Atpeg 300', 'Breox 550', 'Breox PEG 300', 'Alkox E 100', 'Alkox E 130', 'Alkox E 160', 'Alkox E 240', 'Alkox R 150', 'Alkox R 400', 'Breox 2000', 'Breox 4000', 'Poly-G600', 'polyethylene glycol-400', 'Macrogol 400 (TN)', 'Polyethylene oxide (NF)', 'Alkox R 1000', 'Polyethylene glycol (NF)', 'ACMC-1AS4X', 'Sentry polyox WSR (TN)', 'Macrogol 1500 (TN)', 'Macrogol 4000 (TN)', 'Macrogol 6000 (TN)', 'EC 203-473-3', 'Ethoxylated 1,2-ethanediol', 'Macrogol ointment (JP17)', 'WLN: Q2Q', 'Glycol, polyethylene(300)', 'HO(CH2)2OH', 'M.E.G', 'NCIOpen2_001979', 'NCIOpen2_002019', 'NCIOpen2_002100', 'Macrogol 400 (JP17)', 'Polyethylene Glycol 300 NF', 'CCRIS 979', 'Ethylene glycol 5 M solution', 'KSC176Q3T', 'MLS002454404', 'Polyethylene glycol, diglycidyl bisphenol A polymer', 'BIDD:ER0283', 'FisherFresh&amp;trade; Concentrate', 'Macrogol 1500 (JP17)', 'Macrogol 4000 (JP17)', 'Macrogol 6000 (JP17)', 'CAFO 154', 'CHEMBL457299', 'LS-8', 'PEG 6000DS', 'DTXSID4027862', 'Ethylene glycol, AR, &gt;=99%', 'Ethylene glycol, LR, &gt;=99%', 'Macrogol 20000 (JP17)', 'CHEBI:46793', 'CTK0H6839', 'HSDB 5159', 'KS-00000VSQ', 'BDH 301', 'PEG1000', 'Poly(oxy-1,2-ethanediyl), .alpha.-hydro-.omega.-hydroxy-', 'WSR-301', 'HMS2267F07', 'Poly(ethylene glycol) methyl ether', 'Polyethylene glycol 3350 (USP)', 'WT931', 'Ethylene glycol, p.a., 99.5%', '1,2-ETHANEDIOL  (GLYCOL)', 'NSC32853', 'NSC32854', 'NSC57859', 'NSC93876', 'PEG 3600', 'PEG-1000', 'poly (ethylene glycol) methyl ether', 'ZINC5224354', 'Ethylene glycol, analytical standard', 'Tox21_202038', 'Tox21_300637', 'ANW-15497', 'Ethane-1,2-diol (Ethylene Glycol)', 'Ethylene glycol, anhydrous, 99.8%', 'HM 500', 'NSC-32853', 'NSC-32854', 'NSC-57859', 'NSC-93876', 'NSC152324', 'NSC152325', 'NSC155081', 'Polyethylene Glycol 8000, NF FCC', 'STL264188', 'M.W range 3,000-3,700', 'AKOS000119039', 'alpha,omega-hydroxypoly(ethylene oxide)', 'DD 3002', 'LS-1078', 'MCULE-6366313128', 'NSC 152324', 'NSC-152324', 'NSC-152325', 'NSC-155081', '61266-70-4 2-Hydroxymethyloxethane', 'DuPont Zonyl FSE Fluorinated Surfactants', 'NCGC00091510-01', 'NCGC00091510-02', 'NCGC00091510-03', 'NCGC00254292-01', 'NCGC00259587-01', 'AK116144', 'BP-13454', 'BP-24366', 'BP-31056', 'M430', "Oxirane, 2,2'-((1-methylethylidene)bis(4,1-phenyleneoxymethylene))bis-, polymer with alpha-hydro-omega-hydroxypoly(oxy-1,2-ethanediyl)", 'polyethylene glycol (m w 200-9,500)', 'SC-47188', 'SMR001262244', 'Dihydrocarveol, (-)-, mixture of isomers', 'ETHYLENE GLYCOL HIGH PURITY GRD 1L', 'Ethylene glycol, ReagentPlus(R), &gt;=99%', 'DuPont Zonyl FSE   Fluorinated Surfactants', 'Pluracol E 400, E 600, E 1450', '242-EP2269996A1', '242-EP2272826A1', '242-EP2272846A1', '242-EP2272849A1', '242-EP2275413A1', '242-EP2275420A1', '242-EP2277867A2', '242-EP2280003A2', '242-EP2281810A1', '242-EP2281812A1', '242-EP2284165A1', '242-EP2286812A1', '242-EP2287156A1', '242-EP2289897A1', '242-EP2292597A1', '242-EP2292608A1', '242-EP2295399A2', '242-EP2295434A2', '242-EP2295438A1', '242-EP2298076A1', '242-EP2298077A1', '242-EP2298750A1', '242-EP2298770A1', '242-EP2301353A1', '242-EP2305031A1', '242-EP2305034A1', '242-EP2305035A1', '242-EP2305663A1', '242-EP2305673A1', '242-EP2305683A1', '242-EP2308510A1', '242-EP2308857A1', '242-EP2308866A1', '242-EP2308877A1', '242-EP2311804A2', '242-EP2311807A1', '242-EP2311834A1', '242-EP2311839A1', '242-EP2314574A1', '242-EP2314589A1', '242-EP2316837A1', '242-EP2371797A1', '242-EP2371798A1', '242-EP2371800A1', '242-EP2371804A1', '242-EP2371809A1', '242-EP2374895A1', '242-EP2377845A1', '242-EP2380873A1', '378-EP2269977A2', '378-EP2270010A1', '378-EP2270017A1', '378-EP2270101A1', '378-EP2270113A1', '378-EP2272813A2', '378-EP2272817A1', '378-EP2272832A1', '378-EP2272849A1', '378-EP2272935A1', '378-EP2272972A1', '378-EP2272973A1', '378-EP2274983A1', '378-EP2275395A2', '378-EP2275404A1', '378-EP2275417A2', '378-EP2275425A1', '378-EP2275469A1', '378-EP2277507A1', '378-EP2277622A1', '378-EP2277858A1', '378-EP2277866A1', '378-EP2277867A2', '378-EP2277872A1', '378-EP2277875A2', '378-EP2280003A2', '378-EP2281563A1', '378-EP2281810A1', '378-EP2281818A1', '378-EP2281821A1', '378-EP2281824A1', '378-EP2284157A1', '378-EP2284159A1', '378-EP2284162A2', '378-EP2284163A2', '378-EP2284165A1', '378-EP2284169A1', '378-EP2286795A1', '378-EP2286811A1', '378-EP2287161A1', '378-EP2287162A1', '378-EP2287940A1', '378-EP2289965A1', '378-EP2292592A1', '378-EP2292597A1', '378-EP2292606A1', '378-EP2292621A1', '378-EP2295055A2', '378-EP2295399A2', '378-EP2295416A2', '378-EP2295438A1', '378-EP2295439A1', '378-EP2298735A1', '378-EP2298743A1', '378-EP2298747A1', '378-EP2298748A2', '378-EP2298760A1', '378-EP2298767A1', '378-EP2298768A1', '378-EP2298770A1', '378-EP2298772A1', '378-EP2298778A1', '378-EP2298828A1', '378-EP2301924A1', '378-EP2301933A1', '378-EP2301941A1', '378-EP2301983A1', '378-EP2305625A1', '378-EP2305627A1', '378-EP2305642A2', '378-EP2305651A1', '378-EP2305658A1', '378-EP2305667A2', '378-EP2305808A1', '378-EP2308839A1', '378-EP2308843A1', '378-EP2308854A1', '378-EP2308857A1', '378-EP2308858A1', '378-EP2308861A1', '378-EP2308865A1', '378-EP2308926A1', '378-EP2309564A1', '378-EP2311453A1', '378-EP2311815A1', '378-EP2311816A1', '378-EP2311817A1', '378-EP2311818A1', '378-EP2311827A1', '378-EP2314558A1', '378-EP2314576A1', '378-EP2314577A1', '378-EP2314587A1', '378-EP2315303A1', '378-EP2316831A1', '378-EP2371799A1', '378-EP2371809A1', '378-EP2371811A2', '378-EP2372017A1', '378-EP2374783A1', '378-EP2374786A1', '378-EP2374790A1', '378-EP2374895A1', '378-EP2377841A1', '378-EP2380873A1', 'E0105', 'Ethylene glycol 1000 microg/mL in Methanol', 'Ethylene glycol, puriss., &gt;=99.5% (GC)', 'FT-0626292', 'FT-0692978', '1,2-Ethane-1,1,2,2-d4-diol-d2(9ci)', 'Ethylene glycol, BioUltra, &gt;=99.5% (GC)', 'Ethylene glycol, SAJ first grade, &gt;=99.0%', 'C01380', 'C15588', 'D03370', 'D06418', 'D06419', 'D06420', 'D06421', 'D06422', 'D06423', 'Ethylene glycol, JIS special grade, &gt;=99.5%', '27283-EP2270007A1', '27283-EP2270505A1', '27283-EP2272817A1', '27283-EP2272822A1', '27283-EP2279750A1', '27283-EP2280000A1', '27283-EP2281823A2', '27283-EP2284160A1', '27283-EP2284169A1', '27283-EP2287160A1', '27283-EP2287161A1', '27283-EP2287162A1', '27283-EP2292612A2', '27283-EP2305673A1', '27283-EP2308510A1', '27283-EP2308562A2', '27283-EP2308877A1', '27283-EP2311832A1', '27283-EP2311833A1', '27283-EP2311834A1', '27283-EP2314575A1', '27283-EP2371811A2', '27283-EP2374790A1', '27283-EP2377849A2', '89779-EP2289483A1', '89779-EP2295422A2', '89779-EP2305033A1', "Ethanol, 2,2'-(oxybis(2,1-ethanediyloxy)bis-", 'Ethylene glycol, anhydrous, ZerO2(TM), 99.8%', 'Ethylene glycol, Vetec(TM) reagent grade, 98%', 'Ethylene glycol, spectrophotometric grade, &gt;=99%', 'Q194207', 'J-001731', 'Poly(oxy-1,2-ethanediyl), alpha-hydro-omega-hydroxy-', 'Poly(oxy-1,2-ethanediyl, alpha-hydro-omega-hydroxy-', 'F0001-0142', '004143F9-240E-472F-9D5A-B1B13BBA2A18', 'Ethylene glycol, United States Pharmacopeia (USP) Reference Standard', 'Ethylene glycol, Pharmaceutical Secondary Standard; Certified Reference Material', 'Ethylene glycol solution, NMR reference standard, 80% in DMSO-d6 (99.9 atom % D), NMR tube size 3 mm x 8 in.', 'Ethylene glycol solution, NMR reference standard, 80% in DMSO-d6 (99.9 atom % D), NMR tube size 5 mm x 8 in.', 'ethylene glycol;1,2-ethanediol;ethane-1,2-diol;glycolethylene glycol;ethanediol;ethylene glycol 1,2-ethanediol ethane-1,2-diol glycolethylene glycol ethanediol', 'Residual Solvent Class 2 - Ethylene Glycol, United States Pharmacopeia (USP) Reference Standard']</t>
  </si>
  <si>
    <t>Compound(174)</t>
  </si>
  <si>
    <t>C2H6O2</t>
  </si>
  <si>
    <t>glycerol diacetate</t>
  </si>
  <si>
    <t>(2-acetyloxy-3-hydroxypropyl) acetate</t>
  </si>
  <si>
    <t>['Glyceryl diacetate', '1,2-diacylglycerol', '1,2,3-Propanetriol, diacetate', '3-Hydroxypropane-1,2-diyl diacetate', '1,2-Diacetin', '1,2-Diacetylglycerol', 'Glycerol diacetate', '102-62-5', '2,3-Diacetin', 'Glycerol 1,2-diacetate', 'Acetin, di-', '(Hydroxymethyl)ethylene acetate', 'Diacetylglycerol', 'Acetin, 1,2-di-', 'Glycerin diacetate', 'Glycerine diacetate', '2,3-Diacetoxypropan-1-ol', 'Glycerol 1,3-di(acetate)', '1,2,3-Propanetriol, 1,2-diacetate', 'Acetic acid, diglyceride', 'Estol 1582', 'Estol 1583', 'NSC 2348', 'glyceryl 1,2-diacetate', 'EINECS 246-941-2', 'BRN 1775840', 'AI3-00676', '2,3-diacetoxypropanol', 'CCRIS 9354', 'CCRIS 9462', 'Diacetain glycerol', 'Diacetyl glycerine', 'Glycerol  Diacetate', 'Diacetin (Related)', 'Acetin,2-di-', '1,2,3-PROPANETRIOL DIACETATE', 'Diacetin (contains Mono-, Tri-, Glycerol)', '2-(Acetyloxy)-1-(hydroxymethyl)ethyl acetate', 'WLN: 1VOY1Q1OV1', 'Diacetyl glycerine (Related)', 'SCHEMBL77521', '3-02-00-00331 (Beilstein Handbook Reference)', 'ARONIS24497', 'Glycerol Alpha,Alpha-Diacetate', 'DTXSID5041223', 'CTK4A1342', 'KS-00000ZWX', 'BBC/663', 'DTXSID70883105', 'NSC2348', '(+/-)-Glycerol 1,2-diacetate', '1,3-Propanetriol, 1,2-diacetate', 'NSC-2348', 'ZX-AS004864', '1,2,3-Propanetriol,1,2-diacetate', '3-Hydroxy-1,2-propanediyl diacetate', 'AKOS006273209', 'LS-13028', 'LS-13029', '(1-acetyloxy-3-hydroxypropan-2-yl)acetate', 'DB-046694', '1-(acetyloxy)-3-hydroxypropan-2-yl acetate', 'FT-0624585', 'NS00013555', 'Q24300357', '2-(Acetyloxy)-1-(hydroxymethyl)ethyl acetate, AldrichCPR', 'Diacetain glycerol;DIACETIN;Glycerol 1,3-di(acetate);glycerol 1,3-di(acetate)']</t>
  </si>
  <si>
    <t>Compound(66021)</t>
  </si>
  <si>
    <t>C7H12O5</t>
  </si>
  <si>
    <t>glycerol triacetate</t>
  </si>
  <si>
    <t>2,3-diacetyloxypropyl acetate</t>
  </si>
  <si>
    <t>['triacetin', '102-76-1', 'Glyceryl triacetate', 'Glycerol triacetate', 'Glycerin triacetate', 'Enzactin', 'Triacetine', 'Triacetylglycerol', 'Fungacetin', 'Glyped', 'Triacetyl glycerine', 'Vanay', 'Kesscoflex TRA', 'Kodaflex triacetin', '1,2,3-Propanetriol, triacetate', 'Acetin, tri-', 'Triacetina', 'Triacetinum', '1,2,3-triacetoxypropane', 'propane-1,2,3-triyl triacetate', '1,2,3-Propanetriol, 1,2,3-triacetate', '1,2,3-Propanetriol triacetate', 'Triacetyl glycerin', 'Triacetyl glycerol', '1,2,3-Propanetriyl triacetate', '1,2,3-Triacetylglycerol', 'Triacetin [INN]', 'FEMA No. 2007', 'FEMA Number 2007', 'Triacetine [INN-French]', 'Triacetinum [INN-Latin]', 'Triacetina [INN-Spanish]', 'NSC 4796', 'UNII-XHX3C3X673', 'Triacetin, 99%', 'HSDB 585', 'Triacetin (USP/INN)', 'Acetic, 1,2,3-propanetriyl ester', 'ENZACTIN (TN)', 'EINECS 203-051-9', 'TRIACETIN (GLYCEROL TRIACETATE)', '2-(Acetyloxy)-1-[(acetyloxy)methyl]ethyl acetate', 'BRN 1792353', '2,3-diacetyloxypropyl acetate', '1,2,3-triacetyl-sn-glycerol', 'AI3-00661', 'CHEBI:9661', 'XHX3C3X673', 'Glycerol triacetate (Triacetin)', 'E1518', 'C9H14O6', 'NSC-4796', 'MFCD00008716', '1,3-bis(acetyloxy)propan-2-yl acetate', 'NCGC00091612-04', 'Triacetin (1,2,3-Propanetriol triacetate)', 'DSSTox_CID_6691', 'DSSTox_RID_78184', 'DSSTox_GSID_26691', 'CAS-102-76-1', '2-acetyloxy-1-(acetyloxymethyl)ethyl acetate', 'Estol 1581', 'Triacetin [USP:INN:BAN]', 'Enzacetin', 'Euzactin', 'Fungacet', 'Motisil', 'Blekin', 'tri-acetin', 'CCRIS 9355', 'Triacetin.', '3-Triacetoxypropane', 'Glycerine triacetate', 'Spectrum_000881', 'Spectrum2_000939', 'Spectrum3_001368', 'Spectrum4_000362', 'Spectrum5_001376', 'ACMC-1C1GI', '1,2,3-triacetyl-glycerol', 'EC 203-051-9', 'Triacetin, &gt;=99.5%', 'SCHEMBL3870', 'BSPBio_002896', 'Glycerol triacetate tributyrin', 'KBioGR_000823', 'KBioSS_001361', '4-02-00-00253 (Beilstein Handbook Reference)', 'KSC176O0H', 'MLS002152946', '1,3-Propanetriol, triacetate', 'DivK1c_000740', 'Glyceryl triacetate, &gt;=99%', 'SPECTRUM1500585', 'Triacetin, analytical standard', 'SPBio_000878', 'Triacetin, 99%, FCC, FG', '1,2,3-propanediol triethanoate', 'CHEMBL1489254', 'DTXSID3026691', 'CTK0H6703', 'FEMA 2007', 'HMS502E22', 'KBio1_000740', 'KBio2_001361', 'KBio2_003929', 'KBio2_006497', 'KBio3_002116', 'KS-00000YQB', 'EBD5636', 'NSC4796', 'NINDS_000740', 'HMS1921G05', 'HMS2092O09', 'HMS2232I22', 'Pharmakon1600-01500585', 'Acetin, tri-;TRIACETIN;Triacetin', 'Triacetin, &gt;=99%, natural, FG', 'HY-B0896', 'ZINC1530705', 'Tox21_111155', 'Tox21_201745', 'Tox21_300111', 'WLN: 1VO1YOV1 &amp; 1OV1', 'ANW-14741', 'CCG-39680', 'LMGL03012615', 'NSC757364', 's4581', 'SBB060703', 'Triacetin, 8CI, BAN, INN, USAN', '1,2,3-Propanetriol triacetate, 9CI', 'AKOS009028851', 'Tox21_111155_1', 'Glyceryl triacetate, &gt;=99.0% (GC)', 'LS-2356', 'MCULE-6622854116', 'NSC-757364', 'IDI1_000740', 'NCGC00091612-01', 'NCGC00091612-02', 'NCGC00091612-03', 'NCGC00091612-05', 'NCGC00091612-06', 'NCGC00091612-07', 'NCGC00091612-09', 'NCGC00254207-01', 'NCGC00259294-01', 'S168', 'SMR001224538', 'SBI-0051540.P002', 'FT-0626753', 'G0086', 'NS00010706', 'ST51046833', 'EN300-19216', 'D00384', 'E 1518', 'Q83253', 'AB00052112_06', 'SR-05000002079', 'J-000781', 'SR-05000002079-1', '2-(Acetyloxy)-1-[(acetyloxy)methyl]ethyl acetate #', 'Z1258578263', 'Triacetin, GTA F.G (1,2,3-PROPANETRIOL TRIACETATE)', 'Triacetin, United States Pharmacopeia (USP) Reference Standard', 'Triacetin, Pharmaceutical Secondary Standard; Certified Reference Material', '1,2,3-Propanetriol triacetate; 1,2,3-Triacetoxypropane; 1,2,3-Triacetylglycerol; Glycerol triacetate', '1,2,3-Propanetriol triacetate; Glycerol Triacetate, USP Grade(1.03000); TRIACETINE; Glycerol triacetate; Glyceryl triacetate; propane-1,2,3-triyl triacetate']</t>
  </si>
  <si>
    <t>Compound(5541)</t>
  </si>
  <si>
    <t>C9H14O6</t>
  </si>
  <si>
    <t>propane-1,2,3-triol</t>
  </si>
  <si>
    <t>['glycerol', 'glycerin', '56-81-5', 'Glycerine', '1,2,3-Propanetriol', 'PROPANE-1,2,3-TRIOL', 'Glycyl alcohol', 'Trihydroxypropane', 'Glyceritol', 'Propanetriol', 'Osmoglyn', '1,2,3-trihydroxypropane', 'Grocolene', 'Glysanin', 'Glyrol', 'Dagralax', 'Ophthalgan', 'Vitrosupos', 'Glycerin, anhydrous', 'Glycerin, synthetic', 'Synthetic glycerin', 'Polyglycerine', 'Polyglycerol', 'Synthetic glycerine', 'Optim', 'Moon', 'Star', 'Incorporation factor', 'Glycerinum', '90 Technical glycerine', 'Glycerin mist', 'Glycerin (mist)', 'Citifluor AF 2', 'Glycerolum', 'Bulbold', 'Cristal', 'Glicerina [DCIT]', 'Glycerine mist', 'Glycerol polymer', 'Caswell No. 469', 'Polyglycerin', 'Propanetriol (VAN)', 'Glycerin base', 'FEMA No. 2525', 'Glicerol [INN-Spanish]', 'Glycerolum [INN-Latin]', 'Glycerin [JAN]', 'Clyzerin, wasserfrei', 'Unigly G 2', 'Unigly G 6', 'Pricerine 9091', 'Clyzerin, wasserfrei [German]', 'Emery 916', 'CCRIS 2295', 'HSDB 492', 'EPA Pesticide Chemical Code 063507', '25618-55-7', '1,2,3-PROPANETRIOL, HOMOPOLYMER', 'UNII-PDC6A3C0OX', 'Collyrium Fresh-Eye Drops', 'AI3-00091', 'Glycerin, natural', 'NSC 9230', 'Glycerol, polymers', 'BRN 0635685', 'IFP', 'PGL 300', 'PGL 500', 'PGL 700', 'Monoctanoin Component D', 'HL 80', 'EINECS 200-289-5', 'MFCD00004722', 'PDC6A3C0OX', '1,2,3-trihydroxypropanol', 'Pentrioxido sulfurico glycerincol', 'CHEBI:17754', 'NSC9230', 'Glycerol (INN)', 'Glycerol [INN]', 'NSC-9230', '8043-29-6', 'NCGC00090950-03', 'DSSTox_CID_662', 'DSSTox_RID_75717', 'DSSTox_GSID_20663', 'Glycerol, 99+%, extra pure', 'Glycerol; Propane-1,2,3-Triol', 'Glycerol, 99.6%, ACS reagent', 'Glicerina', 'Glicerol', 'Glycerol, 99+%, pure, synthetic', 'Glycerol, ACS reagent, &gt;=99.5%', 'Glyceol Opthalgan', 'Glycerol, 99.5+%, for spectroscopy', 'Tegin M', 'CAS-56-81-5', '30918-77-5', 'GOL', 'Mackstat H 66', 'WURCS=2.0/1,1,0/[h2h]/1/', 'Glycerin [USP:JAN]', 'Glycerol, pure, 83.5-88.5 wt% aqueous solution', 'RG-S', 'Glycerol, for analysis, 86-88% wt% aqueous solution', 'UNII-F92TF92VBF', 'alditol', 'Neutracett', 'Glyceol', 'Glyzerin', 'Oelsuess', 'glycerine usp', 'Artifical tears', 'UNII-522DM106CR', 'C3H8O3', 'D-glycerol', 'L-glycerol', 'Tryhydroxypropane', 'Glycerol.', 'Organic Glycerin', 'Glycerol solution', 'Organic Glycerine', 'Glycerin,anhydrous', 'Glycerine (crude)', 'Polyhydric alcohols', '1,3-Propanetriol', 'Glycerin USP grade', 'Glycerine 96%', 'Glycerol 85%', 'Glycerin 99.5%', 'Glycerine 96% USP', '1,3-Trihydroxypropane', '90 Technical glycerin', 'Emery 912', 'PubChem16092', 'rac-Glycerol-1-13C', 'ACMC-20akt3', 'E 422', 'Glycerin (JP17/USP)', 'Glycerin 99.5% USP', 'Glycerine 99.7% USP', 'bmse000184', 'bmse000807', 'bmse000856', 'CHEMBL692', 'MolMap_000024', 'EC 200-289-5', 'EC 607-759-2', 'Glycerol, &gt;=99.5%', 'Glycerin Reagent Grade ACS', 'WLN: Q1YQ1Q', 'F92TF92VBF', 'Glycerine (Fragrance Grade)', '2-hydroxylpropane-1,3-diol', 'Glycerol, LR, &gt;=98%', 'Glycerol, analytical standard', '4-01-00-02751 (Beilstein Handbook Reference)', 'KSC221G6P', 'Glycerin, concentrated (JAN)', 'Concentrated glycerin (JP17)', 'Glycerol 3 M solution, 3 M', 'Glycerol, &gt;=99% (GC)', 'M 314429', 'GTPL5195', 'INS NO.422', 'QSPL 181', 'DTXSID9020663', 'Glycerol, AR, &gt;=99.5%', 'CHEBI:17522', 'CTK1C1367', 'Glycerol, &gt;99%, FCC, FG', 'Glycerol, technical grade, 95%', 'KS-00000XBN', 'INS-422', '2w97', 'Glycerol, ACS reagent, 99.5%', '522DM106CR', 'Pharmakon1600-01300020', 'ZINC895048', 'Glycerol, Vetec(TM) reagent grade', 'Glycerol solution, 86-89% (T)', 'HY-B1659', 'Glycerine 912 (96% CP/USP)', 'Tox21_111043', 'Tox21_202077', 'Tox21_300144', 'c0066', 'Glycerol, BioXtra, &gt;=99% (GC)', 'Glycerol, ReagentPlus(R), &gt;=99%', 'NSC759633', 'STL199174', 'AKOS000120102', 'CS-6964', 'DB09462', 'Glycerol, USP, 99.0-101.0%', 'LS-1377', 'LS-3195', 'MCULE-6349111826', 'NSC-759633', 'GLYCERIN; PROPANE-1,2,3-TRIOL', 'Glycerolglycerin; Propane-1,2,3-Triol', 'PZN 7474853', 'Glycerol, SAJ first grade, &gt;=98.0%', 'NCGC00090950-01', 'NCGC00090950-02', 'NCGC00090950-04', 'NCGC00090950-05', 'NCGC00253975-01', 'NCGC00259626-01', '8013-25-0', '98292-00-3', 'BP-31039', 'E422', 'Glycerol, for molecular biology, &gt;=99%', 'Glycerol, JIS special grade, &gt;=99.0%', 'Glycerol, Vetec(TM) reagent grade, 99%', 'LS-72131', 'SC-13789', 'Glycerin, meets USP testing specifications', '32-EP2269610A2', '32-EP2269978A2', '32-EP2269985A2', '32-EP2269991A2', '32-EP2269994A1', '32-EP2269996A1', '32-EP2270001A1', '32-EP2270002A1', '32-EP2270004A1', '32-EP2270007A1', '32-EP2270008A1', '32-EP2270011A1', '32-EP2270895A2', '32-EP2272510A1', '32-EP2272516A2', '32-EP2272537A2', '32-EP2272822A1', '32-EP2272825A2', '32-EP2272827A1', '32-EP2272834A1', '32-EP2272972A1', '32-EP2272973A1', '32-EP2275105A1', '32-EP2275413A1', '32-EP2275414A1', '32-EP2275417A2', '32-EP2275419A2', '32-EP2275420A1', '32-EP2277565A2', '32-EP2277566A2', '32-EP2277567A1', '32-EP2277568A2', '32-EP2277569A2', '32-EP2277570A2', '32-EP2277861A1', '32-EP2277865A1', '32-EP2277867A2', '32-EP2277872A1', '32-EP2277898A2', '32-EP2278637A1', '32-EP2279741A2', '32-EP2279750A1', '32-EP2280002A1', '32-EP2280003A2', '32-EP2280005A1', '32-EP2280008A2', '32-EP2280010A2', '32-EP2280011A1', '32-EP2280014A2', '32-EP2281563A1', '32-EP2281823A2', '32-EP2281899A2', '32-EP2283811A1', '32-EP2283898A1', '32-EP2284146A2', '32-EP2284147A2', '32-EP2284149A1', '32-EP2284150A2', '32-EP2284151A2', '32-EP2284152A2', '32-EP2284153A2', '32-EP2284155A2', '32-EP2284156A2', '32-EP2284157A1', '32-EP2284160A1', '32-EP2284162A2', '32-EP2284163A2', '32-EP2284164A2', '32-EP2284165A1', '32-EP2284178A2', '32-EP2284179A2', '32-EP2286812A1', '32-EP2287140A2', '32-EP2287147A2', '32-EP2287148A2', '32-EP2287150A2', '32-EP2287152A2', '32-EP2287156A1', '32-EP2287167A1', '32-EP2287168A2', '32-EP2289510A1', '32-EP2289518A1', '32-EP2289871A1', '32-EP2289879A1', '32-EP2289883A1', '32-EP2289884A1', '32-EP2289890A1', '32-EP2289892A1', '32-EP2292227A2', '32-EP2292228A1', '32-EP2292231A1', '32-EP2292234A1', '32-EP2292280A1', '32-EP2292590A2', '32-EP2292593A2', '32-EP2292612A2', '32-EP2292615A1', '32-EP2292617A1', '32-EP2292622A1', '32-EP2295053A1', '32-EP2295402A2', '32-EP2295406A1', '32-EP2295409A1', '32-EP2295410A1', '32-EP2295411A1', '32-EP2295417A1', '32-EP2295418A1', '32-EP2295419A2', '32-EP2295424A1', '32-EP2295426A1', '32-EP2295427A1', '32-EP2295429A1', '32-EP2295434A2', '32-EP2295437A1', '32-EP2295438A1', '32-EP2295439A1', '32-EP2295550A2', '32-EP2298312A1', '32-EP2298313A1', '32-EP2298415A1', '32-EP2298732A1', '32-EP2298734A2', '32-EP2298746A1', '32-EP2298750A1', '32-EP2298764A1', '32-EP2298765A1', '32-EP2298766A1', '32-EP2298770A1', '32-EP2298772A1', '32-EP2298775A1', '32-EP2298828A1', '32-EP2301534A1', '32-EP2301536A1', '32-EP2301538A1', '32-EP2301627A1', '32-EP2301912A2', '32-EP2301913A1', '32-EP2301914A1', '32-EP2301916A2', '32-EP2301919A1', '32-EP2301929A1', '32-EP2301931A1', '32-EP2301933A1', '32-EP2301935A1', '32-EP2301937A1', '32-EP2301939A1', '32-EP2301941A1', '32-EP2302015A1', '32-EP2305243A1', '32-EP2305250A1', '32-EP2305633A1', '32-EP2305636A1', '32-EP2305637A2', '32-EP2305643A1', '32-EP2305648A1', '32-EP2305651A1', '32-EP2305657A2', '32-EP2305662A1', '32-EP2305668A1', '32-EP2305669A1', '32-EP2305674A1', '32-EP2305677A1', '32-EP2305682A1', '32-EP2305825A1', '32-EP2308812A2', '32-EP2308832A1', '32-EP2308838A1', '32-EP2308839A1', '32-EP2308840A1', '32-EP2308847A1', '32-EP2308851A1', '32-EP2308854A1', '32-EP2308855A1', '32-EP2308857A1', '32-EP2308861A1', '32-EP2308863A1', '32-EP2308865A1', '32-EP2308872A1', '32-EP2308873A1', '32-EP2308875A1', '32-EP2308879A1', '32-EP2308883A1', '32-EP2308960A1', '32-EP2311451A1', '32-EP2311455A1', '32-EP2311796A1', '32-EP2311797A1', '32-EP2311798A1', '32-EP2311799A1', '32-EP2311806A2', '32-EP2311807A1', '32-EP2311809A1', '32-EP2311824A1', '32-EP2311825A1', '32-EP2311827A1', '32-EP2311829A1', '32-EP2311831A1', '32-EP2311836A1', '32-EP2311837A1', '32-EP2311842A2', '32-EP2314295A1', '32-EP2314571A2', '32-EP2314576A1', '32-EP2314577A1', '32-EP2314584A1', '32-EP2314588A1', '32-EP2314590A1', '32-EP2314591A1', '32-EP2316450A1', '32-EP2316452A1', '32-EP2316457A1', '32-EP2316458A1', '32-EP2316459A1', '32-EP2316470A2', '32-EP2316825A1', '32-EP2316826A1', '32-EP2316827A1', '32-EP2316828A1', '32-EP2316829A1', '32-EP2316831A1', '32-EP2316832A1', '32-EP2316833A1', '32-EP2316834A1', '32-EP2316835A1', '32-EP2316836A1', '32-EP2371802A1', '32-EP2373603A1', '32-EP2374454A1', '32-EP2374792A1', '32-EP2377842A1', '32-EP2380872A1', '599-EP2269996A1', '599-EP2270101A1', '599-EP2270505A1', '599-EP2272847A1', '599-EP2275417A2', '599-EP2284162A2', '599-EP2284163A2', '599-EP2284169A1', '599-EP2284170A1', '599-EP2284172A1', '599-EP2284178A2', '599-EP2284179A2', '599-EP2287161A1', '599-EP2287162A1', '599-EP2289892A1', '599-EP2292227A2', '599-EP2295410A1', '599-EP2295433A2', '599-EP2301939A1', '599-EP2305660A1', '599-EP2305825A1', '599-EP2308861A1', '599-EP2308867A2', '599-EP2308870A2', '599-EP2311494A1', '599-EP2311815A1', '599-EP2311824A1', '599-EP2311835A1', '599-EP2311840A1', '599-EP2311842A2', '599-EP2374783A1', '599-EP2377841A1', '599-EP2377842A1', '599-EP2380568A1', '650-EP2269978A2', '650-EP2269985A2', '650-EP2269991A2', '650-EP2272817A1', '650-EP2272848A1', '650-EP2272849A1', '650-EP2274983A1', '650-EP2275102A1', '650-EP2275417A2', '650-EP2275469A1', '650-EP2277848A1', '650-EP2277861A1', '650-EP2277877A1', '650-EP2277879A1', '650-EP2277880A1', '650-EP2277881A1', '650-EP2280002A1', '650-EP2284150A2', '650-EP2284151A2', '650-EP2284152A2', '650-EP2284153A2', '650-EP2284155A2', '650-EP2284156A2', '650-EP2284162A2', '650-EP2284163A2', '650-EP2284164A2', '650-EP2284166A1', '650-EP2284169A1', '650-EP2287140A2', '650-EP2287148A2', '650-EP2287150A2', '650-EP2287152A2', '650-EP2287155A1', '650-EP2287158A1', '650-EP2287160A1', '650-EP2287161A1', '650-EP2287162A1', '650-EP2287165A2', '650-EP2287166A2', '650-EP2287167A1', '650-EP2287940A1', '650-EP2289868A1', '650-EP2289871A1', '650-EP2289965A1', '650-EP2292227A2', '650-EP2292233A2', '650-EP2292590A2', '650-EP2292593A2', '650-EP2292597A1', '650-EP2292610A1', '650-EP2292611A1', '650-EP2292620A2', '650-EP2292630A1', '650-EP2295055A2', '650-EP2295414A1', '650-EP2295415A1', '650-EP2295416A2', '650-EP2295419A2', '650-EP2295422A2', '650-EP2295426A1', '650-EP2295427A1', '650-EP2295433A2', '650-EP2295438A1', '650-EP2298305A1', '650-EP2298731A1', '650-EP2298732A1', '650-EP2298735A1', '650-EP2298748A2', '650-EP2298762A2', '650-EP2298767A1', '650-EP2298769A1', '650-EP2298770A1', '650-EP2301534A1', '650-EP2301536A1', '650-EP2301538A1', '650-EP2301540A1', '650-EP2301912A2', '650-EP2301913A1', '650-EP2301914A1', '650-EP2301916A2', '650-EP2301938A1', '650-EP2301983A1', '650-EP2305033A1', '650-EP2305243A1', '650-EP2305625A1', '650-EP2305637A2', '650-EP2305654A1', '650-EP2305668A1', '650-EP2305673A1', '650-EP2308510A1', '650-EP2308562A2', '650-EP2308832A1', '650-EP2308838A1', '650-EP2308857A1', '650-EP2308861A1', '650-EP2308862A1', '650-EP2308863A1', '650-EP2308866A1', '650-EP2308878A2', '650-EP2308926A1', '650-EP2309564A1', '650-EP2311451A1', '650-EP2311453A1', '650-EP2311455A1', '650-EP2311464A1', '650-EP2311796A1', '650-EP2311797A1', '650-EP2311798A1', '650-EP2311799A1', '650-EP2311806A2', '650-EP2311814A1', '650-EP2311821A1', '650-EP2311823A1', '650-EP2311832A1', '650-EP2311833A1', '650-EP2311834A1', '650-EP2311840A1', '650-EP2311842A2', '650-EP2314295A1', '650-EP2314575A1', '650-EP2314580A1', '650-EP2314582A1', '650-EP2314584A1', '650-EP2314587A1', '650-EP2316450A1', '650-EP2316452A1', '650-EP2316470A2', '650-EP2316832A1', '650-EP2316833A1', '650-EP2371809A1', '650-EP2371811A2', '650-EP2372017A1', '650-EP2374787A1', '650-EP2374790A1', '650-EP2374895A1', '650-EP2377848A1', '650-EP2380568A1', 'E-422', 'FT-0626742', 'FT-0669018', 'FT-0697060', 'G0316', 'S0373', 'Glycerol, ReagentPlus(R), &gt;=99.0% (GC)', 'Glycerol, spectrophotometric grade, &gt;=99.5%', '3114-EP2284146A2', '3114-EP2284147A2', '3114-EP2295399A2', 'C00116', 'D00028', '81753-EP2275417A2', '81753-EP2284162A2', '81753-EP2284163A2', '81753-EP2305687A1', 'A831186', 'Glycerol solution, puriss. p.a., 86-89% (T)', 'Glycerol, tested according to Ph.Eur., anhydrous', 'Q132501', 'BRD-K73866522-001-02-6', 'Glycerol-Gelatine, for mounting (histochemical slides)', 'F0001-1470', '8DFDFCD7-1ED2-4373-845E-054F5AD00089', 'UNII-VFU0OU98LO component PEDCQBHIVMGVHV-UHFFFAOYSA-N', 'Glycerin, United States Pharmacopeia (USP) Reference Standard', 'Glycerin, Pharmaceutical Secondary Standard; Certified Reference Material', 'Glycerol, 99.5%, for molecular biology, DNAse, RNAse and Protease free', 'Glycerol, BioUltra, for molecular biology, anhydrous, &gt;=99.5% (GC)', 'Glycerol, p.a., ACS reagent, reag. ISO, reag. Ph. Eur., 98.0-101.0%', 'Glycerol, puriss. p.a., ACS reagent, anhydrous, dist., &gt;=99.5% (GC)', 'ASTM(R) D6584 Glycerin solution, 500 mug/mL in pyridine, analytical standard', 'ASTM(R) D6584 Glycerin solution, certified reference material, 500 mug/mL in pyridine', 'Glycerol solution, puriss., meets analytical specification of Ph.??Eur., BP, 84-88%', 'Glycerol, BioReagent, suitable for cell culture, suitable for insect cell culture, suitable for electrophoresis, &gt;=99% (GC)', 'Glycerol, polymer-bound, extent of labeling: 1-2 mmol/g glycerol loading, 1 % cross-linked with divinylbenzene', 'Glycerol, puriss., meets analytical specification of Ph. Eur., BP, USP, FCC, E422, anhydrous, 99.0-101.0% (alkalimetric)']</t>
  </si>
  <si>
    <t>Compound(753)</t>
  </si>
  <si>
    <t>C3H8O3</t>
  </si>
  <si>
    <t>glyphosate trimesium</t>
  </si>
  <si>
    <t>2-(phosphonomethylamino)acetate;trimethylsulfanium</t>
  </si>
  <si>
    <t>['Glyphosate-trimesium', 'Sulfosate', '81591-81-3', 'Glycine, N-(phosphonomethyl)-, ion(1-), trimethylsulfonium', '87090-28-6', 'Glyphosate trimesium', 'N-(Phosphonomethyl)glycine trimethylsulfonium salt', '2-(phosphonomethylamino)acetate; trimethylsulfanium', 'Trimethylsulfonium carboxymethylaminomethylphosphonate', 'DTXSID5034939', 'NIOSH/MC2140000', 'CTK3E9880', 'MC21400000', 'Trimethylsulfonium N-(phosphonomethyl)glycinate', '83500-EP2371823A1', 'Glycine, N-(phosphonomethyl)-, trimethylsulfonium salt']</t>
  </si>
  <si>
    <t>Compound(105048)</t>
  </si>
  <si>
    <t>C6H16NO5PS</t>
  </si>
  <si>
    <t>glyphosinate</t>
  </si>
  <si>
    <t>2-[bis(phosphonomethyl)amino]acetic acid</t>
  </si>
  <si>
    <t>['GLYPHOSINE', '2439-99-8', 'N,N-Bis(phosphonomethyl)glycine', 'Glyphosphine', '2-(bis(phosphonomethyl)amino)acetic acid', 'Polaris', 'Glycine, N,N-bis(phosphonomethyl)-', 'Glyphosine [ANSI]', 'Caswell No. 471A', '2-[bis(phosphonomethyl)amino]acetic acid', 'UNII-2U96121SKR', 'BRN 1884944', 'CP 41845', 'CHEBI:63484', 'EINECS 219-468-4', 'EPA Pesticide Chemical Code 103602', 'N,N-bis(phosphonomethyl)aminoacetic acid', 'Glycine-N,N-bis(methylenephosphonic acid)', '2U96121SKR', 'Glyphosine [ANSI:ISO]', 'C4H11NO8P2', 'N-(Carboxymethyl)iminodi(methylphosphinic acid)', 'Epitope ID:167841', 'SCHEMBL67368', 'CHEMBL265954', 'DTXSID2044557', 'Glycine, N,N-bis(phosphonomethyl)- (7CI)(8CI)(9CI)', 'CTK8B4037', 'KS-00000ZVF', 'OXHDYFKENBXUEM-UHFFFAOYSA-', 'ZINC4521256', 'ANW-43743', 'AKOS003600176', 'ACM2439998', '[Bis(phosphonomethyl)amino]acetic acid #', 'NCGC00160488-01', 'AC-12519', 'AK129274', 'AS-15131', 'CC-29059', 'LS-72336', 'O194', 'ST020567', 'AX8132330', 'Acetic acid, 2-bis(phosphonatomethyl)amino-', 'FT-0629425', 'G0229', '39G998', 'C19132', 'K-6544', 'C-35393', 'Glycine, N,N-bis(phosphonomethyl)- (7CI)(8CI)', 'N,N-Bis(phosphonomethyl)glycine, &gt;=98.0% (T)', 'J-015499', 'Q27132652', 'Glycinedimethanephosphonic acid;C 9552; CP 41845; GDMP;Polaris', 'Glyphosine;glyphosine;tripotassium [N,N-bis(phosphonomethyl)glycinato(5-)]cobaltate(3-);tripotassium [N,N-bis(phosphonomethyl)glycinato(5-)]nickelate(3-)']</t>
  </si>
  <si>
    <t>Compound(17112)</t>
  </si>
  <si>
    <t>C4H11NO8P2</t>
  </si>
  <si>
    <t>glyphosate</t>
  </si>
  <si>
    <t>2-(phosphonomethylamino)acetic acid</t>
  </si>
  <si>
    <t>['glyphosate', '1071-83-6', 'N-(Phosphonomethyl)glycine', 'Roundup', 'Glyphosphate', 'N-Phosphonomethyl-glycine', 'Glycine, N-(phosphonomethyl)-', '2-(phosphonomethylamino)acetic acid', 'Pondmaster', 'Silglif', 'N-Phosphomethylglycine', 'Roundup Max', 'N-Phosphonomethylglycine', 'Caswell No. 661A', 'MON 2139', 'C3H8NO5P', 'N-(Phosphonomethyl) Glycine', 'NSC151063', 'Glialka', 'Mon 6000', 'Phosphonomethyliminoacetic acid', 'Glyphosate [ANSI:BSI:ISO]', 'UNII-4632WW1X5A', 'CCRIS 1587', 'CP 67573', 'HSDB 3432', 'EINECS 213-997-4', 'EPA Pesticide Chemical Code 417300', 'NSC 151063', 'BRN 2045054', 'CHEMBL95764', 'Isopropylamine glyphosate', 'CHEBI:27744', '4632WW1X5A', '[(phosphonomethyl)amino]acetic acid', 'NSC-151063', 'MON 0573', '(Phosphonomethyl)glycine', 'Q-201175', 'gliphosate', 'Buccaneer', 'Folusen', 'Glifoglex', 'Glyphomax', 'Herbatop', 'Kickdown', 'Phorsat', 'Accord', 'Atila', 'Forsat', 'Glyfos', 'Hockey', 'Klinik', 'Leone', 'Safal', '((phosphonomethyl)amino)acetic acid', 'Gliz', 'GlyGran', 'Buccaneer Plus', 'Glyphosate 100 microg/mL in Water', 'Rebel Garden', 'Glyphodin A', 'Glyphosate CT', 'Ground Bio', 'MON 39', '994-61-6', 'Lancer (herbicide)', '2-((Phosphonomethyl)amino)acetic acid', 'Glialka 36', 'Glifosan 747', 'phosphonomethylglycine', 'C-K Yuyos FAV', '(Carboxymethylamino)methylphosphonic acid', 'Gliz 480CS', 'CP 70139', 'glyphosat', 'ulfosate', 'Glyphospate', '2gga', '2ggd', 'N-(PHOSPHONOMETHYL)-GLYCINE', 'GPF', 'GPJ', 'MON 3539', 'Roundup (TN)', 'Carboxymethylaminomethanephosphinic acid', 'phosphonomethyl glycine', 'Glyphosate [M+H+]', 'HM 2028', 'Spectrum_001867', 'SpecPlus_000478', '81591-81-3', 'Spectrum2_001847', 'Spectrum3_000839', 'Spectrum4_000679', 'Spectrum5_001992', 'WLN: QV1M1PQQO', 'NCIStruc1_000002', 'NCIStruc2_000104', 'SCHEMBL16440', 'BSPBio_002397', 'KBioGR_001117', 'KBioSS_002384', 'SPECTRUM330047', 'DivK1c_006574', 'SPBio_001634', 'Glyphosate, isopropylamine salt', 'GLY009', 'N-PHOSPHONOMETHYL GLYCINE', 'DTXSID1024122', 'CTK3I6546', 'Glyphosate 40% aqueous solution', 'KBio1_001518', 'KBio2_002380', 'KBio2_004948', 'KBio2_007516', 'KBio3_001897', 'XDDAORKBJWWYJS-UHFFFAOYSA-', 'BIG0158', 'N-(Phosphonomethyl)glycine, 96%', 'ZX-AFC000444', 'Glyphosate 10 microg/mL in Water', '2-(Phosphonatomethylammonio)Acetate', 'BCP32091', 'EBD22819', 'KS-00000YT9', 'ZINC3872713', '2-(phosphonomethylamino)ethanoic acid', 'BDBM50281349', 'CCG-38069', 'LS-445', 'MFCD00055350', 'NCGC00014409', 'NCI151063', 'AKOS004915878', 'AGR0000777', 'FCH1116885', 'KS-5110', 'MCULE-3308266821', 'NCGC00014409-02', 'NCGC00014409-03', 'NCGC00014409-04', 'NCGC00094536-01', 'NCGC00094536-02', 'NCGC00094536-03', 'CC-29058', 'NCI60_001060', 'SC-12224', 'AX8132329', 'FT-0651304', 'NS00006349', 'GLYPHOSATE (SEE CAS 38641-94-0)', 'Glyphosate, PESTANAL(R), analytical standard', '71G836', 'C01705', 'K-0555', '31301-EP2272846A1', '31301-EP2274983A1', '31301-EP2275422A1', '31301-EP2277868A1', '31301-EP2277869A1', '31301-EP2277870A1', '31301-EP2305655A2', '31301-EP2305658A1', '31301-EP2305662A1', '31301-EP2308858A1', '31301-EP2308866A1', '31301-EP2311815A1', '31301-EP2311816A1', '31301-EP2311817A1', '31301-EP2371823A1', '31301-EP2374791A1', 'A801602', 'C-35392', 'Q407232', '86491FAD-2F76-4CDE-90EE-6131D3FCF0BB', 'Glyphosate isopropyl amine salt aqueous solution(41%)', 'Glyphosate, certified reference material, TraceCERT(R)', 'HM 2028; Herbatop; Hockey; Kickdown; Klinik;NSC 151063', 'Glyphosate (N-(Phosphonomethyl)glycine) 100 microg/mL in Water', 'N-(Phosphonomethyl)glycine, plant cell culture tested, BioReagent']</t>
  </si>
  <si>
    <t>Compound(3496)</t>
  </si>
  <si>
    <t>C3H8NO5P</t>
  </si>
  <si>
    <t>glyoxal</t>
  </si>
  <si>
    <t>oxaldehyde</t>
  </si>
  <si>
    <t>['GLYOXAL', 'Ethanedial', '107-22-2', 'Oxalaldehyde', 'oxaldehyde', '1,2-Ethanedione', 'Glyoxylaldehyde', 'Biformal', 'Biformyl', 'Diformal', 'Diformyl', 'Ethanedial, trimer', 'Aerotex glyoxal 40', 'Glyoxal aldehyde', 'Ethanediol, trimer', 'Glyoxal, 40%', 'Glyoxal solutions', 'CCRIS 952', 'UNII-50NP6JJ975', 'C2H2O2', 'HSDB 497', 'Glyoxal, 29.2%', 'EINECS 203-474-9', 'Glyoxal, 40% in water', 'BRN 1732463', 'AI3-24108', 'DTXSID5025364', 'CHEBI:34779', '50NP6JJ975', 'MFCD00006957', '40094-65-3', 'NCGC00091228-01', 'DSSTox_CID_5364', 'DSSTox_RID_77764', 'DSSTox_GSID_25364', 'Ethanedione', 'CAS-107-22-2', 'Glyoxal, pure, 40 wt.% solution in water', 'Glyoxal solution, ~40% in H2O (~8.8 M)', 'hydroxyketene', 'oxypolygelatine', 'Gelifundol', 'Oxypolygelatin', 'Ethandial', 'Glycoxal', 'Glyfosfin', 'ethane dial', 'Glyoxal solution', '(oxo)acetaldehyde', 'ethane-1,2-dial', 'Protectol GL 40', 'glyoxal (ethanedial)', 'ODIX', 'oxalic acid dihydride', 'hydroxymethylene ketone', 'NSC 262684', 'ACMC-1BV6U', 'Glyoxal, 40 % Solution', 'EC 203-474-9', 'Glyoxal solution, 40.0%', '4-01-00-03625 (Beilstein Handbook Reference)', 'BIDD:ER0284', '(CHO)2', 'Glyoxal, Biformyl, Oxalaldehyde', 'CHEMBL1606435', 'CTK0H4953', 'Glyoxal, 40% solution in water', 'Glyoxal, 40% w/w aq. soln.', 'STR01281', 'ZINC8437750', 'Tox21_111105', 'Tox21_202517', 'ANW-43524', 'BBL011519', 'LS-436', 'NSC262684', 'STL146635', 'AKOS000119169', 'Glyoxal solution, 40 wt. % in H2O', 'MCULE-3212938778', 'NSC-262684', 'KS-00000V42', 'NCGC00260066-01', 'SC-19118', 'Glyoxal solution, CP, 40 wt. % in H2O', 'FT-0626792', 'G0152', 'NS00003526', 'X8004', 'C14448', '57421-EP2269977A2', '57421-EP2270006A1', '57421-EP2289896A1', '57421-EP2308878A2', '57421-EP2377845A1', 'Gelatins, reaction products with glyoxal, oxidized', 'Q413465', 'J-001740', 'F2191-0152', 'Glyoxal solution, ~40% in H2O, for HPLC derivatization', 'Glyoxal solution, BioReagent, for molecular biology, ~40% in H2O (~8.8 M)', 'GLYOXAL;glyoxal;GLYOXAL-UREA-FORMALDEHYDE CONDENSATE;POLY(GLYOXAL-CO-UREA)', '9005-91-8']</t>
  </si>
  <si>
    <t>Compound(7860)</t>
  </si>
  <si>
    <t>C2H2O2</t>
  </si>
  <si>
    <t>guanylureea</t>
  </si>
  <si>
    <t>diaminomethylideneurea</t>
  </si>
  <si>
    <t>['Guanylurea', 'Dicyandiamidine', 'Amidinourea', '1-Carbamoylguanidine', '1-carbamimidoylurea', 'N-Amidinourea', '141-83-3', 'Urea, guanyl-', 'Guanidinecarboxamide', 'N-Carbamoylguanidine', '(Aminoiminomethyl)urea', '1-AMIDINOUREA', 'Urea, amidino-', 'Urea, (aminoiminomethyl)-', 'Guanidine carboxamide', 'Urea, N-(aminoiminomethyl)-', 'UNII-128C2R3P8G', 'EINECS 205-504-6', '128C2R3P8G', '926-72-7', 'diaminomethylideneurea', 'Dicyandiamidin', 'N-Carbamimidoylurea', 'Guanidine, (aminocarbonyl)-', 'SCHEMBL146394', 'DTXSID3043811', 'CTK5H1577', 'ZINC3875935', 'Didesmethyl Metformin Hydroxy Analog', 'AKOS009031316', 'MCULE-1919966850', 'Amino([amino(imino)methyl]amino)oxomethane', 'LS-158804', 'NS00000584', '141G833', 'Q27251388']</t>
  </si>
  <si>
    <t>Compound(8859)</t>
  </si>
  <si>
    <t>C2H6N4O</t>
  </si>
  <si>
    <t>2-[8-[8-(diaminomethylideneamino)octylamino]octyl]guanidine</t>
  </si>
  <si>
    <t>['Iminoctadine', 'guazatine', 'Murbenine', 'Mitrol', 'Panolil', 'Guazatine [BSI:ISO]', '13516-27-3', 'Guazatine [ISO]', 'Caswell No. 471D', "Guanidine, N,N'''-(iminodi-8,1-octanediyl)bis-", 'Bis(8-guanidinooctyl)amine', 'UNII-C376JTX506', '115044-19-4', 'IMINOCTADIENE', 'Iminobis(octamethylene)diguanidine', 'MC 25', 'EINECS 236-855-3', 'EPA Pesticide Chemical Code 498200', 'Bis(8-guanidino-octyl)amine', "1,1'-(Iminobis(octamethylene))diguanidine", 'CHEBI:5569', 'CHEMBL102276', '108173-90-6', "N,N'''-(Iminodi-8,1-octanediyl)bisguanidine", 'C376JTX506', 'N-{8-[(8-{[(E)-AMINO(IMINO)METHYL]AMINO}OCTYL)AMINO]OCTYL}GUANIDINE', 'Iminoctadine [ISO]', 'Decotine', 'Belcut', "Guanidine,N,N'''-(iminodi-8,1-octanediyl)bis-", 'SCHEMBL68055', 'DTXSID7042015', 'CTK8E9432', 'ZINC4098976', 'BDBM50032500', 'GZZ', 'LS-73734', 'LS-73974', "1,1'-(iminodioctane-8,1-diyl)diguanidine", '1-[8-(8-guanidinooctylamino)octyl]guanidine', '2-[8-(8-guanidinooctylamino)octyl]guanidine', 'V0877', "N,N'''-(iminodioctane-8,1-diyl)diguanidine", 'C10997', "Guanidine, 1,1'-(iminobis(octamethylene))di-", 'N-[8-(8-Guanidino-octylamino)-octyl]-guanidine', '516I273', "Guanidine, 1,1'-(iminobis(octamethylene))di- (8CI)", 'Q15632811', "1,1''-(8,8''-azanediylbis(octane-8,1-diyl))diguanidine", 'Guazatine acetate salt, PESTANAL(R), analytical standard']</t>
  </si>
  <si>
    <t>Compound(3526)</t>
  </si>
  <si>
    <t>C18H41N7</t>
  </si>
  <si>
    <t>eta-hexachlorocyclohexane</t>
  </si>
  <si>
    <t>methyl 2-[4-[3-chloro-5-(trifluoromethyl)pyridin-2-yl]oxyphenoxy]propanoate</t>
  </si>
  <si>
    <t>['HALOXYFOP-METHYL', '69806-40-2', 'Haloxyfop methyl ester', 'Methyl 2-(4-((3-chloro-5-(trifluoromethyl)pyridin-2-yl)oxy)phenoxy)propanoate', 'Verdict', 'Dowco 453ME', 'Haloxyfop methyl', 'Haloxyfop methyl ester [ANSI]', 'BRN 1509615', 'Methyl 2-(4-((3-chloro-5-(trifluoromethyl)-2-pyridinyl)oxy)phenoxy)propanoate', 'DSSTox_CID_4123', 'Methyl 2-(4-((3-chloro-5-(trifluoromethyl)-pyridin-2-yl)oxy)phenoxy)propanoate', 'methyl 2-[4-[3-chloro-5-(trifluoromethyl)pyridin-2-yl]oxyphenoxy]propanoate', '2-(4-((3-Chloro-5-(trifluoromethyl)-2-pyridinyl)oxy)phenoxy)propanoic acid methyl ester', 'C16H13ClF3NO4', 'DSSTox_RID_77298', 'Propanoic acid, 2-[4-[[3-chloro-5-(trifluoromethyl)-2-pyridinyl]oxy]phenoxy]-, methyl ester', 'DSSTox_GSID_24123', '(R)-Methyl 2-(4-((3-chloro-5-(trifluoromethyl)-pyridin-2-yl)oxy)phenoxy)propanoate', 'methyl 2-(4-{[3-chloro-5-(trifluoromethyl)pyridin-2-yl]oxy}phenoxy)propanoate', 'Propanoic acid, 2-(4-((3-chloro-5-(trifluoromethyl)-2-pyridinyl)oxy)phenoxy)-, methyl ester', 'CAS-69806-40-2', 'Haloxyfop-methyl [BSI:ISO]', '2-[4-[[3-chloro-5-(trifluoromethyl)-2-pyridinyl]oxy]phenoxy]propanoic acid methyl ester', 'SCHEMBL54547', 'CHEBI:5616', 'CHEMBL1891461', 'DTXSID6024123', 'CTK8B7258', 'KS-00000GCP', 'CHEBI:136720', 'Tox21_201797', 'Tox21_303113', 'ANW-56835', 'AKOS015963430', 'methyl 2-[4-[[3-chloro-5-(trifluoromethyl)-2-pyridyl]oxy]phenoxy]propanoate', 'NCGC00164305-01', 'NCGC00257180-01', 'NCGC00259346-01', 'AC-25643', 'AC-25644', 'AK100036', 'CC-29137', 'S280', 'AX8132636', 'DB-055349', 'DB-055659', 'Haloxyfop-methyl 10 microg/mL in Isooctane', 'LS-121333', 'FT-0630790', 'FT-0630814', 'NS00001997', 'C11031', 'A837579', 'C-21252', 'Haloxyfop-methyl, PESTANAL(R), analytical standard', 'Q27106824', 'methyl 2-[4-(3-chloro-5-trifluoromethyl-2-pyridyloxy)phenoxy]propionate', 'Methyl 2-(4-([3-chloro-5-(trifluoromethyl)-2-pyridinyl]oxy)phenoxy)propanoate #', 'methyl 2-(4-(3-chloro-5-(trifluoromethyl)pyridin-2-yloxy)phenoxy)propanoate', 'methyl 2-(4-{[3-chloro-5-(trifluoromethyl)pyridin-2-yl]oxy}phenoxy)propionate', 'methyl 2-[4-[3-chloranyl-5-(trifluoromethyl)pyridin-2-yl]oxyphenoxy]propanoate', 'Propanoic acid, 2-(4-((3-chloro-5-(trifluoromethyl)-2-pyridinyl)oxy)phenoxy)-, methyl ester;Haloxyfop-P-methyl ester;Haloxyfop-P-methyl;methyl (R)-2-(4-(3-chloro-5-trifluoromethyl-2-pyridyloxy)phenoxy)propionate;2-[4-(3-chloro-5-trifluoromethyl-pyridin-2-yloxy)-phenoxy]-propionic acid methyl ester']</t>
  </si>
  <si>
    <t>Compound(50896)</t>
  </si>
  <si>
    <t>C16H13ClF3NO4</t>
  </si>
  <si>
    <t>2-ethoxyethyl 2-[4-[3-chloro-5-(trifluoromethyl)pyridin-2-yl]oxyphenoxy]propanoate</t>
  </si>
  <si>
    <t>['Haloxyfop-etotyl', 'Haloxyfop-2-ethoxyethyl', '87237-48-7', 'Haloxyfop-ethoxyethyl', 'Gallant', 'Zellek', 'Haloxyfop ethoxyethyl ester', 'Gallant 125EE', 'Dowco 453EE', 'Haloxyfop-(2-ethoxyethyl)', 'Haloxyfop-etotyl [BSI:ISO]', '2-ethoxyethyl 2-[4-[3-chloro-5-(trifluoromethyl)pyridin-2-yl]oxyphenoxy]propanoate', '2-Ethoxyethyl 2-(4-((3-chloro-5-(trifluoromethyl)-2-pyridinyl)oxy)phenoxy)propanoate', '2-Ethoxyethyl 2-(4-((3-chloro-5-(trifluoromethyl)pyridin-2-yl)oxy)phenoxy)propanoate', 'Propanoic acid, 2-(4-((3-chloro-5-(trifluoromethyl)-2-pyridinyl)oxy)phenoxy)-, 2-ethoxyethyl ester', '2-ethoxyethyl 2-(4-{[3-chloro-5-(trifluoromethyl)pyridin-2-yl]oxy}phenoxy)propanoate', '2-Ethoxyethyl 2-(4-(3-chloro-5-trifluoromethyl-2-pyridyloxy)phenoxy)propionate', 'EC 402-560-5', 'SCHEMBL164100', 'CHEMBL1554997', 'DTXSID9058492', 'CHEBI:136736', 'AKOS015963431', 'ethoxyethyl-2-[4-(3-chloro-5- trifluoromethyl-2-pyridyloxy) phenoxy]Propionate', 'Propanoic acid, 2-(4-((3-chloro-5-(trifluoromethyl)-2-pyridinyl)oxy)phenoxy)-, ester (9CI)', 'NCGC00166166-01', 'AC-19979', 'AX8132635', 'LS-121332', 'FT-0765034', 'NS00000150', 'Haloxyfop-ethoxyethyl 10 microg/mL in Isooctane', '237H487', 'C-56527', 'Q27262774', 'Haloxyfop-2-ethoxyethyl, PESTANAL(R), analytical standard', 'Haloxyfop-(2-ethoxyethyl);HALOXYFOP-ETOTYL;Haloxyfop-2-ethoxyethyl', '2-ethoxyethyl 2-(4-(3-chloro-5-(trifluoromethyl)pyridin-2-yloxy)phenoxy)propanoate', '2-ethoxyethyl 2-(4-{[3-chloro-5-(trifluoromethyl)pyridin-2-yl]oxy}phenoxy)propionate', 'Propanoic acid, 2-(4-((3-chloro-5-(trifluoromethyl)-2-pyridinyl)oxy)phenoxy)-, ester']</t>
  </si>
  <si>
    <t>Compound(91743)</t>
  </si>
  <si>
    <t>C19H19ClF3NO5</t>
  </si>
  <si>
    <t>methyl (2R)-2-[4-[3-chloro-5-(trifluoromethyl)pyridin-2-yl]oxyphenoxy]propanoate</t>
  </si>
  <si>
    <t>['Haloxyfop-P-methyl', '72619-32-0', '(R)-Methyl 2-(4-((3-chloro-5-(trifluoromethyl)pyridin-2-yl)oxy)phenoxy)propanoate', 'HALOXYFOP-R-METHYL', 'Gallant Super', 'UNII-7VD796HHTS', '(R)-Haloxyfop methyl ester', '7VD796HHTS', 'Eloge', 'Zellek Super', 'methyl (2R)-2-[4-[3-chloro-5-(trifluoromethyl)pyridin-2-yl]oxyphenoxy]propanoate', 'C16H13ClF3NO4', 'Haloxyfop-P-methyl [ISO]', 'DE 535', 'Haloxyfop-(R)-methyl', 'Haloxyfop-P-methyl ester', 'EC 406-250-0', 'SCHEMBL54814', 'CHEMBL2286458', 'DTXSID8058249', 'CTK8B8496', 'CHEBI:136729', 'ZINC900721', 'ANW-60458', 'DE-535', 'AKOS015895898', 'Methyl (R)-2-(4-(3-chloro-5-trifluoromethyl-2-pyridyloxy)phenoxy)propionate', 'AS-13063', 'AX8061902', 'Haloxyfop-R-methyl 10 microg/mL in Acetonitrile', '619H320', 'C-21253', 'Haloxyfop-P-methyl, PESTANAL(R), analytical standard', 'Q27268911', 'UNII-6HO742968B component MFSWTRQUCLNFOM-SECBINFHSA-N', '(R)-methyl 2-(4-(3-chloro-5-(trifluoromethyl)pyridin-2-yloxy)phenoxy)propanoate', 'Haloxyfop P-methyl solution, 100 mug/mL in acetonitrile, PESTANAL(R), analytical standard', 'methyl (2R)-2-(4-{[3-chloro-5-(trifluoromethyl)pyridin-2-yl]oxy}phenoxy)propanoate', 'methyl (2R)-2-(4-{[3-chloro-5-(trifluoromethyl)pyridin-2-yl]oxy}phenoxy)propionate', 'methyl (2R)-2-[4-[[3-chloro-5-(trifluoromethyl)-2-pyridinyl]oxy]phenoxy]propanoate', 'methyl (R)-2-{4-[3-chloro-5-(trifluoromethyl)-2-pyridyloxy]phenoxy}propionate', 'Haloxyfop-P-methyl;methyl (R)-2-(4-(3-chloro-5-trifluoromethyl-2-pyridyloxy)phenoxy)propionate;2-[4-(3-chloro-5-trifluoromethyl-pyridin-2-yloxy)-phenoxy]-propionic acid methyl ester']</t>
  </si>
  <si>
    <t>Compound(13363033)</t>
  </si>
  <si>
    <t>2-[4-[3-chloro-5-(trifluoromethyl)pyridin-2-yl]oxyphenoxy]propanoic acid</t>
  </si>
  <si>
    <t>['HALOXYFOP', '69806-34-4', '2-(4-((3-Chloro-5-(trifluoromethyl)pyridin-2-yl)oxy)phenoxy)propanoic acid', 'Haloxyfop [ANSI:BSI:ISO]', '2-[4-[[3-chloro-5-(trifluoromethyl)-2-pyridyl]oxy]phenoxy]propanoic acid', '2-[4-[3-chloro-5-(trifluoromethyl)pyridin-2-yl]oxyphenoxy]propanoic acid', '2-(4-((3-Chloro-5-(trifluoromethyl)-2-pyridinyl)oxy)phenoxy)propanoic acid', '(RS)-2-(4-(3-Chloro-5-trifluoromethyl-2-pyridyloxy)phenoxy)propionic acid', 'Propanoic acid, 2-[4-[[3-chloro-5-(trifluoromethyl)-2-pyridinyl]oxy]phenoxy]-', '2-(4-{[3-chloro-5-(trifluoromethyl)pyridin-2-yl]oxy}phenoxy)propanoic acid', 'Propanoic acid, 2-(4-((3-chloro-5-(trifluoromethyl)-2-pyridinyl)oxy)phenoxy)-', '(RS)-2-[4-(3-Chloro-5-trifluoromethyl-2-pyridyloxy)phenoxy]propionic acid', '(2R)-2-[4-[3-chloro-5-(trifluoromethyl)pyridin-2-yl]oxyphenoxy]propanoic acid', 'Haloxyfop (free acid)', 'DE-535 acid', 'DSSTox_CID_22019', 'DSSTox_RID_79904', 'DSSTox_GSID_42019', 'SCHEMBL33627', 'CHEBI:365', 'CHEMBL223593', 'DTXSID7042019', 'CTK5D1377', 'CHEBI:136694', 'HY-B1856', 'Tox21_301857', '0801AC', '2-[4-(3-chloro-5-trifluoromethyl-2-pyridyloxy)phenoxy]propionic acid', 'ANW-54009', 'MFCD00871401', 'AKOS015963417', 'AG-G-72348', 'Propanoic acid, 2-(4-((3-chloro-5-(trifluoromethyl)-2-pyridinyl)oxy)phenoxy)- (9CI)', 'NCGC00249119-01', 'NCGC00255831-01', 'AC-19977', 'AS-50000', 'SY107474', 'AX8069192', 'CAS-69806-34-4', 'DB-055348', 'LS-121331', 'CS-0013923', 'FT-0630789', 'NS00008149', 'Haloxyfop, PESTANAL(R), analytical standard', 'C04871', '806H344', 'Haloxyfop (free acid) 10 microg/mL in Acetonitrile', 'Q27105292', '2-(4-(3-chloro-5-(trifluoromethyl)pyridin-2-yloxy)phenoxy)propanoic acid', '2-(4-(3-Chloro-5-trifluoromethyl-2-pyridyl-oxy)phenoxy) propionic acid', '2-(4-(3-Chloro-5-trifluoromethyl-2-pyridyloxy)phenoxy) propionic acid', '2-(4-{[3-chloro-5-(trifluoromethyl)pyridin-2-yl]oxy}phenoxy)propionic acid', '2-[4-(3-chloro-5-trifluoromethyl-2-pyridyloxy)-phenoxy]propionic acid', 'Propanoic acid,2-[4-[[3-chloro-5-(trifluoromethyl)-2-pyridinyl]oxy]phenoxy]-, sodium salt(1:1)']</t>
  </si>
  <si>
    <t>Compound(50895)</t>
  </si>
  <si>
    <t>(2R)-2-[4-[3-chloro-5-(trifluoromethyl)pyridin-2-yl]oxyphenoxy]propanoic acid</t>
  </si>
  <si>
    <t>['Haloxyfop-P', '95977-29-0', 'Haloxyfop-P [ISO]', 'Haloxyfop-R', 'R-haloxyfop-acid', '(R)-haloxyfop-acid', 'UNII-I57833604I', '(2r)-2-(4-{[3-Chloro-5-(Trifluoromethyl)pyridin-2-Yl]oxy}phenoxy)propanoic Acid', 'I57833604I', '(R)-2-(4-((3-Chloro-5-(trifluoromethyl)pyridin-2-yl)oxy)phenoxy)propanoic acid', 'H1L', 'HALOXYFOP INHIBITOR', '1uys', '(R)-haloxyfop', '(2R)-2-[4-[3-chloro-5-(trifluoromethyl)pyridin-2-yl]oxyphenoxy]propanoic acid', '(+)-haloxyfop', '4g2r', 'Haloxyfop-R (free acid)', 'SCHEMBL119996', 'CHEMBL1233202', 'CHEBI:47454', 'DTXSID90904725', 'ZINC902175', 'DB07870', 'Haloxyfop-P, PESTANAL(R), analytical standard', 'Q2337168', 'UNII-24TYO6H90H component GOCUAJYOYBLQRH-MRVPVSSYSA-N', '(R)-2-[4-(3-chloro-5-trifluoromethyl-2-pyridyloxy)phenoxy]propionic acid', '(2R)-2-[4-[[3-chloro-5-(trifluoromethyl)-2-pyridinyl]oxy]phenoxy]propanoic acid', '(r)-2-{4-[3-chloro-5-(trifluoromethyl)-2-pyridyloxy]phenoxy}propionic acid']</t>
  </si>
  <si>
    <t>Compound(448979)</t>
  </si>
  <si>
    <t>methyl 4-amino-3-chloro-6-(4-chloro-2-fluoro-3-methoxyphenyl)pyridine-2-carboxylate</t>
  </si>
  <si>
    <t>['Halauxifen-methyl', 'Halauxifen-methyl [ISO]', 'Halauxifen methyl', '943831-98-9', 'UNII-81N578K123', 'methyl 4-amino-3-chloro-6-(4-chloro-2-fluoro-3-methoxyphenyl)pyridine-2-carboxylate', '81N578K123', 'Methyl 4-amino-3-chloro-6-(4-chloro-2-fluoro-3-methoxyphenyl)-2-pyridinecarboxylate', 'methyl 4-amino-3-chloro-6-(4-chloro-2-fluoro-3-methoxyphenyl)picolinate', '4-amino-3-chloro-6-(4-chloro-2-fluoro-3-methoxyphenyl)pyridine-2-carboxylic acid methyl ester', 'Pixxaro', 'Arylex', 'Quelex', 'Arylex Active', 'halauxiphen-methyl', 'SCHEMBL115368', 'DTXSID50241446', 'CHEBI:143513', 'Q27269251', '4-amino-3-chloro-6-(4-chloro-2-fluoro-3-methoxyphenyl)pyridine-2-carboxylic acid, methyl ester', 'Halauxifen-methyl 100 microg/mL in Acetonitrile. Short expiry date due to chemical nature of component(s)']</t>
  </si>
  <si>
    <t>Compound(16656802)</t>
  </si>
  <si>
    <t>C14H11Cl2FN2O3</t>
  </si>
  <si>
    <t>N'-benzoyl-N'-tert-butyl-4-chlorobenzohydrazide</t>
  </si>
  <si>
    <t>['Halofenozide', '112226-61-6', 'Halofenozide [ISO]', 'RH 0345', 'UNII-C81K20PELV', "N'-benzoyl-N'-tert-butyl-4-chlorobenzohydrazide", 'C81K20PELV', '4-chlorobenzoic acid 2-benzoyl-2-(1,1-dimethylethyl)hydrazide', 'CHEBI:38451', 'Benzoic acid, 4-chloro-, 2-benzoyl-2-(1,1-dimethylethyl)hydrazide', 'HSDB 7949', 'RG 100864', 'EC 431-600-4', 'DSSTox_CID_12619', 'DSSTox_RID_79007', 'DSSTox_GSID_32619', 'SCHEMBL55120', 'CHEMBL226969', 'DTXSID4032619', 'Halofenozide, analytical standard', 'ZINC1092857', 'Tox21_302655', 'NCGC00163832-01', 'NCGC00256749-01', 'CC-29131', 'LS-36405', 'DB-041059', 'CAS-112226-61-6', 'FT-0631061', 'NS00009433', 'C18791', "N-tert-butyl-N'-(4-chlorobenzoyl)benzohydrazide", 'C-20038', "N-4-Chlorobenzoyl-N'-benzoyl-N'-tert-butylhydrazine", 'Q27117858', "N'-tert-butyl-N-(4-chlorobenzoyl)-N'-benzoylhydrazine", "Benzoic acid, N-tert-butyl-N'-(4-chlorobenzoyl)hydrazide", "Benzoic acid, 4-chloro-, 2-benzoyl-2-(1,1-dimethylethyl)hydrazide;N'-Benzoyl-4-chloro-N'-(2-methyl-2-propanyl)benzohydrazide", "Pesticide4_Halofenozide_C18H19ClN2O2_N'-Benzoyl-4-chloro-N'-(2-methyl-2-propanyl)benzohydrazide"]</t>
  </si>
  <si>
    <t>Compound(114994)</t>
  </si>
  <si>
    <t>C18H19ClN2O2</t>
  </si>
  <si>
    <t>bromochloromethane</t>
  </si>
  <si>
    <t>bromo(chloro)methane</t>
  </si>
  <si>
    <t>['Bromochloromethane', '74-97-5', 'Methane, bromochloro-', 'CHLOROBROMOMETHANE', 'Methylene chlorobromide', 'bromo(chloro)methane', 'Halon 1011', 'Chloromethyl bromide', 'Fluorocarbon 1011', 'Monochloromonobromomethane', 'Mil-B-4394-B', 'Bromo-Chloro-Methane', 'Methylene Bromochloride', 'NSC 7294', 'CCRIS 817', 'Mono-chloro-mono-bromo-methane', 'UNII-45WX84110G', 'HSDB 2520', 'EINECS 200-826-3', 'UN1887', 'BRN 1730801', 'AI3-15514', 'CHEBI:17194', '45WX84110G', 'bromo-chloro methane', 'BrCH2Cl', 'CH2ClBr', 'PubChem2209', 'bromanyl(chloranyl)methane', 'Methylene bromide chloride', 'DSSTox_CID_1503', 'EC 200-826-3', 'WLN: G1E', 'DSSTox_RID_76190', 'DSSTox_GSID_21503', 'SCHEMBL49877', '4-01-00-00074 (Beilstein Handbook Reference)', 'KSC377G8P', 'SCHEMBL435277', 'CHEMBL346918', 'DTXSID4021503', 'CTK2H7387', 'NSC7294', 'EBD26012', 'KS-00000VJ2', 'NSC-7294', 'Tox21_200790', 'AKOS009156881', 'Bromochloromethane, analytical standard', 'LS-1636', 'MCULE-5030719866', 'UN 1887', 'Bromochloromethane [UN1887] [Poison]', 'bromochloromethane;Methane, bromochloro-', 'CAS-74-97-5', 'NCGC00091237-01', 'NCGC00091237-02', 'NCGC00258344-01', '13590-47-1', 'BC002250', 'Bromochloromethane [UN1887]  [Poison]', 'SC-06619', 'DB-074917', 'B0573', 'NS00003679', 'Bromochloromethane 100 microg/mL in Methanol', 'C02661', 'A838287', 'Q421751', 'Bromochloromethane, contains 100 ppm BHT as inhibitor, &gt;=99.5%']</t>
  </si>
  <si>
    <t>Compound(6333)</t>
  </si>
  <si>
    <t>CH2BrCl</t>
  </si>
  <si>
    <t>bromochlorodifluoromethane</t>
  </si>
  <si>
    <t>bromo-chloro-difluoromethane</t>
  </si>
  <si>
    <t>['BROMOCHLORODIFLUOROMETHANE', '353-59-3', 'Methane, bromochlorodifluoro-', 'Halon 1211', 'Daiflon 12B1', 'Freon 12B1', 'Fluorocarbon 1211', 'Flugex 12B1', 'Chlorodifluoromonobromomethane', 'Halon-1211', 'Chlorodifluobromometano', 'UNII-91I5X8AJXS', 'Methane,bromochlorodifluoro-', 'R 12B1', 'CCRIS 5663', 'Chlorodifluobromometano [Spanish]', 'HSDB 6784', 'Dwufluorochlorobromometan [Polish]', 'Difluorochlorobromomethane', 'EINECS 206-537-9', 'UN1974', 'bromo(chloro)difluoromethane', 'BRN 1732514', '91I5X8AJXS', 'BCF', 'bromo-chloro-difluoromethane', 'CBrClF2', 'Dwufluorochlorobromometan', 'Chlorodifluorobromomethane', 'bromo-chloro-difluoro-methane', 'CF2BrCl', 'difluorobromochloromethane', 'Chlorobromodifluoromethane', 'refrigerant gas R 12B1', 'SCHEMBL288', '4-01-00-00075 (Beilstein Handbook Reference)', 'DTXSID0027147', 'monobromomonochlorodifluoromethane', 'CHEBI:84698', 'CTK4H4365', '1383AE', 'ACM353593', 'ZINC59972240', 'AKOS006237189', 'R 12 B1', 'UN 1974', 'LS-89996', 'SC-18665', 'NS00042119', 'Q419723', 'Bromochlorodifluoromethane 100 microg/mL in Methanol', 'Bromochlorodifluoromethane;bromochlorodifluoromethane', 'Chlorodifluorobromomethane or Refrigerant gas R 12B1', 'Chlorodifluorobromomethane or Refrigerant gas R 12B1 [UN1974]  [Nonflammable gas]', 'Chlorodifluorobromomethane or Refrigerant gas R 12B1 [UN1974] [Nonflammable gas]']</t>
  </si>
  <si>
    <t>Compound(9625)</t>
  </si>
  <si>
    <t>CBrClF2</t>
  </si>
  <si>
    <t>bromotrifluoromethane</t>
  </si>
  <si>
    <t>bromo(trifluoro)methane</t>
  </si>
  <si>
    <t>['Bromotrifluoromethane', 'Bromofluoroform', 'Trifluorobromomethane', 'Methane, bromotrifluoro-', '75-63-8', 'Trifluoromethyl bromide', 'Halon 1301', 'Monobromotrifluoromethane', 'Refrigerant 13B1', 'Daiflon 13B1', 'Fluorocarbon 1301', 'Khladon 13B1', 'Flugex 13B1', 'bromo(trifluoro)methane', 'FREON 13B1', 'Carbon monobromide trifluoride', 'Trifluoromonobromomethane', 'Halocarbon 13B1', 'CF3Br', 'FC 13B1', 'F 13B1', 'R 13B1', 'UNII-52231LCA7R', 'HSDB 141', 'Halon-1301', 'EINECS 200-887-6', 'F-13B1', 'UN1009', 'FE 1301', 'EC 200-887-6', '52231LCA7R', 'CBrF3', 'bromo-trifluoro-methane', 'SCHEMBL29105', 'DTXSID5026415', 'ZINC95754162', 'UN 1009', 'ZH10001', 'CC-35351', 'LS-90003', 'NS00041016', 'bromotrifluoromethane;Methane, bromotrifluoro-', 'Bromotrifluoromethane or Refrigerant gas, R 13B1', 'C-02679', 'Q413018', 'Bromotrifluoromethane or Refrigerant gas, R 13B1 [UN1009]  [Nonflammable gas]', 'Bromotrifluoromethane or Refrigerant gas, R 13B1 [UN1009] [Nonflammable gas]']</t>
  </si>
  <si>
    <t>Compound(6384)</t>
  </si>
  <si>
    <t>CBrF3</t>
  </si>
  <si>
    <t>1,2-dibromotetrafluoroethane</t>
  </si>
  <si>
    <t>1,2-dibromo-1,1,2,2-tetrafluoroethane</t>
  </si>
  <si>
    <t>['1,2-DIBROMOTETRAFLUOROETHANE', '124-73-2', '1,2-Dibromo-1,1,2,2-tetrafluoroethane', 'Fluobrene', 'Ethane, 1,2-dibromo-1,1,2,2-tetrafluoro-', 'Sym-dibromotetrafluoroethane', 'Khladon 114B2', 'Freon 114B2', 'Halon 2402', '1,2-Dibromoperfluoroethane', 'Ethane, 1,2-dibromotetrafluoro-', 'UNII-1NJ2ZF1UN5', 'FC 114B2', 'F-114B2', 'R 114B2', 'HSDB 6785', 'Halon-2402', 'EINECS 204-711-9', 'BRN 1740342', '1NJ2ZF1UN5', 'Freon-114B2', 'Fluorocarbon 114b2', 'BrCF2CF2Br', 'Daiflon 114B2', 'PubChem22643', '1,2-dibromo-1,1,2,2-tetrafluoro-ethane', 's-Dibromotetrafluoroethane', '(CF2Br)2', 'KSC177C8D', '1,2-dibromo tetrafluoroethane', '1,2-dibromo-tetrafluoroethane', '1,2-dibromotetra-fluoroethane', 'SCHEMBL159489', '1,2-dibromo-tetrafluoro-ethane', 'DTXSID0041226', 'CTK0H7181', 'LABOTEST-BB LTBB002499', 'KS-00000Z1D', 'FD2001', 'ZINC56960567', 'AKOS005063352', 'EF10027', 'MCULE-9006555766', 'AS-48909', 'BC004812', 'LS-65486', 'SC-44824', '1,2-dibromo-1,1,2,2,-tetrafluoroethane', 'DB-008013', 'FT-0606342', 'NS00041227', 'Q161472', 'J-503809', 'F8880-5224', 'UNII-KH0S90607F component KVBKAPANDHPRDG-UHFFFAOYSA-N']</t>
  </si>
  <si>
    <t>Compound(31301)</t>
  </si>
  <si>
    <t>C2Br2F4</t>
  </si>
  <si>
    <t>4-[4-(4-chlorophenyl)-4-hydroxypiperidin-1-yl]-1-(4-fluorophenyl)butan-1-one</t>
  </si>
  <si>
    <t>['haloperidol', '52-86-8', 'Haldol', 'Aloperidin', 'Serenace', 'Aloperidol', 'Brotopon', 'Eukystol', 'Einalon S', 'Aloperidolo', 'Galoperidol', 'Halojust', 'Halopoidol', 'Serenase', 'Serenelfi', 'Ulcolind', 'Uliolind', 'Vesalium', 'Halopal', 'Linton', 'Mixidol', 'Pernox', 'Sernas', 'Sernel', 'Dozic', 'Aldo', 'Lealgin compositum', 'Keselan', 'Peluces', 'Bioperidolo', 'Haldol Solutab', 'McN-JR-1625', 'Haloperidolum', 'Aloperidon', 'Fortunan', '4-[4-(4-chlorophenyl)-4-hydroxypiperidin-1-yl]-1-(4-fluorophenyl)butan-1-one', 'Aloperidolo [DCIT]', 'Aloperidolo [Italian]', 'Haloperidolum [INN-Latin]', 'NSC 170973', 'R 1625', 'R-1625', 'C21H23ClFNO2', '1-(3-p-Fluorobenzoylpropyl)-4-p-chlorophenyl-4-hydroxypiperidine', 'UNII-J6292F8L3D', 'CCRIS 1630', 'Haloperidol (Haldol)', "4'-Fluoro-4-(4-(p-chlorophenyl)-4-hydroxypiperidinyl)butyrophenone", "4'-Fluoro-4-(4-hydroxy-4-(4'-chlorophenyl)piperidino)butyrophenone", 'HSDB 3093', '4-[4-(4-Chlorophenyl)-4-hydroxy-1-piperidinyl]-1-(4-fluorophenyl)-1-butanone', 'CHEMBL54', 'EINECS 200-155-6', 'Sigaperidol', 'Haldol (TN)', 'NSC 615296', "4-(4-Hydroxy-4'-chloro-4-phenylpiperidino)-4'-fluorobutyrophenone", 'BRN 0331267', '1-Butanone, 4-[4-(4-chlorophenyl)-4-hydroxy-1-piperidinyl]-1-(4-fluorophenyl)-', '4-(4-(4-Chlorophenyl)-4-hydroxy-1-piperidinyl)-1-(4-fluorophenyl)-1-butanone', 'MLS000028450', 'CHEBI:5613', 'Halosten', "4-(4-(p-Chlorophenyl)-4-hydroxypiperidino)-4'-fluorobutyrophenone", "4-[4-(p-Chlorophenyl)-4-hydroxypiperidino]-4'-fluorobutyrophenone", 'J6292F8L3D', "Butyrophenone, 4'-fluoro-4-(4-(p-chlorophenyl)-4-hydroxypiperidino)-", '1-Butanone, 4-(4-(4-chlorophenyl)-4-hydroxy-1-piperidinyl)-1-(4-fluorophenyl)-', '4-(4-(4-chlorophenyl)-4-hydroxypiperidin-1-yl)-1-(4-fluorophenyl)butan-1-one', 'NSC170973', 'NSC615296', 'NSC-170973', 'NSC-615296', 'CAS-52-86-8', 'NCGC00015500-10', 'Halidol', 'Halopidol', 'Pekuces', 'SMR000058303', "4'-Fluoro-4-(4-hydroxy-4-p-chlorophenylpiperidino)butyrophenone", 'Halol', "4-[4-(4-Chlorophenyl)-4-hydroxypiperidino]-4'-fluorobutyrophenone", 'gamma-(4-(p-Chlorophenyl)-4-hydroxypiperidino)-p-fluorbutyrophenone', "4-(4-(para-Chlorophenyl)-4-hydroxypiperidino)-4'-fluorobutyrophenone", "Butyrophenone, 4-(4-(p-chlorophenyl)-4-hydroxypiperidino)-4'-fluoro-", 'gamma-(4-(p-Chlorophenyl)-4-hydroxypiperidino)-p-fluorobutyrophenone', '4-[4-(4-chlorophenyl)-4-hydroxy-1-piperidyl]-1-(4-fluorophenyl)-butan-1-one', 'DSSTox_CID_14150', 'DSSTox_RID_79117', 'DSSTox_GSID_34150', 'W-105791', "Butyrophenone, 4-[4-(p-chlorophenyl)-4-hydroxypiperidino]-4'-fluoro-", 'gamma-(4-(p-Chlorophenyl)-4-hydroxpiperidino)-p-fluorbutyrophenone', 'SR-01000003076', 'Haloperidol [USAN:INN:BAN:JAN]', 'Duraperidol', "4'-Fluoro-4-[4-hydroxy-4-(4'-chlorophenyl)piperidino]butyrophenone", 'gamma-[4-(p-chlorophenyl)-4-hydroxypiperidino]-p-fluorobutyrophenone', "4-[4-(para-Chlorophenyl)-4-hydroxypiperidino]-4'-fluorobutyrophenone", 'Picroside-III', 'Haloperidol, 1', 'GMJ', 'Haloperidol, powder', 'Prestwick_250', 'Haloperidol [USAN:USP:INN:BAN:JAN]', 'MDMO-PPV', 'Spectrum_000861', 'Tocris-0931', 'Opera_ID_446', '4-[4-(4-Chloro-phenyl)-4-hydroxy-piperidin-1-yl]-1-(4-fluoro-phenyl)-butan-1-one;propionate(HCl)', 'Prestwick0_000115', 'Prestwick1_000115', 'Prestwick2_000115', 'Prestwick3_000115', 'Spectrum2_001268', 'Spectrum3_000448', 'Spectrum4_000570', 'Spectrum5_000788', 'Lopac-H-1512', 'Biomol-NT_000035', 'GTPL86', 'Probes1_000255', 'Probes2_000296', 'H 1512', 'SCHEMBL8264', 'Lopac0_000583', 'Oprea1_509923', 'BSPBio_000130', 'BSPBio_002096', 'KBioGR_000980', 'KBioGR_002390', 'KBioSS_001341', 'KBioSS_002395', '177716-59-5', '5-21-02-00377 (Beilstein Handbook Reference)', '61788-97-4', 'MLS001146904', 'BIDD:GT0128', 'DivK1c_000654', 'SPECTRUM1500325', 'SPBio_001236', 'SPBio_002069', 'McM-JR-1625', 'BPBio1_000144', 'BPBio1_001231', 'Haloperidol (JP17/USP/INN)', 'DTXSID4034150', 'BDBM21398', 'HMS502A16', 'KBio1_000654', 'KBio2_001341', 'KBio2_002390', 'KBio2_003909', 'KBio2_004958', 'KBio2_006477', 'KBio2_007526', 'KBio3_001316', 'KBio3_002869', 'LNEPOXFFQSENCJ-UHFFFAOYSA-', 'AOB5645', 'cMAP_000037', 'NINDS_000654', 'AC250', 'HMS1568G12', 'HMS1920D03', 'HMS2089M15', 'HMS2091J09', 'HMS2095G12', 'HMS2234P08', 'HMS3261F08', 'HMS3370H11', 'HMS3657I13', 'HMS3712G12', 'Pharmakon1600-01500325', 'ZINC537822', 'BCP33202', 'Haloperidol 1.0 mg/ml in Methanol', 'Tox21_110162', 'Tox21_300475', 'Tox21_500583', 'A0H334', 'BG0211', 'CCG-36042', 'CCG-39111', 'MFCD00051423', 'NSC757054', 'STL417208', '4-[4-(4-chlorophenyl)-4-hydroxy-1-piperidyl]-1-(4-fluorophenyl)butan-1-one', 'AKOS000280660', 'Tox21_110162_1', 'API0002885', 'CS-1971', 'DB00502', 'LP00583', 'MCULE-3693790133', 'NSC-757054', 'SDCCGSBI-0050565.P005', 'IDI1_000654', 'MRF-0000027', 'QTL1_000042', 'WLN: T6NTJ A3VR DF&amp; DQ DR DG', 'NCGC00015500-01', 'NCGC00015500-02', 'NCGC00015500-03', 'NCGC00015500-04', 'NCGC00015500-05', 'NCGC00015500-06', 'NCGC00015500-07', 'NCGC00015500-08', 'NCGC00015500-09', 'NCGC00015500-11', 'NCGC00015500-12', 'NCGC00015500-13', 'NCGC00015500-14', 'NCGC00015500-15', 'NCGC00015500-16', 'NCGC00015500-17', 'NCGC00015500-19', 'NCGC00016234-01', 'NCGC00023875-02', 'NCGC00023875-04', 'NCGC00023875-05', 'NCGC00023875-06', 'NCGC00023875-07', 'NCGC00023875-08', 'NCGC00023875-09', 'NCGC00254503-01', 'NCGC00261268-01', 'AC-19691', 'CC-16450', 'HY-14538', 'LS-48311', 'SC-81035', 'ACM1189986591', 'SBI-0050565.P004', 'SC 170973', 'AB00052008', 'EU-0100583', 'FT-0669100', 'FT-0669101', 'FT-0697842', 'N1910', 'NS00010402', 'S1920', 'ST50319916', 'SW196557-4', 'W0039', '4763-EP2269989A1', '4763-EP2269990A1', '4763-EP2272537A2', '4763-EP2272972A1', '4763-EP2272973A1', '4763-EP2275420A1', '4763-EP2277872A1', '4763-EP2277876A1', '4763-EP2292614A1', '4763-EP2295061A1', '4763-EP2295412A1', '4763-EP2295413A1', '4763-EP2295439A1', '4763-EP2298731A1', '4763-EP2298776A1', '4763-EP2305260A1', '4763-EP2308867A2', '4763-EP2308870A2', '4763-EP2311801A1', '4763-EP2311803A1', '4763-EP2311824A1', '4763-EP2311837A1', '4763-EP2316834A1', 'C01814', 'D00136', 'VU0239704-10', 'AB00052008-21', 'AB00052008-22', 'AB00052008_23', 'AB00052008_24', 'C-35402', 'L000288', 'Q251347', 'SR-01000003076-2', 'SR-01000003076-8', 'BRD-K67783091-001-04-8', 'BRD-K67783091-001-05-5', 'BRD-K67783091-003-03-6', 'SR-01000003076-11', 'Haloperidol, European Pharmacopoeia (EP) Reference Standard', 'Poly[2-methoxy-5-(3,7-dimethyoctyoxyl)-1,4-phenylenevinylene]', '.gamma.-[4-(p-Chlorphenyl)-4-hydroxpiperidino]-p-fluorbutyrophenone', 'Haloperidol, United States Pharmacopeia (USP) Reference Standard', '.gamma.-(4-(p-Chlorophenyl)-4-hydroxpiperidino)-p-fluorbutyrophenone', '4-[4-(4-chlorophenyl)-4-hydroxypiperidyl]-1-(4-fluorophenyl)butan-1-one', 'Haloperidol, Pharmaceutical Secondary Standard; Certified Reference Material', '4-[4-(4-Chlorophenyl)-4-hydroxy-1-piperidinyl]-1-(4-fluorophenyl) -1-butanone', 'Haloperidol for peak identification, European Pharmacopoeia (EP) Reference Standard', 'Haloperidol for system suitability, European Pharmacopoeia (EP) Reference Standard', 'Haloperidol solution, 1.0 mg/mL in methanol, ampule of 1 mL, certified reference material']</t>
  </si>
  <si>
    <t>Compound(3559)</t>
  </si>
  <si>
    <t>C21H23ClFNO2</t>
  </si>
  <si>
    <t>(7-chloro-6-bicyclo[3.2.0]hepta-2,6-dienyl) dimethyl phosphate</t>
  </si>
  <si>
    <t>['HEPTENOPHOS', 'Ragadan', 'Hostaquick', '23560-59-0', 'Hostavik [Russian]', 'Heptenophos [BSI:ISO]', 'XOE 2982 [Russian]', '7-Chlorobicyclo[3.2.0]hepta-2,6-dien-6-yl dimethyl phosphate', 'Hostavik', 'CHEBI:38693', 'Phosphoric acid, 7-chlorobicyclo[3.2.0]hepta-2,6-dien-6-yl dimethyl ester', 'Caswell No. 721C', "O,O'-Dimethyl-O-(6-chlorobicyclo(3.2.0)heptadiene-1,5-yl)phosphate", 'HOE 2982 OJ', 'HSDB 6668', '7-Chlorobicyclo(3.2.0)hepta-2,6-dien-6-yl dimethyl phosphate', 'XOE 2982', 'EINECS 245-737-0', 'HOE 02982', 'EPA Pesticide Chemical Code 215600', 'BRN 1978448', 'AI3-27500', 'Eptenofos', '5-(O,O-Dimethylphosphoryl)-6-chlorobicyclo(3.2.0)hepta-1,5-dien', 'O,O-Dimethyl-O-(6-chlorobicyclo(3.2.0)heptadien-1,5-yl)phosphate', 'Phosphonic acid, (7-chlorobicyclo(3.2.0)hepta-3,6-dien-6-yloxy)-, dimethyl ester', 'Ragadan; XOE 2982', 'SCHEMBL74608', 'CHEMBL432816', 'Heptenophos, analytical standard', 'DTXSID5042037', 'Phosphoric acid, (7-chloro-bicyclo(3.2.0)hepta-2,6-dien-6-yl) dimethyl ester', '(6-chloro-7-bicyclo[3.2.0]hepta-3,6-dienyl) dimethyl phosphate', 'OMS 1845', 'AKOS016024013', 'LS-107519', 'NS00000527', 'C18660', '135765-EP2275422A1', '135765-EP2292608A1', 'Q22808258', '(6-chloranyl-7-bicyclo[3.2.0]hepta-3,6-dienyl) dimethyl phosphate', '7-Chlorobicyclo[3.2.0]hepta-2,6-dien-6-yl dimethyl phosphate, 9CI, 8CI']</t>
  </si>
  <si>
    <t>Compound(62773)</t>
  </si>
  <si>
    <t>C9H12ClO4P</t>
  </si>
  <si>
    <t>hexadecafluoroheptane</t>
  </si>
  <si>
    <t>1,1,1,2,2,3,3,4,4,5,5,6,6,7,7,7-hexadecafluoroheptane</t>
  </si>
  <si>
    <t>['PERFLUOROHEPTANE', 'Hexadecafluoroheptane', '335-57-9', 'Perfluoro-n-heptane', 'Heptane, hexadecafluoro-', 'UNII-I23ZVD1P1L', 'EINECS 206-392-1', 'NSC 79256', 'BRN 1716335', 'I23ZVD1P1L', 'AI3-16935', 'Perfluoroheptane (mixed isomers)', '1,1,1,2,2,3,3,4,4,5,5,6,6,7,7,7-Hexadecafluoroheptane', 'Heptane, 1,1,1,2,2,3,3,4,4,5,5,6,6,7,7,7-hexadecafluoro-', 'perfluoroheptanes', 'perfluoroheptane(s)', 'hexadecafluoro-heptane', 'ACMC-20akry', 'PERFLUOROHEPTYLFLUORIDE', 'SCHEMBL99043', '4-01-00-00388 (Beilstein Handbook Reference)', 'DTXSID8052019', 'CHEBI:38847', 'CTK7B6208', 'Perfluoroheptane;PERFLUOROHEPTANE', 'WLN: FXFFXFFXFFXFFXFFXFFXFFF', 'NSC79256', 'ZX-AP004908', 'NSC-79256', 'ZINC64624386', 'AKOS005256232', 'LS-74341', 'FT-0626964', 'Hexadecafluoroheptane, technical grade, 85%', 'NS00009243', 'P0851', 'A821834', 'C-54362', 'J-019254', 'Q5945644', '1,1,1,2,2,3,3,4,4,5,5,6,6,7,7,7-Hexadecafluoroheptane #', '1,1,1,2,2,3,3,4,4,5,5,6,6,7,7,7-hexadecakis(fluoranyl)heptane']</t>
  </si>
  <si>
    <t>Compound(9553)</t>
  </si>
  <si>
    <t>C7F16</t>
  </si>
  <si>
    <t>(4S,5S)-5-(4-chlorophenyl)-N-cyclohexyl-4-methyl-2-oxo-1,3-thiazolidine-3-carboxamide</t>
  </si>
  <si>
    <t>['Hexythiazox', 'Savey', '78587-05-0', 'Acarflor', 'Acariflor', 'Calibre', 'Matacar', 'Nissorun', 'Ordoval', 'Cesar', 'Trevi', 'Zeldox (acaricide)', '(S,S)-hexythiazox', 'Hexythiazox [BSI:ISO]', 'NA 73', 'DPX Y5893-9', 'CHEBI:39328', '(4S,5S)-5-(4-chlorophenyl)-N-cyclohexyl-4-methyl-2-oxo-1,3-thiazolidine-3-carboxamide', '(4RS,5RS)-5-(4-Chlorophenyl)-N-cyclohexyl-4-methyl-2-oxo-1,3-thiazolidine-3-carboxamide', '3-Thiazolidinecarboxamide, 5-(4-chlorophenyl)-N-cyclohexyl-4-methyl-2-oxo-, trans-', 'trans-5-(4-Chlorophenyl)-N-cyclohexyl-4-methyl-2-oxo-3-thiazolidinecarboxamide', 'HSDB 6671', '3-Thiazolidinecarboxamide, 5-(4-chlorophenyl)-N-cyclohexyl-4-methyl-2-oxo-, (4R,5R)-rel-', 'DSSTox_CID_4299', 'DSSTox_RID_77359', 'DSSTox_GSID_24299', 'SCHEMBL53694', 'Hexythiazox, analytical standard', 'CHEMBL1904578', 'DTXSID7024299', 'hexythiazox (ISO);3-Thiazolidinecarboxamide, 5-(4-chlorophenyl)-N-cyclohexyl-4-methyl-2-oxo-, (4R,5R)-rel-', 'ZINC5752249', 'Tox21_301050', 'AKOS025311562', 'NCGC00164261-01', 'NCGC00164261-02', 'NCGC00164261-03', 'NCGC00254952-01', 'M560', 'Hexythiazox 100 microg/mL in Acetonitrile', 'CAS-78587-05-0', 'LS-151154', 'C18467', 'Hexythiazox, PESTANAL(R), analytical standard', '587H050', 'A839452', 'Q2718012', 'UNII-9A1P1MCC1L component XGWIJUOSCAQSSV-XHDPSFHLSA-N', '(4S)-5alpha-(p-Chlorophenyl)-4beta-methyl-N-cyclohexyl-2-oxo-3-thiazolidinecarboxamide', '(4S,5S)-5-(4-chlorophenyl)-N-cyclohexyl-4-methyl-2-oxo-3-thiazolidinecarboxamide', '(4S,5S)-5-(4-chlorophenyl)-N-cyclohexyl-4-methyl-2-oxidanylidene-1,3-thiazolidine-3-carboxamide', 'Pesticide5_Hexythiazox_C17H21ClN2O2S_(4S,5S)-5-(4-Chlorophenyl)-N-cyclohexyl-4-methyl-2-oxo-1,3-thiazolidine-3-carboxamide']</t>
  </si>
  <si>
    <t>Compound(13218777)</t>
  </si>
  <si>
    <t>C17H21ClN2O2S</t>
  </si>
  <si>
    <t>N-[[(1E,4E)-1,5-bis[4-(trifluoromethyl)phenyl]penta-1,4-dien-3-ylidene]amino]-5,5-dimethyl-4,6-dihydro-1H-pyrimidin-2-amine</t>
  </si>
  <si>
    <t>['HYDRAMETHYLNON', 'Amdro', '67485-29-4', 'Maxforce', 'Combat', 'Wipeout', 'Matox', 'Caswell No. 839A', 'Caswell No. 642AB', 'AC 217300', 'UNII-J265GZ7MFJ', 'CL 217300', 'HSDB 6673', 'Hydramethylnon [ANSI:BSI:ISO]', 'EPA Pesticide Chemical Code 118401', 'BRN 6015162', 'J265GZ7MFJ', 'AI3-29349', 'CHEBI:38531', '2(1H)-Pyrimidinone, tetrahydro-5,5-dimethyl-, (3-(4-(trifluoromethyl)phenyl)-1-(2-(4-(trifluoromethyl)phenyl)ethenyl)-2-propenylidene)hydrazone', 'Tetrahydro-5,5-dimethyl-2(1H)-pyrimidinone (1,5-bis(alpha,alpha,alpha-trifluoro-p-tolyl)-1,4-pentadien-3-one)hydrazone', 'Tetrahydro-5,5-dimethyl-2(1H)-pyrimidinone (3-(4-(trifluoromethyl)phenyl)-1-(2-(4-(trifluoromethyl)phenyl)ethenyl)-2-propenylidene)hydrazone', 'hydramethylnon;Hydramethylnon', 'hydromethylnon', '5,5-Dimethyl-perhydro-pyrimidin-2-one alpha-(4-trifluoromethylstyryl)-alpha-(4-trifluoromethyl)cinnamylidenehydrazone', '5,5-dimethyltetrahydropyrimidin-2(1H)-one (3-[4-(trifluoromethyl)phenyl]-1-{2-[4-(trifluoromethyl)phenyl]ethenyl}prop-2-en-1-ylidene)hydrazone', 'Tetrahydro-5,5-dimethyl-2(1H)-pyrimidinone[3-[4-(trifluoromethyl)phenyl]-1-[2-[4-(trifluoromethyl)phenyl]ethenyl]-2-propenylidene]hydrazone', 'NSC 379665', 'C25H24F6N4', 'N-[[(1E,4E)-1,5-bis[4-(trifluoromethyl)phenyl]penta-1,4-dien-3-ylidene]amino]-5,5-dimethyl-4,6-dihydro-1H-pyrimidin-2-amine', '(E,E)-hydramethylnon', 'AC 217,300', 'DSSTox_CID_3868', 'EC 405-090-9', 'DSSTox_RID_77210', 'DSSTox_GSID_23868', 'SCHEMBL26691', 'CHEBI:2630', 'CHEMBL464812', 'DTXSID6023868', 'ZINC4098975', 'Tox21_303161', 'KM1106', 'NSC379665', 'AKOS015896054', 'AKOS016014447', 'NSC-379665', 'NCGC00163783-01', 'NCGC00257010-01', 'AS-12702', 'N-[1,5-bis[4-(trifluoromethyl)phenyl]penta-1,4-dien-3-ylideneamino]-5,5-dimethyl-4,6-dihydro-1H-pyrimidin-2-amine', 'SC-74543', 'AB0012356', 'CAS-67485-29-4', 'LS-136024', 'NS00000154', 'C10994', '485H294', 'A835772', 'C-35424', 'Hydramethylnon, PESTANAL(R), analytical standard', 'Q413481', '(1E,4E)-1,5-Bis[4-(trifluoromethyl)phenyl]-1,4-pentadien-3-one (5,5-dimethyltetrahydro-2(1H)-pyrimidinylidene)hydrazone', '1,5-Bis(a,a,a-trifluoro-p-tolyl)-1,4-pentadiene-3-one (1,4,5,6-Tetrahydro-5,5-dimethyl-2-pyrimidinyl)hydrazone', '1,5-Bis[4-(trifluoromethyl)phenyl]-1,4-pentadien-3-one (5,5-dimethyltetrahydro-2(1H)-pyrimidinylidene)hydrazone', '2(1H)-PYRIMIDINONE, TETRAHYDRO-5,5-DIMETHYL-,[3-[4-(TRIFLUOROMETHYL)PHENYL]-1-[2-[4-(TRIFLUOROMETHYL)PHENYL]ETHENYL]-2-PROPENYLIDENE]HYDRAZONE', '2-(((1E,4E)-1,5-bis(4-(trifluoromethyl)phenyl)penta-1,4-dien-3-ylidene)hydrazono)-5,5-dimethylhexahydropyrimidine', '2-(2-((1E,4E)-1,5-bis(4-(trifluoromethyl)phenyl)penta-1,4-dien-3-ylidene)hydrazinyl)-5,5-dimethyl-1,4,5,6-tetrahydropyrimidine', '5,5-dimethyl-perhydro-pyrimidin-2-one .alpha.-(4-trifluoromethylstyryl)-.alpha.- (4-trifluoromethyl)cinnamylidenehydrazone', '5,5-dimethyltetrahydropyrimidin-2(1H)-one [(2E)-3-[4-(trifluoromethyl)phenyl]-1-{(E)-2-[4-(trifluoromethyl)phenyl]ethenyl}prop-2-en-1-ylidene]hydrazone', 'N-[[(1E,4E)-1,5-bis[4-(trifluoromethyl)phenyl]penta-1,4-dien-3-ylidene]amino]-5,5-dimethyl-1,3-diazinan-2-imine', 'Pesticide8_Hydramethylnon_C25H24F6N4_2(1H)-Pyrimidinone, tetrahydro-5,5-dimethyl-, 2-[(2E)-3-[4-(trifluoromethyl)phenyl]-1-[(E)-2-[4-(trifluoromethyl)phenyl]ethenyl]-2-propen-1-ylidene]hydrazone']</t>
  </si>
  <si>
    <t>Compound(5281875)</t>
  </si>
  <si>
    <t>C25H24F6N4</t>
  </si>
  <si>
    <t>hydrazine sulfate</t>
  </si>
  <si>
    <t>hydrazine;sulfuric acid</t>
  </si>
  <si>
    <t>['Hydrazine sulfate', '10034-93-2', 'Hydrazine, sulfate', 'Hydrazine monosulfate', 'Hydrazine sulphate', 'Hydrazinium sulfate', 'Hydrazine, sulfate (1:1)', 'Hydrazonium sulfate', 'Hydrazine sulfate (1:1)', 'Segidrin', 'Sehydrin', 'Diamine sulfate', 'Siran hydrazinu', 'Idrazina solfato', 'Diamidogen sulfate', 'Hydrazinium(2+) sulfate', 'Hydrazinium(2+) sulphate', 'Hydrazine sulfate salt', 'Hydrazinesulfate', 'Hydrazine dihydrogen sulfate salt', 'Siran hydrazinu [Czech]', 'HYDRAZINE HYDROGEN SULFATE', 'Hydrazine sulfate (VAN)', 'Idrazina solfato [Italian]', 'CCRIS 336', 'NSC-150014', 'UNII-1N369SAT01', 'HSDB 5086', 'EINECS 233-110-4', 'MFCD00044873', 'NSC 150014', 'NSC 215190', 'AI3-18433', '1N369SAT01', 'NSC150014', '1184-66-3', 'Hydrazine sulfate, 99+%', 'WLN: ZZ &amp;S-O4', 'Hydrazine sulfate, ACS reagent', 'hydrazine; sulfuric acid', 'Hydrazinsulfat', 'Idrazina solfato  [Italian]', 'Hydrazine sulphate salt', 'PubChem15719', 'ACMC-20akr3', 'DSSTox_CID_703', 'Hydrazine dihydrogen sulfate', 'DSSTox_RID_75745', 'DSSTox_GSID_20703', 'H6N2O4S', 'KSC159Q6P', 'Hydrazine and hydrazine sulfate', 'CHEMBL1981828', 'DTXSID8020703', 'CTK0F9867', 'KS-00000YNZ', 'Tox21_302995', 'GP-703', 'LS-318', 'NSC215190', 'AKOS015901874', 'NSC-215190', 'Hydrazinium sulfate, Hydrazonium sulfate', 'NCGC00256445-01', 'NCI60_001038', 'SC-65219', 'CAS-10034-93-2', 'DB-029899', 'FT-0627114', 'Hydrazine sulfate salt, ACS reagent, &gt;=99.0%', 'Hydrazinium sulfate, SAJ first grade, &gt;=97.0%', 'Hydrazinium sulfate, JIS special grade, &gt;=99.0%', 'Q413847', 'Hydrazine sulfate salt, p.a., ACS reagent, 99.0%', 'Hydrazine sulfate salt, 99.999% trace metals basis', 'Hydrazine sulfate salt, Vetec(TM) reagent grade, 97%', 'Hydrazine sulfate salt, puriss. p.a., ACS reagent, &gt;=99.0%']</t>
  </si>
  <si>
    <t>Compound(24842)</t>
  </si>
  <si>
    <t>H6N2O4S</t>
  </si>
  <si>
    <t>['HYDRAZINE', 'Diamine', '302-01-2', 'Diazane', 'Levoxine', 'Hydrazine base', 'Nitrogen hydride', 'Oxytreat 35', 'Hydrazin', 'Hydrazines', 'Hydrazyna', 'Hydrazyna [Polish]', 'Hydrazine, anhydrous', 'Hydrazine (anhydrous)', 'RCRA waste number U133', 'hydrazinyl', 'UNII-27RFH0GB4R', 'CCRIS 335', 'HSDB 544', 'EINECS 206-114-9', 'UN2029', 'UN3293', 'H2NNH2', 'RCRA waste no. U133', '27RFH0GB4R', 'N2H4', 'CHEBI:15571', 'HYDRAZINE (HYDRAZINE SULFATE)', 'Hydrazine solution', 'HDZ', 'Hydrazine/Hydrazine sulfate', 'Amerzine', 'amino nitrogen', 'Zerox', 'Catalyzed hydrazine', 'Scav-Ox II', 'Zerox (Salt/Mix)', 'Amerzine (Salt/Mix)', 'Hydrazine-1,2-diium', 'NH2NH2', 'Scav-Ox II (Salt/Mix)', 'Hydrazine, anhydrous, 98%', 'Nitrogen hydride, (N2H4)', 'NH2-NH2', 'UN 2029 (Salt/Mix)', 'UN 2030 (Salt/Mix)', 'Hydrazine (hydrazine sulphate)', 'Catalyzed hydrazine (Salt/Mix)', 'CHEMBL1237174', 'DTXSID3020702', 'CTK1C2649', 'Hydrazine solution, 1.0 M in THF', 'Hydrazine, standard solution, N2H4', 'STL281862', 'AKOS000269060', 'LS-1153', 'MCULE-8417340168', 'Hydrazine solution, 35 wt. % in H2O', 'Hydrazine, aqueous solution with not &gt;37% hydrazine, by mass [UN3293]  [Poison]', 'Hydrazine solution, 1 M in acetonitrile', 'NCGC00188947-01', 'BP-13613', 'DB-007559', 'NS00014234', 'C05361', 'Q58447', 'J-017830', 'Q27110398', 'Hydrazine, aqueous solution with not &gt;37% hydrazine, by mass', 'Hydrazine, anhydrous or hydrazine aqueous solutions with &gt;64% hydrazine, by mass', 'Hydrazine, aqueous solution with not &gt;37% hydrazine, by mass [UN3293] [Poison]', 'Hydrazine, anhydrous or hydrazine aqueous solutions with &gt;64% hydrazine, by mass [UN2029]  [Corrosive]', 'Hydrazine, anhydrous or hydrazine aqueous solutions with &gt;64% hydrazine, by mass [UN2029] [Corrosive]', 'HZN']</t>
  </si>
  <si>
    <t>Compound(9321)</t>
  </si>
  <si>
    <t>H4N2</t>
  </si>
  <si>
    <t>hymexazole</t>
  </si>
  <si>
    <t>5-methyl-1,2-oxazol-3-one</t>
  </si>
  <si>
    <t>['Hymexazol', '10004-44-1', '3-Hydroxy-5-methylisoxazole', 'Hymexazole', '5-Methylisoxazol-3-ol', '5-methylisoxazol-3(2H)-one', 'Hydroxyisoxazole', 'Tachigaren', '3(2H)-Isoxazolone, 5-methyl-', 'Itachigarden', '5-Methyl-3-hydroxyisoxazole', '5-Methyl-isoxazol-3-ol', '5-METHYL-3(2H)-ISOXAZOLONE', '3-Isoxazolol, 5-methyl-', 'Bucide', 'Butsid', 'Bucid', 'Hydroxyisoxazole (pesticide)', 'Hymexazol [BSI:ISO]', 'NSC 217971', 'SF-6505', 'Isoxazole, 3-hydroxy-5-methyl-', 'F 319', 'UNII-20T2M875LO', '5-Methyl-1,2-oxazol-3-one', 'F-319', 'EINECS 233-000-6', '5-methyl-1,2-oxazol-3-ol', '5-methyl-2,3-dihydro-1,2-oxazol-3-one', 'CHEBI:5827', '20T2M875LO', 'NSC217971', 'W-108979', 'PubChem8647', '5-methyl-3-isoxazolone', '5-methylisoxazol-3-one', '5-methylisoxazole-3-ol', '5-Methyl-isoxazol-3-one', 'DSSTox_CID_12622', 'DSSTox_RID_79009', 'DSSTox_GSID_32622', 'WLN: T5NOJ C1 EQ', 'CHEMBL244877', 'DTXSID3032622', '5-methyl-2-hydroisoxazol-3-one', 'CTK8A0902', 'KS-00000GEW', 'ACN-S002784', 'ALBB-022606', 'ZINC2030961', 'ZX-AT001394', '5-methyl-1,2-oxazol-3(2H)-one', 'Tox21_300856', 'BBL033480', 'MFCD00144468', 'OR2998', 'SBB055813', 'STL313888', 'AKOS001021985', 'AKOS003620478', '3-Hydroxy-5-methylisoxazole, &gt;=90%', 'CS-W011330', 'FCH1112473', 'MCULE-4569959155', 'NSC-217971', 'PS-9334', 'NCGC00248192-01', 'NCGC00254759-01', '3(2H)-Isoxazolone, 5-methyl- (8CI)', 'AK158281', 'BP-21478', 'LS-86685', 'NCI60_001815', 'S262', 'SC-00002', 'AB0219680', 'AX8134244', 'CAS-10004-44-1', 'BB 0218281', 'FT-0636609', 'NS00004518', 'EN300-07726', 'UPCMLD00X10004-44-1:001', 'C11103', 'Z-1434', '004H441', 'A800021', 'Q16512783', 'Z56761467']</t>
  </si>
  <si>
    <t>Compound(24781)</t>
  </si>
  <si>
    <t>C4H5NO2</t>
  </si>
  <si>
    <t>isotridecanol ethoxylate</t>
  </si>
  <si>
    <t>2-[2-[2-[2-[2-[2-[2-[2-(2-dodecoxyethoxy)ethoxy]ethoxy]ethoxy]ethoxy]ethoxy]ethoxy]ethoxy]ethanol</t>
  </si>
  <si>
    <t>['Polidocanol', '3055-99-0', 'Nonaethylene glycol monododecyl ether', '3,6,9,12,15,18,21,24,27-Nonaoxanonatriacontan-1-ol', 'genapol X-080', 'laureth-9', 'Polyoxyethylene (9) lauryl ether', '9043-30-5', 'C12E9', 'nonaethylene glycol monolauryl ether', 'CHEBI:46859', 'NCGC00166290-02', 'DODECYL NONA ETHYLENE GLYCOL ETHER', 'DSSTox_CID_19721', 'DSSTox_RID_79436', 'DSSTox_GSID_39721', 'genapol X 080', 'Asclera', 'Dodecylnonaglycol', 'CAS-3055-99-0', 'Polydocanol', 'Polyethylene glycol monoisotridecyl ether', 'Aethoxy-sklerol', 'Polidocanol [INN:DCF:JAN]', 'Dodecyl nonaethylene glycol ether', 'EINECS 221-284-4', 'Genapol X080', 'POELE', 'VARITHENA', 'PEG-9 lauryl ether', 'Macrogol 9 lauryl ether', 'Polyoxyl 9 lauryl ether', 'POLYDOCANOL; THESIT', 'Polyoxyethylen-9-laurylether', 'AEO-9', 'SCHEMBL25580', 'Polyoxyethylen-9-lauryl ether', 'Polyoxyethylene 9 lauryl ether', 'CHEMBL1231723', 'DTXSID5039721', 'Nonaoxyethylene monododecyl ether', 'CTK1C2495', 'Polyethylene glycol monoalkyl ether', 'KS-00000Y0K', 'Oligoethylene glycol monoalkyl ether', 'ZINC8214662', 'Tox21_112394', 'GK9185', 'MFCD00043375', 'MFCD00163738', 'Polyethylene glycol 450 lauryl ether', 'AKOS028108701', 'Dodecylnonaoxyethylene glycol monoether', 'Tox21_112394_1', 'API0005051', 'DB06811', 'NCGC00166290-01', 'NCGC00166290-03', 'C12 Alcohol, predominately linear, 9 EO', 'HY-108294', 'CS-0028163', 'NS00013822', 'Polyoxyethylene (9) lauryl ether;LAURETH-9', 'C13493', 'SR-01000944476', 'J-018016', 'Poly(oxy-1,2-ethanediyl),a-isotridecyl-w-hydroxy-', 'SR-01000944476-1', 'Nonaethylene glycol monododecyl ether, nonionic surfactant', 'Polyethylene glycol monododecyl ether (average polymer, n = 9)', 'Polyethylene glycol monododecyl ether (average polymer, n = 9; nonaethylene glycol monododecyl ether)']</t>
  </si>
  <si>
    <t>Compound(656641)</t>
  </si>
  <si>
    <t>C30H62O10</t>
  </si>
  <si>
    <t>propan-2-amine</t>
  </si>
  <si>
    <t>['ISOPROPYLAMINE', '2-Propanamine', 'propan-2-amine', '75-31-0', '2-Aminopropane', '2-Propylamine', 'Monoisopropylamine', 'sec-Propylamine', '1-Methylethylamine', 'isopropyl amine', 'Isopropilamina', 'Propane, 2-amino-', '2-Aminopropan', '2-Amino-propaan', '2-Amino-propano', '2-Propaneamine', 'Isopropilamina [Italian]', 'Isopropylamin', 'iso-propylamine', '2-Aminopropan [German]', '2-Amino-propaan [Dutch]', 'UNII-P8W26T4MTD', '2-Amino-propano [Italian]', 'NSC 62775', 'CCRIS 4318', 'HSDB 804', 'Isopropylamine, 99%', 'EINECS 200-860-9', 'MFCD00008082', 'UN1221', 'P8W26T4MTD', 'AI3-15636', 'CHEBI:15739', 'Isopropylamine solution (70% or less)', 'isopropylarnine', 'isoproylamine', 'C3H9N', 'i-propylamine', 'isopropyl-amine', 'i-propyl amine', 'iso- propylamine', 'iso-propyl amine', 'propane-2-amine', '2-propyl amine', 'propan-2 -amine', 'iso-Propylamine gas', 'iPrNH2', '(1-methylethyl)amine', 'i-PrNH2', 'Isopropylamine, 97%', 'iso-C3H7NH2', '2-AMINO-PROPANE', 'ACMC-1BL1J', 'EC 200-860-9', 'Isopropylamine, &gt;=99.5%', 'KSC377C4L', 'CHEMBL117080', 'WLN: ZY1&amp;1', 'Monoisopropylamine Reagent Grade', 'DTXSID2025682', 'CTK2H7145', 'Isopropylamine, &gt;=97.0% (GC)', 'NSC62775', 'STR00028', 'ZINC8220693', 'ANW-36596', 'NSC-62775', 'STL194288', 'AKOS000119321', 'LS-1660', 'MCULE-7280647435', 'UN 1221', 'KS-00000V60', 'SC-77564', 'FT-0611265', 'I0165', 'NS00002224', 'Isopropylamine [UN1221] [Flammable liquid]', 'Isopropylamine, anhydrous, analytical standard', 'Isopropylamine, SAJ special grade, &gt;=99.0%', '6099-EP2269610A2', '6099-EP2270011A1', '6099-EP2272517A1', '6099-EP2274983A1', '6099-EP2275398A1', '6099-EP2275404A1', '6099-EP2275414A1', '6099-EP2277848A1', '6099-EP2277867A2', '6099-EP2280003A2', '6099-EP2281563A1', '6099-EP2284149A1', '6099-EP2284157A1', '6099-EP2284160A1', '6099-EP2287141A1', '6099-EP2287165A2', '6099-EP2287166A2', '6099-EP2289510A1', '6099-EP2289893A1', '6099-EP2292576A2', '6099-EP2292597A1', '6099-EP2292620A2', '6099-EP2295409A1', '6099-EP2295418A1', '6099-EP2298735A1', '6099-EP2298743A1', '6099-EP2298744A2', '6099-EP2298761A1', '6099-EP2301931A1', '6099-EP2301937A1', '6099-EP2305257A1', '6099-EP2305636A1', '6099-EP2305677A1', '6099-EP2305682A1', '6099-EP2308812A2', '6099-EP2308838A1', '6099-EP2308840A1', '6099-EP2308851A1', '6099-EP2308877A1', '6099-EP2308879A1', '6099-EP2311808A1', '6099-EP2311814A1', '6099-EP2311829A1', '6099-EP2311831A1', '6099-EP2314590A1', '6099-EP2314593A1', '6099-EP2316457A1', '6099-EP2316458A1', '6099-EP2316825A1', '6099-EP2316826A1', '6099-EP2316827A1', '6099-EP2316828A1', '6099-EP2380874A2', 'C06748', 'Isopropylamine [UN1221]  [Flammable liquid]', '28040-EP2289893A1', '28040-EP2295411A1', '28040-EP2298744A2', '28040-EP2308851A1', '28040-EP2314588A1', '59616-EP2284166A1', '59616-EP2308852A1', 'A838376', 'Q420554', 'Isopropylamine (purified by distillation from glass)', 'F2190-0359']</t>
  </si>
  <si>
    <t>Compound(6363)</t>
  </si>
  <si>
    <t>iso-propyl glycidyl ether</t>
  </si>
  <si>
    <t>2-(propan-2-yloxymethyl)oxirane</t>
  </si>
  <si>
    <t>['Glycidyl isopropyl ether', 'ISOPROPYL GLYCIDYL ETHER', '4016-14-2', '2,3-Epoxypropyl isopropyl ether', '2-(Isopropoxymethyl)oxirane', '(Isopropoxymethyl)oxirane', '3-Isopropyloxypropylene oxide', '3-Isopropoxy-1,2-epoxypropane', 'Isopropyl epoxypropyl ether', 'NCI-C56439', 'Propane, 1,2-epoxy-3-isopropoxy-', 'NSC 4127', '2-[(propan-2-yloxy)methyl]oxirane', 'Oxirane, [(1-methylethoxy)methyl]-', 'NSC 46562', 'glycidylisopropylether', 'CCRIS 2631', '1,2-Epoxy-3-isopropoxypropane', '((1-Methylethoxy)methyl)oxirane', '2,3-Epoxypropyl-isopropyl ether', 'HSDB 4302', 'EINECS 223-672-9', 'Oxirane, ((1-methylethoxy)methyl)-', 'IGE', 'BRN 0103028', 'Isopropyl glycidyl ether IGE', 'AI3-52929', 'Oxirane, 2-[(1-methylethoxy)methyl]-', 'Propane,2-epoxy-3-isopropoxy-', 'WLN: T3OTJ B1OY1&amp;1', 'Oxirane, 2-((1-methylethoxy)methyl)-', '2-(propan-2-yloxymethyl)oxirane', 'isopropylglycidyl ether', 'ACMC-209jbe', 'DSSTox_CID_5480', 'DSSTox_RID_77803', 'DSSTox_GSID_25480', 'SCHEMBL39030', 'MLS002454412', 'Glycidyl isopropyl ether purum', '2-(Isopropoxymethyl)oxirane #', 'Glycidyl isopropyl ether, 98%', 'CHEMBL1487011', 'DTXSID6025480', '1,2-Epoxy-3-iso-propoxypropane', 'CTK4I2570', 'NWLUZGJDEZBBRH-UHFFFAOYSA-', 'NSC4127', 'HMS3039F15', '2-[(1-methylethoxy)methyl]oxirane', 'NSC-4127', 'NSC46562', 'Tox21_200038', 'ANW-29304', 'BBL027498', 'LS-109', 'NSC-46562', 'STK802341', 'AKOS000196880', 'AKOS017283448', 'Oxirane,2-[(1-methylethoxy)methyl]-', 'MCULE-5300797105', 'NE10377', 'NCGC00091815-01', 'NCGC00091815-02', 'NCGC00257592-01', 'SMR001372011', 'VS-08554', 'CAS-4016-14-2', 'DB-103806', 'FT-0761964', 'G0255', 'NS00020644', 'EN300-22498', '2084-EP2272832A1', '2084-EP2272835A1', '2084-EP2272844A1', '2084-EP2277565A2', '2084-EP2277566A2', '2084-EP2277567A1', '2084-EP2277568A2', '2084-EP2277570A2', '2084-EP2280282A1', '2084-EP2281563A1', '2084-EP2292280A1', '2084-EP2301933A1', '2084-EP2305668A1', '2084-EP2305677A1', '2084-EP2311827A1', '2084-EP2311837A1', '2084-EP2314574A1', '2084-EP2316459A1', '2084-EP2316834A1', 'Glycidyl isopropyl ether, purum, &gt;=98.0% (GC)', 'Q2803610', 'F0001-1133']</t>
  </si>
  <si>
    <t>Compound(19920)</t>
  </si>
  <si>
    <t>isopropyl acetate</t>
  </si>
  <si>
    <t>propan-2-yl acetate</t>
  </si>
  <si>
    <t>['ISOPROPYL ACETATE', '108-21-4', '2-Propyl acetate', 'propan-2-yl acetate', 'Acetic acid, 1-methylethyl ester', '2-Acetoxypropane', 'Isopropyl ethanoate', 'Isopropylacetat', 'Paracetat', 'Isopropylacetaat', '1-Methylethyl acetate', 'Acetic Acid, isopropyl ester', "Acetate d'isopropyle", 'Acetic Acid Isopropyl Ester', 'Isopropylester kyseliny octove', 'Isopropile(acetato di)', 'Isopropile (acetato di)', "Isopropyl (acetate d')", 'Isopropylacetaat [Dutch]', 'Isopropylacetat [German]', 'NSC 9295', 'iso-propyl acetate', 'sec-Propyl acetate', 'UNII-1Y67AFK870', "Acetate d'isopropyle [French]", 'Isopropyl ester of acetic acid', 'FEMA No. 2926', 'CCRIS 6053', 'HSDB 159', "Isopropyl (acetate d') [French]", "Isopropyle (acetate d') [French]", 'Isopropile (acetato di) [Italian]', 'EINECS 203-561-1', 'UN1220', 'CH3COOCH(CH3)2', 'Isopropylester kyseliny octove [Czech]', 'BRN 1740761', 'Acetic acid, 2-propyl ester', '1Y67AFK870', 'DSSTox_CID_5478', 'Isopropyl acetate [UN1220] [Flammable liquid]', 'DSSTox_RID_77801', 'DSSTox_GSID_25478', 'Isopropyl acetate, 99%, pure', 'Isopropyl acetate, 99+%, pure', 'Isopropyl acetate, 99+%, for analysis', 'CAS-108-21-4', "Isopropyle (acetate d')", 'iso-propylacetate', 'Acetic acid 1-methylethyl ester', 'i-propyl acetate', 'AcOiPr', 'iPrOAc', 'iso-PrOAc', 'so-Propyl acetate', 'IPAc', 'i-PrOAc', 'MFCD00008877', 'acetic acid isopropyl', 'propan-2-yl ethanoate', "Isopropyl(acetate d')", 'Isopropylacetat(german)', 'Isopropyl acetate, 98%', 'Isopropyl acetate, 99%', 'Acetic acid-isopropyl ester', 'EC 203-561-1', 'WLN: 1YOV1', '1-Methylethyl acetate, 9CI', 'SCHEMBL19193', '4-02-00-00141 (Beilstein Handbook Reference)', 'KSC174O0H', 'acetic acid propan-2-yl ester', 'ACMC-2098z9', 'Isopropyl Acetate Reagent Grade', 'Isopropyl acetate, &gt;=99.6%', 'CHEMBL1608674', 'DTXSID2025478', 'CTK0H4703', 'FEMA 2926', 'KS-00000VLJ', 'NSC9295', 'ZINC388088', 'Isopropyl acetate, &gt;=99%, FCC', 'ACN-S002419', 'NSC-9295', 'Isopropyl Acetate (Fragrance Grade)', 'Tox21_201443', 'Tox21_303287', 'ANW-15907', 'LS-455', 'Isopropyl acetate, analytical standard', 'AKOS008949447', 'MCULE-6152257819', 'UN 1220', 'NCGC00091731-01', 'NCGC00091731-02', 'NCGC00257073-01', 'NCGC00258994-01', 'SC-25616', 'A0036', 'NS00005278', 'X5955', '5056-EP2269986A1', '5056-EP2269999A1', '5056-EP2270003A1', '5056-EP2270009A1', '5056-EP2272537A2', '5056-EP2272822A1', '5056-EP2275401A1', '5056-EP2275403A1', '5056-EP2277565A2', '5056-EP2277566A2', '5056-EP2277567A1', '5056-EP2277568A2', '5056-EP2277569A2', '5056-EP2277570A2', '5056-EP2277875A2', '5056-EP2277878A1', '5056-EP2277879A1', '5056-EP2280014A2', '5056-EP2281821A1', '5056-EP2283811A1', '5056-EP2287152A2', '5056-EP2287154A1', '5056-EP2287168A2', '5056-EP2289509A2', '5056-EP2289879A1', '5056-EP2292280A1', '5056-EP2292607A2', '5056-EP2292609A1', '5056-EP2292612A2', '5056-EP2295409A1', '5056-EP2295423A1', '5056-EP2295437A1', '5056-EP2298734A2', '5056-EP2298751A2', '5056-EP2298753A1', '5056-EP2298766A1', '5056-EP2298775A1', '5056-EP2305666A1', '5056-EP2305667A2', '5056-EP2305670A1', '5056-EP2305695A2', '5056-EP2305696A2', '5056-EP2305697A2', '5056-EP2305698A2', '5056-EP2305825A1', '5056-EP2308471A1', '5056-EP2308857A1', '5056-EP2308873A1', '5056-EP2311811A1', '5056-EP2311831A1', '5056-EP2314577A1', '5056-EP2371808A1', '5056-EP2380568A1', 'A801824', 'Isopropyl acetate [UN1220]  [Flammable liquid]', 'Q419799', 'Isopropyl acetate, puriss. p.a., &gt;=99.5% (GC)', 'J-002073', 'Isopropyl acetate, anhydrous, ZerO2(TM), &gt;=99.6%', 'Z53832993', 'isopropyl acetate;1-methylethyl acetate;ISOPROPYL ACETATE', 'Isopropyl acetate, United States Pharmacopeia (USP) Reference Standard']</t>
  </si>
  <si>
    <t>Compound(7915)</t>
  </si>
  <si>
    <t>2-amino-N-propan-2-ylbenzamide</t>
  </si>
  <si>
    <t>['2-amino-n-isopropylbenzamide', '30391-89-0', 'Benzamide, 2-amino-N-(1-methylethyl)-', 'N-Isopropylanthranilamide', '2-Amino-N-isopropyl-benzamide', 'Anthranilic acid isopropyl amide', '2-amino-N-propan-2-ylbenzamide', 'UNII-P9B62A1RWF', '2-Amino-N-(1-methylethyl)benzamide', '2-Amino-N-isopropyl benzamide', '2-Amino-N-(isopropyl)benzamide', 'Benzamide, o-amino-N-isopropyl-', '2-amino-N-(propan-2-yl)benzamide', 'Anthranilsaureisopropylamid', 'P9B62A1RWF', 'Anthranilic acid isopropylamide', 'F0020-0466', '(2-aminophenyl)-N-(methylethyl)carboxamide', 'NSC88050', 'EINECS 250-175-4', 'NSC 88050', 'Maybridge4_002748', 'DSSTox_CID_21627', 'DSSTox_RID_79795', 'DSSTox_GSID_41627', 'N-Isopropyl-2-aminobenzamide', 'Oprea1_827680', 'SCHEMBL103927', 'Anthranilic acid-isopropylamide', 'ARONIS009072', 'CHEMBL3186283', 'DTXSID7041627', 'CTK4G5132', '2-amino-N~1~-isopropylbenzamide', 'HMS1528M20', 'ZINC170974', '2-amino-N-(1-methyethyl)benzamide', 'ALBB-012951', 'KS-000040RK', 'Tox21_301979', '3178AB', 'BBL002033', 'CCG-40534', 'NSC-88050', 'SBB018376', 'STK520495', 'AKOS000131096', 'Benzamide,2-amino-N-(1-methylethyl)-', 'MCULE-3696046015', 'IDI1_032626', 'Benzamide, o-amino-N-isopropyl- (8CI)', 'NCGC00255469-01', 'VS-01002', 'CAS-30391-89-0', 'ST4142752', 'BB 0286050', 'FT-0709331', 'NS00001921', 'EN300-29729', 'K-7299', 'Anthranilic acid isopropylamide, analytical standard', 'J-017944', 'BRD-K51888177-001-01-6', 'Q27286410', '2-Amino-N-(1-methylethyl)benzamide;2-amino-N-(isopropyl)benzamide']</t>
  </si>
  <si>
    <t>Compound(94411)</t>
  </si>
  <si>
    <t>iso-propyl flamprop</t>
  </si>
  <si>
    <t>propan-2-yl 2-(N-benzoyl-3-chloro-4-fluoroanilino)propanoate</t>
  </si>
  <si>
    <t>['FLAMPROP-ISOPROPYL', 'Barnon', 'Suffix BW', 'Flufenprop-isopropyl', '52756-22-6', 'Flamprop-isopropyl [ISO]', 'WL 29762', 'EINECS 258-154-1', 'Alanine, N-benzoyl-N-(3-chloro-4-fluorophenyl)-, 1-methylethyl ester', 'DL-Alanine, N-benzoyl-N-(3-chloro-4-fluorophenyl)-, 1-methylethyl ester', '(+)-Flamprop-isopropyl', 'Isopropyl N-benzoyl-N-(3-chloro-4-fluorophenyl)-D,L-alaninate', 'propan-2-yl 2-(N-benzoyl-3-chloro-4-fluoroanilino)propanoate', 'Isopropyl (+-)-2-(N-(3-chloro-4-fluorophenyl)benzamido)propionate', 'N-Benzoyl-N-(3-chloro-4-fluorophenyl)-DL-alanine 1-methylethyl ester', 'BRN 2899801', 'Isopropyl N-benzoyl-N-(3-chloro-4-fluorophenyl)-2-aminopropionate', 'L-Alanine, N-benzoyl-N-(3-chloro-4-fluorophenyl)-, 1-methylethyl ester', 'Flamprop isopropyl', 'Commando (Salt/Mix)', 'DSSTox_CID_21977', 'DSSTox_RID_79892', 'DSSTox_GSID_41977', 'SCHEMBL143033', 'CHEMBL3185461', 'DTXSID6041977', 'Tox21_301563', 'AKOS015902979', 'ACM52756226', 'NCGC00255858-01', 'LS-15820', 'CAS-52756-22-6', 'NS00003047', 'Flamprop-isopropyl 10 microg/mL in Cyclohexane', 'Q27261251', 'Isopropyl-N-benzoyl-N-(3-chloro-4-fluorophenyl)alanine', 'Isopropyl 2-(benzoyl-3-chloro-4-fluoroanilino)propanoate #', 'isopropyl 2-(N-(3-chloro-4-fluorophenyl)benzamido)propanoate', '1-Methylethyl-N-benzoyl-N-(3-chloro-4-fluorophenyl)-dl-alanine', '2-(N-Benzoyl-3-chloro-4-fluoroanilino)propionic acid isopropyl ester', 'Isopropyl (.+/-.)-2-(N-(3-chloro-4-fluorophenyl)benzamido)propionate', 'flamprop-isopropyl;Isopropyl N-benzoyl-N-(3-chloro-4-fluorophenyl)-D,L-alaninate']</t>
  </si>
  <si>
    <t>Compound(40520)</t>
  </si>
  <si>
    <t>isopropyl myristate</t>
  </si>
  <si>
    <t>propan-2-yl tetradecanoate</t>
  </si>
  <si>
    <t>['ISOPROPYL MYRISTATE', 'Isopropyl tetradecanoate', '110-27-0', 'Tetradecanoic acid, 1-methylethyl ester', 'Bisomel', 'Estergel', 'Isomyst', 'Promyr', 'Deltyl Extra', 'Kesscomir', 'Tegester', 'Wickenol 101', 'Sinnoester MIP', 'Crodamol IPM', 'Plymoutm IPM', 'Starfol IPM', 'Unimate IPM', 'Kessco IPM', 'Emcol-IM', 'Stepan D-50', 'Emerest 2314', '1-Methylethyl tetradecanoate', 'Myristic acid isopropyl ester', 'JA-FA IPM', 'Kessco isopropyl myristate', 'Crodamol I.P.M.', 'Deltylextra', 'Tetradecanoic acid, isopropyl', 'Myristic acid, isopropyl ester', 'propan-2-yl tetradecanoate', 'Tetradecanoic acid, isopropyl ester', 'Caswell No. 511E', 'UNII-0RE8K4LNJS', '1-Tridecanecarboxylic acid, isopropyl ester', 'Isopropyl myristate [USAN]', 'Estergel (TN)', 'NSC 406280', 'FEMA No. 3556', 'HSDB 626', 'methylethyl tetradecanoate', 'EINECS 203-751-4', 'MFCD00008982', '0RE8K4LNJS', 'EPA Pesticide Chemical Code 000207', 'iso-Propyl N-tetradecanoate', 'Isopropyl tetradecanoic acid', 'BRN 1781127', 'CHEBI:90027', 'Tetradecanoic acid methyethyl ester', 'NCGC00164071-01', 'DSSTox_CID_6838', 'Isopropyl myristate, 96%', 'Isopropyl myristate, 98%', 'DSSTox_RID_78224', 'DSSTox_GSID_26838', 'Q-201418', 'isopropylmyristate', 'CAS-110-27-0', 'IPM-EX', 'IPM-R', 'Tegosoft M', 'Isopropyl myristate [USAN:NF]', 'Liponate IPM', 'Crodamol 1PM', 'IPM 100', 'Lexol IPM', 'Crodamol I.P.M', 'Isopropyl myristate.', 'myristic acid isopropyl', 'PubChem19813', 'ACMC-1BVUK', 'Radia 7190', 'Isopropyl myristate (NF)', 'EC 203-751-4', 'SCHEMBL2442', 'component of Sardo Bath Oil', 'Myristic acid-isopropyl ester', 'KSC174S6R', 'Isopropyl myristate, &gt;=98%', 'CHEMBL207602', 'IPM 90', 'DTXSID0026838', 'WLN: 13VOY1&amp;1', 'CTK0H4968', 'FEMA 3556', 'KS-00000WXI', 'tetradecanoic acid isopropyl ester', 'ZINC8214588', 'Isopropyl myristate, &gt;=90% (GC)', 'Tox21_112080', 'Tox21_202065', 'Tox21_303171', 'ANW-16142', 'LMFA07010677', 'NSC406280', 's2428', 'AKOS015902296', 'Myristic acid, isopropyl ester (8CI)', 'Tox21_112080_1', 'DB13966', 'LS-2869', 'NSC-406280', 'component of Sardo Bath Oil (Salt/Mix)', 'NCGC00164071-02', 'NCGC00164071-03', 'NCGC00256937-01', 'NCGC00259614-01', 'CC-29682', 'R524', 'SC-19093', 'WE(2:0(1Me)/14:0)', 'DB-040910', 'FT-0629053', 'M0481', 'NS00006471', 'D02296', 'C-28193', 'Q416222', 'SR-01000944751', 'Isopropyl myristate, Vetec(TM) reagent grade, 98%', 'SR-01000944751-1', 'UNII-137MVX8C09 component AXISYYRBXTVTFY-UHFFFAOYSA-N', 'Isopropyl myristate, United States Pharmacopeia (USP) Reference Standard', 'TETRADECANOIC ACID,ISOPROPYL ESTER  (MYRISTATE,ISOPROPYL ESTER)', 'Isopropyl myristate, Pharmaceutical Secondary Standard; Certified Reference Material', 'isopropyl myristate;ISOPROPYL MYRISTATE;Wickenol 101;Tetradecanoic acid, 1-methylethyl ester;Isopropyl tetradecanoic acid']</t>
  </si>
  <si>
    <t>Compound(8042)</t>
  </si>
  <si>
    <t>2-methylpropan-1-amine</t>
  </si>
  <si>
    <t>['ISOBUTYLAMINE', '78-81-9', '2-methylpropan-1-amine', '1-Amino-2-methylpropane', 'iso-Butylamine', '1-Propanamine, 2-methyl-', '2-Methylpropylamine', 'Monoisobutylamine', 'Valamine', 'I-Butylamine', '2-Methylpropanamine', '3-Methyl-2-propylamine', '2-Methyl-1-propanamine', 'isobutyl amine', '2-methyl-1-propylamine', '2-Methyl-1-Aminopropane', 'UNII-1H60H4LOHZ', 'NSC 8028', 'CCRIS 6250', 'HSDB 612', 'iso-C4H9NH2', 'EINECS 201-145-4', 'UN1214', '1H60H4LOHZ', 'AI3-24039', 'MFCD00008146', 'Isobutylamine, 99%', 'isobutyl-amine', 'iso-butyl amine', 'Valamine?', 'N-iso-butylamine', 'iBuNH2', 'Isobutylamine, 8CI', '2-methylpropyl amine', '(2-methylpropyl)amine', 'i-BuNH2', 'ACMC-209pfe', '2-methylpropane-1-amine', '1-amino-2-methyl-propane', 'KSC492A7L', '2-Methyl-1-propanamine, 9CI', 'DTXSID9025459', 'CHEBI:15997', 'CTK3J2075', 'WLN: Z1Y1&amp;1', 'NSC8028', 'Isobutylamine, analytical standard', 'KS-00000V4D', 'NSC-8028', 'STR01259', 'ZINC4658586', '7114AF', 'ANW-37224', 'BBL027687', 'STL183318', 'AKOS000119607', 'LS-1755', 'MCULE-8319193456', 'UN 1214', 'Isobutylamine, purum, &gt;=98.0% (GC)', 'SC-23248', 'DB-056335', 'FT-0607317', 'FT-0695051', 'I0095', 'Isobutylamine [UN1214] [Flammable liquid]', 'NS00021357', 'Isobutylamine [UN1214]  [Flammable liquid]', 'C02787', '79530-EP2305695A2', '79530-EP2305696A2', '79530-EP2305697A2', '79530-EP2305698A2', '137382-EP2277848A1', '137382-EP2287141A1', '137382-EP2292606A1', '137382-EP2377849A2', 'Q416655', 'J-510080', 'F2190-0360']</t>
  </si>
  <si>
    <t>Compound(6558)</t>
  </si>
  <si>
    <t>iso-butylbenzene</t>
  </si>
  <si>
    <t>2-methylpropylbenzene</t>
  </si>
  <si>
    <t>['ISOBUTYLBENZENE', '538-93-2', 'Benzene, (2-methylpropyl)-', '(2-Methylpropyl)benzene', 'Benzene, isobutyl-', '1-Phenyl-2-methylpropane', '2-Methyl-1-phenylpropane', '1-Phenylisobutane', '2-Phenyl-2-methylpropane', 'iso-butylbenzene', '1-isobutylbenzene', 'UNII-FI94T26KGB', 'EINECS 208-706-2', 'NSC 24848', 'BRN 1852218', 'FI94T26KGB', 'CHEMBL195882', 'CHEBI:43261', 'DSSTox_CID_7181', 'DSSTox_RID_78337', 'DSSTox_GSID_27181', 'CAS-538-93-2', '2-methylpropylbenzene', 'i-Butylbenzene', 'isobutyl benzene', 'Isobutyl-Benzene', 'Isobutylbenzene, 99%', '2-methyl-propyl-benzene', 'ACMC-1AQBF', '(2-methyl-1-propyl)benzene', '4-05-00-01042 (Beilstein Handbook Reference)', 'I4B', 'DTXSID6027181', 'CTK1H0337', 'KS-00000WQY', 'WLN: 1Y1&amp;1R', '184l', 'Isobutylbenzene, analytical standard', 'NSC24848', 'ZINC1615327', 'Tox21_201991', 'Tox21_303054', '5198AE', 'ANW-75631', 'BDBM50167954', 'NSC-24848', 'AKOS000120611', 'NCGC00249144-01', 'NCGC00257100-01', 'NCGC00259540-01', 'LS-30389', 'DB-052420', 'isobutylbenzene;Benzene, (2-methylpropyl)-', 'FT-0627351', 'I0097', 'NS00021200', 'Q16912105']</t>
  </si>
  <si>
    <t>Compound(10870)</t>
  </si>
  <si>
    <t>isobutyl acrylate</t>
  </si>
  <si>
    <t>2-methylpropyl prop-2-enoate</t>
  </si>
  <si>
    <t>['ISOBUTYL ACRYLATE', '106-63-8', 'Isobutyl propenoate', '2-Propenoic acid, 2-methylpropyl ester', 'Isobutyl 2-propenoate', 'Acrylic acid, isobutyl ester', '2-Methylpropyl acrylate', 'Acrylic Acid Isobutyl Ester', 'NSC 20949', 'Isobutylester kyseliny akrylove', 'Propenoic acid, isobutyl ester', 'CCRIS 4828', 'HSDB 610', '2-Propenoic acid isobutyl ester', 'UNII-U02509V73F', 'EINECS 203-417-8', 'UN2527', 'Isobutylester kyseliny akrylove [Czech]', 'BRN 1749388', 'AI3-15696', 'U02509V73F', 'Isobutyl acrylate, inhibited', '2-methylpropyl prop-2-enoate', 'isobutylacrylate', 'i-butyl acrylate', 'Acrylic acid isobutyl', 'z-Methylpropyl acrylate', 'ACMC-1BNIQ', 'DSSTox_CID_1873', 'EC 203-417-8', 'DSSTox_RID_76378', 'DSSTox_GSID_21873', 'SCHEMBL16448', '4-02-00-01465 (Beilstein Handbook Reference)', 'KSC175S4T', 'UN 2527 (Salt/Mix)', 'CHEMBL1606107', 'DTXSID1021873', 'CTK0H5949', 'KS-00000YSX', 'NSC20949', 'ZINC1577264', 'Tox21_200184', 'WLN: 1Y1 &amp; 1OV1U1', '7768AF', 'ANW-41346', 'LS-405', 'MFCD00042865', 'NSC-20949', 'STL280530', 'AKOS015893014', 'FCH1115763', 'MCULE-9738172155', 'NCGC00091805-01', 'NCGC00091805-02', 'NCGC00257738-01', 'CAS-106-63-8', 'A0747', 'FT-0627345', 'NS00005811', 'C-48168', 'Q343017', 'J-001617', 'isobutyl acrylate;Isobutyl acryliate;ISOBUTYL ACRYLATE', 'Isobutyl acrylate, inhibited [UN2527]  [Flammable liquid]', 'Isobutyl acrylate, inhibited [UN2527] [Flammable liquid]', 'Isobutyl acrylate, &gt;=99%, contains 10-20 ppm monomethyl ether hydroquinone as inhibitor']</t>
  </si>
  <si>
    <t>Compound(7819)</t>
  </si>
  <si>
    <t>iso-butyl acetate</t>
  </si>
  <si>
    <t>2-methylpropyl acetate</t>
  </si>
  <si>
    <t>['ISOBUTYL ACETATE', '110-19-0', '2-Methylpropyl acetate', 'Isobutyl ethanoate', 'Acetic acid, 2-methylpropyl ester', '2-Methyl-1-propyl acetate', '2-Methylpropyl ethanoate', 'Acetic acid, isobutyl ester', 'Acetic Acid Isobutyl Ester', "Acetate d'isobutyle", 'iso-butyl acetate', 'beta-Methylpropyl ethanoate', 'Isobutylacetat', 'i-butyl acetate', 'Isobutylester kyseliny octove', 'Isobutylazetat', 'FEMA Number 2175', 'UNII-7CR47FO6LF', 'Isobutyl acetate (natural)', 'NSC 8035', "Acetate d'isobutyle [French]", 'FEMA No. 2175', 'HSDB 609', 'EINECS 203-745-1', 'UN1213', 'Isobutylester kyseliny octove [Czech]', 'BRN 1741909', '7CR47FO6LF', '.beta.-Methylpropyl ethanoate', '2-Methyl-1-propanol, acetate', 'AI3-15305', 'CHEBI:50569', 'Isobutyl acetate, 98%', 'Isobutyl acetate, 99%', 'Isobutyl acetate [UN1213] [Flammable liquid]', 'iso-butylacetate', 'AcOiBu', 'Isobutyl acetate fcc', 'MFCD00008932', 'Nat.Isobutyl Acetate', 'Essigsaeureisobutylester', 'Isobutyl acetate, 8CI', 'ACMC-1BTHI', '2-Methylpropyl Ethanoate.', 'Acetic acid-isobutyl ester', 'DSSTox_CID_6837', 'EC 203-745-1', 'beta -methylpropyl ethanoate', 'DSSTox_RID_78223', 'DSSTox_GSID_26837', 'SCHEMBL22678', '2-Methylpropyl acetate, 9CI', '4-02-00-00149 (Beilstein Handbook Reference)', 'KSC175M8L', 'CHEMBL46999', 'Isobutyl Acetate Reagent Grade', 'DTXSID5026837', 'CTK0H5685', 'FEMA 2175', 'KS-00000WJG', 'NSC8035', 'WLN: 1Y1 &amp; 1OV1', 'ZINC388187', 'Isobutyl Acetate (Fragrance Grade)', 'ACN-S002418', 'NSC-8035', 'Tox21_201735', '7521AF', 'ANW-16135', 'Isobutyl acetate, analytical standard', 'STL280347', 'AKOS015901357', 'FCH1112076', 'Isobutyl acetate, &gt;=98%, FCC, FG', 'LS-2847', 'MCULE-4530584087', 'UN 1213', 'NCGC00249107-01', 'NCGC00259284-01', 'CAS-110-19-0', 'SC-25600', 'A0034', 'FT-0621747', 'NS00005635', 'Isobutyl acetate, natural, &gt;=97%, FCC, FG', '19682-EP2269975A2', '19682-EP2269986A1', '19682-EP2269997A2', '19682-EP2270113A1', '19682-EP2272537A2', '19682-EP2272935A1', '19682-EP2275415A2', '19682-EP2275423A1', '19682-EP2281821A1', '19682-EP2287152A2', '19682-EP2287154A1', '19682-EP2305667A2', '19682-EP2314576A1', '19682-EP2380568A1', '19682-EP2380873A1', 'Isobutyl acetate [UN1213]  [Flammable liquid]', 'Q420657', 'J-002396', 'F0001-0218', 'Isobutyl acetate, United States Pharmacopeia (USP) Reference Standard', 'isobutyl acetate;ISOBUTYL ACETATE;Acetic acid, 2-methylpropyl ester;2-Methylpropyl acetate']</t>
  </si>
  <si>
    <t>Compound(8038)</t>
  </si>
  <si>
    <t>isononyl benzyl phthalate</t>
  </si>
  <si>
    <t>2-O-benzyl 1-O-(7-methyloctyl) benzene-1,2-dicarboxylate</t>
  </si>
  <si>
    <t>['126198-74-1', 'Benzyl Isononyl Phthalate', 'Benzyl (7-methyloctyl) phthalate', 'ACMC-1C3HJ', 'CTK4B5040', 'DTXSID90721439', 'ZINC83436405', 'AKOS025294237', 'KS-00001202', 'Benzyl 7-methyloctyl benzene-1,2-dicarboxylate', 'BenzylIsononylPhthalate(mixtureofbranchedchainisomers)', '1,2-Benzenedicarboxylic acid, 1-isononyl 2-(phenylmethyl) ester']</t>
  </si>
  <si>
    <t>Compound(57347326)</t>
  </si>
  <si>
    <t>C24H30O4</t>
  </si>
  <si>
    <t>4-amino-5-chloro-2-phenylpyridazin-3-one</t>
  </si>
  <si>
    <t>['1698-61-9', '4-amino-5-chloro-2-phenylpyridazin-3(2H)-one', '4-AMINO-5-CHLORO-2-PHENYL-2H-PYRIDAZIN-3-ONE', '3(2H)-Pyridazinone, 4-amino-5-chloro-2-phenyl-', '4-amino-5-chloro-2-phenylpyridazin-3-one', 'ISO-CHLORIDAZON', '4-Amino-5-chloro-2-phenyl-3(2H)-pyridazinone', 'Isochroridazon', 'Cambridge id 5352865', 'Oprea1_706991', 'MLS001178701', 'SCHEMBL3984192', 'CHEMBL1887672', 'CTK0E4956', 'DTXSID30346584', 'HMS1581B14', 'HMS2788B12', 'ZINC4010648', '2635AJ', 'MCULE-8856838719', 'QC-1842', 'SB34190', 'SMR000475864', 'AB0095157', 'DB-064757', 'FT-0757367', 'NS00004664', 'iso-Chloridazon 10 microg/mL in Ethyl acetate', 'Z-7644', '4-amino-5-chloro-2-phenyl-3(2 H)-pyridazinone', 'AB00082382-01', '4-Amino-5-chloro-2-phenyl-3(2H)-pyridazinone #', 'SR-01000206514', 'J-010583', 'Pyridazin-3(2H)-one, 4-amino-5-chloro-2-phenyl-', 'SR-01000206514-1', '162354-96-3']</t>
  </si>
  <si>
    <t>Compound(613445)</t>
  </si>
  <si>
    <t>isoxaflutole</t>
  </si>
  <si>
    <t>(5-cyclopropyl-1,2-oxazol-4-yl)-[2-methylsulfonyl-4-(trifluoromethyl)phenyl]methanone</t>
  </si>
  <si>
    <t>['Isoxaflutole', '141112-29-0', 'Merlin', '(5-Cyclopropylisoxazol-4-yl)(2-(methylsulfonyl)-4-(trifluoromethyl)phenyl)methanone', 'UNII-0T9R0O0EYT', 'EXP 31130A', 'RPA 201772', '0T9R0O0EYT', '(5-cyclopropyl-1,2-oxazol-4-yl)-[2-methylsulfonyl-4-(trifluoromethyl)phenyl]methanone', 'RP 201772', 'AK279545', 'Methanone, (5-cyclopropyl-4-isoxazolyl)[2-(methylsulfonyl)-4-(trifluoromethyl)phenyl]-', 'IFT cpd', '(5-Cyclopropyl-4-isoxazolyl)(2-(methylsulfonyl)-4-(trifluoromethyl)phenyl)methanone', '(5-cyclopropyl-4-isoxazolyl)[2-(methylsulfonyl)-4-(trifluoromethyl)phenyl]methanone', 'Isoxaflutole [ISO]', 'Isoxaflutole I', 'HSDB 7275', '(5-cyclopropylisoxazol-4-yl)[2-(methylsulfonyl)-4-(trifluoromethyl)phenyl]methanone', 'Methanone, (5-cyclopropyl-4-isoxazolyl)(2-(methylsulfonyl)-4-(trifluoromethyl)phenyl)-', 'EINECS Annex I Index 606-054-00-7', 'Merlin;RP 201772', 'DSSTox_CID_14723', 'DSSTox_RID_79196', 'DSSTox_GSID_34723', 'SCHEMBL66989', 'CHEMBL1887147', 'DTXSID5034723', 'CHEBI:141213', 'EBD94542', 'ZINC2384341', 'Tox21_300923', 'AKOS015904028', '264-EUP-99', 'DB12938', 'RPA-201772', '5-cyclopropyl-1,2-oxazol-4-yl alpha,alpha,alpha-trifluoro-2-mesyl-p-tolyl ketone', 'KS-00000L07', 'NCGC00164004-01', 'NCGC00164004-02', 'NCGC00164004-03', 'NCGC00254825-01', 'AC-24497', 'DS-11149', 'IFT', 'CAS-141112-29-0', 'NS00000652', 'Isoxaflutole, PESTANAL(R), analytical standard', 'J-007462', 'Q15632908', '5-cyclopropyl-4-[2-methanesulfonyl-4-(trifluoromethyl)benzoyl]-1,2-oxazole', '(5-cyclopropyl-1,2-oxazol-4-yl)(alpha,alpha,alpha-trifluoro-2-mesyl-p-tolyl)methanone', '(5-Cyclopropyl-1,2-oxazol-4-yl)[2-(methanesulfonyl)-4-(trifluoromethyl)phenyl]methanone', '(5-cyclopropyl-1,2-oxazol-4-yl)[2-(methylsulfonyl)-4-(trifluoromethyl)phenyl]methanone', '(5-cyclopropylisoxazol-4-yl)(alpha,alpha,alpha-trifluoro-2-mesyl-p-tolyl)methanone', '(5-cyclopropylisoxazol-4-yl)-[2-methylsulfonyl-4-(trifluoromethyl)phenyl]methanone', '5-cyclopropyl-1,2-oxazol-4-yl a, a,a-trifluoro-2-mesyl-p-tolyl ketone;Isoxaflutole']</t>
  </si>
  <si>
    <t>Compound(84098)</t>
  </si>
  <si>
    <t>C15H12F3NO4S</t>
  </si>
  <si>
    <t>4-hydroxy-3,5-diiodobenzonitrile</t>
  </si>
  <si>
    <t>['Ioxynil', '4-Hydroxy-3,5-diiodobenzonitrile', '1689-83-4', 'Actril', 'Bentrol', '3,5-Diiodo-4-hydroxybenzonitrile', 'Cipotril', 'Trevespan', 'Benzonitrile, 4-hydroxy-3,5-diiodo-', 'Certrol', 'Joxynil', 'Loxynil', 'Iotox', 'Actrilawn', 'Loxynil [German]', '2,6-Diiodo-4-cyanophenol', '4-Cyano-2,6-diiodophenol', 'BANTROL', 'Ioxynil [BSI:ISO]', 'Caswell No. 353A', '4-Cyano-2,6-dijodphenol', 'ACP 63303', 'Benzonitrile, 3,5-diiodo-4-hydroxy-', 'UNII-8Y734M4V9E', 'CA 69-15', 'M&amp;B 8873', 'HSDB 1584', '3,5-Dijod-4-hydroxy-benzonitril', '4-Cyano-2,6-dijodphenol [German]', 'EINECS 216-881-1', '4-Hydroxy-3,5-di-iodophenyl cyanide', 'EPA Pesticide Chemical Code 353200', 'BRN 2364041', '3,5-Dijod-4-hydroxy-benzonitril [German]', 'CHEBI:81821', '8Y734M4V9E', '4-hydroxy-3,5-diiodobenzenecarbonitrile', 'C7H3I2NO', 'Certol', '4-hydroxy-3,5-di-iodobenzonitrile', 'DSSTox_CID_2161', 'Ioxynil octanoate metabolite', 'DSSTox_RID_76508', 'DSSTox_GSID_22161', 'SCHEMBL39616', '3-10-00-00373 (Beilstein Handbook Reference)', 'CHEMBL509523', 'DTXSID8022161', 'CTK7C7337', '3,5-diiodo-4-hydroxylbenzonitrile', 'ACT07881', 'ZINC4262023', 'ZX-AT028770', 'Tox21_301330', '5440AD', 'MFCD00016422', 'SBB055092', 'Ioxynil 10 microg/mL in Acetonitrile', 'AKOS005765874', 'FCH1317819', 'MCULE-3122237736', 'VZ29167', 'NCGC00163988-01', 'NCGC00255309-01', 'AS-62077', 'CC-19446', 'LS-38688', 'SC-50866', 'CAS-1689-83-4', 'DB-043771', 'Ioxynil, PESTANAL(R), analytical standard', 'FT-0618630', 'NS00009868', 'ST50409909', 'C18546', '3,5-bis(iodanyl)-4-oxidanyl-benzenecarbonitrile', '33184-EP2274983A1', '33184-EP2305655A2', '33184-EP2311815A1', '33184-EP2371823A1', '689I834', 'C-21141', 'Q186546', 'J-010495', 'ioxynil;Ioxynil lithium;Ioxynil sodium;sodium 4-hydroxy-3,5-diiodophenylcyanide;Sodium 4-hydroxy-3,5-diiodophenylcyanide;Potassium 4-hydroxy-3,5-diiodophenylcyanide']</t>
  </si>
  <si>
    <t>Compound(15530)</t>
  </si>
  <si>
    <t>C7H3I2NO</t>
  </si>
  <si>
    <t>iso-amyl acetate</t>
  </si>
  <si>
    <t>3-methylbutyl acetate</t>
  </si>
  <si>
    <t>['ISOAMYL ACETATE', '3-Methylbutyl acetate', 'Isopentyl acetate', '123-92-2', 'Isopentyl ethanoate', '3-Methylbutyl ethanoate', 'Isoamyl ethanoate', 'Iso-amyl acetate', '3-Methyl-1-butyl acetate', 'I-Amyl acetate', '3-Methyl-1-butanol acetate', 'Isopentyl alcohol, acetate', 'Amylacetic ester', '1-Butanol, 3-methyl-, acetate', '2-Methylbutyl ethanoate', 'Acetic acid, isopentyl ester', 'Amyl acetate, common', 'Acetic acid, 3-methylbutyl ester', '3-Methyl-1-butanol, acetate', '1-Butanol, 3-methyl-, 1-acetate', 'Acetic acid 3-methylbutyl ester', 'beta-Methylbutyl acetate', 'FEMA Number 2055', 'Isoamyl acetate (natural)', 'Isoamylester kyseliny octove', 'NSC 9260', 'FEMA No. 2055', 'CCRIS 6051', 'HSDB 1818', 'EINECS 204-662-3', 'Isoamylester kyseliny octove [Czech]', 'MFCD00008946', 'UNII-Z135787824', 'Acetic Acid Isoamyl Ester', '3-methyl-but-1-yl acetate', '3-Methyl-1-butanyl acetate', 'BRN 1744750', 'AI3-00576', 'CHEBI:31725', '3-Methyl butyl ester acetic acid', 'Acetic Acid 3-Methyl-Butyl Ester', 'CH3C(O)O(CH2)2CH(CH3)2', 'DSSTox_CID_5453', 'DSSTox_RID_77792', 'In Commercial practice amyl invariably means isoamyl, unless it is prefaced by the n- for normal', 'DSSTox_GSID_25453', 'Isoamyl acetate, 99+%, pure', 'Z135787824', 'CAS-123-92-2', 'acetic acid isopentyl ester', 'i-pentylacetate', "acetate d'isoamyle", 'Amyl acetate ester', '3-Methylbutyl ester of acetic acid', "acetate d'isopentyle", 'Nat. Isoamyl Acetate', 'ACMC-1BTOS', 'beta-Methyl butyl acetate', 'Iso Amyl Acetate Natural', '3-Methylbutyl Ethanoate;', 'acetate de 3-methylbutyle', 'Acetic acid, isoamyl ester', 'EC 204-662-3', 'Isopentyl ester acetic acid', '.beta.-Methyl butyl acetate', 'SCHEMBL27086', '4-02-00-00157 (Beilstein Handbook Reference)', 'KSC176A6P', 'MLS002454411', 'CHEMBL42013', 'QSPL 103', 'acetic acid-3-methylbutyl ester', 'DTXSID9025453', 'CTK0H6067', 'FEMA 2055', 'acetic acid 3-methyl butyl ester', 'NSC9260', 'Isopentyl acetate, LR, &gt;=95%', 'HMS2270G21', 'WLN: 1Y1 &amp; 2OV1', 'ZINC388082', 'Jargonelle pear essence (Salt/Mix)', 'NSC-9260', 'Tox21_201257', 'Tox21_300373', '7794AF', 'ANW-18175', 'LS-687', 'SBB040873', 'STL280371', 'Isopentyl acetate, analytical standard', 'AKOS000269068', 'Isoamyl acetate, &gt;=95%, FCC, FG', 'Isopentyl acetate, anhydrous, &gt;=99%', 'FCH1113855', 'Isopentyl acetate, reagent grade, 98%', 'MCULE-3274854886', 'KS-00000Z10', 'NCGC00091500-01', 'NCGC00091500-02', 'NCGC00091500-03', 'NCGC00254385-01', 'NCGC00258809-01', 'SC-22806', 'SMR001253743', 'A0033', 'A0264', 'FT-0621746', 'NS00010166', 'ST50214469', 'Isoamyl acetate, natural, &gt;=97%, FCC, FG', 'C12296', 'Isopentyl acetate, SAJ first grade, &gt;=93.0%', 'Isopentyl acetate, SAJ special grade, &gt;=98.0%', '189067-EP2269986A1', 'A805166', 'Q221307', 'J-004996', '3-Methylbutyl acetate;isopentyl acetate;ISOAMYL ACETATE', 'Isoamyl acetate, natural, 70% isoamyl acetate basis, &gt;=97%']</t>
  </si>
  <si>
    <t>Compound(31276)</t>
  </si>
  <si>
    <t>2-[4-(2-methylpropyl)phenyl]propanoic acid</t>
  </si>
  <si>
    <t>['ibuprofen', '15687-27-1', '2-(4-Isobutylphenyl)propanoic acid', 'Brufen', 'Motrin', 'Advil', 'Nurofen', 'Dolgit', 'Liptan', 'Nuprin', 'Anflagen', 'Buburone', 'Butylenin', 'Ibumetin', 'Ibuprocin', 'Medipren', 'Ebufac', 'Lamidon', 'Mynosedin', 'Apsifen', 'Epobron', 'Haltran', 'Roidenin', 'Trendar', 'Adran', 'Andran', 'Bluton', 'Nobfen', 'Nobgen', 'PediaProfen', 'Rufen', '2-[4-(2-methylpropyl)phenyl]propanoic acid', 'Nobfelon', 'Brufort', 'Inabrin', 'Pantrop', 'Rebugen', 'Suspren', 'Tabalon', '(RS)-Ibuprofen', 'Anco', 'Urem', 'Ibu-slo', 'Brufanic', 'Ibuprohm', 'Napacetin', 'Ibufen', 'Ibren', '4-Isobutylhydratropic acid', 'p-Isobutylhydratropic acid', 'Novoprofen', 'Proartinal', 'Amersol', 'Dibufen', 'Dolocyl', 'Ibuprin', 'Lidifen', 'Optifen', 'Ostofen', 'Panafen', 'Paxofen', 'Proflex', 'Quadrax', 'Uprofen', 'Burana', 'Carol', 'Dolgin', 'Midol', 'Profen', 'Rafen', 'Cobo', 'Ifen', '(+-)-Ibuprofen', 'Cap-Profen', 'Tab-Profen', 'Artril 300', 'Ibu-Tab', 'Midol 200', 'duralbuprofen', 'Butacortelone', 'Amibufen', 'Antalfene', 'Antarene', 'Antiflam', 'Balkaprofen', 'Betaprofen', 'Bukrefen', 'Buracaps', 'Citalgan', 'Combiflam', 'Daiprophen', 'Dentigoa', 'Dignoflex', 'Dolgirid', 'Dolmaral', 'Dolofort', 'Dolormin', 'Doltibil', 'Dysdolen', 'Esprenit', 'Exneural', 'Femapirin', 'Fibraflex', 'Gelufene', 'Ibucasen', 'Ibudolor', 'Ibuflamar', 'Ibugesic', 'Ibuhexal', 'Ibulagic', 'Ibumerck', 'Ibupirac', 'Ibuprofene', 'Ibuprofeno', 'Jenaprofen', 'Kratalgin', 'Lebrufen', 'Librofem', 'Malafene', 'Manypren', 'Mensoton', 'Neobrufen', 'Novogent', 'Nuprilan', 'Oralfene', 'Relcofen', 'Rhinadvil', 'Seclodin', 'Sednafen', 'Seklodin', 'Seskafen', 'Solpaflex', 'Suprafen', 'Syntofene', 'Alaxan', 'Algofen', 'Amelior', 'Anafen', 'Antagil', 'Artofen', 'Artril', 'Brofen', 'Bruflam', 'Bufeno', 'Bufigen', 'Bupron', 'Dansida', 'Dolibu', 'Dolofen', 'Dolofin', 'Dologel', 'Dolomax', 'Doloren', 'Dolven', 'Dorival', 'Duafen', 'Duobrus', 'Easifon', 'Emflam', 'Eputex', 'Faspic', 'Femadon', 'Femafen', 'Femidol', 'Fenbid', 'Fendol', 'Fenspan', 'Grefen', 'Gynofug', 'Ibubest', 'Ibubeta', 'Ibudol', 'Ibufug', 'Ibugel', 'Ibugen', 'Ibular', 'Ibulav', 'Ibuleve', 'Ibulgan', 'Ibumed', 'Ibusal', 'Ibutid', 'Inflam', 'Inoven', 'Isodol', 'Junifen', 'Lopane', 'Melfen', 'Moment', 'Narfen', 'Nerofen', 'Noalgil', 'Nobafon', 'Noritis', 'Novadol', 'Opturem', 'Ostarin', 'Ozonol', 'Paduden', 'Perofen', 'Provon', 'Ranofen', 'Sadefen', 'Salivia', 'Siyafen', 'Solufen', 'Stelar', 'Sugafen', 'Tatanal', 'Tempil', 'Unipron', 'Bloom', 'Cesra', 'Cunil', 'Dalsy', 'Ergix', 'Gofen', 'Ipren', 'Irfen', 'Kesan', 'Rofen', 'Rufin', 'Rupan', 'Tofen', 'Tonal', 'Upfen', 'Zafen', 'Zofen', 'alpha-(4-Isobutylphenyl)propionic acid', 'Drin', 'Ibol', 'Pediatric Advil', 'Apo-Ibuprofen', 'Brufen Retard', '4-Isobutyl-alpha-methylphenylacetic acid', 'Ibu-Attritin', 'Neo-Helvagit', '(+/-)-Ibuprofen', 'Deep Relief', 'Dolo-Dolgit', 'Ibu-slow', 'Novo-Profen', 'Neo-Mindol', 'Dolofen-F', 'Donjust B', 'Nagifen-D', "Children's Advil", 'Dura-Ibu', 'Motrin IB', 'Togal N', "Children's Motrin", 'IP-82', 'Ibu-Tab 200', "Children's Ibuprofen", 'Dularbuprofen', 'Caldolor', 'Tabalon 400', '(+-)-p-Isobutylhydratropic acid', 'Brufen 400', 'Emflam-200', 'Junior Strength Advil', 'Kontagripp Mono', 'DOLO PUREN', 'Junior Strength Motrin', 'Novo Dioxadol', 'Schmerz-Dolgit', 'Act-3', 'Ak+C2278tren', 'ACHES-N-PAIN', 'Hemagene Tailleur', 'Hydratropic acid, p-isobutyl-', '(4-Isobutylphenyl)-alpha-methylacetic acid', 'Adex 200', 'Junior Strength Ibuprofen', '58560-75-1', "Advil, Children's", 'Am-Fam 400', 'Codral Period Pain', 'p-Isobutyl-2-phenylpropionic acid', '(+-)-Ibuprophen', 'RD 13621', '(+-)-2-(p-Isobutylphenyl)propionic acid', '2-(4-ISOBUTYLPHENYL)PROPIONIC ACID', 'IB-100', 'alpha-(p-isobutylphenyl)propionic acid', 'Midol IB Cramp Relief', 'VUFB 9649', 'Bayer Select Pain Relief', 'Ibuprofene [INN-French]', 'Ibuprofenum [INN-Latin]', 'Racemic ibuprofen', 'Ibuprofeno [INN-Spanish]', 'U-18,573', 'alpha-p-Isobutylphenylpropionic acid', 'MOTRIN MIGRAINE PAIN', 'Motrin IB Gelcaps', 'UCB 79171', '(+-)-alpha-Methyl-4-(2-methylpropyl)benzeneacetic acid', '2-(4-Isobutyl-phenyl)-propionic acid', 'CCRIS 3223', 'CHEBI:5855', 'alpha-Methyl-4-(2-methylpropyl)benzeneacetic acid', "CHILDREN'S ADVIL-FLAVORED", 'Benzeneacetic acid, alpha-methyl-4-(2-methylpropyl)-', 'HSDB 3099', "Children's Elixsure IB", 'Benzeneacetic acid, .alpha.-methyl-4-(2-methylpropyl)-', '2-(p-Isobutylphenyl)propionic acid', 'EINECS 239-784-6', 'CHEMBL521', 'U 18573', 'NSC 256857', 'BRN 2049713', 'MLS000069733', '(+/-)-2-(4-Isobutylphenyl)Propanoic Acid', 'Ibu', 'R.D. 13621', '(+/-)-p-Isobutylhydratropic acid', 'Acide (isobutyl-4-phenyl)-2 propionique [French]', 'C13H18O2', 'U-18573', 'Ibuprofen, 99%', 'MFCD00010393', 'NSC256857', 'NSC-256857', '.alpha.-(p-isobutylphenyl)propionic acid', 'NCGC00015529-09', 'Ibuprofenum', '.alpha.-(4-Isobutylphenyl)propionic acid', 'Acide (isobutyl-4 phenyl)-2 propionique', 'Ibuprophen', 'Salprofen', 'SMR000058184', '4-Isobutyl-.alpha.-methylphenylacetic acid', 'alpha-Methyl-4-(isobutyl)phenylacetic acid', 'DSSTox_CID_732', 'Advil Liqui-Gels', 'DSSTox_RID_75759', 'DSSTox_GSID_20732', "Children's Elixsure", '.alpha.-Methyl-4-(2-methylpropyl)benzeneacetic acid', 'Alivium', 'Benzeneacetic acid, alpha-methyl-4-(2-methylpropyl), (+-)-', 'Genpril', 'Pedea', 'Advil migraine', 'Ibuprofen-Zinc', 'Perrigo ibuprofen', 'Trauma-Dolgit Gel', 'alpha-(4-Isobutylphenyl)propionate', 'CAS-15687-27-1', 'Motrin (TN)', 'Advil (TN)', 'SR-01000000214', 'Advil Migraine Liqui-Gels', 'Ibupril', 'Ibuprox', 'Aktren', 'Ibux', 'CDT-ibuprofen', 'Nurofen Meltlets', '(y)-Ibuprofen', 'Ibuprofen,(S)', 'Midol Liquid Gels', '(+) ibuprofen', 'Ibuprofen (Advil)', '(?)-Ibuprofen', 'Ibuprofen (Dolgesic)', 'p-Isobutylhydratropate', 'Ibuprofen [USAN:USP:INN:BAN:JAN]', 'Combunox (Salt/Mix)', '(A+/-)-Ibuprofen', 'PubChem16054', 'Spectrum_000849', 'Acide (isobutyl-4-phenyl)-2 propionique', 'Opera_ID_554', 'Ibuprofen I.V. Solution', 'Spectrum2_000129', 'Spectrum3_000465', 'Spectrum4_000015', 'Spectrum5_000862', '(S)-4-Isobutyl-alpha-methylphenylacetic acid', 'WLN: QVY&amp;R DIY', 'CBMicro_005634', 'ACMC-209df0', 'ACMC-209ks2', 'Epitope ID:139973', 'p-isobutyl-hydratropic acid', '[(+/-)-2-(4-Isobutylphenyl)-propionic Acid', 'EC 239-784-6', 'I 4883', 'Cambridge id 5152402', 'SCHEMBL3001', 'Isobutylpropanoicphenolic acid', 'Lopac0_000691', 'BSPBio_002170', 'Ibuprofen - Adooq Bioscience', 'KBioGR_000389', 'KBioSS_001329', 'KSC492A1B', 'MLS001146965', 'p-Isobutyl-2-phenylpropionate', 'ARONIS23835', 'BIDD:GT0050', 'DivK1c_000887', 'SPECTRUM1500347', 'Ibuprofen, &gt;=98% (GC)', 'SPBio_000178', 'Ibuprofen (JP17/USP/INN)', 'alpha-p-Isobutylphenylpropionate', 'GTPL2713', 'Motrin IB Gelcaps (Salt/Mix)', '2-p-isobutylphenylpropionic acid', 'DTXSID5020732', 'CTK3J2010', 'HEFNNWSXXWATRW-UHFFFAOYSA-', 'HMS502M09', 'KBio1_000887', 'KBio2_001329', 'KBio2_003897', 'KBio2_006465', 'KBio3_001390', 'Advil Cold &amp; Sinus (Salt/Mix)', 'M01AE01', 'Ibuprofen [USAN:BAN:INN:JAN]', 'Ibuprofen 1.0 mg/ml in Methanol', 'NINDS_000887', 'Sine-Aid IB Caplets (Salt/Mix)', '2-(4-Isobutylphenyl)propanoicAcid', 'HMS1920F15', 'HMS2089P05', 'HMS2091N03', 'HMS2230N04', 'HMS3259G05', 'HMS3262K03', 'HMS3372M09', 'HMS3649M11', 'HMS3651A15', 'Pharmakon1600-01500347', 'ACT03248', 'ALBB-025647', 'BCP10423', 'BCP20325', 'BCP25225', 'KS-00000CJ0', 'KS-000047NV', 'ZAG-1701', '( inverted question mark)-Ibuprofen', '(.+-.)-p-Isobutylhydratropic acid', "Children's Elixsure IB (Salt/Mix)", 'Tox21_110170', 'Tox21_201384', 'Tox21_302829', 'Tox21_500691', "2-(4'-isobutylphenyl)propionic acid", '2-(4-isobutylphenyl) propanoic acid', '2-(4-isobutylphenyl) propionic acid', '2-(4-isobutylphenyl)-propionic acid', 'ANW-21658', 'BBL010660', 'BDBM50009859', 'CCG-38947', 'NSC757073', 's1638', 'SBB064160', 'STK177358', '(.+/-.)-p-Isobutylhydratropic acid', '2-(4-isobutylphenyl)-propionoic acid', "2-(4'-isobutylphenyl)-propionic acid", 'AKOS003237488', 'AKOS016340658', 'Propanoic acid, 2-(4-isobutylphenyl)', 'Tox21_110170_1', 'CS-1931', 'DB01050', 'KS-5029', 'LP00691', 'LS-7454', 'MCULE-9475454445', 'NC00458', 'NSC-757073', 'SB19113', 'SDCCGSBI-0050669.P005', 'ST-1482', '( inverted exclamation markA)-Ibuprofen', 'alpha-(4-isobutylphenyl)-propionic acid', 'alpha-(p-isobutylphenyl)-propionic acid', 'IDI1_000887', 'NCGC00015529-04', 'NCGC00015529-05', 'NCGC00015529-06', 'NCGC00015529-07', 'NCGC00015529-08', 'NCGC00015529-10', 'NCGC00015529-12', 'NCGC00015529-13', 'NCGC00015529-14', 'NCGC00015529-15', 'NCGC00015529-18', 'NCGC00089819-02', 'NCGC00089819-03', 'NCGC00089819-04', 'NCGC00089819-05', 'NCGC00089819-06', 'NCGC00089819-07', 'NCGC00256416-01', 'NCGC00258935-01', 'NCGC00261376-01', 'AC-11312', 'AK-47272', 'AK-73124', 'AK307336', 'BR-47272', 'HY-78131', 'NCI60_002065', 'SC-18867', 'ST024750', 'Ibuprofen, Vetec(TM) reagent grade, 97%', 'SBI-0050669.P004', '(+/-)-2-(p-isobutylphenyl)propionic acid', '.alpha.-2-(p-Isobutylphenyl)propionic acid', 'DB-043333', 'DB-071312', 'Ibuprofen, meets USP testing specifications', '(.+-.)-2-(p-Isobutylphenyl)propionic acid', '4-Isobutylphenyl)-.alpha.-methylacetic acid', 'AM20060782', 'BB 0258487', 'EU-0100691', 'FT-0601629', 'FT-0642971', 'FT-0655194', 'FT-0670257', 'FT-0670258', 'I0415', 'NS00000214', 'SW203738-2', '(.+/-.)-2-(p-Isobutylphenyl)propionic acid', 'Ibuprofen, VETRANAL(TM), analytical standard', '(r/s)-alpha-methyl-4-isobutylphenylacetic acid', 'C01588', 'D00126', 'J10135', 'M-4957', 'AB00052020-16', 'AB00052020-17', 'AB00052020_18', 'AB00052020_19', '(RS)-2-(4-(2-Methylpropyl)phenyl)propanoic acid', '687I271', 'A831926', 'Q186969', 'J-009349', 'SR-01000000214-2', 'SR-01000000214-4', 'BRD-A17655518-001-02-0', 'BRD-A17655518-001-12-9', 'SR-01000000214-13', 'Ibuprofen, British Pharmacopoeia (BP) Reference Standard', 'Z1695709473', '(+/-)-alpha-methyl-4-(2-methylpropyl)benzeneacetic acid', 'Ibuprofen, European Pharmacopoeia (EP) Reference Standard', 'Benzeneacetic acid, alpha-methyl-4-(2-methylpropyl), (+/-)-', 'Ibuprofen, United States Pharmacopeia (USP) Reference Standard', 'Benzeneacetic acid, .alpha.-methyl-4-(2-methylpropyl), (.+/-.)-', 'Dexibuprofen;(S)-Ibuprofen; L 669455; L-669,455, MK 233; MK-233', 'Ibuprofen, Pharmaceutical Secondary Standard; Certified Reference Material', 'Ibuprofen for peak identification, European Pharmacopoeia (EP) Reference Standard', "N4,N4' -Di(naphthalen-1-yl)-N4,N4' -bis(4-vinylphenyl)biphenyl-4,4'-diamine", '2-(4-Isobutylphenyl)-propionic acid ; alpha-Methyl-4-(2-methylpropyl)benzeneacetic acid ;  p-Isobutylhydratropic acid', 'IBUPROFEN;Sodium 2-(4-isobutylphenyl)propionate;L-lysine mono[4-isobutyl-a-methylbenzeneacetate];solufenum;Potassium 2-(4-isobutylphenyl)propionate']</t>
  </si>
  <si>
    <t>Compound(3672)</t>
  </si>
  <si>
    <t>C13H18O2</t>
  </si>
  <si>
    <t>isobutyric acid</t>
  </si>
  <si>
    <t>2-methylpropanoic acid</t>
  </si>
  <si>
    <t>['ISOBUTYRIC ACID', '2-Methylpropanoic acid', '79-31-2', 'Isobutanoic acid', '2-Methylpropionic acid', 'Propanoic acid, 2-methyl-', 'Dimethylacetic acid', 'Isopropylformic acid', 'Iso-butyric acid', 'Isobutyrate', 'Cenex RP b2', 'alpha-Methylpropanoic acid', 'alpha-Methylpropionic acid', 'Acetic acid, dimethyl-', 'Isobutanoate', 'Propionic acid, 2-methyl-', '2-METHYL-PROPIONIC ACID', 'Isobutyric acid (natural)', 'Tenox IBP-2', 'Kyselina isomaselna', 'Kyselina isomaselna [Czech]', 'iso-C3H7COOH', 'Isobuttersaeure', 'Caswell No. 503AA', 'i-Butyric acid', 'Methylpropanoic acid, 2-', 'Tenox IBP-2 Grain Pr.', 'methylpropanoic acid', 'NSC 62780', 'UNII-8LL210O1U0', 'alpha-isobutyric acid', 'FEMA No. 2222', 'HSDB 5228', '2-methyl-propanoic acid', '2,2-dimethylacetic acid', 'EINECS 201-195-7', 'MFCD00002658', 'UN2529', 'EPA Pesticide Chemical Code 101502', 'BRN 0635770', '.alpha.-Methylpropanoic acid', '.alpha.-Methylpropionic acid', 'Dimethylacetate', 'AI3-24260', 'CHEBI:16135', '8LL210O1U0', 'i-butyrate', 'iso-Butyrate', 'Isobutyric acid, 99+%', 'Isobutyric acid [UN2529]  [Flammable liquid]', 'ALQ', 'Isobutyricacid', 'Isopropylformate', 'a-Methylpropanoate', 'a-Methylpropionate', 'Isobutyric Acid.', '1iup', 'methylpropionic acid', 'Isobutyric-d6 Acid', 'Nat.Isobutyric Acid', '2-Methylpropionsaeure', 'alpha-Methylpropanoate', 'alpha-Methylpropionate', 'Tenox EBP 2', 'Tenox IBP 2', 'a-Methylpropanoic acid', 'a-Methylpropionic acid', 'Isobutyric acid, 99%', '2-methyl propanoic acid', '2-Propanecarboxylic acid', 'isopropyl carboxylic acid', 'Tenox IBP-2 Grain Pr', 'DSSTox_CID_1636', 'ACMC-209ph0', 'bmse000439', 'EC 201-195-7', 'DSSTox_RID_76250', 'DSSTox_GSID_21636', '4-02-00-00843 (Beilstein Handbook Reference)', 'KSC489M7N', 'NATURAL ISOBUTYRIC ACID', 'WLN: QVY1&amp;1', 'CHEMBL108778', 'GTPL1060', 'DTXSID4021636', 'CTK3I9676', '2-Methyl Propionic Acic, Natural', 'ZINC901420', 'BCP34521', 'KS-00000X9W', 'NSC62780', 'STR03465', 'Isobutyric acid, analytical standard', 'Tox21_201207', 'ANW-37282', 'BBL011415', 'LMFA01020071', 'NSC-62780', 'STL146521', 'AKOS000118733', 'Isobutyric acid, &gt;=99%, FCC, FG', 'DB02531', 'LS-2857', 'MCULE-7783770647', 'UN 2529', 'CAS-79-31-2', 'NCGC00248957-01', 'NCGC00258759-01', 'K400', 'SC-23341', 'FT-0625068', 'I0103', 'Isobutyric acid, puriss. p.a., &gt;=99.5%', 'NS00008728', 'Isobutyric acid, natural, &gt;=99%, FCC, FG', 'C02632', 'Isobutyric acid [UN2529] [Flammable liquid]', '11047-EP2269610A2', '11047-EP2270003A1', '11047-EP2272841A1', '11047-EP2275401A1', '11047-EP2277848A1', '11047-EP2289510A1', '11047-EP2295055A2', '11047-EP2298763A1', '11047-EP2298772A1', '11047-EP2308839A1', '11047-EP2308858A1', '11047-EP2311453A1', '11047-EP2311816A1', '11047-EP2311817A1', '11047-EP2311822A1', '11047-EP2316457A1', '11047-EP2316458A1', '11047-EP2316825A1', '11047-EP2316826A1', '11047-EP2316827A1', '11047-EP2316828A1', '11047-EP2371803A1', '11047-EP2374538A1', '11047-EP2374787A1', '11047-EP2377843A1', '88696-EP2287158A1', '88696-EP2289876A1', '88696-EP2295411A1', '88696-EP2298777A2', '88696-EP2305825A1', 'Q415062', 'F2191-0099', 'Z955123672', 'Isobutyric acid, certified reference material, TraceCERT(R)', '2-Methyl-d3-propionic-3,3,3-d3 acid;[2H6]-2-Methylpropionic acid']</t>
  </si>
  <si>
    <t>Compound(6590)</t>
  </si>
  <si>
    <t>propan-2-yl 2-[amino(methoxy)phosphinothioyl]oxybenzoate</t>
  </si>
  <si>
    <t>['Isocarbophos', '24353-61-5', 'Optunal', 'Caswell No. 574B', 'Isocarbofos', 'Bay 93820', 'Isopropyl 2-((aminomethoxyphosphinothioyl)oxy)benzoate', 'EINECS 246-192-1', 'O-Methylphosphoramidothioate, O-ester with isopropyl salicylate', 'EPA Pesticide Chemical Code 574300', 'BRN 2946521', 'propan-2-yl 2-[amino(methoxy)phosphinothioyl]oxybenzoate', 'AI3-27659', 'CHEBI:38704', 'Benzoic acid, 2-((aminomethoxyphosphinothioyl)oxy)-, 1-methylethyl ester', 'O-Methyl phosphoramidothioate, O-ester with isopropyl salicylate', 'Benzoic acid, 2-[(aminomethoxyphosphinothioyl)oxy]-, 1-methylethyl ester', 'isopropyl O-(methoxyaminothiophosphoryl)salicylate', 'Q-201253', 'Isopropyl 2-[(aminomethoxyphosphinothioyl)oxy]benzoate', 'propan-2-yl 2-{[amino(methoxy)phosphorothioyl]oxy}benzoate', 'Isopropyl salicylate O-ester with O-methylphosphoramidothioate', 'Salicylic acid, isopropyl ester, ester with O-methyl phosphoramidothioate', 'C11H16NO4PS', 'O-Methylphosphoramidothioate', 'DSSTox_CID_22063', 'DSSTox_RID_79913', 'DSSTox_GSID_42063', 'SCHEMBL117792', 'CHEMBL3185588', 'DTXSID7042063', 'O-ester with isopropyl salicylate', 'Tox21_301328', 'ACM24353615', 'Isocarbofos 1000 microg/mL in Acetone', 'Isocarbofos 10 microg/mL in Cyclohexane', 'NCGC00255827-01', 'CC-29634', 'Isocarbofos 100 microg/mL in Cyclohexane', 'O517', 'CAS-24353-61-5', 'LS-144361', 'NS00006574', 'Isocarbophos, PESTANAL(R), analytical standard', '353I615', 'C-34510', 'isopropyl 2-(amino(methoxy)phosphorothioyloxy)benzoate', 'Q27117953', 'UNII-7741NPW06X component YFVOXLJXJBQDEF-KRWDZBQOSA-N', 'Pesticide1_Isocarbophos_C11H16NO4PS_Benzoic acid, 2-[(aminomethoxyphosphinothioyl)oxy]-, 1-methylethyl ester']</t>
  </si>
  <si>
    <t>Compound(90479)</t>
  </si>
  <si>
    <t>C11H16NO4PS</t>
  </si>
  <si>
    <t>N-(2-methylpropyl)-2-oxoimidazolidine-1-carboxamide</t>
  </si>
  <si>
    <t>['Isocarbamid', 'ISOCARBAMIDE', '30979-48-7', 'Azolamide', 'Imizolamid', 'Isolamid', 'Ozolamid', 'Merpelan AZ', 'Isocarbamid [ISO]', 'MNF 166', 'N-Isobutyl-2-oxo-1-imidazolidinecarboxamide', 'UNII-DSJ5KEN6J3', '1-Isobutylcarbamoyl-imidazolin-2-one', 'BAY 94871', 'N-Isobutyl-2-oxoimidazolidine-1-carboxamide', 'EINECS 250-410-0', 'DSJ5KEN6J3', 'Imidazolin-2-one, 1-isobutylcarbamoyl-', 'N-(2-methylpropyl)-2-oxoimidazolidine-1-carboxamide', 'Imidazolidin-2-on-1-carbonsaeure-isobutylamid', '1-Imidazolidinecarboxamide, N-isobutyl-2-oxo-', 'N-(2-Methylpropyl)-2-oxo-1-imidazolidinecarboxamide', 'Imidazolidin-2-on-1-carbonsaeure-isobutylamid [German]', '1-Imidazolidinecarboxamide, N-(2-methylpropyl)-2-oxo-', 'Isocarbamid (Azolamide)', 'SCHEMBL55558', '1-Imidazolidinecarboxamide, N-isobutyl-2-oxo- (8CI)', 'CHEBI:82174', 'CTK8G0372', 'DTXSID70184967', 'ZINC2033998', 'FCH835460', 'AKOS006282749', 'ACM30979487', 'AC-14506', 'LS-79733', 'N-isobutyl-2-oxo-imidazolidine-1-carboxamide', 'NS00010195', 'C19047', '33039-EP2305655A2', '33039-EP2311815A1', 'Isocarbamide, PESTANAL(R), analytical standard', 'J-018210', 'Q22829194', '1-Imidazolidinecarboxamide, N-(2-methylpropyl)-2-oxo- (9CI)', 'Isocarbamid [ISO];N-isobutyl-2-oxoimidazolidine-1-carboxamide']</t>
  </si>
  <si>
    <t>Compound(35699)</t>
  </si>
  <si>
    <t>C8H15N3O2</t>
  </si>
  <si>
    <t>butan-2-yl 2-(2-hydroxyethyl)piperidine-1-carboxylate</t>
  </si>
  <si>
    <t>['Icaridin', '119515-38-7', 'Picaridin', 'Bayrepel', 'Icaridine', 'Pikaridin', 'Propidine', 'Icaridina', 'Cutter Advanced', 'sec-butyl 2-(2-hydroxyethyl)piperidine-1-carboxylate', 'Kbr 3023', 'Icaridin [INN]', 'Icaridine [INN-French]', 'Icaridinum [INN-Latin]', 'Icaridina [INN-Spanish]', 'UNII-N51GQX0837', 'HSDB 7374', '1-Piperidinecarboxylic acid, 2-(2-hydroxyethyl)-, 1-methylpropyl ester', 'butan-2-yl 2-(2-hydroxyethyl)piperidine-1-carboxylate', '1-(1-Methylpropoxycarbonyl)-2-(2-hydroxyethyl)piperidine', 'N51GQX0837', '1-Methylpropyl 2-(2-hydroxyethyl)-1-piperidinecarboxylate', '1-Methylpropyl 2-(2-hydroxyethyl)piperidine-1-carboxylate', 'AK481273', 'Icaridinum', 'Lcaridin', 'CCRIS 8576', 'Icaridin (Picaridin)', 'Picaridin (Bayrepel)', 'EC 423-210-8', 'DSSTox_CID_14227', 'DSSTox_RID_79127', 'DSSTox_GSID_34227', 'SCHEMBL135432', 'CHEMBL2104314', 'DTXSID0034227', 'CTK8F1256', 'KS-00000GEZ', 'EBD7294', 'CHEBI:143733', 'BCP21313', 'Tox21_301141', '2-(2-Hydroxyethyl)-1-piperidinecarboxylic acid 1-methylpropyl ester', 'MFCD01756488', 'AKOS005145519', 'AC-6795', 'DB14074', 'DS-3268', 'NCGC00163920-01', 'NCGC00163920-02', 'NCGC00163920-03', 'NCGC00255039-01', 'CC-29460', 'SC-73531', 'SY111276', 'HY-116144', 'LS-114717', 'CAS-119515-38-7', 'CS-0064147', 'FT-0602759', 'NS00008107', 'NS00099111', '515I387', 'C-13271', 'Picaridin; KBR 3023; KBR-3023; KBR3023', 'Q418792', 'sec-Butyl 2-(2-hydroxyethyl)piperidine-1-carboxyla', 'Picaridin; sec-Butyl 2-(2-hydroxyethyl)piperidine-1-carboxylate', 'sec-Butyl 2-(2-hydroxyethyl)piperidine-1- carboxylate/icaridine (icaridine)', '658051-75-3', 'KBR 3023;Icaridine;HYDROXYETHYL ISOBUTYL PIPERIDINE CARBOXYLATE;Icaridin (Isomerengemisch)']</t>
  </si>
  <si>
    <t>Compound(125098)</t>
  </si>
  <si>
    <t>C12H23NO3</t>
  </si>
  <si>
    <t>1,8,9,10,11,11-hexachlorotetracyclo[6.2.1.13,6.02,7]dodeca-4,9-diene</t>
  </si>
  <si>
    <t>['ISODRIN', 'Aldrex', '309-00-2', 'CHEMBL195953', '1,4:5,8-Dimethanonaphthalene, 1,2,3,4,10,10-hexachloro-1,4,4a,5,8,8a-hexahydro-, (1.alpha.,4.alpha.,4a.beta.,5.alpha.,8.alpha.,8a.beta.)-', '124-96-9', '465-73-6', 'Aldrin Dust', '1,4:5,8-Dimethanonaphthalene,1,2,3,4,10,10-hexachloro-1,4,4a,5,8,8a-hexahydro-, (1R,4S,4aS,5R,8S,8aR)-rel-', 'Aldrin parent', '1,8,9,10,11,11-hexachlorotetracyclo[6.2.1.1&lt;3,6&gt;.0&lt;2,7&gt;]dodeca-4,9-diene', '1,2,3,4,10,10-hexachloro-1,4,4a,5,8,8a-hexahydro-1,4:5,8-dimethanonaphthalene', '1,4:5,8-Dimethanonaphthalene, 1,2,3,4,10,10-hexachloro-1,4,4a,5,8,8a-hexahydro-, (1R,4S,4aS,5R,8S,8aR)-rel-', 'Spectrum_001955', 'SpecPlus_000594', 'Spectrum2_001894', 'Spectrum3_000867', 'Spectrum4_000707', 'Spectrum5_002056', 'BSPBio_002513', 'KBioGR_001233', 'KBioSS_002509', 'SPECTRUM330080', 'DivK1c_006690', 'SCHEMBL119263', 'SPBio_001828', 'DTXSID3048104', 'CTK4I9483', 'KBio1_001634', 'KBio2_002501', 'KBio2_005069', 'KBio2_007637', 'KBio3_002013', '1,2,3,4,10,10-Hexachloro-1,4,4a,5,8,8a-hexahydro-1,4-endo,exo-5,8-dimethanonaphthalene', '1,2,3,4,10,10-Hexachloro-1,4,4a,5,8,8a-Hexahydro-1,4-endo-exo-5,8-dimethanonaphthalene', '1,2,3,4,10,10-Hexachloro-1,4,4a,5,8,8a-hexahydro-endo-exo-1,4:5,8-dimethanonaphthalene', '1,2,3,4,10,10-Hexachloro-1,4,4a,5,8,8a-hexahydro-1,4:5,8-dimethanonaphthalene, endo,exo-', '1,2,3,4,10,10-Hexachloro-1.alpha.,4.alpha.,4a.beta.,5.alpha.,8.alpha.,8a.beta.-hexahydro1,4:5,8-dimethanonaphthalene', 'BCP33329', 'BDBM50410533', 'CCG-39332', 'SBB061411', 'AKOS024390981', 'MCULE-8897269804', '1,2,3,4,10,10-Hexachloro-1,4,4a,5,8,8a-hexahydro-1,4,5,8-dimethanonaphthalene', 'NCGC00091887-01', 'NCGC00091887-02', 'NCGC00091887-03', 'NCGC00091887-05', 'NCGC00091887-06', 'DB-047931', 'NS00006421', 'ST51047430', 'NSC 8937; NSC-8937; NSC8937', '1,2,3,4,10,10-Hexachloro-1,4,4a,5,8,8a-Hexahydro-1,4-endo-5,8-dimethanonaphthalene', '(1a,4a,4ass,5ss,8ss8ass)-1,2,3,4,10,10-hexachloro-1,4,4a,5,8,8a-hexahydro-1,4:5,8-dimethanonaphthalene', 'aldrin;Isodrin;(1a,4a,4ass,5ss,8ss8ass)-1,2,3,4,10,10-hexachloro-1,4,4a,5,8,8a-hexahydro-1,4:5,8-dimethanonaphthalene;(1?,4?,4a?,5?,8?8a?)-1,2,3,4,10,10-hexachloro-1,4,4a,5,8,8a-hexahydro-1,4:5,8-dimethanonaphthalene']</t>
  </si>
  <si>
    <t>Compound(2087)</t>
  </si>
  <si>
    <t>N,3-bis(2-chloroethyl)-2-oxo-1,3,2lambda5-oxazaphosphinan-2-amine</t>
  </si>
  <si>
    <t>['ifosfamide', 'Isophosphamide', '3778-73-2', 'Iphosphamide', 'Isofosfamide', 'Ifosfamid', 'Mitoxana', 'Iphosphamid', 'Isoendoxan', 'Naxamide', 'Ifex', 'I-Phosphamide', 'Holoxan', 'Cyfos', 'Ifsofamide', 'Holoxan 1000', 'ASTA Z 4942', 'Ifosfamida', 'Ifosfamidum', 'MJF 9325', 'isosfamide', 'NCI-C01638', 'MJF-9325', 'Ifosfamidum [INN-Latin]', 'NSC-109724', 'Ifosfamida [INN-Spanish]', 'ifomide', 'NSC 109724', 'A 4942', 'Z 4942', 'Z-4942', '2H-1,3,2-Oxazaphosphorin-2-amine, N,3-bis(2-chloroethyl)tetrahydro-, 2-oxide', 'UNII-UM20QQM95Y', 'Z4942', 'NSC109724', 'CCRIS 352', '3-(2-Chloroethyl)-2-((2-chloroethyl)amino)tetrahydro-2H-1,3,2-oxazaphosphorine 2-oxide', 'N,3-Bis(2-chloroethyl)-1,3,2-oxazaphosphinan-2-amine 2-oxide', 'HSDB 7023', "N-(2-Chloroethyl)-N'-(2-chloroethyl)-N',O-propylenephosphoric acid diamide", 'EINECS 223-237-3', 'BRN 0611835', 'dexifosfamide', 'C7H15Cl2N2O2P', 'UM20QQM95Y', 'CHEBI:5864', 'Ifosphamide', '2,3-(N,N(sup 1)-Bis(2-chloroethyl)diamido)-1,3,2-oxazaphosphoridinoxyd', 'N,3-Bis(2-chloroethyl)tetrahydro-2H-1,3,2-oxazaphosphorin-2-amine 2-oxide', "N,N-Bis(beta-chloroethyl)-amino-N',O-propylene-phosphoric acid ester diamide", "N-(2-Chloroethyl)-N'-(2-chloroethyl)-N',O-propylenephosphoric acid ester diamide", '1,3,2-Oxazaphosphorine, 3-(2-chloroethyl)-2-((2-chloroethyl)amino)tetrahydro-, 2-oxide', '3-(2-Chloroethyl)-2-((2-chloroethyl)amino)perhydro-2H-1,3,2-oxazaphosphorine oxide', '3-(2-Chloroethyl)-2-[(2-chloroethyl)amino]perhydro-2H-1,3,2-oxazaphosphorineoxide', "N-(2-Chloraethyl)-N'-(2-chloraethyl)-N',O-propylen-phosphorsaureester-diamid [German]", "N-(2-Chloroethyl)-N'-(2-chloroethyl)-N',O-propylene phosphoric acid ester diamide", 'NCGC00016639-01', 'CAS-3778-73-2', 'DSSTox_CID_760', 'Iso-Endoxan', 'Ifosfamide Sterile', '2H-1,3,2-Oxazaphosphorine, 3-(2-chloroethyl)-2-((2-chloroethyl)amino)tetrahydro-, 2-oxide', '3-(2-Chloroethyl)-2-(2-chloroethylamino)tetrahydro-2H-1,3,2-oxaazaphosphorin 2-oxide', 'DSSTox_RID_75775', 'DSSTox_GSID_20760', '(D,L)-Ifosfamide', 'Q-101874', '(+-)-Ifosphamide', '(+-)-Ifosfamid', '(R,S)-Ifosphamide', 'Iphosphamid(e)', '1,3,2-Oxazaphosphorine, 3-(2-chloroethyl)-2-[(2-chloroethyl)amino]tetrahydro-, 2-oxide', '3-(2-Chloroethyl)-2-[(2-chloroethyl)amino]tetrahydro-2H-1,3,2-oxazaphosphorine 2-oxide', 'Ifosfamide [USAN:INN:BAN:JAN]', 'SR-05000002022', 'IFEX (TN)', 'Ifosfamide (JAN/USP/INN)', 'N,3-bis(2-chloroethyl)-2-oxo-1,3,2?^{5}-oxazaphosphinan-2-amine', 'Ifosfamid A', '(R)-Ifosfamide', '(S)-Ifosfamide', '3-(2-Chloroethyl)-2-((2-chloroethyl)amino)perhydro-2H-1,3,2-oxazaphosphorineoxide', 'Isophosphamide,(S)', 'Ifosfamide [USAN:USP:INN:BAN:JAN]', 'NSC-109,724', 'Ifosfamide, &gt;=98%', 'Prestwick0_000833', 'Prestwick1_000833', 'Prestwick2_000833', 'Prestwick3_000833', 'Intermediate of Ifosfamide', "N-(2-Chloraethyl)-N'-(2-chloraethyl)-N',O-propylen-phosphorsaureester-diamid", 'SCHEMBL4885', '(+-)-Tetrahydro-N,3-bis(2-chloroethyl)-2H-1,3,2-oxazaphosphorin-2-amine 2-oxide', '(R,S)-N,3-Bis(2-chloroethyl)tetrahydro-2H-1,3,2-oxazaphosphorin-2-amine 2-oxide', 'CHEMBL1024', 'BSPBio_000785', 'KSC948G4P', 'MLS002154021', 'Ifex (TN) (Bristol Meyers)', 'SPBio_002706', 'BPBio1_000865', 'GTPL7201', 'DTXSID7020760', 'CTK8E8347', 'KS-00000YBW', 'BDBM189358', 'HMS1570H07', 'HMS2090M12', 'HMS2093N07', 'HMS2097H07', 'HMS2232O10', 'HMS3374B08', 'HMS3654B15', 'HMS3714H07', 'Pharmakon1600-01505480', '{3-(2-Chloroethyl)-2-[(2-', '66849-34-1', 'BCP06596', 'WLN: T6NPOTJ AM2G BO B2G', 'Tox21_110539', 'Tox21_201815', 'Tox21_302775', 'BBL028071', 'CI0037', 'N,3-bis(2-chloroethyl)-2-oxo-1,3,2$l^{5}-oxazaphosphinan-2-amine', 'N,3-bis(2-chloroethyl)-2-oxo-1,3,2lambda5-oxazaphosphinan-2-amine', 'NSC759154', 's1302', 'STL058690', '3-(2-chloroethyl)-2-((2-chloroethyl)amino)-1,3,2-oxazaphosphinane 2-oxide', 'AKOS005711213', "N-(2-Chloroethyl)-N'-(2-chloroethyl)-N',O-propylen ephosphoric acid diamide", 'Tox21_110539_1', 'AB02316', 'AC-2113', 'API0002976', 'CCG-213464', 'CS-1424', 'DB01181', 'MCULE-1480299331', 'NSC-759154', '2H-1,3,2-Oxazaphosphorin-2-amine, tetrahydro-N,3-bis(2-chloroethyl)-, 2-oxide, (+-)-', 'N-(2-Chloroethyl)-N-(3-(2-chloroethyl)-2-oxido-1,3,2-oxazaphosphinan-2-yl)amine', 'Ifosfamide, analytical reference material', 'NCGC00179435-01', 'NCGC00179435-02', 'NCGC00179435-03', 'NCGC00179435-06', 'NCGC00179435-07', 'NCGC00256413-01', 'NCGC00259364-01', '2H-1,3,2-Oxazaphosphorine, 3-(2-chloroethyl)-2-((2-chloroethyl)amino)tetrahydro-, 2-oxide (8CI)', 'AS-10978', 'CC-29468', 'HY-17419', 'LS-99799', 'NCI60_000233', 'SC-12120', 'SMR001233348', 'ACM1189701130', 'SBI-0206804.P001', 'AB0008491', 'DB-049196', 'AB00513932', 'AK00287982', 'FT-0603650', 'FT-0670282', 'NS00000356', 'NS00098796', 'SW197177-4', 'C07047', 'D00343', 'J10093', 'M-1494', '33899-EP2275420A1', '33899-EP2295055A2', '33899-EP2295416A2', '33899-EP2298748A2', '33899-EP2298764A1', '33899-EP2298765A1', '33899-EP2305642A2', '33899-EP2311453A1', 'AB00513932-06', 'AB00513932-07', 'AB00513932-08', 'AB00513932_09', 'AB00513932_10', '778I732', 'C-16296', 'Q418560', 'SR-05000002022-1', 'SR-05000002022-3', 'SR-05000002022-5', 'BRD-A67097164-001-11-2', 'Ifosfamide, British Pharmacopoeia (BP) Reference Standard', 'Ifosfamide, European Pharmacopoeia (EP) Reference Standard', 'UNII-UM20QQM95Y component HOMGKSMUEGBAAB-AWEZNQCLSA-N', 'Ifosfamide, United States Pharmacopeia (USP) Reference Standard', '2,N(sup 1)-Bis(2-chloroethyl)diamido-1,3,2-oxazaphosphoridinoxy-', '2,N(sup 1)-Bis(2-chloroethyl)diamido-1,3,2-oxazaphosphoridinoxyd', '2,3-N,N(sup 1)-Bis(2-chloroethyl)diamido-1,3,2-oxazaphosphoridinoxy-', 'N,3-bis(2-chloroethyl)-2-oxo-1,3,2$l;{5}-oxazaphosphinan-2-amine', '{3-(2-Chloroethyl)-2-[(2-chloroethyl)amino]perhydro-2H-1,3,} 2-oxazaphosphorine oxide', '1,2-Oxazaphosphorine, 3-(2-chloroethyl)-2-[(2-chloroethyl)amino]tetrahydro-, 2-oxide', '2H-1,2-Oxazaphosphorin-2-amine, N,3-bis(2-chloroethyl)tetrahydro-, 2-oxide', '2H-1,2-Oxazaphosphorine, 3-(2-chloroethyl)-2-[(2-chloroethyl)amino]tetrahydro-, 2-oxide', '2H-1,3,2-Oxazaphosphorin-2-amine, N,3-bis( 2-chloroethyl)tetrahydro-, 2-oxide', '3-(2-Chloroethyl)-2-(2-chloroethylamino)tetrahydro-2H-1,3,2-oxazaphosphorin-2-one', '3-(2-chloroethyl)-2-[(2-chloroethyl)amino]-1,3,2$l^{5}-oxazaphosphinan-2-one', '3-(2-Chloroethyl)-2-[(2-chloroethyl)amino]-1,3,2lambda~5~-oxazaphosphinan-2-one', '3-(2-chloroethyl)-2-[(2-chloroethyl)amino]-1,3,2lambda5-oxazaphosphinan-2-one', '3-(2-Chloroethyl)-2-[(2-chloroethyl)amino]perhydro-2H-1,2-oxazaphosphorine oxide', '3-(2-Chloroethyl)-2-[(2-chloroethyl)amino]perhydro-2H-1,2-oxazaphosphorineoxide', '3-(2-Chloroethyl)-2-[(2-chloroethyl)amino]tetrahydro-2H-1,2-oxazaphosphorine 2-oxide', '3-(2-Chloroethyl)-2-[(2-chloroethyl)amino]tetrahydro-2H-1,3,2-oxazaphosphorine 2- oxide', 'N,3-Bis(2-chloroethyl)tetrahydro-2H-1,3,2-oxazaphosphinan-2-amine 2-oxide #']</t>
  </si>
  <si>
    <t>Compound(3690)</t>
  </si>
  <si>
    <t>isophenphos-oxone</t>
  </si>
  <si>
    <t>propan-2-yl 2-[ethoxy-(propan-2-ylamino)phosphoryl]oxybenzoate</t>
  </si>
  <si>
    <t>['ISOFENPHOS OXON', 'ISOFENPHOS-OXON', '31120-85-1', 'CCRIS 7778', 'propan-2-yl 2-[ethoxy-(propan-2-ylamino)phosphoryl]oxybenzoate', 'Benzoic acid, 2-((ethoxy((1-methylethyl)amino)phosphinyl)oxy)-, 1-methylethyl ester', 'Oxyisofenphos', 'Isofenphos-o-analogue', 'SCHEMBL7157665', 'ACM31120851', 'Isofenphos-oxon 100 microg/mL in Acetone', 'LS-188561', 'NS00001153', 'J-018247', 'isopropyl 2-(ethoxy(isopropylamino)phosphoryloxy)benzoate', 'Isopropyl 2-([ethoxy(isopropylamino)phosphoryl]oxy)benzoate #', 'O-Ethyl O-2-Isopropoxycarbonyl-phenyl Isopropylphosphoramidat;Isofenphos-oxon']</t>
  </si>
  <si>
    <t>Compound(35736)</t>
  </si>
  <si>
    <t>C15H24NO5P</t>
  </si>
  <si>
    <t>isofenphos</t>
  </si>
  <si>
    <t>propan-2-yl 2-[ethoxy-(propan-2-ylamino)phosphinothioyl]oxybenzoate</t>
  </si>
  <si>
    <t>['ISOFENPHOS', 'Isophenphos', 'Oftanol', 'Amaze', '25311-71-1', 'Discus', 'Pyrfon', 'LE-Mat', 'Isofenphos [BSI:ISO]', 'Amidocid', 'Pryfon', 'Caswell No. 447AB', 'Isophenphos [ISO-French]', 'BAY-SRA-12869', 'HSDB 6983', 'propan-2-yl 2-[ethoxy-(propan-2-ylamino)phosphinothioyl]oxybenzoate', '40 SD', 'EINECS 246-814-1', 'BAY-92114', 'SRA 12869', 'EPA Pesticide Chemical Code 109401', 'SRA 128691', 'BRN 2949615', 'AI3-27748', 'CHEBI:6009', 'O-Ethyl O-(2-isopropoxycarbonyl)phenyl isopropylphosphoramidothioate', '1-Methylethyl-2-((ethoxy((1-methylethyl)amino)phosphinothioyl)oxy) benzoate', 'Benzoic acid, 2-[[ethoxy[(1-methylethyl)amino]phosphinothioyl]oxy]-, 1-methylethyl ester', '103982-06-5', 'Isopropyl O-(ethoxy(isopropylamino)phosphinothioyl)salicylate', 'Isopropyl O-(ethoxy-N-isopropylamino(thiophosphoryl))salicylate', 'Isopropyl salicylate ester of O-ethyl isopropylphosphoramidothioate', 'Isopropyl salicylate O-ester with O-ethylisopropylphosphoramidothioate', 'Isopropylsalicylate, O-ester with O-ethyl isopropylphosphoramidothioate', '2-((Ethoxy((1-methylethyl)amino)phosphinothioyl)oxy)benzoic acid 1-methylethyl ester', '2-(O-Aethyl-N-isopropylamidothiophosphoryloxy)-benzosaeure-isopropylester [German]', 'Phosphoramidothioic acid, isopropyl-, O-ethyl O-(2-isopropoxycarbonylphenyl) ester', 'Salicylic acid, isopropyl ester, O-ester with O-ethyl isopropylphosphoramidothioate', 'propan-2-yl 2-({ethoxy[(propan-2-yl)amino]phosphorothioyl}oxy)benzoate', '2-((Ethoxy((1-methylethyl)amino)phosphinothioyl)oxy) benzoic acid 1-methylethyl ester', '2-[[ethoxy[(1-methylethyl)amino]phosphinothioyl]oxy]benzoic acid 1-methylethyl ester', 'Benzoic acid, 2-((ethoxy((1-methylethyl)amino)phosphinothioyl)oxy)-, 1-methylethyl ester', 'Isofenphos Isomer 1', 'Isofenphos Isomer 2', 'ACMC-20m6s1', 'DSSTox_CID_12417', 'DSSTox_RID_78943', 'DSSTox_GSID_32417', 'SCHEMBL26546', 'Isofenphos, analytical standard', 'CHEMBL1882342', 'DTXSID8032417', 'CTK0I4347', 'HOQADATXFBOEGG-UHFFFAOYSA-', 'Tox21_302219', '2-(O-Aethyl-N-isopropylamidothiophosphoryloxy)-benzosaeure-isopropylester', 'Isopropyl salicylate O-ester with O-ethyl isopropylphosphoramidothioate (8CI)', 'Isofenphos 10 microg/mL in Cyclohexane', 'Isofenphos 100 microg/mL in Cyclohexane', 'NCGC00164274-01', 'NCGC00255226-01', '103982-07-6', 'Benzoic acid, 2-((ethoxy((1-methylethyl)amino)phosphinothioyl)oxy)-, 1-methylethyl ester, (+)-', 'Benzoic acid, 2-((ethoxy((1-methylethyl)amino)phosphinothioyl)oxy)-, 1-methylethyl ester, (-)-', 'CAS-25311-71-1', 'LS-144356', 'NS00000159', 'C11002', 'J-015927', 'Q15632850', 'UNII-0514MAW53A component HOQADATXFBOEGG-NRFANRHFSA-N', 'isopropyl 2-(ethoxy(isopropylamino)phosphorothioyloxy)benzoate', 'isopropyl 2-{[ethoxy(isopropylamino)phosphorothioyl]oxy}benzoate', 'Isopropyl 2-([ethoxy(isopropylamino)phosphorothioyl]oxy)benzoate #', 'O-Ethyl O-2-isopropoxycarbonylphenyl isopropylphosphoramidothioate', '1-methylethyl 2-({ethoxy[(1-methylethyl)amino]phosphorothioyl}oxy)benzoate', 'Isopropyl salicylate O-ester with O-ethyl isopropylphosphoramidothioate', '1-Methylethyl 2-[[ethoxy[(1-methylethyl)amino]phosphinothioyl]oxy]benzoate, 9CI', 'Isofenphos solution, 100 mug/mL in acetonitrile, PESTANAL(R), analytical standard', 'propan-2-yl 2-({ethoxy[(propan-2-yl)amino]sulfanylidene-$l^{5}-phosphanyl}oxy)benzoate']</t>
  </si>
  <si>
    <t>Compound(32872)</t>
  </si>
  <si>
    <t>C15H24NO4PS</t>
  </si>
  <si>
    <t>isophorone diisocyanate</t>
  </si>
  <si>
    <t>5-isocyanato-1-(isocyanatomethyl)-1,3,3-trimethylcyclohexane</t>
  </si>
  <si>
    <t>['ISOPHORONE DIISOCYANATE', '4098-71-9', 'IPDI', 'Isophorone diamine diisocyanate', '5-Isocyanato-1-(isocyanatomethyl)-1,3,3-trimethylcyclohexane', 'Cyclohexane, 5-isocyanato-1-(isocyanatomethyl)-1,3,3-trimethyl-', '3-Isocyanatomethyl-3,5,5-trimethylcyclohexyl isocyanate', '3-Isocyanatomethyl-3,5,5-trimethylcyclohexylisocyanate', 'CCRIS 6252', 'CHEBI:53214', 'HSDB 6337', 'Isocyanic acid, methylene(3,5,5-trimethyl-3,1-cyclohexylene) ester', 'EINECS 223-861-6', 'UN2290', 'UNII-43B0856528', 'BRN 2726467', 'Isophorone diisocyanate, 98%', 'MFCD00064956', 'Isophorone diisocyanate [Diisocyanates]', 'DSSTox_CID_3826', 'DSSTox_RID_77200', 'DSSTox_GSID_23826', '43B0856528', '1-isocyanato-3-isocyanatomethyl-3,5,5-trimethylcyclohexane', 'CAS-4098-71-9', 'Vestanat IPDI', 'ACMC-209u7p', 'Epitope ID:113238', 'EC 223-861-6', 'SCHEMBL15846', 'KSC489S2T', 'CHEMBL1509442', 'DTXSID0023826', 'CTK3I9929', 'KS-00000XFL', '5-isocyanato-1-(isocyanatomethyl)-1,3,3-trimethyl-cyclohexane', 'Tox21_201520', 'Tox21_300298', 'ANW-43427', 'AKOS000120330', 'Cyclohexane, 5-isocyanato-1-(isocyanatomethyl)-1,3,3-trimethyl-, homopolymer', 'LS-1253', 'MCULE-9344603023', 'UN 2290', 'NCGC00091745-01', 'NCGC00091745-02', 'NCGC00091745-03', 'NCGC00091745-04', 'NCGC00254143-01', 'NCGC00259070-01', 'LS-191405', 'I0314', 'Isophorone diisocyanate [UN2290] [Poison]', 'NS00011466', 'ST50825731', 'Isophorone diisocyanate [UN2290]  [Poison]', 'A825377', 'Q415415', 'methylene(3,5,5-trimethyl-3,1-cyclohexylene) ester', "1,1,5,5-Tetramethylcyclohexane-.alpha.',3-diisocyanate", '3-(isocyanatomethyl)-3,5,5-trimethylcyclohexanisocyanate', 'F2191-0302', '1-isocyanato-3,3,5-trimethyl-5-isocyanatomethylcyclohexane', '3,3,5-Trimethyl-5-(isocyanatomethyl)cyclohexyl isocyanate', '3-(Isocyanatomethyl)-3,5,5-trimethylcyclohexyl isocyanate', '5-isocyanato-1-isocyanatomethyl-1,3,3-trimethylcyclohexane', '1,3,3-Trimethyl-1-(isocyanatomethyl)-5-isocyanatocyclohexane', '1-(Isocyanatomethyl)-5-isocyanato-1,3,3-trimethylcyclohexane', '1-iso cyanato-3,3,5-trimethyl-5-isocyanatomethyl cyclohexane', '1-Isocyanato-3,3,5-trimethyl-5-(isocyanatomethyl)cyclohexane', '1-isocyanato-3,3,5-trimethyl-5-isocyanato methyl cyclohexane', '1-isocyanato-3,3,5-trimethyl-5-isocyanatomethyl cyclohexane', '1-Isocyanato-3-(isocyanatomethyl)-3,5,5-trimethylcyclohexane', '1-isocyanato-3-isocyanatomethyl-3,5,5-trimethyl cyclohexane', '1-Isocyanato-5-(isocyanatomethyl)-3,3,5-trimethylcyclohexane', '3-Isocyanatomethyl-3,5,5-trimethylcyclohexyl isocyanate homopolymer', 'Isocyanic acid, diester with 5-hydroxy-1,3,3-trimethylcyclohexanemethanol']</t>
  </si>
  <si>
    <t>Compound(169132)</t>
  </si>
  <si>
    <t>C12H18N2O2</t>
  </si>
  <si>
    <t>isophoron</t>
  </si>
  <si>
    <t>3,5,5-trimethylcyclohex-2-en-1-one</t>
  </si>
  <si>
    <t>['ISOPHORONE', '78-59-1', 'Isoacetophorone', '3,5,5-Trimethylcyclohex-2-en-1-one', 'Isoforone', 'Isoforon', 'Izoforon', 'Isooctopherone', '3,5,5-Trimethylcyclohex-2-enone', '3,5,5-Trimethyl-2-cyclohexen-1-one', '2-Cyclohexen-1-one, 3,5,5-trimethyl-', 'alpha-Isophorone', '1,1,3-Trimethyl-3-cyclohexene-5-one', 'Isophoron', '3,5,5-Trimethyl-2-cyclohexenone', '.alpha.-Isophoron', 'Izoforon [Polish]', 'NCI-C55618', 'Isoforone [Italian]', 'Caswell No. 506', '3,5,5-Trimethyl-2-cyclohexen-1-on', 'UNII-2BR99VR6WA', '3,5,5-Trimetil-2-cicloesen-1-one', '.alpha.-Isophorone', 'Isophorone, 97%', 'NSC 403657', 'FEMA No. 3553', 'CCRIS 1353', 'HSDB 619', 'EINECS 201-126-0', 'EPA Pesticide Chemical Code 047401', '3,5,5-Trimethyl-2-cyclohexene-1-one', 'BRN 1280721', '2BR99VR6WA', '3,5,5-Trimethylcyclohexenone', 'AI3-00046', '3,5,5-Trimethylcyclohexen one', 'CHEBI:34800', '3,5,5-Trimetil-2-cicloesen-1-one [Italian]', 'NSC4881', '3,5,5-Trimethylcyclohexen-2-one-1', '3,5,5-Trimethyl-2-cyclohexen-1-on [German, Dutch]', '1,5,5-Trimethyl-1-cyclohexen-3-one', '3,3,5-Trimethyl-2-cyclohexen-1-one', 'DSSTox_CID_759', 'DSSTox_RID_75774', 'DSSTox_GSID_20759', '3,5-Trimethyl-2-cyclohexenone', '3,5-Trimetil-2-cicloesen-1-one', '3,5-Trimethyl-2-cyclohexen-1-one', '1,3-Trimethyl-3-cyclohexene-5-one', '3,5-Trimethyl-2-cyclohexene-1-one', 'WLN: L6V BUTJ C1 D1 D1', '2-Cyclohexen-1-one,5,5-trimethyl-', 'CAS-78-59-1', 'ISOPHORONE, REAG', '3,5-Trimethyl-2-cyclohexen-1-on (GERMAN, DUTCH)', 'a-Isophorone', 'alpha -isophoron', 'alpha -isophorone', 'nchem.180-comp3', 'ACMC-209pep', 'Isophorone Reagent Grade', 'EC 201-126-0', 'SCHEMBL22522', 'Isophorone, &gt;=97%, FG', '4-07-00-00165 (Beilstein Handbook Reference)', 'KSC377I8H', 'BIDD:ER0627', 'Isophorone, analytical standard', 'CHEMBL1882894', 'DTXSID8020759', 'CTK2H7483', 'FEMA 3553', 'KS-00000VXG', '3,5,5-trimethyl-cyclohex-2-enone', 'HY-Y0932', 'NSC-4881', '3,5,5-Trimethylcyclohex-2-enone.', 'Tox21_202312', 'Tox21_300050', 'ANW-37199', 'BBL027346', 'MFCD00001584', 'NSC403657', 'STK801792', 'ZINC14822379', '3,5,5-trimethyl-1-cyclohex-2-enone', 'AKOS000120392', '3,5,5-trimethylcyclohex-2-ene-1-one', '3,5,5-trimethylcyclohexa-2-en-1-one', 'LS-1750', 'MCULE-5564101474', 'NSC-403657', '3,3,5-trimethyl-cyclohex-5-en-1-one', '3,5,5-trimethyl-cyclohex-2-en-1-one', '1,1, 3-Trimethyl-3-cyclohexene-5-one', '3,5, 5-Trimethyl-2-cyclohexene-1-one', 'NCGC00164006-01', 'NCGC00164006-02', 'NCGC00164006-03', 'NCGC00254115-01', 'NCGC00259861-01', '3,3,5-trimethyl-cyclohex-5 -en-1-one', 'AC-10580', 'K387', 'SC-74911', 'VS-08530', 'Isophorone, Vetec(TM) reagent grade, 97%', 'CS-0015924', 'FT-0627443', 'I0151', 'NS00005755', 'ST50330654', 'C14743', 'A839454', 'Q415519', 'W-104274', 'F0001-2053', '3,5,5-trimethylcyclohex-2-enone;2-Cyclohexen-1-one, 3,5,5-trimethyl-;Isophorone']</t>
  </si>
  <si>
    <t>Compound(6544)</t>
  </si>
  <si>
    <t>C9H14O</t>
  </si>
  <si>
    <t>isophorone nitrile</t>
  </si>
  <si>
    <t>1,3,3-trimethyl-5-oxocyclohexane-1-carbonitrile</t>
  </si>
  <si>
    <t>['Isophoronenitrile', '1,3,3-trimethyl-5-oxocyclohexanecarbonitrile', '7027-11-4', '3-Cyano-3,5,5-trimethylcyclohexanone', '5-Oxo-1,3,3-trimethylcyclohexanecarbonitrile', 'Cyclohexanecarbonitrile, 1,3,3-trimethyl-5-oxo-', '3,3,5-Trimethyl-5-cyanocyclohexanone', 'AI3-37061', 'Cychohexanecarbonitrile, 1,3,3-trimethyl-5-oxo-', 'Cyclohexanecarbonitrile, 5-oxo-1,3,3-trimethyl-', '5-oxo-1,3,3-trimethyl-cyclohexanecarbonitril', 'isophorone nitrile', 'NSC171143', '1,3,3-trimethyl-5-oxocyclohexane-1-carbonitrile', 'SCHEMBL647137', 'DTXSID8029284', 'CTK7C5613', 'SBB056201', 'AKOS006277145', 'NSC-171143', '3-cyano-3,5,5-trimethyl cyclohexanone', 'LS-56540', 'NS00006843', 'EC 411-490-4', '1,3,3-trimethyl-5-oxo-1-cyclohexanecarbonitrile', 'Cyclohexanecarbonitrile,1,3,3-trimethyl-5-oxo-', 'A840570', 'Q27236819', '1,3,3-trimethyl-5-oxidanylidene-cyclohexane-1-carbonitrile', 'Cyclohexanecarbonitrile, 1,3,3-trimethyl-5-oxo-;3-cyano-3,5,5-trimethylcyclohexanone']</t>
  </si>
  <si>
    <t>Compound(99068)</t>
  </si>
  <si>
    <t>(NE)-N-[1-[(6-chloropyridin-3-yl)methyl]imidazolidin-2-ylidene]nitramide</t>
  </si>
  <si>
    <t>['Premise 75', 'Confidor', 'Provado', 'Admire', 'Gaucho', 'Merit', 'Confidor SL', '138261-41-3', 'Merit (insecticide)', 'Imidacloprid [ISO]', '(2E)-1-[(6-chloropyridin-3-yl)methyl]-N-nitroimidazolidin-2-imine', 'Confidor 200 SL', 'Advantage Flea Adulticide', 'Imidacloprid (old RN)', 'Imidaclopride', 'CP 1', '1-((6-Chloro-3-pyridyl)methyl)-N-nitro-2-imidazolidinimine', 'BAY-NTN 33893', '1-((6-Chloro-3-pyridinyl)methyl)-N-nitro-2-imidazolidinimine', 'HSDB 7373', '(E)-imidacloprid', '(2Z)-1-[(6-chloropyridin-3-yl)methyl]-N-nitroimidazolidin-2-imine', 'NTN 33893', 'NTN 33893-240FS', 'EPA PEsticide Chemical Code 129099', 'N-[1-[(6-chloropyridin-3-yl)methyl]-4,5-dihydroimidazol-2-yl]nitramide', 'C9H10ClN5O2', 'DSSTox_CID_12442', 'DSSTox_RID_78948', 'DSSTox_GSID_32442', '(Z)-imidacloprid', '1H-Imidazol-2-amine, 1-((6-chloro-3-pyridinyl)methyl)-4,5-dihydro-N-nitro-', '1H-Imidazol-2-amine, 4,5-dihydro-1-((6-chloro-3-pyridinyl)methyl)-N-nitro-', '2-Imidazolidinimine, 1-[(6-chloro-3-pyridinyl)methyl]-N-nitro-, (2E)-', 'CAS-138261-41-3', 'CHEBI:5870', 'Hachikusan', 'Imidachloprid', 'Meritgreen', 'Baimieshi', 'Confidate', 'Couraze', 'Imicide', 'Kohinor', 'Advise', 'Grubex', 'Alias', '2-Imidazolidinimine, 1-((6-chloro-3-pyridinyl)methyl)-N-nitro-', 'CoreTect', 'ProAgro', 'Gaucho Grande', 'Admire Pro', 'Couraze Max', 'Trimax Pro', 'Preventol TM', '(NE)-N-[1-[(6-chloropyridin-3-yl)methyl]imidazolidin-2-ylidene]nitramide', 'Macho Max', 'Marathon II', 'Admire 2F', 'Confidor 70WG', 'Mallet 2F', 'Alias 2F', 'Confidor 200SL', 'Gaucho 600FS', 'Premise (insecticide)', 'Senator (neonicotinoid)', 'Confidor 200 O-TEQ', 'Confidor 240 O-TEQ', 'Bayer Brand of Imidacloprid', '1-(2-Chloro-5-pyridylmethyl)-2-(nitroimino)imidazolidine', 'SCHEMBL22278', 'CCRIS 9318', 'IMI070', 'DTXSID5032442', 'CHEBI:39168', 'YWTYJOPNNQFBPC-UHFFFAOYSA-', 'AGST 03001', '1-(6-chloro-3-pyridylmethyl)-N-nitroimidazolidin-2-ylideneamine', 'ALBB-017950', 'HY-B0838', 'ZINC4474604', 'ZX-AN016636', 'Tox21_111298', 'Tox21_113358', 'Tox21_301028', 'BBL012806', 'LS-809', 'STK786692', 'AKOS005622077', 'Tox21_111298_1', 'AEF 106464', 'CS-6904', 'DB11421', 'LD-0259', 'MCULE-7224198077', 'Bayer Advanced Season-Long Grub control', 'NCGC00163736-01', 'NCGC00163736-02', 'NCGC00163736-03', 'NCGC00163736-04', 'NCGC00254930-01', 'LS-77945', 'Imidacloprid 10 microg/mL in Acetonitrile', 'AB0222177', 'AE-F 106464-00GR01B0', 'Imidacloprid 100 microg/mL in Acetonitrile', 'R4841', 'C11110', 'EC 428-040-8', 'J90054', 'IMIDACLOPRID (CAS NO. 105827-78-9)', '(2E)-1-[(6-Chloropyridin-3-yl)methyl]-N-nitroimidazolidin-2-imine (imidachloprid)', '1-[(6-Chloro-3-pyridinyl)methyl]-4,5-dihydro-N-nitro-1H-imidazol-2-amine, 9CI', '2-{1-[(6-chloro-3-pyridyl)methyl]tetrahydro-2H-imidazol-2-yliden}-1-oxo-1-hydraziniumolate']</t>
  </si>
  <si>
    <t>Compound(86287518)</t>
  </si>
  <si>
    <t>C9H10ClN5O2</t>
  </si>
  <si>
    <t>1-[2-(2,4-dichlorophenyl)-2-prop-2-enoxyethyl]imidazole</t>
  </si>
  <si>
    <t>['IMAZALIL', 'Enilconazole', '35554-44-0', 'Deccozil', 'Chloramizol', 'Fungaflor', 'Imaverol', 'Eniloconazol (SP)', 'Deccozil S 75', 'Enilconazole (BPC)', 'Clinafarm', 'Florasan', 'Fungazil', 'Magnate', '1H-Imidazole, 1-[2-(2,4-dichlorophenyl)-2-(2-propenyloxy)ethyl]-', 'R 23979', '1-(2-(Allyloxy)-2-(2,4-dichlorophenyl)ethyl)-1H-imidazole', 'Enilconazol', 'Caswell No. 497AB', 'CGA 41333', 'Imazalil [ANSI:BSI:ISO]', 'C14H14Cl2N2O', '1-[2-(2,4-dichlorophenyl)-2-prop-2-enoxyethyl]imidazole', 'Enilconazole [USAN:BAN:INN]', 'CHEBI:83829', 'HSDB 6672', 'EINECS 252-615-0', '1-[2-(Allyloxy)-2-(2,4-dichlorophenyl)ethyl]-1H-imidazole', 'Enilconazole (USAN/INN)', 'EPA Pesticide Chemical Code 111901', 'BRN 0545683', 'Allyl-1-(2,4-dichlorophenyl)-2-imidazol-1-ylethyl ether', '(+-)-1-(beta-(Allyloxy)-2,4-dichlorophenethyl)-imidazole', '(+ or -)-1-(beta-allyloxy-2,4-dichlorophenylethyl)imidazole', '1-(2-(2,4-Dichlorophenyl)-2-(2-propenyloxy)ethyl)-1H-imidazole', 'R-23979', '1-(2-(2,4-Dichlorphenyl)-2-(2-propenyloxy)aethyl)-1H-imidazol', 'DSSTox_CID_4151', '(+ or -)-1-(2-(2,4-dichlorophenylethyl)-2-(2-propenyloxy)ethyl)-1H-imidazole', '1-(2-(2,4-Dichlorphenyl)-2-(2-propenyloxy)aethyl)-1H-imidazol [German]', 'imazalil phosphate', 'DSSTox_RID_77305', 'DSSTox_GSID_24151', 'imazalil mononitrate', '73790-28-0', 'NuZone', '1H-Imidazole, 1-(2-(2,4-dichlorophenyl)-2-(2-propenyloxy)ethyl)-', 'imazalil sulphate', '1H-Imidazole, 1-(2-(2,4-dichlorophenyl)-2-(2-propenyloxy)ethyl)-, (+-)-', '1-[2-allyloxy-2-(2,4-dichlorophenyl)ethyl]imidazole', '33586-66-2', 'imazalil sulfate (1:1)', 'Eniloconazol', 'Freshguard', 'Fecundal', 'Imaversol', 'Rappor plus', 'Fung-azil', 'Enilconazole [USAN:INN:BAN]', 'Deccozil S75', 'Flo Pro IMZ', 'CAS-35554-44-0', 'Fecundal (Salt/Mix)', 'Imazalil (enilconazole)', 'Rappor plus (Salt/Mix)', '(.+/-.)-Imazalil', 'Prestwick0_000963', 'Prestwick1_000963', 'Prestwick2_000963', 'Prestwick3_000963', 'Imazalil sulphate (1:1)', 'SCHEMBL22498', 'BSPBio_000965', 'Imazalil, analytical standard', 'MLS002154075', 'Imazalil, ANSI, BSI, ISO', 'SPBio_002886', 'BPBio1_001063', 'CHEMBL356918', '1-[2-(Allyloxy)-2-(2,4-dichlorophenyl)ethyl]imidazole', 'DTXSID8024151', 'PZBPKYOVPCNPJY-UHFFFAOYSA-', 'HMS1571A07', 'HMS2094C13', 'HMS2098A07', 'HMS3041C20', 'HMS3715A07', 'Pharmakon1600-01506067', 'HY-B1134', 'Tox21_201551', 'Tox21_300720', 'BDBM50051843', 'MFCD00055331', 'NSC759313', 's5053', 'Imazalil 10 microg/mL in Cyclohexane', 'Imazalil 1000 microg/mL in Acetone', '1H-Imidazole, 1-(2-(2,4-dichlorophenyl)-2-(2-propenyloxy)ethyl)- (9CI)', 'AKOS015895066', 'CCG-220963', 'CS-4739', 'Imazalil 10 microg/mL in Acetonitrile', 'MCULE-1892353746', 'NSC-759313', 'Imazalil 100 microg/mL in Acetonitrile', 'NCGC00163778-01', 'NCGC00163778-03', 'NCGC00163778-04', 'NCGC00163778-05', 'NCGC00163778-06', 'NCGC00163778-07', 'NCGC00254626-01', 'NCGC00259100-01', 'AC-15959', 'AS-10962', 'LS-78411', 'SC-16179', 'SMR000777988', 'AX8134349', 'AB00513978', 'FT-0658775', 'Imazalil, PESTANAL(R), analytical standard', 'C18739', 'D03997', 'K-8041', 'AB00513978_06', '554I440', 'A822869', 'Q421576', 'SR-01000855376', 'R 23,979', 'SR-01000855376-2', 'BRD-A11776908-001-03-6', 'BRD-A11776908-001-06-9', '1-[2-(2,4-dichlorophenyl)-2-prop-2-enoxy-ethyl]imidazole', '1-[2-(Allyloxy)-2-(2,4-dichlorophenyl)ethyl]-1H-imidazole #', 'Enilconazole, European Pharmacopoeia (EP) Reference Standard', '(.+/-.)-1-(.beta.-(Allyloxy)-2,4-dichlorophenethyl)imidazole', '(.+/-.)-1-[2-(2,4-Dichlorophenyl)-2-(2-propenyloxy)ethyl]-1H-imidazole', '1-[2-(2,4-Dichlorophenyl)-2-(2-propenyloxy)ethyl]-1H-imidazole, 9CI', '1-[2-(2,4-dichlorophenyl)-2-(prop-2-en-1-yloxy)ethyl]-1H-imidazole', '1-{2-(2,4-Dichlorophenyl)-2-[(prop-2-en-1-yl)oxy]ethyl}-1H-imidazole', '(+/-)-1-(.beta.-allyloxy-2,4-dichlorophenylethyl)imidazole / Technical grade imazalil', '1H-Imidazole, 1-[2-(2,4-dichlorophenyl)-2-(2-propenyloxy)ethyl]-, (.+/-.)-', '(+/-)-1-(.beta.-allyloxy-2,4-dichlorophenylethyl)imidazole / Technical grade Imazalil / Enilconazole', 'Enilconazole;imazalil;1-[2-(allyloxy)-2-(2,4-dichlorophenyl)ethyl]-1H-imidazole;1-[2-(allyloxy)ethyl-2-(2,4-dichlorophenyl)-1H-imidazolium hydrogen sulphate;Imazalil sulfate;1-[2-(allyloxy)-2-(2,4-dichlorophenyl)ethyl]-1H-imidazole hydrobromide']</t>
  </si>
  <si>
    <t>Compound(37175)</t>
  </si>
  <si>
    <t>C14H14Cl2N2O</t>
  </si>
  <si>
    <t>5-(methoxymethyl)-2-(4-methyl-5-oxo-4-propan-2-yl-1H-imidazol-2-yl)pyridine-3-carboxylic acid</t>
  </si>
  <si>
    <t>['Imazamox', '114311-32-9', 'Pulsar', 'Raptor', 'Imazamox [ISO]', 'Raptor (herbicide)', '(+-)-Imazamox', 'HSDB 7013', 'AC 299263', 'CL 299263', 'EINECS Annex I Index 613-208-00-7', 'CHEBI:83742', '2-(4,5-Dihydro-4-methyl-4-(1-methylethyl)-5-oxo-1H-imidazol-2-yl)-5-(methoxymethyl)-3-pyridinecarboxylic acid', '3-Pyridinecarboxylic acid, 2-[4,5-dihydro-4-methyl-4-(1-methylethyl)-5-oxo-1H-imidazol-2-yl]-5-(methoxymethyl)-', '5-Methoxymethyl-2-(4-isopropyl-4-methyl-5-oxo-2-imidazolin-2-yl)nicotinic acid', '2-(4-isopropyl-4-methyl-5-oxo-4,5-dihydro-1H-imidazol-2-yl)-5-(methoxymethyl)nicotinic acid', '5-(methoxymethyl)-2-(4-methyl-5-oxo-4-propan-2-yl-1H-imidazol-2-yl)pyridine-3-carboxylic acid', '3-Pyridinecarboxylic acid, 2-(4,5-dihydro-4-methyl-4-(1-methylethyl)-5-oxo-1H-imidazol-2-yl)-5-(methoxymethyl)-', '5-(methoxymethyl)-2-[4-methyl-5-oxo-4-(propan-2-yl)-4,5-dihydro-1H-imidazol-2-yl]pyridine-3-carboxylic acid', 'DSSTox_CID_14664', 'DSSTox_RID_79185', 'DSSTox_GSID_34664', 'SCHEMBL18640', 'CHEMBL1881028', 'DTXSID3034664', 'CTK8E9024', 'CL29926;(+/-)-Imazamox', 'KS-00001CN5', 'Tox21_301007', 'AKOS015895776', 'CS-5783', 'Imazamox 10 microg/mL in Acetonitrile', '2-(4-isopropyl-4-methyl-5-oxo-1H-imidazol-2-yl)-5-(methoxymethyl)pyridine-3-carboxylic acid', 'NCGC00163955-01', 'NCGC00163955-02', 'NCGC00163955-03', 'NCGC00254909-01', 'AS-13848', 'CC-29473', 'O776', 'DB-041210', 'HY-100427', 'LS-184279', 'CAS-114311-32-9', 'FT-0631073', 'Imazamox, PESTANAL(R), analytical standard', 'NS00000438', 'C18598', 'J10431', '311I329', 'A803169', 'C-19018', 'J-003080', 'Q17166948', '2-(4-isopropyl-5-keto-4-methyl-2-imidazolin-2-yl)-5-(methoxymethyl)nicotinic acid', '182636-13-1', '3-Pyridinecarboxylic acid, 2-[4,5-dihydro-4-methyl-4-(1-methylethyl)-5-oxo-1H-imidazol-2-yl]-5-(methoxymethyl)-;(RS)-2-(4-isopropyl-4-methyl-5-oxo-2-imidazolin-2-yl)-5-methoxymethylnicotinic acid', '5-(methoxymethyl)-2-(4-methyl-5-oxidanylidene-4-propan-2-yl-1H-imidazol-2-yl)pyridine-3-carboxylic acid', '5-(methoxymethyl)-2-(4-methyl-5-oxo-4-propan-2-yl-1H-imidazol-2-yl)-3-pyridinecarboxylic acid']</t>
  </si>
  <si>
    <t>Compound(86137)</t>
  </si>
  <si>
    <t>C15H19N3O4</t>
  </si>
  <si>
    <t>2,3-dihydro-1H-indene</t>
  </si>
  <si>
    <t>['INDAN', 'Indane', '2,3-Dihydro-1H-indene', '496-11-7', 'Hydrindene', 'Benzocyclopentane', '1H-Indene, 2,3-dihydro-', '2,3-Dihydroindene', '1,2-Hydrindene', 'Hydrindonaphthene', 'Indane (alkane)', 'Indene, 2,3-dihydro-', 'Indane (VAN)', 'UNII-H9SCX043IG', 'NSC 5292', 'EINECS 207-814-7', 'H9SCX043IG', 'AI3-02275', 'CHEMBL370687', 'CHEBI:37911', 'MFCD00003795', 'Indane, 95%', '56573-11-6', 'Dihydroindene', '1,2-dihydroindene', '16N', 'Indan Odor Standard', 'Indene,3-dihydro-', 'PubChem20379', 'Indan, 95%', 'ACMC-1AS6K', 'Indan, analytical standard', 'DSSTox_CID_30701', 'DSSTox_GSID_52132', 'KSC235Q3J', 'ARONIS23879', 'WLN: L56T&amp;J', 'DTXSID4052132', 'CTK1D5834', 'Indan 10 microg/mL in Methanol', 'NSC5292', 'KS-00000VQ9', 'NSC-5292', 'STR04252', 'ZINC1680824', 'Tox21_303879', 'ANW-30799', 'BBL023431', 'BDBM50167998', 'SBB060083', 'AKOS000121540', 'MCULE-9526557353', 'VZ36182', 'NCGC00357139-01', 'CAS-496-11-7', 'LS-81029', 'SC-94184', 'DB-051655', 'FT-0627193', 'I0011', 'NS00002043', 'ST51046324', 'Y1353', 'AZ0001-0339', '16200-EP2270010A1', '16200-EP2272517A1', '16200-EP2272832A1', '16200-EP2272935A1', '16200-EP2275401A1', '16200-EP2275404A1', '16200-EP2277867A2', '16200-EP2280003A2', '16200-EP2280009A1', '16200-EP2281563A1', '16200-EP2292592A1', '16200-EP2295414A1', '16200-EP2297110A1', '16200-EP2298770A1', '16200-EP2301937A1', '16200-EP2305250A1', '16200-EP2305641A1', '16200-EP2308510A1', '16200-EP2308840A1', '16200-EP2308848A1', '16200-EP2308849A1', '16200-EP2311801A1', '16200-EP2311808A1', '16200-EP2311829A1', '16200-EP2316459A1', '16200-EP2371811A2', '117301-EP2272846A1', '117301-EP2298762A2', '141997-EP2270010A1', '141997-EP2292593A2', '144445-EP2272832A1', '144445-EP2292592A1', 'A827773', 'Q420109', 'Q-201237', 'F0001-1290']</t>
  </si>
  <si>
    <t>Compound(10326)</t>
  </si>
  <si>
    <t>indene</t>
  </si>
  <si>
    <t>1H-indene</t>
  </si>
  <si>
    <t>['INDENE', '1H-Indene', '95-13-6', 'Inden', 'Indonaphthene', 'UNII-67H8Y6LB8A', 'HSDB 5286', 'NSC 9270', 'EINECS 202-393-6', '67H8Y6LB8A', 'CHEMBL192812', 'CHEBI:41921', 'MFCD00003777', 'Indene, 90%, tech., stabilized', 'Indenyl radical', '9003-64-9', 'Indene.', '1H-inden', 'indene, (1H-indene)', 'Indene, 98%', 'PubChem20728', 'ACMC-209ruy', 'Indene, &gt;=99%', 'Indene, analytical standard', 'DSSTox_CID_22052', 'DSSTox_RID_79907', 'DSSTox_GSID_42052', 'WLN: L56 BHJ', 'KSC486S1J', 'DTXSID8042052', 'CTK3I6914', 'NSC9270', 'Indene 10 microg/mL in Methanol', 'NSC-9270', 'NSC62567', 'ZINC1699888', 'Tox21_301215', 'ANW-40376', 'BDBM50167941', 'NSC-62567', 'SBB040862', 'STL268869', 'AKOS000269048', 'AKOS025243274', 'LS11754', 'MCULE-7457676330', 'NE10278', 'CAS-95-13-6', 'NCGC00255989-01', '71551-80-9', 'LS-81591', 'SC-18068', 'AM20060846', 'CS-0015092', 'FT-0627195', 'I0016', 'I0354', 'NS00001084', 'ST50214452', 'EN300-19944', 'KS-00000131', 'I-0750', '16201-EP2270010A1', '16201-EP2272517A1', '16201-EP2272832A1', '16201-EP2275401A1', '16201-EP2277848A1', '16201-EP2281563A1', '16201-EP2281815A1', '16201-EP2281818A1', '16201-EP2284920A1', '16201-EP2292592A1', '16201-EP2292593A2', '16201-EP2292604A2', '16201-EP2295414A1', '16201-EP2295503A1', '16201-EP2298767A1', '16201-EP2298770A1', '16201-EP2298776A1', '16201-EP2305219A1', '16201-EP2305640A2', '16201-EP2305648A1', '16201-EP2308510A1', '16201-EP2308562A2', '16201-EP2308848A1', '16201-EP2311811A1', '16201-EP2311840A1', '16201-EP2311842A2', '16201-EP2314587A1', '16201-EP2315303A1', '16201-EP2316459A1', '16201-EP2371811A2', 'A845191', 'Q421008', 'Q27115417', 'F0001-2266', 'Z1939437389', '1H-Indene, 90+%, stab. with 0.01% 4-tert-butylcatechol', 'Indene, contains 50-100 ppm tert-butylcatechol as stabilizer, technical grade, &gt;=90%', 'HYDROCARBON RESIN, PETROLEUM TERPENE;4,7-Methano-1H-indene, 3a,4,7,7a-tetrahydro-, polymer with ethenylbenzene, ethenylmethylbenzene, 1H-indene and (1-methylethenyl)benzene;Indene;Inden;indene;INDENE']</t>
  </si>
  <si>
    <t>Compound(7219)</t>
  </si>
  <si>
    <t>C9H8</t>
  </si>
  <si>
    <t>indole</t>
  </si>
  <si>
    <t>1H-indole</t>
  </si>
  <si>
    <t>['indole', '1H-Indole', '120-72-9', 'Indol', '2,3-Benzopyrrole', '1-Benzazole', 'Ketole', '1-Azaindene', 'Benzopyrrole', '2,3-Benzopyrole', 'Caswell No. 498B', 'Indol [German]', 'Indole (natural)', '1-Benzo(b)pyrrole', '1H-Benzo[b]pyrrole', 'FEMA No. 2593', 'CCRIS 4421', 'HSDB 599', 'EPA Pesticide Chemical Code 025000', 'Benzo[b]pyrrole', 'UNII-8724FJW4M5', 'AI3-01540', 'NSC 1964', 'EINECS 204-420-7', 'CHEMBL15844', 'CHEBI:16881', '8724FJW4M5', 'MFCD00005607', 'NCGC00167539-01', 'Indole, 99+%', 'DSSTox_CID_737', 'DSSTox_RID_75761', 'DSSTox_GSID_20737', 'IND', 'CAS-120-72-9', 'benzazole', 'mono-indole', 'Indole.', '1-H-indole', 'Indole, 7', 'Indole (8CI)', 'Indole (white flake)', 'Indole, 98%', '1H-Indole (9CI)', 'Indole, &gt;=99%', 'SCHEMBL698', 'bmse000097', 'Indole, analytical standard', 'Indole, &gt;=99%, FG', 'WLN: T56 BMJ', 'KSC175K9T', 'BIDD:GT0304', 'SCHEMBL940818', 'ACMC-209a84', 'INDOLE   BENZO-PYRROLE', 'SCHEMBL1921769', 'SCHEMBL9559244', 'DTXSID0020737', 'CTK0H5599', 'NSC1964', '185l', 'BCP27232', 'NSC-1964', 'STR01201', 'Tox21_112536', 'Tox21_201677', 'Tox21_302937', 'ANW-17522', 'BBL011739', 'BDBM50094702', 's6358', 'SBB055980', 'STL163380', 'ZINC14516984', 'AKOS000119629', 'Tox21_112536_1', 'CG-0501', 'CS-W001132', 'DB04532', 'HY-W001132', 'Indole, puriss., &gt;=98.5% (GC)', 'LS-2832', 'MCULE-9442796928', 'KS-0000011Z', 'NCGC00167539-02', 'NCGC00167539-03', 'NCGC00256348-01', 'NCGC00259226-01', 'AK105886', 'BP-10563', 'I908', 'LS-82069', 'SC-19025', 'DS-011308', 'FT-0627211', 'I0021', 'NS00010849', 'ST51046571', '5189-EP2269978A2', '5189-EP2269985A2', '5189-EP2269991A2', '5189-EP2270006A1', '5189-EP2270010A1', '5189-EP2270011A1', '5189-EP2270505A1', '5189-EP2272491A1', '5189-EP2272509A1', '5189-EP2272517A1', '5189-EP2272813A2', '5189-EP2272832A1', '5189-EP2272972A1', '5189-EP2272973A1', '5189-EP2275105A1', '5189-EP2275395A2', '5189-EP2275401A1', '5189-EP2275412A1', '5189-EP2275420A1', '5189-EP2277858A1', '5189-EP2277862A2', '5189-EP2277872A1', '5189-EP2277874A1', '5189-EP2279183A1', '5189-EP2279184A1', '5189-EP2280000A1', '5189-EP2280008A2', '5189-EP2280012A2', '5189-EP2281563A1', '5189-EP2281815A1', '5189-EP2281818A1', '5189-EP2281824A1', '5189-EP2284150A2', '5189-EP2284151A2', '5189-EP2284152A2', '5189-EP2284153A2', '5189-EP2284155A2', '5189-EP2284156A2', '5189-EP2284157A1', '5189-EP2284158A1', '5189-EP2284164A2', '5189-EP2284920A1', '5189-EP2287140A2', '5189-EP2287148A2', '5189-EP2287150A2', '5189-EP2287155A1', '5189-EP2287165A2', '5189-EP2287166A2', '5189-EP2289510A1', '5189-EP2289871A1', '5189-EP2289890A1', '5189-EP2292586A2', '5189-EP2292590A2', '5189-EP2292592A1', '5189-EP2292593A2', '5189-EP2292604A2', '5189-EP2292606A1', '5189-EP2292611A1', '5189-EP2292620A2', '5189-EP2292630A1', '5189-EP2295409A1', '5189-EP2295419A2', '5189-EP2295429A1', '5189-EP2295432A1', '5189-EP2295433A2', '5189-EP2295503A1', '5189-EP2298732A1', '5189-EP2298737A1', '5189-EP2298738A1', '5189-EP2298740A1', '5189-EP2298755A1', '5189-EP2298764A1', '5189-EP2298765A1', '5189-EP2298766A1', '5189-EP2298767A1', '5189-EP2298770A1', '5189-EP2298774A1', '5189-EP2301536A1', '5189-EP2301538A1', '5189-EP2301912A2', '5189-EP2301913A1', '5189-EP2301914A1', '5189-EP2301916A2', '5189-EP2301918A1', '5189-EP2301921A1', '5189-EP2301923A1', '5189-EP2301926A1', '5189-EP2301931A1', '5189-EP2301933A1', '5189-EP2301937A1', '5189-EP2305219A1', '5189-EP2305250A1', '5189-EP2305637A2', '5189-EP2305640A2', '5189-EP2305643A1', '5189-EP2305644A1', '5189-EP2305648A1', '5189-EP2305651A1', '5189-EP2305653A1', '5189-EP2305657A2', '5189-EP2305658A1', '5189-EP2305695A2', '5189-EP2305696A2', '5189-EP2305697A2', '5189-EP2305698A2', '5189-EP2305808A1', '5189-EP2308510A1', '5189-EP2308562A2', '5189-EP2308832A1', '5189-EP2308839A1', '5189-EP2308840A1', '5189-EP2308848A1', '5189-EP2308849A1', '5189-EP2308850A1', '5189-EP2308854A1', '5189-EP2308863A1', '5189-EP2308867A2', '5189-EP2308870A2', '5189-EP2308871A1', '5189-EP2311455A1', '5189-EP2311796A1', '5189-EP2311797A1', '5189-EP2311798A1', '5189-EP2311799A1', '5189-EP2311808A1', '5189-EP2311825A1', '5189-EP2311827A1', '5189-EP2311829A1', '5189-EP2311830A1', '5189-EP2311831A1', '5189-EP2311842A2', '5189-EP2314575A1', '5189-EP2314576A1', '5189-EP2314587A1', '5189-EP2314588A1', '5189-EP2315303A1', '5189-EP2316452A1', '5189-EP2316459A1', '5189-EP2316470A2', '5189-EP2316824A1', '5189-EP2316832A1', '5189-EP2316833A1', '5189-EP2316836A1', '5189-EP2316974A1', '5189-EP2371811A2', '5189-EP2371831A1', '5189-EP2372017A1', '5189-EP2372804A1', '5189-EP2374454A1', '5189-EP2378585A1', 'C00463', 'I-0800', 'I-0810', 'W-1785', '46560-EP2275412A1', '46560-EP2287158A1', '46560-EP2287159A1', '46560-EP2308871A1', '46560-EP2311826A2', '56185-EP2289892A1', '56185-EP2298738A1', '56185-EP2308871A1', 'Q319541', 'SR-01000944736', 'SR-01000944736-1', 'Z57833933', 'F2190-0647', 'indole;Indole;Octanal, 7-hydroxy-3,7-dimethyl-, reaction products with 1H-indole;7-HYDROXY-3,7-DIMETHYL-OCTANAL/INDOLE']</t>
  </si>
  <si>
    <t>Compound(798)</t>
  </si>
  <si>
    <t>C8H7N</t>
  </si>
  <si>
    <t>indolylacetic acid</t>
  </si>
  <si>
    <t>2-(1H-indol-3-yl)acetic acid</t>
  </si>
  <si>
    <t>['indole-3-acetic acid', '87-51-4', '3-Indoleacetic acid', 'Heteroauxin', 'indoleacetic acid', '1H-Indole-3-acetic acid', '2-(1H-Indol-3-yl)acetic acid', '1H-indol-3-ylacetic acid', 'Rhizopin', 'Indol-3-ylacetic acid', '3-Iaa', 'Rhizopon A', '3-Indolylacetic acid', 'Hexteroauxin', 'beta-Indoleacetic acid', '3-(Carboxymethyl)indole', 'indoleacetate', 'Acetic acid, indolyl-', 'Heteroauxinhexteroauxiniaa', 'beta-Indolylacetic acid', 'IAA', 'Indolyl-3-acetic acid', 'indole-3-acetate', 'Indolylacetic acid', 'auxin', 'omega-Skatole carboxylic acid', 'Kyselina 3-indolyloctova', '(1H-Indol-3-yl)-acetic acid', 'indole acetic acid', 'Indoleacetic acid (VAN)', '3-indole acetic acid', '(indol-3-yl)acetate', 'CCRIS 1014', 'EPA Pesticide Chemical Code 128915', 'Kyselina 3-indolyloctova [Czech]', '(indol-3-yl)acetic acid', 'AI3-24131', '2-(3-Indolyl)acetic acid', 'NSC 3787', '(1H-Indol-3-yl)acetic acid', '2-(indol-3-yl)ethanoic acid', '3-Indolylessigsaeure', 'UNII-6U1S09C61L', '.alpha.-IAA', '.beta.-IAA', 'Indole 3-acetic acid', '3-Indole-Acetic acid', '1H-Indole-3-acetic acid (9CI)', '.beta.-Indoleacetic acid', 'EINECS 201-748-2', 'MFCD00005636', '.beta.-Indolylacetic acid', '.beta.-Indole-3-acetic acid', 'CHEMBL82411', 'Indole-3-acetic acid (8CI)', '.omega.-Skatole carboxylic acid', 'CHEBI:16411', '.alpha.-Indol-3-yl-acetic acid', 'NSC3787', '6U1S09C61L', 'Heteroauxine', '3-IndoleaceticAcid', 'DSSTox_CID_738', '2-indol-3-ylacetic acid', 'DSSTox_RID_75762', 'DSSTox_GSID_20738', '1H-Indole-3-acetate', '(1H-indol-3-yl)acetate', '1H-Indole-3-acetic acid, 99+%', 'CAS-87-51-4', 'IES', 'SMR000471855', 'Heterauxin', 'Indolylacetate', 'b-Indoleacetate', 'b-Indolylacetate', '3-Indolylacetate', 'alpha-IAA', 'beta-Indoleacetate', 'beta-IAA', 'beta-Indolylacetate', 'Indol-3-ylacetate', 'Indolyl-3-acetate', 'Skatole carboxylate', 'b-Indoleacetic acid', 'IAC', 'b-Indolylacetic acid', 'Indole-3acetic acid', 'indol-3-acetic acid', 'indole-3-acetic aicd', 'PubChem2269', '3-indolyl acetic acid', '3-indolyl-acetic acid', 'Skatole carboxylic acid', 'Acid, 6', '2-(3-Indolyl)acetate', 'ACMC-1BFFU', 'Indole-3-acetic-t acid', '1H-indol-3-acetic acid', 'Maybridge1_006755', '1H-Indole 3-acetic acid', 'beta-Indole-3-acetic acid', 'bmse000177', '(1H-Indol-3-yl)-acetate', '3-Indoleacetic acid, 98%', '3-Indoleacetic acid, 99%', 'Oprea1_602123', 'SCHEMBL26344', '2-(1H-indol-3-yl)acetate', 'KSC448A7N', 'MLS001066408', 'MLS001331664', 'MLS001332399', 'MLS001332400', '3-Indolylmethylcarboxylic acid', 'alpha-Indol-3-yl-acetic acid', 'WLN: T56 BMJ D1VQ', '[3H]-IAA', 'DTXSID5020738', 'CTK3E8076', 'HMS560L01', 'ZINC83860', '2-(1H-indol-3-yl)-acetic acid', 'HMS2269G24', 'HMS3604M04', 'ACT03586', 'ALBB-006264', 'BCP26623', 'KS-00000CD8', 'NSC-3787', 'Tox21_202284', 'Tox21_302731', 'ANW-38836', 'BBL009348', 'BDBM50201883', 'CCG-51070', 'HTS001756', 'RW1893', 's4799', 'SBB017530', 'STK397461', 'AKOS000119890', '1H-Indole-3-acetic-a-t acid (9CI)', 'AC-2974', 'CG-0522', 'CS-6287', 'DB07950', 'LS-7456', 'MCULE-9266736782', 'SDCCGMLS-0066204.P001', '3-Indoleacetic acid, &gt;=98.0% (T)', 'NCGC00247039-01', 'NCGC00247039-02', 'NCGC00256391-01', 'NCGC00259833-01', 'AK-45237', 'BR-45237', 'HY-18569', 'SC-07103', 'SY003464', 'DB-011566', 'BB 0242380', 'EU-0099905', 'FT-0627215', 'FT-0695803', 'I0022', 'NS00014849', 'ST45025209', '3-Indoleacetic acid, technical, &gt;=95% (T)', 'AZ0001-0132', '87I514', 'C00954', 'I-1000', 'I-1040', 'M-6254', 'Q411208', 'SR-01000596909', '3-Indoleacetic acid, SAJ special grade, &gt;=98.5%', 'SR-01000596909-1', 'SR-01000596909-2', '2-(3-Indolyl)acetic acid 3-(Carboxymethyl)-1H-indole', '3-Indoleacetic acid, PESTANAL(R), analytical standard', 'F0722-8837', '0A0524AE-D755-4E91-A73A-2AD867FE676A', '3-Indoleacetic acid, plant cell culture tested, crystalline', 'Lithium 1H-indole-3-acetate;Indole-3-acetic acid;Indoleacetic acid;indol-3-ylacetic acid;Indol-3-ylacetic acid;INDOLE ACETIC ACID']</t>
  </si>
  <si>
    <t>Compound(802)</t>
  </si>
  <si>
    <t>C10H9NO2</t>
  </si>
  <si>
    <t>indolylbutyric acid</t>
  </si>
  <si>
    <t>4-(1H-indol-3-yl)butanoic acid</t>
  </si>
  <si>
    <t>['Indole-3-butyric acid', '3-Indolebutyric acid', '133-32-4', '4-(1H-Indol-3-yl)butanoic acid', 'Indolebutyric acid', 'Hormodin', '1H-INDOLE-3-BUTANOIC ACID', 'Seradix', 'Indole-3-butanoic acid', 'Jiffy grow', '4-(Indol-3-yl)butyric acid', '4-(3-Indolyl)butyric acid', 'Hormex rooting powder', 'IBA', 'Indolbutyric acid', '1H-Indole-3-butyric acid', 'Seradix 2', 'Seradix 3', 'Seradix B 2', 'Seradix B 3', 'Rhizopon AA', 'beta-Indolebutyric acid', '3-Indolebutyric acid (IBA)', 'Butyric acid, 4-(indolyl)-', "Indol-3,4'-yl butyric acid", 'Indole butyric acid', '3-Indolylbutyric acid', 'Caswell No. 499', '4-indol-3-ylbutyric acid', '4-(3-Indolyl)butanoic acid', '3-Indolyl-gamma-butyric acid', 'CCRIS 1020', 'Indolyl-3-butyric acid', 'HSDB 7214', 'NSC 3130', 'UNII-061SKE27JP', 'EPA Pesticide Chemical Code 046701', '.beta.-IBA', 'CHEBI:33070', '3-Indole butyric acid', 'AI3-17434', '4-(1H-Indol-3-yl)butyric acid', '4-(1H-Indol-3-yl)-butyric acid', '1H-Indole-3-butanoic acid (9CI)', 'EINECS 205-101-5', '.beta.-Indolebutyric acid', '4-indol-3-ylbutanoic acid', '4-Indol-3-ylbutyric acid [BSI:ISO]', 'BRN 0171120', 'Kyselina 4-indol-3-ylmaselina [Czech]', 'Indole 3-butyric acid', '3-Indolebutyric acid, 98%', '061SKE27JP', '3-Indolyl-.gamma.-butyric acid', '.gamma.-(3-Indolyl)butyric acid', '.gamma.-(Indole-3)-butyric acid', '.gamma.-(Indol-3-yl)butyric acid', 'MFCD00005664', '933-32-4', '3-Indolebutyrate', '1H-Indole-3-butyrate', 'beta-Indolylbutyric acid', '1H-Indole-3-butanoate', '4-(1H-indol-3-yl)butanoate', 'gamma-(Indol-3-Yl)butyric acid', '3-Indolebutyricacid', 'SR-01000477768', 'Indolebutyrate', 'Chryzopon', 'Chryzosan', 'Chryzotek', 'Oxyberon', 'Hormex', 'Kyselina 4-indol-3-ylmaselina', 'b-Indolebutyrate', '3-Iodolebutyrate', 'Stim-Root', '3-Indole butyrate', 'beta-Indolebutyrate', 'Indole 3-butyrate', 'Indole-3 Butyrate', 'Indolyl-3-butyrate', 'Indole-3-Butrylate', 'b-Indolebutyric acid', 'PubChem7281', '4-indol-3-ylbutyrate', 'Indole-3 Butyric acid', 'Indole-3-Butrylic acid', '4-(indolyl)- butyrate', 'Enamine_005659', '4-(3-Indolyl)butyrate', 'Indole 3- Butyric Acid', '4-(3-Indole)-butyrate', '4-(Indol-3-yl)butyrate', 'ACMC-1BQJ9', '.gamma.-Indolebutyric acid', '4-Indol-3-ylbutyric-acid', 'CBKinase1_000084', 'CBKinase1_012484', '4-(3-Indole)butyric acid', '4-(indolyl)- butyric acid', '4-(Indol-3)-butyric acid', 'DSSTox_CID_12623', 'DSSTox_RID_79010', '4-(3-1H-Indolyl)butyrate', 'DSSTox_GSID_32623', 'Oprea1_093618', 'Oprea1_136608', 'SCHEMBL35884', '4-(3-Indole)-butyric acid', 'CBDivE_001082', '5-22-03-00140 (Beilstein Handbook Reference)', 'KSC176I6B', 'MLS006011821', '4-(3-Indolyl)-butyric acid', 'WLN: T56 BMJ D3VQ', '.gamma.-Indole-3-butyric acid', 'ARONIS001277', 'CHEMBL582878', 'gamma-(Indole-3)-butyric acid', 'Indole-3-butyric acid (8CI)', 'SCHEMBL1087345', '4-(1H-Indol-3-yl)-butyrate', '4-(3-1H-Indolyl)butyric acid', 'DTXSID8032623', 'CTK0H6460', 'ZINC57378', 'HMS1410B05', 'HMS3604N19', 'HMS3655J16', 'ACT07009', 'ALBB-005980', 'BCP00909', 'HY-N0186', 'KS-00003US2', 'NSC-3130', 'STR04308', 'Tox21_301287', 'ANW-19530', 'BBL000073', 'BDBM50129081', 'HTS000642', 's2253', 'SBB028533', 'STK246981', '4-(1H-Indol-3-yl)butanoic acid #', '[3-(3-Indolyl)propyl]carboxylic acid', 'AKOS000273851', 'AC-2855', 'BCP9000128', 'CCG-110315', 'CG-0518', 'CM10940', 'CS-6288', 'DB02740', 'LS21244', 'MCULE-1997278353', 'SB15075', 'IDI1_007894', 'NCGC00164296-01', 'NCGC00164296-02', 'NCGC00164296-03', 'NCGC00164296-05', 'NCGC00257530-01', 'BR-47124', 'CAS-133-32-4', 'LS-82418', 'SC-00836', 'SMR001252209', 'ST011964', 'Indole-3-butyric acid, &gt;=99.0% (T)', 'DB-011205', 'AM20060321', 'BB 0242435', 'FT-0602391', 'FT-0691186', 'I0026', 'NS00009538', 'SW219851-1', '33I324', 'B-7147', 'C11284', 'I-2000', 'I-2005', 'I-2010', 'AB00375585-03', 'Q2622539', 'SR-01000477768-1', 'SR-01000477768-3', 'BRD-K43187796-237-01-5', 'Indole-3-butyric acid, Vetec(TM) reagent grade, 98%', 'Z56754864', 'F0919-1266', 'Indole-3-butyric acid, PESTANAL(R), analytical standard', '67085FE2-19DF-4524-B354-17BD9781B318', 'Indole-3-butyric acid, plant cell culture tested, BioReagent', '4-(indol-3-yl)butyric acid;3-Indolebutyric Acid;Indolylbutyric acid;Indolebutyric acid']</t>
  </si>
  <si>
    <t>Compound(8617)</t>
  </si>
  <si>
    <t>C12H13NO2</t>
  </si>
  <si>
    <t>indometacin</t>
  </si>
  <si>
    <t>2-[1-(4-chlorobenzoyl)-5-methoxy-2-methylindol-3-yl]acetic acid</t>
  </si>
  <si>
    <t>['indomethacin', '53-86-1', 'indometacin', 'Indocin', 'Indometacine', 'Indomethacine', 'Indocid', 'Metindol', 'Indomethazine', 'Imbrilon', 'Amuno', 'Tannex', 'Indomethacinum', 'Artracin', 'Artrinovo', 'Artrivia', 'Confortid', 'Idomethine', 'Indomecol', 'Indoptic', 'Indoptol', 'Inflazon', 'Infrocin', 'Metartril', 'Methazine', 'Mikametan', 'Reumacide', 'Sadoreum', 'Dolovin', 'Inacid', 'Indacin', 'Indomed', 'Indomee', 'Lausit', 'Metacen', 'Mobilan', 'Indo-rectolmin', 'Indo-tablinen', 'Inteban sp', 'Indometacyna', 'Indometicina', 'Mezolin', 'Indo-Lemmon', 'Indocin Sr', '1H-Indole-3-acetic acid, 1-(4-chlorobenzoyl)-5-methoxy-2-methyl-', 'Indometacina', 'Indometacinum', 'Dolcidium', 'Durametacin', 'Elmetacin', 'Indomethine', 'Indorektal', 'Catlep', 'Indoxen', 'Vonum', 'Indo-phlogont', 'Chibro-amuno', 'Indomet 140', 'Rheumacin LA', 'Osmosin', '2-(1-(4-Chlorobenzoyl)-5-methoxy-2-methyl-1H-indol-3-yl)acetic acid', 'Indometacyna [Polish]', 'Indometicina [Spanish]', 'Indometacine [INN-French]', 'Indometacinum [INN-Latin]', 'Indometacina [INN-Spanish]', '1-(p-Chlorobenzoyl)-5-methoxy-2-methylindole-3-acetic acid', 'CCRIS 3502', '2-[1-(4-chlorobenzoyl)-5-methoxy-2-methylindol-3-yl]acetic acid', 'HSDB 3101', '1-(4-Chlorobenzoyl)-5-methoxy-2-methyl-3-indoleacetic acid', 'NCI-C56144', 'UNII-XXE1CET956', 'CHEMBL6', '1-(p-Chlorobenzoyl)-2-methyl-5-methoxyindole-3-acetic acid', 'EINECS 200-186-5', 'MFCD00057095', 'IMN', 'Indole-3-acetic acid, 1-(p-chlorobenzoyl)-5-methoxy-2-methyl-', '[1-(4-Chlorobenzoyl)-5-methoxy-2-methyl-1H-indol-3-yl]acetic acid', 'BRN 0497341', 'XXE1CET956', 'N-p-Chlorbenzoyl-5-methoxy-2-methylindole-3-acetic acid', 'MLS000069402', 'Indomethacin (Indocid, Indocin)', '(1-p-Chlorobenzoyl-5-methoxy-2-methylindol-3-yl)acetic acid', 'CHEBI:49662', '1-(4-Chlorobenzoyl)-5-methoxy-2-methyl-1H-indole-3-acetic acid', '1-(p-Chlorobenzoyl)-2-methoxy-3-methyl-1H-indole-3-acetic Acid', 'alpha-(1-(p-Chlorobenzoyl)-2-methyl-5-methoxy-3-indolyl)acetic acid', '2-[1-(4-chlorobenzoyl)-5-methoxy-2-methyl-1H-indol-3-yl]acetic acid', '{1-[(4-chlorophenyl)carbonyl]-5-methoxy-2-methyl-1H-indol-3-yl}acetic acid', 'CAS-53-86-1', '1-p-Cloro-benzoil-5-metoxi-2-metilindol-3-acido acetico', 'NCGC00015562-18', 'Indmethacine', 'Indomethancin', 'Indomethegan', '1-(p-chlorobenzoyl)-5-methoxy-2-methyl-3-indolylacetic acid', 'Arthrexin', 'Bonidin', 'Bonidon', 'Indameth', 'Indomod', 'Miametan', 'SMR000058195', 'Indomo', 'Flexin continus', 'Hicin', 'Kwas 1-(p-chlorobenzoilo)-2-metylo-5-metoksy-3-indolilooctowy', 'Chrono-indicid', 'Chrono-indocid', '1-(p-Chlorbenzoyl)-5-methoxy-2-methylindol-3-essigsaeure [German]', '1-p-Cloro-benzoil-5-metoxi-2-metilindol-3-acido acetico [Spanish]', 'DSSTox_CID_740', 'Bonidon Gel', 'Dolcidium PL', 'Indo-Spray', 'Kwas 1-(p-chlorobenzoilo)-2-metylo-5-metoksy-3-indolilooctowy [Polish]', 'Indolar SR', 'DSSTox_RID_75763', 'DSSTox_GSID_20740', '1-(4-chlorobenzoyl)-5-methoxy-2-methylindole-3-acetic acid', 'Tivorbex', 'Aconip', '2-[1-(4-chlorobenzoyl)-5-methoxy-2-methyl-indol-3-yl]acetic acid', '2-{1-[(4-chlorophenyl)carbonyl]-5-methoxy-2-methylindol-3-yl}acetic acid', 'Indocin-SR', 'Indomethacin [USAN:BAN]', 'Indochron E-R', '2-{1-[(4-chlorophenyl)carbonyl]-5-methoxy-2-methyl-1h-indol-3-yl}acetic acid', 'Indocin (TN)', 'Aconip (TN)', 'Indomethacin (USP)', 'FLAM', 'NSC-77541', 'Indocid (pharmaceutical)', 'SR-01000000014', 'Indomethacin &amp; MAP-30', 'Indomethacin [USAN:USP]', 'Indocollyre', 'Indonol', 'Innamit', 'Inteban', '2-{1-((4-chlorophenyl)carbonyl)-5-methoxy-2-methylindol-3-yl}acetic acid', '4kyk', 'Indomethacin,(S)', 'Prestwick_597', 'Indometacin [INN]', 'Opera_ID_56', 'PubChem17620', 'Spectrum_000919', 'Tocris-1708', '1z9h', 'Prestwick0_000272', 'Prestwick1_000272', 'Prestwick2_000272', 'Prestwick3_000272', 'Spectrum2_000970', 'Spectrum3_000468', 'Spectrum4_000018', 'Spectrum5_000868', 'Lopac-I-7378', 'MolMap_000032', 'UPCMLD-DP023', 'EC 200-186-5', 'I 7378', 'Indometacin (JP17/INN)', 'SCHEMBL9300', 'Lopac0_000692', 'Oprea1_686105', 'BSPBio_000144', 'BSPBio_001149', 'BSPBio_002176', 'KBioGR_000395', 'KBioGR_000489', 'KBioSS_000489', 'KBioSS_001399', '5-22-05-00239 (Beilstein Handbook Reference)', 'KSC492C9L', 'MLS001074194', 'MLS006011845', 'ARONIS27005', 'BIDD:GT0132', 'DivK1c_000271', 'SPECTRUM1500350', 'SPBio_000979', 'SPBio_002363', 'BPBio1_000160', 'GTPL1909', 'DTXSID9020740', 'Indomethacin, &gt;=99% (TLC)', 'UPCMLD-DP023:001', 'BDBM17638', 'CGIGDMFJXJATDK-UHFFFAOYSA-', 'CTK3J2195', 'HMS500N13', 'KBio1_000271', 'KBio2_000489', 'KBio2_001399', 'KBio2_003057', 'KBio2_003967', 'KBio2_005625', 'KBio2_006535', 'KBio3_000897', 'KBio3_000898', 'KBio3_001396', 'KS-00000WRK', '1-(p-Chlorbenzoyl)-5-methoxy-2-methylindol-3-essigsaeure', 'NINDS_000271', 'Bio2_000405', 'Bio2_000885', 'HMS1362I11', 'HMS1568H06', 'HMS1792I11', 'HMS1920F21', 'HMS1990I11', 'HMS2089N19', 'HMS2091N09', 'HMS2095H06', 'HMS2231J10', 'HMS3262K05', 'HMS3268A14', 'HMS3374F07', 'HMS3403I11', 'HMS3414N13', 'HMS3430L03', 'HMS3649K17', 'HMS3655O04', 'HMS3678N11', 'HMS3712H06', 'HMS3747K21', 'Pharmakon1600-01500350', 'ZINC601283', 'ACT02579', 'BCP18951', 'Indomethacin, &gt;=99.0% (TLC)', 'Tox21_113109', 'Tox21_201791', 'Tox21_300266', 'Tox21_500692', 'AC-532', 'ANW-42683', 'CCG-40186', 'LS-187', 'NSC757061', 's1723', 'SBB057417', 'STL257874', 'AKOS000592893', 'Tox21_113109_1', 'CS-2242', 'DB00328', 'Indometacin 1.0 mg/ml in Acetonitrile', 'KS-5255', 'LP00692', 'MCULE-5636486088', 'NE11089', 'NSC-757061', 'SDCCGSBI-0050670.P005', 'IDI1_000271', 'IDI1_002160', 'KS-000048I8', 'NCGC00015562-01', 'NCGC00015562-02', 'NCGC00015562-03', 'NCGC00015562-04', 'NCGC00015562-05', 'NCGC00015562-06', 'NCGC00015562-07', 'NCGC00015562-08', 'NCGC00015562-09', 'NCGC00015562-10', 'NCGC00015562-11', 'NCGC00015562-12', 'NCGC00015562-13', 'NCGC00015562-14', 'NCGC00015562-15', 'NCGC00015562-16', 'NCGC00015562-17', 'NCGC00015562-19', 'NCGC00015562-20', 'NCGC00015562-21', 'NCGC00015562-22', 'NCGC00015562-24', 'NCGC00015562-25', 'NCGC00024135-02', 'NCGC00024135-04', 'NCGC00024135-05', 'NCGC00024135-06', 'NCGC00024135-07', 'NCGC00024135-08', 'NCGC00024135-09', 'NCGC00024135-10', 'NCGC00024135-11', 'NCGC00024135-12', 'NCGC00024135-13', 'NCGC00024135-14', 'NCGC00024135-15', 'NCGC00254075-01', 'NCGC00259340-01', 'NCGC00261377-01', 'BP-30207', 'H911', 'HY-14397', 'LS-82147', 'NCI60_041708', 'SC-17536', 'SBI-0050670.P004', 'DB-052413', 'AB00052022', 'EU-0100692', 'FT-0603227', 'I0655', 'NS00000217', 'ST50320042', 'SW196768-5', 'Indomethacin, meets USP testing specifications', 'BIM-0050670.0001', 'C01926', 'D00141', 'J10170', 'S00108', 'AB00052022-20', 'AB00052022-21', 'AB00052022_23', 'AB00052022_24', 'L000959', 'Q409231', 'Indomethacin, Antibiotic for Culture Media Use Only', 'Q-201239', 'SR-01000000014-2', 'SR-01000000014-4', 'SR-01000000014-6', 'BRD-K57222227-001-06-1', 'BRD-K57222227-001-18-6', 'BRD-K57222227-001-27-7', 'SR-01000000014-10', 'SR-01000000014-16', 'Z56784896', '1-p-chlorobenzoyl-2-methyl-5-methoxyindol-3-acetic acid', '1-(p-chlorobenzoyl)-2-methyl-5-methoxy-3-indoleacetic acid', '1-(p-chlorobenzoyl)-5-methoxy-2-methyl-3-indoleacetic acid', '1-(p-Chlorobenzoyl)-5-methoxy-2-methylindol-3-acetic acid', '1-(4-chloro-benzoyl)-5-methoxy-2-methyl-3-indolyl-acetic acid', '1-(4-Chlorobenzoyl)-2-methyl-5-methoxyindole-3-acetic acid', '1-(p-Chlorobenzoyl)-2-methyl-5-methoxy-3-indole-acetic acid', '1-(p-chlorobenzoyl)-2-methyl-5-methoxy-3-indolylacetic acid', '1-(p-chlorobenzoyl)-5-methoxy-2-methyl-3-indol acetic acid', 'Indomethacin, European Pharmacopoeia (EP) Reference Standard', 'N-(p-Chlorobenzoyl)-2-methyl-5-methoxy-3-indolylacetic acid', 'Indomethacin, United States Pharmacopeia (USP) Reference Standard', '.alpha.-(1-(p-Chlorobenzoyl)-2-methyl-5-methoxy-3-indolyl)acetic acid', '[1-(4-Chlorobenzoyl)-5-methoxy-2-methyl-1H-indol-3-yl]acetic acid #', '1-(4-Chlorobenzoyl)-5-methoxy-2-methyl-1H-indole-3-acetic acid &amp; MAP-30', '1H-Indole-3-acetic acid, 1-(4-chlorobenzoyl)-5-methoxy-2-methyl- (9CI)', '2-{1-[(4-chlorophenyl)carbonyl]-5-methoxy-2 methylindol-3-yl}acetic acid', '2-{1-[(4-chlorophenyl)carbonyl]-5-methoxy-2methylindol-3-yl}acetic acid', 'Indole-3-acetic acid, 1-(p-chlorobenzoyl)-5-methoxy-2-methyl- (8CI)', 'Indomethacin, Pharmaceutical Secondary Standard; Certified Reference Material', 'Indomethacin;Sodium 1-(4-chlorobenzoyl)-5-methoxy-2-methyl-1H-indole-3-acetate']</t>
  </si>
  <si>
    <t>Compound(3715)</t>
  </si>
  <si>
    <t>C19H16ClNO4</t>
  </si>
  <si>
    <t>indoxacarb (S isomer)</t>
  </si>
  <si>
    <t>methyl (4aS)-7-chloro-2-[methoxycarbonyl-[4-(trifluoromethoxy)phenyl]carbamoyl]-3,5-dihydroindeno[1,2-e][1,3,4]oxadiazine-4a-carboxylate</t>
  </si>
  <si>
    <t>['Indoxacarb', 'Steward', '173584-44-6', 'Provaunt', 'Advion', 'Avatar', 'Avaunt', 'Avent', '(S)-Indoxacarb', 'Indoxacarb [ISO]', 'UNII-52H0D26MWR', '(4aS)-indoxacarb', 'DPX-KN 128', 'HSDB 7280', 'DPX-MP 062-381', '52H0D26MWR', 'CHEBI:38630', 'methyl (4aS)-7-chloro-2-{(methoxycarbonyl)[4-(trifluoromethoxy)phenyl]carbamoyl}-2,5-dihydroindeno[1,2-e][1,3,4]oxadiazine-4a(3H)-carboxylate', 'methyl (4aS)-7-chloro-2-[methoxycarbonyl-[4-(trifluoromethoxy)phenyl]carbamoyl]-3,5-dihydroindeno[1,2-e][1,3,4]oxadiazine-4a-carboxylate', 'Methyl (S)-7chloro-2,5-dihydro-2-(((methoxycarbonyl)(4-(trifluoromethoxy)phenyl)amino)carbonylindeno(1,2-e)(1,3,4)oxadiazine-4a(3H)-carboxylate', 'Indeno(1,2-e)(1,3,4)oxadiazine-4a(3H)-carboxylic acid, 7-chloro-2,5-dihydro-2-(((methoxycarbonyl)(4-(trifluoromethoxy)phenyl)amino)carbonyl)-, methyl ester, (4aS)-', 'C22H17ClF3N3O7', 'Indoxacarb (JAN)', 'DSSTox_CID_12690', 'DSSTox_RID_79034', 'DSSTox_GSID_32690', 'SCHEMBL22073', 'CHEMBL197676', 'DTXSID1032690', 'Tox21_300723', 'ZINC28527855', 'NCGC00164264-02', 'NCGC00164264-03', 'NCGC00254629-01', '174060-41-4', 'AS-35129', 'LS-81841', 'M576', 'CAS-173584-44-6', 'Indoxacarb, PESTANAL(R), analytical standard', 'C18569', 'D06316', '31414-EP2274983A1', '31414-EP2305662A1', '31414-EP2308857A1', '31414-EP2308858A1', '31414-EP2311816A1', '31414-EP2311817A1', 'Q421469', 'UNII-PKL1F8Y0FV component VBCVPMMZEGZULK-NRFANRHFSA-N', '(+/-)-Indoxacarb;DPX-JW 062; DPX-MP 062; Tornado; Tornado 10FL', '(S)-methyl 7-chloro-2-(methoxycarbonyl(4-(trifluoromethoxy)phenyl)carbamoyl)-2,3,4a,5-tetrahydroindeno[1,2-e][1,3,4]oxadiazine-4a-carboxylate', 'Indeno[1,2-e][1,3,4]oxadiazine-4a(3H)-carboxylic acid, 7-chloro-2,5-dihydro-2-[[(methoxycarbonyl)[4-(trifluoromethoxy)phenyl]amino]carbonyl]-, methyl ester, (4aS)-;indoxacarb (ISO); methyl (4aS)-7-chloro-2-{(methoxycarbonyl)[4-(trifluoromethoxy)phenyl]carbamoyl}-2,5-dihydroindeno[1,2-e][1,3,4]oxadiazine-4a(3H)-carboxylate', 'Pesticide3_Indoxacarb_C22H17ClF3N3O7_Methyl (4aS)-7-chloro-2-{(methoxycarbonyl)[4-(trifluoromethoxy)phenyl]carbamoyl}-2,5-dihydroindeno[1,2-e][1,3,4]oxadiazine-4a(3H)-carboxylate']</t>
  </si>
  <si>
    <t>Compound(107720)</t>
  </si>
  <si>
    <t>C22H17ClF3N3O7</t>
  </si>
  <si>
    <t>indoxacarb (R isomer)</t>
  </si>
  <si>
    <t>methyl (4aR)-7-chloro-2-[methoxycarbonyl-[4-(trifluoromethoxy)phenyl]carbamoyl]-3,5-dihydroindeno[1,2-e][1,3,4]oxadiazine-4a-carboxylate</t>
  </si>
  <si>
    <t>['(R)-Indoxacarb', '(-)-indoxacarb', 'UNII-610LV0BX3Y', '610LV0BX3Y', '185608-75-7', 'Indoxacarb, (-)-', 'Indoxacarb, (R)-', 'DPX-KN-127', 'IN-KN-127', 'SCHEMBL8466728', 'Indeno(1,2-E)(1,3,4)oxadiazine-4a(3H)-carboxylic acid, 7-chloro-2,5-dihydro-2-(((methoxycarbonyl)(4-(trifluoromethoxy)phenyl)amino)carbonyl)-, methyl ester, (4aR)-', 'Q27263265', 'UNII-PKL1F8Y0FV component VBCVPMMZEGZULK-OAQYLSRUSA-N', '(4aR)-7-Chloro-2,3,4a,5-tetrahydro-2-[methoxycarbonyl(4-trifluoromethoxyphenyl)carbamoyl]indeno[1,2-e][1,3,4]oxadiazine-4a-carboxylic acid methyl ester']</t>
  </si>
  <si>
    <t>Compound(18772464)</t>
  </si>
  <si>
    <t>ioxynil octanoate</t>
  </si>
  <si>
    <t>(4-cyano-2,6-diiodophenyl) octanoate</t>
  </si>
  <si>
    <t>['Ioxynil octanoate', 'Totril', '3861-47-0', '4-Cyano-2,6-diiodophenyl octanoate', '3,5-Diiodo-4-hydroxybenzonitrile octanoate', 'UNII-75K1F1JBKR', '3,5-Diiodo-4-octanoyloxybenzonitrile', 'RIP-15830', 'Octanoic acid, 4-cyano-2,6-diiodophenyl ester', '(4-cyano-2,6-diiodophenyl) octanoate', 'Ioxynil octanoate [BSI:ISO]', 'Benzonitrile, 3,5-diiodo-4-hydroxy-, octanoate', 'Benzonitrile, 3,5-diiodo-4-octanoyloxy-', 'M&amp;B 11,461', 'EINECS 223-375-4', 'BRN 2756640', '75K1F1JBKR', '4-Cyano-2,6-dijodphenol caprysaeureester', 'CHEBI:81928', '3,5-Dijod-4-hydroxy-benzonitril caprysaeureester', '4-Cyano-2,6-dijodphenol caprysaeureester [German]', '3,5-Dijod-4-hydroxy-benzonitril caprysaeureester [German]', 'Octanoic acid, ester with 4-hydroxy-3,5-diiodobenzonitrile', 'Octanoic acid, (4-cyano-2,6-diiodo)phenyl ester', 'W-106475', 'Ioxynil-octanoate', 'SCHEMBL164304', 'CHEMBL2272565', 'DTXSID8042054', 'QBEXFUOWUYCXNI-UHFFFAOYSA-', 'ZINC43068643', 'AKOS015888351', 'ACM3861470', 'LS-97961', 'Ioxynil-octanoate 10 microg/mL in Isooctane', 'NS00019609', 'C18740', '861I470', 'Ioxynil-octanoate, PESTANAL(R), analytical standard', 'Q27155659']</t>
  </si>
  <si>
    <t>Compound(19730)</t>
  </si>
  <si>
    <t>C15H17I2NO2</t>
  </si>
  <si>
    <t>iprodione</t>
  </si>
  <si>
    <t>3-(3,5-dichlorophenyl)-2,4-dioxo-N-propan-2-ylimidazolidine-1-carboxamide</t>
  </si>
  <si>
    <t>['IPRODIONE', '36734-19-7', 'Rovral', 'Glycophene', 'Glycophen', 'Iprodial', 'Promidione', 'Verisan', 'Kidan', 'Rovral flo', 'Rovral PM', 'Anfor', 'Rovrol', 'Rovral 50WP', 'Chipco 26019', '3-(3,5-Dichlorophenyl)-N-isopropyl-2,4-dioxoimidazolidine-1-carboxamide', 'NRC 910', 'LFA 2043', 'Iprodione [ANSI:BSI:ISO]', '3-(3,5-Dichlorophenyl)-N-(1-methylethyl)-2,4-dioxo-1-imidazolidinecarboxamide', 'Caswell No. 470A', 'Iprodine', 'ROP 500 F', 'MRC 910', '26019 rp', 'UNII-S3AYV2A6EU', 'RP 26019', 'FA 2071', '1-Imidazolidinecarboxamide, 3-(3,5-dichlorophenyl)-N-(1-methylethyl)-2,4-dioxo-', 'HSDB 6855', '1-Isopropyl carbamoyl-3-(3,5-dichlorophenyl)-hydantoin', '26 019 rp', 'EINECS 253-178-9', 'S3AYV2A6EU', 'EPA Pesticide Chemical Code 109801', 'BRN 0895003', 'C13H13Cl2N3O3', 'CHEBI:28909', '3-(3,5-Dichlorophenyl)hydantoin-1-carboxylic acid isopropylamide', '3-(3,5-Dichlorophenyl)-2,4-dioxo-N-isopropylimidazolidine-1-carboxamide', '3-(3,5-dichlorophenyl)-2,4-dioxo-N-propan-2-ylimidazolidine-1-carboxamide', 'DSSTox_CID_4154', '3-(3,5-Dichlorophenyl)-N-isopropyl-2,4-dioxo-1-imidazolidinecarboximide (ACN)', 'DSSTox_RID_77307', 'DSSTox_GSID_24154', '61840-50-4', '3-(3,5-Dichlorophenyl)-1-(1-methylethyl)carbamoylhydantion', '3-(3,5-dichlorophenyl)-1-(1-methylethyl)carbamoylhydantoin', 'glycophen anphor', '3-(3,5-dichlorophenyl)-2,4-dioxo-N-(propan-2-yl)imidazolidine-1-carboxamide', '3-(3,5-dichlorophenyl)-2,4-dioxo-N-propan-2-yl-1-imidazolidinecarboxamide', 'Rovral HN', '3-(3,5-dichloro-2,4,6-trideuteriophenyl)-2,4-dioxo-N-propan-2-ylimidazolidine-1-carboxamide', 'CAS-36734-19-7', 'IPCDPH', 'Turbair roval', 'Roval green', 'Roval dust', 'Roval flo', 'Iprodione-d3', 'CDA roval', '[3-(3,5-dichlorophenyl)-2,4-dioxo(1,3-diazolidinyl)]-N-(methylethyl)carboxamid e', 'Roval WP', 'Iprodione (Glycophen)', 'SCHEMBL22416', '5-24-05-00201 (Beilstein Handbook Reference)', 'BIDD:ER0463', '1-isopropylcarbamoyl-3-(3,5-dichlorophenyl)hydantoin', 'DOP 500F', 'CHEMBL1862887', 'DTXSID3024154', 'CTK5B3816', 'ZINC154980', 'DNDI1729589', 'HY-B1978', 'Tox21_201676', 'Tox21_300865', 'SBB057025', 'AKOS015907767', 'ACN-048920', 'Iprodione 10 microg/mL in Cyclohexane', 'MCULE-9870049061', 'ACM36734197', 'Iprodione 100 microg/mL in Cyclohexane', 'Iprodione 100 microg/mL in Acetonitrile', 'NCGC00163788-01', 'NCGC00163788-02', 'NCGC00163788-03', 'NCGC00163788-04', 'NCGC00163788-05', 'NCGC00254769-01', 'NCGC00259225-01', 'AS-14781', 'LS-79022', 'M578', 'AX8020474', 'DB-048992', 'CS-0014077', 'FT-0630595', 'NS00000494', 'ST50994009', 'Iprodione, PESTANAL(R), analytical standard', 'C11208', '734I197', 'A823352', 'Q411542', '1-isopropylcarbamoyl-3-(3,5-dichlorophenyl)-hydantoin', 'Iprodione solution, 100 mug/mL in acetone, analytical standard', '3-(3,5-Dichlorophenyl)-N-isopropyl-2,4-dioxo-1-imidazolidinecarboxamide #', 'N-(3,5-dichlorophenyl)3-isopropyl-2,4-dioxoimidazoline-1-carboxamide', '[3-(3,5-Dichlorophenyl)-2,4-dioxoimidazolidinyl]-N-(methylethyl)carboxamide, 97%', '3-(3,5-dichlorophenyl)-2,4-dioxo-N-(propan-2-yl)-imidazolidine-1-carboxamide', '3-(3,5-DICHLOROPHENYL)-2,4-DIOXO-N-PROPAN-2-YL-IMIDAZOLIDINE-1-CARBOXAMIDE', '3-(3,5-Dichlorophenyl)-N-(1-methylethyl)-2,4-dioxo-1-imidazolidinecarboxamide, 9CI', '3-(3,5-dichlorophenyl)-N-(1-methylethyl)-2,4-dioxoimidazolidine-1-carboxamide', '3-(3,5-Dichlorophenyl)-2,4-dioxo-N-isopropylimidaz;iprodione;3-(3,5-dichlorophenyl)-2,4-dioxo-N-isopropylimidazolidine-1-carboxamide', '3-[3,5-bis(chloranyl)phenyl]-2,4-bis(oxidanylidene)-N-propan-2-yl-imidazolidine-1-carboxamide']</t>
  </si>
  <si>
    <t>Compound(37517)</t>
  </si>
  <si>
    <t>C13H13Cl2N3O3</t>
  </si>
  <si>
    <t>(2-propan-2-ylphenyl) N-methylcarbamate</t>
  </si>
  <si>
    <t>['Isoprocarb', '2631-40-5', 'Etrofolan', '2-Isopropylphenyl methylcarbamate', 'Mipcin', 'o-Cumenyl methylcarbamate', 'Mipcine', 'Hytox', '2-Isopropylphenyl N-methylcarbamate', 'Mipsin', 'o-Cumenyl N-methylcarbamate', 'MIPC', 'o-Isopropylphenol methylcarbamate', 'Isoprocarbe', 'o-Isopropylphenyl methylcarbamate', 'PPC 3', 'Isopropylphenol methylcarbamate', 'o-Isopropylphenyl N-methylcarbamate', 'BAY 39731', 'ENT 25670', 'Bayer 39731', 'Phenol, 2-(1-methylethyl)-, methylcarbamate', 'Ro 7-5050', 'Carbamic acid, methyl-, o-cumenyl ester', 'KHE 0145', 'Caswell No. 512B', 'BAY 105807', 'NSC 191479', 'Isoprocarb [BSI:ISO]', '2-(1-Methylethyl)phenol methylcarbamate', '2-(1-Methylethyl)phenyl methylcarbamate', '(2-propan-2-ylphenyl) N-methylcarbamate', 'Isoprocarbe [ISO-French]', 'Phenol, O-isopropyl-, methylcarbamate', 'Carbamic acid, methyl-, o-isopropylphenyl ester', 'UNII-714I55QH9K', 'OMS 32', 'OMS-32', 'Phenol, 2-(1-methylethyl)-, 1-(N-methylcarbamate)', 'Carbamic acid, methyl-, 2-(1-methylethyl)phenyl ester', 'EINECS 220-114-6', 'EPA Pesticide Chemical Code 512300', 'Bayer 39,731', 'BRN 1875020', 'AI3-25670', 'Isopropyl phenylmethyl carbamate', 'CHEBI:38505', 'N-Methyl-2-isopropylphenylcarbam', '714I55QH9K', 'Methylcarbamic acid, o-cumenyl ester', '2-(propan-2-yl)phenyl methylcarbamate', 'Etrolan', 'Isoprocarb (I)', 'Isoprocarb (II)', '2-(propan-2-yl)phenyl N-methylcarbamate', 'MIPC, JMAF', 'Isoprocarb, BSI, ISO', 'Cumenyl N-methylcarbamate', 'WLN: 1YR BOVM1', 'DSSTox_CID_22072', 'DSSTox_RID_79915', 'DSSTox_GSID_42072', 'SCHEMBL64155', '4-06-00-03212 (Beilstein Handbook Reference)', 'Carbamic acid, o-cumenyl ester', 'CHEMBL2251586', 'DTXSID6042072', 'CTK8E4060', 'QBSJMKIUCUGGNG-UHFFFAOYSA-', 'ZINC400176', 'N-Methyl-2-isopropylphenylcarbamate', 'Tox21_301361', 'FCH831903', 'NSC191479', '2-isopropyl-phenyl N-methyl-carbamate', 'AKOS006229087', 'Carbamic acid, o-isopropylphenyl ester', 'ACM2631405', 'MCULE-1528987083', 'NSC-191479', 'NCGC00160600-01', 'NCGC00255918-01', 'CC-28336', 'LS-50096', 'Q530', '2-(1-Methylethyl)-phenol methyl-carbamate', 'CAS-2631-40-5', '2-Isopropylphenyl methylcarbamate;isoprocarb', 'AX8135227', 'DB-046926', 'FT-0603616', 'NS00010531', '2-(1-Methylethyl)phenyl methylcarbamate, 9CI', 'Isoprocarb, PESTANAL(R), analytical standard', 'C18418', '631I405', 'C-08572', 'J-016376', 'Q27117880']</t>
  </si>
  <si>
    <t>Compound(17517)</t>
  </si>
  <si>
    <t>di(propan-2-yloxy)phosphorylsulfanylmethylbenzene</t>
  </si>
  <si>
    <t>['Iprobenfos', 'Kitazin P', '26087-47-8', 'Ricid II', 'Iprofenfos', 'Kitazin L', 'Ricid P', 'S-BENZYL O,O-DIISOPROPYL PHOSPHOROTHIOATE', 'Iprobenfos [BSI:ISO]', 'S-Benzyl diisopropyl phosphorothioate', 'O,O-Diisopropyl S-benzyl thiophosphate', 'O,O-Diisopropyl-S-benzylthiophosphate', 'O,O-Diisopropyl S-benzyl phosphorothiolate', 'Phosphorothioic acid, S-benzyl O,O-diisopropyl ester', 'S-Benzyl diisopropylphosphorothiolate', 'UNII-OV3YOE2895', 'O,O-Bis(1-methylethyl) S-(phenylmethyl)phosphorothioate', 'EINECS 247-449-0', 'S-Benzyl O,O-diisopropyl thiophosphate', 'BRN 1974687', 'O,O-Diisopropyl S-Benzyl phosphorothioate', 'OV3YOE2895', 'CHEBI:79737', 'Phosphorothioic acid, O,O-bis(1-methylethyl) S-(phenylmethyl) ester', 'O,O-Diisopropyl-S-benzylester kyseliny thiofosforecne', 'O,O-Diisopropyl-S-benzylester kyseliny thiofosforecne [Czech]', 'di(propan-2-yloxy)phosphorylsulfanylmethylbenzene', 'O,O-Bis(1-methylethyl) S-phenylmethyl phosphorothioate', 'C13H21O3PS', 'SCHEMBL22179', 'BIDD:ER0434', 'CHEMBL388384', 'DTXSID7058040', 'O,O-Bis(1-methylethyl) S-phenylmethyl phosphorothioate (9CI)', 'HY-B1863', 'AKOS015888320', 'Iprobenfos 1000 microg/mL in Acetone', 'ACM26087478', 'Iprobenfos 10 microg/mL in Cyclohexane', 'Iprobenfos 10 microg/mL in Acetonitrile', 'CC-29585', 'O268', 'DB-046828', 'LS-108376', 'bis(propan-2-yl) (benzylsulfanyl)phosphonate', 'CS-0013929', 'FT-0630522', 'NS00003998', 'S-benzyl O,O-dipropan-2-yl phosphorothioate', 'Iprobenfos, PESTANAL(R), analytical standard', 'C15230', 'S-benzyl diisopropyl phosphorothioate;Iprobenfos', 'S-Benzyl O,O-diisopropyl phosphorothioate, 8CI', '087I478', 'C-18132', 'Isokitazine; Kitazin 17; Kitazin L; Kitazin P;IBP', 'J-016247', 'Q15632755', 'O,O-Bis(1-methylethyl) S-phenylmethyl phosphorothioate, 9CI', 'Iprobenfos solution, 100 ng/muL in methanol, PESTANAL(R), analytical standard']</t>
  </si>
  <si>
    <t>Compound(33294)</t>
  </si>
  <si>
    <t>C13H21O3PS</t>
  </si>
  <si>
    <t>2-propan-2-yloxyethanol</t>
  </si>
  <si>
    <t>['2-Isopropoxyethanol', '109-59-1', 'Isopropyl cellosolve', 'Isopropyl oxitol', 'Dowanal EiPAT', 'Ethylene glycol isopropyl ether', 'Isopropyl glycol', 'ISOPROPOXYETHANOL', 'Ucar AC', 'Ethanol, 2-isopropoxy-', 'Ethylene glycol monoisopropyl ether', 'Ethanol, 2-(1-methylethoxy)-', 'Isopropylethanediol', 'Dowanol EiPAT', '2-(1-Methylethoxy)ethanol', '2-Isopropoxy-ethanol', 'Monoisopropyl ether of ethylene glycol', 'Iso-propyl glycol ether', 'beta-Hydroxyethyl isopropyl ether', 'UNII-9L4RL5EKZC', 'NSC 1259', 'Isopropylethylene glycol ether', '2-isopropoxy ethanol', 'HSDB 2831', 'Ethylene glycol, monoisopropyl ether', 'EINECS 203-685-6', '9L4RL5EKZC', 'BRN 1732184', 'AI3-03871', '2-[(1-methylethyl)oxy]ethanol', '2-(propan-2-yloxy)ethan-1-ol', 'Ethylene glycol monisopropyl ether', '.beta.-Hydroxyethyl isopropyl ether', 'Ipg', '2-(isopropyloxy)ethanol', '2-isopropoxy-1-ethanol', 'ACMC-1BSTE', 'EC 203-685-6', '2-Isopropoxyethanol, 99%', '2-(propan-2-yloxy)ethanol', 'DSSTox_CID_27466', 'DSSTox_RID_82366', 'Ethylene glycol monoisopropyl', 'DSSTox_GSID_47466', '4-Methyl-3-oxa-1-pentanol', 'SCHEMBL165976', 'CHEMBL3187409', 'DTXSID4047466', 'CTK3I9651', 'KS-00000WFU', 'NSC1259', 'WLN: Q2OY1 &amp; 1', 'NSC-1259', 'ZINC1591818', 'Tox21_301136', 'ANW-16068', 'MFCD00002866', 'AKOS000120277', 'MCULE-8766149613', 'NCGC00248303-01', 'NCGC00255035-01', 'CAS-109-59-1', 'LS-66839', 'E0110', 'FT-0626332', 'NS00009373', 'Z1899', 'W-109400', 'Q15632912', 'Z1259087033']</t>
  </si>
  <si>
    <t>Compound(7996)</t>
  </si>
  <si>
    <t>dipropan-2-yl 2-(1,3-dithiolan-2-ylidene)propanedioate</t>
  </si>
  <si>
    <t>['ISOPROTHIOLANE', '50512-35-1', 'Fudiolan', 'Fujione', 'Diisopropyl 2-(1,3-dithiolan-2-ylidene)malonate', 'IPT (pesticide)', 'Fuji 1', 'NKK 100', 'diisopropyl 1,3-dithiolan-2-ylidenemalonate', 'Di-isopropyl 1,3-dithiolane-2-ylidenemalonate', 'Isoprothiolane [BSI:ISO]', 'NNF-109', 'bis(1-methylethyl) 1,3-dithiolan-2-ylidenepropanedioate', 'SS 11946', 'dipropan-2-yl 2-(1,3-dithiolan-2-ylidene)propanedioate', 'Propanedioic acid, 1,3-dithiolan-2-ylidene-, bis(1-methylethyl) ester', 'UNII-88HCS898G6', 'IPT', 'BRN 2128528', 'CHEBI:6047', '88HCS898G6', '1,3-Dithiolan-2-ylidenepropanedioic acid, bis(1-methylethyl) ester', 'di(propan-2-yl) 1,3-dithiolan-2-ylidenemalonate', 'Fuji-one', 'SCHEMBL71267', 'BIDD:ER0504', 'CHEMBL35280', 'diisopropyl 2-(1,3-dithiolan-2-ylidene)propanedioate', 'DTXSID8058110', 'CTK8E5654', 'UFHLMYOGRXOCSL-UHFFFAOYSA-', 'C12H18O4S2', 'Isoprothiolane, analytical standard', 'Bis(1-methylethyl) 1,3-dithiolan-2-ylidenepropanedioate (9CI)', 'HY-B1858', 'ZINC1532162', 'AKOS015898851', 'ACM50512351', 'AS-15491', 'CC-29701', 'Fuji-one; IPT;NKK 100; NNF 109', 'P594', 'Isoprothiolane 1000 microg/mL in Acetone', 'AX8014238', 'DB-051783', 'Isoprothiolane 10 microg/mL in Acetonitrile', 'Isoprothiolane 10 microg/mL in Cyclohexane', 'LS-120086', 'CS-0013924', 'FT-0630634', 'NS00001248', 'C11111', 'diisopropyl (1,3-dithiolan-2-ylidene)malonate', 'M-1326', '512I351', 'A828146', 'C-18231', 'Diisopropyl 2-(1,3-dithiolan-2-ylidene)malonate #', 'Q18816455', 'Bis(1-methylethyl) 1,3-dithiolan-2-ylidenepropanedioate, 9CI', '1,3-bis(propan-2-yl) 2-(1,3-dithiolan-2-ylidene)propanedioate', '2-(1,3-dithiolan-2-ylidene)propanedioic acid dipropan-2-yl ester']</t>
  </si>
  <si>
    <t>Compound(39681)</t>
  </si>
  <si>
    <t>C12H18O4S2</t>
  </si>
  <si>
    <t>1,1-dimethyl-3-(4-propan-2-ylphenyl)urea</t>
  </si>
  <si>
    <t>['ISOPROTURON', '34123-59-6', '3-(4-Isopropylphenyl)-1,1-dimethylurea', 'Graminon', 'Tolkan', 'Arelon', 'Belgran', 'Arelon R', 'Nocilon', 'IPU Stefes', 'IP-Flo', 'Alon', 'Hytane 500L', 'DPX 6774', 'Zodiac TX', '3-p-Cumenyl-1,1-dimethylurea', 'HOE 16410', 'N-4-Isopropylphenyl-N,N-dimethylurea', 'Iprofile', 'Isoproturon [BSI:ISO]', 'CL 12150', 'IP 50', "Urea, N,N-dimethyl-N'-[4-(1-methylethyl)phenyl]-", '1,1-dimethyl-3-(4-propan-2-ylphenyl)urea', 'Urea, 3-p-cumenyl-1,1-dimethyl-', 'CGA-18731', 'UNII-66066K098P', 'Urea, 1,1-dimethyl-3-(p-isopropylphenyl)-', 'EINECS 251-835-4', "N,N-Dimethyl-N'-(4-(1-methylethyl)phenyl)urea", 'BRN 2214033', 'CHEBI:6049', "N-(4-Isopropylphenyl)-N',N'-dimethylharnstoff", "N-(Isopropyl-4-phenyl)-N',N'-dimethyluree [French]", "N-(4-Isopropylphenyl)-N',N'-dimethylharnstoff [German]", '66066K098P', '1,1-dimethyl-3-[4-(propan-2-yl)phenyl]urea', "N,N-Dimethyl-N'-[4-(1-methylethyl)phenyl]urea", 'Protugan', "Urea, N,N-dimethyl-N'-(4-(1-methylethyl)phenyl)-", 'Tolken', 'Isoproturon_286_ p', '35689 R.P.', "N-(Isopropyl-4-phenyl)-N',N'-dimethyluree", '3,3-dimethyl-1-[4-(propan-2-yl)phenyl]urea', 'DSSTox_CID_22077', 'DSSTox_RID_79917', 'DSSTox_GSID_42077', 'SCHEMBL62200', 'IP50', 'Isoproturon, analytical standard', 'CHEMBL2251591', 'DTXSID1042077', 'CTK7G2121', 'HSDB 6689', 'ZINC392884', 'HY-B1859', 'KS-000025XV', 'Tox21_301329', "4-isopropylphenyl-N',N'-dimethylurea", 'AKOS002959799', 'GS-3581', 'MCULE-9109631936', 'ACM34123596', 'NCGC00255738-01', '1,1-dimethyl-3-(p-isopropylphenyl)-urea', 'AK116472', 'Isoproturon 10 microg/mL in Acetonitrile', 'M591', "N'-(4-Isopropylphenyl)-N,N-dimethylurea", 'SC-18674', '3-(4-isopropylphenyl)-1,1-dimethyl-urea', 'Isoproturon 100 microg/mL in Acetonitrile', '35689 R.P', 'AX8135346', 'CAS-34123-59-6', 'DB-048570', 'LS-160004', "N-(4-Isopropylphenyl)-N',N'-dimethylurea", 'CS-0013926', 'FT-0613679', 'FT-0670547', 'I0843', 'NS00000260', 'C11005', 'Isoproturon, PESTANAL(R), analytical standard', 'K-7821', "N,N-Dimethyl-N'-[4-(propan-2-yl)phenyl]urea", '3-(4-ISOPROPYLPHENYL)-1,1-DIMETHYL UREA', 'A822082', 'C-10318', 'J-019459', 'Q2184565', 'Isoproturon / 3-(4-isopropylphenyl)-1,1-dimethylurea', 'Isoproturon solution, 100 ng/muL in acetonitrile, PESTANAL(R), analytical standard', 'Urea, 3-(4-isopropylphenyl)-1,1-dimethyl-;3-(4-isopropylphenyl)-1,1-dimethylurea;isoproturon']</t>
  </si>
  <si>
    <t>Compound(36679)</t>
  </si>
  <si>
    <t>C12H18N2O</t>
  </si>
  <si>
    <t>propan-2-yl N-[(2S)-3-methyl-1-[1-(4-methylphenyl)ethylamino]-1-oxobutan-2-yl]carbamate</t>
  </si>
  <si>
    <t>['Iprovalicarb', '140923-17-7', '(RS)-iprovalicarb', 'Fencaramid', 'Melody', 'CHEBI:82023', 'SZX 0722', 'Iprovalicarb [ISO:BSI]', 'Nanogen code IPV, NIUS', 'propan-2-yl N-[(2S)-3-methyl-1-[1-(4-methylphenyl)ethylamino]-1-oxobutan-2-yl]carbamate', 'Iprovalicarb (I)', 'Carbamic acid, (1S)-2-methyl-1-1-(4-methylphenyl)ethylaminocarbonylpropyl-, 1-methylethyl ester', 'Iprovalicarb (II)', 'Iprovalicarb Isomer 1', 'DSSTox_CID_27662', 'DSSTox_RID_82485', 'DSSTox_GSID_47662', 'SCHEMBL3030564', 'CHEMBL3188690', 'DTXSID0047662', 'isopropyl 2-methyl-1-{((RS)-1-p-tolylethyl)carbamoyl}-(S)-propylcarbamate', '1-methylethyl ((1S)-2-methyl-1-(((1-(4-methylphenyl)ethyl)amino)carbonyl)propyl)carbamate', 'Tox21_303633', 'NCGC00256659-01', 'Iprovalicarb 10 microg/mL in Acetonitrile', 'CAS-140923-17-7', 'C18866', 'Q27155695', 'isopropyl (2S)-3-methyl-1-oxo-1-(1-p-tolylethylamino)butan-2-ylcarbamate', 'isopropyl [(1S)-2-methyl-1-{[(1RS)-1-p-tolylethyl]carbamoyl}propyl]carbamate', 'Propan-2-yl [(2S)-3-methyl-1-{[1-(4-methylphenyl)ethyl]amino}-1-oxobutan-2-yl]carbamate', '1-methylethyl N-[(1S)-2-methyl-1-[[[1-(4-methylphenyl)ethyl]amino]carbonyl]propyl]carbamate', 'Carbamic acid, ((1S)-2-methyl-1-(((1-(4-methylphenyl)ethyl)amino)carbonyl)propyl)-, 1-methylethyl ester', 'Pesticide3_Iprovalicarb Isomer 1*_C18H28N2O3_Isopropyl [(2S)-3-methyl-1-{[1-(4-methylphenyl)ethyl]amino}-1-oxo-2-butanyl]carbamate']</t>
  </si>
  <si>
    <t>Compound(10958189)</t>
  </si>
  <si>
    <t>C18H28N2O3</t>
  </si>
  <si>
    <t>['ISOQUINOLINE', '119-65-3', '2-Azanaphthalene', '2-Benzazine', 'Leucoline', 'Benzo[c]pyridine', 'Isochinolin', 'beta-Quinoline', 'Benzo(c)pyridine', '2-Benzanine', '3,4-Benzopyridine', '.beta.-Quinoline', 'Isochinolin [Czech]', 'NSC 3395', 'UNII-JGX76Y85M6', 'FEMA No. 2978', 'CCRIS 5752', 'Isoquinoline, 97%', 'EINECS 204-341-8', 'AI3-10035', 'JGX76Y85M6', 'CHEBI:16092', 'MFCD00006898', 'ISQ', 'isoquinolin', 'beta -quinoline', 'PubChem7536', 'Isoquinoline-5,8-D2', 'ACMC-1C9TZ', 'EC 204-341-8', 'SCHEMBL9654', 'DSSTox_CID_27644', 'DSSTox_RID_82471', 'DSSTox_GSID_47644', 'WLN: T66 CNJ', 'KSC176K7F', 'CHEMBL12315', 'SCHEMBL4543153', 'SCHEMBL6506458', 'SCHEMBL8569035', 'DTXSID2047644', 'BDBM60921', 'CTK0H6572', 'FEMA 2978', 'Isoquinoline, analytical standard', 'NSC3395', 'ZINC896098', 'BCP23537', 'BCP27363', 'NSC-3395', 'Tox21_302503', 'ANW-17357', 'BBL011362', 'MFCD31699977', 'SBB060380', 'STL146455', 'AKOS000119148', 'CM14380', 'CS-W013448', 'DB04329', 'EBD2220092', 'HY-W012732', 'LS-2875', 'MCULE-5359867154', 'MP-2115', 'PS-5337', 'RTE3_000001', 'Isoquinoline, technical grade, 90-92%', 'NCGC00188120-01', 'NCGC00256872-01', 'AK105903', 'CAS-119-65-3', 'I900', 'SC-46258', 'SY246282', '8-(1,4-diazepan-1-ylsulfonyl)isoquinoline', 'DB-003694', 'FT-0627506', 'I0182', 'NS00010835', 'ST51046570', 'PK04_181276', '5731-EP2268617A1', '5731-EP2269978A2', '5731-EP2269985A2', '5731-EP2269991A2', '5731-EP2270004A1', '5731-EP2270010A1', '5731-EP2270505A1', '5731-EP2272517A1', '5731-EP2272537A2', '5731-EP2272813A2', '5731-EP2272828A1', '5731-EP2272832A1', '5731-EP2272843A1', '5731-EP2272972A1', '5731-EP2272973A1', '5731-EP2275395A2', '5731-EP2275401A1', '5731-EP2275411A2', '5731-EP2275412A1', '5731-EP2277858A1', '5731-EP2277872A1', '5731-EP2280000A1', '5731-EP2281563A1', '5731-EP2281815A1', '5731-EP2281817A1', '5731-EP2281818A1', '5731-EP2284150A2', '5731-EP2284151A2', '5731-EP2284152A2', '5731-EP2284153A2', '5731-EP2284155A2', '5731-EP2284156A2', '5731-EP2284157A1', '5731-EP2284159A1', '5731-EP2284164A2', '5731-EP2284174A1', '5731-EP2284920A1', '5731-EP2285800A1', '5731-EP2287140A2', '5731-EP2287148A2', '5731-EP2287150A2', '5731-EP2287165A2', '5731-EP2287166A2', '5731-EP2289871A1', '5731-EP2289890A1', '5731-EP2289894A2', '5731-EP2292586A2', '5731-EP2292590A2', '5731-EP2292592A1', '5731-EP2292593A2', '5731-EP2292611A1', '5731-EP2292620A2', '5731-EP2292630A1', '5731-EP2295419A2', '5731-EP2295429A1', '5731-EP2295432A1', '5731-EP2295433A2', '5731-EP2295439A1', '5731-EP2298732A1', '5731-EP2298750A1', '5731-EP2298755A1', '5731-EP2298761A1', '5731-EP2298767A1', '5731-EP2298770A1', '5731-EP2301536A1', '5731-EP2301538A1', '5731-EP2301912A2', '5731-EP2301913A1', '5731-EP2301914A1', '5731-EP2301916A2', '5731-EP2301918A1', '5731-EP2301923A1', '5731-EP2301937A1', '5731-EP2303845A2', '5731-EP2305219A1', '5731-EP2305250A1', '5731-EP2305257A1', '5731-EP2305260A1', '5731-EP2305637A2', '5731-EP2305640A2', '5731-EP2305648A1', '5731-EP2305695A2', '5731-EP2305696A2', '5731-EP2305697A2', '5731-EP2305698A2', '5731-EP2308510A1', '5731-EP2308562A2', '5731-EP2308832A1', '5731-EP2308840A1', '5731-EP2308848A1', '5731-EP2308849A1', '5731-EP2308850A1', '5731-EP2308863A1', '5731-EP2308873A1', '5731-EP2308874A1', '5731-EP2308926A1', '5731-EP2309564A1', '5731-EP2311455A1', '5731-EP2311796A1', '5731-EP2311797A1', '5731-EP2311798A1', '5731-EP2311799A1', '5731-EP2311824A1', '5731-EP2311825A1', '5731-EP2311826A2', '5731-EP2311842A2', '5731-EP2314295A1', '5731-EP2314575A1', '5731-EP2314587A1', '5731-EP2316452A1', '5731-EP2316459A1', '5731-EP2316470A2', '5731-EP2316832A1', '5731-EP2316833A1', '5731-EP2316905A1', '5731-EP2316906A2', '5731-EP2371811A2', '5731-EP2371831A1', '5731-EP2372804A1', '5731-EP2378585A1', 'C06323', 'A804333', 'Q412316', 'W-108502', 'F0001-0310', '2241982-85-2', 'isoquinoline;Isoquinolinium chloride;Isoquinoline, reaction products with benzyl chloride and quinoline']</t>
  </si>
  <si>
    <t>Compound(8405)</t>
  </si>
  <si>
    <t>C9H7N</t>
  </si>
  <si>
    <t>2-butyl-3-[[4-[2-(2H-tetrazol-5-yl)phenyl]phenyl]methyl]-1,3-diazaspiro[4.4]non-1-en-4-one</t>
  </si>
  <si>
    <t>['irbesartan', '138402-11-6', 'Aprovel', 'Avapro', 'Karvea', 'SR-47436', 'BMS-186295', 'BMS 186295', 'SR 47436', 'UNII-J0E2756Z7N', 'CHEMBL1513', "2-butyl-3-{[2'-(1H-tetrazol-5-yl)biphenyl-4-yl]methyl}-1,3-diazaspiro[4.4]non-1-en-4-one", '8-butyl-7-[[4-[2-(2H-tetrazol-5-yl)phenyl]phenyl]methyl]-7,9-diazaspiro[4.4]non-8-en-6-one', 'CHEBI:5959', 'C25H28N6O', 'J0E2756Z7N', "1,3-Diazaspiro[4.4]non-1-en-4-one, 2-butyl-3-[[2'-(2H-tetrazol-5-yl)[1,1'-biphenyl]-4-yl]methyl]-", 'NCGC00095122-01', 'AK-57149', 'DSSTox_CID_3169', '2-Butyl-3-(p-(o-1H-tetrazol-5-ylphenyl)benzyl)-1,3-diazaspiro(4.4)non-1-en-4-one', '2-butyl-3-[[4-[2-(2H-tetrazol-5-yl)phenyl]phenyl]methyl]-1,3-diazaspiro[4.4]non-1-en-4-one', "2-Butyl-3-[2'-(1H-tetrazol-5-yl)biphenyl-4-ylmethyl]1,3-diaza-spiro[4.4]non-1-en-4-one", '2-butyl-3-[p-(o-1H-tetrazol-5-ylphenyl)benzyl]-1,3-diazaspiro[4.4]non-1-en-4-one', 'DSSTox_RID_76900', 'Irbesartan [USAN:INN]', 'DSSTox_GSID_23169', "1,3-Diazaspiro(4.4)non-1-en-4-one, 2-butyl-3-((2'-(1H-tetrazol-5-yl)(1,1'-biphenyl)-4-yl)methyl)-", "2-butyl-3-{[2'-(1H-tetrazol-5-yl)[1,1'-biphenyl]-4-yl]methyl}-1,3-diazaspiro[4.4]non-1-en-4-one", 'Irbetan', 'Irbesartan Krka', 'Irbesartan BMS', '[3H]irbesartan', "3-((2'-(2H-tetrazol-5-yl)biphenyl-4-yl)methyl)-2-butyl-1,3-diazaspiro[4.4]non-1-en-4-one", 'Irbesartan Winthrop', "2-BUTYL-3-[[2'-(2H-TETRAZOL-5-YL)[1,1'-BIPHENYL]-4-YL]METHYL]-1,3-DIAZASPIRO[4.4]NON-1-EN-4-ONE", 'SMR000466306', 'Avapro (TN)', 'CAS-138402-11-6', 'HSDB 8215', 'Irbesartan [USAN:USP:INN:BAN]', 'Irbesartan ,(S)', '2-butyl-3-[[4-[2-(1H-tetrazol-5-yl)phenyl]phenyl]methyl]-1,3-diazaspiro[4.4]non-1-en-4-one', "3-((2'-(1H-tetrazol-5-yl)biphenyl-4-yl)methyl)-2-butyl-1,3-diazaspiro[4.4]non-1-en-4-one", 'Irbesartan (Avapro)', 'Irbesartan(Avapro)/', "3-((2'-(1H-Tetrazol-5-yl)-[1,1'-biphenyl]-4-yl)methyl)-2-butyl-1,3-diazaspiro[4.4]non-1-en-4-one", 'PubChem21382', 'Spectrum_001751', 'Spectrum2_001675', 'Spectrum3_000994', 'Spectrum4_001122', 'Spectrum5_001288', 'SCHEMBL4246', "2-n-butyl-3-((2'-(1H-tetrazol-5-yl)biphenyl-4-yl)methyl)-1,3-diazaspiro(4,4)non-1-en-4-one", 'BSPBio_002687', 'GTPL589', 'KBioGR_001603', 'KBioSS_002231', 'MLS000759408', 'MLS001424099', 'BIDD:GT0347', 'SPECTRUM1504259', 'SPBio_001889', 'GTPL6908', 'Irbesartan (JP17/USP/INN)', 'DTXSID0023169', 'KBio2_002231', 'KBio2_004799', 'KBio2_007367', 'KBio3_001907', 'KS-00000ISW', 'EBD8758', 'BCPP000202', 'HMS1922J05', 'HMS2051L08', 'HMS2093E16', 'HMS2232F23', 'HMS3370B06', 'HMS3393L08', 'HMS3715L04', 'Pharmakon1600-01504259', 'BCP02004', 'HY-B0202', 'ZINC3872931', 'Tox21_111433', 'ABP000523', 'AC-537', 'BDBM50042235', 'CCG-39091', 'MFCD00864464', 'NSC758696', 'STK645362', 'AKOS005576396', 'AKOS015895353', 'Irbesartan, &gt;=98% (HPLC), powder', 'Tox21_111433_1', 'AB07472', 'AM90289', 'BCP9000792', 'CCG-101012', 'CS-2140', 'DB01029', 'KS-1151', 'MCULE-9617953373', 'NC00262', 'NSC-758696', 'NCGC00095122-02', 'NCGC00095122-03', 'NCGC00095122-04', 'NCGC00095122-05', 'BR-57149', 'H931', 'LS-60064', 'SC-08814', 'SBI-0206769.P001', 'AB0013366', 'FT-0601598', 'FT-0670413', 'I0859', 'NS00000387', 'S1507', 'SR-47436;BMS-186295', 'C07469', 'D00523', 'J10394', 'S-1797', '54246-EP2270011A1', '54246-EP2295406A1', '54246-EP2295422A2', '54246-EP2298772A1', '54246-EP2298776A1', '54246-EP2298779A1', '54246-EP2301923A1', '54246-EP2301931A1', '54246-EP2305219A1', '54246-EP2308562A2', '54246-EP2308839A1', 'AB00639954-06', 'AB00639954_07', 'AB00639954_08', '402I116', 'A807387', 'L000319', 'Q947266', 'SR-05000001997', 'Q-201249', 'SR-05000001997-1', 'BRD-K60038276-001-02-5', 'BRD-K60038276-001-03-3', 'Irbesartan, European Pharmacopoeia (EP) Reference Standard', 'Irbesartan, United States Pharmacopeia (USP) Reference Standard', "2-butyl-3-[2'-(1h-tetrazol-5-yl)-biphenyl-4-ylmethyl]-1,3-diaza-spiro[", "2-butyl-3-[2'-(1h-tetrazol-5-yl)biphenyl-4-ylmethyl]1,3-diaza-spiro[", 'Irbesartan, Pharmaceutical Secondary Standard; Certified Reference Material', '2-butyl-3-[ p -( o -1 H -tetrazol-5-ylphenyl)benzyl]-1,3-diazaspiro[4,4]non-1-en-4-one', "1,3-Diazaspiro(4.4)non-1-en-4-one, 2-butyl-3-((2'-(1H- tetrazol-5-yl)(1,1'-biphenyl)-4-yl)methyl)-", "2-(n-butyl)-3-[[2'-(tetrazol-5-yl)biphenyl-4-yl]methyl]-1,3-diazaspiro[4.4]non-1-en-4-one", '2-butyl-3-({4-[2-(1H-1,2,3,4-tetrazol-5-yl)phenyl]phenyl}methyl)-1,3-diazaspiro[4.4]non-1-en-4-one', '2-butyl-3-({4-[2-(2H-1,2,3,4-tetrazol-5-yl)phenyl]phenyl}methyl)-1,3-diazaspiro[4.4]non-1-en-4-one', "2-butyl-3-{[2''-(1H-tetrazol-5-yl)[1,1''-biphenyl]-4-yl]methyl}-1,3-diazaspiro[4.4]non-1-en-4-one", "2-butyl-3-{[2''-(1H-tetrazol-5-yl)biphenyl-4-yl]methyl}-1,3-diazaspiro[4.4]non-1-en-4-one", "2-Butyl-3-{[2'-(1H-tetrazol-5-yl)-4-biphenylyl]methyl}-1,3-diazaspiro[4.4]non-1-en-4-one", "2-n-butyl-3-&lt;&lt;2'-(1H-tetrazol-5-yl)biphenyl-4-yl&gt;methyl&gt;-1,3-diazaspiro&lt;4.4&gt;non-1-en-4-one;", "3-((2'-(1H-Tetrazol-5-yl)-[1,1'-biphenyl]-4-yl)-methyl)-2-butyl-1,3-diazaspiro[4.4]non-1-en-4-one", '8-butyl-7-[[4-[2-(2H-1,2,3,4-tetrazol-5-yl)phenyl]phenyl]methyl]-7,9-diazaspiro[4.4]non-8-en-6-one']</t>
  </si>
  <si>
    <t>Compound(3749)</t>
  </si>
  <si>
    <t>C25H28N6O</t>
  </si>
  <si>
    <t>2-N-tert-butyl-4-N-cyclopropyl-6-methylsulfanyl-1,3,5-triazine-2,4-diamine</t>
  </si>
  <si>
    <t>['Cybutryne', '28159-98-0', 'Irgarol 1051', 'Irgarol', 'Cybutryne [ISO]', '2-(tert-Butylamino)-4-(cyclopropylamino)-6-(methylthio)-s-triazine', 'UNII-E7B77O21GH', '2-(tert-Butylamino)-4-(cyclopropylamino)-6-(methylthio)-1,3,5-triazine', "N'-tert-Butyl-N-cyclopropyl-6-(methylthio)-1,3,5-triazine-2,4-diamine", 'N2-(tert-Butyl)-N4-cyclopropyl-6-(methylthio)-1,3,5-triazine-2,4-diamine', 'EINECS 248-872-3', 'CHEBI:5962', 'E7B77O21GH', '2-N-tert-butyl-4-N-cyclopropyl-6-methylsulfanyl-1,3,5-triazine-2,4-diamine', "1,3,5-Triazine-2,4-diamine, N-cyclopropyl-N'-(1,1-dimethylethyl)-6-(methylthio)-", "N-tert-butyl-N'-cyclopropyl-6-(methylsulfanyl)-1,3,5-triazine-2,4-diamine", 'C11H19N5S', '4-N-tert-butyl-2-N-cyclopropyl-6-methylsulfanyl-1,3,5-triazine-2,4-diamine', 'Cybutryne (Irgarol)', 'Irgarol (Cybutryne)', 'ACMC-20aoma', 'DSSTox_CID_12416', 'DSSTox_RID_78942', 'DSSTox_GSID_32416', 'SCHEMBL241791', 'SCHEMBL8008580', 'CHEMBL3185551', 'DTXSID3032416', 'CTK7B5344', 'HSDB 8441', 'ZINC900555', 'KS-000015TU', 'Tox21_302267', 'AKOS025310885', 'ACM28159980', 'NCGC00255369-01', 'R872', 'CAS-28159-98-0', 'DB-029303', 'Irgarol 1051 10 microg/mL in Cyclohexane', 'LS-155248', 'FT-0670416', 'I0842', 'NS00000272', 'C10927', 'Irgarol(R), PESTANAL(R), analytical standard', '159C980', 'Q1147281', '2-methylthio-4-t-butylamino-6-cyclopropylamino-s-triazine', '2-(tert-Butylamino)-4-(cyclopropylamino)-6-(methylthio)-135-triazine', 'N2-tert-butyl-N4-cyclopropyl-6-(methylthio)-1,3,5-triazine-2,4-diamine', 'N~2~-tert-Butyl-N~4~-cyclopropyl-6-(methylsulfanyl)-1,3,5-triazine-2,4-diamine', "Cybutryne;N-tert-butyl-N-cyclopropyl-6-(methylthio)-1,3,5-triazine-2,4-diamine;N'-tert-butyl-N-cyclopropyl-6-(methylthio)-1,3,5-triazine-2,4-diamine;irgarol 1051"]</t>
  </si>
  <si>
    <t>Compound(91590)</t>
  </si>
  <si>
    <t>C11H19N5S</t>
  </si>
  <si>
    <t>5-[(E)-prop-1-enyl]-1,3-benzodioxole</t>
  </si>
  <si>
    <t>['ISOSAFROLE', 'beta-Isosafrole', 'Isosafrol', 'Izosafrol', '120-58-1', '(E)-Isosafrole', 'RCRA waste number U141', 'Isosafrole (TGMX)', '5-(1-Propenyl)-1,3-benzodioxole', '4-Propenyl-1,2-methylenedioxybenzene', '1,3-Benzodioxole, 5-(1-propenyl)-', '4-Propenylcatechol methylene ether', '5-Prop-1-enyl-1,3-benzodioxole', 'NSC 4884', '6-(1-Propenyl)-1,3-benzodioxole', 'Benzene, 1,2-(methylenedioxy)-4-propenyl-', 'UNII-94BY31ALL6', '1,2-Methylenedioxy-4-propenylbenzene', '1,3-Benzodioxole, 5-(1-propenyl)-, (E)-', 'CCRIS 353', '3,4-(Methylenedioxy)-1-propenylbenzene', '4043-71-4', 'Benzene, 1,2-(methylenedioxy)-4-propenyl-, (E)-', 'HSDB 2862', 'trans-1,2-(Methylenedioxy)-4-propenylbenzene', 'EINECS 204-410-2', 'RCRA waste no. U141', '3,4-Methylenedioxy-1-propenyl benzene', 'BRN 0082640', 'AI3-02068', 'MLS001055464', '94BY31ALL6', 'CHEBI:6054', '5-[(1E)-prop-1-en-1-yl]-1,3-benzodioxole', 'SMR001227197', '1,3-Benzodioxole, 5-(1-propen-1-yl)-', '1,2-(Methylenedioxy)-4-propenylbenzene', '5-[(E)-prop-1-enyl]benzo[1,3]dioxole', '5-[(E)-prop-1-enyl]-1,3-benzodioxole', 'trans-Isosafrole', '.beta.-Isosafrole', '5-prop-1-enyl-1,3-benzodioxole;Isosafrole', 'Spectrum5_000388', 'BSPBio_002813', 'SPECTRUM300533', '5-19-01-00552 (Beilstein Handbook Reference)', 'SCHEMBL266169', 'CHEMBL487603', 'cid_637796', 'BDBM74206', 'HMS1373B16', 'ZINC389532', 'Isosafrol, mixture of cis and trans', '5-trans-propenyl-benzo-1,3-dioxole', 'BBL027540', 'CCG-38570', 'SBB012358', 'STK801280', 'AKOS001684145', 'LS-7468', 'SDCCGMLS-0066561.P001', 'NCGC00090700-01', 'NCGC00090700-02', 'NCGC00090700-03', 'NCGC00090700-04', 'NCGC00090700-05', 'NCGC00090700-06', 'LS-30877', 'ST069347', 'BB 0261403', 'NS00021565', '(E)-5-(prop-1-enyl)benzo[d][1,3]dioxole', '5-[(1E)-1-Propenyl]-1,3-benzodioxole #', 'C10472', 'SR-05000002391', '5-[(1E)-prop-1-en-1-yl]-2H-1,3-benzodioxole', 'Q1088741', 'SR-05000002391-1', 'BRD-K44005821-001-07-4', 'F0000-0010', 'UNII-W6337429LF component VHVOLFRBFDOUSH-NSCUHMNNSA-N']</t>
  </si>
  <si>
    <t>Compound(637796)</t>
  </si>
  <si>
    <t>3-(difluoromethyl)-1-methyl-N-(11-propan-2-yl-3-tricyclo[6.2.1.02,7]undeca-2(7),3,5-trienyl)pyrazole-4-carboxamide</t>
  </si>
  <si>
    <t>['Isopyrazam', '881685-58-1', '3-(difluoromethyl)-N-(9-isopropyl-1,2,3,4-tetrahydro-1,4-methanonaphthalen-5-yl)-1-methylpyrazole-4-carboxamide', '3-(difluoromethyl)-N-(9-isopropyl-1,2,3,4-tetrahydro-1,4-methanonaphthalen-5-yl)-1-methyl-1H-pyrazole-4-carboxamide', 'Isopyrazam [ISO]', 'SCHEMBL162518', 'DTXSID7058208', 'CHEBI:83128', 'NS00040576', 'Q27156655', '3-(difluoromethyl)-1-methyl-N-(1,2,3,4-tetrahydro-9-(1-methylethyl)-1,4-methanonaphthalen-5-yl)-1H-pyrazole-4-carboxamide', '3-(difluoromethyl)-1-methyl-n-[1,2,3,4-tetrahydro-9-(1-methylethyl)-1,4-methano-naphthalen-5-yl]-1h-pyrazole-4-carboxamide', '3-difluoromethyl-1-methyl-1h-pyrazole-4-carboxylic acid (9-isopropyl-1,2,3,4-tetrahydro-1,4-methano-naphthalen-5-yl)-amide', 'IZM', 'mixture of 2 syn-isomers 3-(difluoromethyl)-1-methyl-N-((1RS,4SR,9RS)-1,2,3,4-tetrahydro-9-isopropyl-1,4-methanonaphthalen-5-yl]pyrazole-4-carboxamide and 2 anti-isomers 3-(difluoromethyl)-1-methyl-N-((1RS,4SR,9SR)-1,2,3,4-tetrahydro-9-isopropyl-1,4-methanonaphthalen-5-yl]pyrazole-4-carboxamide', 'N-(9-isopropyl-1,2,3,4-tetrahydro-1,4-methanonaphthalen-5-yl)-3-difluoromethyl-1-methyl-1H-pyrazole-4-carboxamide']</t>
  </si>
  <si>
    <t>Compound(25271089)</t>
  </si>
  <si>
    <t>C20H23F2N3O</t>
  </si>
  <si>
    <t>(3S,3aR,6R,6aR)-2,3,3a,5,6,6a-hexahydrofuro[3,2-b]furan-3,6-diol</t>
  </si>
  <si>
    <t>['isosorbide', '652-67-5', 'Isobide', 'Devicoran', 'Hydronol', '1,4:3,6-Dianhydro-D-glucitol', 'Ismotic', 'Sorbid', '(+)-D-Isosorbide', 'Vascardin dinitrate', '(3R,3aR,6S,6aR)-hexahydrofuro[3,2-b]furan-3,6-diol', '1,4-Dianhydrosorbitol', 'D-Glucitol, 1,4:3,6-dianhydro-', 'AT-101', 'Hydronol (VAN)', '1,4:3,6-Dianhydro-D-sorbitol', 'Dianhydro-D-glucitol', '1,4:3,6-Dianhydrosorbitol', 'Isosorbidum [INN-Latin]', 'Isosorbida [INN-Spanish]', 'UNII-WXR179L51S', 'D-1,4:3,6-Dianhydroglucitol', 'HSDB 3105', 'EINECS 211-492-3', 'NSC 40725', 'Glucitol, 1,4:3,6-dianhydro-, D-', 'BRN 0080510', 'WXR179L51S', 'Sorbitol, 1,4:3,6-dianhydro-', '(3S,3aR,6R,6aR)-2,3,3a,5,6,6a-hexahydrofuro[3,2-b]furan-3,6-diol', 'NSC40725', 'Isosorbide, 98%', 'MFCD00064827', 'NSC-40725', 'NCGC00160508-01', 'DSSTox_CID_26196', 'DSSTox_RID_81427', 'DSSTox_GSID_46196', 'Isosorbida', 'Isosorbidum', 'Dianhydrosorbitol', 'Polysorb P', 'Polysorb PS', 'CAS-652-67-5', 'D-Isosorbide;Dianhydro-D-glucitol', 'Isosorbide [USAN:INN:BAN:JAN]', 'Ismotic (TN)', 'Isobide (TN)', 'Isosorbide [USAN:USP:INN:BAN:JAN]', '1,6-Dianhydrosorbitol', '1,6-Dianhydro-D-glucitol', '1,6-Dianhydro-D-sorbitol', 'EC 211-492-3', 'Dianhydro-D-glucitol, 98%', 'SCHEMBL15495', '1,4:3,6-Dianhydroglucitol', '5-19-03-00201 (Beilstein Handbook Reference)', 'BIDD:GT0695', '1,4; 3,6-dianhydrosorbitol', 'CHEBI:6060', 'Isosorbide (JP17/USP/INN)', 'D-Glucitol,4:3,6-dianhydro-', 'CHEMBL1200660', 'DTXSID5046196', '1.4:3.6-dianhydro-D-glucitol', '1.4;3.6-dianhydro-D-glucitol', 'Glucitol,4:3,6-dianhydro-, D-', 'HY-B1469', 'Tox21_111861', 'BBL029591', 's4204', 'STK801813', 'ZINC18284778', 'AKOS005622709', 'Tox21_111861_1', 'CCG-266173', 'CS-5157', 'DB09401', 'MCULE-2567091829', 'SMP1_000177', 'NCGC00160508-02', 'NCGC00160508-03', 'AS-14140', 'K060', 'LS-71370', 'I0407', 'D00347', 'Z-3120', '52906-EP2269989A1', '52906-EP2270017A1', '52906-EP2295406A1', '52906-EP2298772A1', '52906-EP2301941A1', '52906-EP2305219A1', '52906-EP2308839A1', '52906-EP2308881A1', 'AB01566931_01', 'Q1243800', 'Z2785909604', 'A912284D-27E1-4FB0-91B8-86C8AB905297', 'D-Sorbitol, {1,4:3,6-dianhydro(furo[3,2-b]furan-3,6-diol,} hexahydro-)', 'D-Sorbitol,4:3,6-dianhydro(furo[3,2-b]furan-3,6-diol, hexahydro-)', '151380-60-8', 'Polyesters of 1,4:3,6-dianhydrosorbitol, ethylene glycol, 1,4-bis(hydroxymethyl)cyclohexane and terephthalic acid (1,4:3,6-dianhydrosorbitol at levels of up to 40 mole% of the diol component);1,4:3,6-Dianhydrosorbitol;1,4:3,6-dianhydro-D-glucitol;Isosorbide']</t>
  </si>
  <si>
    <t>Compound(12597)</t>
  </si>
  <si>
    <t>C6H10O4</t>
  </si>
  <si>
    <t>2,6-dimethoxy-N-[3-(3-methylpentan-3-yl)-1,2-oxazol-5-yl]benzamide</t>
  </si>
  <si>
    <t>['Isoxaben', '82558-50-7', 'Benzamizole', 'Flexidor', 'Gallery', 'X-Pand', 'Cent 7', 'Prolan (herbicide)', 'EL 107', 'Caswell No. 419F', 'Compound 121607', 'Isoxaben [BSI:ISO]', '2,6-dimethoxy-N-[3-(3-methylpentan-3-yl)-1,2-oxazol-5-yl]benzamide', 'UNII-101V41EEA4', 'NA 8318', 'HSDB 6691', 'N-(3-(1-Ethyl-1-methylpropyl)-5-isoxazolyl)-2,6-dimethoxybenzamide', 'EPA Pesticide Chemical Code 125851', '2,6-Dimethoxy-N-(3-(1-ethyl-1-methylpropyl)-5-isoxazolyl)benzamide', 'CHEBI:63956', '101V41EEA4', 'N-(3-(1-Ethyl-methylpropyl)-5-isoxazolyl)-2,6-dimethoxybenzamide', 'Benzamide, N-[3-(1-ethyl-1-methylpropyl)-5-isoxazolyl]-2,6-dimethoxy-', 'DSSTox_CID_4159', 'DSSTox_RID_77309', 'DSSTox_GSID_24159', 'N-[3-(1-Ethyl-1-methylpropyl)-5-isoxazolyl]-2,6-dimethoxybenzamide', 'Benzamide, 2,6-dimethoxy-N-(3-(1-ethyl-1-methylpropyl)-5-isoxazolyl)-', 'CAS-82558-50-7', 'Knot out', 'Benzamide, N-(3-(1-ethyl-1-methylpropyl)-5-isoxazolyl)-2,6-dimethoxy-', 'N-[3-(1-ethyl-1-methylpropyl)isoxazol-5-yl]-2,6-dimethoxybenzamide', 'N-[3-(1-ethyl-1-methylpropyl]-5-isoxazolyl]-2,6-dimethoxybenzamide', 'EC 407-190-8', 'SCHEMBL54432', 'CHEMBL2142789', 'DTXSID8024159', 'CTK8G0402', 'PMHURSZHKKJGBM-UHFFFAOYSA-', 'EL 107;NA 8318;Flexidor', 'ZINC2004090', 'Tox21_201574', 'Tox21_300696', 'NCGC00164275-01', 'NCGC00164275-02', 'NCGC00164275-03', 'NCGC00164275-04', 'NCGC00254604-01', 'NCGC00259123-01', 'CC-29728', 'LS-26561', 'DB-056630', 'FT-0630906', 'Isoxaben, PESTANAL(R), analytical standard', 'NS00000671', 'C18504', 'C-20085', 'Q2677285', 'N-(3-(1-Ethyl-1-methylpropyl)-1,2-oxazol-5-yl)-2,6-dimethoxybenzamide', 'Benzamide, 2,6-dimethoxy-N-(3-(1-ethyl-1-methylpropyl)-5-isoxazolyl)-;isoxaben']</t>
  </si>
  <si>
    <t>Compound(73672)</t>
  </si>
  <si>
    <t>C18H24N2O4</t>
  </si>
  <si>
    <t>(5-chloro-1-propan-2-yl-1,2,4-triazol-3-yl)oxy-diethoxy-sulfanylidene-lambda5-phosphane</t>
  </si>
  <si>
    <t>['Isazofos', 'ISAZOPHOS', '42509-80-8', 'Miral', 'Triumph', 'Brace', 'Miral 10 G', 'Isazofos [BSI:ISO]', 'Isozophos', 'UNII-CF67CG9STQ', 'Ciba 12223', 'HSDB 6684', 'EINECS 255-863-8', 'CGA-12223', 'CF67CG9STQ', 'AI3-29128', 'CHEBI:82135', 'A-12223', 'O-(5-Chloro-1-isopropyl-1,2,4-triazol-3-yl) O,O-diethyl phosphorothioate', 'O-5-Chloro-1-isopropyl-1H-1,2,4-triazol-3-yl O,O-diethyl phosphorothioate', 'O-(5-Chloro-1-isopropyl-1H-1,2,4-triazol-3-yl) O,O-diethylphosphorothioate', 'O-(5-Chloro-1-(1-methylethyl)-1H-1,2,4-triazol-3-yl) O,O-diethyl phosphorothioate', 'Phosphorothioic acid, O-[5-chloro-1-(1-methylethyl)-1H-1,2,4-triazol-3-yl] O,O-diethyl ester', 'Phosphorothioic acid, O-(5-chloro-1-(1-methylethyl)-1H-1,2,4-triazol-3-yl) O,O-diethyl ester', 'CCRIS 8221', '(5-chloro-1-propan-2-yl-1,2,4-triazol-3-yl)oxy-diethoxy-sulfanylidene-?^{5}-phosphane', 'Isazofos (Miral)', 'DSSTox_CID_14676', 'DSSTox_RID_79191', 'DSSTox_GSID_34676', 'SCHEMBL121685', 'CHEMBL1879142', 'DTXSID7034676', 'CTK8G0365', 'Isazofos 10 microg/mL in Isooctane', 'Tox21_300833', 'NCGC00168321-01', 'NCGC00168321-02', 'NCGC00254737-01', 'CAS-42509-80-8', 'DB-050922', 'LS-108457', 'FT-0630627', 'NS00008269', 'Isazophos, PESTANAL(R), analytical standard', 'C19001', 'C-19372', 'Q27155763', 'o-(5-Chloro-1-isopropyl-1H-1,2,4-triazol-3-yl) o,o-diethyl thiophosphate', 'o-(5-Chloro-1-isopropyl-1H-1,2,4-triazol-3-yl) O,O-diethyl thiophosphate #']</t>
  </si>
  <si>
    <t>Compound(39223)</t>
  </si>
  <si>
    <t>C9H17ClN3O3PS</t>
  </si>
  <si>
    <t>3-(5-tert-butyl-1,2-oxazol-3-yl)-1,1-dimethylurea</t>
  </si>
  <si>
    <t>['ISOURON', '55861-78-4', '3-(5-(tert-Butyl)isoxazol-3-yl)-1,1-dimethylurea', 'Caswell No. 419E', 'UNII-EBG244KQOD', 'Isouron [ANSI:BSI:ISO]', 'SSH 43', 'EL-187', 'EBG244KQOD', '3-(5-tert-Butylisoxazol-3-yl)-1,1-dimethylurea', 'EPA Pesticide Chemical Code 125801', 'BRN 1078336', '3-(5-tert-butyl-1,2-oxazol-3-yl)-1,1-dimethylurea', "N'-(5-(1,1-Dimethylethyl)-3-isoxazolyl)-N,N-dimethylurea", "N,N-Dimethyl-N'-(5-(1,1-dimethylethyl)-3-isoxazolyl)urea", '3-(5-tert-butyl-3-isoxazolyl)-1,1-dimethylurea', "Urea, N'-(5-(1,1-dimethylethyl)-3-isoxazolyl)-N,N-dimethyl-", "Urea, N'-[5-(1,1-dimethylethyl)-3-isoxazolyl]-N,N-dimethyl-", "Urea, N,N-dimethyl-N'-(5-(1,1-dimethylethyl)-3-isoxazolyl)-", 'SCHEMBL67357', 'DTXSID1042079', 'CHEBI:81742', 'CTK8B6578', 'ZINC2002600', '8159AB', 'ANW-53692', "Urea, N'-(5-(1,1-dimethylethyl)-3-isoxazolyl)-N,N-dimethyl- (9CI)", 'AKOS015998663', 'AK-86313', 'AX8135423', 'Isouron, PESTANAL(R), analytical standard', 'LS-159971', 'NS00015282', '1,1-dimethyl-3-(5-t-butyl-3-isoxazolyl)urea', 'C18432', '1,1-dimethyl-3-(5-t-butyl-3-isoxazolyl)-urea', '1,1-dimethyl-3-(5-tert.-butyl-3-isoxazolyl)urea', '1-(5-tert-butyl-1,2-oxazol-3-yl)-3,3-dimethylurea', 'Q27155589', 'Urea, N-[5-(1,1-dimethylethyl)-3-isoxazolyl]-N,N-dimethyl-']</t>
  </si>
  <si>
    <t>Compound(41648)</t>
  </si>
  <si>
    <t>C10H17N3O2</t>
  </si>
  <si>
    <t>iso-valeric acid</t>
  </si>
  <si>
    <t>3-methylbutanoic acid</t>
  </si>
  <si>
    <t>['ISOVALERIC ACID', '3-Methylbutanoic acid', '503-74-2', '3-Methylbutyric acid', 'Isopentanoic acid', 'Butanoic acid, 3-methyl-', 'Delphinic acid', 'Isopropylacetic acid', 'Isovalerianic acid', 'Isobutylformic acid', '3-Methylbutyrate', 'beta-Methylbutyric acid', 'Isovalerianic', 'Acetic acid, isopropyl-', 'Butyric acid, 3-methyl-', '3-methyl-butanoic acid', 'isovalerate', 'Kyselina isovalerova', 'Isobutyl formic acid', '3-methyl butyric acid', '3-methyl-butyric acid', '3-methyl-n-butyric acid', 'Isovaleriansaeure', 'Isovaleric acid (natural)', 'FEMA Number: 3102', 'NSC 62783', 'Kyselina isovalerova [Czech]', '3-Methylbuttersaeure', 'UNII-1BR7X184L5', 'FEMA No. 3102', 'HSDB 629', 'Isovaleric acid, 99%', 'EINECS 207-975-3', 'MFCD00002726', '.beta.-Methylbutyric acid', 'BRN 1098522', '3,4-Diisovaleryl adrenaline', 'AI3-24132', 'CHEBI:28484', '1BR7X184L5', 'Butanoic acid, 3-methyl-, (R)-', 'IVA', 'methyl butanoic acid', 'METHYLBUTANOIC ACID', 'b-Methylbutyrate', '3-Methylbutyric', 'iso-valeric acid', 'b-Methylbutyric acid', 'iso-C4H9COOH', '3-Methylbutanoic Acid.', 'ACMC-1BMPI', 'DSSTox_CID_9182', 'bmse000373', 'NA 1760 (Related)', 'EC 207-975-3', 'DSSTox_RID_78698', 'DSSTox_GSID_29182', 'SCHEMBL43436', '4-02-00-00895 (Beilstein Handbook Reference)', 'KSC489M7P', 'Methylbutanoic acid (Related)', 'NATURAL ISOVALERIC ACID', 'Isopropyl Acetic Acid, natural', 'CHEMBL568737', 'WLN: QV1Y1&amp;1', 'DTXSID5029182', 'CTK3I9677', 'KS-00000GGA', 'ZINC388188', 'BCP32116', 'NSC62783', 'STR08356', 'Isovaleric acid, analytical standard', 'Tox21_201604', 'ANW-30978', 'BBL027399', 'LMFA01020181', 'NSC-62783', 's6287', 'STL146358', 'AKOS000119861', 'Isovaleric acid, &gt;=99%, FCC, FG', 'CS-W013696', 'DB03750', 'HY-W012980', 'LS-2386', 'MCULE-5805071360', '3-Methylbutyric acid: isopropyl-Acetate', 'Isovaleric acid sodium salt (Salt/Mix)', 'Isovaleric acid, natural, &gt;=98%, FG', 'NCGC00249082-01', 'NCGC00259153-01', '35915-22-1', 'AK116943', 'CAS-503-74-2', 'S153', 'SC-27287', '3-Methylbutyric acid: isopropyl-Acetic acid', 'FT-0627533', 'M0182', 'NS00001831', '7050-EP2286915A2', '7050-EP2287153A1', '7050-EP2289892A1', '7050-EP2292590A2', '7050-EP2295417A1', '7050-EP2301934A1', '7050-EP2305656A1', '7050-EP2305675A1', '7050-EP2308509A1', '7050-EP2308828A2', '7050-EP2308848A1', '7050-EP2308872A1', '7050-EP2314585A1', '7050-EP2316829A1', '7050-EP2374791A1', 'C08262', '31567-EP2275401A1', '31567-EP2277861A1', '31567-EP2298763A1', '31567-EP2308858A1', '31567-EP2311816A1', '31567-EP2311817A1', '31567-EP2374790A1', '66994-EP2298772A1', '66994-EP2308839A1', 'Q415536', 'J-522594', 'F2191-0067', 'Z955123492', '3-Methylbutanoic acid;3-Methylbutyric acid;Isopentanoic acid']</t>
  </si>
  <si>
    <t>Compound(10430)</t>
  </si>
  <si>
    <t>ivermectin</t>
  </si>
  <si>
    <t>(1R,4S,5'S,6R,6'R,8R,10E,12S,13S,14E,16E,20R,21R,24S)-6'-[(2S)-butan-2-yl]-21,24-dihydroxy-12-[(2R,4S,5S,6S)-5-[(2S,4S,5S,6S)-5-hydroxy-4-methoxy-6-methyloxan-2-yl]oxy-4-methoxy-6-methyloxan-2-yl]oxy-5',11,13,22-tetramethylspiro[3,7,19-trioxatetracyclo[15.6.1.14,8.020,24]pentacosa-10,14,16,22-tetraene-6,2'-oxane]-2-one</t>
  </si>
  <si>
    <t>['Ivermectin B1a', 'IVERMECTIN', 'Dihydroavermectin B1a', '70288-86-7', '22,23-Dihydroavermectin B1a', 'avermectin H2B1a', 'UNII-91Y2202OUW', '71827-03-7', 'CHEBI:63941', 'Avermectin A1a, 5-O-demethyl-22,23-dihydro-', '91Y2202OUW', "(2ae,4e,5's,6s,6'r,7s,8e,11r,13r,15s,17ar,20r,20ar,20bs)-6'-[(2s)-Butan-2-Yl]-20,20b-Dihydroxy-5',6,8,19-Tetramethyl-17-Oxo-3',4',5',6,6',10,11,14,15,17,17a,20,20a,20b-Tetradecahydro-2h,7h-Spiro[11,15-Methanofuro[4,3,2-Pq][2,6]benzodioxacyclooctadecine-13,2'-Pyran]-7-Yl 2,6-Dideoxy-4-O-(2,6-Dideoxy-3-O-Methyl-Alpha-L-Arabino-Hexopyranosyl)-3-O-Methyl-Alpha-L-Arabino-Hexopyranoside", '5-O-demethyl-22,23-dihydroavermectin A1a', 'C48H74O14 (B1a form)', '22,23-Dihydroavermectin B(1)a', 'EINECS 276-046-2', 'BRN 4643153', '22,23-Dihydro-5-O-demethylavermectin A1a', 'MK-933', 'Ivermectin-d2', 'NCGC00163233-01', 'Ivermectin (IVM)', 'IVM', 'C48H74O14', '70161-11-4', 'dihydro avermectin Bla', 'Avermectin A1a, 22,23-dihydro-5-O-demethyl-', 'H2B1a', 'Prestwick3_000156', 'DSSTox_CID_3181', 'Ivermectin (MK-0933)', 'DSSTox_RID_76909', 'DSSTox_GSID_23181', 'BSPBio_000292', 'SCHEMBL312795', 'BPBio1_000322', 'CHEMBL263291', 'DTXSID8023181', 'CHEBI:94551', 'HMS2089M09', 'HMS2095O14', 'HMS3712O14', 'Tox21_112034', 'BDBM50409816', 'MFCD00869511', 's1351', 'AKOS027470116', 'ZINC238808778', 'ZINC252286706', 'CCG-220156', 'NCGC00186639-01', 'NCGC00186639-03', 'AS-14167', 'CAS-71827-03-7', 'HY-126937', 'AB00513813', 'CS-0108408', 'NS00000160', 'J10179', '22,23-DIHYDROAVERMECTIN B1A; IVERMECTIN', 'AB00513813-02', 'AB00513813-03', 'AB00513813_04', '288I867', 'Ivermectin, Antibiotic for Culture Media Use Only', 'Q-201262', 'BRD-K24652731-001-02-7', 'BRD-K85554912-001-08-9', 'Q27132923', 'Ivermectin, British Pharmacopoeia (BP) Reference Standard', 'Ivermectin, European Pharmacopoeia (EP) Reference Standard', 'UNII-8883YP2R6D component AZSNMRSAGSSBNP-XPNPUAGNSA-N', 'Ivermectin, United States Pharmacopeia (USP) Reference Standard', 'Ivermectin, Pharmaceutical Secondary Standard; Certified Reference Material', "(2aE,4E,5'S,6S,6'R,7S,8E,11R,13R,15S,17aR,20R,20aR,20bS)-6'-[(2S)-butan-2-yl]-20,20b-dihydroxy-5',6,8,19-tetramethyl-17", "(2aE,4E,5'S,6S,6'R,7S,8E,11R,13R,15S,17aR,20R,20aR,20bS)-6'-[(2S)-Butan-2-yl]-20,20b-dihydroxy-5',6,8,19-tetramethyl-17-oxo-6,10,11,14,15,17,17a,20,20a,20b-decahydro-2H,7H-spiro[11,15-methanofuro[4,3,", '22,23-Dihydroavermectin B1|||Heartgard 30|||Ivomec|||Ivosint|||Mectizan|||Stromectol|||Uvemec|||Vermic|||Zimecterin', "clooctadecine-13,2'-pyran]-7-yl 2,6-dideoxy-4-O-(2,6-dideoxy-3-O-methyl-alpha-L-arabino-hexopyranosyl)-3-O-methyl-alpha-L-arabino-hexopyranoside"]</t>
  </si>
  <si>
    <t>Compound(6321424)</t>
  </si>
  <si>
    <t>C48H74O14</t>
  </si>
  <si>
    <t>ethyl 5,5-diphenyl-4H-1,2-oxazole-3-carboxylate</t>
  </si>
  <si>
    <t>['Isoxadifen-ethyl', '163520-33-0', 'Ethyl 5,5-diphenyl-4,5-dihydroisoxazole-3-carboxylate', '3-Isoxazolecarboxylic acid, 4,5-dihydro-5,5-diphenyl-, ethyl ester', 'isoxadifen ethyl', 'Isoxadifen-ethyl [ISO:BSI]', 'UNII-71LF32W32E', 'AE F122006', 'ethyl 5,5-diphenyl-4H-1,2-oxazole-3-carboxylate', '4,5-dihydro-5,5-diphenyl-1,2-oxazole-3-carboxylic acid, ethyl ester', '71LF32W32E', 'Ethyl 5,5-diphenyl-2-isoxazoline-3-carboxylate', 'ethyl 5,5-diphenyl-4,5-dihydro-1,2-oxazole-3-carboxylate', 'Isoxadifen etil', 'EC 443-870-0', 'DSSTox_CID_20360', 'DSSTox_RID_79483', 'DSSTox_GSID_40360', 'SCHEMBL124147', 'CHEMBL3185294', 'DTXSID7040360', 'CTK4D1566', 'ethyl 4,5-dihydro-5,5-diphenyl-1,2-oxazole-3-carboxylate', 'CHEBI:132497', 'Tox21_301253', 'ZINC33985690', 'AKOS016845814', 'HOE-122006', 'AE F 122006', 'NCGC00255410-01', 'AS-19255', 'LS-86603', 'SC-67409', 'AX8213239', 'DB-101096', 'CAS-163520-33-0', 'I0956', 'NS00000556', 'X6030', 'Isoxadifen-ethyl 10 microg/mL in Acetonitrile', 'Isoxadifen-ethyl 10 microg/mL in Cyclohexane', '5,5-diphenylisoxazoline carboxylate ethyl ester', 'Isoxadifen-ethyl, PESTANAL(R), analytical standard', 'J-010051', 'Q27225597', 'ethyl 4,5-dihydro-5,5-diphenyl-3-isoxazolecarboxylate', 'Ethyl 4,5-Dihydro-5,5-diphenylisoxazole-3-carboxylate', '5,5-diphenyl-2-isoxazoline-3-carboxylic acid ethyl ester', '3-Isoxazolecarboxylicacid, 4,5-dihydro-5,5-diphenyl-, ethyl ester', '4,5-Dihydro-5,5-diphenylisoxazole-3-carboxylic Acid Ethyl Ester', 'Isoxadifen-ethyl;3-Isoxazolecarboxylic acid, 4,5-dihydro-5,5-diphenyl-, ethyl ester']</t>
  </si>
  <si>
    <t>Compound(6451155)</t>
  </si>
  <si>
    <t>C18H17NO3</t>
  </si>
  <si>
    <t>diethoxy-[(5-phenyl-1,2-oxazol-3-yl)oxy]-sulfanylidene-lambda5-phosphane</t>
  </si>
  <si>
    <t>['ISOXATHION', 'Karphos', '18854-01-8', 'Isoxathion [ISO:BSI]', 'UNII-IRA3YFG6CX', 'O,O-Diethyl O-(5-phenyl-3-isoxazolyl) phosphorothioate', 'Isoxathion [BSI:JMAF:ISO]', 'SI-6711', 'O,O-Diethyl O-(3-(5-phenyl)-1,2-isoxazolyl)phosphorothionate', 'E-48', 'HSDB 6692', 'Phosphorothioic acid, O,O-diethyl O-(5-phenyl-3-isoxazolyl) ester', 'IRA3YFG6CX', 'EINECS 242-624-8', 'BRN 1222135', 'O,O-Diethyl O-5-phenylisoxazol-3-ylphosphorothioate', 'CHEBI:34801', 'O,O-diethyl O-(5-phenylisoxazol-3-yl) thiophosphate', 'O,O-diethyl O-(5-phenyl-1,2-oxazol-3-yl) phosphorothionate', 'Phosphorothioic acid O,O-diethyl O-(5-phenyl-3-isoxazolyl) ester', 'diethoxy-[(5-phenyl-1,2-oxazol-3-yl)oxy]-sulfanylidene-?^{5}-phosphane', 'DSSTox_CID_22080', 'DSSTox_RID_79918', 'DSSTox_GSID_42080', 'SCHEMBL26734', 'BIDD:ER0065', 'Isoxathion, analytical standard', 'CHEMBL3182191', 'DTXSID0042080', 'SDMSCIWHRZJSRN-UHFFFAOYSA-', 'HMS1786D21', 'Tox21_302209', 'AKOS005167093', 'Isoxathion 10 microg/mL in Cyclohexane', 'NCGC00255850-01', 'CAS-18854-01-8', 'LS-108707', 'NS00002507', 'C14580', 'Q426373', 'O,O-Diethyl-O-(5-phenylisoxazol-3-yl)thiophosphate', 'O,O-diethyl O-5-phenylisoxazol-3-yl phosphorothioate', 'o,o-diethyl-o-(5-phenyl-3-isoxazolyl)phosphorothioate', 'O,O-diethyl O-(5-phenyl-1,2-oxazol-3-yl) phosphorothioate', 'O,O-diethyl O-5-phenylisoxazol-3-ylphosphorothioate;Isoxathion', 'diethoxy-[(5-phenyl-1,2-oxazol-3-yl)oxy]-sulfanylidenephosphorane', 'Phosphorothioic acid, O,O-diethyl O-(5-phenyl-3-isoxazoyl)ester']</t>
  </si>
  <si>
    <t>Compound(29307)</t>
  </si>
  <si>
    <t>C13H16NO4PS</t>
  </si>
  <si>
    <t>iodfenfos</t>
  </si>
  <si>
    <t>(2,5-dichloro-4-iodophenoxy)-dimethoxy-sulfanylidene-lambda5-phosphane</t>
  </si>
  <si>
    <t>['IODOFENPHOS', 'Jodfenphos', 'Alfacron', '18181-70-9', 'Iodofenfos', 'Iodophos', 'Trix', 'Nuvanol N', 'Iodophenphos', 'Iodenphos', 'Monocron 9491', 'Compound C-9491', 'Ciba-Geigy C-9491', 'Jodfenphos [ISO]', 'Iodofenphos [BAN]', 'Caswell No. 309B', 'Ciba C-9491', 'UNII-SME6G1846X', 'ENT 27408', 'NSC 190998', 'HSDB 1568', 'Phosphorothioic acid, O-(2,5-dichloro-4-iodophenyl) O,O-dimethyl ester', 'OMS-1211', 'Iodofenphos [BSI:ISO]', 'EINECS 242-069-1', 'C 9491', 'O-(2,5-Dichloro-4-iodophenyl) O,O-dimethyl phosphorothioate', 'EPA Pesticide Chemical Code 309700', 'BRN 1885795', 'O,O-Dimethyl-O-2,5-dichloro-4-iodophenyl thiophosphate', 'AI3-27408', 'SME6G1846X', 'CHEBI:82136', 'C-9491', 'O,O-Dimethyl-O-(2,5-dichlor-4-jodphenyl)-thionophosphat', 'O,O-Dimethyl-O-(2,5-dichlor-4-jodphenyl)-monothiophosphat', 'O-(2,5-Dichloro-4-iodophenyl)-O,O-dimethyl phosphorothioate', 'O,O-Dimethyl-O-(2,5-dichlor-4-jodphenyl)-thionophosphat [German]', 'O,O-Dimethyl-O-(2,5-dichlor-4-jodphenyl)-monothiophosphat [German]', 'Phenol, 3,4-dichloro-, O-ester with O-methyl methylphosphoramidothioate', 'Iodfenphos', 'Iodofenophos', 'Elocril', '(2,5-dichloro-4-iodophenoxy)-dimethoxy-sulfanylidene-?^{5}-phosphane', 'iodofenphos;Iodenphos', 'Iodofenphos (Jodfenphos)', 'Ciba 9491', 'DSSTox_CID_20278', 'DSSTox_RID_79466', 'DSSTox_GSID_40278', 'SCHEMBL39677', 'PVP/DMAPA acrylates copolymer', 'CHEMBL2106359', 'DTXSID8040278', 'CIBA C 9491', 'OMS 1211', 'Tox21_300910', 'AKOS015903240', 'Iodofenphos 1000 microg/mL in Acetone', 'NCGC00248206-01', 'NCGC00254814-01', 'Iodofenphos 100 microg/mL in Cyclohexane', 'CAS-18181-70-9', 'LS-108538', 'NS00009634', 'Jodfenphos, PESTANAL(R), analytical standard', 'C19002', 'SR-01000883722', 'J-011634', 'SR-01000883722-1', 'Q27155764', 'O,O-Dimethyl O-(2,5-dichloro-4-iodophenyl) phosphorothioate', 'O-(2,5-Dichloro-4-iodophenyl) O,O-dimethyl thiophosphate #']</t>
  </si>
  <si>
    <t>Compound(28935)</t>
  </si>
  <si>
    <t>C8H8Cl2IO3PS</t>
  </si>
  <si>
    <t>iodixanol</t>
  </si>
  <si>
    <t>5-[acetyl-[3-[N-acetyl-3,5-bis(2,3-dihydroxypropylcarbamoyl)-2,4,6-triiodoanilino]-2-hydroxypropyl]amino]-1-N,3-N-bis(2,3-dihydroxypropyl)-2,4,6-triiodobenzene-1,3-dicarboxamide</t>
  </si>
  <si>
    <t>['iodixanol', '92339-11-2', 'Indixanol', 'Visipaque', 'Iodixanolum', 'Iodixanolum [Latin]', 'Lodixanol', 'UNII-HW8W27HTXX', 'CCRIS 7567', 'HW8W27HTXX', '2-5410-3A', "5,5'-((2-Hydroxytrimethylene)bis(acetylimino))bis(N,N'-bis(2,3-dihydroxypropyl)-2,4,6-triiodoisophthalamide)", 'CHEBI:31705', 'DSSTox_CID_25523', 'DSSTox_RID_80929', 'DSSTox_GSID_45523', 'Visipaque 270', 'Visipaque 320', 'OptiPrep', "1,3-Benzenedicarboxamide, 5,5'-((2-hydroxy-1,3-propanediyl)bis(acetylimino))bis(N,N'-bis(2,3-dihydroxypropyl)-2,4,6-triiodo-", 'SR-01000872678', 'Jodixanol', 'Iodixanol [USAN:BAN:INN]', 'HSDB 8076', 'Iodixanol [USAN:USP:INN:BAN]', 'Visipaque (TN)', 'NCGC00016958-01', "1,3-Benzenedicarboxamide, 5,5'-[(2-hydroxy-1,3-propanediyl)bis(acetylimino)]bis[N,N'-bis(2,3-dihydroxypropyl)-2,4,6-triiodo-", 'CAS-92339-11-2', 'Visipaque;Iodixanolum', 'Prestwick0_000848', 'Prestwick1_000848', 'Prestwick2_000848', 'Prestwick3_000848', 'EC 618-837-0', 'Iodixanol (JAN/USP/INN)', 'SCHEMBL21546', 'BSPBio_000835', '5-[acetyl-[3-[N-acetyl-3,5-bis(2,3-dihydroxypropylcarbamoyl)-2,4,6-triiodoanilino]-2-hydroxypropyl]amino]-1-N,3-N-bis(2,3-dihydroxypropyl)-2,4,6-triiodobenzene-1,3-dicarboxamide', 'SPBio_002756', 'BPBio1_000919', 'CHEMBL1200507', 'DTXSID2045523', 'CTK8G0329', 'HMS1570J17', 'HMS2097J17', 'HMS3714J17', 'Pharmakon1600-01503835', 'BCP11111', 'HY-B1426', 'Tox21_110711', 'GP8799', 'NSC760069', 's5218', 'AKOS015895607', 'Tox21_110711_1', 'AC-7610', 'CCG-213207', 'DB01249', 'NSC-760069', 'NCGC00179408-01', 'NCGC00179408-03', "5-(Acetyl-(3-(acetyl-(3,5-bis(2,3-dihydroxypropylcarbamoyl)-2,4,6-triiodophenyl)amino)-2- hydroxypropyl)amino)-N,N'-bis(2,3-dihydroxypropyl)-2,4,6-triiodobenzene-1,3-dicarboxamide; 5,5'-((2-hydroxytrimethylene)bis(acetylimino))bis(N,N'-bis(2,3-dihydroxypropyl)-2,4,6- triiodoisophthalamide);", 'CC-29560', 'LS-29753', '2-541O-3A', 'AB00513936', 'CS-0013137', 'FT-0627254', 'FT-0645028', 'NS00001497', 'D01474', 'AB00513936_02', '339I112', 'A844203', 'C-23647', 'OptiPrep; Visipaque; Visipaque 270;2-5410-3A', 'Q2419291', 'SR-01000872678-1', 'SR-01000872678-2', 'BRD-A08660406-001-01-8', 'OptiPrep(TM) Density Gradient Medium, used for cell and subcellular organelle isolation', "1,3-Benzenedicarboxamide, 5,5'-[(2-hydroxy-1,3- propanediyl)bis(acetylimino)]bis[N,N'-bis(2,3- dihydroxypropyl)-2,4,6-triiodo-", "5,5'-(2-hydroxypropane-1,3-diyl)bis(acetylazanediyl)bis(N1,N3-bis(2,3-dihydroxypropyl)-2,4,6-triiodoisophthalamide)", "5,5'-[(2-Hydroxypropane-1,3-diyl)bis(acetylazanediyl)]bis[N~1~,N~3~-bis(2,3-dihydroxypropyl)-2,4,6-triiodobenzene-1,3-dicarboxamide]", "5,5'-[(2-hydroxypropane-1,3-diyl)bis(acetylimino)]bis[N,N'-bis(2,3-dihydroxypropyl)-2,4,6-triiodobenzene-1,3-dicarboxamide]", '5-[[3-[[3,5-bis[2,3-bis(oxidanyl)propylcarbamoyl]-2,4,6-tris(iodanyl)phenyl]-ethanoyl-amino]-2-oxidanyl-propyl]-ethanoyl-amino]-N1,N3-bis[2,3-bis(oxidanyl)propyl]-2,4,6-tris(iodanyl)benzene-1,3-dicarboxamide', '5-[acetyl-[3-[N-acetyl-3,5-bis[(2,3-dihydroxypropylamino)-oxomethyl]-2,4,6-triiodoanilino]-2-hydroxypropyl]amino]-N1,N3-bis(2,3-dihydroxypropyl)-2,4,6-triiodobenzene-1,3-dicarboxamide', '5-{N-[3-(N-{3,5-bis[(2,3-dihydroxypropyl)carbamoyl]-2,4,6-triiodophenyl}acetamido)-2-hydroxypropyl]acetamido}-1-N,3-N-bis(2,3-dihydroxypropyl)-2,4,6-triiodobenzene-1,3-dicarboxamide']</t>
  </si>
  <si>
    <t>Compound(3724)</t>
  </si>
  <si>
    <t>C35H44I6N6O15</t>
  </si>
  <si>
    <t>iodipamide</t>
  </si>
  <si>
    <t>3-[[6-(3-carboxy-2,4,6-triiodoanilino)-6-oxohexanoyl]amino]-2,4,6-triiodobenzoic acid</t>
  </si>
  <si>
    <t>['IODIPAMIDE', 'Adipiodone', '606-17-7', 'Iodipamic acid', 'Biligrafin', 'Bilignost', 'Bilignostum', 'Cholospect', 'Transbilix', 'Cholografin', 'Adipiodon', 'Adipiodona', 'Adipiodonum', 'Adipiodonum [INN-Latin]', 'Adipiodona [INN-Spanish]', "3,3'-[(1,6-DIOXOHEXANE-1,6-DIYL)DIIMINO]BIS(2,4,6-TRIIODOBENZOIC ACID)", 'UNII-TKQ858A3VW', "3,3'-(Adipoyldiimino)bis(2,4,6-triiodobenzoic acid)", 'Adipiodone meglumine', 'EINECS 210-105-5', 'BRN 2230896', 'TKQ858A3VW', "N,N''-Adipoyl-bis(3-amino-2,4,6-triiodbenzoesaeure)", 'IDB', 'Endocistobil', 'Endographin', '3-[5-[(3-CARBOXY-2,4,6-TRIIODO-PHENYL)CARBAMOYL]PENTANOYLAMINO]-2,4,6-TRIIODO-BENZOIC ACID', 'NCGC00016523-03', 'CAS-606-17-7', 'DSSTox_CID_3153', 'Radio-cholografin', "Benzoic acid, 3,3'-((1,6-dioxo-1,6-hexanediyl)diimino)bis(2,4,6-triiodo-", "Benzoic acid, 3,3'-[(1,6-dioxo-1,6-hexanediyl)diimino]bis[2,4,6-triiodo-", 'DSSTox_RID_76893', 'DSSTox_GSID_23153', '3,3-Adipoyldiiminobis(2,4,6-Triiodobenzoic Acid)', 'Iodipamide [USAN]', "Benzoic acid, 3,3'-(adipoyldiimino)bis(2,4,6-triiodo-", 'Adipiodone, dimeglumine salt', 'Iodipamide (USP)', 'Adipiodone (JAN/INN)', 'Iodipamide [USP:INN]', '3521-84-4', 'biligrafine', 'bilipolinum', 'Iodipamid', 'HSDB 8066', 'C20H14I6N2O6', '3-{5-[N-(3-carboxy-2,4,6-triiodophenyl)carbamoyl]pentanoylamino}-2,4,6-triiodo benzoic acid', 'Adipiodone [INN]', '3-[[6-(3-carboxy-2,4,6-triiodoanilino)-6-oxohexanoyl]amino]-2,4,6-triiodobenzoic acid', 'Iodipamide (Adipiodone)', 'Prestwick0_000939', 'Prestwick1_000939', 'Prestwick2_000939', 'Prestwick3_000939', 'SCHEMBL37678', 'BSPBio_000878', '4-14-00-01122 (Beilstein Handbook Reference)', 'MLS001066414', "3,3'-Adipoyldiiminobis(2,4,6-triiodobenzoic Acid)", 'SPBio_003047', "3,3'(Adipoyldiimino)bis(2,4,6-triiodobenzoic acid)", 'BPBio1_000966', 'GTPL7400', 'CHEMBL1165268', 'DTXSID6023153', 'CHEBI:31176', 'CTK5B1937', 'HMS1570L20', 'HMS2097L20', 'HMS2232C09', 'HMS3370I13', 'HMS3714L20', 'HY-B1292', 'Tox21_113504', 'SBB058156', 'AKOS015964892', 'Tox21_113504_1', 'API0001390', 'CCG-220939', 'DB04711', 'MCULE-6605409948', 'VA10176', 'NCGC00016523-01', 'NCGC00016523-02', 'NCGC00016523-05', 'CC-23800', 'LS-35555', 'SMR000471884', 'DB-053672', 'AB00513970', 'CS-0013062', 'FT-0627253', 'I0299', 'NS00008576', 'ST51015022', 'X6858', 'D01774', 'Adipic acid di(3-carboxy-2,4,6-triiodoanilide)', 'Adipiodone, dimeglumine salt;Iodipamide;Iodipamid', 'C-23613', 'Iodipamide, analytical standard, for drug analysis', 'SR-01000760542', 'Q4682934', 'SR-01000760542-2', 'BRD-K67261995-001-03-4', 'Iodipamide, United States Pharmacopeia (USP) Reference Standard', "Benzoic acid,3,3'-[(1,6-dioxo-1,6-hexanediyl)diimino]bis[2,4,6-triiodo-", '3-{5-[(3-carboxy-2,4,6-triiodophenyl)carbamoyl]pentanamido}-2,4,6-triiodobenzoic acid', '3-[[6-[(3-carboxy-2,4,6-triiodophenyl)amino]-6-oxohexanoyl]amino]-2,4,6-triiodobenzoic acid']</t>
  </si>
  <si>
    <t>Compound(3739)</t>
  </si>
  <si>
    <t>C20H14I6N2O6</t>
  </si>
  <si>
    <t>5-[acetyl(2,3-dihydroxypropyl)amino]-1-N,3-N-bis(2,3-dihydroxypropyl)-2,4,6-triiodobenzene-1,3-dicarboxamide</t>
  </si>
  <si>
    <t>['iohexol', '66108-95-0', 'Nycodenz', 'Omnipaque', 'Exypaque', 'Iohexolum', 'Omnipaque 240', 'Omnipaque 70', 'Omnipaque 140', 'Omnipaque 180', 'Omnipaque 210', 'Omnipaque 300', 'Omnipaque 350', 'Iohexolum [INN-Latin]', 'UNII-4419T9MX03', 'CHEBI:31709', 'EINECS 266-164-2', 'WIN 39424', 'BRN 2406632', "N,N'-Bis(2,3-dihydroxypropyl)-5-(N-(2,3-dihydroxypropyl)acetamido)-2,4,6-triiodoisophthalamide", '5-[acetyl(2,3-dihydroxypropyl)amino]-1-N,3-N-bis(2,3-dihydroxypropyl)-2,4,6-triiodobenzene-1,3-dicarboxamide', 'WIN-39424', '4419T9MX03', 'NCGC00166000-01', 'DSSTox_CID_3157', "5-(N-2,3-Dihydroxypropylacetamido)-2,4,6-triiodo-N,N'-bis(2,3-dihydroxypropyl)isophthalamide", "5-[Acetyl(2,3-dihydroxypropyl)amino]-N,N'-bis(2,3-dihydroxypropyl)-2,4,6-triiodoisophthalamide", 'DSSTox_RID_76895', 'DSSTox_GSID_23157', "1,3-Benzenedicarboxamide, 5-(acetyl(2,3-dihydroxypropyl)amino)-N,N'-bis(2,3-dihydroxypropyl)-2,4,6-triiodo-", 'Histodenz', "5-[acetyl(2,3-dihydroxypropyl)amino]-N,N'-bis(2,3-dihydroxypropyl)-2,4,6-triiodobenzene-1,3-dicarboxamide", "5-[N-(2,3-Dihydroxypropyl)acetamido]-2,4,6-triiodo-N,N'-bis(2,3-dihydroxypropyl)isophthalamide", 'SMR000857075', 'Oraltag', 'Iohexol [USAN:BAN:INN:JAN]', 'C19H26I3N3O9', 'Omnipaque (TN)', "1,3-benzenedicarboxamide, 5-[acetyl(2,3-dihydroxypropyl)amino]-N,N'-bis(2,3-dihydroxypropyl)-2,4,6-triiodo-", "n,n'-bis(2,3-dihydroxypropyl)-5-[n-(2,3-dihydroxypropyl)acetamido]-2,4,6-triiodoisophthalamide", 'Prestwick_802', 'CAS-66108-95-0', 'Iohexol [USAN:USP:INN:BAN:JAN]', 'Histodenz|||Nycodenz', 'Iohexol_231_ p', 'Prestwick0_000512', 'Prestwick1_000512', 'Prestwick2_000512', 'Prestwick3_000512', 'Nycodenz;Omnipaque;Exypaque', 'EC 266-164-2', 'Iohexol, analytical standard', 'SCHEMBL26501', 'BSPBio_000463', 'MLS001332585', 'MLS001332586', 'MLS002153854', 'Iohexol (JP17/USP/INN)', 'SPBio_002384', 'BPBio1_000511', 'CHEMBL1200455', 'DTXSID6023157', 'BCBcMAP01_000051', 'CTK8G0334', 'HMS1569H05', 'HMS2096H05', 'HMS2235D07', 'HMS3369O04', 'HMS3713H05', 'ALBB-028959', 'BCP31800', 'EBD45459', 'HY-B0594', 'KS-00001F7T', 'ZX-AN079772', 'Tox21_112286', 'BDBM50247977', 'AKOS015895399', 'Tox21_112286_1', 'AC-1934', 'API0003012', 'CCG-220512', 'CS-2811', 'DB01362', 'SMP1_000152', 'NCGC00166000-02', 'NCGC00166000-04', 'AS-12699', 'CC-29572', 'LS-29715', 'SC-17734', 'AB0012347', 'FT-0627276', 'I0903', 'NS00000223', 'NS00098788', 'D01817', 'Histodenz(TM), nonionic density gradient medium', '108I950', 'A835339', 'C-23546', 'Q410683', 'SR-01000838892', 'SR-01000838892-2', 'Iohexol, European Pharmacopoeia (EP) Reference Standard', 'Iohexol, United States Pharmacopeia (USP) Reference Standard', "5-(N-dhp-acetamido)-2,4,6-triiodo-N,N'-B is-dhp-isophthalami", 'Iohexol, Pharmaceutical Secondary Standard; Certified Reference Material', 'Iohexol for peak identification, European Pharmacopoeia (EP) Reference Standard', '1,3-Benzenedicarboxamide, 5-[acetyl(2,3-dihydroxypropyl)amino]-N1,N3-bis(2,3-dihydroxypropyl)-2,4,6-triiodo-', '1-N,3-N-bis(2,3-dihydroxypropyl)-5-[N-(2,3-dihydroxypropyl)acetamido]-2,4,6-triiodobenzene-1,3-dicarboxamide', '5-[Acetyl(2,3-dihydroxypropyl)amino]-N~1~,N~3~-bis(2,3-dihydroxypropyl)-2,4,6-triiodobenzene-1,3-dicarboxamide', '5-[acetyl(2,3-dihydroxypropyl)amino]-N1,N3-bis(2,3-dihydroxypropyl)-2,4,6-triiodobenzene-1,3-dicarboxamide', "5-[n-(2,3-Dihydroxypropyl)acetamido]-2,4,6-triiodo-N,N'-bis(2,3-dihydroxypropyl)isophthalamidesolution", 'N1,N3-bis(2,3-dihydroxypropyl)-5-(N-(2,3-dihydroxypropyl)acetamido)-2,4,6-triiodoisophthalamide', 'N1,N3-bis(2,3-dihydroxypropyl)-5-[N-(2,3-dihydroxypropyl)acetamido]-2,4,6-triiodobenzene-1,3-dicarboxamide', 'N1,N3-bis[2,3-bis(oxidanyl)propyl]-5-[2,3-bis(oxidanyl)propyl-ethanoyl-amino]-2,4,6-tris(iodanyl)benzene-1,3-dicarboxamide']</t>
  </si>
  <si>
    <t>Compound(3730)</t>
  </si>
  <si>
    <t>C19H26I3N3O9</t>
  </si>
  <si>
    <t>1-N,3-N-bis(2,3-dihydroxypropyl)-5-[(2-hydroxyacetyl)-methylamino]-2,4,6-triiodobenzene-1,3-dicarboxamide</t>
  </si>
  <si>
    <t>['iomeprol', '78649-41-9', 'Iomeprolum', 'Iomeprolo', 'Iomeprolum [INN-Latin]', 'UNII-17E17JBP8L', "N,N'-Bis(2,3-dihydroxypropyl)-2,4,6-triiodo-5-(N-methylglycolamido)isophthalamide", '17E17JBP8L', 'Iomeron', 'CHEBI:31710', 'E-7337', "N,N'-bis(2,3-dihydroxypropyl)-5-[glycoloyl(methyl)amino]-2,4,6-triiodoisophthalamide", 'NCGC00183283-01', 'Imeron', '1-N,3-N-bis(2,3-dihydroxypropyl)-5-[(2-hydroxyacetyl)-methylamino]-2,4,6-triiodobenzene-1,3-dicarboxamide', 'N1,N3-Bis(2,3-dihydroxypropyl)-5-(2-hydroxy-N-methylacetamido)-2,4,6-triiodoisophthalamide', "1,3-Benzenedicarboxamide, N,N'-bis(2,3-dihydroxypropyl)-5-((hydroxyacetyl)methylamino)-2,4,6-triiodo-", 'Jomeprol', 'Iomeprol [USAN:BAN:INN:JAN]', 'Iomeprol [USAN:INN:BAN:JAN]', 'Iomeron 300 (TN)', 'DSSTox_CID_28987', 'DSSTox_RID_83252', 'DSSTox_GSID_49061', 'SCHEMBL26981', 'Iomeprol (JAN/USAN/INN)', 'CHEMBL2107214', 'DTXSID1049061', 'CTK8G0335', 'BCP34386', 'Tox21_113611', 'AKOS030255901', 'DB11705', 'CC-29573', 'CC-29574', 'LS-29727', 'CAS-78649-41-9', 'DB-056324', 'E7337', 'FT-0627277', 'FT-0670399', 'methylacetamido)-2,4,6-triiodoisophthalamide', 'NS00000228', 'NS00098789', 'D01719', 'B-16880', 'C-23512', 'N1,N3-bis(2,3-dihydroxypropyl)-5-(2-hydroxy-N-', 'Q6062808', '1185146-41-1', 'N~1~,N~3~-Bis(2,3-dihydroxypropyl)-5-[(hydroxyacetyl)(methyl)amino]-2,4,6-triiodobenzene-1,3-dicarboxamide']</t>
  </si>
  <si>
    <t>Compound(3731)</t>
  </si>
  <si>
    <t>C17H22I3N3O8</t>
  </si>
  <si>
    <t>iopromide</t>
  </si>
  <si>
    <t>1-N,3-N-bis(2,3-dihydroxypropyl)-2,4,6-triiodo-5-[(2-methoxyacetyl)amino]-3-N-methylbenzene-1,3-dicarboxamide</t>
  </si>
  <si>
    <t>['iopromide', '73334-07-3', 'Ultravist', 'Iopromidum', 'iopromid', 'Iopromida', 'SHL 414C', 'Iopromidum [INN-Latin]', 'Iopromida [INN-Spanish]', 'UNII-712BAC33MZ', 'N1,N3-bis(2,3-dihydroxypropyl)-2,4,6-triiodo-5-(2-methoxyacetamido)-N1-methylisophthalamide', 'ZK 35760', 'EINECS 277-385-9', 'BRN 7085608', '712BAC33MZ', 'Ultravist 300', 'CHEBI:63578', "N,N'-Bis(2,3-dihydroxypropyl)-2,4,6-triiodo-5-(2-methoxyacetamido)-N-methylisophthalamide", "n,n'-bis(2,3-dihydroxypropyl)-2,4,6-triiodo-5-[(methoxyacetyl)amino]-n-methylisophthalamide", '1-N,3-N-bis(2,3-dihydroxypropyl)-2,4,6-triiodo-5-[(2-methoxyacetyl)amino]-3-N-methylbenzene-1,3-dicarboxamide', 'Ultravist 370', 'DSSTox_CID_3163', 'DSSTox_RID_76898', 'DSSTox_GSID_23163', "1,3-Benzenedicarboxamide, N,N'-bis(2,3-dihydroxypropyl)-2,4,6-triiodo-5-((methoxyacetyl)amino)-N-methyl-", "1,3-Benzenedicarboxamide, N,N'-bis(2,3-dihydroxypropyl)-5-((methoxyacetyl)amino)-N-methyl-2,4,6-triiodo-", 'Ultravist 150', 'Ultravist 240', 'Ultravist (pharmacy bulk)', 'Jopromid', 'Iopromide [USAN:INN:BAN]', 'Iopromide [USAN:USP:INN:BAN]', 'Ultravist (TN)', 'NCGC00016923-01', 'Proscope (TN)', 'CAS-73334-07-3', 'BAY86-4877', 'BAY 86-4877', 'Iopromid_242_NH4', 'ZK-35760', 'Prestwick0_000872', 'Prestwick1_000872', 'Prestwick2_000872', 'Prestwick3_000872', 'CHEMBL1725', 'Iopromide (JAN/USP/INN)', 'SCHEMBL24546', 'BSPBio_000943', 'MLS002154045', 'Iopromide, analytical standard', 'SPBio_002864', 'BPBio1_001039', 'DTXSID0023163', 'C18H24I3N3O8', 'HMS1570P05', 'HMS2097P05', 'HMS2233O23', 'HMS3370M05', 'HMS3714P05', 'BCP08449', 'HY-B1362', 'Tox21_110684', 'Ultravist 300 In Plastic Container', 'AC-535', 's3207', 'AKOS025402129', 'Tox21_110684_1', 'CCG-220872', 'DB09156', 'NCGC00179367-01', 'NCGC00179367-03', 'AK468747', 'CC-29577', 'I661', 'LS-29729', 'SMR001233368', 'AB00513942', 'CS-0013103', 'FT-0627283', 'NS00000230', 'NS00098790', 'D01893', '334I073', 'C-23779', 'SR-01000841262', 'Q4202805', 'SR-01000841262-2', 'Iopromide, European Pharmacopoeia (EP) Reference Standard', 'Iopromide, United States Pharmacopeia (USP) Reference Standard', 'Iopromide for system suitability 1, European Pharmacopoeia (EP) Reference Standard', 'Iopromide for system suitability 2, European Pharmacopoeia (EP) Reference Standard', "N,N'-bis(2,3-dihydroxypropyl)-2,4,6-triiodo-N-methyl-5-{[(methyloxy)acetyl]amino}benzene-1,3-dicarboxamide", 'N-(2,3-dihydroxypropyl)-3-[(2,3-dihydroxypropyl)(methyl)carbamoyl]-5-[(1-hydroxy-2-methoxyethylidene)amino]-2,4,6-triiodobenzene-1-carboximidic acid', 'N~1~,N~3~-Bis(2,3-dihydroxypropyl)-2,4,6-triiodo-5-(2-methoxyacetamido)-N~1~-methylbenzene-1,3-dicarboxamide']</t>
  </si>
  <si>
    <t>Compound(3736)</t>
  </si>
  <si>
    <t>C18H24I3N3O8</t>
  </si>
  <si>
    <t>iopamidol</t>
  </si>
  <si>
    <t>1-N,3-N-bis(1,3-dihydroxypropan-2-yl)-5-[[(2S)-2-hydroxypropanoyl]amino]-2,4,6-triiodobenzene-1,3-dicarboxamide</t>
  </si>
  <si>
    <t>['iopamidol', '60166-93-0', 'Iopamiro', 'Iopamiron', 'Isovue', 'Niopam', 'Solutrast', 'Gastromiro', 'Iopamidol 300', 'Solutrast 370', 'Iopamidolum', 'Oypalomin', 'Isovue 370', 'Iopamiron 300', 'Iopamiron 370', 'Jopamiron 200', 'Iopamiro 370', 'Isovue-370', 'Niopam 300', 'Iopamidolum [INN-Latin]', 'UNII-JR13W81H44', 'B-15000', 'EINECS 262-093-6', 'B 15000', 'BRN 6250226', 'SQ 13396', 'SQ-13396', "(S)-N,N'-bis(2-Hydroxy-1-(hydroxymethyl)ethyl)-2,4,6-triiodo-5-lactamidoisophthalamide", "L-(+)-N,N'-Bis(2-hydroxy-1-hydroxymethylethyl)-2,4,6-triiodo-5-lactamide isophthalamide", 'L-5alpha-Hydroxypropionylamino-2,4,6-triiodoisophthalic acid di(1,3-dihydroxy-2-propylamide)', 'CHEBI:31711', '62883-00-5', 'JR13W81H44', 'iomapidol', 'NCGC00016892-01', 'CAS-60166-93-0', 'DSSTox_CID_3158', 'DSSTox_RID_76896', 'L-5alpha-Idrossipropionilamino-2,4,6-triiodoisoftal-di(1,3-diidrossi-2-propilamide)', 'DSSTox_GSID_23158', "(S)-N,N'-Bis(2-hydroxy-1-(hydroxymethyl)ethyl)-5-((2-hydroxy-1-oxopropyl)amino)-2,4,6-triiodoisophthaldiamide", "1,3-Benzenedicarboxamide, N,N'-bis(2-hydroxy-1-(hydroxymethyl)ethyl)-5-(((2S)-2-hydroxy-1-oxopropyl)amino)-2,4,6-triiodo-", "1,3-Benzenedicarboxamide, N,N'-bis(2-hydroxy-1-(hydroxymethyl)ethyl)-5-((2-hydroxy-1-oxopropyl)amino)-2,4,6-triiodo-, (S)-", "N,N'-bis(1,3-dihydroxypropan-2-yl)-5-{[(2S)-2-hydroxypropanoyl]amino}-2,4,6-triiodobenzene-1,3-dicarboxamide", 'Iopamidol-200', 'Iopamidol-250', 'Iopamidol-300', 'Iopamidol-370', 'Scanlux-300', 'Scanlux-370', 'Isovue-128', 'Isovue-200', 'Isovue-250', 'Isovue-300', 'Isovue-M 200', 'Isovue-M 300', 'Iopamyron', 'HSDB 8075', "(S)-N,N'-Bis[2-hydroxy-1-(hydroxymethyl)ethyl]-2,4,6-triiodo-5-lactamidoisophthalamide", 'Iopamidol [USAN:INN:BAN:JAN]', 'Iopamiron (TN)', '1-N,3-N-bis(1,3-dihydroxypropan-2-yl)-5-[[(2S)-2-hydroxypropanoyl]amino]-2,4,6-triiodobenzene-1,3-dicarboxamide', 'Iopamidol-200 in plastic container', 'Iopamidol-250 in plastic container', 'Iopamidol-300 in plastic container', 'Iopamidol-370 in plastic container', 'Isovue (TN)', 'Iopamidol [USAN:USP:INN:BAN:JAN]', 'SQ 13,396', 'Prestwick0_000871', 'Prestwick1_000871', 'Prestwick2_000871', 'Prestwick3_000871', 'Iopamidol (JP17/USP)', 'SCHEMBL27781', 'BSPBio_000941', 'SPBio_002862', 'BPBio1_001037', 'CHEMBL1200932', 'DTXSID1023158', 'HMS1570P03', 'HMS2097P03', 'HMS3714P03', 'Pharmakon1600-01502304', 'ACT03261', 'HY-B0684', 'ZINC3830947', 'Tox21_110668', 'GP4065', 'NSC759636', 's4532', 'AKOS015891034', 'Tox21_110668_1', 'API0003016', 'CCG-213024', 'CS-2917', 'DB08947', 'KS-1421', 'NSC-759636', 'NCGC00016892-02', 'NCGC00016892-04', 'CC-29575', 'LS-29730', 'SC-43948', 'AB00513941', 'D01797', 'hydroxypropanamido)-2,4,6-triiodoisophthalamide', 'AB00513941_02', '166I930', 'C-23510', 'Q424788', 'Q-201245', '(S)-N1,N3-bis(1,3-dihydroxypropan-2-yl)-5-(2-', 'BRD-K75868704-001-01-2', '(S)-N,N inverted exclamation marka-Bis[2-hydroxy-1-(hydroxymethyl)ethyl]-2,4,6-triiodo-5-lactamidoisophthalamide', "(S)-N,N'-bis[2-hydroxy-1-(hydroxymethyl)ethyl]-5-[(2-hydroxy-1-oxopropyl)amino]-2,4,6-triiodo-1,3-benzenedicarboxamide", '(S)-N,N-bis[2-hydroxy-1-(hydroxymethyl)ethyl]-5-[(2-hydroxy-1-oxopropyl)amino]-2,4,6-triiodoisophthaldiamide', '(S)-N1,N3-bis(1,3-dihydroxypropan-2-yl)-5-(2-hydroxypropanamido)-2,4,6-triiodoisophthalamide', "N,N'-bis[2-hydroxy-1-(hydroxymethyl)ethyl]-5-{[(2S)-2-hydroxypropanoyl]amino}-2,4,6-triiodobenzene-1,3-dicarboxamide", 'N~1~,N~3~-Bis(1,3-dihydroxypropan-2-yl)-5-{[(2S)-2-hydroxypropanoyl]amino}-2,4,6-triiodobenzene-1,3-dicarboxamide', 'N1,N3-bis(1,3-dihydroxypropan-2-yl)-5-[(2S)-2-hydroxypropanamido]-2,4,6-triiodobenzene-1,3-dicarboxamide']</t>
  </si>
  <si>
    <t>Compound(65492)</t>
  </si>
  <si>
    <t>iopanoic acid</t>
  </si>
  <si>
    <t>2-[(3-amino-2,4,6-triiodophenyl)methyl]butanoic acid</t>
  </si>
  <si>
    <t>['IOPANOIC ACID', 'Iodopanoic acid', '96-83-3', 'Telepaque', 'Cholevid', 'Iopagnost', 'Polognost', 'Iopanoicum', 'iopanic acid', 'Jopanoic acid', 'Bilijodon', 'Choladine', 'Cistobil', 'Colepax', 'Copanoic', 'Jopagnost', '2-(3-Amino-2,4,6-triiodobenzyl)butanoic acid', '2-(3-Amino-2,4,6-triiodobenzyl)butyric acid', 'Teletrast', 'Acidum iopanoicum', 'Iodopanic acid', 'NSC 41706', 'Acide iopanoique [French]', 'Acide iopanoique [INN-French]', 'Acido iopanoico [INN-Spanish]', 'Acidum iopanoicum [INN-Latin]', 'Acido iopanoico [Latin,Spanish]', 'HSDB 3345', '2-[(3-amino-2,4,6-triiodophenyl)methyl]butanoic acid', 'WIN 2011', 'EINECS 202-539-9', 'BRN 2220381', '3-Amino-alpha-ethyl-2,4,6-triiodohydrocinnamic acid', '2-Ethyl-3-(3-amino-2,4,6-triiodophenyl)propionic acid', '3-(3-Amino-2,4,6-triiodophenyl)-2-ethylpropanoic acid', '3-Amino-alpha-ethyl-2,4,6-triiodobenzenepropanoic acid', 'CHEBI:5951', 'Benzenepropanoic acid, 3-amino-alpha-ethyl-2,4,6-triiodo-', '2-[(3-amino-2,4,6-triiodo-phenyl)methyl]butanoic acid', 'Hydrocinnamic acid, 3-amino-alpha-ethyl-2,4,6-triiodo-', 'Benzenepropanoic acid, 3-amino-.alpha.-ethyl-2,4,6-triiodo-', 'beta-(3-Amino-2,4,6-triiodophenyl)-alpha-ethylpropionic acid', 'DSSTox_CID_3159', 'DSSTox_RID_76897', 'DSSTox_GSID_23159', 'W-100130', '(pm)-3-Amino-alpha-ethyl-2,4,6-triiodohydrocinnamic acid', 'Acido iopanoico', 'Acide iopanoique', 'Benzenepropanoic acid, 3-amino-alpha-ethyl-2,4,6-triiodo-, (+-)-', 'SR-05000001877', 'Iopanoic acid [INN:BAN:JAN]', 'C11H12I3NO2', 'CAS-96-83-3', 'Telepaque (TN)', 'NCGC00016357-01', 'Iopanoic acid [USP:INN:BAN:JAN]', 'Spectrum_001576', 'Prestwick0_001052', 'Prestwick1_001052', 'Prestwick2_001052', 'Prestwick3_001052', 'Spectrum2_001206', 'Spectrum4_000879', 'Spectrum5_001681', 'CHEMBL867', 'Iopanoic acid;iopanoic acid', '(.+/-.)-Iopanoic acid', 'SCHEMBL38976', 'BSPBio_001004', 'KBioGR_001577', 'KBioSS_002056', 'MLS002154127', 'DivK1c_000902', 'SPECTRUM1503923', 'SPBio_000992', 'SPBio_002932', 'BPBio1_001106', 'Iopanoic acid (JAN/USP/INN)', 'DTXSID6023159', 'CTK3J2080', 'HMS502N04', 'KBio1_000902', 'KBio2_002056', 'KBio2_004624', 'KBio2_007192', 'OIRFJRBSRORBCM-UHFFFAOYSA-', 'Hydrocinnamic acid,4,6-triiodo-', 'NINDS_000902', 'HMS1571C06', 'HMS1922K20', 'HMS2093M03', 'HMS2098C06', 'HMS2231G12', 'HMS3369D07', 'HMS3715C06', 'Iopanoic acid, analytical standard', 'Pharmakon1600-01503923', 'Benzenepropanoic acid,4,6-triiodo-', 'HY-B1664', 'NSC41706', 'Tox21_110394', 'Tox21_303477', '6786AC', 'ANW-42001', 'CCG-39139', 'NSC-41706', 'NSC758646', 's5497', 'AKOS015854598', 'Tox21_110394_1', 'API0024292', 'CS-8125', 'DB08946', 'NSC-758646', 'VZ32411', 'IDI1_000902', 'WLN: ZR BI DI FI C1Y2 &amp; VQ', 'NCGC00095082-01', 'NCGC00095082-02', 'NCGC00095082-03', 'NCGC00095082-06', 'NCGC00257386-01', 'AK116030', 'AS-66216', 'CC-29568', 'LS-77131', 'SMR001233434', 'SBI-0051863.P002', '2-(2-carbamimidoylsulfanylethyl)isothiourea', 'AX8013077', '2-(3-Amino-2,6-triiodobenzyl)butyric acid', 'AB00052387', 'FT-0631496', 'I0300', 'NS00007827', 'NS00099098', 'C08217', 'D01014', 'AB00052387_07', '2-(3-Amino-2,4,6-triiodobenzyl)butanoic acid #', 'C-23252', 'Q1672108', 'SR-05000001877-1', 'SR-05000001877-3', '2-Ethyl-3-(3-amino-2,6-triiodophenyl)propionic acid', '3-(3-Amino-2,6-triiodophenyl)-2-ethylpropanoic acid', '3-Amino-.alpha.-ethyl-2,6-triiodohydrocinnamic acid', 'BRD-A42628519-001-04-1', 'BRD-A42628519-001-07-4', '3-(3-Amino-2,4,6-triiodophenyl)-2-ethylpropionic Acid', '3-Amino-.alpha.-ethyl-2,4,6-triiodohydrocinnamic acid', '3-Amino-.alpha.-ethyl-2,4,6-triiodobenzenepropanoic acid', 'Hydrocinnamic acid, 3-amino-.alpha.-ethyl-2,4,6-triiodo-', 'Iopanoic acid, European Pharmacopoeia (EP) Reference Standard', '.alpha.-Ethyl-.beta.-(3-amino-2,4,6-triiodophenyl)propionic acid', '.beta.-(3-Amino-2,4,6-triiodophenyl)-.alpha.-ethylpropionic acid', '.beta.-(3-Amino-2,6-triiodophenyl)-.alpha.-ethylpropionic acid', 'Benzenepropanoic acid, 3-amino-.alpha.-ethyl-2,4,6-triiodo-, (.+/-.)-']</t>
  </si>
  <si>
    <t>Compound(3735)</t>
  </si>
  <si>
    <t>C11H12I3NO2</t>
  </si>
  <si>
    <t>iotalamic acid</t>
  </si>
  <si>
    <t>3-acetamido-2,4,6-triiodo-5-(methylcarbamoyl)benzoic acid</t>
  </si>
  <si>
    <t>['iotalamic acid', 'IOTHALAMIC ACID', '2276-90-6', 'Acidum jotalamicum', '3-acetamido-2,4,6-triiodo-5-(methylcarbamoyl)benzoic acid', 'UNII-16CHD79MIX', '5-Acetamido-2,4,6-triiodo-N-methylisophthalamic acid', 'Acide iotalamique [INN-French]', 'Acido iotalamico [INN-Spanish]', 'Acidum iotalamicum [INN-Latin]', 'EINECS 218-897-4', 'MI 216', '16CHD79MIX', 'Benzoic acid, 3-(acetylamino)-2,4,6-triiodo-5-((methylamino)carbonyl)-', 'MI-216', 'Benzoic acid,3-(acetylamino)-2,4,6-triiodo-5-[(methylamino)carbonyl]-', 'Acido iotalamico', 'Acide iotalamique', 'Acidum iotalamicum', 'Iothalamic acid [USAN]', 'Iotalaminsaure', 'Iothalamic acid [USAN:USP]', 'Iotalamic acid [INN]', 'Iothalamic acid (USP)', 'EC 218-897-4', 'SCHEMBL38419', 'Iothalamic acid [USAN:BAN]', 'Iotalamic acid (JP17/INN)', 'CHEMBL1201300', 'DTXSID5023164', 'CHEBI:31713', 'CTK4F0141', 'HMS3264D13', 'Pharmakon1600-01503836', 'BCP13316', 'HY-B1053', 'ZINC3830961', '3-(acetylamino)-2,4,6-triiodo-5-[(methylamino)carbonyl]benzoic acid', 'NSC759891', 'AKOS025402283', 'AC-7611', 'CCG-213208', 'CS-4575', 'DB09133', 'NSC-759891', 'NCGC00183042-01', 'LS-35511', 'FT-0740526', 'NS00004121', 'D01258', 'AB01563288_01', '276I906', 'SR-01000944232', 'Q-201246', 'Q6064129', 'SR-01000944232-1', 'odium 3-(acetylamino)-2,4,6-triiodo-5-[(methylamino)carbonyl]benzoate', '1-deoxy-1-(methylamino)-D-glucitol 5-acetamido-2,4,6 triiodo-N-methylisophthalamate', 'Sodium 3-(acetylamino)-2,4,6-triiodo-5-[(methylamino)carbonyl]benzoate;1-deoxy-1-(methylamino)-D-glucitol 3-(acetylamino)-2,4,6-triiodo-5-[(methylamino)carbonyl]benzoate;SODIUM IOTALAMATE (131 I);iotalamic acid;Iothalamic acid;Iotalaminsaure']</t>
  </si>
  <si>
    <t>Compound(3737)</t>
  </si>
  <si>
    <t>joxaglic acid</t>
  </si>
  <si>
    <t>3-[[2-[[3-[acetyl(methyl)amino]-2,4,6-triiodo-5-(methylcarbamoyl)benzoyl]amino]acetyl]amino]-5-(2-hydroxyethylcarbamoyl)-2,4,6-triiodobenzoic acid</t>
  </si>
  <si>
    <t>['ioxaglic acid', 'Ioxaglate', '59017-64-0', 'Hexabrix 160', 'Acido ioxaglico', 'Acide ioxaglique', 'Acidum ioxaglicum', 'UNII-Z40X7EI2AF', 'P 286 (Contrast medium)', 'Acide ioxaglique [INN-French]', 'Acido ioxaglico [INN-Spanish]', 'Acidum ioxaglicum [INN-Latin]', 'EINECS 261-560-1', 'Z40X7EI2AF', 'N-(2-Hydroxyethyl)-2,4,6-triiodo-5-(2-(2,4,6-triiodo-3-(N-methylacetamido)-5-(methylcarbamoyl)benzamido)acetamido)isophthalamic acid', 'P 286', 'CHEBI:31718', '3-[(N-{3-[acetyl(methyl)amino]-2,4,6-triiodo-5-(methylcarbamoyl)benzoyl}glycyl)amino]-5-[(2-hydroxyethyl)carbamoyl]-2,4,6-triiodobenzoic acid', 'NCGC00016886-01', 'CAS-59017-64-0', 'Benzoic acid, 3-((((3-(acetylmethylamino)-2,4,6-triiodo-5-((methylamino)carbonyl)benzoyl)amino)acetyl)amino)-5-(((2-hydroxyethyl)amino)carbonyl)-2,4,6-triiodo-', 'Ioxaglinsaure', 'HSDB 8077', 'Ioxaglic acid [USAN:BAN:INN:JAN]', 'Ioxaglic acid [USAN:USP:INN:BAN:JAN]', 'Hexabrix 320 (TN)', 'Prestwick0_001062', 'Prestwick1_001062', 'Prestwick2_001062', 'Prestwick3_001062', 'DSSTox_CID_3166', 'DSSTox_RID_76899', 'DSSTox_GSID_23166', 'SCHEMBL38073', 'BSPBio_001044', 'Hexabrix 160; P 286', 'MLS002154135', 'SPBio_002962', 'BPBio1_001150', 'Ioxaglic acid (JAN/USP/INN)', 'CHEMBL1201291', 'DTXSID5023166', 'HMS1571E06', 'HMS2098E06', 'HMS2234I18', 'HMS3371K01', 'HMS3715E06', 'Tox21_110664', 'CCG-221062', 'DB09313', 'NCGC00016886-02', 'NCGC00016886-04', 'LS-35517', 'SMR001233442', 'AB00514026', 'FT-0627285', 'NS00006189', 'D01761', 'SR-01000841818', 'Q6064817', 'SR-01000841818-2', 'W-111165', 'BRD-K79124250-001-03-0', 'acide ioxaglique, ioxaglic acid, acido ioxaglico, ioxaglate, acidum ioxaglicum', '3-{[N-({3-[acetyl(methyl)amino]-2,4,6-triiodo-5-[(methylamino)carbonyl]phenyl}carbonyl)glycyl]amino}-5-{[(2-hydroxyethyl)amino]carbonyl}-2,4,6-triiodobenzoic acid', 'ioxaglic acid;acide ioxaglique, ioxaglic acid, acido ioxaglico, ioxaglate, acidum ioxaglicum;sodium 3-[[[[3-(acetylmethylamino)-2,4,6-triiodo-5-[(methylamino)carbonyl]benzoyl]amino]acetyl]amino]-5-[[(2-hydroxyethyl)amino]carbonyl]-2,4,6-triiodobenzoate']</t>
  </si>
  <si>
    <t>Compound(3742)</t>
  </si>
  <si>
    <t>C24H21I6N5O8</t>
  </si>
  <si>
    <t>ioxitalamic acid</t>
  </si>
  <si>
    <t>3-acetamido-5-(2-hydroxyethylcarbamoyl)-2,4,6-triiodobenzoic acid</t>
  </si>
  <si>
    <t>['Ioxitalamic acid', '28179-44-4', 'Acido ioxitalamico', 'Acide ioxitalamique', 'Acidum ioxitalamicum', 'iooxitalamic acid', 'UNII-967RDI7Z6K', 'Ioxitalamic acid [INN:DCF]', '3-Acetamido-5-((2-hydroxyethyl)carbamoyl)-2,4,6-triiodobenzoic acid', '967RDI7Z6K', 'CHEBI:83517', '3-acetamido-5-(2-hydroxyethylcarbamoyl)-2,4,6-triiodobenzoic acid', '33954-26-6', '3-(Acetylamino)-5-{[(2-hydroxyethyl)amino]carbonyl}-2,4,6-triiodobenzoic acid', 'Acido iossitalamico', 'Acidum joxitalamicum', 'Acido iossitalamico [DCIT]', 'Ioxitalaminsaure', 'Ioxitalamin acid', '3-Acetamido-5-[(2-hydroxyethyl)carbamoyl]-2,4,6-triiodobenzoic acid', '3-(Acetylamino)-5-(((2-hydroxyethyl)amino)carbonyl)-2,4,6-triiodobenzoic acid', 'Acide ioxitalamique [INN-French]', 'Acido ioxitalamico [INN-Spanish]', 'Acidum ioxitalamicum [INN-Latin]', 'EINECS 248-887-5', 'Ioxitalamic acid (INN)', 'ioxitalamic acid sodium salt', 'MLS006010884', 'SCHEMBL455411', 'Acido ioxitalamico;Ioxitalamate', 'CHEMBL2107239', 'CTK8I2852', 'DTXSID60182457', 'ACT03777', 'BCP34384', 'ZINC4216615', '3-acetamido-5-(2-hydroxyethylcarbamoyl)-2,4,6-triiodo-benzoic acid', 'sodium 3-acetamido-5-(2-hydroxyethylcarbamoyl)-2,4,6-triiodobenzoate', 'DB13444', 'ACM33954266', 'AG-58107', 'AK116507', 'SC-21227', 'SMR004701800', 'AX8134824', 'FT-0659353', 'NS00000290', 'D07418', '179I444', 'SR-01000945067', 'Q3604532', 'SR-01000945067-1', 'W-110718', '3-acetylamino-5-(2-hydroxy-ethylcarbamoyl)-2,4,6-triiodo-benzoate', '5-acetamido-2,4,6-triiodo-N-(2-hydroxyethyl)-isophthalamic acid', '5-Acetamido-N-(2-hydroxyethyl)-2,4,6-triiodoisophthalamic acid', 'Ioxitalamic acid;Ioxitalamic acid [INN:DCF];SODIUM IOXITALAMATE', '3-(acetylamino)-5-[(2-hydroxyethyl)carbamoyl]-2,4,6-triiodobenzoic acid']</t>
  </si>
  <si>
    <t>Compound(34536)</t>
  </si>
  <si>
    <t>C12H11I3N2O5</t>
  </si>
  <si>
    <t>kasugamycin</t>
  </si>
  <si>
    <t>2-amino-2-[(2R,3S,5S,6R)-5-amino-2-methyl-6-[(2R,3S,5S,6S)-2,3,4,5,6-pentahydroxycyclohexyl]oxyoxan-3-yl]iminoacetic acid</t>
  </si>
  <si>
    <t>['KASUGAMYCIN', 'Kasuminl', '6980-18-3', 'Kasumin L', 'Kasumin 2L', 'UNII-O957UYB9DY', 'HSDB 6695', 'BRN 1403823', 'O957UYB9DY', 'CHEBI:81419', '11030-24-3', '19408-46-9', 'Kasu B', '(1s,2r,3s,4r,5s,6s)-2,3,4,5,6-Pentahydroxycyclohexyl 2-Amino-4-{[carboxy(Imino)methyl]amino}-2,3,4,6-Tetradeoxy-Alpha-D-Arabino-Hexopyranoside', 'D-chiro-Inositol, 3-O-(2-amino-4-((carboxyiminomethyl)amino)-2,3,4,6-tetradeoxy-alpha-D-arabino-hexopyranosyl)-', 'KSM', 'SR-05000001429', 'alpha-D-lyxo-', 'C14H25N3O9', 'EINECS 234-260-3', 'NSC 100858', 'SCHEMBL70535', 'CHEMBL1631109', 'DTXSID1040374', 'SCHEMBL12858482', 'SCHEMBL16011710', 'HMS2089A11', 'ZINC4216682', 'AKOS025310863', 'ZINC100042889', 'ZINC100045947', '3-O-(2-Amino-4-((carboxyiminomethyl)amino)-2,3,4,6-tetradeoxy-alpha-D-arabino-hexopyranosyl)-D-chiro-inositol sulphate', 'LS-84033', 'SC-14174', 'X6751', 'KSG', 'C17968', 'Q3193879', 'SR-05000001429-1', '(1S,2R,3S,4R,5S,6S)-2,3,4,5,6-PENTAHYDROXYCYCLOHEXYL', '(1S,2R,3S,4R,5S,6S)-2,3,4,5,6-pentahydroxycyclohexyl 2-amino-4-{[(Z)-carboxy(imino)methyl]amino}-2,3,4,6-tetradeoxy-alpha-D-arabino-hexopyranoside', '2-((2R,3S,5S,6R)-5-amino-2-methyl-6-((1S,2R,3S,4R,5S,6S)-2,3,4,5,6-pentahydroxycyclohexyloxy)tetrahydro-2H-pyran-3-ylamino)-2-iminoacetic acid', '2-[[(2R,3S,5S,6R)-5-amino-2-methyl-6-[(2R,3S,5S,6S)-2,3,4,5,6-pentahydroxycyclohexoxy]tetrahydropyran-3-yl]amino]-2-imino-acetic acid', '2-AMINO-4-{[CARBOXY(IMINO)METHYL]AMINO}-2,3,4,6-TETRADEOXY-ALPHA-D-ARABINO-HEXOPYRANOSIDE', '3-O-[2-amino-4-[(carboxyiminomethyl)amino]-2,3,4,6-tetradeoxy-a-D-arabino-hexopyranosyl]-D-chiro-inositol sulphate', '3-O-[2-amino-4-[(carboxyiminomethyl)amino]-2,3,4,6-tetradeoxy-alpha-D-arabino-hexopyranosyl]-D-chiro-inositol']</t>
  </si>
  <si>
    <t>Compound(65174)</t>
  </si>
  <si>
    <t>C14H25N3O9</t>
  </si>
  <si>
    <t>2-(2-chlorophenyl)-2-(methylamino)cyclohexan-1-one</t>
  </si>
  <si>
    <t>['ketamine', 'Ketaject', 'Ketalar', 'dl-Ketamine', 'CI 581 base', 'Special K', '(+-)-Ketamine', 'Ketaminum', 'CLSTA 20', 'Ketanest', 'Ketalar base', '6740-88-1', '2-(2-Chlorophenyl)-2-(methylamino)cyclohexanone', '(+/-)-Ketamine', 'KETAMINE HCL', 'Ketamine [INN:BAN]', 'Ketaminum [INN-Latin]', '2-(Methylamino)-2-(2-chlorophenyl)cyclohexanone', 'Cetamina [INN-Spanish]', 'Special K [street name]', '2-(o-Chlorophenyl)-2-(methylamino)-cyclohexanone', 'NSC 70151', '2-(2-chlorophenyl)-2-(methylamino)cyclohexan-1-one', 'EINECS 229-804-1', 'CHEMBL742', 'BRN 2216965', 'CHEBI:6121', '2-(2-Chloro-phenyl)-2-methylamino-cyclohexanone', '2-(o-Chlorophenyl)-2-(methylamino)cyclohexanone', 'Cyclohexanone, 2-(o-chlorophenyl)-2-(methylamino)-', 'NSC-70151', '100477-72-3', 'DEA No. 7285', 'HSDB 2180', 'NCGC00159480-02', 'NCGC00159480-03', 'Calypsol', 'Cetamina', 'Cyclohexanone, 2-(o-chlorophenyl)-2-(methylamino)-, (+-)-', 'Ketamine Base', 'DSSTox_CID_3187', 'CI-581', 'DSSTox_RID_76912', 'DSSTox_GSID_23187', 'Ketoject', 'Ketamine (INN)', 'CAS-6740-88-1', 'Tekam (TN)', '(+/-)-2-(o-Chlorophenyl)-2-(methylamino)cyclohexanone', 'ketamina', 'Ketamin', 'Ketolar (Salt/Mix)', 'Vetalar (Salt/Mix)', 'Kalipsol (Salt/Mix)', 'Ketanest (Salt/Mix)', '(.+/-.)-Ketamine', 'EC 229-804-1', 'Cyclohexanone, (.+-.)-', 'SCHEMBL16103', 'MLS001331674', 'DivK1c_000217', 'cyclohexanone, 2-(2-chlorophenyl)-2-(methylamino)-', 'Ketamine hydrochloride;Ketamine', 'GTPL4233', '(+/-)-2-(2-Chlorophenyl)-2-(methylamino)cyclohexanone', 'DTXSID8023187', 'SCHEMBL17084881', 'KBio1_000217', 'NINDS_000217', 'Cyclohexanone, 2-(2-chlorophenyl)-2-(methylamino)-, (+-)-', 'HMS2272G05', 'NSC70151', 'Tox21_111703', 'Tox21_111704', 'BDBM50044140', 'API0005228', 'DB01221', 'MCULE-4905246871', 'IDI1_000217', 'LS-57301', 'SMR000238141', 'NS00000409', 'C07525', 'D08098', 'Q243547', '2-(2-Chlorophenyl)-2-(methylamino)cyclohexanone #', 'J-505587', '(.+/-.)-2-(O-Chlorophenyl)-2-(methylamino)cyclohexanone', '2-(2-Chloro-phenyl)-2-methylamino-cyclohexanone(Ketamine)', 'Cyclohexanone, 2-(2-chlorophenyl)-2-(methylamino)- (9CI)', 'Cyclohexanone, 2-(2-chlorophenyl)-2-(methylamino)-, (+/-)-', 'Cyclohexanone, 2-(2-chlorophenyl)-2-(methylamino)-, (+-)- (9CI)', 'Cyclohexanone, 2-(2-chlorophenyl)-2-(methylamino)-, (.+/-.)-', 'Cyclohexanone, 2-(o-chlorophenyl)-2-(methylamino)-, (.+/-.)-', 'Cyclohexanone, 2-(o-chlorophenyl)-2-(methylamino)-, (+/-)- (8CI)']</t>
  </si>
  <si>
    <t>Compound(3821)</t>
  </si>
  <si>
    <t>C13H16ClNO</t>
  </si>
  <si>
    <t>2-(3-benzoylphenyl)propanoic acid</t>
  </si>
  <si>
    <t>['ketoprofen', '22071-15-4', '2-(3-Benzoylphenyl)propanoic acid', 'Orudis', '2-(3-Benzoylphenyl)propionic acid', 'Ketoprofene', 'm-Benzoylhydratropic acid', 'Profenid', 'Oruvail', '3-Benzoylhydratropic acid', 'Alrheumat', 'Alrheumun', 'Capisten', 'Epatec', 'Actron', 'Aneol', 'Orudis (TN)', 'Orudis KT', 'Ketoprofeno', 'Ketoprophene', 'RP-19583', 'racemic-Ketoprofen', '2-[3-(phenylcarbonyl)phenyl]propanoic acid', 'RP 19583', '2-(m-Benzoylphenyl)propionic acid', 'Ketoprofene [INN-French]', 'Ketoprofenum [INN-Latin]', 'Racemic ketoprofen', 'Ketoprofeno [INN-Spanish]', '3-BENZOYL-ALPHA-METHYLBENZENEACETIC ACID', 'Ketoprofen (+-)', 'RU 4733', 'Ketoprofen (Actron)', 'CHEBI:6128', '(+-)-m-Benzoylhydratropic acid', 'Benzeneacetic acid, 3-benzoyl-alpha-methyl-', 'Benzeneacetic acid, 3-benzoyl-.alpha.-methyl-', 'CHEMBL571', 'Propionic acid, 2-(3-benzoylphenyl)-', '19583 RP', "L'Acide (benzoyl-3-phenyl)-2-propionique", 'MLS000079024', 'CCRIS 4508', '(+-)-3-Benzoyl-alpha-methylbenzeneacetic acid', 'Acide (benzoyl-3-phenyl)-2-propionique [French]', 'EINECS 244-759-8', 'Hydratropic acid, m-benzoyl-, (+-)-', 'Alrheumum', 'Kefenid', 'Ketopron', 'Menamin', 'Meprofen', 'Orugesic', 'Oscorel', 'SMR000040181', 'Fastum', 'Lertus', 'Toprec', 'Toprek', 'Dexal', 'DSSTox_CID_771', 'DSSTox_RID_75783', 'DSSTox_GSID_20771', '22161-86-0', 'Iso-K', 'Benzeneacetic acid, 3-benzoyl-alpha-methyl-, (+-)-', 'Benzoylhydratropic Acid', 'Ketoprofenum', 'SR-01000075949', '(+) ketoprofen', 'Ketoprofen [USAN:INN:BAN:JAN]', 'NCGC00016757-01', 'Ketoprofen ,(S)', 'Prestwick_617', '2-[3-(benzoyl)phenyl]propanoic acid', 'CAS-22071-15-4', '2-(3-benzoylphenyl)-propionic acid', 'Acide (benzoyl-3-phenyl)-2-propionique', 'Spectrum_001309', 'Opera_ID_509', '19,583 RP', 'Prestwick0_000219', 'Prestwick1_000219', 'Prestwick2_000219', 'Prestwick3_000219', 'Spectrum2_000956', 'Spectrum3_001479', 'Spectrum4_000028', 'Spectrum5_001254', 'm-benzoyl-hydratropic acid', 'Epitope ID:131783', 'K 1751', 'SCHEMBL2896', 'Lopac0_000686', 'Oprea1_117113', '(S)-Ketoprofen;Dexketoprofen', 'BSPBio_000237', 'BSPBio_003037', 'KBioGR_000435', 'KBioSS_001789', 'MLS000028446', 'MLS001201752', 'MLS001306444', 'MLS002548889', 'MLS006011967', 'BIDD:GT0443', 'DivK1c_000598', 'SPECTRUM1501215', 'SPBio_000952', 'SPBio_002158', 'BPBio1_000261', 'GTPL4795', 'IDEA-033', 'Ketoprofen (JP17/USP/INN)', 'Ketoprofen, &gt;=98% (TLC)', 'DTXSID6020771', 'CTK8F2159', 'DKYWVDODHFEZIM-UHFFFAOYSA-', 'HMS501N20', 'KBio1_000598', 'KBio2_001789', 'KBio2_004357', 'KBio2_006925', 'KBio3_002537', 'KS-00000GGJ', '(+/-)-m-Benzoylhydratropic acid', 'NINDS_000598', 'HMS1568L19', 'HMS1921B12', 'HMS2089B16', 'HMS2092L19', 'HMS2095L19', 'HMS2234H16', 'HMS3259I05', 'HMS3262I13', 'HMS3372M08', 'HMS3373G09', 'HMS3649N10', 'HMS3655C15', 'HMS3712L19', 'Pharmakon1600-01501215', 'BCP23428', 'HY-B0227', "2-(3'-benzoylphenyl)propionic acid", '2-(3-benzoylphenyl) propionic acid', 'alpha(3-benzoylphenyl)propionic acid', 'Tox21_110594', 'Tox21_200847', 'Tox21_500686', '(.+/-.)-m-Benzoylhydratropic acid', '2-(3-benzoylphenyl) propionoic acid', 'alpha-(m-benzoylphenyl)propionic acid', 'BDBM50022271', 'CCG-39685', 'MFCD00055790', 'NSC758144', 's1645', 'SBB063946', 'STL450995', '2-(3-Benzoylphenyl)propanoic acid #', 'alpha-(3-benzoylphenyl)propionic acid', 'AKOS007930512', 'alpha-(m-benzoylphenyl) propionic acid', 'Tox21_110594_1', '19583RP', 'AC-1486', 'BCP9000810', 'CS-2175', 'DB01009', 'Ketoprofen [USAN:USP:INN:BAN:JAN]', 'KS-5031', 'LP00686', 'LS-7470', 'MCULE-9740144074', 'NC00459', 'NSC-758144', 'RU-4733', 'SDCCGSBI-0050664.P004', 'IDI1_000598', '(rs)-2-(3-benzoylphenyl)propanoic acid', 'NCGC00015578-02', 'NCGC00015578-03', 'NCGC00015578-04', 'NCGC00015578-05', 'NCGC00015578-07', 'NCGC00015578-08', 'NCGC00015578-10', 'NCGC00015578-12', 'NCGC00094043-01', 'NCGC00094043-02', 'NCGC00094043-03', 'NCGC00094043-04', 'NCGC00258401-01', 'NCGC00261371-01', '(2R)-2-(3-benzoylphenyl)propanoic acid', 'AK-47496', 'BR-47496', 'LS-28621', 'SC-17621', '3-Benzoyl-.alpha.-methylbenzeneacetic acid', 'BCP0726000302', 'SBI-0050664.P003', '(+/-)-2-(3-Benzoylphenyl)propionic acid', "L''Acide (benzoyl-3-phenyl)-2-propionique", 'UNM-0000306100', 'AB00052249', 'AM20060549', 'EU-0100686', 'FT-0602834', 'FT-0670646', 'FT-0670647', 'K0038', 'Ketoprofen, meets USP testing specifications', 'Orudis, Profenid, Dexal, Keduril, Ketofen,', 'R.P. 19583', 'SW196784-3', 'R.P. 19,583', 'BIM-0050664.0001', 'C01716', 'D00132', 'Ketoprofen, VETRANAL(TM), analytical standard', 'M-7468', 'AB00052249-17', 'AB00052249-19', 'AB00052249-20', 'AB00052249_21', 'AB00052249_22', '071K154', 'A815896', 'Q409192', 'Q-201268', 'SR-01000075949-1', 'SR-01000075949-6', 'SR-01000075949-9', '(.+/-.)-3-Benzoyl-.alpha.-methylbenzeneacetic acid', 'Benzeneacetic acid, 3-benzoyl-alpha-methyl-, (+/-)', 'BRD-A97739905-001-05-9', 'BRD-A97739905-001-15-8', 'SR-01000075949-18', 'F2173-0960', 'Z1695709452', 'Ketoprofen, British Pharmacopoeia (BP) Reference Standard', 'Ketoprofen, European Pharmacopoeia (EP) Reference Standard', 'Ketoprofen, United States Pharmacopeia (USP) Reference Standard', 'Ketoprofen, Pharmaceutical Secondary Standard; Certified Reference Material', '154907-35-4', '2-Amino-2-(hydroxymethyl)-1,3-propanediol (S)-3-benzoyl-alpha-methylbenzeneacetate;Ketoprofen;KETOPROFEN;Sodium 2-(3-benzoylphenyl)propionate']</t>
  </si>
  <si>
    <t>Compound(3825)</t>
  </si>
  <si>
    <t>C16H14O3</t>
  </si>
  <si>
    <t>coconut alkyl trimethylammonium chloride</t>
  </si>
  <si>
    <t>carbohydrates</t>
  </si>
  <si>
    <t>hydrocarbon resin</t>
  </si>
  <si>
    <t>methyl (2E)-2-methoxyimino-2-[2-[(2-methylphenoxy)methyl]phenyl]acetate</t>
  </si>
  <si>
    <t>['Kresoxim-Methyl', '143390-89-0', 'Bas 490 F', 'Bas 490F', 'Kresoxim-methyl [ISO]', 'kresoxim methyl', 'HSDB 7020', 'UNII-0LXZ062TTB', '0LXZ062TTB', 'CHEBI:2962', 'EINECS Annex I Index 607-310-00-0', 'methyl (2E)-2-methoxyimino-2-[2-[(2-methylphenoxy)methyl]phenyl]acetate', 'Methyl (E)-alpha-(methoxyimino)-2-((2-methylphenoxy)methyl)benzeneacetate', '(E)-Methyl 2-(methoxyimino)-2-(2-((o-tolyloxy)methyl)phenyl)acetate', 'methyl (2E)-(methoxyimino){2-[(2-methylphenoxy)methyl]phenyl}acetate', 'methyl 2-methoxyimino-2-[2-[(2-methylphenoxy)methyl]phenyl]acetate', 'Benzeneacetic acid, alpha-(methoxyimino)-2-((2-methylphenoxy)methyl)-, methyl ester, (E)-', 'PubChem14887', 'DSSTox_CID_12558', 'DSSTox_RID_78986', 'DSSTox_GSID_32558', 'SCHEMBL18664', 'CHEMBL203191', 'DTXSID2032558', 'ZINC900704', 'ACT07217', 'Tox21_302251', 'kresoxim-methyl (ISO);BAS 490 F', 'AKOS015995142', 'NCGC00163896-01', 'NCGC00255374-01', 'AK117731', 'AS-13058', 'LS-28887', 'HY-125776', 'CAS-143390-89-0', 'CS-0099295', 'Kresoxim-methyl 10 microg/mL in Cyclohexane', 'NS00008540', 'C11017', '390K890', 'A808064', 'J-007806', 'Kresoxim-methyl, PESTANAL(R), analytical standard', 'methyl (E)-methoxyimino[alpha-(o-tolyloxy)-o-tolyl]acetate', 'Methyl 2(E)-methoxyimino-2-[2-(2-methylphenoxymethyl)phenyl]acetate', '2-Methoxyimino-2-[2-(o-tolyloxymethyl)phenyl]acetic acid methyl ester', 'methyl (2E)-2-methoxyimino-2-[2-[(2-methylphenoxy)methyl]phenyl]ethanoate', '(2E)-2-methoxyimino-2-[2-[(2-methylphenoxy)methyl]phenyl]acetic acid methyl ester', '2-[(Z)-Methoxyimino]-2-[2-[(2-methylphenoxy)methyl]phenyl]acetic acid methyl ester', 'methyl (alphaE)-alpha-(methoxyimino)-2-[(2-methylphenoxy)methyl]benzeneacetate', 'Methyl (E)-alpha-(methoxyimino)-2-((2-methylphenoxy)methyl)benzeneacetic acid']</t>
  </si>
  <si>
    <t>Compound(6112114)</t>
  </si>
  <si>
    <t>C18H19NO4</t>
  </si>
  <si>
    <t>(1-ethoxy-1-oxopropan-2-yl) 5-[2-chloro-4-(trifluoromethyl)phenoxy]-2-nitrobenzoate</t>
  </si>
  <si>
    <t>['LACTOFEN', '77501-63-4', 'Cobra', 'Cobra herbicide', 'Lactofen [ANSI]', 'PPG 844', 'HSDB 6991', '2-Ethoxy-1-methyl-2-oxoethyl 5-(2-chloro-4-trifluoromethylphenoxy)-2-nitrobenzoate', 'EPA Pesticide Chemical Code 128888', "1'-(Carboethoxy)ethyl 5-(2-chloro-4-(trifluoromethyl)phenoxy)-2-nitrobenzoate", '83513-60-4', 'DSSTox_CID_4160', '(+-)-2-Ethoxy-1-methyl-2-oxoethyl 5-(2-chloro-4-(trifluoromethyl)phenoxy)-2 nitrobenzoate', '(1-ethoxy-1-oxopropan-2-yl) 5-[2-chloro-4-(trifluoromethyl)phenoxy]-2-nitrobenzoate', 'DSSTox_RID_77310', 'DSSTox_GSID_24160', 'Benzoic acid, 5-(2-chloro-4-(trifluoromethyl)phenoxy)-2-nitro-, 2-ethoxy-1-methyl-2-oxoethyl ester', 'Benzoic acid, 5-[2-chloro-4-(trifluoromethyl)phenoxy]-2-nitro-, 2-ethoxy-1-methyl-2-oxoethyl ester', 'UNII-L44N8UV47O', '(2-Ethoxy-1-methyl-2-oxoethyl)-5-(2-chloro-4-(trifluoromethyl)phenoxy)-2-nitrobenzoate', '5-(2-Chloro-4-(trifluoromethyl)phenoxy)-2-nitrobenzoic acid 2-ethoxy-1-methyl-2-oxoethyl ester', 'CAS-77501-63-4', 'C19H15ClF3NO7', '(2-ethoxy-1-methyl-2-oxoethyl)-5-[2-chloro-4-(trifluoromethyl)phenoxy]-2-nitrobenzoate', '1-ethoxy-1-oxopropan-2-yl 5-(2-chloro-4-(trifluoromethyl)phenoxy)-2-nitrobenzoate', '1-Ethoxy-1-oxopropan-2-yl 5-[2-chloro-4-(trifluoromethyl)phenoxy]-2-nitrobenzoate', 'L44N8UV47O', 'EC 616-466-9', 'SCHEMBL39523', 'CHEMBL1243178', 'DTXSID7024160', 'CTK8E4014', 'Tox21_201300', 'Tox21_300868', 'AKOS015902825', 'NCGC00164457-01', 'NCGC00164457-02', 'NCGC00164457-03', 'NCGC00164457-04', 'NCGC00254772-01', 'NCGC00258852-01', 'AC-12569', 'CC-29812', 'LS-36663', 'SC-18169', 'DB-056223', 'FT-0619579', 'Lactofen, PESTANAL(R), analytical standard', 'NS00002264', 'X6746', '501L634', 'Q6469021', '1-(carboethoxy)ethyl 5-[2-chloro-4-(trifluoromethyl)-phenoxy]-2-nitrobenzoate', '1-(carboethoxy)ethyl 5-[2-chloro-4-(trifluoromethyl)-phenoxyl]-2-nitrobenzoate', '1-(carboethoxy)ethyl 5-[2-chloro-4-(trifluoromethyl)phenoxy]-2-nitrobenzoate', 'lactofen;(2-ethoxy-1-methyl-2-oxoethyl)-5-[2-chloro-4-(trifluoromethyl)phenoxy]-2-nitrobenzoate']</t>
  </si>
  <si>
    <t>Compound(62276)</t>
  </si>
  <si>
    <t>C19H15ClF3NO7</t>
  </si>
  <si>
    <t>(2R,3R,4S,5R,6S)-2-(hydroxymethyl)-6-[(2R,3S,4R,5R,6R)-4,5,6-trihydroxy-2-(hydroxymethyl)oxan-3-yl]oxyoxane-3,4,5-triol</t>
  </si>
  <si>
    <t>['(+)-Lactose', '.beta.-Lactose', '4-(beta-D-Galactosido)-D-glucose', '4-O-beta-D-Galactopyranosyl-beta-D-glucopyranose', '4-O-beta-D-Galactopyranosyl-D-glucose', 'beta-D-Glucopyranose, 4-O-beta-D-galactopyranosyl-', 'beta-D-Lactose', 'beta-Lactose', 'D-(+)-Lactose', 'D-Glucose, 4-O-beta-D-galactopyranosyl', 'D-Lactose', 'Lactose', 'Lactose [JAN]', 'Milk sugar', '5965-66-2', 'Lactose anhydrous', 'Fast-flo Lactose', 'Fast-flo', 'Lactosum anhydricum', 'Pharmatose 450M', 'Lactobiose', 'Lactin', 'UNII-13Q3A43E0S', 'Saccharum lactin', 'EINECS 227-751-9', 'Aletobiose', 'Galactinum', 'Tablettose', 'CCRIS 7078', 'CHEBI:36218', 'Zeparox EP', 'Lactose Fast-flo', 'Pharmatose 21', '13Q3A43E0S', 'beta-D-galactopyranosyl-(1-&gt;4)-beta-D-glucopyranose', 'MFCD00064521', 'Lactin (carbohydrate)', 'BRN 0093796', 'AI3-08876', 'Osmolactan', 'Super-Tab', 'Tablettose 70', 'Tablettose 80', 'Pharmatose 325M', 'Sorbalac 400', 'Flowlac 100', 'Pharmatosa DCL 21', 'LAT', '1gwv', '1gzc', '2zgm', 'LACTOSE;lactose', 'Galbeta1-4Glcbeta', 'Galb1-4Glcb', 'Lactose (8CI)', 'PubChem18839', '1ax1', '1z3v', '2nn8', 'DSSTox_CID_3193', 'DSSTox_RID_76916', 'DSSTox_GSID_23193', 'CHEMBL417016', 'DTXSID2023193', 'DTXSID5058723', 'ZINC4095761', 'Tox21_301866', '6023AF', 'BDBM50370453', 'beta-D-Galp-(1-&gt;4)-beta-D-Glcp', 'beta-D-Gal-(1--&gt;4)-beta-D-Glc', 'AKOS015950662', 'LS-3198', 'B-LACTOSE - MIN 70% B-ANOMER', 'CAS-63-42-3', 'NCGC00255383-01', '(2R,3R,4S,5R,6S)-2-(hydroxymethyl)-6-[(2R,3S,4R,5R,6R)-4,5,6-trihydroxy-2-(hydroxymethyl)oxan-3-yl]oxyoxane-3,4,5-triol', '(2R,3R,4S,5R,6S)-2-(hydroxymethyl)-6-[(2R,3S,4R,5R,6R)-4,5,6-trihydroxy-2-(hydroxymethyl)tetrahydropyran-3-yl]oxy-tetrahydropyran-3,4,5-triol', '.beta.-D-Gal-(1--&gt;4)-.beta.-D-Glc', 'LS-168650', '4-O-ss-D-galactopyranosyl-ss-D-glucopyranose', 'C01970', 'D-Glucose, 4-O-b-D-galactopyranosyl- (9CI)', 'beta-D-galactopyranosyl-(1-&gt;4)-beta-D-glucose', 'A832404', 'Q127900', 'beta-Lactose, suitable for component for culture media', 'beta-D-Lactose, contains ca. 70% beta and ca. 30% alpha', 'UNII-3SY5LH9PMK component GUBGYTABKSRVRQ-DCSYEGIMSA-N', 'UNII-J2B2A4N98G component GUBGYTABKSRVRQ-DCSYEGIMSA-N', 'UNII-W8K377W98I component GUBGYTABKSRVRQ-DCSYEGIMSA-N', '60B85732-763B-4E21-BD67-6163315FD251', 'beta-Lactose, &lt;=30% alpha-anomer basis, &gt;=99% total lactose basis', '(2R,3R,4R,5S,6R)-6-(hydroxymethyl)-5-((2S,3R,4S,5R,6R)-3,4,5-trihydroxy-6-(hydroxymethyl)tetrahydro-2H-pyran-2-yloxy)tetrahydro-2H-pyran-2,3,4-triol', '(2R,3R,4S,5R,6S)-2-(hydroxymethyl)-6-[(2R,3S,4R,5R,6R)-2-(hydroxymethyl)-4,5,6-tris(oxidanyl)oxan-3-yl]oxy-oxane-3,4,5-triol', '(2R,3R,4S,5R,6S)-2-(hydroxymethyl)-6-[[(2R,3S,4R,5R,6R)-4,5,6-trihydroxy-2-(hydroxymethyl)-3-oxanyl]oxy]oxane-3,4,5-triol']</t>
  </si>
  <si>
    <t>Compound(6134)</t>
  </si>
  <si>
    <t>(3R,4S,5R,6R)-4-[(3R,4S,5R,6R)-3,5-dihydroxy-6-(hydroxymethyl)-4-[(3R,4S,5S,6R)-3,4,5-trihydroxy-6-(hydroxymethyl)oxan-2-yl]oxyoxan-2-yl]oxy-6-(hydroxymethyl)oxane-2,3,5-triol</t>
  </si>
  <si>
    <t>['Laminaran', 'Laminarin', '9008-22-4', 'Iodus 40', 'beta-D-Glucan, (1-&gt;3)-', 'EINECS 232-712-4', 'SCHEMBL156574', 'Q423729']</t>
  </si>
  <si>
    <t>Compound(439306)</t>
  </si>
  <si>
    <t>C18H32O16</t>
  </si>
  <si>
    <t>6-(2,3-dichlorophenyl)-1,2,4-triazine-3,5-diamine</t>
  </si>
  <si>
    <t>['lamotrigine', '84057-84-1', '6-(2,3-Dichlorophenyl)-1,2,4-triazine-3,5-diamine', 'Lamictal', 'Lamictal Cd', 'Lamictal XR', 'Lamotriginum [Latin]', 'Lamotrigina [Spanish]', 'Lamotriginum', 'BW-430C', 'Lamotrigina', 'Lamictal ODT', 'BW 430C', '3,5-Diamino-6-(2,3-dichlorophenyl)-1,2,4-triazine', '1,2,4-Triazine-3,5-diamine, 6-(2,3-dichlorophenyl)-', '3,5-Diamino-6-(2,3-dichlorophenyl)-as-triazine', 'UNII-U3H27498KS', 'EINECS 281-901-8', 'CHEMBL741', 'C9H7Cl2N5', 'LTG;BW430C', 'MLS000069685', 'CHEBI:6367', 'U3H27498KS', 'Lamotrigine, 98%', 'NCGC00015605-06', 'Labileno', 'Lamiktal', 'Lamitor', 'SMR000058464', 'DSSTox_CID_3195', 'DSSTox_RID_76918', 'DSSTox_GSID_23195', 'lamotrigin', 'Lamictal (TN)', 'CAS-84057-84-1', 'Lamotrigine [USAN:INN:BAN]', 'BW430C', 'SR-01000000187', 'HSDB 7526', 'EUR-1048', 'Lamotrigine [USAN:USP:INN:BAN]', 'Lamictal,Lamotrigine', 'zine-3,5-diamine', 'MFCD00865333', 'GI 267119X', 'Opera_ID_12', 'Tocris-1611', 'Lamotrigin_2676_ p', 'hydroxymethyl progesterone', 'Lopac-L-3791', 'L 3791', 'Lopac0_000688', 'SCHEMBL35439', 'MLS000759486', 'MLS001077325', 'MLS001423991', 'BIDD:GT0794', 'Lamotrigine (JAN/USP/INN)', 'Lamotrigine, &gt;=98%, powder', 'GTPL2622', 'TRI020', 'DTXSID2023195', 'CTK8B4406', 'KS-00000XIV', 'ZINC13156', 'HMS2051C10', 'HMS2089M08', 'HMS2093P21', 'HMS2230L04', 'HMS3262I17', 'HMS3268G17', 'HMS3371O16', 'HMS3393C10', 'HMS3657A17', 'HMS3715H21', 'Pharmakon1600-01505610', 'BCP12156', 'HY-B0495', 'Lamotrigine 1.0 mg/ml in Methanol', 'Tox21_110179', 'Tox21_500688', 'ANW-44921', 'BDBM50031299', 'NSC746307', 'NSC759171', 's3024', 'STK628377', 'AKOS005561147', 'Tox21_110179_1', '6-(2,2,4-triazine-3,5-diyldiamine', 'CCG-100856', 'CS-2616', 'DB00555', 'KS-1074', 'LP00688', 'MCULE-7648410888', 'NC00106', 'NE61394', 'NSC-746307', 'NSC-759171', 'SDCCGSBI-0050666.P003', 'SMP2_000303', 'NCGC00015605-01', 'NCGC00015605-02', 'NCGC00015605-03', 'NCGC00015605-04', 'NCGC00015605-05', 'NCGC00015605-07', 'NCGC00015605-08', 'NCGC00015605-09', 'NCGC00015605-10', 'NCGC00022936-02', 'NCGC00022936-04', 'NCGC00022936-05', 'NCGC00261373-01', 'AC-10298', 'AK-72807', 'AT-15488', 'BR-72807', 'K499', 'SC-12025', 'SBI-0050666.P002', '6-(2,3-Dichloro-phenyl)-[1,2,4]tria', 'AB0014255', 'DB-014839', 'LS-155249', 'B2249', 'EU-0100688', 'FT-0602546', 'FT-0670713', 'FT-0670714', 'L-205', 'L0241', 'NS00000354', 'SW197486-3', '57L841', 'A11873', 'D00354', 'J10032', 'AB00384359-16', 'AB00384359_17', 'AB00384359_18', 'A840709', 'Q410346', '3,5-diamino-(2,3-dichlorophenyl)-1,2,4-triazine', '3,5-diamino-6-(2,3-dichlorophenyl)- as -triazine', 'Q-201221', 'SR-01000000187-2', 'SR-01000000187-4', 'SR-01000000187-7', 'BRD-K93460210-071-01-6', 'SR-01000000187-10', '3,5-diamino-6-(2,3,-dichlorophenyl)-1,2,4-triazine', '6-(2,3-dichlorophenyl)-1,2,4-triazine-3,5-diamine.', 'F2173-0540', 'Z1550648755', '6-(2,3-Dichloro-phenyl)-[1,2,4]triazine-3,5-diamine', '6-[2,3-bis(chloranyl)phenyl]-1,2,4-triazine-3,5-diamine', 'Lamotrigine, British Pharmacopoeia (BP) Reference Standard', 'Lamotrigine, European Pharmacopoeia (EP) Reference Standard', '6-(2,3-Dichloro-phenyl)-[1,2,4]triazine-3,5-diamine(lamotrigine)', 'GI 267119X; 6-(2,3-dichlorophenyl)-1,2,4-triazine-3,5-diamine', 'Lamotrigine, United States Pharmacopeia (USP) Reference Standard', 'Lamotrigine, Pharmaceutical Secondary Standard; Certified Reference Material', 'Lamotrigine for peak identification, European Pharmacopoeia (EP) Reference Standard', 'Lamotrigine for system suitability, European Pharmacopoeia (EP) Reference Standard', 'Lamotrigine solution, 1.0 mg/mL in methanol, ampule of 1 mL, certified reference material']</t>
  </si>
  <si>
    <t>Compound(3878)</t>
  </si>
  <si>
    <t>C9H7Cl2N5</t>
  </si>
  <si>
    <t>[(S)-cyano-(3-phenoxyphenyl)methyl] (1R,3R)-3-[(Z)-2-chloro-3,3,3-trifluoroprop-1-enyl]-2,2-dimethylcyclopropane-1-carboxylate</t>
  </si>
  <si>
    <t>['gamma-cyhalothrin', 'lambda-Cyhalothrin', '76703-62-3', '91465-08-6', 'UNII-GOI9BD654Y', 'GOI9BD654Y', 'CHEBI:39323', 'DSSTox_CID_12559', '(S)-cyano(3-phenoxyphenyl)methyl (1R,3R)-3-[(1Z)-2-chloro-3,3,3-trifluoroprop-1-en-1-yl]-2,2-dimethylcyclopropanecarboxylate', '[(S)-cyano-(3-phenoxyphenyl)methyl] (1R,3R)-3-[(Z)-2-chloro-3,3,3-trifluoroprop-1-enyl]-2,2-dimethylcyclopropane-1-carboxylate', 'Nexide', 'Cyhalothrin lambda', 'I&gt;&gt;-Cyhalothrin', '(1R,3R)-((S)-cyano(3-phenoxyphenyl)methyl) 3-((Z)-2-chloro-3,3,3-trifluoroprop-1-enyl)-2,2-dimethylcyclopropanecarboxylate', 'DSSTox_RID_78987', 'DSSTox_GSID_32559', 'DSSTox_GSID_34501', 'SCHEMBL41362', 'Cyclopropanecarboxylic acid, 3-(2-chloro-3,3,3-trifluoro-1-propenyl)-2,2-dimethyl-, (S)-cyano(3-phenoxyphenyl)methyl ester, (1R,3R)-', 'CHEMBL1905223', 'DTXSID1034501', 'DTXSID7032559', 'ZX-AP011924', 'Tox21_303423', 'Tox21_303815', 'P0L413', 'PC5399', 'ZINC13827939', 'AKOS015994769', 'KS-5076', 'lambda-Cyhalothrin, analytical standard', 'NCGC00163947-01', 'NCGC00257330-01', 'NCGC00356990-01', 'Cyclopropanecarboxylic acid, 3-(2-chloro-3,3,3-trifluoro-1-propenyl)-2,2-dimethyl-, cyano(3-phenoxyphenyl)methyl ester, (1R-(1alpha(S*),3alpha(Z)))-', 'Cyhalothrin-lambda major (mix 2 isomers)', 'CAS-76703-62-3', 'CAS-91465-08-6', 'LS-182832', '536-EP2274983A1', 'gamma-Cyhalothrin 10 microg/mL in Cyclohexane', 'gamma-Cyhalothrin 100 microg/mL in Cyclohexane', 'A838803', 'lambda-Cyhalothrin, PESTANAL(R), analytical standard', 'Q27119814', 'UNII-V0V73PEB8M component ZXQYGBMAQZUVMI-GCMPRSNUSA-N', 'UNII-Z44TGV333K component ZXQYGBMAQZUVMI-GCMPRSNUSA-N', 'lambda-Cyhalothrin, certified reference material, TraceCERT(R)', '(1R,3R)-3-[(Z)-2-chloro-3,3,3-trifluoroprop-1-enyl]-2,2-dimethyl-1-cyclopropanecarboxylic acid [(S)-cyano-(3-phenoxyphenyl)methyl] ester', '[(S)-cyano-(3-phenoxyphenyl)methyl] (1R,3R)-3-[(Z)-2-chloranyl-3,3,3-tris(fluoranyl)prop-1-enyl]-2,2-dimethyl-cyclopropane-1-carboxylate', '[cyano-[3-(phenoxy)phenyl]methyl] (1R,3R)-3-[(Z)-2-chloro-3,3,3-trifluoroprop-1-enyl]-2,2-dimethylcyclopropane-1-carboxylate']</t>
  </si>
  <si>
    <t>Compound(6440554)</t>
  </si>
  <si>
    <t>3-cyclohexyl-1,5,6,7-tetrahydrocyclopenta[d]pyrimidine-2,4-dione</t>
  </si>
  <si>
    <t>['LENACIL', '2164-08-1', 'Elbatan', 'Hexilure', 'Buracyl', 'Venzar', 'Adol (pesticide)', 'Lenacile', 'Herbicide 634', 'Uracil 634', '3-Cyclohexyl-5,6-trimethyleneuracil', 'Du Pont 634', 'Experimental herbicide 634', 'Caswell No. 525A', '3-cyclohexyl-6,7-dihydro-1H-cyclopenta[d]pyrimidine-2,4(3H,5H)-dione', 'Lenacile [ISO-French]', 'UNII-X58DK6S8KX', 'Lenacil [ANSI:BSI:ISO]', 'X58DK6S8KX', 'CCRIS 1936', 'CHEBI:6407', '3-cyclohexyl-1,5,6,7-tetrahydrocyclopenta[d]pyrimidine-2,4-dione', '3-Cyclohexyl-1,5,6,7-tetrahydrocyclopentapyrimidine-2,4(3H)-dione', '1H-Cyclopentapyrimidine-2,4(3H,5H)-dione, 3-cyclohexyl-6,7-dihydro-', '3-Cyclohexyl-5,6-trimethylenuracil', 'EINECS 218-499-0', 'EPA Pesticide Chemical Code 525200', 'BRN 0751331', '3-Cyclohexyl-5,6-trimethylenuracil [German]', '1H-Cyclopentapyrimidine-2,4(3H,5H)-dione, 6,7-dihydro-3-cyclohexyl-', '3-Cyclohexyl-6,7-dihydro-1H-cyclopentapyrimidine-2,4(3H,5H)-dione', '6,7-Dihydro-3-cyclohexyl-1H-cyclopentapyrimidine-2,4(3H,5H)-dione', 'Vizor', 'ChemDiv2_003460', 'Cambridge id 5278276', 'Lenacil, analytical standard', 'TimTec1_005078', 'Oprea1_040328', 'SCHEMBL55361', 'CBDivE_015813', 'MLS000053105', 'CHEMBL1522462', 'DTXSID9042093', 'CTK4J2933', 'KS-00002WRC', 'HMS1378N06', 'HMS1548G18', 'HMS2429C16', 'ZINC8952422', '3-Cyclohexyl-6,7-dihydro-1H-cyclopentapyrimidine-2,4-(3H,5H)-dione', 'SBB057020', 'STK753301', 'STK855435', 'Lenacil 10 microg/mL in Acetonitrile', 'AKOS000545956', 'AKOS002346590', 'Lenacil 100 microg/mL in Acetonitrile', 'MCULE-5335871177', 'SDCCGMLS-0034596.P002', 'LS-58188', 'O989', 'SMR000069372', 'DB-045652', 'HY-116706', 'Lenacil, PESTANAL(R), analytical standard', 'CS-0066327', 'EU-0067105', 'FT-0603594', 'NS00000444', 'C11200', '164L081', '1Y-0616', 'SR-01000398292', 'J-014200', 'Q1817371', 'SR-01000398292-1', 'BRD-K32360302-001-06-7', '5-cyclohexyl-2,3,5,7-tetrahydro-5,7-diazaindene-4,6-dione', '3-Cyclohexyl-1,5,6,7-tetrahydo-2H-cyclopentapyrimidine-2,4(3H)-dione', '3-Cyclohexyl-2-hydroxy-3,5,6,7-tetrahydro-4H-cyclopenta[d]pyrimidin-4-one', '1H-Cyclopentapyrimidine-2,4(3H,5H)-dione, 3-cyclohexyl-6,7-dihydro- (7CI)(8CI)', '1H-Cyclopentapyrimidine-2,4(3H,5H)-dione, 3-cyclohexyl-6,7-dihydro- (7CI)(8CI)(9CI)', '3-Cyclohexyl-2-hydroxy-3,5,6,7-tetrahydro-4H-cyclopenta[d]pyrimidin-4-one #', '50642-91-6']</t>
  </si>
  <si>
    <t>Compound(16559)</t>
  </si>
  <si>
    <t>C13H18N2O2</t>
  </si>
  <si>
    <t>(4-bromo-2,5-dichlorophenoxy)-methoxy-phenyl-sulfanylidene-lambda5-phosphane</t>
  </si>
  <si>
    <t>['LEPTOPHOS', '21609-90-5', 'Oleophosvel', 'Phosvel', 'Fosvel', 'Abar', 'Velsicol 506', 'MBCP', 'Velsicol VCS 506', '(R)-(+)-Leptophos', '(S)-(-)-Leptophos', 'Abar (velsicol)', 'Leptophos [ISO]', '(+-)-Leptophos', 'Caswell No. 525B', 'OMS 1438', 'Phosphonothioic acid, phenyl-, O-(4-bromo-2,5-dichlorophenyl) O-methyl ester', 'NK 711', 'O-(4-Bromo-2,5-dichlorophenyl) O-methyl phenylphosphonothioate', 'BRN 2152663', 'VCS 5-D', 'HSDB 2621', 'VCS-506', 'K62-105', 'EINECS 244-472-8', '(R)-Phenylphosphonothioic acid O-(4-bromo-2,5-dichlorophenyl) O-methyl ester', 'EPA Pesticide Chemical Code 525300', 'O-Methyl O-2,5-dichloro-4-bromophenyl phenylthiophosphonate', 'O-(2,5-Dichloro-4-bromophenyl) O-methyl phenylthiophosphonate', 'O-Methyl-O-(4-bromo-2,5-dichlorophenyl)phenyl thiophosphonate', 'AI3-27378', '(S)-Phenylphosphonothioic acid O-(4-bromo-2,5-dichlorophenyl) O-methyl ester', 'Phenylphosphonothioic acid O-(4-bromo-2,5-dichlorophenyl) O-methyl ester', 'Phosphonothioic acid, phenyl-, O-(4-bromo-2,5-dichlorophenyl) O-methyl ester, (R)-', 'Phosphonothioic acid, phenyl-, O-(4-bromo-2,5-dichlorophenyl) O-methyl ester, (S)-', '73307-66-1', '(+/-)-Leptophos', '(.+/-.)-Leptophos', 'DSSTox_CID_20279', 'DSSTox_RID_79467', 'DSSTox_GSID_40279', 'Leptophos, analytical standard', 'SCHEMBL116961', 'CHEMBL2074801', 'DTXSID3040279', 'CTK2H8676', 'VCS 506', 'Tox21_301903', 'AKOS015903160', 'ACM21609905', 'Phosphonothioic acid, phenyl-, O-(4-bromo-2,5-dichlorophenyl) O-methyl ester, (+-)-', 'NCGC00255629-01', '73307-67-2', 'CC-29901', 'CAS-21609-90-5', 'DB-045634', 'LS-107205', 'LS-107206', 'LS-107207', 'LS-107208', 'NS00005630', 'Leptophos, PESTANAL(R), analytical standard', 'C-21923', 'J-014173', 'Q6528275', 'UNII-C45E8FUG3Z component CVRALZAYCYJELZ-IBGZPJMESA-N', '4-bromo-2,5-dichlorophenyl methyl phenyl(sulfanylidene)phosphonite', 'O-(4-bromo-2,5-dichlorophenyl)-O-methyl phenyl phosphonothioate', 'O-4-BROMO-2,5-DICHLOROPHENYL O-METHYL PHENYLPHOSPHONOTHIOATE', '(4-bromo-2,5-dichlorophenoxy)-methoxy-phenyl-sulfanylidene-?^{5}-phosphane', 'Phosphonothioic acid,p-phenyl-,o-(4-bromo-2,5-dichlorophenyl)o-methyl ester', '(+-)-Phenylphosphonothioic acid O-(4-bromo-2,5-dichlorophenyl) O-methyl ester', 'Phosphonothioic acid, phenyl-, O-(4-bromo-2,5-dichlorophenyl) O-methyl ester (8CI)', 'Phosphonothioic acid, phenyl-, O-(4-bromo-2,5-dichlorophenyl) O-methyl ester (8CI)(9CI)']</t>
  </si>
  <si>
    <t>Compound(30709)</t>
  </si>
  <si>
    <t>C13H10BrCl2O2PS</t>
  </si>
  <si>
    <t>levofloxacin</t>
  </si>
  <si>
    <t>(2S)-7-fluoro-2-methyl-6-(4-methylpiperazin-1-yl)-10-oxo-4-oxa-1-azatricyclo[7.3.1.05,13]trideca-5(13),6,8,11-tetraene-11-carboxylic acid</t>
  </si>
  <si>
    <t>['LEVOFLOXACIN', '100986-85-4', 'Levaquin', 'Quixin', 'Cravit', 'Iquix', '(-)-Ofloxacin', 'Ofloxacin S-(-)-form', 'Levofloxacine', '(S)-Ofloxacin', 'Tavanic', 'Levofloxacino', 'Levofloxacinum', 'Elequine', 'Oftaquix', 'L-Ofloxacin', 'Floxacin', 'DR-3355', '(S)-(-)-Ofloxacin', 'Levofloxacin hydrate', 'Levofloxacine [INN-French]', 'Levofloxacinum [INN-Latin]', 'Levofloxacino [INN-Spanish]', 'DR3355', 'HR 355', 'Levofloxacin [USAN:INN:JAN]', 'RWJ 25213-097', 'UNII-RIX4E89Y14', 'MP-376', 'RWJ-25213', 'CCRIS 4074', 'Levofloxacin (Levaquin)', 'Levaquin (TN)', '(3S)-9-fluoro-3-methyl-10-(4-methylpiperazin-1-yl)-7-oxo-2,3-dihydro-7H-[1,4]oxazino[2,3,4-ij]quinoline-6-carboxylic acid', '(S)-9-Fluoro-2,3-dihydro-3-methyl-10-(4-methyl-1-piperazinyl)-7-oxo-7H-pyrido(1,2,3-de)-1,4-benzoxazine-6-carboxylic acid', 'LEVAQUIN IN DEXTROSE 5% IN PLASTIC CONTAINER', 'RIX4E89Y14', 'CHEBI:63598', '(-)-(S)-9-Fluoro-2,3-dihydro-3-methyl-10-(4-methyl-1-piperazinyl)-7-oxo-7H-pyrido(1,2,3-de)-1,4-benzoxazine-6-carboxylic acid', '(3S)-(-)-9-Fluoro-3-methyl-10-(4-methyl-1-piperazinyl)-7-oxo-2,3-dihydro-7H-pyrido[1,2,3-de][1,4]benzoxazine-6-carboxylic acid', '(S)-9-fluoro-3-methyl-10-(4-methylpiperazin-1-yl)-7-oxo-2,3-dihydro-7H-[1,4]oxazino[2,3,4-ij]quinoline-6-carboxylic acid', '7H-Pyrido[1,2,3-de]-1,4-benzoxazine-6-carboxylic acid, 9-fluoro-2,3-dihydro-3-methyl-10-(4-methyl-1-piperazinyl)-7-oxo-, (3S)-', 'LFX', 'Q-201295', 'Levofloxacin Anhydrous', 'Aeroquin', 'Unibiotic', 'Venaxan', 'Loxof', 'C18H20FN3O4.H2O', '(2S)-7-fluoro-2-methyl-6-(4-methylpiperazin-1-yl)-10-oxo-4-oxa-1-azatricyclo[7.3.1.0^{5,13}]trideca-5(13),6,8,11-tetraene-11-carboxylic acid', '(S)-(-)-9-fluoro-3-methyl-10-(4-methyl-1-piperazinyl)-7-oxo-2,3-dihydro-7H-pyrido[1,2,3-de][1,4]benzooxazine-6-carboxylic acid', '7H-Pyrido(1,2,3-de)-1,4-benzoxazine-6-carboxylic acid, 2,3-dihydro-9-fluoro-3-methyl-10-(4-methyl-1-piperazinyl)-7-oxo-, (S)-', 'SMR000466387', '(R)-isomer', 'Cravit (TN)', 'Levofloxacin (INN)', 'S-(-)-Ofloxacin', 'CCRIS 4073', 'C18H20FN3O4', 'Levofiexacin', 'Ofloxcacin', 'Quinsair', 'S-ofloxacin', 'HSDB 8028', 'Cravit IV', 'Levofloxacin,(S)', 'Anhydrous Ofloxacin', 'DR-3355: L-isomer of ofloxacin', '(3s)-9-fluoro-2,3-dihydro-3-methyl-10-(4-methyl-1-piperazinyl)-7-oxo-7h-pyrido[1,2,3-de]-1,4-benzoxazine-6-carboxylic acid', '(R)-9-Fluoro-2,3-dihydro-3-methyl-10-(4-methyl-1-piperazinyl)-7-oxo-7H-pyrido(1,2,3-de)-1,4-benzoxazine-6-carboxylic acid', 'AK163316', 'HR-355', 'MP 376', 'Spectrum_001719', 'CPD000466387', 'Spectrum2_001676', 'Spectrum3_000995', 'Spectrum4_001123', 'Spectrum5_001438', 'Levofloxacin tablet, suspension or intravenous', 'SCHEMBL15397', 'BSPBio_002689', 'KBioGR_001605', 'KBioSS_002199', 'fluoro-methyl-(4-methylpiperazin-1-yl)-oxo-[?]carboxylic acid', 'MLS000759524', 'MLS001165709', 'MLS001423977', 'SPECTRUM1504260', 'SPBio_001891', 'DTXSID0041060', 'GTPL10911', 'KBio2_002199', 'KBio2_004767', 'KBio2_007335', 'KBio3_001909', 'BIL1009', 'EBD8264', 'Ofloxacin s-(-)-form hemihydrate', 'ZX-AFC000651', 'HMS1922J07', 'HMS2051G04', 'HMS2090O10', 'HMS2093E18', 'HMS2232G06', 'Pharmakon1600-01504260', 'ZINC538273', 'EX-A1488', 'HY-B0330', 'Levofloxacin, &gt;=98.0% (HPLC)', 'BDBM50366826', 'BG0235', 'CCG-39093', 'DE-108', 'MMV687798', 'NSC758709', 's1940', 'AKOS008901361', 'AKOS015895104', 'AC-7593', 'API0007780', 'CS-2218', 'DB01137', 'MCULE-2011834955', 'NC00094', 'NSC-758709', 'NCGC00178529-01', 'NCGC00178529-03', 'NCGC00178529-06', '(-)-(S)-9-fluoro-2,3-dihydro-3-methyl-10-(4-methyl-1-piperazinyl)-7-oxo-7H-pyridol[1,2,3-de]-1,4-benzoxazine-6-carboxylic acid hemihydrate', '(-)-(S)-9-fluoro-2,3-dihydro-3-methyl-10-(4-methyl-1-piperazinyl)-7-oxo-7Hpyrido[1,2,3-de]-1,4-benzoxazine-6-carboxylic acid hemihydrate', 'AS-31796', 'LVX', 'Levofloxacin, analytical reference material', 'SBI-0206768.P001', 'AB0072147', 'LS-133260', 'LS-171761', 'L0193', 'C07660', 'D08120', 'AB00171657-12', 'AB00171657-13', 'AB00171657_14', 'AB00171657_15', '986L854', 'Q424193', 'SR-05000001999', 'Levofloxacin, Antibiotic for Culture Media Use Only', 'SR-05000001999-1', 'BRD-K09471561-001-06-7', 'Z1766089137', 'UNII-A4P49JAZ9H component GSDSWSVVBLHKDQ-JTQLQIEISA-N', 'Levofloxacin solution, 1.0 mg/mL in acetonitrile, certified reference material', '(3S)-9-Fluoro-3-methyl-10-(4-methyl-1-piperazinyl)-7-oxo-2,3-dihydro-7H-[1,4]oxazino[2,3,4-ij]quinoline-6-carboxylic acid', '(S)-9-fluoro-3-methyl-10-(4-methyl-1-piperazinyl)-7-oxo-2,3-dihydro-7H-pyrido[1,2,3-de][1,4]-benzoxazine-6-carboxylic acid', '7H-Pyrido(1,2,3-de)-1,4-benzoxazine-6-carboxylic acid, 2,3-dihydro-9-fluoro-3-methyl-10-(4-methyl-1-piperazinyl)-7-oxo-, hemihydrate, (S)-', 'levofloxacin;(-)-(S)-9-Fluoro-2,3-dihydro-3-methyl-10-(4-methyl-1-piperazinyl)-7-oxo-7H-pyrido[1,2,3-de]-1,4-benzoxazine-6-carboxylic acid;(-)-(S)-9-fluoro-2,3-dihydro-3-methyl-10-(4-methyl-1-piperazinyl)-7-oxo-7H-pyrido[1,2,3-de]-1,4-benzoxazine-6-carboxylic acid hemihydrate', 'LVFX; RWJ 25213; L-Ofloxacin; Ophthalmic; (-)-(S)-9-Fluoro-2,3-dihydro-3-methyl-10-(4-methyl-1-piperazin-yl)-7-oxo-7H-pyrido(1,2,3-de)-1,4-benzoxazine-6-carboxylic acid']</t>
  </si>
  <si>
    <t>Compound(149096)</t>
  </si>
  <si>
    <t>C18H20FN3O4</t>
  </si>
  <si>
    <t>levamisole</t>
  </si>
  <si>
    <t>(6S)-6-phenyl-2,3,5,6-tetrahydroimidazo[2,1-b][1,3]thiazole</t>
  </si>
  <si>
    <t>['levamisole', '14769-73-4', 'Levamisol', 'L-Tetramisole', 'Wormicid', 'Ketrax', 'Lepuron', 'LEVOMYSOL', 'Ergamisol', 'Levamisolum', '(S)-(-)-Levamisole', 'Vermisol 150', 'Levamisol [INN-Spanish]', 'Levamisolum [INN-Latin]', '(-)-Tetramisole', '(S)-6-phenyl-2,3,5,6-tetrahydroimidazo[2,1-b]thiazole', '(6S)-6-phenyl-2,3,5,6-tetrahydroimidazo[2,1-b][1,3]thiazole', 'Levamisole [INN:BAN]', 'TCMDC-125847', 'dl-Tetramisole', 'UNII-2880D3468G', 'EINECS 238-836-5', 'Imidazo[2,1-b]thiazole, 2,3,5,6-tetrahydro-6-phenyl-, (6S)-', 'CHEMBL1454', 'L-2,3,5,6-Tetrahyro-6-phenylimidazo(2,1-b)thiazole', 'CHEBI:6432', '(6S)-6-phenyl-2H,3H,5H,6H-imidazo[2,1-b][1,3]thiazole', 'Imidazo(2,1-b)thiazole, 2,3,5,6-tetrahydro-6-phenyl-, (S)-', 'L-tetramisol', 'Levotetramisole', '(6S)-6-Phenyl-2,3,5,6-tetrahydroimidazo[2,1-b]thiazole', 'Levamisole Base', '2880D3468G', 'Levovermax', 'Totalon', 'Imidazo(2,1-b)thiazole, 2,3,5,6-tetrahydro-6-phenyl-, (6S)-', 'L(-)-Levamisole', 'Levamisole (INN)', 'C11H12N2S', 'Ketrax (TN)', 'NSC177023', 'R-12564', '(-)-Levamisole', 'AK115176', 'Spectrum_001609', '(S)-(-)-tetramisole', 'Prestwick0_000182', 'Prestwick1_000182', 'Prestwick2_000182', 'Spectrum2_000865', 'Spectrum3_000962', 'Spectrum4_001078', 'Spectrum5_001645', 'P00039', '(-)-6-Phenyl-2,3,5,6-tetrahydroimidazo[2,1-b]thiazole', '(S)-2,3,5,6-Tetrahydro-6-phenylimidazo[2,1-b]thiazole', 'Lopac0_000690', 'SCHEMBL19227', 'BSPBio_002563', 'KBioGR_001436', 'KBioSS_002089', 'cid_68628', 'BIDD:GT0372', 'DivK1c_000667', 'SPBio_000909', 'SPBio_002024', 'GTPL7210', 'DTXSID4023206', 'KBio1_000667', 'KBio2_002089', 'KBio2_004657', 'KBio2_007225', 'KBio3_001783', 'KS-00000IWF', 'NINDS_000667', 'HMS2090O04', 'ZINC119839', 'BDBM50241179', 'DL-429', 'AKOS001637203', 'ACN-052917', 'CCG-204775', 'CS-W009271', 'DB00848', 'DS-4066', 'FCH2716317', 'MCULE-4392506462', 'SDCCGSBI-0050668.P004', 'IDI1_000667', 'NCGC00162225-02', 'NCGC00162225-03', 'NCGC00162225-05', 'AC-18929', 'LS-80639', 'NCI60_001476', 'U487', 'SBI-0050668.P003', 'C07070', 'D08114', 'W-2297', 'AB00053661-07', 'AB00053661-08', 'AB00053661_09', 'AB00053661_10', 'A808675', 'Q417097', 'BRD-K73107279-003-03-4', 'UNII-C8M7RFE4NO component HLFSDGLLUJUHTE-SNVBAGLBSA-N', '2,3,5,6-Tetrahydro-6-phenyl-imidazo[2,1-b]thiazole, (S)-', '(-)-6-phenyl-2,3,5,6-tetrahydroimidazo[2,1-b][1,3]thiazole', '6-Phenyl-2,3,5,6-tetrahydro-imidazo[2,1-b]thiazole (Levamisole)', '6-Phenyl-2,3,5,6-tetrahydro-imidazo[2,1-b]thiazole(Levamisole)', '6-Phenyl-2,3,5,6-tetrahydro-imidazo[2,1-b]thiazole(tetramisole)', 'levamisole;6-Phenyl-2,3,5,6-tetrahydro-imidazo[2,1-b]thiazole', 'tetramisole;6-Phenyl-2,3,5,6-tetrahydro-imidazo[2,1-b]thiazole', '(-)-Levamisole hydrochloride solution, 1.0 mg/mL in methanol (as free base), ampule of 1 mL, certified reference material', '49548-36-9', '53096-13-2', 'levamisole hydrochloride;Levamisole hydrochloride;(S)-2,3,5,6-tetrahydro-6-phenylimidazo[2,1-b]thiazoletriylium phosphate']</t>
  </si>
  <si>
    <t>Compound(26879)</t>
  </si>
  <si>
    <t>C11H12N2S</t>
  </si>
  <si>
    <t>(2S)-2-(2-oxopyrrolidin-1-yl)butanamide</t>
  </si>
  <si>
    <t>['Levetiracetam', '102767-28-2', 'Keppra', '(S)-2-(2-Oxopyrrolidin-1-yl)butanamide', 'Keppra XR', 'ucb L059', '(2S)-2-(2-oxopyrrolidin-1-yl)butanamide', 'UCB-L 059', 'UCB-L059', 'Levetiracetamum', 'Spritam', '(S)-alpha-Ethyl-2-oxo-1-pyrrolidineacetamide', 'SIB-S1', 'Levetiracetamum [INN-Latin]', '(-)-(S)-alpha-Ethyl-2-oxo-1-pyrrolidineacetamide', '1-Pyrrolidineacetamide, alpha-ethyl-2-oxo-, (alphaS)-', 'UNII-44YRR34555', 'UCB-22059', 'Levetiracetam [INN]', 'CHEBI:6437', 'ucb L060', 'Levetiracetam In Sodium Chloride', '44YRR34555', 'Levroxa', '(S)-(-)-alpha-ethyl-2-oxo-1-pyrrolidineacetamide', '1-Pyrrolidineacetamide, alpha-ethyl-2-oxo-, (S)-', 'Keppra, Elepsia,Levetiracetam', '(S)-2-(2-OXO-PYRROLIDIN-1-YL)-BUTYRAMIDE', 'etiracetam, S-isomer', 'matever', 'Leviteracetam', 'Levipil', 'Torleva', 'Elepsia XR', '(S)-Levetiracetam', 'SMR000466303', 'Keppra (TN)', 'Levesam 500', 'Etiracetam levo-isomer', 'SR-01000759400', 'Levetiracetame', 'E Keppra', 'HSDB 7528', 'Levetiracetam [USAN:USP:INN:BAN]', 'MFCD03265610', 'E keppra (TN)', '(S)-2-(2-Oxo-1-pyrrolidinyl)butyramide', 'L-059', '2(S)-(2-OXOPYRROLIDIN-1-YL)BUTYRAMIDE', 'CHEMBL1286', 'MLS000759403', 'MLS001424069', 'MLS006010215', 'BIDD:GT0242', 'SCHEMBL118843', 'GTPL6826', 'Levetiracetam (JAN/USP/INN)', 'DTXSID9023207', 'CTK3J2270', 'KS-00000ILW', 'AGB-101', 'N03AX14', 'Levetiracetam, &gt;=98% (HPLC)', 'Levetiracetam, analytical standard', 'HMS2051D07', 'HMS2089L20', 'HMS2235I18', 'HMS3262H11', 'HMS3713P16', 'Pharmakon1600-01502265', 'ACT02712', 'ALBB-027275', 'BCP11856', 'HY-B0106', 'ZINC1547851', 'Tox21_500835', 'ANW-41693', 'BDBM50422542', 'NSC760119', 's1356', 'STL388027', 'UCB 22059', 'Levetiracetam 1.0 mg/ml in Methanol', 'AKOS015841981', 'AB13957', 'AC-1479', 'CCG-100928', 'CS-1854', 'DB01202', 'KS-1176', 'LP00835', 'LS41261', 'MCULE-5120797917', 'NC00178', 'NSC-760119', 'SDCCGSBI-0633760.P001', '(2S)-(2-Oxopyrrolidin-1-yl)butyramide', 'NCGC00186028-01', 'NCGC00261520-01', '(S)-2-(2-oxopyrrolidin-1-yl)butyramide', 'BR-72955', 'SC-15831', '(s)-2-(2-oxopyrrolidin-1-yl) butyramide', '(2S)-2-(2-oxo-1-pyrrolidinyl)butanamide', 'AB0012613', 'LS-137054', 'AM20070676', 'L0234', 'NS00000336', 'SW197558-3', 'C07841', 'D00709', 'M-2814', 'AB00639945-06', 'AB00639945_07', 'AB00639945_08', '767L282', 'A800616', '(2S)-2-(2-oxidanylidenepyrrolidin-1-yl)butanamide', 'Q-201292', 'SR-01000759400-4', 'SR-01000759400-5', '(ALPHAS)-ALPHA-ETHYL-2-OXO-1-PYRROLIDINEACETAMIDE', 'UNII-230447L0GL component HPHUVLMMVZITSG-LURJTMIESA-N', 'Levetiracetam, European Pharmacopoeia (EP) Reference Standard', 'Levetiracetam, United States Pharmacopeia (USP) Reference Standard', '(-)-(S)-alpha-ethyl-2-oxo-1-pyrrolidineacetamide (2S)-2-(2-Oxo-pyrrolidin-1-yl)butanamide', 'Levetiracetam solution, 1.0 mg/mL in methanol, ampule of 1 mL, certified reference material', 'Levitiracetam, Pharmaceutical Secondary Standard; Certified Reference Material']</t>
  </si>
  <si>
    <t>Compound(5284583)</t>
  </si>
  <si>
    <t>C8H14N2O2</t>
  </si>
  <si>
    <t>(2S)-2-amino-3-[4-(4-hydroxy-3,5-diiodophenoxy)-3,5-diiodophenyl]propanoic acid</t>
  </si>
  <si>
    <t>['L-thyroxine', 'levothyroxine', '51-48-9', 'thyroxine', 'thyroxin', 'Tetraiodothyronine', 'Thyrax', "3,3',5,5'-Tetraiodo-L-thyronine", 'Thyratabs', 'Thyreoideum', 'Thyroxinal', 'synthroid', 'Thyroxine iodine', 'Levothyroxin', '(-)-Thyroxine', 'L-Thyroxin', "3,5,3',5'-Tetraiodo-L-thyronine", 'L-T4', 'Thyroxine (l)', 'DL-Thyroxin', 'Levothyroxine sodium', 'levothroid', 't4', 'Thyroxine (VAN)', "3,5,3',5'-Tetraiodothyronine", 'Laevothyroxinum', 'O-(4-hydroxy-3,5-diiodophenyl)-3,5-diiodo-L-tyrosine', 'T4 (Hormone)', "L-3,5,3',5'-Tetraiodothyronine", 'Levothyroxinum (acid)', 'Laevothyroxinum (acid)', 'Thryroxine, l-', 'Thyroxine I 125', 'Tetramet', 'Forthyron (TN)', 'NSC 36397', 'Levothyroxinum', "3,3',5,5''-Tetraiodo-L-thyronine", 'CCRIS 6739', 'Henning', 'HSDB 3108', "3,5,3'5'-Tetraiodo-L-thyronine", 'UNII-Q51BO43MG4', 'Prestwick_548', '4-(4-hydroxy-3,5-diiodophenoxy)-3,5-diiodo-L-phenylalanine', 'CHEBI:18332', 'O-(4-Hydroxy-3,5-diidophenyl)-3,5-diiodo-L-tyrosine', '(2S)-2-amino-3-[4-(4-hydroxy-3,5-diiodophenoxy)-3,5-diiodophenyl]propanoic acid', 'L-Tyrosine, O-(4-hydroxy-3,5-diiodophenyl)-3,5-diiodo-', 'EINECS 200-101-1', '3-(4-(4-Hydroxy-3,5-diiodophenoxy)-3,5-diiodophenyl)alanine', 'beta-((3,5-Diiodo-4-hydroxyphenoxy)-3,5-diiodophenyl)alanine', '3-[4-(4-Hydroxy-3,5-diiodophenoxy)-3,5-diiodophenyl]-L-alanine', 'BRN 2228515', 'CHEMBL1624', 'O-(4-Hydroxy-3,5-diiodophenyl)-3,5-diiodotyrosine', 'Q51BO43MG4', 'THX', 'C15H11I4NO4', 'NCGC00164336-01', 'L-Thyroxine, 97+%', 'DSSTox_CID_3214', '(2S)-2-amino-3-[4-(4-hydroxy-3,5-diiodo-phenoxy)-3,5-diiodo-phenyl]propanoic acid', 'DSSTox_RID_76927', 'DSSTox_GSID_23214', 'Thyroxine [BAN]', 'Eutirox', 'Thyroxine, L-', '(S)-2-amino-3-(4-(4-hydroxy-3,5-diiodophenoxy)-3,5-diiodophenyl)propanoic acid', 'LT4', 'SMR000059176', 'T44', 'Levothyroxine (BAN)', 'Levothyroxine [INN:BAN]', 'Synthroid (*Sodium salt*)', 'SR-01000759430', 'NSC-36397', '2ceo', 'CAS-51-48-9', 'Levothyroxine Sodium (L-thyroxine)', 'AK-40208', 'Spectrum_001076', '1hk1', '1hk2', '1hk3', '1hk4', '1hk5', '1y0x', 'CPD000059176', 'L-Thyroxine, free acid', 'SpecPlus_000871', 'Prestwick0_000403', 'Prestwick1_000403', 'Prestwick2_000403', 'Prestwick3_000403', 'Spectrum2_000573', 'Spectrum3_000611', 'Spectrum4_000128', 'Spectrum5_001500', 'Thyroxine, L- (8CI)', 'bmse000923', 'Epitope ID:123889', 'T-3850', 'BIDD:PXR0161', 'Levothroid (*Sodium salt*)', 'SCHEMBL23098', 'BSPBio_000326', 'BSPBio_002142', 'KBioGR_000516', 'KBioSS_001556', 'MLS000028647', 'MLS002548901', 'DivK1c_006967', 'SPECTRUM1500774', 'SPBio_000386', 'SPBio_002265', 'BPBio1_000360', 'GTPL2635', 'DTXSID8023214', 'CTK2H7538', 'KBio1_001911', 'KBio2_001556', 'KBio2_004124', 'KBio2_006692', 'KBio3_001642', 'KS-00000HDI', 'HMS1569A08', 'HMS1921I06', 'HMS2090P18', 'HMS2092K12', 'HMS2096A08', 'HMS2233J18', 'HMS3259M11', 'HMS3713A08', 'L-Thyroxine, &gt;=98% (HPLC)', 'Pharmakon1600-01500774', 'ZINC3830993', 'Tox21_112101', 'Tox21_302156', 'BDBM50301375', 'CCG-38738', 'GP9966', 'MFCD00002595', 'NSC757434', 's2599', 'AKOS015905129', 'Tox21_112101_1', 'AC-7504', 'AM83594', 'CHM0030272', 'CS-1819', 'DB00451', 'NC00485', 'NSC-757434', 'SDCCGMLS-0066571.P001', '2-amino-3-[4-(4-hydroxy-3,5-diiodo-phenoxy)-3,5-diiodo-phenyl]-propanoic acid', "3,3'',5,5''-tetraiodo-L-thyronine", "3,5,3'',5''-tetraiodo-L-thyronine", 'NCGC00094852-03', 'NCGC00164336-02', 'NCGC00164336-03', 'NCGC00164336-05', 'NCGC00164336-06', 'NCGC00255368-01', 'AC-10465', 'HY-18341', 'SBI-0051608.P002', 'AB0010528', 'AX8015809', 'DB-006261', 'LS-158291', 'SW196731-3', 'C01829', 'D08125', 'J10324', 'AB00052176-08', 'AB00052176_09', 'AB00052176_10', '002T595', 'Q773449', 'SR-05000001567', 'SR-01000759430-2', 'SR-05000001567-1', 'BRD-K30685142-001-05-5', 'BRD-K30685142-001-08-9', 'Thyroxine (T4), IRMM(R) certified Reference Material', 'L-Thyroxine, powder, BioReagent, suitable for cell culture', 'UNII-QR0BV3BRIA component XUIIKFGFIJCVMT-LBPRGKRZSA-N', 'Levothyroxine, United States Pharmacopeia (USP) Reference Standard', 'Levothyroxine, Pharmaceutical Secondary Standard; Certified Reference Material', 'L-Thyroxine (T4) solution, 100 mug/mL in methanol with 0.1N NH3, ampule of 1 mL, certified reference material']</t>
  </si>
  <si>
    <t>Compound(5819)</t>
  </si>
  <si>
    <t>C15H11I4NO4</t>
  </si>
  <si>
    <t>lidocaine</t>
  </si>
  <si>
    <t>2-(diethylamino)-N-(2,6-dimethylphenyl)acetamide</t>
  </si>
  <si>
    <t>['lidocaine', '137-58-6', 'Lignocaine', 'Xylocaine', '2-(Diethylamino)-N-(2,6-dimethylphenyl)acetamide', 'Lidoderm', 'Anestacon', 'Esracaine', 'Duncaine', 'Alphacaine', 'Cappicaine', 'Gravocain', 'Isicaina', 'L-Caine', 'Leostesin', 'Maricaine', 'Xylocain', 'Xylocitin', 'Solcain', 'Isicaine', 'Xylestesin', 'Rucaina', 'Xilina', 'Xycaine', 'Xylotox', 'Cito optadren', 'Lida-Mantle', 'Dalcaine', "2-(Diethylamino)-2',6'-acetoxylidide", 'Xyloneural (free base)', 'Cuivasil', 'Dentipatch', 'Jetocaine', 'Lignocainum', 'Octocaine', 'Remicaine', 'Xilocaina', 'Xllina', '2-Diethylamino-N-(2,6-dimethylphenyl)acetamide', 'Acetamide, 2-(diethylamino)-N-(2,6-dimethylphenyl)-', 'Lidocaine (VAN)', 'Diethylaminoaceto-2,6-xylidide', 'ELA-Max', 'Xilocaina [Italian]', 'alpha-Diethylamino-2,6-dimethylacetanilide', 'Lidocainum [INN-Latin]', 'Lidocaina [INN-Spanish]', 'EMBOLEX', "2',6'-Acetoxylidide, 2-(diethylamino)-", 'Lidocaton', 'alfa-Dietilamino-2,6-dimetilacetanilide', 'CHEBI:6456', 'HSDB 3350', 'UNII-98PI200987', 'Xylocaine (TN)', 'CHEMBL79', 'EINECS 205-302-8', 'NSC 40030', 'LIDOPEN', 'alfa-Dietilamino-2,6-dimetilacetanilide [Italian]', 'BRN 2215784', 'C14H22N2O', 'N-(2,6-dimethylphenyl)-N~2~,N~2~-diethylglycinamide', 'MLS000069724', 'N1-(2,6-dimethylphenyl)-N2,N2-diethylglycinamide', 'NSC-40030', 'N-(2,6-dimethylphenyl)-N(2),N(2)-diethylglycinamide', '.alpha.-Diethylaminoaceto-2,6-xylidide', 'NCGC00015611-10', 'Xylesthesin', 'Dilocaine', 'Lidocaina', 'Lidocaine, 97.5%', 'Lidocainum', 'SMR000058189', '.alpha.-(Diethylamino)-2,6-acetoxylidide', '.alpha.-Diethylamino-2,6-dimethylacetanilide', '.omega.-Diethylamino-2,6-dimethylacetanilide', '2-(Diethylamino)-N-(2,6-dimethylphenyl)-acetamide', '98PI200987', 'DSSTox_CID_25166', 'DSSTox_RID_80716', 'DSSTox_GSID_45166', 'N-(2,6-Dimethylphenyl)-N2,N2-diethylglycinamide', '2-(Diethylamino)-N-(2,6-Dimethylphenyl)ethanamide', 'Lidocaine Hydrocarbonate', 'Versatis', 'Ztilido', 'Lidocaine Base', 'ZTlido', 'Lidocaine Monohydrochloride', 'Xylocaine CO2', 'Dentipatch (TN)', 'CAS-137-58-6', 'LQZ', 'Lidocaine [USAN:INN:JAN]', 'Lidokain', 'Qualigens', 'Xyline', 'Lignocaine base', 'LidocaineHClH2O', 'Lidocaine [USP:INN:BAN:JAN]', 'Lidocaine, powder', '2-Diethylamino-N-(2,6-dimethyl-phenyl)-acetamide', 'Zingo (Salt/Mix)', 'MFCD00026733', 'Lidocaine (Diocaine)', 'CDS1_000283', 'Lidocaine (Alphacaine)', 'Spectrum_001118', 'Lidocain_2572_ p', 'Lidothesin (Salt/Mix)', 'Xyloneural (Salt/Mix)', 'Opera_ID_385', 'Maybridge1_002571', 'Prestwick0_000050', 'Prestwick1_000050', 'Prestwick2_000050', 'Prestwick3_000050', 'Spectrum2_001343', 'Spectrum3_001392', 'Spectrum4_000070', 'Spectrum5_001549', 'Lopac-L-5647', 'Lidaform HC (Salt/Mix)', 'Epitope ID:116205', 'Lidamantle HC (Salt/Mix)', "2', 2-(diethylamino)-", 'Neosporin Plus (Salt/Mix)', 'Lopac0_000669', 'SCHEMBL15689', 'BSPBio_000179', 'BSPBio_001359', 'BSPBio_003004', 'KBioGR_000079', 'KBioGR_000599', 'KBioSS_000079', 'KBioSS_001598', '4-12-00-02538 (Beilstein Handbook Reference)', 'MLS000758263', 'MLS001074177', 'MLS001423964', 'ARONIS23855', 'BIDD:GT0342', 'Diethylaminoacet-2,6-xylidide', 'DivK1c_000174', 'DivK1c_001323', 'Lidocaine, analytical standard', 'SPBio_001525', 'SPBio_002100', 'Lidocaine (JP17/USP/INN)', 'ALGRX 3268', 'ALGRX-3268', 'BPBio1_000197', 'GTPL2623', 'DTXSID1045166', 'SCHEMBL17967359', 'CTK3J2126', 'HMS548M19', 'KBio1_000174', 'KBio2_000079', 'KBio2_001598', 'KBio2_002647', 'KBio2_004166', 'KBio2_005215', 'KBio2_006734', 'KBio3_000157', 'KBio3_000158', 'KBio3_002224', 'ZINC20237', 'Lidocaine 1.0 mg/ml in Methanol', 'NINDS_000174', 'Bio1_000379', 'Bio1_000868', 'Bio1_001357', 'Bio2_000079', 'Bio2_000559', 'HMS1791D21', 'HMS1989D21', 'HMS2051C21', 'HMS2089E15', 'HMS2235O14', 'HMS3371J04', 'HMS3393C21', 'HMS3428O07', 'HMS3651G09', 'BCP09081', 'HY-B0185', 'KS-000046GY', 'NSC40030', 'Tox21_110183', 'ANW-42187', 'BBL005525', 'BDBM50017662', 'LS-805', 's1357', 'SBB080556', 'STK552033', 'AKOS001026768', 'Tox21_110183_1', 'CCG-100824', 'CS-2070', 'DB00281', 'MCULE-9294700940', 'NC00074', 'SB19118', 'SDCCGSBI-0050648.P005', 'WLN: 2N2 &amp; 1VMR B1 F1', '.alpha.-Diethylamino-2,6-acetoxylidide', 'CAS-73-78-9', 'IDI1_000174', 'IDI1_033829', 'NCGC00015611-01', 'NCGC00015611-02', 'NCGC00015611-03', 'NCGC00015611-04', 'NCGC00015611-05', 'NCGC00015611-06', 'NCGC00015611-07', 'NCGC00015611-08', 'NCGC00015611-09', 'NCGC00015611-11', 'NCGC00015611-12', 'NCGC00015611-13', 'NCGC00015611-14', 'NCGC00015611-15', 'NCGC00015611-16', 'NCGC00015611-18', 'NCGC00022176-05', 'NCGC00022176-06', 'NCGC00022176-07', 'NCGC00022176-08', 'NCGC00022176-09', 'AC-10282', 'AS-13718', 'M620', 'SC-19460', 'ST023341', "2-(Diethylamino)-2'',6''-acetoxylidide", 'SBI-0050648.P004', 'AB00053581', 'L0156', 'SW196598-4', 'A18187', 'C07073', 'D00358', 'J10173', 'K-4450', 'N-(2,6-Dimethylphenyl)-N,N-diethylglycinamide', 'AB00053581-27', 'AB00053581-28', 'AB00053581_29', 'AB00053581_30', 'Q216935', '(2,6-dimethylphenyl)carbamoylmethyl-diethyl-azanium', 'N1-(2,6-dimethylphenyl)-2-(diethylamino)acetamide', 'W-108233', '2-(Diethylamino)-N-(2,6-dimethylphenyl)acetamide #', 'BRD-K52662033-001-02-6', 'BRD-K52662033-003-05-5', 'BRD-K52662033-003-14-7', 'Z55135799', 'Lidocaine, British Pharmacopoeia (BP) Reference Standard', 'Lidocaine, European Pharmacopoeia (EP) Reference Standard', 'N~1~-(2,6-dimethylphenyl)-N~2~,N~2~-diethylglycinamide', 'Lidocaine, United States Pharmacopeia (USP) Reference Standard', 'Lidocaine, Pharmaceutical Secondary Standard; Certified Reference Material', 'Lidocaine solution, 1.0 mg/mL in methanol, ampule of 1 mL, certified reference material', '91484-71-8', "Acetamide, 2-(diethylamino)-N-(2,6-dimethylphenyl)-, hydrochloride, hydrate (1:1:1);2,6-DIMETHYL-2'-DIETHYLAMINOACETANILIDE HYDROCHLORIDE;Lidocaine hydrochloride monohydrate;lidocaine hydrochloride;Lidocaine hydrochloride;Acetamide, 2-(diethylamino)-N-(2,6-dimethylphenyl)-, monohydrochloride", 'LIDOCAINE (73-58-6 (MONOHYDROCHLORIDE); 6108-05-0 (MONOHYDROCHLORIDE MONOHYDRATE))']</t>
  </si>
  <si>
    <t>Compound(3676)</t>
  </si>
  <si>
    <t>C14H22N2O</t>
  </si>
  <si>
    <t>lignin</t>
  </si>
  <si>
    <t>limonene</t>
  </si>
  <si>
    <t>1-methyl-4-prop-1-en-2-ylcyclohexene</t>
  </si>
  <si>
    <t>['LIMONENE', 'Dipentene', 'Cinene', '138-86-3', 'Cajeputene', 'DL-Limonene', 'Kautschin', 'p-Mentha-1,8-diene', 'Dipenten', 'Eulimen', 'Nesol', '1,8-p-Menthadiene', 'Polylimonene', 'Cajeputen', 'Limonen', 'Cinen', 'Inactive limonene', 'Acintene DP dipentene', 'Cyclohexene, 1-methyl-4-(1-methylethenyl)-', '1-Methyl-4-(1-methylethenyl)cyclohexene', 'Polydipentene', 'Dipanol', 'Unitene', 'alpha-Limonene', 'Flavor orange', 'Orange flavor', 'Limonene polymer', 'Goldflush II', 'Acintene DP', 'Dipentene polymer', 'Di-p-mentha-1,8-diene', '1,8(9)-p-Menthadiene', '4-Isopropenyl-1-methyl-1-cyclohexene', '4-Isopropenyl-1-methylcyclohexene', '(+/-)-Limonene', 'd,l-Limonene', 'Dipentene 200', 'Polymerized dipentene', '(+-)-Dipentene', '(+-)-Linonene', 'p-Mentha-1,8-diene, dl-', 'Caswell No. 526', 'Zonarez 7085', 'Zonarez 7115', 'DL-4-Isopropenyl-1-methylcyclohexene', '1-Methyl-4-isopropenyl-1-cyclohexene', 'delta-1,8-Terpodiene', '(+-)-alpha-Limonene', 'MENTHA-1,8-DIENE (DL)', 'Dipentene, crude', '.alpha.-Limonene', 'Limonene, dl-', 'NSC 21446', 'PC 560', '1-methyl-4-(prop-1-en-2-yl)cyclohex-1-ene', '1-methyl-4-prop-1-en-2-ylcyclohexene', 'p-Mentha-1,8-diene, polymers', 'HSDB 1809', 'HSDB 1931', 'NSC 844', '1-Methyl-4-isopropenylcyclohexene', 'p-Mentha-1,8-diene, (+-)-', 'Cyclohexene, 1-methyl-4-(1-methylethenyl)-, homopolymer', 'EINECS 205-341-0', 'EINECS 231-732-0', 'UN2052', '.delta.-1,8-Terpodiene', '1-Methyl-p-isopropenyl-1-cyclohexene', 'EPA Pesticide Chemical Code 079701', 'AI3-00739', '7705-14-8', 'CHEBI:15384', 'd(R)-4-Isopropenyl-1-methylcyclohexene', 'NCGC00163742-03', '(1)-1-Methyl-4-(1-methylvinyl)cyclohexene', 'DSSTox_CID_9612', 'DSSTox_RID_78787', 'DSSTox_GSID_29612', 'Terpenes and Terpenoids, limonene fraction', 'beta-Limonene', 'Cyclohexene, 1-methyl-4-(1-methylethenyl)-, (.+/-.)-', 'LEMON OIL', 'Limonene, L-', 'Lemon extract', 'Cyclohexene, 1-methyl-4-(1-methylethenyl)-, (S)-', 'd-Limonene (JAN)', 'Sweet orange oil', 'Oils, lemon', 'P-Mentha-1,8-diene, (S)-(-)-', 'CAS-138-86-3', 'Oils, orange, sweet', '65996-98-7', 'DIPENTENE (+-)', 'Terpodiene', 'Ciene', 'Cyclil decene', 'Lemon tincture', 'EINECS 227-815-6', 'Neroli oil', 'Orange oil', 'Cedro oil', 'Orange leaf oil', 'Citrus limon oil', 'Extract of lemon', 'Oil of lemon', 'Oil sweet orange', 'Oils, orange', 'Achilles dipentene', 'Orange flower oil', 'Absolute petitgrain', 'Orange oil, sweet', '4-isopropenyl-1-methyl-cyclohexene', 'Lemon oil, Guinea', 'Citrus sinensis oil', 'Dipentene, technical, for use as solvent (for the paint industry), mixture of various terpenes', 'Lemon petigrain oil', 'Lemon oil, Italian', 'Citrus limon extract', 'Lemon petitgrain oil', 'Neroli oil, pommade', 'Oil of sweet orange', 'AI3-25390', 'c0626', 'Mentha-1,8-diene', 'Absolue orange flower', 'Lemon oil concentrate', 'Lemon oil, distilled', 'Oils, citrus limonia', 'Orange oil, distilled', 'p-Mentha-1, dl-', 'Dipentene, homopolymer', 'Orange flower absolute', 'Orange oil concentrate', 'Absolute orange flowers', '(.+-.)-Limonene', 'Caswell No. 425A', 'd-Limonene (Limonene)', 'limonene, (S)-isomer', 'OIL OF ORANGE', 'Zitronen oel [German]', '(.+-.)-Dipentene', '1-Methyl-4-(1-methylethenyl)cyclohexene, (S)-', '4-mentha-1,8-diene', 'Orange peel oil, sweet', 'Citrus sinensis peel oil', 'Petitgrain citronnier oil', '(.+/-.)-Dipentene', '(.+/-.)-Limonene', 'DIPENTENE 38 PF', 'limonene, (+-)-isomer', 'Limonene, (+/-)-', 'Neat oil of sweet orange', 'ESSENCE DE PIN PF', 'DL-p-mentha-1,8-diene', 'Mentha-1,8-diene, DL', '(+-)-(RS)-limonene', 'Dipentene, technical grade', 'Cyclohexene, (.+-.)-', 'Dipentene, p.a., 95%', 'Orange sweet oil, expressed', 'Orange flower water absolute', 'p-Mentha-1,8(9)-diene', 'Orange oil, distilled, sweet', 'Orange oil, sweet, expressed', 'CCRIS 683', 'Dipentene, mixture of isomers', 'Sweet orange oil, terpeneless', 'CHEMBL15799', '(R)-p-Mentha-1,8-diene.', 'Monocyclic terpene hydrocarbons', 'Absolue orange flower decoloree', 'Citrus medica var. limonum oil', 'FEMA No. 2822', 'FEMA No. 2853', 'Methyl-4-isopropenylcyclohexene', 'NSC844', '(.+/-.)-.alpha.-Limonene', 'Absolue orange flower from water', 'DTXSID2029612', '(+/-)-p-Mentha-1,8-diene', 'CTK5C8417', 'HSDB 1934', 'HSDB 1944', 'KS-00000WVS', 'p-Mentha-1, (.+-.)-', 'NSC-844', 'HMS3264E05', 'Pharmakon1600-00307080', 'Methyl-4-isopropenyl-1-cyclohexene', 'HY-N0544', 'NSC21446', 'Tox21_112068', 'Tox21_201818', 'Tox21_303409', 'NSC-21446', 'NSC757069', 'STK801934', '1-methyl-4-isopropenylcyclohex-1-ene', 'AKOS009031280', 'Cyclohexene, 4-Isopropenyl-1-methyl-', 'Methyl-4-(1-methylethenyl)cyclohexene', 'WLN: L6UTJ A1 DY1 &amp; U1', 'CCG-214016', 'EPA Pesticide Chemical Code 040501', 'EPA Pesticide Chemical Code 040517', 'LS-2278', 'LS-2880', 'MCULE-2462317444', 'NSC-757069', 'p-Mentha-1,8-diene, (.+/-.)-', 'p-Mentha-1,8-diene, polymers (8CI)', 'UN 2052', "Petitgrain bigarade sur fleurs d'oranger", '(+/-)-p-Mentha-1,8-diene homopolymer', 'Limonene 1000 microg/mL in Isopropanol', 'NCGC00163742-01', 'NCGC00163742-02', 'NCGC00163742-04', 'NCGC00163742-05', 'NCGC00257291-01', 'NCGC00259367-01', '8050-32-6', 'Dipentene [UN2052] [Flammable liquid]', 'LS-89490', 'LS-89491', 'LS-98217', 'NCI60_041856', 'p-Mentha-1,8-diene, homopolymer (7CI)', 'SC-80005', '1-methyl-4-(1-methylethenyl) cylcohexene', '1-methyl-4-(prop-1-en-2-yl)cyclohexene', '4-(1-methylethenyl)-1-methyl-cyclohexene', 'Dipentene [UN2052]  [Flammable liquid]', '1-methyl-4-(1-methylvinyl)cyclohex-1-ene', 'Cyclohexene, 1-methyl-4-(1-methylethynyl)', 'DB-053490', 'DB-072716', 'lemon, oil (citrus limon (l.) burm. f.)', 'LS-180589', 'LS-181342', 'CS-0009072', 'FT-0600409', 'FT-0603053', 'FT-0605227', 'L0046', 'ST51046654', 'EN300-21627', '(+/-)-1-Methyl-4-(1-methylvinyl)cyclohexene', 'C06078', 'D00194', '1-METHYL-4-PROP-1-EN-2-YL-CYCLOHEXENE', 'AB01563249_01', 'Q278809', 'SR-01000872759', 'J-007186', 'J-520048', 'Petitgrain lemon oil (Citrus limon (L.) Burm. f.)', 'SR-01000872759-1', '4B4F06FC-8293-455D-8FD5-C970CDB001EE', 'Orange oil, terpeneless (Citrus sinensis (L.) Osbeck)', 'Cyclohexene,3-methyl-6-(1-methylethenyl)-, (3R,6R)-rel-', 'ORANGE PEEL, SWEET, OIL (CITRUS SINENSIS (L.) OSBECK)', 'ORANGE, OIL, DISTILLED (CITRUS SINENSIS (L.) OSBECK)', 'Dipentene, mixt. of limonene, 56-64%, and terpinolene, 20-25%', '555-08-8', '8022-90-0']</t>
  </si>
  <si>
    <t>Compound(22311)</t>
  </si>
  <si>
    <t>lincomycin</t>
  </si>
  <si>
    <t>(2S,4R)-N-[(1R,2R)-2-hydroxy-1-[(2R,3R,4S,5R,6R)-3,4,5-trihydroxy-6-methylsulfanyloxan-2-yl]propyl]-1-methyl-4-propylpyrrolidine-2-carboxamide</t>
  </si>
  <si>
    <t>['lincomycin', '154-21-2', 'Lincomycinum', 'Cillimycin', 'Lincomicina', 'Lincomycin A', 'UNII-BOD072YW0F', 'CHEMBL1447', 'Lincolnensin', 'Lincomycine', 'Jiemycin', 'Lincocin', 'Lincomycin, (2S-cis)-Isomer', 'C18H34N2O6S', 'Lincomycin (USAN/INN)', 'BOD072YW0F', 'Lincolcina', 'CHEBI:6472', 'Lincomycine [French]', 'Lincomycine [INN-French]', 'Lincomycinum [INN-Latin]', 'Lincomicina [INN-Spanish]', 'U-10149', '(2S,4R)-N-[(1R,2R)-2-hydroxy-1-[(2R,3R,4S,5R,6R)-3,4,5-trihydroxy-6-(methylsulfanyl)oxan-2-yl]propyl]-1-methyl-4-propylpyrrolidine-2-carboxamide', '(2S,4R)-N-[(1R,2R)-2-hydroxy-1-[(2R,3R,4S,5R,6R)-3,4,5-trihydroxy-6-methylsulfanyloxan-2-yl]propyl]-1-methyl-4-propylpyrrolidine-2-carboxamide', 'Methyl 6,8-dideoxy-6-trans-(1-methyl-4-propyl-L-2-pyrrolidinecarboxamido)-1-thio-D-erythro-alpha-D-galacto-octopyranoside', 'Lincomycin [USAN:INN:BAN]', 'U 10,149A', 'HSDB 3109', 'EINECS 205-824-6', 'LCM', 'NSC-70731', 'BRN 0707677', '(2S,4R)-N-[(1R,2R)-2-hydroxy-1-[(2R,3R,4S,5R,6R)-3,4,5-trihydroxy-6-methylsulfanyl-tetrahydropyran-2-yl]propyl]-1-methyl-4-propyl-pyrrolidine-2-carboxamide', 'methyl 6,8-dideoxy-6-{[(4R)-1-methyl-4-propyl-L-prolyl]amino}-1-thio-D-erythro-alpha-D-galacto-octopyranoside', 'D-erythro-alpha-D-galacto-Octopyranoside, methyl 6,8-dideoxy-6-(((1-methyl-4-propyl-2-pyrrolidinyl)carbonyl)amino)-1-thio-, (2S-trans)-', 'AC1MHD7X', 'Bactramycin', 'Lincorex', 'L-Mycin', 'Lincomycin,(S)', '3QB', 'D-erythro-D-galacto-Octopyranoside, methyl 6,8-dideoxy-6-(1-methyl-4-propyl-L-2-pyrrolidinecarboxamido)-1-thio-, trans-alpha-', 'Methyl 6,8-dideoxy-6-(1-methyl-4-propyl-2-pyrrolidinecarboxamido)-1-thio-D-erythro-D-galacto-octopyranoside (alpha-form)', 'NSC70731', '7179-49-9', 'SCHEMBL4010', 'DTXSID3023215', 'GTPL10941', 'HMS2089A13', 'D-erythro-alpha-D-galacto-Octopyranoside, methyl 6,8-dideoxy-6-((((2S,4R)-1-methyl-4-propyl-2-pyrrolidinyl)carbonyl)amino)-1-thio-', 'ZINC3982483', 'BDBM50335522', 'AKOS015951392', 'CCG-208231', 'DB01627', 'MCULE-4676929559', 'NE39438', 'SMP1_000178', 'SC-71087', 'LS-174532', '54L212', 'C06812', 'D00223', 'AB01275426-01', 'Lincomycin, Antibiotic for Culture Media Use Only', 'Q423428', 'U-10,149', 'W-109518', 'BRD-K49384696-003-01-9', 'Z1665194511', '(2S,4R)-N-((1R,2R)-2-hydroxy-1-((2R,3R,4S,5R,6R)-3,4,5-trihydroxy-6-(methylthio)-tetrahydro-2H-pyran-2-yl)propyl)-1-methyl-4-propylpyrrolidine-2-carboxamide', '(2S,4R)-N-((1R,2R)-2-hydroxy-1-((2R,3R,4S,5R,6R)-3,4,5-trihydroxy-6-(methylthio)tetrahydro-2H-pyran-2-yl)propyl)-1-methyl-4-propylpyrrolidine-2-carboxamide', '(2S,4R)-N-((1S)-2-hydroxy-1-((2S,3R,4S,5R,6R)-3,4,5-trihydroxy-6-(methylthio)-tetrahydro-2H-pyran-2-yl)propyl)-1-methyl-4-propylpyrrolidine-2-carboxamide', '1-Methyl-4-propyl-pyrrolidine-2-carboxylic acid [2-hydroxy-1-(3,4,5-trihydroxy-6-methylsulfanyl-tetrahydro-pyran-2-yl)-propyl]-amide', 'D-Erythro-.alpha.-D-gluco-octopyranoside, methyl 6,8-dideoxy-6-[[[(2S,4R)-1-methyl-4-propyl-2-pyrrolidinyl]carbonyl]amino]-1-thio-', 'Methyl (5r)-5-[(1r,2r)-2-Hydroxy-1-{[(4r)-1-Methyl-4-Propyl-L-Prolyl]amino}propyl]-1-Thio-Beta-L-Arabinopyranoside', 'methyl 6,8-dideoxy-6-({[(2S,4R)-1-methyl-4-propylpyrrolidin-2-yl]carbonyl}amino)-1-thio-D-erythro-alpha-D-galacto-octopyranoside']</t>
  </si>
  <si>
    <t>Compound(3000540)</t>
  </si>
  <si>
    <t>C18H34N2O6S</t>
  </si>
  <si>
    <t>3-(3,4-dichlorophenyl)-1-methoxy-1-methylurea</t>
  </si>
  <si>
    <t>['LINURON', '330-55-2', '3-(3,4-Dichlorophenyl)-1-methoxy-1-methylurea', 'Methoxydiuron', 'Afalon', 'Cephalon', 'Aphalon', 'Linurex', 'Lorox', 'Afalon inuron', 'Garnitan', 'Herbicide 326', 'Linorox', 'Rotalin', 'Sarclex', 'Sinuron', 'Linex', 'Du Pont 326', 'Linex 4L', "Urea, N'-(3,4-dichlorophenyl)-N-methoxy-N-methyl-", 'Malurane', 'Profalon', 'Soilcid', 'Laroks', 'Certroli-Lin', 'Dupont herbicide 326', 'Laroks [Polish]', "N'-(3,4-Dichlorophenyl)-N-methoxy-N-methylurea", 'du Pont Herbicide 326', 'Lorox linuron weed killer', 'Lorox Weed Killer', 'Linuron (herbicide)', 'Caswell No. 528', '1-Methoxy-1-methyl-3-(3,4-dichlorophenyl)urea', 'HOE 2810', 'Linuron [ANSI:BSI:ISO]', 'UNII-01XP1SU59O', 'HSDB 1733', 'Hoe 002810', 'Hoe 02 810', 'EINECS 206-356-5', '3-(3,4-dichlorophenyl)-1-methoxy-1-methyl-urea', 'EPA Pesticide Chemical Code 035506', "N-(3,4-Dichlorophenyl)-N'-methyl-N'-methoxyurea", 'BRN 2128725', 'Urea, 3-(3,4-dichlorophenyl)-1-methoxy-1-methyl-', '01XP1SU59O', 'CHEBI:6482', '1-(3,4-Dichlorophenyl)3-methoxy-3-methyluree', '3-(3,4-Dichloor-fenyl)-1-methoxy-1-methylureum', '3-(3,4-Dichloro-fenil)-1-metossi-1-metil-urea', '3-(4,5-Dichlorphenyl)-1-methoxy-1-methylharnstoff', "N-(3,4-Dwuchlorofenylo)N'-metoksy-N'-metylomocznik", '3-(3,4-Dichlor-phenyl)-1-methoxy-1-methyl-harnstoff', '1-(3,4-Dichlorophenyl)3-methoxy-3-methyluree [French]', '3-(3,4-Dichloor-fenyl)-1-methoxy-1-methylureum [Dutch]', '3-(3,4-Dicloro-fenil)-1-metossi-1-metil-urea [Italian]', '3-(3,4-Dichloro-fenil)-1-metossi-1-metil-urea [Italian]', '3-(4,5-Dichlorphenyl)-1-methoxy-1-methylharnstoff [German]', '3-(3,4-Dichlor-phenyl)-1-methoxy-1-methyl-harnstoff [German]', "N-(3,4-Dwuchlorofenylo)N'-metoksy-N'-metylomocznik [Polish]", 'DSSTox_CID_4163', 'DSSTox_RID_77311', 'DSSTox_GSID_24163', 'Alfalon', 'CAS-330-55-2', 'Norunil', 'Scarclex', 'Atlas linuron', 'Linuron (Lorox);linuron', '3-(3,4-Dicloro-fenil)-1-metossi-1-metil-urea', 'SCHEMBL56566', "N-(3,4-Dichlorophenyl)-N'-methoxy-N'-methylurea", 'BIDD:ER0455', 'CHEMBL448213', 'DTXSID2024163', 'CTK5A5501', 'XKJMBINCVNINCA-UHFFFAOYSA-', 'ZINC900693', 'HY-B1866', 'Tox21_201281', 'Tox21_300732', 'ACM330552', 'STK664290', 'Linuron 10 microg/mL in Acetonitrile', 'AKOS015889915', 'Linuron 100 microg/mL in Acetonitrile', 'MCULE-3556686443', 'NCGC00160429-01', 'NCGC00160429-02', 'NCGC00160429-03', 'NCGC00160429-04', 'NCGC00160429-05', 'NCGC00160429-06', 'NCGC00254638-01', 'NCGC00258833-01', '56645-87-5', 'AK129210', 'O727', 'ST081330', 'AX8136394', 'DB-048328', 'Linuron, PESTANAL(R), analytical standard', 'LS-159757', 'CS-0013933', 'FT-0603379', 'NS00010461', 'C11007', '33333-EP2274983A1', '33333-EP2305655A2', '33333-EP2305662A1', '33333-EP2311815A1', '33333-EP2371823A1', '330L552', 'A821586', "N'-(3,4-dichlorophenyl)-N-methoxy-N-methyl Urea", 'Q421476', 'J-018993', 'N-(3,4-dichlorophenyl)(methoxymethylamino)carboxamide', 'Linuron solution, 100 mug/mL in methanol, PESTANAL(R), analytical standard']</t>
  </si>
  <si>
    <t>Compound(9502)</t>
  </si>
  <si>
    <t>C9H10Cl2N2O2</t>
  </si>
  <si>
    <t>linoleic acid</t>
  </si>
  <si>
    <t>(9Z,12Z)-octadeca-9,12-dienoic acid</t>
  </si>
  <si>
    <t>['linoleic acid', '60-33-3', 'Linolic acid', '(9Z,12Z)-octadeca-9,12-dienoic acid', 'Telfairic acid', 'cis,cis-Linoleic acid', 'Grape seed oil', 'cis,cis-9,12-Octadecadienoic acid', 'Linoleate', 'Emersol 315', 'cis-9,cis-12-Octadecadienoic acid', '9,12-Linoleic acid', 'Unifac 6550', '9Z,12Z-Linoleic acid', '9Z,12Z-octadecadienoic acid', 'Extra Linoleic 90', '9-cis,12-cis-Linoleic acid', 'Emersol 310', 'Polylin 515', 'all-cis-9,12-Octadecadienoic acid', '(Z,Z)-9,12-Octadecadienoic acid', 'Polylin No. 515', 'Oils, grape', 'alpha-Linoleic acid', 'Linoleic', 'acide linoleique', '9,12-Octadecadienoic acid', 'acido linoleico', 'Leinoleic acid', '(9Z,12Z)-Octadecadienoic acid', '9,12-Octadecadienoic acid (9Z,12Z)-', 'UNII-9KJL21T0QJ', '9-cis,12-cis-Octadecadienoic acid', 'Oils, grape seed', '9,12-Octadecadienoic acid (Z,Z)-', 'CCRIS 650', 'acide cis-linoleique', 'Linoleic acid, pure', '(9Z,12Z)-9,12-octadecadienoic acid', 'CHEBI:17351', 'HSDB 5200', 'cis-delta9,12-Octadecadienoic acid', 'EINECS 200-470-9', '9,12-Octadecadienoic acid, (Z,Z)-', 'cis-Delta(9,12)-octadecadienoic acid', 'NSC 281243', '9KJL21T0QJ', 'AI3-11132', 'CHEMBL267476', '9-cis,12-cis-Octadecadienoate', 'C18:2', 'cis-9, cis-12-octadecadienoic acid', 'MFCD00064241', 'NSC-281243', 'DEA-Linoleate', 'Linoleic acid, 99%', 'cis,cis-linoleate', 'NCGC00091049-04', 'VESPULA PENSYLVANICA B708568K063', 'DSSTox_CID_5505', 'DSSTox_RID_77814', 'DSSTox_GSID_25505', 'Linoleic acid, 60%, tech.', '506-21-8', 'CAS-60-33-3', '14C-Linoleic acid', '(14C)-Linoleic acid', 'octadeca-9,12-dienoic acid', 'SR-01000944790', 'UNII-7552P0K6PN', '(14C)alpha-Linolenic acid', '7552P0K6PN', 'Linolate', 'grapeseed oil', '80969-37-5', '9,12-Octadecadienoic acid, (9E,12E)-', '9Z,12Z-Linoleate', 'Linoleic Acid 315', '8024-22-4', 'n-6,9 all-cis', '12624-35-0', '9Z,12Z-Octadecadienoate', '9-cis,12-cis-Linoleate', 'Linoleic acid, &gt;=95%', 'Linoleic acid, &gt;=99%', 'bmse000497', 'bmse000604', 'Epitope ID:117705', 'Linoleic Acid (18:2)', 'linoleic and linolenic acids', 'SCHEMBL7067', 'cis,12-Octadecadienoic acid', 'Pamolyn 125 (Salt/Mix)', 'cis-D9,12-Octadecadienoate', 'BSPBio_001374', 'CCRIS 652', 'all-cis-9,12-Octadecadienoate', 'BML3-C03', 'cis-9,cis-12-Octadecadienoate', 'GTPL1052', 'Linoleic acid, &gt;=95%, FG', 'Linoleic acid, puriss., 90%', 'delta9,12-Octadecadienoic acid', '(Z,Z)-9,12-Octadecadienoate', 'DTXSID2025505', 'ACon1_000270', 'BDBM22231', 'C18:2, n-6,9 all-cis', 'cis-D9,12-Octadecadienoic acid', 'BBC/806', 'BIL9075', 'Linoleic acid, &gt;=93% (GC)', 'CHEBI:137735', 'ZX-AFC003018', '9,12-Octadecadienoic acid, (Z,Z)-, labeled with carbon-14', 'HMS1361E16', 'HMS1791E16', 'HMS1989E16', 'HMS3402E16', 'HMS3649F07', 'Linoleic acid, analytical standard', '9,12-Octadecadienoic acid (VAN)', 'HY-N0729', 'LIN', 'ZINC4474613', 'ZX-AS005006', 'Tox21_111067', 'Tox21_202171', 'Tox21_303080', '(9Z,12Z)-9,12-Octadecadienoate', 'C18:2 9c', 'cis,cis-octadeca-9,12-dienoic acid', 'cis-9,cis-12-Octadecadienoic acid,', 'GK5161', 'LMFA01030120', 'LS-261', 'NSC281243', 's5821', '(Z,Z)-Octadeca-9, 12-dienoic acid', '9,12-Octadecadienoic acid, (E,E)-', '9,12-Octadecadienoic acid, cis,cis-', 'AKOS015951293', 'ACN-045515', 'DB14104', 'rans, trans-9,12-octadecadienoic acid', 'trans-9,trans-12-Octadecadienoic acid', '(9Z,12Z)octadeca-9,12-dienoic acid', '9-(Z), 12-(Z)-Octadecadienoic acid', 'cis-.DELTA.9,12-Octadecadienoic acid', 'IDI1_033844', 'NCGC00091049-01', 'NCGC00091049-02', 'NCGC00091049-03', 'NCGC00091049-05', 'NCGC00091049-06', 'NCGC00091049-07', 'NCGC00257024-01', 'NCGC00259720-01', '12c omega6 todos cis-9,12-octadienoico', 'AK110470', 'AS-12672', 'CC-29963', 'FEMA NO. 3380, LINOLEIC ACID-', 'ST098723', 'Linoleic acid, technical, 60-74% (GC)', 'Octadeca-9,12-dienoic acid, (cis,cis)-', 'AI3-36448', 'AX8136376', 'LS-190728', '9,Z)-', 'CS-0009742', 'L0053', 'L0124', 'NS00010521', 'A-8680', 'C01595', '9, (Z)-', 'Q407426', 'SR-01000944790-1', 'SR-01000944790-3', 'BRD-K08973992-001-03-9', 'C18:2 9c, 12c omega6 todos cis-9,12-octadienoico', '5CE5E1F3-8859-4C5B-9AFE-E44A7076DF6E', 'UNII-0JXR8F0V1Q component OYHQOLUKZRVURQ-HZJYTTRNSA-N', 'UNII-116Z6MZN1M component OYHQOLUKZRVURQ-HZJYTTRNSA-N', 'UNII-44NH37HHP9 component OYHQOLUKZRVURQ-HZJYTTRNSA-N', 'UNII-5U9XZ261ER component OYHQOLUKZRVURQ-HZJYTTRNSA-N', 'UNII-96GS7P39SN component OYHQOLUKZRVURQ-HZJYTTRNSA-N', 'UNII-9B22238JYI component OYHQOLUKZRVURQ-HZJYTTRNSA-N', 'UNII-B6G0Y5Z616 component OYHQOLUKZRVURQ-HZJYTTRNSA-N', 'UNII-F85N2YHE4E component OYHQOLUKZRVURQ-HZJYTTRNSA-N', 'UNII-HBA528N3PW component OYHQOLUKZRVURQ-HZJYTTRNSA-N', 'UNII-ODL221H4AM component OYHQOLUKZRVURQ-HZJYTTRNSA-N', 'UNII-V1PY73ZXPE component OYHQOLUKZRVURQ-HZJYTTRNSA-N', 'Linoleic acid, liquid, BioReagent, suitable for cell culture', 'UNII-79P21R4317 component OYHQOLUKZRVURQ-HZJYTTRNSA-N', 'Linoleic acid, 2.0 mg/mL in ethanol, certified reference material', 'Linoleic acid, PharmaGrade, Manufactured under appropriate controls for use as a raw material in pharma or biopharmaceutical production']</t>
  </si>
  <si>
    <t>Compound(5280450)</t>
  </si>
  <si>
    <t>C18H32O2</t>
  </si>
  <si>
    <t>(2S)-1-[(2S)-6-amino-2-[[(1S)-1-carboxy-3-phenylpropyl]amino]hexanoyl]pyrrolidine-2-carboxylic acid;dihydrate</t>
  </si>
  <si>
    <t>['Lisinopril dihydrate', '83915-83-7', 'Renacor', 'Lisinopril (dihydrate)', 'Lisinopril hydrate', 'UNII-E7199S1YWR', 'CHEBI:6503', 'E7199S1YWR', 'MK-521', 'Qbrelis', 'HSDB 6852', 'NCGC00017141-01', 'CAS-83915-83-7', 'Zestril (TN)', '(S)-1-(N2-(1-Carboxy-3-phenylpropyl)-L-lysyl)-L-proline dihydrate', 'L-Proline, N2-[(1S)-1-carboxy-3-phenylpropyl]-L-lysyl-, dihydrate', '(S)-1-(N(sup 2)-(1-Carboxy-3-phenylpropyl)-L-lysyl)-L-proline dihydrate', '1-(N(sup 2)-((S)-1-Carboxy-3-phenylpropyl)-L-lysyl)-L-proline dihydrate', 'DSSTox_CID_25600', 'DSSTox_RID_80993', 'DSSTox_GSID_45600', 'Ranolip', 'N(2)-[(1S)-1-carboxy-3-phenylpropyl]-L-lysyl-L-proline dihydrate', '(S)-1-(N(2)-(1-carboxy-3-phenylpropyl)-L-lysyl)-L-proline dihydrate', 'L-Proline, 1-(N2-(1-carboxy-3-phenylpropyl)-L-lysyl)-, dihydrate, (S)-', '(S)-Lisinopril', 'L-Proline, 1-(N(sup 2)-(1-carboxy-3-phenylpropyl)-L-lysyl)-, dihydrate, (S)-', 'lisinopril-dihydrat', 'C21H31N3O5.2H2O', 'Lisinopril [USAN:INN:BAN:JAN]', 'Prinivil (TN)', '(2S)-1-[(2S)-6-amino-2-[[(1S)-1-carboxy-3-phenylpropyl]amino]hexanoyl]pyrrolidine-2-carboxylic acid;dihydrate', 'Lisinopril (USP)', 'Prestwick_613', 'Lisinopril [USAN:USP:INN:BAN:JAN]', 'Lisinopril hydrate (JP17)', 'SCHEMBL542591', 'CHEMBL419213', 'DTXSID2045600', 'Lisinopril, &gt;=98% (HPLC)', 'HMS1568N04', 'HMS2095N04', 'HMS3712N04', 'Tox21_110798', 'HY-18206A', 'AKOS015950799', 'Tox21_110798_1', 'AC-6226', 'API0005525', 'CCG-220301', 'CS-2444', 'KS-1078', 'NCGC00179623-04', 'H528', 'SC-25401', 'AX8136408', 'LS-118900', 'D00362', '915L837', 'SR-01000801314', 'SR-01000801314-3', 'Q47495698', 'Lisinopril, United States Pharmacopeia (USP) Reference Standard', 'L-Proline,1-(N2(1-carboxy-3-phenylpropyl)-L-lysyl)-dihydrate,(S)', 'Lisinopril dihydrate, British Pharmacopoeia (BP) Reference Standard', 'Lisinopril dihydrate, European Pharmacopoeia (EP) Reference Standard', 'Lisinopril, Pharmaceutical Secondary Standard; Certified Reference Material', 'Lisinopril for peak identification, European Pharmacopoeia (EP) Reference Standard', 'Lisinopril for system suitability A, European Pharmacopoeia (EP) Reference Standard']</t>
  </si>
  <si>
    <t>Compound(5362118)</t>
  </si>
  <si>
    <t>C21H35N3O7</t>
  </si>
  <si>
    <t>4-[4-(4-chlorophenyl)-4-hydroxypiperidin-1-yl]-N,N-dimethyl-2,2-diphenylbutanamide</t>
  </si>
  <si>
    <t>['loperamide', '53179-11-6', 'Imodium', 'Ioperamide', 'Loperamida', 'Loperamidum', 'Loperamidum [INN-Latin]', 'Loperamida [INN-Spanish]', 'Loperamide [INN:BAN]', '4-[4-(4-chlorophenyl)-4-hydroxypiperidin-1-yl]-N,N-dimethyl-2,2-diphenylbutanamide', 'UNII-6X9OC3H4II', 'Maalox Anti-Diarrheal', 'C29H33ClN2O2', 'EINECS 258-416-5', 'CHEMBL841', 'R-18553', 'BRN 1558273', '6X9OC3H4II', '4-(4-(4-chlorophenyl)-4-hydroxypiperidin-1-yl)-N,N-dimethyl-2,2-diphenylbutanamide', 'CHEBI:6532', '1-Piperidinebutanamide, 4-(4-chlorophenyl)-4-hydroxy-N,N-dimethyl-alpha,alpha-diphenyl-', '4-(4-Chlorophenyl)-N,N-dimethyl-alpha,alpha-diphenyl-4-hydroxy-1-piperidinebutanamide', 'NCGC00015608-04', 'Loperacap', 'Apo-Loperamide', 'Nu-Loperamide', 'Rho-Loperamide', 'Kaopectate II', 'PMS-Loperamide', '2-methoxyethyl1-methylethyl2,6-dimethyl-4-(3-nitrophenyl)-1,4-dihydropyridine-3,5-dicarboxylate', 'DSSTox_CID_25165', 'DSSTox_RID_80715', 'DSSTox_GSID_45165', 'Imodium A-D Caplets', 'Loperamide Monohydrochloride', '4-[4-(4-Chlorophenyl)-4-hydroxy-1-piperidinyl]-N,N-dimethyl-2,2-diphenylbutanamide', 'Loperamide (INN)', 'Diamide (TN)', 'CAS-53179-11-6', 'Immodium', 'Loperamid', 'LoperamideHCl', 'Spectrum_000374', 'Tocris-0840', '4-(4-chlorophenyl)-4-hydroxy-N,N-dimethyl-a,a-diphenylpiperidine-1-butyramide monohydrochloride', 'Prestwick0_000144', 'Prestwick1_000144', 'Prestwick2_000144', 'Prestwick3_000144', 'Spectrum2_001738', 'Spectrum3_001015', 'Spectrum4_001143', 'Spectrum5_001374', 'Lopac-L-4762', 'EC 258-416-5', 'CBiol_001796', 'Lopac0_000708', 'Oprea1_109220', 'SCHEMBL28530', 'BSPBio_000248', 'BSPBio_001381', 'BSPBio_002769', 'KBioGR_000101', 'KBioGR_001685', 'KBioSS_000101', 'KBioSS_000854', '5-21-02-00379 (Beilstein Handbook Reference)', 'cid_71420', 'DivK1c_000215', 'SPBio_001816', 'SPBio_002187', 'BPBio1_000274', 'GTPL7215', 'DTXSID6045165', 'CTK8B3344', 'HSDB 8344', 'KBio1_000215', 'KBio2_000101', 'KBio2_000854', 'KBio2_002669', 'KBio2_003422', 'KBio2_005237', 'KBio2_005990', 'KBio3_000201', 'KBio3_000202', 'KBio3_001989', 'NINDS_000215', 'Bio1_000082', 'Bio1_000571', 'Bio1_001060', 'Bio2_000101', 'Bio2_000581', 'HMS1791F03', 'HMS1989F03', 'HMS2089C13', 'ZINC537928', 'Tox21_110180', 'ANW-42343', 'BDBM50017698', 'STK042086', 'AKOS000573892', 'Tox21_110180_1', 'API0003209', 'CCG-204793', 'DB00836', 'MCULE-3957783776', 'SDCCGSBI-0050686.P004', 'VA11195', '1-Piperidinebutanamide, 4-(4-chlorophenyl)-4-hydroxy-N,N-dimethyl-.alpha.,.alpha.-diphenyl-', '4-(4-Chlorophenyl)-N,N-dimethyl-.alpha.,.alpha.-diphenyl-4-hydroxy-1-piperidinebutanamide', 'IDI1_000215', 'IDI1_033851', 'NCGC00015608-01', 'NCGC00015608-02', 'NCGC00015608-03', 'NCGC00015608-05', 'NCGC00015608-06', 'NCGC00015608-07', 'NCGC00015608-08', 'NCGC00015608-09', 'NCGC00015608-11', 'NCGC00016828-01', 'NCGC00024818-01', 'NCGC00024818-02', 'NCGC00024818-03', 'NCGC00024818-04', 'NCGC00024818-05', 'ST095179', 'SBI-0050686.P003', 'AX8136655', 'CAS-34552-83-5', 'LS-114352', 'AB00053697', 'FT-0657293', 'NS00002516', 'C07080', 'D08144', 'AB00053697-12', 'AB00053697-13', 'AB00053697_14', 'AB00053697_15', '179L116', 'A829430', 'L000709', 'Q423751', 'BRD-K61250553-001-02-9', 'BRD-K61250553-003-05-8', 'BRD-K61250553-003-16-5', '4-(p-Chlorophenyl)-4-hydroxy-N,N-dimethyl-.alpha.,.alpha.-diphenyl-1-piperidinebutyramide', '4-[4-(4-Chloro-phenyl)-4-hydroxy-piperidin-1-yl]-N,N-dimethyl-2,2-diphenyl-butyramide', '4-[4-(4-Chlorophenyl)-4-hydroxy-1-piperidinyl]-N,N-dimethyl-2,2-diphenylbutanamide #', '4-[4-(4-chlorophenyl)-4-hydroxypiperidyl]-N,N-dimethyl-2,2-diphenylbutanamide', '4-[4-(4-chlorophenyl)-4-oxidanyl-piperidin-1-yl]-N,N-dimethyl-2,2-diphenyl-butanamide', '4-(4-chlorophenyl)-4-hydroxy-N,N-dimethyl-?,?-diphenylpiperidine-1-butyramide monohydrochloride;Loperamide;loperamid', '4-[4-(4-Chloro-phenyl)-4-hydroxy-piperidin-1-yl]-N,N-dimethyl-2,2-diphenyl-butyramide(loperamide)']</t>
  </si>
  <si>
    <t>Compound(3955)</t>
  </si>
  <si>
    <t>C29H33ClN2O2</t>
  </si>
  <si>
    <t>[2-butyl-5-chloro-3-[[4-[2-(2H-tetrazol-5-yl)phenyl]phenyl]methyl]imidazol-4-yl]methanol</t>
  </si>
  <si>
    <t>['losartan', '114798-26-4', 'DUP 89', 'Lortaan', 'LOSARTAN POTASSIUM', 'Cozaar', 'Hyzaar', 'Losartan [INN:BAN]', 'Losartan monopotassium salt', 'UNII-JMS50MPO89', 'C22H23ClN6O', 'MK-954', 'DuP-753', 'CHEBI:6541', 'JMS50MPO89', "(2-butyl-4-chloro-1-{[2'-(1H-tetrazol-5-yl)biphenyl-4-yl]methyl}-1H-imidazol-5-yl)methanol", '[2-butyl-5-chloro-3-[[4-[2-(2H-tetrazol-5-yl)phenyl]phenyl]methyl]imidazol-4-yl]methanol', "2-Butyl-4-chloro-1-((2'-(1H-etrazol-5-yl) (1,1'-biphenyl)-4-yl)methyl)-1H-imidazole-5-methanol", "2-n-butyl-4-chloro-5-hydroxymethyl-1-[(2'-(1H-tetrazol-5-yl)biphenyl-4-yl)methyl]imidazole", 'DTXSID7023227', 'DuP 753', 'NCGC00095125-01', 'DSSTox_CID_3227', 'DSSTox_RID_76933', 'DSSTox_GSID_23227', "(1-((2'-(1H-tetrazol-5-yl)-[1,1'-biphenyl]-4-yl)methyl)-2-butyl-4-chloro-1H-imidazol-5-yl)methanol", "(2-butyl-4-chloro-1-{[2'-(1H-tetrazol-5-yl)[1,1'-biphenyl]-4-yl]methyl}-1H-imidazol-5-yl)methanol", '[2-butyl-5-chloranyl-3-[[4-[2-(2H-1,2,3,4-tetrazol-5-yl)phenyl]phenyl]methyl]imidazol-4-yl]methanol', "1H-Imidazole-5-methanol, 2-butyl-4-chloro-1-((2'-(1H-tetrazol-5-yl)(1,1'- biphenyl)-4-yl)methyl)-", "1H-imidazole-5-methanol, 2-butyl-4-chloro-1-[[2'-(2H-tetrazol-5-yl)[1,1'-biphenyl]-4-yl]methyl]-", 'Q-201321', "(1-((2'-(1H-tetrazol-5-yl)biphenyl-4-yl)methyl)-2-butyl-4-chloro-1H-imidazol-5-yl)methanol", "(2-butyl-4-chloro-1-{[2'-(2H-tetrazol-5-yl)biphenyl-4-yl]methyl}-1H-imidazol-5-yl)methanol", '[3H]losartan', 'HSDB 7043', 'Losartan (INN)', 'Losartic (TN)', '[2-butyl-4-chloro-1-({4-[2-(2H-1,2,3,4-tetrazol-5-yl)phenyl]phenyl}methyl)-1H-imidazol-5-yl]methanol', "2-BUTYL-4-CHLORO-1-[[2'-(1H-TETRAZOL-5-YL)[1,1'-BIPHENYL]-4-YL]METHYL]-1H-IMIDAZOLE-5-METHANOL", '[3H]-losartan', 'CAS-114798-26-4', 'MK954', 'SR-01000763170', 'lorastan', '[2-butyl-5-chloro-3-[[4-[2-(1H-tetrazol-5-yl)phenyl]phenyl]methyl]imidazol-4-yl]methanol', 'PubChem9176', 'Dup89', 'Spectrum_001713', 'Losartan_2794_ p', 'SCHEMBL60', '124750-99-8', 'Spectrum2_001677', 'Spectrum3_000998', 'Spectrum4_001126', 'Spectrum5_001466', 'Epitope ID:140137', 'EC 601-329-8', 'Oprea1_644635', 'US9624243, Losartin', 'BSPBio_002695', 'GTPL590', 'KBioGR_001611', 'KBioSS_002193', 'BIDD:GT0286', 'SPECTRUM1504268', 'SPBio_001893', 'DUP-89', 'GTPL3941', 'BDBM82258', 'CTK8E7663', 'KBio2_002193', 'KBio2_004761', 'KBio2_007329', 'KBio3_001915', 'HGP1405', 'BCPP000183', 'BDBM318822', 'EX 89', 'HMS1922J13', 'HMS2093E22', 'HMS3715L11', 'Pharmakon1600-01504268', 'BCP27731', 'HGP-1405', 'KS-00000GI2', 'NSC_3961', 'ZINC3873160', 'Tox21_111435', 'BG0556', 'CCG-39095', 'GP6564', 'MFCD00865831', 'NSC758699', 's5067', 'STL419984', '2-butyl-4-chloro-1-[p-(o-1H-tetrazol-5ylphenyl)benzyl]imidazole-5-methanol', 'AKOS015917390', 'AKOS015994740', 'Tox21_111435_1', 'AB07507', 'API0007066', 'BCP9000861', 'CS-2116', 'DB00678', 'KS-5004', 'MCULE-5204931675', 'NSC-758699', "2-n-butyl-4-chloro-5-hydroxymethyl-1-[[2'-(1H-tetrazol-5-yl)-biphenyl-4-yl]methyl]imidazole", 'NCGC00095125-02', 'NCGC00095125-03', 'NCGC00095125-05', "2-Butyl-4-chloro-1-[[2'-(1H-tetrazol-5-yl)[1,1'-biphenyl]-4-yl]methyl-1H-imidazole-5-methanol", 'AK326126', 'HY-17512', 'I497', 'LS-78746', 'SC-47229', 'SBI-0206766.P001', 'AB0013723', 'CAS_114798-26-4', 'FT-0631074', 'NS00008822', 'C07072', 'D08146', '54244-EP2269989A1', '54244-EP2270011A1', '54244-EP2272841A1', '54244-EP2277879A1', '54244-EP2287165A2', '54244-EP2287166A2', '54244-EP2292620A2', '54244-EP2295053A1', '54244-EP2295406A1', '54244-EP2298772A1', '54244-EP2298776A1', '54244-EP2298779A1', '54244-EP2301923A1', '54244-EP2301931A1', '54244-EP2301936A1', '54244-EP2305219A1', '54244-EP2308562A2', '54244-EP2308839A1', 'AB01563296_01', '798L264', 'A803239', 'L000351', 'Q410074', 'SR-01000763170-3', 'SR-01000763170-4', 'BRD-K76205745-001-02-5', 'BRD-K76205745-001-04-1', 'F2173-0506', '[2-butyl-5-chloro-3-[[4-[2-(2H-tetrazol-5-yl)phenyl]phenyl]methyl]-4-imidazolyl]methanol', "2-butyl-4-chloro-5-hydroxymethyl-1-[(2'-(1H-tetrazol-5-yl)-biphenyl-4-yl)methyl]imidazole", "2-butyl-4-chloro-5-hydroxymethyl-1-[(2'-(1H-tetrazol-5-yl)biphenyl-4-yl)methyl]imidazole", "(1-((2'-(2H-tetrazol-5-yl)-[1,1'-biphenyl]-4-yl)methyl)-2-butyl-4-chloro-1H-imidazol-5-yl)methanol", "(1-((2'-(2h-tetrazol-5-yl)biphenyl-4-yl)methyl)-2-butyl-4-chloro-1h-imidazol-5-yl)methanol", '[2-butyl-4-chloro-1-({4-[2-(2H-1,2,3,4-tetrazol-5-yl)phenyl]phenyl}methyl)-1H-imidazol-5-yl]methanol;LOSARTAN POTASSIUM', "{2-Butyl-5-chloro-3-[2'-(2H-tetrazol-5-yl)-biphenyl-4-ylmethyl]-3H-imidazol-4-yl}-methanol", "1H-Imidazole-5-methanol, 2-butyl-4-chloro-1-[[2'-(1H-tetrazol-5-yl)[1,1'-biphenyl]-4-yl]methyl]- (9CI)", "2-butyl-4-chloro-1-[[2'-(2h-tetrazol-5-yl)[1,1'-biphenyl]-4-yl]methyl]-1h-imidazole-5-methanol", "2-butyl-4-chloro-1-[2'-(2H-tetrazol-5-yl)-1,1'-biphenyl-4-ylmethyl]-1H- imidazole-5-methanol", "2-butyl-4-chloro-5-(hydroxymethyl)-1-[[2'-(1H-tetrazol-5-yl)biphenyl-4-yl]methyl]imidazole"]</t>
  </si>
  <si>
    <t>Compound(3961)</t>
  </si>
  <si>
    <t>C22H23ClN6O</t>
  </si>
  <si>
    <t>N-[[2,5-dichloro-4-(1,1,2,3,3,3-hexafluoropropoxy)phenyl]carbamoyl]-2,6-difluorobenzamide</t>
  </si>
  <si>
    <t>['Lufenuron', '103055-07-8', 'Fluphenacur', 'N-((2,5-Dichloro-4-(1,1,2,3,3,3-hexafluoropropoxy)phenyl)carbamoyl)-2,6-difluorobenzamide', '1-(2,5-Dichloro-4-(1,1,2,3,3,3-hexafluoropropoxy)phenyl)-3-(2,6-difluorobenzoyl)urea', 'UNII-9CR45YMS74', 'N-{[2,5-dichloro-4-(1,1,2,3,3,3-hexafluoropropoxy)phenyl]carbamoyl}-2,6-difluorobenzamide', '9CR45YMS74', 'CHEBI:39384', 'UNII-4629851K7Q', 'N-[[2,5-dichloro-4-(1,1,2,3,3,3-hexafluoropropoxy)phenyl]carbamoyl]-2,6-difluorobenzamide', 'NCGC00095978-02', '4629851K7Q', 'DSSTox_CID_14357', 'DSSTox_RID_79146', 'DSSTox_GSID_34357', 'Benzamide, N-[[[2,5-dichloro-4-(1,1,2,3,3,3-hexafluoropropoxy)phenyl]amino]carbonyl]-2,6-difluoro-', 'N-({[2,5-dichloro-4-(1,1,2,3,3,3-hexafluoropropoxy)phenyl]amino}carbonyl)-2,6-difluorobenzamide', 'Lufenurone', 'Lufenuronum', 'Cigna', 'Match (pesticide)', 'Program flavor tabs', 'CAS-103055-07-8', 'Lufenuron [INN:BAN]', 'Lufenurone [INN-French]', 'Lufenuronum [INN-Latin]', 'C17H8Cl2F8N2O3', 'CGA 184699', 'Lufenuron, (+)-', 'Lufenuron, (-)-', 'Lufenuron (USP/INN)', 'EC 410-690-9', 'Program [veterinary] (TN)', 'SCHEMBL27105', 'BSPBio_002424', 'MLS004712069', 'SPECTRUM1505355', 'CHEMBL1364906', 'DTXSID5034357', 'HMS3264N09', 'Pharmakon1600-01505355', 'BCP15961', 'Tox21_111542', 'Tox21_300907', 'NSC759097', 'AKOS022185021', 'Tox21_111542_1', 'CCG-213976', 'DB11424', 'NSC-759097', 'VA11207', 'N-[[2,5-dichloro-4-(1,1,2,3,3,3-hexafluoropropoxy)phenyl]carbamoyl]-2,6-difluoro-benzamide', 'NCGC00095978-01', 'NCGC00095978-03', 'NCGC00095978-04', 'NCGC00095978-06', 'NCGC00254811-01', 'AK117729', 'AS-13363', 'CC-30083', 'H999', 'N-(2,5-dichloro-4-(1,1,2,3,3,3-hexafluoropropoxy)-phenyl-aminocarbonyl)-2,6-difluorobenzamide', 'SC-14159', 'SMR001563631', 'SBI-0207025.P001', 'DB-040412', 'HY-115584', 'CS-0088780', 'FT-0631021', 'NS00001576', 'Lufenuron, PESTANAL(R), analytical standard', 'C18434', 'D08150', 'AB01563233_01', '055L078', 'C-23005', 'Q412933', 'SR-01000872762', 'J-521659', 'SR-01000872762-1', 'BRD-A71774530-001-01-8', 'BRD-A71774530-001-02-6', 'Lufenuron, European Pharmacopoeia (EP) Reference Standard', 'Lufenuron, United States Pharmacopeia (USP) Reference Standard', 'Lufenuron for peak identification, European Pharmacopoeia (EP) Reference Standard', 'N-(2,5-dichloro-4-(1,1,2,3,3,3-hexafluoropropoxy)phenylcarbamoyl)-2,6-difluorobenzamide', '1-[2,5-dichloro-4-(1,1,2,3,3,3-hexafluoro-propoxy)-phenyl]-3-(2,6-difluoro-benzoyl)-urea;fluphenacur', '130841-22-4', '130841-26-8', 'Benzamide, N-(((2,5-dichloro-4-(1,1,2,3,3,3-hexafluoropropoxy)phenyl)amino)carbonyl)-2,6-difluoro-, (+)-', 'Benzamide, N-(((2,5-dichloro-4-(1,1,2,3,3,3-hexafluoropropoxy)phenyl)amino)carbonyl)-2,6-difluoro-, (-)-', 'Benzamide,N-[[[2,5-dichloro-4-(1,1,2,3,3,3-hexafluoropropoxy)phenyl]amino]carbonyl]-2,6-difluoro-', 'Lufenuron;(RS)-1-[2,5-Dichloro-4-(1,1,2,3,3,3-hexafluoropropoxy) phenyl]-3-(2,6-difluorobenzoyl) urea']</t>
  </si>
  <si>
    <t>Compound(71777)</t>
  </si>
  <si>
    <t>C17H8Cl2F8N2O3</t>
  </si>
  <si>
    <t>diethyl 2-dimethoxyphosphorylsulfanylbutanedioate</t>
  </si>
  <si>
    <t>['MALAOXON', 'Oxycarbophos', 'Liromat', '1634-78-2', 'Malaoxone', 'Carbethoxy malaoxon', 'Maloxon', 'Malathion-O-analog', 'diethyl 2-dimethoxyphosphorylsulfanylbutanedioate', 'NCI-C08628', 'CCRIS 367', 'HSDB 4047', 'O,O-Dimethyl-S-(1,2-dicarbethoxy)ethyl phosphorothioate', 'AI3-25634', 'S-(1,2-Diethoxycarbonyl)ethyl O,O-dimethyl phosphorothioate', 'Butanedioic acid, ((dimethoxyphosphinyl)thio)-, diethyl ester', 'O,O-Dimethyl S-1,2-bis(ethoxycarbonyl)ethyl phosphorothioate', 'diethyl 2-[(dimethoxyphosphoryl)thio]succinate', 'Diethyl mercaptosuccinate S-ester with O,O-dimethyl phosphorothioate', 'Phosphorothioic acid, O,O-dimethyl ester, S-ester with 1,2-bis(ethoxycarbonyl)ethanethiol', 'O,O-Dimethyl S-(1,2-dicarbethoxy)ethyl phosphorothioate', 'O,O-Dimethyl-S-1,2-bis(ethoxycarbonyl)ethyl phosphorothioate', 'Butanedioic acid, [(dimethoxyphosphinyl)thio]-, diethyl ester', 'DSSTox_CID_790', 'DSSTox_RID_75790', 'Succinic acid, mercapto-, diethyl ester, S-ester with O,O-dimethyl phosphorothioate', 'Succinic acid, mercapto-, diethyl ester, S-ester with O,O-dimethylphosphorothioate', 'DSSTox_GSID_20790', 'CAS-1634-78-2', 'malathion oxygen analog', 'SCHEMBL331031', 'CHEBI:6649', 'CHEMBL1331476', 'DTXSID9020790', 'CTK8G0723', 'CHEBI:141477', 'Tox21_202017', 'Tox21_301103', 'LS-918', 'AKOS030254496', 'NCGC00091894-01', 'NCGC00091894-02', 'NCGC00091894-03', 'NCGC00091894-04', 'NCGC00255003-01', 'NCGC00259566-01', 'FT-0670905', 'Malaoxon, PESTANAL(R), analytical standard', 'NS00000705', 'diethyl((dimethoxyphosphinyl)thio)butanedioate', 'C07498', 'Diethyl 2-[(dimethoxyphosphoryl)sulfanyl]succinate', 'Diethyl 2-[(dimethoxyphosphoryl)sulfanyl]succinate #', 'J-010047', 'Q3270235', 'Diethyl 2-[(dimethoxyphosphoryl)sulfanyl]butanedioate', '((dimethoxyphosphinyl)thio)butanedioic acid diethyl ester', '((dimethoxyphosphinyl)thio)butane dioic acid diethyl ester', 'Butanedioic acid, ((dimethoxyphosphinyl)thio)-, diethyl ester (9CI)', 'Diethyl (2RS)-2-[(dimethoxyphosphoryl)sulfanyl]butanedioate;malaoxon', 'Malathion impurity B, European Pharmacopoeia (EP) Reference Standard', 'Butanedioic acid, 2-[(dimethoxyphosphinyl)thio]-, 1,4-diethyl ester', 'phosphorothioic acid, O,O-dimethyl ester, S-ester with 1,2-bis(methoxy-carbonyl)ethanethiol', 'phosphorothioic acid, O,O-dimethyl ester, S-ester with 1,2-bis(methoxy-carbonyl)ethan ethiol']</t>
  </si>
  <si>
    <t>Compound(15415)</t>
  </si>
  <si>
    <t>C10H19O7PS</t>
  </si>
  <si>
    <t>malachite green oxalate</t>
  </si>
  <si>
    <t>[4-[[4-(dimethylamino)phenyl]-phenylmethylidene]cyclohexa-2,5-dien-1-ylidene]-dimethylazanium;2-hydroxy-2-oxoacetate;oxalic acid</t>
  </si>
  <si>
    <t>['Malachite Green Oxalate', '2437-29-8', 'Basic Green 4', 'UNII-GY1H9O33VU', 'GY1H9O33VU', 'Malachite Green oxalate salt', 'Malachite Green, Oxalate', 'EINECS 219-441-7', 'DSSTox_CID_5513', 'Malachite Green oxalate salt (C.I. 42000)', '13425-25-7', 'DSSTox_RID_77817', 'DSSTox_GSID_25513', 'Malachite Green oxalate, pure, certified', 'CAS-2437-29-8', "N,N,N',N'-Tetramethyl-4,4'-diaminotriphenylcarbenium oxalate", 'C.I. 4200', 'Bis[[4-[4-(dimethylamino)benzhydrylidene]cyclohexa-2,5-dien-1-ylidene]dimethylammonium] oxalate, dioxalate', 'Methanaminium, N-(4-((4-(dimethylamino)phenyl)phenylmethylene)-2,5-cyclohexadien-1-ylidene)-N-methyl-, ethanedioate, ethanedioate (2:2:1)', 'Malachite Green oxalate, pure, high purity biological stain', 'Bis (N-{4-[[4-(dimethylamino)phenyl](phenyl)methylene]cyclohexa-2,5-dien-1-ylidene}-N-methylmethanaminium) trioxalate', 'MFCD00011766', 'NCGC00091944-01', 'Ammonium, (4-(p-(dimethylamino)-alpha-phenylbenzylidene)-2,5-cyclohexadien-1-ylidene)-dimethyl-, oxalate (2:1), oxalate (1:1)', 'Bis((4-(4-(dimethylamino)benzhydrylidene)cyclohexa-2,5-dien-1-ylidene)dimethylammonium) oxalate, dioxalate', 'oic acid, ethanedioic acid', 'CHEMBL1545634', 'DTXSID6025513', 'Tox21_110008', 'Tox21_202521', 'MFCD00151209', 'SBB058166', 'AKOS015910564', 'Tox21_110008_1', 'MCULE-5320008974', 'NCGC00013058-01', 'NCGC00013058-02', 'NCGC00091944-02', 'NCGC00091944-03', 'NCGC00260070-01', 'FT-0628110', 'M0497', 'ST51015062', 'Malachite Green oxalate, SAJ first grade, &gt;=80.0%', 'Q27279349', '(4-{[4-(dimethylamino)phenyl]phenylmethylene}cyclohexa-2,5-dienylidene)dimethy lamine, (4-{[4-(dimethylamino)phenyl]phenylmethylene}cyclohexa-2,5-dienylidene )dimethylamine, ethanedioic acid, ethanedi', '(4-{[4-(dimethylamino)phenyl]phenylmethylene}cyclohexa-2,5-dienylidene)dimethy lamine, (4-{[4-(dimethylamino)phenyl]phenylmethylene}cyclohexa-2,5-dienylidene )dimethylamine, ethanedioic acid, ethanedioic acid, ethanedioic acid', '[4-[[4-(dimethylamino)phenyl]-phenylmethylidene]cyclohexa-2,5-dien-1-ylidene]-dimethylazanium;2-hydroxy-2-oxoacetate;oxalic acid', 'Methanaminium, N-(4-((4-(dimethylamino)phenyl)phenylmethylene)-2,5-cyclohexadien-1-ylidene)-N-methyl-, ethanedioate (2:2:1)']</t>
  </si>
  <si>
    <t>Compound(2724411)</t>
  </si>
  <si>
    <t>C52H54N4O12</t>
  </si>
  <si>
    <t>maleic hydrazide</t>
  </si>
  <si>
    <t>1,2-dihydropyridazine-3,6-dione</t>
  </si>
  <si>
    <t>['MALEIC HYDRAZIDE', 'Pyridazine-3,6-diol', '123-33-1', '3,6-Dihydroxypyridazine', '1,2-Dihydropyridazine-3,6-dione', '3,6-Pyridazinediol', '3,6-Pyridazinedione, 1,2-dihydro-', 'Maleic acid hydrazide', 'Stuntman', 'Vondalhyde', '1,2-Dihydro-3,6-pyridazinedione', 'Antergon', 'Antyrost', 'Malazide', 'Regulox', 'Vondrax', 'Malzid', 'Retard', 'Maleic hydrazine', 'Sprout/off', 'De-sprout', 'Sprout-Stop', 'Sucker-Stuff', 'Super-de-sprout', 'De-cut', 'Maintain 3', 'Slo-Gro', 'Super sucker-stuff', 'Burtolin', 'Regulox 36', 'Mazide', 'Fazor', 'N,N-Maleoylhydrazine', 'Royal mh-30', '3,6-Dioxopyridazine', 'Super de-sprout', 'Royal slo-gro', 'Drexel-super P', 'Regulox W', 'Super sprout stop', 'Fair PS', 'MG-T', '6-Hydroxy-3(2H)-pyridazinone', 'Malein 30', 'Fair-2', 'Regulox 50 W', 'Unriprim', 'Super sucker-stuff hc', '3(2H)-Pyridazinone, 6-hydroxy-', 'Fair plus', 'Fair 30', 'Hydrazide maleique', 'Maleinsaeurehydrazid', 'Rcra waste number U148', 'MH 36 BAYER', 'MH 30', 'MH-40', 'Maleic acid cyclic hydrazide', 'Caswell No. 352', '6-Hydroxy-2H-pyridazin-3-one', 'ENT 18,870', '1,2-Dihydro-3,6-pyradizinedione', 'Hydrazid kyseliny maleinove', 'UNII-TQ7L3FCV66', 'Maleic hydrazide [BSI:ISO]', 'Maleinsaeurehydrazid [German]', 'CCRIS 1879', 'CHEBI:81771', '1,2,3,6-Tetrahydro-3,6-dioxopyridazine', 'HSDB 1162', 'Hydrazide maleique [ISO-French]', 'Maleic acid, hydrazide', 'Hydrazid kyseliny maleinove [Czech]', 'EINECS 204-619-9', 'NSC 13892', 'RCRA waste no. U148', 'EPA Pesticide Chemical Code 051501', 'TQ7L3FCV66', 'Maleic acid, cyclic hydrazide', 'AI3-18870', '116595-47-2', 'KMH', 'MAH', 'CHEMBL1489913', '1,6-pyridazinedione', '1,6-dione', '3, 1,2-dihydro-', 'WLN: T6VMMVJ', 'DSSTox_CID_792', 'DSSTox_RID_75792', 'DSSTox_GSID_20792', '129016-38-2', '6-Hydroxy-2H-pyridazin-2-one', '1,3,6-Tetrahydro-3,6-dioxopyridazine', 'CAS-123-33-1', 'maleichydrazide', 'maleinhydrazid', 'Malepin', 'Sorbatran', 'Yadi', 'Fair-plus', 'Maleinsaeurehydrazin', 'Maleic hydrazide acid', 'Maleic cyclic hydrazide', 'PubChem15702', 'ACMC-209wiy', '1,2,3,6-tetrahydropyridazine-3,6-dione', 'cis-Butenedioic hydrazide', 'SCHEMBL55071', 'maleic hydrazidem polymorph 3', 'cis-Butenedioic acid hydrazide', '6-hydroxypyridazin-3(2h)-one', 'DTXSID9020792', 'CTK0C5046', 'NSC8823', 'ALBB-020885', 'KS-00000IQ4', 'NSC-8823', 'NSC13892', 'NSC48832', 'STR03411', 'Tox21_201829', 'Tox21_300662', 'ANW-46424', 'BBL023019', 'BDBM50021573', 'LS-677', 'MFCD00006665', 'NSC-13892', 'NSC-48832', 'SBB004322', 'STK357922', 'ZINC18181713', 'AKOS000121025', 'AKOS000275072', 'AKOS017269103', 'AM81137', 'KS-5282', 'MCULE-5100178532', 'Maleic hydrazide, ReagentPlus(R), 99%', 'NCGC00091173-01', 'NCGC00091173-02', 'NCGC00091173-03', 'NCGC00091173-04', 'NCGC00254570-01', 'NCGC00259378-01', 'AC-11591', 'AK-86202', 'HY-59354', 'M629', 'SC-47136', 'AB0015312', 'DB-028316', 'CS-0007730', 'FT-0628116', 'M0015', 'NS00005908', 'ST50807893', 'T7360', '23D331', 'C18474', 'M-6796', 'Maleic hydrazide, Vetec(TM) reagent grade, 98%', 'AC-907/30002020', 'Q677933', 'Maleic hydrazide, PESTANAL(R), analytical standard', 'W-108414', 'F1918-0075', '1,2-dihydropyridazine-3,6-dione; 6-hydroxy-3-pyridazinone', '1,2-dihydroxypyridazine; 6-hydroxy-3-pyridazinone polymorph 3']</t>
  </si>
  <si>
    <t>Compound(21954)</t>
  </si>
  <si>
    <t>C4H4N2O2</t>
  </si>
  <si>
    <t>maleic acid</t>
  </si>
  <si>
    <t>(Z)-but-2-enedioic acid</t>
  </si>
  <si>
    <t>['maleic acid', 'cis-butenedioic acid', '110-16-7', 'Toxilic acid', 'Maleinic acid', 'Malenic acid', '(2Z)-but-2-enedioic acid', '2-Butenedioic acid (Z)-', 'maleate', '2-Butenedioic acid (2Z)-', 'cis-1,2-Ethylenedicarboxylic acid', 'Butenedioic acid, (Z)-', '(Z)-Butenedioic acid', '2-Butenedioic acid, (Z)-', 'Kyselina maleinova', '(Z)-2-Butenedioic acid', '1,2-Ethylenedicarboxylic acid, (Z)', 'CCRIS 1115', 'HSDB 666', 'cis-2-Butenedioic acid', 'Kyselina maleinova [Czech]', 'UNII-91XW058U2C', 'Maleic acid, 99%', 'AI3-01002', 'EINECS 203-742-5', 'NA2215', 'NSC 25940', '(Z)-but-2-enedioic acid', 'BRN 0605762', 'CHEBI:18300', '91XW058U2C', 'Maleic acid, potassium salt', 'Maleic acid [NA2215] [Corrosive]', 'MFCD00063177', 'DSSTox_CID_1517', '(2Z)but-2-enedioic acid', 'DSSTox_RID_76194', 'DSSTox_GSID_21517', 'Malezid CM', 'H2male', 'CAS-110-16-7', 'cis-but-2-enedioic acid', 'Maleic acid [NF]', 'Scotchbond Multipurpose Etchant', 'C4H4O4', 'maleic-acid', '1ahy', '1tok', 'NCGC00091192-02', 'MAE', 'bis-hydrogen maleate', '2-Butenedioic acid (2Z)-, monocastor oil alkyl esters', 'Maleic acid (8CI)', 'PubChem21784', 'Maleic anhydride, mono(castor oil) ester', 'Butenedioic acid,(Z)-', '10237-70-4', 'SCHEMBL613', 'bmse000212', 'EC 203-742-5', 'WLN: QV1U1VQ-C', '4-02-00-02199 (Beilstein Handbook Reference)', '68307-91-5', 'MLS002153468', '2-butenedioic acid, (2Z)-', '(2Z)-2-Butenedioic acid #', 'CHEMBL539648', 'GTPL9630', 'DTXSID8021517', 'HMS2236F09', 'Maleic acid, for synthesis, 99%', '2-Butenedioic acid (Z)- (9CI)', 'HY-Y0367', 'NSC25940', 'STR03481', 'Tox21_113105', 'Tox21_202193', 'Tox21_303045', '1,2-Ethylenedicarboxylic acid, cis-', '2-Butenedioic acid (2Z)- (9CI)', 'LS-499', 'NSC-25940', 'SBB040567', 'ZINC12358683', 'AKOS000268822', 'Tox21_113105_1', 'DB04299', 'Maleic acid [NA2215]  [Corrosive]', 'NCGC00090970-01', 'NCGC00090970-02', 'NCGC00090970-03', 'NCGC00257215-01', 'NCGC00259742-01', '26099-09-2', 'Maleic acid, tested according to Ph.Eur.', 'SMR001230824', '102-EP2269610A2', '102-EP2269983A1', '102-EP2269984A1', '102-EP2269988A2', '102-EP2269989A1', '102-EP2269990A1', '102-EP2270002A1', '102-EP2270003A1', '102-EP2270006A1', '102-EP2270008A1', '102-EP2270011A1', '102-EP2270505A1', '102-EP2272537A2', '102-EP2272822A1', '102-EP2272827A1', '102-EP2272834A1', '102-EP2272849A1', '102-EP2275401A1', '102-EP2275411A2', '102-EP2275412A1', '102-EP2275413A1', '102-EP2275414A1', '102-EP2277507A1', '102-EP2277848A1', '102-EP2277858A1', '102-EP2277866A1', '102-EP2277867A2', '102-EP2280003A2', '102-EP2280006A1', '102-EP2280009A1', '102-EP2280010A2', '102-EP2280012A2', '102-EP2281559A1', '102-EP2281563A1', '102-EP2281819A1', '102-EP2281823A2', '102-EP2284149A1', '102-EP2284160A1', '102-EP2284169A1', '102-EP2284178A2', '102-EP2284179A2', '102-EP2286795A1', '102-EP2287147A2', '102-EP2287153A1', '102-EP2287155A1', '102-EP2287156A1', '102-EP2287160A1', '102-EP2287161A1', '102-EP2287162A1', '102-EP2289510A1', '102-EP2289518A1', '102-EP2289879A1', '102-EP2289883A1', '102-EP2289890A1', '102-EP2289894A2', '102-EP2292227A2', '102-EP2292228A1', '102-EP2292231A1', '102-EP2292234A1', '102-EP2292592A1', '102-EP2292611A1', '102-EP2292615A1', '102-EP2292617A1', '102-EP2292619A1', '102-EP2295401A2', '102-EP2295402A2', '102-EP2295406A1', '102-EP2295415A1', '102-EP2295416A2', '102-EP2295418A1', '102-EP2295424A1', '102-EP2295426A1', '102-EP2295427A1', '102-EP2295433A2', '102-EP2295437A1', '102-EP2298731A1', '102-EP2298734A2', '102-EP2298735A1', '102-EP2298746A1', '102-EP2298747A1', '102-EP2298748A2', '102-EP2298755A1', '102-EP2298757A2', '102-EP2298758A1', '102-EP2298759A1', '102-EP2298767A1', '102-EP2298772A1', '102-EP2298775A1', '102-EP2298779A1', '102-EP2301544A1', '102-EP2301922A1', '102-EP2301923A1', '102-EP2301924A1', '102-EP2301928A1', '102-EP2301929A1', '102-EP2301931A1', '102-EP2301933A1', '102-EP2301935A1', '102-EP2301937A1', '102-EP2301940A1', '102-EP2302003A1', '102-EP2305219A1', '102-EP2305248A1', '102-EP2305257A1', '102-EP2305633A1', '102-EP2305636A1', '102-EP2305641A1', '102-EP2305646A1', '102-EP2305651A1', '102-EP2305653A1', '102-EP2305655A2', '102-EP2305657A2', '102-EP2305659A1', '102-EP2305663A1', '102-EP2305664A1', '102-EP2305669A1', '102-EP2305672A1', '102-EP2305673A1', '102-EP2305674A1', '102-EP2305675A1', '102-EP2305679A1', '102-EP2305680A2', '102-EP2308839A1', '102-EP2308849A1', '102-EP2308850A1', '102-EP2308851A1', '102-EP2308854A1', '102-EP2308857A1', '102-EP2308861A1', '102-EP2308869A1', '102-EP2308871A1', '102-EP2308872A1', '102-EP2308873A1', '102-EP2308875A1', '102-EP2309584A1', '102-EP2311801A1', '102-EP2311802A1', '102-EP2311803A1', '102-EP2311804A2', '102-EP2311807A1', '102-EP2311808A1', '102-EP2311809A1', '102-EP2311810A1', '102-EP2311811A1', '102-EP2311818A1', '102-EP2311824A1', '102-EP2311827A1', '102-EP2311829A1', '102-EP2311831A1', '102-EP2311834A1', '102-EP2311837A1', '102-EP2311842A2', '102-EP2311850A1', '102-EP2314295A1', '102-EP2314574A1', '102-EP2314575A1', '102-EP2314576A1', '102-EP2314586A1', '102-EP2314587A1', '102-EP2314588A1', '102-EP2314593A1', '102-EP2316457A1', '102-EP2316458A1', '102-EP2316459A1', '102-EP2316825A1', '102-EP2316826A1', '102-EP2316827A1', '102-EP2316828A1', '102-EP2316829A1', '102-EP2316831A1', '102-EP2316834A1', '102-EP2316835A1', '102-EP2316836A1', '102-EP2371805A1', '102-EP2371814A1', '102-EP2372017A1', '102-EP2374454A1', '102-EP2374780A1', '102-EP2374781A1', '102-EP2380874A2', 'CS-0015079', 'M0006', 'Maleic acid, SAJ special grade, &gt;=99.0%', 'Maleic acid, Vetec(TM) reagent grade, 98%', 'NS00008966', 'ST50213949', '1, (Z)', 'C01384', 'Q42038', 'Maleic acid, ReagentPlus(R), &gt;=99.0% (HPLC)', 'J-521667', 'J-610085', 'F2191-0240', '3B685B85-C1F3-4E32-9DBC-3854162A8DE1', 'Maleic acid, European Pharmacopoeia (EP) Reference Standard', 'Maleic acid, Standard for quantitative NMR, TraceCERT(R)', 'Polycarboxylates copolymer of acrylic/maleic acid;Maleic acid', 'Maleic acid, United States Pharmacopeia (USP) Reference Standard', 'Maleic acid, Pharmaceutical Secondary Standard; Certified Reference Material']</t>
  </si>
  <si>
    <t>Compound(444266)</t>
  </si>
  <si>
    <t>C4H4O4</t>
  </si>
  <si>
    <t>malononitrile</t>
  </si>
  <si>
    <t>propanedinitrile</t>
  </si>
  <si>
    <t>['MALONONITRILE', 'Propanedinitrile', '109-77-3', 'Dicyanomethane', 'Malonic dinitrile', 'Cyanoacetonitrile', 'Methylene cyanide', 'Malonodinitrile', 'Dicyanmethane', 'Malonic acid dinitrile', 'Methylenedinitrile', 'Methane, dicyano-', 'Methylenecyanide', 'Propanedinitrite', 'Nitril kyseliny malonove', 'Dwumetylosulfotlenku', 'USAF A-4600', 'RCRA waste number U149', 'USAF KF-19', 'UNII-EBL1KKS93J', 'Malonsaeuredinitril', 'NSC 3769', 'Dwumetylosulfotlenku [Polish]', 'CCRIS 4663', 'HSDB 2523', 'Nitril kyseliny malonove [Czech]', 'Nitrile kyseliny malonove [Czech]', 'EINECS 203-703-2', 'UN2647', 'EBL1KKS93J', 'RCRA waste no. U149', 'BRN 0773697', 'AI3-24285', 'CHEBI:33186', 'MFCD00001883', 'Malononitrile, 99%', 'Nitrile kyseliny malonove', 'Malononitril', 'Methylene Dicyanide', '1,1-dicyanomethane', 'ACMC-1BSLD', 'Malononitrile (nominals)', 'Malononitrile, &gt;=99%', 'DSSTox_CID_1907', 'WLN: NC1CN', 'EC 203-703-2', 'DSSTox_RID_76396', 'DSSTox_GSID_21907', 'malononitrile;Propanedinitrile', '4-02-00-01892 (Beilstein Handbook Reference)', 'KSC175I4N', 'CH2(CN)2', 'CHEMBL3187514', 'DTXSID6021907', 'CTK0H5446', 'KS-00000VOX', 'NSC3769', 'NSC-3769', 'ZINC1672844', 'Malononitrile [UN2647] [Poison]', 'Tox21_301196', 'ANW-16089', 'BBL019511', 'LS-487', 'STL168026', 'Malononitrile [UN2647]  [Poison]', 'AKOS000119843', 'GS-6711', 'MCULE-6287283578', 'UN 2647', 'malonic acid dinitrile, propanedinitrile', 'NCGC00248329-01', 'NCGC00257529-01', 'BP-11270', 'CAS-109-77-3', 'I844', 'SC-19097', 'FT-0628131', 'FT-0689819', 'H2392', 'M0033', 'NS00004975', '27264-EP2270015A1', '27264-EP2305682A1', '27264-EP2308879A1', '27264-EP2314575A1', '27264-EP2371812A1', '27264-EP2380568A1', 'Q419572', 'J-002327', 'J-521671', 'F1908-0116', 'Z1262254385', 'Malononitrile, Lonza quality, &gt;=99.0% (calculated, GC, KF)']</t>
  </si>
  <si>
    <t>Compound(8010)</t>
  </si>
  <si>
    <t>C3H2N2</t>
  </si>
  <si>
    <t>maltodextrin</t>
  </si>
  <si>
    <t>diethyl 2-dimethoxyphosphinothioylsulfanylbutanedioate</t>
  </si>
  <si>
    <t>['malathion', 'Carbophos', '121-75-5', 'Carbofos', 'Mercaptothion', 'Karbofos', 'Phosphothion', 'Carbetox', 'Ethiolacar', 'Maldison', 'Prioderm', 'Sadophos', 'Cythion', 'Oleophosphothion', 'Chemathion', 'Sadofos', 'Carbetovur', 'Fosfothion', 'Fosfotion', 'Malagran', 'Malakill', 'Malaphos', 'Malaspray', 'Malathon', 'Moscarda', 'Cimexan', 'Fyfanon', 'Malafor', 'Malamar', 'Malatol', 'Malatox', 'Malphos', 'Sumitox', 'Taskil', 'Etiol', 'Ovide', 'Emmatos extra', 'Ortho Malathion', 'Siptox I', 'Extermathion', 'Forthion', 'Hilthion', 'Malacide', 'Malation', 'Mercaptotion', 'Kypfos', 'Malasol', 'Malathion E50', 'Malmed', 'Carbethoxy malathion', 'Malamar 50', 'Kop-thion', 'Compound 4049', 'Insecticide no. 4049', 'Detmol MA', 'Malathione', 'Emmatos', 'Malataf', 'Malathyl', 'Fosfotion 550', 'Malathion LV Concentrate', 'Calmathion', 'Camathion', 'Celthion', 'Cleensheen', 'Dorthion', 'Malathiazol', 'Zithiol', 'Flair', 'Staeubol-Puder', 'American cyanamid 4,049', 'Kill-A-Mite', 'Mercaptosuccinic acid diethyl ester', 'Latka 4049', 'Malation [Polish]', 'SF 60', 'Mercaptotion [Spanish]', 'Experimental insecticide 4049', 'Malathion [USP]', 'Latka 4049 [Czech]', 'TM-4049', 'NCI-C00215', 'AC 26691', 'EL 4049', 'Four thousand forty-nine', 'O,O-Dimethyldithiophosphate diethylmercaptosuccinate', 'diethyl 2-dimethoxyphosphinothioylsulfanylbutanedioate', 'Diethyl (dimethoxyphosphinothioylthio)succinate', 'IFO 13140', 'Malathion (USP)', 'CCRIS 368', 'ENT 17,034', 'Dicarboethoxyethyl O,O-dimethyl phosphorodithioate', 'HSDB 665', 'C10H19O6PS2', 'O,O-Dimethyl S-(1,2-dicarbethoxyethyl) dithiophosphate', 'malathion ,s-(1,2-dicarbethoxyl)', 'NSC 6524', 'EINECS 204-497-7', '8059HC', 'MLT', 'TAK', 'BRN 1804525', 'S-(1,2-Dicarbethoxyethyl) O,O-dimethyldithiophosphate', 'AI3-17034', 'Succinic acid, mercapto-, diethyl ester, S-ester with O,O-dimethyl phosphorodithioate', 'O,O-Dimethyl S-(1,2-dicarbethoxyethyl)phosphorodithioate', 'S-1,2-Bis(ethoxycarbonyl)ethyl-O,O-dimethyl thiophosphate', 'Diethyl(dimethoxythiophosphorylthio)succinate', 'O,O-Dimethyl S-1,2-di(ethoxycarbamyl)ethyl phosphorodithioate', 'Diethyl mercaptosuccinate, O,O-dimethyl dithiophosphate, S-ester', 'S-(1,2-Di(ethoxycarbonyl)ethyl) dimethyl phosphorothiolothionate', 'O,O-Dimethyl-S-1,2-dikarbetoxylethylditiofosfat', 'Butanedioic acid, ((dimethoxyphosphinothioyl)thio)-, diethyl ester', 'Butanedioic acid, [(dimethoxyphosphinothioyl)thio]-, diethyl ester', 'NSC-6524', 'Diethyl ((dimethoxyphosphinothioyl)thio)butanedioate', 'diethyl 2-[(dimethoxyphosphorothioyl)thio]succinate', 'Phosphorodithioic acid, O,O-dimethyl ester, S-ester with diethyl mercaptosuccinate', 'O,O-Dimethyl-S-1,2-dikarbetoxylethylditiofosfat [Czech]', 'O,O-Dwumetylo-S-1,2-bis(karboetoksyetylo)-dwutiofosforan', 'S-(1,2-Bis(carbethoxy)ethyl) O,O-dimethyl dithiophosphate', 'S-(1,2-Dicarbethoxyethyl) O,O-dimethylphosphorodithioate', 'NCGC00091902-05', 'NCGC00091902-08', 'Malathiozoo', '((Dimethoxyphosphinothioyl)thio)butanedioic acid diethyl ester', 'Carbafos', 'Malaphele', 'Organoderm', 'S-(1,2-Bis(etossi-carbonil)-etil)-O,O-dimetil-ditiofosfato', 'Maltox', 'Vetiol', 'O,O-Dimethyl S-(1,2-bis(ethoxycarbonyl)ethyl) dithiophosphate', 'S-(1,2-Bis(ethoxy-carbonyl)-ethyl)-O,O-dimethyl-dithiofosfaat', 'Vegfru malatox', 'Dithiophosphate de O,O-dimethyle et de S-(1,2-dicarboethoxyethyle)', 'DSSTox_CID_791', 'O,O-Dimethyl-S-1,2-(dicarbaethoxyaethyl)-dithiophosphat [German]', 'O,O-Dwumetylo-S-1,2-bis(karboetoksyetylo)-dwutiofosforan [Polish]', 'S-(1,2-Bis(ethoxycarbonyl)ethyl) O,O-dimethyl phosphorodithioate', 'Diethyl mercaptosuccinate S-ester with O,O-dimethylphosphorodithioate', 'S-(1,2-Bis(ethoxy-carbonyl)-ethyl)-O,O-dimethyl-dithiofosfaat [Dutch]', 'S-(1,2-Bis(etossi-carbonil)-etil)-O,O-dimetil-ditiofosfato [Italian]', 'Derbac-M', 'Lice Rid', 'Dithiophosphate de O,O-dimethyle et de S-(1,2-dicarboethoxyethyle) [French]', 'S-(1,2-Bis(aethoxy-carbonyl)-aethyl)-O,O-dimethyl-dithiophosphat [German]', 'Hilthion 25wdp', 'Maltox MLT', 'Diethyl 2-(dimethoxyphosphinothioylthio)succinate', 'DSSTox_RID_75791', 'DSSTox_GSID_20791', 'Sadofos 30', 'Diethyl mercaptosuccinate, O,O-dimethyl thiophosphate', 'Diethyl mercaptosuccinate, O,O-dimethyl phosphorodithioate', 'Kop-Thionkypfosmalacide', 'Fog 3', '[(dimethoxyphosphinothioyl)thio]butanedioic acid diethyl ester', '1,2-Di(ethoxycarbonyl)ethyl O,O-dimethyl phosphorodithioate', 'Diethyl mercaptosuccinic acid O,O-dimethyl phosphorodithioate', 'Malathyne', '[(Dimethoxyphosphinothioyl)thio]butanedioic acid, diethyl ester', 'S-(1,O-dimethyl phosphorodithioate', 'S-[1,O-dimethyl phosphorodithioate', 'detm ol ma', 'Butanedioic acid, ((dimethoxyphosphinothioyl)-thio)-, diethyl ester, (+-)-', 'Diethyl (+-)-mercaptosuccinate, S-ester with O,O-dimethyl phosphorodithioate', 'Diethyl mercaptosuccinic acid, S-ester of O,O-dimethyl phosphorodithioate', 'Succinic acid, mercapto-, diethyl ester, S-ester with O,O-dimethylphosphorodithioate', 'OMS 1', 'CAS-121-75-5', 'Ovide (TN)', 'Malathion [USP:BAN]', 'diethyl [(dimethoxyphosphinothioyl)thio]butanedioate', 'diethyl 2-((dimethoxyphosphorothioyl)thio)succinate', 'S-[1,2-Bis(carbethoxy)ethyl] O,O-dimethyl dithiophosphate', 'Gammaxine', 'Radotion', 'S-[1,2-Bis(ethoxycarbonyl)ethyl] O,O-dimethyl phosphorodithioate', 'Malathion ULV', 'Suleo M', 'Malathion E.C.', 'Malathion (*)', 'Spectrum_001795', 'ACMC-20n0ay', 'SpecPlus_000386', 'Spectrum2_001228', 'Spectrum3_000813', 'Spectrum4_000653', 'Spectrum5_001936', 'SCHEMBL27358', 'BSPBio_002305', 'KBioGR_001025', 'KBioSS_002288', 'S-(1,O-dimetil-ditiofosfato', 'S-1,O-dimethyl thiophosphate', 'DivK1c_006482', 'Malathion, analytical standard', 'SPBio_001076', 'S-(1,O-dimethyl-dithiofosfaat', '1,O-dimethyl phosphordithioates', 'CHEBI:6651', 'O,2-dikarbetoxylethylditiofosfat', 'S-(1,O-dimethyl-dithiophasphat', 'Butanedioic acid, [(dimethoxyphosphinothioyl)thio]-, diethyl ester, (R)-', 'CHEMBL1200468', 'DTXSID4020791', 'O,O-Dimethyl-S-1,2-(dicarbaethoxyaethyl)-dithiophosphat', 'BDBM85372', 'CTK8E8095', 'JXSJBGJIGXNWCI-UHFFFAOYSA-', 'KBio1_001426', 'KBio2_002286', 'KBio2_004854', 'KBio2_007422', 'KBio3_001805', 'S-[1,O-dimethyl dithiophosphate', 'NSC6524', 'CHEBI:141474', 'HMS3264A04', 'Pharmakon1600-00330021', '141318-03-8', 'HY-B0943', 'KS-00001F9I', 'S-(1,2-Bis(aethoxy-carbonyl)-aethyl)-O,O-dimethyl-dithiophosphat', 'Tox21_111175', 'Tox21_400048', 'CCG-39152', 'ENT-17034', 'LS-654', 'NSC755848', 'AKOS015897264', 'Malathion 1000 microg/mL in Toluene', 'O,2-dicarbethoxyethyl) dithiophosphate', 'Tox21_111175_1', 'CS-4416', 'DB00772', 'Malathion 10 microg/mL in Cyclohexane', 'NSC-755848', 'Malathion 100 microg/mL in Cyclohexane', 'NCGC00091902-01', 'NCGC00091902-02', 'NCGC00091902-03', 'NCGC00091902-06', 'NCGC00091902-07', 'NCGC00091902-09', 'NCGC00091902-11', 'O,2-dicarbethoxyethyl) phosphorodithioate', 'AS-13786', 'CAS_121-75-5', 'CC-30125', 'O,2-dicarbethoxyethyl) thiothionophosphate', 'R319', 'SC-80447', 'DB-041629', 'Dithiophosphate de O,2-dicarboethoxyethyle)', 'Dicarbethoxyethyl-O,O-dimethyldithiophosphate', 'FT-0701077', 'Malathion, vial of 1 g, analytical standard', 'NS00001740', 'O,2-di(ethoxycarbamyl)ethyl phosphorothioate', 'O,O-Dimethyl S-1,2-di(ethoxycarbamyl)ethyl', '0,2-bis(ethoxycarbonyl)ethyl] dithiophosphate', 'Malathion, PESTANAL(R), analytical standard', 'C07497', 'D00534', 'J10314', 'K-1631', 'WLN: 2OV1YVO2 &amp; SPS &amp; O1 &amp; O1', 'AB00053015_02', 'diethyl 2-(dimethoxyphosphorothioylthio)succinate', 'O,O-Dimethyl S-(1,2-bis(ethoxycarbonyl)ethyl)', '121M755', 'C-20018', 'Diethyl (dimethoxyphosphinothioylthio) butanedioate', 'Diethyl mercaptosuccinate,O-dimethyl thiophosphate', 'L001138', 'Q423005', 'SR-01000942243', 'diethyl [(dimethox yphosphinothioyl)thio]butanedioate', 'Diethyl [(dimethoxyphosphinothoiyl)thio]butanedioate', 'Dimethyl dithiophosphate of diethyl mercaptosuccinate', 'J-004630', 'O,O-Dimethyl dithiophosphate diethylmercaptosuccinate', 'O,O-dimethyldithiophosphate diethyl mercaptosuccinate', 'SR-01000942243-1', '1,2-D.(ethoxycarbonyl)dimethyl phosphorothiolothionate', 'Diethyl mercaptosuccinate,O-dimethyl phosphorodithioate', 'Malathion, certified reference material, TraceCERT(R)', 'Dimeth yl phosphorodithioate of diethyl mercaptosuccinate', 'Dimethyl phosphorodithioate of diethyl mercaptosuccinate', 'O,O-Dimethyl dithiophosphate of diethyl mercaptosuccinate', 'O,O-dimethyl S-( 1,2-dicarbethoxyethyl) dithiophosphate', '1,2-Di(ethoxycarbonyl)ethyl O,O-dimethyl phosphordithioate', 'diethyl 2-[(dimethoxyphosphorothioyl)sulfanyl]butanedioate', 'Diethyl 2-[(dimethoxyphosphorothioyl)sulfanyl]succinate #', 'Diethyl mercaptosuccinate, O,O-dimethyl phosphoro dithioate', 'Diethyl mercaptosuccinic acid,O-dimethyl phosphorodithioate', 'Malathion, European Pharmacopoeia (EP) Reference Standard', 'O,O-Dimethyl S-(1,2-dicarbethoxyethyl) phosphorodithioate', 'O,O-Dimethyl S-(1,2-dicarbethoxyethyl) thiothionophosphate', 'O,O-Dimethyl S-1,2-di(ethoxycarbamyl)ethyl phosphorothioate', 'O,O-dimethyl-S-(1,2-dicarbethoxyethyl) thiothionophosphate', 'S-(1,2-bis(carbethoxy)ethyl) O,O-dimethyl d ithiophosphate', 'S-(1,2-Dicarbethoxyethyl) O,O-dimethyl phosphorodithioate', 'S-1,2-bis(ethoxycarbonyl)ethyl O,O-dimethyl dithiophosphate', 'Diethyl mercaptosuccinate,O-dimethyl dithiophosphate, S-ester', 'Malathion, United States Pharmacopeia (USP) Reference Standard', 'Mercaptosuccinic acid diethyl ester,O-dimethyl phosphorothioate', 'O,O-dimethyl S-[1,2-bis(ethoxy carbonyl)ethyl]dithiophosphate', 'O,O-dimethyl S-1,2-di(ethoxycarbonyl)ethyl phosphorodithioate', 'O,O-dimethyl-S-(1,2-bis(ethoxycarbonyl)eth yl)dithiophosphate', 'O,O-dimethyl-S-(1,2-bis(ethoxycarbonyl)ethyl)dithiophosphate', 'S-(1,2-di(ethoxycarbonyl)ethyl) dimethylphosphorothiolothionate', 'O,O-dimethyl phosphorodithioate ester of diethyl mercaptosuccinate', 'o,o-Dimethyl-S-(1,2-di(ethoxycarbonyl)ethyl) phosphorodithioate', 'S-(1,2-Bis(aethoxy-carbonyl)-aethyl)-O,O-dimethyl-dithiophasphat', '[(DIMETHOXYPHOPHINOTHIOYL)THIO]BUTANEDIOIC ACID, DIETHYL ESTER', 'Diethyl mercaptosuccinate S-ester with O,O-dimethyl phosphorodithioate', 'Succinic acid, diethyl ester, S-ester with 0,0-dimethyl phosphorodithioate', 'Succinic acid, diethyl ester, S-ester with O,O-dimethyl phosphorodithioate', '1,4-diethyl 2-{[dimethoxy(sulfanylidene)-$l^{5}-phosphanyl]sulfanyl}butanedioate', 'Malathion solution, 100 mug/mL in cyclohexane, PESTANAL(R), analytical standard', 'mercaptosuccinic acid diethyl ester S-est er with O,O-dimethyl phosphorothioate', 'mercaptosuccinic acid diethyl ester S-ester with O,O-dimethyl phosphorothioate', 'Mercaptosuccinic acid diethyl ester, S-ester with O,O-dimethyl phosphorothioate', 'Phosphorodithioic acid,0-dimethyl ester, S-ester with diethyl mercaptosuccinate']</t>
  </si>
  <si>
    <t>Compound(4004)</t>
  </si>
  <si>
    <t>C10H19O6PS2</t>
  </si>
  <si>
    <t>manganese(2+);N-[2-(sulfidocarbothioylamino)ethyl]carbamodithioate</t>
  </si>
  <si>
    <t>['MANEB', '12427-38-2', 'Manganese ethylenebisthiocarbamate', 'manganese(2+) ethane-1,2-diylbis(dithiocarbamate)', 'Rhodianebe', 'Farmaneb', 'Manebgan', 'Manesan', 'Manzate', 'Sopranebe', 'Tubothane', 'Maneba', 'Manex', 'Nereb', 'Nespor', 'AAmangan', 'Agrox flowable', 'Griffin manex', 'Unicrop maneb', 'Chem neb', 'Chloroble M', 'Curzate M', 'Lonocol M', 'Manzate D', 'Polyram M', 'M-Diphar', 'Akzo chemie maneb', 'Granol NM', 'Maneb-R', 'Manebe [French]', 'Tersan LSR', 'Trimangol 80', 'Luxan maneb 80', 'MnEBD', 'Vancide maneb 80', 'Plantifog 160M', 'Remasan chloroble M', 'Vancide Maneb 90', 'Agrox N-M', 'Maneb ZL4', 'Kypman 80', 'Manebe 80', 'Dithane M 22', 'Maneb 80', 'Caswell No. 539', 'Maneb [BSI:ISO]', 'F 10 (Pesticide)', 'Manebe [ISO-French]', 'Manzate maneb fungicide', 'Dithane M 22 special', 'BASF-maneb spritzpulver', 'Manganese ethylene-1,2-bisdithiocarbamate', 'UNII-K221E12G7T', 'CCRIS 1107', 'HSDB 4063', 'Ethylenebisdithiocarbamate manganese', 'EINECS 235-654-8', 'Manganeseethylene-bis-dithiocarbamate', 'Manganous ethylenebis(dithiocarbamate)', 'UN2210', 'UN2968', 'ENT 14,875', 'EPA Pesticide Chemical Code 014505', 'Ethylenebis(dithiocarbamato), manganese', 'CR 3029', 'Manganese, ((1,2-ethanediylbis(carbamodithioato))(2-))-', 'AI3-14875', 'Manganese(II) ethylene di(dithiocarbamate)', 'Manganese, (ethylenebis(dithiocarbamato))-', '8018-01-7', 'DSSTox_CID_794', '1,2-Ethylenediylbis(carbamodithioato)manganese', 'Ethylenebis(dithiocarbamic acid) manganous salt', 'DSSTox_RID_75793', 'DSSTox_GSID_20794', 'Manganese ethylenebis(dithiocarbamate) (polymeric)', 'SCHEMBL20721', '1,2-Ethanediylbis(carbamodithioato)(2-)-manganese', 'Carbamic acid, ethylenebis(dithio-, manganese salt', 'Maneb or maneb preparations, with not &lt;60% maneb', '1,2-Ethanediylbismaneb, manganese(2+) salt (1:1)', "N,N'-Ethylene bis(dithiocarbamate manganeux) [French]", '1,2-Ethanediylbiscarbamodithioic acid, manganese complex', 'DTXSID9020794', 'Mangan(II)-(N,N-aethylen-bis(dithiocarbamat)) [German]', "N,N'-Etilen-bis(ditiocarbammato) di manganese [Italian]", "Mangaan(II)-(N,N'-ethyleen-bis(dithiocarbamaat)) [Dutch]", 'K221E12G7T', '1,2-Ethanediylbiscarbamodithioic acid, manganese(2+) salt (1:1)', 'Ethylenebis(dithiocarbamato)manganese', 'Tox21_300826', 'Carbamodithioic acid, 1,2-ethanediylbis-, manganese(2+) salt (1:1)', 'LS-7478', "Manganese, [[2-[(dithiocarboxy)amino]ethyl]carbamodithioato(2-)-.kappa.S,.kappa.S']-", 'NCGC00163729-03', 'NCGC00163729-04', 'NCGC00254730-01', 'Manganese ethylene-1,2-bis-dithiocarbamate', 'CAS-12427-38-2', 'DB-041771', 'manganese ethane-1,2-diyldicarbamodithioate', '88535-EP2298077A1', '88535-EP2301353A1', '88535-EP2305031A1', '88535-EP2305035A1', 'Manganese(2+) ethane-1,2-diyldicarbamodithioate', 'Manganese ethylene-1,2-bisdithiocarbamate, polymer', 'Q409156', '[ethane-1,2-diylbiscarbamodithioato(2-)-kappaS]manganese', 'Maneb or maneb preparations, stabilized against self-heating', 'UNII-YZV3TC1UNI component YKSNLCVSTHTHJA-UHFFFAOYSA-L', "[{2-[(sulfanylcarbothioyl)amino]ethyl}carbamodithioato(2-)-kappa(2)S,S']manganese", 'Maneb or maneb preparations with not &lt;60% maneb [UN2210] [Spontaneously combustible]', 'manganese(+2) cation: [2-(sulfidocarbothioylamino)ethylamino]methanedi thioate', "Manganese, ((2-((dithiocarboxy)amino)ethyl)carbamodithioato(2-)-kappaS,kappaS')-", '301-03-1', 'Maneb stabilized or Maneb preparations, stabilized against self-heating [UN2968] [Dangerous when wet]']</t>
  </si>
  <si>
    <t>Compound(3032581)</t>
  </si>
  <si>
    <t>C4H6MnN2S4</t>
  </si>
  <si>
    <t>zinc;manganese(2+);N-[2-(sulfidocarbothioylamino)ethyl]carbamodithioate</t>
  </si>
  <si>
    <t>['MANCOZEB', '8018-01-7', 'Manganese Zinc ethylenebis(dithiocarbamate)', 'C4H6MnN2S4', 'S326', 'Mancozeb, PESTANAL(R), analytical standard', '018M017', '((1,2-Ethanediylbis(carbamodithioato))(2-)) manganese mixture with (((1,2-ethanediylbis(carbamodithioato))(2-))zinc', '1,3-dithia-5,8-diaza-2?^{2}-manganacyclononane-4,9-dithione;1,3-dithia-5,8-diaza-2?^{2}-zincacyclononane-4,9-dithione']</t>
  </si>
  <si>
    <t>Compound(13307026)</t>
  </si>
  <si>
    <t>C8H12MnN4S8Zn</t>
  </si>
  <si>
    <t>2-(4-chlorophenyl)-N-[2-(3-methoxy-4-prop-2-ynoxyphenyl)ethyl]-2-prop-2-ynoxyacetamide</t>
  </si>
  <si>
    <t>['Mandipropamid', '374726-62-2', 'CHEBI:83617', 'Revus', 'MPD fungicide', 'Mandipropamid [ISO]', 'Mandipropamide', 'HSDB 7878', '2-(4-chlorophenyl)-N-[2-(3-methoxy-4-prop-2-ynoxyphenyl)ethyl]-2-prop-2-ynoxyacetamide', 'SCHEMBL22338', 'CHEMBL271907', 'DTXSID4058075', 'CTK8E6773', 'BCP25579', 'AKOS025295244', 'VA11231', 'ACM374726622', 'Mandipropamid 10 microg/mL in Cyclohexane', '496-EP2274983A1', '496-EP2275422A1', '496-EP2314583A1', 'Mandipropamid 100 microg/mL in Acetonitrile', 'NS00000495', 'C18522', '726M622', 'Q2057167', '2-(4-Chloro-phenyl)-N-[2-(3-methoxy-4-prop-2-ynyloxy-phenyl)-ethyl]-2-(prop-2-ynyloxy)-acetamide', '2-(4-chloro-phenyl)-N-[2-(3-methoxy-4-prop-2-ynyloxy-phenyl)-ethyl]-2-prop-2-ynyloxy-acetamide', '2-(4-Chloro-phenyl)-N-[2-(3-methoxy-4-prop-2-ynyloxy-phenyl)-ethyl]-2-prop-2-ynyloxyacetamide', '2-(4-Chlorophenyl)-N-(2-{3-methoxy-4-[(prop-2-yn-1-yl)oxy]phenyl}ethyl)-2-[(prop-2-yn-1-yl)oxy]acetamide', '2-(4-Chlorophenyl)-N-{2-[3-methoxy-4-(2-propyn-1-yloxy)phenyl]ethyl}-2-(2-propyn-1-yloxy)acetamide', '2-(4-chlorophenyl)-N-{2-[3-methoxy-4-(prop-2-yn-1-yloxy)phenyl]ethyl}-2-(prop-2-yn-1-yloxy)acetamide', 'Benzeneacetamide, 4-chloro-N-[2-[3-methoxy-4-(2-propyn-1-yloxy)phenyl]ethyl]-?-(2-propyn-1-yloxy)-;2-(4-chloro-phenyl)-N-[2-(3-methoxy-4-prop-2-ynyloxy-phenyl)-ethyl]-2-prop-2-ynyloxy-acetamide']</t>
  </si>
  <si>
    <t>Compound(11292824)</t>
  </si>
  <si>
    <t>C23H22ClNO4</t>
  </si>
  <si>
    <t>2-[2-[(2,5-dimethylphenoxy)methyl]phenyl]-2-methoxy-N-methylacetamide</t>
  </si>
  <si>
    <t>['Mandestrobin', '173662-97-0', '2-(2-(2,5-Dimethylphenoxymethyl)phenyl)-2-methoxy-N-methylacetamide', '2-[2-[(2,5-dimethylphenoxy)methyl]phenyl]-2-methoxy-N-methylacetamide', 'Mandestrobin [ISO]', '2-[2-(2,5-dimethylphenoxymethyl)phenyl]-2-methoxy-N-methylacetamide', '2-{2-[(2,5-dimethylphenoxy)methyl]phenyl}-2-methoxy-N-methylacetamide', 'SCHEMBL182597', 'CHEBI:83208', 'DTXSID20894968', '2-[2-[(2,5-dimethylphenoxy)methyl]phenyl]-2-methoxy-N-methyl-acetamide', 'AKOS034834139', 'Benzeneacetamide, 2-((2,5-dimethylphenoxy)methyl)-alpha-methoxy-N-methyl-', 'Q27156687', 'alpha-Methoxy-N-methyl-2-(2,5-dimethylphenoxymethyl)benzeneacetamide', '2-[2-(2,5-dimethylphenoxymethyl)phenyl]-2-methoxy-N-methylac etamide']</t>
  </si>
  <si>
    <t>Compound(10935908)</t>
  </si>
  <si>
    <t>C19H23NO3</t>
  </si>
  <si>
    <t>N,N-dimethylcarbamodithioate;manganese(2+)</t>
  </si>
  <si>
    <t>['Manam', 'Manganese dimethyldithiocarbamate', 'Tennam', 'Caswell No. 539B', 'Manganous dimethyldithiocarbamate', 'UNII-IT9169V230', "Bis(dimethyldithiocarbamato-S,S')manganese", 'Dimethyldithiocarbamic acid, manganese salt', 'EINECS 239-374-7', 'NSC 85511', '15339-36-3', 'RCRA waste no. P196', 'EPA Pesticide Chemical Code 034802', 'Manganous dimethyldithiocarbamate (ACN)', 'Manganese, bis(dimethyldithiocarbamato)-', "Manganese, bis(dimethylcarbamodithioato-S,S')-", 'Carbamodithioic acid, dimethyl-, manganese salt', 'Carbamic acid, dimethyldithio-, manganese(2+) salt', 'IT9169V230', 'Carbamodithioic acid, dimethyl-, manganese(2+) salt (VAN)', "Managanese, bis(dimethylcarbamodithioato-kappaS,kappaS')-, (T-4)-", 'SCHEMBL526936', "Manganese, bis(dimethylcarbamodithioato-S,S'), (T-4)- (9CI)", 'LS-89199', 'Bis(dimethylcarbamodithioic acid)manganese(II) salt', 'Q27280889', "Manganese, bis(dimethylcarbamodithioato-S,S'), (T-4)-", "Manganese, bis(dimethylcarbamodithioato-kappaS,kappaS')-, (T-4)-"]</t>
  </si>
  <si>
    <t>Compound(61792)</t>
  </si>
  <si>
    <t>C6H12MnN2S4</t>
  </si>
  <si>
    <t>N-methyl-3-(1-tetracyclo[6.6.2.02,7.09,14]hexadeca-2,4,6,9,11,13-hexaenyl)propan-1-amine</t>
  </si>
  <si>
    <t>['maprotiline', '10262-69-8', 'Maprotylina [Polish]', 'Maprotilin', 'Maprotylina', 'Maprotilinum [INN-Latin]', 'Maprotilina [INN-Spanish]', '276-Ba', 'UNII-2U1W68TROF', 'N-Methyl-9,10-ethanoanthracene-9(10H)-propylamine', '9,10-Ethanoanthracene-9(10H)-propanamine, N-methyl-', 'CHEBI:6690', 'EINECS 233-599-4', '3-(9,10-Dihydro-9,10-ethanoanthracen-9-yl)propylmethylamine', '3-(9,10-Dihydro-9,10-ethanoanthracen-9-yl)-N-methylpropan-1-amine', 'BRN 2385493', '2U1W68TROF', 'BA-34276', '9,10-Ethanoanthracene-9(10H)-propylamine, N-methyl-', 'BA-34276 [As Hydrochloride]', 'NCGC00015708-04', 'Dibencycladine', 'Maprotilina', 'Maprotilinum', '3-(9,10-ethanoanthracen-9(10H)-yl)-N-methylpropan-1-amine', 'DSSTox_CID_25029', 'DSSTox_RID_80649', 'DSSTox_GSID_45029', 'N-Methyl-9,10-ethanoanthracene-9(10H)-propanamine;N-Methyl-9,10-ethanoanthracene-9(10H)-propanamine', 'CAS-10262-69-8', 'Maprotiline [USAN:BAN:INN]', 'Maprotiline (USAN)', 'CAS-10347-81-6', 'Ba-34,276', 'Maprotiline [USAN:INN:BAN]', 'N-Methyl-9,10-ethanoanthracene-9(10H)-propanamine', 'Spectrum_000887', 'Tocris-0935', 'Prestwick0_000346', 'Prestwick1_000346', 'Prestwick2_000346', 'Prestwick3_000346', 'Spectrum2_000139', 'Spectrum3_000483', 'Spectrum4_000035', 'Spectrum5_000918', 'Lopac-M-9651', 'C07107', 'Lopac0_000812', 'SCHEMBL33993', 'BSPBio_000411', 'BSPBio_001945', 'KBioGR_000469', 'KBioSS_001367', 'MLS001201766', 'CHEMBL21731', 'DivK1c_000891', 'SCHEMBL121015', 'SPBio_000218', 'SPBio_002332', 'BPBio1_000453', 'GTPL2402', 'CHEMBL1201257', 'DTXSID7045029', 'SCHEMBL21994200', 'BA-34276 FREE BASE', 'KBio1_000891', 'KBio2_001367', 'KBio2_003935', 'KBio2_006503', 'KBio3_001445', 'NINDS_000891', 'BA-34,276 FREE BASE', 'HMS2089K11', 'HMS2962E12', 'ZINC1530688', 'Tox21_110200', '0643AA', 'AR-111', 'BBL010079', 'BDBM50101973', 'BDBM50378025', 'MFCD00661057', 'STK711156', 'AKOS005530670', 'Tox21_110200_1', 'CCG-204896', 'DB00934', 'SDCCGSBI-0050789.P005', 'IDI1_000891', 'SMP1_000169', 'BA-34,276 [AS HYDROCHLORIDE]', 'NCGC00015708-01', 'NCGC00015708-02', 'NCGC00015708-03', 'NCGC00015708-05', 'NCGC00015708-06', 'NCGC00015708-07', 'NCGC00015708-08', 'NCGC00015708-09', 'NCGC00015708-10', 'NCGC00015708-11', 'NCGC00015708-12', 'NCGC00015708-13', 'NCGC00015708-15', 'NCGC00015708-17', 'NCGC00015708-19', 'NCGC00016691-01', 'NCGC00018217-01', 'NCGC00024886-01', 'NCGC00024886-02', 'NCGC00024886-03', 'AC-12507', 'LS-66338', 'SC-43881', 'SMR000641863', 'SBI-0050789.P003', 'AB00514665', 'NS00009793', 'D02566', 'EN300-226729', 'AB00053679-33', 'AB00053679_34', 'AB00053679_35', 'AB01275432-01', '262M698', 'L001173', 'Q418361', 'J-000745', 'BRD-K03319035-001-01-3', 'BRD-K03319035-003-02-7', 'BRD-K25433859-003-11-4', 'BRD-K25433859-003-14-8', '3-(9,10-Ethanoanthracen-9(10H)-yl)-N-methylpropan-1-amine (HCl)', 'maprotiline;maprotiline hydrochloride;Maprotiline hydrochloride;Methyl(propyl-9,10-ethano-9(10H)-anthryl)ammonium methanesulphonate', 'methyl(3-{tetracyclo[6.6.2.0(2),.0,(1)]hexadeca-2,4,6,9,11,13-hexaen-1-yl}propyl)amine', 'methyl(3-{tetracyclo[6.6.2.0^{2,7}.0^{9,14}]hexadeca-2(7),3,5,9(14),10,12-hexaen-1-yl}propyl)amine', 'N-Methyl-3-(tetracyclo[6.6.2.0~2,7~.0~9,14~]hexadeca-2,4,6,9,11,13-hexaen-1-yl)-1-propanamine']</t>
  </si>
  <si>
    <t>Compound(4011)</t>
  </si>
  <si>
    <t>3-(3-aminophenyl)aniline</t>
  </si>
  <si>
    <t>["[1,1'-Biphenyl]-3,3'-diamine", '2050-89-7', "3,3'-Diaminobiphenyl", "biphenyl-3,3'-diamine", "(1,1'-Biphenyl)-3,3'-diamine", "1,1'-BIPHENYL-3,3'-DIAMINE DIHYDROCHLORIDE", '3-(3-aminophenyl)phenylamine', '3-(3-aminophenyl)aniline', "3,3'-Biphenyldiamine", 'SCHEMBL251095', "1,1'-biphenyl-3,3'-diamine", 'CTK1A3859', 'DTXSID20174494', 'ALBB-005206', 'ZINC1846710', 'ZX-AN005147', 'FCH840406', 'SBB019098', 'STK502089', 'AKOS005171387', 'MCULE-5524981790', 'NCGC00338576-01', 'CS-16110', 'ST4146404', 'CS-0088809', 'FT-0679085', 'R3097', 'AB01331473-02']</t>
  </si>
  <si>
    <t>Compound(74912)</t>
  </si>
  <si>
    <t>3-methylphenol</t>
  </si>
  <si>
    <t>['m-cresol', '3-methylphenol', '108-39-4', 'Metacresol', 'Phenol, 3-methyl-', 'meta-cresol', '3-cresol', '3-hydroxytoluene', 'm-methylphenol', 'm-kresol', 'm-oxytoluene', 'm-cresylic acid', 'm-toluol', '1-hydroxy-3-methylbenzene', 'm-Hydroxytoluene', 'Franklin Cresolis', 'meta-cresylic acid', 'm-Kresol [German]', "Rover's Dog Shampoo", 'Caswell No. 261A', 'hydroxy-3-methylbenzene', 'CRESOL, META', 'm-cresylic', 'm-Cresole', '3-methyl-1-hydroxybenzene', '1-Methyl-3-hydroxybenzene', 'UNII-GGO4Y809LO', 'Cresol, m-isomer', 'NSC 8768', 'CCRIS 645', 'Cresol, m-', 'FEMA No. 3530', 'HSDB 1815', 'm-Cresol, 99%', 'EINECS 203-577-9', 'EPA Pesticide Chemical Code 022102', 'GGO4Y809LO', 'AI3-00136', 'CHEMBL298312', 'CHEBI:17231', 'Celcure Dry Mix (chemicals for wood preserving)', 'TOLUENE,3-HYDROXY  (META-CRESOL)', 'DSSTox_CID_4200', 'DSSTox_RID_77325', 'DSSTox_GSID_24200', 'Metacresol (3-Methylphenol)', 'CRS', 'meta cresol', '3-methyl phenol', 'CAS-108-39-4', 'Metacresol [USAN]', 'Metacresol [USP:BAN]', '3methylphenol', '3-methyl-phenol', 'm-?cresol', 'Cresol,m-', 'm-Cresol;', '3-Methyl-phenol.', 'Metacresol (USP)', 'ACMC-1BYYH', 'bmse000350', 'EC 203-577-9', 'WLN: QR C1', 'SCHEMBL10736', 'KSC174Q7L', 'm-Cresol, analytical standard', 'm-Cresol, &gt;=98%, FG', 'SCHEMBL7410931', 'DTXSID6024200', 'm-Cresol, for synthesis, 99%', 'm-Cresol, reagent grade, 97%', 'CTK0H4875', 'NSC8768', 'ZINC897141', '3-Methylphenol, analytical standard', 'KS-00000W6O', 'NSC-8768', 'Tox21_201941', 'Tox21_302645', 'ANW-15937', 'BDBM50008548', 'LS-460', 'MFCD00002302', 'SBB060101', 'STL185666', 'AKOS000119006', 'AM62795', 'CCG-230271', 'DB01776', 'MCULE-6836106503', 'NCGC00159366-02', 'NCGC00159366-03', 'NCGC00159366-04', 'NCGC00159366-05', 'NCGC00159366-06', 'NCGC00256824-01', 'NCGC00259490-01', 'AC-14350', 'm-Cresol, SAJ first grade, &gt;=97.0%', 'SC-22575', '3-Methylphenol 100 microg/mL in Methanol', 'm-Cresol [UN2076] [Poison, Corrosive]', 'FT-0628174', 'm-Cresol [UN2076]  [Poison, Corrosive]', 'NS00010658', 'ST51046341', '3863-EP2270114A1', '3863-EP2298750A1', 'C01467', 'D04951', '28671-EP2314579A1', 'A801870', 'Q312240', 'J-002137', 'J-521679', 'F0001-0167', 'Z955123620', 'UNII-3JYG22FD73 component RLSSMJSEOOYNOY-UHFFFAOYSA-N', 'UNII-GF3CGH8D7Z component RLSSMJSEOOYNOY-UHFFFAOYSA-N', 'Metacresol, United States Pharmacopeia (USP) Reference Standard']</t>
  </si>
  <si>
    <t>Compound(342)</t>
  </si>
  <si>
    <t>mebendazole</t>
  </si>
  <si>
    <t>methyl N-(6-benzoyl-1H-benzimidazol-2-yl)carbamate</t>
  </si>
  <si>
    <t>['mebendazole', '31431-39-7', 'Vermox', 'Telmin', 'Mebenvet', 'Pantelmin', 'Vermirax', 'Mebenoazole', 'Ovitelmin', 'Bantenol', 'Mebutar', 'Lomper', 'MBDZ', 'Besantin', 'Vermicidin', 'Verpanyl', 'Noverme', 'Mebendazol', 'Sufil', 'Methyl (5-benzoyl-1H-benzo[d]imidazol-2-yl)carbamate', 'Mebendazolum', 'Versid', 'Carbamic acid, (5-benzoyl-1H-benzimidazol-2-yl)-, methyl ester', '5-Benzoyl-2-benzimidazolecarbamic acid methyl ester', 'Methyl 5-benzoyl-2-benzimidazolecarbamate', 'Methyl 5-benzoyl-2-benzimidazolylcarbamate', 'Mebendazol [INN-Spanish]', 'Mebendazolum [INN-Latin]', 'R 17635', 'Methyl 5-benzoyl benzimidazole-2-carbamate', '(5-Benzoyl-1H-benzimidazol-2-yl)-carbamic acid methyl ester', 'Methyl N-(5-benzoyl-1H-benzimidazol-2-yl)carbamate', 'CCRIS 4479', 'methyl N-(6-benzoyl-1H-1,3-benzodiazol-2-yl)carbamate', 'methyl (5-benzoyl-1H-benzimidazol-2-yl)carbamate', 'R 17,635', 'NSC 184849', 'UNII-81G6I5V05I', 'HSDB 3232', '2-Benzimidazolecarbamic acid, 5-benzoyl-, methyl ester', 'EINECS 250-635-4', 'Methyl N-(5-benzoyl-2-benzimidazolyl)carbamate', 'CHEMBL685', 'N-2 (5-Benzoyl-benzimidazole) carbamate de methyle', 'N-(Benzoyl-5, benzimidazolyl)-2, carbamate de methyle', 'CHEBI:6704', 'Carbamic acid, N-(5-benzoylbenzimidazol-2-yl)-, methyl ester', 'N-2 (5-Benzoyl-benzimidazole) carbamate de methyle [French]', 'N-(Benzoyl-5, benzimidazolyl)-2, carbamate de methyle [French]', 'Methyl 6-benzoyl-1H-benzimidazol-2-ylcarbamate', '81G6I5V05I', '5-Benzoyl-2-benzimidazolecarbamic acid, methyl ester', 'NSC184849', 'NSC-184849', 'methyl [5-(phenylcarbonyl)-1H-benzimidazol-2-yl]carbamate', 'NCGC00016806-01', '(5-Benzoyl-1H-benzimidazol-2-yl)carbamic acid methyl ester', '2-Benzimidazolecarbamic acid, 5-benzoyl-, methyl ester (8CI)', 'Mebex', 'CAS-31431-39-7', 'Equivurm Plus', 'DSSTox_CID_20682', 'DSSTox_RID_79538', 'DSSTox_GSID_40682', 'Vermox (TN)', 'Emverm', 'SMR000036734', 'Mebendazole Polymorph C', 'SR-01000003109', 'Mebendazole [USAN:INN:BAN:JAN]', 'methyl N-(6-benzoyl-1H-benzimidazol-2-yl)carbamate', 'Mebatreat', 'Mebendazole (JAN/USP/INN)', 'Equivurmp Plus', 'Mebendazole,(S)', 'R17635', 'Prestwick_310', 'MFCD00057872', 'Mebendazole [USAN:USP:INN:BAN:JAN]', 'Spectrum_001298', 'CPD000036734', 'Prestwick0_000217', 'Prestwick1_000217', 'Prestwick2_000217', 'Prestwick3_000217', 'Spectrum2_001401', 'Spectrum3_001439', 'Spectrum4_000416', 'Spectrum5_001381', 'Probes1_000013', 'Probes2_000149', 'Cambridge id 5250893', 'Methyl [5-(Benzoyl)benzimidazol-2-yl]carbamate', 'TimTec1_000869', 'Oprea1_278237', 'Oprea1_768530', 'R-17635', 'SCHEMBL15860', 'BSPBio_000233', 'BSPBio_003178', 'CBDivE_010559', 'KBioGR_000712', 'KBioSS_001778', 'MLS000028491', 'MLS006011879', 'BIDD:GT0087', 'DivK1c_000751', 'SPECTRUM1501110', 'SPBio_001442', 'SPBio_002154', 'BPBio1_000257', 'DTXSID4040682', 'CTK6J2930', 'CTK8B6803', 'HMS502F13', 'KBio1_000751', 'KBio2_001778', 'KBio2_004346', 'KBio2_006914', 'KBio3_002398', 'NINDS_000751', 'HMS1536H11', 'HMS1568L15', 'HMS1921F03', 'HMS2090B03', 'HMS2092B15', 'HMS2095L15', 'HMS3259B11', 'HMS3604N11', 'HMS3712L15', 'N-(6-benzoyl-1H-benzimidazol-2-yl)carbamic acid methyl ester', 'Pharmakon1600-01501110', 'ZINC121541', 'EBD12117', 'KS-00000F1I', 'Tox21_110620', 'ANW-54402', 'BBL008298', 'BDBM50180753', 'CCG-39628', 'MMV003152', 'NSC757838', 's4610', 'SBB057003', 'STK093862', 'AKOS000539066', 'AKOS015896232', 'Carbamic acid, (5-benzoyl-1H-benzimidazol-2-yl)-, methyl ester (9CI)', 'Tox21_110620_1', 'CS-3974', 'DB00643', 'MCULE-4133611535', 'NC00639', 'NE41992', 'NSC-757838', 'IDI1_000751', 'NCGC00016806-02', 'NCGC00016806-03', 'NCGC00016806-04', 'NCGC00016806-05', 'NCGC00016806-06', 'NCGC00016806-07', 'NCGC00016806-08', 'NCGC00016806-09', 'NCGC00016806-10', 'NCGC00016806-12', 'NCGC00016806-13', 'NCGC00021698-03', 'NCGC00021698-04', 'NCGC00021698-05', 'NCGC00021698-06', 'NCGC00021698-07', 'AC-12064', 'AK-97348', 'AS-12272', 'HY-17595', 'LS-48951', 'ST011967', 'SBI-0051641.P002', 'AB00052203', 'FT-0628179', 'FT-0628180', 'M2273', 'NS00008616', 'EN300-50844', 'D00368', 'W-6804', 'AB00052203-09', 'AB00052203_10', 'Mebendazole, VETRANAL(TM), analytical standard', '431M397', 'A820852', 'AG-205/04588045', 'Mebendazole, analytical standard, &gt;=98% (HPLC)', 'Methyl (6-benzoyl-1H-benzimidazol-2-yl)carbamate', 'Q422194', 'methyl 5-benzoyl-1H-benzo[d]imidazol-2-ylcarbamate', 'SR-01000003109-2', 'SR-01000003109-3', 'W-106901', 'BRD-K77987382-001-01-7', 'BRD-K77987382-001-06-6', 'BRD-K77987382-001-08-2', 'methyl N-(5-benzoyl-1H-1,3-benzimidazol-2-yl)carbamate', 'Z234895185', '5-benzoyl-1H-benzimidazol-2-yl carbamic acid methyl ester', 'Mebendazole, European Pharmacopoeia (EP) Reference Standard', 'methoxy-N-[5-(phenylcarbonyl)benzimidazol-2-yl]carboxamide', 'methoxy-N-[6-(phenylcarbonyl)benzimidazol-2-yl]carboxamide', 'methyl N-[6-(phenylcarbonyl)-1H-benzimidazol-2-yl]carbamate', '(5-benzoyl-1(3)H-benzoimidazol-2-yl)-carbamic acid methyl ester;', 'Mebendazole, United States Pharmacopeia (USP) Reference Standard', 'Mebendazole for system suitability, European Pharmacopoeia (EP) Reference Standard', 'Mebendazole Polymorph C, United States Pharmacopeia (USP) Reference Standard']</t>
  </si>
  <si>
    <t>Compound(4030)</t>
  </si>
  <si>
    <t>C16H13N3O3</t>
  </si>
  <si>
    <t>N-ethyl-1-(4-methoxyphenyl)propan-2-amine</t>
  </si>
  <si>
    <t>['14367-46-5', 'N-ethyl-1-(4-methoxyphenyl)propan-2-amine', 'N-Ethyl-p-methoxy-alpha-methylphenethylamine', 'para-Methoxy-N-ethylamphetamine', '4-methoxy-N-ethylamphetamine', 'N-ethyl-4-methoxyamphetamine', 'EINECS 238-339-3', 'N-ethyl-p-methoxy-a-methylphenethylamine hydrochloride', 'EC 238-339-3', 'SCHEMBL3341793', 'CTK8B6355', 'DTXSID00931981', 'ANW-53329', 'MFCD00236007', 'AKOS009157445', 'N-Ethyl-p-methoxy-methylphenethylamine', 'MCULE-7761516534', 'N-ethyl-p-methoxy--methylphenethylamine', 'N-ethyl-p-methoxy-a-methylphenethylamine', '2-Ethylamino-1-(p-methoxyphenyl)propane', 'N-ethyl-p-methoxy-?-methylphenethylamine', 'N-ethyl-1-(4-methoxyphenyl)-2-propanamine', 'ethyl[1-(4-methoxyphenyl)propan-2-yl]amine', 'FT-0656588', 'FT-0699475', 'FT-0700518', 'NS00011455', '[2-(4-methoxyphenyl)-1-methylethyl]ethylamine', 'A808097', 'ethyl-[2-(4-methoxy-phenyl)-1-methyl-ethyl]-amine', 'Q7133616', 'W-110379']</t>
  </si>
  <si>
    <t>Compound(85725)</t>
  </si>
  <si>
    <t>C12H19NO</t>
  </si>
  <si>
    <t>4-[ethyl-[1-(4-methoxyphenyl)propan-2-yl]amino]butyl 3,4-dimethoxybenzoate;hydrochloride</t>
  </si>
  <si>
    <t>['MEBEVERINE HYDROCHLORIDE', '2753-45-9', 'Mebeverine HCl', 'Duspatalin', 'Duspatal', 'Colofac', 'Csag-144', 'Rudakol', 'CSAG 144', 'Mebeverine (hydrochloride)', 'NSC 169101', 'Mebeverine hydrochloride [USAN]', 'EINECS 220-400-0', 'MLS000028652', 'SMR000058862', '4-(Ethyl(p-methoxy-alpha-methylphenethyl)amino)butyl veratrate hydrochloride', 'DSSTox_CID_25372', 'DSSTox_RID_80834', 'DSSTox_GSID_45372', 'Benzoic acid, 3,4-dimethoxy-, 4-(ethyl(2-(4-methoxyphenyl)-1-methylethyl)amino)butyl ester, hydrochloride', 'Mebeverine hydrochloride (USAN)', '4-[ethyl-[1-(4-methoxyphenyl)propan-2-yl]amino]butyl 3,4-dimethoxybenzoate;hydrochloride', 'Veratric acid, 4-(ethyl(p-methoxy-alpha-methylphenethyl)amino)butyl ester, hydrochloride', 'C25H35NO5', 'NSC169101', 'Mebeverin', 'SR-01000003159', 'Prestwick_587', 'Opera_ID_1589', 'NCGC00016617-01', 'CAS-2753-45-9', 'C25H36ClNO5', 'MLS001148590', 'MLS002222299', 'SCHEMBL121977', 'SPECTRUM1501117', 'REGID_for_CID_17683', 'CHEMBL1446650', 'DTXSID1045372', 'CTK8G0761', 'HMS1568N22', 'HMS1921F15', 'Pharmakon1600-01501117', 'BCP28149', 'HY-A0078', 'Tox21_110527', 'CCG-39022', 'NSC757840', 's5027', 'AKOS027420570', 'Tox21_110527_1', 'API0003268', 'CS-6931', 'NSC-169101', 'NSC-757840', '4-[ethyl-[1-(4-methoxyphenyl)propan-2-yl]amino]butyl 3,4-dimethoxybenzoate hydrochloride', 'NCGC00018277-06', 'NCGC00094900-01', 'NCGC00094900-02', 'NCGC00094900-03', '3,4-Dimethoxybenzoic Acid 4-[Ethyl[2-(4-methoxyphenyl)-1-methylethyl]amino]butyl Ester Hydrochloride', 'Q712', 'Veratric acid, butyl ester, hydrochloride', 'DB-047240', 'LS-162045', 'FT-0603620', 'Mebeverine hydrochloride, analytical standard', 'D04868', 'WLN: 1OR BO1 DVO4N2&amp;Y1&amp;1R DO1 &amp;GH', '753M459', 'A819105', 'SR-01000003159-4', 'W-109821', 'Mebeverine HCl pound&gt;&gt;Csag-144 pound&gt;&gt;Csag 144 pound&gt;&gt;Csag144', '4-(Ethyl(1-(4-methoxyphenyl)propan-2-yl)amino)butyl 3,4-dimethoxybenzoate hydrochloride', '4-[Ethyl(p-methoxy-.alpha.-methylphenethyl)amino]butyl veratrate hydrochloride', '4-{Ethyl[2-(4-methoxyphenyl)-1-methylethyl]amino}butyl 3,4-dimethoxybenzoate hydrochloride', 'Veratric acid, 4-(ethyl(p-methoxy-alpha-methylphenethyl)amino)butyl ester,hydrochloride', 'Veratric acid, 4-[ethyl(p-methoxy-.alpha.-methylphenethyl)amino]butyl ester hydrochloride', '3,4-dimethoxybenzoic acid 4-[ethyl-[1-(4-methoxyphenyl)propan-2-yl]amino]butyl ester hydrochloride', 'Benzoic acid,4-dimethoxy-, 4-[ethyl[2-(4-methoxyphenyl)-1-methylethyl]amino]butyl ester, hydrochloride']</t>
  </si>
  <si>
    <t>Compound(17683)</t>
  </si>
  <si>
    <t>C25H36ClNO5</t>
  </si>
  <si>
    <t>ethyl N-(2-diethoxyphosphinothioylsulfanylacetyl)-N-methylcarbamate</t>
  </si>
  <si>
    <t>['MECARBAM', 'Marfotoks', 'Mercarbam', 'Criotox', 'Mecarbame', 'Murfotox', 'Murphotox', 'Pestan', '2595-54-2', 'AFOS', 'Pennsalt TD-72', 'Mecarbam [BSI:ISO]', 'Caswell No. 340', 'Muratox', 'Murutox', 'Mecarbame [ISO-French]', 'TD 72', 'MC 474', 'Pennsalt TD 72', 'UNII-U6N6869C7Z', 'MS 1053', 'MS 1143', 'HSDB 1579', 'P 474', 'EINECS 219-993-9', 'EPA Pesticide Chemical Code 340100', 'BRN 1888011', 'O,O-Diethyl S-(N-ethoxycarbonyl-N-methylcarbamoylmethyl) phosphorodithioate', 'S-(N-Ethoxycarbonyl-N-methylcarbamoylmethyl) O,O-diethyl phosphorodithioate', '7-Oxa-5-thia-2-aza-6-phosphanonanoic acid, 6-ethoxy-2-methyl-3-oxo-, ethyl ester, 6-sulfide', 'Ethyl (diethoxyphosphinothioylthio)acetyl(methyl)carbamate', 'Ethyl(((diethoxyphosphinothioyl)thio)acetyl)methylcarbamate', 'CHEBI:38718', 'O,O-Diethyl S-(N-methyl-N-carboethoxycarbamoylmethyl) dithiophosphate', 'U6N6869C7Z', 'N-Ethoxycarbonyl-N-methylcarbamoylmethyl O,O-diethyl phosphorodithioate', 'S-((Ethoxycarbonyl)methylcarbamoyl)methyl O,O-diethyl phosphorodithioate', 'S-(N-Ethoxycarbonyl-N-methylcarbamoylmethyl)-diethyl phosphorodithioate', 'O,O-Diethyl S-(N-ethoxycarbonyl-N-methylcarbamoylmethyl) phosphorothiolothionate', 'Phosphorodithioic acid, O,O-diethyl ester, S-ester with ethyl (mercaptoacetyl)methylcarbamate', 'Ethyl N-(diethoxythiophosphorylthio)acetyl-N-methylcarbamate', 'ethyl N-(2-diethoxyphosphinothioylsulfanylacetyl)-N-methylcarbamate', 'O,O-Diethyl S-(N-methyl-N-carboethoxycarbamoylmethyl)dithiophosphate', 'O,O-Diaethyl-S-(3-methyl-2,4-dioxo-5-oxa-3-aza-heptyl)-dithiophosphat', 'O,O-Diethyl-S-(3-methyl-2,4-dioxo-5-oxa-3-aza-heptyl)-dithiofosfaat', 'O,O-Dietil-S-(N-etossi-carbonil-N-metil-carbamoil-metil)-ditiofosfato', 'Dithiophosphate de O,O-diethyle et de S-N-methyl N-carboethoxy carbamoylmethyle', 'Ethyl (mercaptoacetyl)methylcarbamate S-ester with O,O-diethyl phosphorodithioate', 'Ethyl 6-ethoxy-2-methyl-3-oxo-7-oxa-5-thia-2-aza-6-phosphanonanoate 6-sulfide', 'O,O-Diethyl S-(((ethoxycarbonyl)methylcarbamoyl)methyl) phosphorodithioate', 'O,O-Diethyl S-(N-ethoxycarbonyl-N-methylcarbamoylmethyl)phosphorodithioate', 'O,O-Diethyl S-(N-ethoxycarbonyl-N-methylcarbamoylmethyl)phosphorothiolothionate', 'O,O-Diethyl-S-(3-methyl-2,4-dioxo-5-oxa-3-aza-heptyl)-dithiofosfaat [Dutch]', 'O,O-Dietil-S-(N-etossi-carbonil-N-metil-carbamoil-metil)-ditiofosfato [Italian]', 'Carbamic acid, (mercaptoacetyl)methyl-, ethyl ester, O,O-diethyl phosphorodithioate', 'Dithiophosphate de O,O-diethyle et de S-N-methyl N-carboethoxy carbamoylmethyle [French]', 'O,O-Diaethyl-S-(3-methyl-2,4-dioxo-5-oxa-3-aza-heptyl)-dithiophosphat [German]', 'Carbamic acid, (mercaptoacetyl)methyl-, ethyl ester, S-ester with O,O- diethyl phosphorodithioate', 'DSSTox_CID_22117', 'DSSTox_RID_79927', 'DSSTox_GSID_42117', 'SCHEMBL117570', 'CHEMBL1417951', 'DTXSID0042117', 'Tox21_302005', 'Mecarbam 10 microg/mL in Cyclohexane', 'Mecarbam 1000 microg/mL in Acetone', 'ACM2595542', 'Mecarbam 10 microg/mL in Acetonitrile', '7-Oxa-5-thia-2-aza-6-phosphanonanoicacid, 6-ethoxy-2-methyl-3-oxo-, ethyl ester, 6-sulfide', 'NCGC00166159-01', 'NCGC00255735-01', 'Carbamic acid, (mercaptoacetyl)methyl-, ethyl ester, S-ester with O,O-diethyl phosphorodithioate', 'LS-50012', 'CAS-2595-54-2', 'Mecarbam, PESTANAL(R), analytical standard', 'NS00002565', 'C18661', 'J-016191', 'Q27117958', 'Ethyl [[(diethoxyphosphinothioyl)thio]acetyl]methylcarbamate', 'ethyl 2-(diethoxyphosphorothioylthio)acetyl(methyl)carbamate', 'ethyl {[(diethoxyphosphorothioyl)sulfanyl]acetyl}methylcarbamate', 'Ethyl [(diethoxyphosphorothioyl)sulfanyl]acetyl(methyl)carbamate #', 'Ethyl 6-ethoxy-2-methyl-3-oxo-7-oxa-5-thia-2-aza-9-phosphanonanoate 6-sulfide, 9CI', 'ethyl N-(2-{[diethoxy(sulfanylidene)-$l^{5}-phosphanyl]sulfanyl}acetyl)-N-methylcarbamate', 'Carbamic acid, (mercaptoacetyl)methyl-, ethyl ester, S-ester with O,O-diethyl phosphorodithioic acid']</t>
  </si>
  <si>
    <t>Compound(17434)</t>
  </si>
  <si>
    <t>C10H20NO5PS2</t>
  </si>
  <si>
    <t>(4S,4aR,5S,5aR,12aR)-7-chloro-4-(dimethylamino)-1,5,10,11,12a-pentahydroxy-6-methylidene-3,12-dioxo-4,4a,5,5a-tetrahydrotetracene-2-carboxamide</t>
  </si>
  <si>
    <t>['meclocycline', 'Meclociclina [Italian]', 'Meclocyclinum [INN-Latin]', 'Meclociclina [INN-Spanish]', 'UNII-23Q8M2HE6S', '2013-58-3', 'Meclociclina', '7-Chloro-6-methylene-5-oxytetracycline', 'Meclocycline [USAN:INN:BAN]', 'EINECS 217-938-3', 'NSC 78502', 'Meclosorb', 'GS 2989', '23Q8M2HE6S', '7-Cloro-6-metilene-5-ossitetraciclina [Italian]', 'Meclocyclinum', '7-Cloro-6-metilene-5-ossitetraciclina', 'GS-2989', '2-Naphthacenecarboxamide, 7-chloro-4-(dimethylamino)-1,4,4a,5,5a,6,11,12a-octahydro-3,5,10,12,12a-pentahydroxy-6-methylene-1,11-dioxo-, (4S-(4alpha,4aalpha,5alpha,5aalpha,12aalpha))-', '7-Chloro-4-(dimethylamino)-1,4,4a,5,5a,6,11,12a-octahydro-3,5,10,12,12a-pentahydroxy-6-methylene-1,11-dioxo-2-naphthacenecarboxamide', 'Samil', 'C22H21ClN2O8', '2-Naphthacenecarboxamide, 7-chloro-4-(dimethylamino)-1,4,4a,5,5a,6,11,12a-octahydro-3,5,10,12,12a-pentahydroxy-6-methylene-1,11-dioxo-', 'Meclocycline (USAN/INN)', 'SCHEMBL3445', 'SCHEMBL1650332', 'CHEMBL1237124', 'DTXSID4048567', 'SCHEMBL12841672', 'CHEBI:135772', 'ZINC60298588', 'ZINC84402690', 'API0009106', 'DB13092', '7-chloro-4-(dimethylamino)-1,4,4a,5,5a,6,11,12a-octahydro-3,5,10,12,12a-pentahydroxy-6-methylene-1,11-dioxo-2-naphthacene carboxamide', 'LS-93859', 'SBI-0051646.P002', 'D02476', 'AB00053598_03', 'AB00053598_04', 'J-013043', 'Q6804827']</t>
  </si>
  <si>
    <t>Compound(54676539)</t>
  </si>
  <si>
    <t>C22H21ClN2O8</t>
  </si>
  <si>
    <t>(2R)-2-(4-chloro-2-methylphenoxy)propanoic acid</t>
  </si>
  <si>
    <t>['Mecoprop-P', '(R)-Mecoprop', 'd-Mecoprop', '16484-77-8', 'Duplosan KV', '(+)-Mcpp', 'Mecoprop, D-', 'Mecoprop-P [ISO]', '2M-4XP', 'D(+)-Mecoprop', '(R)-2-(4-Chloro-2-methylphenoxy)propanoic acid', '(R)-2-(4-Chloro-2-methylphenoxy)propionic acid', '(2R)-2-(4-chloro-2-methylphenoxy)propanoic acid', 'UNII-455R9M917H', 'EINECS 240-539-0', 'CHEBI:75703', '455R9M917H', '(R)-2-(4-chloro-o-tolyloxy)propionic acid', 'Propionic acid, 2-((4-chloro-o-tolyl)oxy)-, (+)-', 'Propanoic acid, 2-(4-chloro-2-methylphenoxy)-, (2R)-', 'Mecoprop P', 'EC 240-539-0', '(R)-MCPP', 'DSSTox_CID_12670', 'DSSTox_GSID_32670', 'SCHEMBL54983', 'CHEMBL2145254', 'DTXSID3032670', 'Propanoic acid, 2-(4-chloro-2-methylphenoxy)-, (R)-', 'ZINC256144', 'Propanoic acid, 2-(4-chloro-2-methylphenoxy)-, (R)- (9CI)', 'Tox21_303709', 'NCGC00163806-01', 'NCGC00357025-01', 'CAS-16484-77-8', 'LS-124602', 'C18608', 'Mecoprop-P, PESTANAL(R), analytical standard', '(2R)-2-(4-chloro-2-methylphenoxy)propionic acid', 'J-010167', '(+)-(R)-2-(4-chloro-2-methylphenoxy)propionic acid', 'Q27145490', 'PROPANOIC ACID,2-(4-CHLORO-2-METHYLPHENOXY)-, (2R)-', '(R)-2-(4-chloro-2-methylphenoxy)propionic acid;Propionic acid, (R)-2-(4-chloro-2-methylphenoxy)-;(+)-(R)-2-(4-chloro-2-methylphenoxy) propanoic acid, potassium salt;MCPP-P-potassium']</t>
  </si>
  <si>
    <t>Compound(185588)</t>
  </si>
  <si>
    <t>1-[(4-chlorophenyl)-phenylmethyl]-4-[(3-methylphenyl)methyl]piperazine</t>
  </si>
  <si>
    <t>['meclizine', 'Meclozine', '569-65-3', 'Parachloramine', 'Chiclida', 'Bonine', 'Sea-Legs', 'Histamethine', 'Histamethizine', 'Histametizine', 'Histametizyne', 'Bonadettes', 'Calmonal', 'Itinerol', 'Monamine', 'Navicalm', 'Peremesin', 'Postafene', 'Suprimal', 'Travelon', 'Vomisseis', 'Ancolan', 'Ravelon', 'Sabari', 'Siguran', 'Marex', 'Neo-istafene', 'Neo-suprimal', 'Neo-suprimel', 'Antivert', 'Vomissels', 'Ancolon', '(+-)-Meclizine', 'Meclizine hydrochloride', 'UCB 5062', 'Meclizine [INN:BAN]', 'Meclozinum [INN-Latin]', 'Meclozina [INN-Spanish]', 'UCB 170', '1-((4-Chlorophenyl)(phenyl)methyl)-4-(3-methylbenzyl)piperazine', 'U.C.B. 5062', '1-[(4-chlorophenyl)(phenyl)methyl]-4-[(3-methylphenyl)methyl]piperazine', '1-(p-Chlorobenzhydryl)-4-(m-methylbenzyl)diethylenediamine', 'NSC 169189', 'HSDB 3113', 'UCB 5052', 'EINECS 209-323-3', '1-p-Chlorobenzhydryl-4-m-methylbenzylpiperazine', 'BRN 0332002', '1-[(4-chlorophenyl)-phenylmethyl]-4-[(3-methylphenyl)methyl]piperazine', 'Piperazine, 1-[(4-chlorophenyl)phenylmethyl]-4-[(3-methylphenyl)methyl]-', 'U. C. B. 5062', 'CHEBI:6709', '1-(p-Chloro-alpha-phenylbenzyl)-4-(m-methylbenzyl)piperazine', 'Piperazine, 1-(p-chloro-alpha-phenylbenzyl)-4-(m-methylbenzyl)-', 'Dramamine II', '1-((4-Chlorophenyl)phenylmethyl)-4-((3-methylphenyl)methyl)piperazine', 'Piperazine, 1-((4-chlorophenyl)phenylmethyl)-4-((3-methylphenyl)methyl)-', '1-(p-Chlorobenzhydryl)-4-(m-methylbenzyl)piperazine', 'NSC-169189', 'Histametizyn', 'Meclozina', 'Meclozinum', 'Subari', '1-(p-Chloro-.alpha.-phenylbenzyl)-4-(m-methylbenzyl)piperazine', 'Ru-Vert-M', '1-[(4-Chlorophenyl)(phenyl)methyl]-4-(3-methylbenzyl)piperazine', 'Piperazine, 1-(p-chloro-.alpha.-phenylbenzyl)-4-(m-methylbenzyl)-', 'Nevidoxine (TN)', 'Meclozine (BAN)', 'Meclozine [INN]', '189298-48-4', 'Meclozin', 'Diadril (Salt/Mix)', 'Bonamine (Salt/Mix)', 'Bonadoxin (Salt/Mix)', 'Vertizine (Salt/Mix)', 'Spectrum_000891', '(.+/-.)-Meclizine', 'Prestwick0_000457', 'Prestwick1_000457', 'Prestwick2_000457', 'Prestwick3_000457', 'Spectrum2_000110', 'Spectrum3_000485', 'Spectrum4_000037', 'Spectrum5_000919', 'SCHEMBL4649', 'CHEMBL1623', 'BSPBio_000534', 'BSPBio_001949', 'KBioGR_000473', 'KBioSS_001371', 'DivK1c_000407', 'SPBio_000100', 'SPBio_002473', 'BPBio1_000588', 'GTPL2757', 'DTXSID0023242', 'BDBM81467', 'CTK6G9296', 'KBio1_000407', 'KBio2_001371', 'KBio2_003939', 'KBio2_006507', 'KBio3_001449', 'NINDS_000407', 'Meclizine;Meclozine; Parachloramine', 'BCP28339', 'NSC_4034', 'NSC169189', 'AKOS015951354', 'DB00737', 'MCULE-7463916552', 'IDI1_000407', 'NCGC00018296-02', 'NCGC00018296-04', 'NCGC00018296-08', 'CAS_569-65-3', 'SC-51103', 'SBI-0051433.P003', 'LS-111206', 'WLN: T6N DNTJ AYR&amp;R DG&amp; D1R C1', 'AB00053493', 'FT-0659103', 'EN300-58334', 'C07116', 'D08163', 'AB00053493_14', 'AB00053493_15', 'L001136', 'Q386441', 'BRD-A50311610-300-05-4', 'BRD-A50311610-300-06-2', 'Z53003552', '1-[(4-Chlorophenyl)(phenyl)methyl]-4-(3-methylbenzyl)piperazine #', '1-[(4-chlorophenyl)-phenyl-methyl]-4-(3-methylbenzyl)piperazine', 'Piperazine,1-[(4-chlorophenyl)phenylmethyl]-4-[(3-methylphenyl)methyl]-']</t>
  </si>
  <si>
    <t>Compound(4034)</t>
  </si>
  <si>
    <t>C25H27ClN2</t>
  </si>
  <si>
    <t>medinoter acetate</t>
  </si>
  <si>
    <t>(6-tert-butyl-3-methyl-2,4-dinitrophenyl) acetate</t>
  </si>
  <si>
    <t>['Medinoterb acetate', 'Medinoterb acetate [ISO]', '2487-01-6', 'P 1488', 'MC 1488', 'UNII-ONC86O885A', 'ONC86O885A', '2,4-Dinitro-3-methyl-6-tert-butylphenyl acetate', '2-tert-Butyl-5-methyl-4,6-dinitrophenyl acetate', 'NSC 202551', '6-tert-Butyl-2,4-dinitro-m-cresol acetate (ester)', '6-(1,1-Dimethylethyl)-3-methyl-2,4-dinitrophenyl acetate', '2-terc.Butyl-5-methyl-4,6-dinitrofenylester kyseliny octove', 'ACETIC ACID, 2-(tert-BUTYL)-4,6-DINITRO-m-TOLYL ESTER', 'Medinoterb-acetat', 'SCHEMBL164134', '(6-tert-butyl-3-methyl-2,4-dinitrophenyl) acetate', '6-(1,4-dinitrophenyl acetate', 'CTK8G0767', 'DTXSID50179578', 'ZINC1736468', 'Acetic acid,6-dinitro-m-tolyl ester', 'NSC202551', 'm-Cresol,4-dinitro-, acetate (ester)', 'NSC-202551', 'WLN: 1X1&amp;1&amp;R B1 CNW ENW FOV1', 'NS00045551', '2,4-Dinitro-3-methyl-6-tert-butylphenylacetat', 'm-Cresol, 6-tert-butyl-2,4-dinitro-, acetate', '6-tert-Butyl-3-methyl-2,4-dinitrophenyl acetate #', 'J-015709', 'm-Cresol, 6-tert-butyl-2,4-dinitro-, acetate (ester) (8CI)', 'n-Cresol, 6-tert-butyl-2,4-dinitro-, acetate (ester) (8CI)', 'Phenol, 6-(1,1-dimethylethyl)-3-methyl-2,4-dinitro-, acetate', 'Phenol,1-dimethylethyl)-3-methyl-2,4-dinitro-, acetate (ester)', 'Phenol, 6-(1,1-dimethylethyl)-3-methyl-2,4-dinitro-, acetate (ester) (9CI)']</t>
  </si>
  <si>
    <t>Compound(305544)</t>
  </si>
  <si>
    <t>C13H16N2O6</t>
  </si>
  <si>
    <t>5-[1-(2,3-dimethylphenyl)ethyl]-1H-imidazole;hydrochloride</t>
  </si>
  <si>
    <t>['Medetomidine hydrochloride', 'Medetomidine HCl', '86347-15-1', 'Domitor', 'MPV785', 'MPV 785', 'Medetomidine (hydrochloride)', '4-(1-(2,3-Dimethylphenyl)ethyl)-1H-imidazole hydrochloride', 'CHEBI:48556', 'MPV-785', '4-[1-(2,3-dimethylphenyl)ethyl]-1H-imidazole hydrochloride', '106807-72-1', 'Medetomidine hydrochloride [USAN]', '1H-Imidazole, 4-[1-(2,3-dimethylphenyl)ethyl]-, monohydrochloride', '(+-)-4-(alpha,2,3-Trimethylbenzyl)imidazole monohydrochloride', 'Medetomidine hydrochloride (USAN)', 'Metomidine', 'Zalopine', '(S)-4-(1-(2,3-Dimethylphenyl)ethyl)-1H-imidazole hydrochloride;Dexmedetomidine hydrochloride', 'medetomidin hydrochloride', '5-[(1S)-1-(2,3-dimethylphenyl)ethyl]-1H-imidazole;hydrochloride', 'NCGC00025347-01', 'DSSTox_CID_25691', 'DSSTox_RID_81063', 'DSSTox_GSID_45691', 'MLS003882579', 'SCHEMBL204843', 'CHEMBL537161', 'DTXSID3045691', 'CTK8E7444', 'CTK8G9795', '5-[1-(2,3-dimethylphenyl)ethyl]-1H-imidazole;hydrochloride', 'ACT04744', 'BCP04768', 'BCP04773', 'KS-00000KS1', 'Tox21_110966', 'AC-932', 'BDBM50230390', 'HY-17034B', 's3060', 'AKOS015950971', 'AKOS024458523', 'AS-2748', 'CCG-266850', 'CS-2700', 'AK-56227', 'AK161937', 'SC-24532', 'SMR002533644', 'CAS-86347-15-1', 'DB-056923', 'DB-063586', 'AM20041260', 'FT-0630939', 'FT-0645167', 'FT-0670971', 'SW219239-1', 'D04883', 'M-1755', '347M151', 'SR-01000597778', 'SR-01000597778-1', 'Q27121262', '5-(1-(2,3-dimethylphenyl)ethyl)-1H-imidazole hydrochloride', '(+/-)-5-[1-(2,3-dimethylphenyl)ethyl]-1H-imidazole hydrochloride', '1H-Imidazole, 4-(1-(2,3-dimethylphenyl)ethyl)-, monohydrochloride, (+-)-']</t>
  </si>
  <si>
    <t>Compound(68601)</t>
  </si>
  <si>
    <t>C13H17ClN2</t>
  </si>
  <si>
    <t>mephospholan</t>
  </si>
  <si>
    <t>N-diethoxyphosphoryl-4-methyl-1,3-dithiolan-2-imine</t>
  </si>
  <si>
    <t>['MEPHOSFOLAN', 'Mephospholan', 'Cytrolane insecticide', 'Mephospholan [French]', '950-10-7', 'Mephosfolan [BSI:ISO]', 'Mephospholan [ISO-French]', 'Cytrolane', 'American cyanamid CL-47470', 'HSDB 6411', 'EINECS 213-447-3', 'ENT-25,991', '2-(Diethoxyphosphinylimino)-4-methyl-1,3-dithiolane', 'AC 47470', 'EI-47470', 'AI3-25991', 'CL-47,470', 'Cyclic propylene (diethoxyphosphinyl)dithioimidocarbonate', 'Diethyl (4-methyl-1,3-dithiolan-2-ylidene)phosphoroamidate', 'O,O-Diethyl(4-methyl-1,3-dithiolan-2-ylidene)phosphoramidate', '(Diethoxyphosphinyl)dithioimidocarbonic acid cyclic propylene ester', 'Phosphonodithioimidocarbonic acid cyclic propylene P,P-diethyl ester', '(40-Methyl-1,3-dithiolan-2-ylid-ene)phosphoramidic acid diethyl ester', 'Imidocarbonic acid, phosphonodithio-, cyclic propylene P,P-diethyl ester', 'P,P-Diethyl cyclic propylene ester of phosphonodithioimidocarbonic acid', 'Phosphoramidic acid, (4-methyl-1,3-dithiolan-2-ylidene)-, diethyl ester', '1,2-Propanedithiol, cyclic ester with P,P-diethyl phosphonodithioimidocarbonate', '1,3-Dithiolane, 2-(diethoxyphosphinylimino)-4-methyl-', 'Phosphoramidic acid, N-(4-methyl-1,3-dithiolan-2-ylidene)-, diethyl ester', 'SCHEMBL3734751', 'DTXSID0058221', 'Cyclic propylene P,P-diethyl phosphonodithioimidocarbonate (8CI)', 'AC-47470', 'LS-63248', 'Q27155769', 'Cyclic propylene P,P-diethyl phosphonodithioimidocarbonate', '(Z)-diethyl 4-methyl-1,3-dithiolan-2-ylidenephosphoramidate']</t>
  </si>
  <si>
    <t>Compound(13707)</t>
  </si>
  <si>
    <t>C8H16NO3PS2</t>
  </si>
  <si>
    <t>N-[2,4-dimethyl-5-(trifluoromethylsulfonylamino)phenyl]acetamide</t>
  </si>
  <si>
    <t>['MEFLUIDIDE', 'Embark', '53780-34-0', 'Vistar', 'Vistar herbicide', 'Trim-Cut', 'Embark 2S', 'Embark plant growth regulator', '5-Acetamido-2,4-dimethyltrifluoromethanesulfonanilide', 'VEL 3973', 'MBR 12325', 'Mefluidide [ANSI:BSI:ISO]', 'UNII-499DH82Q8O', 'EINECS 258-767-4', 'BRN 2819120', "2',4'-Dimethyl-5'-(trifluoromethanesulphonamido)acetanilide", "5'-(1,1,1-Trifluoromethanesulfonamido)acet-2',4'-xylidide", "Acetanilide, 2',4'-dimethyl-5-((trifluoromethyl)sulfonamido)-", 'EPA Pesticide Chemical Code 114002', '499DH82Q8O', 'N-(2,4-Dimethyl-5-(((trifluoromethyl)sulfonyl)amino)phenyl)acetamide', 'Acetamide, N-[2,4-dimethyl-5-[[(trifluoromethyl)sulfonyl]amino]phenyl]-', "5'-(1,1,1-Trifluoromethanesulphonamido)acet-2',4'-xylidide", 'N-[2,4-dimethyl-5-(trifluoromethylsulfonylamino)phenyl]acetamide', 'Acetamide, N-(2,4-dimethyl-5-(((trifluoromethyl)sulfonyl)amino)phenyl)-', 'n-[2,4-dimethyl-5-[[(trifluoromethyl)sulfonyl]amino]phenyl]acetamide', 'Mowchem', 'Trimcut', 'HSDB 6698', 'SCHEMBL55691', 'Mefluidide, analytical standard', 'DTXSID7034709', 'CHEBI:81930', 'ZINC5299048', 'Mefluidide 10 microg/mL in Acetonitrile', 'LS-10715', 'NS00021199', 'C18743', '5-acetamido-2,4-dimethyl trifluoromethanesulfonanilide', 'Q22808361', "2',4'-dimethyl-5'-(trifluoromethanesulphonamido)acetanilide;Mefluidide, diethanolamine salt;Mefluidide, potasium salt"]</t>
  </si>
  <si>
    <t>Compound(40896)</t>
  </si>
  <si>
    <t>C11H13F3N2O3S</t>
  </si>
  <si>
    <t>2-(1,3-benzothiazol-2-yloxy)-N-methyl-N-phenylacetamide</t>
  </si>
  <si>
    <t>['Mefenacet', '73250-68-7', '2-(Benzo[d]thiazol-2-yloxy)-N-methyl-N-phenylacetamide', 'Mefenacet [BSI:ISO]', 'UNII-QI0QTA02DG', 'NTN 801', '2-(1,3-Benzothiazol-2-yloxy)-N-methyl-N-phenylacetamide', 'FOE 1976', 'EINECS 277-328-8', 'QI0QTA02DG', '2-(1,3-Benzothiazol-2-yloxy)-N-methylacetanilide', 'BRN 1143987', '2-(Benzothiazol-2-yloxy)-N-methyl-N-phenylacetamide', '2-Benzothiazol-2-yloxy-N-methylacetanilide', 'CHEBI:34830', '2-(2-Benzothiazolyloxy)-N-methyl-N-phenylacetamide', 'Acetamide, 2-(2-benzothiazolyloxy)-N-methyl-N-phenyl-', 'W-104461', 'Mefenacet (Rancho)', 'SCHEMBL55482', 'BIDD:ER0619', 'CHEMBL1592324', 'DTXSID7058173', 'ZINC2555388', 'Mefenacet 10 microg/mL in Isooctane', 'AKOS015897276', 'AC-1307', 'LS-8166', 'NCGC00166154-01', 'CC-30187', 'M636', 'BTMPA; FOE 1976;NTN 801; Rancho', 'AX8137340', 'DB-055737', 'FT-0630822', 'NS00000165', 'Mefenacet, PESTANAL(R), analytical standard', 'C14525', '2(1,3-benzothiazol-2-yloxy)-n-methyl acetanilide', '250M687', 'C-18667', 'Q22808356', '2-(1,3-Benzothiazol-2-yloxy)-N-methyl-N-phenylacetamide #', 'Pesticide5_Mefenacet_C16H14N2O2S_Acetamide, 2-(2-benzothiazolyloxy)-N-methyl-N-phenyl-', '2-(benzothiazol-2-yloxy)-N-methyl-N-phenylacetamide;Acetamide, 2-(benzothiazol-2-yloxy)-N-methyl-N-phe;mefenacet']</t>
  </si>
  <si>
    <t>Compound(91716)</t>
  </si>
  <si>
    <t>C16H14N2O2S</t>
  </si>
  <si>
    <t>diethyl 1-(2,4-dichlorophenyl)-5-methyl-4H-pyrazole-3,5-dicarboxylate</t>
  </si>
  <si>
    <t>['Mefenpyr-diethyl', '135590-91-9', 'Diethyl 1-(2,4-dichlorophenyl)-5-methyl-4,5-dihydro-1H-pyrazole-3,5-dicarboxylate', 'Diethyl 1-(2,4-dichlorophenyl)-5-methyl-4H-pyrazole-3,5-dicarboxylate', '1-(2,4-Dichlorophenyl)-4,5-dihydro-5-methyl-1H-pyrazole-3,5-dicarboxylic acid diethyl ester', '1-(2,4-Dichlorophenyl)-4,5-dihydro-5-methyl-1H-pyrazole-3,5-dicarboxylic diethyl ester', 'Mefenpyr-diethyl [ISO]', 'diethyl (5R)-1-(2,4-dichlorophenyl)-5-methyl-4H-pyrazole-3,5-dicarboxylate', '1H-Pyrazole-3,5-dicarboxylic acid, 1-(2,4-dichlorophenyl)-4,5-dihydro-5-methyl-, diethyl ester', 'HOE-107892', 'EC 603-923-2', 'DSSTox_CID_17564', 'DSSTox_GSID_37564', 'SCHEMBL23722', 'CHEMBL1895160', 'DTXSID6037564', '1-(3,4-Dic', 'Tox21_304023', 'AKOS015900312', 'AKOS025244076', 'NCGC00163723-01', 'NCGC00356957-01', '1-(2,4-Dichlorophenyl)-4,5-dihydro-5-methyl-1H-pyrazole-3,5-dicarboxylic acid 3,5-diethyl ester', 'AC-18020', 'AK129212', 'AS-17450', 'SC-79600', 'AB0019709', 'DB-085140', 'CAS-135590-91-9', 'FT-0688140', 'M2604', 'NS00000557', 'V0172', 'M-1093', '590M919', 'J-006728', 'Mefenpyr-diethyl, PESTANAL(R), analytical standard', 'Q1916946', 'Diethyl 1-(3,4-Dichlorophenyl)-5-methyl-2-pyrazoline-3,5-dicarboxylate', '1-(2,4-dichlorophenyl)-5-methyl-2-pyrazoline-3,5-dicarboxylic acid diethyl ester', 'Diethyl (RS)-1-(2,4-dichlorophenyl)-5-methyl-2-pyrazoline-3,5-dicarboxilate', 'Diethyl -1-(2,4-dichlorophenyl)-4,5-dihyfro-5-methyl-1H-pyrazole-3,5-dicarboxilate', 'diethyl 1-(2,4-dichlorophenyl)-4,5-dihydro-5-methyl-1H-pyrazole-3,5-dicarboxylate', '1H-Pyrazole-3,5-dicarboxylic acid, 1-(2,4-dichlorophenyl)-4,5-dihydro-5-methyl-, 3,5-diethyl ester']</t>
  </si>
  <si>
    <t>Compound(10937610)</t>
  </si>
  <si>
    <t>C16H18Cl2N2O4</t>
  </si>
  <si>
    <t>lactic acid</t>
  </si>
  <si>
    <t>2-hydroxypropanoic acid</t>
  </si>
  <si>
    <t>['lactic acid', '2-hydroxypropanoic acid', 'DL-Lactic acid', '50-21-5', '2-hydroxypropionic acid', 'Polylactic acid', 'Milk acid', 'lactate', 'Ethylidenelactic acid', 'Lactovagan', 'Tonsillosan', 'Racemic lactic acid', 'Propanoic acid, 2-hydroxy-', 'Ordinary lactic acid', 'Milchsaeure', 'Acidum lacticum', 'Kyselina mlecna', 'DL-Milchsaeure', 'Lactic acid USP', '1-Hydroxyethanecarboxylic acid', 'Aethylidenmilchsaeure', 'alpha-Hydroxypropionic acid', 'Lactic acid (natural)', '26100-51-6', 'FEMA No. 2611', 'Kyselina 2-hydroxypropanova', 'Milchsaure [German]', 'Propionic acid, 2-hydroxy-', '(RS)-2-Hydroxypropionsaeure', 'CCRIS 2951', 'HSDB 800', '(+-)-2-Hydroxypropanoic acid', '598-82-3', 'FEMA Number 2611', 'Kyselina mlecna [Czech]', 'Propanoic acid, hydroxy-', 'SY-83', 'DL- lactic acid', 'Propel', 'NSC 367919', 'AI3-03130', 'Purac FCC 80', 'Purac FCC 88', 'Kyselina 2-hydroxypropanova [Czech]', 'EINECS 200-018-0', 'EINECS 209-954-4', 'MFCD00004520', 'EPA Pesticide Chemical Code 128929', 'BRN 5238667', 'L-( pound&lt;&lt;)-Lactic acid', '(R)-2-Hydroxy-propionic acid;H-D-Lac-OH', 'CHEBI:78320', 'Poly(lactic acid)', 'C3H6O3', 'NSC-367919', 'NCGC00090972-01', '2-hydroxy-propionic acid', 'DL-Lactic acid, 90%', 'E 270', 'DSSTox_CID_3192', '(+/-)-Lactic acid', 'alpha-Hydroxypropanoic acid', 'C01432', 'DSSTox_RID_76915', 'DSSTox_GSID_23192', 'Lacticacid', 'Milchsaure', 'Polactide', 'Lacticum acidum', 'D(-)-lactic acid', 'Cheongin samrakhan', 'UNII-3B8D35Y7S4', 'CAS-50-21-5', 'Cheongin Haewoohwan', 'Cheongin Haejanghwan', 'Lactic acid [JAN]', 'Lactic acid [USP:JAN]', 'lactasol', 'Propanoic acid, 2-hydroxy-, homopolymer', '1-Hydroxyethane 1-carboxylic acid', 'Biolac', 'Whey', '2-Hydroxy-2-methylacetic acid', 'Cheese whey', 'Lactide Polymer', 'Milk serum', 'MFCD00064266', 'Chem-Cast', 'Whey, cheese', 'L- Lactic acid', 'DL-Polylactic acid', 'Lactate (TN)', '3B8D35Y7S4', '2-Hydroxypropionicacid', '4b5w', 'Lactic acid, tech grade', 'Propanoic acid, (+-)', 'HIPURE 88', '(.+/-.)-Lactic acid', 'EC 200-018-0', 'Lactic acid (7CI,8CI)', 'ACMC-1B0N9', 'Lactic acid (JP17/USP)', 'Lactic acid, 85%, FCC', 'NCIOpen2_000884', '.alpha.-Hydroxypropanoic acid', '.alpha.-Hydroxypropionic acid', 'KSC269O0T', '(RS)-2-hydroxypropanoic acid', 'Lactic Acid (Fragrance Grade)', 'INS NO.270', 'L-(+)-Lactic acid, 98%', 'CHEMBL1200559', 'DTXSID7023192', 'Lactic acid, natural, &gt;=85%', '(+/-)-2-hydroxypropanoic acid', 'BDBM23233', 'CTK1G9709', 'HSDB 8244', 'DL-Lactic acid, ~90% (T)', 'INS-270', 'DL-Lactic acid, AR, &gt;=88%', 'DL-Lactic acid, LR, &gt;=88%', 'KS-00000WI6', 'EINECS 295-890-2', 'Propanoic acid, 2-hydroxy- (9CI)', 'Tox21_111049', 'Tox21_202455', 'Tox21_303616', 'ANW-43668', 'BBL027466', 'NSC367919', 'SBB065762', 'STL282744', 'AKOS000118855', 'AKOS017278364', 'Tox21_111049_1', 'AM87208', 'DB04398', 'LS-2145', 'MCULE-5387110670', 'VC30148', 'DL-Lactic acid, 85 % (w/w), syrup', 'Propanoic acid,2-hydroxy-,(.+/-.)-', 'NCGC00090972-02', 'NCGC00090972-03', 'NCGC00257515-01', 'NCGC00260004-01', '163894-00-6', 'AK164446', 'I487', 'SC-18578', 'SC-86055', 'DB-071134', 'LS-180647', '235-EP2269610A2', '235-EP2269986A1', '235-EP2269988A2', '235-EP2270000A1', '235-EP2270006A1', '235-EP2270008A1', '235-EP2270014A1', '235-EP2272516A2', '235-EP2272537A2', '235-EP2272817A1', '235-EP2272822A1', '235-EP2272835A1', '235-EP2272844A1', '235-EP2275401A1', '235-EP2275413A1', '235-EP2275421A1', '235-EP2277507A1', '235-EP2277848A1', '235-EP2277858A1', '235-EP2281559A1', '235-EP2281563A1', '235-EP2281819A1', '235-EP2284160A1', '235-EP2284178A2', '235-EP2284179A2', '235-EP2286795A1', '235-EP2287147A2', '235-EP2287153A1', '235-EP2287156A1', '235-EP2287160A1', '235-EP2289510A1', '235-EP2289518A1', '235-EP2289879A1', '235-EP2289883A1', '235-EP2289890A1', '235-EP2292227A2', '235-EP2292231A1', '235-EP2292234A1', '235-EP2292592A1', '235-EP2292611A1', '235-EP2292617A1', '235-EP2292619A1', '235-EP2295416A2', '235-EP2295433A2', '235-EP2295439A1', '235-EP2298734A2', '235-EP2298742A1', '235-EP2298746A1', '235-EP2298747A1', '235-EP2298748A2', '235-EP2298755A1', '235-EP2298757A2', '235-EP2298768A1', '235-EP2301544A1', '235-EP2301919A1', '235-EP2301922A1', '235-EP2301940A1', '235-EP2305248A1', '235-EP2305633A1', '235-EP2305641A1', '235-EP2305646A1', '235-EP2305651A1', '235-EP2305653A1', '235-EP2305655A2', '235-EP2305657A2', '235-EP2305659A1', '235-EP2305662A1', '235-EP2305663A1', '235-EP2305668A1', '235-EP2305672A1', '235-EP2308849A1', '235-EP2308850A1', '235-EP2308854A1', '235-EP2308857A1', '235-EP2308861A1', '235-EP2308869A1', '235-EP2308873A1', '235-EP2308874A1', '235-EP2308875A1', '235-EP2308881A1', '235-EP2308883A1', '235-EP2311801A1', '235-EP2311802A1', '235-EP2311803A1', '235-EP2311807A1', '235-EP2311809A1', '235-EP2311810A1', '235-EP2311811A1', '235-EP2311814A1', '235-EP2311818A1', '235-EP2311821A1', '235-EP2311831A1', '235-EP2311842A2', '235-EP2314575A1', '235-EP2314579A1', '235-EP2314581A1', '235-EP2314583A1', '235-EP2314584A1', '235-EP2314585A1', '235-EP2314586A1', '235-EP2314588A1', '235-EP2316457A1', '235-EP2316458A1', '235-EP2316459A1', '235-EP2316825A1', '235-EP2316826A1', '235-EP2316827A1', '235-EP2316828A1', '235-EP2316836A1', '235-EP2371797A1', '235-EP2371800A1', '235-EP2371814A1', '235-EP2372017A1', '235-EP2374895A1', 'E-270', 'FT-0624390', 'FT-0625477', 'FT-0627927', 'FT-0696525', 'FT-0774042', 'L0226', 'Lactic acid solution, ACS reagent, &gt;=85%', 'Lactic acid solution, USP, 88.0-92.0%', 'Lactic acid solution, p.a., 84.5-85.5%', 'Lactic acid, meets USP testing specifications', 'D00111', 'DL-Lactic acid, SAJ first grade, 85.0-92.0%', 'Propanoic acid, 2-hydroxy-, (+-)-, homopolymer', 'Q161249', 'DL-Lactic acid, JIS special grade, 85.0-92.0%', 'Lactic acid solution, Vetec(TM) reagent grade, 85%', 'F2191-0200', 'BC10F553-5D5D-4388-BB74-378ED4E24908', 'Lactic acid, United States Pharmacopeia (USP) Reference Standard', 'ALPHA/BETA HYDROXY ACIDS (LACTIC ACID) (ALPHA/BETA HYDROXY ACIDS)', 'Lactic acid, Pharmaceutical Secondary Standard; Certified Reference Material']</t>
  </si>
  <si>
    <t>Compound(612)</t>
  </si>
  <si>
    <t>3,5-dimethyladamantan-1-amine</t>
  </si>
  <si>
    <t>['memantine', '19982-08-2', '3,5-dimethyladamantan-1-amine', '1-Amino-3,5-dimethyladamantane', 'Namenda', 'Ebixa', '3,5-Dimethyl-1-adamantanamine', 'Memantina', 'Memantinum [INN-Latin]', 'Memantina [INN-Spanish]', 'Memantin', 'Memantinum', '1,3-Dimethyl-5-adamantanamine', '3,5-Dimethyl-1-aminoadamantane', 'Memantine [INN]', 'Memantine [INN:BAN]', '3,5-Dimethyl-1-adamantylamine', 'UNII-W8O17SJF3T', '3,5-Dimethyltricyclo(3.3.1.1(3,7))decan-1-amine', 'HSDB 7327', 'Tricyclo[3.3.1.13,7]decan-1-amine, 3,5-dimethyl-', 'CHEMBL807', '3,5-dimethyladamantanylamine', 'W8O17SJF3T', 'D-145', 'CHEBI:64312', 'Memantine (INN)', 'alzantin', 'NCGC00015705-04', 'DSSTox_CID_25174', 'DSSTox_RID_80723', 'DSSTox_GSID_45174', 'Tricyclo(3.3.1.13,7)decan-1-amine, 3,5-dimethyl-', 'D 145', 'Tricyclo(3.3.1.1(3,7))decan-1-amine, 3,5-dimethyl-', 'CAS-19982-08-2', '3,5-dimethyltricyclo[3.3.1.1~3,7~]decan-1-amine', 'DMAA [Antiparkinson Agent]', '1,3-Dimethyl-5-aminoadamantane', 'DRG 0267', 'DRG-0267', 'Exiba (TN)', 'Spectrum_000607', 'D145', 'Prestwick0_000978', 'Prestwick1_000978', 'Prestwick2_000978', 'Prestwick3_000978', 'Spectrum2_001408', 'Spectrum3_000923', 'Spectrum4_001022', 'Spectrum5_001355', 'CBMicro_020348', 'Biomol-NT_000209', 'SCHEMBL2688', 'Lopac0_000861', 'Oprea1_480562', 'BSPBio_001015', 'KBioGR_001543', 'KBioSS_001087', 'DivK1c_000068', 'SPBio_001456', 'SPBio_002926', '1-amino-3,5-dimethyladamantan', 'BPBio1_001117', 'BPBio1_001270', 'GTPL4253', 'DTXSID5045174', 'SCHEMBL13213676', 'CTK6B3298', 'HMS500D10', 'KBio1_000068', 'KBio2_001087', 'KBio2_003655', 'KBio2_006223', 'KBio3_001926', '1-amino-3,5-dimethyl adamantane', '1-amino-3,5-dimethyl-adamantane', 'NINDS_000068', '(3,5-Dimethyl-1-adamantyl)amine', '3,5-Dimethyl-adamantan-1-ylamine', 'ALBB-013872', 'BCP29702', 'KS-000024QT', 'ZX-AN012621', 'Tox21_110199', '3,5-Dimethyl-1-aminoadamantane HCl', 'ANW-56451', 'BBL000737', 'BDBM50062599', 'SBB002574', 'STK520682', 'AKOS000113995', 'AKOS015953276', 'AKOS016340748', 'Tox21_110199_1', 'CCG-204092', 'DB01043', 'DS-3152', 'FCH1198345', 'MCULE-3726352671', 'SDCCGSBI-0020417.P005', 'IDI1_000068', 'NCGC00015705-03', 'NCGC00015705-05', 'NCGC00015705-07', 'NCGC00015705-09', 'NCGC00024782-02', 'NCGC00024782-03', '3,5-Dimethyl-1-aminoadamantane hydrochlo', 'BBV-39899297', 'BR-33967', 'D145 pound&gt;&gt;D 145 pound&gt;&gt;D-145', 'SC-45525', 'ST057652', 'SBI-0020417.P004', 'AB0212255', 'BB0216388', 'LS-157051', 'AB00053600', 'BB 0216388', 'EU-0053634', 'FT-0649142', 'NS00000622', 'NS00098826', 'AZ0001-0553', 'C13736', 'D08174', 'S-1686', 'AB00053600-13', 'AB00053600_14', 'AB00053600_15', 'Q412189']</t>
  </si>
  <si>
    <t>Compound(4054)</t>
  </si>
  <si>
    <t>C12H21N</t>
  </si>
  <si>
    <t>(1R,2S,5R)-5-methyl-2-propan-2-ylcyclohexan-1-ol</t>
  </si>
  <si>
    <t>['l-Menthol', '(-)-menthol', '2216-51-5', 'Levomenthol', 'Menthacamphor', 'Menthomenthol', 'l-(-)-Menthol', 'Peppermint camphor', '(1R,2S,5R)-2-Isopropyl-5-methylcyclohexanol', 'U.S.P. Menthol', 'Levomentholum', 'Menthol racemic', '(1r,2s,5r)-(-)-menthol', 'Hexahydrothymol', 'd,l-Menthol', '(-)-Menthyl alcohol', '(-)-(1R,3R,4S)-Menthol', 'Menthol natural', '89-78-1', '(1R)-(-)-Menthol', 'D-(-)-Menthol', 'Headache crystals', '(R)-(-)-Menthol', 'Menthol (VAN)', 'l-Menthol (natural)', '(+-)-Menthol', 'I-menthol', 'Racementhol', 'p-Menthan-3-ol', '(-)-trans-p-Menthan-cis-ol', '1-Menthol', 'Levomenthol [INN:BAN]', 'Racementhol [INN:BAN]', '(L)-MENTHOL', 'Menthol, dl-', 'Menthol natural, brazilian', 'Menthol, l-', 'Racementol [INN-Spanish]', 'Levomentholum [INN-Latin]', 'Menthol racemique [French]', 'Racementholum [INN-Latin]', 'Cyclohexanol, 5-methyl-2-(1-methylethyl)-, (1R,2S,5R)-', 'Tra-kill tracheal mite killer', 'rac-Menthol', 'NCI-C50000', 'UNII-BZ1R15MTK7', 'NSC 62788', '(1R,2S,5R)-5-methyl-2-(propan-2-yl)cyclohexan-1-ol', 'Menthol, (1R,3R,4S)-(-)-', 'CCRIS 375', 'Menthol(-)', 'Racemic menthol', '(1R,3R,4S)-(-)-MENTHOL', 'FEMA No. 2665', 'CCRIS 3728', 'CCRIS 4666', '(1R,2S,5R)-rel-2-Isopropyl-5-methylcyclohexanol', 'HSDB 5662', 'NSC 2603', 'EINECS 201-939-0', 'EINECS 218-690-9', 'EINECS 239-388-3', 'BRN 1902288', 'BRN 3194263', 'BZ1R15MTK7', '(+-)-(1R*,3R*,4S*)-Menthol', '(1R-(1-alpha,2-beta,5-alpha))-5-Methyl-2-(1-methylethyl)cyclohexanol', 'menthol crystals', '5-Methyl-2-(1-methylethyl)cyclohexanol', 'AI3-52408', 'CHEMBL470670', 'CHEBI:15409', '(1R,2S,5R)-Menthol', 'NSC2603', '(1R,2S,5R)-2-isopropyl-5-methyl-cyclohexanol', '(1R,2S,5R)-2-isopropyl-5-methylcyclohexan-1-ol', 'L(-)-Menthol', 'MFCD00062979', '(1R,2S,5R)-5-methyl-2-(1-methylethyl)cyclohexanol', '(1R,2S,5R)-5-methyl-2-propan-2-ylcyclohexan-1-ol', 'Cyclohexanol, 5-methyl-2-(1-methylethyl)-, (1R,2S,5R)-rel-', 'Racementholum', 'Thymomenthol', 'Racementol', '5-Methyl-2-(1-methylethyl)cyclohexanol, (1alpha,2beta,5alpha)-', 'DSSTox_CID_2180', 'Menthol racemique', 'Cyclohexanol, 5-methyl-2-(1-methylethyl)-, [1R-(1.alpha.,2.beta.,5.alpha.)]-', 'DSSTox_RID_75798', 'DSSTox_RID_76516', 'DSSTox_GSID_20805', 'DSSTox_GSID_22180', 'HSDB 593', 'L(-)-Menthol, 99.5%', 'C10H20O', 'Menthol, cis-1,3,trans-1,4-', '(1alpha,2beta,5alpha)-5-methyl-2(1-methylethyl)cyclohexanol', 'Cyclohexanol, 5-methyl-2-(1-methylethyl)-, (1R,3R,4S)-', 'Cyclohexanol, 5-methyl-2-(1-methylethyl)-, (1alpha,2beta,5alpha)-', 'Cyclohexanol, 5-methyl-2-(1-methylethyl)-, (1R-(1alpha,2beta,5alpha))-', 'CAS-89-78-1', '5-methyl-2-propan-2-ylcyclohexan-1-ol', 'CAS-2216-51-5', 'l-Menthol (TN)', 'SR-05000001936', '98167-53-4', '(-)-p-Menthan-3-ol', 'levomentol', 'ss-Bisabolol', 'Laevo-Menthol', '1R-Menthol', '1 -menthol', 'NCGC00159382-02', 'dextro,laevo-menthol', 'Water-soluble menthol', 'Menthol Crystals USP', 'PubChem7972', 'Menthol, (1alpha,2beta,5alpha)-Isomer', 'l-Menthol (JP17)', 'Spectrum_000305', 'Spectrum2_000855', 'Spectrum3_001561', 'Spectrum5_001060', 'M0545', 'Menthol,3,trans-1,4-', 'EC 201-939-0', 'EC 218-690-9', 'SCHEMBL4613', 'BSPBio_003062', 'KBioSS_000785', '2-06-00-00052 (Beilstein Handbook Reference)', '4-06-00-00151 (Beilstein Handbook Reference)', 'MLS002207256', 'ARONIS27036', 'DivK1c_000820', 'SPECTRUM1503134', 'Menthol,3R,4S)-(-)-', 'SPBio_000869', 'GTPL2430', 'DTXSID1020805', 'DTXSID1022180', '(-)-Menthol, USP, 97%', 'CTK5H9748', 'HMS502I22', 'KBio1_000820', 'KBio2_000785', 'KBio2_003353', 'KBio2_005921', 'KBio3_002562', 'NOOLISFMXDJSKH-KXUCPTDWSA-', '(-)-Menthol, analytical standard', 'NINDS_000820', 'HMS1922G13', 'HMS2092L14', 'Pharmakon1600-01503134', 'Cyclohexanol, 2-isopropyl-5-methyl', 'NSC-2603', 'NSC62788', 'ZINC1482164', 'L-Menthol, &gt;=99%, FCC, FG', 'Tox21_111620', 'Tox21_201823', 'Tox21_201919', 'Tox21_202608', 'Tox21_302999', 'Tox21_303028', 'WLN: L6TJ AY1&amp;1 BQ D1', 'BDBM50318482', 'CCG-40300', 'Cyclohexanol, 2-isopropyl-5-methyl-', 'NSC-62788', 'NSC758395', 's4714', 'AKOS016842647', '(1R, 2S, 5R-)-(-)-Menthol', 'BS-3863', 'DB00825', 'EBD2156737', 'LMPR0102090001', 'LS-2353', 'MCULE-8181548788', 'MP-2129', 'NSC-758395', 'SDCCGMLS-0066659.P001', '1-iso propyl-4-methyl cyclohexan-2-ol', 'IDI1_000820', 'WLN: L6TJ AY1&amp;1 DQ D1 -L', 'NCGC00164247-01', 'NCGC00164247-02', 'NCGC00164247-03', 'NCGC00256525-01', 'NCGC00256561-01', 'NCGC00259372-01', 'NCGC00259468-01', 'NCGC00260156-01', 'D-(-)-Phenylglycine Dane Potassium Salt', 'LS-89533', 'SC-02557', 'SC-18117', 'SMR001306785', 'L-Menthol, natural, &gt;=99%, FCC, FG', 'SBI-0051777.P002', 'N1950', 'S5868', 'C00400', 'Cyclohexanol, (1.alpha.,2.beta.,5.alpha.)-', 'D00064', 'AB00052320_02', 'L-Menthol|Levomenthol|Menthomenthol|Menthacamphor', '(1R,2S,5R)-(-)-Menthol, &gt;=99%, sublimed', 'Q407418', 'Q-201316', 'SR-05000001936-1', 'SR-05000001936-2', '(-)-Menthol, primary pharmaceutical reference standard', '(1R,2S,5R)-(-)-Menthol, ReagentPlus(R), 99%', '2-Isopropyl-5-methylcyclohexanol-, (1R,2S,5R)- #', 'Cyclohexanol, [1R-(1.alpha.,2.beta.,5.alpha.)]-', '(1R,2S,5R)-5-methyl-2-propan-2-yl-cyclohexan-1-ol', 'Z1698549655', '(1R,2S,5R)-(-)-Menthol, Vetec(TM) reagent grade, 98%', '6C6A4A8C-A054-468C-A1F0-F29E39838CF2', 'UNII-YS08XHA860 component NOOLISFMXDJSKH-KXUCPTDWSA-N', '(1R, 2S, 5R)-5-methyl-2-(1-methylethyl)cyclohexyl alcohol', 'Menthol, United States Pharmacopeia (USP) Reference Standard', 'L-Menthol, Pharmaceutical Secondary Standard; Certified Reference Material', '(-)-Menthol, puriss., meets analytical specification of Ph. Eur., BP, USP, 98.0-102.0%', '(1R,2S,5R)-(-)-Menthol;L-MENTHOL;dl-Menthol;D,L-MENTHOL;menthol;DL-menthol', '(1R-(1-.alpha.,2-.beta.,5-.alpha.))-5-Methyl-2-(1-methylethyl)cyclohexanol', '114376-98-6']</t>
  </si>
  <si>
    <t>Compound(16666)</t>
  </si>
  <si>
    <t>2-methyl-N-(3-propan-2-yloxyphenyl)benzamide</t>
  </si>
  <si>
    <t>['MEPRONIL', '55814-41-0', 'Basitac', "3'-Isopropoxy-2-methylbenzanilide", 'Mepronil [ISO]', "3'-Isopropoxy-o-toluanilide", 'Mepronil (pesticide)', 'UNII-QJK1MXY8DW', "2-Methyl-3'-isopropoxybenzanilide", 'KCO-1', '2-Methyl-N-(3-(1-methylethoxy)phenyl)benzamide', 'Benzamide, 2-methyl-N-(3-(1-methylethoxy)phenyl)-', 'QJK1MXY8DW', '2-methyl-N-(3-propan-2-yloxyphenyl)benzamide', 'B1-2459', 'BRN 2381749', 'CHEBI:81823', '2-Methyl-N-[3-(1-Methylethoxy)phenyl]benzamide', 'Benzamide, 2-methyl-N-[3-(1-methylethoxy)phenyl]-', 'MRN', 'Maybridge1_007427', 'DSSTox_CID_17565', 'DSSTox_RID_79337', "3'-isopropoxy-2-toluanilide", 'DSSTox_GSID_37565', 'Oprea1_007450', 'SCHEMBL18447', 'CHEMBL1615095', 'DTXSID1037565', 'BCTQJXQXJVLSIG-UHFFFAOYSA-', 'CTK8E4473', 'HMS562J13', 'ZINC105794', "3'-iso-propoxy-2-methylbenzanilide", 'Tox21_302431', 'Mepronil 10 microg/mL in Cyclohexane', 'AKOS003488106', "3'-ISOPROPOXY-ORTHO-TOLUANILIDE", 'KS-5375', 'MCULE-4214400541', 'NCGC00163916-01', 'NCGC00255513-01', 'LS-27202', 'N-(3-Isopropoxyphenyl)-2-methylbenzamide', 'O670', "3'-isopropoxy-2-methylbenzoic acid anilide", 'CAS-55814-41-0', 'DB-052804', '2-Methyl-N-(3-isopropoxy-phenyl)-benzamide', 'FT-0640339', 'Mepronil, PESTANAL(R), analytical standard', 'N-(3-Isopropoxyphenyl)-2-methylbenzamide #', 'NS00003853', 'C18548', '2-methyl-N-[3-(propan-2-yloxy)phenyl]benzamide', '814M410', 'Q19296228']</t>
  </si>
  <si>
    <t>Compound(41632)</t>
  </si>
  <si>
    <t>C17H19NO2</t>
  </si>
  <si>
    <t>4-methyl-N-phenyl-6-prop-1-ynylpyrimidin-2-amine</t>
  </si>
  <si>
    <t>['Mepanipyrim', '110235-47-7', '4-methyl-N-phenyl-6-(prop-1-ynyl)pyrimidin-2-amine', 'Mepanipyrim [ISO]', '4-Methyl-N-phenyl-6-(1-propynyl)-2-pyrimidinamine', 'UNII-B150X76OJY', '4-methyl-N-phenyl-6-prop-1-ynylpyrimidin-2-amine', '2-Pyrimidinamine, 4-methyl-N-phenyl-6-(1-propynyl)-', 'B150X76OJY', 'CHEBI:6751', 'N-(4-Methyl-6-prop-1-ynylpyrimidin-2-yl)aniline (IUPAC)', 'mepanipirim', '2-Anilino-4-methyl-6-(1-propynyl)pyrimidine', 'DSSTox_CID_22121', 'DSSTox_RID_79928', 'DSSTox_GSID_42121', 'SCHEMBL22040', 'N-(4-methyl-6-prop-1-ynylpyrimidin-2-yl)aniline', '4-methyl-N-phenyl-6-prop-1-ynyl-pyrimidin-2-amine', 'CHEMBL2269513', 'DTXSID4042121', 'CTK8E6991', 'ZINC900546', 'Tox21_300635', 'AKOS015916777', 'Mepanipyrim 10 microg/mL in Cyclohexane', 'NCGC00248117-01', 'NCGC00254251-01', 'SC-67415', 'DB-012211', 'LS-134497', '2-anilino-4-methyl-6(1-propynyl)pyrimidine', 'CAS-110235-47-7', 'FT-0759386', 'NS00000496', '2-anilino-4-methyl-6-(1-propynyl)-pyrimidine', 'C10919', 'Mepanipyrim, PESTANAL(R), analytical standard', '235M477', 'J-002408', 'Q15632906', '(4-methyl-6-prop-1-ynyl-pyrimidin-2-yl)-phenyl-amine', '4-methyl-N-phenyl-6-(prop-1-yn-1-yl)pyrimidin-2-amine', 'mepanipyrim;4-methyl-N-phenyl-6-(1-propynyl)-2-pyrimidinamine']</t>
  </si>
  <si>
    <t>Compound(86296)</t>
  </si>
  <si>
    <t>C14H13N3</t>
  </si>
  <si>
    <t>1,1-dimethylpiperidin-1-ium;chloride</t>
  </si>
  <si>
    <t>['Mepiquat chloride', '24307-26-4', '1,1-dimethylpiperidin-1-ium chloride', '1,1-DIMETHYLPIPERIDINIUM CHLORIDE', 'Pix Ultra', 'Piperidinium, 1,1-dimethyl-, chloride', 'N,N-Dimethylpiperidinium chloride', 'BAS 083W', 'Caswell No. 380AB', 'BAS-083', 'UNII-X0S7YUN0EP', 'BAS 08301W', 'N,N-Dimethyl-piperidinium chloride', 'BAS 08305 W', 'BAS 08306 W', 'BAS 08307 W', 'Bas85559X', 'Methylpiperidine hydrochloride', 'HSDB 7059', 'BAS-08300W', 'EINECS 246-147-6', 'X0S7YUN0EP', 'EPA Pesticide Chemical Code 109101', 'CHEBI:81772', 'AK163545', 'Piperidinium, 1,1-dimethyl-, chloride (1:1)', 'PIX', 'Q-201353', '1,1-Dimethylpiperidinium Chlorid', '1,1-dimethylpiperidin-1-ium;chloride', 'Mepiquat chloride [ISO]', 'Mepiquat chloride(Px)', 'ACMC-209gao', 'DSSTox_CID_4170', 'DSSTox_RID_77314', 'DSSTox_GSID_24170', 'SCHEMBL144558', 'CHEMBL2137534', 'DTXSID1024170', 'CTK8B1286', 'BAS 083', 'BAS-85559X', 'KS-00000GJ3', 'Tox21_300773', 'ANW-25390', 'AKOS006228275', 'LS40575', 'Mepiquat chloride 10 microg/mL in Water', 'NCGC00164455-01', 'NCGC00254677-01', 'AS-13931', 'CC-30206', 'M638', 'AX8137427', 'CAS-24307-26-4', 'DB-046390', 'LS-116499', 'D4016', 'FT-0628210', 'C18475', 'A817209', 'C-02752', 'Mepiquat chloride, PESTANAL(R), analytical standard', 'Q17048488']</t>
  </si>
  <si>
    <t>Compound(62781)</t>
  </si>
  <si>
    <t>C7H16ClN</t>
  </si>
  <si>
    <t>1,1-dimethylpiperidin-1-ium</t>
  </si>
  <si>
    <t>['Mepiquat', '15302-91-7', 'Piperidinium, 1,1-dimethyl-', '1,1-dimethylpiperidinium', 'UNII-S2SFZ0Z4TW', '1,1-dimethylpiperidin-1-ium', '1,1-Dimethylpiperidinium ion', 'S2SFZ0Z4TW', 'Mepiquat [BSI:ISO]', 'Mepiquatchlorid', 'mepiquat-chloride', '1,1-Dimethylpiperidinium (8CI)(9CI)', 'n,n-dimethylpiperidinium', 'SCHEMBL67996', '1,1-dimethylhexahydropyridinium', 'CHEMBL2220867', 'DTXSID9042122', 'CHEBI:90548', 'ZINC1504039', 'MCULE-6801078398', 'NCGC00164455-02', 'NCGC00164455-03', 'NS00006124', '302M917', 'Q27162610', 'Mepiquat;1,1-dimethylpiperidinium chloride;Mepiquat chloride']</t>
  </si>
  <si>
    <t>Compound(18743)</t>
  </si>
  <si>
    <t>C7H16N+</t>
  </si>
  <si>
    <t>tris(butylsulfanyl)phosphane</t>
  </si>
  <si>
    <t>['MERPHOS', 'Tributyl phosphorotrithioite', 'Deleaf defoliant', '150-50-5', 'Easy off-D', 'Tributyl trithiophosphite', 'Phosphorotrithious acid, tributyl ester', 'Chemagro B-1776', 'Tributylthiofosfin', 'Folex 6EC', 'tris(butylsulfanyl)phosphane', 'Caswell No. 865', 'Butyl phosphorotrithioite ((BuS)3P)', 'NSC 27720', 'Butyl phosphorotrithioite', 'S,S,S-Tributyl trithiophosphite', 'S,S,S-Tributyl phosphorotrithioite', 'Tributylthiofosfin [Czech]', 'UNII-RN743HTX76', 'HSDB 1777', 'Phosphorotrithious acid, S,S,S-tributyl ester', 'EINECS 205-761-4', 'EPA Pesticide Chemical Code 074901', 'BRN 1703869', 'AI3-25783', 'RN743HTX76', 'Tris(butylthio)phosphine', 'Tributylphosphoro-trithioite', '4-01-00-01564 (Beilstein Handbook Reference)', 'S,S-Tributyl trithiophosphite', 'SCHEMBL123325', 'DTXSID6024173', 'S,S-Tributyl phosphorotrithioite', 'WLN: 4SPS4 &amp; S4', 'CTK8G0802', 'NSC27720', 'ZINC1641617', 'NSC-27720', 'S,S\',S"-Tributyl phosphorotrithioite', "S,S',S'-tributyl phosphorotrithioite", "S,S',S''-Tributyl phosphorotrithioite", 'Phosphorotrithious acid,S,S-tributyl ester', 'LS-108990', 'FT-0671104', 'NS00006285', 'J-008713', 'Q17326638', 'Merphos. Short expiry date due to chemical nature of component(s)', 'S,S,S-tributyl phosphorotrithioite;tris(butylsulfanyl)phosphane;Phosphorotrithious acid, tributyl ester']</t>
  </si>
  <si>
    <t>Compound(9011)</t>
  </si>
  <si>
    <t>C12H27PS3</t>
  </si>
  <si>
    <t>5-amino-2-hydroxybenzoic acid</t>
  </si>
  <si>
    <t>['5-Aminosalicylic acid', 'mesalamine', 'Mesalazine', '5-Amino-2-hydroxybenzoic acid', '89-57-6', 'Asacol', 'Pentasa', 'Claversal', 'Canasa', '5-ASA', 'Salofalk', 'Rowasa', 'm-Aminosalicylic acid', 'Mesasal', 'Lialda', 'Benzoic acid, 5-amino-2-hydroxy-', 'Fisalamine', 'Lixacol', 'Apriso', 'p-Aminosalicylsaeure', 'Asacolitin', 'Mesalazina', 'Mesalazinum', 'sfRowasa', '5-amino-2-hydroxy-benzoic acid', 'Asacol HD', 'Mesalazinum [Latin]', '5-Amino Salicylic Acid', 'Mesalamine [USAN]', 'Mesalazina [Spanish]', 'p-Aminosalicylsaeure [German]', '2-Hydroxy-5-aminobenzoic acid', '3-carboxy-4-hydroxyaniline', 'SALICYLIC ACID, 5-AMINO-', 'UNII-4Q81I59GXC', 'MFCD00007877', 'NSC 38877', 'CCRIS 7334', 'MAX-002', 'EINECS 201-919-1', 'BRN 2090421', 'AI3-15564', 'MLS001424012', '4Q81I59GXC', 'CHEBI:6775', 'mesalamine (USAN)', 'NSC-38877', 'CAS-89-57-6', 'NCGC00016344-03', 'SMR000145728', 'DSSTox_CID_4506', 'DSSTox_RID_77435', 'DSSTox_GSID_24506', '5-Aminosalicylic acid, 99%', 'Mesavancol', 'Delzicol', 'Mesavance', 'Mezavant', 'Iialda', 'Mesalazine MMX', 'Mezavant XL', 'Mesalamine (USP)', 'Pentasa (TN)', '5-Aminosalicylicacid', 'Salofalk Granu-Stix', 'Apriso (TN)', 'Asacol (TN)', 'Canasa (TN)', 'Lialda (TN)', 'Rowasa (TN)', '5-AS', 'meta-Aminosalicylic Acid', 'SR-01000763486', 'Mesalamine [USAN:USP]', 'Mesalazin', '5-Aminosalicylic Acid, Purified', 'HSDB 7512', 'AJG-501', 'SPD 476', 'SPD-476', 'SPD-480', 'Mesalamine (TN)', 'Delzicol (TN)', 'Sfrowasa (TN)', 'Mesalazine [INN]', 'Mesalamine (Lialda)', '5-aminosalicylic_acid', 'MD-0901', '5-Aminosalicyclic acid', '5-amino-salicylic acid', 'PubChem17623', 'Mesalamine|||Mesalazine', 'ACMC-1BKFR', 'Prestwick0_001069', 'Prestwick1_001069', 'Prestwick2_001069', 'Prestwick3_001069', 'WLN: ZR DQ CVQ', 'Z-206', 'CHEMBL704', 'Mesalazine (JP17/INN)', 'EC 201-919-1', 'cid_4075', 'Oprea1_847633', 'SCHEMBL31297', '3amino-6-hydroxybenzoic acid', '5-amino-2-hydroxybenzoicacid', 'BSPBio_001058', 'KBioGR_002425', 'KBioSS_002431', '4-14-00-02058 (Beilstein Handbook Reference)', 'KSC448C0L', 'MLS000758287', '5-Aminosalicylic acid, 95%', '5-Aminosalicylic acid, tablet', 'ARONIS23914', 'BIDD:GT0811', '3-amino-6-hydroxybenzoic acid', 'SPBio_002969', 'BPBio1_001164', 'GTPL2700', 'ZINC1688', '5-Amino 2-hydroxy benzoic acid', 'DTXSID5024506', 'SCHEMBL18038934', '5-Aminosalicylic acid, &gt;=99%', 'BDBM60918', 'CTK3E8105', 'KBio2_002425', 'KBio2_004993', 'KBio2_007561', 'KBio3_002904', 'cMAP_000045', 'HMS1571E20', 'HMS2051M21', 'HMS2090I09', 'HMS2098E20', 'HMS3393M21', 'HMS3649K15', 'HMS3651M15', 'HMS3715E20', 'Pharmakon1600-01505993', 'BCP05326', 'KS-00000CC5', 'KS-000048PQ', 'NSC38877', 'Tox21_110384', 'Tox21_201610', 'Tox21_303125', '5-?Aminosalicylic Acid (Mesalazine)', 'ANW-39326', 'BBL013046', 'NSC759301', 's1681', 'SBB052617', 'STK301678', 'AKOS000118959', 'Tox21_110384_1', 'AC-2764', 'BCP9000175', 'CCG-100829', 'CS-2219', 'DB00244', 'HS-0100', 'LS-1894', 'LS11426', 'MCULE-5752745805', 'NC00079', 'NSC-759301', 'NCGC00016344-01', 'NCGC00016344-02', 'NCGC00016344-04', 'NCGC00016344-05', 'NCGC00016344-07', 'NCGC00090934-01', 'NCGC00090934-02', 'NCGC00257142-01', 'NCGC00259159-01', '5-amino-2-hydroxobenzoic acid monohydrate', 'AK-72925', 'BP-13074', 'BR-72925', 'HY-15027', 'SC-15695', 'SY002854', '5-Aminosalicylic acid, analytical standard', 'ST4109571', 'A0317', 'AB00374979', 'AM20060091', 'FT-0619950', 'NS00004165', 'SW197303-4', '1764-EP2272825A2', '1764-EP2275420A1', 'C07138', 'D00377', 'M-7246', '24215-EP2289518A1', '24215-EP2295053A1', '24215-EP2295409A1', '24215-EP2314574A1', '24215-EP2314590A1', '90701-EP2371811A2', 'AB00374979-09', 'AB00374979-10', 'AB00374979_11', 'AB00374979_12', 'Q412479', '5-amino-2-hydroxybenzoic acid,5-Aminosalicylic acid', 'Q-201355', 'SR-01000763486-3', 'SR-01000763486-4', 'SR-01000763486-9', 'Z57127471', 'F1918-0003', 'Mesalazine, European Pharmacopoeia (EP) Reference Standard', 'Mesalamine, United States Pharmacopeia (USP) Reference Standard', 'Mesalamine, Pharmaceutical Secondary Standard; Certified Reference Material', 'Mesalazine for system suitability, European Pharmacopoeia (EP) Reference Standard']</t>
  </si>
  <si>
    <t>Compound(4075)</t>
  </si>
  <si>
    <t>(8R,9S,13S,14S,17R)-17-ethynyl-3-methoxy-13-methyl-7,8,9,11,12,14,15,16-octahydro-6H-cyclopenta[a]phenanthren-17-ol</t>
  </si>
  <si>
    <t>['mestranol', '72-33-3', 'Norquen', 'Menophase', 'Devocin', 'Ovastol', 'Ethynylestradiol 3-methyl ether', 'Mestranolum', '3-Methoxyethynylestradiol', 'EE(sub3)ME', 'delta-MVE', 'Ethynylestradiol methyl ether', '3-Methylethynylestradiol', 'EE3ME', 'Inostral (steroid)', 'Mestranolo [DCIT]', '3-O-Methylethynylestradiol', 'Compound 33355', 'Inostral', '3-Methylethynyloestradiol', '3-Methoxyethynyloestradiol', 'Mestranolum [INN-Latin]', '3-Methoxy-17alpha-ethynylestradiol', 'Caswell No. 547A', 'Ethinylestradiol 3-methyl ether', 'Ethinyloestradiol 3-methyl ether', 'Ethynyloestradiol 3-methyl ether', 'SC 4725', '17alpha-Ethinyl estradiol 3-methyl ether', '3-Methoxy-17alpha-ethinylestradiol', '17-Ethynylestradiol 3-methyl ether', '3-Methoxy-17alpha-ethinyloestradiol', '3-Methoxy-17alpha-ethynyloestradiol', '17-Ethynyloestradiol 3-methyl ether', '3-Methoxy-17-alpha-ethinylestradiol', '3-Methoxy-17-alpha-ethynylestradiol', 'UNII-B2V233XGE7', '17alpha-Ethynylestradiol methyl ether', '3-Methoxy-17-alpha-ethinyloestradiol', '3-Methoxy-17-alpha-ethynyloestradiol', 'CCRIS 377', 'component of Norinyl', '17-alpha-Ethynyloestradiol methyl ether', '17alpha-Ethinylestradiol 3-methyl ether', '17alpha-Ethynylestradiol 3-methyl ether', '17alpha-Ethynyloestradiol 3-methyl ether', '3-Methoxy-17-ethynyloestradiol-17-beta', 'Mestranol [Steroidal oestrogens]', '17alpha-Ethinyl oestradiol 3-methyl ether', '17-alpha-Ethinyl estradiol 3-methyl ether', 'HSDB 3588', '17-alpha-Ethinyl oestradiol 3-methyl ether', 'component of Ortho-Novum', 'EINECS 200-777-8', 'NSC 84032', '(8R,9S,13S,14S,17R)-17-Ethynyl-3-methoxy-13-methyl-7,8,9,11,12,13,14,15,16,17-decahydro-6H-cyclopenta[a]phenanthren-17-ol', 'EE3-ME', 'EPA Pesticide Chemical Code 115401', '17beta-Estradiol, 17-ethynyl-, 3-(methyl ether)', 'BRN 2625905', 'AI3-51798', 'MLS000028595', '17-Ethynyl-3-methoxy-1,3,5(10)-oestratien-17-beta-ol', 'B2V233XGE7', 'CHEBI:6784', '3-Methoxy-17alpha-ethynyl-1,3,5(10)-estratrien-17beta-ol', '3-Methoxy-17alpha-ethynyl-1,3,5(10)-oestratrien-17beta-ol', '17-alpha-Ethynyl-3-methoxy-1,3,5(10)-estratrien-17-beta-ol', '3-Methoxy-17-alpha-ethynyl-1,3,5(10)-estratrien-17-beta-ol', '3-Methoxy-17-alpha-ethynyl-1,3,5(10)-oestratrien-17-beta-ol', '3-Methoxy-17-alpha-19-norpregna-1,3,5(10)-trien-20-yn-17-ol', '3-Methoxy-19-nor-17-alpha-pregna-1,3,5(10)-trien-20-yn-17-ol', '3-Methoxy-19-nor-17alpha-pregna-1,3,5(10)-trien-20-yn-17-ol', '19-Norpregna-1,3,5(10)-trien-20-yn-17-ol, 3-methoxy-, (17alpha)-', 'component of Ovulen', 'component of Norquen', '(8R,9S,13S,14S,17R)-17-ethynyl-3-methoxy-13-methyl-7,8,9,11,12,14,15,16-octahydro-6H-cyclopenta[a]phenanthren-17-ol', 'NCGC00093347-02', 'Estra-1,3,5(10)-trien-17beta-ol, 17-ethynyl-3-methoxy-', 'Mestranolo', 'SMR000059128', '(17beta)-17-ethynyl-3-(methyloxy)estra-1,3,5(10)-trien-17-ol', '17alpha-19-Norpregna-1,3,5(10)-trien-20-yn-17-ol, 3-methoxy-', 'DSSTox_CID_814', 'Estra-1,3,5(10)-trien-17-beta-ol, 17-alpha-ethynyl-3-methoxy-', '(+)-17-alpha-Ethynyl-17-beta-hydroxy-3-methoxy-1,3,5(10)-estratriene', '(17-alpha)-3-Methoxy-19-norpregna-1,3,5(10)-trien-20-yn-17-ol', '(+)-17-alpha-Ethynyl-17-beta-hydroxy-3-methoxy-1,3,5(10)-oestratriene', '17-alpha-Ethynyl-3-methoxy-17-beta-hydroxy-delta-1,3,5(10)-estratriene', '17-alpha-Ethynyl-3-methoxy-17-beta-hydroxy-delta-1,3,5(10)-oestratriene', '3,17-beta-Dihydroxy-17-alpha-ethynyl-1,3,5(10)-estratriene-3-methyl ether', 'DSSTox_RID_75804', 'DSSTox_GSID_20814', '.delta.-MVE', '17-alpha-19-Norpregna-1,3,5(10)-trien-20-yn-17-ol, 3-methoxy-', '19-Nor-17alpha-pregna-1,3,5(10)-trien-20-yn-17-ol, 3-methoxy-', '17-Ethynyl-3-methoxyestra-1,3,5(10)-trien-17-ol', '8027 C. B.', 'Mestranol [USAN:INN:BAN:JAN]', 'NSC84032', 'Ethinyl Estradiol 3-Methyl Ether', 'CAS-72-33-3', 'Prestwick_966', 'Mestranol, 99%', 'Mestranol [USAN:USP:INN:BAN:JAN]', 'Opera_ID_872', 'Prestwick0_000846', 'Prestwick1_000846', 'Prestwick2_000846', 'Prestwick3_000846', 'SCHEMBL41391', 'BSPBio_000831', 'MLS001077321', 'MLS001424224', 'ARONIS24415', 'BIDD:ER0199', 'SPBio_002752', 'Mestranol (JP17/USP/INN)', 'BPBio1_000915', 'ethynylestradiol-3-methyl ether', 'GTPL7087', '17-ethynyl-3-methoxyestra-1(10),2,4-trien-17beta-ol', 'CHEMBL1201151', 'DTXSID0020814', '17-ethynyl-3-methoxyoestra-1(10),2,4-trien-17beta-ol', 'BBC/579', '3-Methoxy-19-norpregna-1,3,5(10)-trien-20-yn-17beta-ol', 'HMS1570J13', 'HMS2051J22', 'HMS2097J13', 'HMS2230L20', 'HMS3714J13', 'HY-B0390', 'ZINC3815424', 'Tox21_111200', 'Tox21_301837', 'ANW-41268', 'SBB066071', 'AKOS005267152', 'Tox21_111200_1', 'ACN-043356', 'CCG-101067', 'CS-2476', 'DB01357', 'LS-7485', 'MCULE-6161762887', 'NC00317', 'NCGC00093347-03', 'NCGC00093347-05', 'NCGC00179410-01', 'NCGC00255342-01', 'AC-13293', 'AS-56063', 'H072', '8027 C. B', 'S2125', 'Mestranol, VETRANAL(TM), analytical standard', 'C07618', 'D00575', '003M689', 'Q904308', 'SR-01000695429', 'SR-01000695429-4', 'BRD-K31920458-001-03-8', 'BRD-K31920458-001-23-6', 'Mestranol, European Pharmacopoeia (EP) Reference Standard', '(17beta)-17-ethynyl-3-methoxyestra-1(10),2,4-trien-17-ol', '(17beta)-17-Ethynyl-3-methoxyestra-1,3,5(10)-trien-17-ol', 'Mestranol, United States Pharmacopeia (USP) Reference Standard', '(17alpha)-3-Methoxy-19-norpregna-1,3,5(10)-trien-20-yn-17-ol', '17.Alpha.-19-Norpregna-1,3,5(10)-trien-20-yn-17-ol, 3-meth', '(+)-17alpha-Ethynyl-17beta-hydroxy-3-methoxy-1,3,5(10)-estratriene', '(+)-17alpha-Ethynyl-17beta-hydroxy-3-methoxy-1,3,5(10)-oestratriene', '(+ )-17.alpha.-Ethynyl-17.beta.-hydroxy-3-methoxy-1,3, 5(10)-oestratriene', '(+)-17.alpha.-Ethynyl-17.beta.-hydroxy-3-methoxy-1,3, 5(10)-estratriene', '(1S,10R,11S,14R,15S)-14-ethynyl-5-methoxy-15-methyltetracyclo[8.7.0.0^{2,7}.0^{11,15}]heptadeca-2(7),3,5-trien-14-ol', '(1S,11S,15S,10R,14R)-14-ethynyl-5-methoxy-15-methyltetracyclo[8.7.0.0&lt;2,7&gt;.0&lt;1 1,15&gt;]heptadeca-2(7),3,5-trien-14-ol', '(8R,13S,17R)-17-Ethynyl-3-methoxy-13-methyl-7,8,9,11,12,13,14,15,16,17-decahydro-6H-cyclopenta[a]phenanthren-17-ol']</t>
  </si>
  <si>
    <t>Compound(6291)</t>
  </si>
  <si>
    <t>C21H26O2</t>
  </si>
  <si>
    <t>methyl 2-[(4,6-dimethoxypyrimidin-2-yl)carbamoylsulfamoyl]-4-(methanesulfonamidomethyl)benzoate</t>
  </si>
  <si>
    <t>['Mesosulfuron-methyl', '208465-21-8', 'Mesomaxx', 'Mesosulfuron-methyl [ISO]', 'UNII-22L00R79A6', '22L00R79A6', 'AK163207', 'methyl 2-[(4,6-dimethoxypyrimidin-2-yl)carbamoylsulfamoyl]-4-(methanesulfonamidomethyl)benzoate', 'Benzoic acid, 2-(4,6-dimethoxy-2-pyrimidinyl)aminocarbonylaminosulfonyl-4-(methylsulfonyl)amin', 'Benzoic acid, 2-(((((4,6-dimethoxy-2-pyrimidinyl)amino)carbonyl)amino)sulfonyl)-4-(((methylsulfonyl)amino)methyl)-, methyl ester', 'Benzoic acid, 2-[[[[(4,6-dimethoxy-2-pyrimidinyl)amino]carbonyl]amino]sulfonyl]-4-[[(methylsulfonyl)amino]methyl]-, methyl ester', 'methyl 2-(N-((4,6-dimethoxypyrimidin-2-yl)carbamoyl)sulfamoyl)-4-(methylsulfonamidomethyl)benzoate', 'SCHEMBL116828', 'CHEMBL1883630', 'DTXSID6034712', 'HSDB 7889', 'KS-00000GJA', 'C17H21N5O9S2', 'ZINC13831533', 'ACN-036316', 'DS-8021', 'NCGC00168322-01', 'AC-28793', 'ACM208465218', 'O810', 'SC-97106', 'AX8137542', 'LS-182386', 'NS00009416', '465M218', 'J-013673', 'Mesosulfuron-methyl, PESTANAL(R), analytical standard', 'Q27253658', '2-[(4,6-dimethoxypyrimidin-2-yl)carbamoylsulfamoyl]-4-(methanesulfonamidomethyl)benzoic acid methyl ester', 'methyl 2-({[(4,6-dimethoxypyrimidin-2-yl)carbamoyl]amino}sulfonyl)-4-{[(methylsulfonyl)amino]methyl}benzoate', 'methyl 2-(N-(4,6-dimethoxypyrimidin-2-ylcarbamoyl)sulfamoyl)-4-(methylsulfonamidomethyl)benzoate', 'methyl 2-[(4,6-dimethoxypyrimidin-2-ylcarbamoyl)sulfamoyl]-alpha-(methanesulfonamido)-p-toluate;Benzoic acid, 2-[[[[(4,6-dimethoxy-2-pyrimidinyl)amino]carbonyl]amino]sulfonyl]-4-[[(methylsulfonyl)amino]methyl]-, methyl ester', 'Methyl 2-{[(4,6-dimethoxypyrimidin-2-yl)carbamoyl]sulfamoyl}-4-{[(methanesulfonyl)amino]methyl}benzoate']</t>
  </si>
  <si>
    <t>Compound(11409499)</t>
  </si>
  <si>
    <t>C17H21N5O9S2</t>
  </si>
  <si>
    <t>2-(4-methylsulfonyl-2-nitrobenzoyl)cyclohexane-1,3-dione</t>
  </si>
  <si>
    <t>['Mesotrione', '104206-82-8', '2-(4-(Methylsulfonyl)-2-nitrobenzoyl)cyclohexane-1,3-dione', 'UNII-48TR68G21T', '1,3-Cyclohexanedione, 2-[4-(methylsulfonyl)-2-nitrobenzoyl]-', 'CHEBI:38321', '2-[4-(methylsulfonyl)-2-nitrobenzoyl]-1,3-cyclohexanedione', '48TR68G21T', '(2-nitro-4-(methylsullfonyl))benzoylcyclohexane-1,3-dione', '2-(4-methylsulfonyl-2-nitrobenzoyl)cyclohexane-1,3-dione', 'NCGC00163843-03', '2-[4-(methanesulfonyl)-2-nitrobenzoyl]cyclohexane-1,3-dione', '2-(4-methylsulphonyl-2-nitrobenzoyl)-1,3-cyclohexanedione', "2-(2'-nitro-4'-methylsulfonylbenzoyl)cyclohexane-1,3-dione", '1,3-Cyclohexanedione, 2-(4-(methylsulfonyl)-2-nitrobenzoyl)-', 'Mesotrione [ISO]', '2-(4-Mesyl-2-nitrobenzoyl)-1,3-cyclohexanedione', 'Mesotrion', 'Tenacity', '2-[4-(methylsulfonyl)-2-nitrobenzoyl]cyclohexane-1,3-dione', 'C14H13NO7S', 'HSDB 7250', 'ZA 1296', 'EINECS Annex I Index 609-064-00-X', 'DSSTox_CID_12424', 'DSSTox_RID_78945', 'DSSTox_GSID_32424', 'SCHEMBL22116', 'CHEMBL1873440', 'DTXSID7032424', 'BCP31203', 'KS-00000Q3K', 'Tox21_400050', 'BDBM50264337', 'AKOS015895775', 'ZINC100004047', 'NCGC00163843-01', 'NCGC00163843-02', 'NCGC00163843-04', 'AK321877', 'CC-30237', 'DS-11960', 'HY-12853', 'CAS-104206-82-8', 'CS-0012728', 'FT-0631031', 'NS00000240', 'Z1948', 'Mesotrione, PESTANAL(R), analytical standard', '206M828', 'A800923', 'C-20293', 'Q409390', 'J-001131', '2-(2-nitro-4-methanesulphonyl benzoyl)cyclohexan-1,3-dione', '1,3-Cyclohexanedione, 2-4-(methylsulfonyl)-2-nitrobenzoyl-', "2-(2'-nitro-4'-methylsulphonylbenzoyl)-1,3-cyclohexanedione", '2-(4-methylsulfonyl-2-nitro-phenyl)carbonylcyclohexane-1,3-dione', '2-[(4-methylsulfonyl-2-nitrophenyl)-oxomethyl]cyclohexane-1,3-dione', '1,3-Cyclohexanedione, 2-[4-(methylsulfonyl)-2-nitrobenzoyl]-;Mesotrione']</t>
  </si>
  <si>
    <t>Compound(175967)</t>
  </si>
  <si>
    <t>C14H13NO7S</t>
  </si>
  <si>
    <t>mesityl oxide</t>
  </si>
  <si>
    <t>4-methylpent-3-en-2-one</t>
  </si>
  <si>
    <t>['MESITYL OXIDE', '4-Methylpent-3-en-2-one', '141-79-7', '4-Methyl-3-penten-2-one', '3-Penten-2-one, 4-methyl-', 'Methyl isobutenyl ketone', 'Isopropylideneacetone', 'Isobutenyl methyl ketone', 'Mesityloxid', 'Mesityloxyde', '3-Isohexen-2-one', 'Isopropylidene acetone', 'Oxyde de mesityle', 'Ossido di mesitile', 'Acetone, isopropylidene-', 'Methyl 2-methyl-1-propenyl ketone', '2-Methyl-2-pentenone-4', 'Methyl 2,2-dimethylvinyl ketone', '4-Metil-3-penten-2-one', '2-Methyl-4-oxo-2-pentene', '2,2-Dimethylvinyl methyl ketone', '4-Methyl-3-penten-2-on', '4-Methyl-3-pentene-2-one', 'Mesityloxid [German]', 'Mesityloxyde [Dutch]', 'Caswell No. 547', 'FEMA Number 3368', '2-Methyl-2-penten-4-one', 'Oxyde de mesityle [French]', 'NSC 38717', 'Ossido di mesitile [Italian]', 'FEMA No. 3368', 'UNII-77LAC84669', 'HSDB 1195', '4-Methyl-3-penten-2-one, 9CI', 'EINECS 205-502-5', '4-Metil-3-penten-2-one [Italian]', 'UN1229', 'EPA Pesticide Chemical Code 052401', 'BRN 1361550', '4-methyl-pent-3-en-2-one', '4-Methyl-3-penten-2-on [Dutch, German]', 'AI3-07702', 'CHEBI:89993', '(CH3)2C=CHC(=O)CH3', '77LAC84669', 'Mesityl oxide [UN1229] [Flammable liquid]', 'DSSTox_CID_9170', 'DSSTox_RID_78697', 'DSSTox_GSID_29170', 'CAS-141-79-7', 'Mesityl oxide, 99%, mixture of alpha- and beta-isomers', 'Mesityloxid(german)', 'MFCD00008900', 'Isopropylidene-Acetone', 'ACMC-1BOEP', 'EC 205-502-5', '2-methylpent-2-en-4-one', '1-Methylpent-2-en-4-one', '4-Methylpent-3-en-2-one.', 'KSC494O1D', 'CHEMBL3185916', 'DTXSID1029170', 'CTK3J4711', 'FEMA 3368', 'KS-00000WGV', 'WLN: 1Y1 &amp; U1V1', '4-Methyl-3-penten-2-one, 90%', 'NSC38717', 'Tox21_202080', 'Tox21_303606', '7471AF', 'ANW-41508', 'BBL027732', 'LMFA12000030', 'NSC-38717', 'SBB040870', 'STL146350', 'Mesityl oxide, technical grade, 90%', 'AKOS000118892', 'ZINC100019800', 'LS-2950', 'MCULE-4922478422', 'UN 1229', 'NCGC00249161-01', 'NCGC00257514-01', 'NCGC00259629-01', 'SC-47106', '4-Methyl-3-penten-2-one (mesityl oxide)', '4-Methyl-3-penten-2-on(DUTCH, GERMAN)', 'FT-0628235', 'M0069', 'M1340', 'NS00006985', '3-PENTEN,2-ONE,4-METHYL MESITYLOXIDE', 'Mesityl oxide [UN1229]  [Flammable liquid]', '3-PENTEN,2-ONE,4-METHYL   MESITYLOXIDE', 'A807813', 'Q425668', '3 - Methyl - 4 - methylene - hexane - 2 - one', 'Q-201356', '4-Methyl-3-penten-2-one, analytical reference material', 'Mesityl oxide, European Pharmacopoeia (EP) Reference Standard', '4-Methyl-3-penten-2-one, 9CI;4-METHYLPENT-3-EN-2-ONE;4-methylpent-3-en-2-one', 'Mesityl Oxide, Pharmaceutical Secondary Standard; Certified Reference Material', 'Mesityl oxide, suitable for neutral marker for measuring electroosmotic flow (EOF), ~98%']</t>
  </si>
  <si>
    <t>Compound(8858)</t>
  </si>
  <si>
    <t>metham sodium</t>
  </si>
  <si>
    <t>sodium;N-methylcarbamodithioate</t>
  </si>
  <si>
    <t>['Metam-sodium', 'Metham sodium', 'Metam sodium', 'Carbathione', '137-42-8', 'Carbathion', 'Carbothion', 'Metamsodium', 'SODIUM METHYLDITHIOCARBAMATE', 'Nematin', 'Carbam', 'Vapam', 'Carbation', 'Karbation', 'Mapasol', 'Masposol', 'Sepivam', 'SMDC', 'Solasan', 'Sometam', 'Trimaton', 'Vaporooter', 'Sistan', 'Geort', 'Monam', 'Basamid-fluid', 'Methan-sodium', 'Sodium metam', 'Sodium metham', 'Metham dihydrate', 'Sodium N-methyldithiocarbamate', 'Sectagon II', 'Soil-Prep', 'Metam-fluid Basf', 'Metham [German]', 'Methylcarbamodithioic acid sodium salt', 'VPM (fungicide)', 'A7 Vapam', 'Sodium methylcarbamodithioate', 'Solasan 500', 'Solesan 500', 'Caswell No. 780', 'Metam-Sodium [ISO]', 'Metham sodium (VAN)', 'Methan-sodium dihydrate', 'Sodium N-methylaminodithioformate', 'UNII-3CD7UKN224', 'Methyldithiocarbamic acid, sodium salt', 'Carbamodithioic acid, methyl-, monosodium salt', 'Sodium monomethyldithiocarbamate', 'Metham', 'Diethylamino-2,6-acetoxylidide', 'Metam sodium solution', 'Monosodium methylcarbamodithioate', 'HSDB 1767', 'Methyldithiokarbaman sodny [Czech]', 'BAY 5590', 'NSC 3515', 'EINECS 205-293-0', 'EPA Pesticide Chemical Code 039003', 'Sodium N-methyldithiocarbamate dihydrate', 'Sodium N-methylaminomethanethionothiolate', 'Natrium-N-methyl-dithiocarbamaat [Dutch]', 'Natrium-N-methyl-dithiocarbamat [German]', 'N-Methylaminodithioformic acid sodium salt', 'N-Methyldithiocarbamate de sodium [French]', 'Methyldithiokarbaman sodny dihydrat [Czech]', 'N-Metil-ditiocarbammato di sodio [Italian]', '3CD7UKN224', 'Carbamic acid, N-methyldithio-, sodium salt', 'N 869', 'N-869', 'UNII-KVF5FZ1B0P', 'Carbamic acid, methyldithio-, monosodium salt', 'CHEBI:81737', 'Metam-sodium [Dutch, French, German, Italian]', 'N-Methylaminomethanethionothiolic acid sodium salt', 'Carbamic acid, methyldithio-, sodium salt, dihydrate', 'Natrium-N-methyl-dithiocarbamat', 'Sodium N-methyldithiocarbamate solution', 'Natrium-N-methyl-dithiocarbamaat', 'Carbamodithioic acid, methyl-, monosodium salt, dihydrate', 'N-Methyldithiocarbamate de sodium', 'N-Metil-ditiocarbammato di sodio', 'Sodium methyldithiocarbamate dihydrate', 'C2H4NS2.Na', 'KVF5FZ1B0P', 'Metam-sodium / Carbathion', 'VDM', 'VPM', 'iron methyldithiocarbamate', 'Methyldithiokarbaman sodny', 'Methyldithiokarbaman sodny dihydrat', 'magnesium (2:1) methyldithiocarbamate', 'monosodium methyldithiocarbamate dihydrate', 'C2H4NNaS2', 'DSSTox_CID_9167', 'DSSTox_RID_78695', 'DSSTox_GSID_29167', 'SCHEMBL22057', 'CHEMBL2251719', 'DTXSID2029167', 'CTK8E6704', 'sodium (methylcarbamothioyl)sulfanide', 'Tox21_302361', 'AKOS003375866', 'AKOS006282527', 'NCGC00255300-01', 'CAS-137-42-8', 'LS-50167', 'LS-50168', 'O447', 'FT-0694890', 'C18424', '133218-EP2269989A1', '133218-EP2269990A1', '133218-EP2295406A1', '137M428', 'Q412432', 'J-007020', 'Carbamic acid, methyldithio-, monosodium salt (8CI)', 'Carbamodithioic acid, methyl-, monosodium salt (9CI)', 'Carbamodithioic acid, methyl-, monosodium salt, dihydrate (9CI)']</t>
  </si>
  <si>
    <t>Compound(5366415)</t>
  </si>
  <si>
    <t>C2H4NNaS2</t>
  </si>
  <si>
    <t>methacrylic acid</t>
  </si>
  <si>
    <t>2-methylprop-2-enoic acid</t>
  </si>
  <si>
    <t>['METHACRYLIC ACID', '79-41-4', '2-Methylacrylic acid', '2-Propenoic acid, 2-methyl-', 'Methylacrylic acid', '2-Methylpropenoic acid', '2-methylprop-2-enoic acid', '2-Methyl-2-propenoic acid', 'alpha-Methylacrylic acid', '2-Methylenepropionic acid', 'Acrylic acid, 2-methyl-', 'alpha-Methacrylic acid', 'Propionic acid, 2-methylene-', 'Polymethacrylic acid', 'Kyselina methakrylova', 'Methacrylsaeure', 'Methakrylsaeure', 'Propenoic acid, 2-methyl', 'NSC 7393', 'Acido metacrilico [Spanish]', 'Acide methacrylique [French]', 'Kyselina methakrylova [Czech]', '2-Methylpropensaeure', 'CCRIS 5925', 'UNII-1CS02G8656', '2-Methyl-acrylic acid', 'HSDB 2649', '.alpha.-Methacrylic acid', 'EINECS 201-204-4', 'UN2531', '.alpha.-Methylacrylic acid', 'BRN 1719937', 'AI3-15724', 'CHEBI:25219', '1CS02G8656', 'MFCD00002651', 'Acido metacrilico', '2-Propenoic acid, 2-methyl-, homopolymer', 'Methacrylic acid homopolymer', 'Acide methacrylique', 'Methacrylic acid, 99.5%, extra pure, stabilized', 'methacrylicacid', '25087-26-7', 'Methyl acrylic acid', 'GMAA Methacrylic Acid', 'Methacrylic acid glacial', 'Methacrylic acid monomer', 'ACMC-1CUMF', 'Glacial Methacrylic Acid', 'DSSTox_CID_5542', 'CH2=C(CH3)COOH', 'EC 201-204-4', 'Methacrylic acid, inhibited', 'DSSTox_RID_77824', 'DSSTox_GSID_25542', 'WLN: QVY1&amp;U1', '2-Propenoicacid, 2-methyl-', '4-02-00-01518 (Beilstein Handbook Reference)', 'KSC377I3H', 'UN 2531 (Salt/Mix)', 'CHEMBL1213531', 'DTXSID3025542', 'CTK2H7433', 'KS-00000VCC', 'NSC7393', 'NSC-7393', 'STR02118', 'ZINC1683524', 'Tox21_200826', 'ANW-41488', 'BBL011616', 'STL163339', 'AKOS000121138', 'LS-1782', 'MCULE-9899621926', 'CAS-79-41-4', 'Methacrylic acid, inhibited (Salt/Mix)', 'NCGC00248843-01', 'NCGC00258380-01', 'BP-30227', 'K406', 'SC-74714', 'FT-0613003', 'M0079', 'NS00010058', '1375-EP2272822A1', '1375-EP2272849A1', '1375-EP2275418A1', '1375-EP2289896A1', '1375-EP2292612A2', '1375-EP2295406A1', '1375-EP2298313A1', '1375-EP2298753A1', '1375-EP2302003A1', '1375-EP2305219A1', '1375-EP2305683A1', '1375-EP2308492A1', '1375-EP2308857A1', '1375-EP2308864A1', '1375-EP2311839A1', '1375-EP2314584A1', '1375-EP2314589A1', '1375-EP2316837A1', '1375-EP2371803A1', '1375-EP2374538A1', '1375-EP2377843A1', '1375-EP2377847A1', 'Methacrylic acid, SAJ first grade, &gt;=98.0%', 'Q165949', 'J-521686', 'Methacrylic acid, inhibited [UN2531]  [Corrosive]', 'Methacrylic acid, inhibited [UN2531] [Corrosive]', 'Methacrylic acid, contains 250 ppm MEHQ as inhibitor, 99%']</t>
  </si>
  <si>
    <t>Compound(4093)</t>
  </si>
  <si>
    <t>3-(4-bromophenyl)-1-methoxy-1-methylurea</t>
  </si>
  <si>
    <t>['METOBROMURON', '3060-89-7', 'Metbromuron', 'Patoran', 'Metobromurone', 'Monobromuron', 'Pattonex', '3-(4-Bromophenyl)-1-methoxy-1-methylurea', "Urea, N'-(4-bromophenyl)-N-methoxy-N-methyl-", 'Caswell No. 579A', 'CIBA-3126', '3-(p-Bromophenyl)-1-methoxy-1-methylurea', "N'-(4-Bromophenyl)-N-methoxy-N-methylurea", 'Urea, 3-(p-bromophenyl)-1-methoxy-1-methyl-', 'CCRIS 6765', 'Metobromuron [ANSI:BSI:ISO]', '3-(p-Bromophenyl)-1-methyl-1-methoxyurea', 'HSDB 1741', 'UNII-4251089P3L', 'EINECS 221-301-5', '3-(4-Bromphenyl)-1-methoxyharnstoff', 'EPA Pesticide Chemical Code 035901', 'BRN 2103964', 'CHEBI:81964', '3-(4-Bromphenyl)-1-methoxyharnstoff [German]', 'C-3126', "N-(4-Bromophenyl)-N'-methyl-N'-methoxy-harnstoff [German]", '4251089P3L', 'Patoran FL', 'DSSTox_CID_22157', 'DSSTox_RID_79940', 'DSSTox_GSID_42157', 'SCHEMBL53871', "N-(4-Bromophenyl)-N'-methyl-N'-methoxy-harnstoff", 'CHEMBL1356637', 'DTXSID6042157', 'CTK8G1094', 'Metobromuron, analytical standard', 'ZINC260866', 'DNDI1246791', 'Tox21_301964', 'AKOS001609255', 'MCULE-2324543938', 'NCGC00166156-01', 'NCGC00255893-01', 'R356', 'CAS-3060-89-7', 'Metobromuron 10 microg/mL in Acetonitrile', 'DB-047812', 'LS-159204', 'Metobromuron 100 microg/mL in Acetonitrile', 'FT-0603626', "N-(p-Bromophenyl)-N'-methyl-N'-methoxyurea", 'NS00010464', 'C18793', '33336-EP2305655A2', '33336-EP2311815A1', '33336-EP2371823A1', 'Metobromuron, PESTANAL(R), analytical standard', '060M897', 'J-018035', 'Q18213352', "Pesticide3_Metobromuron_C9H11BrN2O2_Urea, N'-(4-bromophenyl)-N-methoxy-N-methyl-"]</t>
  </si>
  <si>
    <t>Compound(18290)</t>
  </si>
  <si>
    <t>C9H11BrN2O2</t>
  </si>
  <si>
    <t>1-(1,3-benzothiazol-2-yl)-1,3-dimethylurea</t>
  </si>
  <si>
    <t>['Methabenzthiazuron', '18691-97-9', 'Metabenzthiazuron', 'Methbenzthiazuron', 'TRIBUNIL', 'Preparation 5633', "Urea, N-2-benzothiazolyl-N,N'-dimethyl-", 'Caswell No. 081B', '1-(1,3-benzothiazol-2-yl)-1,3-dimethylurea', '1,3-Dimethyl-3-(2-benzothiazolyl)urea', 'Bayer 5633', 'UNII-82NPF43P0X', 'BAY 74283', "N-2-Benzothiazolyl-N,N'-dimethylurea", 'Methabenzthiazuron [BSI:ISO]', 'CCRIS 6766', '1-(2-Benzothiazolyl)-1,3-dimethylurea', 'Urea, 1-(2-benzothiazolyl)-1,3-dimethyl-', '1-(Benzo[d]thiazol-2-yl)-1,3-dimethylurea', "N-Methyl-N'-methyl-N'-(2-benzothiazolyl)urea", 'EINECS 242-505-0', 'EPA Pesticide Chemical Code 281300', 'BRN 0196633', "1-Benzothiazol-2-yl-1,1'-dimethylurea", '82NPF43P0X', 'CHEBI:6803', '1,3-Dimethyl-3-(2-benzthiazolyl)-harnstoff', 'S 25128', '1,3-Dimethyl-3-(2-benzthiazolyl)-harnstoff [German]', '1-(1,3-benzothiazol-2-yl)-1,3-dimethyl-urea', 'Methibenzuron', '1-(Benzothiazol-2-yl)-1,3-dimethylurea', "N-(2-Benzothiazolyl)-N,N'-Dimethylurea", 'Bayer 5653', 'Bayer 74283', '1-(2-Benzothiazolyl)-1,3-dimethylurea (8CI)', 'DSSTox_CID_17570', 'DSSTox_RID_79338', 'DSSTox_GSID_37570', 'SCHEMBL66434', '4-27-00-04842 (Beilstein Handbook Reference)', 'Bay 72483', 'CHEMBL1890813', 'DTXSID0037570', 'CTK8E3066', 'RRVIAQKBTUQODI-UHFFFAOYSA-', 'ZINC900532', 'BAY 5653', 'Tox21_300966', 'AKOS015913141', '(Benzothiazol-2-yl)-1,3-dimethylurea', 'ACM18691979', 'NCGC00163728-01', 'NCGC00163728-02', 'NCGC00254869-01', 'S369', 'CAS-18691-97-9', 'LS-158903', 'FT-0656502', 'M2334', "N-1,3-Benzothiazol-2-yl-N,N'-dimethylurea", 'NS00010463', 'C10909', 'Methabenzthiazuron 10 microg/mL in Acetonitrile', 'Methabenzthiazuron 100 microg/mL in Acetonitrile', '691M979', 'A813097', "N-(1,3-Benzothiazol-2-yl)-N,N'-dimethylurea #", 'J-012018', 'Methabenzthiazuron, PESTANAL(R), analytical standard', 'Q15632903', "Urea, N-2-benzothiazolyl-N,N'-dimethyl-;methabenzthiazuron", 'Pesticide2_Methabenzthiazuron_C10H11N3OS_1-(1,3-Benzothiazol-2-yl)-1,3-dimethylurea']</t>
  </si>
  <si>
    <t>Compound(29216)</t>
  </si>
  <si>
    <t>C10H11N3OS</t>
  </si>
  <si>
    <t>4-amino-6-tert-butyl-3-methylsulfanyl-1,2,4-triazin-5-one</t>
  </si>
  <si>
    <t>['METRIBUZIN', '21087-64-9', 'Lexone', 'Sencor', 'Metribuzine', 'Zenkor', 'Sencorex', 'Senkor', 'Lexone DF', 'Sencor DF', 'Lexone 4L', 'Sencor 4F', '4-Amino-6-tert-butyl-3-methylsulfanyl-4H-[1,2,4]triazin-5-one', 'Bayer 6159H', 'Bayer 6443H', '1,2,4-Triazin-5(4H)-one, 4-amino-6-(1,1-dimethylethyl)-3-(methylthio)-', 'Bayer 94337', 'BAY dic 1468', '4-amino-6-(tert-butyl)-3-(methylthio)-1,2,4-triazin-5(4H)-one', 'Sencorex L.F.', 'Bay 94337', 'Caswell No. 033D', 'Metribuzin [BSI:ISO]', 'DIC 1468', '4-amino-6-tert-butyl-3-methylsulfanyl-1,2,4-triazin-5-one', 'BAY 61597', 'Metribuzine [ISO-French]', 'UNII-QO836138OV', 'NTN 70', '4-Amino-6-tert-butyl-3-(methylthio)-1,2,4-triazin-5-one', 'as-Triazin-5(4H)-one, 4-amino-6-tert-butyl-3-(methylthio)-', 'CHEBI:34846', 'HSDB 6844', 'QO836138OV', '4-Amino-6-(1,1-dimethylethyl)-3-(methylthio)-1,2,4-triazin-5(4H)-one', 'EINECS 244-209-7', 'EPA Pesticide Chemical Code 101101', 'BRN 0746650', '3-Methylthio-4-amino-6-tert-butyl-1,2,4-triazin-5-one', '4-Amino-6-tert-butyl-3-(methylthio)-as-triazin-5(4H)-one', '1,2,4-Triazin-5-one, 4-amino-6-tert-butyl-3-(methylthio)-', '4-Amino-6-tert-butyl-3-(methylsulfanyl)-1,2,4-triazin-5(4H)-one', '4-amino-6-tert-butyl-3-(methylthio)-1,2,4-triazin-5(4H)-one', '4-Amino-6-tert-butyl-4,5-dihydro-3-methylthio-1,2,4-triazin-5-one', 'DSSTox_CID_4204', '4-amino-6-tert-butyl-3-(methylsulfanyl)-4,5-dihydro-1,2,4-triazin-5-one', 'DSSTox_RID_77326', 'DSSTox_GSID_24204', '4-Amino-6-tert-butyl-3-methylthio-1,2,4-triazin-5(4H)-one', 'CAS-21087-64-9', 'Sencoral', 'Sencorer', 'Sencorex L.F', 'Sencor 4L', 'Segal (Salt/Mix)', 'Canopy (Salt/Mix)', 'Lexone 75DF', 'Salute (Salt/Mix)', 'Sencor 75DF', 'Bayer 6159', 'SencorlPreview (Salt/Mix)', 'Cambridge id 5373044', 'Oprea1_252886', 'Oprea1_806124', 'SCHEMBL66824', 'BIDD:ER0414', 'Metribuzin, analytical standard', 'CHEMBL1902519', 'DTXSID6024204', 'CTK8E9090', 'FOXFZRUHNHCZPX-UHFFFAOYSA-', 'ZINC39744', '4-aminoi-6-tert-butyl-3-(methylthio)-1,2,4-triazin-5-one', 'BAY 6159 H', 'HMS1582I20', 'BAY 6159', 'Tox21_202006', 'Tox21_300731', 'BBL028065', 'STK830450', 'AKOS000116775', 'GS-3125', 'MCULE-7688611726', 'KS-000025X5', 'Metribuzin 10 microg/mL in Cyclohexane', 'Metribuzin 10 microg/mL in Acetonitrile', 'NCGC00163856-01', 'NCGC00163856-02', 'NCGC00163856-03', 'NCGC00163856-04', 'NCGC00254637-01', 'NCGC00259555-01', 'I504', 'Metribuzin 100 microg/mL in Acetonitrile', 'AB0013729', 'DB-045478', 'HY-116954', 'CS-0066904', 'FT-0638091', 'NS00001636', 'ST50309413', 'Metribuzin, PESTANAL(R), analytical standard', 'C14332', 'L-3396', 'METRIBUZIN (PESTICIDE/FERTILIZER MIXTURE)', '087M649', '5-26-06-00432 (Beilstein Handbook Reference)', 'A815132', 'Q421450', 'SR-01000393620', 'J-013834', 'SR-01000393620-1', '4-Amino-6-tert-butyl-3-methylthio-as-triazin-5-one', 'Z56755860', '4-amino-6-t-butyl-3-methylthio-1,2,4-triazin-5-one', 'F0111-0053', '4-amino-6-(tert-butyl)-3-methylthio-1,2,4-triazin-5-one', '4-amino-6-t-butyl-3-methylmercapto-1,2,4-triazin-5-one', '4-amino-6-tert.-butyl-3-methylthio-1,2,4-triazin-5-one', 'Triazin-5(4H)-one, 4-amino-6-tert-butyl-3-(methylthio)-', '3-methylthio-4-amino-6-tert.-butyl-1,2,4-triazin-5(4H)-one', '4-amino-6-tert.-butyl-3-methylthio-1,2,4-triazin-5(4H)-one', '4-azanyl-6-tert-butyl-3-methylsulfanyl-1,2,4-triazin-5-one', '6-tert.-butyl-3-methylthio-4-amino-1,2,4-triazin-5(4H)-one', '4-amino-6-(t-butyl)-3-(methylthio)-1,2,4-triazine-5(4H)-one', '4-amino-6-tert.-butyl-3-methylthio-1,2,4-triazin-5-(4H)-one', '4-Amino-6-tert-butyl-3-(methylsulfanyl)-1,2,4-triazin-5(4H)-one #', 'Metribuzin solution, 100 mug/mL in acetonitrile, PESTANAL(R), analytical standard']</t>
  </si>
  <si>
    <t>Compound(30479)</t>
  </si>
  <si>
    <t>C8H14N4OS</t>
  </si>
  <si>
    <t>(3-methylphenyl) N-methylcarbamate</t>
  </si>
  <si>
    <t>['METOLCARB', 'm-Tolyl methylcarbamate', 'Metacrate', '1129-41-5', 'MTMC', 'Tsumacide', 'm-Cresyl methylcarbamate', '3-Tolyl methylcarbamate', 'm-Tolyl N-methylcarbamate', '3-Tolyl N-methylcarbamate', 'm-Cresyl N-methylcarbamate', 'Metholcarb', 'Tsumaunka', 'Kumiai', 'm-Methylphenyl methylcarbamate', '3-Methylphenyl methylcarbamate', '3-Methylphenyl N-methylcarbamate', 'Methylcarbamic acid m-tolyl ester', 'Carbamic acid, methyl-, 3-methylphenyl ester', 'm-Cresyl ester of N-methylcarbamic acid', 'DRC 3341', 'Metolcarb [BSI:ISO]', 'Carbamic acid, methyl-, m-tolyl ester', 'Metholcarb [ISO-French]', 'UNII-4N7OMZ879V', 'NSC 91193', 'CHEBI:38537', 'HSDB 6416', '(3-methylphenyl) N-methylcarbamate', 'EINECS 214-446-0', 'Dicresyl N-methylcarbamate', 'S 1065', 'm-Tolylester kyseliny methylkarbaminove', 'RCRA waste no. P190', 'BRN 2045865', 'AI3-27694', '4N7OMZ879V', 'm-Tolylester kyseliny methylkarbaminove [Czech]', 'Carbamic acid, N-methyl-, 3-methylphenyl ester', 'Dicresyl', 'Tumacide', 'Maybridge3_000696', 'WLN: 1MVOR C1', 'NCIOpen2_001532', '4-06-00-02050 (Beilstein Handbook Reference)', 'Carbamic acid, 3-tolyl ester', 'SCHEMBL118244', 'CHEMBL2046816', 'DTXSID8057938', 'VOEYXMAFNDNNED-UHFFFAOYSA-', 'HMS1432P14', 'ZINC135179', 'NSC91193', 'BDBM50004687', 'CCG-52777', 'FCH831719', 'NSC-91193', 'AKOS006229276', 'Carbamic acid, methyl-, 3-tolyl ester', 'MCULE-2997058078', 'Metolcarb 10 microg/mL in Cyclohexane', 'IDI1_012083', 'NCGC00160533-01', 'AS-16081', 'CC-31036', 'LS-50399', 'S268', 'DB-041141', 'HY-131126', '570-EP2274983A1', '570-EP2275422A1', '570-EP2292608A1', '570-EP2308858A1', '570-EP2311816A1', '570-EP2311817A1', 'CS-0129027', 'FT-0603547', 'NS00005439', 'Metolcarb, PESTANAL(R), analytical standard', 'C18747', 'K-0984', '26882-EP2280009A1', '26882-EP2314583A1', 'C-04608', 'Q6824213', 'SR-01000641987-1']</t>
  </si>
  <si>
    <t>Compound(14322)</t>
  </si>
  <si>
    <t>methyl (E)-3-dimethoxyphosphinothioyloxy-2-methylprop-2-enoate</t>
  </si>
  <si>
    <t>['Methacrifos', 'trans-Methacrifos', '62610-77-9', 'Methacrifos (trans)', 'Methacrifos [ISO]', '(E)-methacrifos', 'UNII-GJE7U43O5E', 'CGA 20168', 'OMS-2005', 'GJE7U43O5E', 'AI3-29266', '3-((Dimethoxyphosphinothioyl)oxy)-2-methyl-2-propenoic acid methyl ester, (E)-', 'Methyl (E)-3-(dimethoxyphosphinothioyloxy)-2-methylacrylate', '(E)-O-2-Methoxycarbonylprop-1-enyl O,O-dimethyl phosphorothioate', 'BRN 1960498', '2-Propenoic acid, 3-((dimethoxyphosphinothioyl)oxy)-2-methyl-, methyl ester, (E)-', 'methyl (E)-3-dimethoxyphosphinothioyloxy-2-methylprop-2-enoate', 'Methacriphos', '30864-28-9', 'Methacrifos Peak 1', 'SCHEMBL118157', 'SCHEMBL118158', 'DTXSID0058144', 'CHEBI:81932', 'AKOS015902849', 'Methyl (E)-3-hydroxy-2-methylacrylate O-ester with O,O-dimethyl phosphorothioate (8CI)', 'Methacrifos 10 microg/mL in Cyclohexane', 'Methacrifos 100 microg/mL in Cyclohexane', 'LS-123631', 'NS00000166', 'C18745', 'Methacrifos, PESTANAL(R), analytical standard', 'Q27155661', 'Methyl (2E)-3-[(dimethoxyphosphorothioyl)oxy]-2-methylacrylate', 'methyl 3-[(dimethoxyphosphinothioyl)oxy]methacrylate;Methacrifos', 'Methyl (2E)-3-[(dimethoxyphosphorothioyl)oxy]-2-methyl-2-propenoate', 'Methyl (E)-3-hydroxy-2-methylacrylate O-ester with O,O-dimethyl phosphorothioate']</t>
  </si>
  <si>
    <t>Compound(3034435)</t>
  </si>
  <si>
    <t>C7H13O5PS</t>
  </si>
  <si>
    <t>metconazole</t>
  </si>
  <si>
    <t>5-[(4-chlorophenyl)methyl]-2,2-dimethyl-1-(1,2,4-triazol-1-ylmethyl)cyclopentan-1-ol</t>
  </si>
  <si>
    <t>['Metconazole', '125116-23-6', 'CHEBI:81773', '5-[(4-chlorophenyl)methyl]-2,2-dimethyl-1-(1,2,4-triazol-1-ylmethyl)cyclopentan-1-ol', 'Cyclopentanol, 5-(4-chlorophenyl)methyl-2,2-dimethyl-1-(1H-1,2,4-triazol-1-ylmethyl)-', 'Metconazole [ISO]', 'Metconazole (I)', 'DSSTox_CID_14497', 'DSSTox_RID_79159', 'DSSTox_GSID_34497', 'SCHEMBL21013', 'CHEMBL1883512', 'DTXSID4034497', 'Tox21_302273', 'AKOS015917627', 'VZ29922', 'Cyclopentanol, 5-[(4-chlorophenyl)methyl]-2,2-dimethyl-1-(1H-1,2,4-triazol-1-ylmethyl)-', 'Metconazole 10 microg/mL in Cyclohexane', 'NCGC00163726-01', 'NCGC00255246-01', 'Metconazole 100 microg/mL in Acetonitrile', 'LS-191413', 'CAS-125116-23-6', 'NS00000558', 'C18476', '116M236', 'J-005200', 'Q1519339', 'Metconazole, PESTANAL(R), analytical standard, mixture of isomers', '1-((1H-1,2,4-triazol-1-yl)methyl)-5-(4-chlorobenzyl)-2,2-dimethylcyclopentan-1-ol', '1-((1H-1,2,4-Triazol-1-yl)methyl)-5-(4-chlorobenzyl)-2,2-dimethylcyclopentanol', '1-(1H-1,2,4-Triazol-1-ylmethyl)-2,2-dimethyl-5-(4-chlorobenzyl)cyclopentan-1-ol', '1-(4-chlorobenzyl)-3,3-dimethyl-2-hydroxy-2-(1,2,4-triazol-1-yl)methylcyclopentane', '5-(4-chlorobenzyl)-2,2-dimethyl-1-(1H-1,2,4-triazol-1-ylmethyl)cyclopentanol', 'Cyclopentanol,5-[(4-chlorophenyl)methyl]-2,2-dimethyl-1-(1H-1,2,4-triazol-1-ylmethyl)-', 'racemic 5-(4-chloro-benzyl)-2,2-dimethyl-1-[1,2,4]triazol-1-ylmethyl-cyclopentanol', '(1RS,5RS;1RS,5SR)-5-(4-chlorobenzyl)-2,2-dimethyl-1-(1H-1,2,4-triazol-1-ylmethyl)cyclopentanol;Cyclopentanol, 5-[(4-chlorophenyl)methyl]-2,2-dimethyl-1-(1H-1,2,4-triazol-1-ylmethyl)-', '5-[(4-Chlorophenyl)methyl]-2,2-dimethyl-1-[(1H-1,2,4-triazol-1-yl)methyl]cyclopentan-1-ol']</t>
  </si>
  <si>
    <t>Compound(86210)</t>
  </si>
  <si>
    <t>C17H22ClN3O</t>
  </si>
  <si>
    <t>methadone</t>
  </si>
  <si>
    <t>6-(dimethylamino)-4,4-diphenylheptan-3-one</t>
  </si>
  <si>
    <t>['methadone', 'dl-Methadone', 'Dolophine', 'Phenadone', 'Amidone', 'Adanon', 'Diaminon', 'Dolophin', 'Ketalgin', 'Methadon', 'Physeptone', 'Algovetin', 'Heptadone', 'Heptanon', 'Sedo-Rapide', '76-99-3', 'Racemic methadone', 'Amidon', '(+-)-Methadone', '(+/-)-Methadone', '6-(dimethylamino)-4,4-diphenylheptan-3-one', 'Methadonum', 'Heptanon (pharmaceutical)', 'Metadone [DCIT]', 'Metadona [Spanish]', 'Methadonum [Latin]', 'Methadona [Spanish]', 'l-Methadone', 'Methadone [INN:BAN]', '6-Dimethylamino-4,4-diphenyl-3-heptanone', 'Metadona [INN-Spanish]', 'Methadonum [INN-Latin]', 'Metasedin', '3-Heptanone, 6-(dimethylamino)-4,4-diphenyl-', 'Polamivet', 'Hoechst 10820', 'Dolophine HCL', '(RS)-methadones', 'Althose', 'Eptadone', 'Symoron', 'HSDB 3119', 'K 174', 'AN 148', 'EINECS 200-996-9', 'A 4624', 'BRN 3213669', 'rac-Methadone', 'CHEBI:6807', 'DEA No. 9250', 'Metadone', '(+/-)-Methadone hydrochloride', 'Metadona', 'Methadona', '6-(Dimethylamino)-4,4-diphenyl-3-heptanone', 'Levometadona [INN-Spanish]', 'Levomethadonum [INN-Latin]', 'UNII-UC6VBE7V1Z', 'Methadone (BAN)', '(R)-6-(Dimethylamino)-4,4-diphenyl-3-hetpanone', '3-14-00-00279 (Beilstein Handbook Reference)', 'Fenadone (*Hydrochloride*)', 'Heptanon (*Hydrochloride*)', 'Dolophine (*Hydrochloride*)', 'Heptadone (*Hydrochloride*)', 'Levomethadon', 'Phenadone (*Hydrochloride*)', 'Metadon', 'UC6VBE7V1Z', 'AN-148 (*Hydrochloride*)', 'BRN 3213667', 'BRN 3213668', '(plusmn)-methadone', 'PHY', 'Hoescht 10820 (*Hydrochloride*)', 'Mecodin (Salt/Mix)', 'Methadone-HCL,(-)', 'Polamidon (Salt/Mix)', 'Polamidone (Salt/Mix)', '(.+/-.)-Methadone', 'CHEMBL651', 'SCHEMBL34140', '3-HEPTANONE, 6-(DIMETHYLAMINO)-4,4-DIPHENYL-, (S)-', 'DivK1c_000963', 'GTPL5458', 'IDS-NM-002', 'Adanon hydrochloride (Salt/Mix)', 'DTXSID7023273', 'BDBM82507', 'KBio1_000963', 'NINDS_000963', 'NSC_22266', 'STL455106', 'AKOS015962259', 'rac-Methadone 0.1 mg/ml in Methanol', 'rac-Methadone 1.0 mg/ml in Methanol', 'DB00333', 'IDI1_000963', 'NCGC00248116-01', 'NCGC00248116-02', '297-88-1', 'AC-16055', 'LS-74485', 'LS-74486', 'LS-74487', 'SC-54552', '2-Dimethylamino-4,4-diphenyl-5-heptanone', 'CAS_5967-73-7', 'DB-053574', '6-(dimethylamino)-4,4-diphenyl-heptan-3-one', '6481-EP1441224A2', '6481-EP2275420A1', '6481-EP2277875A2', '6481-EP2280008A2', '6481-EP2298764A1', '6481-EP2298765A1', '6481-EP2298776A1', '6481-EP2305654A1', '6481-EP2308509A1', '6481-EP2308872A1', '6481-EP2316829A1', 'C07163', 'D08195', 'L000874', 'Q179996', '3-Hetpanone, 6-(dimethylamino)-4,4-diphenyl-, (R)-', '3-Heptanone, 6-(dimethylamino)-4,4-diphenyl-, (.+/-.)-', 'DL-6-DIMETHYLAMINO-4,4-DIPHENYL-3-HEPTANONE-1,1,1-', '(+/-)-Methadone solution, 1 mg/mL in methanol, ampule of 1 mL, certified reference material', '(+/-)-Methadone solution, 100 mug/mL in methanol, ampule of 1 mL, certified reference material']</t>
  </si>
  <si>
    <t>Compound(4095)</t>
  </si>
  <si>
    <t>C21H27NO</t>
  </si>
  <si>
    <t>3-(dimethoxyphosphinothioylsulfanylmethyl)-5-methoxy-1,3,4-thiadiazol-2-one</t>
  </si>
  <si>
    <t>['Methidathion', '950-37-8', 'SUPRACIDE', 'Suprathion', 'Ultracide', 'Supracid', 'Ultracid', 'Somonil', 'Methidathion 50S', 'Ultracid 40', 'Ultracid EC 40', 'DMTP (insecticide)', 'Supracide Ulvair', 'Fisons NC 2964', 'Geigy 13005', 'Ciba-Geigy GS 13005', 'Metidation [Polish]', 'Caswell No. 378B', 'Ultracide Ulvair 250', 'OMS 844', 'GS 13005', 'Geigy GS-13005', 'UNII-Y2P145U7KK', 'ENT 27193', '3-(dimethoxyphosphinothioylsulfanylmethyl)-5-methoxy-1,3,4-thiadiazol-2-one', 'CCRIS 7085', 'Methidathion [ANSI:BSI:ISO]', 'HSDB 1594', 'EINECS 213-449-4', 'Phosphorodithioic acid, S-[(5-methoxy-2-oxo-1,3,4-thiadiazol-3(2H)-yl)methyl] O,O-dimethyl ester', 'S-(2,3-Dihydro-5-methoxy-2-oxo-1,3,4-thiadiazol-3-methyl) dimethyl phosphorothiolothionate', 'EPA Pesticide Chemical Code 100301', 'BRN 0619915', 'AI3-27193', 'S-2,3-Dihydro-5-methoxy-2-oxo-1,3,4-thiadiazol-3-ylmethyl O,O-dimethyl phosphorodithioate', 'Y2P145U7KK', 'CHEBI:34837', "Dithiophosphoric acid O,O'-dimethyl-S-((2-methoxy-1,3,4-thiadiazol-5(4H)-on-4-yl)methyl) ester", "Dithiophosphoric acid O,O'-dimethyl-S-((5-methoxy-1,3,4-thiadiazol-2(3H)-on-3-yl)methyl) ester", 'O,O-Dimethyl-S-(2-methoxy-1,3,4-thiadiazol-5(4H)-onyl-(4)-methyl) phosphorodithioate', 'S-((5-Methoxy-2-oxo-1,3,4-thiadiazol-3(2H)-yl)methyl) O,O-dimethyl phosphorodithioate', 'S-[(5-Methoxy-2-oxo-1,3,4-thiadiazol-3(2H)-yl)methyl] o,o-dimethyl dithiophosphate', 'NCGC00163724-03', 'S-2-Metoksy-1,3,4-tiadiazolo-5-on-N-metylo-O,O-dwumetylowy', 'S-2-Metoksy-1,3,4-tiadiazolo-5-on-N-metylo-O,O-dwumetylowy [Polish]', '3-Dimethoxyphosphinothioylthiomethyl-5-methoxy-1,3,4-thiadiazol-2(3H)-one', 'O,O-Dimethyl S-(5-methoxy-1,3,4-thiadiazolinyl-3-methyl)dithiophosphate', '(O,O-Dimethyl)-S-(-2-methoxy-delta(sup 2)-1,3,4-thiadiazolin-5-on-4-ylmethyl)dithiophosphate', "O,O'-Dimethyl-S-((2-methoxy-1,3,4-thiadiazole-5(4H)-one-4-yl)methyl) dithiophosphate", 'O,O-Dimethyl S-(2,3-dihydro-5-methoxy-2-oxo-1,3,4-thiadiazol-3-ylmethyl) phosphorodithioate', 'O,O-Dimethyl-S-((2-methoxy-1,3,4(4H)thiodiazol-5-on-4-yl)-methyl)-dithiofosfaat [Dutch]', 'O,O-Dimethyl-S-(2-methoxy-1,3,4-thiadiazol-5(4H)-onyl-(4)-methyl) dithiophosphat [German]', 'O,O-Dimethyl-S-(2-methoxy-1,3,4-thiadiazol-5-on-4-yl)-methyl-dithiophosphat [German]', 'O,O-Dimetil-S-((2-metossi-1,3,4-(4H)-tiadiazol-5-on-4-il)-metil)-ditiofosfato', 'O,O-Dimetil-S-((2-metossi-1,3,4-(4H)-tiadiazol-5-on-4-il)-metil)-ditiofosfato [Italian]', 'S-((2-Methoxy-5-oxo-1,3,4-thia-diazolin-4-yl)methyl)dimethylphosphorothiolothionate', 'S-(2,3-Dihydro-5-methoxy-2-oxo-1,3,4-thiadiazol-3-methyl)dimethyl phosphorothiolothionate', 'S-[(5-methoxy-2-oxo-1,3,4-thiadiazol-3(2H)-yl)methyl] O,O-dimethyl phosphorodithioate', 'Phosphorodithioic acid, O,O-dimethyl ester, S-ester with 4-(mercaptomethyl)-2-methoxy-.delta.2-1,3,4-thiadiazolin-5-one', 'Phosphorodithioic acid, O,O-dimethyl ester, S-ester with 4-(mercaptomethyl)-2-methoxy-delta(2)-1,3,4-thiadiazolin-5-one', 'Phosphorodithioic acid, O,O-dimethyl ester, S-ester with 4-(mercaptomethyl)-2-methoxy-delta(sup 2)-1,3,4-thiadiazolin-5-one', 'Phosphorodithioic acid, S-((5-methoxy-2-oxo-1,3,4-thiadiazol-3(2H)-yl)methyl) O,O-dimethyl ester', 'W-100174', 'Methidathion, analytical standard', 'Metidation', 'Medathion', 'C6H11N2O4PS3', 'DSSTox_CID_819', 'Geigy GS 13005', 'DSSTox_RID_75807', 'DSSTox_GSID_20819', 'SCHEMBL26675', 'BIDD:ER0687', 'CHEMBL226651', 'DTXSID5020819', 'CTK8G0827', 'MEBQXILRKZHVCX-UHFFFAOYSA-', 'Tox21_400049', 'AKOS015895876', 'O,O-Dimethyl-S-(2-methoxy-1,3,4-thiadiazol-5-on-4-yl)-methyl-dithiophosphat', 'LS-7489', 'O,O-Dimethyl-S-((2-methoxy-1,3,4(4H)thiodiazol-5-on-4-yl)-methyl)-dithiofosfaat', 'O,O-Dimethyl-S-(2-methoxy-1,3,4-thiadiazol-5(4H)-onyl-(4)-methyl) dithiophosphat', 'Methidathion 1000 microg/mL in Toluene', 'NCGC00163724-01', 'NCGC00163724-02', 'NCGC00163724-04', 'CAS-950-37-8', 'CC-30267', 'M644', 'Methidathion 10 microg/mL in Cyclohexane', 'Methidathion 100 microg/mL in Cyclohexane', 'AB0015320', 'DB-057548', 'NS00007694', 'C14431', '26866-EP2274983A1', '26866-EP2275422A1', '26866-EP2280009A1', '26866-EP2292608A1', '26866-EP2305662A1', '26866-EP2308857A1', '26866-EP2308858A1', '26866-EP2311816A1', '26866-EP2311817A1', '26866-EP2314583A1', 'Methidathion, PESTANAL(R), analytical standard', '950M378', 'A845156', 'C-18866', 'Q411730', 'Methidathion, certified reference material, TraceCERT(R)', '3-[(dimethoxyphosphinothioylthio)methyl]-5-methoxy-1,3,4-thiadiazol-2-one', 'O,O-Dimethyl S-(5-methoxy-1,3,4-thiadiazolinyl-3-methyl) dithiophosphate', '(O,O-Dimethyl)-S-(-2-methoxy-.DELTA.2-1,3,4-thiadiazolin-5-on-4-ylmethyl)dithiophosphate', 'O,O-dimethyl S-[(5-methoxy-2-oxo-1,3,4-thiadiazol-3(2H)-yl)methyl]phosphorodithioate', 'O,O-Dimethyl-S-((2-methoxy-1,3,4 (4H)-thiodiazol-5-on-4-yl)-methyl)-dithiofosfaat', 'O,O-Dimethyl-S-(2-methoxy-1,3,4-thiadiazol-5-(4H)-onyl-(4)-methyl)-dithiophosphate', 'O,O-Dimethyl-S-(2-methoxy-1,3,4-thiadiazol-5-on-4-yl)-methyl-dithiophosphate', 'S-(5-methoxy-2-oxo-1,3,4-thiadiazol-3(2H)-yl)methyl O,O-dimethyl phosphorodithioate', 'S-[(5-Methoxy-2-oxo-1,3,4-thiadiazol-3(2H)-yl)methyl] O,O-dimethyl dithiophosphate #', 'Phosphorodithioic acid, O,O-dimethyl ester, S-ester with 4-(mercaptomethyl)-2-methoxy-.delta.(sup 2)-1,3,4-thiadiazolin-5-one', 'S-(2,3-Dihydro-5-methoxy-2-oxo-1,3,4-thiadiazol-3-ylmethyl) O,O-dimethyl phosphorodithioate']</t>
  </si>
  <si>
    <t>Compound(13709)</t>
  </si>
  <si>
    <t>C6H11N2O4PS3</t>
  </si>
  <si>
    <t>metformin</t>
  </si>
  <si>
    <t>3-(diaminomethylidene)-1,1-dimethylguanidine</t>
  </si>
  <si>
    <t>['metformin', '657-24-9', '1,1-Dimethylbiguanide', 'N,N-dimethylimidodicarbonimidic diamide', 'Metformine', 'Metiguanide', 'Dimethylbiguanide', 'Haurymelin', 'Fluamine', 'Flumamine', 'Gliguanid', 'Diabex', 'Melbin', 'N,N-Dimethylbiguanide', 'Glifage', 'Glumetza', 'Islotin', 'Siofor', 'Imidodicarbonimidic diamide, N,N-dimethyl-', 'N1,N1-Dimethylbiguanide', 'DMGG', 'NNDG', 'Dimethyldiguanide', 'N,N-Dimethyldiguanide', 'Metformina [DCIT]', 'Metformina [Spanish]', 'Metformine [INN-French]', 'Metforminum [INN-Latin]', 'Metformin [USAN:INN:BAN]', '1,1-Dimethyl biguanide', 'LA-6023', 'BIGUANIDE, 1,1-DIMETHYL-', 'UNII-9100L32L2N', 'C4H11N5', '3-(diaminomethylidene)-1,1-dimethylguanidine', 'EINECS 211-517-8', 'CHEMBL1431', 'CHEBI:6801', '9100L32L2N', 'Metforminum', 'Metformina', 'Imidodicarbonimidic diamide-, N,N-dimethyl-', '1-carbamimidamido-N,N-dimethylmethanimidamide', 'Dimethylguanylguanidine', 'MLS000028493', '[14C]metformin', '[14C]-metformin', '657M249', 'Metformin (USAN/INN)', 'NCGC00016564-01', 'SMR000058277', 'CAS-1115-70-4', '1-[(diaminomethylidene)amino]-N,N-dimethylmethanimidamide', 'Dianben', 'Obimet', 'Dimethylbiguanid', 'Metformin base', 'CCRIS 9321', 'N-dimethylbiguanide', 'DMBG', 'Glucophage (Salt/Mix)', "n',n'-dimethylbiguanide", 'Prestwick0_000004', 'Prestwick1_000004', 'Prestwick2_000004', 'Prestwick3_000004', 'DSSTox_CID_3270', 'N,N-Dimethylguanylguanidin', 'SCHEMBL8944', 'DSSTox_RID_76950', 'DSSTox_GSID_23270', 'BSPBio_000007', 'BSPBio_002314', 'KBioGR_002310', 'KBioSS_002312', 'cid_14219', 'LA 6023 (Salt/Mix)', 'BIDD:GT0697', 'SPBio_001928', 'BPBio1_000009', 'GTPL4503', 'GTPL4779', 'SCHEMBL9913821', 'DTXSID2023270', 'SCHEMBL10276396', 'BDBM57047', 'CTK2F2882', 'KBio2_002310', 'KBio2_004878', 'KBio2_007446', 'KBio3_002790', 'cMAP_000016', 'HMS2089D19', 'HY-B0627', 'Tox21_302370', 'BBL012337', 'BDBM50229665', 'HSCI1_000295', 'STK011633', 'STL483693', 'STL484070', 'ZINC12859773', 'N,N-Dimethyltriimidodicarbonic diamide', 'AKOS000121065', 'AKOS005206848', 'AKOS015966566', 'CCG-102605', 'DB00331', 'MCULE-7393156510', '3-carbamimidoyl-1,1-dimethyl-guanidine', 'NCGC00016564-02', 'NCGC00016564-03', 'NCGC00016564-05', 'NCGC00016564-07', 'NCGC00188959-01', 'NCGC00255255-01', 'AS-65365', 'CAS-657-24-9', 'Imidodicarbonimidicdiamide, N,N-dimethyl-', 'K070', 'LS-43899', 'SC-73311', 'SBI-0206876.P001', 'CS-0009563', 'FT-0628266', 'NS00000333', 'A19551', 'C07151', 'D04966', 'Q19484', '1-[(E)-amino(dimethylamino)methylidene]guanidine', '15673-EP2269977A2', '15673-EP2269989A1', '15673-EP2270007A1', '15673-EP2270011A1', '15673-EP2272825A2', '15673-EP2272834A1', '15673-EP2272841A1', '15673-EP2275108A1', '15673-EP2275414A1', '15673-EP2280001A1', '15673-EP2287165A2', '15673-EP2287166A2', '15673-EP2292228A1', '15673-EP2292620A2', '15673-EP2295406A1', '15673-EP2295409A1', '15673-EP2295411A1', '15673-EP2295422A2', '15673-EP2298742A1', '15673-EP2298769A1', '15673-EP2298772A1', '15673-EP2298776A1', '15673-EP2298779A1', '15673-EP2301533A1', '15673-EP2301923A1', '15673-EP2301929A1', '15673-EP2301935A1', '15673-EP2301936A1', '15673-EP2305648A1', '15673-EP2305674A1', '15673-EP2308839A1', '15673-EP2308847A1', '15673-EP2308878A2', '15673-EP2314576A1', '15673-EP2314588A1', '15673-EP2316470A2', 'W-109589', '{[amino(dimethylamino)methylidene]amino}methanimidamide', 'BRD-K79602928-003-04-1', 'BRD-K79602928-003-08-2', '3-(diaminomethylene)-1,1-dimethyl-guanidine;hydrochloride', '3-(diaminomethylidene)-1,1-dimethylguanidine;hydrochloride', '3-[bis(azanyl)methylidene]-1,1-dimethyl-guanidine;hydrochloride', 'MF8']</t>
  </si>
  <si>
    <t>Compound(4091)</t>
  </si>
  <si>
    <t>C4H11N5</t>
  </si>
  <si>
    <t>metrafenone</t>
  </si>
  <si>
    <t>(3-bromo-6-methoxy-2-methylphenyl)-(2,3,4-trimethoxy-6-methylphenyl)methanone</t>
  </si>
  <si>
    <t>['Metrafenone', '220899-03-6', 'UNII-S04CWW41HM', 'S04CWW41HM', '(3-bromo-6-methoxy-2-methylphenyl)(2,3,4-trimethoxy-6-methylphenyl)methanone', 'CHEBI:83345', 'BAS 560 02F', '(3-bromo-6-methoxy-2-methylphenyl)-(2,3,4-trimethoxy-6-methylphenyl)methanone', 'Flexity', 'Vivando', 'Metrafenone [ISO]', 'SCHEMBL20788', 'CHEMBL2288405', 'DTXSID9058020', 'ZINC33985665', 'ACM220899036', 'Metrafenone 10 microg/mL in Acetonitrile', 'NS00000497', 'Metrafenone, PESTANAL(R), analytical standard', 'Q1925667', "3'-bromo-2,3,4,6'-tetramethoxy-2',6-dimethylbenzophenone", "3'-Bromo-2,3,4,6'-tetramethoxy-2', 6-dimethylbenzophenone", "5-bromo-2',6-dimethyl-2,4',5',6'-tetramethoxybenzophenone", "5-bromo-6,6'-dimethyl-2,2',3',4'-tetramethoxy-benzophenone", "5-bromo-6,6'-dimethyl-2,2'3',4'-tetramethoxy-benzophenone", '(3-bromanyl-6-methoxy-2-methyl-phenyl)-(2,3,4-trimethoxy-6-methyl-phenyl)methanone', "3-bromo-2,3,4,6'-tetramethoxy-2',6-dimethylbenzophenone;Methanone, (3-bromo-6-methoxy-2-methylphenyl)(2,3,4-trimethoxy-6-methylphenyl)-"]</t>
  </si>
  <si>
    <t>Compound(6451057)</t>
  </si>
  <si>
    <t>C19H21BrO5</t>
  </si>
  <si>
    <t>methamphetamine</t>
  </si>
  <si>
    <t>(2S)-N-methyl-1-phenylpropan-2-amine</t>
  </si>
  <si>
    <t>['METHAMPHETAMINE', 'Metamfetamine', 'd-Methamphetamine', 'd-Deoxyephedrine', 'd-Desoxyephedrine', 'd-N-Methylamphetamine', 'Metamphetamine', 'd-Methylamphetamine', 'Methylamphetamine', 'd-Phenylisopropylmethylamine', 'N-Methylamphetamine', '(S)-Methamphetamine', 'Norodin', '(+)-Methylamphetamine', 'd-(S)-Methamphetamine', 'D-1-Phenyl-2-methylaminopropane', 'Desyphed', '(+)-N-Methylamphetamine', '(S)-Methylamphetamine', '(+)-(S)-Deoxyephedrine', 'Methyl-beta-phenylisopropylamine', '1-Phenyl-2-methylaminopropane', '(S)-(+)-Deoxyephedrine', 'Metamfetamina', 'Metamfetaminum', 'Stimulex', 'Speed', '(+)-methamphetamine', '537-46-2', '(2S)-N-methyl-1-phenylpropan-2-amine', 'Metanfetamina', 'S-(+)-Methamphetamine', '(S)-N,alpha-Dimethylbenzeneethanamine', 'D-N,alpha-dimethylphenethylamine', 'Metamfetaminum [INN-Latin]', 'Metamfetamina [INN-Spanish]', 'Metanfetamina [INN-Spanish]', 'Methamphetaminum [INN-Latin]', '(+)-2-(N-Methylamino)-1-phenylpropane', 'Meth', 'Metamfetamine [INN]', 'N-Methyl-beta-phenylisopropylamine', 'Methamphetaminum [JP]', '1-Phenyl-2-methylamino-propan [German]', 'Metamfetaminum [Latin]', '(+)-N,alpha-Dimethylphenethylamine', 'd-1-Phenyl-2-methylaminopropan [German]', 'Metanfetamina [Spanish]', '(+)-N,alpha-Dimethyl-beta-phenylethylamine', 'D-1-Phenyl-2-methylaminopropan', '2S-(+)-Methamphetamine', 'dextromethamphetamine', '(S)-(+)-Methamphetamine', '(+)-(S)-N-alpha-Dimethylphenethylamine', 'N-Methyl-beta-phenylisopropylamin [German]', 'NSC 25115', '(S)-N,alpha-Dimethylbenzeneethanoamine', 'UNII-44RAL3456C', 'CHEBI:6809', '(S)-(+)-N,alpha,dimethylphenethylamine', 'Metamfetamine (INN)', '(alphaS)-N,alpha-dimethylbenzeneethanamine', 'HSDB 3359', 'Benzeneethanamine, N,alpha-dimethyl-, (S)-', 'Methyl-.beta.-phenylisopropylamine', 'd-N,.alpha.-Dimethylphenethylamine', 'EINECS 208-668-7', 'Phenethylamine, N,alpha-dimethyl-, (+)-', 'DEA No. 1105', 'Benzeneethanamine, N,alpha-dimethyl-, (+)-', '44RAL3456C', 'Benzeneethanamine, N,alpha-dimethyl-, (alphaS)-', '1-Phenyl-2-methylamino-propan', 'NSC-25115', 'N-Methyl-beta-phenylisopropylamin', 'Crank', 'Methamphetamine, its salts, isomers, and salts of its isomers', 'Methamphetaminum', 'Crystal Meth', 'Phenethylamine, N,alpha-dimethyl-, (S)-(+)-', 'Meth (Street Name)', 'ICE [Street Name]', 'Crank [Street Name]', 'Speed [Street Name]', 'Crystal Meth [Street Name]', 'N-Methyl-1-phenyl-2-propanamine', '(+ )-Methylamphetamine', 'C10H15N', 'methamphetamin', 'B40', 'Methamphetamine (MA)', 'Benzeneethanamine, N,.alpha.-dimethyl-, (S)-', 'Phenethylamine, N,.alpha.-dimethyl-, (S)-(+)-', 'Epitope ID:178090', 'intra-venous methamphetamine', 'Benzeneethanamine,.alpha.-dimethyl-, (S)-', 'd-N,a-dimethylphenethylamine', 'SCHEMBL42615', 'Phenethylamine,.alpha.-dimethyl-, (S)-(+)-', 'CHEMBL1201201', 'DTXSID8037128', 'WLN: 1MY1&amp;1R -D', 'N,I+/--Dimethyl-phenethyl amine', 'Desyphed hydrochloride (Salt/Mix)', 'NSC25115', 'ZINC6021043', 'Amphetamine-Methyl (methamphetamine)', 'N-Methyl-1-phenyl-2-propanamine #', 'BDBM50359499', 'PDSP1_001404', 'PDSP1_001405', 'PDSP2_001388', 'PDSP2_001389', '(+)-N,.alpha.-Dimethylphenethylamine', '(S)-N-methyl-1-phenylpropan-2-amine', 'DB01577', 'J6.362B', '(2S)-N-Methyl-1-phenyl-2-propanamine', 'Desoxyephedrine hydrochloride (Salt/Mix)', 'methyl[(2S)-1-phenylpropan-2-yl]amine', 'Phenethylamine,.alpha.-dimethyl-, (+)-', '(+)-(S)-N-.alpha.-Dimethylphenethylamine', 'Benzeneethanamine,.alpha.-dimethyl-, (+)-', 'LS-103331', 'Phenethylamine, N,.alpha.-dimethyl-, (+)-', 'Benzeneethanamine, N,.alpha.-dimethyl-, (+)-', 'C07164', 'D08187', '(+)-N,.alpha.-Dimethyl-.beta.-phenylethylamine', 'Methamphetamine (Metamfetamine) (Deoxyephedrine)', 'Q191924', 'Phenethylamine, N,alpha-dimethyl-, (S)-(+)- (8CI)', 'Benzeneethanamine, N,alpha-dimethyl-, (alphaS)- (9CI)', 'UNII-13ZT6YG5SD component MYWUZJCMWCOHBA-VIFPVBQESA-N', '(+)-N,.alpha.-Dimethylphenethylamine hydrochloride (Salt/Mix)', 'S(+)-Methamphetamine solution, 1.0 mg/mL in methanol, ampule of 1 mL, certified reference material']</t>
  </si>
  <si>
    <t>Compound(10836)</t>
  </si>
  <si>
    <t>methamphetamine hydrochloride</t>
  </si>
  <si>
    <t>N-methyl-1-phenylpropan-2-amine;hydrochloride</t>
  </si>
  <si>
    <t>['dl-Methamphetamine hydrochloride', 'Corvitin', 'Desamine', 'Desoxedrine', 'Methampex', 'Detrex', 'Des-oxa-D', 'Amphedroxyn', 'Daropervamin', 'Desossiefedrina', 'Metamphetamin', 'Metamsustac', 'Methedrinal', 'Methylbenzedrin', 'Methylpropamine', 'Neopharmedrine', 'Pisichergina', 'Psichergina', 'Psiquergina', 'Psychergine', 'Semoxydrine', 'Amedrine', 'Amphedroxy', 'Bombita', 'Depoxin', 'Desfedran', 'Desfedrin', 'Dexophrine', 'Dopidrin', 'Doxephin', 'Doxephrin', 'Estimulex', 'Fenyprin', 'Kemodrin', 'Lanazine', 'Levetamin', 'Madrine', 'Methamphin', 'Methoxyn', 'Neodrine', 'Noradrin', 'Normadrine', 'Norodrin', 'Oxydess', 'Oxydrene', 'Oxydrin', 'Phedoxe', 'Phedrisox', 'Premodrin', 'Psicopan', 'Psykoton', 'Amdram', 'Oxyfed', 'Miller drine', '300-42-5', 'dl-Desoxyephedrine hydrochloride', 'Mepho-D', 'Desoxyephedrine hydrochloride', 'DEA oxo-5', 'NSC 22367', 'dl-Methamphetaminehydrochloride', 'dl-Deoxyephedrine hydrochloride', 'NSC 169506', 'dl-Methanphetamine hydrochloride', 'N,alpha-Dimethylphenethylamine hydrochloride', '(+-)-Methamphetamine hydrochloride', 'D,L-Methamphetamine HCl', 'Methamphetamine hydrochloride, (dl)', 'EINECS 206-093-6', 'EINECS 224-306-0', '(+-)-N-Methylamphetamine hydrochloride', '914F', 'Isophen', 'C 6379', 'd-Deoxyephedrine hydrochloride', 'Desoxyephedrine', 'N-Methyl-beta-phenylisopropylaminhydrochlorid [German]', '4298-16-2', '(.+-.)-Madrine', 'Phenethylamine, N,alpha-dimethyl-, hydrochloride', 'Benzeneethanamine, N,alpha-dimethyl-, hydrochloride', 'rac-Methamphetamine Hydrochloride', 'WLN: 1MY1R &amp;GH -R', '(.+-.)-Methamphetamine hydrochloride', 'dl-Methamphetimine hydrochloride', 'N-methyl-1-phenylpropan-2-amine;hydrochloride', '(+-)-Madrine', 'dl-N-Methyl-.beta.-phenylisopropylamine hydrochloride', 'Phenethylamine,.alpha.-dimethyl-, hydrochloride, (.+-.)-', 'Deoxyphedrine', 'Methedrine', 'Benzeneethanamine,.alpha.-dimethyl-, hydrochloride, (.+-.)-', '(S)-(+)-Methamphetamine hydrochloride', 'NSC-169505', '(+-)Methamphetamine hydrochloride', '(d,l)-Methamphetamine hydrochloride', 'DOE', 'Dexoval hydrochloride', 'Desyphed hydrochloride', 'Efroxine hydrochloride', 'Usaf el-36', 'N-Methyl-beta-phenylisopropylaminhydrochlorid', 'N-methyl-1-phenylpropan-2-amine hydrochloride', 'Benzeneethanamine,.alpha.-dimethyl-, (S)-', '(+)-Methaphetamine chloride', 'SCHEMBL42098', 'WLN: 1MY1R &amp;GH', 'dl-N-Methyl-beta-phenylisopropylamine hydrochloride', 'MLS002320675', 'Phenethylamine,.alpha.-dimethyl-, (S)-(+)-', 'DTXSID3048865', '(+)-Metamphetamine hydrochloride', '(+)-Methaphetamine hydrochloride', 'NSC22367', 'ACM300425', 'LS-115', 'NSC-22367', 'NSC169505', 'NSC169506', '(+)-N-Methylamphetamine hydrochloride', 'API0009599', 'N,a-dimethylphenethylamine hydrochloride', 'NSC-169506', 'SMR001338821', 'LS-103364', '(+/-)-N,a-dimethylphenethylamine hydrochloride', 'Benzeneethanamine, N,a-dimethyl-, hydrochloride', '(1)-N,alpha-Dimethylphenethylamine hydrochloride', 'D-N,.alpha.-Dimethylphenethylamine hydrochloride', '(+)-N,.alpha.-Dimethylphenethylamine hydrochloride', 'D-N-Methyl-.beta.-phenylisopropylamine hydrochloride', 'Q27253854', 'Benzeneethanamine, N,alpha-dimethyl-, hydrochloride (9CI)', 'Benzeneethanamine, N,alpha-dimethyl-, hydrochloride, (+-)-', 'Benzeneethanamine,.alpha.-dimethyl-, hydrochloride, (S)-', 'Phenethylamine, N,alpha-dimethyl-, hydrochloride, (+-)-', 'Phenethylamine,.alpha.-dimethyl-, hydrochloride, (S)-(+)-', 'Benzeneethanamine, N,.alpha.-dimethyl-, hydrochloride (1:1), (.alpha.S)-']</t>
  </si>
  <si>
    <t>Compound(9306)</t>
  </si>
  <si>
    <t>C10H16ClN</t>
  </si>
  <si>
    <t>metolachlor</t>
  </si>
  <si>
    <t>2-chloro-N-(2-ethyl-6-methylphenyl)-N-(1-methoxypropan-2-yl)acetamide</t>
  </si>
  <si>
    <t>['metolachlor', '51218-45-2', 'Dual', 'Yibingjiacaoan', 'Pennant', 'Codal', 'Dual Magnum', '2-chloro-N-(2-ethyl-6-methylphenyl)-N-(1-methoxypropan-2-yl)acetamide', 'Dual Triple', 'Dual II', 'Ontrack 8E', 'Dual 720EC', 'Dual 960 EC', 'Metelilachlor', 'Metolachlore', 'Dual 8E', 'Humextra', 'Metolachlor technical', 'Caswell No. 188DD', 'Metolachlore [ISO-French]', '2-Chloro-N-(2-ethyl-6-methylphenyl)-N-(2-methoxy-1-methylethyl)acetamide', 'Metolachlor [ANSI:BSI:ISO]', 'HSDB 6706', 'Acetamide, 2-chloro-N-(2-ethyl-6-methylphenyl)-N-(2-methoxy-1-methylethyl)-', 'EINECS 257-060-8', 'CGA 24705', 'CGA-24705', 'EPA Pesticide Chemical Code 108801', 'BRN 2743537', 'N-(1-Methyl-2-methoxyethyl)-N-chloroacetyl-2-ethyl-6-methylaniline', 'CHEBI:83645', "2-Chloro-2'-ethyl-N-(2-methoxy-1-methylethyl)-6'-methylacetanilide", "2-Chloro-6'-ethyl-N-(2-methoxy-1-methylethyl)acet-o-toluidide", "2-Chloro-6'-ethyl-N-(2-methoxy-1-methylethyl)-o-acetotoluidine", '2-Ethyl-6-methyl-1-N-(2-methoxy-1-methylethyl)chloroacetanilide', '2-Aethyl-6-methyl-N-(1-methyl-2-methoxyaethyl)-chloracetanilid [German]', 'Acetamide, 2-chloro-N-(6-ethyl-o-tolyl)-N-(2-methoxy-1-methylethyl)-', 'DSSTox_CID_2448', "N-(2'-Methoxy-1'-methylethyl)-2'-ethyl-6'-methyl-2-chloroacetanilide", 'Metolachlor, herbicide (C15-H22-N-O2-Cl)', "2-Etylo-6-metylo-N-(1'-metylo-2'-metoksyetylo)chloroacetanilid [Polish]", "alpha-Chlor-6'-aethyl-N-(2-methoxy-1-methylaethyl)-acet-o-toluidin [German]", "alpha-Chloro-2'-ethyl-6'-methyl-N-(1-methyl-2-methoxyethyl)-acetanilide", 'DSSTox_RID_76595', 'DSSTox_GSID_22448', 'Metolachlor, analytical standard', 'Metetilachlor', "o-Acetotoluidide, 2-chloro-6'-ethyl-N-(2-methoxy-1-methylethyl)-", 'Acetamide,2-chloro-N-(2-ethyl-6-methylphenyl)-N-(2-methoxy-1-methylethyl)-', 'CAS-51218-45-2', 'Bicep (Salt/Mix)', 'Turbo (Salt/Mix)', 'CGA-77102', 'METOLACHOR', 'Metolachlor_268_ p', 'Primagram (Salt/Mix)', 'Primextra (Salt/Mix)', '(aS,5S)-Metolachlor', 'Spectrum_001833', 'Metolaclor (Salt/Mix)', 'SpecPlus_000434', 'Pace 6L (Salt/Mix)', 'Bicep 6L (Salt/Mix)', 'Spectrum2_001885', 'Spectrum3_000827', 'Spectrum4_000667', 'Spectrum5_001966', 'Dual 25G (Salt/Mix)', 'Acetamide, 2-chloro-N-(2-ethyl-6-methylphenyl)-N-(2-methoxy-1-methylethyl)-, stereoisomer', 'SCHEMBL21385', 'BSPBio_002353', 'KBioGR_001073', 'KBioSS_002338', 'SPECTRUM330035', '82535-90-8', 'DivK1c_006530', 'SPBio_001790', 'CHEMBL1884974', 'DTXSID4022448', 'KBio1_001474', 'KBio2_002335', 'KBio2_004903', 'KBio2_007471', 'KBio3_001853', 's475', '2-Aethyl-6-methyl-N-(1-methyl-2-methoxyaethyl)-chloracetanilid', "2-Etylo-6-metylo-N-(1'-metylo-2'-metoksyetylo)chloroacetanilid", 'HY-B1871', 'Tox21_201376', 'Tox21_300982', "alpha-Chlor-6'-aethyl-N-(2-methoxy-1-methylaethyl)-acet-o-toluidin", 'CCG-39423', 'LS-163', '2-chloro-N-(2-ethyl-6-methyl-phenyl)-N-(2-methoxy-1-methyl-ethyl)acetamide', 'AKOS015888371', 'Acetamide, 2-chloro-N-(2-ethyl-6-methylphenyl)-N-((1S)-2-methoxy-1-methylethyl)-, (N(S))-', 'Metolachlor 1000 microg/mL in Acetone', 'Metolachlor 10 microg/mL in Cyclohexane', 'NCGC00095767-01', 'NCGC00095767-02', 'NCGC00095767-03', 'NCGC00095767-04', 'NCGC00095767-05', 'NCGC00095767-06', 'NCGC00254884-01', 'NCGC00258927-01', 'Metolachlor 10 microg/mL in Acetonitrile', 'Metolachlor 100 microg/mL in Cyclohexane', 'Metolachlor 100 microg/mL in Acetonitrile', 'AX8140043', 'DB-051924', 'CS-0013937', 'FT-0630641', 'C10953', 'Metolachlor, PESTANAL(R), analytical standard', '218M452', 'METOLACHLOR (PESTICIDE/FERTILIZER MIXTURE)', 'Q409598', 'BRD-A43135847-001-02-3', "2-chloro-2'-ethyl-6'-methyl-N-(1-methyl-2-methoxyethyl)acetanilide", "2-chloro-2'-ethyl-6'-methyl-N-(1-methyl-2-methoxyethyl)-acetanilide", 'Metolachlor solution, 100 mug/mL in acetonitrile, PESTANAL(R), analytical standard', "2-chloro-2-ethyl-N-(2-methoxy-1-methylethyl)-6-methylacetanilide;metolachlor;2-Chloro-2'-ethyl-N-(2-methoxy-1-methylethyl)-6'-m;2-chloro-2'-ethyl-N-(2-methoxy-1-methylethyl)-6'-methylacetanilide", '63150-68-5']</t>
  </si>
  <si>
    <t>Compound(4169)</t>
  </si>
  <si>
    <t>metolachlor ethanesulfonic acid</t>
  </si>
  <si>
    <t>2-[2-ethyl-N-(1-methoxypropan-2-yl)-6-methylanilino]-2-oxoethanesulfonic acid</t>
  </si>
  <si>
    <t>['Metolachlor esa', 'Metolachlor-ESA', 'Metolachlor ethanesulfonic acid', '171118-09-5', '2-((2-Ethyl-6-methylphenyl)(2-methoxy-1-methylethyl)amino)-2-oxoethanesulfonic acid', 'Metolachlore ESA', '2-[(2-ethyl-6-methylphenyl)(2-methoxy-1-methylethyl)amino]-2-oxoethanesulfonic acid', '2-[2-ethyl-N-(1-methoxypropan-2-yl)-6-methylanilino]-2-oxoethanesulfonic acid', 'DSSTox_CID_17567', 'DSSTox_GSID_37567', 'metolachlor ethane sulfonic acid', 'DTXSID1037567', 'CHEBI:83679', 'Tox21_303740', 'Metolachlorsulfonsaure (CGA 380168)', 'Ethanesulfonic acid, 2-((2-ethyl-6-methylphenyl)(2-methoxy-1-methylethyl)amino)-2-oxo-', 'NCGC00356997-01', 'CAS-171118-09-5', 'NS00000295', 'Q27157093', '[(2-ETHYL-6-METHYLPHENYL)(1-METHOXYPROPAN-2-YL)CARBAMOYL]METHANESULFONIC ACID', '2-[(2-Ethyl-6-methylphenyl)(1-methoxypropan-2-yl)amino]-2-oxoethane-1-sulfonic acid', '2-[(2-ethyl-6-methylphenyl)(1-methoxypropan-2-yl)amino]-2-oxoethanesulfonic acid']</t>
  </si>
  <si>
    <t>Compound(6426849)</t>
  </si>
  <si>
    <t>C15H23NO5S</t>
  </si>
  <si>
    <t>metolachlor oxo acetic acid</t>
  </si>
  <si>
    <t>2-[2-ethyl-N-(1-methoxypropan-2-yl)-6-methylanilino]-2-oxoacetic acid</t>
  </si>
  <si>
    <t>['Metolachlor OA', '152019-73-3', 'Metolachlor-OXA', 'Metolachlor oxanilic acid', '2-[2-ethyl-N-(1-methoxypropan-2-yl)-6-methylanilino]-2-oxoacetic acid', '[(2-ethyl-6-methylphenyl)(1-methoxypropan-2-yl)amino](oxo)acetic acid', 'Metolachlor OXA', 'Metolachlore OXA', 'CGA 51202', 'Metolachlor-OXA_265_n', 'DSSTox_CID_29951', 'DSSTox_GSID_37568', 'Metolachlor oxanilic acid (OA)', 'CHEMBL3560187', 'DTXSID6037568', 'CHEBI:83652', 'Tox21_304002', '2-((2-Ethyl-6-methylphenyl)(2-methoxy-1-methylethyl)amino)-2-oxoacetic acid', 'Acetic acid, 2-((2-ethyl-6-methylphenyl)(2-methoxy-1-methylethyl)amino)-2-oxo-', 'NCGC00357005-01', 'CAS-152019-73-3', 'NS00000245', 'Metolachlor OA, PESTANAL(R), analytical standard', 'J-008874', 'Q27157057', '[(2-ETHYL-6-METHYLPHENYL)(1-METHOXYPROPAN-2-YL)CARBAMOYL]FORMIC ACID']</t>
  </si>
  <si>
    <t>Compound(15842092)</t>
  </si>
  <si>
    <t>C15H21NO4</t>
  </si>
  <si>
    <t>methyl (1E)-N-(methylcarbamoyloxy)ethanimidothioate</t>
  </si>
  <si>
    <t>['methomyl', 'Lannate', 'Mesomile', 'Nudrin', 'Methomex', 'Lannate L', 'Nu-bait ii', 'Metomil', 'Lanox 90', 'Lannate LV', 'Lanox 216', 'Du Pont insecticide 1179', 'Insecticide 1,179', 'Dupont 1179', '16752-77-5', 'Rcra waste number P066', 'Metomil [Italian]', 'Lannate 20', 'Methomyl [ANSI:BSI:ISO]', 'Caswell No. 549C', 'Memilene', 'Flytek', 'Kipsin', 'S-Methyl N-(methylcarbamoyloxy)thioacetimidate', 'Lanox', 'Methomyl lannate', 'Lannate LB', 'Lannate(R)', '1-(Methylthio)ethylideneamino methylcarbamate', '3-Thiabutan-2-one, O-(methylcarbamoyl)oxime', 'UNII-1NQ08HN02S', '(Z)-Methomyl', 'Methyl O-(methylcarbamyl)thiolacetohydroxamate', 'Methomyl (lannate)', 'Methyl O-(methylcarbamoyl)thiolacetohydroxamate', 'ENT 27,341', 'IN 1179', 'Insecticide 1179', '1-(Methylthio)acetaldehyde O-methylcarbamoyloxime', 'SD 14999', 'WL 18236', 'HSDB 1736', 'Methyl N-(((methylamino)carbonyl)oxy)ethanimidothioate', 'Acetimidothioic acid, methyl-, N-(methylcarbamoyl) ester', 'Methyl N-((methylcarbamoyl)oxy)thioacetimidate', 'Du Pont 1179', 'EINECS 240-815-0', 'N-(((Methylamino)carbonyl)oxy)ethanimidothioic acid methyl ester', 'RCRA waste no. P066', 'EPA Pesticide Chemical Code 090301', 'BRN 2042050', 'N-((Methylcarbamoyl)oxy)thioacetimidic acid methyl ester', 'AI3-27341', '1NQ08HN02S', '2-Methylthio-acetaldehyd-O-(methylcarbamoyl)-oxim', 'methyl (1E)-N-(methylcarbamoyloxy)ethanimidothioate', '2-Methylthio-propionaldehyd-O-(methylcarbamoyl)-oxim', '19928-35-9', 'N-[(Methylcarbamoyl)oxy]thioacetimidic acid methyl ester', '2-Methylthio-acetaldehyd-O-(methylcarbamoyl)-oxim [German]', '2-Methylthio-propionaldehyd-O-(methylcarbamoyl)-oxim [German]', 'Methyl N-[(Methylcarbamoyl)oxy]thioacetimidate', 'Methyl O-(methylcarbamoyl)thiolacethohydroxamate', '2-Methylthio-acetaldehyd-O-(methylcarbamoyl)-oxime', 'Methyl N-[[(methylamino)carbonyl]oxy]ethanimidothioate', 'S-Methyl N-[[(methylamino)carbonyl]oxy]ethanimidothioate', 'Lan Bait', 'Acetimidic acid, N-[(methylcarbamoyl)oxy]thio-, methyl ester', 'Acetimidic acid, thio-N-((methylcarbamoyl)oxy)-, methyl ester', 'methyl (1E)-N-{[(methylamino)carbonyl]oxy}ethanimidothioate', 'Ethanimidothioic acid, N-[[(methylamino)carbonyl]oxy]-, methyl ester', 'Ethanimidothioic acid, N-(((methylamino)carbonyl)oxy)-, methyl ester', 'C5H10N2O2S', 'CHEBI:6835', 'Lannabait', 'Acetimidic acid, N-((methylcarbamoyl)oxy)thio-, methyl ester', 'Methyl (1E)-N-([(methylamino)carbonyl]oxy)ethanimidothioate', 'Methomyl 5G', 'Sorex golden fly bait', '(1-methylsulfanylethylideneamino) N-methylcarbamate', 'Methyl (N-([(methylamino)carbonyl]oxy)ethanimidothioate #', 'SCHEMBL27111', 'CHEMBL552761', 'UHXUZOCRWCRNSJ-QPJJXVBHSA-', 'ZINC3977733', 'FCH835459', 'AKOS006282748', 'Ethanimidothioic acid, N-(((methylamino)carbonyl)oxy)-, methyl ester (9CI)', 'API0003332', 'FCH3751543', 'NCGC00163734-01', 'NCGC00163734-02', 'NCGC00163734-03', 'AS-15263', 'LS-13025', 'Thiobutan-2-one, O-(methylcarbamoyl)oxime', 'Methomyl, PESTANAL(R), analytical standard', 'NS00008271', 'C11196', 'M-2985', '752M775', 'A811250', 'J-010377', 'Q55870894', 'N-[[(Methylamino)carbonyl]oxy]-2-(methylthio)ethanimine', '(E)-[1-(methylsulfanyl)ethylidene]amino N-methylcarbamate', 'Methyl N-[[(methylamino)carbonyl]oxy]ethanimidothioate, 9CI', '(1E)-N-(methylcarbamoyloxy)ethanimidothioic acid methyl ester', 'Acetimidic acid, N-((methylcarbamoyl)oxy)thio-, methyl ester (8CI)', 'Acetimidic acid, N-((methylcarbamoyl)oxy)thio-, methyl ester, (E)-', 'Ethanimidothioic acid, N-(((methylamino)carbonyl)oxy)-, methyl ester, (E)-']</t>
  </si>
  <si>
    <t>Compound(5353758)</t>
  </si>
  <si>
    <t>metronidazole</t>
  </si>
  <si>
    <t>2-(2-methyl-5-nitroimidazol-1-yl)ethanol</t>
  </si>
  <si>
    <t>['metronidazole', '443-48-1', 'Flagyl', 'Metronidazol', '2-Methyl-5-nitroimidazole-1-ethanol', 'Anagiardil', 'Trichazol', 'MetroGel', 'Gineflavir', 'Meronidal', 'Metronidaz', 'Novonidazol', 'Trichopol', 'Trivazol', 'Danizol', 'Mexibol', 'Vagilen', 'Clont', 'Bayer 5360', '2-(2-Methyl-5-nitro-1H-imidazol-1-yl)ethanol', 'Flagemona', 'Giatricol', 'Metronidazolo', 'Sanatrichom', 'Takimetol', 'Trichocide', 'Trichomol', 'Trikacide', 'Acromona', 'Atrivyl', 'Deflamon', 'Efloran', 'Entizol', 'Flagesol', 'Monagyl', 'Monasin', 'Orvagil', 'Trichex', 'Tricocet', 'Trikamon', 'Trikojol', 'Trikozol', 'Trimeks', 'Vagimid', 'Vertisal', 'Wagitran', 'Arilin', 'Bexon', 'Elyzol', 'Eumin', 'Flagil', 'Klion', 'Klont', 'Nalox', 'Tricom', 'neo-Tric', 'Tricowas B', 'Deflamon-wirkstoff', 'Protostat', 'Satric', 'MetroCream', 'MetroLotion', 'MetroGel-Vaginal', 'CONT', 'NIDA', 'Methronidazole', 'Metromidol', 'Trichopal', 'Flegyl', 'Fossyol', 'Flagyl Er', '1H-Imidazole-1-ethanol, 2-methyl-5-nitro-', 'Metronidazolum', 'Noritate', 'Metro I.V.', 'Metrolyl', 'Metric 21', "Trichomonacid 'pharmachim'", 'Metro Gel', '1-(2-Hydroxyethyl)-2-methyl-5-nitroimidazole', 'NSC-50364', 'Metronidazole in Plastic Container', 'RP 8823', 'Metronidazolo [DCIT]', '2-Methyl-1-(2-hydroxyethyl)-5-nitroimidazole', '2-Methyl-3-(2-hydroxyethyl)-4-nitroimidazole', 'SC 10295', '2-(2-methyl-5-nitroimidazol-1-yl)ethanol', '1-(2-Hydroxy-1-ethyl)-2-methyl-5-nitroimidazole', "Mexibol 'silanes'", 'Metro I.V. In Plastic Container', 'Metronidazol [INN-Spanish]', 'Metronidazolum [INN-Latin]', '1-(beta-Ethylol)-2-methyl-5-nitro-3-azapyrrole', 'Flagyl I.V. RTU', 'Flagyl 375', '2-(2-methyl-5-nitro-1H-imidazol-1-yl)ethan-1-ol', 'Caswell No. 579AA', '1-(beta-Hydroxyethyl)-2-methyl-5-nitroimidazole', '1-Hydroxyethyl-2-methyl-5-nitroimidazole', 'FLAGYL I.V. RTU IN PLASTIC CONTAINER', '1-(beta-Oxyethyl)-2-methyl-5-nitroimidazole', 'MFCD00009750', 'NSC 50364', 'CCRIS 410', 'UNII-140QMO216E', 'Imidazole-1-ethanol, 2-methyl-5-nitro-', 'HSDB 3129', '2-(2-methyl-5-nitro-1-imidazolyl)ethanol', '2-(2-methyl-5-nitro-imidazol-1-yl)ethanol', 'BAY-5360', 'NSC69587', 'EINECS 207-136-1', 'NSC 69587', 'EPA Pesticide Chemical Code 120401', 'BRN 0611683', 'MLS000028590', 'CHEBI:6909', '140QMO216E', 'NSC50364', 'NSC-69587', 'Metronidazole, 99%', 'NCGC00016446-06', 'CAS-443-48-1', 'Metrodzhil', 'Metrogyl', 'Metrolag', 'Metrotop', 'Rathimed', 'SMR000058175', 'Vandazole', 'Zadstat', 'Metric', '2-(2-methyl-5-nitroimidazolyl)ethan-1-ol', 'Tricho cordes', 'DSSTox_CID_892', 'Tricho-gynaedron', 'DSSTox_RID_75848', 'DSSTox_GSID_20892', '99616-64-5', '1-(.beta.-Ethylol)-2-methyl-5-nitro-3-azapyrrole', '1-(.beta.-Hydroxyethyl)-2-methyl-5-nitroimidazole', 'giniflavir', 'Trichobrol', 'Florazole', 'Mepagyl', 'Metrozine', 'Nidagyl', 'Rosased', 'Zidoval', 'Metryl', 'Ginefla vir', 'WLN: T5N CNJ A2Q B1 ENW', 'Metronidazole Phosphoester', 'Noritate (TN)', 'Metro cream &amp; gel', 'Metronidazole Monohydrochloride', 'Flagyl (TN)', 'WLN: T6NTJ DQ ANU1- ET5N CNJ A1 BNW', 'METRONIDAZOLE USP', 'METRO I.V', 'SR-01000000244', 'Metronidazole [USAN:INN:BAN:JAN]', 'Polibiotic', 'Trikhopol', 'Donnan', 'Flazol', 'CB-01-14 MMX', 'Methyl-5-nitroimidazole-1-ethanol', 'Metro IV', 'Metronidazole,(S)', 'Prestwick_334', '2-Methyl-5-nitro-1-imidazoleethanol', 'IDR-90105', 'Cimetrol 500LPCI', 'Metronidazole (MNZ)', 'RP-8823', 'Metronidazole, BioXtra', 'Metronidazole (Flagyl)', 'PubChem15970', 'Spectrum_001035', 'Metronidazole [USAN:USP:INN:BAN:JAN]', 'ACMC-209jxc', 'HELIDAC (Salt/Mix)', 'Maybridge1_001999', 'Opera_ID_1585', 'Prestwick0_000081', 'Prestwick1_000081', 'Prestwick2_000081', 'Prestwick3_000081', 'Spectrum2_000883', 'Spectrum3_000506', 'Spectrum4_000060', 'Spectrum5_001289', '(S)-Ursodeoxycholic Acid', 'M0924', 'CHEMBL137', 'NCIOpen2_000337', 'SCHEMBL23042', 'BSPBio_000002', 'BSPBio_002031', 'KBioGR_000559', 'KBioSS_001515', '5-23-05-00063 (Beilstein Handbook Reference)', 'KSC911O0J', 'MLS000758286', 'MLS001424018', 'ARONIS24285', 'BIDD:GT0107', 'DivK1c_000007', 'SPECTRUM1500412', 'SPBio_000666', 'SPBio_001941', 'BAYER-5360', 'BPBio1_000004', 'DTXSID2020892', 'Flagyl I.V. RTU (Salt/Mix)', 'BCBcMAP01_000184', 'CTK8B1704', 'GTPL10914', 'HMS500A09', 'HMS547C19', 'KBio1_000007', 'KBio2_001515', 'KBio2_004083', 'KBio2_006651', 'KBio3_001531', 'KS-00000GNW', 'Metronidazole (JP17/USP/INN)', 'Metronidazole, analytical standard', 'NINDS_000007', 'HMS1568A04', 'HMS1920N19', 'HMS2051G07', 'HMS2090B19', 'HMS2091F14', 'HMS2095A04', 'HMS2231E11', 'HMS3373O05', 'HMS3393G07', 'HMS3655E22', 'HMS3712A04', 'Pharmakon1600-01500412', 'ZINC113442', 'BCP13757', 'HY-B0318', 'Tox21_110441', 'Tox21_202413', 'Tox21_302794', 'ANW-30094', 'BBL005452', 'BDBM50375309', 'CCG-40016', 'FP-250', 'NSC757118', 's1907', 'SBB001486', 'SBB041018', 'STK177359', 'Metronidazole 2.0 mg/ml in Methanol', 'AKOS000269646', 'AKOS005169650', 'Tox21_110441_1', 'CS-2358', 'DB00916', 'KS-5140', 'LS-1264', 'MCULE-6891596695', 'NC00020', 'NSC-757118', '1-(2-Hydroxyethyl)-2-methyl-5-nitroimidazole N-(5-carboxy-5-aminopentane)carbamate', 'IDI1_000007', 'KS-000048I4', 'SMP1_000189', 'NCGC00016446-01', 'NCGC00016446-02', 'NCGC00016446-03', 'NCGC00016446-04', 'NCGC00016446-05', 'NCGC00016446-07', 'NCGC00016446-08', 'NCGC00016446-09', 'NCGC00016446-11', 'NCGC00016446-12', 'NCGC00016446-17', 'NCGC00022059-03', 'NCGC00022059-04', 'NCGC00022059-05', 'NCGC00256513-01', 'NCGC00259962-01', 'AC-23968', 'AK-77146', 'SC-46607', 'ST024769', 'SY002821', '1-hydrox yethyl-2-methyl-5-nitroimidazole', 'SBI-0051447.P003', 'AB0008438', 'DB-051212', 'Metronidazole, SAJ first grade, &gt;=99.0%', 'AB00052046', 'BB 0218386', 'FT-0603394', 'NS00000210', 'SW196613-4', 'C07203', 'D00409', 'M-2794', '74568-EP2275420A1', '74568-EP2292612A2', '74568-EP2305640A2', '74568-EP2305662A1', '74568-EP2308857A1', 'AB00052046-17', 'AB00052046_18', 'AB00052046_19', 'A826552', 'Metronidazole, VETRANAL(TM), analytical standard', 'Q169569', '2-(2-methyl-5-nitro-1H-imidazol-1-yl)-1-ethanol', '2-(2-Methyl-5-nitro-1H-imidazol-1-yl)ethanol #', 'Metronidazole, Antibiotic for Culture Media Use Only', 'Q-201403', 'SR-01000000244-4', 'SR-01000000244-5', 'BRD-K52020312-001-05-2', 'BRD-K52020312-001-15-1', 'Z87001124', 'F1773-0073', 'Metronidazole, certified reference material, TraceCERT(R)', 'Metronidazole, British Pharmacopoeia (BP) Reference Standard', 'Metronidazole, European Pharmacopoeia (EP) Reference Standard', 'Metronidazole, United States Pharmacopeia (USP) Reference Standard', 'Metronidazole solution, 2.0 mg/mL in methanol, ampule of 1 mL, certified reference material', 'Metronidazole, Pharmaceutical Secondary Standard; Certified Reference Material']</t>
  </si>
  <si>
    <t>Compound(4173)</t>
  </si>
  <si>
    <t>C6H9N3O3</t>
  </si>
  <si>
    <t>(3,5-dimethyl-4-methylsulfanylphenyl) N-methylcarbamate</t>
  </si>
  <si>
    <t>['METHIOCARB', 'Mercaptodimethur', '2032-65-7', 'Methiocarbe', 'Metmercapturon', 'Mesurol', 'Draza', 'Mesurol Phenol', '3,5-Dimethyl-4-(methylthio)phenol methylcarbamate', 'Grandslam', 'Lizetan', 'Certan', '3,5-Dimethyl-4-(methylthio)phenyl methylcarbamate', 'Bayer 37344', '3,5-Dimethyl-4-methylthiophenyl N-methylcarbamate', '4-Methylmercapto-3,5-xylyl methylcarbamate', 'Caswell No. 578B', 'OMS-93', 'Mercaptodimethur [ISO]', 'Methiocarb [BSI:ISO]', 'Phenol, 3,5-dimethyl-4-(methylthio)-, methylcarbamate', '4-Methylthio-3,5-dimethylphenyl methylcarbamate', 'DCR 736', 'Methiocarbe [ISO-French]', 'BAY 5024', 'BAY 9026', '4-Methylmercapto-3,5-dimethylphenyl N-methylcarbamate', 'BAY 37344', 'ENT 25,726', 'UNII-JI9431OS31', '3,5-Xylenol, 4-(methylthio)-, methylcarbamate', 'SD 9228', 'HSDB 782', '4-(Methylthio)-3,5-xylyl methylcarbamate', '3,5-Dimethyl-4-methyl-thiophenyl-N-carbamat', 'H 321', 'EINECS 217-991-2', 'B 37344', 'EPA Pesticide Chemical Code 100501', 'BRN 1881431', 'Methyl carbamic acid 4-(methylthio)-3,5-xylyl ester', '3,5-Dimethyl-4-(methylsulfanyl)phenyl methylcarbamate', '3,5-Dimethyl-4-methylmercaptophenyl-N-methyl-carbamate', '(3,5-dimethyl-4-methylsulfanylphenyl) N-methylcarbamate', 'AI3-25726', 'Carbamic acid, methyl-, 4-(methylthio)-3,5-xylyl ester', 'Carbamic acid, N-methyl-, 4-(methylthio)-3,5-xylyl ester', 'CHEBI:38508', 'Carbamic acid, methyl-, 3,5-dimethyl-4-(methylthio)phenyl ester', 'JI9431OS31', '3,5-Dimethyl-4-methyl-thiophenyl-N-carbamat [German]', '4-Methylthio-3,5-xylyl methylcarbamate', '3,5-dimethyl-4-methylthio-phenyl N-methyl-carbamate', 'Phenol, 3,5-dimethyl-4-(methylthio)-, 1-(N-methylcarbamate)', '716-16-5', 'Metmercapturan', 'Club', 'Esurol (Salt/Mix)', 'DSSTox_CID_12626', 'DSSTox_GSID_32626', 'methiocarb (mercaptodimethur)', 'SCHEMBL24740', 'BIDD:ER0067', 'CHEMBL1076495', 'DTXSID3032626', 'CTK8E8487', 'ZINC2038975', 'Tox21_303856', 'AKOS015888434', 'ACM2032657', 'Methiocarb 100 microg/mL in Cyclohexane', 'NCGC00163897-01', 'NCGC00357122-01', 'CC-13627', 'LS-50273', 'O769', 'CAS-2032-65-7', 'Mercaptodimethur;mercaptodimethur;methiocarb', 'FT-0706210', 'NS00000436', 'Methiocarb, PESTANAL(R), analytical standard', 'C18651', '032M657', '4-(Methylthio)-3,5-dimethylphenyl methylcarbamate', 'C-34532', 'Q425378', 'J-013218', 'Phenyl-3,5-dimethyl-4-(methylthio)-, methylcarbamate', '3,5-Dimethyl-4-(methylsulfanyl)phenyl methylcarbamate #', 'Carbamic acid, 3,5-dimethyl-4-methylthiophenyl ester, N-methyl', 'Phenol, 3,5-dimethyl-4-(methylthio)-, methylcarbamate (9CI)']</t>
  </si>
  <si>
    <t>Compound(16248)</t>
  </si>
  <si>
    <t>methiocarb sulfoxide</t>
  </si>
  <si>
    <t>(3,5-dimethyl-4-methylsulfinylphenyl) N-methylcarbamate</t>
  </si>
  <si>
    <t>['Methiocarb sulfoxide', 'Mesurol sulfoxide', 'methiocarb-sulfoxide', '2635-10-1', 'BAY 37344 sulfoxide', 'Bayer 41791', 'BAY 41791', 'ENT 25824', '3,5-Dimethyl-4-(methylsulfinyl)phenyl methylcarbamate', 'Phenol, 3,5-dimethyl-4-(methylsulfinyl)-, methylcarbamate', '(3,5-dimethyl-4-methylsulfinylphenyl) N-methylcarbamate', 'BRN 2130137', 'AI3-25824', 'CARBAMIC ACID, METHYL-, 4-(METHYLSULFINYL)-3,5-XYLYL ESTER', 'Carbamic acid, methyl-, 3,5-dimethyl-4-(methylsulfinyl)phenyl ester', 'Methiocarb sulphoxide (M01)', 'SCHEMBL5934106', 'DTXSID8042139', 'CHEBI:83542', 'Methiocarb sulfoxide (AE 1371422)', 'LS-50263', 'Mercaptodimethur-sulfoxid;Methiocarb-sulfoxide', 'NS00000447', '4-(Methylsulfinyl)-3,5-xylyl methylcarbamate', 'J-016392', '4-methanesulfinyl-3,5-dimethylphenyl N-methylcarbamate', 'Q27156936', '4-(Methanesulfinyl)-3,5-dimethylphenyl methylcarbamate', 'Methiocarb sulfoxide, PESTANAL(R), analytical standard', 'Phenol, 3,5-dimethyl-4-(methylsulfinyl)-, (N-methylcarbamate)']</t>
  </si>
  <si>
    <t>Compound(17521)</t>
  </si>
  <si>
    <t>methiocarbsulfone</t>
  </si>
  <si>
    <t>(3,5-dimethyl-4-methylsulfonylphenyl) N-methylcarbamate</t>
  </si>
  <si>
    <t>['Methiocarb sulfone', 'Mesurol sulfone', '2179-25-1', 'Bayer 37344 sulfone', 'BAY 37344 sulfone', 'Methiocarb-sulfone', 'Mercaptodimethur sulfone', 'Phenol, 3,5-dimethyl-4-(methylsulfonyl)-, methylcarbamate', 'BAY 41790', 'ENT 25825', 'UNII-U9FTK96C2O', 'U9FTK96C2O', 'BA 51-084786', '3,5-Xylenol, 4-(methylsulfonyl)-, methylcarbamate', '(3,5-dimethyl-4-methylsulfonylphenyl) N-methylcarbamate', 'BRN 2291460', 'AI3-25825', 'CARBAMIC ACID, METHYL-, 4-(METHYLSULFONYL)-3,5-XYLYL ESTER', 'Carbamic acid, methyl-, 3,5-dimethyl-4-(methylsulfonyl)phenyl ester', 'Mercaptodimethursulfon', 'Methiocarb M02', 'SCHEMBL5933707', 'DTXSID3042138', 'ZINC2038820', 'methiocarb sulfone;Methiocarb-sulfone', 'AKOS015888399', 'Methiocarb sulfone, analytical standard', 'LS-50264', 'Mercaptodimethursulfon, analytical standard', 'FT-0747467', 'NS00002491', 'C-56546', 'J-014291', '3,5-Dimethyl-4-(methylsulfonyl)phenyl methylcarbamate', 'Methiocarb sulfone, PESTANAL(R), analytical standard', 'Q27290955', '3,5-Dimethyl-4-(methylsulfonyl)phenyl methylcarbamate #', '4-(Methanesulfonyl)-3,5-dimethylphenyl methylcarbamate', 'Methiocarb-sulfone 100 microg/mL in Methyl-tert-butyl ether', 'Phenol, 3,5-dimethyl-4-(methylsulfonyl)-, methylcarbamate (9CI)']</t>
  </si>
  <si>
    <t>Compound(16589)</t>
  </si>
  <si>
    <t>1-[4-(2-methoxyethyl)phenoxy]-3-(propan-2-ylamino)propan-2-ol</t>
  </si>
  <si>
    <t>['metoprolol', '51384-51-1', '(RS)-Metoprolol', 'Spesicor', 'Beatrolol', 'Toprol', 'dl-Metoprolol', '37350-58-6', 'Meijoprolol', 'Metoprololum', 'Metohexal', 'Preblok', 'Presolol', 'Seroken', 'Lopressor', 'Spesikor', 'Betalok', 'TOPROL-XL', 'CGP 2175', 'Metoprololum [INN-Latin]', '1-(Isopropylamino)-3-(4-(2-methoxyethyl)phenoxy)propan-2-ol', 'Metoprolol [USAN:INN:BAN]', '1-[4-(2-methoxyethyl)phenoxy]-3-(propan-2-ylamino)propan-2-ol', 'CGP-2175', 'LOPRESSIDONE', 'CCRIS 4198', '1-(isopropylamino)-3-[4-(2-methoxyethyl)phenoxy]propan-2-ol', 'HSDB 6531', 'CHEMBL13', '1-[4-(2-methoxyethyl)phenoxy]-3-propan-2-ylamino-propan-2-ol', 'CHEBI:6904', 'Selo-Zok', 'Lopresoretic', '1-(Isopropylamino)-3-(p-(2-methoxyethyl)phenoxy)-2-propanol', 'Beloc-Duriles', 'Betaloc-Astra', '2-Propanol, 1-(4-(2-methoxyethyl)phenoxy)-3-((1-methylethyl)amino)-', '2-Propanol, 1-[4-(2-methoxyethyl)phenoxy]-3-[(1-methylethyl)amino]-', '1-(Isopropylamino)-3-[4-(2-methoxyethyl)phenoxy]-2-propanol', 'Loresor', 'Neobloc', 'Metrol', '{2-hydroxy-3-[4-(2-methoxyethyl)phenoxy]propyl}(propan-2-yl)amine', '1-[4-(2-methoxyethyl)phenoxy]-3-[(propan-2-yl)amino]propan-2-ol', '1-[(1-methylethyl)amino]-3-({4-[2-(methyloxy)ethyl]phenyl}oxy)propan-2-ol', '2-Propanol, 1-[4-(2-methoxyethyl)phenoxy]-3-[(1-methylethyl)amino]-, (.+/-.)-', 'CGP-2175C', 'CGP2175', 'Metoprolol (USAN/INN)', '1-(Isopropylamino)-3-[p-(2-methoxyethyl)phenoxy]-2-propanol', 'H-93/26', '1-(4-(2-Methoxyethyl)-phenoxy)-3-((1-methylethyl)amino)-2-propanol', '1-[4-(2-METHOXYETHYL)-PHENOXY]-3-[(1-METHYLETHYL)AMINO]-2-PROPANOL', 'metoprolol tartarate', 'H 93-26', 'EINECS 253-483-7', 'EINECS 257-166-4', '(+/-)-Metoprolol', 'Lopresol (Salt/Mix)', 'Lopresoretic (Salt/Mix)', '(.+/-.)-Metoprolol', '1-[4-(2-methoxyethyl)phenoxy]-3-[(1-methylethyl)amino]-2-propanol', 'DSSTox_CID_3309', 'SCHEMBL4093', 'DSSTox_GSID_23309', 'GTPL553', 'H 93/26 (Salt/Mix)', 'DTXSID2023309', 'BDBM25756', 'CTK7B2896', 'HMS2090B15', 'BCP09038', 'GP-2175E', 'KS-000022ZD', 'Tox21_303972', '4761AB', 's5430', 'STL301858', 'AKOS005927923', 'BG-0006', 'CCG-204813', 'CS-3159', 'DB00264', 'MCULE-7999715986', 'SDCCGSBI-0050706.P005', '2-Propanol, 1-(4-(2-methoxyethyl)phenoxy)-3-((1-methylethyl)amino)-, (+-)-', 'NCGC00021148-03', 'NCGC00021148-04', 'NCGC00021148-05', 'NCGC00356981-01', 'AC-19022', 'H929', 'HY-17503', 'SBI-0050706.P004', 'AB0013365', 'CAS-51384-51-1', 'DB-049097', 'LS-122450', 'A2878', 'AB00053499', 'FT-0602794', 'FT-0672382', 'FT-0672383', 'FT-0672385', 'C07202', 'D02358', 'X-3755', 'AB00053499-21', 'AB00053499_22', 'AB00053499_23', 'A823609', 'L000669', 'Q409468', 'Q-201400', 'SR-01000003148-2', 'BRD-A03623303-045-02-0', 'BRD-A03623303-045-05-3', '1-Isopropylamino-3-[p-(2-methoxyethyl)phenoxy]-2-propanol', '(+/-)-1-(Isopropylamino)-3-(p-(beta-methoxyethyl)phenoxy)-2-propanol', '(2S)-1-[4-(2-methoxyethyl)phenoxy]-3-(propan-2-ylamino)propan-2-ol', '(2R,3R)-2,3-dihydroxysuccinic acid;1-(isopropylamino)-3-[4-(2-methoxyethyl)phenoxy]propan-2-ol', '1-(isopropylamino)-3-[4-(2-methoxyethyl)phenoxy]propan-2-ol;metoprolol tartrate;Metoprolol tartrate;Metoprolol Succinate']</t>
  </si>
  <si>
    <t>Compound(4171)</t>
  </si>
  <si>
    <t>C15H25NO3</t>
  </si>
  <si>
    <t>propan-2-yl (2E,4E)-11-methoxy-3,7,11-trimethyldodeca-2,4-dienoate</t>
  </si>
  <si>
    <t>['Methoprene', '40596-69-8', 'ALTOSID', 'Diacon', 'Dianex', 'Juvemon', 'Pharoid', 'Precor', 'Kabat', 'Manta', 'Minex', 'Apex', 'Methoprene S', 'Starbar Inhibitor', 'Manta (hormone)', 'Altosid IGR', 'Apex (pesticide)', 'ZR 515', 'Altosid SR 10', 'Yuvemon', 'Altosid Liquid Larvicide', 'Methoprene [INN]', 'Caswell No. 028AAA', 'Isopropyl 11-methoxy-3,7,11-trimethyldodeca-2,4-dienoate', 'Methoprenum [INN-Latin]', 'Metopreno [INN-Spanish]', 'Bioprene BM Fire Ant Killer Bait', 'OMS 1697', 'ZPA 1019', 'Isopropyl (2E,4E)-11-methoxy-3,7,11-trimethyldodeca-2,4-dienoate', 'ENT 70460', 'HSDB 6926', '(E,E)-1-Methylethyl 11-methoxy-3,7,11-trimethyl-2,4-dodecadienoate', 'Methoprene (unspecified)', 'EINECS 254-993-2', 'Isopropylmethoxytrimethyldodecadienoate', '36557-27-4', 'EPA Pesticide Chemical Code 105401', '(E,E)-Isopropyl 11-methoxy-3,7,11-trimethyl-2,4-dodecadienoate', 'Isopropyl (EE)-(RS)-11-Methoxy-3,7,11-trimethyldodeca-2,4-dienoate', 'propan-2-yl (2E,4E)-11-methoxy-3,7,11-trimethyldodeca-2,4-dienoate', 'Methoprene [ANSI:BSI:ISO]', '2,4-Dodecadienoic acid, 11-methoxy-3,7,11-trimethyl-, 1-methylethyl ester, (E,E)-', 'CHEBI:34839', '11-Methoxy-3,7,11-trimethyl-2,4-dodecadienoic acid isopropyl ester', 'Methoprene (INN)', 'NCGC00090777-05', 'Isopropyl-11-methoxy-3,7,11-trimethyldodeca-2,4-dienoate', '1-Methylethyl 11-methoxy-3,7,11-trimethyl-2,4-dodecadienoate', 'dl-Isopropyl 11-methoxy-3,7,11-trimethyl-trans-2,4-dodecadienoate', 'Isopropyl(2E,4E)-11-methoxy-3,7,11-trimethyl-2,4-dodecadienoate', 'Isopropyl (2E,4E)-11-methoxy-3,7,11-trimethyl-2,4-dodecadienoate', '2,4-DODECADIENOIC ACID, 11-METHOXY-3,7,11-TRIMETHYL-, ISOPROPYL ESTER', '2,4-Dodecadienoic acid, 11-methoxy-3,7,11-trimethyl-, 1-methylethyl ester, (2E,4E)-', 'DSSTox_CID_12627', 'DSSTox_RID_79012', 'DSSTox_GSID_32627', 'd-Methoprene', 'Flea Killer Plus', 'Methoprenum', 'Metopreno', '(+)-Methoprene', 'C19H34O3', 'Isopropyl (2E,4E)-(7S)-11-methoxy-3,7,11-trimethyl-2,4-dodecadienoate', '(E,E)-11-methoxy-3,7,11-trimethyl-2,4-dodecadienoic acid 1-methylethyl ester', 'CAS-40596-69-8', 'Pharorid', 'methylethyl (2E,4E)-11-methoxy-3,7,11-trimethyldodeca-2,4-dienoate', 'EPA Pesticide Chemical Code 105402', 'ZR 2458', 'Ro 10-6425', '2,4-Dodecadienoic acid, 11-methoxy-3,7,11-trimethyl-, 1-methylethyl ester', 'Zodiac [veterinary] (TN)', 'SCHEMBL19795', 'MLS001055477', 'CHEMBL291057', '(2E,4E,7S)-1-Methylethyl 11-methoxy-3,7,11-trimethyl-2,4-dodecadienoate', 'DTXSID8032627', 'Isopropyl (2E,4E,7S)-11-methoxy-3,7,11-trimethyl-2,4-dodecadienoate', 'CHEBI:39257', '2,4-Dodecadienoic acid, 11-methoxy-3,7,11-trimethyl-, 1-methylethyl ester, (2E,4E,7S)-', 'HMS3039C11', 'HY-B1161', 'ZX-AT029346', 'Tox21_111019', 'Tox21_200654', 'SBB001828', 'STK677200', 'AKOS005594513', 'Tox21_111019_1', 'CS-4762', 'MCULE-2876424448', 'NCGC00090777-01', 'NCGC00090777-02', 'NCGC00090777-03', 'NCGC00090777-04', 'NCGC00090777-06', 'NCGC00258208-01', 'NCGC00263657-01', '41205-06-5', '52020-07-2', 'CC-30272', 'LS-63391', 'LS-63392', 'LS-63393', 'Q675', 'SC-18628', 'SMR001227198', 'ST074644', 'NS00003506', 'Methoprene, PESTANAL(R), analytical standard', 'C14308', 'D08200', 'SR-01000854669', 'Q2329841', 'SR-01000854669-2', 'Q27119793', 'propan-2-yl 11-methoxy-3,7,11-trimethyldodeca-2,4-dienoate', '(2E,4E)-isopropyl 11-methoxy-3,7,11-trimethyldodeca-2,4-dienoate', '11-methoxy-3,7,11-trimethyl-2,4-dodecadienoic acid, 1-methylethyl ester', 'dl-Isopropyl 11-methoxy-3,7,11-trimethyl-trans-trans-2,4-dodecadienoate', '(2E,4E)-3,7,11-Trimethyl-11-methoxydodeca-2,4-dienoic acid 1-methylethyl ester', 'Methoprene;isopropyl (2E,4E)-11-methoxy-3,7,11-trimethyldodeca-2,4-dienoate;methoprene;S-Methoprene;2,4-Dodecadienoic acid, 11-methoxy-3,7,11-trimethyl-, 1-methylethyl ester, (2E,4E,7S)-']</t>
  </si>
  <si>
    <t>Compound(5366546)</t>
  </si>
  <si>
    <t>C19H34O3</t>
  </si>
  <si>
    <t>4-N-(3-methoxypropyl)-6-methylsulfanyl-2-N-propan-2-yl-1,3,5-triazine-2,4-diamine</t>
  </si>
  <si>
    <t>['METHOPROTRYNE', 'Methoprotryn', 'Metoprotryne', 'Methoproptryne', 'Methotryne', 'Metoprotryn', '841-06-5', 'Caswell No. 509A', 'Methoprotryne [BSI:ISO]', 'Metoprotryne [ISO-French]', 'UNII-31X54QGQ17', 'HSDB 1728', "1,3,5-Triazine-2,4-diamine, N-(3-methoxypropyl)-N'-(1-methylethyl)-6-(methylthio)-", 'EINECS 212-664-0', 'G 36393', 'EPA Pesticide Chemical Code 509200', 'BRN 0616626', '2-Isopropylamino-4-(3-methoxypropylamino)-6-methylthio-s-triazine', '2-Methylthio-4-isopropylamino-6-(3-methoxypropylamino)-s-triazine', '31X54QGQ17', '2-Isopropylamino-4-(3-methoxypropylamino)-6-methylthio-1,3,5-triazine', 'G-36393', '2-Isopropylamino-4-(3-methoxypropylamino)-6-methylthio-1,3,5-triazin [German]', "4-Isopropylamino-6-(3'-methoxypropylamino)-2-methylthio-1,3,5-triazin [German]", "4-Isopropylamino-6-(3'-methoxypropylamino)-2-methythio-1,3,5-triazin [German]", 'N-Isopropyl-N-(3-methoxyypropyl)-6-methylthio-1,3,5-triazine-2,4-diamine', 'N2-Isopropyl-N4-(3-methoxypropyl)-6-methylthio-1,3,5-triazine-2,4-diamine', 's-Triazine, 2-(isopropylamino)-4-((3-methoxypropyl)amino)-6-(methylthio)-', 's-Triazine, 2-(isopropylamino)-4-[(3-methoxypropyl)amino]-6-(methylthio)-', '4-N-(3-methoxypropyl)-6-methylsulfanyl-2-N-propan-2-yl-1,3,5-triazine-2,4-diamine', 'Gesaran 25', 'SCHEMBL136002', 'DTXSID2040286', 'CHEBI:82226', 'ZINC2040313', '2-Isopropylamino-4-(3-methoxypropylamino)-6-methylthio-1,3,5-triazin', "4-Isopropylamino-6-(3'-methoxypropylamino)-2-methythio-1,3,5-triazin", "4-Isopropylamino-6-(3'-methoxypropylamino)-2-methylthio-1,3,5-triazin", "N-(3-Methoxypropyl)-N'-(1-methylethyl)-6-(methylthio)-1,3,5-triazine-2,4-diamine (9CI)", 'Pesticide5_Methoprotryne_C11H21N5OS_', 'NCGC00160632-01', 'LS-155449', 'NS00002050', 'C19104', 'Methoprotryne, PESTANAL(R), analytical standard', 'Q22808393', "4-Isopropylamino-6-(3'-methoxypropylamino)-2-methythio-1,3,5-triazine", "N-(3-Methoxypropyl)-N'-(1-methylethyl)-6-(methylthio)-1,3,5-triazine-2,4-diamine", "N-Isopropyl-N'-(3-methoxypropyl)-6-(methylsulfanyl)-1,3,5-triazine-2,4-diamine", "1,3,5-Triazine-2,4-diamine, N-(3-methoxypropyl)-N'-(1-methylethyl)-6-(methylthio)- (9CI)"]</t>
  </si>
  <si>
    <t>Compound(13290)</t>
  </si>
  <si>
    <t>C11H21N5OS</t>
  </si>
  <si>
    <t>zinc;N-[2-(sulfidocarbothioylamino)ethyl]carbamodithioate</t>
  </si>
  <si>
    <t>['ZINEB', 'Polyram', '12122-67-7', 'METIRAM', '9006-42-2', 'Parzate', 'Zinc ethylenebisthiocarbamate', 'CHEBI:52498', 'Polycarbacin', 'Polymarcine', 'Cynkotox', 'Novozir', 'zinc ethane-1,2-diylbis(dithiocarbamate)', 'Dithane Z-78', 'Polikarbatsin', 'Polycarbacine', 'Polycarbazin', 'Polycarbazine', 'Polymarcin', 'Polymarsin', 'Polymarzin', 'Polymarzine', 'Tritoftorol', 'Aaphytora', 'Aphytora', 'Asporum', 'Blightox', 'Blizene', 'Carbadine', 'Carbatene', 'Crittox', 'Deikusol', 'Devizeb', 'Ditiamina', 'Hexathane', 'Kupratsin', 'Lipotan', 'Lirotan', 'Lonacol', 'Perosin', 'Perozin', 'Perozine', 'Polymat', 'Tanazon', 'Thiodow', 'Tiezene', 'Zebenide', 'Zinosan', 'Amarex', 'Aspor', 'Cineb', 'Daisen', 'Dipher', 'Discon', 'Funjeb', 'Kypzin', 'Micide', 'Phytox', 'Tiazin', 'Unizeb', 'Zebtox', 'Zidan', 'Zipar', 'Metiram-complex', 'Metirame zinc', 'Parzate zineb', 'Polyram combi', 'Fungo-pulvit', 'Zinc metiram', 'Crystal Zineb', 'Dithane Z', 'Novosir N', 'Novozir N', 'Parzate C', 'Polyram Z', 'Sperlox-Z', 'Thionic M', 'Discon-Z', 'Polyram DF', 'Pamosol 2 forte', 'Pilzol SZ', 'Zineb-R', 'CHEM zineb', 'Tsineb [Russian]', 'Fitodith 80', 'Perozine 75B', 'Dithane 65', 'Perosin 75B', 'Polyram 80', 'Polyram 80WP', 'Micide 55', 'Novozin N 50', 'Novozir N 50', 'Parzate; zineb 80', 'Zineb 75', 'Zineb 80', 'Caswell No. 930', 'Zineb [BSI:ISO]', 'Lonacol [discontinued]', 'Zinosan [discontinued]', 'Zineb 75 WP', 'Zinebe [ISO-French]', 'Caswell No. 041A', 'Metirame zinc [French]', 'Polikarbatsin [Russian]', 'UNII-X1FSB1OZPT', 'Zincethylenebisdithiocarbamate', 'Metirame zinc [ISO-French]', 'Shaughnessy Number 014506', 'Zinc ethylenebisdithiocarbamate', 'Metiram-zinc', 'CCRIS 2500', 'CCRIS 2503', 'Ethylenebis(dithiocarbamato)zinc', 'Zinc ethylene bisdithiocarbamate', 'HSDB 1787', 'HSDB 6705', 'FMC-9102', 'NIA 9102', 'EINECS 235-180-1', "Zinc N,N'-ethylenebisdithiocarbamate", 'Zinc ethylene-1,2-bisdithiocarbamate', 'NSC 49513', 'Metiram (9CI)', 'Zinc, ((1,2-ethanediylbis(carbamodithioato))(2-))-', 'ENT 14,874', 'EPA Pesticide Chemical Code 014506', 'EPA Pesticide Chemical Code 014601', 'Zinc, (ethylenebis(dithiocarbamato))-', 'Zineb-ethylene thiuram disulfide adduct', 'NCGC00091943-01', 'X1FSB1OZPT', 'Ethylenebis(dithiocarbamic acid), zinc salt', 'Zinc ethylenebis(dithiocarbamate) (polymeric)', 'SCHEMBL21691', '((1,2-Ethanediylbis(carbamodithioato))(2-))zinc', '1,2-Ethanediylbiscarbamodithioic acid, zinc complex', 'Carbamodithioic acid, 1,2-ethanediylbis-, zinc salt', "Zink-(N,N'-aethylen-bis(dithiocarbamat)) [German]", "1,2-Ethanediylbis(carbamodithioato) (2-)-S,S'-zinc", 'Carbamodithioic acid, 1,2-ethanediylbis-, zinc complex', 'CHEMBL1411246', 'DTXSID5021465', 'CTK4B2251', '((1,2-Ethanediylbis(carbamodithioato))(2-))zinc complex', 'LS-91', 'Zinc ammoniate ethylenebis(dithiocarbamate)-poly(ethylenethiuram disulfide)', 'zinc ethane-1,2-diyldicarbamodithioate', 'Zinc ammoniate ethylenebis(dithiocarbamate)-poly(ethylenethiuram disulfide) (IUPAC)', 'NCGC00163729-01', 'NCGC00163999-01', 'FT-0651788', 'FT-0672373', 'C15232', 'Q204384', 'J-004462', '[ethane-1,2-diylbiscarbamodithioato(2-)-kappaS]zinc', 'Metiram, technical grade (with 2% added ethylenethiourea)', "[{2-[(sulfanylcarbothioyl)amino]ethyl}carbamodithioato(2-)-kappa(2)S,S']zinc"]</t>
  </si>
  <si>
    <t>Compound(5284484)</t>
  </si>
  <si>
    <t>C4H6N2S4Zn</t>
  </si>
  <si>
    <t>N-(2,6-dichloro-3-methylphenyl)-5,7-dimethoxy-[1,2,4]triazolo[1,5-a]pyrimidine-2-sulfonamide</t>
  </si>
  <si>
    <t>['Metosulam', '139528-85-1', 'Metosulam [ISO]', 'UNII-38SY84A64X', 'N-(2,6-Dichloro-3-methylphenyl)-5,7-dimethoxy-[1,2,4]triazolo[1,5-a]pyrimidine-2-sulfonamide', 'CHEBI:82024', '38SY84A64X', 'N-(2,6-dichloro-3-methylphenyl)-5,7-dimethoxy[1,2,4]triazolo[1,5-a]pyrimidine-2-sulfonamide', '(1,2,4)Triazolo(1,5-a)pyrimidine-2-sulfonamide, N-(2,6-dichloro-3-methylphenyl)-5,7-dimethoxy-', '[1,2,4]Triazolo[1,5-a]pyrimidine-2-sulfonamide, N-(2,6-dichloro-3-methylphenyl)-5,7-dimethoxy-', 'SCHEMBL55076', 'CHEMBL2288020', 'DTXSID9047544', 'XDE 511', 'XRD 511', 'ZINC2382739', 'DE 511', 'AKOS015903867', 'Metosulam 10 microg/mL in Acetonitrile', 'N-(2,6-Dichloro-3-methylphenyl)-5,7-dimethoxy-1,2,4-triazolo-(1,5a)-pyrimidine-2-sulfonamide', 'NS00008689', 'Metosulam, PESTANAL(R), analytical standard', 'C18867', 'J-007289', 'Q17124753', 'G87', "metosulam;2',6'-dichloro-5,7-dimethoxy-3'-methyl[1,2,4]triazolo[1,5-a]pyrimidine-2-sulfonanilide", 'N-(2,6-dichloro-3-methyl-phenyl)-5,7-dimethoxy-[1,2,4]triazolo[1,5-a]pyrimidine-2-sulfonamide', 'N-(2,6-dichloro-3-methylphenyl)-5,7-dimethoxy-1,2,4-triazolo[1,5-a]pyrimidine-2-sulfonamide', 'N-(2,6-Dichloro-3-methylphenyl)-5,7-dimethoxy[1,2,4]triazolo[1,5-a]pyrimidine-2-sulfonamide, 9CI']</t>
  </si>
  <si>
    <t>Compound(86422)</t>
  </si>
  <si>
    <t>C14H13Cl2N5O4S</t>
  </si>
  <si>
    <t>methotrexate</t>
  </si>
  <si>
    <t>(2S)-2-[[4-[(2,4-diaminopteridin-6-yl)methyl-methylamino]benzoyl]amino]pentanedioic acid</t>
  </si>
  <si>
    <t>['methotrexate', '59-05-2', 'Rheumatrex', 'Amethopterin', 'Trexall', 'Metatrexan', 'Hdmtx', 'Abitrexate', 'Methylaminopterinum', '(S)-2-(4-(((2,4-Diaminopteridin-6-yl)methyl)(methyl)amino)benzamido)pentanedioic acid', 'Methylaminopterin', 'MTX', '4-Amino-10-methylfolic acid', 'Methotrexate hydrate', 'Methotrexatum', 'Metotrexato', 'Maxtrex', 'Rasuvo', 'A-Methopterin', 'A-Methpterin', 'Amethopterin L-', 'Folex-Pfs', 'Methotrexat-Ebewe', 'N-Bismethylpteroylglutamic acid', 'Methotrexate, L-', 'NSC-740', 'NCI-C04671', 'Antifolan', 'Metotressato [DCIT]', 'Mexate-Aq', 'CL-14377', 'UNII-YL5FZ2Y5U1', '133073-73-1', 'Methotrexatum [INN-Latin]', 'Metotrexato [INN-Spanish]', 'Amethopterine', 'Emtexate', 'EMT 25,299', 'L-Amethopterin', 'CCRIS 1109', '4-Aminomethylpteroylglutamic acid', 'HSDB 3123', 'NSC 740', 'TCMDC-125858', '(+)-4-Amino-10-methylfolic acid', '(2S)-2-[[4-[(2,4-diaminopteridin-6-yl)methyl-methylamino]benzoyl]amino]pentanedioic acid', 'Abitrexate (Methotrexate)', 'EINECS 200-413-8', 'R 9985', 'YL5FZ2Y5U1', 'Methotextrate', 'Methotrexat', 'CHEMBL34259', 'AI3-25299', 'NSC740', 'X 133', '4-Amino-N(sup 10)-methylpteroylglutamic acid', 'CHEBI:44185', 'N-[4-[[(2,4-diamino-6-pteridinyl)methyl]methylamino]benzoyl]-L-glutamic acid', '(2S)-2-[(4-{[(2,4-diaminopteridin-6-yl)methyl](methyl)amino}phenyl)formamido]pentanedioic acid', 'N-[(4-{[(2,4-diaminopteridin-6-yl)methyl](methyl)amino}phenyl)carbonyl]-L-glutamic acid', 'Kyselina 4-amino-N(sup 10)-methylpteroylglutamova [Czech]', 'NCGC00025060-04', 'C20H22N8O5', 'CL 14377', '4-amino-N(10)-methylpteroylglutamic acid', 'DSSTox_CID_822', 'N-(p-(((2,4-Diamino-6-pteridyl)methyl)methylamino)benzoyl)glutamic acid', 'N-(4-(((2,4-Diamino-6-pteridinyl)methyl)methylamino)benzoyl)-L-glutamicacid', 'DSSTox_RID_75810', 'Kyselina N-(p-((2,4-diamino-6-pteridinylmethyl)methylamino)benzoyl)-L-glutamova [Czech]', 'L-(+)-N-(p-(((2,4-Diamino-6-pteridinyl)methyl)methylamino)benzoyl)glutamic acid', 'N-(p-(((2,4-Diamino-6-pteridinyl)methyl)methylamino)benzoyl)-L-(+)-glutamic acid', 'DSSTox_GSID_20822', 'Fauldexato', 'Medsatrexate', 'Methoblastin', 'Metotressato', 'Brimexate', 'Emthexat', 'Emthexate', 'Lantarel', 'Lumexon', 'Metrotex', 'Novatrex', 'Otrexup', 'Tremetex', 'Trexeron', 'Trixilem', 'Metex', 'Texate', 'MLS001401431', '[3H]methotrexate', 'Glutamic acid, N-(p-(((2,4-diamino-6-pteridinyl)methyl)methylamino)benzoyl)-, L-', 'N-(4-{[(2,4-diaminopteridin-6-yl)methyl](methyl)amino}benzoyl)-L-glutamic acid', 'SMR000112001', '[3H]-methotrexate', 'SR-01000075682', 'SMR000449324', 'Metolate', 'Nordimet', 'Xatmep', 'R-methotrexate', 'Antifolan hydrate', 'Intradose-MTX', 'MTX hydrate', '1dhi', '1dhj', '2drc', '4ocx', '(2S)-2-[[4-[(2,4-diaminopteridin-6-yl)methyl-methyl-amino]benzoyl]amino]pentanedioic acid', 'N-{4-[[(2,4-diaminopteridin-6-yl)methyl](methyl)amino]benzoyl}-L-glutamic acid', 'CAS-59-05-2', 'Kyselina N-(p-((2,4-diamino-6-pteridinylmethyl)methylamino)benzoyl)-L-glutamova', 'MPI-2505', 'Prestwick_322', 'Methotrexate [USAN:INN:BAN:JAN]', 'Otrexup (TN)', 'MFCD00150847', 'Xatmep (TN)', 'folic acid antagonist', 'An-PDN', 'CL14377', 'Methylaminopterin; MTX', 'DL-Amethopterin hydrate', 'Intrathecal methotrexate', 'Methotrexate [USAN:USP:INN:BAN:JAN]', 'Spectrum_001836', 'Tocris-1230', '4kn0', 'WR-19039', 'Methylaminopterin hydrate', 'Prestwick0_000135', 'Prestwick1_000135', 'Prestwick2_000135', 'Spectrum2_001077', 'Spectrum3_000497', 'Spectrum4_000616', 'Spectrum5_000958', 'Methotrexate - Abitrexate', 'L(+)-Amethopterin hydrate', 'NCIMech_000767', 'SCHEMBL3711', 'BIDD:PXR0175', 'Lopac0_000020', 'KBioGR_001172', 'KBioSS_002341', 'KSC269O8T', 'Kyselina 4-amino-N(sup 10)-methylpteroylglutamova', 'MLS000049968', 'MLS002154208', 'DivK1c_000114', 'SPBio_001094', 'SPBio_002149', 'cid_126941', 'cid_165528', 'GTPL4674', 'GTPL4815', 'DTXSID4020822', 'SCHEMBL12421860', 'BDBM18050', 'BDBM66082', 'CTK1G9789', 'HMS500F16', 'KBio1_000114', 'KBio2_002338', 'KBio2_004906', 'KBio2_007474', 'KBio3_001493', 'Methotrexate (JP17/USP/INN)', 'AOB5585', 'g301', 'NINDS_000114', 'Bio1_000486', 'Bio1_000975', 'Bio1_001464', 'HMS1568K12', 'HMS2095K12', 'HMS2233O18', 'HMS3260C21', 'HMS3414L09', 'HMS3678L07', 'HMS3712K12', 'ACT03341', 'APC-2002', 'BCP13701', 'KS-00000L8X', 'MPI-5004', 'ZINC1529323', 'Tox21_110944', 'Tox21_300269', 'Tox21_500020', '4-Amino-10-methylfolic acid hydrate', 'ANW-72813', 'CCG-35800', 'EMT-25299', 'LS-249', 's1210', 'STL535338', '(4-(((2,4-diaminopteridin-6-yl)methyl)(methyl)amino)benzoyl)-L-glutamic acid', 'AKOS016340329', 'Tox21_110944_1', 'AB02593', 'ACN-050905', 'CS-1732', 'DB00563', 'KS-5093', 'LP00020', 'MCULE-6523054194', 'SDCCGSBI-0050009.P003', 'IDI1_000114', 'SMP2_000020', '(methyl)amino)benzamido)pentanedioic acid', 'NCGC00025060-01', 'NCGC00025060-02', 'NCGC00025060-03', 'NCGC00025060-05', 'NCGC00025060-06', 'NCGC00025060-07', 'NCGC00025060-08', 'NCGC00025060-09', 'NCGC00025060-10', 'NCGC00025060-11', 'NCGC00025060-12', 'NCGC00025060-13', 'NCGC00025060-15', 'NCGC00025060-16', 'NCGC00254216-01', 'NCGC00260705-01', 'BR-77824', 'HY-14519', 'SC-19293', 'EU-0100020', 'G-301', 'SW198601-3', 'Methotrexate 1.0 mg/ml in Dimethyl Sulfoxide', '1771-EP0930075A1', '1771-EP2269989A1', '1771-EP2269994A1', '1771-EP2270001A1', '1771-EP2270008A1', '1771-EP2270018A1', '1771-EP2270505A1', '1771-EP2272825A2', '1771-EP2272827A1', '1771-EP2272832A1', '1771-EP2275413A1', '1771-EP2275420A1', '1771-EP2277565A2', '1771-EP2277566A2', '1771-EP2277567A1', '1771-EP2277568A2', '1771-EP2277569A2', '1771-EP2277570A2', '1771-EP2277865A1', '1771-EP2277876A1', '1771-EP2280012A2', '1771-EP2281563A1', '1771-EP2281815A1', '1771-EP2287156A1', '1771-EP2289892A1', '1771-EP2289894A2', '1771-EP2292233A2', '1771-EP2292280A1', '1771-EP2292595A1', '1771-EP2292614A1', '1771-EP2292615A1', '1771-EP2292617A1', '1771-EP2295055A2', '1771-EP2295416A2', '1771-EP2295426A1', '1771-EP2295427A1', '1771-EP2298743A1', '1771-EP2298748A2', '1771-EP2298764A1', '1771-EP2298765A1', '1771-EP2298768A1', '1771-EP2298772A1', '1771-EP2298778A1', '1771-EP2298780A1', '1771-EP2301928A1', '1771-EP2301933A1', '1771-EP2305243A1', '1771-EP2305640A2', '1771-EP2305642A2', '1771-EP2305660A1', '1771-EP2305668A1', '1771-EP2305671A1', '1771-EP2305679A1', '1771-EP2305689A1', '1771-EP2308833A2', '1771-EP2308839A1', '1771-EP2308855A1', '1771-EP2308861A1', '1771-EP2311453A1', '1771-EP2311807A1', '1771-EP2311808A1', '1771-EP2311825A1', '1771-EP2311827A1', '1771-EP2311829A1', '1771-EP2311840A1', '1771-EP2311842A2', '1771-EP2311850A1', '1771-EP2314590A1', '1771-EP2316459A1', '1771-EP2316832A1', '1771-EP2316833A1', '1771-EP2316834A1', '1771-EP2371811A2', '1771-EP2374454A1', '5947-EP0930075A1', '5947-EP2269994A1', '5947-EP2289892A1', '73M731', 'A-2190', 'A10021', 'C01937', 'D00142', 'J10045', 'R-9985', 'DL-4-Amino-N10-methylpteroylglutamic acid hydrate', 'Q422232', 'SR-01000597411', 'W-60383', '(S)-2-(4-(((2,4-diaminopteridin-6-yl)methyl)', 'Q-201366', 'SR-01000075682-1', 'SR-01000075682-2', 'SR-01000075682-6', 'SR-01000597411-1', 'W-105347', "2,2'-(9,10-anthracenediylidene)-bis-propanedinitrile", 'BRD-K59456551-001-09-3', 'BRD-K59456551-001-11-9', 'WLN: T66 BN DN GN JNJ CZ EZ H1N1&amp;R DVMYVQ2VQ', 'Z1541638527', 'UNII-99ITO15X8S component FBOZXECLQNJBKD-ZDUSSCGKSA-N', 'Methotrexate, European Pharmacopoeia (EP) Reference Standard', 'Methotrexate, United States Pharmacopeia (USP) Reference Standard', 'Glutamic acid,4-diamino-6-pteridinyl)methyl] methylamino]benzoyl]-, L-(+)-', 'L-Glutamic acid,4-diamino-6-pteridinyl)methyl]- methylamino]benzoyl]-', '(S)-2-(4-(((2,4-Diaminopteridin-6-yl)methyl)-(methyl)amino)benzamido)pentanedioic acid', 'L-Glutamic acid,N-[4-[[(2,4-diamino-6-pteridinyl)methyl]methylamino]benzoyl]-,hydrate(9ci)', 'L-Glutamicacid, N-[4-[[(2,4-diamino-6-pteridinyl)methyl]methylamino]benzoyl]-', 'Methotrexate for peak identification, European Pharmacopoeia (EP) Reference Standard', 'Methotrexate for system suitability, European Pharmacopoeia (EP) Reference Standard', 'Methotrexate, Pharmaceutical Secondary Standard; Certified Reference Material', 'N-(4-{[(2,4-Diamino-6-pteridinyl)methyl](methyl)amino}benzoyl)-L-glutamic acid', 'N-[4-[[(2,4-Diamino-6-pteridinyl)methyl] methylamino]benzoyl]-L-glutamic acid', '(2S)-2-[[[4-[(2,4-diamino-6-pteridinyl)methyl-methylamino]phenyl]-oxomethyl]amino]pentanedioic acid;hydrate', '(2S)-2-[[4-[(2,4-diaminopteridin-6-yl)methyl-methyl-amino]benzoyl]amino]glutaric acid;hydrate', '(2S)-2-[[4-[(2,4-diaminopteridin-6-yl)methyl-methylamino]benzoyl]amino]pentanedioic acid;hydrate', '(2S)-2-[[4-[[2,4-bis(azanyl)pteridin-6-yl]methyl-methyl-amino]phenyl]carbonylamino]pentanedioic acid;hydrate', '102613-64-9', '70359-39-6', 'L-Glutamic acid,N-[4-[[(2,4-diamino-6-pteridinyl)methyl]methylamino]benzoyl]-, hydrate (9CI)', 'Methotrexate disodium salt;Disodium N-[4-[[(2,4-diamino-6-pteridinyl)methyl]methylamino]benzoyl]-L-glutamate;disodium N-[4-[[(2,4-diamino-6-pteridinyl)methyl]methylamino]benzoyl]-L-glutamate', 'Methotrexate, PharmaGrade, Manufactured under appropriate controls for use as a raw material in pharma or biopharmaceutical production, meets EP, USP testing specifications']</t>
  </si>
  <si>
    <t>Compound(126941)</t>
  </si>
  <si>
    <t>C20H22N8O5</t>
  </si>
  <si>
    <t>3-(3-chloro-4-methoxyphenyl)-1,1-dimethylurea</t>
  </si>
  <si>
    <t>['METOXURON', 'Dosanex', 'Dosaflo', 'Dosagran', 'Purivel', 'Sulerex', '19937-59-8', 'Deftor', 'Dosanex FL', 'Dosanex MG', 'Herbicide 6602', '3-(3-Chloro-4-methoxyphenyl)-1,1-dimethylurea', 'Caswell No. 194B', "Urea, N'-(3-chloro-4-methoxyphenyl)-N,N-dimethyl-", 'Metoxuron [BSI:ISO]', 'SAN 6915H', 'SAN 7102H', 'UNII-Y58EM37E76', 'EINECS 243-433-2', "N,N-Dimethyl-N'-(4-methoxy-3-chlorophenyl)urea", 'EPA Pesticide Chemical Code 294600', "N-(3-Chloro-4-methoxyphenyl)-N',N'-dimethylurea", 'BRN 2128284', 'Urea, 3-(3-chloro-4-methoxyphenyl)-1,1-dimethyl-', 'Y58EM37E76', '3-(3-Chlor-4-methoxyphenyl)-1,1-dimethylharnstoff', "N'-(3-Chlor-4-methoxy-phenyl)-N,N-dimethylharnstoff", 'FL', '3-(3-Chlor-4-methoxyphenyl)-1,1-dimethylharnstoff [German]', "N'-(3-Chlor-4-methoxy-phenyl)-N,N-dimethylharnstoff [German]", "N'-(3-Chloro-4-methoxyphenyl)-N,N-dimethylurea", 'Metoxuran', 'SCHEMBL63260', '4-13-00-01272 (Beilstein Handbook Reference)', '(3-Chloro-4-methoxyphenyl)-N,N-dimethylurea (9CI)', 'CHEBI:6907', 'DTXSID1042158', 'ZINC900697', 'SAN 6602', 'SAN 7102', 'AKOS015888423', 'ACM19937598', 'Metoxuron 10 microg/mL in Acetonitrile', 'Metoxuron 100 microg/mL in Acetonitrile', 'LS-159531', 'FT-0613611', 'NS00010418', '(3-Chloro-4-methoxyphenyl)-N,N-dimethylurea', 'Metoxuron, PESTANAL(R), analytical standard', 'C11011', '3-(3-chloro-4-methoxylphenyl)-1,1-dimethylurea', '3-(3-chloro-4-methoxy-phenyl)-1,1-dimethyl-urea', 'Dosanex; Metoxuran;Purivel; SAN 6602; SAN 7102', 'J-012876', "N'-(3-Chloro-4-methoxyphenyl)-N,N-dimethylurea #", 'Q22808428']</t>
  </si>
  <si>
    <t>Compound(29863)</t>
  </si>
  <si>
    <t>C10H13ClN2O2</t>
  </si>
  <si>
    <t>metazachloro-ethanesulfonic acid</t>
  </si>
  <si>
    <t>2-[2,6-dimethyl-N-(pyrazol-1-ylmethyl)anilino]-2-oxoethanesulfonic acid</t>
  </si>
  <si>
    <t>['metazachlor ESA', 'Metazachlor-ESA', '172960-62-2', '2-[(2,6-dimethylphenyl)(1H-pyrazol-1-ylmethyl)amino]-2-oxoethanesulfonic acid', '2-[2,6-dimethyl-N-(pyrazol-1-ylmethyl)anilino]-2-oxoethanesulfonic acid', 'Metazachlor-ESA_705_n', 'CHEBI:83482', 'DTXSID40891454', 'Metazachlor-sulfonsaure (BH 479-8)', 'Metazachlor-ethane sulfonic acid (ESA)', 'NS00008387', 'Q27156864', 'N-(2,6-dimethylphenyl)-N-(1H-pyrazol-1-ylmethyl)-aminocarbonyl methylsulfonic acid', 'N-(2,6-dimethylphenyl)-N-(1h-pyrazol-1-ylmethyl)aminocarbonylmethylsulfonic acid', 'Metazachlor ESA;N-(2,6-dimethylphenyl)-N-(1H-pyrazol-1-ylmethyl)aminocarbonylmethylsulfonic acid']</t>
  </si>
  <si>
    <t>Compound(86290102)</t>
  </si>
  <si>
    <t>C14H17N3O4S</t>
  </si>
  <si>
    <t>metazachlor oxo acetic acid</t>
  </si>
  <si>
    <t>2-[2,6-dimethyl-N-(pyrazol-1-ylmethyl)anilino]-2-oxoacetic acid</t>
  </si>
  <si>
    <t>['metazachlor OXA', 'Metazachlor-OXA', '1231244-60-2', '2-[2,6-dimethyl-N-(pyrazol-1-ylmethyl)anilino]-2-oxoacetic acid', '[(2,6-dimethylphenyl)(1H-pyrazol-1-ylmethyl)amino](oxo)acetic acid', 'Metazachlor OA', 'Metazachlor acid (BH479-4)', 'Metazachlor oxanilic acid (OA)', 'Metazachlor-oxalamic acid (OA)', 'CHEBI:83483', 'DTXSID00891455', 'NS00000322', 'N-(2,6-Dimethyl-phenyl)-N-pyrazol-1-ylmethyl-oxala', 'Q27156865', 'N-(2,6-dimethylphenyl)-N-(1H-pyrazol-1-ylmethyl)-oxalamide']</t>
  </si>
  <si>
    <t>Compound(86290103)</t>
  </si>
  <si>
    <t>C14H15N3O3</t>
  </si>
  <si>
    <t>methazole</t>
  </si>
  <si>
    <t>2-(3,4-dichlorophenyl)-4-methyl-1,2,4-oxadiazolidine-3,5-dione</t>
  </si>
  <si>
    <t>['Methazole', 'Probe', 'Metazole', 'Oxydiazol', 'Paxilon', 'Bioxone', 'Metazol', 'Mezopur', 'Tunic', '20354-26-1', 'CHLORMETHAZOLE', 'Probe 75', 'VCS 438', 'Caswell No. 549AA', 'Methazole [ANSI:BSI]', 'UNII-E35M7EMD3V', 'Chlormethazole [ISO:PROP]', '2-(3,4-Dichlorophenyl)-4-methyl-1,2,4-oxadiazolidinedione', '1,2,4-Oxadiazolidine-3,5-dione, 2-(3,4-dichlorophenyl)-4-methyl-', '2-(3,4-Dichlorophenyl)-4-methyl-1,2,4-oxadiazolidine-3,5-dione', 'HSDB 3436', 'EINECS 243-761-6', 'EPA Pesticide Chemical Code 106001', 'BRN 0533604', 'E35M7EMD3V', 'SCHEMBL54582', 'Probe 75 WP (Salt/Mix)', 'DTXSID1040293', 'CHEBI:82244', 'ZINC3874611', 'ACM20354261', 'LS-99259', 'NS00021824', 'C19123', '33403-EP2305655A2', '33403-EP2311815A1', '33403-EP2371823A1', 'Q6553500', 'methazole;2-(3,4-dichlorophenyl)-4-methyl-1,2,4-oxadiazolidinedione']</t>
  </si>
  <si>
    <t>Compound(4690)</t>
  </si>
  <si>
    <t>C9H6Cl2N2O3</t>
  </si>
  <si>
    <t>mexacarbat</t>
  </si>
  <si>
    <t>[4-(dimethylamino)-3,5-dimethylphenyl] N-methylcarbamate</t>
  </si>
  <si>
    <t>['Mexacarbate', 'ZECTRAN', '315-18-4', 'Zactran', 'Zectane', 'Zextran', 'Mexicarbate', 'Zectrane', 'Dowco 139', '4-Dimethylamino-3,5-xylyl methylcarbamate', 'Mexacarbate [ANSI]', 'Caswell No. 579B', 'OMS-47', 'OMS 639', 'UNII-ZTM4IPV8G8', 'NCI-C00544', '4-(Dimethylamino)-3,5-dimethylphenyl methylcarbamate', '4-Dimethylamino-3,5-xylyl N-methylcarbamate', 'ENT 25766', 'CCRIS 411', 'HSDB 1042', 'Phenol, 4-(dimethylamino)-3,5-dimethyl-, methylcarbamate (ester)', 'Methyl-4-dimethylamino-3,5-xylyl carbamate', '4-(Dimethylamino)-3,5-Xylyl methylcarbamate', 'EINECS 206-249-3', '4-(Dimethylamine)-3,5-xylyl N-methylcarbamate', 'ZTM4IPV8G8', 'Carbamate, 4-dimethylamino-3,5-xylyl N-methyl-', 'EPA Pesticide Chemical Code 044201', '3,5-Xylenol, 4-(dimethylamino)-, methylcarbamate', '4-(N,N-Dimethylamino)-3,5-xylyl N-methylcarbamate', 'BRN 2216978', 'Methyl-4-dimethylamino-3,5-xylyl ester of carbamic acid', 'Methylcarbamic acid, 4-(dimethylamino)-3,5-xylyl ester', 'AI3-25766', 'Carbamic acid, methyl-, 4-(dimethylamino)-3,5-xylyl ester', '4-Dimethylamino-3,5-xylyl-N-methylcarbamate', 'CHEBI:82092', 'Carbamic acid, methyl-, 4-(dimethylamino)-3,5-dimethylphenyl ester', '3,5-Dimethyl-4-(dimethylamino)phenyl methylcarbamate', '4-(Dimethylamino)-3,5-dimethylphenyl N-methylcarbamate', '4-(Dimethylamino)-3,5-xylenol, methylcarbamate (ester)', '[4-(dimethylamino)-3,5-dimethylphenyl] N-methylcarbamate', '4-(Dimethylamino)-3,5-dimethylphenol methylcarbamate (ester)', 'MAZ', '4-Dimethylamino-3,5-dimethylphenyl N-methylcarbamate', 'Carbamic acid, methyl-, 4-dimethylamino-3,5-xylyl ester', 'Mexacarbate [ANSI:ISO]', 'Mexacarbamate', 'Mexacarbole', 'Mexacarbate (Zectran)', 'DSSTox_CID_893', 'DSSTox_RID_75849', 'DSSTox_GSID_20893', 'SCHEMBL121459', 'CHEMBL454804', 'DTXSID7020893', 'ZINC2040842', 'Tox21_200649', 'ENT 25,766', 'LS-1179', 'NCGC00248781-01', 'NCGC00258203-01', 'CAS-315-18-4', '4-Dimethylamino-3,5-xylyl methylc arbamate', 'NS00002542', 'C18952', 'Mexacarbate, PESTANAL(R), analytical standard', '4-(Dimethylamino)-3,5-xylenol, methylcarbamate', 'Q6825702', '4-(Dimethylamino)-3,5-dimethylphenol methylcarbamate', '4-(dimethylamino)-3,5-dimethylphenol, methylcarbamate', '4-(Dimethylamino)-3,5-dimethylphenyl methylcarbamate #', '4-Dimethylamino-3,5-Dimethylphenol Methylcarbamate Ester', 'Phenol, 4-(dimethylamino)-3,5-dimethyl-, methylcarbamate', 'Carbamic acid, 3,5-dimethyl-4-dimethylaminophenyl ester, N-methyl', 'Pesticide9_Mexacarbate_C12H18N2O2_4-(Dimethylamino)-3,5-dimethylphenyl methylcarbamate']</t>
  </si>
  <si>
    <t>Compound(9414)</t>
  </si>
  <si>
    <t>metaflumizone</t>
  </si>
  <si>
    <t>1-[(Z)-[2-(4-cyanophenyl)-1-[3-(trifluoromethyl)phenyl]ethylidene]amino]-3-[4-(trifluoromethoxy)phenyl]urea</t>
  </si>
  <si>
    <t>['Metaflumizone', 'UNII-298TMI336S', '139968-49-3', '298TMI336S', '(Z)-Metaflumizone', '139970-56-2', 'Metaflumizone, (Z)-', 'SCHEMBL1117478', 'CHEBI:81803', 'DTXSID90274051', 'ZINC35939970', 'AKOS015909784', 'HY-116448', 'LS-191761', 'CS-0065513', 'C18523', 'J-007340', 'UNII-71I50E2UDI component MIFOMMKAVSCNKQ-HWIUFGAZSA-N', '(E)-2-[2-(4-Cyanophenyl)-1-[3-(trifluoromethyl)phenyl]ethylidene]-N-[4-(trifluoromethoxy)phenyl]hydrazinecarboxamide', '1-[(Z)-[2-(4-cyanophenyl)-1-[3-(trifluoromethyl)phenyl]ethylidene]amino]-3-[4-(trifluoromethoxy)phenyl]urea', 'Hydrazinecarboxamide, 2-(2-(4-cyanophenyl)-1-(3-(trifluoromethyl)phenyl)ethylidene)-N-(4-(trifluoromethoxy)phenyl)-, (2Z)-', 'Hydrazinecarboxamide, 2-2-(4-yanophenyl)-1-3-(trifluoromethyl)henyl]thylidene]--4-(trifluoromethoxy)henyl]-']</t>
  </si>
  <si>
    <t>Compound(9827529)</t>
  </si>
  <si>
    <t>C24H16F6N4O2</t>
  </si>
  <si>
    <t>5-methyl-2,5-diazatetracyclo[13.4.0.02,7.08,13]nonadeca-1(19),8,10,12,15,17-hexaene</t>
  </si>
  <si>
    <t>['mianserin', 'Mianserine', '24219-97-4', 'Mianseryna [Polish]', 'Mianserina', 'Mianserinum', 'Mianseryna', 'Mianserine [INN-French]', 'Mianserinum [INN-Latin]', 'Mianserina [INN-Spanish]', 'Mianserin [INN:BAN]', '1,2,3,4,10,14b-Hexahydro-2-methyldibenzo(c,f)pyrazino(1,2-a)azepine', 'CHEBI:51137', 'HSDB 7182', '2-Methyl-1,2,3,4,10,14b-hexahydrodibenzo[c,f]pyrazino[1,2-a]azepine', 'EINECS 246-088-6', 'BRN 0755346', 'CHEMBL6437', 'C18H20N2', 'Lerivon', '78684-63-6', 'NCGC00015656-06', 'DSSTox_CID_3317', 'Dibenzo[c,f]pyrazino[1,2-a]azepine, 1,2,3,4,10,14b-hexahydro-2-methyl-', 'DSSTox_RID_76974', 'DSSTox_GSID_23317', '1,2,3,4,10,14b-hexahydro-2-methyldibenzo[c,f]pyrazino[1,2-a]azepine', 'Dibenzo(c,f)pyrazino(1,2-a)azepine, 1,2,3,4,10,14b-hexahydro-2-methyl-', 'Mianserin (INN)', 'CAS-24219-97-4', 'Tolvon (TN)', 'Mianserin Monohydrochloride', 'mianserin a', '(+-)-Athymil', 'Spectrum_001810', 'Prestwick0_000099', 'Prestwick1_000099', 'Prestwick2_000099', 'Prestwick3_000099', 'Spectrum2_001203', 'Spectrum3_001836', 'Spectrum4_001260', 'Spectrum5_001772', 'Biomol-NT_000135', 'Lopac0_000744', 'Oprea1_703627', 'SCHEMBL18020', 'BSPBio_000058', 'BSPBio_003511', 'GTPL135', 'KBioGR_001820', 'KBioSS_002303', 'DivK1c_000844', 'SPBio_000986', 'SPBio_001997', 'BPBio1_000064', 'BPBio1_000331', 'DTXSID6023317', 'KBio1_000844', 'KBio2_002301', 'KBio2_004869', 'KBio2_007437', 'KBio3_003016', 'NINDS_000844', 'HMS2089A04', 'HY-B0188', 'Tox21_110191', 'AC-631', 'BDBM50222218', 'PDSP1_001532', 'PDSP2_001516', 'AKOS005216268', 'Tox21_110191_1', 'API0000656', 'CCG-204829', 'CS-2078', 'DB06148', 'SDCCGSBI-0050722.P004', 'IDI1_000844', 'NCGC00015656-04', 'NCGC00015656-05', 'NCGC00015656-08', 'NCGC00015656-09', 'NCGC00015656-10', 'NCGC00015656-12', 'NCGC00024926-03', 'NCGC00024926-04', '5-methyl-2,5-diazatetracyclo[13.4.0.0^{2,7}.0^{8,13}]nonadeca-1(15),8(13),9,11,16,18-hexaene', 'J16.389I', 'LS-61197', 'SBI-0050722.P003', 'AM20041174', 'FT-0697022', 'NS00010650', 'X5019', 'D08216', 'L000736', 'Q416701', 'BRD-A19661776-001-01-5', 'BRD-A19661776-003-05-2', 'BRD-A19661776-003-16-9', '2-Methyl-1,2,3,4,10,14b-hexahydrodibenzo[c,f]pyrazino[1,2-a]azepine #', '5-methyl-2,5-diazatetracyclo[13.4.0.0^{2,7}.0^{8,13}]nonadeca-1(19),8,10,12,15,17-hexaene']</t>
  </si>
  <si>
    <t>Compound(4184)</t>
  </si>
  <si>
    <t>C18H20N2</t>
  </si>
  <si>
    <t>miconazole</t>
  </si>
  <si>
    <t>1-[2-(2,4-dichlorophenyl)-2-[(2,4-dichlorophenyl)methoxy]ethyl]imidazole</t>
  </si>
  <si>
    <t>['miconazole', '22916-47-8', 'Monistat', 'Monistat IV', 'Daktarin IV', 'Miconazol', 'Miconazolo', 'Miconazolum', 'Minostate', 'Dactarin', 'MJR 1762', 'Miconazolum [INN-Latin]', 'Vusion', 'Miconazolo [DCIT]', 'Monistat-Derm', 'Florid(nitrate)', '1-[2-(2,4-Dichlorophenyl)-2-[(2,4-dichlorophenyl)methoxy]ethyl]-1H-imidazole', 'Miconazol [INN-Spanish]', 'Brentan', 'R 18134', '1-(2-((2,4-Dichlorobenzyl)oxy)-2-(2,4-dichlorophenyl)ethyl)-1H-imidazole', 'Miconazole 3', 'NSC 170986', 'C18H14Cl4N2O', '1-[2-(2,4-dichlorophenyl)-2-[(2,4-dichlorophenyl)methoxy]ethyl]imidazole', 'CCRIS 7924', 'Miconazole (Monistat)', '1H-Imidazole, 1-[2-(2,4-dichlorophenyl)-2-[(2,4-dichlorophenyl)methoxy]ethyl]-', 'Monistat 1 Combination Pack', 'CHEMBL91', 'Monistat (TN)', 'EINECS 245-324-5', 'Miconazole 7 Combination Pack', '1-(2,4-Dichloro-beta-((2,4-dichlorobenzyl)oxy)phenethyl)imidazole', 'BRN 0965511', '1H-Imidazole, 1-(2-(2,4-dichlorophenyl)-2-((2,4-dichlorophenyl)methoxy)ethyl)-', 'MCZ', 'CHEBI:82892', 'NSC-170986', 'NCGC00016770-01', 'AK-34234', 'Micozole', 'Zimycan', '1-(2,4-dichloro-beta-((2,4-dichlorobenzyl)oxy)phenethyl) imidazole', 'Imidazole, 1-(2,4-dichloro-beta-((2,4-dichlorobenzyl)oxy)phenethyl)-', 'Femizol-M', 'Miconazole-7', 'Miconasil Nitrate', '(+-)-1-(2,4-Dichloro-beta-((2,4-dichlorobenzyl)oxy)phenethyl)imidazole', 'Monazole 7', '1-[2-(2,4-dichlorophenyl)-2-{[(2,4-dichlorophenyl)methyl]oxy}ethyl]-1H-imidazole', 'R18134 nitrate', '75319-47-0', 'Oravig', 'Aflorix(nitrate)', '1-(2,4-dichlorophenyl)-1-[(2,4-dichlorophenyl)methoxy]-2-imidazolylethane', '1-[2-(2,4-dichlorobenzyloxy)-2-(2,4-dichlorophenyl)ethyl]-1H-imidazole', '1-{2-[(2,4-dichlorobenzyl)oxy]-2-(2,4-dichlorophenyl)ethyl}-1H-imidazole', 'imidazole, 1-(2,4-dichloro-beta-((2,4-dichlorobenzyl)oxy) phenethyl)-', 'Albistat(nitrate)', 'Andergin(nitrate)', 'Conofite(nitrate)', '(+/-)-Miconazole nitrate salt', '1H-imidazole, 1-(2-(2,4-dichlorophenyl)-2-((2,4-dichlorophenyl) methoxy)ethyl)-', '1H-Imidazole, 1-2-((2,4-dichlorophenyl)-2-((2,4-dichlorophenyl))methoxy)ethyl)-, (+-)-', 'imidazole, 1-(2-(2,4-dichlorophenyl)-2-((2,4-dichlorophenyl) methoxy)ethyl)- (9CI)', 'Imidazole, 1-(2-(2,4-dichlorophenyl)-2-((2,4-dichlorophenyl)methoxy)ethyl)-', 'Imidazole, 1-(2-(2,4-dichlorophenyl)-2-((2,4-dichlorophenyl)methoxy)ethyl)- (9CI)', 'Monista (nitrate)', 'Micantin (nitrate)', 'Novo-Miconazole Vaginal Ovules', 'Gyno-Daktar(nitrate)', 'Lotrimin AF(nitrate)', 'NSC169434', 'Epi-Monistat(nitrate)', 'Monistat 7 Vaginal Suppositories', 'Miconazole [USAN:BAN:INN:JAN]', 'Zimybase', 'Miconazole Base', '1-(2,4-Dichloro-beta-[(2,4-dichlorobenzyl)oxy]phenethyl)imidazole', 'R-14889', 'SR-01000000271', '1-(2-(2,4-dichlorobenzyloxy)-2-(2,4-dichlorophenyl)ethyl)-1H-imidazole', '1-[2-[(2,4-Dichlorobenzyl)oxy]-2-(2,4-dichlorophenyl)ethyl]-1H-imidazole', '1-{2-(2,4-Dichlorophenyl)-2-[(2,4-dichlorophenyl)methoxy]ethyl}-1H-imidazole', 'Miconazole [USP:INN:BAN:JAN]', 'Prestwick_335', 'R-14,889', 'MFCD00216019', 'Oravig (TN)', 'Spectrum_000965', 'Prestwick0_000067', 'Prestwick1_000067', 'Prestwick2_000067', 'Prestwick3_000067', 'Spectrum2_001048', 'Spectrum3_000507', 'Spectrum4_000061', 'Spectrum5_001297', 'DSSTox_CID_3319', 'bmse000924', 'cid_4189', 'SCHEMBL2866', 'DSSTox_RID_76975', 'DSSTox_GSID_23319', 'Oprea1_091955', 'BSPBio_000253', 'BSPBio_002033', 'KBioGR_000581', 'KBioSS_001445', 'MLS002222203', 'DivK1c_000156', 'SPBio_000976', 'SPBio_002174', 'BPBio1_000279', 'GTPL2449', 'Miconazole (JP17/USP/INN)', 'DTXSID6023319', 'SCHEMBL13934598', 'BDBM31772', 'CTK8B3340', 'KBio1_000156', 'KBio2_001445', 'KBio2_004013', 'KBio2_006581', 'KBio3_001533', 'NINDS_000156', 'HMS1568M15', 'HMS2090B21', 'HMS2095M15', 'HMS2232B14', 'HMS3374J10', 'HMS3656E14', 'HMS3712M15', 'HY-B0454', 'KS-00000M1G', 'Tox21_110601', 'ANW-42336', 'DL-448', 'GA8311', 'NSC170986', 's2536', 'SBB057453', 'STK834405', 'AKOS001574474', 'AKOS016842489', 'API0003382', 'CCG-220067', 'CS-2565', 'DB01110', 'DS-1881', 'MCULE-2106181573', 'IDI1_000156', 'NCGC00018294-02', 'NCGC00018294-04', 'NCGC00018294-06', 'CC-03621', 'LS-78378', 'NCI60_001353', 'NCI60_001380', 'SC-19243', 'SMR001307249', 'ST024747', 'SBI-0051448.P003', 'AB0023582', 'AX8055353', 'CAS-22916-47-8', 'DB-046018', 'AB00053500', 'FT-0628942', 'SW196614-4', 'W4662', 'D00416', 'J10390', 'M-4631', 'AB00053500-23', 'AB00053500-24', 'AB00053500-25', 'AB00053500_26', 'AB00053500_27', 'AB00053500_28', '216M019', 'AE-641/01941016', 'C-28730', 'Q410534', 'J-014898', 'SR-01000000271-5', 'BRD-A82396632-001-03-0', 'BRD-A82396632-008-02-7', '1-[2,4dichloro-beta-(2,4-dichlorobenzyloxy)phenethyl]imidazole', '1-[2,4-Dichloro-beta-([2,4-dichlorobenzyl]oxy)-phenethyl]imidazole', '1-[2,4-dichloro-beta-(2,4-dichlorobenzyloxy)-phenethyl]imidazole', '1-[2,4-dichloro-beta-(2,4-dichlorobenzyloxy)phenethyl]-imidazole', '1-[2,4-dichloro-beta-(2,4-dichlorobenzyloxy)phenethyl]imidazole', 'Imidazole,4-dichloro-.beta.-[(2,4-dichlorobenzyl)oxy]phenethyl]-', '1-(2-(2,4-dichlorophenyl)-2-((2,4-dichlorophenyl)methoxy)ethyl)-imidazol', '1-[2,4-Dichloro-.beta.-[(2,4-dichlorobenzyl)oxy]phenethyl]imidazole', '1-[2,4-Dichloro-beta-([2,4-dichlorobenzyl]oxy)-phenethyl] imidazole', '1-[2-(2,4-dichlorobenzyloxy)-2-(2,4-dichlorophenyl)ethyl]imidazole', '1H-Imidazole,4-dichlorophenyl)-2-[(2,4-dichlorophenyl)methoxy]ethyl]-', 'Imidazole, 1-(2,4-dichloro-.beta.-((2,4-dichlorobenzyl)oxy)phenethyl)-', '1-[2-(2,4-Dichloro-benzyloxy)-2-(2,4-dichloro-phenyl)-ethyl]-1H-imidazole', '1-[2-(2,4-dichlorobenzyl)oxy-2-(2,4-dichlorophenyl)ethyl]imidazole;nitric acid', '1-[2-(2,4-Dichlorophenyl)-2-[(2,4-dichlorophenyl)-methoxy]ethyl]-1H-imidazole', '1-[2-[(2,4-Dichlorobenzyl)oxy]-2-(2,4-dichlorophenyl)ethyl]-1H-imidazole #']</t>
  </si>
  <si>
    <t>Compound(4189)</t>
  </si>
  <si>
    <t>C18H14Cl4N2O</t>
  </si>
  <si>
    <t>miconazole nitrate</t>
  </si>
  <si>
    <t>1-[2-(2,4-dichlorophenyl)-2-[(2,4-dichlorophenyl)methoxy]ethyl]imidazole;nitric acid</t>
  </si>
  <si>
    <t>['Miconazole nitrate', '22832-87-7', 'Albistat', 'Andergin', 'Aflorix', 'Conofite', 'Florid', 'Micatin', 'Gyno-Monistat', 'Epi-Monistat', 'Gyno-Daktar', 'Dermonistat', 'Daktarin', 'Deralbine', 'Mezolitan', 'Miconazole (nitrate)', 'Micotef', 'Crimak', 'Daktarin talc', 'Gyno-Daktarin', 'Miconal Ecobi', 'Miconazole 7', 'Zeasorb-AF', 'Monistat 3', 'Monistat 5', 'Monistat 7', '(+-)-Miconazole nitrate', 'Brentan', 'Lotrimin AF Powder', 'Vusion', 'Monistat-Derm', 'M-zole 7 Dual Pack', 'Lotrimin AF Spray Liquid', 'Lotrimin AF Powder Aerosol', 'M-zole 3 Combination Pack', 'Monistat 3 Combination Pack', 'Monistat 7 Combination Pack', 'Monistat-3 Combination Pack', 'Monistat Cream &amp; Suppositories', 'Miconazole 3', 'Miconazole nitrate salt', 'Miconazole Nitrate Combination Pack', 'EINECS 245-256-6', '75319-48-1', 'Lotrimin AF Jock-Itch Powder Aerosol', 'R 14889', 'NSC 169434', 'R 14,889', 'R18134 nitrate', 'MLS000028674', 'Monistat 1 Combination Pack', 'Miconazole 7 Combination Pack', 'NSC-169434', '(+/-)-Miconazole nitrate salt', 'SMR000058733', 'Monistat (TN)', '1-(2,4-Dichloro-beta-((2,4-dichlorobenzyl)oxy)phenethyl)imidazole mononitrate', '1-(2-((2,4-dichlorobenzyl)oxy)-2-(2,4-dichlorophenyl)ethyl)-1H-imidazole nitrate', '1H-Imidazole, 1-(2-(2,4-dichlorophenyl)-2-((2,4-dichlorophenyl)methoxy)ethyl)-, mononitrate', 'C18H15Cl4N3O4', 'Fungisdin', 'Miconazole 1', 'Monistat Dual-pak', '1-[2-(2,4-Dichlorobenzyloxy)-2-(2,4-dichlorophenyl)ethyl]-1H-imidazole Nitrate', '1-[2-(2,4-Dichlorophenyl)-2-[(2,4-dichlorophenyl)methoxy]ethyl]-1H-imidazole Nitrate', '1-[2-(2,4-dichlorophenyl)-2-[(2,4-dichlorophenyl)methoxy]ethyl]imidazole;nitric acid', 'Imidazole, 1-(2,4-dichloro-beta-((2,4-dichlorobenzyl)oxy)phenethyl)-, mononitrate', 'NSC169434', 'Miconazole 3 Combination Pack', 'Monistat nitrate', 'R-14889', 'SR-01000000271', 'Miconazole nitrate [USAN:JAN]', 'Miconazol Nitrate', '1-(2-(2,4-dichlorobenzyloxy)-2-(2,4-dichlorophenyl)ethyl)-1H-imidazole nitrate', 'Micatin (TN)', 'Miconazole nitrate [USAN:USP:JAN]', 'MFCD00058161', 'Monistat Dual- PAK', 'Monistat 3 combination pack (prefilled)', 'Miconazole Nitrate USP', 'CPD000058733', 'Miconazole Nitrate,(S)', 'Opera_ID_1059', 'component of Monistat cream', 'CHEMBL1559', 'SCHEMBL15799', '(+/-)-Miconazole, Nitrate', 'MLS001148223', 'MLS002548903', 'SPECTRUM1500413', 'REGID_for_CID_68553', 'CTK8F1498', 'HMS500H18', 'HY-B0454A', 'Miconazole nitrate (JP17/USP)', 'DTXSID50996767', 'ZX-AFC003200', 'HMS1920N21', 'HMS2091F16', 'HMS2233O22', 'HMS3259M05', 'HMS3655D05', 'Pharmakon1600-01500413', 'BCP13696', 'EBD15554', 'CCG-39756', 'NSC757119', 's1956', 'SBB057009', 'AKOS015895065', 'AKOS015962190', 'AB02339', 'API0003383', 'CS-2881', 'EBD3317250', 'NC00461', 'NSC-757119', 'ACM22832377', 'NCGC00094728-01', 'NCGC00094728-02', 'NCGC00094728-03', 'AS-13575', 'I742', 'LS-78379', 'AB0013871', 'AX8049689', 'DB-046005', 'FT-0628943', 'FT-0628944', 'M-206', 'M1769', 'SW196614-3', 'C08070', 'D00882', 'J10381', '[2,4-dichlorobenzyloxy)phenethyl]imidazole nitrate', '(+/-)-Miconazole nitrate salt, imidazole antibiotic', 'Aluminum hydroxideoxide (Al(OH)O), hydrate (9CI)', 'J-014876', 'SR-01000000271-2', '( inverted exclamation markA)-Miconazole nitrate salt', 'Q27292045', '1-[2,4-dichlorobenzyl)oxy]phenethyl]imidazole mononitrate', 'Miconazole nitrate, British Pharmacopoeia (BP) Reference Standard', 'Miconazole nitrate, European Pharmacopoeia (EP) Reference Standard', '1-[2,4-Dichloro-b-[(2,4-dichlorobenzyl)oxy]phenethyl]imidazole mononitrate', 'Miconazole nitrate, United States Pharmacopeia (USP) Reference Standard', '1-(2,4-DICHLORO-BETA-[(2,4-DICHLOROBENZYL)OXY]PHENETHYL)IMIDAZOLE NITRATE', '1-[2-(2,4-dichlorophenyl)-2-[(2,4-dichlorophenyl)methoxy]ethyl]imidazole;nitric acid.', '1H-Imidazole,4-dichlorophenyl)-2-[(2,4-dichlorophenyl)methoxy]ethyl]-, mononitrate', 'Imidazole,4-dichloro-.beta.-[(2,4-dichlorobenzyl)oxy]phenethyl]-, mononitrate', '(+/-)-Miconazole nitrate salt, Pharmaceutical Secondary Standard; Certified Reference Material', '22832-37-7', 'Nitric acid--1-{2-(2,4-dichlorophenyl)-2-[(2,4-dichlorophenyl)methoxy]ethyl}-1H-imidazole (1/1)']</t>
  </si>
  <si>
    <t>Compound(68553)</t>
  </si>
  <si>
    <t>C18H15Cl4N3O4</t>
  </si>
  <si>
    <t>(1R,4S,5'S,6R,6'R,8R,10E,13R,14E,16E,20R,21R,24S)-21,24-dihydroxy-5',6',11,13,22-pentamethylspiro[3,7,19-trioxatetracyclo[15.6.1.14,8.020,24]pentacosa-10,14,16,22-tetraene-6,2'-oxane]-2-one</t>
  </si>
  <si>
    <t>['Milbemycin A3', 'Milbemectin', '51596-10-2', 'UNII-C76Y8Z9GEX', 'C76Y8Z9GEX', 'MILBEMECTIN A3', 'CHEBI:39228', 'Matsuguard', 'Milbeknock', 'Koromite', 'Ultiflora', 'Mesa', 'Emamectin A3', "(2aE,4E,5'S,6R,6'R,8E,11R,13R,15S,17aR,20R,20aR,20bS)-20,20b-dihydroxy-5',6,6',8,19-pentamethyl-3',4',5',6,6',7,10,11,14,15,17a,20,20a,20b-tetradecahydro-2H,17H-spiro[11,15-methanofuro[4,3,2-pq][2,6]benzodioxacyclooctadecine-13,2'-pyran]-17-one", 'Milbemectin [ISO]', 'Antibiotic B 41A3', 'Gowan 1725', 'Milbemycin B, 5-O-demethyl-28-deoxy-6-28-epoxy-25-methyl-, (6R,25R)-', 'GWN 1725', 'SCHEMBL1685054', 'CHEMBL2272396', 'DTXSID1058391', '(6R,25R)-5-O-Demethyl-28-deoxy-6,28-epoxy-25-methylmilbemycin B', 'ZINC100076916', '51570-36-6', 'Milbemectin A3 10 microg/mL in Acetonitrile', 'C18557', 'Q27119774', 'UNII-207B6WP2MZ component ZLBGSRMUSVULIE-GSMJGMFJSA-N', 'Milbemycin B, 5-O-demethyl-28-deoxy-6,28-epoxy-25-methyl-, (6R,25R)-;Milbemectin;Milbemectin A3']</t>
  </si>
  <si>
    <t>Compound(9828343)</t>
  </si>
  <si>
    <t>C31H44O7</t>
  </si>
  <si>
    <t>(1R,4S,5'S,6R,6'R,8R,10E,13R,14E,16E,20R,21R,24S)-6'-ethyl-21,24-dihydroxy-5',11,13,22-tetramethylspiro[3,7,19-trioxatetracyclo[15.6.1.14,8.020,24]pentacosa-10,14,16,22-tetraene-6,2'-oxane]-2-one</t>
  </si>
  <si>
    <t>['Milbemycin A4', 'MILBEMECTIN A4', '51596-11-3', 'UNII-9BSH89E55Y', '9BSH89E55Y', 'CHEBI:39229', "(2aE,4E,5'S,6R,6'R,8E,11R,13R,15S,17aR,20R,20aR,20bS)-6'-ethyl-20,20b-dihydroxy-5',6,8,19-tetramethyl-3',4',5',6,6',7,10,11,14,15,17a,20,20a,20b-tetradecahydro-2H,17H-spiro[11,15-methanofuro[4,3,2-pq][2,6]benzodioxacyclooctadecine-13,2'-pyran]-17-one", 'Milbemycin B, 5-O-demethyl-28-deoxy-6,28-epoxy-25-ethyl-, (6R,25R)-', 'DSSTox_CID_14742', 'DSSTox_RID_79198', 'DSSTox_GSID_34742', 'SCHEMBL4139203', 'CHEMBL2272397', 'DTXSID4052760', 'Tox21_300945', '(6R,25R)-5-O-Demethyl-28-deoxy-6,28-epoxy-25-ethylmilbemycin B', 'ZINC100076918', 'NCGC00163780-02', 'NCGC00163780-03', 'NCGC00254847-01', 'Q27119775', 'UNII-207B6WP2MZ component VOZIAWLUULBIPN-LRBNAKOISA-N', 'Milbemectin (mixture of 70% Milbemcin A4, 30% Milbemycin A3)', 'Milbemectin A4 10 microg/mL in Acetonitrile. Short expiry date due to chemical nature of component(s)']</t>
  </si>
  <si>
    <t>Compound(9959038)</t>
  </si>
  <si>
    <t>C32H46O7</t>
  </si>
  <si>
    <t>mineral oil</t>
  </si>
  <si>
    <t>mineral oil index</t>
  </si>
  <si>
    <t>1,2,3,4,5,5,6,7,8,9,10,10-dodecachloropentacyclo[5.3.0.02,6.03,9.04,8]decane</t>
  </si>
  <si>
    <t>['MIREX', 'Dechlorane', 'Perchloropentacyclodecane', 'Paramex', '2385-85-5', 'Bichlorendo', 'Perchlorodihomocubane', 'Ferriamicide', 'Dodecachloropentacyclodecane', 'Dechlorane 4070', 'Perchlordecone', 'Dodecaclor', 'HRS l276', 'Hexachlorocyclopentadiene dimer', 'Fire Ant Bait', 'Pentacyclodecane, dodecachloro-', 'CG-1283', 'NCI-C06428', 'Caswell No. 411', 'NSC 26107', 'NSC 37656', 'Perchlorodecone', 'ENT 25,719', 'GC 1283', 'Cyclopentadiene, hexachloro-, dimer', 'CCRIS 413', 'NSC 124102', 'UNII-Z917AN264P', 'HSDB 1659', 'HRS 1276', 'EINECS 219-196-6', 'Dodecachlorooctahydro-1,3,4-metheno-1H-cyclobuta(cd)pentalene', 'Decane,perchloropentacyclo-', 'EPA Pesticide Chemical Code 039201', '1,2,3,4,5,5-Hexachloro-1,3-cyclopentadiene dimer', '1,3-Cyclopentadiene, 1,2,3,4,5,5-hexachloro-, dimer', '1,1a,2,2,3,3a,4,5,5,5a,5b,6-Dodecachlorooctahydro-1,3,4-metheno-1H-cyclobuta(cd)pentalene', 'AI3-25719', 'Dechloran Plus', 'CHEBI:34852', 'Dodecachlorooctahydro-1,3,4-metheno-2H-cyclobuta[cd]pentalene', '1,3,4-Metheno-1H-cyclobuta(cd)pentalene, dodecachlorooctahydro-', 'Z917AN264P', 'Dechlorane 515', '1,3,4-Metheno-1H-cyclobuta[cd]pentalene, 1,1a,2,2,3,3a,4,5,5,5a,5b,6-dodecachlorooctahydro-', '1,1a,2,2,3,3a,4,5,5,5a,5b,6-dodecachlorooctahydro-1H-1,3,4-(methanetriyl)cyclobuta[cd]pentalene', 'Cyclopentadiene, dimer', '1,3-Cyclopentadiene, 1,2,3,4,5,5-hexachloro-, dimer (VAN)', 'Dodecachloropentacyclo(5.2.1.0(2,6).0(3,9).0(5,8))decane', 'Perchloropentacyclo(5.2.1.0(2,6).0(3,9).0(5,8))decane', 'Perchloropentacyclo(5.3.0.0(2,6).0(3,9).0(4,8))decane', 'Perchloropentacyclo(5.2.1.0(sup 2,6).0(sup 3,9).0(sup 5,8))decane', 'Dodecachloropentacyclo(3.2.2.0(sup 2,6),0(sup 3,9),0(sup 5,10))decane', '1,3,4-Metheno-1H-cyclobuta(cd)pentalene, 1,1a,2,2,3,3a,4,5,5,5a,5b,6-dodecachlorooctahydro-', 'Dodecachloropentacyclo(5.2.1.02,6.03,9.05,8)decane', 'Dodecachloropentacyclo[5.2.1.02,6.03,9.05,8]decane', 'perchloropentacyclo[5.2.1.0(2,6).0(3,9).0(5,8)]decane', '1, 1,2,3,4,5,5-hexachloro-, dimer', 'Perchloropentacyclo[5.2.1.02,9.05,8]decane', 'WLN: L545 B4 C5 D 4ABCE JTJ-/G 1 2', 'Mirex (Dechlorane 4070)', 'Dodecachlorooctahydro-1,4-metheno-1H-cyclobuta[cd]pentalene', 'Dodecachlorooctahydro-1,4-metheno-2H-cyclobuta[cd]pentalene', 'Perchloropentacyclo[5.2.1.0(sup2,9).0(sup5,8)]decane', '1,4-Metheno-1H-cyclobuta[cd]pentalene, dodecachlorooctahydro-', 'Dodecachlorooctahydro-1,4-metheno-2H-cyclobuta[c,d]pentalene', 'Dodecachloropentacyclo[3,2,0(sup2,6),o(sup3,9),0(sup7,10)]decane', '1,4-Metheno-1H-cyclobuta[cd]pentalene, 1,1a,2,2,3,3a,4,5,5,5a,5b,6-dodecachlorooctahydro-', 'Hexachloropentadiene dimer', 'DSSTox_CID_895', 'DSSTox_RID_75851', 'DSSTox_GSID_20895', 'BIDD:ER0425', 'SCHEMBL118586', 'CHEMBL442231', 'DTXSID7020895', 'Mirex 10 microg/mL in Isooctane', 'Mirex 100 microg/mL in Isooctane', 'Mirex 1000 microg/mL in Acetone', 'NSC26107', 'NSC37656', 'ZINC8437692', 'Tox21_300592', 'NSC-26107', 'NSC-37656', 'NSC124102', 'AKOS024319122', 'LS-1035', 'NSC-124102', 'NCGC00248098-01', 'NCGC00254525-01', 'Mirex, PESTANAL(R), analytical standard', 'CAS-2385-85-5', 'DB-046267', 'FT-0603604', 'NS00002680', 'C14184', 'Q419578', 'Cyclopentadiene, 1,2,3,4,5,5-hexachloro-, dimer', 'J-015240', '1,2,3,4,5,5-Hexachl oro-1,3-cyclopentadiene dimer', 'dodecachlorooctahydro-1,3,4-metheno-1H-cyclobuta(cd) pentalene', 'dodecachlorooctahydro-1,3,4-metheno-2H-cyclobuta(c,d)pentalene', 'Mirex, certified reference material, 1000 mug/mL in acetone', 'Perchloropentacyclo(5.2.1.0(2,6),0(3,9),0(5,8)decane', '1,3,4-Metheno-2H-cyclobuta[cd]pentalene, dodecachlorooctahydro-', 'Dodecachloropentacyclo(3,3,2,0(2,6),0(3,9),0(7,10))decane', '1,1a,2,2,3,3a,4,5,5a,5b,6-dodecachlorooctahydro-1,3,4-metheno-1H-cyclobuta(cd)pentalene', 'M etheno-1H-cyclobuta(cd)pentalene, 1,1a,2,2,3,3a,4,5,5,5a,5b,6-dodecachlorooctahydro-', 'Metheno-1H-cyclobuta(cd)pentalene, 1,1a,2,2,3,3a,4,5,5,5a,5b,6-dodecachlorooctahydro-', 'Mirex solution, 100 mug/mL in acetonitrile, PESTANAL(R), analytical standard', '1,1a,2,2,3,3a,4,5,5,5a,5b,6-Dodecachloro-octahydro-1,3,4-metheno-1H-cyclobuta[cd]pentalene', '1,2,3,4,5,5,6,7,8,9,10,10-dodecachloropentacyclo[5.3.0.0(2,6).0(3,9).0(4,8)]decane', '1,3,4-Metheno-1H-cyclobuta[cd]pentalene,1,1a,2,2,3,3a,4,5,5,5a,5b,6-dodecachlorooctahydro-', 'Dodecachloropentacyclo[5.2.1.02,6.03,9.05,8]decane;mirex;dodecachloropentacyclo[5.2.1.02,6.03,9.05,8]decane']</t>
  </si>
  <si>
    <t>Compound(16945)</t>
  </si>
  <si>
    <t>C10Cl12</t>
  </si>
  <si>
    <t>methyl 2-(N-(2-methoxyacetyl)-2,6-dimethylanilino)propanoate</t>
  </si>
  <si>
    <t>['METALAXYL', '57837-19-1', 'Ridomil', 'Allegiance', 'Metanaxin', 'Metasyl', 'Apron', 'Jiashuangling', 'Metalaxil', 'Metaxanin', 'Subdue', 'Ridomil Vino', 'Apron FL', 'Ridomil 72WP', 'Apron SD 35', 'IPO-FS', 'Ridomil 2E', 'Subdue 2E', 'Subdue 5SP', 'Apron 2E', '(+-)-Metalaxyl', '(+/-)-Metalaxyl', 'Caswell No. 375AA', 'CG 117', 'Metalaxyl [ANSI:BSI:ISO]', 'Methyl 2-(N-(2,6-dimethylphenyl)-2-methoxyacetamido)propanoate', 'HSDB 7061', 'EINECS 260-979-7', 'CGA 48988', 'methyl 2-(N-(2-methoxyacetyl)-2,6-dimethylanilino)propanoate', 'Methyl N-(2,6-dimethylphenyl)-N-(methoxyacetyl)-DL-alaninate', 'EPA Pesticide Chemical Code 113501', 'BRN 2947777', 'CHEBI:82790', 'Alanine, N-(2,6-dimethylphenyl)-N-(methoxyacetyl)-, methyl ester', 'DL-Alanine, N-(2,6-dimethylphenyl)-N-(methoxyacetyl)-, methyl ester', 'Methyl N-(2-methoxyacetyl)-N-(2,6-xylyl)-DL-alaninate', 'methyl N-(2,6-dimethylphenyl)-N-(methoxyacetyl)alaninate', 'NCGC00163754-02', 'NCGC00163754-04', 'AK128994', 'Alanine, N-(methoxyacetyl)-N-(2,6-xylyl)-, methyl ester, DL-', 'N-(2,6-Dimethylphenyl)-N-(methoxyacetyl)-alanine methyl ester', 'N-(2,6-Dimethylphenyl)-N-(methoxyacetyl)-dl-alanine methyl ester', 'DSSTox_CID_4175', "D,L-N-(2,6-Dimethylphenyl)-N-(2'-methoxyacetyl)alaninate de methyle [French]", 'DSSTox_RID_77316', 'DSSTox_GSID_24175', 'Metalaxyl, analytical standard', 'W-105438', 'methyl (2S)-2-(N-(2-deuterio-2-methoxyacetyl)-2,6-dimethylanilino)propanoate', 'CAS-57837-19-1', 'mefenoouiam', 'methyl 2-[(2,6-dimethylphenyl)(methoxyacetyl)amino]propanoate', 'CCRIS 9320', 'methyl 2-[N-(2,6-dimethylphenyl)-2-methoxyacetylamino]propanoate', '(.+/-.)-Metalaxyl', 'SCHEMBL20990', 'CHEMBL105809', 'DTXSID6024175', 'KS-00000JII', 'ZQEIXNIJLIKNTD-UHFFFAOYSA-', 'HY-B0843', 'Tox21_112070', 'Tox21_202061', 'Tox21_300790', 'CGA-48988', "D,L-N-(2,6-Dimethylphenyl)-N-(2'-methoxyacetyl)alaninate de methyle", 'Metalaxyl 100 microg/mL in Toluene', 'SBB057023', 'AKOS005203481', 'Metalaxyl 1000 microg/mL in Toluene', 'Tox21_112070_1', 'MCULE-9363091484', 'Metalaxyl 10 microg/mL in Cyclohexane', 'Metalaxyl 10 microg/mL in Acetonitrile', 'NCGC00163754-01', 'NCGC00163754-03', 'NCGC00163754-05', 'NCGC00163754-06', 'NCGC00254694-01', 'NCGC00259610-01', 'AC-12681', 'AS-15286', 'CC-30243', 'LS-16149', 'O771', 'DB-053114', 'CS-0012857', 'FT-0630703', 'NS00003738', 'ST50994006', 'Metalaxyl, PESTANAL(R), analytical standard', 'C10947', '837M191', 'A831631', 'C-17581', 'Q4778002', 'Metalaxyl, certified reference material, TraceCERT(R)', 'methyl N-(methoxyacetyl)-N-(2,6-xylyl)-DL-alaninate', 'methyl 2-[(2,6-dimethylphenyl)-(2-methoxyacetyl)amino]propanoate', 'methyl 2-[(2,6-dimethylphenyl)-(2-methoxyethanoyl)amino]propanoate', '2-(N-(2-methoxy-1-oxoethyl)-2,6-dimethylanilino)propanoic acid methyl ester', '2-[(2,6-dimethylphenyl)- (2-methoxy-1-oxoethyl) amino]propanoic acid methyl ester', '2-[N-(2,6-Dimethylphenyl)-N-(methoxyacetyl)amino]propionic acid methyl ester', 'DL-Alanine, N-(2,6-dimethylphenyl)-N-(methoxyacetyl)-, methyl ester (9CI)', 'Metalaxyl;metalaxyl;Methyl N-(2,6-dimethylphenyl)-N-(methoxyacetyl)-DL-alaninate']</t>
  </si>
  <si>
    <t>Compound(42586)</t>
  </si>
  <si>
    <t>methyl (2R)-2-(N-(2-methoxyacetyl)-2,6-dimethylanilino)propanoate</t>
  </si>
  <si>
    <t>['Metalaxyl-M', 'Mefenoxam', '70630-17-0', '(-)-Metalaxyl', 'Methenoxam', 'Ridomil Gold', 'Subdue Maxx', 'R-metalaxyl', 'Metalaxyl-M [ISO:BSI]', 'UNII-F1Q54ONN4H', '(R)-Metalaxyl', 'F1Q54ONN4H', 'Methyl N-(methoxyacetyl)-N-(2,6-xylyl)-D-alaninate', 'CHEBI:60607', 'methyl N-(2,6-dimethylphenyl)-N-(methoxyacetyl)-D-alaninate', 'D-Alanine, N-(2,6-dimethylphenyl)-N-(methoxyacetyl)-, methyl ester', 'methyl (R)-N-(2,6-dimethylphenyl)-N-(methoxyacetyl)alaninate', 'methyl (R)-2-{[(2,6-dimethylphenyl)methoxyacetyl]amino} propionate', '(R)-N-(2,6-dimethylphenyl)-N-(methoxyacetylamino)propionic acid methyl ester', 'methyl (2R)-2-(N-(2-methoxyacetyl)-2,6-dimethylanilino)propanoate', '(-)-(R)-Metalaxyl', 'DSSTox_CID_12671', 'DSSTox_GSID_32671', 'SCHEMBL22529', 'CHEMBL1905521', 'DTXSID8032671', 'CTK8G0814', 'ZINC1532071', 'Tox21_303887', 'AKOS015902582', 'NCGC00163907-01', 'NCGC00357145-01', 'AC-16210', 'LS-16081', 'Metalaxyl-M 10 microg/mL in Cyclohexane', 'R318', 'CAS-70630-17-0', 'C18626', 'Metalaxyl-M, PESTANAL(R), analytical standard', '630M170', 'Q27128142', 'UNII-16K4M187IF component ZQEIXNIJLIKNTD-GFCCVEGCSA-N', '(R)-methyl 2-(N-(2,6-dimethylphenyl)-2-methoxyacetamido)propanoate', '(R)-2-[(2,6-dimethylphenyl)-methoxyacetylamino]propionic acid methyl ester;D-Alanine, N-(2,6-dimethylphenyl)-N-(2-methoxyacetyl)-, methyl ester']</t>
  </si>
  <si>
    <t>Compound(11150163)</t>
  </si>
  <si>
    <t>4-amino-3-methyl-6-phenyl-1,2,4-triazin-5-one</t>
  </si>
  <si>
    <t>['METAMITRON', '41394-05-2', 'Goltix', '4-Amino-3-methyl-6-phenyl-1,2,4-triazin-5-one', '4-Amino-3-methyl-6-phenyl-1,2,4-triazin-5(4H)-one', 'Herbrak', 'Metamiton', 'Metamitron [German]', 'Methiamitron', '1,2,4-Triazin-5(4H)-one, 4-amino-3-methyl-6-phenyl-', 'DRW 1139', 'Methiamitron [French]', 'Methiamitron [Belgium]', 'BAY-DRW 1139', 'Metamitron [BSI:ISO]', 'Metamitrone [ISO-French]', 'UNII-H69RGO1QO6', 'EINECS 255-349-3', 'BRN 0613129', 'H69RGO1QO6', 'as-Triazin-5(4H)-one, 4-amino-3-methyl-6-phenyl-', 'CHEBI:6791', '4-Amino-4,5-dihydro-3-methyl-6-phenyl-1,2,4-triazin-5-one', '3-Methyl-4-amino-6-phenyl-1,2,4-triazin(4H)-on [German]', 'AK117733', 'Metamitrone', '3-Methyl-4-amino-6-phenyl-1,2,4-triazin(4H)-on', 'DSSTox_CID_27568', 'DSSTox_RID_82424', 'DSSTox_GSID_47568', 'SCHEMBL66369', '5-26-04-00395 (Beilstein Handbook Reference)', 'BIDD:ER0471', '3-Methyl-4-amino-6-phenyl-1,2,4-triazin-5(4H)-one', 'CHEMBL3187145', 'DTXSID7047568', 'KS-00000GJD', 'ZINC404228', 'Tox21_302665', 'SBB067256', 'STL451248', 'AKOS015905026', 'CS-W015509', 'HY-W014793', 'MCULE-6654151782', 'ACM41394052', 'Metamitron 10 microg/mL in Acetonitrile', 'NCGC00256694-01', 'AS-13452', 'CC-30244', 'I322', 'Metamitron 100 microg/mL in Acetonitrile', 'CAS-41394-05-2', 'DB-049747', 'LS-155644', 'FT-0630619', 'M2388', 'NS00010410', 'ST50825482', 'Metamitron, PESTANAL(R), analytical standard', 'C10930', 'K-8739', '3-methyl-4-amino-6-phenyl-1,2,4-triazin-5-one', '394M052', 'A825543', 'C-09721', '4-azanyl-3-methyl-6-phenyl-1,2,4-triazin-5-one', 'Q2293747', '3-Methyl-4-amino-6-phenyl-1,2,4-triazin(4H)-one', '4-amino-3-methyl-6-phenyl-1,2,4-triazin-5-(4H)-one', '4-Amino-3-methyl-6-phenyl-1,2,4-triazin-5-one, 97%', '4-amino-3-methyl-6-phenyl-4,5-dihydro-1,2,4-triazin-5-one', '4-amino-3-methyl-6-phenyl-1,2,4-triazin-5-one;1,2,4-Triazin-5-one, 4-amino-3-methyl-6-phenyl-']</t>
  </si>
  <si>
    <t>Compound(38854)</t>
  </si>
  <si>
    <t>C10H10N4O</t>
  </si>
  <si>
    <t>molinate</t>
  </si>
  <si>
    <t>S-ethyl azepane-1-carbothioate</t>
  </si>
  <si>
    <t>['MOLINATE', '2212-67-1', 'Ordram', 'S-Ethyl azepane-1-carbothioate', 'Jalan', 'Higalnate', 'Molmate', 'Hydram', 'Felan', 'Yalan', 'Yulan', 'S-Ethyl hexahydro-1H-azepine-1-carbothioate', 'Sakkimol', 'Stauffer R-4,572', 'Molinate estrella', 'S-Ethyl-N-hexamethylenethiocarbamate', 'Ethyl 1-hexamethyleneiminecarbothiolate', 'S-Ethyl N,N-hexamethylenethiocarbamate', 'Malerbane Giavoni L', 'S-Ethyl hexahydroazepine-1-carbothioate', 'S-Ethyl 1-hexamethyleneiminothiocarbamate', 'Caswell No. 444', 'Molinate [BSI:ISO]', '1H-Azepine-1-carbothioic acid, hexahydro-, S-ethyl ester', 'C9H17NOS', 'UNII-68N5G08DJQ', 'Perhydroazepin-1-carbothioate', 'S-Ethyl perhydroazepine-1-thiocarboxylate', '68N5G08DJQ', 'CHEBI:6964', 'HSDB 873', 'R 4572', 'R-4572', 'EINECS 218-661-0', 'S-Ethyl perhydroazepin-1-carbothioate', 'SC 998', 'EPA Pesticide Chemical Code 041402', 'S-Ethyl N,N-hexamethylenothiocarbamate', 'S-Ethyl-N,N-hexamethylenethiocarbamate', 'BRN 1239196', 'S-Aethyl-N-hexahydro-1H-azepinthiolcarbamat', 'DSSTox_CID_4206', 'DSSTox_RID_77327', 'DSSTox_GSID_24206', 'S-Aethyl-N-hexahydro-1H-azepinthiolcarbamat [German]', 'Ialan', 'CAS-2212-67-1', 'S-ethyl 1-hexamethylenaminothiocarbamate', 'S-ethyl hexahydro-1H-azepine-1- carbothioate', 'SCHEMBL63895', 'MLS001065581', 'BIDD:ER0419', 'CCRIS 8083', 'hexahydro-1H-azepine-1-carbothioic acid S-ethyl ester', 'CHEMBL1865916', 'DTXSID6024206', 'CTK8E8198', 'S-Ethyl 1-azepanecarbothioate #', 'HMS3039B07', 'ZINC4098992', 'Tox21_201572', 'Tox21_300817', 'FCH831655', 'Molinate 10 microg/mL in Cyclohexane', 'AKOS006230487', 'S-ethyl perhydroazepine-1-carbothioate', 'ACM2212671', 'KS-5374', 'LS-1018', 'Molinate 100 microg/mL in Cyclohexane', 'NCGC00091443-01', 'NCGC00091443-02', 'NCGC00091443-03', 'NCGC00091443-04', 'NCGC00091443-05', 'NCGC00254721-01', 'NCGC00259121-01', 'AS-13882', 'CC-30983', 'O973', 'SMR000568482', 'DB-045809', 'FT-0603598', 'Molinate, PESTANAL(R), analytical standard', 'NS00000706', 'C11086', '212M671', '5-20-04-00034 (Beilstein Handbook Reference)', 'C-07681', 'J-014537', 'Q1943471']</t>
  </si>
  <si>
    <t>Compound(16653)</t>
  </si>
  <si>
    <t>C9H17NOS</t>
  </si>
  <si>
    <t>N-(4-chlorophenyl)-2,2-dimethylpentanamide</t>
  </si>
  <si>
    <t>['Monalide', 'Potablan', '7287-36-7', 'N-(4-Chlorophenyl)-2,2-dimethylpentanamide', 'Schering-35830', 'Monalide [BSI:ISO]', 'Caswell No. 188AA', 'UNII-PV4FMD17U4', 'Pentanamide, N-(4-chlorophenyl)-2,2-dimethyl-', "Valeranilide, 4'-chloro-2,2-dimethyl-", 'SN 35830', 'N-(4-Chlorophenyl)-2,2-dimethylvaleroamide', "4'-Chloro-2,2-dimethylvaleranilide", 'EINECS 230-712-9', 'D-90-A', 'EPA Pesticide Chemical Code 288400', 'BRN 5528162', 'PV4FMD17U4', 'N-(4-Chlorphenyl)-2,2-dimethylpentamid', "4'-Chloro-alpha,alpha-dimethylvaleranilide", '4-Chloranilid kyseliny 2,2-dimethylvalerove', 'CHEBI:82180', 'N-(4-Chlorphenyl)-2,2-dimethylpentamid [German]', '4-Chloranilid kyseliny 2,2-dimethylvalerove [Czech]', 'N-(4-Chlor-phenyl)-2,2-dimethyl-valeriansaeureamid', 'N-(4-Chlor-phenyl)-2,2-dimethyl-valeriansaeureamid [German]', 'SCHEMBL54004', 'N-(4-Chlorophenyl)-2,2-dimethylvaleramide (9CI)', 'CHEMBL1520034', 'DTXSID0042163', 'D 90A', 'ZINC2029332', 'AKOS015902479', 'NCGC00166152-01', 'LS-161010', 'N-(4-Chlorophenyl)-2,2-dimethylvaleramide', 'Monalide, PESTANAL(R), analytical standard', 'NS00004772', 'C19053', 'Q22808454', 'N-(4-Chlorophenyl)-.alpha.,.alpha.-Dimethylvaleramide']</t>
  </si>
  <si>
    <t>Compound(23715)</t>
  </si>
  <si>
    <t>3-(4-chlorophenyl)-1,1-dimethylurea</t>
  </si>
  <si>
    <t>['MONURON', '150-68-5', '3-(4-Chlorophenyl)-1,1-dimethylurea', 'Chlorfenidim', 'Lirobetarex', 'Monurex', 'Monurox', 'Monuruon', 'Monuuron', 'Telvar', 'Herbicides, monuron', 'Usaf p-8', 'Usaf xr-41', '1,1-Dimethyl-3-(p-chlorophenyl)urea', '3-(p-Chlorophenyl)-1,1-dimethylurea', 'Karmex monuron herbicide', "N'-(4-Chlorophenyl)-N,N-dimethylurea", 'Telvar Monuron Weedkiller', 'Chlorea', 'Monuroun', 'Rosuran', "Urea, N'-(4-chlorophenyl)-N,N-dimethyl-", '1-(4-Chlorophenyl)-3,3-dimethylurea', 'Karmex W. monuron herbicide', "N,N-Dimethyl-N'-(4-chlorophenyl)urea", 'Telvar W. monuron weedkiller', 'CMU Weedkiller', 'Karmex W', 'CNV Weed Killer', 'NCI-C02846', 'Caswell No. 583', "N-Dimethyl-N'-(4-chlorophenyl)urea", '1-(p-Chlorophenyl)-3,3-dimethylurea', "N-(p-Chlorophenyl)-N',N'-dimethylurea", "N-(4-Chlorophenyl)-N',N'-dimethylurea", '1,1-Dimethyl-3-(p-chlorophenyl)thiourea', 'Urea, 3-(p-chlorophenyl)-1,1-dimethyl-', 'UNII-I99GAK5X1D', 'NSC 8949', 'Monuron [ANSI:BSI:ISO]', 'CCRIS 898', '1-(4-Chloro phenyl)-3,3-dimethyluree', '3-(4-Chloor-fenyl)-1,1-dimethylureum', 'CMU', 'HSDB 1036', '3-(4-Chlor-phenyl)-1,1-dimethyl-harnstoff', 'EINECS 205-766-1', '1-para-Chlorophenyl-3,3-dimethylurea', '3-para-Chlorophenyl-1,1-dimethylurea', 'EPA Pesticide Chemical Code 035501', '3-(4-cloro-fenil)-1,1-dimetil-urea', 'BRN 2097922', "N-para-Chlorophenyl-N',N'-dimethylurea", 'I99GAK5X1D', '1,1-Dimethyl-3-(para-chlorophenyl)urea', 'Urea, 3-(4-Chlorophenyl)-1,1-dimethyl-', 'CHEBI:38214', '1-(4-Chloro phenyl)-3,3-dimethyluree [French]', '3-(4-Chloor-fenyl)-1,1-dimethylureum [Dutch]', '3-(4-Cloro-fenil)-1,1-dimetil-urea [Italian]', 'MFCD00018556', '3-(4-Chlor-phenyl)-1,1-dimethyl-harnstoff [German]', 'DSSTox_CID_311', 'DSSTox_RID_75506', 'DSSTox_GSID_20311', 'CAS-150-68-5', 'Monuron Herbicide', '3-(4-chlorophenyl)-1,1-dimethyl-urea', "Urea, N'-(4-chlorophenyl)-N,N-dimethyl- (9CI)", 'SCHEMBL106717', 'CHEMBL467623', 'DTXSID0020311', 'WLN: GR DMVN1 &amp; 1', 'NSC8949', 'HMS1784G02', 'ZINC161800', 'NSC-8949', 'Tox21_201439', 'Tox21_300367', 'LS-875', 'Monuron 10 microg/mL in Acetonitrile', 'AKOS001033892', '1,1-Dimethyl-3-(4-chlorophenyl)urea', 'MCULE-3990109216', 'Monuron 100 microg/mL in Acetonitrile', '3-(p-:chlorophenyl)-1,1-dimethylurea', '3-(para-Chlorophenyl)-1,1,dimethylurea', "N'-(4-chlorophenyl)-N,N-di methylurea", 'NCGC00091194-01', 'NCGC00091194-02', 'NCGC00091194-03', 'NCGC00091194-04', 'NCGC00254546-01', 'NCGC00258990-01', "N-(4-chlorophenyl)-N',N'-dimethyl-urea", 'S336', 'DB-043061', 'Monuron, PESTANAL(R), analytical standard', "Urea, N-(4-chlorophenyl)-N,N'-dimethyl-", 'FT-0613650', 'NS00007862', 'ST50409105', '(dimethylamino)-N-(4-chlorophenyl)carboxamide', '3-(4-Chlorophenyl)-1,1-dimethylurea, 99%', 'C19087', '33339-EP2305655A2', '33339-EP2311815A1', '33339-EP2371823A1', '3-(4-cloro-fenil)-1,1-dimetil-urea(italian)cmun', 'Karmex W. monuron herbicide; Monuron; NSC 8949', 'J-008731', 'Q6406955', 'Z55293719', '3-(4-chlorophenyl)-1,1-dimethyluronium trichloroacetate;Monuron;monuron']</t>
  </si>
  <si>
    <t>Compound(8800)</t>
  </si>
  <si>
    <t>C9H11ClN2O</t>
  </si>
  <si>
    <t>diethylcarbamothioyl N,N-diethylcarbamodithioate</t>
  </si>
  <si>
    <t>['SULFIRAM', 'Monosulfiram', 'Sulfirame', 'Sulfiramum', 'Tetrucid', 'Sanigal', 'Tetmosol', 'Kutka', 'Tetmos', 'Sarcocide B', '95-05-6', 'TTMS', 'Tetraethyl thiuram monosulfide', 'Thiuram monosulfide, tetraethyl-', 'Bis(diethylthiocarbamoyl) sulfide', 'Sulfiramum [INN-Latin]', 'Tetraethylthiuram-monosulfid', 'UNII-1XHL4Q8P7Y', 'NSC 36731', 'Bis(N,N-diethylthiocarbamoyl) sulfide', 'Carbamic anhydride, tetraethyltrithio-', 'Sulfiram [INN]', 'Sulfide, bis(diethylthiocarbamoyl)', 'EINECS 202-387-3', 'BRN 1789060', '1XHL4Q8P7Y', 'Sulfide, bis((diethylamino)thioxomethyl)', 'AI3-00996', 'Carbamic acid, diethyldithio-, anhydrosulfide', "Formamide, 1,1'-thiobis(N,N'-diethylthio-", 'Carbamodithioic acid, diethyl-, anhydrosulfide', "Methanethioamide, 1,1'-thiobis(N,N-diethyl-", 'Thiodicarbonic diamide, tetraethyl-', 'Sulfiram (INN)', 'Thiodicarbonic diamide ([(H2N)C(S)]2S), tetraethyl-', 'diethylcarbamothioyl N,N-diethylcarbamodithioate', 'Thiodicarbonic diamide (((H2N)C(S))2S), tetraethyl-', 'Sulfide, bis[(diethylamino)thioxomethyl]', 'Sulfiram [INN:BAN]', 'Tetraethylthiuram monosulfide', 'ulfiram', 'Tetmosol (TN)', '4-04-00-00397 (Beilstein Handbook Reference)', 'SCHEMBL160769', 'Bis(diethylthiocarbamyl) sulfide', 'CHEMBL2004297', 'DTXSID5058222', 'CHEBI:135093', 'NSC36731', 'ZINC1669508', 'NSC-36731', 'WLN: 2N2&amp;YUS&amp;SYUS&amp;N2&amp;2', "Formamide,1'-thiobis[N,N-diethylthio-", "Formamide,1'-thiobis(N,N'-diethylthio-", "Methanethioamide,1'-thiobis[N,N-diethyl-", 'NCI60_003379', 'HY-121817', 'LS-147893', 'CS-0083488', 'FT-0674772', 'NS00040435', 'D08545', 'Q7636201', 'N,N-diethyl[(diethylcarbamothioyl)sulfanyl]carbothioamide', 'Thiodicarbonic diamide (((H2N)C(S))2S), tetraethyl- (9CI)']</t>
  </si>
  <si>
    <t>Compound(7215)</t>
  </si>
  <si>
    <t>C10H20N2S3</t>
  </si>
  <si>
    <t>(2S,3R,4S)-4-[(2S,5R,7S,8R,9S)-2-[(2R,5S)-5-ethyl-5-[(2R,3S,5R)-5-[(2S,3S,5R,6R)-6-hydroxy-6-(hydroxymethyl)-3,5-dimethyloxan-2-yl]-3-methyloxolan-2-yl]oxolan-2-yl]-7-hydroxy-2,8-dimethyl-1,10-dioxaspiro[4.5]decan-9-yl]-3-methoxy-2-methylpentanoic acid</t>
  </si>
  <si>
    <t>['monensin', 'Monensic acid', 'monensin A', 'Monensina', 'Monensinum', '17090-79-8', 'UNII-906O0YJ6ZP', 'Elancoban', 'Monelan', '906O0YJ6ZP', 'CHEBI:27617', 'A 3823A', 'Rumensin', 'Coban (as sodium salt)', 'Monensinum [INN-Latin]', 'Monensina [INN-Spanish]', 'Rumensin (as sodium salt)', 'Lilly 673140', 'HSDB 7031', 'ATCC 15413', 'EINECS 241-154-0', 'Rumensin 90', "(2S,3R,4S)-4-[(2S,5R,7S,8R,9S)-2-{(2S,2'R,3'S,5R,5'R)-2-ethyl-5'-[(2S,3S,5R,6R)-6-hydroxy-6-(hydroxymethyl)-3,5-dimethyltetrahydro-2H-pyran-2-yl]-3'-methyloctahydro-2,2'-bifuran-5-yl}-9-hydroxy-2,8-dimethyl-1,6-dioxaspiro[4.5]dec-7-yl]-3-methoxy-2-methylpentanoic acid", 'NSC343257', 'Monensine', 'Monensin [USAN:USP:INN:BAN]', 'Monensin (INN)', "Stereoisomer of 2-(2-ethyloctahydro-3'-methyl-5'-(tetrahydro-6-hydroxy-6-(hydroxymethyl)-3,5-dimethyl-2H-pyran-2-yl)(2,2'-bifuran-5-yl))-9-hydroxy-beta-methoxy-alpha,gamma,2,8-tetramethyl-1,6-dioxaspiro(4.5)decan-7-butanoic acid", 'Prestwick3_000748', 'SCHEMBL55367', 'BSPBio_000736', 'Elancoban [veterinary] (TN)', 'BPBio1_000810', 'CHEMBL256105', 'DTXSID4048561', '1,6-Dioxaspiro(4.5)decane-7-butyric acid, 2-(5-ethyltetrahydro-5-(tetrahydro-3-methyl-5-(tetrahydro-6-hydroxy-6-(hydroxymethyl)-3,5-dimethyl-2H-pyran-2-yl)-2-furyl)-2-furyl)-9-hydroxy-beta-methoxy-alpha,gamma,2,8-tetramethyl-', '1392-52-5', '2-[5-Ethyltetrahydro-5-[tetrahydro-3-methyl-5-[tetrahydro-6-hydroxy-6-(hydroxymethyl)-3,5-dimethyl-2H-pyran-2-yl]-2-furyl]-2-furyl]-9-hydroxy-.beta.-methoxy-.alpha.,.gamma.,2,8-tetramethyl-1,6-dioxaspiro[4.5]decane-7-butyric acid', 'ZINC8143466', 'AKOS015964837', 'DB11430', 'E714', 'C06693', 'D08228', 'monensin;Monensin sodium;Monensin, monosodium salt', 'J-010665', 'Q3493048', 'SR-05000013702-2', 'BRD-K55375480-236-03-0', "(2S,3R,4S)-4-[(2S,5R,7S,8R,9S)-2-{(2S,2'R,3'S,5R,5'R)-2-Ethyl-5'-[(2S,3S,5R,6R)-6-hydroxy-6-(hydroxymethyl)-3,5-dimethyloxan-2-yl]-3'-methyl[2,2'-bioxolan]-5-yl}-9-hydroxy-2,8-dimethyl-1,6-dioxaspiro[4.5]decan-7-yl]-3-methoxy-2-methylpentanoic acid", "(2S,3R,4S)-4-[(2S,5R,7S,8R,9S)-2-{(2S,2'R,3'S,5R,5'R)-2-Ethyl-5'-[(2S,3S,5R,6R)-6-hydroxy-6-(hydroxymethyl)-3,5-dimethyltetrahydro-2H-pyran-2-yl]-3'-methyloctahydro-2,2'-bifuran-5-yl}-9-hydroxy-2,8-di", '(2S,3R,4S)-4-[(3S,5R,7S,8R,9S)-3-[(2R,5S)-5-ethyl-5-[(2R,3S,5R)-5-[(2S,3S,5R,6R)-6-hydroxy-6-(hydroxymethyl)-3,5-dimethyl-tetrahydropyran-2-yl]-3-methyl-tetrahydrofuran-2-yl]tetrahydrofuran-2-yl]-7-hydroxy-3,8-dimethyl-4,10-dioxaspiro[4.5]decan-9-yl]-3-methoxy-2-methyl-pentanoic acid']</t>
  </si>
  <si>
    <t>Compound(441145)</t>
  </si>
  <si>
    <t>C36H62O11</t>
  </si>
  <si>
    <t>morpholine</t>
  </si>
  <si>
    <t>['MORPHOLINE', '110-91-8', '1-Oxa-4-azacyclohexane', 'Tetrahydro-1,4-oxazine', 'Diethylene oximide', 'Diethylenimide oxide', 'Diethyleneimide oxide', 'Drewamine', 'Diethylene imidoxide', 'morpholin', 'Tetrahydro-2H-1,4-oxazine', 'Tetrahydro-p-oxazine', 'p-Isoxazine, tetrahydro-', 'Tetrahydro-1,4-isoxazine', 'BASF 238', 'Caswell No. 584', 'Morpholine, 4-soya alkyl derivs.', '2H-1,4-Oxazine, tetrahydro-', '4H-1,4-Oxazine, tetrahydro-', 'NSC 9376', 'UNII-8B2ZCK305O', 'CCRIS 2482', 'HSDB 102', 'EINECS 203-815-1', 'UN2054', 'C4H9NO', 'EPA Pesticide Chemical Code 054701', 'BRN 0102549', 'Tetrahydro-4H-1-4-oxazine', 'AI3-01231', '8B2ZCK305O', 'CHEBI:34856', 'MFCD00005972', '61791-40-0', 'Morpholine [UN2054] [Flammable liquid]', 'DSSTox_CID_5688', 'DSSTox_RID_77880', 'DSSTox_GSID_25688', 'Morpholine, 99+%, extra pure', 'Morpholine, 99+%, ACS reagent', 'CAS-110-91-8', 'MORPHOLINE,REAG', 'Tetrahydro-p-isoxazine', 'MORPHOLINE, PRACT', 'morphline', 'Morpholine, 99.5%, purified by redistillation, AcroSeal(R)', 'morpho line', 'morpholine-', 'EINECS 263-172-8', '4H-1, tetrahydro-', 'PubChem15002', 'Morpholine Reagent Grade', 'Morpholine on Rasta Resin', 'WLN: T6M DOTJ', 'EC 203-815-1', 'NCIMech_000154', 'Tetrahydro-1, 4-isoxazine', 'NCIOpen2_007748', 'Oprea1_317540', 'Tetryhydro-2H-1,4-oxazine', 'Tetrahydro-4H-1,4-Oxazine', '4-27-00-00015 (Beilstein Handbook Reference)', 'KSC175A0J', 'BIDD:ER0297', 'ACMC-20997q', 'Morpholine, analytical standard', 'CHEMBL276518', 'DTXSID2025688', 'CTK0H5004', 'NSC9376', 'BCP24054', 'NSC-9376', 'STR00194', 'ZINC1699948', 'Tox21_202450', 'Tox21_303240', 'ANW-16212', 'STL182843', 'AKOS000118829', 'Morpholine, ACS reagent, &gt;=99.0%', 'Morpholine, ReagentPlus(R), &gt;=99%', 'DB13669', 'MCULE-4684386765', 'NA 2054', 'NE10420', 'UN 2054', 'KS-00000V97', 'NCGC00249227-01', 'NCGC00256942-01', 'NCGC00259999-01', 'SC-19088', 'Morpholine, p.a., ACS reagent, 99.0%', 'DB-030063', 'Morpholine [UN2054]  [Flammable liquid]', 'FT-0628993', 'M0465', 'NS00010190', 'Morpholine purified by distillation from glass', '1031-EP2269992A1', '1031-EP2269993A1', '1031-EP2270004A1', '1031-EP2270006A1', '1031-EP2270010A1', '1031-EP2270113A1', '1031-EP2272509A1', '1031-EP2272517A1', '1031-EP2272813A2', '1031-EP2272817A1', '1031-EP2272827A1', '1031-EP2272832A1', '1031-EP2272834A1', '1031-EP2272835A1', '1031-EP2272839A1', '1031-EP2272840A1', '1031-EP2272841A1', '1031-EP2272844A1', '1031-EP2272848A1', '1031-EP2272849A1', '1031-EP2272935A1', '1031-EP2272972A1', '1031-EP2272973A1', '1031-EP2274983A1', '1031-EP2275102A1', '1031-EP2275395A2', '1031-EP2275401A1', '1031-EP2275403A1', '1031-EP2275404A1', '1031-EP2275410A1', '1031-EP2275411A2', '1031-EP2275413A1', '1031-EP2275422A1', '1031-EP2277848A1', '1031-EP2277858A1', '1031-EP2277872A1', '1031-EP2277877A1', '1031-EP2277880A1', '1031-EP2277881A1', '1031-EP2280001A1', '1031-EP2280004A1', '1031-EP2280005A1', '1031-EP2280006A1', '1031-EP2280008A2', '1031-EP2280009A1', '1031-EP2280020A1', '1031-EP2280021A1', '1031-EP2281563A1', '1031-EP2281813A1', '1031-EP2281815A1', '1031-EP2281818A1', '1031-EP2281821A1', '1031-EP2281822A1', '1031-EP2284149A1', '1031-EP2284157A1', '1031-EP2284159A1', '1031-EP2284160A1', '1031-EP2284178A2', '1031-EP2284179A2', '1031-EP2286811A1', '1031-EP2287147A2', '1031-EP2287156A1', '1031-EP2287157A1', '1031-EP2287159A1', '1031-EP2287167A1', '1031-EP2289868A1', '1031-EP2289871A1', '1031-EP2289884A1', '1031-EP2289887A2', '1031-EP2289888A2', '1031-EP2289894A2', '1031-EP2292228A1', '1031-EP2292586A2', '1031-EP2292592A1', '1031-EP2292593A2', '1031-EP2292606A1', '1031-EP2292610A1', '1031-EP2292611A1', '1031-EP2292615A1', '1031-EP2295402A2', '1031-EP2295409A1', '1031-EP2295411A1', '1031-EP2295415A1', '1031-EP2295426A1', '1031-EP2295427A1', '1031-EP2295429A1', '1031-EP2295432A1', '1031-EP2295433A2', '1031-EP2295439A1', '1031-EP2298312A1', '1031-EP2298731A1', '1031-EP2298735A1', '1031-EP2298743A1', '1031-EP2298761A1', '1031-EP2298763A1', '1031-EP2298766A1', '1031-EP2298767A1', '1031-EP2298772A1', '1031-EP2298776A1', '1031-EP2298778A1', '1031-EP2301534A1', '1031-EP2301536A1', '1031-EP2301538A1', '1031-EP2301627A1', '1031-EP2301928A1', '1031-EP2301929A1', '1031-EP2301933A1', '1031-EP2301935A1', '1031-EP2301937A1', '1031-EP2302132A1', '1031-EP2305219A1', '1031-EP2305250A1', '1031-EP2305629A1', '1031-EP2305633A1', '1031-EP2305648A1', '1031-EP2305651A1', '1031-EP2305652A2', '1031-EP2305672A1', '1031-EP2305674A1', '1031-EP2305675A1', '1031-EP2305677A1', '1031-EP2305679A1', '1031-EP2305682A1', '1031-EP2305687A1', '1031-EP2305695A2', '1031-EP2305696A2', '1031-EP2305697A2', '1031-EP2305698A2', '1031-EP2308479A2', '1031-EP2308509A1', '1031-EP2308510A1', '1031-EP2308562A2', '1031-EP2308812A2', '1031-EP2308833A2', '1031-EP2308838A1', '1031-EP2308839A1', '1031-EP2308840A1', '1031-EP2308849A1', '1031-EP2308850A1', '1031-EP2308854A1', '1031-EP2308857A1', '1031-EP2308861A1', '1031-EP2308867A2', '1031-EP2308868A1', '1031-EP2308870A2', '1031-EP2308879A1', '1031-EP2308880A1', '1031-EP2309584A1', '1031-EP2311451A1', '1031-EP2311455A1', '1031-EP2311464A1', '1031-EP2311796A1', '1031-EP2311797A1', '1031-EP2311798A1', '1031-EP2311799A1', '1031-EP2311802A1', '1031-EP2311803A1', '1031-EP2311808A1', '1031-EP2311810A1', '1031-EP2311815A1', '1031-EP2311825A1', '1031-EP2311827A1', '1031-EP2311829A1', '1031-EP2311842A2', '1031-EP2314295A1', '1031-EP2314574A1', '1031-EP2314575A1', '1031-EP2314586A1', '1031-EP2314587A1', '1031-EP2314588A1', '1031-EP2314590A1', '1031-EP2316450A1', '1031-EP2316459A1', '1031-EP2316470A2', '1031-EP2316831A1', '1031-EP2316832A1', '1031-EP2316833A1', '1031-EP2316974A1', '1031-EP2371811A2', '1031-EP2371831A1', '1031-EP2372804A1', '1031-EP2374454A1', '1031-EP2378585A1', '1031-EP2380872A1', '1031-EP2380874A2', 'C14452', '59619-EP2275422A1', '59619-EP2292589A1', '59619-EP2295436A1', '59619-EP2295439A1', '59619-EP2298076A1', '59619-EP2298077A1', '59619-EP2298305A1', '59619-EP2298762A2', '59619-EP2301353A1', '59619-EP2305031A1', '59619-EP2305034A1', '59619-EP2305035A1', '59619-EP2308852A1', '59619-EP2371823A1', 'Morpholine, purified by redistillation, &gt;=99.5%', 'Q410243', 'J-522715', '1-Oxa-4-azacyclohexane ;  Tetrahydro-2H-1,4-oxazine', 'F2190-0339', '6LR', 'Morpholine, polymer-bound, 200-400 mesh, extent of labeling: 2.75-3.25 mmol/g loading, 1 % cross-linked', 'ScavengePore(TM) phenethyl morpholine, macroporous, 40-70 mesh, extent of labeling: 0.7-1.5 mmol/g loading', 'StratoSpheres(TM) PL-MPH resin, 50-100 mesh, extent of labeling: 3.0-4.0 mmol/g loading, 1 % cross-linked']</t>
  </si>
  <si>
    <t>Compound(8083)</t>
  </si>
  <si>
    <t>morphine</t>
  </si>
  <si>
    <t>(4R,4aR,7S,7aR,12bS)-3-methyl-2,4,4a,7,7a,13-hexahydro-1H-4,12-methanobenzofuro[3,2-e]isoquinoline-7,9-diol</t>
  </si>
  <si>
    <t>['morphine', 'Morphia', 'Morphinum', 'Morphium', 'Morphin', '(-)-Morphine', 'Morphina', 'DepoDur', 'Duromorph', 'Meconium', 'Morphinism', 'Moscontin', 'Ospalivina', 'MS Contin', 'l-Morphine', '57-27-2', 'Dulcontin', 'Morfina', 'Roxanol', 'MORPHINE SULFATE', 'Infumorph', 'Nepenthe', 'Dreamer', 'Morpho', 'Avinza', 'Hocus', 'Kadian', 'Unkie', 'Cube juice', 'Hard stuff', 'Oramorph SR', 'Statex SR', 'Ms Emma', 'Morphin [German]', 'Morfina [Italian]', 'Duramorph', 'Morphina [Italian]', 'M-Eslon', 'Morphine [BAN]', 'CCRIS 5762', 'HSDB 2134', '(5R,6S,9R,13S,14R)-4,5-Epoxy-N-methyl-7-morphinen-3,6-diol', 'UNII-76I7G6D29C', 'CHEBI:17303', 'CHEMBL70', 'EINECS 200-320-2', '(5alpha,6alpha)-17-methyl-7,8-didehydro-4,5-epoxymorphinan-3,6-diol', '4,5alpha-Epoxy-17-methyl-7-morphinen-3,6alpha-diol', '7,8-Didehydro-4,5-epoxy-17-methyl-morphinan-3,6-diol', '(7R,7AS,12BS)-3-METHYL-2,3,4,4A,7,7A-HEXAHYDRO-1H-4,12-METHANO[1]BENZOFURO[3,2-E]ISOQUINOLINE-7,9-DIOL', 'DEA No. 9300', 'Morphine Anhydrate', '76I7G6D29C', 'Morphine (BAN)', 'RMS', '(5alpha,6alpha)-Didehydro-4,5-epoxy-17-methylmorphinan-3,6-diol', 'Morphinan-3,6-alpha-diol, 7,8-didehydro-4,5-alpha-epoxy-17-methyl-', 'Morphinan-3,6-diol, 7,8-didehydro-4,5-epoxy-17-methyl-, (5alpha,6alpha)-', '9H-9,9c-Iminoethanophenanthro(4,5-bcd)furan-3,5-diol, 4a,5,7a,8-tetrahydro-12-methyl-', 'methyl[?]diol', 'Aguettant', 'Dinamorf', 'Sevredol', 'Dimorf', '(5alpha,6alpha)-7,8-Didehydro-4,5-epoxy-17-methylmorphinan-3,6-diol', '(4R,4aR,7S,7aR,12bS)-3-methyl-2,4,4a,7,7a,13-hexahydro-1H-4,12-methanobenzofuro[3,2-e]isoquinoline-7,9-diol', 'D-(-)-Morphine', 'Dolcontin', 'Oramorph', '(Morphine)', 'Anhydrous morphine', 'Substitol (TN)', 'Morphine (MOR)', 'MOR', '(-)-(etorphine)', '(-)Morphine sulfate', 'Morfina Dosa (TN)', 'SDZ202-250', 'NSC11441', 'SDZ 202-250', 'Epitope ID:116646', 'Morphinan-3,6-diol, 7,8-didehydro-4,5-epoxy-17-methyl- (5alpha,6alpha)-', 'SCHEMBL2997', 'BIDD:GT0147', 'GTPL1627', 'IDS-NM-009', 'DTXSID9023336', 'Morphine 0.1 mg/ml in Methanol', 'Morphine 1.0 mg/ml in Methanol', 'N02AA01', 'ZINC3812983', 'BDBM50000092', 'AKOS015966554', 'DB00295', 'LS-91748', 'MOI', 'C01516', 'D08233', 'Q81225', '7,8-Didehydro-4,5-epoxy-17-methylmorphinan-3,6-diol', 'UNII-1M5VY6ITRT component BQJCRHHNABKAKU-KBQPJGBKSA-N', '17-methyl-7,8-didehydro-4,5alpha-epoxymorphinan-3,6alpha-diol', '7,8-Didehydro-4,5-epoxy-17-methylmorphinan-3,6-diol(morphine)', '(5alpha,6beta)-17-methyl-7,8-didehydro-4,5-epoxymorphinan-3,6-diol', '3-(4-Hydroxy-phenyl)-1-propyl-piperidine-3-carboxylic acid ethyl ester', '6-tert-Butyl-3-methyl-1,2,3,4,5,6-hexahydro-2,6-methano-benzo[d]azocine', '(-)(5.alpha.,6.alpha.)-7,8-Didehydro-4,5-epoxy-17-methylmorphinan-3,6-diol', 'Morphinan-3,6-diol, 7,8-didehydro-4,5-epoxy-17-methyl- (5..alpha.,6.alpha.)-', 'Morphine solution, 1.0 mg/mL in methanol, ampule of 1 mL, certified reference material', '(1S,5R,13R,14S)-12-oxa-4-azapentacyclo[9.6.1.01,13.05,17.07,18]octadeca-7(18),8,10,15-tetraene-10,14-diol', '(1S,5R,13R,14S,17R)-4-methyl-12-oxa-4-azapentacyclo[9.6.1.0^{1,13}.0^{5,17}.0^{7,18}]octadeca-7(18),8,10,15-tetraene-10,14-diol', '(1S,5R,13R,14S,17R)-4-methyl-12-oxa-4-azapentacyclo[9.6.1.0^{1,13}.0^{5,17}.0^{7,18}]octadeca-7,9,11(18),15-tetraene-10,14-diol', '(morphine) 4-methyl-(1S,5R,13R,14S,17R)-12-oxa-4-azapentacyclo[9.6.1.01,13.05,17.07,18]octadeca-7(18),8,10,15-tetraene-10,14-diol', '2-{4-[2,4-diamino-6-pteridinylmethyl(methyl)amino]phenylcarboxamido}pentanedioic acid(morphine)', '4-methyl-(1S,5R,13R,14S,17R)-12-oxa-4-azapentacyclo[9.6.1.01,13.05,17.07,18]octadeca-7(18),8,10,15-tetraene-10,14-diol', '4-methyl-(1S,5R,13R,14S,17R)-12-oxa-4-azapentacyclo[9.6.1.01,13.05,17.07,18]octadeca-7(18),8,10,15-tetraene-10,14-diol ; HydroChloride', '4-methyl-(1S,5R,13R,14S,17R)-12-oxa-4-azapentacyclo[9.6.1.01,13.05,17.07,18]octadeca-7(18),8,10,15-tetraene-10,14-diol ;sulphate salt(morphine)', '4-methyl-(1S,5R,13R,14S,17R)-12-oxa-4-azapentacyclo[9.6.1.01,13.05,17.07,18]octadeca-7(18),8,10,15-tetraene-10,14-diol((Morphine))', '4-methyl-(1S,5R,13R,14S,17R)-12-oxa-4-azapentacyclo[9.6.1.01,13.05,17.07,18]octadeca-7(18),8,10,15-tetraene-10,14-diol(morphine sulfate)', '4-methyl-(1S,5R,13R,14S,17R)-12-oxa-4-azapentacyclo[9.6.1.01,13.05,17.07,18]octadeca-7(18),8,10,15-tetraene-10,14-diol(morphine)', '4-methyl-(1S,5R,13R,14S,17R)-12-oxa-4-azapentacyclo[9.6.1.01,13.05,17.07,18]octadeca-7(18),8,10,15-tetraene-10,14-diol(Morphine)(HCl)', '4-methyl-(1S,5R,13R,14S,17R)-12-oxa-4-azapentacyclo[9.6.1.01,13.05,17.07,18]octadeca-7(18),8,10,15-tetraene-10,14-diol,sulfate(Morphinesulfate)', '4-methyl-(1S,5R,13R,14S,17R)-12-oxa-4-azapentacyclo[9.6.1.01,13.05,17.07,18]octadeca-7(18),8,10,15-tetraene-10,14-diolMorphine', '4-methyl-12-oxa-4-azapentacyclo[9.6.1.01,13.05,17.07,18]octadeca-7(18),8,10,15-tetraene-10,14-diol', '4-methyl-12-oxa-4-azapentacyclo[9.6.1.01,13.05,17.07,18]octadeca-7(18),8,10,15-tetraene-10,14-diol (morphine)', '4-methyl-12-oxa-4-azapentacyclo[9.6.1.01,13.05,17.07,18]octadeca-7(18),8,10,15-tetraene-10,14-diol(Morphine)', '6,11-Dimethyl-3-(3-methyl-but-2-enyl)-1,2,3,4,5,6-hexahydro-2,6-methano-benzo[d]azocin-8-ol(Morphine)', '9H-9,9c-Iminoethanophenanthro(4,5-bcd)furan-3,5-diol, 4alpha,5,7alpha,8-tetrahydro-12-methyl-', 'MORPHINE; (5A,6A)-7,8-DIDEHYDRO-4,5-EPOXY-17-METHYLMORPHINIAN-3,6-DIOL; MORPHIUM; MORPHIA; DOLCONTIN; DUROMORPH; MORPHINA; NEPENTHE', 'Morphine;4-methyl-(1S,5R,13R,14S,17R)-12-oxa-4-azapentacyclo[9.6.1.01,13.05,17.07,18]octadeca-7(18),8,10,15-tetraene-10,14-diol']</t>
  </si>
  <si>
    <t>Compound(5288826)</t>
  </si>
  <si>
    <t>C17H19NO3</t>
  </si>
  <si>
    <t>mustard gas</t>
  </si>
  <si>
    <t>1-chloro-2-(2-chloroethylsulfanyl)ethane</t>
  </si>
  <si>
    <t>['Mustard gas', 'Sulfur mustard', 'Senfgas', 'Yperite', 'Iprit', 'Lost', 'Bis(2-chloroethyl) sulfide', 'Yellow cross liquid', 'Schwefel-lost', 'Mustard, sulfur', 'Distilled mustard', 'S-Lost', 'Gelbkreuz', '505-60-2', 'Kampstoff lost', 'Mustard vapor', 'S-yperite', 'S Mustard', 'Yellow cross gas', 'Mustard HD', 'Sulfur mustard gas', "1,1'-Thiobis(2-chloroethane)", 'Psoriasin', 'Sulphur mustard', 'Dichlorodiethyl sulfide', 'Agent hd', 'Di-2-chloroethyl sulfide', 'Agent THD', 'Gelbkreuz [Czech]', 'Sulphur mustard gas', "2,2'-Dichloroethyl sulfide", 'Sulfide, bis(2-chloroethyl)', "2,2'-Dichlorodiethyl sulfide", 'Mustard', 'UNII-T8KEC9FH9P', 'Di-2-chloroethyl sulphide', 'Bis(2-chloroethyl)sulphide', 'bis-(2-chloroethyl)sulfide', 'Bis(beta-chloroethyl)sulfide', 'Bis(2-chloroethyl) sulphide', 'Bis(beta-chloroethyl)sulphide', "2,2'-Dichloroethyl sulphide", 'CCRIS 570', 'dichlorodiethylsulfide', "2,2'-Dichlorodiethyl sulphide", 'HSDB 336', "beta,beta'-Dichloroethyl sulfide", 'beta,beta-Dichlor-ethyl-sulphide', "beta,beta'-Dichloroethyl sulphide", "Diethyl sulfide, 2,2'-dichloro", 'BIS(2-CHLOROETHYL)SULFIDE', "Ethane, 1,1'-thiobis(2-chloro-", "Ethane, 1,1'-thiobis[2-chloro-", 'bis(2-chloroethyl)sulfane', 'T8KEC9FH9P', 'BRN 1733595', '1-Chloro-2-(beta-chloroethylthio)ethane', '1-Chloro-2-[(2-chloroethyl)sulfanyl]ethane', 'CHEBI:25434', 'Dichloroethyl sulfide [Forbidden]', '1-chloro-2-(2-chloroethylthio)ethane', '1-chloro-2-[(2-chloroethyl)thio]ethane', 'Bis-(2-chloroethyl) Sulfide', 'Mustardgas', 'Psoriazin', 'Kampstoff "lost"', 'C4H8Cl2S', 'KampfstoffLost', 'Bis(beta-chloroethyl) sulfide', 'Yellow Cross', 'Yellow Cro ss', 'S Lost', 'Dichloroethyl sulfide', "Ethane, 1,1'-thiobis(2-chloro)-", '2-chloroethylsulphide', "Kampfstoff ''lost''", 'Di(2-chloroethyl) sulfide', 'HD (chemical warfare agent)', 'SCHEMBL43809', 'bis-(2-chloro-ethyl)-sulfane', 'CHEMBL455341', 'DTXSID0037100', 'Bis(.beta.-chloroethyl) sulfide', 'CTK4J2795', "beta, beta'-dichloroethyl sulfide", "beta,beta'-dichlorodiethyl sulfide", "Ethane,1,1'-thiobis[2-chloro-", '.beta.-Chloroethylisobutyl sulfide', "beta, beta'-dichlorodiethyl sulfide", 'ZINC2020032', '.beta.,.beta.-Dichloroethyl sulfide', ".beta.,.beta.'-Dichloroethyl sulfide", 'AKOS006275641', 'Mustard Gas;Bis(2-chloroethyl) sulfide', '1-Chloro-2-(.beta.-chloroethylthio)ethane', 'LS-147886', '1-chloranyl-2-(2-chloroethylsulfanyl)ethane', '1-chloro-2-(2-chloro-ethylsulfanyl)-ethane', 'NS00022252', '1-Chloro-2-[(2-chloroethyl)sulfanyl]ethane #', 'C19164', 'Q81166', '92373-EP2280008A2', '92373-EP2284157A1', '92373-EP2287163A1', '92373-EP2298747A1', '92373-EP2305257A1', '92373-EP2305678A1', 'MUSTARD GAS [BIS-2-CHLOROETHYL SULFIDE]', 'A828174']</t>
  </si>
  <si>
    <t>Compound(10461)</t>
  </si>
  <si>
    <t>C4H8Cl2S</t>
  </si>
  <si>
    <t>(1R,4S,4'E,5'S,6R,6'S,8R,10E,13R,14E,16E,20R,21R,24S)-21,24-dihydroxy-4'-methoxyimino-5',11,13,22-tetramethyl-6'-[(E)-4-methylpent-2-en-2-yl]spiro[3,7,19-trioxatetracyclo[15.6.1.14,8.020,24]pentacosa-10,14,16,22-tetraene-6,2'-oxane]-2-one</t>
  </si>
  <si>
    <t>['Moxidectin', '113507-06-5', 'ProHeart 6', 'UNII-NGU5H31YO9', 'Cydectin', 'NGU5H31YO9', 'Moxidectine [INN-French]', 'Moxidectinum [INN-Latin]', 'Moxidectina [INN-Spanish]', 'C37H53NO8', 'Moxidectina', 'Moxidectine', 'Moxidectinum', 'Moxidectin [USAN:INN:BAN]', 'Moxidectin (TN)', "(2aE,4E,5'R,6R,6'S,8E,11R,13S,15S,17aR,20R,20aR,20bS)-6'-((E)-1,3-Dimethyl-1-butenyl)-5',6,6',7,10,11,14,15,17a,20,20a,20b-dodecahydro-20,20b-dihydroxy-5',6,8,19-tetramethylspiro(11,15-methano-2H,13H,17H-furo(4,3,2-pq)(2,6)benzodioxacyclooctadecin-13,2'-(2H)pyran)-4',17(3'H)-dione 4'-(E)-(O-methyloxime)", '(6R,25S)-5-O-Demethyl-28-deoxy-25-((E)-1,3-dimethyl-1-butenyl)-6,28-epoxy-23-oxomilbemycin B 23-(E)-(O-methyloxime)', 'Moxidectin (USP/INN)', 'CHEMBL2104415', 'SCHEMBL13112872', 'HY-B0777', 'Milbemycin B, 5-O-demethyl-28-deoxy-25-((1E)-1,3-dimethyl-1-butenyl)-6,28-epoxy-23-(methoxyimino)-, (6R,23E,25S)-', 'Milbemycin B, 5-O-demethyl-28-deoxy-25-(1,3-dimethyl-1-butenyl)-6,28-epoxy-23-(methoxyimino)-, (6R,23E,25S(E))-', 's3713', 'AKOS025401990', 'ZINC253476173', 'CCG-270317', 'CS-3080', 'DB11431', 'AC-27773', 'AS-17881', 'CL301423', 'AB0021112', 'CL-301423', 'CL-301,423', 'V2325', 'D05084', 'Moxidectin, VETRANAL(TM), analytical standard', '507M065', 'Moxidectin, European Pharmacopoeia (EP) Reference Standard', 'Moxidectin, United States Pharmacopeia (USP) Reference Standard', 'Moxidectin, Pharmaceutical Secondary Standard; Certified Reference Material', 'Moxidectin for system suitability, European Pharmacopoeia (EP) Reference Standard', "(2aE,2'R,4E,4'E,5'S,6R,6'S,8E,11R,15S,17aR,20R,20aR,20bS)-6'-[(1E)-1,3-Dimethylbut-1-enyl]-20,20b-dihydroxy-4'-(methoxyimino)-5',6,8,19-tetramethyl-3',4',5',6,6',7,10,11,14,15,17a,20,20a,20b-tetradeca", "hydrospiro[2H,17H-11,15-methanofuro[4,3,2-pq][2,6]benzodioxacyclooctadecine-13,2'-pyran]-17-one"]</t>
  </si>
  <si>
    <t>Compound(9832912)</t>
  </si>
  <si>
    <t>C37H53NO8</t>
  </si>
  <si>
    <t>multiple types of PAF metals</t>
  </si>
  <si>
    <t>multi-species PAF organic compounds</t>
  </si>
  <si>
    <t>methamidophos</t>
  </si>
  <si>
    <t>[amino(methylsulfanyl)phosphoryl]oxymethane</t>
  </si>
  <si>
    <t>['methamidophos', 'Metamidophos', 'Tamaron', 'Pillaron', 'Tahmabon', 'Amidor', 'Filitox', 'Hamidop', 'Patrole', 'Tamanox', '10265-92-6', 'Acephate-met', 'MONITOR', 'O,S-Dimethyl phosphoramidothioate', 'Sniper', 'Ortho Monitor', 'Metamidofos estrella', 'Phosphoramidothioic acid, O,S-dimethyl ester', 'Monitor (insecticide)', 'Chevron 9006', 'Chevron ortho 9006', 'Bayer 5546', 'Ortho 9006', 'Caswell No. 378A', 'Methamidophos [ANSI:BSI:ISO]', 'CKB 1220', 'SRA 5172', 'ENT 27,396', 'NSC 190987', 'RE 9006', 'o,S-Dimethyl amidothiophosphate', 'CHEBI:38721', 'HSDB 1593', 'Methyl phosphoramidothioate ((MeO)(MeS)P(O)(NH2))', 'O,S-Dimethyl phosphoramidothiolate', 'EINECS 233-606-0', 'Methyl phosphoramidothioate', 'EPA Pesticide Chemical Code 101201', 'BRN 1098870', 'Thiophosphorsaeure-O,S-dimethylesteramid', 'AI3-27396', 'MTD', 'O,S-dimethyl phosphoroamidothioate', 'Thiophosphorsaeure-O,S-dimethylesteramid [German]', '[amino(methylsulfanyl)phosphoryl]oxymethane', 'DSSTox_CID_4177', 'DSSTox_RID_77318', 'DSSTox_GSID_24177', 'Q-201361', 'Methamidophos, analytical standard', '(-)-Methamidophos', 'CAS-10265-92-6', 'L-(-)-Methamidophos', 'Nitofol', 'CCRIS 9422', 'O,S-dimethylphosphoroamidothioate', 'BAYER 71628', 'Acephate metabolite', '(+/-)-Methamidophos', 'Spectrum_001799', 'SpecPlus_000390', 'Spectrum2_001863', 'Spectrum3_000815', 'Spectrum4_000655', 'Spectrum5_001940', 'Methamidophos (Metamidophos)', 'SCHEMBL23291', 'BSPBio_002309', 'KBioGR_001029', 'KBioSS_002292', 'SPECTRUM330023', 'DivK1c_006486', 'SPBio_001706', 'CHEMBL504888', 'DTXSID6024177', 'CTK4A1369', 'KBio1_001430', 'KBio2_002290', 'KBio2_004858', 'KBio2_007426', 'KBio3_001809', 'O,S-Dimethyl amidothiophosphate #', 'Methamidophos;(+/-)-Methamidophos', 'Tox21_202250', 'Tox21_300740', 'BAY 71628', 'BDBM50027341', 'CCG-39401', 'FCH831966', 'AKOS006228092', 'DB14972', '[methoxy(methylsulfanyl)phosphoryl]amine', 'NCGC00094520-01', 'NCGC00094520-02', 'NCGC00094520-03', 'NCGC00094520-04', 'NCGC00094520-05', 'NCGC00094520-06', 'NCGC00094520-07', 'NCGC00094520-08', 'NCGC00254646-01', 'NCGC00259799-01', '115182-35-9', '65960-97-6', 'CC-30255', 'thiophosphoramidic acid O,S-dimethyl ester', 'LS-107406', 'Methamidophos 10 microg/mL in Acetonitrile', 'Phosphoramidothioicacid, O,S-dimethyl ester', 'NS00010000', 'Methamidophos 100 microg/mL in Ethyl acetate', 'O,S-Dimethyl ester of amidothiophosphoric acid', 'C18667', '74438-EP2275422A1', '74438-EP2292608A1', '74438-EP2305662A1', '74438-EP2308857A1', 'Methamidophos, PESTANAL(R), analytical standard', '265M926', 'C-02040', 'Q421055', 'Phosphoramidothioic acid, O,S-dimethyl ester, (S)-', 'Methamidophos, certified reference material, TraceCERT(R)', 'UNII-8Z083FM94W component NNKVPIKMPCQWCG-LURJTMIESA-N', 'Pesticide1_Methamidophos_C2H8NO2PS_O,S-Dimethyl phosphoramidothioate', 'Methamidophos solution, 100 mug/mL in acetonitrile, PESTANAL(R), analytical standard']</t>
  </si>
  <si>
    <t>Compound(4096)</t>
  </si>
  <si>
    <t>C2H8NO2PS</t>
  </si>
  <si>
    <t>musk ketone</t>
  </si>
  <si>
    <t>1-(4-tert-butyl-2,6-dimethyl-3,5-dinitrophenyl)ethanone</t>
  </si>
  <si>
    <t>['MUSK KETONE', '81-14-1', "4'-tert-Butyl-2',6'-dimethyl-3',5'-dinitroacetophenone", '1-(4-tert-Butyl-2,6-dimethyl-3,5-dinitrophenyl)ethanone', 'Ketone moschus', 'Ketone musk', '2-Acetyl-5-tert-butyl-4,6-dinitroxylene', 'NSC 15339', 'UNII-483V3E1L6J', 'CCRIS 4677', '4-tert-Butyl-3,5-dinitro-2,6-dimethylacetophenone', '2,6-Dinitro-3,5-dimethyl-4-acetyl-tert-butylbenzene', 'C14H18N2O5', 'EINECS 201-328-9', "Acetophenone, 4'-tert-butyl-2',6'-dimethyl-3',5'-dinitro-", '2,6-Dimethyl-3,5-dinitro-4-t-butylacetophenone', '3,5-Dinitro-2,6-dimethyl-4-tert-butylacetophenone', 'BRN 2062638', 'Ethanone, 1-[4-(1,1-dimethylethyl)-2,6-dimethyl-3,5-dinitrophenyl]-', 'AI3-02440', '1-(4-(1,1-Dimethylethyl)-2,6-dimethyl-3,5-dinitrophenyl)ethanone', '483V3E1L6J', 'Ethanone, 1-(4-(1,1-dimethylethyl)-2,6-dimethyl-3,5-dinitrophenyl)-', '4-t-Butyl-2,6-dimethyl-3,5-dinitroacetophenone', '4-tert-Butyl-2,6-dimethyl-3,5-dinitroactophenone', '2,6-Dinitro-3,5-dimethyl-4-acetyl-tertbutylbenzene', '3,5-Dinitro-2,6-dimethyl-4-tert-butyl acetophenone', '4-tert-Butyl-2,6-dimethyl-3,5-dinitroacetophenone', 'W-104216', '1-Acetyl-4-tert-butyl-2,6-dimethyl-3,5-dinitrobenzene', '1-(4-tert-butyl-2,6-dimethyl-3,5-dinitrophenyl)ethan-1-one', '1-acetyl-4-(tert-butyl)-2,6-dimethyl-3,5-dinitrobenzene', 'Ketonmoschus', '1-[4-(1,1-Dimethylethyl)-2,6-dimethyl-3,5-dinitrophenyl]ethanone', 'Moschus Keton', 'HSDB 7694', 'Synthetic Musk ketone', 'PubChem7464', 'Musk ketone, &gt;=98%', 'DSSTox_CID_5690', 'Acetyl-dinitro-butyl-xylene', 'DSSTox_RID_77882', 'DSSTox_GSID_25690', '4-07-00-00808 (Beilstein Handbook Reference)', 'SCHEMBL113330', '2,6-Dimethyl-3,5-dinitro-4-tert-butylacetophenone', 'CHEMBL1877463', 'DTXSID6025690', 'CTK5E8491', '1-(4-tert-butyl-2,6-dimethyl-3,5-dinitro-phenyl)ethanone', 'NSC15339', 'ZINC1294932', 'ZX-AT028251', 'Ketone Moschus, &gt;=97.0% (N)', 'Tox21_301627', '6206AF', 'BBL011671', 'Dinitro-tert-butylxylyl methyl ketone', 'NSC-15339', 'SBB066104', 'STK725128', 'AKOS005524284', 'Musk ketone;3-Methylcyclopentadecanone', 'FS-4310', 'LS-1807', 'MCULE-7968040131', 'CAS-81-14-1', 'Musk ketone 10 microg/mL in Cyclohexane', 'NCGC00164404-01', 'NCGC00255386-01', 'AC-11085', 'SC-06841', "4'-tert-Butyl-2',5'-dinitroacetophenone", "Acetophenone,6'-dimethyl-3',5'-dinitro-", 'FT-0629036', 'NS00001194', 'ST50409238', 'A840051', 'SR-01000324027', 'Q1948992', 'SR-01000324027-1', '1-(4-tert-butyl-2,6-dimethyl-3,5-dinitrophenyl)eth', '2,6-dinitro-3,5-dimethyl-4-acetyl-tert-butyl benzene', '4-tert-Butyl-2,6-dimethyl-3,5-dinitroacetophenone.', "3',5'-dinitro-2',6'-dimethyl-4'-tert-butylacetophenone", "4'-tert-Butyl-2', 6'-dimethyl-3',5'-dinitroacetophenone", "4'-Tert-butyl-2',6'-dimethyl-3',5'-dinitro-Acetophenone", '1-(4-(tert-butyl)-2,6-dimethyl-3,5-dinitrophenyl)ethanone', '1-(4-tert-Butyl-2,6-dimethyl-3,5-dinitrophenyl)ethanone #', 'Ethanone,1-dimethylethyl)-2,6-dimethyl-3,5-dinitrophenyl]-', "Acetophenone, 4'-tert-butyl-2',6'-dimethyl-3',5'-dinitro- (8CI)", '1-[4-(1,1-Dimethylethyl)-2,6-dimethyl-3,5-dinitrophenyl]ethanone, 9CI', 'Musk ketone solution, 100 mug/mL in acetonitrile, analytical standard', "4-tert-butyl-2,6-dimethyl-3,5-dinitroacetophenone;4'-tert-butyl-2',6'-dimethyl-3',5'-dinitroacetophenone;musk ketone;MUSK KETONE;Moschus Keton"]</t>
  </si>
  <si>
    <t>Compound(6669)</t>
  </si>
  <si>
    <t>musk-xylene</t>
  </si>
  <si>
    <t>1-tert-butyl-3,5-dimethyl-2,4,6-trinitrobenzene</t>
  </si>
  <si>
    <t>['Musk xylene', 'Musk xylol', '81-15-2', 'Xylene musk', '2,4,6-Trinitro-1,3-dimethyl-5-tert-butylbenzene', '5-tert-Butyl-2,4,6-trinitro-m-xylene', '5-tert-Butyl-2,4,6-trinitroxylene', '1-tert-Butyl-3,5-dimethyl-2,4,6-trinitrobenzene', '2,4,6-Trinitro-5-tert-butyl-m-xylene', 'm-Xylene, 5-tert-butyl-2,4,6-trinitro-', 'UNII-1ZAO16GU5K', 'NSC 59844', 'BENZENE, 1-(1,1-DIMETHYLETHYL)-3,5-DIMETHYL-2,4,6-TRINITRO-', 'CCRIS 2391', 'EINECS 201-329-4', '1-(1,1-Dimethylethyl)-3,5-dimethyl-2,4,6-trinitrobenzene', 'UN2956', '2,4,6-Trinitro-3,5-dimethyl-1-tert-butylbenzene', 'BRN 2015910', '1ZAO16GU5K', 'Benzene, 1-tert-butyl-3,5-dimethyl-2,4,6-trinitro-', 'AI3-09017', 'CHEBI:77320', '1-tert-butyl-3,5-dimethyl-2,4,6-trinitro-benzene', 'Moschus Xylene', 'HSDB 7692', 'DSSTox_CID_1405', 'Musk Xylol (Musk Xylene)', '2,4,6-Trinitro-3,5-dimethyl-tert-butylbenzene', 'DSSTox_RID_76143', 'DSSTox_GSID_21405', '4-05-00-01132 (Beilstein Handbook Reference)', 'SCHEMBL273394', 'CHEMBL228513', 'DTXSID1021405', 'NSC59844', 'Tox21_302248', 'MFCD00024270', 'NSC-59844', 'ZINC40454343', '5-t-Butyl-2,4,6-trinitro-m-xylene', 'AKOS015890367', 'Benzene,5-dimethyl-2,4,6-trinitro-', 'LS-7740', 'MCULE-2438654421', 'CAS-81-15-2', 'Musk xylene 10 microg/mL in Cyclohexane', 'NCGC00255244-01', '5-tert-Butyl-2,4,6-trinitro-m-xylene.', 'S184', '5-tert-butyl-2,4,6-trinitro-meta-xylene', 'Musk xylene 100 microg/mL in Cyclohexane', 'FT-0620779', '2,6-Trinitro-3,5-dimethyl-tert-butylbenzene', 'C19462', '1-t-butyl-3,5-dimethyl-2,4,6-trinitrobenzene', '2,4,6-Trinitro-1,3-dimethyl-5-t-butylbenzene', '2,6-Trinitro-1,3-dimethyl-5-tert-butylbenzene', 'A840054', 'm-Xylene, 5-tert-butyl-2,4,6-trinitro- (8CI)', 'Q425330', '5-tert-Butyl-2,4,6-trinitro-m-xylene or musk xylene', 'Benzene,1-dimethylethyl)-3,5-dimethyl-2,4,6-trinitro-', 'Musk xylene solution, 100 mug/mL in acetonitrile, analytical standard', '5-tert-Butyl-2,4,6-trinitro-m-xylene or musk xylene [UN2956]  [Flammable solid]', '5-tert-Butyl-2,4,6-trinitro-m-xylene or musk xylene [UN2956] [Flammable solid]', '5-tert-butyl-2,4,6-trinitro-m-xylene;5-tert-butyl-2,4,6-trinitro-m-xylene (Musk xylene);musk xylene;MUSK XYLENE;Moschus Xylene', 'Muskxylene;2,4,6-Trinitro-1,3-dimethyl-5-tert-butylbenzene;2,4,6-Trinitro-5-tert-butyl-1,3-xylene']</t>
  </si>
  <si>
    <t>Compound(62329)</t>
  </si>
  <si>
    <t>C12H15N3O6</t>
  </si>
  <si>
    <t>2-chloro-N-(2-chloroethyl)-N-methylethanamine</t>
  </si>
  <si>
    <t>['mechlorethamine', 'Chlormethine', 'Nitrogen mustard', 'Chlorethazine', 'Mustine', 'Mustargen', 'Cloramin', '51-75-2', 'Mecloretamina', 'Bis(2-chloroethyl)methylamine', 'Caryolysine', 'Embichin', 'Mechloroethamine', 'Dichlor amine', '2-Chloro-N-(2-chloroethyl)-N-methylethanamine', 'Methylbis(2-chloroethyl)amine', "2,2'-Dichloro-N-methyldiethylamine", 'Nitrogranulogen', 'Antimit', 'N-Methyl-bis(2-chloroethyl)amine', 'Bis(beta-chloroethyl)methylamine', 'Methylbis(beta-chloroethyl)amine', 'N-Methyl lost', 'N-Methyl-lost', 'N-Methyl-bis(beta-chloroethyl)amine', 'Ethanamine, 2-chloro-N-(2-chloroethyl)-N-methyl-', 'Mustine note', 'Di(2-chloroethyl)methylamine', 'Methyldi(2-chloroethyl)amine', "beta,beta'-Dichlorodiethyl-N-methylamine", 'N,N-Bis(2-chloroethyl)methylamine', 'Stickstofflost (ebewe)', 'Mecloretamina [Italian]', 'N,N-Di(chloroethyl)methylamine', 'HN-2', 'N-Methyl-lost [German]', 'N-Lost', 'Clormetina [INN-Spanish]', 'Nitrogen mustard (HN-2)', "2,2'-Dichlorodiethyl-methylamine", 'NSC 762', 'Chlormethinum [INN-Latin]', 'N-Methyl-bis-chloraethylamin', "N-Methyl-2,2'-dichlorodiethylamine", 'ENT-25294', 'TL 146', 'HN2', 'Chloramine (the nitrogen mustard)', 'Chlormethine [INN:BAN]', 'UNII-50D9XSG0VR', 'Carolysine', 'CCRIS 447', 'Mebichloramine', 'N-Methyl-bis-chloraethylamin [German]', 'Embechine', 'T-1024', "Diethylamine, 2,2'-dichloro-N-methyl-", 'CHEBI:28925', 'HSDB 5083', 'EINECS 200-120-5', 'T 1024', 'BRN 0605323', '50D9XSG0VR', 'N-METHYL-DI(2-CHLORO)-ETHYLAMINE', 'N-methylbis(2-chloroethyl)amine', 'bis(2-chloroethyl)(methyl)amine', 'C5H11Cl2N', 'Clormetina', ".Beta.,.beta.'-Dichlorodiethyl-N-methylamine", 'AB00052033_05', 'Valchlor', 'Mechlorethanamine', 'Me chloroethamine', 'Methylchlorethamine', 'Chlormethine (INN)', 'NSC-128663', 'Nitol (*Hydrochloride*)', 'Mitoxine (*Hydrochloride*)', 'Ledaga', 'Bis-(2-chloroethyl)methylamine', 'SR-05000001664', 'Bis(beta-chloroethyl) methylamine', 'Stickstofflost (*Hydrochloride*)', 'Eraso (Salt/Mix)', 'Nitol (Salt/Mix)', 'Hn2 (amine)', 'N,N-Bis(2-chloroethyl)-N-methylamine', 'Embichin (Salt/Mix)', 'Dichloren (Salt/Mix)', 'Chlormethinehydrochloride', 'Spectrum_000889', 'Caryolysin (Salt/Mix)', 'Caryolysine (Salt/Mix)', 'Spectrum2_000448', 'Spectrum3_000484', 'Spectrum4_000924', 'Spectrum5_001702', 'bis(chloroethyl)methylamine', 'CHEMBL427', 'Epitope ID:116224', 'cid_4033', 'SCHEMBL3861', '2-chloro-N-(2-chloroethyl)-N-methyl-ethanamine', 'Bis(b-chloroethyl)methylamine', 'BSPBio_001947', 'KBioGR_001448', 'KBioSS_001369', 'DivK1c_000759', 'SPECTRUM1500375', 'SPBio_000496', 'Methyl-bis(2-chloroethyl)amine', 'GTPL7218', 'DTXSID2020975', 'HMS502F21', 'KBio1_000759', 'KBio2_001369', 'KBio2_003937', 'KBio2_006505', 'KBio3_001447', 'N-methyldi-(2-chloroethyl)amine', 'bis(2-chloro-ethyl)-methyl-amine', 'bis-(2-chloro-ethyl)-methylamine', 'NINDS_000759', 'BDBM200297', 'Bis(.beta.-chloroethyl)methylamine', 'HMS1920J15', 'HMS2091B04', 'Methylbis(.beta.-chloroethyl)amine', 'Pharmakon1600-01500375', 'bis-(2-chloro-ethyl)-methyl-amine', 'ZINC2539484', 'CCG-39885', 'NSC757087', 'STL484282', 'AKOS006229862', 'N-Methyl-bis(.beta.-chloroethyl)amine', 'DB00888', 'LS-7559', 'MCULE-6341452542', 'NSC-757087', 'IDI1_000759', 'NCGC00091835-02', 'NCGC00091835-03', 'NCGC00091835-04', 'NCGC00091835-05', 'NCGC00091835-06', 'NCGC00091835-07', 'NCGC00091835-08', 'NCGC00091835-09', 'N,N-Bis(2-chloroethyl)-N-methylamine #', 'NCI60_041682', 'U601', 'SBI-0051432.P003', 'A8064', 'NS00009012', 'C07115', 'D07671', '13159-EP2277876A1', '13159-EP2292614A1', '13159-EP2295426A1', '13159-EP2295427A1', '13159-EP2308833A2', '13159-EP2308861A1', '13159-EP2311825A1', '13159-EP2311842A2', '13159-EP2316834A1', '13159-EP2374454A1', '49304-EP2272827A1', '49304-EP2311840A1', 'AB00052033-04', '055M867', 'Q418011', '1, 5-Dichloro-3-methyl-3-azapentane hydrochloride', 'SR-05000001664-1', 'BRD-K12829205-001-03-0', 'Mechlorethamine;Chlormethine;Nitrogen mustard;chlormethine hydrochloride;Chlormethine hydrochloride;Nitrogen mustard hydrochloride']</t>
  </si>
  <si>
    <t>Compound(4033)</t>
  </si>
  <si>
    <t>C5H11Cl2N</t>
  </si>
  <si>
    <t>2-(4-chlorophenyl)-2-(1,2,4-triazol-1-ylmethyl)hexanenitrile</t>
  </si>
  <si>
    <t>['MYCLOBUTANIL', '88671-89-0', 'Systhane', '2-((1H-1,2,4-Triazol-1-yl)methyl)-2-(4-chlorophenyl)hexanenitrile', 'Rally', 'Nova (pesticide)', 'Systhane 6 Flo', 'Nova W', 'Synthane 12E', 'Nu-Flow M', '(+-)-Myclobutanil', 'Caswell No. 723K', '2-(4-chlorophenyl)-2-(1,2,4-triazol-1-ylmethyl)hexanenitrile', 'Myclobutanil [ANSI:BSI:ISO]', 'HSDB 6708', 'HOE 39304F', 'EPA Pesticide Chemical Code 128857', '2-(4-Chlorophenyl)-2-(1H-1,2,4-triazol-1-ylmethyl)hexanenitrile', 'RH 3866', 'CHEBI:83729', 'alpha-Butyl-alpha-(4-chlorophenyl)-1H-1,2,4-triazole-1-propanenitrile', '2-p-Chlorophenyl-2-(1H-1,2,4-triazol-1-ylmethyl)hexanenitrile', 'DSSTox_CID_4315', 'DSSTox_RID_77364', 'DSSTox_GSID_24315', '(+)-myclobutanil', '1H-1,2,4-Triazole-1-propanenitrile, alpha-butyl-alpha-(4-chlorophenyl)-', 'CAS-88671-89-0', 'ysthane', '(?)-Myclobutanil', 'SCHEMBL21809', 'CHEMBL1904430', 'DTXSID8024315', 'CTK8G1211', 'KS-00000JQW', 'HMS2090D09', 'BCP21409', 'HY-B2148', 'Tox21_201915', 'Tox21_301135', 'DL-452', 'GA2175', 'MFCD00144818', 's5704', '.alpha.-Butyl-.alpha.-(4-chlorophenyl)-1H-1,2,4-triazole-1-propanenitrile', '1H-1,2,4-Triazole-1-propanenitrile, .alpha.-butyl-.alpha.-(4-chlorophenyl)-', 'AKOS015895793', 'CCG-267365', 'CS-8015', 'DS-3477', 'RH-3866', 'NCGC00163776-01', 'NCGC00163776-02', 'NCGC00163776-03', 'NCGC00163776-04', 'NCGC00163776-05', 'NCGC00163776-06', 'NCGC00163776-07', 'NCGC00255034-01', 'NCGC00259464-01', 'AC-12516', 'AK608129', 'CC-31050', 'Myclobutanil 10 microg/mL in Cyclohexane', 'P749', 'DB-057096', 'LS-156095', 'FT-0629047', 'NS00000451', 'C18477', 'AB01275509-01', 'Myclobutanil, PESTANAL(R), analytical standard', '671M890', 'A842831', 'C-18153', 'Q413587', 'SR-05000001515', 'SR-05000001515-1', '2-(4-Chlorophenyl)-2-[(1H-1,2,4-triazol-1-yl)methyl]hexanenitrile', 'alpha-n-butyl-alpha(4-chlorophenyl)-1H-1,2,4-triazole-1-propanenitrile', 'alpha-n-butyl-alpha-(4-chlorophenyl)-1H-1,2,4-triazole-1-propanenitrile', '1H-1,2,4-Triazole-1-propanenitrile, ?-butyl-?-(4-chlorophenyl)-;myclobutanil;2-(4-chlorophenyl)-2-(1H-1,2,4-triazol-1-ylmethyl)hexanenitrile']</t>
  </si>
  <si>
    <t>Compound(6336)</t>
  </si>
  <si>
    <t>C15H17ClN4</t>
  </si>
  <si>
    <t>3-(3,4-dihydro-2H-pyrrol-5-yl)pyridine</t>
  </si>
  <si>
    <t>['Myosmine', '532-12-7', '3-(3,4-Dihydro-2H-pyrrol-5-yl)pyridine', '3-(1-Pyrrolin-2-yl)pyridine', 'Miosmine', 'UNII-9O0A545W4L', '3-(4,5-Dihydro-3H-pyrrol-2-yl)-pyridine', 'Pyridine, 3-(3,4-dihydro-2H-pyrrol-5-yl)-', '2-(3-Pyridyl)-1-pyrroline', 'CHEBI:7051', 'CHEMBL423429', '3-(2-Pyrrolin-2-yl)pyridine', '9O0A545W4L', 'Pyridine, 3-(1-pyrrolin-2-yl)-', 'MFCD00052019', '3-(1-PYRROLIN-2-YL)-PYRIDINE', 'CCRIS 9356', 'Prestwick_202', 'Spectrum_001130', 'Nicotine EP Impurity D', 'SpecPlus_000615', 'Prestwick0_000647', 'Prestwick1_000647', 'Prestwick2_000647', 'Prestwick3_000647', 'BSPBio_000653', 'KBioSS_001610', '5-23-06-00466 (Beilstein Handbook Reference)', 'DivK1c_006711', 'SPBio_002574', 'BPBio1_000719', 'SCHEMBL5319476', 'KBio1_001655', 'KBio2_001610', 'KBio2_004178', 'KBio2_006746', 'DTXSID70891866', 'US8609708, 79 Myosmine', 'HMS1570A15', 'HMS2097A15', 'ZINC159590', 'KS-000002EY', 'ZX-AT024658', '5048AE', 'BBL100560', 'BDBM50125053', 'STL554354', '3-(1-Pyrrolin-2-yl)pyridine, 8CI', 'AKOS005254654', 'CCG-214475', 'CS-W001909', 'FCH1114078', 'HY-W001909', 'MCULE-7478723183', 'NCGC00016493-01', 'NCGC00016493-02', 'NCGC00163359-01', 'CAS-532-12-7', 'MS-20037', '3-(3,4-Dihydro-2H-pyrrol-5-yl)-Pyridine', 'FT-0629049', 'FT-0672571', 'ST50824026', '3-(3,4-Dihydro-2H-pyrrol-5-yl)pyridine #', 'C10160', 'X-4253', '3-(3,4-Dihydro-2H-pyrrol-5-yl)pyridine, 9CI', 'Q411486', '3-(4,5-Dihydro-3H-pyrrol-2-yl)pyridine (Myosmine)', 'BRD-K67556876-001-03-1', 'BRD-K67556876-001-04-9', 'Pyridine, 3-(3,4-dihydro-2H-pyrrol-5-yl)- (9CI)', 'Myosmine; Nicotine USP Related Compound D; 3-(4,5-Dihydro-3H-pyrrol-2-yl)pyridine; 3-(1-Pyrrolin-2-yl)pyridine; 2-(3-Pyridyl)-1-pyrroline']</t>
  </si>
  <si>
    <t>Compound(442649)</t>
  </si>
  <si>
    <t>C9H10N2</t>
  </si>
  <si>
    <t>myristoleic acid</t>
  </si>
  <si>
    <t>(Z)-tetradec-9-enoic acid</t>
  </si>
  <si>
    <t>['Myristoleic acid', '544-64-9', '(Z)-Tetradec-9-enoic acid', '(9Z)-tetradec-9-enoic acid', 'cis-9-tetradecenoic acid', '9-Tetradecenoic acid', '9Z-tetradecenoic acid', '9-Tetradecenoic acid, (9Z)-', '9-Tetradecenoic acid, (Z)-', 'cis-Delta(9)-tetradecenoic acid', '(9Z)-Tetradecenoic acid', 'UNII-RF23WGD123', 'CHEMBL456732', 'RF23WGD123', 'CHEBI:27781', '9-tetradecenoate', '9Z-tetradecenoate', 'cis-9-tetradecenoate', '(9Z)-tetradecenoate', '(Z)-tetradec-9-enoate', 'cis-Delta(9)-tetradecenoate', '(Z)-9-Tetradecenoicacid', 'EINECS 208-876-8', '9-Tetradecenoic acid, (9Z)-;Myristoleic acid', 'Z-9-Tetradecenoic acid', 'Z-tetradec-9-enoic acid', 'cis-tetradec-9-enoic acid', '(9Z)-9-Tetradecenoic acid', 'SCHEMBL109270', 'DTXSID5041568', 'ZINC4529321', 'BDBM50269530', 'LMFA01030051', 'MFCD00004436', 'Myristoleic acid, analytical standard', 'AS-56816', 'CC-31055', 'Myristoleic acid, &gt;=99% (capillary GC)', 'NS00020426', 'C08322', 'Q58221', 'MYZ']</t>
  </si>
  <si>
    <t>Compound(5281119)</t>
  </si>
  <si>
    <t>metazachlor</t>
  </si>
  <si>
    <t>2-chloro-N-(2,6-dimethylphenyl)-N-(pyrazol-1-ylmethyl)acetamide</t>
  </si>
  <si>
    <t>['METAZACHLOR', '67129-08-2', 'Metazachlore', 'Butisan S', 'BAS 479H', 'Metazachlor [BSI:ISO]', 'N-((1H-Pyrazol-1-yl)methyl)-2-chloro-N-(2,6-dimethylphenyl)acetamide', '2-Chloro-N-(2,6-dimethylphenyl)-N-(1H-pyrazol-1-ylmethyl)acetamide', 'Metazachlore [ISO-French]', 'UNII-TPY2K437O4', 'EINECS 266-583-0', '2-chloro-N-(2,6-dimethylphenyl)-N-(pyrazol-1-ylmethyl)acetamide', 'BRN 0621550', "2-Chloro-N-(pyrazol-1-ylmethyl)acet-2',6'-xylidide", 'CHEBI:6798', 'TPY2K437O4', '2-Chloro-N-(2,6-dimethylphenyl)-N-(1H-pyrazol-1-ylmethyl)-acetamide', 'Acetamide, 2-chloro-N-(2,6-dimethylphenyl)-N-(1H-pyrazol-1-ylmethyl)-', 'W-104729', 'Pree', 'Metazochlor', 'SCHEMBL55016', '5-23-04-00126 (Beilstein Handbook Reference)', 'US9138393, Metazachlor', 'US9144538, Metazachlor', 'CHEMBL2272118', 'DTXSID4058156', 'CTK8G0818', 'BAS 47900H', 'BDBM181131', 'ZINC900592', 'KM1066', 'AKOS015915018', 'Metazachlor 100 microg/mL in Acetone', 'EG-0202', 'LS-8511', 'VA11272', 'R354', 'Metazachlor 100 microg/mL in Acetonitrile', 'AX8137586', 'FT-0658709', 'NS00000249', 'C10948', 'Metazachlor, PESTANAL(R), analytical standard', '129M082', 'A835640', 'Q15834927', "2-chloro-2',6'-dimethyl-N-(pyrazol-1-yl-methyl)-acetanilide", '2-chloro-N-(2,6-dimethylphenyl)-N-(1-pyrazolylmethyl)acetamide', '2-chloranyl-N-(2,6-dimethylphenyl)-N-(pyrazol-1-ylmethyl)ethanamide', '2-Chloro-N-(2,6-dimethylphenyl)-N-[(1H-pyrazol-1-yl)methyl]acetamide', '2-chloro-N-(2,6-dimethylphenyl)-N-(1H-pyrazol-1-ylmethyl)acetamide;2-Chloro-N-(2,6-dimethylphenyl)-N-(1H-pyrazol-1-yl']</t>
  </si>
  <si>
    <t>Compound(49384)</t>
  </si>
  <si>
    <t>C14H16ClN3O</t>
  </si>
  <si>
    <t>disodium;N-[2-(sulfidocarbothioylamino)ethyl]carbamodithioate</t>
  </si>
  <si>
    <t>['nabam', 'Spring-Bak', 'Parzate', 'Dithane A-40', 'Nabasan', 'Nabam-sodium', 'Parzate Liquid', 'Nabame [French]', 'Nafun IPO', '142-59-6', 'X-Spor', 'Chem BAM', 'Nabame', 'Caswell No. 585', 'Nabam [BSI:ISO]', 'Nabasan [discontinued]', 'Nabame [ISO-French]', 'Sodium ethylenebis(dithiocarbamate)', 'Dithane D-14', 'Disodium ethylenebis(dithiocarbamate)', 'UNII-0L6N5662WT', 'Dithane D-14 (Discontinued)', 'Disodium ethylene-1,2-bisdithiocarbamate', 'Ethylenebis(dithiocarbamate), disodium salt', 'HSDB 1170', 'Di-natrium-aethylenbisdithiocarbamat', 'ENT 9106', 'EINECS 205-547-0', 'NSC 49511', 'EPA Pesticide Chemical Code 014503', 'NSC 147803', '1,2-Ethanediylbiscarbamodithioic acid disodium salt', 'Ethylen-bis-dithiokarbaman sodny [Czech]', 'AI3-04473', 'Di-natrium-aethylenbisdithiocarbamat [German]', 'CHEBI:81934', 'Disodium 1,2-ethanediylbis (carbamodithioate)', 'Ethylenebis(dithiocarbamic acid) disodium salt', "N,N'-Ethylene bis(dithiocarbamate de sodium)", "Dinatrium-(N,N'-aethylen-bis(dithiocarbamat))", '0L6N5662WT', 'Ethylenebis(dithiocarbamate) sodium', 'Ethylenebisdithiocarbamate, disodium', "N,N'-Etilen-bis(ditiocarbammato) di sodio [Italian]", "N,N'-Ethylene bis(dithiocarbamate de sodium) [French]", 'Carbamodithioic acid, 1,2-ethanediylbis-, disodium salt', "Dinatrium-(N,N'-aethylen-bis(dithiocarbamat)) [German]", "Dinatrium-(N,N'-ethyleen-bis(dithiocarbamaat)) [Dutch]", 'disodium ethane-1,2-diylbis(dithiocarbamate)', 'Carbamic acid, ethylenebis(dithio-, disodium salt', 'DSE', "Dinatrium-(N,N'-ethyleen-bis(dithiocarbamaat))", "Carbamodithioic acid, N,N'-1,2-ethanediylbis-, sodium salt (1:2)", 'Ethylen-bis-dithiokarbaman sodny', 'disodium ethylenebisdithiocarbamate', "N,N'-Etilen-bis(ditiocarbammato) di sodio", 'DSSTox_CID_603', 'DSSTox_RID_75684', 'DSSTox_GSID_20603', 'SCHEMBL137550', 'CHEMBL1318057', 'DTXSID5020603', 'SCHEMBL11809852', 'CTK4C3196', 'disodium;N-[2-(sulfidocarbothioylamino)ethyl]carbamodithioate', 'sodium ethylene-bis-dithiocarbamate', 'Tox21_202588', 'AKOS003368701', 'AKOS016036575', 'LS-2379', 'NCGC00163729-02', 'NCGC00260136-01', 'CAS-142-59-6', 'disodium ethane-1,2-diyldicarbamodithioate', 'C18748', "disodium N,N'-ethane-1,2-diyldicarbamodithioate", 'C-52973', "disodium N,N'-1,2-ethanediylbis(carbamodithioate)", 'Carbamodithioic acid, 1,2-ethanediylbis-, disodium', 'J-007669', 'Q1430329', "Carbamodithioic acid,N,N'-1,2-ethanediylbis-, sodium salt (1:2)"]</t>
  </si>
  <si>
    <t>Compound(3032297)</t>
  </si>
  <si>
    <t>C4H6N2Na2S4</t>
  </si>
  <si>
    <t>nafcillin</t>
  </si>
  <si>
    <t>(2S,5R,6R)-6-[(2-ethoxynaphthalene-1-carbonyl)amino]-3,3-dimethyl-7-oxo-4-thia-1-azabicyclo[3.2.0]heptane-2-carboxylic acid</t>
  </si>
  <si>
    <t>['nafcillin', 'Naphcillin', 'Nallpen', 'Nafcilina', 'Nafcilline', 'Nafcillinum', 'Unipen', '147-52-4', 'Nafcilin-1', '(2-Ethoxy-1-naphthyl)penicillin', 'Nafcilina [INN-Spanish]', 'Nafcilline [INN-French]', 'Nafcillinum [INN-Latin]', 'Nafcillin [INN:BAN]', 'Nafcillin sodium salt', '(2-ethoxy-1-naphthalenyl)penicillin', 'CHEBI:7447', 'UNII-4CNZ27M7RV', 'Penicillin, (2-ethoxy-1-naphthalenyl)-', '(2S,5R,6R)-6-[(2-ethoxynaphthalene-1-carbonyl)amino]-3,3-dimethyl-7-oxo-4-thia-1-azabicyclo[3.2.0]heptane-2-carboxylic acid', 'HSDB 3133', '6-(2-ethoxy-1-naphthamido)penicillanic acid', 'EINECS 205-690-9', 'Penicillin, (2-ethoxy-1-naphthyl)-', 'BRN 0862393', '4CNZ27M7RV', 'C21H22N2O5S', '4-Thia-1-azabicyclo(3.2.0)heptane-2-carboxylic acid, 6-(((2-ethoxy-1-naphthalenyl)carbonyl)amino)-3,3-dimethyl-7-oxo-, (2S-(2alpha,5alpha,6beta))-', 'Naphthamidopenicillin', '(2s,5r,6r)-6-[(2-ethoxy-1-naphthoyl)amino]-3,3-dimethyl-7-oxo-4-thia-1-azabicyclo[3.2.0]heptane-2-carboxylic acid', '(2S,5R,6R)-6-{[(2-ethoxynaphthalen-1-yl)carbonyl]amino}-3,3-dimethyl-7-oxo-4-thia-1-azabicyclo[3.2.0]heptane-2-carboxylic acid', '4-Thia-1-azabicyclo(3.2.0)heptane-2-carboxylic acid, 6-(2-ethoxy-1-naphthamido)-3,3-dimethyl-7-oxo-', 'Nafcillin (INN)', '4-Thia-1-azabicyclo[3.2.0]heptane-2-carboxylic acid, 6-[[(2-ethoxy-1-naphthalenyl)carbonyl]amino]-3,3-dimethyl-7-oxo-, (2S,5R,6R)-', 'Nafcillin, Monosodium Salt, Anhydrous', 'Nafcillin, Antibiotic for Culture Media Use Only', 'Prestwick0_000843', 'Prestwick1_000843', 'Prestwick2_000843', 'Prestwick3_000843', 'Epitope ID:141583', 'CHEMBL1443', 'SCHEMBL47797', 'BSPBio_000825', 'SPBio_002746', 'BPBio1_000909', 'DTXSID8023343', 'GTPL10942', 'Ethoxynaphthamido Penicillin Sodium', 'BCP17447', 'ZINC3875980', 'BDBM50103525', 'API0003482', 'DB00607', '6beta-(2-ethoxynaphthalene-1-carboxamido)-2,2-dimethylpenam-3alpha-carboxylic acid', '(2S,5R,6R)-6-({[2-(ethyloxy)naphthalen-1-yl]carbonyl}amino)-3,3-dimethyl-7-oxo-4-thia-1-azabicyclo[3.2.0]heptane-2-carboxylic acid', '(2S,5R,6R)-6-(2-ethoxynaphthalene-1-amido)-3,3-dimethyl-7-oxo-4-thia-1-azabicyclo[3.2.0]heptane-2-carboxylic acid', 'LS-149872', 'C07250', 'D08242', '177N506', 'Q1638852', 'W-108115', 'BRD-K18574842-323-03-3', '(2S,5R,6R)-6-(2-ethoxy-1-naphthamido)-3,3-dimethyl-7-oxo-4-thia-1-azabicyclo[3.2.0]heptane-2-carboxylic acid', 'nafcillin;Sodium [2S-(2a,5a,6ss)]-6-[[(2-ethoxy-1-naphthyl)carbonyl]amino]-3,3-dimethyl-7-oxo-4-thia-1-azabicyclo[3.2.0]heptane-2-carboxylate']</t>
  </si>
  <si>
    <t>Compound(8982)</t>
  </si>
  <si>
    <t>C21H22N2O5S</t>
  </si>
  <si>
    <t>(1,2-dibromo-2,2-dichloroethyl) dimethyl phosphate</t>
  </si>
  <si>
    <t>['naled', 'Dibrom', 'Bromchlophos', 'Bromex', '300-76-5', 'Ortho-Dibrom', 'Dibromfos', 'Alvora', 'Fosbrom', 'Flibol Ex', '1,2-Dibromo-2,2-dichloroethyl dimethyl phosphate', 'Bromex 50', 'Arthodibrom', 'Orthodibromo', 'Bromex (insecticide)', 'Nikabrom', 'Hibrom', '(1,2-Dibromo-2,2-dichloroethyl) dimethyl phosphate', 'Naledu [Polish]', 'Caswell No. 586', 'ENT 24988', 'Phosphoric acid, 1,2-dibromo-2,2-dichloroethyl dimethyl ester', 'Ortho 4355', 'Naled [ANSI:BSI:ISO]', 'OMS 75', 'HSDB 1148', 'EINECS 206-098-3', '(+/-)-Naled', 'Dimethyl 1,2-dibromo-2,2-dichloroethyl phosphate', 'Dimethyl-1,2-dibromo-2,2-dichloroethyl phosphate', 'EPA Pesticide Chemical Code 034401', 'RE-4355', 'BRN 2049930', 'Ethanol, 1,2-dibromo-2,2-dichloro-, dimethyl phosphate', 'O,O-Dimethyl O-2,2-dichloro-1,2-dibromoethyl phosphate', 'AI3-24988', 'CHEBI:38729', 'BRP', 'O,O-Dimethyl-O-(1,2-dibromo-2,2-dichloroethyl)phosphate', 'O,O-Dimethyl-O-(1,2-dibrom-2,2-dichlor-aethyl)-phosphat [German]', 'O-(1,2-Dibrom-2,2-dichlor-aethyl)-O,O-dimethyl-phosphat [German]', 'O-(1,2-Dibromo-2,2-dicloro-etil)-O,O-dimetil-fosfato [Italian]', 'O-(1,2-Dibroom-2,2-dichloor-ethyl)-O,O-dimethyl-fosfaat [Dutch]', 'DSSTox_CID_4209', 'Fosforan O-1,2-dwubromo-2,2-dwuchloroetylo-O,O-dwumetylowy [Polish]', 'Phosphate de O,O-dimethyle et de O-(1,2-dibromo-2,2-dichlorethyle) [French]', 'DSSTox_RID_77328', 'DSSTox_GSID_24209', 'o-(1,2-Dibromo-2,2-dichloroethyl)-o,o-dimethyl phosphate', 'UNII-PAM1AI9KU1', 'Naledu', 'Naled (Dibrom)', 'CAS-300-76-5', 'C4H7Br2Cl2O4P', 'PAM1AI9KU1', 'o-Dibrom 8E', 'Spectrum_001775', 'SpecPlus_000358', 'Naled;(+/-)-Naled', 'Spectrum2_001858', 'Spectrum3_000809', 'Spectrum4_000649', 'Spectrum5_001928', 'BSPBio_002277', 'KBioGR_000997', 'KBioSS_002256', 'DivK1c_006454', 'SCHEMBL117764', 'SPBio_001676', 'CHEMBL1887067', 'DTXSID1024209', 'O-(1,2-Dibromo-2,2-dicloro-etil)-O,O-dimetil-fosfato', 'BUYMVQAILCEWRR-UHFFFAOYSA-', 'CTK8E2551', 'KBio1_001398', 'KBio2_002255', 'KBio2_004823', 'KBio2_007391', 'KBio3_001777', 'O,O-Dimethyl-O-(1,2-dibrom-2,2-dichlor-aethyl)-phosphat', 'O-(1,2-Dibrom-2,2-dichlor-aethyl)-O,O-dimethyl-phosphat', 'O-(1,2-Dibroom-2,2-dichloor-ethyl)-O,O-dimethyl-fosfaat', 'Fosforan O-1,2-dwubromo-2,2-dwuchloroetylo-O,O-dwumetylowy', 'Tox21_201641', 'Tox21_300845', 'ACM300765', 'CCG-39396', 'Phosphate de O,O-dimethyle et de O-(1,2-dibromo-2,2-dichlorethyle)', 'AKOS015903004', 'Phosphoric acid, 1,2-dibromo-2,2-dichloroethyl dimethyl ester (8CI)(9CI)', 'RE 4355', 'NCGC00163711-01', 'NCGC00163711-02', 'NCGC00163711-03', 'NCGC00163711-04', 'NCGC00163711-05', 'NCGC00163711-06', 'NCGC00254748-01', 'NCGC00259190-01', 'LS-107607', 'FT-0672590', 'FT-0672591', 'NS00009646', 'C18749', 'Dibrom(R), PESTANAL(R), analytical standard', 'Naled (Dibrom) 100 microg/mL in Acetonitrile', '57306-EP2298769A1', '57306-EP2308878A2', 'C-44445', 'Q424822', 'J-017762', '1,2-Dibromo-2,2-dichloroethyl dimethyl phosphatic acid', 'Phosphoric acid, 1,2-dibromo-2,2-dichloroethyl dimethyl ester (8CI)']</t>
  </si>
  <si>
    <t>Compound(4420)</t>
  </si>
  <si>
    <t>C4H7Br2Cl2O4P</t>
  </si>
  <si>
    <t>N,N-diethyl-2-naphthalen-1-yloxypropanamide</t>
  </si>
  <si>
    <t>['Napropamide', '15299-99-7', 'Napropamid', 'Devrinol', 'Racemic devrinol', 'N,N-Diethyl-2-(naphthalen-1-yloxy)propanamide', 'Waylay', 'N,N-Diethyl-2-(1-naphthyloxy)propanamide', 'Caswell No. 590A', 'Napropamide [ISO:PROP]', 'Propionamide, N,N-diethyl-2-(1-naphthyloxy)-', 'Propanamide, N,N-diethyl-2-(1-naphthalenyloxy)-', 'HSDB 6710', 'N,N-Diethyl-2-(1-naphthyloxy)propionamide', '2-(alpha-Naphthoxy)-N,N-diethylpropionamide', 'N,N-diethyl-2-naphthalen-1-yloxypropanamide', 'N,N-Diethyl-2-(1-naphthalenyloxy)propionamide', 'EINECS 239-333-3', 'R 7465', 'EPA Pesticide Chemical Code 103001', 'BRN 2217870', 'N,N-DIETHYL-2-(1-NAPHTHALENYLOXY)PROPANAMIDE', '2-(1-Naphthoxy)-N,N-diethylpropionamide', 'N,N-Diethyl-2-(1-Naphthyloxy)propanamde', 'CHEBI:83771', 'R-7465', '2-(alpha-Naphthoxy)-N,N-diaethyl-propionsaeureamid [German]', 'DSSTox_CID_4211', 'DSSTox_RID_77329', 'DSSTox_GSID_24211', 'Napropamide [ISO]', 'CAS-15299-99-7', 'Napromide', 'ACMC-20ak9b', 'R-7475', 'SCHEMBL54956', '2-(alpha-Naphthoxy)-N,N-diaethyl-propionsaeureamid', 'CHEMBL1877460', 'DTXSID5024211', 'CTK8C5528', 'WXZVAROIGSFCFJ-UHFFFAOYSA-', 'HY-B1972', 'Tox21_201824', 'Tox21_300655', 'AKOS004109919', 'CS-5198', 'Napropamide 10 microg/mL in Cyclohexane', 'NCGC00163768-01', 'NCGC00163768-02', 'NCGC00163768-03', 'NCGC00163768-04', 'NCGC00163768-05', 'NCGC00254563-01', 'NCGC00259373-01', 'AS-12500', 'Napropamide 100 microg/mL in Cyclohexane', 'DB-043170', 'LS-124150', 'FT-0630424', 'N,N-Diethyl-2-(1-naphthyloxy)propanamide #', 'NS00000068', 'N,N-diethyl-2-naphthalen-1-yloxy-propanamide', 'Napropamid, PESTANAL(R), analytical standard', '2-(.alpha.-Naphthoxy)-N,N-Diethylpropionamide', 'C18868', 'M-1433', 'N,N-Diethyl-2-(1-naphthyloxy)propanamide, 97%', '299N997', 'A809371', 'N,N-Diethyl-2-[(naphthalen-1-yl)oxy]propanamide', 'J-008967', 'Q27157194']</t>
  </si>
  <si>
    <t>Compound(27189)</t>
  </si>
  <si>
    <t>C17H21NO2</t>
  </si>
  <si>
    <t>2-(naphthalen-1-ylcarbamoyl)benzoic acid</t>
  </si>
  <si>
    <t>['NAPTALAM', '132-66-1', 'Grelutin', '2-(naphthalen-1-ylcarbamoyl)benzoic acid', 'Alanap', 'Alanape', 'Analape', 'Dyanap', 'Peach-Thin', 'N-1-Naphthylphthalamic acid', 'Mor-Cran', 'Alanap 1', 'Alanap 3', 'Naphthalam', 'Ancrack', 'N-(1-Naphthyl)phthalamic acid', 'Alanap 10G at', 'Nip-a-thin', '1-N-Naphthylphthalamic acid', 'Alanap-2', 'Naptalame', 'Cyanap', 'Naptro', 'Alanap Plus', 'alpha-Naphthylphthalamic acid', 'N-1-Naphthyl-phthalamidsaeure', 'Alanap 10G', 'Naftalam', 'Phthalamic acid, N-1-naphthyl-', 'Peach Thin 322', 'ACP 322', 'Caswell No. 592', 'N-1-Naphthylphthalamate', '2-[(1-Naphthylamino)carbonyl]benzoic acid', 'N-alpha-Naphthylphthalamic acid', 'Benzoic acid, 2-[(1-naphthalenylamino)carbonyl]-', 'Naftalam [Czech]', 'NPA', 'Naptalam [BSI:ISO]', '2-((1-Naphthalenylamino)carbonyl)benzoic acid', 'NSC 204421', 'HSDB 1742', 'Naptalame [ISO-French]', 'NPA (VAN)', '2-(1-Naphthylcarbamoyl)benzoic acid', 'Kyselina N-1-naftylftalamova', 'EPA Pesticide Chemical Code 030702', 'N-1-Naphthalenephthalamic acid', '6Q8', 'UNII-306R88V86P', 'Naphthylphthalamic acid', 'AI3-23463', 'N-(1-naphthalenyl)phthalamic acid', 'Kyselina N-1-naftylftalamova [Czech]', 'N-1-napthylphthalamic acid', 'Benzoic acid, 2-((1-naphthalenylamino)carbonyl)-', 'BRN 2814102', 'N-1-Naphthyl-phthalamidsaeure [German]', '.alpha.-Naphthylphthalamic acid', 'CHEBI:60833', 'N-(.alpha.-Naphthyl)phthalamic acid', '306R88V86P', '2-[N-(1-naphthylcarbamoyl)]benzoic acid', '2-(N-naphthylcarbamoyl)benzoic acid', '2-((1-Naphthalenylamino)carbonylbenzoic acid', '2-[(1-Naphthalenylamino)carbonylbenzoic acid', 'Benzoic acid, 2-((1-naphthalenylamino)carbonyl)- (9CI)', 'Benzoic acid, 2-[(1-naphthalenylamino)carbonyl]- (9CI)', 'N-1-Naphthylphthalamidic acid', 'Solo (Salt/Mix)', 'FR-1032', 'ACMC-209bpp', '1-Naphthylphthalamic acid', 'Premerge plus (Salt/Mix)', 'DSSTox_CID_12437', 'DSSTox_RID_78947', 'DSSTox_GSID_32437', 'Oprea1_065903', 'Oprea1_469302', 'SCHEMBL54940', 'CBDivE_002040', 'Naptalam, analytical standard', '3-12-00-02876 (Beilstein Handbook Reference)', 'N-(1-Naphthyl)phthalamicAcid', 'WLN: L66J BMVR BVQ', 'Phthalamic acid, N-1-naphthyl', 'Phthalamic acid,N-1-naphthyl-', '[3H]-NPA', '1-(N-Naphthyl)Phthalamic acid', 'ARONIS018728', 'IFLab1_001003', 'CHEMBL2447888', 'DTXSID6032437', 'BDBM81777', 'CTK0D2202', 'JXTHEWSKYLZVJC-UHFFFAOYSA-', 'KS-00004AUE', 'ZINC28113', 'NPA,(-)', 'N-.alpha.-Naphthylphthalamic acid', 'HMS1414N13', 'KS-000013CA', 'NSC_8594', 'Tox21_302279', 'ANW-19451', 'NSC204421', 'SBB008186', 'STK072761', 'AKOS000485934', 'MCULE-3496128683', 'NSC-204421', 'Naptalam (N-1-Naphthylphthalamic acid)', 'NCGC00255281-01', 'AK-57895', 'AS-67711', 'CAS-132-66-1', 'ST001288', '2-[(naphthalen-1-yl)carbamoyl]benzoic acid', 'BB0274029', 'LS-109086', 'FT-0629075', 'N0067', 'Naptalam, PESTANAL(R), analytical standard', 'NS00000513', 'Phthalamic acid, N-1-naphthyl- (7CI,8CI)', '2-[(1-Naphthylamino)carbonyl]benzoic acid #', 'Benzoic acid, 2-[(naphthalenylamino)carbonyl]-', 'C18869', 'AE-017/30049056', 'L001060', 'SR-01000392378', 'J-006203', 'SR-01000392378-1', 'Q11751616', 'F0290-1094', '112284-33-0', 'alpha-naphthylphthalamic acid;Naptalam-sodium;naptalam-sodium;Benzoic acid, 2-[(1-naphthalenylamino)carbonyl]-, monosodium salt, mixt. with 2-(1-methylpropyl)-4,6-dinitrophenol sodium salt;Benzoic acid, 2-[(1-naphthalenylamino)carbonyl]-, mixt. with 2-(1-methylpropyl)-4,6-dinitrophenol']</t>
  </si>
  <si>
    <t>Compound(8594)</t>
  </si>
  <si>
    <t>C18H13NO3</t>
  </si>
  <si>
    <t>(2S)-2-(6-methoxynaphthalen-2-yl)propanoic acid</t>
  </si>
  <si>
    <t>['NAPROXEN', '22204-53-1', '(S)-Naproxen', '(+)-Naproxen', 'Naprosyn', 'Equiproxen', 'Naproxene', 'Aleve', '(S)-(+)-Naproxen', 'Laraflex', 'd-Naproxen', '(S)-(+)-2-(6-Methoxy-2-naphthyl)propionic acid', 'Naproxenum', 'Calosen', 'Naprosyne', 'Naproxeno', 'Nycopren', 'Bonyl', 'Naixan', 'Reuxen', 'Axer', '(+)-(S)-Naproxen', 'Ec-Naprosyn', '(S)-2-(6-methoxynaphthalen-2-yl)propanoic acid', '(2S)-2-(6-methoxynaphthalen-2-yl)propanoic acid', 'Acusprain', 'Anexopen', 'Arthrisil', 'Artrixen', 'Artroxen', 'Bipronyl', 'Clinosyn', 'Danaprox', 'Flexipen', 'Leniartil', 'Novonaprox', 'Anaprox', 'Apronax', 'Artagen', 'Atiflan', 'Congex', 'Daprox', 'Genoxen', 'Lefaine', 'Nafasol', 'Nalyxan', 'Napflam', 'Napmel', 'Naposin', 'Napren', 'Naprius', 'Veradol', 'Fuxen', 'Naxen', 'Naxyn', 'Xenar', 'Dysmenalgit N', 'Apo-Naproxen', 'Floginax', 'Headlon', 'Napratec', 'Naprontag', 'Narocin', 'Naxopren', 'Prafena', 'Priaxen', 'Pronaxen', 'Rheumaflex', 'Saritilron', 'Sinartrin', 'Soproxen', 'Sutolin', 'Tohexen', 'Traumox', 'Flexen', 'Napxen', 'Noflam', 'Patxen', 'Rahsen', 'Sinton', 'Sutony', 'Velsay', 'Vinsen', 'Narma', 'Roxen', 'Anax', '(S)-2-(6-Methoxy-2-naphthyl)propionic acid', 'Flanax Forte', '(+)-2-(6-Methoxy-2-naphthyl)propionic acid', 'Naprosyn LLE', 'Napren E', 'Proxen LE', 'Naxen F', 'Proxen LLE', 'U-Ritis', 'naproxen(+)', '(+)-2-(Methoxy-2-naphthyl)-propionic acid', 'RS-3540', 'Naprosyn LLE Forte', 'Naproxi 250', 'Naproxi 500', '(S)-6-Methoxy-alpha-methyl-2-naphthaleneacetic acid', 'Naxyn 250', 'Naxyn 500', '(S)-2-(6-Methoxy-2-naphthyl)propanoic acid', 'Equiproxen (Veterinary)', 'Apo-Napro-NA', 'Naproxene [INN-French]', 'Naproxenum [INN-Latin]', 'Naproxeno [INN-Spanish]', 'd-2-(6-Methoxy-2-naphthyl)propionic acid', '(+)-2-(Methoxy-2-naphthyl)-propionsaeure', 'UNII-57Y76R9ATQ', '(+)-(S)-6-Methoxy-alpha-methyl-2-naphthaleneacetic acid', '(S)-(+)-6-Methoxy-alpha-methyl-2-naphthaleneacetic acid', 'Dysmenalgit', 'Diocodal', 'Prexan', 'CG 3117', 'CCRIS 5265', 'CHEBI:7476', 'HSDB 3369', '(2S)-2-(6-methoxy-2-naphthyl)propanoic acid', 'EINECS 244-838-7', 'CHEMBL154', 'RS 3540', '(+)-6-Methoxy-alpha-methyl-2-naphthaleneacetic acid', '57Y76R9ATQ', "d-2-(6'-Methoxy-2'-naphthyl)-propionsaeure", 'Laser', '(+)-2-(Methoxy-2-naphthyl)-propionsaeure [German]', 'MFCD00010500', 'Propionic acid, 2-(6-methoxy-2-naphthyl)-, (+)-', "d-2-(6'-Methoxy-2'-naphthyl)-propionsaeure [German]", 'Duk', '2-Naphthaleneacetic acid, 6-methoxy-alpha-methyl-, (+)-', '2-Naphthaleneacetic acid, 6-methoxy-alpha-methyl-, (S)-', 'Methoxypropiocin', 'CAS-22204-53-1', '(S)-2-(6-Methoxy-naphthalen-2-yl)-propionic acid', '(alphas)-6-methoxy-alpha-methyl-2-naphthaleneacetic acid', '(S)-6-Methoxy-.alpha.-methyl-2-naphthaleneacetic acid', 'Naprosin', '26159-31-9', 'Xenar-CR', '(S)-(+)-6-Methoxy-alp.-methyl-2-naphthalene acetic acid', '2-Naphthaleneacetic acid, 6-methoxy-.alpha.-methyl-, (S)-', 'Naprolag', 'Naprosine', 'Naprosy', 'Panoxen', 'Proxine', 'Mnpa', 'SR-01000075977', '2-Naphthaleneacetic acid, 6-methoxy-.alpha.-methyl-, (.alpha.S)-', 'DL Naproxen', 'NaproxenPROXEN', 'Naproxen [USAN:BAN:INN:JAN]', 'Naprosyn (TN)', 'Naproxen,(S)', 'NPS', 'Prestwick_349', 'Naproxen [USAN:USP:INN:BAN:JAN]', 'PubChem8102', 'Spectrum_000977', '4or0', '4po0', '(S)-(+)-Naproxene', 'Prestwick0_000791', 'Prestwick1_000791', 'Prestwick2_000791', 'Spectrum2_001043', 'Spectrum3_000514', 'Spectrum4_000069', 'Spectrum5_001327', '(+)NAPROXEN', 'Naproxen2-(6-Methoxy-naphthalen-2-yl)-propionic acid', 'Epitope ID:139974', 'UPCMLD-DP001', '2-(6-Methoxy-naphthalen-2-yl)-propionic acid(Naproxen)', 'EC 244-838-7', 'SCHEMBL3046', 'DSSTox_CID_20686', 'DSSTox_RID_79542', 'DSSTox_GSID_40686', 'Lopac0_000792', 'BSPBio_002067', 'KBioGR_000597', 'KBioSS_001457', 'KSC911E2L', 'ARONIS24306', 'BIDD:GT0062', 'DivK1c_000242', 'SPECTRUM1500425', 'Naproxen (JP17/USP/INN)', 'SPBio_000966', 'SPBio_002861', 'GTPL5230', 'DTXSID4040686', 'UPCMLD-DP001:001', 'CMWTZPSULFXXJA-VIFPVBQESA-', 'CTK8B1225', 'HMS500M04', 'KBio1_000242', 'KBio2_001457', 'KBio2_004025', 'KBio2_006593', 'KBio3_001567', 'KS-00002WWU', 'Naproxen 1.0 mg/ml in Methanol', 'NINDS_000242', 'HMS1920P13', 'HMS2089N21', 'HMS2091H12', 'HMS3649M13', 'Pharmakon1600-01500425', 'ZINC105216', 'ACT02593', 'Tox21_301953', 'ANW-24773', 'BDBM50339185', 'CCG-40130', 'NSC750183', 'NSC757239', 'AKOS005267223', 'AC-1363', 'CS-2163', 'DB00788', 'MCULE-2589082817', 'ME-0100', 'NSC-750183', 'NSC-757239', 'SDCCGSBI-0050769.P005', 'IDI1_000242', 'Naproxen solution 1.0 mg/ml in methanol', 'NCGC00016759-01', 'NCGC00016759-02', 'NCGC00016759-03', 'NCGC00021127-01', 'NCGC00161591-01', 'NCGC00255562-01', 'BR-72928', 'HY-15030', 'SC-02561', 'Naproxen, meets USP testing specifications', 'SBI-0050769.P004', 'LS-124738', 'AM20060551', 'M1021', 'S5177', 'W4580', 'Naproxen, VETRANAL(TM), analytical standard', '(2S)-2-(6-Methoxynaphth-2-yl)propanoic acid', '(S)-2-(6-methoxy-2-naphthyl)-propionic acid', '04N531', 'C01517', 'D00118', 'J10145', 'M-5280', '(2S)-2-(6-methoxy(2-naphthyl))propanoic acid', 'AB00052049-04', 'AB00052049_05', '(+)(S)2-(6-methoxy-2-naphthyl)-propionic acid', '2-(6-Methoxy-2-naphthyl)propanoic acid , (+)-', 'SR-01000003110', 'Q-201447', 'Q1215575', 'SR-01000003110-5', 'SR-01000075977-3', 'SR-01000075977-4', '(+)-6-Methoxy-.alpha.-methyl-2-napthaleneacetic acid', 'BRD-K59197931-001-02-9', 'BRD-K59197931-001-03-7', 'BRD-K59197931-236-09-6', 'SR-01000075977-10', '(+)-6-Methoxy-.alpha.-methyl-2-naphthaleneacetic acid', '(S)-(+)-2-(6-methoxy-naphthalen-2-yl)-propionic acid', '(S)-6-Methoxy-.alpha.-methyl-2-naphthalene acetic acid', 'Naproxen, British Pharmacopoeia (BP) Reference Standard', 'Naproxen, European Pharmacopoeia (EP) Reference Standard', '(S)-(+)-6-Methoxy-alpha-methyl-2-naphthaleneacetic acid, 98%', '2-Naphthaleneacetic acid, 6-methoxy-.alpha.-methyl-, (+)-', 'Naproxen, United States Pharmacopeia (USP) Reference Standard', '2-Naphthaleneacetic acid, 6-methoxy-alpha-methyl-, (+)- (8CI)', 'Naproxen, Pharmaceutical Secondary Standard; Certified Reference Material', 'Naproxen solution, 1.0 mg/mL in methanol, ampule of 1 mL, certified reference material', '131991-52-1', 'd-Naproxen; (2S)-2-(6-Methoxynaphthalen-2-yl)propanoic acid; (S)-6-Methoxy-?-methyl-2-naphthaleneacetic Acid; d-2-(6-Methoxy-2-naphthyl)propionic Acid', 'Naproxen sodium;Sodium (-)-2-(6-methoxy-2-naphthyl)propionate;sodium (-)-2-(6-methoxy-2-naphthyl)propionate']</t>
  </si>
  <si>
    <t>Compound(156391)</t>
  </si>
  <si>
    <t>C14H14O3</t>
  </si>
  <si>
    <t>narasin</t>
  </si>
  <si>
    <t>(2R)-2-[(2R,3S,5S,6R)-6-[(2S,3S,4S,6R)-6-[(3S,5S,7R,9S,10S,12R,15R)-3-[(2R,5R,6S)-5-ethyl-5-hydroxy-6-methyloxan-2-yl]-15-hydroxy-3,10,12-trimethyl-4,6,8-trioxadispiro[4.1.57.35]pentadec-13-en-9-yl]-3-hydroxy-4-methyl-5-oxooctan-2-yl]-3,5-dimethyloxan-2-yl]butanoic acid</t>
  </si>
  <si>
    <t>['narasin', 'Narasin A', 'Monteban', 'Compound 79891', 'Lilly 79891', 'Narasine [INN-French]', 'Narasinum [INN-Latin]', 'Narasino [INN-Spanish]', 'UNII-DZY9VU539P', 'C 7819B', 'A 28086A', 'Antibiotic A-28086 factor A', 'Antibiotic C 7819B', 'Antibiotic A 28086A', '4-Methylsalinomycin', 'BRN 1678311', 'DZY9VU539P', 'Narasine', 'Narasino', 'Narasinum', '55134-13-9', 'AI3-29798', 'Salinomycin, 4-methyl-, (4S)', 'Narasin [USAN:BAN:INN]', 'alpha-Ethyl-6-(5-(2-(5-ethyltetrahydro-5-hydroxy-6-methyl-2H-pyran-2-yl)-15-hydroxy-2,10,12-trimethyl-1,6,8-trioxadispiro(4.1.5.3)pentadec-13-en-9-yl)-2-hydroxy-1,3-dimethyl-4-oxoheptyl)tetrahydro-3,5-dimethyl-2H-pyran-2-acetic acid', 'Monteban (TN)', 'Narasin (USP/INN)', '2H-Pyran-2-acetic acid, alpha-ethyl-6-(5-(2-(5-ethyltetrahydro-5-hydroxy-6-methyl-2H-pyran-2-yl)-15-hydroxy-2,10,12-trimethyl-1,6,8-trioxadispiro(4.1.5.3)pentadec-13-en-9-yl)-2-hydroxy-1,3-dimethyl-4-oxoheptyl)tetrahydro-3,5-dimethyl-', 'Narasin/Narasul', 'Narasin [USAN:USP:INN:BAN]', 'NCGC00167550-01', 'C43H72O11', 'DSSTox_CID_26707', 'DSSTox_RID_81840', 'DSSTox_GSID_46707', 'SCHEMBL123401', 'CHEMBL2104423', 'DTXSID2046707', 'GTPL10835', 'Tox21_112545', 'ZINC85540282', 'C-7819B', 'DB11432', 'NCGC00167550-06', 'NCGC00167550-08', 'CAS-55134-13-9', 'HY-121410', 'LS-144430', 'CS-0081972', 'D05122', 'Q2104314']</t>
  </si>
  <si>
    <t>Compound(65452)</t>
  </si>
  <si>
    <t>C43H72O11</t>
  </si>
  <si>
    <t>(1R,3S,5R,7R,8E,12R,14E,16E,18E,20E,22R,24S,25R,26S)-22-[(2R,3S,4S,5S,6R)-4-amino-3,5-dihydroxy-6-methyloxan-2-yl]oxy-1,3,26-trihydroxy-12-methyl-10-oxo-6,11,28-trioxatricyclo[22.3.1.05,7]octacosa-8,14,16,18,20-pentaene-25-carboxylic acid</t>
  </si>
  <si>
    <t>['NATAMYCIN', 'pimaricin', '7681-93-8', 'Tennecetin', 'UNII-8O0C852CPO', 'Delvocid', 'Mycophyt', 'Myprozine', 'Synogil', 'Antibiotic A-5283', '8O0C852CPO', 'Pimarizin [German]', 'Antibiotic A 5283', 'Natamycine [INN-French]', 'Natamycinum [INN-Latin]', 'Natamicina [INN-Spanish]', 'CL 12625', 'Natamycin(Pimaricin)', 'Natamicina', 'Natamycine', 'Natamycinum', 'Pimarizin', 'EINECS 231-683-5', 'CL 12,625', 'Pimaracin', 'Natamycin [USAN:USP:INN:BAN]', 'NCGC00016686-01', '16-(3-Amino-3,6-didesoxy-beta-D-mannopyranosyloxy)-5,6-epoxy-8,12,14-trihydroxy-26-methyl-2,10-dioxo-1-oxacyclohexacosa-3,17,19,21,23-pentaen-13-carbonsaeure', 'E235', 'Stereoisomer of 22-((3-amino-3,6-dideoxy-beta-D-mannopyranosyl)oxy)-1,3,26-trihydroxy-12-methyl-10-oxo-6,11,28-trioxatricyclo(22.3.1.0(sup 5,7))octacosa-8,14,16,18,20-pentaene-25-carboxylic acid', 'CAS-7681-93-8', 'ene-25-carboxylic acid', 'DSSTox_CID_1163', 'DSSTox_RID_75985', 'DSSTox_GSID_21163', 'SCHEMBL18140', 'INS NO.235', 'CHEMBL1200656', 'INS-235', '(1R,3S,5R,7R,8E,12R,14E,16E,18E,20E,22R,24S,25R,26S)-22-[(3-amino-3,6-dideoxy-beta-D-mannopyranosyl)oxy]-1,3,26-trihydroxy-12-methyl-10-oxo-6,11,28-trioxatricyclo[22.3.1.0~5,7~]octacosa-8,14,16,18,20-pentaene-25-carboxylic acid', 'EX-A1989', 'HY-B0133', 'ZINC8220909', 'Tox21_110561', 'BDBM50370755', 'MFCD00135085', 'AKOS030485970', 'CS-1909', 'DB00826', 'NICOTINAMIDE_ADENINE_DINUCLEOTIDE', 'CL-12625', 'E 235', 'E-235', 'Natamycin, VETRANAL(TM), analytical standard', 'NCGC00373238-02_C33H47NO13_Delvocid', '681N938', 'Pimaricin preparation, ~2.5%, aqueous suspension', 'Q248466', 'Natamycin, United States Pharmacopeia (USP) Reference Standard', 'Pimaricin, from Streptomyces chattanoogensis, &gt;=95% (HPLC)', 'Natamycin, Pharmaceutical Secondary Standard; Certified Reference Material', '(1R,3S,5R,7R,8E,12R,14E,16E,18E,20E,22R,24S,25R,26S)-22-[(3-Amino-3,6-dideoxy-?-D-mannopyranosyl)oxy]-1,3,26-trihydroxy-12-methyl-10-oxo-6,11,28-trioxatricyclo[22.3.1.05,7]octacosa-8,14,16,18,20-penta', '(5R,7R,24S)-22R-[(3S-amino-3,6-dideoxy-beta-D-mannopyranosyl)oxy]-1R,3S,26S-trihydroxy-12R-methyl-10-oxo-6,11,28-trioxatricyclo[22.3.1.05,7]octacosa-8E,14E,16E,18E,20E-pentaene-25R-carboxylic acid']</t>
  </si>
  <si>
    <t>Compound(5284447)</t>
  </si>
  <si>
    <t>C33H47NO13</t>
  </si>
  <si>
    <t>1-butyl-3-(3,4-dichlorophenyl)-1-methylurea</t>
  </si>
  <si>
    <t>['NEBURON', 'Kloben', '555-37-3', 'Granurex', 'Neburea', 'Neburex', 'Kloben neburon', '1-Butyl-3-(3,4-dichlorophenyl)-1-methylurea', 'Caswell No. 594', "Urea, N-butyl-N'-(3,4-dichlorophenyl)-N-methyl-", 'Neburon [ANSI:BSI:ISO]', "N-Butyl-N'-(3,4-dichlorophenyl)-N-methylurea", 'UNII-4MXN71654X', '3-(3,4-Dichlorophenyl)-1-methyl-1-butylurea', 'EINECS 209-096-0', '1-n-Butyl-3-(3,4-dichlorophenyl)-1-methylurea', 'EPA Pesticide Chemical Code 012001', 'BRN 2733280', 'CHEBI:7491', '3-(3,4-Dichlorphenyl)-1-n-butyl-harnstoff', '4MXN71654X', 'Urea, 1-butyl-3-(3,4-dichlorophenyl)-1-methyl-', '3-(3,4-Dichlorphenyl)-1-n-butyl-harnstoff [German]', 'Herbalt', '3-(3,4-Dichlorophenyl)-1-methyl-1-n-butylurea', 'SCHEMBL27181', 'BIDD:ER0535', 'CHEMBL75410', 'DTXSID4042200', 'Urea, 1-butyl-3-(3,4-dichlorophenyl)-1-methyl- (8CI)', 'ZINC1532184', 'Neburon 10 microg/mL in Acetonitrile', 'AKOS015888384', 'MCULE-2299860522', 'Neburon 100 microg/mL in Acetonitrile', 'DB-052755', 'LS-159239', 'Neburon, PESTANAL(R), analytical standard', 'FT-0603469', 'NS00005770', 'C11188', '1-butyl-3-(3,4-dichlorophenyl)-1-methyl-urea', "n-butyl-n'-(3,4-dichloro-phenyl)-n-methyl-urea", 'Q22808466', "Pesticide3_Neburon_C12H16Cl2N2O_Urea, N-butyl-N'-(3,4-dichlorophenyl)-N-methyl-"]</t>
  </si>
  <si>
    <t>Compound(11145)</t>
  </si>
  <si>
    <t>C12H16Cl2N2O</t>
  </si>
  <si>
    <t>2-[3-[4-(3-chlorophenyl)piperazin-1-yl]propyl]-5-ethyl-4-(2-phenoxyethyl)-1,2,4-triazol-3-one</t>
  </si>
  <si>
    <t>['nefazodone', '83366-66-9', 'Nefazodonum [Latin]', 'Nefazodona [Spanish]', 'Nefazodona', 'Nefazodonum', 'Nefazodone [INN:BAN]', 'UNII-59H4FCV1TF', '1-(3-(4-(m-Chlorophenyl)-1-piperazinyl)propyl)-3-ethyl-4-(2-phenoxyethyl)-delta2-1,2,4-triazolin-5-one', 'CHEMBL623', '59H4FCV1TF', 'CHEBI:7494', 'Nefadar', '1-(3-(4-(3-Chlorpheyl-1-piperazinylpropyl)-3-ethyl-4,5-dihydro-4-(2-phenoxyethyl)-1,2,4-triazol-5-on', '2-{3-[4-(3-chlorophenyl)piperazin-1-yl]propyl}-5-ethyl-4-(2-phenoxyethyl)-2,4-dihydro-3H-1,2,4-triazol-3-one', '1-(3-(4-(3-Chlorophenyl)piperazin-1-yl)propyl)-3-ethyl-4-(2-phenoxyethyl)-1H-1,2,4-triazol-5(4H)-one', '1-{3-[4-(3-chlorophenyl)piperazin-1-yl]propyl}-3-ethyl-4-(2-phenoxyethyl)-4,5-dihydro-1H-1,2,4-triazol-5-one', '3H-1,2,4-Triazol-3-one, 2,4-dihydro-2-3-(4-(3-chlorophenyl)-1-piperazinyl)propyl)-5-ethyl-4-(2-phenoxyethyl)-', '3H-1,2,4-Triazol-3-one, 2-(3-(4-(3-chlorophenyl)-1-piperazinyl)propyl)-5-ethyl-2,4-dihydro-4-(2-phenoxyethyl)-', 'Nefazodone (INN)', 'SMR000550487', 'NCGC00165846-02', 'C25H32ClN5O2', 'SR-01000759312', 'Nefazodone;nefazodone', '2-[3-[4-(3-chlorophenyl)piperazin-1-yl]propyl]-5-ethyl-4-(2-phenoxyethyl)-1,2,4-triazol-3-one', 'SCHEMBL35089', 'MLS001165769', 'MLS001195657', 'BIDD:GT0789', 'GTPL7247', 'DTXSID2023357', 'HSDB 8411', 'HMS2090D17', 'HMS2231I17', 'HMS3264K04', 'HMS3372C02', 'Pharmakon1600-01502314', 'ZINC538065', 'BCP30990', 'BDBM50069447', 'NSC760344', 'AKOS015907198', 'API0003523', 'CCG-213026', 'DB01149', 'NSC-760344', 'VA11366', 'Dutonin pound&gt;&gt; Nefadar pound&gt;&gt; Serzone', 'NCGC00165846-01', 'NCGC00165846-03', '2-[3-[4-(3-Chlorophenyl)-1-piperazinyl]propyl]-5-ethyl-2,4-dihydro-4-(2-phenoxyethyl)-3H-1,2,4-triazol-3-one', '2-[3-[4-(3-chlorophenyl)-1-piperazinyl]propyl]-5-ethyl-4-(2-phenoxyethyl)-2H-1,2,4-triazol-3(4H)-one', '2-{3-[4-(3-chlorophenyl)piperazin-1-yl]propyl}-5-ethyl-4-[2-(phenyloxy)ethyl]-2,4-dihydro-3H-1,2,4-triazol-3-one', 'AX8022765', 'LS-156497', 'FT-0654783', 'NS00002455', 'C07256', 'D08257', 'AB00640019-14', 'AB00640019_15', '117201-EP2275420A1', '117201-EP2298764A1', '117201-EP2298765A1', '117201-EP2298776A1', '366N669', 'A840565', 'L001196', 'Q416632', 'SR-01000759312-5', 'BRD-K90789829-003-03-3', '2-(3-[4-(3-Chlorophenyl)-1-piperazinyl]propyl)-5-ethyl-4-(2-phenoxyethyl)-2,4-dihydro-3H-1,2,4-triazol-3-one #', '2-[3-[4-(3-chlorophenyl)-1-piperazinyl]propyl]-5-ethyl-4-(2-phenoxyethyl)-1,2,4-triazol-3-one', '2-{3-[4-(3-Chlorophenyl)-1-piperazinyl]propyl}-5-ethyl-4-(2-phenoxyethyl)-2,4-dihydro-3H-1,2,4-triazol-3-one']</t>
  </si>
  <si>
    <t>Compound(4449)</t>
  </si>
  <si>
    <t>C25H32ClN5O2</t>
  </si>
  <si>
    <t>neodecanoic acid ethenyl ester</t>
  </si>
  <si>
    <t>ethenyl 7,7-dimethyloctanoate</t>
  </si>
  <si>
    <t>['Vinyl neodecanoate', 'Vinyl 7,7-dimethyloctanoate', '51000-52-3', 'ethenyl 7,7-dimethyloctanoate', 'Neodecanoic acid, ethenyl ester', 'W-109234', 'SCHEMBL35756', '17756-73-9', 'CTK4D6531', 'DTXSID70274216', 'ZINC2149858', 'EINECS 247-773-2', '7,7-Dimethyloctanoic acid vinyl ester', 'AKOS022173224', 'ACM45115342', 'AK141255', 'AX8281446', 'LS-181667', 'NS00007080', 'Neodecanoic acid, ethenyl ester;vinyl neodecanoate;NEODECANOIC ACID, ETHENYL ESTER', '195321-14-3']</t>
  </si>
  <si>
    <t>Compound(162097)</t>
  </si>
  <si>
    <t>C12H22O2</t>
  </si>
  <si>
    <t>neodecanoic acid</t>
  </si>
  <si>
    <t>7,7-dimethyloctanoic acid</t>
  </si>
  <si>
    <t>['NEODECANOIC ACID', '26896-20-8', '7,7-dimethyloctanoic acid', 'NEO-DECANOIC ACID', '130776-67-9', 'AK116933', 'Rare earth neodecanoate', 'Neodecanoic acid, rare earth salts', 'Neodecanoic acid, neodymium(3+) salt (3:1)', 'New decanoate', 'EINECS 270-175-8', '7,7-Dimethyloctanoicacid', 'SCHEMBL23925', '68412-21-5', 'neo-decanoic acid, AldrichCPR', 'CTK1A3435', 'KS-00000GSE', 'DTXSID00866704', 'ZINC1849686', 'AKOS006345516', 'CS-W022922', 'AS-17386', 'U878', 'AX8144114', 'FT-0654977', 'NS00019663', 'K-6895', 'A818664']</t>
  </si>
  <si>
    <t>Compound(62838)</t>
  </si>
  <si>
    <t>2-[(4,6-dimethoxypyrimidin-2-yl)carbamoylsulfamoyl]-N,N-dimethylpyridine-3-carboxamide</t>
  </si>
  <si>
    <t>['Nicosulfuron', '111991-09-4', 'Milagro', 'Motivell', 'Accent (herbicide)', 'SL 950', 'Accent (pesticide)', 'DPX-V 9360', 'HU 195', '2-(N-((4,6-Dimethoxypyrimidin-2-yl)carbamoyl)sulfamoyl)-N,N-dimethylnicotinamide', 'UNII-CG297D9264', 'DPX-V9636', 'EPA Pesticide Chemical Code 129008', 'CHEBI:7554', '2-[(4,6-dimethoxypyrimidin-2-yl)carbamoylsulfamoyl]-N,N-dimethylpyridine-3-carboxamide', 'CG297D9264', '2-[(4,6-dimethoxypyrimidin-2-yl)carbamoylsulfamoyl]-N,N-dimethyl-pyridine-3-carboxamide', '2-{[(4,6-dimethoxypyrimidin-2-yl)carbamoyl]sulfamoyl}-N,N-dimethylpyridine-3-carboxamide', '3-Pyridinecarboxamide, 2-(((((4,6-dimethoxy-2-pyrimidinyl)amino)carbonyl)amino)sulfonyl)-N,N-dimethyl-', '3-Pyridinecarboxamide, 2-[[[[(4,6-dimethoxy-2-pyrimidinyl)amino]carbonyl]amino]sulfonyl]-N,N-dimethyl-', 'Nicosulfuron [ISO]', 'Nicosulphuron', 'CCRIS 9496', 'HSDB 7950', 'DSSTox_CID_14764', 'DSSTox_RID_79199', 'DSSTox_GSID_34764', 'SCHEMBL22938', 'CHEMBL2251450', 'DTXSID6034764', 'HY-B1876', 'ZINC1532072', 'Tox21_301842', 'ZINC01532072', 'AKOS015851875', 'KS-5068', 'NCGC00255581-01', '2-((((4,6-Dimethoxy-(2-pyrimidinyl)amino)carbonyl)amino)sulfonyl)-N,N-dimethyl-3-pyridinecarboxamide', 'AC-12593', 'AK117807', 'CC-32837', 'SC-15278', 'AB0011822', 'DB-041026', 'LS-130611', 'CAS-111991-09-4', 'CS-0013942', 'FT-0631059', 'FT-0653637', 'FT-0672692', 'NS00008411', 'C10949', 'Nicosulfuron, PESTANAL(R), analytical standard', '991N094', 'C-21895', 'J-002683', 'Q1871615', '2-(N-(4,6-dimethoxypyrimidin-2-ylcarbamoyl)sulfamoyl)-N,N-dimethylnicotinamide', '2-{[(4,6-Dimethoxy-2-pyrimidinyl)carbamoyl]sulfamoyl}-N,N-dimethylnicotinamide', '1-(4,6-Dimethoxypyrimidin-2-yl)-3-(3-dimethylcarbamoyl-2-pyridylsulfonyl)urea 2-(4,6-Dimethoxypyrimidin-2-ylcarbamoylsulfamoyl)-N,N-dimethylnicotinamide;2-((((4,6-dimethoxy-(2-pyrimidinyl)amino)carbonyl)amino)sulfonyl)-N,N-dimethyl-3-pyridinecarboxamide;2-[(4,6-dimethoxypyrimidin-2-ylcarbamoyl)sulfamoyl]-N,N-dimethylnicotinamide', '3-Pyridinecarboxamide, 2-(((((4,6-dimethoxy-2-pyrimidinyl)amino)carbonyl)amino)sulfonyl)--N,N-dimethyl-']</t>
  </si>
  <si>
    <t>Compound(73281)</t>
  </si>
  <si>
    <t>C15H18N6O6S</t>
  </si>
  <si>
    <t>3-[(2S)-1-methylpyrrolidin-2-yl]pyridine</t>
  </si>
  <si>
    <t>['nicotine', 'L-Nicotine', '54-11-5', '(-)-Nicotine', '(S)-Nicotine', '(S)-3-(1-methylpyrrolidin-2-yl)pyridine', 'Habitrol', '3-[(2S)-1-methylpyrrolidin-2-yl]pyridine', '(S)-(-)-Nicotine', 'Nicoderm', 'Nicotrol', 'Fumetobac', 'Micotine', 'Nicocide', 'Tendust', 'Nico-dust', 'Nicoderm Cq', 'Emo-nik', 'Nico-Fume', 'Nicotine alkaloid', 'Mach-Nic', 'Nic-Sal', 'Nicotine polacrilex', 'Nikotin [German]', 'Nikotyna [Polish]', 'Flux MAAG', 'Nicotina [Italian]', 'Ortho N-4 dust', 'Ortho N-5 dust', 'XL All Insecticide', 'Niagara P.A. dust', 'Nicorette', 'Nicotina', 'Nikotyna', 'Prostep', 'Destruxol orchid spray', 'Nicotrol Inhaler', 'Nicotrol NS', 'NICOTINE AND SALTS', '3-(N-Methylpyrollidino)pyridine', '3-(N-Methylpyrrolidino)pyridine', 'L-3-(1-Methyl-2-pyrrolidyl)pyridine', 'L(-)-nicotine', '(-)-3-(1-Methyl-2-pyrrolidyl)pyridine', 'Ortho N-4 and N-5 dusts', '(S)-3-(1-Methyl-2-pyrrolidinyl)pyridine', 'Nicotin', 'Caswell No. 597', 'Black leaf', 'Nicotine [BSI:ISO]', 'RCRA waste number P075', '1-Methyl-2-(3-pyridyl)pyrrolidine', 'NSC 5065', 'UNII-6M3C89ZY6R', 'ENT 3,424', 'beta-Pyridyl-alpha-N-methylpyrrolidine', '3-(2-(N-methylpyrrolidinyl))pyridine', 'Pyridine, 3-(1-methyl-2-pyrrolidinyl)-, (S)-', 'CCRIS 1637', 'S-(-)-Nicotine', 'Nicotine (compounds related to)', 'HSDB 1107', 'EINECS 200-193-3', 'MFCD00006369', 'UN1654', '3-(1-Methyl-2-pyrollidinyl)pyridine', '(-)-3-(N-Methylpyrrolidino)pyridine', 'RCRA waste no. P075', 'EPA Pesticide Chemical Code 056702', 'beta-Pyridyl-alpha-N-methyl pyrrolidine', '3-(1-Methyl-2-pyrrolidinyl)pyridine', 'Pyrrolidine, 1-methyl-2-(3-pyridal)-', '(S)-3-(N-methylpyrrolidin-2-yl)pyridine', 'AI3-03424', '6M3C89ZY6R', '3-((2S)-1-methylpyrrolidin-2-yl)pyridine', '3-[(2s)-1-methyl-2-pyrrolidinyl]pyridine', 'CHEBI:17688', 'Pyridine, 3-(tetrahydro-1-methylpyrrol-2-yl)', 'Pyridine, 3-[(2S)-1-methyl-2-pyrrolidinyl]-', '1-Methyl-2-(3-pyridiyl)pyrrolidine', 'L-Nicotine, 99+%', 'DSSTox_CID_930', 'Tetrahydronicotyrine, DL-', 'Nicotine [for single use]', 'NICOTINE-L (BASE)', 'destruxol', 'Pyridine, 3-((2S)-1-methyl-2-pyrrolidinyl)-', 'DSSTox_RID_75874', 'DSSTox_GSID_20930', 'Nicotine [USAN]', '(-)-1-Methyl-2-(3-pyridyl)pyrrolidine', 'fumeto bac', 'Nicabate', 'Niquitin', 'Tabazur', 'Exodus', 'Nictoine patch', 'Nicoderm Patch', 'Nicotine Patch', 'Nicotine-D salicylate', 'CAS-54-11-5', 'DL-tetrahydronicotyrine', 'Nicotinium molybdophosphate resin', 'Habitrol (TN)', 'Nicotine (USP)', 'SMR000059074', 'Transdermal Nicotine', 'Nicotine [USP:BAN]', '104062-50-2', 'nicotine replacement patch', 'methyl-2-pyrrolidinyl)pyridine', 'Nicotinum', 'delta-Nicotine', 'Nicotine betadex', '1-methyl-2-(3-pyridal)-pyrrolidene', 'Nicotine [UN1654] [Poison]', 'a-N-methylpyrrolidine', "Campbell's nico-soap", '3-N-methylpyrrolidine', 'R)-(+)-nicotine', 'a -N-methylpyrrolidine', 'CHEMBL3', '1uw6', 'alpha-N-methylpyrrolidine', 'Nicotine [UN1654]', '(S)-(-)--nicotine', 'bmse000105', '(2S) 3-(1-Methyl-pyrrolidin-2-yl)-pyridine', 'EC 200-193-3', 'Nicotine polacrilex [USAN]', 'S-()-Nicotine-pyridine-d4', 'SCHEMBL20192', 'MLS001055457', 'MLS001335905', 'BIDD:GT0599', 'GTPL2585', 'DTXSID1020930', 'BDBM82070', 'CTK8F2098', 'HMS2230H17', 'HMS3259E16', 'Nicotine [UN1654]  [Poison]', 'ZINC391812', 'HY-B0638', 'Nicotine 10 microg/mL in Methanol', 'Tox21_201814', 'Tox21_300174', 'Nicotine 100 microg/mL in Methanol', 'PDSP1_000113', 'PDSP1_000465', 'PDSP2_000463', 'PDSP2_000555', 'SBB012359', '1-methyl-2-(3-pyridal)-Pyrrolidine', 'AKOS016843798', 'Nicotine 1000 microg/mL in Methanol', '3-(1-methyl-2-pyrrolidinyl)-Pyridine', 'CCG-204892', 'CS-3999', 'DB00184', 'MCULE-8728421654', 'NC00577', 'SB12751', 'SDCCGMLS-0066911.P001', 'SDCCGSBI-0050785.P004', 'NCGC00090693-01', 'NCGC00090693-02', 'NCGC00090693-03', 'NCGC00090693-04', 'NCGC00090693-05', 'NCGC00090693-06', 'NCGC00090693-07', 'NCGC00090693-08', 'NCGC00090693-09', 'NCGC00254095-01', 'NCGC00259363-01', 'Pyrrolidine, 1-methyl-2-(3-pyridyl)-', '(-)-Nicotine, &gt;=99% (GC), liquid', 'SC-58411', 'ST069320', 'SBI-0050785.P003', 'CAS_29790-52-1', 'N0079', 'C00745', 'D03365', '(-)-.beta.-Pyridyl-.alpha.-N-methylpyrrolidine', 'AB00694322_12', '(-)-Nicotine, PESTANAL(R), analytical standard', '006N369', '3-[(1R)-1beta-Methylpyrrolidine-2alpha-yl]pyridine', 'J-500021', 'SR-05000001762-5', 'BRD-K05395900-322-02-1', 'BRD-K05395900-322-04-7', 'Pyridine, 3-(tetrahydro-1-methylpyrrol-2-yl), (S)-', 'Q28086552', 'Pyridine, 3-(1-methyl-2-pyrrolidinyl)-, (S)- (9CI)', 'Z1954805269', '434F7990-3240-4A43-ACEC-E6CC1E495FA0', '(-)-Nicotine solution, 1.0 mg/mL, analytical standard, for drug analysis', '(S)-(-)-NICOTINE; 3-[(2S)-1-METHYL-2-PYRROLIDINYL] PYRIDINE', '(-)-Nicotine solution, 100 mug/mL in acetonitrile, PESTANAL(R), analytical standard', 'S(-)-Nicotine solution, 1.0 mg/mL in methanol, ampule of 1 mL, certified reference material']</t>
  </si>
  <si>
    <t>Compound(89594)</t>
  </si>
  <si>
    <t>C10H14N2</t>
  </si>
  <si>
    <t>(E)-1-N'-[(6-chloropyridin-3-yl)methyl]-1-N'-ethyl-1-N-methyl-2-nitroethene-1,1-diamine</t>
  </si>
  <si>
    <t>['Nitenpyram', '150824-47-8', '(E)-Nitenpyram', "(E)-N-((6-Chloropyridin-3-yl)methyl)-N-ethyl-N'-methyl-2-nitroethene-1,1-diamine", 'TI 304', 'Nitenpyram [ISO]', '120738-89-8', 'UNII-3A837VZ81Y', 'Niterndipoine', 'Bestguard', 'Capstar', 'CHEBI:39170', '3A837VZ81Y', "(1E)-N-((6-chloro-3-pyridinyl)methyl)-N-ethyl-N'-methyl-2-nitro-1,1-ethenediamine", "(E)-N-[(6-chloropyridin-3-yl)methyl]-N-ethyl-N'-methyl-2-nitroethene-1,1-diamine", 'NCGC00166149-01', 'AK110332', 'N-((6-Chloropyridin-3-yl)methyl)-N-ethyl-N-methyl-2-nitroethene-1,1-diamine', "1,1-Ethenediamine, N-[(6-chloro-3-pyridinyl)methyl]-N-ethyl-N'-methyl-2-nitro-, (1E)-", 'DSSTox_CID_21080', 'DSSTox_RID_79622', 'DSSTox_GSID_41080', 'C11H15ClN4O2', 'Q-201476', "(E)-1-N'-[(6-chloropyridin-3-yl)methyl]-1-N'-ethyl-1-N-methyl-2-nitroethene-1,1-diamine", "1,1-Ethenediamine, N-((6-chloro-3-pyridinyl)methyl)-N-ethyl-N'-methyl-2-nitro-, (1E)-", 'CAS-150824-47-8', 'SCHEMBL25788', 'SCHEMBL25789', 'CHEMBL259728', 'DTXSID8041080', 'CHEBI:39171', 'HSDB 8491', "N-[(6-chloropyridin-3-yl)methyl]-N-ethyl-N'-methyl-2-nitroethene-1,1-diamine", 'HY-B0820', 'ZINC2381598', 'Tox21_112342', 'TI-304', '(E)-N-(6-Chloro-3-pyridylmethyl)-N-ethyl-N2-methyl-2-nitrovinylidenediamine', 'AKOS015914907', 'Tox21_112342_1', 'CCG-267169', 'DB11438', 'KS-5369', '(1E)-N-((6-Chloro-3-pyridinyl)methyl]-N-ethyl-N2-methyl-2-nitro-1,1-ethenediamine', "(E)-N-(6-Chloro-3-pyridylmethyl)-N-ethyl-N'-methyl-2-nitroethylene-1,1-diamine", 'NCGC00166149-02', 'Nitenpyram 10 microg/mL in Acetonitrile', 'LS-65394', 'S265', 'AX8144853', 'CS-0012837', 'NS00000174', 'S4422', 'Nitenpyram, PESTANAL(R), analytical standard', 'A14229', 'C18511', '738N898', 'A809078', 'Q3817186', 'Q27119765', 'N-Ethyl-N-[1-(methylamino)-2-nitroethenyl]-6-chloropyridine-3-methanamine', "(E)-N-((6-Chloro-3-pyridinyl)methyl)-N-ethyl-N'-methyl-2-nitro-1,1-ethenediamine", '(E)-N-((6-chloropyridin-3-yl)methyl)-N-ethyl-N-methyl-2-nitroethene-1,1-diamine', "(E)-N1'-[(6-chloranylpyridin-3-yl)methyl]-N1'-ethyl-N1-methyl-2-nitro-ethene-1,1-diamine", "(E)-N1'-[(6-chloro-3-pyridinyl)methyl]-N1'-ethyl-N1-methyl-2-nitroethene-1,1-diamine", '[(E)-1-{[(6-chloropyridin-3-yl)methyl](ethyl)amino}-2-nitroethenyl](methyl)amine', '1,1-Ethenediamine, N-((6-chloro-3-pyridinyl)methyl)-N-ethyl-N-methyl-2-nitro-', "n-[(6-chloro-3-pyridinyl)methyl]-n-ethyl-n'-methyl-2-nitro-1,1-ethenediamine"]</t>
  </si>
  <si>
    <t>Compound(3034287)</t>
  </si>
  <si>
    <t>C11H15ClN4O2</t>
  </si>
  <si>
    <t>nitrothalisopropyl</t>
  </si>
  <si>
    <t>dipropan-2-yl 5-nitrobenzene-1,3-dicarboxylate</t>
  </si>
  <si>
    <t>['Nitrothal-isopropyl', 'Diisopropyl 5-nitroisophthalate', '10552-74-6', 'Nitrothale-isopropyl', 'UNII-U6ZG3TTM2S', 'Nitrothale-isopropyl [French]', 'Nitrothal-isopropyl [BSI:ISO]', 'EINECS 234-139-5', 'U6ZG3TTM2S', 'Bis(1-methylethyl) 5-nitro-1,3-benzenedicarboxylate', 'CHEBI:82026', 'Isophthalic acid, 5-nitro-, diisopropyl ester', 'NCGC00163919-02', '1,3-Benzenedicarboxylic acid, 5-nitro-, bis(1-methylethyl) ester', 'Nitrothol isopropyl', 'dipropan-2-yl 5-nitrobenzene-1,3-dicarboxylate', 'DSSTox_CID_17579', 'DSSTox_RID_79342', 'DSSTox_GSID_37579', 'SCHEMBL54627', 'CHEMBL1892508', 'DTXSID5037579', 'CTK4A3912', 'Diisopropyl 5-nitroisophthalate #', 'BAS 30000F', 'ZINC2000875', 'Tox21_400066', 'AKOS015888201', 'NCGC00163919-01', 'NCGC00163919-03', 'LS-29787', 'CAS-10552-74-6', 'FT-0620712', 'NS00004811', 'C18873', 'W-110278', 'Nitrothal-isopropyl, PESTANAL(R), analytical standard', 'Q27155696', '1,3-Benzenedicarboxylicacid, 5-nitro-, 1,3-bis(1-methylethyl) ester', 'diisopropyl 5-nitroisophthalate;Diisopropyl 5-nitroisophthalate;Nitrotal isopropyl, To']</t>
  </si>
  <si>
    <t>Compound(43704)</t>
  </si>
  <si>
    <t>C14H17NO6</t>
  </si>
  <si>
    <t>(2Z,5R,6S,9S,12S,13S,16R)-9-[3-(diaminomethylideneamino)propyl]-2-ethylidene-12-[(1E,3E,5S,6S)-6-methoxy-3,5-dimethyl-7-phenylhepta-1,3-dienyl]-1,6,13-trimethyl-3,7,10,14,19-pentaoxo-1,4,8,11,15-pentazacyclononadecane-5,16-dicarboxylic acid</t>
  </si>
  <si>
    <t>['Nodularin', '118399-22-7', 'UNII-0979BIK2QU', '0979BIK2QU', 'CHEMBL108308', 'CHEBI:80043', 'HSDB 7749', 'C41H60N8O10', 'Nodularin, cyanotoxin', 'SCHEMBL12104957', 'DTXSID60880022', 'Cyclo((Z)-2,3-didehydro-N-methyl-2-aminobutanoyl-erythro-3-methyl-D-beta-aspartyl-L-arginyl-(2S,3S,4E,6E,8S,9S)-4,5,6,7-tetradehydro-9-methoxy-2,6,8-trimethyl-10-phenyl-3-aminodecanoyl-D-gamma-glutamyl)', 'Cyclo(L-arginyl-(2S,3S,4E,6E,8S,9S)-3-amino-9-methoxy-2,6,8-trimethyl-10-phenyl-4,6-decadienoyl-D-gamma-glutamyl-(2Z)-2-(methylamino)-2-butenoyl-(3S)-3-methyl-D-beta-aspartyl)', '1943AH', 'BDBM50061066', 'ZINC85600024', 'C15713', 'Q3277208', 'Nodularin solution, 10 mug/mL in methanol, analytical standard', '(2Z,5R,6S,9S,12S,13S,16R)-9-[3-(diaminomethylideneamino)propyl]-2-ethylidene-12-[(1E,3E,5S,6S)-6-methoxy-3,5-dimethyl-7-phenylhepta-1,3-dienyl]-1,6,13-trimethyl-3,7,10,14,19-pentaoxo-1,4,8,11,15-pentazacyclononadecane-5,16-dicarboxylic acid', '(2Z,5R,6S,9S,12S,13S,16R)-9-{3-[(Diaminomethylidene)amino]propyl}-2-ethylidene-12-[(1E,3E,5S,6S)-6-methoxy-3,5-dimethyl-7-phenylhepta-1,3-dien-1-yl]-1,6,13-trimethyl-3,7,10,14,19-pentaoxo-1,4,8,11,15-pentaazacyclononadecane-5,16-dicarboxylic acid', '(5R,6S,9S,12S,13S,16R)-2-Eth-(Z)-ylidene-9-(3-guanidino-propyl)-12-((1E,3E)-(5S,6S)-6-methoxy-3,5-dimethyl-7-phenyl-hepta-1,3-dienyl)-1,6,13-trimethyl-3,7,10,14,19-pentaoxo-1,4,8,11,15pentaaza-cyclononadecane-5,16-dicarboxylic acid']</t>
  </si>
  <si>
    <t>Compound(14217092)</t>
  </si>
  <si>
    <t>C41H60N8O10</t>
  </si>
  <si>
    <t>norcodeine</t>
  </si>
  <si>
    <t>(4R,4aR,7S,7aR,12bS)-9-methoxy-1,2,3,4,4a,7,7a,13-octahydro-4,12-methanobenzofuro[3,2-e]isoquinolin-7-ol</t>
  </si>
  <si>
    <t>['Norcodeine', 'N-Desmethylcodeine', '467-15-2', 'Norcodeinum', 'Norcodeina', '(-)-N-Norcodeine', 'UNII-32W9P3T4ML', '(-)-Norcodeine', '32W9P3T4ML', 'N-Norcodeine', 'CHEBI:80579', 'N-Demethylcodeine', 'Norcodeine (stereochemistry defined)', 'Norcodeine [INN:BAN]', 'Norcodeinum [INN-Latin]', 'Norcodeina [INN-Spanish]', 'Normorphine 3-methyl ether', 'EINECS 207-388-2', '7,8-Didehydro-4,5-alpha-epoxy-3-methoxymorphinan-6-alpha-ol', 'Codeine-Nor', 'NCGC00163182-01', '(4R,4aR,7S,7aR,12bS)-9-methoxy-1,2,3,4,4a,7,7a,13-octahydro-4,12-methanobenzofuro[3,2-e]isoquinoline-7-ol', 'DSSTox_CID_26327', 'DSSTox_RID_81543', 'DSSTox_GSID_46327', 'SCHEMBL120270', 'Morphinan-6-alpha-ol, 7,8-didehydro-4,5-alpha-epoxy-3-methoxy-', 'CHEMBL1908321', 'DTXSID8046327', 'BDBM224030', 'Norcodeine 1.0 mg/ml in Methanol', 'AOB87307', 'ZINC4217170', 'Tox21_112027', 'NCGC00186625-01', 'AS-17006', 'CAS-467-15-2', 'NS00009228', 'C16576', 'Q4327388', '3-methoxy-7,8-didehydro-4,5alpha-epoxymorphinan-6alpha-ol', '(5alpha,6alpha)-3-Methoxy-7,8-didehydro-4,5-epoxymorphinan-6-ol', 'Morphinan-6-ol, 7,8-didehydro-4,5-epoxy-3-methoxy-, (5-alpha,6-alpha)- (9CI)', 'Norcodeine solution, 1.0 mg/mL in methanol, ampule of 1 mL, certified reference material']</t>
  </si>
  <si>
    <t>Compound(9925873)</t>
  </si>
  <si>
    <t>(8R,9S,10R,13S,14S,17R)-17-ethynyl-17-hydroxy-13-methyl-1,2,6,7,8,9,10,11,12,14,15,16-dodecahydrocyclopenta[a]phenanthren-3-one</t>
  </si>
  <si>
    <t>['norethindrone', 'Norethisterone', '68-22-4', 'Micronor', '19-Norethisterone', 'Norethisteron', 'Norcolut', 'Noriday', 'Norlutin', 'Primolut-N', 'Norethynodrone', 'Conludag', 'Micronovum', 'Norluten', 'Camila', 'Utovlan', 'Mini-pill', 'Mini-Pe', 'Noresthisterone', 'Conludaf', 'Micronett', 'Noralutin', 'Norethyndron', 'Norgestin', 'Norluton', 'Proluteasi', 'Anovule', 'Gestest', 'Norfor', 'Utovlar', 'Norpregneninlone', '19-Nor-ethindrone', 'Norpregneninolone', 'Nor-QD', 'Ethinylnortestosterone', 'Anovulatorio', 'Ciclovulan', 'Norethadrone', 'Norethisteronum', 'Norethynodron', 'Noretisterona', 'Estrinor', 'Gencept', 'Microneth', 'Norethin', 'Synphase', 'Triella', 'Genora', 'Milli', 'Nelova', 'Nodiol', 'Orlest', 'Noraethisteronum', '17alpha-Ethynyl-19-nortestosterone', 'Norpregneninotone', 'Ethynylnortestosterone', 'Norcept-E', '19-Nor-17alpha-ethynyltestosterone', 'Synphasic 28', 'Brevinor 21', 'Brevinor 28', 'Trinovum 21', 'Noriday 28', 'Ethynylmortestosterone', 'Jenest-28', '17alpha-Ethinyl-19-nortestosterone', 'Brevinor-1 21', 'Brevinor-1 28', 'Tri-Norinyl', 'Anhydrohydroxynorprogesterone', 'Ovysmen 1 35', 'Noretisterone [DCIT]', 'Ortho-Novum 1 35', 'Ortho-Novum 1 50', 'Minovlar', 'Nor-Q.D.', 'Ortho-Novum 7 7 7', 'Ovysmen 0.5 35', 'Ortho 1 35', '19-Norethinyltestosterone', 'Ortho 7 7 7', 'Ethinyl-19-nortestosterone', 'Normapause', 'Menzol', 'Norethisteronum [INN-Latin]', 'Noretisterona [INN-Spanish]', '17alpha-Ethynyl-4-estren-17-ol-3-one', '17-alpha-Ethynyl-19-nortestosterone', '19-Nor-17-alpha-ethynyltestosterone', '19-Norethindrone', '19-Nor-17-ethinyltestosterone', '17alpha-Ethinylestra-4-en-17beta-ol-3-one', 'Nora-BE', 'Norethisterone [Progestins]', '17beta-Hydroxy-19-norpregn-4-en-20-yn-3-one', '17-alpha-Ethynyl-4-estren-17-ol-3-one', '19-Nor-17alpha-ethynyl-17beta-hydroxy-4-androsten-3-one', '17alpha-Ethynyl-17-hydroxy-4-estren-3-one', 'Activella', '17-Ethinyl-19-nortestosterone', '19-nor-17alpha-Ethynylandrosten-17beta-ol-3-one', '19-Nor-17alpa-ethynyltestosterone', '4-Estren-17alpha-ethynyl-17beta-ol-3-one', 'NSC-9564', '17alpha-Ethynyl-19-norandrost-4-en-17beta-ol-3-one', '17-Hydroxy-19-nor-17alpha-pregn-4-en-20-yn-3-one', '17-alpha-Ethynyl-17-hydroxy-4-estren-3-one', 'CCRIS 484', 'norethisterone (norethindrone)', '17alpha-Ethynyl-17beta-hydroxy-19-norandrost-4-en-3-one', 'UNII-T18F433X4S', 'SC 4640', '17-beta-Hydroxy-19-norpregn-4-en-20-yn-3-one', 'Norethindrone (USP)', 'Norethindrone [USP]', 'Primolut N', '19-Nor-17-alpha-ethynylandrosten-17-beta-ol-3-one', '19-Nor-17-ethinyl testosterone', 'HSDB 3370', '17-ethynyl-17beta-hydroxyestr-4-en-3-one', '19-Nortestosterone, 17-ethynyl-', '17-alpha-Ethynyl-19-norandrost-4-en-17-beta-ol-3-one', '17-Hydroxy-19-nor-17-alpha-pregn-4-en-20-yn-3-one', '19-Nor-ethinyl--4,5-testosterone', 'EINECS 200-681-6', '19-Nor-17-alpha-ethynyl-17-beta-hydroxy-4-androsten-3-one', 'BRN 1915671', 'CHEMBL1162', 'Combipatch', '17alpha-Ethynyl-19-nor-4-androsten-17beta-ol-3-one', 'AI3-26422', '(17-alpha)-17-Hydroxy-19-norpregn-4-en-20-yn-3-one', 'CHEBI:7627', '(8R,9S,10R,13S,14S,17R)-17-ethynyl-17-hydroxy-13-methyl-1,2,6,7,8,9,10,11,12,14,15,16-dodecahydrocyclopenta[a]phenanthren-3-one', 'Conceplan', '19-Norpregn-4-en-20-yn-3-one, 17-hydroxy-, (17alpha)-', 'Errin', '17-alpha-Ethinylestra-4-en-17-beta-ol-3-one', 'Estr-4-en-3-one, 17alpha-ethynyl-17-hydroxy-', 'T18F433X4S', '17-alpha-19-Norpregn-4-en-20-yn-3-one, 17-hydroxy-', '17alpha-Ethinyl-17beta-hydroxy-delta(sup:4)-estren-3-one', '19-Nor-17alpha-pregn-4-en-20-yn-3-one, 17-hydroxy-', 'Noretisterone', '17-alpha-Ethinyl-17-beta-hydroxy-delta(sup:4)-estren-3-one', '17-alpha-Ethynyl-17-beta-hydroxy-19-norandrost-4-en-3-one', 'Norcolute', 'DSSTox_CID_3380', 'DSSTox_RID_77005', '17alpha-hydroxy-19-norpregn-4-en-20-yn-3-one', 'DSSTox_GSID_23380', 'Norethindrone (Norethisterone)', '(17alpha)-17-hydroxy-19-norpregn-4-en-20-yn-3-one', '(14beta,17alpha)-17-Ethynyl-17-Hydroxyestr-4-En-3-One', '19-Nor-17-alpha-pregn-4-en-20-yn-3-one, 17-hydroxy-', 'Norethindrone [USAN]', 'Norethindirone', '(17alpha)-17-ethynyl-17-hydroxyestra-4,8(14),9-trien-3-one', '(17beta)-17-ethynyl-17-hydroxyestr-4-en-3-one', 'Micronor (TN)', '(8R,9S,10R,13S,14S,17R)-17-ethynyl-17-hydroxy-13-methyl-1,2,6,7,8,9,10,11,12,13,14,15,16,17-tetradecahydro-3H-cyclopenta[a]phenanthren-3-one', 'SMR000499579', 'Primolut-N (TN)', 'Camila (TN)', 'N.E.E.', 'Nor-Q.D', 'CAS-68-22-4', 'NCGC00094738-01', 'ENT', 'NET', 'Prestwick_646', 'Norethisterone [INN]', 'Norethisterone (JP17)', 'Prestwick0_000253', 'Prestwick1_000253', 'Prestwick2_000253', 'Prestwick3_000253', 'EC 200-681-6', 'N.E.E', 'SCHEMBL23390', 'BSPBio_000066', 'Levonorgestrel EP Impurity U', 'MLS001076679', 'MLS001163874', 'ARONIS24281', 'Norethisterone / norethindrone', 'SPBio_002285', 'BPBio1_000074', 'GTPL2880', '17-Ethynyl-19-Nortestosterone', 'DTXSID9023380', '17-Ethinyl-19-nor-testosterone', 'BBC/437', 'HMS1568D08', 'HMS2090D21', 'HMS2095D08', 'HMS2231E18', 'HMS3259C16', 'HMS3712D08', 'BCP28306', 'HY-B0554', '17alpha-pregn-4-en-20-yn-3-one', 'Tox21_111322', 'Tox21_302427', '19-Norethindrone, &gt;=98%, powder', 'BDBM50148732', 'LMST02030097', 'MFCD00067596', 's4040', 'ZINC85205451', 'AKOS005267172', 'Tox21_111322_1', 'CCG-220253', 'CS-2664', 'DB00717', 'MCULE-9156628994', 'NC00576', 'SC-4640', 'KS-000048I5', 'NCGC00179669-01', 'NCGC00179669-02', 'NCGC00179669-04', 'NCGC00255187-01', 'AC-11100', 'AS-56451', 'CPD000499579', 'LS-97425', 'SC-16223', '17alpha-Ethynyl-17-hydroxyest-4-en-3-one', '17alpha-Ethynyl-3-oxo-4-estren-17beta-ol', 'N0449', '17alpha-ethynyl-17-hydroxy-Estr-4-en-3-one', 'C05028', 'D00182', '17alpha-Ethynyl-17beta-hydroxyestr-4-en-3-one', '17beta-Hydroxy-17alpha-ethynylestr-4-en-3-one', '067N596', '17-alpha-Ethynyl-17-beta-hydroxy-4-estren-3-one', 'Q421352', 'SR-01000765382', '17alpha-Ethinyl-17alpha-Ethinyl-19-nortestosterone', 'SR-01000765382-3', 'W-104686', '13-methyl-17alpha-ethynyl-17-hydroxygon-4-en-3-one', '17-Hydroxy-17-alpha-19-norpregn-4-en-20-yn-3-one', '17-Hydroxy-19-nor-17alpha-4-pregnen-20-yn-3-one', '17-hydroxy-19-nor-17alpha-pregn-4-en-20yn-3-one', '19-Nor-17alpha-ethynyl-4-androsten-17beta-ol-3-one', '19-Norethindrone, VETRANAL(TM), analytical standard', 'BRD-K92073408-001-03-3', 'BRD-K92073408-001-16-5', '17-Hydroxy-(17alpha)-19-Norpregn-4-en-20-yn-3-one', '17-Ethynyl-17-hydroxyestr-4-en-3-one (ACD/Name 4.0)', '17alpha-Ethynyl-17beta-hydroxy-19-nor-4-androsten-3-one', 'Norethisterone, British Pharmacopoeia (BP) Reference Standard', 'Norethisterone, European Pharmacopoeia (EP) Reference Standard', '19-Nor-17alpha-pregn-4-en-20-yn-3-one, 17-hydroxy- (8CI)', 'Norethindrone, United States Pharmacopeia (USP) Reference Standard', 'Norethisterone for system suitability, European Pharmacopoeia (EP) Reference Standard', 'Norethindrone (Norethisterone), Pharmaceutical Secondary Standard; Certified Reference Material', 'Norethisterone; 19-Norethisterone; 17?-Ethynyl-19-nortestosterone; 17-Hydroxy-19-nor-17?-pregn-4-en-20-yn-3-one']</t>
  </si>
  <si>
    <t>Compound(6230)</t>
  </si>
  <si>
    <t>C20H26O2</t>
  </si>
  <si>
    <t>4-chloro-5-(methylamino)-2-[3-(trifluoromethyl)phenyl]pyridazin-3-one</t>
  </si>
  <si>
    <t>['NORFLURAZON', 'Norflurazone', 'Solicam', 'Zorial', '27314-13-2', 'Monometflurazon', 'Evital', 'Monometflurazone', 'SAN 9789', 'Evitol', 'Telok', 'Solicam Rapid', 'Zorial Rapid 80', 'Norflurazon technical', '4-Chloro-5-(methylamino)-2-(alpha,alpha,alpha-trifluoro-m-tolyl)-3(2H)-pyridazinone', 'Caswell No. 195AA', '4-Chloro-5-(methylamino)-2-[3-(trifluoromethyl)phenyl]-3(2H)-pyridazinone', 'SAN 9789 H', 'UNII-KES1HB07E4', 'Norflurazone [ISO-French]', 'H 9789', 'Norflurazon [ANSI:BSI:ISO]', 'San 97895', 'HSDB 6845', 'EINECS 248-397-1', 'H 52143', 'EPA Pesticide Chemical Code 105801', 'BRN 0757115', 'KES1HB07E4', 'CHEBI:50842', 'H-9789', 'H-52,143', '3(2H)-Pyridazinone, 4-chloro-5-(methylamino)-2-[3-(trifluoromethyl)phenyl]-', '1-(3-Trifluoromethylphenyl)-4-methylamino-5-chloropyridazone', '4-Chloro-5-methylamino-2-(3-trifluoromethylphenyl)pyridazin-3-one', 'DSSTox_CID_4234', '3(2H)-Pyridazinone, 4-chloro-5-(methylamino)-2-(3-(trifluoromethyl)phenyl)-', '4-chloro-5-(methylamino)-2-[3-(trifluoromethyl)phenyl]pyridazin-3(2H)-one', 'DSSTox_RID_77332', 'DSSTox_GSID_24234', '4-Chloro-5-(methylamino)-2-(3-(trifluoromethyl)phenyl)-3(2H)-pyridazinone', '4-chloro-5-(methylamino)-2-[3-(trifluoromethyl)phenyl]pyridazin-3-one', '3(2H)-Pyridazinone, 4-chloro-5-(methylamino)-2-(alpha,alpha,alpha-trifluoro-m-tolyl)-', 'CAS-27314-13-2', 'Sandoz 9789', 'C12H9ClF3N3O', '4-Chloro-5-(methylamino)-2-(3-(trifluoromethyl)phenyl)pyridazin-3(2H)-one', 'Norflurazon (NF)', 'Solicam;Zorial;SAN 9789', 'SCHEMBL54676', '5-25-14-00201 (Beilstein Handbook Reference)', 'Norflurazon, analytical standard', 'CHEMBL1881194', 'DTXSID8024234', 'CTK8E4943', 'ZINC271610', '1-(3-Trifluoromethylphenyl)-4-methylamino-5-chloro-6-pyridazone', 'Tox21_202043', 'Tox21_300701', 'AKOS015903314', 'MCULE-4211965369', '3(2H)-Pyridazinone, 4-chloro-5-(methylamino)-2-(.alpha.,.alpha.,.alpha.-trifluoro-m-tolyl)-', '3(2H)-Pyridazinone, 4-chloro-5-(methylamino)-2-(3-(trifluoromethyl)phenyl)- (9CI)', '4-Chloro-5-(methylamino)-2-(3-(trifluoromethyl)phenyl)-3(2H)-pyridazinone (9CI)', 'ACM27314132', 'NCGC00163841-01', 'NCGC00163841-02', 'NCGC00163841-03', 'NCGC00163841-04', 'NCGC00254609-01', 'NCGC00259592-01', 'Norflurazon 10 microg/mL in Acetonitrile', 'LS-129801', 'FT-0673095', 'NS00004600', 'Y1602', 'C18874', 'Norflurazon, PESTANAL(R), analytical standard', 'AB00081885-01', 'SR-01000206068', 'J-016727', 'Q1321843', 'SR-01000206068-1', '4-Chloro-5-(methylamino)-2-(.alpha.,.alpha.,.alpha.-trifluoro-m-tolyl)-3(2H)-pyridazinone', '4-chloro-5-(methylamino)-2-(alpha,alpha,alpha-trifluoro-m-toluyl)-3-(2H)-pyridazinone', 'NRF']</t>
  </si>
  <si>
    <t>Compound(33775)</t>
  </si>
  <si>
    <t>C12H9ClF3N3O</t>
  </si>
  <si>
    <t>norfloxacin</t>
  </si>
  <si>
    <t>1-ethyl-6-fluoro-4-oxo-7-piperazin-1-ylquinoline-3-carboxylic acid</t>
  </si>
  <si>
    <t>['norfloxacin', '70458-96-7', 'Norfloxacine', 'Noroxin', 'Chibroxin', 'Baccidal', 'Sebercim', 'MK-366', 'Norfloxacinum', 'Norfloxacino', 'Barazan', 'Fulgram', 'NFLX', 'AM-715', '1-Ethyl-6-fluoro-1,4-dihydro-4-oxo-7-(1-piperazinyl)-3-quinolinecarboxylic acid', 'Lexinor', 'Zoroxin', '1-ethyl-6-fluoro-4-oxo-7-(piperazin-1-yl)-1,4-dihydroquinoline-3-carboxylic acid', 'Norfloxacine [INN-French]', 'Norfloxacinum [INN-Latin]', 'Norfloxacino [INN-Spanish]', 'AM 715', 'MK 0366', 'MK-0366', '1,4-Dihydro-1-ethyl-6-fluoro-4-oxo-7-(1-piperazinyl)-3-quinolinecarboxylic acid', '1-Ethyl-6-fluoro-4-oxo-7-(1-piperazinyl)-1,4-dihydro-3-quinolinecarboxylic acid', 'UNII-N0F8P22L1P', 'CCRIS 6302', 'C16H18FN3O3', 'CHEMBL9', 'CHEBI:100246', '1-Ethyl-6-fluor-1,4-dihydro-4-oxo-7-(1-piperazinyl)-3-chinolincarbonsaeure', '1-ethyl-6-fluoro-4-oxo-7-piperazin-1-yl-1,4-dihydroquinoline-3-carboxylic acid', '3-Quinolinecarboxylic acid, 1-ethyl-6-fluoro-1,4-dihydro-4-oxo-7-(1-piperazinyl)-', 'EINECS 274-614-4', 'MFCD00079532', 'BRN 0567897', 'MLS000069650', 'N0F8P22L1P', '1-ethyl-6-fluoro-4-oxo-7-piperazin-1-ylquinoline-3-carboxylic acid', 'NCGC00016916-01', 'NCGC00016916-09', 'SMR000058200', 'CAS-70458-96-7', 'N-8650', '3-Quinolinecarboxylic acid, 1,4-dihydro-1-ethyl-6-fluoro-4-oxo-7-(1-piperazinyl)-', 'DSSTox_CID_17680', 'DSSTox_RID_79353', 'DSSTox_GSID_37680', 'Norflo', '1-ethyl-6-fluoro-4-oxo-7-piperazinylhydroquinoline-3-carboxylic acid', 'Noroxin (TN)', 'MK366', 'SR-01000000222', 'Norfloxacin [USAN:BAN:INN:JAN]', 'MK0366', 'AM-0715', 'Chibroxine', 'Chibroxol', 'Gonorcin', 'Nolicin', 'Noracin', 'Noraxin', 'Norocin', 'Noroxine', 'Norxacin', 'Uroxacin', 'norfloxacine;', 'Utinor', 'Noflo', 'HSDB 8029', 'Norfloxacine,(S)', 'Prestwick_633', 'Norfloxacin protomer I', 'Norfloxacin [USAN:USP:INN:BAN:JAN]', 'Norfloxacin (Norxacin)', 'Norfloxacin - Norxacin', 'Norfloxacin protomer II', 'Spectrum_001017', 'Opera_ID_1423', 'Prestwick0_000221', 'Prestwick1_000221', 'Prestwick2_000221', 'Prestwick3_000221', 'Spectrum2_001017', 'Spectrum3_000524', 'Spectrum4_000453', 'Spectrum5_001154', 'Epitope ID:119068', 'SCHEMBL3473', 'Oprea1_375152', 'BSPBio_000261', 'BSPBio_002107', 'KBioGR_000866', 'KBioSS_001497', 'MLS006011446', 'ARONIS24170', 'BIDD:GT0725', 'DivK1c_000084', 'SPECTRUM1500440', 'SPBio_001173', 'SPBio_002182', 'BPBio1_000289', 'ZINC3742', 'Norfloxacin (JP17/USP/INN)', 'DTXSID7037680', 'BCBcMAP01_000218', 'CTK8B3280', 'HMS500E06', 'KBio1_000084', 'KBio2_001497', 'KBio2_004065', 'KBio2_006633', 'KBio3_001607', 'BBC/317', 'NINDS_000084', 'HMS1568N03', 'HMS1920B16', 'HMS2090F03', 'HMS2091J16', 'HMS2095N03', 'HMS2235G03', 'HMS3712N03', 'Pharmakon1600-01500440', 'ACT02630', 'ALBB-015911', 'BCP27734', 'EBD35051', 'HY-B0132', 'KS-00000GU8', 'RKL10074', 'ZX-AN014618', 'ZX-AS004530', 'Tox21_110682', 'Tox21_113441', '1-ethyl-6-fluoro-4-oxo-7-piperazin-1-yl-quinoline-3-carboxylic acid', 'ANW-42194', 'BBL005569', 'BDBM50045000', 'CCG-40235', 'GA8833', 'NSC757250', 's1509', 'SBB012542', 'STK177250', 'AKOS000417391', 'Tox21_110682_1', 'AC-6855', 'API0003630', 'BCP9000993', 'CS-1906', 'DB01059', 'KS-5007', 'MCULE-1115657359', 'Norfloxacin, 98%, analytical standard', 'NSC-757250', '1-Ethyl-6-fluoro-4-oxo-7-(1-piperazinyl)-1,4-dihydroquinoline-3-carboxylic Acid', 'IDI1_000084', 'SMP1_000216', 'NCGC00016916-02', 'NCGC00016916-03', 'NCGC00016916-04', 'NCGC00016916-05', 'NCGC00016916-06', 'NCGC00016916-07', 'NCGC00016916-08', 'NCGC00016916-11', 'NCGC00016916-12', 'NCGC00021725-03', 'NCGC00021725-04', 'AK323673', 'CC-33076', 'SC-16553', 'ST072202', 'SY051390', 'SBI-0051464.P002', 'AB0012429', 'LS-141592', 'FT-0630800', 'FT-0673085', 'N0817', 'NS00000224', 'C06687', 'D00210', 'J10487', 'Z-0833', 'AB00052059-18', 'AB00052059-19', 'AB00052059_20', 'AB00052059_21', 'Norfloxacin, analytical standard, &gt;=98% (TLC)', 'Norfloxacin, VETRANAL(TM), analytical standard', '458N967', 'C-19611', 'Norfloxacin, Antibiotic for Culture Media Use Only', 'Q417897', 'SR-01000000222-2', 'SR-01000000222-3', 'BRD-K11196887-001-05-5', 'BRD-K11196887-001-15-4', 'Z56926638', 'Norfloxacin, British Pharmacopoeia (BP) Reference Standard', 'Norfloxacin, European Pharmacopoeia (EP) Reference Standard', '1-Ethyl-3-carboxy-6-fluoro-7-(piperazinyl-1)-quinolin-4(1H)-one', 'Norfloxacin, United States Pharmacopeia (USP) Reference Standard', '1-Ethyl-6-fluoro-1,4-dihydro-4-oxo-7-piperazino-3-quinolinecarboxylic acid', 'Norfloxacin, Pharmaceutical Secondary Standard; Certified Reference Material', '(NFLX)1-Ethyl-6-fluoro-4-oxo-7-piperazin-1-yl-1,4-dihydro-quinoline-3-carboxylic acid', '1-ethyl-1,4-dihydro-6-fluoro-4-oxo-7-(1-piperazinyl)quinoline-3-carboxylic acid', '1-ethyl-4-oxo-6-fluoro-7-(piperazinyl)-1,4-dihydro-quinoline-3-carboxylic acid', '1-Ethyl-6-fluoro-1,4-dihydro-4-oxo-7-(1-piperazinyl)-quinoline-3-carboxylicAcid', '1-ethyl-6-fluoro-1,4-dihydro-4-oxo-7-(1-piperazinyl)quinoline-3-carboxylic acid', '1-ethyl-6-fluoro-1,4-dihydro-7-(1-piperazinyl)-4-oxo-3-quinoline carboxylic acid', '1-ethyl-6-fluoro-1,4-dihydro-7-(1-piperazinyl)-4-oxoquinoline-3-carboxylic acid', '1-Ethyl-6-fluoro-4-oxo-7-(1-piperazinyl)-1,4-dihydro-3-quinolinecarboxylic acid #', '1-ethyl-6-fluoro-4-oxo-7-piperazinyl-1,4-dihydro-quinoline-3-carboxylic acid', '1-ethyl-6-fluoro-7-(1-piperazinyl)-4-oxo-1,4-dihydro-quinoline-3-carboxylic acid', '1-ethyl-6-fluoro-7-(1-piperazinyl)-4-oxo-1,4-dihydroquinoline-3-carboxylic acid', '7-(1-Piperazinyl)-1-ethyl-6-fluoro-4-oxo-1,4-dihydroquinoline-3-carboxylic acid', 'Norfloxacin for peak identification, European Pharmacopoeia (EP) Reference Standard', 'Norfloxacin for system suitability, European Pharmacopoeia (EP) Reference Standard', '(norfloxacin)1-Ethyl-6-fluoro-4-oxo-7-piperazin-1-yl-1,4-dihydro-quinoline-3-carboxylic acid', '1-Ethyl-6-fluoro-4-oxo-7-piperazin-1-yl-1,4,4a,8a-tetrahydro-quinoline-3-carboxylic acid (norfloxacin)', '1-Ethyl-6-fluoro-4-oxo-7-piperazin-1-yl-1,4-dihydro-quinoline-3-carboxylic acid (Norfloxacin)', '1-Ethyl-6-fluoro-4-oxo-7-piperazin-1-yl-1,4-dihydro-quinoline-3-carboxylic acid(1-norfloxacin)', '1-Ethyl-6-fluoro-4-oxo-7-piperazin-1-yl-1,4-dihydro-quinoline-3-carboxylic acid(Norfloxacin)']</t>
  </si>
  <si>
    <t>Compound(4539)</t>
  </si>
  <si>
    <t>C16H18FN3O3</t>
  </si>
  <si>
    <t>N-[[3-chloro-4-[1,1,2-trifluoro-2-(trifluoromethoxy)ethoxy]phenyl]carbamoyl]-2,6-difluorobenzamide</t>
  </si>
  <si>
    <t>['Novaluron', '116714-46-6', 'Rimon', 'Novaluron [ISO]', 'HSDB 7004', 'CHEBI:39385', 'Benzamide, N-3-chloro-4-(1,1,2-trifluoro)-2-(trifluoromethoxy)ethoxyphenyl-amino-carbonyl-2,6-difluoro-', 'N-({3-chloro-4-[1,1,2-trifluoro-2-(trifluoromethoxy)ethoxy]phenyl}carbamoyl)-2,6-difluorobenzamide', 'N-[[3-chloro-4-[1,1,2-trifluoro-2-(trifluoromethoxy)ethoxy]phenyl]carbamoyl]-2,6-difluorobenzamide', 'Benzamide, N-[[[3-chloro-4-[1,1,2-trifluoro-2-(trifluoromethoxy)ethoxy]phenyl]amino]carbonyl]-2,6-difluoro-', 'Benzamide, N-(((3-chloro-4-(1,1,2-trifluoro-2-(trifluoromethoxy)ethoxy)phenyl)amino)carbonyl)-2,6-difluoro-', 'N-[({3-chloro-4-[1,1,2-trifluoro-2-(trifluoromethoxy)ethoxy]phenyl}amino)carbonyl]-2,6-difluorobenzamide', 'C17H9ClF8N2O4', 'Pedestal', '1-[3-Chloro-4-(1,1,2-trifluoro-2-trifluoromethoxyethoxy)phenyl]-3-(2,6-difluorobenzoyl)urea', 'DSSTox_CID_14773', 'DSSTox_RID_79201', 'DSSTox_GSID_34773', 'SCHEMBL26984', 'CHEMBL1869031', 'DTXSID5034773', 'BCP33320', 'Tox21_300959', 's5475', 'AKOS005063565', 'CCG-269636', 'CS-3305', 'NCGC00163902-01', 'NCGC00163902-02', 'NCGC00163902-03', 'NCGC00163902-04', 'NCGC00254861-01', 'AS-15773', 'CC-33085', 'HY-17519', 'Q727', 'AB0017769', 'LS-182196', 'CAS-116714-46-6', 'FT-0631085', 'NS00003651', 'Novaluron, PESTANAL(R), analytical standard', 'C18875', '714N466', 'C-22890', 'Q1900206', '(RS)-1-[3-chloro-4-(1,1,2-trifluoro-2-trifluoromethoxyethoxy)phenyl]-3-(2,6-difluorobenzoyl)urea;Benzamide, N-[[[3-chloro-4-[1,1,2-trifluoro-2-(trifluoromethoxy)ethoxy]phenyl]amino]carbonyl]-2,6-difluoro-', 'N-(3-chloro-4-(1,1,2-trifluoro-2-(trifluoromethoxy)ethoxy)phenylcarbamoyl)-2,6-difluorobenzamide', 'Pesticide3_Novaluron_C17H9ClF8N2O4_N-({3-Chloro-4-[1,1,2-trifluoro-2-(trifluoromethoxy)ethoxy]phenyl}carbamoyl)-2,6-difluorobenzamide']</t>
  </si>
  <si>
    <t>Compound(93541)</t>
  </si>
  <si>
    <t>C17H9ClF8N2O4</t>
  </si>
  <si>
    <t>(2-chlorophenyl)-(4-fluorophenyl)-pyrimidin-5-ylmethanol</t>
  </si>
  <si>
    <t>['Nuarimol', 'Trimidal', '63284-71-9', 'Guantlet', 'Triminol', 'Murox', 'Trimifruit SC', 'Caswell No. 419G', "5-(2-Chloro-4'-fluorobenzhydryl)-4-hydroxypyrimidine", 'EL 228', 'Nuarimol [ANSI:BSI:ISO]', 'EL 2289', 'EINECS 264-071-1', 'EPA Pesticide Chemical Code 224100', 'BRN 6223667', "2-Chloro-4'-fluoro-alpha-(pyrimidin-5-yl)diphenylmethanol", "(+-)-2-Chloro-4'-fluoro-alpha-(pyrimidin-5-yl)benzhydryl alcohol", 'alpha-(2-Chlorophenyl)-alpha-(4-fluorophenyl)-5-pyrimidinemethanol', '5-Pyrimidinemethanol, .alpha.-(2-chlorophenyl)-.alpha.-(4-fluorophenyl)-', 'W-111222', '(2-chlorophenyl)-(4-fluorophenyl)-pyrimidin-5-ylmethanol', "2-Chloro-4'-fluoro-alpha-(pyrimidin-5-yl)benz hydroxylalcohol", '5-Pyrimidinemethanol, alpha-(2-chlorophenyl)-alpha-(4-fluorophenyl)-', 'Gauntlet', 'Tridal', 'Nuarimol (Trimidal)', 'Cidorel (Salt/Mix)', 'Gandural (Salt/Mix)', '(.+/-.)-Nuarimol', 'DSSTox_CID_22220', 'DSSTox_RID_79964', 'DSSTox_GSID_42220', 'SCHEMBL20691', 'CHEMBL1863087', 'DTXSID2042220', '(2-chlorophenyl)-(4-fluorophenyl)-pyrimidin-5-yl-methanol', 'DNDI1255614', 'Tox21_301251', 'Nuarimol 10 microg/mL in Cyclohexane', '5-Pyrimidinemethanol, alpha-(2-chlorophenyl)-alpha-(4-fluorophenyl)- (9CI)', 'NCGC00255760-01', 'CAS-63284-71-9', 'LS-135443', 'FT-0658484', 'NS00002335', 'Nuarimol, PESTANAL(R), analytical standard', 'C11185', '284N719', 'C-56160', 'Q15632816', '(2-Chlorophenyl)(4-fluorophenyl)5-pyrimidinylmethanol #', '(R)-(2-chlorophenyl)(4-fluorophenyl)(pyrimidin-5-yl)methanol', "2-Chloro-4'-fluoro-.alpha.-(pyrimidin-5-yl)benzhydryl alcohol", "2-Chloro-4'-fluoro-.alpha.-(pyrimidin-5-yl)diphenylmethanol", "(.+/-.)-2-Chloro-4'-fluoro-.alpha.-(pyrimidin-5-yl)benzhydryl alcohol", '.alpha.-(2-Chlorophenyl)-.alpha.-(4-fluorophenyl)-5-pyrimidinemethanol', 'Pesticide6_Nuarimol_C17H12ClFN2O_(2-Chlorophenyl)(4-fluorophenyl)5-pyrimidinylmethanol', "5-(2-chloro-4'-fluorobenzhydryl)-4-hydroxypyrimidine;5-(2-chloro-4-fluorobenzhydryl)-4-hydroxypyrimidine;nuarimol"]</t>
  </si>
  <si>
    <t>Compound(91683)</t>
  </si>
  <si>
    <t>C17H12ClFN2O</t>
  </si>
  <si>
    <t>o- (phenylmercuryoxy) phenol</t>
  </si>
  <si>
    <t>(2,4-dihydroxyphenyl)-phenylmercury</t>
  </si>
  <si>
    <t>['Germisan', '(Dihydroxyphenyl)phenylmercury', 'Phenylmercuripyrocatechin', 'EINECS 248-426-8', 'MERCURY, (DIHYDROXYPHENYL)PHENYL-', '27360-58-3', 'DTXSID301009939', 'LS-89758', '(2,4-DIHYDROXYPHENYL)(PHENYL)MERCURY']</t>
  </si>
  <si>
    <t>Compound(33793)</t>
  </si>
  <si>
    <t>C12H10HgO2</t>
  </si>
  <si>
    <t>o-toluenesulfonamide</t>
  </si>
  <si>
    <t>2-methylbenzenesulfonamide</t>
  </si>
  <si>
    <t>['O-TOLUENESULFONAMIDE', '2-Methylbenzenesulfonamide', '88-19-7', '2-methylbenzene-1-sulfonamide', 'Benzenesulfonamide, 2-methyl-', '2-Toluenesulfonamide', 'Toluene-2-sulphonamide', 'o-Methylbenzenesulfonamide', 'Toluene-2-sulfonamide', 'ortho-Toluenesulfonamide', 'Ketjenflex 9', '2-Tolylsulfonamide', 'Santicizer 9', 'Ketjenflex 9S', 'Ortho-toluol-sulfonamid', 'ortho-Toluenesulphonamide', 'NSC 2185', '2(or 4)-Toluenesulfonamide', 'o-(Or p)-toluenesulphonamide', 'UNII-R81Z6V889P', 'CCRIS 8900', 'HSDB 5256', 'ortho-Toluol-sulfonamid [German]', '2(or 4)-Methylbenzenesulfonamide', 'EINECS 201-808-8', 'EINECS 232-394-7', 'Benzenesulfonamide, 2(or 4)-methyl-', 'BRN 1102362', 'AI3-23216', 'R81Z6V889P', 'p/m-Toluene sulfonamide', 'o-tolylsulfonamide', 'OTS amide', 'toluene sulfonamide', 'IEJ', 'MFCD00007934', '2-toluenesulphonamide', 'PubChem10087', 'ACMC-209qro', 'methyl-benzenesulphonamide', 'o-Toluenesulfonamide,99%', 'DSSTox_CID_1362', '2-methylbenzene-sulfonamide', 'WLN: ZSWR B1', 'EC 201-808-8', '2-methyl-benzenesulphonamide', '2-methylbenzene sulphonamide', 'o-Toluenesulfonamide, 99%', 'SCHEMBL7369', 'DSSTox_RID_76108', 'SPR_3', 'Uniplex 171 (Salt/Mix)', 'DSSTox_GSID_21362', '4-11-00-00229 (Beilstein Handbook Reference)', 'KSC448A4T', '2-Methylbenzene-1-sulphonamide', 'Ortho Tolune Sulphonamide,(S)', 'CHEMBL176892', 'DTXSID7021362', 'BDBM35999', 'CTK3E8049', 'KS-00000WNE', 'NSC2185', 'EBD47017', 'NSC-2185', 'STR03407', 'ZINC2567980', 'Tox21_301641', 'ANW-38962', 'SBB058537', 'STK325715', 'AKOS000119649', 'LS-7728', 'LS10653', 'MCULE-8856156817', 'NE10531', 'CAS-88-19-7', 'NCGC00255267-01', '8013-74-9', 'AK167037', 'LS-31635', 'Ortho/Para-Toluene Sulfonamide - 20/80', 'Ortho/Para-Toluene Sulfonamide - 30/70', 'Ortho/Para-Toluene Sulfonamide - 40/60', 'SC-75300', 'TS-02327', 'FT-0651648', 'FT-0659866', 'NS00010811', 'ST50407149', 'o-Methylbenzenesulfonamide; o-Toluenesulfonamide', 'A806591', 'AE-562/40299836', 'W-109319', 'Q27287945', 'Z57902803', 'UNII-7KNQ0Z6J6Y component YCMLQMDWSXFTIF-UHFFFAOYSA-N', 'o-Toluenesulfonamide, United States Pharmacopeia (USP) Reference Standard', 'o-Toluenesulfonamide, Pharmaceutical Secondary Standard; Certified Reference Material', 'Toluenesulfonamide;FORMALDEHYDE O-TOLUENESULFONAMIDE;o-(or p)-toluenesulphonamide;Benzenesulfonamide, 2-methyl-;o-Toluenesulfonamide;toluene-2-sulphonamide']</t>
  </si>
  <si>
    <t>Compound(6924)</t>
  </si>
  <si>
    <t>C7H9NO2S</t>
  </si>
  <si>
    <t>o-allyl phenol</t>
  </si>
  <si>
    <t>2-prop-2-enylphenol</t>
  </si>
  <si>
    <t>['2-ALLYLPHENOL', '1745-81-9', 'o-Allylphenol', 'Phenol, o-allyl-', 'Phenol, 2-(2-propenyl)-', 'Phenol, (2-propenyl)-', '2-(2-Propenyl)phenol', '2-(prop-2-en-1-yl)phenol', '2-allyl-phenol', 'Phenol, 2-(2-propen-1-yl)-', '2-prop-2-enylphenol', '2-prop-2-en-1-ylphenol', 'UNII-O04F145ZJZ', 'NSC 1538', 'EINECS 217-119-0', 'BRN 0742121', 'AI3-17107', 'O04F145ZJZ', 'CHEBI:39826', '(2-Propenyl)phenol', 'Allylphenol (mixed isomers)', 'allylphenol', 'Allyl Phenol', '2-allyl phenol', 'ortho-allyl phenol', '2-Allyl Phenol WP', '2-Allylphenol, 98%', 'ACMC-1BRVQ', '2-(2-Propenyl)-phenol', 'DSSTox_CID_2164', '2-(2-Propenyl)-phenol,', '3-(2-hydroxyphenyl)propene', 'DSSTox_RID_76510', 'DSSTox_GSID_22164', 'WLN: QR B2U1', '4-06-00-03807 (Beilstein Handbook Reference)', 'SCHEMBL160157', 'CHEMBL1229950', 'DTXSID3022164', 'NSC1538', '1-ALLYL,2-HYDROXY-BENZENE', 'ALBB-020392', 'KS-00000WG6', 'NSC-1538', 'ZINC1576883', 'Tox21_302056', 'ANW-22717', 'BBL027374', 'MFCD00002250', 'SBB044905', 'STK802467', 'AKOS000274969', 'DB02534', 'LS11683', 'MCULE-3496703080', 'NCGC00255154-01', '26761-75-1', 'AS-17714', 'SC-65386', 'CAS-1745-81-9', 'LS-103844', 'A0233', 'FT-0610996', 'NS00020393', 'ST50817962', 'V1499', 'J-507716', 'Q27093513', 'F2137-0011', 'UNII-T5721BH5Z4 component QIRNGVVZBINFMX-UHFFFAOYSA-N']</t>
  </si>
  <si>
    <t>Compound(15624)</t>
  </si>
  <si>
    <t>2-(2-aminophenyl)aniline</t>
  </si>
  <si>
    <t>['1454-80-4', "2,2'-BIPHENYLDIAMINE", "2,2'-Diaminobiphenyl", 'o-Benzidine', "[1,1'-Biphenyl]-2,2'-diamine", "Biphenyl-2,2'-diamine", "o,o'-Diaminobiphenyl", "2,2'-Diaminodiphenyl", "1,1'-Biphenyl-2,2'-diamine", "(1,1'-Biphenyl)-2,2'-diamine", 'NSC 99367', 'UNII-0DJ0J26MNW', 'BRN 1949579', '0DJ0J26MNW', '2-(2-aminophenyl)phenylamine', 'AE-641/02339059', '2-(2-aminophenyl)aniline', 'NSC99367', 'FR-2091', 'Enamine_000878', 'NCIOpen2_002089', '4-13-00-00356 (Beilstein Handbook Reference)', 'MLS000765308', 'SCHEMBL169281', 'CHEMBL1384563', 'CTK0H6180', 'DTXSID00163003', 'HMS1396H20', 'HMS2620M18', 'ZINC157657', 'ACN-C001136', 'ALBB-010500', 'ZX-RL000151', '4409AD', 'FCH916583', 'NSC-99367', 'SBB008458', 'AKOS000269002', 'MCULE-4426749059', 'NCGC00245148-01', "2'-Amino[1,1'-biphenyl]-2-ylamine #", 'LS-44287', 'OR200022', 'SMR000289413', "(1,1'-Biphenyl)-2,2'-diamine (9CI)", "2,2'-Biphenyldiamine, &gt;=96.5% (GC)", 'DB-080996', 'D5255', 'FT-0609157', 'R1622', 'ST45028723', 'C-45903']</t>
  </si>
  <si>
    <t>Compound(15075)</t>
  </si>
  <si>
    <t>2-methylphenol</t>
  </si>
  <si>
    <t>['o-cresol', '2-Methylphenol', '95-48-7', '2-hydroxytoluene', '2-Cresol', 'Orthocresol', 'Phenol, 2-methyl-', 'o-methylphenol', 'o-Cresylic acid', 'o-Oxytoluene', 'o-Toluol', 'o-Hydroxytoluene', 'o-Methylphenylol', '1-Hydroxy-2-methylbenzene', 'ortho-cresol', 'o-Kresol', '2-methyl phenol', 'Cresol, ortho-', 'Cresol, o-', 'o-Kresol [German]', '2-Hydroxy-1-methylbenzene', 'Cresylic acid', '2-methyl-phenol', 'Cresol, o-isomer', 'hydroxy toluene', 'Phenol, methyl-', 'UNII-YW84DH5I7U', 'NSC 23076', 'CCRIS 646', 'FEMA No. 3480', 'HSDB 1813', 'Cresol mixture of isomers', 'EINECS 202-423-8', '1-Methyl-2-hydroxybenzene', 'YW84DH5I7U', 'AI3-00137', 'CHEBI:28054', 'o-Cresol, 99%', 'TOLUENE,2-HYDROXY  (ORTHO-CRESOL)', 'o-Cresol [UN2076]  [Poison, Corrosive]', 'DSSTox_CID_1808', 'DSSTox_RID_76341', 'WLN: QR B1', 'DSSTox_GSID_21808', 'o-Cresol, 99%, AcroSeal(R)', 'CAS-95-48-7', 'Orthocresol [NF]', 'Orthocresol [NF V]', 'Formaldehyde, polymer with 2-methylphenol', 'ortho cresol', 'Methyl phenol', '2-methyiphenol', 'Methylphenol-2', '2-Methyl-phenol.', 'JZ0', 'O-Cresol,(S)', 'PubChem15714', 'Carvacrol derivative, 9', '25053-96-7', 'o-Cresol, &gt;=99%', 'bmse000433', 'UN 2076 (Related)', 'EC 202-423-8', '2-Methylphenol (o-cresol)', 'ortho-cresol,2-methylphenol', 'SCHEMBL16002', 'KSC174S1T', 'MLS002454426', 'o-Cresol, analytical standard', 'BIDD:ER0677', 'CHEMBL46931', '3C7H8O', 'ACMC-1C144', 'DTXSID8021808', 'CTK0H4919', 'FEMA 3480', 'KS-00000UNL', 'BDBM248166', 'HMS2268O24', 'LABOTEST-BB LTBB001400', 'ZINC901022', 'o-Cresol, for synthesis, 99.3%', '2-Methylphenol, analytical standard', 'NSC23076', 'NSC36809', 'Tox21_202305', 'Tox21_300021', 'ANW-40524', 'MFCD00002226', 'NSC-23076', 'NSC-36809', 'SBB060100', 'STL194295', 'o-Cresol, ReagentPlus(R), &gt;=99%', 'AKOS000119021', 'AS00217', 'LS-1977', 'MCULE-4124485112', 'NCGC00091534-01', 'NCGC00091534-02', 'NCGC00091534-03', 'NCGC00091534-04', 'NCGC00254140-01', 'NCGC00259854-01', 'o-Cresol, SAJ first grade, &gt;=97.0%', 'SC-46731', 'SMR001252248', '2-Methylphenol 100 microg/mL in Methanol', 'o-Cresol [UN2076] [Poison, Corrosive]', 'FT-0656046', 'NS00003545', 'ST51046340', 'Z3651', '7520-EP2277867A2', '7520-EP2280003A2', '7520-EP2292227A2', '7520-EP2295426A1', '7520-EP2295427A1', '7520-EP2295435A1', '7520-EP2298751A2', '7520-EP2302015A1', '7520-EP2305683A1', '7520-EP2308861A1', '7520-EP2311839A1', '7520-EP2314584A1', '7520-EP2314589A1', '7520-EP2316470A2', '7520-EP2316832A1', '7520-EP2316833A1', '7520-EP2316837A1', 'C01542', '19034-EP2311811A1', '19034-EP2314576A1', '28670-EP2279750A1', '28670-EP2284146A2', '28670-EP2284147A2', '28670-EP2284165A1', '28670-EP2287159A1', '28670-EP2305673A1', '28670-EP2308838A1', '28670-EP2308865A1', '28670-EP2308877A1', '28670-EP2311815A1', '28670-EP2311834A1', '28670-EP2314579A1', '28670-EP2372017A1', '45193-EP2311821A1', '93911-EP2269977A2', '93911-EP2305625A1', 'Cresol mixture of isomers;Methylphenol;Tricresol', '1-Hydroxyl 2-Methyl Benzene, 2-Hydroxyl Toluene', 'Q312708', 'J-006098', 'J-523819', 'F0001-2271', 'UNII-3JYG22FD73 component QWVGKYWNOKOFNN-UHFFFAOYSA-N', 'UNII-GF3CGH8D7Z component QWVGKYWNOKOFNN-UHFFFAOYSA-N']</t>
  </si>
  <si>
    <t>Compound(335)</t>
  </si>
  <si>
    <t>(8R,9S,13S,14S)-3-hydroxy-13-methyl-7,8,9,11,12,14,15,16-octahydro-6H-cyclopenta[a]phenanthren-17-one</t>
  </si>
  <si>
    <t>['estrone', '53-16-7', 'folliculin', 'OESTRONE', 'Theelin', 'estrovarin', 'Estrugenone', 'follicular hormone', 'Kestrone', 'Estron', 'Follicunodis', 'Aquacrine', 'Destrone', 'Disynformon', 'Folliculine', 'Glandubolin', 'Hiestrone', 'Hormestrin', 'Oestroform', 'Oestronum', 'Oestroperos', 'Thelykinin', 'Femidyn', 'Folipex', 'Folisan', 'Kolpon', 'Menagen', 'Oestrin', 'Unden', 'Ketohydroxyestrin', 'Estrone-A', 'Ketohydroxyoestrin', 'Endofolliculina', 'Crinovaryl', 'Cristallovar', 'Crystogen', 'Estrusol', 'Folikrin', 'Follestrine', 'Follestrol', 'Hormofollin', 'Hormovarine', 'Ketodestrin', 'Menformon', 'Mestronaq', 'Ovifollin', 'Perlatan', 'Solliculin', 'Thelestrin', 'Thynestron', 'Wynestron', 'Tokokin', '3-Hydroxyestra-1,3,5(10)-trien-17-one', '1,3,5(10)-Estratrien-3-ol-17-one', 'Estrona [Spanish]', 'Femestrone injection', 'Folliculine benzoate', 'Ovex (tablets)', 'Estronum [INN-Latin]', 'estrol', 'Estrona [INN-Spanish]', 'Estrogenic Substance', 'Fem-O-Gen', '(+)-Estrone', 'Estra-1,3,5(10)-trien-17-one, 3-hydroxy-', 'Ketohydroxy-Estratriene', '3-Hydroxy-17-keto-estra-1,3,5-triene', 'E(sub 1)', '3-Hydroxyestra-1,3,5(10)-triene-17-one', '3-Hydroxy-oestra-1,3,5(10)-trien-17-one', 'Estrone (E1)', '1,3,5(10)-Oestratrien-3-ol-17-one', '3-Hydroxy-17-keto-oestra-1,3,5-triene', 'delta-1,3,5-Estratrien-3beta-ol-17-one', 'delta-1,3,5-estratrien-3-beta-ol-17-one', 'delta-1,3,5-Oestratrien-3beta-ol-17-one', 'delta-1,3,5-oestratrien-3-beta-ol-17-one', 'Unden (pharmaceutical) (VAN)', 'Oestrone [Steroidal oestrogens]', '3-Hydroxy-1,3,5(10)-estratrien-17-one', 'UNII-2DI9HA706A', 'CCRIS 285', 'Unden (pharmaceutical)', '(8R,9S,13S,14S)-3-hydroxy-13-methyl-7,8,9,11,12,14,15,16-octahydro-6H-cyclopenta[a]phenanthren-17-one', 'HSDB 3324', 'NATURAL ESTROGENIC SUBSTANCE-ESTRONE', '3-hydroxy-estra-1,3,5(10)-trien-17-one', 'NSC 9699', 'EINECS 200-164-5', 'BRN 1915077', 'CHEMBL1405', 'MLS000028475', '2DI9HA706A', 'CHEBI:17263', 'Estrone, 99+%', 'Estronum', 'SMR000058338', '3-Hydroxyestra-1(10),2,4-trien-17-one', 'DSSTox_CID_2367', 'Estrone [USAN:INN]', 'DSSTox_RID_76560', 'DSSTox_GSID_22367', '(13S)-3-hydroxy-13-methyl-7,8,9,11,12,13,15,16-octahydro-6H-cyclopenta[a]phenanthren-17(14H)-one', '[2,4,6,7-3H]-E1', 'hydroxyestrones', '(9beta,13alpha)-3-Hydroxyestra-1,3,5(10)-Trien-17-One', 'MFCD00003620', '(1S,10R,11S,15S)-5-hydroxy-15-methyltetracyclo[8.7.0.0^{2,7}.0^{11,15}]heptadeca-2(7),3,5-trien-14-one', 'Estrone (TN)', '(+/-)-Oestrone', '(+/-)-Estrone', 'Estrone DL-form [MI]', 'Estrone, (+/-)-', 'Estrone (JAN/USP/INN)', 'Estrone [USP:INN:BAN]', 'Aquest', 'NSC-9699', 'WAY 164397', 'CAS-53-16-7', 'NCGC00015423-03', 'J3Z', 'CMC_13458', 'Opera_ID_330', 'Estrone, &gt;=99%', 'Prestwick0_000914', 'Prestwick1_000914', 'Prestwick2_000914', 'Prestwick3_000914', 'Spectrum5_002047', 'E0026', 'bmse000549', 'E 9750', 'EC 200-164-5', 'Lopac0_000513', 'SCHEMBL21702', 'BSPBio_000788', '19973-76-3', '3-08-00-01171 (Beilstein Handbook Reference)', 'MLS001077340', 'MLS002695951', 'MLS006011890', 'BIDD:ER0145', 'SPBio_002977', 'BPBio1_000868', 'GTPL2818', 'MEGxm0_000444', 'SGCUT00128', 'DTXSID4022367', 'Estrone 1.0 mg/ml in Methanol', 'ACon0_000083', 'ACon1_000122', 'BDBM17289', 'CTK7J9741', '[2,4,6,7-3H]-Estrone', 'Estra-1,3,5(10)-trien-17-one, 3-hydroxy-, (+/-)-', 'HMS1570H10', 'HMS2090E22', 'HMS2097H10', 'HMS2232O15', 'HMS3261H07', 'HMS3714H10', 'ACT02603', 'BCP13336', 'HY-B0234', 'to_000049', 'Tox21_113567', 'Tox21_201375', 'Tox21_303651', 'Tox21_500513', 'BBL033470', 'BL-090', 'LMST02010004', 's1665', 'STK801833', 'ZINC13509425', 'AKOS005622512', 'AKOS007930641', 'Tox21_113567_1', 'AC-1395', 'ACN-032012', 'CCG-204604', 'CS-2202', 'DB00655', 'DS-6316', 'EBD2157889', 'Estrone 100 microg/mL in Acetonitrile', 'LP00513', 'SDCCGSBI-0050497.P002', 'SMP1_000123', 'NCGC00023643-03', 'NCGC00023643-04', 'NCGC00023643-05', 'NCGC00023643-06', 'NCGC00023643-07', 'NCGC00023643-08', 'NCGC00023643-09', 'NCGC00023643-10', 'NCGC00023643-11', 'NCGC00023643-12', 'NCGC00023643-13', 'NCGC00023643-15', 'NCGC00179433-01', 'NCGC00179433-02', 'NCGC00179433-03', 'NCGC00257402-01', 'NCGC00258926-01', 'NCGC00261198-01', '(8R,9S,13S,14S)-3-hydroxy-13-methyl-6,7,8,9,11,12,13,14,15,16-decahydro-17H-cyclopenta[a]phenanthren-17-one', 'Estrone, meets USP testing specifications', 'LS-64884', 'D1,3,5(10)-Estratrien-3-ol-17-one', '3-hydroxyl-1,3,5(10)-estratien-17-one', '3-Hydroxyoestra-1,3,5(10)-trien-17-one', 'AB00382990', 'Estrone, VETRANAL(TM), analytical standard', 'EU-0100513', '3-hydroxy-estra-1,3,5(10)-triene-17-one', 'C00468', 'D00067', 'X-1332', 'AB00382990-16', 'AB00382990-17', 'AB00382990_18', 'estra-1(10),2,4-trien-17-one, 3-hydroxy-', '003E620', 'Q414986', 'SR-01000000085', 'SR-01000075867', 'Q-201073', 'SR-01000000085-3', 'SR-01000075867-1', 'BRD-K81839095-001-04-6', 'BRD-K81839095-001-30-1', 'E1 (1-3-5(10)-estratrien-3-ol-17-one estrone)', '86C77018-146D-4603-ACEA-CA0D8C4F1E2C', 'Estrone, European Pharmacopoeia (EP) Reference Standard', 'Z1695906713', 'UNII-X9XKA379T9 component DNXHEGUUPJUMQT-CBZIJGRNSA-N', 'Estrone, United States Pharmacopeia (USP) Reference Standard', 'Estrone, Pharmaceutical Secondary Standard; Certified Reference Material', 'Estrone solution, 1.0 mg/mL in methanol, ampule of 1 mL, certified reference material', '(1S,10R,11S,15S)-5-hydroxy-15-methyltetracyclo[8.7.0.0(2),.0(1)(1),(1)]heptadeca-2,4,6-trien-14-one', '(1S,10R,11S,15S)-5-hydroxy-15-methyltetracyclo[8.7.0.0;{2,7}.0;{11,15}]heptadeca-2,4,6-trien-14-one', '(8R,13S)-3-Hydroxy-13-methyl-6,7,8,9,11,12,13,14,15,16-decahydro-cyclopenta[a]phenanthren-17-one']</t>
  </si>
  <si>
    <t>Compound(5870)</t>
  </si>
  <si>
    <t>C18H22O2</t>
  </si>
  <si>
    <t>2-chloro-N-(2,6-dimethylphenyl)-N-(2-oxooxolan-3-yl)acetamide</t>
  </si>
  <si>
    <t>['Ofurace', '58810-48-3', 'Milfuram', 'Ortho 20615', 'Chevron 20615', 'Ofurace [ANSI:BSI:ISO]', 'RE 20615', 'EINECS 261-451-9', 'BRN 1653655', '2-Chloro-N-(2,6-dimethylphenyl)-N-(tetrahydro-2-oxo-3-furyl)acetamide', 'Acetamide, 2-chloro-N-(2,6-dimethylphenyl)-N-(tetrahydro-2-oxo-3-furanyl)-', '2-chloro-N-(2,6-dimethylphenyl)-N-(2-oxotetrahydrofuran-3-yl)acetamide', '2-Chloro-N-(2,6-dimethylphenyl)-N-(tetrahydro-2-oxo-3-furanyl)acetamide', '(+-)-alpha-2-Chloro-N-2,6-xylylacetamido-gamma-butyrolactone', '2-chloro-N-(2,6-dimethylphenyl)-N-(2-oxooxolan-3-yl)acetamide', "2-Chloro-2',6'-dimethyl-N-(2-oxotetrahydro-3-furyl)acetanilide", '2-Chloro-N-(2,6-dimethylphenyl)-N-(2-oxotetrahydro-3-furanyl)acetamide', "ACETANILIDE, 2-CHLORO-2',6'-DIMETHYL-N-(2-OXOTETRAHYDRO-3-FURYL)-", 'W-105363', 'Milfuram; RE 20615', 'SCHEMBL20511', '5-18-11-00316 (Beilstein Handbook Reference)', 'DTXSID6058138', 'CHEBI:82792', 'Ofurace 10 microg/mL in Cyclohexane', 'AKOS015903455', 'API0012928', 'CC-33302', 'LS-10557', 'Ofurace, PESTANAL(R), analytical standard', 'FT-0758991', 'NS00009115', 'C18800', '810O483', 'C-34219', 'Q18629529', '(RS)-alpha-(2-chloro-N-2,6-xylylacetamido)-gamma-butyrolactone', '2-Chloro-N-(2,6-dimethylphenyl)-N-(2-oxotetrahydro-3-furanyl)acetamide #', '2-chloro-N-(2,6-dimethylphenyl)-N-[(3S)-2-oxotetrahydrofuran-3-yl]acetamide']</t>
  </si>
  <si>
    <t>Compound(42850)</t>
  </si>
  <si>
    <t>C14H16ClNO3</t>
  </si>
  <si>
    <t>ofloxacin</t>
  </si>
  <si>
    <t>7-fluoro-2-methyl-6-(4-methylpiperazin-1-yl)-10-oxo-4-oxa-1-azatricyclo[7.3.1.05,13]trideca-5(13),6,8,11-tetraene-11-carboxylic acid</t>
  </si>
  <si>
    <t>['ofloxacin', '82419-36-1', 'Floxin', 'Ofloxacine', 'Tarivid', 'Oxaldin', 'Ocuflox', 'Oflocet', 'Visiren', 'OFLX', 'Ofloxacino', 'Ofloxacinum', 'Exocin', 'Hoe-280', 'DL-8280', 'Floxin otic', 'Ofloxacin Otic', 'Ofloxacina [DCIT]', 'Ofloxacine [French]', 'Ofloxacinum [Latin]', 'Ofloxacino [Spanish]', 'HOE 280', 'FLOXIN IN DEXTROSE 5%', '9-fluoro-3-methyl-10-(4-methylpiperazin-1-yl)-7-oxo-2,3-dihydro-7H-[1,4]oxazino[2,3,4-ij]quinoline-6-carboxylic acid', 'DL 8280', 'DL-ofloxacin', 'PT 01', 'ORF 18489', 'CCRIS 5233', 'CHEBI:7731', '9-fluoro-3-methyl-10-(4-methylpiperazin-1-yl)-7-oxo-3,7-dihydro-2H-[1,4]oxazino[2,3,4-ij]quinoline-6-carboxylic acid', 'CHEMBL4', 'FLOXIN IN DEXTROSE 5% IN PLASTIC CONTAINER', 'BRN 3657947', 'MLS000028749', 'Ofloxacina', 'Ofloxacin, 98%', '(+-)-9-Fluoro-2,3-dihydro-3-methyl-10-(4-methyl-1-piperazinyl)-7-oxo-7H-pyrido(1,2,3-de)-1,4-benzoxazine-6-carboxylic acid', 'Exocine', 'Flobacin', 'SMR000058192', 'Zanocin', 'Floxil', 'DSSTox_CID_21085', 'DSSTox_RID_79623', 'DSSTox_GSID_41085', '8-Fluoro-3-methyl-9-(4-methyl-piperazin-1-yl)-6-oxo-2,3-dihydro-6H-1-oxa-3a-aza-phenalene-5-carboxylic acid', 'OFX', 'C18H20FN3O4', '(-)-(S)-9-Fluoro-2,3-dihydro-3-methyl-10-(4-methyl-1-piperazinyl)-7-oxo-7H-pyrido[1,2,3-de]-1;(-)-(S)-9-Fluoro-2,3-dihydro-3-methyl-10-(4-methyl-1-piperazinyl)-7-oxo-7H-pyrido[1,2,3-de]-1', '7H-Pyrido(1,2,3-de)-1,4-benzoxazine-6-carboxylic acid, 2,3-dihydro-9-fluoro-3-methyl-10-(4-methyl-1-piperazinyl)-7-oxo-, (+-)-', '7H-Pyrido(1,2,3-de)-1,4-benzoxazine-6-carboxylic acid, 9-fluoro-2,3-dihydro-3-methyl-10-(4-methyl-1-piperazinyl)-7-oxo-, (+-)-', '9-Fluoro-2,3-dihydro-3-methyl-10-(4-methyl-1-piperazinyl)-7-oxo-7H-pyrido[1,2,3-de]-1,4-benzoxazine-6-carboxylic acid', 'Floxin (TN)', 'Ofloxacin [USAN:BAN:INN:JAN]', '(+/-)-Floxin', 'Ofloxacin, (S)-Isomer', 'SR-01000076050', 'LEVOFLOXACIN HCL', 'ORF-28489', 'Ru-43280', 'Dextrofloxacin', 'Monoflocet', 'ofloxacin;', 'HSDB 8030', 'Ofloxacin,(S)', 'NCGC00016948-01', 'AK163316', 'Ofloxacin (Floxin)', 'CAS-82419-36-1', 'Exocin (eye drops)', 'MFCD00226105', 'Ofloxacin [USAN:USP:INN:BAN:JAN]', 'WP-0405', 'Spectrum_001186', 'Opera_ID_1114', 'Prestwick0_000237', 'Prestwick1_000237', 'Prestwick2_000237', 'Prestwick3_000237', 'Spectrum2_001464', 'Spectrum3_001499', 'Spectrum4_000324', 'Spectrum5_001063', 'ACMC-20m40v', 'Epitope ID:116889', 'O 8757', 'Lopac0_000904', 'Oprea1_242882', 'SCHEMBL24373', 'BSPBio_000313', 'BSPBio_003117', 'KBioGR_000667', 'KBioSS_001666', 'fluoro-methyl-(4-methylpiperazin-1-yl)-oxo-[?]carboxylic acid', 'MLS001074203', 'MLS006011774', 'DivK1c_000721', 'SPECTRUM1502044', 'SPBio_001387', 'SPBio_002234', '(S)-Ofloxacin;Levaquin;Quixin', 'Ofloxacin (JP17/USP/INN)', 'BPBio1_000345', 'DTXSID3041085', 'SCHEMBL14163982', 'GTPL10918', 'HMS502E03', 'KBio1_000721', 'KBio2_001666', 'KBio2_004234', 'KBio2_006802', 'KBio3_002617', 'KS-00000UJW', 'J01MA01', 'NINDS_000721', 'HMS1568P15', 'HMS1921H12', 'HMS2090F07', 'HMS2092B10', 'HMS2095P15', 'HMS2235C05', 'HMS3259G07', 'HMS3262F10', 'HMS3369B01', 'HMS3393K06', 'HMS3604B17', 'HMS3712P15', 'Pharmakon1600-01502044', '(3R)-9-fluoro-3-methyl-10-(4-methylpiperazin-1-yl)-7-oxo-2,3-dihydro-7H-[1,4]oxazino[2,3,4-ij]quinoline-6-carboxylic acid', 'BCP14346', 'BCP22048', 'EBD13209', 'HY-B0125', 'RKL10083', 'Ofloxacin, fluoroquinolone antibiotic', 'Tox21_110703', 'Tox21_500904', 'BBL005605', 'BDBM50045004', 'CCG-39210', 'MFCD00865049', 'NSC727071', 'NSC758178', 's1463', 'STK256723', 'AKOS001033517', 'AKOS016042783', 'Ofloxacine; DL-8280; HOE-280', 'Tox21_110703_1', 'AC-7616', 'BCP9000851', 'CS-1891', 'DB01165', 'KS-5011', 'LP00904', 'NC00466', 'NSC-727071', 'NSC-758178', 'SDCCGSBI-0050879.P004', 'VA11432', 'IDI1_000721', 'NCGC00015772-02', 'NCGC00015772-03', 'NCGC00015772-04', 'NCGC00015772-05', 'NCGC00015772-06', 'NCGC00015772-07', 'NCGC00015772-08', 'NCGC00015772-09', 'NCGC00015772-10', 'NCGC00015772-12', 'NCGC00015772-13', 'NCGC00094219-01', 'NCGC00094219-02', 'NCGC00094219-03', 'NCGC00094219-04', 'NCGC00094219-05', 'NCGC00094219-06', 'NCGC00178284-01', 'NCGC00178284-02', 'NCGC00261589-01', '( -)-9-Fluoro-2,3-dihydro-3-methyl-10-(4-methyl-1-piperazinyl)-7-oxo-7H-pyrido(1,2,3-de)(1,4)benzoxazin-6-carbonsaeure', '(+-)-9-Fluoro-2,3-dihydro-3-methyl-10-(4-methyl-1-piperazinyl)-7-oxo-7H-pyrido(1,2,3-de)(1,4)benzoxazin-6-carbonsaeure', '(+/-)-9-Fluoro-2,3-dihydro-3-methyl-10-(4-methyl-1-piperazinyl)-7- -oxo-7H-pyrido(1,2,3-de)- -1,4-benzoxazine-6-carboxylic acid', '(+/-)-9-Fluoro-2,3-dihydro-3-methyl-10-(4-methyl-1-piperazinyl)-7-oxo-7H-pyrido[1,2,3-de]-1,4-benzoxazine-6-carboxylic acid', '7-fluoro-2-methyl-6-(4-methylpiperazin-1-yl)-10-oxo-4-oxa-1-azatricyclo[7.3.1.05,13]trideca-5(13),6,8,11-tetraene-11-carboxylic acid', '83380-47-6', '9-Fluoro-3,7-dihydro-3-methyl-10-(4-methyl-1-piperazinyl)-7-oxo-2H-[1,4]oxazino[2,3,4-ij]quinoline-6-carboxylic Acid', 'AK163167', 'H778', 'SC-12664', 'SC-17360', 'ST073364', 'SBI-0050879.P003', 'AB0013254', 'DB-056608', 'LS-133259', 'AB00513820', 'EU-0100904', 'FT-0627808', 'FT-0630905', 'FT-0670773', 'FT-0673216', 'NS00010154', 'O0403', 'Ofloxacin, VETRANAL(TM), analytical standard', 'VU0243192-7', '86O854', 'A10666', 'C07321', 'D00453', 'J10376', 'O-2800', 'W-3058', 'AB00052263-12', 'AB00052263-13', 'AB00052263_14', 'AB00052263_15', 'Ofloxacin, Antibiotic for Culture Media Use Only', 'Q411447', 'SR-01000076050-1', 'SR-01000076050-4', 'SR-01000076050-7', 'BRD-A24228527-001-05-9', 'BRD-A24228527-001-19-0', 'Z56761309', 'F0020-0095', 'F0472-0226', '138199-71-0 (0.5H2O)', 'Ofloxacin, European Pharmacopoeia (EP) Reference Standard', 'Ofloxacin, United States Pharmacopeia (USP) Reference Standard', '(+/-)-9-Fluoro-2,2,3-de)-1,4-benzoxazine-6-carboxylic acid', 'Ofloxacin, Pharmaceutical Secondary Standard; Certified Reference Material', '()-9-fluoro-2,3-dihydro-3-methyl-10-(4-methyl-1-piperazinyl)-7-oxo-7H-pyrido[1,2,3-de]-1,4-benzoazine-6-carboxylic acid', '(+/-)-9-Fluoro-2, 3-dihydro-3-methyl-10-(4-methyl-1-piperazinyl)-7-oxo-7H-pyrido[1,2,3-de]-1,4-benzoxazine-6-carboxylic acid', '(+/-)-9-Fluoro-2,3-dihydro-3-methyl-10-(4-methyl-1-piperazinyl)-7-oxo-7H-pyrido[1,2,3-de]-1,4-benzoxazine-6-carboxylic acid;7H-Pyrido[1,2,3-de]-1,4-benzoxazine-6-carboxylic acid, 9-fluoro-2,3-dihydro-3-methyl-10-(4-methyl-1-piperazinyl)-7-oxo-', '7-fluoro-2-methyl-6-(4-methylpiperazin-1-yl)-10-oxo-4-oxa-1-azatricyclo[7.3.1.0,(1)(3)]trideca-5(13),6,8,11-tetraene-11-carboxylic acid', '7-fluoro-2-methyl-6-(4-methylpiperazin-1-yl)-10-oxo-4-oxa-1-azatricyclo[7.3.1.0^{5,13}]trideca-5(13),6,8,11-tetraene-11-carboxylic acid', '7-Fluoro-2-methyl-6-(4-methylpiperazin-1-yl)-10-oxo-4-oxa-1-azatricyclo[7.3.1.05,13]trideca-5,7,9(13),11-tetraene-11-carboxylic acid', '7H-Pyrido(1,2,3-de)-1,4-benzoxazine-6-carboxylic acid, 9-fluoro-2,3-dihydro-3-methyl-10-(4-methyl-1-piperazinyl)-7-oxo-', '9-Fluoro-10-(4-methylpiperazino)-3-methyl-7-oxo-2,3-dihydro-7H-pyrido[1,2,3-de]-1,4-benzooxazine-6-carboxylic acid', '9-Fluoro-3-methyl-10-(4-methyl-1-piperazinyl)-7-oxo-2,3-dihydro-7H-[1,4]oxazino[2,3,4-ij]quinoline-6-carboxylic acid', '9-Fluoro-3-methyl-10-(4-methyl-1-piperazinyl)-7-oxo-2,3-dihydro-7H-pyrido [1,2,3-de]-1,4-Benzoxazin-6-carboxylic Acid', '9-fluoro-3-methyl-10-(4-methyl-1-piperazinyl)-7-oxo-2,3-dihydro-7H-pyrido[1,2,3-de][1,4]benzoxazine-6-carboxylic acid', '9-fluoro-3-methyl-10-(4-methylpiperazino)-7-oxo-2,3-dihydro-7H-[1,4]oxazino[2,3,4-ij]quinoline-6-carboxylic acid']</t>
  </si>
  <si>
    <t>Compound(4583)</t>
  </si>
  <si>
    <t>(3R,5S,6S,7R,8S,9R,12R,13R,14S,15R)-6-[(2S,3R,4S,6R)-4-(dimethylamino)-3-hydroxy-6-methyloxan-2-yl]oxy-14-hydroxy-8-[(2R,4S,5S,6S)-5-hydroxy-4-methoxy-6-methyloxan-2-yl]oxy-5,7,9,12,13,15-hexamethyl-1,11-dioxaspiro[2.13]hexadecane-10,16-dione</t>
  </si>
  <si>
    <t>['oleandomycin', 'Matromycin', 'Amimycin', 'Landomycin', 'Romicil', '3922-90-5', 'UNII-P8ZQ646136', 'CHEBI:16869', 'P8ZQ646136', 'Antibiotic PA-105', 'Oleandomycine [French]', 'PA 775', 'Oleandomycine [INN-French]', 'Oleandomycinum [INN-Latin]', 'Oleandomicina [INN-Spanish]', 'HSDB 7442', 'Oleandomicina', 'Oleandomycine', 'Oleandomycinum', 'EINECS 223-495-7', 'AI3-50163', 'Oleandomycin [INN]', 'Oleandomycin [INN:BAN]', 'Oleandomycin (chloroform solvate)', '12-((2,6-Didesoxy-3-O-methyl-alpha-K-arabino-hexopyranosyl)oxy)-8-hydroxy-5,7,8,11,13,15-hexamethyl-14-((3,4,6-tridesoxy-3-dimethylamino-beta-D-xylo-hexopyranosyl)oxy)-1,9-dioxaspiro(2.13)hexadecan-4,10-dion', 'Prestwick3_000152', 'SCHEMBL3717', 'BSPBio_000284', 'BPBio1_000314', 'CHEMBL606258', 'oleandomycin;Oleandomycin phosphate', 'BDBM234401', 'LMPK04000007', 'ZINC85432018', 'DB11442', 'NCGC00179617-01', 'E704', 'HY-116010', 'AB00513809', 'CS-0063452', 'C01946', '(3R,5R,6S,7R,8R,11R,12S,13R,14S,15S)-6-hydroxy-5,7,8,11,13,15-hexamethyl-4,10-dioxo-14-[3,4,6-trideoxy-3-(dimethylamino)-beta-D-xylo-hexopyranosyloxy]-1,9-dioxaspiro[2.13]hexadec-12-yl 2,6-dideoxy-3-O-methyl-alpha-L-arabino-hexopyranoside']</t>
  </si>
  <si>
    <t>Compound(72493)</t>
  </si>
  <si>
    <t>C35H61NO12</t>
  </si>
  <si>
    <t>oleandomycin phosphate</t>
  </si>
  <si>
    <t>(3R,5S,6S,7R,8S,9R,12R,13R,14S,15R)-6-[(2S,3R,4S,6R)-4-(dimethylamino)-3-hydroxy-6-methyloxan-2-yl]oxy-14-hydroxy-8-[(2R,4S,5S,6S)-5-hydroxy-4-methoxy-6-methyloxan-2-yl]oxy-5,7,9,12,13,15-hexamethyl-1,11-dioxaspiro[2.13]hexadecane-10,16-dione;phosphoric acid</t>
  </si>
  <si>
    <t>['oleandomycin phosphate', 'Oleandomycin, phosphate (1:1) (salt)', 'UNII-8681H0C27P', 'EINECS 230-351-7', 'Oleandomycin phosphate [JAN]', '7060-74-4', '8681H0C27P', 'Oleandomycin phosphate (JAN)', 'Oleandomycin phosphate [JAN:NF]', 'C35H61NO12.H3O4P', 'Matromycin (TN)', 'SCHEMBL5033021', 'CHEMBL2105788', 'HMS2095O06', 'LS-98281', '7735-EP2269990A1', '7735-EP2272846A1', '7735-EP2277868A1', '7735-EP2277869A1', '7735-EP2277870A1', '7735-EP2281861A2', '7735-EP2284157A1', '7735-EP2289483A1', '7735-EP2292608A1', '7735-EP2292625A1', '7735-EP2295439A1', '7735-EP2298076A1', '7735-EP2298077A1', '7735-EP2298773A1', '7735-EP2301353A1', '7735-EP2305031A1', '7735-EP2305033A1', '7735-EP2305034A1', '7735-EP2305035A1', '7735-EP2308866A1', '7735-EP2308878A2', '7735-EP2316830A2', '7735-EP2371823A1', '7735-EP2374791A1', 'D02186', 'Oleandomycin phosphate 100 microg/mL in Acetonitrile', 'Q27269714', '(3R,5S,6S,7R,8S,9R,12R,13R,14S,15R)-6-[(2S,3R,4S,6R)-4-(dimethylamino)-3-hydroxy-6-methyloxan-2-yl]oxy-14-hydroxy-8-[(2R,4S,5S,6S)-5-hydroxy-4-methoxy-6-methyloxan-2-yl]oxy-5,7,9,12,13,15-hexamethyl-1']</t>
  </si>
  <si>
    <t>Compound(72492)</t>
  </si>
  <si>
    <t>C35H64NO16P</t>
  </si>
  <si>
    <t>oleic acid</t>
  </si>
  <si>
    <t>(Z)-octadec-9-enoic acid</t>
  </si>
  <si>
    <t>['oleic acid', '112-80-1', 'cis-9-Octadecenoic acid', '(Z)-Octadec-9-enoic acid', 'cis-Oleic acid', 'Elaidoic acid', 'oleate', 'Glycon wo', 'Wecoline OO', 'Pamolyn 100', 'Glycon RO', 'Metaupon', 'Oelsauere', 'Vopcolene 27', 'Groco 5l', 'Groco 2', 'Groco 4', 'Groco 6', 'Tego-oleic 130', 'Emersol 211', 'cis-Octadec-9-enoic acid', 'Industrene 105', 'Industrene 205', 'Industrene 206', 'Pamolyn', 'Z-9-Octadecenoic acid', 'Oleinic acid', 'Emersol 210', 'Emersol 213', "L'Acide oleique", 'Century cd fatty acid', 'Emersol 6321', 'Extraolein 90', 'Oleine 7503', '9-Octadecenoic acid (Z)-', 'Emersol 205', 'Emersol 233LL', 'Hy-phi 1055', 'Hy-phi 1088', 'Hy-phi 2066', 'Hy-phi 2088', 'Hy-phi 2102', 'Priolene 6906', 'White oleic acid', 'Wochem no. 320', '(9Z)-octadec-9-enoic acid', 'Emersol 220 white oleic acid', 'Extra Oleic 80R', 'Extra Oleic 90', 'Extra Oleic 99', 'Extra Olein 80', 'Extra Olein 90R', 'Lunac O-CA', 'Lunac O-LL', 'Lunac O-P', 'neo-Fat 92-04', 'Priolene 6907', 'Priolene 6928', 'Priolene 6930', 'Priolene 6933', '9Z-Octadecenoic acid', 'Elainic acid', 'Emersol 6313NF', 'delta9-cis-Oleic acid', '9-Octadecenoic acid (9Z)-', '9-Octadecenoic acid, (Z)-', '9-octadecenoic acid', '(9Z)-Octadecenoic acid', 'FEMA No. 2815', 'FEMA Number 2815', 'Oleic acid, pure', 'D 100 (fatty acid)', 'Emersol 221 low titer white oleic acid', 'K 52', 'Caswell No. 619', 'Oleic acid (natural)', 'Wecoline OO (VAN)', 'Oelsaeure', 'Acide oleique [French]', 'cis-Oleate', 'Elaic acid', 'HSDB 1240', "l'Acide oleique [French]", 'Red oil', 'UNII-2UMI9U37CP', 'D 100', 'CCRIS 682', 'Oleic acid [NF]', 'Emersol 233', 'NAA 35', '18:1Delta9cis', 'CHEBI:16196', 'cis-delta(sup 9)-Octadecenoic acid', 'NSC 9856', '9,10-Octadecenoic acid', 'EINECS 204-007-1', 'neo-Fat 90-04', '.delta.9-cis-Oleic acid', '9-(Z)-octadecenoic acid', '(Z)-9-Octadecanoic acid', 'EPA Pesticide Chemical Code 031702', '9-Octadecenoic acid, cis-', 'cis-.delta.9-Octadecenoate', 'BRN 1726542', '2UMI9U37CP', 'CHEMBL8659', 'AI3-01291', 'cis-.delta.9-Octadecenoic acid', 'cis-Delta(9)-octadecenoic acid', 'NSC9856', 'NSC-9856', 'Oleic acid (NF)', 'C18:1n-9', 'MFCD00064242', 'Oleic acid, 97%', 'C18:1 n-9', 'Octadec-9-enoic acid', 'NCGC00091119-02', '18:1 n-9', 'C18:1', 'cis-9-octadecenoate', '(9Z)- Octadecenoic acid', 'DSSTox_CID_5809', 'DSSTox_RID_77930', 'DSSTox_GSID_25809', 'Acide oleique', 'cis-delta9-octadecenoic acid', 'CAS-112-80-1', 'SMR000326739', 'Sulfurized oleic acid', 'Sulphurized oleic acid', 'Oleic acid, sulfurized', '(9Z)-9-Octadecenoic acid', '9-Octadecenoic acid (9Z)-, sulfurized', 'Distoline', 'Oleinate', 'oleaic acid', '1gni', '1hms', '1vyf', '2lkk', 'Lunac OA', 'Edenor ATiO5', 'Edenor FTiO5', 'Industrene 104', 'Z-9-Octadecenoate', 'EINECS 270-164-8', '9-octadecylenic acid', 'Oleic acid, p.a.', 'Emersol 213NF', 'Emersol 214NF', 'OLEICACID', 'Pamolyn 125', 'Priolene 6900', '9,10-Octadecenoate', '9-Octadecenoic acid (Z)-, sulfurized', 'Oleic acid (8CI)', 'oleic acid extra pure', 'cis-Octadec-9-enoate', 'Pamolyn 100 FG', 'Pamolyn 100 FGK', '9-(Z)-octadecenoate', 'Emersol 7021', '(Z)-9-Octadecanoate', 'Emersol 6313 NF', 'Emersol 6333 NF', 'PubChem24077', '(Z)-octadec-9-enoate', 'Oleic acid-9,10-t', '(9Z)-9-Octadecenoate', '9-cis-Octadecenoic acid', 'z-octadeca-9-enoic acid', '10402-16-1', 'Oleic Acid (18:1)', 'Epitope ID:187036', 'Oleic acid, natural, FCC', '(9Z)octadec-9-enoic acid', 'Emersol 220 White Oleate', 'Oleic acid, technical grade', 'SCHEMBL1138', 'Delta9-cis-Octadecenoic acid', 'WLN: QV8U9-C', '4-02-00-01641 (Beilstein Handbook Reference)', '68412-07-7', 'MLS001056779', 'MLS002153498', 'MLS002454427', '9-octadecenoic acid, (9Z)-', '(9Z)-9-Octadecenoic acid #', 'GTPL1054', 'Oleic acid, analytical standard', 'DTXSID1025809', 'Oleic acid, &gt;=93% (GC)', 'Oleic acid, &gt;=99% (GC)', 'REGID_for_CID_445639', '1g74', 's158', 'HMS2234O13', 'HMS3649H21', 'Oleic acid, technical grade, 90%', 'HY-N1446', 'ZINC6845860', 'Tox21_111086', 'Tox21_201967', 'Tox21_303324', 'BDBM50150484', 'HSCI1_000362', 'LMFA01030002', 'LS-560', 's4707', 'SBB058695', '9-Octadecenoic acid (9Z)- (9CI)', 'cis-9-Octadecenoic-9,10-3H2 acid', 'Emersol 221 Low Titer White Oleate', 'AKOS017343225', 'cis-.delta.(sup 9)-Octadecenoic acid', 'CCG-267270', 'FA 18:1', '9-Octadecenoic-9,10-t2 acid, (Z)-', 'NCGC00091119-01', 'NCGC00091119-03', 'NCGC00257233-01', 'NCGC00259516-01', 'AK187813', 'AS-16066', 'BP-24023', 'CC-33313', 'SC-19057', 'Oleic acid, SAJ first grade, &gt;=70.0%', 'Oleic acid, Selectophore(TM), &gt;=99.0%', 'CS-0016886', 'NS00010823', 'O0011', 'O0180', 'C00712', 'D02315', 'K-0971', 'Oleic acid, from suet, natural, &gt;=60% (GC)', 'AB00641912_08', 'Fatty acids C7to C20: cis-9-Octadecenoic Acid', '9-Octadecenoic-9,10-t2 acid, (9Z)- (9CI)', 'Oleic acid, suitable for cell culture, BioReagent', 'Q207688', 'SR-01000780573', 'SR-01000780573-6', 'F0001-0262', 'Oleic acid, certified reference material, TraceCERT(R)', 'Oleic acid, European Pharmacopoeia (EP) Reference Standard', 'UNII-13FB83DEYU component ZQPPMHVWECSIRJ-KTKRTIGZSA-N', 'UNII-44NH37HHP9 component ZQPPMHVWECSIRJ-KTKRTIGZSA-N', 'UNII-5U9XZ261ER component ZQPPMHVWECSIRJ-KTKRTIGZSA-N', 'UNII-7N137Q0QYJ component ZQPPMHVWECSIRJ-KTKRTIGZSA-N', 'UNII-96GS7P39SN component ZQPPMHVWECSIRJ-KTKRTIGZSA-N', 'UNII-9B22238JYI component ZQPPMHVWECSIRJ-KTKRTIGZSA-N', 'UNII-B6G0Y5Z616 component ZQPPMHVWECSIRJ-KTKRTIGZSA-N', 'UNII-HBA528N3PW component ZQPPMHVWECSIRJ-KTKRTIGZSA-N', 'UNII-MO7HV04S9Y component ZQPPMHVWECSIRJ-KTKRTIGZSA-N', 'UNII-ODL221H4AM component ZQPPMHVWECSIRJ-KTKRTIGZSA-N', 'UNII-UDR641JW8W component ZQPPMHVWECSIRJ-KTKRTIGZSA-N', 'UNII-V1PY73ZXPE component ZQPPMHVWECSIRJ-KTKRTIGZSA-N', '459CE4C0-C836-4249-8E2D-69874B714E9C', 'UNII-79P21R4317 component ZQPPMHVWECSIRJ-KTKRTIGZSA-N', 'Oleic acid, United States Pharmacopeia (USP) Reference Standard', 'Oleic acid, meets analytical specification of Ph, Eur., 65.0-88.0% (GC)', 'Oleic Acid, Pharmaceutical Secondary Standard; Certified Reference Material', 'Oleic Acid-Water Soluble, powder, BioReagent, suitable for cell culture', 'A6L', 'Oleic acid, PharmaGrade, Manufactured under appropriate controls for use as raw material in pharma or biopharmaceutical production.']</t>
  </si>
  <si>
    <t>Compound(445639)</t>
  </si>
  <si>
    <t>C18H34O2</t>
  </si>
  <si>
    <t>omeprazole</t>
  </si>
  <si>
    <t>6-methoxy-2-[(4-methoxy-3,5-dimethylpyridin-2-yl)methylsulfinyl]-1H-benzimidazole</t>
  </si>
  <si>
    <t>['omeprazole', '73590-58-6', 'Losec', 'Prilosec', 'Antra', 'Esomeprazole', 'Omeprazon', 'Audazol', 'Omapren', 'Omepral', 'Parizac', 'Zegerid', 'Mopral', 'Miol', 'Belmazol', 'Ceprandal', 'Dizprazol', 'Dudencer', 'Emeproton', 'Epirazole', 'Gastrimut', 'Gastroloc', 'Gibancer', 'Indurgan', 'Inhibitron', 'Inhipump', 'Logastric', 'Pepticum', 'Peptilcer', 'Prazidec', 'Sanamidol', 'Secrepina', 'Ulcometion', 'Mepral', 'Miracid', 'Omeprol', 'Omezol', 'Omisec', 'Omizac', 'Ompanyt', 'Ozoken', 'Prysma', 'Ramezol', 'Ulceral', 'Ulcesep', 'Ulcozol', 'Zefxon', 'Zoltum', 'Desec', 'Elgam', 'Lomac', 'Ulsen', 'Ultop', 'Zimor', 'Ocid', 'Omed', 'Omid', 'OMEP', 'Demeprazol', 'Nopramin', 'Omeprazol', 'Omezolan', 'Paprazol', 'Pepticus', 'Prazentol', 'Prazolit', 'Procelac', 'Regulacid', 'Danlox', 'Erbolin', 'Lensor', 'Morecon', 'Nilsec', 'Olexin', 'Omegast', 'Omesek', 'Ortanol', 'Osiren', 'Proclor', 'Result', 'Ulcsep', 'Victrix', 'Zepral', 'Exter', 'Gasec', 'Ulzol', 'Omebeta 20', 'Tedec Ulceral', 'AULCER', 'Antra MUPS', 'Omerprazole', 'Omez', 'Prilosec OTC', 'Omepradex', 'Omeprazolum', 'Nexium IV', 'H 168/68', 'Omeprazol [INN-Spanish]', 'Omeprazolum [INN-Latin]', 'Gastrogard', 'Nuclosina', '( -)-Omeprazole', '119141-88-7', 'Esomperazole', 'Prestwick_808', 'CCRIS 7099', 'OMZ', 'CHEBI:77260', 'HSDB 3575', 'Esomeprazole sodium salt', '5-Methoxy-2-(((4-methoxy-3,5-dimethyl-2-pyridyl)methyl)sulfinyl)benzimidazole', "Aisi'aomeilazuona Esomeprazole Sodium", 'MFCD00083192', 'Nexium', 'H-168/68', 'CHEMBL1503', 'Nexiam', 'r-omeprazole', '1H-Benzimidazole, 5-methoxy-2-(((4-methoxy-3,5-dimethyl-2-pyridinyl)methyl)sulfinyl)-', '5-methoxy-2-[(4-methoxy-3,5-dimethylpyridin-2-yl)methanesulfinyl]-1H-1,3-benzodiazole', '5-Methoxy-2-[[(4-methoxy-3,5-dimethyl-2-pyridinyl)methyl]sulfinyl]-1H-benzimidazole', '5-methoxy-2-{[(4-methoxy-3,5-dimethylpyridin-2-yl)methyl]sulfinyl}-1H-benzimidazole', 'MLS000069373', 'C17H19N3O3S', 'Omeprazole-d3', '2-(((3,5-Dimethyl-4-methoxy-2-pyridyl)methyl)sulfinyl)-5-methoxy-1H-benzimidazole', 'Omeprazole, 98+%', 'NCGC00016925-06', 'SMR000058847', 'Emilok', 'CAS-73590-58-6', 'DSSTox_CID_1080', '(s)-omeprazole sodium', '2-({[3,5-dimethyl-4-(methyloxy)pyridin-2-yl]methyl}sulfinyl)-5-(methyloxy)-1H-benzimidazole', '6-methoxy-2-(((4-methoxy-3,5-dimethylpyridin-2-yl)methyl)sulfinyl)-1H-benzo[d]imidazole', 'DSSTox_RID_75929', 'DSSTox_GSID_21080', 'Omeprazone', 'Omeprazen', 'Omesec', 'Omeprazole delayed-release', 'Omeprazole Pellets', '1H-Benzimidazole,5-methoxy-2-[(R)-[(4-methoxy-3,5-dimethyl-2-pyridinyl)methyl]sulfinyl]-', '5-methoxy-2-((4-methoxy-3,5-dimethylpyridin-2-yl)methylsulfinyl)-1H-benzo[d]imidazole', '5-methoxy-2-[(4-methoxy-3,5-dimethyl-2-pyridyl)methylsulfinyl]-1H-benzimidazole', '5-Methoxy-2-[[(4-methoxy-3,5-dimethyl-2-pyridyl)methyl]sulfinyl]benzimidazole', 'Prilosec (TN)', '(+-)-Omeprazole', 'Omeprazole [USAN:INN:BAN:JAN]', 'SR-01000003003', 'Omperazole', '161796-78-7', 'Omeprazole, solid', '5-methoxy-2-[(4-methoxy-3,5-dimethylpyridin-2-yl)methylsulfinyl]-1H-benzimidazole', 'AGI-010', 'Omeprazole,(S)', 'H 168-68', '6-methoxy-2-[(4-methoxy-3,5-dimethylpyridin-2-yl)methylsulfinyl]-1H-benzimidazole', 'DM-3458', 'Omeprazole [USAN:USP:INN:BAN:JAN]', 'Omeprazole (Prilosec)', 'ACMC-20p1du', '161973-10-0', 'Maybridge4_002645', 'Opera_ID_1863', 'Prestwick0_000493', 'Prestwick1_000493', 'Prestwick2_000493', 'Prestwick3_000493', '(.+/-.)-Omeprazole', 'O0359', 'UPCMLD-DP075', '5-Methoxy-2[(4-methoxy-3,5-dimethyl-2-pyridyl)methylsulfinyl]-1H-benzimidazole', 'cid_4594', 'SCHEMBL1191', 'BSPBio_000385', 'MLS001076112', 'MLS001424148', 'MLS006010400', 'MLS006011759', 'BIDD:GT0189', 'SPBio_002306', 'BPBio1_000425', 'GTPL4279', 'Omeprazole (JP17/USP/INN)', 'Esomeprazole sodium salt hydrate', 'DTXSID6021080', 'SCHEMBL11995456', 'UPCMLD-DP075:001', 'CHEBI:91766', 'CTK8I2124', 'CTK9A5793', 'HMS1528I05', 'HMS1569D07', 'HMS2052G17', 'HMS2090E16', 'HMS2090F11', 'HMS2096D07', 'HMS2232B21', 'HMS3269D17', 'HMS3394G17', 'HMS3413J07', 'HMS3651A11', 'HMS3677J07', 'HMS3713D07', 'Pharmakon1600-01505693', '(S)-Omeprazole sodium salt hydrate', 'BCP05852', 'BCP13592', 'BCP21299', 'HY-B0113', 'KS-000001KH', '2,3,5-Trimethylpyridine/Omeprazole', 'Tox21_110686', 'Tox21_200509', 'AC-401', 'BBL028172', 'BDBM50103597', 'BDBM50241343', 'CO0037', 'DL-462', 'NSC751450', 'NSC759192', 's1389', 'STK623746', '119141-88-7 (base)', 'AKOS005066653', 'AKOS015895343', 'Tox21_110686_1', 'AC-4676', 'CCG-101130', 'CCG-213517', 'CS-1868', 'DB00338', 'HS-0055', 'LS-7629', 'MCULE-3224208952', 'NC00380', 'NE55490', 'NSC-751450', 'NSC-759192', '5-methoxy-2-(((4-methoxy-3,5-dimethylpyridin-2-yl)methyl)sulfinyl)-1H-benzo[d]imidazole', 'IDI1_032523', 'NCGC00016925-01', 'NCGC00016925-02', 'NCGC00016925-03', 'NCGC00016925-04', 'NCGC00016925-05', 'NCGC00016925-07', 'NCGC00016925-08', 'NCGC00016925-10', 'NCGC00016925-11', 'NCGC00021522-03', 'NCGC00021522-04', 'NCGC00021522-05', 'NCGC00258063-01', 'Omeprazole, analytical reference material', 'AK162396', 'K253', 'SC-15162', 'SY077145', 'SBI-0206896.P001', 'AB0014122', 'FT-0601585', 'FT-0652860', 'FT-0653294', 'FT-0673283', 'FT-0689771', 'H 199', 'NS00003806', 'SW196942-4', 'A19447', 'C07324', 'D00455', 'J10125', '668985-31-7 (Mg)', '141O887', 'A837865', 'H168/68', 'Q422210', 'SR-01000003003-4', 'SR-01000003003-7', 'SR-01000003003-8', '5-methoxy-2-((4-methoxy-3,5-dimethylpyridin-2-yl)', 'BRD-A55962179-001-04-9', 'BRD-A55962179-001-08-0', 'BRD-A55962179-001-20-5', 'BRD-A88691025-001-07-4', 'F0001-2386', 'Z1672902589', 'Omeprazole, British Pharmacopoeia (BP) Reference Standard', 'Omeprazole, European Pharmacopoeia (EP) Reference Standard', 'Omeprazole, United States Pharmacopeia (USP) Reference Standard', '2-(3-methoxy-2,4-dimethylbenzylsulfinyl)-6-methoxy-1H-benzo[d]imidazole', '5-Methoxy-2-((S)-((4-methoxy-3,5-dimethyl-2- pyridinyl)methyl)sulfinyl)-', 'Omeprazole, Pharmaceutical Secondary Standard; Certified Reference Material', '(+)-5-methoxy-2-[[(4-methoxy-3,5-dimethyl-2-pyridinyl)methyl]-sulfinyl]-1h-benzimidazole', '(-)-5-methoxy-2-[[(4-methoxy-3,5-dimethyl-2-pyridinyl)methyl]-sulfinyl]-1h-benzimidazole', '(RS)-5-Methoxy-2-(4-methoxy-3,5-dimethyl-2-pyridylmethylsulphinyl)benzimidazole', '5-methoxy 2-[[(4-methoxy-3,5-dimethyl-2-pyrdinyl)-methyl]sulfinyl]-1H-benzimidazole', '5-methoxy 2-[[(4-methoxy-3,5-dimethyl-2-pyridinyl)-methyl]sulfinyl]-1 H-benzimidazole', '5-methoxy 2-[[(4-methoxy-3,5-dimethyl-2-pyridinyl)-methyl]sulfinyl]-1H-benzimidazole', '5-methoxy-2-(2-(4-methoxy-3,5-dimethylpyridin-2-yl)ethylsulfinyl)-1H-benzo[d]imidazole', '5-Methoxy-2-(4-methoxy-3,5-dimethyl-pyridin-2-ylmethanesulfinyl)-1H-benzoimidazole', '5-methoxy-2-[(4-methoxy-3,5-dimethyl-2-pyridyl)methyl]sulfinyl- 1H-benzimidazole', '5-methoxy-2-[(4-methoxy-3,5-dimethyl-pyridin-2-yl)methylsulfinyl]-3H-benzoimidazole', '5-Methoxy-2-[(4-methoxy-3,5-dimethylpyridin-2-yl)methanesulfinyl]-1H-benzimidazole', '5-Methoxy-2-[(RS)-[(4-methoxy-3,5-dimethylpyridin-2-yl)methyl]sulfinyl]-1H-benzimidazole', '5-methoxy-2-[[(3,5-dimethyl-4-methoxy-2-pyridyl)methyl]sulfinyl]-1H-benzimidazole', '5-methoxy-2-[[(4-methoxy-3,5-dimethyl-2-pyridinyl)methyl]sulphinyl]-1H-benzimidazole', '5-methoxy-2-[[(4-methoxy-3,5-dimethyl-2-pyridyl)methyl]sulfinyl]-benzimidazole', '5-methoxy-2-[[(4-methoxy-3,5-dimethylpyridin-2-yl)methyl]sulphinyl]1H-benzimidazole', '5-methoxy-2-{[(4-methoxy-3,5-dimethylpyridin-2-yl)methane]sulfinyl}-1H-1,3-benzodiazole', '6-methoxy-2-((4-methoxy-3,5-dimethylpyridin-2-yl)methylsulfinyl)-1H-benzo[d]imidazole', '6-methoxy-2-[(4-methoxy-3,5-dimethyl-2-pyridinyl)methylsulfinyl]-1H-benzimidazole', '6-methoxy-2-[(4-methoxy-3,5-dimethyl-pyridin-2-yl)methylsulfinyl]-1H-benzimidazole', '6-methoxy-2-[[(4-methoxy-3,5-dimethyl-2-pyridinyl)-methyl]sulfinyl]-1h-benzimidazole', '6-methoxy-2-[[(4-methoxy-3,5-dimethyl-2-pyridinyl)methyl]sulfinyl]-1h-benzimidazole', '6-methoxy-2-[[(4-methoxy-3,5dimethyl-2-pyridinyl)-methyl]sulfinyl]-1h-benzimidazole', '6-methoxy-2-[[(4-methoxy3,5-dimethyl-2-pyridinyl)-methyl]sulfinyl]-1h-benzimidazole', '6-methoxy-2-[[(4methoxy-3,5-dimethyl2-pyridinyl)methyl]sulfinyl]-1h-benzimidazole', 'Omeprazole for peak identification, European Pharmacopoeia (EP) Reference Standard', 'Omeprazole solution, 1.0 mg/mL in methanol, ampule of 1 mL, certified reference material', '(omeprazole)5-Methoxy-2-(4-methoxy-3,5-dimethyl-pyridin-2-ylmethanesulfinyl)-1H-benzoimidazole', '(RS)-5-methoxy-2-((4-methoxy-3,5-dimethylpyridin-2-yl) methylsulfinyl)-1H-benzo[d]imidazole', '(RS)-6-methoxy-2-((4-methoxy-3,5-dimethylpyridin-2-yl) methylsulfinyl)-1H-benzo[d]imidazole', '5-Methoxy-2-(4-methoxy-3,5-dimethyl-pyridin-2-ylmethanesulfinyl)-1H-benzoimidazole (omeprazole)', '5-Methoxy-2-(4-methoxy-3,5-dimethyl-pyridin-2-ylmethanesulfinyl)-1H-benzoimidazole(Omeprazole)', '6-Methoxy-2-[(S)-[(4-methoxy-3,5-dimethyl-2-pyridinyl)methyl]sulfinyl]-1H-benzimidazole sodium salt', 'Esomeprazole magnesium;Esomeprazole Magnesium;Omeprazole;(RS)-5-methoxy-2-((4-methoxy-3,5-dimethylpyridin-2-yl) methylsulfinyl)-1H-benzo[d]imidazole;OMEPRAZOLE;Omeprazole Magnesium']</t>
  </si>
  <si>
    <t>Compound(4594)</t>
  </si>
  <si>
    <t>C17H19N3O3S</t>
  </si>
  <si>
    <t>omethoate</t>
  </si>
  <si>
    <t>2-dimethoxyphosphorylsulfanyl-N-methylacetamide</t>
  </si>
  <si>
    <t>['OMETHOATE', 'Dimethoxon', '1113-02-6', 'Folimat', 'PO-Dimethoate', 'Dimethoate O-analog', 'Omethoat', 'Dimethoate-met', 'P=O-Rogor', 'Dimethoate PO isologue', 'O-Analog of dimethoate', 'Dimethoate oxygen analog', 'Bayer 45,432', 'BAY 45432', 'Omethoate [BSI:ISO]', 'Bayer S-6876', '2-Dimethoxyphosphinoylthio-N-methylacetamide', 'O,O-Dimethyl S-(N-methylcarbamoylmethyl) thiophosphate', 'O,O-Dimethyl S-((methylcarbamoyl)methyl)phosphorothioate', 'O,O-Dimethyl-S-(N-methylcarbamoylmethyl)phosphorothioate', 'ENT 25,776', 'O,O-Dimethyl S-(N-methylcarbamoylmethyl) phosphorothiolate', 'UNII-28U28EWE79', 'HSDB 6715', 'S6876', 'EINECS 214-197-8', 'BRN 1785256', 'O,O-Dimethyl S-methylcarbamoylmethyl phosphorothioate', 'O,O-Dimethyl-S-(2-oxo-3-azabutyl)-monothiophosphate', 'Phosphorothioic acid, O,O-dimethyl S-(2-(methylamino)-2-oxoethyl) ester', 'Phosphorothioic acid, O,O-dimethyl S-[2-(methylamino)-2-oxoethyl] ester', 'Dimethyl-S-(N-methyl-carbamoyl-methyl)phosphorothiolate', 'Phosphorothioic acid, O,O-dimethyl ester, S-ester with 2-mercapto-N-methylacetamide', 'AI3-25776', 'CHEBI:38730', 'O,O-Dimethyl S-(2-(methylamino)-2-oxoethyl) phosphorothioate', 'O,O-Dimethyl S-(2-(methylamino)-2-oxoethyl)phosphorothioate', '2-dimethoxyphosphorylsulfanyl-N-methylacetamide', 'S-6876', '28U28EWE79', 'Acetamide, 2-mercapto-N-methyl-, S-ester with O,O-dimethyl phosphorothioate', 'O,O-Dimetil-S-(N-metil-carbamoil)-metil-monotiofosfato', 'O,O-Dimethyl S-[(methylcarbamoyl)methyl] phosphorothioate', 'O,O-dimethyl S-[2-(methylamino)-2-oxoethyl] phosphorothioate', 'O,O-Dimethyl-S-((N-methyl-carbamoyl)-methyl)-monothiofosfaat', 'O,O-Dimethyl-S-(N-methyl-carbamoyl-methyl)-thiolphosphat [German]', 'O,O-Dimetil-S-(N-metil-carbamoil)-metil-monotiofosfato [Italian]', 'O-methoate', 'Thiophosphate de O,O-dimethyle et de S-(N-methylcarbamoyl) methyle', 'O,O-Dimethyl phosphorothioate S-ester with 2-mercapto-N-methylacetamide', 'O,O-Dimethyl-S-((N-methyl-carbamoyl)-methyl)-monothiofosfaat [Dutch]', 'O,O-Dimethyl-S-(N-methyl-carbamoyl)-methyl-monothiophosphat [German]', 'Thiophosphate de O,O-dimethyle et de S-(N-methylcarbamoyl) methyle [French]', 'o,o-Dimethyl S-[2-(methylamino)-2-oxoethyl] thiophosphate', 'Dimethoate Oxon', 'Bayer 45432', 'C5H12NO4PS', 'Folimat 4E', 'DSSTox_CID_17580', 'DSSTox_RID_79343', 'DSSTox_GSID_37580', 'SCHEMBL63063', '4-04-00-00251 (Beilstein Handbook Reference)', 'Omethoate, analytical standard', 'CHEMBL2270068', 'DTXSID4037580', 'CTK8G2176', 'O,O-Dimethyl-S-(N-methyl-carbamoyl-methyl)-thiolphosphat', 'O,O-Dimethyl-S-(N-methyl-carbamoyl)-methyl-monothiophosphat', 'ZINC2039915', 'Tox21_300968', 'Omethoate 100 microg/mL in Acetone', 'AKOS015893016', 'Omethoate 1000 microg/mL in Acetone', 'Omethoate 10 microg/mL in Acetonitrile', 'NCGC00160633-01', 'NCGC00160633-02', 'NCGC00254871-01', 'CC-33329', 'O358', 'CAS-1113-02-6', 'DB-040962', 'LS-108821', 'NS00000063', 'Omethoate, PESTANAL(R), analytical standard', 'C18662', '74440-EP2275422A1', '74440-EP2305662A1', '74440-EP2308857A1', '113O026', 'C-11225', 'J-002555', 'Q2204769', 'O,O-dimethyl S-2-(methylamino)-2-oxoethyl phosphorothioate', 'O,O-Dimethyl-S-(N-methyl-carbamoyl-methyl)-thiolphosphate', 'O,O-Dimethyl S-[2-(methylamino)-2-oxoethyl] thiophosphate #', 'O,O-Dimethyl-S-(N-methyl-carbamoyl)-methyl-monothiophosphate']</t>
  </si>
  <si>
    <t>Compound(14210)</t>
  </si>
  <si>
    <t>C5H12NO4PS</t>
  </si>
  <si>
    <t>S-[(2-chlorophenyl)methyl] N,N-diethylcarbamothioate</t>
  </si>
  <si>
    <t>['Orbencarb', 'Lanray', '34622-58-7', 'ORTHOBENCARB', 'UNII-2AZ38X9JHS', 'S-(2-Chlorobenzyl)-N,N-diethylthiolcarbamate', 'BRN 1968914', 'Diethylthiocarbamic acid S-(o-chlorobenzyl) ester', 'Carbamic acid, diethylthio-, S-(o-chlorobenzyl) ester', 'B 3356', '2AZ38X9JHS', 'Carbamothioic acid, diethyl-, S-((2-chlorophenyl)methyl) ester', 'S-[(2-chlorophenyl)methyl] N,N-diethylcarbamothioate', 'Orbencarb [ISO]', 'Carbamothioic acid, diethyl-, S-[(2-chlorophenyl)methyl] ester', 'SCHEMBL66777', 'CHEBI:7778', 'DTXSID0058061', 'ZINC900775', 'S-2-chlorobenzyl diethylcarbamothioate', 'AKOS015888342', 'ACM34622587', 'S-(2-chlorobenzyl) diethylcarbamothioate', 'LS-49340', 'NS00003949', 'Orbencarb, PESTANAL(R), analytical standard', 'C11087', 's-[(2-chlorophenyl)methyl] diethylcarbamothioate', 'J-019680', 'Q17461535', 'N,N-diethyl{[(2-chlorophenyl)methyl]sulfanyl}formamide', 'N,N-diethylcarbamothioic acid S-[(2-chlorophenyl)methyl] ester', 'Carbamothioic acid, diethyl-, S-((2-chlorophenyl)methyl) ester (9CI)', 'S-(2-Chlorobenzyl) N,N-diethylthiocarbamate;Carbamothioic acid, N,N-diethyl-, S-[(2-chlorophenyl)methyl] ester']</t>
  </si>
  <si>
    <t>Compound(36867)</t>
  </si>
  <si>
    <t>C12H16ClNOS</t>
  </si>
  <si>
    <t>orphenadrine</t>
  </si>
  <si>
    <t>N,N-dimethyl-2-[(2-methylphenyl)-phenylmethoxy]ethanamine</t>
  </si>
  <si>
    <t>['orphenadrine', 'Disipal', 'Orphenadine', 'Orphenadrin', 'o-Methyldiphenhydramine', 'Orphenedrine', '2-Methyldiphenhydramine', 'Biorphen', '83-98-7', 'Brocadisipal', 'Orphenadinum', 'Orphenadrinum', 'Invagesic', 'Mefenamine', 'Orfenadrina', 'o-Monomethyldiphenhydramine', '2-(Phenyl-o-tolylmethoxy)ethyldimethylamine', 'Orphenadrine [INN:BAN]', 'Orfenadrina [INN-Spanish]', 'Orphenadrinum [INN-Latin]', 'Phenyl-o-tolylmethyl dimethyaminoethyl ether', 'Orphengesic', 'Norgesic', 'WS 2434', 'beta-Dimethylaminoethyl 2-methylbenzhydryl ether', 'HSDB 3139', 'EINECS 201-509-2', 'beta-Dimethylaminoethyl-2-methylbenzhydryl ether', 'CHEMBL900', 'N,N-Dimethyl-2-(alpha-2-tolylbenzoyloxy)ethylamin', 'N,N-dimethyl-2-(phenyl(o-tolyl)methoxy)ethanamine', 'BRN 1885151', 'CHEBI:7789', 'N,N-dimethyl-2-[(2-methylphenyl)-phenylmethoxy]ethanamine', 'N,N-Dimethyl-2-(o-methyl-alpha-phenylbenzyl)oxy)ethylamine', 'Ethanamine, N,N-dimethyl-2-((2-methylphenyl)phenylmethoxy)-', 'Dimethyl-[2-(phenyl-o-tolyl-methoxy)-ethyl]-amine', 'N,N-dimethyl-2-(alpha-2-tolylbenzoyloxy)ethylamine', 'ORP', 'Ethanamine, N,N-dimethyl-2-[(2-methylphenyl)phenylmethoxy]-', 'Lysantin', 'N,N-Dimethyl-2-[(o-methyl-alpha-phenylbenzyl)oxy]ethylamine', 'Orphenate', 'Sodium Mefenamine', 'Methyldiphenylhydramine', 'dimethyl({2-[(2-methylphenyl)(phenyl)methoxy]ethyl})amine', 'Ethylamine, N,N-dimethyl-2-((o-methyl-alpha-phenylbenzyl)oxy)-', 'Norflex Orphenadrine Citrate', 'Mialgin (TN)', 'Orfenadrin', 'Orphenadrine (INN)', 'Spectrum_001045', 'Brocasipal (Salt/Mix)', 'Mephenamine (Salt/Mix)', 'Prestwick0_000239', 'Prestwick1_000239', 'Prestwick2_000239', 'Prestwick3_000239', 'Spectrum2_001038', 'Spectrum3_000531', 'Spectrum4_000460', 'Spectrum5_001036', 'Phenyl-o-tolylmethyl dimethylaminoethyl ether', 'Lopac0_000884', 'Oprea1_476547', 'SCHEMBL28727', 'BSPBio_000317', 'BSPBio_002141', 'CBDivE_006102', 'KBioGR_000880', 'KBioSS_001525', '4-06-00-04727 (Beilstein Handbook Reference)', 'DivK1c_000853', 'SPBio_001255', 'SPBio_002238', 'BPBio1_000349', 'GTPL7251', 'DTXSID3023396', 'KBio1_000853', 'KBio2_001525', 'KBio2_004093', 'KBio2_006661', 'KBio3_001641', 'NINDS_000853', 'N,N-Dimethyl-2-[(2-methylphenyl)(phenyl)methoxy]ethanamine', 'N,N-dimethyl-2-{[(2-methylphenyl)(phenyl)methyl]oxy}ethanamine', 'BDBM50062614', 'API0000039', 'BS-5930', 'CCG-204966', 'DB01173', 'MCULE-7320950210', 'SDCCGSBI-0050859.P005', 'IDI1_000853', 'NCGC00015771-03', 'NCGC00015771-05', 'NCGC00015771-06', 'NCGC00015771-07', 'NCGC00015771-09', 'NCGC00015771-10', 'NCGC00015771-12', 'NCGC00089814-02', 'NCGC00089814-03', 'NCGC00089814-05', 'LS-68148', 'SBI-0050859.P004', 'AB00053510', 'ST50406606', 'C07935', 'D08305', 'dimethyl-2[alpha-(o-tolyl)benzyloxy]ethylamine', 'AB00053510-19', 'AB00053510_20', 'AB00053510_21', '.beta.-Dimethylaminoethyl 2-methylbenzhydryl ether', 'L001253', 'Q3292273', 'BRD-A53576514-003-03-1', 'BRD-A53576514-048-06-9', 'dimethyl{2-[(2-methylphenyl)phenylmethoxy]ethyl}amine', 'N,N-Dimethyl-2-[(2-methylphenyl)(phenyl)methoxy]ethan-1-amine', 'N,N-Dimethyl-2-[(2-methylphenyl)(phenyl)methoxy]ethanamine #', 'N,N-Dimethyl-2-[(o-methyl-.alpha.-phenylbenzyl)oxy]ethylamine', 'Ethylamine, N,N-dimethyl-2-((o-methyl-.alpha.-phenylbenzyl)oxy)-']</t>
  </si>
  <si>
    <t>Compound(4601)</t>
  </si>
  <si>
    <t>C18H23NO</t>
  </si>
  <si>
    <t>16alpha-ethyl-21-hydroxy-19-nor-4-pregnene-3,20-dione</t>
  </si>
  <si>
    <t>(8R,9S,10R,13S,14S,16R,17S)-16-ethyl-17-(2-hydroxyacetyl)-13-methyl-2,6,7,8,9,10,11,12,14,15,16,17-dodecahydro-1H-cyclopenta[a]phenanthren-3-one</t>
  </si>
  <si>
    <t>['Org-2058', 'Org 2058', 'ORG2058', 'CHEMBL2311103', '24320-06-7', 'O-2058', '[3H]ORG2058', '[3H]-ORG2058', 'GTPL3453', 'GTPL3454', 'SCHEMBL3273165', '16alpha-Ethyl-21-hydroxy-19-nor-4-pregnene-3,20-dione', 'BDBM50422735', '(8R,9S,10R,13S,14S,16R,17S)-16-ethyl-17-(2-hydroxyacetyl)-13-methyl-2,6,7,8,9,10,11,12,14,15,16,17-dodecahydro-1H-cyclopenta[a]phenanthren-3-one', 'Q27088212', '(16alpha)-16-Ethyl-21-hydroxy-19-norpregn-4-ene-3,20-dione', '19-Norpregn-4-ene-3,20-dione, 16-Ethyl-21-hydroxy-, (16alpha)-', '(8R,9S,10R,13S,14S,16R,17S)-16-ethyl-17-(2-hydroxyacetyl)-13-methyl-2,6,7,8,9,10,11,12,14,15,16,17-dodecahydro-1H-cyclopenta[a]phenanthren-3-one-tritiated']</t>
  </si>
  <si>
    <t>Compound(119086)</t>
  </si>
  <si>
    <t>C22H32O3</t>
  </si>
  <si>
    <t>4-(dipropylamino)-3,5-dinitrobenzenesulfonamide</t>
  </si>
  <si>
    <t>['ORYZALIN', '19044-88-3', 'Surflan', '4-(Dipropylamino)-3,5-dinitrobenzenesulfonamide', 'Dirimal', 'Ryzelan', 'Dirimal Extra', 'Benzenesulfonamide, 4-(dipropylamino)-3,5-dinitro-', 'Compound 67019', 'Caswell No. 623A', 'Rycelan', 'Rycelon', '3,5-Dinitro-N4,N4-dipropylsulfanilamide', 'Dinitrodipropylsulfanilamide', '3,5-Dinitro-N4,N4-dipropylsulphanilamide', 'EL 119', 'Oryzalin [ANSI:BSI:ISO]', 'UNII-662E385DWH', 'N4,N4-Dipropyl-3,5-dinitrosulfanilamide', 'C12H18N4O6S', 'HSDB 6858', 'EINECS 242-777-0', 'EL-119', 'EPA Pesticide Chemical Code 104201', 'BRN 2177305', 'CHEBI:73163', '662E385DWH', '3,5-Dinitro-N(sup 4),N(sup 4)-dipropylsulfanilamide', 'NCGC00163815-04', '3,5-Dinitro-N4,N4-dipropyl sulfanilamide', '4-(dipropylamino)-3,5-dinitrobenzene-1-sulfonamide', 'Sulfanilamide, 3,5-dinitro-N(sup 4),N(sup 4)-dipropyl-', 'Rizelan', 'Oryzalin, 1', "3,5-dinitro-n',n'-dipropylsulfanilamide", '3,5-dinitro-N,N-di(n-propyl)sulfanilamide', 'DSSTox_CID_4238', 'DSSTox_RID_77335', 'DSSTox_GSID_24238', 'SCHEMBL55377', 'Oryzalin, analytical standard', 'CHEMBL295960', 'DTXSID8024238', 'BDBM81743', 'CTK8E7908', 'Benzenesulfonamide, 4-(dipropylamino)-3,5-dinitro- (9CI)', 'EL119', 'ZINC5733096', 'Tox21_400078', 'NSC648479', 'AKOS015888415', 'NSC 648479', 'NSC-648479', 'ACM19044883', 'NCGC00163815-01', 'NCGC00163815-02', 'NCGC00163815-03', 'NCGC00163815-05', 'NCI60_016826', 'CAS-19044-88-3', 'LS-147787', 'FT-0751602', 'NS00000515', 'Oryzalin, PESTANAL(R), analytical standard', '4-Dipropylamino-3,5-dinitrobenzenesulfonamide', 'Sulfanilamide, 3,5-dinitro-N4,N4-dipropyl-', '3,5-dinitro-N(4),N(4)-dipropylsulfanilamide', 'C18877', '044O883', '4-(dipropylamino)-3,5-dinitro-benzenesulfonamide', 'C-56170', 'Q410996', 'A1-01911', 'J-012294', '4-(Dipropylamino)-3,5-dinitrobenzenesulfonimidic acid #']</t>
  </si>
  <si>
    <t>Compound(29393)</t>
  </si>
  <si>
    <t>C12H18N4O6S</t>
  </si>
  <si>
    <t>2-hydroxy-N-(4-hydroxyphenyl)benzamide</t>
  </si>
  <si>
    <t>['osalmid', '526-18-1', '2-Hydroxy-N-(4-hydroxyphenyl)benzamide', 'Oxaphenamide', 'Osalmide', 'Oxaphenamid', 'Salmidochol', "4'-Hydroxysalicylanilide", 'Oksafenamid', 'Auxobil', 'Dribazil', 'Enidran', 'Saryuurin', 'Bilene', 'Driol', 'Driol-labaz', 'Bilocol', 'Benzamide, 2-hydroxy-N-(4-hydroxyphenyl)-', 'PHPS', "p'-Hydroxysalicylanilide", 'Hydroxyphenyl salicylamide', '2-Hydroxy-N-(4-hydroxyphenyl)-Benzamide', 'p-Hydroxyphenylsalicylamide', 'Oxaphenamidum', 'N-(4-Hydroxyphenyl)salicylamide', "N'-Salicyloyl-p-aminophenol", 'N-(p-Hydroxyphenyl)salicylamide', 'Osalmid [INN:JAN]', 'Osalmide [INN-French]', 'Osalmidum [INN-Latin]', 'Osalmida [INN-Spanish]', "SALICYLANILIDE, 4'-HYDROXY-", 'NSC 93960', 'L 1718', '2-Hydroxy-N-(4-Hydroxy Phenyl)Benzamide', 'UNII-89741L759Z', 'EINECS 208-385-9', 'BRN 2941480', 'Oksafenamide', 'L-1718', 'NSC-93960', 'NCGC00160580-01', '89741L759Z', 'Osalmida', 'Osalmidum', 'Jestmin', 'Kanochol', 'Yoshicol', 'Li Dan Feng', 'Osalmid (JAN/INN)', 'WLN: QR BVMR DQ', 'DSSTox_CID_22244', 'DSSTox_RID_79970', 'DSSTox_GSID_42244', '3-13-00-01137 (Beilstein Handbook Reference)', 'KSC492A4D', 'MLS006011715', 'SCHEMBL220088', 'CHEMBL389507', 'ZINC1856', 'DTXSID0042244', 'CHEBI:31938', 'CTK3J2041', 'N-(p-Hydroxyphenyl)salicylanilide', 'HY-B2116', 'KS-00000L4O', 'NSC93960', 'Tox21_111914', "Oxaphenamide;4'-Hydroxysalicylanilide", 's3641', 'AKOS008980445', 'AC-1737', 'CCG-266789', 'CS-6242', 'KS-5271', 'MCULE-9324768383', 'VZ24762', 'NCGC00160580-02', 'AK163677', 'CAS-526-18-1', 'SMR004703438', 'WR 17456', '2-Hydroxy-N-(4-hydroxyphenyl)benzamide #', 'AB0010550', 'LS-144200', 'FT-0603451', 'NS00001303', 'D01579', 'H-7210', 'M-1849', 'SR-01000945010', 'Benzamide, 2-hydroxy-N-(4-hydroxyphenyl)- (9CI)', 'Q-100981', 'SR-01000945010-1', 'Q27270017']</t>
  </si>
  <si>
    <t>Compound(4602)</t>
  </si>
  <si>
    <t>C13H11NO3</t>
  </si>
  <si>
    <t>ethyl (3R,4R,5S)-4-acetamido-5-amino-3-pentan-3-yloxycyclohexene-1-carboxylate</t>
  </si>
  <si>
    <t>['oseltamivir', '196618-13-0', 'Tamvir', 'Tamiflu-Free', 'GS-4104', '(-)-oseltamivir', 'Oseltamivir [INN:BAN]', 'GS 4104', 'HSDB 7433', 'UNII-20O93L6F9H', 'Ethyl (3R,4R,5S)-4-acetamido-5-amino-3-(1-ethylpropoxy)-1-cyclohexene-1-carboxylate', 'GOP-A-Flu', 'GS4104', 'Ro-64-0796', '(3R,4R,5S)-Ethyl 4-acetamido-5-amino-3-(pentan-3-yloxy)cyclohex-1-enecarboxylate', 'CHEBI:7798', '1-Cyclohexene-1-carboxylic acid, 4-(acetylamino)-5-amino-3-(1-ethylpropoxy)-, ethyl ester, (3R-(3alpha,4beta,5alpha))-', '20O93L6F9H', 'ethyl (3R,4R,5S)-4-acetamido-5-amino-3-pentan-3-yloxycyclohexene-1-carboxylate', 'ebilfumin', 'oseltamivirum', 'Agucort', 'ethyl (3R,4R,5S)-5-amino-4-acetamido-3-(pentan-3-yloxy)cyclohex-1-ene-1-carboxylate', '1-Cyclohexene-1-carboxylic acid, 4-(acetylamino)-5-amino-3-(1-ethylpropoxy)-, ethyl ester, (3R,4R,5S)-', 'Agucort (TN)', 'Oseltamivir (INN)', 'Tamiflu (*Phosphate salt 1:1*)', 'SR-05000001499', 'Ro-640796', 'CHEMBL1229', 'SCHEMBL32035', 'BIDD:GT0426', 'BDBM5025', 'GS-4071 ETHYL ESTER', 'DTXSID9044291', 'HMS2090C11', 'EX-A3415', 'ZINC3929508', 'CO0039', 'AKOS015843442', 'AKOS015960501', 'CS-0552', 'DB00198', 'MCULE-1441617774', 'Ro 640796', '(3R,5S)-ETHYL 4-ACETAMIDO-5-AMINO-3-(PENTAN-3-YLOXY)CYCLOHEX-1-ENECARBOXYLATE', 'ethyl (3R,4R,5S)-4-acetamido-5-amino-3-(1-ethylpropoxy)cyclohexene-1-carboxylate', 'ethyl (3R,4R,5S)-4-acetamido-5-amino-3-(pentan-3-yloxy)cyclohex-1-ene-1-carboxylate', 'Ethyl (5S,3R,4R)-4-(acetylamino)-5-amino-3-(ethylpropoxy)cyclohex-1-enecarboxylate', 'NCGC00095191-12', 'NCGC00178698-01', 'NCGC00178698-02', 'NCGC00178698-04', 'CC-33364', 'HY-13317', 'LS-57422', 'RO64-0796', 'C08092', 'D08306', 'EN300-150100', 'W-5250', 'AB00173476-02', 'AB00173476_04', '618O130', 'AR-270/43507961', 'C-23851', 'Q211509', 'SR-05000001499-1', 'BRD-K76011241-045-01-5', '(3R,5S)-ethyl4-acetamido-5-amino-3-(pentan-3-yloxy)cyclohex-1-enecarboxylate', 'Ethyl (3R, 4R, 5S)-4-acetamido-5-amino-3-(1-ethylpropoxy)-1-cyclohexene-1-carboxylate', 'Ethyl (3R,4R,5S)-4-acetamido-5-amino-3-[(pentan-3-yl)oxy]cyclohex-1-ene-1-carboxylate', 'ethyl 4-(acetylamino)-5-amino-3-(1-ethylpropoxy)-1-cyclohexene-1-carboxylate', '(3r,4r,5s)-4-acetylamino-5-amino-3(1-ethylpropoxy) -1-cyclohexene-1-carboxylic acid ethyl ester', '(3R,4R,5S)-4-acetylamino-5-amino-3-(1-ethyl-propoxy)-cyclohex-1-enecarboxylic acid ethyl ester', '(3R,4R,5S)-4-acetylamino-5-amino-3-(1-ethyl-propoxy)cyclohex-1-enecarboxylic acid ethyl ester']</t>
  </si>
  <si>
    <t>Compound(65028)</t>
  </si>
  <si>
    <t>C16H28N2O4</t>
  </si>
  <si>
    <t>2-methylaniline;hydrochloride</t>
  </si>
  <si>
    <t>['o-Toluidine hydrochloride', '636-21-5', '2-METHYLANILINE HYDROCHLORIDE', 'o-Toluidine.HCl', 'o-Toluidinium chloride', 'Benzenamine, 2-methyl-, hydrochloride', 'o-Toluidine, hydrochloride', 'o-Methylaniline hydrochloride', 'o-Toluidin hydrochloride', '2-Toluidine hydrochloride', 'o-Tolylamine hydrochloride', 'RCRA waste number U222', 'o-Aminotoluene hydrochloride', '2-Aminotoluene hydrochloride', 'ortho-Toluidine hydrochloride', 'CCRIS 599', 'UNII-DX2X117B81', 'ortho-Aminotoluene hydrochloride', 'o-Methylbenzenamine hydrochloride', '2-Methylbenzenamine hydrochloride', 'HSDB 6002', 'Toluene, 2-amino-, hydrochloride', 'NCI-C02335', 'Benzene, 2-methyl-, hydrochloride', 'EINECS 211-252-8', '1-Amino-2-methylbenzene hydrochloride', '1-Methyl-2-aminobenzene hydrochloride', '2-Amino-1-methylbenzene hydrochloride', '2-Methyl-1-aminobenzene hydrochloride', 'RCRA waste no. U222', 'DX2X117B81', 'AK135537', 'DSSTox_CID_1364', 'DSSTox_RID_76110', 'DSSTox_GSID_21364', '2-methylphenylamine, chloride', 'CAS-636-21-5', '2-Methylaniline HCl', '2-methylaniline;hydrochloride', 'Benzenamine, 2-methyl-, hydrochloride (1:1)', 'hcl-toluidine', 'o-Toluidine HCl', 'toluidine hydrochloride', 'ACMC-209ngu', '2-tolueneamine hydrochloride', 'ortho-Toluidin Hydrochloride', 'ortho-Toluidin  Hydrochloride', 'ortho-Toluidin e hydrochloride', 'SCHEMBL439510', 'CHEMBL1579403', 'DTXSID7021364', 'o-Toluidine hydrochloride, 98%', 'CTK8B2072', 'KS-000001OH', 'Tox21_201277', 'Tox21_302772', '7884AF', 'ANW-34684', 'MFCD00012959', 'SBB058642', 'AKOS015912456', 'AM87111', 'LS-1533', 'MCULE-1459156774', 'NCGC00091601-01', 'NCGC00256358-01', 'NCGC00258829-01', 'AX8146359', 'DB-054514', 'FT-0632702', 'ST51036390', 'Q27276653', 'F8889-5169', '2-Methylbenzenamine Hydrochloride (o-Toluidine Hydrochloride)', 'O-TOLUIDINE HYDROCHLORIDE (SEE ALSO O-TOLUIDINE 95-53-4)', 'Prilocaine impurity B, European Pharmacopoeia (EP) Reference Standard', 'Prilocaine Related Compound A, United States Pharmacopeia (USP) Reference Standard']</t>
  </si>
  <si>
    <t>Compound(12484)</t>
  </si>
  <si>
    <t>C7H10ClN</t>
  </si>
  <si>
    <t>5-tert-butyl-3-(2,4-dichloro-5-prop-2-ynoxyphenyl)-1,3,4-oxadiazol-2-one</t>
  </si>
  <si>
    <t>['Oxadiargyl', '39807-15-3', 'Topstar', '5-(tert-Butyl)-3-(2,4-dichloro-5-(prop-2-yn-1-yloxy)phenyl)-1,3,4-oxadiazol-2(3H)-one', 'UNII-F33159G4WG', 'RP 020630', 'EINECS 254-637-6', '5-tert-Butyl-3-(2,4-dichloro-5-propargyloxyphenyl)-1,3,4-oxadiazol-2(3H)-one', 'F33159G4WG', '3-[2,4-dichloro-5-(2-propynyloxy)phenyl]-5-(1,1-dimethylethyl)-1,3,4-oxadiazol-2(3h)-one', '5-tert-butyl-3-(2,4-dichloro-5-prop-2-ynoxyphenyl)-1,3,4-oxadiazol-2-one', '1,3,4-Oxadiazol-2(3H)-one, 3-(2,4-dichloro-5-(2-propynyloxy)phenyl)-5-(1,1-dimethylethyl)-', '3-(2,4-Dichloro-5-(2-propynyloxy)phenyl)-5-(1,1-dimethylethyl)-1,3,4-oxadiazol-2(3H)-one', '1,3,4-Oxadiazol-2(3H)-one, 3-[2,4-dichloro-5-(2-propynyloxy)phenyl]-5-(1,1-dimethylethyl)-', 'Oxadiargyl  [ISO]', 'Oxadiargyl [ISO]', 'SCHEMBL39055', 'Topstar; RP 020630', 'DTXSID8058085', 'ZINC2122566', 'AKOS015903137', 'ACM39807153', 'Oxadiargyl 10 microg/mL in Acetonitrile', 'LS-99320', 'AX8251966', 'FT-0673320', 'NS00006432', 'Oxadiargyl, PESTANAL(R), analytical standard', 'Q1640254', '5-tert-butyl-3-[2,4-dichloro-5-(prop-2-ynyloxy)phenyl]-1,3,4-oxadiazol-2(3H)-one']</t>
  </si>
  <si>
    <t>Compound(94498)</t>
  </si>
  <si>
    <t>C15H14Cl2N2O3</t>
  </si>
  <si>
    <t>methyl N-[6-(benzenesulfinyl)-1H-benzimidazol-2-yl]carbamate</t>
  </si>
  <si>
    <t>['Oxfendazole', '53716-50-0', 'Fenbendazole sulfoxide', 'Synanthic', 'OFDZ', 'Systamex', 'Repidose', 'Systemax', 'fenbendazole S-oxide', 'Oxfendazolum', 'Oxfendazol', 'Synanthic (Veterinary)', 'RS-8858', '5-Phenylsulfinyl-2-carbomethoxyaminobenzimidazole', 'RS 8858', 'methyl [5-(phenylsulfinyl)-1H-benzimidazol-2-yl]carbamate', 'Oxfendazol [INN-Spanish]', 'Oxfendazolum [INN-Latin]', 'UNII-OMP2H17F9E', 'HOE 8105', '5-(Phenylsulfinyl)-2-benzimidazolecarbamic acid methyl ester', 'Oxfendazole [USAN:BAN:INN]', 'Methyl 5-(phenylsulfinyl)-2-benzimidazolecarbamate', '(5-(Phenylsulfinyl)-1H-benzimidazol-2-yl)carbamic acid methyl ester', 'Oxfendazole (USP/INN)', 'EINECS 258-714-5', 'Methyl 5-(phenylsulfinyl)-benzimidazol-2-carbamate', 'BRN 0761290', 'OMP2H17F9E', 'CHEMBL42442', 'Methyl (5-phenylsulfinyl)-1H-benzimidazol-2-yl carbamate', 'C15H13N3O3S', 'CHEBI:35812', 'Carbamic acid, [5-(phenylsulfinyl)-1H-benzimidazol-2-yl]-, methyl ester', 'methyl 5(6)-phenylsulfinyl-2-benzimidazolecarbamate', 'NCGC00095157-04', '2-Benzimidazolecarbamic acid, 5-(phenylsulfinyl)-, methyl ester', '[5-(Phenylsulfinyl)-1H-benzimidazol-2-yl]carbamic acid methyl ester', 'CARBAMIC ACID, (5-(PHENYLSULFINYL)-1H-BENZIMIDAZOL-2-YL)-, METHYL ESTER', 'DSSTox_CID_24112', 'DSSTox_RID_80103', 'DSSTox_GSID_44112', 'Q-201525', 'Methyl [5-(Phenylsulfinyl)benzimidazol-2-yl]carbamate', 'methyl N-[5-(benzenesulfinyl)-1H-benzimidazol-2-yl]carbamate', '[5-(Phenylsulfinyl)benzimidazol-2-yl]carbamic Acid Methyl Ester', 'Carbamic acid, 5-(phenylsulfinyl)-1H-benzimidazol-2-yl-, methyl ester', 'CAS-53716-50-0', 'FBZ-SO', 'Benzelmin', 'Nanthic', 'CCRIS 9430', 'methyl N-[6-(benzenesulfinyl)-1H-benzimidazol-2-yl]carbamate', 'Synanthic (TN)', 'Oxfendazole [USAN:USP:INN:BAN]', 'Fenbendazole sulphoxide', 'Spectrum2_001704', 'Spectrum3_001972', 'Oprea1_563224', 'SCHEMBL44121', 'BSPBio_003572', 'MLS004712073', 'Synanthic [veterinary] (TN)', 'SPECTRUM1505296', 'SPBio_001688', 'SCHEMBL9818561', 'DTXSID9044112', 'CTK8E8695', 'KBio3_002947', 'HMS1922B08', 'HMS2090F19', 'HMS2093O16', 'HMS3655M14', 'HMS3715E09', 'Pharmakon1600-01505296', 'BCP09602', 'HY-B0291', 'Oxfendazole (Fenbendazole Sulfoxide)', 'Tox21_113444', 'Tox21_302383', 'BDBM50300124', 'CCG-39503', 'NSC758943', 's1830', 'STK378905', 'Fenbendazole Sulphoxide (Oxfendazole)', 'AKOS005448898', 'AKOS015918230', 'Tox21_113444_1', 'AC-8715', 'CCG-220984', 'CS-2305', 'DB11446', 'KS-5036', 'MCULE-2247044354', 'NSC-758943', 'NCGC00095157-01', 'NCGC00095157-02', 'NCGC00095157-03', 'NCGC00095157-05', 'NCGC00095157-06', 'NCGC00255714-01', 'AK546755', 'CC-33414', 'H844', 'LS-50557', 'SC-18524', 'SMR001550468', 'SBI-0206760.P001', 'AB0013301', 'DB-052387', 'FT-0630662', 'NS00010597', 'NS00099242', 'O0391', 'ST50865840', 'SW199450-2', 'C21882', 'D05291', 'AB01275512-01', 'AB01275512_02', 'AB01275512_03', 'Oxfendazole, VETRANAL(TM), analytical standard', '716O500', 'A829749', 'C-19436', 'SR-01000872713', 'Q7115199', 'SR-01000872713-1', 'BRD-A33447119-001-02-5', 'BRD-A33447119-001-03-3', 'BRD-A33447119-001-05-8', 'methoxy-N-[5-(phenylsulfinyl)benzimidazol-2-yl]carboxamide', 'Oxfendazole, European Pharmacopoeia (EP) Reference Standard', 'methyl (6-(phenylsulfinyl)-1H-benzo[d]imidazol-2-yl)carbamate', 'methyl 5-(phenylsulfinyl)-1H-benzo[d]imidazol-2-ylcarbamate', 'METHYL 6-(PHENYLSULFINYL)-1H-BENZIMIDAZOL-2-YLCARBAMATE', 'methyl 6-(phenylsulfinyl)-1H-benzo[d]imidazol-2-ylcarbamate', 'methyl N-[6-(phenylsulfinyl)-1H-benzimidazol-2-yl]carbamate', 'Methyl [5-(phenylsulfinyl)-1H-benzimidazol-2-yl]carbamate, 9CI', 'methyl N-[5-(benzenesulfinyl)-1H-1,3-benzodiazol-2-yl]carbamate', 'Oxfendazole, United States Pharmacopeia (USP) Reference Standard', 'Carbamic acid, N-[6-(phenylsulfinyl)-1H-benzimidazol-2-yl]-, methyl ester', 'N-[6-(benzenesulfinyl)-1H-benzimidazol-2-yl]carbamic acid methyl ester']</t>
  </si>
  <si>
    <t>Compound(40854)</t>
  </si>
  <si>
    <t>C15H13N3O3S</t>
  </si>
  <si>
    <t>7-chloro-3-hydroxy-5-phenyl-1,3-dihydro-1,4-benzodiazepin-2-one</t>
  </si>
  <si>
    <t>['oxazepam', 'Tazepam', 'Serax', 'Adumbran', '604-75-1', 'Droxacepam', 'Ansioxacepam', 'Anxiolit', 'Durazepam', 'Nesontil', 'Noctazepam', 'Praxiten', 'Psiquiwas', 'Quilibrex', 'Aplakil', 'Astress', 'Bonare', 'Drimuel', 'Isodin', 'Limbial', 'Murelax', 'Pacienx', 'Propax', 'Rondar', 'Sedigoa', 'Serenal', 'Serenid', 'Serepax', 'Seresta', 'Serpax', 'Sobril', 'Zaxopam', 'Vaben', 'Hi-Long', 'Azutranquil', 'Nortemazepam', 'Psicopax', 'Sigacalm', 'Uskan', '(RS)-Oxazepam', 'Nozepam', 'Tarchomin', '(+-)-Oxazepam', 'Serenid-D', 'Abboxapam', 'Lederpam', 'Oxazepamum', 'Oxozepam', 'Alepam', 'Oxanid', 'Tacepam', 'Anxiolit retard', 'QUEN', 'Tranquo-buscopan-wirkstoff', 'Oxa-puren', 'Z10-Tr', 'WY-3498', 'N-Desmethyltemazepam', 'Ossazepam [DCIT]', 'Oxazepamum [INN-Latin]', '2H-1,4-Benzodiazepin-2-one, 7-chloro-1,3-dihydro-3-hydroxy-5-phenyl-', 'Ro 5-6789', 'CB 8092', 'Z 10 tr', '7-Chloro-3-hydroxy-5-phenyl-1,3-dihydro-2H-1,4-benzodiazepin-2-one', 'Wy 3498', 'CCRIS 488', '7-chloro-3-hydroxy-5-phenyl-1,3-dihydro-1,4-benzodiazepin-2-one', 'HSDB 3140', '7-Chloro-1,3-dihydro-3-hydroxy-5-phenyl-2H-1,4-benzodiazepin-2-one', 'EINECS 210-076-9', 'NSC 169448', 'CHEBI:7823', 'DEA No. 2835', '1,3-Dihydro-7-chloro-3-hydroxy-5-phenyl-2H-1,4-benzodiazepin-2-one', 'NSC-169448', 'NCGC00159323-02', 'NCGC00159323-03', 'Ossazepam', 'Oxazipam', 'DSSTox_CID_1087', '(+-)-7-Chloro-1,3-dihydro-3-hydroxy-5-phenyl-2H-1,4-benzodiazepin-2-one', 'DSSTox_RID_75934', 'DSSTox_GSID_21087', 'Abboxampam', 'Azutranguil', 'Hilong', 'Apo-astress', 'p acienx', '2H-1,4-Benzodiazepin-2-one, 7-chloro-1,3-dihydro-3-hydroxy-5-phenyl-, (+-)-', 'CAS-604-75-1', 'Serax (TN)', 'Oxazepam [USAN:INN:BAN:JAN]', 'Oxazepam (JAN/USP/INN)', 'Oxazepam civ', '3-Hydroxynordiazepam', 'Oxazepam [USAN:USP:INN:BAN:JAN]', '(.+/-.)-Oxazepam', 'CHEMBL568', 'tranquo-buscopan- wirkstoff', 'Oprea1_501459', 'SCHEMBL27435', 'Temazepam impurity, oxazepam-', 'DivK1c_000986', 'GTPL7253', 'DTXSID1021087', 'NIOSH/DF2371850', 'ADIMAYPTOBDMTL-UHFFFAOYSA-', 'BDBM85031', 'HMS503E13', 'KBio1_000986', 'Oxazepam 0.1 mg/ml in Methanol', 'Oxazepam 1.0 mg/ml in Methanol', 'NINDS_000986', 'LS-44', 'NSC_4616', 'Tox21_111572', 'Tox21_112819', 'Tox21_200700', 'Tox21_303501', '1,3-Dihydro-7-chloro-3-hydroxy-5-phenyl-3H-1,4-benzodiazepin-2-one', '7-Chloro-1,3-dihydro-3-hydroxy-5-phenyl-2H-1,4-benzodiazepine-2-one', '7-Chloro-1,4-benzodiazepine-2-one', 'MFCD00057903', 'NSC169448', 'AKOS016347293', 'API0003709', 'DB00842', 'J3.308A', 'IDI1_000986', 'WLN: T67 GMV JN IHJ CG IQ KR', 'NCGC00159323-04', 'NCGC00257352-01', 'NCGC00258254-01', 'CAS_604-75-1', 'LS-34236', 'DF23718500', 'NS00007748', 'NS00099094', 'C07359', 'D00464', '604O751', 'Q412299', 'SR-01000942251', '2H-1, 7-chloro-1,3-dihydro-3-hydroxy-5-phenyl-', '7-chloro-5-phenyl-3H-1,4-benzodiazepine-2,3-diol', 'SR-01000942251-1', '7-Chloro-3-hydroxy-5-phenyl-1,4-benzodiazepin-2-one', 'Oxazepam solution, drug standard, 1.0 mg/mL in methanol', 'Oxazepam, European Pharmacopoeia (EP) Reference Standard', '3-hydroxy-1,3-dihydro-7-chloro-5-phenyl-2H-1,4-benzodiazepin-2-one', '3-hydroxy-5-phenyl-7-chloro-2,3-dihydro-1H-1,4-benzodiazepin-2-one', '3H-1,4-Benzodiazepin-2-one, 1,3-dihydro-7-chloro-3-hydroxy-5-phenyl-', '7-Chloro-1,3-dihydro-3-hydroxy-5-phenyl-1,4 [2Hl-benzodiazepin-2-one', '7-Chloro-3-hydroxy-5-phenyl-1,3-dihydro-benzo[e][1,4]diazepin-2-one', '7-chloro-3-hydroxy-5-phenyl-2,3-dihydro-1H-1,4-benzodiazepin-2-one', '7-CHLORO-3-HYDROXY-5-PHENYL-1,3-DIHYDRO-2H-BENZO[E][1,4]DIAZEPIN-2-ONE', 'Oxazepam for peak identification, European Pharmacopoeia (EP) Reference Standard', 'Oxazepam solution, 1 mg/mL in methanol, ampule of 1 mL, certified reference material']</t>
  </si>
  <si>
    <t>Compound(4616)</t>
  </si>
  <si>
    <t>C15H11ClN2O2</t>
  </si>
  <si>
    <t>oxalic acid</t>
  </si>
  <si>
    <t>['oxalic acid', 'ethanedioic acid', '144-62-7', 'Aktisal', 'Aquisal', 'Oxiric acid', 'Oxalsaeure', 'Oxaalzuur', 'Kyselina stavelova', 'Acide oxalique', 'Acido ossalico', 'Acidum oxalicum', 'Caswell No. 625', 'Oxaalzuur [Dutch]', 'Oxalsaeure [German]', 'NCI-C55209', 'Ethanedionic acid', 'Acide oxalique [French]', 'Ethane-1,2-dioic acid', 'Acido ossalico [Italian]', 'Kyselina stavelova [Czech]', 'CCRIS 1454', 'EPA Pesticide Chemical Code 009601', 'HSDB 1100', 'AI3-26463', 'NSC 62774', 'UNII-9E7R5L6H31', 'BRN 0385686', 'HOOCCOOH', 'C2H2O4', 'Oxalic acid anhydrous', 'Dilithium oxalate', 'EINECS 205-634-3', 'MFCD00002573', 'CHEBI:16995', 'ETHANEDIOIC ACID DIHYDRATE', '9E7R5L6H31', 'C2-beta-polymorph', 'Oxalic Acid Dianion', 'DSSTox_CID_5816', 'C00209', 'DSSTox_RID_77935', 'DSSTox_GSID_25816', 'Oxalic acid, 98%, anhydrous', 'Oxalic acid diammonium salt', 'Oxalic acid, 0.1 N standard solution', 'CAS-144-62-7', 'OXD', 'NSC115893', 'Ethandisaeure', 'Ethanedionate', 'Oxagel', '2dua', '2hwg', 'H2ox', 'Ethane-1,2-dioate', 'Oxalic acid, 98%', 'Oxalic acid (8CI)', 'oxalic acid 2 hydrate', 'Oxalic acid 2-Hydrate', 'PubChem22393', '1o4n', '1t5a', 'ACMC-1BDPM', 'Oxalate standard for IC', 'WLN: QVVQ', 'Ethanedioic acid (9CI)', '338-70-5', 'Oxalic acid dihydrate ACS', 'Ultraplast Activate S 52', 'bmse000106', 'EC 205-634-3', 'Oxalic Acid Low Ash Grade', 'NCIOpen2_000770', 'NCIOpen2_001022', 'NCIOpen2_001042', 'NCIOpen2_001202', 'NCIOpen2_008831', '4-02-00-01819 (Beilstein Handbook Reference)', 'KSC174M2T', 'Oxalic acid solution, 0.5 M', 'Oxalic acid, AR, &gt;=99%', 'Oxalic acid, LR, &gt;=98%', 'CHEMBL146755', 'DTXSID0025816', 'Oxalic acid solution, 0.05 M', 'Oxalic acid, analytical standard', 'BDBM14674', 'CTK0H4629', 'KS-00000GVB', 'HY-Y0262', 'NSC62774', 'Oxalicacid,0.1NStandardizedSolution', 'STR01359', 'ZINC6021239', 'Tox21_202122', 'Tox21_303346', 'BBL003000', 'LS-851', 'NSC-62774', 's9354', 'STK379550', 'AKOS005449445', 'CCG-266020', 'DB03902', 'MCULE-6647815245', 'Oxalic acid, ReagentPlus(R), &gt;=99%', 'NCGC00249170-01', 'NCGC00257376-01', 'NCGC00259671-01', 'AK164240', 'BP-21133', 'SC-80488', 'Oxalic acid, SAJ first grade, &gt;=97.0%', '745-EP2269610A2', '745-EP2269989A1', '745-EP2269990A1', '745-EP2270002A1', '745-EP2270006A1', '745-EP2270011A1', '745-EP2270113A1', '745-EP2270505A1', '745-EP2272516A2', '745-EP2272537A2', '745-EP2272827A1', '745-EP2272837A1', '745-EP2272847A1', '745-EP2275404A1', '745-EP2275410A1', '745-EP2275411A2', '745-EP2275412A1', '745-EP2275424A1', '745-EP2277622A1', '745-EP2277848A1', '745-EP2277858A1', '745-EP2277866A1', '745-EP2277867A2', '745-EP2280000A1', '745-EP2280003A2', '745-EP2280008A2', '745-EP2280010A2', '745-EP2280012A2', '745-EP2281563A1', '745-EP2281823A2', '745-EP2284149A1', '745-EP2284160A1', '745-EP2284169A1', '745-EP2284178A2', '745-EP2284179A2', '745-EP2286811A1', '745-EP2287147A2', '745-EP2287152A2', '745-EP2287157A1', '745-EP2287160A1', '745-EP2287161A1', '745-EP2287162A1', '745-EP2289510A1', '745-EP2289876A1', '745-EP2289877A1', '745-EP2289879A1', '745-EP2289883A1', '745-EP2289894A2', '745-EP2292227A2', '745-EP2292234A1', '745-EP2292593A2', '745-EP2292597A1', '745-EP2292618A1', '745-EP2292624A1', '745-EP2295401A2', '745-EP2295402A2', '745-EP2295406A1', '745-EP2295414A1', '745-EP2295416A2', '745-EP2295424A1', '745-EP2295426A1', '745-EP2295427A1', '745-EP2295433A2', '745-EP2298731A1', '745-EP2298734A2', '745-EP2298735A1', '745-EP2298739A1', '745-EP2298747A1', '745-EP2298748A2', '745-EP2298755A1', '745-EP2298758A1', '745-EP2298759A1', '745-EP2298763A1', '745-EP2298768A1', '745-EP2298772A1', '745-EP2298780A1', '745-EP2301544A1', '745-EP2301922A1', '745-EP2301931A1', '745-EP2301937A1', '745-EP2305219A1', '745-EP2305257A1', '745-EP2305633A1', '745-EP2305636A1', '745-EP2305641A1', '745-EP2305651A1', '745-EP2305655A2', '745-EP2305664A1', '745-EP2305669A1', '745-EP2305672A1', '745-EP2305673A1', '745-EP2305675A1', '745-EP2305676A1', '745-EP2305679A1', '745-EP2305680A2', '745-EP2305683A1', '745-EP2305689A1', '745-EP2308839A1', '745-EP2308849A1', '745-EP2308850A1', '745-EP2308854A1', '745-EP2308857A1', '745-EP2308861A1', '745-EP2308869A1', '745-EP2308872A1', '745-EP2308873A1', '745-EP2308875A1', '745-EP2311801A1', '745-EP2311802A1', '745-EP2311803A1', '745-EP2311808A1', '745-EP2311809A1', '745-EP2311810A1', '745-EP2311811A1', '745-EP2311814A1', '745-EP2311822A1', '745-EP2311824A1', '745-EP2311829A1', '745-EP2311831A1', '745-EP2311834A1', '745-EP2311835A1', '745-EP2311837A1', '745-EP2311839A1', '745-EP2314295A1', '745-EP2314574A1', '745-EP2314576A1', '745-EP2314581A1', '745-EP2314585A1', '745-EP2314586A1', '745-EP2314588A1', '745-EP2314589A1', '745-EP2314593A1', '745-EP2316457A1', '745-EP2316458A1', '745-EP2316459A1', '745-EP2316825A1', '745-EP2316826A1', '745-EP2316827A1', '745-EP2316828A1', '745-EP2316829A1', '745-EP2316831A1', '745-EP2316834A1', '745-EP2316835A1', '745-EP2316836A1', '745-EP2316837A1', '745-EP2371811A2', '745-EP2371814A1', '745-EP2374454A1', '745-EP2374526A1', '745-EP2374780A1', '745-EP2374781A1', '745-EP2374895A1', 'CS-0013716', 'FT-0657506', 'Oxalic acid, Vetec(TM) reagent grade, 98%', 'T7404', 'Oxalic acid, purum, anhydrous, &gt;=97.0% (RT)', 'Q184832', 'J-007978', 'F1B1B2D7-C290-4CE6-8550-F25B202AFADE', 'F2191-0257', 'Oxalic acid, puriss. p.a., anhydrous, &gt;=99.0% (RT)', 'Oxalic acid, purified grade, 99.999% trace metals basis', 'Oxalate standard for IC, 1.000 g/L in H2O, analytical standard', 'Oxalic acid concentrate, 0.1 M (COOH)2 (0.2N), eluent concentrate for IC']</t>
  </si>
  <si>
    <t>Compound(971)</t>
  </si>
  <si>
    <t>C2H2O4</t>
  </si>
  <si>
    <t>ozone</t>
  </si>
  <si>
    <t>['OZONE', 'Triatomic oxygen', '10028-15-6', 'Ozon', 'Ozone heavy work', 'Ozon [Polish]', 'Oxygen, mol (O3)', 'Ozone light work', 'UNII-66H7ZZK23N', 'Ozone moderate work', 'trioxid-2-en-2-ium-1-ide', 'CCRIS 4503', 'HSDB 717', 'EINECS 233-069-2', '66H7ZZK23N', 'CHEBI:25812', 'O3', 'Ozone heavy, moderate, or light workloads (&lt;2 hours)', 'Trisauerstoff', 'CHEMBL2447938', 'DTXSID0021098', 'CTK0H5519', '[OO2]', '1,3-Dioxa-2-oxoniapropene-3-ide', 'LS-316', 'DB12510', 'Q36933']</t>
  </si>
  <si>
    <t>Compound(24823)</t>
  </si>
  <si>
    <t>O3</t>
  </si>
  <si>
    <t>p-menthane-3,8-diol</t>
  </si>
  <si>
    <t>2-(2-hydroxypropan-2-yl)-5-methylcyclohexan-1-ol</t>
  </si>
  <si>
    <t>['p-Menthane-3,8-diol', '42822-86-6', 'para-menthane-3,8-diol', '3,8-p-menthanediol', '2-(2-hydroxypropan-2-yl)-5-methylcyclohexan-1-ol', 'UNII-6T6Z1Z1NC4', '2-(2-Hydroxypropan-2-yl)-5-methylcyclohexanol', '2-Hydroxy-alpha,alpha,4-trimethylcyclohexanemethanol', '6T6Z1Z1NC4', 'Cyclohexanemethanol,2-hydroxy-a,a,4-trimethyl-', '2-(1-Hydroxy-1-methylethyl)-5-methylcyclohexanol', 'W-106259', '8-hydroxymenthol', 'Isopulegol hydrate', 'Citriodiol', 'Geranodyle', 'Geranium cyclohexane', 'Cubebaol', 'EINECS 255-953-7', 'trans-2-(2-Hydroxypropan-2-yl)-5-methylcyclohexanol', '2-Hydroxy-|A,|A,4-trimethylcyclohexanemethanol', 'SCHEMBL80731', 'DTXSID0035744', 'CHEBI:48250', 'CTK4I6636', 'p-Menthane-3,8-diol (Natural)', 'AKOS015902316', 'FCH1115966', 'MCULE-7074521102', 'AS-57135', 'DA-05917', 'cis-1,3,trans-1,4-p-Menthane-3,8-diol', '(1Alpha,3beta,4beta)-p-menthane-3,8-diol', '2-hydroxy-a,a,4-trimethylcyclohexanemethanol', 'FT-0623947', 'FT-0770276', 'NS00004650', '2-hydroxy-?,?,4-trimethylcyclohexanemethanol', '2-(2-hydroxy-2-propyl)-5-methyl-cyclohexanol', '2-Hydroxy-a,a,4-trimethylcyclohexanemethanol, 9CI', '822M866', 'Q3359470', '2-Hydroxy-alpha,alpha,4-trimethyl-Cyclohexanemethanol', 'Cyclohexanemethanol, 2-hydroxy-alpha,alpha,4-trimethyl-', 'Mixture of cis- and trans-p-menthane-3,8 diol/Citriodiol', 'Citriodiol / Mixture of cis- and trans-p-menthane-3,8 diol', 'MENTHANEDIOL;2-hydroxy-a,a,4-trimethylcyclohexanemethanol;Mixture of cis- and trans-p-menthane-3,8 diol/Citriodiol;p-Menthane-3,8-diol']</t>
  </si>
  <si>
    <t>Compound(556998)</t>
  </si>
  <si>
    <t>p-chlorophenyl isocyanate</t>
  </si>
  <si>
    <t>1-chloro-4-isocyanatobenzene</t>
  </si>
  <si>
    <t>['4-Chlorophenyl isocyanate', '104-12-1', 'p-Chlorophenyl isocyanate', '1-Chloro-4-isocyanatobenzene', 'Benzene, 1-chloro-4-isocyanato-', 'PCPI', '4-Chloroisocyanatobenzene', 'para-Chlorophenyl isocyanate', 'p-Chlorfenylisokyanat', 'ISOCYANIC ACID, P-CHLOROPHENYL ESTER', '1-chloro-4-isocyanato-benzene', 'UNII-W46XL60WI8', 'NSC 76589', 'p-Chlorfenylisokyanat [Czech]', 'HSDB 1331', '4-Chlorophenylisocyanate', 'EINECS 203-176-9', 'W46XL60WI8', '4-Chlorophenyl isocyanate, 98%', '4-chlorobenzenisocyanate', '4-Isocyanato chlorobenzene', '4-Chloro-iso-cyanatobenzene', 'MFCD00002024', 'p-chlorophenylisocvanate', 'p-chlorophenylisocyanate', 'p-chlorphenyl isocyanate', '4-chlorophenyl isocynate', 'p- chlorophenylisocyanate', 'p-chloro phenylisocyanate', '4-chiorophenyl isocyanate', '4-chloro phenylisocyanate', '4-chloro-phenylisocyanate', '4-chlorophenyl-isocyanate', 'WLN: OCNR DG', '4-chlorophenyl -isocynate', '4-chloro phenyl isocyanate', '4-chloro-phenyl isocyanate', 'EC 203-176-9', '1-chloro-4-isocyanatobenzen', 'DSSTox_CID_20732', 'DSSTox_RID_79577', 'DSSTox_GSID_40732', 'SCHEMBL77660', 'KSC490A8T', '1-chloro-4 isocyanato-benzene', '4-chloro-1-isocyanato benzene', '4-chloro-1-isocyanato-benzene', 'ACMC-2098b0', 'CHEMBL1865294', 'DTXSID7040732', 'CTK3J0089', 'KS-00000EMG', '1-chloranyl-4-isocyanato-benzene', 'BCP29164', 'NSC76589', 'ZINC1707960', 'Isocyanic Acid 4-Chlorophenyl Ester', 'Tox21_300991', 'ANW-15034', 'BBL012220', 'NSC-76589', 'SBB058877', 'STL163561', 'AKOS000121897', 'MCULE-8599901017', 'NCGC00164343-01', 'NCGC00164343-02', 'NCGC00254893-01', 'CAS-104-12-1', 'LS-84439', 'SC-26481', 'VS-03241', 'DB-014008', 'FT-0631566', 'FT-0650417', 'FT-0686388', 'I0121', 'NS00006206', 'ST50824415', '137131-EP2286811A1', '137131-EP2292606A1', 'A800902', 'W-108825', '1-Chloro-4-isocyanatobenzene;p-Chlorophenyl isocyanate', 'Q26840784', 'F2190-0546']</t>
  </si>
  <si>
    <t>Compound(7693)</t>
  </si>
  <si>
    <t>C7H4ClNO</t>
  </si>
  <si>
    <t>p-chloro-m-cresol</t>
  </si>
  <si>
    <t>4-(chloromethyl)phenol</t>
  </si>
  <si>
    <t>['4-Hydroxybenzyl chloride', '35421-08-0', '4-(chloromethyl)phenol', 'p-Chloromethylphenol', 'Phenol, 4-(chloromethyl)-', '4-Chloromethylphenol', 'alpha-Chloro-p-cresol', '4-chlormethylphenol', 'p-hydroxybenzyl chloride', '4-(Chloromethyl)-phenol', 'p-CHLOROMETHYL PHENOL', 'SCHEMBL537078', 'DTXSID0074843', 'CTK8I3773', 'ZINC2034013', 'FCH968835', 'AKOS006384445', 'DA-22267', 'FT-0647714', '421H080', 'A822785']</t>
  </si>
  <si>
    <t>Compound(35684)</t>
  </si>
  <si>
    <t>p-phenol sulfonic acid</t>
  </si>
  <si>
    <t>4-hydroxybenzenesulfonic acid</t>
  </si>
  <si>
    <t>['4-Hydroxybenzenesulfonic acid', '98-67-9', 'p-Phenolsulfonic acid', '4-Phenolsulfonic acid', 'phenolsulfonic acid', 'p-Sulfophenol', 'Sulfocarbolic acid', 'Benzenesulfonic acid, 4-hydroxy-', 'p-Hydroxybenzenesulfonic acid', '4-HYDROXYPHENYLSULFONIC ACID', 'Benzenesulfonic acid, p-hydroxy-', '4-Sulfophenol', '4-Hydroxybenzenesulphonic acid', 'Phenol-4-sulfonic acid', 'Hydroxybenzene-4-sulfonic acid', 'UNII-L74LRO149A', 'NSC 227908', 'HSDB 5319', 'EINECS 202-691-6', 'BRN 1869034', 'L74LRO149A', 'CHEBI:32354', 'DSSTox_CID_26421', 'DSSTox_RID_81599', 'DSSTox_GSID_46421', '4-Hydroxybenzenesulfonate', 'CAS-98-67-9', 'Sodium p-hydroxybenzenesulphonate', 'NCGC00164534-01', 'NCGC00164534-02', '28469-73-0', 'p-Phenolsulfonic Acid Hydrate', 'p-Phenolsulfonic aci', 'Phenolsulfonic acid (JAN)', '4-Hydroxybenzenesulfonicacid', '4hydroxybenzenesulfonic acid', 'EC 202-691-6', 'p-Hydroxyphenylsulfonic acid', 'PSA65', 'SCHEMBL18275', 'Sulfocarbolic acid (Related)', 'p-hydroxybenzenesulphonic acid', '4-11-00-00582 (Beilstein Handbook Reference)', 'KSC489O3H', 'CHEMBL1398657', 'DTXSID1046421', 'CTK3I9733', 'KS-00000UGM', '4-hydroxybenzene-1-sulfonic acid', 'ZINC1577054', 'EINECS 249-038-1', 'Tox21_112165', 'ANW-43847', 'MFCD00007506', 'NSC227908', 'STL280368', '4-Hydroxybenzenesulfonic acid solution', 'AKOS009159072', 'Tox21_112165_1', 'CS-W017509', 'DB14739', 'LS10671', 'MCULE-9642506548', 'NSC-227908', 'AM804627', 'AS-39421', 'L731', 'LS-31967', 'SC-75289', '4-Hydroxybenzenesulfonic acid, 65% in Water', 'FT-0651923', 'NS00006802', 'P0104', 'EN300-36331', 'C12849', 'D01403', 'p-hydroxybenzenesulfonic Acid, Sulfocarbolic Acid', 'Q1534677', 'W-100070', '4-hydroxybenzenesulfonic acid solution (65 wt% in h2o)', '4-Hydroxybenzenesulfonic acid solution, 65 wt. % in H2O', 'UNII-4OOD0LGW0Q component FEPBITJSIHRMRT-UHFFFAOYSA-N']</t>
  </si>
  <si>
    <t>Compound(4765)</t>
  </si>
  <si>
    <t>C6H6O4S</t>
  </si>
  <si>
    <t>p-toluenesulfonamide</t>
  </si>
  <si>
    <t>4-methylbenzenesulfonamide</t>
  </si>
  <si>
    <t>['4-Methylbenzenesulfonamide', 'P-TOLUENESULFONAMIDE', '70-55-3', '4-Toluenesulfonamide', 'Tosylamide', 'p-Tosylamide', 'Benzenesulfonamide, 4-methyl-', 'Toluene-4-sulfonamide', 'p-Tolylsulfonamide', '4-methylbenzene-1-sulfonamide', 'Tolylsulfonamide', 'para-Toluenesulfonamide', 'p-Toluenesulfamide', 'p-Methylbenzenesulfonamide', 'p-Toluenesulfonylamide', 'Toluene-p-sulphonamide', 'Toluene-4-sulphonamide', '4-Toluenesulfanamide', 'tosylamine', '4-Toluenesulfonic acid, amide', 'UNII-I8266RI90M', 'HSDB 5203', 'NSC 9908', 'EINECS 200-741-1', 'MFCD00011692', 'CHEMBL574', 'BRN 0472689', 'AI3-19503', 'CHEBI:34435', 'I8266RI90M', 'DSSTox_CID_9105', 'p-Toluenesulfonamide, 99%', 'DSSTox_RID_78668', 'DSSTox_GSID_29105', 'CAS-70-55-3', 'p-toluensulfonamide', '4-tolylsulphonamide', '4J8', 'p-Toluenesulphonamide', '4-toluenesulphonamide', 'p-toluene sulfonamide', 'p-toluene-sulfonamide', 'PASAM', 'Toluene-p-sulfonamide', 'p-toluene sulphonamide', 'N-p-tolylsulfonylamine', 'Paratoulene sulfonamide', 'p-toluenesulfonic amide', 'para-toluen sulphonamide', 'Para Toluene Sulfonamide', 'para-toluene sulphonamide', '4-methylphenylsulphonamide', '4-methylphenyl sulfonamide', 'P-Toluenesulfonamide,(S)', '4-methylbenzenesulphonamide', 'ACMC-1BH3C', '4-methyl benzenesulfonamide', '4-methyl-benzenesulfonamide', 'WLN: ZSWR D1', '4-methylphenylsulphonylamine', 'EC 200-741-1', 'p-methyl-benzene sulfonamide', 'SCHEMBL7370', '4-11-00-00376 (Beilstein Handbook Reference)', 'KSC377A8L', 'MLS001065595', 'BIDD:ER0609', 'DTXSID8029105', 'BDBM10859', 'CTK2H7085', 'NSC9908', 'HMS3039B12', 'ZINC388056', 'NSC-9908', 'Tox21_201594', 'Tox21_303506', 'ANW-35919', 'aromatic/heteroaromatic sulfonamide 4', 'HTS006943', 'SBB058201', 'STK416410', 'AKOS000149655', 'FS-3585', 'MCULE-6491310410', 'TOSYLAMIDE/FORMAL- DEHYDE RESIN', 'KS-0000004K', 'NCGC00091435-01', 'NCGC00091435-02', 'NCGC00091435-03', 'NCGC00257435-01', 'NCGC00259143-01', 'AK-93764', 'BP-12584', 'NCI60_042220', 'p-Toluenesulfonamide, reagent grade, 98%', 'SC-18294', 'SMR000568494', 'AB0007286', 'LS-154089', 'BB 0258885', 'CS-0012133', 'FT-0646496', 'NS00010636', 'ST45216288', 'C14412', 'M-4225', 'p-Toluenesulfonamide, ReagentPlus(R), &gt;=99%', 'AE-562/40173366', 'p-Toluenesulfonamide, Vetec(TM) reagent grade, 98%', 'W-104550', 'W-109664', 'Q23013959', 'Z45415564', 'F0722-8812', 'UNII-7KNQ0Z6J6Y component LMYRWZFENFIFIT-UHFFFAOYSA-N', 'p-Toluenesulfonamide, United States Pharmacopeia (USP) Reference Standard', '12552-95-3', '4-toluenesulfonamide-formaldehyde resin;Benzenesulfonamide, 4-methyl-, polymer with formaldehyde and 1,3,5-triazine-2,4,6-triamine;p-toluenensulfonamide;4-Toluenesulfonamide;toluene-4-sulphonamide']</t>
  </si>
  <si>
    <t>Compound(6269)</t>
  </si>
  <si>
    <t>(2R,3R)-1-(4-chlorophenyl)-4,4-dimethyl-2-(1,2,4-triazol-1-yl)pentan-3-ol</t>
  </si>
  <si>
    <t>['Paclobutrazol', '76738-62-0', '82336-55-8', '(2R,3R)-1-(4-chlorophenyl)-4,4-dimethyl-2-(1,2,4-triazol-1-yl)pentan-3-ol', '1H-1,2,4-Triazole-1-ethanol, beta-((4-chlorophenyl)methyl)-alpha-(1,1-dimethylethyl)-, (R-(R*,R*))-', '(R,R)-paclobutrazol', '(2R,3R)-Paclobutrazol', 'SCHEMBL3678556', 'alpha-tert-Butyl-beta-(4-chlorobenzyl)-1H-1,2,4-triazole-1-ethanol', 'DTXSID2024242', 'CTK3F0348', 'BIP7675', 'DTXSID30231704', 'CHEBI:139345', 'ZX-AFC000573', '(2RS,3RS)-1-(4-chlorophenyl)-4,4-dimethyl-2-(1H-1,2,4-triazol-1-yl)-pentan-3-ol;ethephon;paclobutrazol', 'ZINC2383071', 'KM1793', 'MFCD01678673', 'AKOS015950812', 'API0003729', 'KS-0000119B', 'Paclobutrazol 10 microg/mL in Isooctane', 'AS-14839', 'M795', 'Paclobutrazol 100 microg/mL in Acetonitrile', 'Paclobutrazol, PESTANAL(R), analytical standard', '738P620', 'Paclobutrazol, certified reference material, TraceCERT(R)', 'UNII-6PLV42R3ZA component RMOGWMIKYWRTKW-KGLIPLIRSA-N', '(2R,3R)-1-(4-chlorophenyl)-4,4-dimethyl-2-(1H-1,2,4-triazol-1-yl)pentan-3-ol']</t>
  </si>
  <si>
    <t>Compound(158076)</t>
  </si>
  <si>
    <t>C15H20ClN3O</t>
  </si>
  <si>
    <t>[(1S,2S,3R,4S,7R,9S,10S,12R,15S)-4,12-diacetyloxy-15-[(2R,3S)-3-benzamido-2-hydroxy-3-phenylpropanoyl]oxy-1,9-dihydroxy-10,14,17,17-tetramethyl-11-oxo-6-oxatetracyclo[11.3.1.03,10.04,7]heptadec-13-en-2-yl] benzoate</t>
  </si>
  <si>
    <t>['paclitaxel', 'TAXOL', '33069-62-4', 'Taxol A', 'Abraxane', 'Paxene', 'Paxceed', 'Plaxicel', 'Yewtaxan', 'Onxol', 'ABI-007', 'Ebetaxel', 'Capxol', 'Genaxol', 'LipoPac', 'Paclitaxel (Taxol)', 'Genetaxyl', 'Genexol', 'Intaxel', 'TaxAlbin', 'Zisu', 'OncoGel', 'NSC-125973', 'EmPAC', 'ABI 007', 'UNII-P88XT4IS4D', 'MBT 0206', 'NSC125973', 'Mitotax', 'HSDB 6839', 'DHP 107', 'DRG-0190', 'NK 105', 'QW 8184', 'P88XT4IS4D', 'BMS-181339-01', 'CHEMBL428647', '5beta,20-Epoxy-1,2-alpha,4,7beta,10beta,13alpha-hexahydroxytax-11-en-9-one 4,10-diacetate 2-benzoate 13-ester with (2R,3S)-N-benzoyl-3-phenylisoserine', 'BMS 181339-01', 'CHEBI:45863', 'nab-paclitaxel', 'NSC 125973', '(2aR-(2aalpha,4beta,4abeta,6beta,9alpha(alpha R*,betaS*),11alpha,12alpha,12balpha))-beta-(Benzoylamino)-alpha-hydroxybenzenepropanoic acid 6,12b-bis(acetyloxy)-12-(benzoyloxy)-2a,3,4,4a,5,6,9,10,11,12,12a,12b-dodecahydro-4,11-dihydroxy-4a,8,13,13-tetramethyl-5-oxo-7,11-methano-1H-cyclodeca(3,4)benz(1,2-b)oxet-9-yl ester', 'NCGC00164367-01', 'Cyclopax', 'Padexol', 'Anzatax', 'Cynviloq', 'Nanoxel', 'Pacliex', 'Sindaxel', 'Xorane', 'Cypher select', 'Coroflex Please', 'Taxus stent', 'Taxus Express', 'Taxus Liberte', 'MFCD00869953', '7,11-Methano-1H-cyclodeca[3,4]benz[1,2-b]oxete, benzenepropanoic acid deriv.', '(1S,2S,3R,4S,7R,9S,10S,12R,15S)-4,12-bis(acetyloxy)-1,9-dihydroxy-15-{[(2R,3S)-2-hydroxy-3-phenyl-3-(phenylformamido)propanoyl]oxy}-10,14,17,17-tetramethyl-11-oxo-6-oxatetracyclo[11.3.1.0^{3,10}.0^{4,7}]heptadec-13-en-2-yl benzoate', '(NAB)-Paclitaxel', 'SMR000857385', 'EndoTAG 1', 'EndoTAG-1', 'LEP-ETU', 'SR-01000075350', 'Abraxane I.V. Suspension', 'Infinnium', 'Nanotaxel', 'Paclical', 'Pacligel', 'Paxoral', 'Onxal', 'Paclitaxel/', 'CCRIS 8143', 'Genexol-PM', 'Paclitaxel,(S)', 'Paclitaxel [USAN:USP:INN:BAN]', 'Abraxane (TN)', '(2alpha,5beta,7beta,10beta,13alpha)-4,10-bis(acetyloxy)-1,7-dihydroxy-13-({(2R,3S)-2-hydroxy-3-phenyl-3-[(phenylcarbonyl)amino]propanoyl}oxy)-9-oxo-5,20-epoxytax-11-en-2-yl benzoate', '(2aR,4S,4aS,6R,9S,11S,12S,12aR,12bS)-1,2a,3,4,4a,6,9,10,11,12,12a,12b-Dodecahydro-4,6,9,11,12,12b-hexahydroxy-4a,8,13,13-tetramethyl-7,11-methano-5H-cyclodeca(3,4)benz(1,2-b)oxet-5-one 6,12b-diacetate, 12-benzoate, 9-ester with (2R,3S)-N-benzoyl-3-phenylisoserine', '(2aR,4S,4aS,6R,9S,11S,12S,12aR,12bS)-9-(((2R,3S)-3-benzamido-2-hydroxy-3-phenylpropanoyl)oxy)-12-(benzoyloxy)-4,11-dihydroxy-4a,8,13,13-tetramethyl-5-oxo-2a,3,4,4a,5,6,9,10,11,12,12a,12b-dodecahydro-1H-7,11-methanocyclodeca[3,4]benzo[1,2-b]oxete-6,12b-diyl diacetate', '[diacetoxy-[(2R,3S)-3-benzamido-2-hydroxy-3-phenyl-propanoyl]oxy-dihydroxy-tetramethyl-oxo-[?]yl] benzoate', 'AK108391', 'Taxol (Paclitaxel)', 'Nanoparticle albumin bound paclitaxel', 'CAS-33069-62-4', 'IG 001', 'BMS-181339', 'Paclitaxel-SSMM-VIP', 'Liposome-entrapped paclitaxel easy-to-use', 'P-SSMM-VIP', 'Prestwick3_000155', 'DSSTox_CID_3413', 'TAXOL (TN)', 'SCHEMBL3976', 'DSSTox_RID_77016', 'Nova-12005', 'Paclitaxel, Taxus brevifolia', 'BIDD:PXR0046', 'DSSTox_GSID_23413', 'BSPBio_000290', 'KBioGR_002509', 'KBioSS_002517', 'Paclitaxel (JAN/USP/INN)', 'MLS002154218', 'MLS002695976', 'OAS-PAC-100', 'BPBio1_000320', 'GTPL2770', 'MEGxp0_001940', 'Taxol (TN) (Bristol Meyers)', 'DTXSID9023413', 'ACon1_002231', 'KBio2_002509', 'KBio2_005077', 'KBio2_007645', 'KBio3_002987', 'ANX-513', 'DHP-107', 'DHP-208', 'DTS-301', 'SDP-013', 'cMAP_000068', 'ZX-AFC000078', 'HMS2090D07', 'HMS2095O12', 'HMS2231A16', 'HMS3712O12', 'Abraxane (albumin-bound suspension)', 'ACT02709', 'Benzenepropanoic acid, beta-(benzoylamino)-alpha-hydroxy-, 6,12b-bis(acetyloxy)-12-(benzoyloxy)-2a,3,4,4a,5,6,9,10,11,12,12a,12b-dodecahydro-4,11-dihydroxy-4a,8,13,13-tetramethyl-5-oxo-7,11-methano-1H-cyclodeca(3,4)benz(1,2-b)oxet-9-yl ester, (2aR-(2a-alpha,4-beta,4a-beta,6-beta,9-alpha(alpha-R*,beta-S*),11-alpha,12-alpha,12a-alpha, 12b-alpha))-', 'Benzenepropanoic acid, beta-(benzoylamino)-alpha-hydroxy-, 6,12b-bis(acetyloxy)-12-(benzoyloxy)-2a,3,4,4a,5,6,9,10,11,12,12a,12b-dodecahydro-4,11-dihydroxy-4a,8,13,13-tetramethyl-5-oxo-7,11-methano-1H-cyclodeca(3,4)benz(1,2-b)oxet-9-yl ester, (2aR-(2aalpha,4beta,4abeta,6beta,9alpha(alphaR*,betaS*),11alpha,12alpha,12aalpha,12balpha))-', 'HY-B0015', 'MPI-5018', 'paclitaxel;(2aR,4S,4aS,6R,9S,11S,12S,12aR,12bS)-1,2a,3,4,4a,6,9,10,11,12,12a,12b-Dodecahydro-4,6,9,11,12,12b-hexahydroxy-4a,8,13,13-tetramethyl-7,11-methano-5H-cyclodeca(3,4)benz(1,2-b)oxet-5-one 6,12b-diacetate, 12-benzoate, 9-ester with (2R,3S)-N-benzoyl-3-phenylisoserine', 'Tox21_112107', 'ABP000252', 'BDBM50001839', 'NSC745099', 'ZINC96006020', 'AKOS007930675', 'AKOS015969673', 'AKOS025312303', 'ACN-032459', 'CCG-220155', 'CS-1145', 'DB01229', 'GS-6554', 'NSC-745099', 'QW-8184', 'NCGC00164367-02', 'NCGC00164367-03', 'NCGC00164367-04', 'NCGC00164367-05', 'NCGC00164367-10', 'Paclitaxel, From Taxus brevifolia, 95%', 'NCI60_000601', 'Paclitaxel, from Taxus yannanensis, powder', 'AB0069184', 'AB00513812', 'N1361', '263351-82-2', 'D00491', 'M-8858', 'M02242', 'N88686', '10337-EP2269989A1', '10337-EP2270018A1', '10337-EP2272827A1', '10337-EP2272832A1', '10337-EP2277507A1', '10337-EP2277865A1', '10337-EP2277876A1', '10337-EP2280012A2', '10337-EP2280014A2', '10337-EP2281815A1', '10337-EP2281820A2', '10337-EP2286795A1', '10337-EP2287168A2', '10337-EP2289876A1', '10337-EP2289892A1', '10337-EP2292233A2', '10337-EP2292234A1', '10337-EP2292614A1', '10337-EP2292615A1', '10337-EP2295412A1', '10337-EP2295413A1', '10337-EP2295416A2', '10337-EP2298748A2', '10337-EP2298754A1', '10337-EP2298772A1', '10337-EP2298780A1', '10337-EP2301533A1', '10337-EP2301536A1', '10337-EP2301538A1', '10337-EP2301928A1', '10337-EP2301933A1', '10337-EP2301940A1', '10337-EP2302382A2', '10337-EP2302383A2', '10337-EP2305243A1', '10337-EP2305250A1', '10337-EP2305640A2', '10337-EP2305642A2', '10337-EP2305671A1', '10337-EP2305679A1', '10337-EP2305689A1', '10337-EP2305808A1', '10337-EP2308833A2', '10337-EP2308839A1', '10337-EP2308861A1', '10337-EP2311455A1', '10337-EP2311808A1', '10337-EP2311827A1', '10337-EP2311829A1', '10337-EP2314295A1', '10337-EP2314574A1', '10337-EP2316452A1', '10337-EP2316832A1', '10337-EP2316833A1', 'AB00513812-02', 'AB00513812-03', '069P624', 'Paclitaxel, Antibiotic for Culture Media Use Only', 'Q423762', '7,4]benz[1,2-b]oxete,benzenepropanoic acid deriv.', 'Q-201533', 'SR-01000075350-1', 'SR-01000075350-3', 'SR-01000075350-6', 'SR-01000075350-7', 'SR-01000075350-9', 'BRD-K62008436-001-03-1', 'BRD-K62008436-001-05-6', 'BRD-K62008436-001-22-1', 'Paclitaxel, from semisynthetic (from Taxus sp.), &gt;=97%', 'Paclitaxel, European Pharmacopoeia (EP) Reference Standard', 'Paclitaxel, from Taxus brevifolia, &gt;=95% (HPLC), powder', 'Paclitaxel, United States Pharmacopeia (USP) Reference Standard', '12-benzoate, 9-ester with (2R,3S)-N-benzoyl-3-phenylisoserine', 'Paclitaxel, Pharmaceutical Secondary Standard; Certified Reference Material', '7,11-METHANO-5H-CYCLODECA[3,4]BENZ[1,2-B]OXETE BENZENEPROPANOIC ACID DERIV.', 'Paclitaxel natural for peak identification, European Pharmacopoeia (EP) Reference Standard', '(2alpha,5beta,7beta,10beta,13alpha)-4,10-Bis(acetyloxy)-13-{[(2R,3S)-3-benzamido-2-hydroxy-3-phenylpropanoyl]oxy}-1,7-dihydroxy-9-oxo-5,20-epoxytax-11-en-2-yl benzoate', '(2aR,4S,4aS,6R,9S,11S,12S,12aR,12bS)-1,2a,3,4,4a,6,9,10,11,12,12a,12b-Dodecahydro 4,6,9,11,12,12b-hexahydroxy-4a,8,13,13-tetramethyl-7,11-methano 5Hcyclodeca(3,4)benz(1,2-b)oxet-5-one 6,12b-diacetate,', '(2aR,4S,4aS,6R,9S,11S,12S,12aR,12bS)-6,12b-bis(acetyloxy)-12-(benzoyloxy)-2a,3,4,4a,5,6,9,10,11,12,12a,12b-dodecahydro-4,11-dihydroxy-4a,8,13,13-tetramethyl-5-oxo-7,11-methano-1H-cyclodeca[3,4]benz[1,2-b]oxet-9-yl (aR,bS)-b-(benzoylamino)-a-hydroxybenzenepropanoate', '(2aR,4S,4aS,6R,9S,11S,12S,12aR,12bS)-9-(((2R,3S)-3-benzamido-2-hydroxy-3-phenylpropanoyl)oxy)-12-(benzoyloxy)-4,11-dihydroxy-4a,8,13,13-tetramethyl-5-oxo-3,4,4a,5,6,9,10,11,12,12a-decahydro-1H-7,11-methanocyclodeca[3,4]benzo[1,2-b]oxete-6,12b(2aH)-diyl diacetate', '(2aR-(2aalpha,4beta,4abeta,6beta,9alpha(alpha R*,betaS*),11alpha,12alpha,12balpha))-beta-(Benzoylamino)-alpha-hydroxybenzenepropanoic acid 6,12b-bis(acetyloxy)-12-(benzoyloxy)-2a,3,4,4a,5,6,9,10,11,12', '(2beta,5beta,7alpha,8alpha,10alpha,13alpha)-4,10-bis(acetyloxy)-1,7-dihydroxy-13-({(2R,3S)-2-hydroxy-3-phenyl-3-[(phenylcarbonyl)amino]propanoyl}oxy)-9-oxo-5,20-epoxytax-11-en-2-yl benzoate', '1203669-79-7', '4alpha,10beta-bis(acetyloxy)-13alpha-[(2S,3S)-3-benzamido-2-hydroxy-3-phenylpropanoyloxy]-1,7beta-dihydroxy-9-oxo-5beta,20-epoxytax-11-en-2alpha-yl benzoate', '5?,20-Epoxy-1,7?-dihydroxy-9-oxotax-11-ene-2?,4,10?,13?-tetrayl 4,10-diacetate 2-benzoate 13-[(2R,3S)-3-(benzoylamino)-2-hydroxy-3-phenylpropanoate]', 'Benzenepropanoic acid, 6,12b-bis(acetyl oxy)-12-(benzoyloxy)- 2a,3,4,4a,5,6,9,10,11,12,12a,12b,- dodecahydro-4,11- dihydroxy-4a,8,13,13-tetramethyl-5-oxo- 7,11-methano- 1H-cyclodeca[3,4]benz[1,2-b]oxet-9-yl ester, [2aR- [2a.alpha.,4.beta.,4a.beta.,6.beta.,9.alpha.(alpha. R*,.beta.S*),11.alpha.,12.alpha.,12a.alpha.,12b.alpha.]]-', 'Benzenepropanoic acid, b-(benzoylamino)-.alpha.-hydroxy-, (2aR,4S,4aS,6R,9S,11S,12S,12aR,12bS)-6,12b-bis(acetyloxy)-12-(benzoyloxy)-2a,3,4,4a,5,6,9,10,11,12,12a,12b-dodecahydro-4,11-dihydroxy-4a,8,13,13-tetramethyl-5-oxo-7,11-methano-1H-cyclodeca[3,4]benz[1,2-b]oxet-9-yl ester, (aR,bS)-', 'Benzenepropanoic acid, beta-(benzoylamino)-alpha-hydroxy-, (2aR,4S,4aS,6R,9S,11S,12S,12aR,12bS)-6,12b-bis(acetyloxy)-12-(benzoyloxy)-2a,3,4,4a,5,6,9,10,11,12,12a,12b-dodecahydro-4,11-dihydroxy-4a,8,13', 'Benzenepropanoic acid, beta-(benzoylamino)-alpha-hydroxy-, (2aR,4S,4aS,6R,9S,11S,12S,12aR,12bS)-6,12b-bis(acetyloxy)-12-(benzoyloxy)-2a,3,4,4a,5,6,9,10,11,12,12a,12b-dodecahydro-4,11-dihydroxy-4a,8,13,13-tetramethyl-5-oxo-7,11-methano-1H-cyclodeca(3,4)benz(1,2-b)oxet-9-yl ester, (alphaR,betaS)-', 'Benzenepropanoic acid, beta-(benzoylamino)-alpha-hydroxy-, 6,12b-bis(acetyloxy)-12-(benzoyloxy)-2a,3,4,4a,5,6,9,10,11,12,12a,12b-dodecahydro-4,11-dihydroxy-4a,8,13,13-tetramethyl-5-oxo-7,11-methano-1H', 'Paclitaxel semi-synthetic for peak identification, European Pharmacopoeia (EP) Reference Standard', 'Paclitaxel semi-synthetic for system suitability, European Pharmacopoeia (EP) Reference Standard', 'Tax-11-en-9-one, 5beta,20-epoxy-1,2alpha,4,7beta,10beta,13alpha- hexahydroxy-, 4,10-diacetate 2-benzoate, 13-ester with (2R,3S)-N-benzoyl-3-phenylisoserine (8CI)', 'Tax-11-en-9-one, 5beta,20-epoxy-1,2alpha,4,7beta,10beta,13alpha-hexahydroxy-, 4,10-diacetate 2-benzoate 13-ester with (2R,3S)-N-benzoyl-3-phenylisoserine (8CI)', 'Tax-11-en-9-one,20-epoxy-1,2.alpha.,4,7.beta., 10.beta.,13.alpha.- hexahydroxy-, 4,10-diacetate 2- benzoate,13-ester with (2R,3S)-N-benzoyl-3-phenylisoserine']</t>
  </si>
  <si>
    <t>Compound(36314)</t>
  </si>
  <si>
    <t>C47H51NO14</t>
  </si>
  <si>
    <t>4-methoxyaniline</t>
  </si>
  <si>
    <t>['p-Anisidine', '4-Methoxyaniline', '104-94-9', '4-Anisidine', '4-Methoxybenzenamine', '4-Aminoanisole', 'para-Anisidine', 'Benzenamine, 4-methoxy-', 'p-Methoxyaniline', 'p-Aminoanisole', '4-Methoxybenzeneamine', 'Anisidine', 'p-Anisylamine', 'p-Methoxyphenylamine', '1-Amino-4-methoxybenzene', 'Anisole, p-amino-', 'p-Dianisidine', '4-Methoxy-1-aminobenzene', 'Aniline, p-methoxy-', '4-Methoxy-phenylamine', 'Aniline, 4-methoxy-', '4-METHOXY-ANILINE', 'NSC 7921', 'para-methoxyaniline', 'CCRIS 917', '4-methoxyphenylamine', '4-methoxy-benzenamine', 'UNII-575917SNR4', 'HSDB 1603', '(4-methoxyphenyl)-amine', 'EINECS 203-254-2', 'AI3-02392', 'DTXSID7024532', 'CHEBI:82388', '575917SNR4', 'p-Anisidine, 99%', 'DSSTox_CID_4532', 'DSSTox_RID_77446', 'DSSTox_GSID_24532', 'CAS-104-94-9', 'paraanisidine', '4methoxyaniline', 'para anisidine', 'rho-anisidine', 'p-anisidin', 'beta -anisidine', 'p-Amino-Anisole', '4-Amino-anisole', 'p-methoxy aniline', 'p-methoxy-aniline', '4-methoxy aniline', '4methoxy-phenylamine', 'para-methoxy aniline', 'p-methoxyphenyl amine', 'p-Methoxy phenylamine', '4-(methyloxy)aniline', '(4-methoxyphenyl)amine', '4-methoxy phenyl amine', '4-methoxy-phenyl amine', 'PubChem21392', 'ACMC-1CDRJ', '4-amino-1-methoxybenzene', 'p-Anisidine, &gt;=99%', 'SCHEMBL5097', 'WLN: ZR DO1', 'KSC175S1D', 'BIDD:GT0008', 'CHEMBL295652', 'CTK0H5911', 'NSC7921', 'HMS1757G11', 'ACT00170', 'BCP26755', 'KS-000002OO', 'NSC-7921', 'STR00220', 'ZINC4556034', 'Tox21_202437', 'Tox21_303039', 'AC-565', 'ANW-15149', 'LS-384', 'MFCD00007864', 'SBB040441', 'STK258849', 'AKOS000100571', 'AM84313', 'MCULE-4031615314', '1-Methoxy-4-amino-benzen (p-anisidin)', 'NCGC00091136-01', 'NCGC00091136-03', 'NCGC00091136-04', 'NCGC00257099-01', 'NCGC00259986-01', '1-Methoxy-4-amino-benzene / p-anisidine', 'BP-12035', 'SC-19137', 'A0487', 'A0802', 'CS-0015840', 'FT-0650502', 'FT-0693135', 'NS00020559', 'ST45255267', 'C19326', 'M-5360', '53520-EP2305651A1', '53520-EP2308854A1', '75927-EP2295053A1', '75927-EP2308880A1', '142394-EP2280001A1', '142394-EP2281563A1', '142394-EP2292593A2', 'AC-907/25014180', 'Q-200438', 'Q3333299', 'Z56938150', 'F2190-0441', 'UNII-6DE9L863GO component BHAAPTBBJKJZER-UHFFFAOYSA-N', 'P-ANISIDINE (SEE ALSO: P-ANISIDINE HCL (20265-97-8))', 'p-Anisidine;p-anisidine;p-anisidinium chloride;4-Methoxyaniline hydrochloride']</t>
  </si>
  <si>
    <t>Compound(7732)</t>
  </si>
  <si>
    <t>2,4,6-trimethyl-1,3,5-trioxane</t>
  </si>
  <si>
    <t>['PARALDEHYDE', '2,4,6-Trimethyl-1,3,5-trioxane', '123-63-7', 'Paracetaldehyde', 'Acetaldehyde trimer', 'Paraacetaldehyde', 'Paraldehyd', 'Paral', 'Elaldehyde', 's-Trimethyltrioxymethylene', 'Paraldeide', 'Triacetaldehyde', '1,3,5-Trioxane, 2,4,6-trimethyl-', 'Acetaldehyde, trimer', 'p-Acetaldehyde', '2,4,6-Trimethyl-s-trioxane', '1,3,5-Trimethyl-2,4,6-trioxane', 'PCHO', 'NSC 9799', '2,4,6-Trimethyl-1,3,5-trioxacyclohexane', 'RCRA waste number U182', 'Paraldehyd [German]', 'Paraldehyde [USAN]', 'Paraldeide [Italian]', 'Triacetaldehyde [French]', 'Paraldehyde Enema (BPC 1973)', 'Paraldehyde Draught (BPC 1973)', 'Trimethyl trioxane', '2,4,6-Trimethyl-1,3,5-trioxaan', '2,4,6-Trimetil-1,3,5-triossano', 'Paraldehyde (USP)', 'Paraldehyde [USP]', 'cis-2,4,6-Trimethyl-1,3,5-trioxane', 'Paral (TN)', 'HSDB 3375', 's-Trioxane, 2,4,6-trimethyl-', '2,4,6-Trimethyl-1,3,5-trioxan', 'EINECS 204-639-8', 'UN1264', 'RCRA waste no. U182', 'BRN 0080142', 'AI3-03115', 'DEA No. 2585', '2,4,6-Trimethyl-1,3,5-trioxaan [Dutch]', 'UNII-S6M3YBG8QA', '2,4,6-Trimetil-1,3,5-triossano [Italian]', 'CHEBI:27909', 'NSC-9799', 'NCGC00159367-02', 'NCGC00159367-03', 'NCGC00159367-04', 'Paraldehyde [UN1264] [Flammable liquid]', 'DSSTox_CID_3419', 'DSSTox_RID_77020', 'DSSTox_GSID_23419', '1499-02-1', 'S6M3YBG8QA', 'CAS-123-63-7', 'Aldehyde (para)', 'Paraldehyd(german)', 'Metaldehyde metabolite', 's-Trimethyltrioxymethane', 'Paraldehyde, &gt;=97%', '2,6-Trimethyl-s-trioxane', 'EC 204-639-8', 's-Trioxane,4,6-trimethyl-', 'Para acetaldehyde;Paraldehyde', 'SCHEMBL22870', '5-19-09-00112 (Beilstein Handbook Reference)', 'ZINC1886', 'CHEMBL1410743', 'DTXSID9023419', 'FEMA NO. 4010', 'SCHEMBL20072682', 'CTK8B7103', 'NSC9799', '1,5-Trimethyl-2,4,6-trioxane', '2,6-Trimethyl-1,3,5-trioxaan', '2,6-Trimethyl-1,3,5-trioxane', '2,6-Trimetil-1,3,5-triossano', '2,4,6-Trimethyl-1,3,5-', 'Paraldehyde, &gt;=97.0% (GC)', 'Tox21_111607', 'Tox21_111608', 'Tox21_301299', '1,5-Trioxane, 2,4,6-trimethyl-', 'ANW-56373', 'BBL011471', 'MFCD00036208', 'STL146583', 'AKOS000120195', 'Tox21_111607_1', 'DB09117', 'LS-2094', 'UN 1264', 'WLN: T6O CO EOTJ B1 D1 F1', 'KS-00000W41', '2,6-Trimethyl-1,3,5-trioxacyclohexane', 'NCGC00257534-01', 'SC-80270', 'VS-02956', 'FT-0650173', 'NS00006360', 'P0019', 'Paraldehyde [UN1264]  [Flammable liquid]', 'Paraldehyde, Lonza quality, &gt;=99.5% (GC)', 'C07834', 'D00705', '178247-EP2277864A1', 'A805128', 'Q424342', 'J-523868', 'F1908-0170', 'UNII-S6M3YBG8QA component SQYNKIJPMDEDEG-FPFOFBBKSA-N', 'UNII-S6M3YBG8QA component SQYNKIJPMDEDEG-KXGDERBTSA-N', 'Paraldehyde, United States Pharmacopeia (USP) Reference Standard']</t>
  </si>
  <si>
    <t>Compound(31264)</t>
  </si>
  <si>
    <t>N-(4-hydroxyphenyl)acetamide</t>
  </si>
  <si>
    <t>['acetaminophen', 'Paracetamol', '4-Acetamidophenol', '103-90-2', 'N-(4-Hydroxyphenyl)acetamide', 'Tylenol', 'APAP', 'Panadol', 'Acetaminofen', 'Datril', 'N-Acetyl-p-aminophenol', 'p-Hydroxyacetanilide', "4'-Hydroxyacetanilide", 'p-Acetamidophenol', 'Algotropyl', 'Lonarid', 'Naprinol', 'Acamol', 'Acenol', 'Anelix', 'Multin', 'p-Acetaminophenol', 'Abensanil', 'Acetagesic', 'Acetalgin', 'Clixodyne', 'Gelocatil', 'Injectapap', 'Liquagesic', 'Pyrinazine', 'Servigesic', 'Alvedon', 'Anaflon', 'Apamide', 'Dymadon', 'Febridol', 'Febrilix', 'Febrolin', 'Finimal', 'Homoolan', 'Lestemp', 'Paracet', 'Tabalgin', 'Tralgon', 'Tussapap', 'Valadol', 'Valgesic', 'Alpiny', 'Amadil', 'Anhiba', 'Calpol', 'Dirox', 'Eneril', 'Fendon', 'Hedex', 'Lyteca', 'Pacemo', 'Panets', 'Parmol', 'Tapar', 'Tempra', 'Paracetamolo', 'Doliprane', 'Dolprone', 'Momentum', 'Ortensan', 'Paldesic', 'Banesin', 'Captin', 'Disprol', 'Enelfa', 'Neopap', 'Salzone', 'Exdol', 'p-Acetylaminophenol', 'Febro-Gesic', 'NEBS', 'Acetamide, N-(4-hydroxyphenyl)-', 'Biocetamol', 'Dafalgan', 'Dolgesic', 'Elixodyne', 'Febrectal', 'Tempanal', 'Vermidon', 'Abenol', 'Apacet', 'Apadon', 'Cetadol', 'Fensum', 'Janupap', 'Minoset', 'Napafen', 'Neodol', 'Nobedon', 'Pacemol', 'Panodil', 'Parapan', 'Pedric', 'Phendon', 'Rounox', 'Suppap', 'Korum', 'Pinex', 'Temlo', '4-(Acetylamino)phenol', 'Ben-u-ron', 'Dial-A-Gesic', 'Anacin-3', 'Calmanticold', 'Codoliprane', 'Demogripal', 'Dolegrippin', 'Doloreduct', 'Dristancito', 'Duracetamol', 'Eu-Med', 'Grippostad', 'Gynospasmine', 'Medocodene', 'Paedialgon', 'Paracetamolum', 'Paracetanol', 'Parakapton', 'Pediapirin', 'Phenipirin', 'Phogoglandin', 'Predualito', 'Sanicopyrine', 'Scentalgyl', 'Sunetheton', 'Tachiprina', 'Termalgine', 'Treuphadol', 'Abrolet', 'Acertol', 'Acetaco', 'Acetamol', 'Acetofen', 'Afebrin', 'Afebryl', 'Aferadol', 'Algesidal', 'Algomol', 'Alpinyl', 'Analter', 'Antidol', 'Apitrelal', 'Atralidon', 'Babikan', 'Bacetamol', 'Cadafen', 'Calapol', 'Causalon', 'Cefalex', 'Codabrol', 'Codalgin', 'Codapane', 'Codicet', 'Codisal', 'Cofamol', 'Cosutone', 'Cuponol', 'Curadon', 'Custodial', 'Darocet', 'Daygrip', 'Deminofen', 'Democyl', 'Desfebre', 'Dimindol', 'Dolefin', 'Dolofugin', 'Dolorfug', 'Dolorstop', 'Dolotec', 'Dorocoff', 'Dularin', 'Durapan', 'Ecosetol', 'Excipain', 'Fanalgic', 'Farmadol', 'Febranine', 'Febrectol', 'Febricet', 'Febrinol', 'Fepanil', 'Finiweh', 'Fluparmol', 'Geluprane', 'Ildamol', 'Inalgex', 'Infadrops', 'Kataprin', 'Labamol', 'Lekadol', 'Lemgrip', 'Lupocet', 'Magnidol', 'Malidens', 'Maxadol', 'Mexalen', 'Minafen', 'Miralgin', 'Nealgyl', 'Neodolito', 'Neotrend', 'Neuridon', 'Nodolex', 'Oralgan', 'Oxycocet', 'Pacimol', 'Panacete', 'Panadeine', 'Panadiene', 'Panaleve', 'Panamax', 'Panasorbe', 'Panofen', 'Pantalgin', 'Paracemol', 'Paracenol', 'Paracetol', 'Paracin', 'Paracod', 'Paracodol', 'Parador', 'Paradrops', 'Paralen', 'Paralief', 'Paralink', 'Paralyoc', 'Paramol', 'Paramolan', 'Paranox', 'Parasedol', 'Parasin', 'Paraspen', 'Parcetol', 'Parogal', 'Pediatrix', 'Piramin', 'Pirinasol', 'Polmofen', 'Predimol', 'Prontina', 'Puernol', 'Pulmofen', 'Pyrigesic', 'Pyromed', 'Remedol', 'Rivalgyl', 'Rubophen', 'Rupemol', 'Sanicet', 'Schmerzex', 'Sedalito', 'Semolacin', 'Seskamol', 'Setakop', 'Setamol', 'Sifenol', 'Sinaspril', 'Sinedol', 'Stanback', 'Stopain', 'Supofen', 'Tazamol', 'Termacet', 'Termalgin', 'Termofren', 'Titralgan', 'Tricoton', 'Upsanol', 'Utragin', 'Veralgina', 'Viruflu', 'Vivimed', 'Zatinol', 'Abrol', 'Algina', 'Anapap', 'Andox', 'Arfen', 'Asetam', 'Asomal', 'Aspac', 'Asplin', 'Benmyo', 'Curpol', 'Dhamol', 'Dolcor', 'Dolko', 'Dresan', 'Dypap', 'Febrex', 'Febrin', 'Lemsip', 'Malgis', 'Noral', 'Oltyl', 'Paceco', 'Pacet', 'Paedol', 'Painex', 'Pamol', 'Panex', 'Parake', 'Paroma', 'Plicet', 'Prodol', 'Reliv', 'Scanol', 'Setol', 'Sinmol', 'Tiffy', 'Tylex', 'Tylol', 'Tymol', 'Verpol', 'Volpan', 'Zolben', 'NeoCitran', 'NilnOcen', 'Nina', 'RubieMol', 'Vips', 'Supadol mono', 'Treupel mon', 'Bickie-mol', 'Fortalidon P', 'Gattaphen T', 'Gripin Bebe', 'Influbene N', 'Lonarid Mono', 'Lyteca Syrup', 'Panadeine Co', 'Dymadon Co', 'Toximer P', 'Treupel N', 'Accu-Tap', '4-Acetaminophenol', 'Helon N', 'Malex N', 'Spalt N', 'Tylex CD', 'N-Acetyl-4-aminophenol', 'SK-Apap', 'Paracetamole', 'Conacetol', 'Darvocet', 'Empracet', 'Panasorb', 'Perfalgan', 'A-Per', 'Apamid', 'Duaneo', 'Duorol', 'Ofirmev', 'Parelan', 'Prompt', 'Vicodin', 'Fevor', 'Freka-cetamol', 'Codisal Forte', 'Croix Blanche', 'Dolorol Forte', 'Dymadon Forte', 'Junior Disprol', 'Kinder Finimal', 'Liquigesic Co', 'Mono Praecimed', 'Percocet-Demi', 'Perdolan Mono', 'Rockamol Plus', 'Viclor Richet', 'Actifed Plus', 'Kratofin simplex', 'Neo-Fepramol', 'Paracetamol AL', 'Paracetamol BC', 'Paracetamol PB', "Acetanilide, 4'-hydroxy-", 'Claradol Codeine', 'Geralgine-P', 'Melabon Infantil', 'Migraleve Yellow', 'Paracetamol Saar', 'Pyregesic-C', 'Anti-Algos', 'Para-Suppo', 'Pasolind N', 'Supramol-M', 'Fever All', 'No-Febril', 'Panado-Co', 'Para-Tabs', 'Paracetamol Hexal', 'Paracetamol Raffo', 'Paracetamol Rosch', 'Paracetamol Stada', 'Dol-Stop', 'Anadin dla dzieci', 'p-Hydroxyphenolacetamide', 'Percocet-5', 'Cod-Acamol Forte', 'Contra-Schmerz P', 'Hy-Phen', 'Medinol Paediatric', 'Paracetamol Basics', 'Panado-Co Caplets', 'Paracetamol von ct', 'Pe-Tam', 'Paracetamol Fecofar', 'Paracetamol Harkley', 'Paracetamol Heumann', 'Paracetamol Nycomed', 'Codral Pain Relief', 'Paracetamol Hanseler', 'Paracetamol Winthrop', '4-Hydroxyacetanilide', 'Phenaphen W/Codeine', 'Spalt fur die nacht', 'A.F. Anacin', 'Capital with Codeine', 'Acetominophen', 'Paracetamol Genericon', 'Anexsia', 'Demilets', 'Endecon', 'Intensin', 'Naldegesic', 'Propacet', 'Resfenol', 'Theraflu', 'Wygesic', 'Paracetamol Ratiopharm', 'Coricidin Sinus', 'Paracetamol Italfarmaco', 'Sudafed Sinus', 'Coricidin D', 'Dafalgan Codeine', 'Paracetamol DC', 'Quiet World', 'Paracetamol Antipanin P', 'St Joseph Aspirin-Free', 'Jin Gang', 'New Cortal for Children', "INFANTS' FEVERALL", 'St. Joseph Fever Reducer', 'Midol Teen Formula', 'Paracetamol Dr. Schmidgall', 'Acetamide, N-(p-hydroxyphenyl)-', 'Aspirin-Free Anacin', "Children's Tylenol Chewable", 'NCI-C55801', 'PCM Paracetamol Lichtenstein', 'Tylenol Allergy Sinus', 'p-(Acetylamino)phenol', 'Rhinex D-Lay Tablets', 'acetaminophene', 'Midol Regular Strength', 'Paracetamol SmithKline Beecham', 'Scherzatabletten Rezeptur 534', 'Paracetamolo [Italian]', 'Percogesic with Codeine', '4-Hydroxyanilid kyseliny octove', 'Acenol (pharmaceutical)', 'Bayer Select Head Cold', 'N-(4-Hydroxyphenyl)acetanilide', 'Drixoral Sinus', 'Paracetamol [INN:BAN]', 'CCRIS 3', 'n-acetyl-4-hydroxyaniline', 'Bayer Select Allergy-Sinus', 'Bayer Select Headache Pain', 'Dristan Cold No Drowsiness', 'Paracetamolum [INN-Latin]', 'Prestwick_13', 'St Joseph Aspirin-Free for Children', 'UNII-362O9ITL9D', '4-acetylaminophenol', "Children's Acetaminophen Elixir Drops", "Children's Acetaminophen Oral Solution", 'Midol PM Night Time Formula', 'Tavist Allergy/Sinus/Headache', 'Triaminic Sore Throat Formula', 'N-(4-hydroxyphenyl)ethanamide', 'Bayer Select Sinus Pain Relief', 'Drixoral Cold &amp; Flu', 'Phenol, p-acetamido-', 'Sine-Off Sinus Medicine Caplets', 'CHEBI:46195', 'HSDB 3001', 'Roxicet 5/500', 'Tocris-1706', 'N-acetyl-para-aminophenol', '4-(N-Acetylamino)phenol', 'Acetaminophen (4-hydroxyacetanilide)', 'Bayer Select Menstrual Multi-Symptom', 'EINECS 203-157-5', '222 AF', 'MFCD00002328', '4-Acetamidophenol, 98%', 'St. Joseph Cold Tablets for Children', 'CHEMBL112', 'NSC 109028', 'N-(4-Hydroxyphenyl)acetamide (Tylenol)', '4-Hydroxyanilid kyseliny octove [Czech]', "Children's Acetaminophen Elixir Solution", 'N-(4-hydroxyphenyl)-acetamide', '362O9ITL9D', 'ANEXSIA 10/660', 'Aminofen', 'DTXSID2020006', 'Atasol', 'component of Dialog', 'component of Dilone', 'NSC-3991', 'component of Endecon', 'component of Percocet', 'NSC-109028', 'component of Phenaphen', 'TYL', 'component of Percogesic', 'DSSTox_CID_6', 'NCGC00016361-07', 'Actamin', 'CAS-103-90-2', 'Pasolind', 'Redutemp', 'Robigesic', 'Valorin', 'Aceta Elixir', 'WLN: QR DMV1', 'DSSTox_RID_75318', 'DSSTox_GSID_20006', 'component of Hycomine Compound', 'Acetavance', 'Arthralgen', 'Anuphen', 'Calonal', 'Capital', 'Flexsure', 'Liqiprine', 'Aceta Tablets', 'D oliprane', 'Valorin Extra', 'Panale ve', 'Ty lenol', 'Snaplets-FR', 'Oraphen-PD', 'Phenaphen Caplets', 'Tylenol (caplet)', 'Tylenol (geltab)', 'Tylenol 8-Hour', 'SMR000112065', 'Dapa X-S', 'Acetaminophen [USP]', 'SR-01000597517', 'Acetaminophen [USP:JAN]', 'paracetamol (acetaminophen)', 'acetaminophenol', 'acetominophene', 'Claratal', 'Daphalgan', 'Resprin', 'Calpol infant', 'Daga', 'Apacet Capsules', 'Atasol Caplets', 'Atasol Tablets', 'Tempra Caplets', 'Tylenol Caplets', 'Tylenol Elixir', 'Tylenol Gelcaps', 'Tylenol Tablets', 'Actamin Extra', 'Actamin Super', 'Aminofen Max', 'Apacet Elixir', 'Atasol Drops', 'Exdol Strong', 'p-Acetoaminophen', 'Tempra Drops', 'Tempra Syrup', 'Tylenol Drops', 'alpha-Per', 'Citramon P', 'Excedrin Caplets', 'Dial-alpha-gesic', 'Apo-Acetaminophen', '4-acetominophenol', 'Genebs X-Tra', 'Paracetamol;Tylenol', '4-acetamido phenol', '4-acetamido-phenol', 'Tempra D.S', '4-Acetamino phenol', 'APAP, Paracetamol', 'Acetaminophen 650', 'p-hydroxy-acetanilid', 'p-hydroxyacetoanilide', 'Paracetamol (INN)', 'Proxyphene/Acetamine', 'Tylenol (TN)', 'Supac (Salt/Mix)', 'Tylox (Salt/Mix)', 'Zydone (Salt/Mix)', 'Atasol Forte Caplets', 'Atasol Forte Tablets', 'Atasol Oral Solution', 'para-acetylaminophenol', 'Anexsia (Salt/Mix)', 'Endecon (Salt/Mix)', 'Sinubid (Salt/Mix)', 'Talacen (Salt/Mix)', 'Vicodin (Salt/Mix)', 'Wygesic (Salt/Mix)', 'Acetaminophen Uniserts', 'Datril Extra-Strength', 'Tylenol Infants Drops', 'Demilets (Salt/Mix)', 'Empracet (Salt/Mix)', 'Intensin (Salt/Mix)', 'Propacet (Salt/Mix)', 'Suppap-120', 'Suppap-325', 'Suppap-650', 'Amodiaquine Impurity B', 'Panadol Extra Strength', 'TheraFlu (Salt/Mix)', 'Coricidin (Salt/Mix)', 'Liquiprin (Salt/Mix)', 'Hy-Phen (Salt/Mix)', 'IV-APAP', 'phenol derivative, 11', 'PubChem17726', 'Spectrum_000016', 'Tempra Chewable Tablets', 'Naldegesic (Salt/Mix)', 'Actimol Chewable Tablets', 'Feverall Junior Strength', 'Darvocet-N (Salt/Mix)', 'Anacin-3 Extra Strength', 'Liquiprin Infants" Drops', 'N-acetyl para aminophenol', 'Prestwick0_000868', 'Prestwick1_000868', 'Prestwick2_000868', 'Prestwick3_000868', 'Spectrum2_000085', 'Spectrum3_000283', 'Spectrum4_000140', 'Spectrum5_000736', 'Coricidin D (Salt/Mix)', 'Quiet World (Salt/Mix)', "Genapap Children's Elixir", "Tylenol Children's Elixir", 'Actifed Plus (Salt/Mix)', 'acetaminophen (paracetamol)', 'Epitope ID:117710', "Genapap Children's Tablets", 'Sudafed Sinus (Salt/Mix)', 'Acetaminophen (Paracetemol)', 'EC 203-157-5', "Actimol Infants' Suspension", 'Drixoral Sinus (Salt/Mix)', "Liquiprin Children's Elixir", 'N-acetyl-4-hydroxyaniline;', 'SCHEMBL3480', 'Acetaminophen (JP17/USP)', 'Coricidin Sinus (Salt/Mix)', 'N-(4-hydroxyfenyl)ethanamid', 'BSPBio_000915', 'BSPBio_001786', 'DDS-06A', 'KBioGR_000560', 'KBioSS_000356', '4-13-00-01091 (Beilstein Handbook Reference)', "Actimol Children's Suspension", 'Apacet Extra Strength Caplets', 'Apacet Extra Strength Tablets', 'Aspirin-Free Excedrin Caplets', 'Genebs Extra Strength Caplets', 'KSC492K1N', 'MLS001146925', 'MLS001331684', 'MLS002154041', 'BIDD:GT0005', 'DivK1c_000660', 'SPECTRUM1500101', 'Genapap Extra Strength Caplets', 'Genapap Extra Strength Tablets', 'SPBio_000010', 'SPBio_002836', 'Tapanol Extra Strength Caplets', 'Tapanol Extra Strength Tablets', 'Tylenol Extra Strength Caplets', 'Tylenol Extra Strength Gelcaps', 'Tylenol Extra Strength Tablets', 'ACMC-20989w', 'Actimol Junior Strength Caplets', 'Apacet Regular Strength Tablets', 'BPBio1_001007', 'Excedrin Extra Strength Caplets', 'Genebs Regular Strength Tablets', 'GTPL5239', 'Panadol Junior Strength Caplets', 'SGCUT00014', 'Tylenol Junior Strength Caplets', 'Midol Teen Formula (Salt/Mix)', 'Genapap Regular Strength Tablets', 'Panadol Maximum Strength Caplets', 'Panadol Maximum Strength Tablets', 'SCHEMBL19474893', 'Tylenol Regular Strength Caplets', 'Tylenol Regular Strength Tablets', 'Aspirin-Free Anacin (Salt/Mix)', 'BDBM26197', 'CTK3J2516', 'HMS502A22', 'KBio1_000660', 'KBio2_000356', 'KBio2_002924', 'KBio2_005492', 'KBio3_001286', 'EBD5728', 'NSC3991', 'Tylenol Arthritis Extended Relief', 'Acetaminophen, analytical standard', 'NINDS_000660', 'Tylenol Infants" Suspension Drops', 'BCPP000441', 'Drixoral Cold &amp; Flu (Salt/Mix)', 'HMS1570N17', 'HMS1920A03', 'HMS2091G03', 'HMS2097N17', 'HMS2269G20', 'HMS3268A10', 'HMS3412D16', 'HMS3676D16', 'HMS3714N17', 'LS-32', 'Pharmakon1600-01500101', 'Tylenol Allergy Sinus (Salt/Mix)', 'Midol Regular Strength (Salt/Mix)', 'ACT06727', 'BCP23431', 'KS-000002NN', 'NSC 3991', 'STR00901', 'to_000023', "Tylenol Children's Chewable Tablets", 'Acetaminophen, BioXtra, &gt;=99.0%', 'Bayer Select Head Cold (Salt/Mix)', 'Robitussin Night Relief (Salt/Mix)', 'Tox21_110397', 'Tox21_201930', 'Tox21_300100', 'ANW-14994', 'BBL005229', 'CCG-38901', 'NSC109028', 'NSC755853', 'SBB043758', 'STL140694', "Tylenol Children's Suspension Liquid", 'ZINC13550868', 'AKOS000121004', 'Feverall Sprinkle Caps Junior Strength', 'Ornex Severe Cold Formula (Salt/Mix)', 'Tox21_110397_1', 'Bayer Select Allergy-Sinus (Salt/Mix)', 'BCP9000225', 'CS-2819', 'DB00316', 'MCULE-3844920617', 'NSC-755853', 'IDI1_000660', 'Sine-Aid, Maximum Strength (Salt/Mix)', 'Sudafed Severe Cold Formula (Salt/Mix)', 'NCGC00016361-01', 'NCGC00016361-02', 'NCGC00016361-03', 'NCGC00016361-04', 'NCGC00016361-05', 'NCGC00016361-06', 'NCGC00016361-08', 'NCGC00016361-09', 'NCGC00016361-10', 'NCGC00016361-12', 'NCGC00016361-13', 'NCGC00016361-20', 'NCGC00025267-01', 'NCGC00025267-02', 'NCGC00025267-03', 'NCGC00025267-04', 'NCGC00025267-05', 'NCGC00253912-01', 'NCGC00259479-01', 'Tylenol Junior Strength Chewable Tablets', 'AC-23969', 'H865', 'HY-66005', 'Midol PM Night Time Formula (Salt/Mix)', 'SC-19146', 'SY001162', 'Triaminic Sore Throat Formula (Salt/Mix)', 'BCP0726000305', 'SBI-0051269.P003', 'Bayer Select Sinus Pain Relief (Salt/Mix)', 'AB00051905', 'Aspirin Free Anacin Maximum Strength Caplets', 'Aspirin Free Anacin Maximum Strength Tablets', 'FT-0658035', 'FT-0661041', 'FT-0661042', 'NS00000231', 'Sine-Off Sinus Medicine Caplets (Salt/Mix)', 'ST45179777', '6473-EP1441224A2', '6473-EP2270008A1', '6473-EP2272832A1', '6473-EP2275420A1', '6473-EP2277565A2', '6473-EP2277566A2', '6473-EP2277567A1', '6473-EP2277568A2', '6473-EP2277569A2', '6473-EP2277570A2', '6473-EP2277861A1', '6473-EP2277865A1', '6473-EP2277875A2', '6473-EP2280008A2', '6473-EP2281559A1', '6473-EP2281819A1', '6473-EP2281823A2', '6473-EP2292280A1', '6473-EP2292617A1', '6473-EP2292619A1', '6473-EP2298764A1', '6473-EP2298765A1', '6473-EP2305219A1', '6473-EP2305654A1', '6473-EP2305659A1', '6473-EP2308510A1', '6473-EP2308872A1', '6473-EP2311818A1', '6473-EP2314585A1', '6473-EP2314590A1', '6473-EP2316829A1', '6473-EP2371811A2', 'C06804', 'D00217', 'Q57055', '72238-EP2305640A2', '72238-EP2308867A2', '72238-EP2308870A2', '91399-EP2277876A1', '91399-EP2284149A1', '91399-EP2292614A1', '91399-EP2305636A1', 'AB00051905-09', 'AB00051905_10', 'Aspirin Free Anacin Maximum Strength Gel Caplets', 'Bayer Select Menstrual Multi-Symptom (Salt/Mix)', 'Contac Cough &amp; Sore Throat Formula (Salt/Mix)', 'L024125', 'St. Joseph Cold Tablets for Children (Salt/Mix)', 'Tylenol Extra Strength Adult Liquid Pain Reliever', 'J-001064', 'J-514275', 'Paracetamol (Acetaminophen) 1.0 mg/ml in Methanol', 'SR-01000597517-1', 'SR-01000597517-2', 'SR-01000597517-4', 'BRD-K41524689-001-08-6', 'F3096-1731', 'F48B493F-B1FD-410C-AA0A-F40EC71A0689', 'Bayer Select Maximum Strength Headache Pain Relief Formula', 'Paracetamol, British Pharmacopoeia (BP) Reference Standard', 'Paracetamol, European Pharmacopoeia (EP) Reference Standard', 'Acetaminophen solution, drug standard, 1.0 mg/mL in methanol', 'Acetaminophen, United States Pharmacopeia (USP) Reference Standard', 'Acetaminophen, meets USP testing specifications, 98.0-102.0%, powder', 'Acetaminophen solution, 1.0 mg/mL in methanol, ampule of 1 mL, certified reference material', 'Acetaminophen, Pharmaceutical Secondary Standard; Certified Reference Material', 'Paracetamol for equipment qualification, EuropePharmacopoeia (EP) Reference Standard', 'SOM']</t>
  </si>
  <si>
    <t>Compound(1983)</t>
  </si>
  <si>
    <t>(3S,4R)-3-(1,3-benzodioxol-5-yloxymethyl)-4-(4-fluorophenyl)piperidine</t>
  </si>
  <si>
    <t>['paroxetine', '61869-08-7', 'Paxil', 'Paxil CR', 'Paxetil', 'Seroxat', 'Frosinor', 'Paroxetina', 'Paroxetinum', 'Casbol', 'Motivan', 'Aropax', 'Paroxetinum [INN-Latin]', 'PaxPar', 'Paroxetina [INN-Spanish]', 'BRL 29060', 'FG 7051', 'Pexeva', 'BRL-29060', 'Paroxetine [USAN:INN:BAN]', '(3S,4R)-3-[(1,3-benzodioxol-5-yloxy)methyl]-4-(4-fluorophenyl)piperidine', 'UNII-41VRH5220H', '(-)-(3S,4R)-4-(p-Fluorophenyl)-3-((3,4-(methylenedioxy)phenoxy)methyl)piperidine', '(3s,4r)-3-((benzo[d][1,3]dioxol-5-yloxy)methyl)-4-(4-fluorophenyl)piperidine', '[3H]Paroxetine', 'C19H20FNO3', '(3S,4R)-3-(1,3-benzodioxol-5-yloxymethyl)-4-(4-fluorophenyl)piperidine', 'FG-7051', 'CHEMBL490', 'CHEBI:7936', '110429-35-1', '41VRH5220H', 'DSSTox_CID_3425', '(3S,4R)-3-[(2H-1,3-benzodioxol-5-yloxy)methyl]-4-(4-fluorophenyl)piperidine', '(3S-trans)-3-((1,3-benzodioxol-5-yloxy)methyl)-4-(4-fluorophenyl)piperidine', 'Paroxetine (TN)', '(-)-(3S,4R)-4-(p-Fluorophenyl)-3-((3,4-methylenedioxy)phenoxy)methyl)piperidine', 'DSSTox_RID_77022', 'Piperidine, 3-((1,3-benzodioxol-5-yloxy)methyl)-4-(4-fluorophenyl)-, (3S,4R)-', 'Piperidine, 3-((1,3-benzodioxol-5-yloxy)methyl)-4-(4-fluorophenyl)-, (3S-trans)-', 'DSSTox_GSID_23425', 'CHEMBL1708', 'piperidine, 3-[(1,3-benzodioxol-5-yloxy)methyl]-4-(4-fluorophenyl)-, (3S,4R)-', 'Piperidine, 3-[(1,3-benzodioxol-5-yloxy)methyl]-4-(4-fluorophenyl)-,(3S,4R)-', 'HSDB 7175', '(-)-Paroxetine', 'PAROXETINE HCL HEMIHYDRATE', 'CAS-61869-08-7', 'Paroxetine (USP/INN)', '3h-paroxetine', 'Paroxetine.HCl', 'Paroxetin HCL', 'Piperidine, 3-[(1,3-benzodioxol-5-yloxy)methyl]-4-(4-fluorophenyl)-, (3S-trans)-', 'NCGC00182968-01', '8PR', 'NNC-20-7051', 'Spectrum_001752', 'SpecPlus_000788', 'Prestwick3_000851', 'Spectrum5_001665', 'SCHEMBL27799', 'BSPBio_000861', 'KBioSS_002232', 'BIDD:GT0673', 'DivK1c_006884', 'BPBio1_000949', 'GTPL4790', 'DTXSID3023425', 'BDBM22416', 'KBio1_001828', 'KBio2_002232', 'KBio2_004800', 'KBio2_007368', 'HMS2090H05', 'ZINC527386', 'KS-00000JK2', 'Tox21_113123', 'BDBM50331515', '(-)-trans-4-(4-Fluorophenyl)-3-(3,4-methylenedioxyphenoxymethyl)piperidine', 'AKOS015888636', 'Tox21_113123_1', 'AC-8185', 'DB00715', 'SDCCGSBI-0051908.P003', '(-)-trans-4-(p-fluorophenyl)-3-[[3,4-(methylenedioxy)phenoxy]methyl]-piperidine', '(3S-trans)-3-[(1,3-Benzodioxol-5-yl-oxy)methyl]-4-(4-fluorophenyl)piperidine', 'NCGC00025355-02', 'NCGC00025355-03', 'NCGC00025355-04', 'NCGC00025355-05', 'NCGC00025355-06', 'NCGC00025355-07', 'NCGC00025355-08', 'NCGC00025355-09', 'NCGC00025355-12', 'CC-33477', 'SC-16100', 'SC-22977', 'SBI-0051908.P002', 'LS-114249', 'AB00514724', 'C07415', 'D02362', 'AB00053704-21', 'AB00053704_22', 'AB00053704_23', 'Paroxetine Hydrochloride Anhydrous EP Impurity E', '869P087', 'C-19975', 'paroxetine hydrochloride (anhydrous or hemihydrate)', 'Q408471', 'BRD-K37991163-003-02-7', 'BRD-K37991163-050-05-1', '(3S,4R)-3-{[(2H-1,3-Benzodioxol-5-yl)oxy]methyl}-4-(4-fluorophenyl)piperidine', "(-)-trans-4R-(4'-fluorophenyl)-3S-[(3',4'-methylenedioxyphenoxy) methyl] piperidine hydrochloride hemihydrate;Paroxetine;paroxetine;(3S,4R)-3-(1,3-benzodioxol-5-yloxy)methyl-4-(4-fluorophenyl)-piperidine hydrochloride;Piperidine, 3-[(1,3-benzodioxol-5-yloxy)methyl]-4-(4-fluorophenyl)-, hydrochloride (1:1), (3S,4R)-;Paroxetine hydrochloride [USP]", 'cis-Paroxetine; Paroxetine USP Related Compound D;[(3S,4R)-4-(p-Fluorophenyl)-3-piperidyl](1,3-dioxa-5-indanyloxy)methane', 'Piperidine, 3-[(1,3-benzodioxol-5-yloxy)methyl]-4-(4-fluorophenyl)-, hydrochloride, hydrate (2:2:1), (3S,4R)-']</t>
  </si>
  <si>
    <t>Compound(43815)</t>
  </si>
  <si>
    <t>C19H20FNO3</t>
  </si>
  <si>
    <t>dimethyl (4-nitrophenyl) phosphate</t>
  </si>
  <si>
    <t>['Methylparaoxon', 'Paraoxon-methyl', 'METHYL PARAOXON', 'Dimethyl paraoxon', 'Desmethylnitrophos', '950-35-6', 'Methyl-E-600', 'Dimethyl-p-nitrophenyl phosphate', 'Dimethyl 4-nitrophenyl phosphate', 'UNII-UE1A2XL95H', 'Phosphoric acid, dimethyl p-nitrophenyl ester', 'BAY 11678', 'Dimethyl-4-nitrophenyl phosphate', 'O,O-Dimetyl-O-p-nitrofenylfosfat', 'dimethyl (4-nitrophenyl) phosphate', 'Phosphoric acid, dimethyl-4-nitrophenyl ester', 'BRN 1884904', 'UE1A2XL95H', 'O,O-Dimetyl-O-p-nitrofenylfosfat [Czech]', 'Dimethyl-p-nitrofenylester kyseliny fosforecne', 'Phosphoric acid, dimethyl 4-nitrophenyl ester', 'Dimethyl-p-nitrofenylester kyseliny fosforecne [Czech]', 'phosphoric acid dimethyl (4-nitrophenyl) ester', 'Paraoxon methyl', 'Dimethyl p-Nitrophenyl phosphate', 'methyl-parathion oxon', 'Methyl-E 600', 'DSSTox_CID_17571', 'DSSTox_RID_79339', 'DSSTox_GSID_37571', 'CHEMBL26115', 'SCHEMBL901276', 'DTXSID5037571', 'ZINC2040124', 'Paraoxon-methyl, analytical standard', 'Tox21_302009', 'AKOS015902913', 'NCGC00163905-01', 'NCGC00255563-01', 'CAS-950-35-6', 'Paraoxon-methyl 10 microg/mL in Isooctane', 'LS-107819', 'O,O-dimethyl-O-p-nitrophenylphosphoric acid', 'methylparaoxon;Methylparaoxon;Paraoxon-methyl', 'NS00009421', 'phosphoric acid dimethyl 4-nitrophenyl ester', 'Paraoxon-methyl, PESTANAL(R), analytical standard', 'Phosphoric acid dimethyl ester 4-nitro-phenyl ester', 'Phosphoric acid, dimethyl-4-nitrophenyl ester (9CI)', 'Q27291041']</t>
  </si>
  <si>
    <t>Compound(13708)</t>
  </si>
  <si>
    <t>C8H10NO6P</t>
  </si>
  <si>
    <t>diethyl (4-nitrophenyl) phosphate</t>
  </si>
  <si>
    <t>['PARAOXON', '311-45-5', 'Phosphacol', 'Diethyl paraoxon', 'Diethyl 4-nitrophenyl phosphate', 'Ethyl paraoxon', 'Phosphachole', 'Mintacol', 'Diethyl p-nitrophenyl phosphate', 'Chinorto', 'Fosfakol', 'Miotisal', 'Oxyparathion', 'Paraoxone', 'Phosphakol', 'Chinorta', 'Mintaco', 'Paroxan', 'Eticol', 'Paraoxon-ethyl', 'Miotisal A', 'Phosphoric acid, diethyl 4-nitrophenyl ester', 'Diethylparaoxon', 'Soluglacit', 'Soluglaucit', 'Ethyl paraoxan', 'p-Nitrophenyl diethyl phosphate', 'Ester 25', 'Pestox 101', 'E 600 (pesticide)', 'Diethyl-p-nitrophenyl phosphate', 'Mintisal', 'Phosphoric acid diethyl 4-nitrophenyl ester', 'O,O-Diethyl O-p-nitrophenyl phosphate', 'Rcra waste number P041', 'Ts 219', 'diethyl (4-nitrophenyl) phosphate', 'E 600', 'ENT 16,087', 'HC 2072', 'O,O-Dietyl-O-p-nitrofenylfosfat', 'Ethyl p-nitrophenyl ethylphosphate', "O,O'Diaethyl-p-nitrophenylphosphat", 'UNII-Q9CX8P80JW', 'Phosphoric acid, diethyl p-nitrophenyl ester', 'p-Nitrophenyl diethylphosphate', 'NSC 404110', 'CCRIS 7780', 'HSDB 6044', 'E-600', 'Diethyl-p-nitrofenyl ester kyseliny fosforecne', 'EINECS 206-221-0', 'Phenol, p-nitro-, ester with diethyl phosphate', 'O,O-Diethyl phosphoric acid O-p-nitrophenyl ester', 'Phosphonothioic acid, diethylparanitrophenyl ester', 'RCRA waste no. P041', 'BRN 1915526', 'Diaethyl-p-nitrophenylphosphorsaeureester', 'Q9CX8P80JW', 'O,O-Dietyl-O-p-nitrofenylfosfat [Czech]', 'CHEMBL23838', 'AI3-16087', 'O,O-Diethyl-O-p-nitrophenylphosphoric acid', "O,O'Diaethyl-p-nitrophenylphosphat [German]", 'CHEBI:27827', 'Diaethyl-p-nitrophenylphosphorsaeureester [German]', 'Diethyl-p-nitrofenyl ester kyseliny fosforecne [Czech]', 'DSSTox_CID_4046', 'DSSTox_RID_77266', 'DSSTox_GSID_24046', 'Paraoxon, analytical standard', 'CAS-311-45-5', 'Parathion oxon', 'C10H14NO6P', 'Paraoxon Eth', 'Parathion O-analog', 'Parathion ethyl oxon', 'O,O-Diethyl O-(4-nitrophenyl) phosphate', 'SCHEMBL26405', 'Paraoxon-ethyl, &gt;=90%, oil', 'DTXSID6024046', 'CTK8G2278', 'BCP04403', 'ZINC1530487', 'Phenol, ester with diethyl phosphate', 'Tox21_202424', 'Tox21_303047', 'BDBM50240416', 'MFCD00007316', 'NSC404110', 'AKOS015888333', 'WLN: WNR DOPO &amp; O2 &amp; O2', 'DB13495', 'NSC-404110', 'O,O-Diethyl O-4-nitrophenyl phosphate', 'NCGC00164276-01', 'NCGC00164276-02', 'NCGC00256967-01', 'NCGC00259973-01', 'DB-047976', 'LS-107729', 'NS00003670', 'Paraoxon-ethyl 100 microg/mL in Cyclohexane', 'C06606', 'D10529', 'Paraoxon-ethyl 1000 microg/mL in Acetonitrile', 'diethyl 4-nitrophenyl phosphate;paraoxon;Paraoxon', 'Paraoxon-ethyl, PESTANAL(R), analytical standard', 'phosphoric acid diethyl ester 4-nitro-phenyl ester', 'Q416108', 'J-018260', 'O,O-Diethyl Phosphoric acid, O-(p-nitrophenyl) ester', 'O,O-Diethyl O-(4-nitrophenyl) phosphate, technical grade, 90%', 'O,O-diethyl-O-p-nitrophenylphosphoric acid, diethyl-p-nitrophenyl phosphate']</t>
  </si>
  <si>
    <t>Compound(9395)</t>
  </si>
  <si>
    <t>C10H14NO6P</t>
  </si>
  <si>
    <t>1-methyl-4-(1-methylpyridin-1-ium-4-yl)pyridin-1-ium</t>
  </si>
  <si>
    <t>['PARAQUAT', '4685-14-7', "1,1'-Dimethyl-4,4'-bipyridinium", 'Paraquat ion', 'Dextrone X', 'Dimethyl viologen', 'Paraquat dication', "4,4'-Bipyridinium, 1,1'-dimethyl-", 'Gramoxone', 'Starfire', 'Weedol', 'Spraytop-graze', 'Methyl viologen ion(2+)', 'Methyl viologen (2+)', 'Esgram', 'CCRIS 7731', "1,1'-Dimethyl-4,4'-bipyridyldiylium", 'HSDB 1668', "N,N'-Dimethyl-4,4'-bipyridinium", 'Paraquat [ANSI:BSI:ISO]', 'Gramixel', 'Parakwat', 'UNII-PLG39H7695', 'Paraquat cl', "1,1'-Dimethyl-4,4'-bipyridinium salt", "1,1'-Dimethyl-4,4'-bipyridinium cation", 'Gramoxone S', 'Gramoxone W', 'Paraquat chloride', "N,N'-Dimethyl-4,4'-bipyridinium dication", '1-methyl-4-(1-methylpyridin-1-ium-4-yl)pyridin-1-ium', 'Gramoxone dichloride', 'EINECS 225-141-7', 'Paraquat, dichloride', "1,1'-dimethyl-4,4'-bipyridin-1-ium", "N,N'-Dimethyl-gamma,gamma'-dipyridylium", 'CHEBI:34905', 'Methyl viologen (reduced)', "1,1'-dimethyl-4,4'-bipyridium", 'PLG39H7695', "1,1'-Dimethyl-4,4'-bipyridyldiylium ion (8CI)(9CI)", 'Dextrone-X', "1,1'-Dimethyl-4,4'-dipyridinium-dichlorid", "Dwuchlorek 1,1'-dwumetylo-4,4'-dwupirydyniowy", 'MLS001332595', '1-methyl-4-(1-methyl(4-pyridyl))pyridine', 'SMR000875209', 'methyl-viologen', 'AC-907/25005209', "N,N'-Dimethylviologen", 'Paraquat aqueous solution', 'ChemDiv3_000231', 'NCIMech_000502', 'NCIOpen2_005422', 'SCHEMBL21652', 'MLS001304933', 'BIDD:ER0480', 'CHEMBL74469', 'DIMETHYLDIPYRIDYL CHLORIDE', 'DTXSID3034799', 'BDBM96275', 'cid_5351279', 'HMS1473K11', '1,1 -Dimethyl-4,4 -bipyridinium', 'ZINC3861781', "1,1 '-dimethyl-4,4'-bipyridinium", 'CCG-35984', 'SBB090482', 'STK387391', 'AKOS001483177', 'MCULE-6418591101', 'IDI1_019549', "1,1'-DIMETHYL-4,4'-BIPYRIDYL", 'NCGC00166161-02', 'LS-44647', 'NCI60_002105', 'S501', 'SMR000752910', "1,1'-Dimethyl-4, 4'-dipyridylium chloride", 'FT-0606133', 'FT-0652363', 'NS00010483', 'ST45025935', "N,N'-Dimethyl-4, 4'-dipyridylium dichloride", "1, 1'-Dimethyl-4,4'-bipyridynium dichloride", 'C14701', "1,1'-dimethyl-[4,4'-bipyridin]-1,1'-diium", "1,1'-Dimethyl-4,4'-bipyridyldiylium ion (8CI)", '685P147', 'W-106083', 'Q26841324', '1-methyl-4-(1-methyl-4-pyridin-1-iumyl)pyridin-1-ium;chloride', '1-methyl-4-(1-methylpyridin-1-ium-4-yl)pyridin-1-ium;chloride', 'KHJ']</t>
  </si>
  <si>
    <t>Compound(15939)</t>
  </si>
  <si>
    <t>C12H14N2+2</t>
  </si>
  <si>
    <t>4-methylphenol</t>
  </si>
  <si>
    <t>['P-CRESOL', '4-Methylphenol', '106-44-5', '4-Cresol', '4-Hydroxytoluene', 'Phenol, 4-methyl-', 'para-Cresol', 'p-Methylphenol', 'p-Hydroxytoluene', 'p-Tolyl alcohol', 'p-Kresol', 'p-Oxytoluene', 'p-Toluol', 'p-Cresylic acid', '1-Hydroxy-4-methylbenzene', 'p-Methylhydroxybenzene', 'Paracresol', 'Paramethyl phenol', '1-Methyl-4-hydroxybenzene', 'para-Cresylic acid', '4-methyl phenol', 'Cresol, para-', 'p-Kresol [German]', 'Cresol, p-isomer', 'Cresol, p-', 'CRESOL, PARA', 'p-Methyl phenol', 'UNII-1MXY2UM8NV', '4-methyl-phenol', 'NSC 3696', 'CCRIS 647', 'FEMA No. 2337', 'HSDB 1814', 'EINECS 203-398-6', '1MXY2UM8NV', '4-methylphenol (p-cresol)', 'Tricresol', 'CHEMBL16645', 'AI3-00150', 'CHEBI:17847', 'MFCD00002376', 'NCGC00091519-04', 'TOLUENE,4-HYDROXY  (PARA-CRESOL)', 'p-Cresol [UN2076]  [Poison, Corrosive]', 'DSSTox_CID_1869', 'p-Cresol, 99+%, pure', 'DSSTox_RID_76375', 'DSSTox_GSID_21869', 'PCR', 'CAS-106-44-5', 'para cresol', 'p-Cresylate', 'p-methyl-phenol', 'Methylphenol-4', '4 -methylphenol', 'Cresol,p-', '4-Methyl-phenol.', 'para-cresyl alcohol', 'Phenol, 4-methyI', 'p-Cresol, 99%', 'PubChem23326', 'Spectrum_000850', '4-Methyl Phenol 99%', 'Spectrum2_000765', 'Spectrum4_001740', 'Spectrum5_000540', 'ACMC-1BP9F', 'SCHEMBL375', 'bmse000458', 'EC 203-398-6', 'DSSTox_RID_77380', 'DSSTox_RID_77554', 'NCIOpen2_001516', 'WLN: QR D1', 'DSSTox_GSID_24364', 'DSSTox_GSID_24858', 'KBioGR_002160', 'KBioSS_001330', '1-Hydroxyl 4-Methyl Benzene', 'p-Cresol, analytical standard', 'BIDD:ER0010', 'DivK1c_000381', 'SPECTRUM1500209', 'p-Cresol, &gt;=99%, FG', 'SPBio_000810', 'SCHEMBL7812506', 'SGCUT00097', 'DTXSID7021869', 'HMS501D03', 'KBio1_000381', 'KBio2_001330', 'KBio2_003898', 'KBio2_006466', 'NSC3696', 'NINDS_000381', 'HMS1920A16', 'HMS2091I04', 'Pharmakon1600-01500209', 'ZINC897142', 'p-Cresol, for synthesis, 98.0%', '4-Methylphenol, analytical standard', 'KS-00000W1A', 'NSC-3696', 'NSC95259', 'to_000033', 'Tox21_113240', 'Tox21_113445', 'Tox21_200402', 'Tox21_201115', 'Tox21_300029', 'ANW-15348', 'BDBM50008543', 'CCG-38990', 'LS-399', 'NSC-95259', 'NSC756709', 'SBB040878', 'STL183323', 'AKOS000119005', 'Tox21_113445_1', 'DB01688', 'MCULE-2287247927', 'NSC-756709', 'IDI1_000381', 'NCGC00013272-01', 'NCGC00091519-01', 'NCGC00091519-02', 'NCGC00091519-03', 'NCGC00091519-05', 'NCGC00091519-06', 'NCGC00091519-07', 'NCGC00091519-09', 'NCGC00253980-01', 'NCGC00257956-01', 'NCGC00258667-01', '4-Methylphenol 10 microg/mL in Methanol', 'PS-11958', 'SC-47195', 'CAS-1319-77-3', 'p-Cresol [UN2076] [Poison, Corrosive]', 'p-Cresol, JIS special grade, &gt;=99.0%', 'SBI-0051322.P003', 'FT-0660000', 'NS00008242', 'ST50214475', '4-Methylphenol 100 microg/mL in Cyclohexane', 'p-Cresol, puriss. p.a., &gt;=99.0% (GC)', '3645-EP2269989A1', '3645-EP2269992A1', '3645-EP2270505A1', '3645-EP2272517A1', '3645-EP2275413A1', '3645-EP2275414A1', '3645-EP2275420A1', '3645-EP2277865A1', '3645-EP2277880A1', '3645-EP2277898A2', '3645-EP2284157A1', '3645-EP2287165A2', '3645-EP2287166A2', '3645-EP2292088A1', '3645-EP2292227A2', '3645-EP2292593A2', '3645-EP2292610A1', '3645-EP2292620A2', '3645-EP2295406A1', '3645-EP2295407A1', '3645-EP2295423A1', '3645-EP2295429A1', '3645-EP2295503A1', '3645-EP2298736A1', '3645-EP2298742A1', '3645-EP2298750A1', '3645-EP2298772A1', '3645-EP2301536A1', '3645-EP2301538A1', '3645-EP2305250A1', '3645-EP2305633A1', '3645-EP2305808A1', '3645-EP2305825A1', '3645-EP2308839A1', '3645-EP2308855A1', '3645-EP2311455A1', '3645-EP2311494A1', '3645-EP2311811A1', '3645-EP2311822A1', '3645-EP2314590A1', '3645-EP2316452A1', '3645-EP2316830A2', '3645-EP2316937A1', '3645-EP2316974A1', '3645-EP2374895A1', 'C01468', '88248-EP2269977A2', '88248-EP2284157A1', '88248-EP2305625A1', '88248-EP2305648A1', 'AB00051955_02', 'Q312251', 'SR-05000002037', 'J-001591', 'J-515803', 'SR-05000002037-1', 'F1908-0066', 'UNII-3JYG22FD73 component IWDCLRJOBJJRNH-UHFFFAOYSA-N', 'UNII-GF3CGH8D7Z component IWDCLRJOBJJRNH-UHFFFAOYSA-N', '2876-02-0']</t>
  </si>
  <si>
    <t>Compound(2879)</t>
  </si>
  <si>
    <t>pebulate</t>
  </si>
  <si>
    <t>S-propyl N-butyl-N-ethylcarbamothioate</t>
  </si>
  <si>
    <t>['PEBULATE', 'Tillam', '1114-71-2', 'Tillam-6-E', 'PEBC', 'Pebulat', 'Stauffer R-2061', 'Tillam [Russian]', 'Propyl N-ethyl-N-butylthiocarbamate', 'Propyl-ethylbutylthiocarbamate', 'Caswell No. 710', 'Propyl ethylbutylthiolcarbamate', 'Pebulate [BSI:ISO]', 'Propylethyl-n-butylthiocarbamate', 'S-Propyl butylethylthiocarbamate', 'Carbamothioic acid, butylethyl-, S-propyl ester', 'S-propyl butyl(ethyl)thiocarbamate', 'UNII-T1ECE7S074', 'Propyl ethylbutylthiocarbamate', 'Carbamic acid, butylethylthio-, S-propyl ester', 'HSDB 856', 'Butylethylthiocarbamic acid S-propyl ester', 'S-Propyl butylethylcarbamothioate', 'S-(n-Propyl)-N-ethyl-N-n-butylthiocarbamate', 'EINECS 214-215-4', 'R-2061', 'EPA Pesticide Chemical Code 041403', 'S-Propyl-N-aethyl-N-butyl-thiocarbamat', 'BRN 1933846', 'Butylethylcarbamothioic acid S-propyl ester', 'AI3-52052', 'S-(n-Propyl)-N-ethyl-N-butylthiocarbamate', 'T1ECE7S074', 'N-Propyl-N-ethyl-N-(N-butyl)thiolcarbamate', 'CHEBI:81939', 'S-Propyl-N-aethyl-N-butyl-thiocarbamat [German]', 'S-propyl N-butyl-N-ethylcarbamothioate', 'DSSTox_CID_1199', 'DSSTox_RID_76008', 'DSSTox_GSID_21199', 'CAS-1114-71-2', 'Pebulate (Tillam)', 'Tillam (herbicide)', 'SCHEMBL63581', 'CHEMBL2251585', 'DTXSID8021199', 'S-propyl butyl(ethyl)carbamothioate', 'ZINC2039913', 'Tox21_201796', 'Tox21_302868', 'MFCD00078726', 'AKOS015893017', 'S-Propyl-N-butyl-N-ethylthiocarbamate', 'S-Propyl-N-ethyl-N-butylthiocarbamate', 'LS-7677', 'Pebulate 10 microg/mL in Acetonitrile', 'NCGC00164277-01', 'NCGC00164277-02', 'NCGC00256363-01', 'NCGC00259345-01', 'CC-33504', 'n-Propyl N-ethyl-N-(n-butyl)thiocarbamate', 'DB-040976', 'Pebulat, PESTANAL(R), analytical standard', 'FT-0603546', 'NS00001742', 'C18755', 'C-09904', 'Carbamothioic acid,N-butyl-N-ethyl-, S-propyl ester', 'J-002585', 'Q2425263', 'Carbamothioic acid, N-butyl-N-ethyl-, S-propyl ester', 'Carbamothioic acid, butylethyl-, S-propyl ester (9CI)']</t>
  </si>
  <si>
    <t>Compound(14215)</t>
  </si>
  <si>
    <t>C10H21NOS</t>
  </si>
  <si>
    <t>1-[(4-chlorophenyl)methyl]-1-cyclopentyl-3-phenylurea</t>
  </si>
  <si>
    <t>['Pencycuron', '66063-05-6', 'Monceren', '1-(4-chlorobenzyl)-1-cyclopentyl-3-phenylurea', 'Caswell No. 638A', 'Pencycuron [BSI:ISO]', 'BAY ntn 19701', "N-((4-Chlorophenyl)methyl)-N-cyclopentyl-N'-phenylurea", 'UNII-GCH2G449HP', "Urea, N-[(4-chlorophenyl)methyl]-N-cyclopentyl-N'-phenyl-", 'EINECS 266-096-3', '1-(p-Chlorobenzyl)-1-cyclopentyl-3-phenylurea', 'NTN 19701', 'EPA Pesticide Chemical Code 128823', 'BRN 2154416', 'GCH2G449HP', '1-[(4-chlorophenyl)methyl]-1-cyclopentyl-3-phenylurea', 'CHEBI:7957', "[(Chlorophenyl)-methyl]-N-cyclopentyl-N'-phenylurea", '1-((4-Chlorophenyl)methyl)-1-cyclopentyl-3-phenylurea', "Urea, N-((4-chlorophenyl)methyl)-N-cyclopentyl-N'-phenyl-", "N-[(4-Chlorophenyl)methyl]-N-cyclopentyl-N'-phenylurea", 'Trotis', 'DSSTox_CID_22261', 'DSSTox_RID_79979', 'DSSTox_GSID_42261', 'SCHEMBL22525', '1-[(4-chlorophenyl)methyl]-1-cyclopentyl-3-phenyl-urea', 'CHEMBL2229452', 'DTXSID3042261', 'CTK8D7450', 'ZINC900699', 'Tox21_301255', 'AKOS015902852', 'NCGC00255755-01', 'CAS-66063-05-6', 'DB-054864', 'LS-159575', 'FT-0630759', 'NS00008459', "N-4-chlorobenzyl-N-cyclopentyl-N'-phenylurea", 'Pencycuron, PESTANAL(R), analytical standard', 'C11012', '1-(4-chlorobenzyl)-1-cyclopentyl-3-phenyl-urea', '063P056', "N-(4-Chlorobenzyl)-N-cyclopentyl-N'-phenylurea #", 'Q4989650', '1-[(4-chlorophenyl)methyl]-1-cyclopentyl-3-phenylurea;pencycuron']</t>
  </si>
  <si>
    <t>Compound(91692)</t>
  </si>
  <si>
    <t>C19H21ClN2O</t>
  </si>
  <si>
    <t>penicillin G</t>
  </si>
  <si>
    <t>(2S,5R,6R)-3,3-dimethyl-7-oxo-6-[(2-phenylacetyl)amino]-4-thia-1-azabicyclo[3.2.0]heptane-2-carboxylic acid</t>
  </si>
  <si>
    <t>['penicillin g', 'Benzylpenicillin', 'Benzylpenicillinic acid', 'Free penicillin II', 'Pencillin G', 'Benzylpenicillin G', 'Benzyl penicillin', 'Free penicillin G', 'Dropcillin', 'Gelacillin', 'Liquacillin', 'Pharmacillin', 'Cilopen', 'Pradupen', 'Bencilpenicilina', 'Pfizerpen', 'Specilline G', 'Benzylpenicillinum', 'Cilloral', 'Cosmopen', 'Ursopen', 'Free benzylpenicillin', '61-33-6', 'Benzylpenicilline', 'Phenylacetamidopenicillanic acid', '6-(2-Phenylacetamido)penicillanic acid', 'Benzopenicillin', 'Benzyl-6-aminopenicillinic acid', 'Benzylpenicillin potassium', 'Penicillinic acid, benzyl-', '(5R,6R)-Benzylpenicillin', 'Penicillin, (phenylmethyl)-', 'Galofak', 'Penicillin-G potassium', 'Compocillin G', 'bensylpenicillin', 'benzyl benicillin', 'Bencilpenicilina [Spanish]', 'Benzylpenicilline [French]', 'Benzylpenicillinum [Latin]', 'Penicillinic acid, (phenylmethyl)-', 'UNII-Q42T66VG0C', 'Benzylpenicillin [INN:BAN]', 'Penicillin', 'PENICILLIN-2', 'CHEBI:18208', 'Sodium penicillin', 'HSDB 3166', 'EINECS 200-506-3', 'NSC 193396', 'BRN 0044740', 'Sodium benzylpenicillin', '(Phenylmethyl)penicillin', 'Q42T66VG0C', '(2S,5R,6R)-3,3-Dimethyl-7-oxo-6-(2-phenylacetamido)-4-thia-1-azabicyclo[3.2.0]heptane-2-carboxylic acid', 'C16H18N2O4S', '(Phenylmethyl)penicillinic acid', '4-Thia-1-azabicyclo(3.2.0)heptane-2-carboxylic acid, 3,3-dimethyl-7-oxo-6-((phenylacetyl)amino)- (2S-(2alpha,5alpha,6beta))-', '(2S,5R,6R)-3,3-dimethyl-7-oxo-6-(phenylacetamido)-4-thia-1-azabicyclo[3.2.0]heptane-2-carboxylic acid', '4-Thia-1-azabicyclo(3.2.0)heptane-2-carboxylic acid, 3,3-dimethyl-7-oxo-6-((phenylacetyl)amino)-, (2S-(2alpha,5alpha,6beta))-', '4-Thia-1-azabicyclo(3.2.0)heptane-2-carboxylic acid, 3,3-dimethyl-7-oxo-6-(2-phenylacetamido)-', 'Cillora', 'PenicillinG', '(2S,5R,6R)-3,3-Dimethyl-7-oxo-6-(2-phenylacetamido)-4-thia-1-azabicyclo(3.2.0)heptane-2-carboxylic acid', '(2S,5R,6R)-3,3-DIMETHYL-7-OXO-6-[(PHENYLACETYL)AMINO]-4-THIA-1-AZABICYCLO[3.2.0]HEPTANE-2-CARBOXYLIC ACID', '4-Thia-1-azabicyclo(3.2.0)heptane-2-carboxylic acid, 3,3-dimethyl-7-oxo-6- (2-phenylacetamido)-', '4-Thia-1-azabicyclo[3.2.0]heptane-2-carboxylic acid, 3,3-dimethyl-7-oxo-6-[(phenylacetyl)amino]- [2S-(2alpha,5alpha,6beta)]-', 'PNN', 'SMR000538912', 'NSC-193396', 'Penicillin,(S)', '4-Thia-1-azabicyclo[3.2.0]heptane-2-carboxylic acid, 3,3-dimethyl-7-oxo-6-(2-phenylacetamido)-', 'PENICILLIN-G', 'Spectrum_000933', 'Benzylpenicillin (INN)', 'CHEMBL29', 'Prestwick0_001078', 'Prestwick1_001078', 'Prestwick2_001078', 'Prestwick3_001078', 'Spectrum2_000518', 'Spectrum3_000542', 'Spectrum4_000471', 'Spectrum5_001108', 'Epitope ID:114070', 'SCHEMBL3783', 'Penicillin G/Benzylpenicillin', 'BSPBio_001096', 'BSPBio_002183', 'KBioGR_000942', 'KBioSS_001413', '(2S,5R,6R)-3,3-dimethyl-7-oxo-6-[(2-phenylacetyl)amino]-4-thia-1-azabicyclo[3.2.0]heptane-2-carboxylic acid', '4-27-00-05861 (Beilstein Handbook Reference)', 'MLS000766897', 'MLS001032123', 'MLS001173382', 'DivK1c_000316', 'SPBio_000475', 'SPBio_002998', 'BPBio1_001206', 'GTPL4796', 'Penicillin G (Benzylpenicillin)', 'DTXSID5046934', 'CTK2F3306', 'KBio1_000316', 'KBio2_001413', 'KBio2_003981', 'KBio2_006549', 'KBio3_001683', 'J01CE01', 'NINDS_000316', 'HMS2875L09', '(2S,6R)-3,3-Dimethyl-7-oxo-6-(2-phenylacetamido)-4-thia-1-aza-bicyclo[3.2.0]heptane-2-carboxylic acid', 'ZINC3871701', 'BDBM50022787', 'Phenylacetyl-6-aminopenicillanic acid', 'AKOS005203091', 'API0003779', 'DB01053', 'IDI1_000316', 'NCGC00159348-02', 'NCGC00159348-03', '4-Thia-1-azabicyclo[3.2.0]heptane-2-carboxylic acid, 3,3-dimethyl-7-oxo-6-[(phenylacetyl)amino]- (2S,5R,6R)-', '4-Thia-1-azabicyclo[3.2.0]heptane-2-carboxylicacid, 3,3-dimethyl-7-oxo-6-[(2-phenylacetyl)amino]- (2S,5R,6R)-', 'CC-24547', 'SBI-0051476.P003', '(2S,5R,6R)-3,3-dimethyl-7-oxo-6-', 'Bicillin (*Benzathine Salt, Tetrahydrate*)', 'LS-149836', 'C05551', 'D02336', '(2-phenylacetamido)-4-thia-1-azabicyclo[3.2.0]', '061P336', 'C-20153', 'Q258450', 'W-109262', 'BRD-K55191674-236-03-7', 'BRD-K55191674-237-02-7', 'BRD-K55191674-237-12-6', 'Benzylpenicillin, Antibiotic for Culture Media Use Only', '2,2-dimethyl-6beta-(phenylacetamido)penam-3alpha-carboxylic acid', '(+)-3,3-Dimethyl-7-oxo-6-phenylacetylamino-4-thia-1-aza-bicyclo[3.2.0]heptane-2-carboxylic acid(penicillin G)', '(2S,5R,6R)-3,3-dimethyl-7-oxo-6-(2-phenylacetamido)-4-thia-1-aza-bicyclo[3.2.0]heptane-2-carboxylic acid', '(2S,5R,6R)-3,3-Dimethyl-7-oxo-6-phenylacetylamino-4-thia-1-aza-bicyclo[3.2.0]heptane-2-carboxylic acid', '3,3-Dimethyl-7-oxo-6-phenylacetylamino-4-thia-1-aza-bicyclo[3.2.0]heptane-2-carboxylic acid', '3,3-Dimethyl-7-oxo-6-phenylacetylamino-4-thia-1-aza-bicyclo[3.2.0]heptane-2-carboxylic acid anion (Penicillin G)', '3,3-Dimethyl-7-oxo-6-phenylacetylamino-4-thia-1-aza-bicyclo[3.2.0]heptane-2-carboxylic acid(penicillin G)', '4-Thia-1-azabicyclo(3.2.0)heptane-2-carboxylic acid, 3,3-dimethyl-7-oxo-6-(2-phenylacetamido)- (8CI)', '4-thia-1-azabicyclo[3.2.0]heptane-2-carboxylic acid, 3,3-dimethyl-7-oxo-6-[(phenylacetyl)amino]-, (2S,5R,6R)-']</t>
  </si>
  <si>
    <t>Compound(5904)</t>
  </si>
  <si>
    <t>C16H18N2O4S</t>
  </si>
  <si>
    <t>penicillin V.</t>
  </si>
  <si>
    <t>(2S,5R,6R)-3,3-dimethyl-7-oxo-6-[(2-phenoxyacetyl)amino]-4-thia-1-azabicyclo[3.2.0]heptane-2-carboxylic acid</t>
  </si>
  <si>
    <t>['penicillin v', 'Phenoxymethylpenicillin', 'Oracillin', 'Penicillin phenoxymethyl', 'Phenomycilline', 'Phenopenicillin', 'Fenospen', 'Phenoxymethyl penicillin', 'V-Cillin', 'Meropenin', 'Beromycin', 'Phenoxymethylenepenicillinic acid', '87-08-1', 'Phenocillin', 'Stabicillin', 'Vebecillin', 'Calcipen', 'Fenacilin', 'Oratren', 'Rocilin', 'Apopen', 'Ospen', 'Phenoximethylpenicillinum', 'Fenoximetilpenicilina', 'Pen-V', 'Compocillin V', 'Distaquaine V', 'Eskacillian V', 'phenoxymethylpenicillinic acid', 'Crystapen V', 'Eskacillin V', 'V-Tablopen', 'Pen-vee', 'Acipen V', 'Pen-Oral', 'V-Cylina', 'V-Cyline', 'Phenoxymethylpenicilline', 'Phenoxymethylpenicillinum', 'V-Cil', '6-Phenoxyacetamidopenicillanic acid', 'P-Mega-Tablinen', 'Fenossimetilpenicillina [DCIT]', 'phenoxomethylpenicillin', 'Penapar-Vk', 'Fenoximetilpenicilina [INN-Spanish]', 'Phenoxymethylpenicilline [INN-French]', 'Phenoxymethylpenicillinum [INN-Latin]', 'CCRIS 752', 'UNII-Z61I075U2W', 'CHEBI:27446', 'HSDB 6314', 'EINECS 201-722-0', '(2S,5R,6R)-3,3-Dimethyl-7-oxo-6-[(phenoxyacetyl)amino]-4-thia-1-azabicyclo[3.2.0]heptane-2-carboxylic acid', 'BRN 0096259', 'Phenoxymethylpenicillin (INN)', '(2S,5R,6R)-3,3-DIMETHYL-7-OXO-6-(2-PHENOXYACETAMIDO)-4-THIA-1- AZABICYCLO(3.2.0)HEPTANE-2-CARBOXYLIC ACID', 'C16H18N2O5S', 'Z61I075U2W', 'Penicillanic acid, 6-phenoxyacetamido-', '(2S,5R,6R)-3,3-Dimethyl-7-oxo-6-(2-phenoxyacetamido)-4-thia-1-azabicyclo(3.2.0)heptane-2-carboxylic acid', '3,3-Dimethyl-7-oxo-6-((phenyloxyacetyl)amino)-4-thia-1-azabicyclo(3.2.0)heptane-2-carboxylic acid', '4-Thia-1-azabicyclo(3.2.0)heptane-2-carboxylic acid, 3,3-dimethyl-7-oxo-6-((phenoxyacetyl)amino)-, (2S-(2alpha,5alpha,6beta))-', 'PNV', 'Apocillin', 'Vegacillin', 'Fenossimetilpenicillina', '(2S,5R,6R)-3,3-Dimethyl-7-oxo-6-(2-phenoxyacetamido)-4-thia-1-azabicyclo[3.2.0]heptane-2-carboxylic acid', '(2S,5R,6R)-3,3-dimethyl-7-oxo-6-[(2-phenoxyacetyl)amino]-4-thia-1-azabicyclo[3.2.0]heptane-2-carboxylic acid', 'Phenoxymethylpenicillin [INN]', 'Fenoxymethylpenicillin', 'Beromycin, Penicillin', 'Berromycin, Penicillin', 'Penicillin V [USAN]', 'Penicillin, Phenoxymethyl', '(2S,5R,6R)-3,3-dimethyl-7-oxo-6-{[(phenyloxy)acetyl]amino}-4-thia-1-azabicyclo[3.2.0]heptane-2-carboxylic acid', 'V-Cillin (TN)', 'Penicillin V (USP)', 'phenoxomethylpenicillanyl', 'phenoxymethylpenicillanyl', '4-Thia-1-azabicyclo(3.2.0)heptane-2-carboxylic acid, 3,3-dimethyl-7-oxo-6-(2-phenoxyacetamido)-', '132-98-9', 'Penicillin V [USAN:USP]', 'Penicillin-V', 'Phenoxymethylpenicillinic acid potassium salt', 'PC Pen VK', 'Spectrum_001007', '1098-87-9', 'Spectrum2_000495', 'Spectrum3_000543', 'Spectrum4_000472', 'Spectrum5_001409', 'CHEMBL615', 'Epitope ID:115011', 'Epitope ID:116056', 'SCHEMBL49223', 'BSPBio_002185', 'KBioGR_000944', 'KBioSS_001487', '4-27-00-05884 (Beilstein Handbook Reference)', 'MLS001304105', 'DivK1c_000779', 'Penicillin V/Phenoxypenicillin', 'SPBio_000389', 'DTXSID3023429', 'CHEBI:53706', 'CTK3E8206', 'GTPL10920', 'KBio1_000779', 'KBio2_001487', 'KBio2_004055', 'KBio2_006623', 'KBio3_001685', 'NINDS_000779', 'ZINC3831282', '2,2-dimethyl-6beta-[(phenoxyacetyl)amino]penam-3alpha-carboxylic acid', 'BDBM50370584', '3,3-dimethyl-6beta-[(phenoxyacetyl)amino]penam-2alpha-carboxylic acid (PIN)', 'AKOS015969737', 'DB00417', 'LS-1861', 'IDI1_000779', 'SMR000539431', 'SBI-0051477.P003', 'AB00514745', 'C08126', 'D05411', 'C-53179', 'Q422215', 'W-109316', 'BRD-K43966364-237-02-2', 'BRD-K43966364-237-03-0', '6beta-Phenoxyacetamido-2,2-dimethylpenam-3alpha-carboxylic acid', 'Phenoxymethylpenicillin, Antibiotic for Culture Media Use Only', 'Penicillin V, United States Pharmacopeia (USP) Reference Standard', 'Phenoxymethylpenicillin, European Pharmacopoeia (EP) Reference Standard', '4-Thia-1-azabicyclo[3.2.0]heptane-2-carboxylicacid, 3,3-dimethyl-7-oxo-6-[(2-phenoxyacetyl)amino]-, (2S,5R,6R)-']</t>
  </si>
  <si>
    <t>Compound(6869)</t>
  </si>
  <si>
    <t>C16H18N2O5S</t>
  </si>
  <si>
    <t>penconazole</t>
  </si>
  <si>
    <t>1-[2-(2,4-dichlorophenyl)pentyl]-1,2,4-triazole</t>
  </si>
  <si>
    <t>['Penconazole', '66246-88-6', 'Topaze', 'Onmex', 'Topaz', 'Topaze C', 'Topas C', 'Topas MZ', 'Penconazole [BSI:ISO]', 'CGA 71818', '1-[2-(2,4-dichlorophenyl)pentyl]-1,2,4-triazole', 'EINECS 266-275-6', 'BRN 0541488', '1-(2-(2,4-Dichlorophenyl)pentyl)-1H-1,2,4-triazole', '1H-1,2,4-Triazole, 1-[2-(2,4-dichlorophenyl)pentyl]-', 'Penconazol', 'CHEBI:83993', '1-[2-(2,4-Dichlorophenyl)pentyl]-1H-1,2,4-triazole', '1H-1,2,4-Triazole, 1-(2-(2,4-dichlorophenyl)pentyl)-', 'Topas 100', 'DSSTox_CID_22260', 'DSSTox_RID_79978', 'DSSTox_GSID_42260', 'SCHEMBL24791', '5-26-01-00149 (Beilstein Handbook Reference)', 'Penconazole 66246-88-6', 'CHEMBL481474', 'DTXSID8042260', 'CTK8J9105', 'Tox21_301318', 'AKOS015906183', 'VA11506', 'NCGC00166157-01', 'NCGC00255892-01', 'Penconazole 10 microg/mL in Cyclohexane', '1302-59-6', 'AC-12494', 'AS-14842', 'CC-33518', 'M801', 'SC-57866', 'Penconazole 100 microg/mL in Acetonitrile', 'CAS-66246-88-6', 'DB-054891', 'HY-135761', 'LS-155946', 'CS-0113947', 'FT-0630762', 'NS00000523', 'Penconazol, PESTANAL(R), analytical standard', 'C18801', '246P886', 'C-17879', '1-[2-(2,4-dichlorophenyl)pentyl]1,2,4-triazole', 'Q2426626', '1-[2-(2,4-dichlorophenyl)-n-pentyl]-1h-1,2,4-triazole', '1-[2-(2,4-dichlorophenyl)-pentyl]-1H-1,2,4-triazole', 'penconazole;1-[2-(2,4-dichlorophenyl)pentyl]-1H-1,2,4-triazole']</t>
  </si>
  <si>
    <t>Compound(91693)</t>
  </si>
  <si>
    <t>C13H15Cl2N3</t>
  </si>
  <si>
    <t>3,4-dimethyl-2,6-dinitro-N-pentan-3-ylaniline</t>
  </si>
  <si>
    <t>['PENDIMETHALIN', '40487-42-1', 'Pendimethaline', 'Penoxaline', 'Prowl', 'Herbadox', 'Penoxalin', 'Phenoxalin', 'Accotab', 'Stomp', 'Penoxyn', 'Sipaxol', 'Way Up', 'Go-Go-San', 'N-(1-Ethylpropyl)-2,6-dinitro-3,4-xylidine', 'Tendimethalin', 'SWGC', 'Wayup', '3,4-Dimethyl-2,6-dinitro-N-(pentan-3-yl)aniline', 'Stomp 330D', 'Stomp 330E', 'Pendimethalin-d5', 'Wax Up', 'Southern Weed Grass Control', 'Caswell No. 454BB', 'N-(1-Ethylpropyl)-3,4-dimethyl-2,6-dinitrobenzenamine', 'Benzenamine, N-(1-ethylpropyl)-3,4-dimethyl-2,6-dinitro-', '3,4-Dimethyl-2,6-dinitro-N-(1-ethylpropyl)aniline', 'N-(1-Ethylpropyl)-3,4-dimethyl-2,6-dinitroaniline', 'UNII-VL6L14C06U', 'Pendimethaline [ISO-French]', 'AC 92553', 'Pendimethalin [ANSI:BSI:ISO]', 'HSDB 6721', 'EINECS 254-938-2', 'N-(3-Pentyl)-3,4-dimethyl-2,6-dinitroaniline', 'EPA Pesticide Chemical Code 108501', 'BRN 2157711', 'Aniline, 3,4-dimethyl-2,6-dinitro-N-(1-ethylpropyl)-', 'VL6L14C06U', 'CHEBI:83569', '3,4-dimethyl-2,6-dinitro-N-pentan-3-ylaniline', '3,4-Xylidine, 2,6-dinitro-N-(1-ethylpropyl)-', 'N-(1-ethylpropyl)-3,4-dimethyl-2,6-dinitro-aniline', 'N-(1-Aethylpropyl)-2,6-dinitro-3,4-xylidin [German]', 'Benzenamine, 3,4-dimethyl-2,6-dinitro-N-(1-ethylpropyl)-', 'N-(1-Aethylpropyl)-3,4-dimethyl-2,6-dinitroanilin [German]', 'DSSTox_CID_4245', 'DSSTox_RID_77339', 'DSSTox_GSID_24245', '64719-41-1', 'CAS-40487-42-1', 'Herbodox', 'Prowl 4E', 'Prowl 3.3', 'Pre-M 60DG', 'Pendimethalin (Penoxalin)', 'N-(1-Aethylpropyl)-2,6-dinitro-3,4-xylidin', 'Oprea1_039175', 'SCHEMBL21821', 'BIDD:ER0107', 'N-(1-Aethylpropyl)-3,4-dimethyl-2,6-dinitroanilin', 'CHEMBL1256630', 'DTXSID7024245', 'CTK8E7533', 'ZINC4098978', 'Tox21_201896', 'Tox21_300867', 'AKOS001705353', 'MCULE-7226570312', 'ACM40487421', 'NCGC00163941-01', 'NCGC00163941-02', 'NCGC00163941-03', 'NCGC00163941-04', 'NCGC00254771-01', 'NCGC00259445-01', 'CC-33519', 'LS-19739', 'M802', 'Pendimethalin 1000 microg/mL in Acetone', 'SC-12223', 'ACM1219803390', 'AX8146912', 'DB-049600', 'Pendimethalin 10 microg/mL in Acetonitrile', 'Pendimethalin 100 microg/mL in Cyclohexane', 'FT-0630611', 'FT-0673556', 'NS00000529', 'P1964', '3,4-dimethyl-2,6 -dinitro-N-3-pentylaniline', 'C11019', 'Prowl(R) (Pendimethaline), analytical standard', '3,4-Dimethyl-2,6-dinitro-N-(3-pentyl)aniline', 'Pendimethalin, PESTANAL(R), analytical standard', '487P421', 'C-17718', 'Q423895', '2,6-dinitro-N-(1-ethylpropyl)-3,4-dimethylaniline', 'N-(1-ethylpropyl)-2,6-dinitro-3,4-dimethyl-benzenamine', 'N-(1-Ethylpropyl)-3,4-dimethyl-2,6-dinitroaniline #', 'pendimethalin;N-(1-ethylpropyl)-2,6-dinitro-3,4-xylidine', 'N-(3,4-dimethyl-2,6-dinitrophenyl)-N-(1-ethylpropyl)amine', 'Benzenamine, N-(1-ethylpropyl)-3,4-dimethyl-2,6-dinitro- (9CI)', 'Pendimethalin solution, 100 mug/mL in methanol, PESTANAL(R), analytical standard']</t>
  </si>
  <si>
    <t>Compound(38479)</t>
  </si>
  <si>
    <t>C13H19N3O4</t>
  </si>
  <si>
    <t>5-fluoro-1,3-dimethyl-N-[2-(4-methylpentan-2-yl)phenyl]pyrazole-4-carboxamide</t>
  </si>
  <si>
    <t>['Penflufen', '494793-67-8', '5-fluoro-1,3-dimethyl-N-[2-(4-methylpentan-2-yl)phenyl]pyrazole-4-carboxamide', 'Pyflufen', 'Penflufen, (+/-)-', 'Emesto', 'N-[2-(1,3-dimethylbutyl)phenyl]-5-fluoro-1,3-dimethyl-1H-pyrazole-4-carboxamide', 'SCHEMBL69448', 'DTXSID9058107', 'CHEBI:83134', '5-Fluoro-1,3-dimethyl-N-(2-(1,3-dimethylbutyl)phenyl)-1H-pyrazole-4-carboxamide', 'N-(2-(1,3-Dimethylbutyl)phenyl)-1,3-dimethyl-5-fluoro-1H-pyrazole-4-carboxamide', 'Penflufen, PESTANAL(R), analytical standard', 'EN300-225324', 'Q16736519', '5-fluoro-1,3-dimethyl-N-[2-(4-methylpentan-2-yl)phenyl]-1H-pyrazole-4-carboxamide']</t>
  </si>
  <si>
    <t>Compound(11674113)</t>
  </si>
  <si>
    <t>C18H24FN3O</t>
  </si>
  <si>
    <t>pentobarbital sodium</t>
  </si>
  <si>
    <t>sodium;5-ethyl-4,6-dioxo-5-pentan-2-yl-1H-pyrimidin-2-olate</t>
  </si>
  <si>
    <t>['PENTOBARBITAL SODIUM', 'Sodium pentobarbital', 'Barpental', 'Biosedan', 'Napental', 'Somnopentyl', 'Vetbutal', 'Auropan', 'Embutal', 'Mebunat', 'Etaminal sodium', 'Diabutal', 'Sodium pentobarbitone', 'Continal', 'Euthanyl', 'Euthatal', 'Isobarb', 'Lethobarb', 'Pacifan', 'Palapent', 'Pentonal', 'Pentone', 'Pentosol', 'Rivadorn', 'Sonistan', 'Sopental', 'Mintal', 'Penbar', 'Pental', 'Nembutal sodium', 'Sodium nembutal', 'Sotyl', 'Mebumal sodium', 'Ethaminal sodium', 'Sodium ethaminal', 'Sodium-Pent', '57-33-0', 'Pentobarbital sodium salt', 'V-Pento', 'Mebubarbital sodium', 'Pentabarbital sodium', 'Pentobarbitone sodium', 'Soluble pentobarbital', 'Sontobarbital nabitone', 'Eutha 77', 'Sodium pentobarbiturate', 'RS-Pentobarbital sodium', 'Sedalixir', 'NSC 10816', 'Pentobarbital sodium [USP:JAN]', 'EINECS 200-323-9', 'Butylmethyl ethyl malonyl urea sodium', '5-Ethyl-5-(1-methylbutyl) barbituric acid sodium salt', 'DEA No. 2270', 'Sodium 5-ethyl-5-(1-methylbutyl)barbiturate', 'Barbituric acid, 5-ethyl-5-sec-pentyl-, sodium salt', 'Propylmethylcarbinylethyl barbituric acid sodium salt', '5-Ethyl-5-(1-methylbutyl)barbituric acid sodium salt', '5-Ethyl-5-(1-methylbutyl)-2,4,6(1H,3H,5H)-pyrimidinetrione monosodium salt', '2,4,6(1H,3H,5H)-Pyrimidinetrione, 5-ethyl-5-(1-methylbutyl)-, monosodium salt', 'sodium 5-ethyl-5-(1-methylbutyl)-4,6-dioxo-1,4,5,6-tetrahydropyrimidin-2-olate', 'Barbituric acid, 5-ethyl-5-(1-methylbutyl)-, sodium salt', 'MLS001306463', 'CHEBI:7984', 'Butylone [Barbiturate]', 'SMR000718804', 'sodium;5-ethyl-4,6-dioxo-5-pentan-2-yl-1H-pyrimidin-2-olate', 'Nembutal sodium (TN)', 'SCHEMBL1247', 'ARONIS23861', 'DTXSID9021712', 'STOCK2S-15760', 'Pentobarbital Sodium (JAN/USP)', 'MolPort-002-561-071', 'BCP07810', '5-Ethyl-5-(1-methylbutyl)-2,4,6(1H,3H,5H)-pyrimidinetrione Sodium Salt', 'AKOS005111157', 'API0003787', 'MCULE-2611041665', 'LS-24391', 'P0776', 'C07423', 'D00500', 'Q27107638', '5-ethyl-5-(1-methylbutyl)-4,6-dioxo-1H-pyrimidin-2-olate', '2,4,6(1H,3H,5H)-Pyrimidinetrione, 5-ethyl-5-(1-methylbutyl), monosodium salt']</t>
  </si>
  <si>
    <t>Compound(23676152)</t>
  </si>
  <si>
    <t>C11H17N2NaO3</t>
  </si>
  <si>
    <t>5-ethyl-5-pentan-2-yl-1,3-diazinane-2,4,6-trione</t>
  </si>
  <si>
    <t>['pentobarbital', 'Pentobarbitone', 'Nembutal', 'Mebubarbital', 'Ethaminal', 'Mebumal', 'Pentobarbituric acid', 'Neodorm', 'Dorsital', 'Nebralin', 'Rivadorm', 'Pentobarbiturate', '76-74-4', 'Pentabarbitone', 'Neodorm (new)', 'Pentabarbital', 'Pentobarbitalum', 'Aethaminalum', '5-Ethyl-5-(sec-pentyl)barbituric acid', '5-Ethyl-5-(1-methylbutyl)barbituric acid', 'Nembutal (VAN)', 'Neodorm (VAN)', 'Pentobarbital (VAN)', 'Pentobarbitone (VAN)', 'Pentobarbitale [DCIT]', '2,4,6(1H,3H,5H)-Pyrimidinetrione, 5-ethyl-5-(1-methylbutyl)-', '5-Ethyl-5-(1-methylbutyl)malonylurea', '5-Ethyl-5-(1-methylbutyl)-2,4,6(1H,3H,5H)-pyrimidinetrione', 'Pentobarbitalum [INN-Latin]', 'NSC 28708', 'Pentobarbital calcium', 'Barbituric acid, 5-ethyl-5-(1-methylbutyl)-', 'Diabutal', 'Ethyl-propylmethylcarbinylbarbituric acid', 'CCRIS 7089', 'HSDB 3151', 'EINECS 200-983-8', '5-ethyl-5-(pentan-2-yl)pyrimidine-2,4,6(1H,3H,5H)-trione', 'CHEMBL448', 'BRN 0087067', '5-ethyl-5-pentan-2-yl-1,3-diazinane-2,4,6-trione', 'Barbituric acid, 5-ethyl-5-(2-pentyl)-', 'CHEBI:7983', '(+-)-5-Ethyl-5-(1-methylbutyl)barbituric acid', 'NSC-28708', 'NCGC00096074-01', 'Pentobarbitale', 'Etaminal', '5-Ethyl-5-(1-methyl-butyl)-pyrimidine-2,4,6-trione', '5-ethyl-5-(pentan-2-yl)-1,3-diazinane-2,4,6-trione', 'Phetobarbitone', '5-ethyl-2-hydroxy-5-(1-methylbutyl)pyrimidine-4,6(1H,5H)-dione', 'Pentobarbital [USP:INN]', '2,4,6(1H,3H,5H)-Pyrimidinetrione, 5-ethyl-5-(1-methylbutyl)-, (+-)-', 'Nembutal (TN)', 'Pentobarbital, Monosodium Salt', '57-33-0', 'Pentobarbital (USP/INN)', 'Barbital-Pento', 'Pentobarbital [USP:INN:BAN]', 'SR-01000317092', 'Pentobarbital cii', '(RS)-pentobarbital', 'Pentobarbital suppository dosage form', 'Continal (Salt/Mix)', '(plusmn)-pentobarbital', 'Sedalixir (Salt/Mix)', 'Spectrum_001783', 'Spectrum2_001991', 'Spectrum3_001783', 'Spectrum4_000574', 'Spectrum5_001705', 'DSSTox_CID_3435', 'EC 200-983-8', '(.+/-.))-Pentobarbital', 'DSSTox_RID_77026', 'DSSTox_GSID_23435', 'Oprea1_143902', 'Oprea1_775730', 'SCHEMBL24966', 'BSPBio_003305', 'KBioGR_001008', 'KBioSS_002267', '5-24-09-00168 (Beilstein Handbook Reference)', 'DivK1c_000992', 'SPECTRUM1900006', 'SPBio_002201', 'GTPL5480', 'DTXSID7023435', 'SCHEMBL11114711', 'component of Emesert (Salt/Mix)', 'component of Synirin (Salt/Mix)', 'HMS503G05', 'KBio1_000992', 'KBio2_002266', 'KBio2_004834', 'KBio2_007402', 'KBio3_002807', 'NINDS_000992', 'HMS2094E21', 'HMS3713B10', 'Pharmakon1600-01900006', 'NSC28708', 'Tox21_111555', 'BBL028072', 'BDBM50055935', 'CCG-39476', 'NSC760434', 'STL367899', 'Pentobarbital 0.1 mg/ml in Methanol', 'Pentobarbital 1.0 mg/ml in Methanol', 'AKOS000277861', 'WLN: T6VMVMV FHJ FY3&amp;1 F2', 'API0004783', 'CCG-220564', 'DB00312', 'NSC-760434', 'CAS-76-74-4', 'IDI1_000992', 'NCGC00096074-02', 'CC-33572', 'LS-24385', 'SBI-0052713.P002', 'DB-056119', 'NS00008670', 'NS00099141', 'C07422', 'D00499', '057P561', 'C-12883', 'Nembutal|||5-Ethyl-5-(sec-pentyl)barbituric acid', 'Q409632', 'SR-05000001789', 'SR-01000317092-2', 'SR-05000001789-1', 'BRD-A44448661-001-01-4', '2,4,6(1H,3H,5H)-Pyrimidinetrione, 5-ethyl-5-sec-pentyl-', '2,6(1H,3H,5H)-Pyrimidinetrione, 5-ethyl-5-(1-methylbutyl)-', '5-Ethyl-5-(1-methylbutyl)-2,6(1H,3H,5H)-pyrimidinetrione', '5-Ethyl-5-(2-pentanyl)-2,4,6(1H,3H,5H)-pyrimidinetrione', 'Pentobarbital, European Pharmacopoeia (EP) Reference Standard', '5-Ethyl-2-hydroxy-5-(pentan-2-yl)pyrimidine-4,6(1H,5H)-dione', 'Pentobarbital, United States Pharmacopeia (USP) Reference Standard', 'Pentobarbital solution, 1.0 mg/mL in methanol, ampule of 1 mL, certified reference material', '30849-50-4']</t>
  </si>
  <si>
    <t>Compound(4737)</t>
  </si>
  <si>
    <t>C11H18N2O3</t>
  </si>
  <si>
    <t>1-methyl-N-[2-(4-methylpentan-2-yl)thiophen-3-yl]-3-(trifluoromethyl)pyrazole-4-carboxamide</t>
  </si>
  <si>
    <t>['Penthiopyrad', '183675-82-3', 'CHEBI:83138', 'DPX-LEM 17', '1-methyl-N-[2-(4-methylpentan-2-yl)thiophen-3-yl]-3-(trifluoromethyl)pyrazole-4-carboxamide', '(rs)-n-[2-(1,3-dimethylbutyl)-3-thienyl]-1-methyl-3-(trifluoromethyl)pyrazole-4-carboxamide', 'Vertisan', 'Gaia', 'Penthiopyrad [ISO]', 'SCHEMBL18701', 'C16H20F3N3OS', 'MTF753', 'CHEMBL2251844', 'DTXSID6058005', 'BCP13108', 'BDBM50079600', 'CP0123', 'MFCD11973641', 'AKOS015914702', 'CM14092', 'CS-3306', 'AC-25642', 'HY-17520', 'NS00015073', 'X5975', 'C18482', 'Penthiopyrad, PESTANAL(R), analytical standard', '675P823', 'J-011771', 'Q14075651', '1-methyl-N-[2-(4-methylpentan-2-yl)-3-thienyl]-3-(trifluoromethyl)pyrazole-4-carboxamide', 'n-[2-(1,3-dimethylbutyl)-3-thienyl]-1-methyl-3-(trifluoromethyl)-1h-pyrazole-4-carboxamide', '1-methyl-N-[2-(4-methylpentan-2-yl)-3-thienyl]-3-(trifluoromethyl)-1H-pyrazole-4-carboxamide', 'Penthiopyrad 100 microg/mL in Acetonitrile. Short expiry date due to chemical nature of component(s)']</t>
  </si>
  <si>
    <t>Compound(11388558)</t>
  </si>
  <si>
    <t>C16H20F3N3OS</t>
  </si>
  <si>
    <t>perchloromethyl mercaptan</t>
  </si>
  <si>
    <t>trichloromethyl thiohypochlorite</t>
  </si>
  <si>
    <t>['Perchloromethyl mercaptan', 'Perchloromethylmercaptan', 'Clairsit', '594-42-3', 'Methanesulfenyl chloride, trichloro-', 'TRICHLOROMETHANESULFENYL CHLORIDE', 'Perchloromethanethiol', 'Trichloromethanesulphenyl chloride', 'Perchlormethylmerkaptan', '(Trichloromethane)sulfenyl chloride', 'Trichloromethylsulfenyl chloride', 'RCRA waste number P118', 'Trichloromethane sulfenyl chloride', 'Mercaptan methylique perchlore', 'Trichloromethylsulphenyl chloride', 'Perchlorinemethylmercaptan', 'Thiocarbonyl tetrachloride', 'UNII-KK489OII9M', 'Trichloromethyl sulfochloride', 'NSC 66404', 'Trichlormethyl sulfur chloride', 'HSDB 886', 'Perchlormethylmerkaptan [Czech]', 'TRICHLOROMETHYL MERCAPTAN', 'HSDB 6052', 'Perchloro-methyl-mercaptan (DOT)', 'EINECS 209-840-4', 'UN1670', 'RCRA waste no. P118', 'Mercaptan methylique perchlore [French]', 'BRN 0506034', 'KK489OII9M', 'Trichloromethyl sulphochloride', 'Methanesulfenic acid, trichloro-, chloride', '(Trichloromethyl)sulfenyl chloride', 'Trichloromethane sulphuryl chloride', 'chlorothio(trichloromethyl)', 'W-105321', 'Perchloromethyl mercaptan, 97%', 'trichloromethyl thiohypochlorite', 'perchlormethylmercaptan', 'WLN: GXGGSG', 'Perchloro-methyl-mercaptan', 'DSSTox_CID_5854', 'perchloro(methyl mercaptan)', 'EC 209-840-4', 'DSSTox_RID_77949', 'RCRA waste number P-118', 'DSSTox_GSID_25854', 'SCHEMBL190299', 'trichloromethyl sulfenyl chloride', 'CHEMBL3188766', 'DTXSID6025854', 'RYFZYYUIAZYQLC-UHFFFAOYSA-', 'trichloro-methanesulfenyl chloride', 'trichloromethane-sulfenyl chloride', 'trichloro-methanesulphenyl chloride', 'trichloromethane sulphenyl chloride', 'NSC66404', 'Tox21_200422', 'NSC-66404', 'SBB058912', 'ZINC95736252', 'trichloromethanesulphenic acid chloride', 'AKOS006222983', 'LS-1420', 'MCULE-4176211674', 'UN 1670', 'NCGC00248604-01', 'NCGC00257976-01', 'CAS-594-42-3', 'Trichloromethanesulfenyl chloride, &gt;=96%', 'DB-092501', 'NS00002483', 'P0740', 'ST51042198', 'Perchloromethyl mercaptan [UN1670] [Poison]', 'Perchloromethyl mercaptan [UN1670]  [Poison]', 'Q680191', 'trichloromethanesulphenyl chloride;Methanesulfenyl chloride, trichloro-;Trichloromethanesulphenyl chloride']</t>
  </si>
  <si>
    <t>Compound(11666)</t>
  </si>
  <si>
    <t>CCl4S</t>
  </si>
  <si>
    <t>peroxyacetic acid</t>
  </si>
  <si>
    <t>ethaneperoxoic acid</t>
  </si>
  <si>
    <t>['PERACETIC ACID', 'Peroxyacetic acid', 'Ethaneperoxoic acid', '79-21-0', 'Estosteril', 'Acetic peroxide', 'Peroxoacetic acid', 'Monoperacetic acid', 'Osbon AC', 'Acetyl hydroperoxide', 'Proxitane 4002', 'Desoxon 1', 'Hydroperoxide, acetyl', 'Ethaneperoxic acid', 'Caswell No. 644', 'UNII-I6KPI2E1HD', 'Acide peracetique [French]', 'CCRIS 686', 'Acide peroxyacetique [French]', 'Acido peroxiacetico [Spanish]', 'Kyselina peroxyoctova [Czech]', 'HSDB 1106', 'EINECS 201-186-8', 'I6KPI2E1HD', 'EPA Pesticide Chemical Code 063201', 'BRN 1098464', 'CHEMBL444965', 'NCGC00166305-01', 'Peroxyacetic acid, &gt;43% and with &gt;6% hydrogen peroxide [Forbidden]', 'Acide peracetique', 'Acido peroxiacetico', 'Acide peroxyacetique', 'F50', 'Kyselina peroxyoctova', 'LCAP', 'Aceticperoxide', 'peractic acid', 'per-acetic acid', 'Peroxacetic acid', 'Peroxyacetic acid, ca.35wt.% sol. in diluted acetic acid, stabilized', 'acetic acid oxide', 'Peroxy acetic acid', 'AcOOH', 'Acecide (TN)', 'ACMC-20egd0', 'CH3CO2OH', 'Ethaneperoxoic acid, 9CI', 'CH3C(O)OOH', 'DSSTox_CID_5853', 'EC 201-186-8', 'DSSTox_RID_77948', 'DSSTox_GSID_25853', '4-02-00-00390 (Beilstein Handbook Reference)', 'DTXSID1025853', 'CTK2H7553', 'Tox21_112402', 'BDBM50266095', 'ZINC38141555', 'AKOS015837803', 'DB14556', 'LS-1775', 'CAS-79-21-0', 'SC-46796', '747-EP2272817A1', '747-EP2272822A1', '747-EP2284148A1', '747-EP2284161A1', '747-EP2287147A2', '747-EP2287160A1', '747-EP2298755A1', '747-EP2301934A1', '747-EP2305662A1', '747-EP2311811A1', '747-EP2311814A1', '747-EP2311842A2', 'NS00001663', 'Peracetic acid solution, 8.7% in acetic acid', 'D03467', 'Peroxyacetic acid;PERACETIC ACID;peracetic acid', 'Q375140', 'Peracetic acid solution, 36-40 wt. % in acetic acid', 'Peracetic acid solution 32 wt. % in dilute acetic acid', 'Peracetic acid solution, 32 wt. % in dilute acetic acid', 'Peroxyacetic acid, &gt;43% and with &gt;6% hydrogen peroxide', 'Peracetic acid solution, purum, ~39% in acetic acid (RT)', 'Peracetic acid solution, purum, ~40% in acetic acid: water']</t>
  </si>
  <si>
    <t>Compound(6585)</t>
  </si>
  <si>
    <t>C2H4O3</t>
  </si>
  <si>
    <t>perphenazine</t>
  </si>
  <si>
    <t>2-[4-[3-(2-chlorophenothiazin-10-yl)propyl]piperazin-1-yl]ethanol</t>
  </si>
  <si>
    <t>['perphenazine', '58-39-9', 'Perphenazin', 'Trilafon', 'Etaperazine', 'Perfenazine', 'Ethaperazine', 'Etaperazin', 'Fentazin', 'Chlorpiprazine', 'Perphenan', 'Thilatazin', 'Decentan', 'Chlorperphenazine', 'Emesinal', 'Perfenazina', 'Tranquisan', 'Trifaron', 'Trilifan', 'Triphenot', 'F-mon', 'Perphenazinum', 'Sch 3940', 'Perfenazina [Italian]', '2-(4-(3-(2-Chloro-10H-phenothiazin-10-yl)propyl)piperazin-1-yl)ethanol', 'Perfenazina [INN-Spanish]', 'Perphenazinum [INN-Latin]', '4-[3-(2-Chlorophenothiazin-10-yl)propyl]-1-piperazineethanol', 'UNII-FTA7XXY4EZ', 'C21H26ClN3OS', 'PZC', '2-[4-[3-(2-Chlorophenothiazin-10-yl)propyl]piperazin-1-yl]ethanol', 'gamma-(4-(beta-Hydroxyethyl)piperazin-1-yl)propyl-2-chlorophenothiazine', 'NSC 150866', '4-(3-(2-Chlorophenothiazin-10-yl)propyl)-1-piperazineethanol', '4-[3-(2-Chloro-10H-phenothiazin-10-yl)propyl]-1-piperazineethanol', 'HSDB 3379', '1-(2-Hydroxyethyl)-4-(3-(2-chloro-10-phenothiazinyl)propyl)piperazine', 'FTA7XXY4EZ', 'EINECS 200-381-5', 'CHEMBL567', '2-Chloro-10-3-(1-(2-hydroxyethyl)-4-piperazinyl)propyl phenothiazine', '2-{4-[3-(2-chloro-10H-phenothiazin-10-yl)propyl]piperazin-1-yl}ethanol', '2-Chloro-10-(3-(4-(2-hydroxyethyl)piperazin-1-yl)propyl)phenothiazine', '2-Chloro-10-[3-[4-(2-hydroxyethyl)piperazin-1-yl]propyl]phenothiazine', '2-{4-[3-(2-chloro-10H-phenothiazin-10-yl)propyl]piperazin-1-yl}ethan-1-ol', 'AI3-50151', 'MLS000069637', 'CHEBI:8028', "1',1-(2-Idrossietil)-4,3-(2-cloro-10-fenotiazil)propilpiperazina", '1-Piperazineethanol, 4-(3-(2-chloro-10H-phenothiazin-10-yl)propyl)-', '1-Piperazineethanol, 4-[3-(2-chloro-10H-phenothiazin-10-yl)propyl]-', '2-(4-[3-(2-Chloro-10H-phenothiazin-10-yl)propyl]-1-piperazinyl)ethanol', '2-Chloro-10-(3-(1-(2-hydroxyethyl)-4-piperazinyl)propyl)phenothiazine', "1',1-(2-Idrossietil)-4,3-(2-cloro-10-fenotiazil)propilpiperazina [Italian]", 'NSC150866', 'NSC-150866', 'CAS-58-39-9', 'NCGC00015826-02', 'Perfenil', 'SMR000058180', '1-Piperazineethanol, 4-(3-(2-chlorophenothiazin-10-yl)propyl)-', '1-(2-Hydroxyethyl)-4-[3-(2-chloro-10-phenothiazinyl)propyl]piperazine', 'DSSTox_CID_3441', 'DSSTox_RID_77031', 'DSSTox_GSID_23441', '1-Piperazineethanol, 4-[3-(2-chlorophenothiazin-10-yl)propyl]-', '2-Chloro-10-3-[1-(2-hydroxyethyl)-4-piperazinyl]propyl phenothiazine', 'Piperazineethanol, 4-(3-(2-chloro-10H-phenothiazin-10-yl)propyl)-', 'Perphenazine [INN:BAN:JAN]', 'Perphenazine [Trilafon]', 'SR-01000000137', 'Perfenazin', '2-{4-[3-(2-chlorophenothiazin-10-yl)propyl]piperazinyl}ethan-1-ol', 'Piperazineethanol, 4-[3-(2-chloro-10H-phenothiazin-10-yl)propyl]-', '2-{4-[3-(2-Chloro-10H-phenothiazin-10-yl)propyl]-1-piperazinyl}ethanol', '.gamma.-(4-(.beta.-Hydroxyethyl)piperazin-1-yl)propyl-2-chlorophenothiazine', '.gamma.-[4-(.beta.-Hydroxyethyl)piperazin-1-yl]propyl-2-chlorophenothiazine', '2-(4-(3-(2-chloro-10H-phenothiazin-10-yl)propyl)piperazin-1-yl)ethan-1-ol', 'Perphenazine [USP:INN:BAN:JAN]', 'SCH-3940', 'Prestwick_536', 'MFCD00056798', 'Etrafon (Salt/Mix)', 'Spectrum_001610', '130-69-8', 'Opera_ID_1161', 'Prestwick0_000125', 'Prestwick1_000125', 'Prestwick2_000125', 'Prestwick3_000125', 'Spectrum2_001602', 'Spectrum3_000758', 'Spectrum4_000843', 'Spectrum5_001493', 'Lopac-P-6402', 'P 6402', 'Lopac0_000930', 'Oprea1_603835', 'REGID_for_CID_4748', 'SCHEMBL42125', 'BSPBio_000170', 'BSPBio_002376', 'GTPL209', 'KBioGR_001445', 'KBioSS_002090', 'MLS001146929', 'MLS002548897', 'BIDD:GT0150', 'DivK1c_000880', 'SPECTRUM1503934', 'SPBio_001603', 'SPBio_002109', 'BPBio1_000188', 'DTXSID1023441', 'component of Triavil (Salt/Mix)', 'CTK8G2334', 'HMS502L22', 'KBio1_000880', 'KBio2_002090', 'KBio2_004658', 'KBio2_007226', 'KBio3_001596', 'Perphenazine (JP17/USP/INN)', 'AOB5376', 'NINDS_000880', 'HMS1568I12', 'HMS1922M14', 'HMS2093M15', 'HMS2095I12', 'HMS2232D21', 'HMS3259C09', 'HMS3262J22', 'HMS3370O14', 'HMS3712I12', 'Pharmakon1600-01503934', 'HY-A0077', 'KS-000017RJ', 'Perphenazine 1.0 mg/ml in Methanol', 'Tox21_110233', 'Tox21_500930', '1-Piperazineethanol, trihydrochloride', 'BDBM50130273', 'CCG-39060', 'NSC758649', 's4731', 'SBB037866', 'STK019818', 'ZINC19228902', 'AKOS000664046', 'Tox21_110233_1', 'CS-5137', 'DB00850', 'KS-5105', 'LP00930', 'MCULE-6019566915', 'NC00472', 'NE42348', 'NSC-758649', 'SDCCGSBI-0050904.P004', 'IDI1_000880', 'MRF-0000509', 'NCGC00015826-01', 'NCGC00015826-03', 'NCGC00015826-04', 'NCGC00015826-05', 'NCGC00015826-06', 'NCGC00015826-07', 'NCGC00015826-08', 'NCGC00015826-09', 'NCGC00015826-10', 'NCGC00015826-13', 'NCGC00024092-03', 'NCGC00024092-04', 'NCGC00024092-05', 'NCGC00024092-06', 'NCGC00261615-01', 'AC-12196', 'AK115473', 'SC-89514', 'ST079662', 'SBI-0050904.P003', 'AB0010670', 'DB-053200', 'LS-112185', 'AB00052390', 'EU-0072164', 'EU-0100930', 'FT-0603244', 'NS00006492', 'P1970', '1446-EP2272537A2', '1446-EP2298776A1', 'C07427', 'D00503', 'J10210', 'AB00052390_17', 'A831863', 'L000919', 'Q423520', 'SR-01000000137-2', 'SR-01000000137-4', 'SR-01000000137-5', 'SR-01000000137-8', 'W-105390', 'BRD-K10995081-001-05-5', 'BRD-K10995081-001-15-4', 'WLN: T C666 BN ISJ EG B3- AT6N DNTJ D2Q', 'Z1945707494', 'Perphenazine, British Pharmacopoeia (BP) Reference Standard', 'Perphenazine, European Pharmacopoeia (EP) Reference Standard', '2-[4-[3-(2-chloro-10-phenothiazinyl)propyl]-1-piperazinyl]ethanol', 'Perphenazine, United States Pharmacopeia (USP) Reference Standard', '2-[4-[3-(2-chloranylphenothiazin-10-yl)propyl]piperazin-1-yl]ethanol', '2-[4-[3-(2-Chlorophenothiazin-10-yl)propyl]-piperazin-1-yl]ethanol', '2-(4-[3-(2-Chloro-10H-phenothiazin-10-yl)propyl]-1-piperazinyl)ethanol #', 'Perphenazine for system suitability, European Pharmacopoeia (EP) Reference Standard', '4-[3-(2-chloro-10H-phenothiazin-10-yl)propyl]piperazine-1-ethanol hydrochloride;PREDNAZATE;Perphenazine;perphenazine']</t>
  </si>
  <si>
    <t>Compound(4748)</t>
  </si>
  <si>
    <t>C21H26ClN3OS</t>
  </si>
  <si>
    <t>(3-phenoxyphenyl)methyl 3-(2,2-dichloroethenyl)-2,2-dimethylcyclopropane-1-carboxylate</t>
  </si>
  <si>
    <t>['Permethrin', '52645-53-1', 'Transpermethrin', 'Ambush', '1RS,cis-Permethrin', '1RS-trans-Permethrin', 'Transpermethrin [ISO]', '(+-)-cis-Permethrin', 'Pounce', 'trans-(+-)-Permethrin', 'NRDC 146', 'NRDC 148', '(+-)-trans-Permethrin', '(+-)-cis-Fmc 33297', 'FMC 35171', 'Elimite', 'Kudos', 'UNII-509F88P9SZ', '(3-phenoxyphenyl)methyl 3-(2,2-dichloroethenyl)-2,2-dimethylcyclopropane-1-carboxylate', 'BRN 4153590', '(+)-trans-Permethrin', 'Permethrine', 'Permetrina', 'Acticin', 'Ambushfog', 'Chinetrin', 'Corsair', 'Dragnet', 'Ecsumin', 'Ectiban', 'Efmethrin', 'Imperator', 'Indothrin', 'Kaleait', 'Kestrel', 'Lyclear', 'Outflank', 'Perigen', 'Permasect', 'Perthrine', 'Quamlin', 'Stomoxi', 'Stomoxin', 'Stomozan', 'Coopex', 'Cosair', 'Eksmin', 'Exsmin', 'Ipitox', 'Picket', 'Pramex', 'Exmin', 'Expar', 'Kafil', 'Kavil', 'AI3-29296', 'Anomethrin N', 'Ridect pour-on', 'Diffusil H', 'Insorbcid MP', 'Stomoxin P', 'Outflank-stockade', 'Perigen W', 'CHEBI:34911', 'Dragnet FT', 'Picket G', 'Permethrin,racemic', 'Mitin BC', 'Permanone 80', '509F88P9SZ', 'Permasect-25EC', '1RS cis-Permethrin', 'Kestrel (pesticide)', 'Antiborer 3768', 'Bematin 987', 'Permethrinum [Latin]', '52341-32-9', 'Permetrin (Hungarian)', 'NCGC00159390-02', 'Permitrene (Hungarian)', 'Permetrina [Portuguese]', 'Caswell No. 652BB', 'DSSTox_CID_2292', 'Permethrine [ISO-French]', '3-phenoxybenzyl 3-(2,2-dichloroethenyl)-2,2-dimethylcyclopropanecarboxylate', '[3-(phenyloxy)phenyl]methyl 3-(2,2-dichloroethenyl)-2,2-dimethylcyclopropanecarboxylate', 'DSSTox_RID_76537', 'DSSTox_GSID_22292', '3-(2,2-Dichloroethenyl)-2,2-dimethylcyclopropane carboxylic acid, (3-phenoxyphenyl) methyl ester', 'Cyclopropanecarboxylic acid, 3-(2,2-dichloroethenyl)-2,2-dimethyl-, (3-phenoxyphenyl)methyl ester, cis-(+-)-', 'Cyclopropanecarboxylic acid, 3-(2,2-dichloroethenyl)-2,2-dimethyl-, (3-phenoxyphenyl)methyl ester, trans-(+-)-', 'SBP-1513TEC', 'Permethrin [USAN:INN:BAN]', 'CCRIS 2001', 'ICI-PP 557', 'MP79', 'NRDC 143', 'SBP 15131TEC', 'HSDB 6790', 'BW-21-Z', 'Permethrinum', 'OMS 1821', 'SBP-1513', 'EINECS 258-067-9', 'Permethrine,c&amp;t', 'FMC 33297', 'FMC 41655', 'NIA 33297', 'PP 557', 'EPA Pesticide Chemical Code 109701', 'JF 7065', 'BRN 2063148', 'WL 43479', 'SMR000778043', 'AI3-29158', 'LE 79-519', 'CAS-52645-53-1', 'S 3151', 'S-3151', 'Cyclopropanecarboxylic acid, 3-(2,2-dichloroethenyl)-2,2-dimethyl-, (3-phenoxyphenyl)methyl ester', 'Permethrin [ANSI:BSI:ISO]', 'NRDC-143', 'Permethrn', '3-Phenoxybenzyl 2,2-dimethyl-3-(2,2-dichlorovinyl)cyclopropanecarboxylate', 'm-Phenoxybenzyl 3-(2,2-dichlorovinyl)-2,2-dimethylcyclopropanecarboxylate', '(+-)-3-Phenoxybenzyl 3-(2,2-dichlorovinyl)-2,2-dimethylcyclopropanecarboxylate', '(3-Phenoxyphenyl)methyl 3-(2,2-dichlorethenyl)-2,2-dimethylcyclopropanecarboxylate', '3-(2,2-Dichloroethenyl)-2,2-dimethylcyclopropanecarboxylic acid (3-phenoxyphenyl)methyl ester', '3-Phenoxybenzyl (1RS)-cis-trans-3-(2,2-dichlorovinyl)-2,2-dimethylcyclopropanecarboxylate', '3-Phenoxybenzyl (1RS,3RS;1RS,3SR)-3-(2,2-dichlorovinyl)-2,2-dimethylcyclopropanecarboxylate', '3-Phenoxybenzyl(+-)-cis, trans-3-(2,2-dichlorovinyl)-2,2-dimethylcyclopropane-1-carboxylate', 'm-Phenoxybenzyl (+-)-3-(2,2-dichlorovinyl)-2,2-dimethylcyclopropanecarboxylate', 'm-Phenoxybenzyl (+1)-cis,trans-3-(2,2-dichlorovinyl)-2,2-dimethylcyclopropanecarboxylate', '3-(Phenoxyphenyl)methyl (+-)-cis,trans-3-(2,2-dichloroethenyl)-2,2-dimethylcyclopropanecarboxylate', 'Cyclopropanecarboxylic acid, 3-(2,2-dichlorovinyl)-2,2-dimethyl-, (3-phenoxyphenyl)methyl ester, (1R-trans)-', 'Elimite (TN)', 'Permethrin (USAN/INN)', 'Hemoglobin atlanta-coventry', 'CHEMBL1525', 'SCHEMBL26543', 'MLS001332525', 'MLS001332526', 'Permethrin, analytical standard', '3-Phenoxybenzyl 3-(2,2-dichlorovinyl)-2,2-dimethylcyclopropanecarboxylate', 'DTXSID8022292', 'SCHEMBL15218274', 'CTK4J5778', 'Permethrin, (cis-(+-))-Isomer', 'HMS2232L22', 'HMS3264N07', 'HMS3369D10', 'Pharmakon1600-01504932', '(3-Phenoxyphenyl)methyl (+-)cis,trans-3-(2,2-dichloroethenyl)-2,2-dimethylcyclopropanecarboxylate', 'Cyclopropanecarboxylic acid, 3-(2,2-dichloroethenyl)-2,2-dimethyl-, (3-phenoxyphenyl)methyl ester, (1R,3S)-rel-', 'Cyclopropanecarboxylic acid, 3-(2,2-dichlorovinyl)-2,2-dimethyl-, 3-phenoxybenzyl ester, (+-)-, (cis,trans)-', 'HY-B0887', 'Permethrin, (trans-(+-))-Isomer', 'Tox21_111627', 'Tox21_201586', 'Tox21_300691', 'BBL005484', 'NSC760105', 's6461', 'STL135986', 'AKOS005746953', 'CCG-213703', 'DB04930', 'KS-5079', 'MCULE-1256227237', 'NSC-760105', 'PST0001290', 'Permethrin 10 microg/mL in Cyclohexane', 'NCGC00159390-00', 'NCGC00159390-04', 'NCGC00159390-05', 'NCGC00159390-06', 'NCGC00159390-07', 'NCGC00159390-08', 'NCGC00159390-09', 'NCGC00159390-10', 'NCGC00159390-11', 'NCGC00159390-12', 'NCGC00159390-13', 'NCGC00159390-14', 'NCGC00254599-01', 'NCGC00259135-01', 'Permethrin 100 microg/mL in Cyclohexane', '(3-Phenoxyphenyl)methyl (+-)-cis,trans-3-(2,2-dichloroethenyl)-2,2-dimethylcyclopropanecarboxylate', '52341-33-0', 'CC-33599', 'LS-58636', 'LS-58640', 'Permethrin (isomers), analytical standard', 'SC-15902', 'DB-052153', 'Total Permethrin 100 microg/mL in Acetone', '541-EP2274983A1', '541-EP2275422A1', '541-EP2280009A1', '541-EP2292608A1', '541-EP2298076A1', '541-EP2298077A1', '541-EP2301353A1', '541-EP2305031A1', '541-EP2305034A1', '541-EP2305035A1', '541-EP2305658A1', '541-EP2305662A1', '541-EP2308857A1', '541-EP2308858A1', '541-EP2311816A1', '541-EP2311817A1', '541-EP2314583A1', 'FT-0630656', 'ST50975270', 'Permethrin (Mixture of cis and trans Isomers)', 'Permethrin, PESTANAL(R), analytical standard', 'C14388', 'D05443', 'AB00918441_05', '645P531', 'C-21549', 'Cyclopropanecarboxylic acid, 3-(2,2-dichloroethe', 'Q411635', 'J-523915', 'Permethrin (25:75), EuropePharmacopoeia (EP) Reference Standard', '(1RS,3SR)-3-(2,2-dichlorovinyl)-2,2-dimethylcyclo-propanecarboxylate', '3-phenoxybenzyl 2-(2,2-dichlorovinyl)3,3-dimethylcyclopropanecarboxylate', '(3-phenoxyphenyl)methyl 3-(2,2-dichlorovinyl)-2,2-dimethyl-cyclopropanecarboxylate', '(3-phenoxyphenyl)methyl 3-(2,2-dichlorovinyl)-2,2-dimethylcyclopropanecarboxyl ate', '3-phenoxybenzyl (1RS)-cis,trans-3-(2,2-dichlorovinyl)-2,2-dimethylcyclopropanecarboxylate', "m-phenoxybenzyl 2,2-dimethyl-3-(2',2'-dichlorovinyl)-cyclopropanecarboxylate", 'Permethrin for system suitability, EuropePharmacopoeia (EP) Reference Standard', '(3-Phenoxyphenyl)methyl (+/-)-cis,trans-3-(2,2-dichloroethenyl)-2,2-dimethylcyclopropanecarboxylate', '1RS,cis-Permethrin;permethrin;m-phenoxybenzyl 3-(2,2-dichlorovinyl)-2,2-dimethylcyclopropanecarboxylate;PERMETHRIN;Permethrin', '93389-07-2', 'Cyclopropanecarboxylicacid, 3-(2,2-dichloroethenyl)-2,2-dimethyl-, (3-phenoxyphenyl)methyl ester,(1R,3S)-rel-', 'Permethrin (isomers) solution, 100 mug/mL in acetonitrile, PESTANAL(R), analytical standard', 'Permethrin (isomers) solution, cis/trans isomers, 1000 mug/mL in methanol, analytical standard']</t>
  </si>
  <si>
    <t>Compound(40326)</t>
  </si>
  <si>
    <t>Perthaan</t>
  </si>
  <si>
    <t>1-[2,2-dichloro-1-(4-ethylphenyl)ethyl]-4-ethylbenzene</t>
  </si>
  <si>
    <t>['PERTHANE', 'Ethylan', "p,p'-Ethyl-ddd", '72-56-0', 'Di(p-ethylphenyl)dichloroethane', 'p,p-Ethyl DDD', "p,p'-Ethyl DDD", '1,1-Dichloro-2,2-bis(p-ethylphenyl)ethane', 'Caswell No. 337', '1,1-Dichloro-2,2-bis(4-ethylphenyl)ethane', 'Diethyl-diphenyl dichloroethane', 'NCI-C02868', 'UNII-L0Q9DRK4W8', 'CCRIS 292', 'Ethane, 1,1-dichloro-2,2-bis(p-ethylphenyl)-', 'HSDB 4009', '1,1-Bis(p-ethylphenyl)-2,2-dichloroethane', '2,2-Bis(p-ethylphenyl)-1,1-dichloroethane', '2,2-Dichloro-1,1-bis(p-ethylphenyl)ethane', 'Q-137', 'EINECS 200-785-1', 'Ethane, 2,2-bis(p-ethylphenyl)-1,1-dichloro-', 'ENT 17,082', 'EPA Pesticide Chemical Code 032101', 'BRN 2054366', 'L0Q9DRK4W8', "Benzene, 1,1'-(2,2-dichloroethylidene)bis[4-ethyl-", '1,1-Bis(ethylphenyl)-2,2-dichloroethane', 'a,a-Dichloro-2,2-bis(p-ethylphenyl)ethane', 'AI3-17082', 'MLS002152919', '1-[2,2-Dichloro-1-(4-ethylphenyl)ethyl]-4-ethylbenzene', "Benzene, 1,1'-(2,2-dichloroethylidene)bis(4-ethyl-", 'SMR001224519', 'DSSTox_CID_589', 'DSSTox_RID_75676', 'DSSTox_GSID_20589', "1,1'-(2,2-dichloroethane-1,1-diyl)bis(4-ethylbenzene)", 'CAS-72-56-0', 'Perthan', 'Perthane (Tm)', 'Perthane (Ethylan)', 'cid_6295', 'Diethyldiphenyl dichloroethane', 'SCHEMBL117710', 'D iethyldiphenyl dichloroethane', 'CHEMBL551883', 'DTXSID4020589', 'BDBM74252', 'ZINC2507810', 'Tox21_201635', 'Tox21_302883', 'ENT-17082', 'Perthane 10 microg/mL in Cyclohexane', '2,2-dichloro-bis(p-ethylphenyl)ethane', 'Bis(p-ethylphenyl)-2,2-dichloroethane', 'LS-1617', 'DI(P-ETHYLPHENYL) DICHLOROETHANE', 'NCGC00091457-01', 'NCGC00091457-02', 'NCGC00256401-01', 'NCGC00259184-01', 'DB-055653', 'Perthan, PESTANAL(R), analytical standard', 'FT-0603275', 'NS00003473', 'Q 137', '1,1-bis-(4-Ethylphenyl)-2,2-dichloroethane', '2,2-dichloro-1,1-bis( p-ethylphenyl)ethane', '1,1-dichloro-2,2-bis (p-ethyl phenyl)ethane', 'alpha,alpha-dichloro-2,2-bis(p-ethylphenyl)ethane', 'C-19095', "1,1'-(2,2-dichloroethylidene)bis(4-ethylbenzene)", 'Perthan;1,1-dichloro-2,2-bis(4-ethylphenyl)ethane', 'Q21495322', "4,4'-(2,2-dichloroethane-1,1-diyl)bis(ethylbenzene)", '.alpha., .alpha.--Dichloro-2,2-bis(p-ethylphenyl)ethane', '1-[2,2-dichloro-1-(4-ethylphenyl)ethyl]-4-ethyl-benzene', '1-[2,2-Dichloro-1-(4-ethylphenyl)ethyl]-4-ethylbenzene #', '1-[2,2-bis(chloranyl)-1-(4-ethylphenyl)ethyl]-4-ethyl-benzene']</t>
  </si>
  <si>
    <t>Compound(6295)</t>
  </si>
  <si>
    <t>C18H20Cl2</t>
  </si>
  <si>
    <t>2-chloro-N-(2-ethoxyethyl)-N-(2-methyl-1-phenylprop-1-enyl)acetamide</t>
  </si>
  <si>
    <t>['Pethoxamid', '106700-29-2', 'pethoxamide', 'UNII-352ZYP854D', 'CHEBI:83523', '352ZYP854D', '2-chloro-N-(2-ethoxyethyl)-N-(2-methyl-1-phenylprop-1-enyl)acetamide', '2-chloro-N-(2-ethoxyethyl)-N-(2-methyl-1-phenylprop-1-en-1-yl)acetamide', 'Pethoxamid [ISO]', 'Penthoxamid', 'SCHEMBL114497', 'NSK-68', 'CHEMBL2287834', 'DTXSID4057928', 'ZINC33985624', 'NS00000317', 'Pethoxamid, PESTANAL(R), analytical standard', 'Q905571', '2-chloro-N-(2-ethoxyethyl)-N-(2-methyl-1-phenylprop-1-enyl)acetamide;Acetamide, 2-chloro-N-(2-ethoxyethyl)-N-(2-methyl-1-phenyl-1-propen-1-yl)-;Pethoxamide']</t>
  </si>
  <si>
    <t>Compound(6450826)</t>
  </si>
  <si>
    <t>C16H22ClNO2</t>
  </si>
  <si>
    <t>N-(4-fluorophenyl)-6-[3-(trifluoromethyl)phenoxy]pyridine-2-carboxamide</t>
  </si>
  <si>
    <t>['Picolinafen', '137641-05-5', 'UNII-VJE2EX3SNN', 'N-(4-fluorophenyl)-6-[3-(trifluoromethyl)phenoxy]pyridine-2-carboxamide', 'VJE2EX3SNN', 'Picolinafen [ISO]', 'picolinafene', 'Pico', 'N-(4-Fluorophenyl)-6-[3-(trifluoromethyl)phenoxy]-2-pyridinecarboxamide', 'SCHEMBL54805', 'DTXSID8044339', 'CHEBI:138736', 'ZINC2526569', 'Picolinafen 10 microg/mL in Cyclohexane', 'Picolinafen 10 microg/mL in Acetonitrile', 'NS00009710', 'Picolinafen, PESTANAL(R), analytical standard', 'J-007048', 'Q2092340', '2-Pyridinecarboxamide, N-(4-fluorophenyl)-6-[3-(trifluoromethyl)phenoxy]-', 'N-(4-Fluorophenyl)-6-[3-(trifluoromethyl)phenoxy]-pyridine-2-carboxamide', 'N-(4-fluorophenyl)-6-[3-(trifluoromethyl)phenoxy]pyridine-2-carboxamidato', "4'-fluoro-6-(alpha,alpha,alpha-trifluoro-m-tolyloxy)pyridine-2-carboxanilide"]</t>
  </si>
  <si>
    <t>Compound(3294375)</t>
  </si>
  <si>
    <t>C19H12F4N2O2</t>
  </si>
  <si>
    <t>4-amino-3,5,6-trichloropyridine-2-carboxylic acid</t>
  </si>
  <si>
    <t>['PICLORAM', '1918-02-1', '4-Amino-3,5,6-trichloropyridine-2-carboxylic acid', '4-Amino-3,5,6-trichloropicolinic acid', 'Tordon', '2-Pyridinecarboxylic acid, 4-amino-3,5,6-trichloro-', 'Borolin', 'Amdon', 'Grazon', 'Piclorame', 'K-Pin', 'Tordon 10K', 'Tordon 22K', 'Tordon 101 mixture', 'Amdon grazon', 'ATCP', '4-Aminotrichloropicolinic acid', 'Access', 'NCI-C00237', '3,5,6-Trichloro-4-aminopicolinic acid', 'Caswell No. 039', '4-Amino-3,5,6-trichloro-2-picolinic acid', 'Picolinic acid, 4-amino-3,5,6-trichloro-', 'Piclorame [ISO-French]', 'Picloram, technical grade', 'NSC 233899', '4-Amino-3,5,6-trichloro-2-pyridinecarboxylic acid', 'Picloram [ANSI:BSI:ISO]', 'CCRIS 520', 'UNII-O7437X49DW', 'CHEBI:34922', 'HSDB 1151', 'O7437X49DW', 'EINECS 217-636-1', 'MFCD00012101', '4-Amino-3,5,6-trichlorpicolinsaeure', 'EPA Pesticide Chemical Code 005101', 'BRN 0479075', 'DSSTox_CID_1160', '4-Amino-3,5,6-trichlorpicolinsaeure [German]', 'DSSTox_RID_75983', 'DSSTox_GSID_21160', '2-Pyridine carboxylic acid, 4-amino-3,5,6-trichloro-', 'CAS-1918-02-1', 'Pathway', 'picloram acid', 'Grazon PC', 'Grazon P+D', 'Tordon 2K', 'Tordon(R)', 'Grazon 10K', 'Tordon 2 K', 'Chloramp (Salt/Mix)', 'Picloram[4-amino-3,5,6-trichloropyridine-2-carboxylicacid ]', 'SCHEMBL13299', 'CHEMBL461349', 'Picolinic acid,5,6-trichloro-', 'DTXSID1021160', 'CTK0H5915', 'KS-00000CVO', '4-Amino-3,6-trichlorpicolinsaeure', 'ACT03269', 'ALBB-023448', 'HY-B2034', 'ZINC1237662', 'Tox21_200043', 'Tox21_201298', 'Tox21_301048', 'WLN: T6NJ BVQ CG DZ EG FG', '3,6-Trichloro-4-aminopicolinic acid', '4-Amino-3,6-trichloropicolinic acid', 'ANW-43709', 'LS-965', 'NSC233899', 'Picloram 100 microg/mL in Methanol', 'SBB000816', 'STK179674', 'AKOS000120784', 'KS-5272', 'MCULE-7113663407', 'NSC-233899', 'NCGC00091319-01', 'NCGC00091319-02', 'NCGC00091319-03', 'NCGC00091319-04', 'NCGC00091319-05', 'NCGC00091319-06', 'NCGC00091319-07', 'NCGC00254950-01', 'NCGC00257597-01', 'NCGC00258850-01', '2-Pyridinecarboxylic acid,5,6-trichloro-', '4-Amino-3,6-trichloro-2-picolinic acid', 'AC-19878', 'S316', 'SC-62250', 'ST060423', 'SY023140', 'DB-044774', 'CS-0014129', 'FT-0603577', 'NS00006515', 'P1864', 'Picloram, PESTANAL(R), analytical standard', 'EN300-17244', '18P021', 'C14310', 'Picloram, plant cell culture tested, BioReagent', 'Z-3392', '4-Amino-3,5,6-tri-chloropyridine-2-carboxylate', '4-Amino-3,5,6-trichloropyridine-2-carboxylicAcid', '5-22-13-00585 (Beilstein Handbook Reference)', 'A813522', 'Q424662', '3,5,6-trichloro-4-amino-2-pyridinecarboxylic acid', '4-amino-3,5,6-trichloropyridi ne-2-carboxylic acid', 'Pyridinecarboxylic acid, 4-amino-3,5,6-trichloro-', 'W-107725', '2-Pyridinecarboxylicacid, 4-amino-3,5,6-trichloro-', 'Z56899173', 'F3055-0927', '4-Amino-3,5,6-trichloro-2-pyridinecarboxylic acid (9CI)', '4-azanyl-3,5,6-tris(chloranyl)pyridine-2-carboxylic acid']</t>
  </si>
  <si>
    <t>Compound(15965)</t>
  </si>
  <si>
    <t>C6H3Cl3N2O2</t>
  </si>
  <si>
    <t>methyl (E)-3-methoxy-2-[2-[[6-(trifluoromethyl)pyridin-2-yl]oxymethyl]phenyl]prop-2-enoate</t>
  </si>
  <si>
    <t>['Picoxystrobin', '117428-22-5', 'UNII-62DH7GEL1P', '(E)-Methyl 3-methoxy-2-(2-(((6-(trifluoromethyl)pyridin-2-yl)oxy)methyl)phenyl)acrylate', '62DH7GEL1P', 'CHEBI:83197', 'C18H16F3NO4', 'Benzeneacetic acid, alpha-(methoxymethylene)-2-[[[6-(trifluoromethyl)-2-pyridinyl]oxy]methyl]-, methyl ester, (alphaE)-', 'methyl (2E)-3-methoxy-2-[2-({[6-(trifluoromethyl)pyridin-2-yl]oxy}methyl)phenyl]prop-2-enoate', 'Picoxystrobin [ISO]', 'Methyl (E)-3-methoxy-2-[2-[[6-(trifluoromethyl)pyridin-2-yl]oxymethyl]phenyl]prop-2-enoate', 'Picoxystrobine', 'DSSTox_CID_27542', 'DSSTox_RID_82407', 'DSSTox_GSID_47542', 'SCHEMBL18977', 'CHEMBL522759', 'DTXSID9047542', 'Benzeneacetic acid, ?-(methoxymethylene)-2-[[[6-(trifluoromethyl)-2-pyridinyl]oxy]methyl]-, methyl ester, (?E)-', 'EBD53390', 'Tox21_300625', '2847AA', 'ZINC34872909', 'AKOS016011129', 'NCGC00248112-01', 'NCGC00254335-01', 'AC-26782', 'AS-31050', 'AX8148007', 'CAS-117428-22-5', 'Pesticide4_Picoxystrobin_C18H16F3NO4_Acanto', '428P225', '(E)-methyl 2-[2-(6-trifluoromethylpyrid-2-yloxymethyl)phenyl]-3-methoxyacrylate', '(E)-methyl 3-methoxy-2-(2-((6-(trifluoromethyl)pyridin-2-yloxy)methyl)phenyl)acrylate', 'methyl (2E)-3-methoxy-2-{2-[6-(trifluoromethyl)-2-pyridyloxymethyl]phenyl}acrylate', 'Methyl (E)-3-methoxy-2-{2-[6-(trifluoromethyl)-2-pyridyloxymethyl]phenyl}acrylate', 'methyl (alphaE)-alpha-(methoxymethylene)-2-[[[6-(trifluoromethyl)-2-pyridinyl]oxy]methyl]benzeneacetate']</t>
  </si>
  <si>
    <t>Compound(11285653)</t>
  </si>
  <si>
    <t>C18H16F3NO4</t>
  </si>
  <si>
    <t>[8-(2,6-diethyl-4-methylphenyl)-7-oxo-1,2,4,5-tetrahydropyrazolo[1,2-d][1,4,5]oxadiazepin-9-yl] 2,2-dimethylpropanoate</t>
  </si>
  <si>
    <t>['Pinoxaden', '243973-20-8', 'UNII-U55GLF9LV9', 'U55GLF9LV9', 'CHEBI:83524', 'Pinoxaden [ISO]', '8-(2,6-diethyl-4-methylphenyl)-1,2,4,5-tetrahydro-7-oxo-7H-pyrazolo(1,2-d)(1,4,5)oxadiazepin-9-yl 2,2-dimethylpropanoate', '8-(2,6-diethyl-4-methylphenyl)-7-oxo-1,2,4,5-tetrahydro-7H-pyrazolo[1,2-d][1,4,5]oxadiazepin-9-yl 2,2-dimethylpropanoate', 'HSDB 7884', 'DSSTox_CID_14823', 'DSSTox_GSID_34823', 'SCHEMBL64416', 'BIP162', 'CHEMBL1866631', 'DTXSID8034823', 'ZX-AFC000904', 'BCP30997', 'ZINC3620800', 'ZX-AT020193', 'Tox21_304033', 'NCGC00163860-01', 'NCGC00356993-01', 'ACM243973208', 'LS-192476', 'CAS-243973-20-8', 'FT-0778659', 'NS00000321', 'Pinoxaden, PESTANAL(R), analytical standard', '33413-EP2274983A1', '33413-EP2305662A1', '33413-EP2311815A1', '33413-EP2371823A1', 'A845290', 'Q15632855', '[8-(2,6-diethyl-4-methyl-phenyl)-7-oxidanylidene-1,2,4,5-tetrahydropyrazolo[1,2-d][1,4,5]oxadiazepin-9-yl] 2,2-dimethylpropanoate', '[8-(2,6-diethyl-4-methylphenyl)-9-oxo-1,2,4,5-tetrahydropyrazolo[1,2-d][1,4,5]oxadiazepin-7-yl] 2,2-dimethylpropanoate', '2,2-dimethylpropanoic acid [8-(2,6-diethyl-4-methylphenyl)-7-oxo-1,2,4,5-tetrahydropyrazolo[1,2-d][1,4,5]oxadiazepin-9-yl] ester', 'Propanoic acid, 2,2-dimethyl-, 8-(2,6-diethyl-4-methylphenyl)-1,2,4,5-tetrahydro-7-oxo-7H-pyrazolo(1,2-d)(1,4,5)oxadiazepin-9-yl ester', 'Propanoic acid, 2,2-dimethyl-, 8-(2,6-diethyl-4-methylphenyl)-1,2,4,5-tetrahydro-7-oxo-7H-pyrazolo1,2-d1,4,5oxadiazepin-9-yl ester']</t>
  </si>
  <si>
    <t>Compound(210326)</t>
  </si>
  <si>
    <t>C23H32N2O4</t>
  </si>
  <si>
    <t>1-(1H-indol-4-yloxy)-3-(propan-2-ylamino)propan-2-ol</t>
  </si>
  <si>
    <t>['pindolol', '13523-86-9', 'Visken', 'Prinodolol', 'Betapindol', 'Carvisken', 'Durapindol', 'Pinbetol', 'Calvisken', 'Decreten', 'Pectobloc', 'Pynastin', 'Blocklin L', 'Pindololum', 'LB-46', 'Glauco-visken', 'Glauco-Viskin', 'Blockin L', 'LB 46', '(+-)-Pindolol', 'Blocklin-L', 'Pindololum [INN-Latin]', '4-(2-Hydroxy-3-isopropylaminopropoxy)-indole', '1-(1H-Indol-4-yloxy)-3-[(1-methylethyl)amino]-2-propanol', '1-(Indol-4-yloxy)-3-(isopropylamino)-2-propanol', '1-(1H-indol-4-yloxy)-3-(isopropylamino)propan-2-ol', '1-(1H-indol-4-yloxy)-3-(propan-2-ylamino)propan-2-ol', '4-(3-(Isopropylamino)-2-hydroxypropoxy)indole', 'CCRIS 9215', 'HSDB 6539', '1-((1-Methylethyl)amino)-3-(4-indolyloxy)-2-propanol', 'EINECS 236-867-9', 'EINECS 244-623-8', '1-(1H-Indol-4-yloxy)-3-((1-methylethyl)amino)-2-propanol', '2-Propanol, 1-(1H-indol-4-yloxy)-3-[(1-methylethyl)amino]-', '2-Propanol, 1-(4-indolyloxy)-3-(isopropylamino)-', 'BRN 1536506', '1-(1H-Indol-4-yloxy)-3-(isopropylamino)-2-propanol', 'CHEBI:8214', '1-(1H-indol-4-yloxy)-3-[(1-methylethyl)amino]propan-2-ol', '2-Propanol, 1-(1H-indol-4-yloxy)-3-((1-methylethyl)amino)-', '1-(1H-indol-4-yloxy)-3-(propan-2-ylamino)-propan-2-ol', 'NCGC00015786-11', '(1)-1-(1H-Indol-4-yloxy)-3-(isopropylamino)propan-2-ol', 'Prindolol', 'DSSTox_CID_3476', 'DL-Pindolol', 'DSSTox_RID_77043', 'DSSTox_GSID_23476', '1-[1H-INDOL-4-YLOXY]-3-[ISOPROPYLAMINO]-2-PROPANOL', '2-Propanol, 1-(1H-indol-4-yloxy)-3-(1-methylethyl)amino-', '2-Propanol, 1-(indol-4-yloxy)-3-(isopropylamino)-, (+-)-', 'Blocklin', 'Carvisken (TN)', 'SMR000059120', 'Blocklin-L (TN)', 'Visken (TN)', 'Pindolol [USAN:INN:BAN:JAN]', 'SR-01000000027', 'DL-LB 46', 'l-Pindolol', 'Prestwick_397', 'CAS-13523-86-9', 'Pindolol [USAN:USP:INN:BAN:JAN]', 'Spectrum_001109', '(.+/-.)-Pindolol', 'Prestwick0_000090', 'Prestwick1_000090', 'Prestwick2_000090', 'Prestwick3_000090', 'Spectrum2_001285', 'Spectrum3_000547', 'Spectrum4_000479', 'Spectrum5_001266', '(R,S)-PINDOLOL', 'CHEMBL500', 'GTPL91', 'PINDOLOL,(-)', 'P 0778', 'P-6820', 'SCHEMBL5219', 'Lopac0_000955', 'Oprea1_770884', 'BSPBio_000020', 'BSPBio_002193', 'KBioGR_000958', 'KBioSS_001589', '5-21-03-00017 (Beilstein Handbook Reference)', 'DL-4-[2-Hydroxy-3-(isopropylamino)propoxy]indole', 'MLS000069496', 'MLS002548891', 'DivK1c_000837', 'SPECTRUM1500488', 'Pindolol (JP17/USP/INN)', 'SPBio_001289', 'SPBio_001959', 'BPBio1_000022', '1-((1H-indol-4-yl)oxy)-3-(isopropylamino)propan-2-ol', 'DTXSID8023476', 'CTK8G2432', 'HMS502J19', 'KBio1_000837', 'KBio2_001589', 'KBio2_004157', 'KBio2_006725', 'KBio3_001693', 'NINDS_000837', '1-(1H-indol-4-yloxy)-3-[(propan-2-yl)amino]propan-2-ol', 'HMS1568A22', 'HMS1920H16', 'HMS2089I21', 'HMS2091P20', 'HMS2095A22', 'HMS3259I07', 'HMS3262P12', 'HMS3267K17', 'HMS3369E14', 'HMS3414J03', 'HMS3678H21', 'HMS3712A22', 'HMS3742C07', 'Pharmakon1600-01500488', 'HY-B0982', 'Pindolol, &gt;=98% (TLC), powder', 'Tox21_110221', 'Tox21_500955', 'BDBM50019443', 'CCG-39223', 'MFCD00010530', 'NSC757276', 'PDSP1_000771', 'PDSP1_000772', 'PDSP2_000759', 'PDSP2_000760', '(+/-)-Pindolol-d7(iso-propyl-d7)', 'AKOS015969756', 'Tox21_110221_1', 'CS-4473', 'DB00960', 'LP00955', 'MCULE-7764948919', 'NC00467', 'NSC-757276', 'SDCCGSBI-0050929.P005', 'IDI1_000837', 'NCGC00015786-06', 'NCGC00015786-07', 'NCGC00015786-08', 'NCGC00015786-09', 'NCGC00015786-10', 'NCGC00015786-13', 'NCGC00015786-14', 'NCGC00015786-16', 'NCGC00015786-20', 'NCGC00024925-03', 'NCGC00024925-04', 'NCGC00024925-05', 'NCGC00024925-06', 'NCGC00024925-07', 'NCGC00261640-01', 'SC-25688', 'SBI-0050929.P004', 'LS-122385', 'AB00052072', 'EU-0100955', 'FT-0673907', 'NS00007947', 'NS00099104', 'ST50319990', 'SW196641-3', 'Z3376', 'C07445', 'D00513', '(-)-Pindolol; (S)-(-)-Pindolol; S-Pindolol', 'AB00052072-11', 'AB00052072_12', 'AB00052072_13', '1-(4-Indolyloxy)-3-(isopropylamino)-2-propanol', '523P869', 'L000006', 'Q418101', '3-indol-4-yloxy-1-[(methylethyl)amino]propan-2-ol', 'SR-01000000027-2', 'SR-01000000027-4', 'SR-01000000027-5', 'SR-01000000027-7', '1-(1H-Indol-4-yloxy)-3-isopropylamino-propan-2-ol', 'BRD-A97701745-001-05-3', 'BRD-A97701745-001-09-5', '1-(1H-Indol-4-yloxy)-3-(isopropylamino)-2-propanol #', 'Pindolol, European Pharmacopoeia (EP) Reference Standard', '(+/-)-1-(1H-indol-4-yloxy)-3-(isopropylamino)propan-2-ol', '1-(1H-Indol-4-yloxy)-3-isopropylamino-propan-2-ol(pindolol)', '1-[(1H-Indol-4-yl)oxy]-3-[(propan-2-yl)amino]propan-2-ol', 'Pindolol, United States Pharmacopeia (USP) Reference Standard', '1-(1H-Indol-4-yloxy)-3-isopropylamino-propan-2-ol((-)-Pindolol)', '21870-06-4']</t>
  </si>
  <si>
    <t>Compound(4828)</t>
  </si>
  <si>
    <t>C14H20N2O2</t>
  </si>
  <si>
    <t>1-[4-(4-fluorophenyl)-4-oxobutyl]-4-piperidin-1-ylpiperidine-4-carboxamide</t>
  </si>
  <si>
    <t>['Pipamperone', 'Floropipamide', '1893-33-0', 'Dipiperon', 'Dipiperone', 'Dipiperal', 'Piperonyl', 'Piperonil', 'Pipamperona', 'Pipamperonum', 'Pipamperone HCl', 'McN-JR-3345', 'Pipamperon', 'Pipaneperone', 'R 3345', 'Pipamperonum [INN-Latin]', 'Pipamperona [INN-Spanish]', 'Pipamperone [USAN:INN:BAN]', 'CCRIS 9071', 'UNII-5402501F0W', 'BRN 0496532', "(1,4'-BIPIPERIDINE)-4'-CARBOXAMIDE, 1'-(3-(p-FLUOROBENZOYL)PROPYL)-", 'CHEBI:78549', "4'-Fluoro-4-(4-N-piperidino-4-carbamidopiperidino)butyrophenone", 'p-Fluoro-gamma-(4-piperidino-4-carbamoylpiperidino)butyrophenone', "1'-(3-(p-Fluorobenzoyl)propyl)-(1,4'-bipiperidine)-4'-carboxamide", "[1,4'-Bipiperidine]-4'-carboxamide, 1'-[4-(4-fluorophenyl)-4-oxobutyl]-", 'Isonipacotamide, 1-(3-(p-fluorobenzoyl)propyl)-4-piperidino-', '5402501F0W', "1'-[4-(4-fluorophenyl)-4-oxobutyl]-1,4'-bipiperidine-4'-carboxamide", '1-[4-(4-fluorophenyl)-4-oxobutyl]-4-piperidin-1-ylpiperidine-4-carboxamide', 'R-3345', "(1,4'-Bipiperidine)-4'-carboxamide, 1'-(4-(4-fluorophenyl)-4-oxobutyl)-", "1,4'-Bipiperidine]-4'-carboxamide, 1'-[4-(4-fluorophenyl)-4-oxobutyl]-", 'NCGC00165864-02', 'Carpiperone', 'Fluoropipamide', "1'-(4-(4-fluorophenyl)-4-oxobutyl)-1,4'-bipiperidine-4'-carboxamide", "1,4'-Bipiperidine)-4'-carboxamide, 1'-(4-(4-fluorophenyl)-4-oxobutyl)-", 'C21H30FN3O2', 'Propitan (Salt/Mix)', 'Pipamperone (USAN/INN)', 'GTPL92', 'SCHEMBL2412', '5-22-13-00536 (Beilstein Handbook Reference)', 'CHEMBL440294', 'DTXSID8048369', 'BDBM81483', 'CTK7F7159', 'HMS3264G14', 'Pharmakon1600-01505690', 'NSC_4830', "1'-(3-(4-fluorobenzoyl)propyl)-(1,4'-bipiperidine) -4'-carboxamide", "1'-(3-(p-Fluorobenzoyl)propyl)(1,4'-bipiperidine)-4'-carboxamide", 'NSC759178', 'PDSP1_001560', 'PDSP2_001544', 'ZINC21297287', 'CCG-213514', 'DB09286', 'NSC-759178', 'NCGC00165864-01', 'LS-44586', 'CAS_1893-33-0', 'Floropipamide; McN-JR 3345; R 3345', 'SBI-0206899.P001', 'HY-100703', 'CS-0020023', 'NS00010433', 'P2315', 'D02622', 'AB01563106_01', '150093-EP2280012A2', '150093-EP2289894A2', 'L000727', 'Q415118', 'SR-05000001930', 'SR-05000001930-1', 'BRD-K26801045-001-01-1', 'Isonipecotamide, 1-(3-(p-fluorobenzoyl)propyl)-4-piperidino-', 'p-Fluoro-.gamma.-(4-piperidino-4-carbamoylpiperidino)butyrophenone', "1'-[4-(4-Fluorophenyl)-4-oxobutyl]-[1,4'-bipiperidine]-4'-carboxamide", "1'-[4-(4-Fluorophenyl)-4-oxobutyl][1,4'-bipiperidine]-4'-carboxamide", '1-(4-fluorophenyl)-4-(4-piperidino-4-carbamoylpiperidino)-1-butanone', "pipamperone;Pipamperone;1'-[4-(4-fluorophenyl)-4-oxobutyl][1,4'-bipiperidine]-4'-carboxamide dihydrochloride;Pipamperone dihydrochloride"]</t>
  </si>
  <si>
    <t>Compound(4830)</t>
  </si>
  <si>
    <t>C21H30FN3O2</t>
  </si>
  <si>
    <t>piperonyl butoxide</t>
  </si>
  <si>
    <t>5-[2-(2-butoxyethoxy)ethoxymethyl]-6-propyl-1,3-benzodioxole</t>
  </si>
  <si>
    <t>['PIPERONYL BUTOXIDE', '51-03-6', 'Butacide', 'Butocide', 'Ethanol butoxide', 'Pyrenone 606', '5-((2-(2-Butoxyethoxy)ethoxy)methyl)-6-propylbenzo[d][1,3]dioxole', 'Piperonylbutoxide', '6-Propylpiperonyl butyl diethylene glycol ether', 'Butyl carbitol 6-propylpiperonyl ether', 'Butoxide (synergist)', '2-(2-Butoxyethoxy)ethyl 6-propylpiperonyl ether', 'Piperonyl butoxyde', 'NCI-C02813', 'FMC 5273', 'NIA 5273', 'Caswell No. 670', '6-(Propylpiperonyl)butylcarbityl ether', 'Alleviate', 'ENT 14,250', '1,3-Benzodioxole, 5-[[2-(2-butoxyethoxy)ethoxy]methyl]-6-propyl-', 'UNII-LWK91TU9AH', 'Piperonyl butoxide [BAN]', 'NSC 8401', 'Piperonyl butoxide, technical', 'CCRIS 522', '(Butylcarbityl)(6-propylpiperonyl)ether', 'HSDB 1755', 'Piperonyl butoxyde [ISO-French]', 'EINECS 200-076-7', 'LWK91TU9AH', '3,4-Methylenedioxy-6-propylbenzyl n-butyl diethyleneglycol ether', '5-[2-(2-Butoxyethoxy)ethoxymethyl]-6-propyl-1,3-benzodioxole', 'EPA Pesticide Chemical Code 067501', 'BRN 0288063', 'Piperonyl butoxide in solvent', '6-(Propylpiperonyl)-butyl carbityl ether', 'alpha-(2-(2-n-Butoxyethoxy)-ethoxy)-4,5-methylenedioxy-2-propyltoluene', 'Butyl-carbityl (6-propylpiperonyl) ether', 'AI3-14250', 'Piperonyl butoxide [BSI:ISO]', 'DTXSID1021166', '3,4-Methylendioxy-6-propylbenzyl-n-butyl-diaethylenglykolaether', 'CHEBI:32687', '1,3-Benzodioxole, 5-((2-(2-butoxyethoxy)ethoxy)methyl)-6-propyl-', '5-Propyl-4-(2,5,8-trioxa-dodecyl)-1,3-benzodioxole', 'Butylcarbityl (6-propylpiperonyl) ether', 'NCGC00090874-02', 'NCGC00090874-04', 'AK114177', '3,4-Methylenedioxy-6-propylbenzyl n-butyldiethyleneglycol ether', '5-Propyl-4-(2,5,8-trioxa-dodecyl)-1,3-benzodioxol [German]', '5-((2-(2-Butoxyethoxy)ethoxy)methyl)-6-propyl-1,3-benzodioxole', '5-{[2-(2-butoxyethoxy)ethoxy]methyl}-6-propyl-1,3-benzodioxole', '(3,4-Methylenedioxy-6-propylbenzyl) (butyl) diethylene glycol ether', '3,4-Methylendioxy-6-propylbenzyl-n-butyl-diaethylenglykolaether [German]', 'alpha-(2-(2-Butoxyethoxy)ethoxy)-4,5-methylenedioxy-2-propyltoluene', 'DSSTox_CID_1166', 'Piperonyl butoxide (BAN)', '3,4-Methylenedioxy-6-propylbenzyl-n-butyl-diaethylenglykolaether [German]', 'Toluene, alpha-(2-(2-butoxyethoxy)ethoxy)-4,5-(methylenedioxy)-2-propyl-', 'DSSTox_RID_75988', 'DSSTox_GSID_21166', 'Butoxide, Piperonyl', 'Q-201588', 'Piperonyl butoxide, 90%, tech.', '5-(2-(2-Butoxyethoxy)ethoxymethyl)-6-propyl-1,3-benzodioxole', '5-[[2-(2-Butoxyethoxy)ethoxy]methyl]-6-propyl-1,3-benzodioxole', 'Raid', '5-{[(2-{[2-(butyloxy)ethyl]oxy}ethyl)oxy]methyl}-6-propyl-1,3-benzodioxole', 'alpha-[2-(2-butoxyethoxy)ethoxy]-4,5-(methylenedioxy)-2-propyltoluene', '2-(2-butoxyethoxy)-1-[(6-propyl(2H-benzo[d]1,3-dioxolen-5-yl))methoxy]ethane', 'CAS-51-03-6', 'Obilique', 'Pybuthrin', 'Pyrenon', 'Synpren-fish', '.alpha.(2-(2-Butoxyethoxy)ethoxy)-4,5-methylenedioxy-2-propyltoluene', '.alpha.-(2-(2-n-Butoxyethoxy)-ethoxy)-4,5-methylenedioxy-2-propyltoluene', '.alpha.-[2-(2-N-Butoxyethoxy)-ethoxy]-4,5-methylenedioxy-2-propyltoluene', '.alpha.[2-(2-Butoxyethoxy)ethoxy]-4,5-methylenedioxy-2-propyltoluene', 'Diperonyl butoxide', 'Rid Mousse (TN)', 'Scourge (Salt/Mix)', 'Para Pio (TN)', 'PubChem15364', 'Piperonyl Butoxide (Pbo)', 'EC 200-076-7', 'SCHEMBL5490', '4-19-00-00779 (Beilstein Handbook Reference)', 'nia  5273', '5-Propyl-4-(2,5,8-trioxa-dodecyl)-1,3-benzodioxol', 'Anvil 2+2 ULV (Salt/Mix)', 'CHEMBL1201131', 'KS-00000MEB', 'NSC8401', 'BDBM181115', 'HMS3264A07', 'US9138393, Piperonyl butoxide', 'US9144538, Piperonyl butoxide', 'Anvil 10+10 ULV (Salt/Mix)', '3,4-Methylenedioxy-6-propylbenzyl-n-butyl-diaethylenglykolaether', 'ACM51036', 'BCP19227', 'FAC 5273', 'HY-B1198', 'NSC-8401', 'ZINC3875342', 'Tox21_111034', 'Tox21_400086', '7068AB', 'ENT-14250', 'LS-150', 'MFCD00005842', 's4831', 'AKOS015951348', 'Toluene,5-(methylenedioxy)-2-propyl-', 'Tox21_111034_1', 'CCG-213921', 'CS-4826', 'DB09350', 'MCULE-7766634514', 'NCGC00090874-01', 'NCGC00090874-03', 'NCGC00090874-05', 'NCGC00090874-06', 'Piperonylbutoxide, technical grade, 90%', '1,3-Benzodioxole, 5-((2-(2-butoxyethoxy)ethoxy)methyl)-6-propyl-, mixt. with petroleum distillates and pyrethrins', '63993-73-7', 'AC-11663', 'AS-10480', 'SC-18558', 'ST075004', 'AX8061167', 'DB-051886', 'Piperonylbutoxide, technical, &gt;=90% (GC)', 'Propylpiperonyl butyl diethyleneglycol ether', 'FT-0631218', 'NS00011484', 'P0458', 'WLN: T56 BO DO CHJ G3 H1O2O2O4', 'C18880', 'D08383', 'Piperonyl butoxide 10 microg/mL in Cyclohexane', 'AB01563216_01', 'Piperonyl butoxide 10 microg/mL in Acetonitrile', 'C-36469', 'Pesticide4_Piperonyl butoxide_C19H30O5_Butacide', 'Piperonyl butoxide 100 microg/mL in Acetonitrile', 'Q420891', 'SR-01000944266', '5-Propyl-4-(2,8-trioxa-dodecyl)-1,3-benzodioxol', 'Piperonylbutoxide, PESTANAL(R), analytical standard', 'SR-01000944266-1', '1, 5-[[2-(2-butoxyethoxy)ethoxy]methyl]-6-propyl-', '4,5-Methylenedioxy-2-propylbenzyldiethylene glycol butyl ether', '4,5-Methylenedioxy-2-propylbenzyldiethyleneglycol butyl ether', 'Benzodioxole, 5-((2-(2-butoxyethoxy)ethoxy)methyl)-6-propyl-', 'NSC 8401; NSC-8401; NSC8401; ENT-14250', 'Piperonylbutoxide, certified reference material, TraceCERT(R)', '(3,4-Methylenedioxy-6-propylbenzyl) (butyl) diethylene glicol ether', '(3,4-methylenedioxy-6-propylbenzyl)(butyl) diethylene glycol ether', '3,4-Methylenedioxy-6-propylbenzyl n-butyl diethylene glycol ether', '5- ((2-(2-butoxyethoxy)ethoxy)methyl)-6-propyl-1,3-benzodioxole', '5-([2-(2-Butoxyethoxy)ethoxy]methyl)-6-propyl-1,3-benzodioxole #', '5-{[2-(2-butoxyethoxy)ethoxy]methyl}-6-propyl-2H-1,3-benzodioxole', 'Piperonylbutoxide, British Pharmacopoeia (BP) Reference Standard', '(Butylcarbityl)(6-propylpiperonyl) ether 80% and related compounds 20%', 'alpha-(2-(2-butoxyethoxy)ethoxy)-4,5-methylened ioxy-2-propyltoluene', 'Piperonyl butoxide / 2-(2-butoxyethoxy)ethyl 6-propylpiperonyl ether', 'Toluene, .alpha.-[2-(2-butoxyethoxy)ethoxy]-4,5-(methylenedioxy)-2-propyl-', '2-(2-Butoxyethoxy)ethyl (6-propylpiperonyl) ether, 4,5-Methylenedioxy-2-propylbenzyldiethyleneglycol butyl ether', 'Vex']</t>
  </si>
  <si>
    <t>Compound(5794)</t>
  </si>
  <si>
    <t>C19H30O5</t>
  </si>
  <si>
    <t>1,3-benzodioxole-5-carbaldehyde</t>
  </si>
  <si>
    <t>['PIPERONAL', '120-57-0', 'Piperonyl aldehyde', 'Heliotropine', 'Heliotropin', 'Piperonaldehyde', '1,3-Benzodioxole-5-carbaldehyde', 'Piperonylaldehyde', '3,4-Methylenedioxybenzaldehyde', '1,3-Benzodioxole-5-carboxaldehyde', 'Geliotropin', '3,4-(Methylenedioxy)benzaldehyde', '5-Formyl-1,3-benzodioxole', 'Protocatechuic aldehyde methylene ether', '3,4-Dihydroxybenzaldehyde methylene ketal', '3,4-Bis(methylenedioxy)benzaldehyde', 'Dioxymethylene-protocatechuic aldehyde', '3,4-Dimethylenedioxybenzaldehyde', '3,4-Methylene-dihydroxybenzaldehyde', 'Heliotropin (natural)', '2H-1,3-Benzodioxole-5-Carbaldehyde', 'Benzo[D][1,3]Dioxole-5-Carbaldehyde', 'benzo[1,3]dioxole-5-carbaldehyde', 'Dioxymethylene protocatechuic aldehyde', 'UNII-KE109YAK00', 'NSC 26826', 'Benzaldehyde, 3,4-(methylenedioxy)-', 'FEMA No. 2911', 'CCRIS 5928', 'HSDB 581', 'EINECS 204-409-7', 'AI3-01198', 'CHEBI:8240', 'KE109YAK00', '3,4-methylenedioxy-benzaldehyde', 'MFCD00005828', '3,4-METHYLEN-DIOXY-BENZALDEHYDE', '2H-benzo[d]1,3-dioxolane-5-carbaldehyde', 'Piperanal', 'Pperonyl aldehyde', 'Blue P', 'Piperonal, 8CI', 'Piperonal, 99%', 'PubChem15357', 'Heliotropine (piperonal)', 'piperonal;HELIOTROPINE', 'DSSTox_CID_5924', '4-methylenedioxybenzaldehyde', 'EC 204-409-7', 'DSSTox_RID_77967', 'DSSTox_GSID_25924', 'SCHEMBL29318', 'Piperonal, analytical standard', '3,4-Methylendioxy-benzaldehyde', 'CHEMBL271663', 'ZINC1953', '3,4 -methylenedioxybenzaldehyde', '3,4-methylene-dioxybenzaldehyde', '3,4-methylenedioxy benzaldehyde', '1,3-benzodioxol-5-carbaldehyde', 'DTXSID7025924', 'Piperonal, natural, 98%, FG', 'CTK3J2979', 'FEMA 2911', 'Benzaldehyde,4-(methylenedioxy)-', 'benzo[1,3]dioxol-5-carbaldehyde', '3,4-(methylenedioxy)-benzaldehyde', 'BDBM153298', 'benzo-1,3-dioxole-5-carbaldehyde', 'Piperonal, &gt;=99%, FCC, FG', 'WLN: T56 BO DO CHJ GVH', '3, 4-(Methylenedioxy)benzaldehyde', 'ACT05572', 'NSC26826', '1,3-Benzodioxole-5-carbaldehyde #', '1,3-Benzodioxole-5-carboxaldehyde;', 'benzo[1,3]dioxole-5-carboxaldehyde', 'Tox21_200120', 'BBL007668', 'LS-631', 'NSC-26826', 'SBB007752', 'STK188426', '3, 4-Bis(methylenedioxy)benzaldehyde', 'AKOS002662846', 'MCULE-9583803941', 'NCGC00091137-01', 'NCGC00091137-02', 'NCGC00257674-01', '1,3-Benzodioxole-5-carboxaldehyde, 9CI', 'AC-11587', 'benzo[d]-1,3-dioxolane-5-carboxaldehyde', 'CAS-120-57-0', 'DB-021956', 'NS00001813', 'P0456', 'ST45167855', 'T7342', 'C10812', '82935-EP2298758A1', '82935-EP2298759A1', '82935-EP2305664A1', '132266-EP2277848A1', '132266-EP2295418A1', '132266-EP2374783A1', '132266-EP2377841A1', 'Q418985', 'J-523977', 'F0000-0009', '5XC']</t>
  </si>
  <si>
    <t>Compound(8438)</t>
  </si>
  <si>
    <t>C8H6O3</t>
  </si>
  <si>
    <t>1-(3,7-dimethyloctyl)-1-prop-2-enylpiperidin-1-ium</t>
  </si>
  <si>
    <t>['Piproctanyl', '69309-47-3', 'Piproctanyl [ISO]', 'SCHEMBL121249', 'CHEBI:82253', 'DTXSID60860703', 'C19133', 'Piperidinium, 1-allyl-1-(3,7-dimethyloctyl)-, br', 'Q27155841', '1-(3,7-Dimethyloctyl)-1-(prop-2-en-1-yl)piperidin-1-ium']</t>
  </si>
  <si>
    <t>Compound(92514)</t>
  </si>
  <si>
    <t>C18H36N+</t>
  </si>
  <si>
    <t>[2-(dimethylamino)-5,6-dimethylpyrimidin-4-yl] N,N-dimethylcarbamate</t>
  </si>
  <si>
    <t>['PIRIMICARB', '23103-98-2', 'Pirimor', 'Pyrimor', 'Pirimicarbe', 'Primicarbe', 'Aficida', 'Fernos', 'Aphox', 'Rapid', 'Pirimor G', 'Pirimor granulate', 'ABOL', 'Pirimicarb solution', 'Pirimor 50 DP', '2-(dimethylamino)-5,6-dimethylpyrimidin-4-yl dimethylcarbamate', 'Caswell No. 359C', 'Pirimicarbe [ISO-French]', 'ENT-27766', 'PP 062', 'Pirimicarb [ANSI:BSI:ISO]', 'UNII-1I93PS935T', 'HSDB 7005', 'Carbamic acid, dimethyl-, 2-(dimethylamino)-5,6-dimethyl-4-pyrimidinyl ester', 'Dimethylcarbamic acid 2-(dimethylamino)-5,6-dimethyl-4-pyrimidinyl ester', 'EINECS 245-430-1', '2-Dimethylamino-5,6-dimethyl-4-pyrimidinyl dimethylcarbamate', 'EPA Pesticide Chemical Code 106101', 'BRN 0663442', 'AI3-27766', 'CHEBI:8248', '5,6-Dimethyl-2-dimethylamino-4-pyrimidinyldimethylcarbamate', '2-(Dimethylamino)-5,6-dimethyl-4-pyrimidinyldimethylcarbamate', '1I93PS935T', '[2-(dimethylamino)-5,6-dimethylpyrimidin-4-yl] N,N-dimethylcarbamate', '5,6-Dwumetylo-2-dwumetyloamino-4-pirimidynylodwukarbaminian [Polish]', 'Pyrimicarbe', 'Pirimicarb Technical', 'DSSTox_CID_12569', 'DSSTox_RID_78989', 'DSSTox_GSID_32569', 'SCHEMBL26523', '5-25-13-00063 (Beilstein Handbook Reference)', 'CHEMBL1870931', 'DTXSID1032569', 'CTK8E4013', 'YFGYUFNIOHWBOB-UHFFFAOYSA-', '5,6-Dwumetylo-2-dwumetyloamino-4-pirimidynylodwukarbaminian', '5,6-Dimethyl-2-dimethylamino-4-dimethylcarbamoyloxypyrimidine', 'ZINC900772', 'KS-000025WZ', 'OMS 1330', 'Tox21_301003', '2-(Dimethylamino)-5,6-dimethyl-4-pyrimidinyl dimethylcarbamate (8CI)(9CI)', 'AKOS015892522', 'GS-3028', 'Pirimicarb 1000 microg/mL in Acetone', 'ACM23103982', 'NCGC00163704-01', 'NCGC00163704-02', 'NCGC00163704-03', 'NCGC00254905-01', 'Pirimicarb 10 microg/mL in Acetonitrile', 'Pirimicarb 100 microg/mL in Cyclohexane', 'LS-49477', 'Pirimicarb 100 microg/mL in Acetonitrile', 'SC-15205', 'AX8019532', 'CAS-23103-98-2', 'DB-103794', 'HY-119419', 'CS-0068146', 'FT-0655935', 'NS00000362', 'Pirimicarb, PESTANAL(R), analytical standard', 'C11079', '103P982', 'A816567', 'Q419705', 'J-014990', '2-Dimethylamino-5,6-dimethylpyrimidin-4-yl dimethylcarbamate', '(2-dimethylamino-5,6-dimethylpyrimidin-4-yl) N,N-dimethylcarbamate', '2-(dimethylamino)-5,6-dimethylpyrimidin-4-yl N,N-dimethylcarbamate', '2-dimethylamino-5,6-dimethylpyrimidin-4-yl n,n-dimethylcarbamate', '[2-(dimethylamino)-5,6-dimethyl-pyrimidin-4-yl] N,N-dimethylcarbamate', '2-(Dimethylamino)-5,6-dimethyl-4-pyrimidinyl dimethylcarbamate (8CI)', 'Carbamic acid, dimethyl-, 2-(dimethylamino)-5,6-dimethyl-4-pyrimidyl ester', 'N,N-dimethylcarbamic acid [2-(dimethylamino)-5,6-dimethyl-4-pyrimidinyl] ester']</t>
  </si>
  <si>
    <t>Compound(31645)</t>
  </si>
  <si>
    <t>C11H18N4O2</t>
  </si>
  <si>
    <t>[5,6-dimethyl-2-(methylamino)pyrimidin-4-yl] N,N-dimethylcarbamate</t>
  </si>
  <si>
    <t>['Desmethyl-pirimicarb', 'PIRIMICARB-DESMETHYL', 'Pirimicarb III', '30614-22-3', '5,6-Dimethyl-2-(methylamino)-4-pyrimidinyl dimethylcarbamate', '[5,6-dimethyl-2-(methylamino)pyrimidin-4-yl] N,N-dimethylcarbamate', 'Carbamic acid, dimethyl-, 5,6-dimethyl-2-(methylamino)-4-pyrimidinyl ester', 'Desmethylpirimicarb', 'Desmethyl pirimicarb', 'SCHEMBL17602853', 'Desmethyl-Pirimicarb, RO34836', 'ZINC6069079', 'ACM30614223', 'NS00004616', 'Pirimicarb-desmethyl 10 microg/mL in Acetonitrile', 'Desmethyl-pirimicarb, PESTANAL(R), analytical standard', '5,6-methyl-2-(methylamino)-4-pyrimidinyl dimethylcarbamate', '5,6-dimethyl-2-(methylamino)pyrimidin-4-yl dimethylcarbamate', 'Pyrimidin-4-ol, 2-methylamino, 5,6-dimethyl, N,N-dimethylcarbamate']</t>
  </si>
  <si>
    <t>Compound(93139)</t>
  </si>
  <si>
    <t>C10H16N4O2</t>
  </si>
  <si>
    <t>[2-[formyl(methyl)amino]-5,6-dimethylpyrimidin-4-yl] N,N-dimethylcarbamate</t>
  </si>
  <si>
    <t>['Desmethyl-formamido-pirimicarb', 'Pirimicarb II', '27218-04-8', 'Desmethyl formamido piricarb', 'Pirimicarb-desmethyl-formamido', 'UNII-12A0I942DN', '12A0I942DN', 'Carbamic acid, dimethyl-, 2-(formylmethylamino)-5,6-dimethyl-4-pyrimidinyl ester', '[2-[formyl(methyl)amino]-5,6-dimethylpyrimidin-4-yl] N,N-dimethylcarbamate', 'Carbamic acid, dimethyl-, ester with N-(4-hydroxy-5,6-dimethyl-2-pyrimidinyl)-N-methylformamide', 'Desmethyl formamido pirimicarb', 'pirimicarb-desmethyl formamido', 'SCHEMBL17602856', 'DTXSID40949944', 'ZINC6069077', 'NS00008554', 'R034885', 'J-016698', 'Q27251398', 'Desmethyl-formamido-pirimicarb, PESTANAL(R), analytical standard', '2-[Formyl(methyl)amino]-5,6-dimethyl-4-pyrimidinyl dimethylcarbamate', '2-[Formyl(methyl)amino]-5,6-dimethylpyrimidin-4-yl dimethylcarbamate', 'Pyrimidin-4-ol, 2-formylmethylamino, 5,6-dimethyl, N,N-dimethylcarbamate']</t>
  </si>
  <si>
    <t>Compound(185602)</t>
  </si>
  <si>
    <t>C11H16N4O3</t>
  </si>
  <si>
    <t>methyl 2-[[4,6-bis(difluoromethoxy)pyrimidin-2-yl]carbamoylsulfamoyl]benzoate</t>
  </si>
  <si>
    <t>['Primisulfuron-methyl', '86209-51-0', 'Beacon', 'Rifle', 'Tell', 'UNII-3TN6B6S8JP', 'Primisulfuron methyl', 'HSDB 7062', 'CGA 136872', '3TN6B6S8JP', 'methyl 2-[[4,6-bis(difluoromethoxy)pyrimidin-2-yl]carbamoylsulfamoyl]benzoate', 'Benzoic acid, 2-[[[[[4,6-bis(difluoromethoxy)-2-pyrimidinyl]amino]carbonyl]amino]sulfonyl]-, methyl ester', 'Benzoic acid, 2-(((((4,6-bis(difluoromethoxy)-2-pyrimidinyl)amino)carbonyl)amino)sulfonyl)-, methyl ester', 'Primisulfuron-methyl [ISO]', 'C15H12F4N4O7S', 'SCHEMBL118690', 'CHEMBL1875740', 'DTXSID8032463', 'ZINC2565248', 'AKOS015963961', 'AC-6207', 'MCULE-1347780580', 'NCGC00163861-01', 'NCGC00163861-02', 'LS-36178', 'O801', 'DB-056918', 'FT-0642035', 'NS00009471', '209P510', 'C-36484', 'Q22808725', 'Primisulfuron-methyl, PESTANAL(R), analytical standard', 'Methyl 2-({[4,6-bis(difluoromethoxy)pyrimidin-2-yl]carbamoyl}sulfamoyl)benzoate', 'methyl 2-(N-(4,6-bis(difluoromethoxy)pyrimidin-2-ylcarbamoyl)sulfamoyl)benzoate', 'methyl 2-[({[4,6-bis(difluoromethoxy)pyrimidin-2-yl]carbamoyl}amino)sulfonyl]benzoate', "N-(2-Methoxycarbonylphenylsulfonyl)-N'-[4,6-bis-(difluoromethoxy)-pyrimidin-2-yl]urea", "N-(2-Methoxycarbonylphenylsulfonyl)-N'-[4,6-bis-(difluoromethoxy)pyrimidin-2-yl]urea", 'primisulfuron;2-{3-[4,6-bis(difluoromethoxy)-pyrimidin-2-yl]-ureidosulfonyl}-benzoic acid methylester']</t>
  </si>
  <si>
    <t>Compound(101525)</t>
  </si>
  <si>
    <t>C15H12F4N4O7S</t>
  </si>
  <si>
    <t>1-methyl-4-(6-thiatricyclo[8.4.0.03,7]tetradeca-1(14),3(7),4,10,12-pentaen-2-ylidene)piperidine</t>
  </si>
  <si>
    <t>['Pizotifen', 'PIZOTYLINE', '15574-96-6', 'Sandomigran', 'Litec', 'Sandomygran', 'Pizotifenum', 'Pizotifene', 'Pizotifeno', 'BC 105', 'BC-105', 'Pizotyline [USAN]', 'Pizotifan', 'Pizotifene [INN-French]', 'Pizotifenum [INN-Latin]', 'Pizotifeno [INN-Spanish]', 'UNII-0BY8440V3N', 'EINECS 239-632-9', 'BRN 0753534', '4-(9,10-dihydro-4H-benzo[4,5]cyclohepta[1,2-b]thiophen-4-ylidene)-1-methylpiperidine', 'Piperidine, 4-(9,10-dihydro-4H-benzo[4,5]cyclohepta[1,2-b]thien-4-ylidene)-1-methyl-', 'C19H21NS', 'CHEBI:50212', '0BY8440V3N', 'Pizotifen (INN)', 'Pizotifen [INN]', 'Pizotyline (USAN)', '4-(9,10-Dihydro-4H-benzo[4,5]cyclohepta[1,2-b]thien-4-ylidene)-1-methylpiperidine', 'Piperidine, 4-(9,10-dihydro-4H-benzo(4,5)cyclohepta(1,2-b)thien-4-ylidene)-1-methyl-', 'NCGC00163169-01', 'Polomigran', 'Sandomigran (TN)', 'DSSTox_CID_3490', '4-(9,10-Dihydro-4H-benzo(4,5)cyclohepta(1,2-b)thien-4-ylidene)-1-methylpiperidine', 'DSSTox_RID_77051', 'DSSTox_GSID_23490', 'W-108016', 'CAS-15574-96-6', 'Pizotylline', 'Sandomigram', 'Sanomigran', 'Sanmigran', '4-[9,10-Dihydro-4H-benzo[4,5]cyclohepta[1,2-b]thien-4-ylidene]-1-methylpiperidine', '24359-22-6', 'Biomol-NT_000102', 'GTPL93', 'Oprea1_684518', 'SCHEMBL44122', 'MLS006011927', 'Pizotyline maleate (Salt/Mix)', 'BPBio1_001391', 'CHEMBL294951', 'ZINC1968', 'DTXSID6023490', 'Pizotifen, &gt;=98% (HPLC)', 'BDBM82088', 'CTK8G2451', 'BCP14794', 'HY-B0115', 'KS-000017QX', 'Tox21_112024', 'BBL009911', 'MFCD00864192', 'NSC_27400', 'PDSP1_001602', 'PDSP2_001586', 'STK801341', 'AKOS005612964', 'Tox21_112024_1', 'API0003882', 'CS-1870', 'DB06153', 'MCULE-5738749931', 'NCGC00163169-02', 'NCGC00163169-03', 'NCGC00163169-05', 'AC-11996', 'AS-13328', 'H903', 'Pizotyline; 4-(9,10-Dihydro-4H-benzo[4,5]cyclohepta[1,2-b]thien-4-ylidene)-1-methylpiperidine', 'SC-46107', 'SMR004703517', 'SBI-0206788.P001', 'AB0013346', 'CAS_15574-96-6', 'DB-043288', 'LS-115012', 'AB00514749', 'FT-0637249', 'FT-0655575', 'NS00007697', 'P2344', 'D05523', 'AB00514749_11', 'AB00514749_12', '574P966', 'C-18523', 'L000722', 'Q413784', 'BRD-K75958195-001-01-7', 'BRD-K75958195-037-03-7', 'BRD-K75958195-037-04-5', '4-(9,10-dihydro-1-thiabenzo[f]azulen-4-ylidene)-1-methylpiperidine', '4-OXO-9,10-DIHYDRO-4H-BENZO(4,5) CYCLOHEPTO(1,2,B)', '4-Oxo-9,10-dihydro-4H-benzo(4,5) cyclohepto(1,2,b)thiophene', '4-OXO-9,10-DIHYDRO-4H-BENZO(4,5) CYCLOHEPTO(1,2,B) THIOPHENE', '1-methyl-4-(6-thiatricyclo[8.4.0.0^{3,7]tetradeca-1(14),3(7),4,10,12-pentaen-2-ylidene)piperidine', '1-methyl-4-{6-thiatricyclo[8.4.0.0?,?]tetradeca-1(14),3(7),4,10,12-pentaen-2-ylidene}piperidine', '1-methyl-4-{6-thiatricyclo[8.4.0.0^{3,7}]tetradeca-1(14),3(7),4,10,12-pentaen-2-ylidene}piperidine', 'pizotifen;Pizotifen;4-(9,10-dihydro-4H-benzo[4,5]cyclohepta[1,2-b]thien-4-ylidene)-1-methylpiperidinium hydrogen maleate']</t>
  </si>
  <si>
    <t>Compound(27400)</t>
  </si>
  <si>
    <t>C19H21NS</t>
  </si>
  <si>
    <t>polyethylene polypropylene glycol</t>
  </si>
  <si>
    <t>butan-1-ol;ethane-1,2-diol;propane-1,2-diol</t>
  </si>
  <si>
    <t>['9038-95-3', 'Poly(ethylene glycol-ran-propylene glycol) monobutyl ether', 'Tergitol(R)', 'Butan-1-ol;ethane-1,2-diol;propane-1,2-diol', 'CTK8G2491', 'TERGITOL(TM), MIN FOAM 1x', 'BCP31133', 'Ucon(TM) HTF 14, 18-260 C range of application', 'Poly(ethylene glycol-ran-propylene glycol) monobutyl ether, average Mn ~970', 'Poly(ethylene glycol-ran-propylene glycol) monobutyl ether, average Mn ~1,700', 'Poly(ethylene glycol-ran-propylene glycol) monobutyl ether, average Mn ~3,900']</t>
  </si>
  <si>
    <t>Compound(16212863)</t>
  </si>
  <si>
    <t>C9H24O5</t>
  </si>
  <si>
    <t>pliphenate</t>
  </si>
  <si>
    <t>[2,2,2-trichloro-1-(3,4-dichlorophenyl)ethyl] acetate</t>
  </si>
  <si>
    <t>['Acetofenate', 'Plifenat', 'Plifenate', '21757-82-4', 'Penfenate', 'Baygon MEB', 'benzethazet', 'BAY meb 6046', '2,2,2-Trichloro-1-(3,4-dichlorophenyl)ethyl acetate', 'MEB-6046', 'EINECS 244-573-7', '[2,2,2-trichloro-1-(3,4-dichlorophenyl)ethyl] acetate', '2,2,2-Trichloro-1-(3,4-dichlorophenyl)ethanol acetate', 'MB 6046', 'BRN 2466230', 'Ethanol, 1-(3,4-dichlorophenyl)-2,2,2-trichloro-, acetate', 'AI3-29252', '3,4-Dichloro-alpha-(trichloromethyl)benzyl acetate', 'Benzenemethanol, 3,4-dichloro-alpha-(trichloromethyl)-, acetate', 'Benzenemethanol, 3,4-dichloro-.alpha.-(trichloromethyl)-, acetate', '(+)-Penfenate', '(?)-Penfenate', 'Plifenate (Penfenate)', 'SCHEMBL432607', 'CTK8E3445', 'DTXSID20865012', 'AKOS015888398', 'Plifenate 1000 microg/mL in Acetone', 'ACM21757824', '66682-06-2', '66717-63-3', 'LS-66659', 'DB-045685', 'FT-0630476', 'NS00050703', 'Plifenat, PESTANAL(R), analytical standard', '3,4-dichloro-?-(trichloromethyl)benzyl acetate', '3,4-dichloro-a-(trichloromethyl)benzyl acetate', '3,4-dichloro-|A-(trichloromethyl)benzyl acetate', '4-06-00-03052 (Beilstein Handbook Reference)', 'C-20221', 'J-014278', '1-(3,4-dichlorophenyl)-2,2,2-trichloro-ethyl acetate', '3,4-Dichloro-alpha-(trichloromethyl)benzenemethyl acetate', '3,4-Dichloro-alpha-(trichloromethyl)benzyl acetate (8CI)', 'Benzyl alcohol, 3,4-dichloro-alpha-(trichloromethyl)-, acetate', '3,4-Dichloro-alpha-(trichloromethyl)benzenemethyl acetate (9CI)', 'Benzenemethanol, 3,4-dichloro-alpha-(trichloromethyl)-, acetate (9CI)', 'Benzyl alcohol, 3,4-dichloro-alpha-(trichloromethyl)-, acetate (8CI)']</t>
  </si>
  <si>
    <t>Compound(89040)</t>
  </si>
  <si>
    <t>C10H7Cl5O2</t>
  </si>
  <si>
    <t>polybutene</t>
  </si>
  <si>
    <t>but-1-ene</t>
  </si>
  <si>
    <t>['1-BUTENE', 'But-1-ene', 'Ethylethylene', 'BUTENE', '1-Butylene', '106-98-9', 'Butene-1', 'alpha-Butylene', 'alpha-Butene', 'n-Butylene', 'n-Butene', 'Poly(1-butene)', '1-Butene, homopolymer', 'Butene, 1-', '.alpha.-Butene', '1-C4H8', '1-n-Butene', 'UNII-LY001N554L', 'CCRIS 8970', 'HSDB 179', '25167-67-3', 'HSDB 5127', 'EINECS 203-449-2', 'EINECS 246-689-3', 'UN1012', 'CHEBI:48362', 'LY001N554L', 'butan-1,2-diyl', '9003-28-5', 'Butene, homopolymer, phosphosulfurized', '.alpha.-Butylene', 'Actipol E6', 'Poly-alpha-butylene', '1-Butene-4-ylidyneradical', 'EC 203-449-2', 'EC 246-689-3', '1-Butene, &gt;=99%', 'Poly(propylene-co-1-butene)', '61788-35-0', 'Butene, homopolymer, phosphosulfurized, steam treated', 'CHEMBL117210', '1-Butene, &gt;=99.6%', 'DTXSID1026746', 'CTK2F3507', 'ZINC96328298', '1-Butene, &gt;=99.0% (GC)', 'AKOS009156841', 'Butylene [UN1012] [Flammable gas]', 'LS-2132', 'MCULE-8167907130', 'Butylene [UN1012]  [Flammable gas]', 'DB-040719', 'LS-178728', 'B0689', 'B4410', 'B4411', 'FT-0607556', 'FT-0694873', 'NS00009034', '10950-EP2269610A2', '10950-EP2277848A1', '10950-EP2277867A2', '10950-EP2280003A2', '10950-EP2289510A1', '10950-EP2292589A1', '10950-EP2295426A1', '10950-EP2295427A1', '10950-EP2305685A1', '10950-EP2305686A1', '10950-EP2308960A1', '10950-EP2311825A1', '10950-EP2311841A1', '10950-EP2316457A1', '10950-EP2316458A1', '10950-EP2316825A1', '10950-EP2316826A1', '10950-EP2316827A1', '10950-EP2316828A1', '15423-EP2301927A1', '15423-EP2305683A1', '15423-EP2311839A1', '15423-EP2314589A1', '15423-EP2316837A1', '15423-EP2374780A1', '15423-EP2374781A1', '16143-EP2281563A1', '16143-EP2308848A1', '16143-EP2316459A1', '93444-EP2298747A1', '93444-EP2301922A1', '93444-EP2305641A1', '157439-EP2275417A2', '157439-EP2284162A2', '157439-EP2284163A2', '157439-EP2374780A1', '157439-EP2374781A1', '186918-EP2270113A1', '186918-EP2272935A1', '186918-EP2374780A1', '186918-EP2374781A1', '217186-EP2374780A1', 'Q2468763', 'Butene, polymer-bound, 50-100 mesh, extent of labeling: 1.0-2.0 mmol vinyl per g loading']</t>
  </si>
  <si>
    <t>Compound(7844)</t>
  </si>
  <si>
    <t>C4H8</t>
  </si>
  <si>
    <t>polyacrylate</t>
  </si>
  <si>
    <t>polymaleic acid</t>
  </si>
  <si>
    <t>polystyrene</t>
  </si>
  <si>
    <t>styrene</t>
  </si>
  <si>
    <t>['STYRENE', 'Ethenylbenzene', 'Phenylethylene', '100-42-5', 'Vinylbenzene', 'Styrol', 'Benzene, ethenyl-', 'Cinnamene', 'Phenylethene', 'Styrene monomer', 'Phenethylene', 'Styrolene', 'Vinylbenzol', 'Vinyl benzene', 'POLYSTYRENE', 'Styrole', 'Styren', 'Styropol SO', 'Benzene, vinyl-', 'Ethylene, phenyl-', 'Cinnamenol', 'Cinnamol', 'Vinylbenzen', 'Stirolo', 'Styreen', 'Diarex hf 77', 'Vinyl-benzene', '9003-53-6', 'Bulstren K-525-19', 'Annamene', 'Styreen [Dutch]', 'Styrol [German]', 'Styren [Czech]', 'Stirolo [Italian]', 'NCI-C02200', 'Vinylbenzen [Czech]', 'Vinylbenzen [Dutch]', 'Cinnaminol', 'Benzene, ethenyl-, homopolymer', 'Styron', 'Styrene polymer', 'FEMA Number 3234', 'Styrene (monomer)', 'NSC 62785', 'CCRIS 564', 'UNII-44LJ2U959V', 'FEMA No. 3233', 'HSDB 171', 'Vinylbenzene, inhibited', 'Phenylethylene, inhibited', 'EINECS 202-851-5', 'UN2055', 'Styrene monomer, inhibited', 'AI3-24374', 'CHEBI:27452', 'Styrol (German)', '44LJ2U959V', 'MFCD00084450', 'NCGC00091056-01', 'DSSTox_CID_1284', 'Styrene, analytical standard', 'DSSTox_RID_76057', 'DSSTox_GSID_21284', 'Benzene-d5, ethenyl-d3-', 'Polysorb', 'Styropol', 'Styrene 100 microg/mL in Methanol', 'poly(styrene)', 'MFCD00008612', 'Styrene, 99%, extra pure, stabilized', 'Ethylenated benzene', 'CAS-100-42-5', 'Poly(styrene), average M.W. 260,000', 'Styrene, 99.5%, for analysis, stabilized', 'Polystyrene, hydrogenated', 'Styropor', 'ethenyl-benzene', 'phenyl-ethylene', 'viny lbenzol', 'Benzene-1,2,3,4,5-d5, 6-(ethenyl-1,2,2-d3)-', 'p-vinyl benzene', 'Benzene, ethenyl-, homopolymer, hydrogenated', '25086-18-4', 'Ethylbenzene alkylate', 'Styron (Salt/Mix)', 'Ethenylbenzene, 9CI', 'Styropol (Salt/Mix)', 'Styropor (Salt/Mix)', 'PhCH=CH2', 'Styrene, &gt;=99%', 'Polystyrene med Mol. Wt.', 'EC 202-851-5', 'Polystyrene high Mol. Wt.', 'Diarex hf 77 (Salt/Mix)', '12770-88-6', '68441-35-0', 'KSC176E4F', 'UN 2055 (Salt/Mix)', 'WLN: 1U1R', 'BIDD:ER0247', 'CHEMBL285235', 'Styrene-divinylbenzene Copolymer', 'DTXSID2021284', 'CTK0H6242', 'KS-00000VQV', 'ZINC968269', 'NSC62785', 'EINECS 273-493-5', 'Styrene, ReagentPlus(R), 99.9%', 'Tox21_113245', 'Tox21_200808', '8053AF', 'ANW-14280', 'LS-304', 'NSC-62785', 'STL283958', 'Styrene 2000 microg/mL in Methanol', 'Styrene 5000 microg/mL in Methanol', 'AKOS000119972', 'ZINC112958499', 'MCULE-4715354738', 'Styrene, SAJ first grade, &gt;=99.0%', 'NCGC00091056-02', 'NCGC00091056-03', 'NCGC00091056-04', 'NCGC00091056-05', 'NCGC00258362-01', 'BP-13451', 'SC-75569', 'FT-0659991', 'FT-0674668', 'FT-0674669', 'FT-0674670', 'FT-0689054', 'S0095', 'S0651', '5487-EP2269995A1', '5487-EP2270101A1', '5487-EP2270113A1', '5487-EP2272832A1', '5487-EP2272849A1', '5487-EP2272935A1', '5487-EP2275418A1', '5487-EP2277945A1', '5487-EP2280014A2', '5487-EP2284165A1', '5487-EP2287168A2', '5487-EP2289883A1', '5487-EP2289896A1', '5487-EP2292593A2', '5487-EP2295415A1', '5487-EP2295420A1', '5487-EP2295426A1', '5487-EP2295427A1', '5487-EP2295438A1', '5487-EP2298313A1', '5487-EP2298743A1', '5487-EP2298753A1', '5487-EP2301924A1', '5487-EP2305668A1', '5487-EP2305685A1', '5487-EP2305686A1', '5487-EP2308832A1', '5487-EP2308857A1', '5487-EP2308865A1', '5487-EP2309584A1', '5487-EP2311796A1', '5487-EP2311797A1', '5487-EP2311798A1', '5487-EP2311799A1', '5487-EP2311804A2', '5487-EP2314577A1', '5487-EP2314579A1', '5487-EP2380568A1', '5487-EP2380867A1', 'C07083', 'C19506', 'Polystyrene,flame retarding and impact resistant', 'Q28917', '37291-EP2311802A1', '37291-EP2311803A1', '117294-EP2275408A1', '117294-EP2287158A1', '117294-EP2298762A2', '143365-EP2287165A2', '143365-EP2287166A2', '143365-EP2292620A2', 'A800199', 'Polystyrene standard, M.W. 2,000, Mw/Mn 1.10', 'Polystyrene standard, M.W. 5,200, Mw/Mn 1.06', 'Polystyrene standard, M.W. 400,000, Mw/Mn 1.06', 'Polystyrene standard, M.W. 650,000, Mw/Mn 1.06', 'F1908-0130', 'Styrene monomer, inhibited [UN2055] [Flammable liquid]', 'Z966690906', 'Styrene monomer, inhibited [UN2055]  [Flammable liquid]', 'Polystyrene latex microsphere, 1 micron, 2.5 wt% dispersion in water', 'Polystyrene latex microsphere, 10.0 micron, 2.5 wt% dispersion in water', 'Polystyrene latex microsphere, 15.0 micron, 2.5 wt% dispersion in water', 'Polystyrene latex microsphere, 2 micron, 2.5 wt% dispersion in water', 'Polystyrene latex microsphere, 20.0 micron, 2.5 wt% dispersion in water', 'Polystyrene latex microsphere, 25.0 micron, 2.5 wt% dispersion in water', 'Polystyrene latex microsphere, 45.0 micron, 2.5 wt% dispersion in water', 'Polystyrene latex microsphere, 6.0 micron, 2.5 wt% dispersion in water', 'Polystyrene latex microsphere, 75.0 micron, 2.5 wt% dispersion in water', 'Polystyrene latex microsphere, 90.0 micron, 2.5 wt% dispersion in water', 'Polystyrene, minimum number average molecular weight (in amu), 50,000', 'Styrene solution, certified reference material, 200 mug/mL in methanol', 'Ethenyl-benzene; Vinylbenzene; Phenylethylene; Styrol; Styrolene; Cinnamene.', 'Styrene, ReagentPlus(R), contains 4-tert-butylcatechol as stabilizer, &gt;=99%', '79637-11-9']</t>
  </si>
  <si>
    <t>Compound(7501)</t>
  </si>
  <si>
    <t>C8H8</t>
  </si>
  <si>
    <t>polyvinyl alcohol</t>
  </si>
  <si>
    <t>ethenol</t>
  </si>
  <si>
    <t>['Ethenol', 'VINYL ALCOHOL', 'POLYVINYL ALCOHOL', '9002-89-5', 'Hydroxyethene', 'Hydroxyethylene', 'Ethenol, homopolymer', 'Gohsenol', 'Polyviol', 'Elvanol', 'Mowiol', 'Poval', 'Poly(vinyl alcohol)', 'vinylalcohol', '557-75-5', 'Alcotex 17F-H', 'Alkotex', 'Gelvatol', 'Rhodoviol', 'EINECS 209-183-3', 'Polydesis', 'Polyvinol', 'Vinalak', 'Vinarol', 'Vinarole', 'Alvyl', 'Covol', 'Lemol', 'Gohsenol GH', 'Lamephil OJ', 'Sloviol R', 'Kuralon VP', 'Vinacol MH', 'Vinarol DT', 'Vinarol ST', 'Aracet APV', 'Enbra OV', 'Gtohsenol GL 05', 'Polysizer 173', 'Cipoviol W 72', 'Gohsenol AH 22', 'Gohsenol GH 17', 'Gohsenol GH 20', 'Gohsenol GH 23', 'Gohsenol GL 03', 'Gohsenol GL 05', 'Gohsenol GL 08', 'Gohsenol GM 14', 'Gohsenol GM 14L', 'Gohsenol GM 94', 'Gohsenol KH 17', 'Gohsenol MG 14', 'Gohsenol NH 05', 'Gohsenol NH 17', 'Gohsenol NH 18', 'Gohsenol NH 20', 'Gohsenol NH 26', 'Gohsenol NL 05', 'Gohsenol NM 14', 'Vinavilol 2-98', 'Elvanol T 25', 'Gosenol KH-17', 'Sumitex H 10', 'Gelvatol 1-30', 'Gelvatol 1-60', 'Gelvatol 1-90', 'Gelvatol 2060', 'Gelvatol 2090', 'Gelvatol 3-91', 'Gohsenol N 300', 'Gohsenol NM 114', 'Kurare Poval 120', 'Kurare 217', 'Rhodoviol 4/125', 'Elvanol 5105', 'Gelvatol 20-30', 'Kurare PVA 205', 'Rhodoviol 4-125P', 'Kurare Poval 1700', 'Lemol GF-60', 'Poval 205S', 'Poval 217S', 'Poval C 17', 'Elvanol 51-05G', 'Elvanol 52-22G', 'Elvanol 73125G', 'Alcotex 88/05', 'Alcotex 88/10', 'Alcotex 99/10', 'Covol 971', 'Elvanol 50-42', 'Elvanol 52-22', 'Elvanol 70-05', 'Elvanol 71-30', 'Elvanol 90-50', 'Mowiol 4-88', 'Poval 117', 'Poval 120', 'Poval 203', 'Poval 205', 'Poval 217', 'Poval 420', 'Rhodoviol 16/200', 'Vinyl alcohol, polymers', 'Elvanol 522-22', 'Mowiol 26-88', 'Polyviol W 28/20', 'Rhodoviol R 16/20', 'Lemol 5-88', 'Lemol 5-98', 'Poval 1700', 'Polyviol MO 5/140', 'Mowiol N 30-88', 'Mowiol N 50-98', 'Mowiol N 50/88', 'Mowiol N 70-98', 'Lemol 12-88', 'Lemol 16-98', 'Lemol 24-98', 'Lemol 30-98', 'Lemol 51-98', 'Lemol 60-98', 'Lemol 75-98', 'Polyviol M 13/140', 'Polyviol W 25/140', 'Polyviol W 40/140', 'GLO 5', 'PVS 4', 'Poly(vinyl alcohol), 98% hydrolyzed, approx. M.W. 13,000', 'polyvinylalcohol', 'Vinol', 'Poly(vinyl alcohol), 88% hydrolyzed, average M.W. 20000-30000', 'Poly(vinyl alcohol), 99-100% hydrolyzed, approx. M.W. 124,000', 'Poly(vinyl alcohol), 88% hydrolyzed, average M.W. 145,000-180,000', 'Poly(vinyl alcohol), 88% hydrolyzed, average M.W. 85,000-120,000', 'Poly(vinyl alcohol), 87.0-89.0% hydrolyzed, M.W. approx. 13,000-23,000', 'Poly(vinyl alcohol), 87.0-89.0% hydrolyzed, M.W. approx. 31,000-50,000', 'Poly(vinyl alcohol), 92.0-94.0% hydrolyzed,M.W. approx. 146,000-186,000', 'Poly(vinyl alcohol), 95.5-96.5% hydrolyzed, M.W. approx. 85,000-124,000', 'Poly(vinyl alcohol), 98.0%-98.8% hydrolyzed, M.W. approx. 50,000-85,000', 'Poly(vinyl alcohol), 98.0-98.8% hydrolyzed, M.W. approx. 31,000-50,000', 'Poly(vinyl alcohol), 98.0-98.8% hydrolyzed,M.W. approx. 146,000-186,000', 'PVA 008', 'GH 20', 'GL 02', 'GL 03', 'GM 14', 'NH 18', 'NM 11', 'NM 14', 'PVAL 45/02', 'PVAL 55/12', 'Gohsenol NL05', 'Warcopolymer A 20', 'EP 160', 'Vinyl alcohol polymer', 'FH 1500', 'Vinylon Film 2000', 'Vinylon Film 3000', 'Vinol 125', 'Vinol 205', 'Vinol 351', 'Vinol 523', 'CH2=CHOH', 'Polyvinyl alcohol 17-99', 'Polyvinylacetate, hydrolyzed', 'M 13/20', 'Vinylon Film VF-A 2500', 'CHEMBL76101', 'DTXSID8051467', 'CTK1H0845', 'MFCD00081922', 'NSC108129', 'PVA 17-99', 'VPB 105-2', 'AKOS006229012', 'NSC-108129', 'K618', 'SC-48882', 'DS-002731', 'LS-162182', 'FT-0688082', 'NS00013991', '15557-EP2272849A1', '15557-EP2305683A1', '15557-EP2311839A1', '15557-EP2314584A1', '15557-EP2314589A1', '15557-EP2316837A1', '148692-EP2289896A1', 'Q409591', 'Q27120718', 'Poly(vinyl alcohol) (Fully hydrolyzed-very Low M.Wt.) MW 7.000-10.000']</t>
  </si>
  <si>
    <t>Compound(11199)</t>
  </si>
  <si>
    <t>polyvinyl acetate</t>
  </si>
  <si>
    <t>butan-2-yl acetate</t>
  </si>
  <si>
    <t>['SEC-BUTYL ACETATE', '105-46-4', 'dl-sec-Butyl acetate', '2-Butyl acetate', 'Acetic acid, 1-methylpropyl ester', 'butan-2-yl acetate', '1-Methylpropyl acetate', 'sec-Butyl ethanoate', '1-Methylpropyl ethanoate', 'Acetic acid, sec-butyl ester', '2-Butanol acetate', 'sec-Butyl alcohol acetate', 'Acetate de butyle secondaire', 'Acetic acid, 2-butoxy ester', 'Acetic Acid sec-Butyl Ester', 'Gelva', 'NSC 8034', 'HSDB 673', 'Acetic acid secondary butyl ester', 'EINECS 203-300-1', 'Acetate de butyle secondaire [French]', 'BRN 1720689', 'D 50', 'POLYVINYL ACETATE', 'Booksaver', 'Cascorez', 'Danfirm', 'Daratak', 'Duvilax', 'Movinyl', 'Rhodopas', 'Soloid', 'Soviol', 'butyl ester', 'Lemac', 'Vinac', 'Butyl acetates', 'b-butyl acetate', 'Everflex B', 'Mowilith D', 'Pioloform F', 'Rhodopas B', 'Rhodopas M', 'Vinnapas B', 'ec-butyl acetate', 'Merckogel OR', 'Emultex F', 'Mowilith DV', 'Rhodopas BB', 'Vinacet D', 'Duvilax HN', 'Polyfox PO', 'Bakelite AYAA', 'Bakelite AYAF', 'Bakelite AYAT', 'En-cor', 'Protex (polymer)', 'Toabond 2', 'Toabond 6', 'Poly(vinylacetate)', "Elmer's Glue All", 'Mowilith 30', 'Mowilith 50', 'Mowilith 70', 'Mowilith 90', 'Raviflex 43', 'Mowilith M70', 'Rhodopas HV 2', 'Movinyl 50M', 'Polisol S-3', 'Polysol S 5', 'Polysol S 6', 'Toabond 40H', 'Vinipaint 555', 'DL-sec-Butylacetate', 'Bakelite LP 90', 'Cemedine 196', 'Gohensil E 50Y', 'Poly(vinyl acetate)', 'Rhodopas 010', 'Rhodopas A 10', 'Vinalite D 50N', 'Vinnapas B 17', 'Vinnapas UW 50', 'Merckogen 6000', 'AYAA', 'AYAF', 'AYJV', 'Duvilax BD 20', 'Duvilax LM 52', 'Movinyl 114', 'Movinyl 801', 'Polyfox P 20', 'Polysol PS 10', 'PVAE', 'Sakunol SN 08', 'Vinapol A 16', 'Asahisol 1527', 'Gohsenyl E 50 Y', 'Rhodopas 5425', 'Rhodopas AM 041', 'Vinnapas B 100', 'Acetic acid ethenyl ester, homopolymer', 'acetic acid sec-butyl', 'Gelva 25', 'Polyco 117FR', 'Vinac B 7', 'Cevian 380', 'Polyco 953', 'Polysol 1000AX', 'Formvar 1285', 'Polysol 1000', 'Polysol 1200', 'Rhodopas 5000SMR', 'Vinamul 9300', 'Bond CH 3', 'Gelva CSV 16', 'Vinac ASB 10', 'Gelva S 55H', 'Gelva TS 22', 'Gelva TS 23', 'Gelva TS 30', 'Gelva TS 85', 'Polyvinyl acetate resin', 'Vinac RP251', 'Borden 2123', 'Cevian A 678', 'D 50 (Polymer)', 'Esnil P 18', 'Gelva V 15', 'Gelva V 25', 'Kurare OM 100', 'Mokotex D 2602', 'Polyco 2116', 'Polyco 2134', 'Ucar 15', 'National starch 1014', 'ACMC-1BTHS', 'Bond CH 18', 'Gelva GP 702', 'poly vinyl acetate resin', 'Elvacet 81-900', 'Gelva V 100', 'Gelva V 800', 'Plyamul 40-155', 'Plyamul 40-350', 'Lemac 1000', 'Meikatex 5000NG60', 'Ucar 130', 'Vinalite DS 41/11', 'PS 3h', 'SP 60 (Ester)', '76 Res', 'sec-Butyl acetate, 99%', 'Ethenyl acetate homopolymer', 'Bond CH 1200', 'National 120-1207', 'Acetic acid-sec-butyl ester', 'S-Nyl-P 42', 'Ethenyl acetate, homopolymer', 'Resyn 25-1014', 'Resyn 25-1025', 'SCHEMBL26183', 'CH3COOCH(CH3)C2H5', '4-02-00-00148 (Beilstein Handbook Reference)', 'KSC503Q5R', 'DCA 70', 'DTXSID0047612', 'Acetic acid,1-methylpropyl ester', 'CTK4A3858', 'HSDB 1250', 'KS-00000UOC', 'ASB 516', 'NSC8034', 'WLN: 2Y1 &amp; OV1', 'Acetic acid vinyl ester, polymers', 'Acetic acid, vinyl ester, polymer', 'SP 60', 'ACN-S002424', 'EBD19792', 'NSC-8034', 'RV225-5B', '7525AF', 'ANW-15227', 'D 50 M', 'MFCD00009328', 'OM 100', 'UK 131', 'AKOS015915371', 'EP 1208', 'EP 1436', 'EP 1437', 'EP 1463', 'FCH1117739', 'LS-2470', 'MCULE-8410375215', 'NS 2842', 'OR 1500', 'VA 0112', 'Acetic acid, ethenyl ester, homopolymer', 'LS-11208', 'A0025', 'FT-0653023', 'NS00020048', 'P-170', 'V 501', 'Butyl acetates [UN1123] [Flammable liquid]', 'Butyl acetates [UN1123]  [Flammable liquid]', 'Q421143', 'R 10688', 'J-001429', 'J-520419']</t>
  </si>
  <si>
    <t>Compound(7758)</t>
  </si>
  <si>
    <t>polyvinyl propionate</t>
  </si>
  <si>
    <t>ethenyl propanoate</t>
  </si>
  <si>
    <t>['VINYL PROPIONATE', '105-38-4', 'Propanoic acid, ethenyl ester', 'Vinyl propanoate', 'Propionic Acid Vinyl Ester', 'Propionic acid, vinyl ester', 'Vinylester kyseliny propionove', 'UNII-2437OJ3190', 'NSC 5275', 'EINECS 203-293-5', 'Vinylester kyseliny propionove [Czech]', 'BRN 1741731', 'AI3-24889', '2437OJ3190', 'Propanoic acid, ethenyl ester, homopolymer', 'Vinylpropionate', '25035-84-1', 'propionic acid vinyl', 'ACMC-1BUCP', 'SCHEMBL15133', '4-02-00-00711 (Beilstein Handbook Reference)', 'WLN: 2VO1U1', 'DTXSID9051537', 'CTK3J8134', 'NSC5275', 'ZINC391909', 'NSC-5275', '7389AF', 'ANW-42000', 'MFCD00027004', 'AKOS015900918', 'FCH1115128', 'CC-35602', 'DB-040615', 'LS-124891', 'FT-0631583', 'NS00020919', 'P0613', '121291-EP2380661A2', 'C-00214', 'J-001408', 'Q2527233', 'Vinyl propionate, contains &lt;100 ppm monomethyl ether hydroquinone as inhibitor, 98%', 'vinyl propionate;Propanoic acid, ethenyl ester, homopolymer;Propanoic acid, ethenyl ester, polymer with chloroethene;Propanoic acid, ethenyl ester, polymer with 1-ethenyl-2-pyrrolidinone']</t>
  </si>
  <si>
    <t>Compound(7750)</t>
  </si>
  <si>
    <t>polixetonium chloride</t>
  </si>
  <si>
    <t>2-[dimethyl(propyl)azaniumyl]ethyl-(2-methoxyethyl)-dimethylazanium;dichloride</t>
  </si>
  <si>
    <t>['31512-74-0', 'POLIXETONIUM CHLORIDE']</t>
  </si>
  <si>
    <t>Compound(122130603)</t>
  </si>
  <si>
    <t>C12H30Cl2N2O</t>
  </si>
  <si>
    <t>3,7-dimethyl-1-(5-oxohexyl)purine-2,6-dione</t>
  </si>
  <si>
    <t>['pentoxifylline', 'Trental', '6493-05-6', 'Oxpentifylline', 'Pentoxifyllin', 'Torental', 'Pentoxyphylline', 'Dimethyloxohexylxanthine', 'Pentoxiphyllium', 'Vazofirin', 'Pentoxiphylline', 'Pentoxyfylline', 'Rentylin', '3,7-Dimethyl-1-(5-oxohexyl)xanthine', 'Pentoxyphyllin', '1-(5-Oxohexyl)theobromine', '3,7-dimethyl-1-(5-oxohexyl)purine-2,6-dione', '3,7-Dihydro-3,7-dimethyl-1-(5-oxohexyl)-1H-purine-2,6-dione', 'BL 191', 'BL-191', '1H-Purine-2,6-dione, 3,7-dihydro-3,7-dimethyl-1-(5-oxohexyl)-', '3,7-Dimethyl-1-(5-oxohexyl)-3,7-dihydro-1H-purine-2,6-dione', 'Pentoxyfilline', 'Pentoxifilina [INN-Spanish]', 'Pentoxifyllinum [INN-Latin]', '1-(5-Oxohexyl)-3,7-dimethylxanthine', 'Theobromine, 1-(5-oxohexyl)-', 'SD6QCT3TSU', 'UNII-SD6QCT3TSU', 'NSC637086', '3,7-Dimethyl-1-(5-oxohexyl)xantine', 'CHEMBL628', 'NSC 637086', '3,7-Dimethyl-1-(5-oxohexyl) xantine', '3,7-Dimethyl-1-(5-oxohexyl)-1H,3H-purin-2,6-dione', 'MLS000079026', 'CCRIS 6832', 'CHEBI:7986', 'Azupentat', 'C13H18N4O3', 'EHT 0202', 'EINECS 229-374-5', 'NSC-637086', 'BRN 0558929', 'NCGC00015801-02', 'Agapurin', 'Durapental', 'SMR000035998', '1,2,3,6-Tetrahydro-3,7-dimethyl-1-(5-oxohexyl)-2,6-purindion', '3,7-dimethyl-1-(5-oxohexyl)-2,3,6,7-tetrahydro-1H-purine-2,6-dione', 'DSSTox_CID_3437', 'DSSTox_RID_77028', 'DSSTox_GSID_23437', 'PNX', 'Pentoxifyllinum', 'Pentoxifilina', 'Pentoxiphyllin', '3,7-dimethyl-1-(5-oxohexyl)-1H-purine-2,6(3H,7H)-dione', 'Hemovas', 'Ralofect', 'Vasofirin', 'Ikomio', 'Agapurin Retard', 'Pentoxil (TN)', 'Trental (TN)', 'CAS-6493-05-6', 'EHT0201', 'SR-01000075641', 'Pentoxyifylline', 'Pentopak', 'Pentoxifylline (JAN/USP/INN)', 'Pentoxifylline [USAN:INN:JAN]', '3arr', '3aru', '3tvx', 'EHT-201', 'PTX;Oxpentifylline', 'EHT 0201', 'EHT-0201', 'Prestwick_608', 'Pentoxifylline,(S)', 'MFCD00063379', 'Spectrum_001444', '2a3c', 'Opera_ID_1800', 'Prestwick0_000196', 'Prestwick1_000196', 'Prestwick2_000196', 'Prestwick3_000196', 'Spectrum2_001181', 'Spectrum3_001820', 'Spectrum4_000227', 'Spectrum5_001161', 'Lopac-P-1784', 'P 1784', 'Lopac0_000936', 'SCHEMBL34039', 'BSPBio_000151', 'BSPBio_003439', 'KBioGR_000893', 'KBioSS_001924', 'MLS000758298', 'MLS001201764', 'MLS001424051', 'BIDD:GT0174', 'DivK1c_000729', 'SPECTRUM1503611', 'SPBio_001221', 'SPBio_002072', 'BPBio1_000167', 'GTPL7095', 'DTXSID7023437', 'BDBM10850', 'CTK8G2308', 'HMS502E11', 'KBio1_000729', 'KBio2_001924', 'KBio2_004492', 'KBio2_007060', 'KBio3_002942', 'C04AD03', 'NINDS_000729', 'HMS1568H13', 'HMS1922E16', 'HMS2051N06', 'HMS2090H13', 'HMS2093G21', 'HMS2095H13', 'HMS2235C16', 'HMS3262L14', 'HMS3370D09', 'HMS3393N06', 'HMS3712H13', 'Pharmakon1600-01503611', 'BCP29306', 'HY-B0715', 'ZINC1530776', 'Tox21_110223', 'Tox21_500936', 'BBL016497', 'BG0286', 'CCG-36382', 'NSC758481', 'PDSP1_001015', 'PDSP2_000999', 'STK177321', 'AKOS000541484', 'Tox21_110223_1', 'AC-8381', 'API0003788', 'CS-2954', 'DB00806', 'LP00936', 'MCULE-9951939936', 'NC00255', 'NSC-758481', 'SDCCGSBI-0050910.P004', 'VZ33607', '3,7-dimethyl-1-(5-oxohexyl)-xanthine', 'CAS-1677687', 'IDI1_000729', 'NCGC00015801-01', 'NCGC00015801-03', 'NCGC00015801-04', 'NCGC00015801-05', 'NCGC00015801-06', 'NCGC00015801-07', 'NCGC00015801-08', 'NCGC00015801-09', 'NCGC00015801-10', 'NCGC00015801-12', 'NCGC00015801-17', 'NCGC00067069-02', 'NCGC00067069-03', 'NCGC00067069-04', 'NCGC00067069-05', 'NCGC00178062-01', 'NCGC00178062-02', 'NCGC00261621-01', 'AS-13662', 'Pentoxifylline [USAN:USP:INN:BAN:JAN]', 'SC-23298', 'SBI-0050910.P003', '1-(5-oxohexyl)theobromine (pentoxifylline)', 'LS-149385', 'AB00052363', 'EU-0100936', 'FT-0603570', 'FT-0657886', 'FT-0673610', 'H3041', 'NS00010010', 'P2050', 'S4345', 'ST50242554', 'SW196777-4', 'V0152', 'C07424', 'D00501', 'J10071', 'AB00052363-17', 'AB00052363_18', 'AB00052363_21', '5-26-14-00081 (Beilstein Handbook Reference)', 'Q416331', '3,7-dimethyl-1-(5-oxohexyl)-1H-purine-2,6-dione', 'PTX; Oxpentifylline; BL191; BL 191; BL-191', 'SR-01000075641-1', 'SR-01000075641-4', 'SR-01000075641-7', 'SR-01000075641-9', 'BRD-K57569181-001-05-1', 'BRD-K57569181-001-16-8', '3,7-dimethyl-1-(5-oxohexyl)-3,7-dihydropurine-2,6-dione', '3,7-dimethyl-1-(5-oxohexyl)-1,3,7-trihydropurine-2,6-dione', '3,7-Dimethyl-1-(5-oxohexyl)-3,7-dihydro-1H-purine-2,6-dione #', 'Px']</t>
  </si>
  <si>
    <t>Compound(4740)</t>
  </si>
  <si>
    <t>C13H18N4O3</t>
  </si>
  <si>
    <t>paraquat dichloride</t>
  </si>
  <si>
    <t>1-methyl-4-(1-methylpyridin-1-ium-4-yl)pyridin-1-ium;dichloride</t>
  </si>
  <si>
    <t>['Paraquat dichloride', 'Methyl viologen', '1910-42-5', 'Pathclear', 'Paraquat-dichloride', 'Crisquat', 'Gramuron', 'Pillarxone', 'Dexuron', 'Methyl viologen dichloride', 'Toxer total', "1,1'-Dimethyl-4,4'-bipyridinium dichloride", 'Ortho paraquat cl', 'Gramixel', 'Gramoxone', 'Esgram', 'Cekuquat', 'Galokson', 'Herbaxon', 'Herboxone', 'Pillarquat', 'Gramoxone D', 'Viologen, methyl-', 'Parakwat [Polish]', "4,4'-Dimethyldipyridyl dichloride", 'Goldquat 276', 'Paraquat cl', 'Gramoxone S', 'Gramoxone W', 'Caswell No. 634', 'Methylviologen chloride', "4,4'-Bipyridinium, 1,1'-dimethyl-, dichloride", 'Gramoxone dichloride', 'Dimethyl viologen chloride', 'Paraquat, dichloride', "N,N'-Dimethyl-4,4'-bipyridinium dichloride", "N,N'-Dimethyl-4,4'-bipyridylium dichloride", "1,1'-Dimethyl-4,4'-dipyridylium dichloride", 'UNII-2KZ83GSS73', 'Parakwat', 'CCRIS 9018', 'Methyl viologen (reduced)', 'Paraquat chloride', 'EINECS 217-615-7', 'AH 501', 'NSC 88126', 'OK 622', 'EPA Pesticide Chemical Code 061601', 'NSC 263500', '1,1-Dimethyl-4,4-dipyridilium dichloride', 'AI3-61943', '2KZ83GSS73', "1,1'-Dimethyl-4,4'-bipyridynium dichloride", "N,N'-Dimethyl-4,4'-dipyridylium dichloride", 'CHEBI:28786', '1-methyl-4-(1-methylpyridin-1-ium-4-yl)pyridin-1-ium dichloride', "Bipyridinium, 1,1'-dimethyl-4,4'-, dichloride", "1,1'-Dimethyl-4,4'-dipyridinium-dichlorid [German]", "Dwuchlorek 1,1'-dwumetylo-4,4'-dwupirydyniowy [Polish]", 'Methyl Viologen hydrate, 98%', "1,1'-Dimethyl-4,4'-dipyridinium-dichlorid", "1,1'-dimethyl-[4,4'-bipyridin]-1,1'-diium dichloride", "1,1'-dimethyl-[4,4'-bipyridine]-1,1'-diium dichloride", "Dwuchlorek 1,1'-dwumetylo-4,4'-dwupirydyniowy", "1,1'-Dimethyl-4,4'-bipyridinium dichloride trihydrate", "1,1'-dimethyl-4,4'-bipyridine-1,1'-diium chloride", 'Paraquat dichloride [ISO]', 'methylviologen', '1-methyl-4-(1-methylpyridin-1-ium-4-yl)pyridin-1-ium;dichloride', 'AC-907/25005209', "1,1'-dimethyl-4,4' bipyridinium dichloride", 'SCHEMBL21653', 'CHEMBL458019', 'GTPL4552', 'DTXSID7024243', 'LS-961', 'AKOS001071567', 'MCULE-7000160142', 'AS-57157', 'P864', 'Paraquat dichloride 10 microg/mL in Water', 'Paraquat dichloride 100 microg/mL in Water', 'D3685', 'FT-0673514', 'C00225', 'Q409669', 'J-012343', 'Z89271816', "1,1'-Dimethyl-[4,4'-bipyridine]-1,1'-diium chloride", '1,1-Dimethyl-4,4-bipyridinium Dichloride,  inverted exclamation markY 98.0%']</t>
  </si>
  <si>
    <t>Compound(15938)</t>
  </si>
  <si>
    <t>C12H14Cl2N2</t>
  </si>
  <si>
    <t>(2-methyl-4-oxo-3-prop-2-ynylcyclopent-2-en-1-yl) 2,2-dimethyl-3-(2-methylprop-1-enyl)cyclopropane-1-carboxylate</t>
  </si>
  <si>
    <t>['Prallethrin', '23031-36-9', 'd,d-T80-Prallethrin', 'D-Prallethrin', 'Cyclopropanecarboxylic acid, 2,2-dimethyl-3-(2-methyl-1-propenyl)-, 2-methyl-4-oxo-3-(2-propynyl)-2-cyclopenten-1-yl ester', '2-methyl-4-oxo-3-prop-2-yn-1-ylcyclopent-2-en-1-yl 2,2-dimethyl-3-(2-methylprop-1-en-1-yl)cyclopropanecarboxylate', '(2-methyl-4-oxo-3-prop-2-ynylcyclopent-2-en-1-yl) 2,2-dimethyl-3-(2-methylprop-1-enyl)cyclopropane-1-carboxylate', 'SCHEMBL25223', 'DTXSID0032572', 'CHEBI:39391', 'CTK8G2552', 'AKOS030255345', 'ACM23031369', 'Prallethrin 10 microg/mL in Cyclohexane', 'CC-33893', 'M366', 'FT-0673989', 'NS00008864', 'C18510', 'Prallethrin, PESTANAL(R), analytical standard', 'C-23875', 'Q411286', 'J-014952', '2-Methyl-4-oxo-3-(prop-2-yn-1-yl)cyclopent-2-en-1-yl 2,2-dimethyl-3-(2-methylprop-1-en-1-yl)cyclopropane-1-carboxylate', 'Cyclopropanecarboxylic acid, 2,2-dimethyl-3-(2-methylpropenyl)-, ester with 4-hydroxy-3-methyl-2-(2-propynyl)-2-cyclopenten-1-one, trans-(.+/-.)-']</t>
  </si>
  <si>
    <t>Compound(9839306)</t>
  </si>
  <si>
    <t>C19H24O3</t>
  </si>
  <si>
    <t>pravastatin</t>
  </si>
  <si>
    <t>(3R,5R)-7-[(1S,2S,6S,8S,8aR)-6-hydroxy-2-methyl-8-[(2S)-2-methylbutanoyl]oxy-1,2,6,7,8,8a-hexahydronaphthalen-1-yl]-3,5-dihydroxyheptanoic acid</t>
  </si>
  <si>
    <t>['pravastatin', '81093-37-0', 'Pravastatina', 'Pravastatine', 'Pravastatinum', 'Pravachol', 'Eptastatin', 'Pravastatin acid', 'PRAVASTATIN SODIUM', 'Pravastatine [French]', 'Pravastatinum [Latin]', 'Pravastatina [Spanish]', 'Pravastatin [INN:BAN]', 'UNII-KXO2KT9N0G', 'CCRIS 7557', 'KXO2KT9N0G', 'CHEMBL1144', '(3R,5R)-3,5-dihydroxy-7-[(1S,2S,6S,8S,8aR)-6-hydroxy-2-methyl-8-{[(2S)-2-methylbutanoyl]oxy}-1,2,6,7,8,8a-hexahydronaphthalen-1-yl]heptanoic acid', '(3R,5R)-7-[(1S,2S,6S,8S,8aR)-6-hydroxy-2-methyl-8-[(2S)-2-methylbutanoyl]oxy-1,2,6,7,8,8a-hexahydronaphthalen-1-yl]-3,5-dihydroxyheptanoic acid', 'CHEBI:63618', '(3R,5R)-7-[(1S,2S,6S,8S,8aR)-6-hydroxy-2-methyl-8-{[(2S)-2-methylbutanoyl]oxy}-1,2,6,7,8,8a-hexahydronaphthalen-1-yl]-3,5-dihydroxyheptanoic acid', 'SQ-31,000', 'Mevalothin', 'Pravator (TN)', '(+)-(3R,5R)-3,5-dihydroxy-7-[(1S,2S,6S,8S,8aR)-6-hydroxy-2-methyl-8-{[(S)-2-methylbutyryl]oxy}-1,2,6,7,8,8a-hexahydro-1-naphthyl]heptanoic acid', '1-Naphthaleneheptanoic acid, 1,2,6,7,8,8a-hexahydro-beta,delta,6-trihydroxy-2-methyl-8-((2S)-2-methyl-1-oxobutoxy)-, (betaR,deltaR,1S,2S,6S,8S,8aR)-', '1-Naphthaleneheptanoic acid, 1,2,6,7,8,8a-hexahydro-beta,delta,6-trihydroxy-2-methyl-8-(2-methyl-1-oxobutoxy)-, (1S-(1alpha(betas*,deltas*),2alpha,6alpha,8beta(R*),8aalpha))-', 'Pravastatin (INN)', 'SQ-31000', 'Pravastatin tert-Octylamine Salt', 'RMS-431', 'C23H36O7', '3beta-Hydroxycompactin', 'KS-5015', 'SCHEMBL1117', 'BIDD:GT0773', 'GTPL2953', 'DTXSID6023498', 'BDBM20688', 'HSDB 8368', 'C10AA03', 'HMS3715P11', 'ACT02637', 'HY-B0165', 'ZINC3798763', 'LMFA05000695', 's5713', 'AKOS015895229', 'CCG-221195', 'DB00175', 'NCGC00188962-01', 'NCGC00188962-02', '1,2,6,7,8,8a-hexahydro-beta,delta,6-trihydroxy-2-methyl-8-(2-methyl-1-oxobutoxy)-, (1S-(1alpha(betaS*,deltaS*),2alpha,6alpha,8beta(R*),8aalpha))-1-Naphthaleneheptanoic acid', 'CC-33900', 'LS-94713', 'SC-17346', 'C01844', 'D08410', '093P370', 'C-22133', 'SR-01000781259', 'Q1240093', 'SR-01000781259-2', 'BRD-K60511616-236-01-4', 'BRD-K60511616-236-02-2', 'BRD-K60511616-236-08-9', '(3R,5R)-3,5-dihydroxy-7-((1S,2S,6S,8S,8aR)-6-hydroxy-2-methyl-8-((S)-2-methylbutanoyloxy)-1,2,6,7,8,8a-hexahydronaphthalen-1-yl)heptanoic acid', '115873-26-2']</t>
  </si>
  <si>
    <t>Compound(54687)</t>
  </si>
  <si>
    <t>C23H36O7</t>
  </si>
  <si>
    <t>[2-[(8S,9S,10R,11S,13S,14S,17R)-17-ethoxycarbonyloxy-11-hydroxy-10,13-dimethyl-3-oxo-7,8,9,11,12,14,15,16-octahydro-6H-cyclopenta[a]phenanthren-17-yl]-2-oxoethyl] propanoate</t>
  </si>
  <si>
    <t>['PREDNICARBATE', 'Dermatop', '73771-04-7', 'Hoe 777', 'Hoe-777', 'Dermatop E emollient', 'UNII-V901LV1K7D', 'S-770777', 'MLS002154121', 'V901LV1K7D', '[2-[(8S,9S,10R,11S,13S,14S,17R)-17-ethoxycarbonyloxy-11-hydroxy-10,13-dimethyl-3-oxo-7,8,9,11,12,14,15,16-octahydro-6H-cyclopenta[a]phenanthren-17-yl]-2-oxoethyl] propanoate', 'Peitel', 'Prednicarbatum [INN-Latin]', 'Prednicarbato [INN-Spanish]', 'Prednicarbato', 'Prednicarbatum', 'EINECS 277-590-3', 'Dermatop (TN)', 'S 770777', 'Prednicarbate (USP/INN)', 'Prednicarbat', '11beta,17,21-Trihydroxypregna-1,4-diene-3,20-dione 17-(ethyl carbonate) 21-propionate', 'NCGC00016926-01', 'Pregna-1,4-diene-3,20-dione, 17-((ethoxycarbonyl)oxy)-11-hydroxy-21-(1-oxopropoxy)-, (11beta)-', 'Prednicarbate [USAN:USP:INN:BAN]', 'CAS-73771-04-7', 'Prestwick0_001044', 'Prestwick1_001044', 'Prestwick2_001044', 'Prestwick3_001044', 'SCHEMBL3941', 'DSSTox_CID_25502', 'DSSTox_RID_80919', 'DSSTox_GSID_45502', 'BSPBio_000968', 'SPBio_002904', 'BPBio1_001066', 'GTPL7605', 'S-77 0777', 'CHEMBL1200386', 'DTXSID9045502', 'CHEBI:135791', 'HMS1571A10', 'HMS2098A10', 'HMS2230O11', 'HMS3715A10', 'ZINC3938652', 'Tox21_110687', 'LAS189961', 'AKOS025402043', 'AC-3521', 'API0009173', 'CCG-221044', 'DB01130', 'LAS-189961', 'NCGC00179357-01', 'NCGC00179357-05', 'SC-81331', 'SMR001233428', 'LAS-41003 COMPONENT PREDNICARBATE', 'AB00514017', 'D05601', '771P047', 'SR-01000841201', 'Q-101379', 'Q4376623', 'SR-01000841201-2', 'BRD-K46137903-001-03-3', 'S 77 0777', 'S-77-0777', '(11beta)-17-[(Ethoxycarbonyl)oxy]-11-hydroxy-3,20-dioxopregna-1,4-dien-21-yl propanoate']</t>
  </si>
  <si>
    <t>Compound(6714002)</t>
  </si>
  <si>
    <t>C27H36O8</t>
  </si>
  <si>
    <t>primidone</t>
  </si>
  <si>
    <t>5-ethyl-5-phenyl-1,3-diazinane-4,6-dione</t>
  </si>
  <si>
    <t>['primidone', '125-33-7', 'Primaclone', 'Mysoline', '2-Deoxyphenobarbital', 'Lepimidin', 'Liskantin', 'Mylepsinum', 'Lepsiral', 'Misodine', 'Mizodin', 'Mylepsin', 'Neurosyn', 'Primidon', 'Sertan', '2-Desoxyphenobarbital', 'Hexadiona', 'Majsolin', 'Milepsin', 'Misolyne', 'Prilepsin', 'Primakton', 'Primoline', 'Prysoline', 'Midone', 'Mizolin', 'Mysedon', 'Cyral', 'Medi-Pets', 'Primacone', 'Desoxyphenobarbitone', 'Pyrimidone Medi-pets', 'Resimatil', 'Primacione', 'Primidona', 'Primidonum', '5-ethyl-5-phenyl-1,3-diazinane-4,6-dione', 'Roe 101', '5-Phenyl-5-ethyl-hexahydropyrimidine-4,6-dione', '4,6(1H,5H)-Pyrimidinedione, 5-ethyldihydro-5-phenyl-', 'NCI-C56360', 'Primidone (primaclone)', '5-Ethyl-5-phenylhexahydropyrimidine-4,6-dione', 'Primidonum [INN-Latin]', 'Primidona [INN-Spanish]', '5-ethyl-5-phenyldihydropyrimidine-4,6(1H,5H)-dione', 'Hexamidine (the antispasmodic)', '5-Ethyldihydro-5-phenyl-4,6(1H,5H)-pyrimidinedione', '5-Ethylhexahydro-4,6-dioxo-5-phenylpyrimidine', '5-Ethylhexahydro-5-phenylpyrimidine-4,6-dione', 'CCRIS 54', 'NSC 41701', '5-Aethyl-5-phenyl-hexahydropyrimidin-4,6-dion', 'UNII-13AFD7670Q', 'CHEBI:8412', 'HSDB 3169', 'EINECS 204-737-0', '5-Phenyl-5-aethylhexahydropyrimidindion-(4,6)', 'BRN 0218034', '5-Aethyl-5-phenyl-hexahydropyrimidin-4,6-dion [German]', '5-Phenyl-5-aethylhexahydropyrimidindion-(4,6) [German]', 'MLS000028593', '13AFD7670Q', 'Desoxyphenobarbital', 'NSC-41701', 'NCGC00015834-11', 'CAS-125-33-7', 'Myidone', 'SMR000058501', 'DSSTox_CID_3510', 'DSSTox_RID_77058', 'DSSTox_GSID_23510', '5-ethyldihydro-5-phenyl-4,6[1H,5H]-pyrimidinedione', 'Mysoline (TN)', 'Primidone [USAN:INN:BAN:JAN]', 'SR-01000003162', '5-ethyl-5-phenyl-1,2,3,5-tetrahydropyrimidine-4,6-dione', 'Hexamidine(the antispasmodic)', 'Primidone [USP:INN:BAN:JAN]', 'Primidone(Mysoline)', '5-Ethyl-5-phenyldihydro-4,6(1H,5H)-pyrimidinedione', 'Primidone (Mysoline)', 'Spectrum_000832', 'Tocris-0830', "Pyrimidone 'Medi-pets'", 'Opera_ID_1083', 'Prestwick0_000933', 'Prestwick1_000933', 'Prestwick2_000933', 'Prestwick3_000933', 'Spectrum2_001293', 'Spectrum3_000553', 'Spectrum4_000485', 'Spectrum5_001144', 'Lopac-P-7295', 'Biomol-NT_000261', 'CHEMBL856', 'P 7295', "Pyrimidone ''Medi-pets''", '5-ethylhe xahydro-4,6-dioxo-5-phenylpyrimidine', 'Lopac0_001021', 'SCHEMBL34221', 'BSPBio_000866', 'BSPBio_002225', 'KBioGR_000969', 'KBioSS_001312', '5-24-08-00102 (Beilstein Handbook Reference)', 'MLS001055411', 'MLS001074125', 'BIDD:GT0319', 'DivK1c_000324', 'Primidone, analytical standard', 'SPECTRUM1500501', 'SPBio_001325', 'SPBio_003035', 'Primidone (JP17/USP/INN)', 'BPBio1_000859', 'BPBio1_000954', 'GTPL5338', 'ZINC1979', 'hexamidine (the  antispasmodic)', 'DTXSID7023510', 'CTK8B3224', 'HMS501A06', 'KBio1_000324', 'KBio2_001312', 'KBio2_003880', 'KBio2_006448', 'KBio3_001725', 'WLN: T6MV DVMTJ C2 CR', 'NINDS_000324', 'HMS1570L08', 'HMS1920J20', 'HMS2092A21', 'HMS2097L08', 'HMS2236G03', 'HMS3259K04', 'HMS3263M03', 'HMS3266H18', 'HMS3369J12', 'HMS3411N13', 'HMS3655L05', 'HMS3675N13', 'HMS3714L08', 'LS-48', 'Pharmakon1600-01500501', 'HY-B0339', 'KS-00000XM8', 'NSC41701', 'Tox21_110238', 'Tox21_201948', 'Tox21_303194', 'Tox21_501021', 'ANW-42020', 'BDBM50248152', 'BG0404', 'CCG-39231', 'NSC757291', 's1965', 'SBB017254', 'AKOS003368409', 'Tox21_110238_1', 'API0003929', 'CS-2381', 'DB00794', 'KS-5217', 'LP01021', 'MCULE-2519004832', 'NC00532', 'NSC-757291', 'SDCCGSBI-0050994.P005', 'IDI1_000324', 'SMP1_000135', 'NCGC00015834-01', 'NCGC00015834-02', 'NCGC00015834-03', 'NCGC00015834-04', 'NCGC00015834-05', 'NCGC00015834-06', 'NCGC00015834-07', 'NCGC00015834-08', 'NCGC00015834-09', 'NCGC00015834-10', 'NCGC00015834-12', 'NCGC00015834-13', 'NCGC00015834-14', 'NCGC00015834-15', 'NCGC00015834-16', 'NCGC00015834-17', 'NCGC00015834-19', 'NCGC00016377-01', 'NCGC00023254-02', 'NCGC00023254-04', 'NCGC00023254-05', 'NCGC00023254-06', 'NCGC00023254-07', 'NCGC00023254-08', 'NCGC00023254-09', 'NCGC00023254-10', 'NCGC00257146-01', 'NCGC00259497-01', 'NCGC00261706-01', 'AK546499', 'CC-33920', 'H808', 'SC-18998', 'ST076725', 'SBI-0050994.P004', 'AB0013274', 'AB00052079', 'EU-0101021', 'FT-0603328', 'FT-0674032', 'NS00000208', 'P1906', 'SW196576-3', '5-Ethyldihydro-5-phenyl-4,5H)-pyrimidinedione', 'C07371', 'D00474', 'K-1838', 'AB00052079-14', 'AB00052079_15', 'AB00052079_16', '125P337', '4,5H)-Pyrimidinedione, 5-ethyldihydro-5-phenyl-', 'A805374', 'Q420383', 'J-005215', 'SR-01000003162-2', 'SR-01000003162-4', 'SR-01000003162-5', 'SR-01000003162-8', 'BRD-K32247306-001-05-4', 'BRD-K32247306-001-17-9', '5-Ethyl-5-phenyldihydro-4,6(1H,5H)-pyrimidinedione #', 'Primidone, European Pharmacopoeia (EP) Reference Standard', 'Primidone, United States Pharmacopeia (USP) Reference Standard', 'Primidone for peak identification, European Pharmacopoeia (EP) Reference Standard', 'Primidone solution, 1.0 mg/mL in methanol, ampule of 1 mL, certified reference material']</t>
  </si>
  <si>
    <t>Compound(4909)</t>
  </si>
  <si>
    <t>C12H14N2O2</t>
  </si>
  <si>
    <t>N-propyl-N-[2-(2,4,6-trichlorophenoxy)ethyl]imidazole-1-carboxamide</t>
  </si>
  <si>
    <t>['Prochloraz', '67747-09-5', 'Mirage', 'Octave', 'Prelude', 'Ascurit', 'Sporgon', 'Sportak', 'Mirage (pesticide)', 'Dibavit', 'Sprint', 'Omega', 'N-Propyl-N-(2-(2,4,6-trichlorophenoxy)ethyl)-1H-imidazole-1-carboxamide', 'Sportak PF', 'BTS 40542', 'KI 835', 'Caswell No. 704E', 'UNII-99SFL01YCL', 'BTS 40542-7877', 'N-Propyl-N-[2-(2,4,6-trichlorophenoxy)ethyl]-1H-imidazole-1-carboxamide', 'Prochloraz [ANSI:BSI:ISO]', 'N-propyl-N-[2-(2,4,6-trichlorophenoxy)ethyl]imidazole-1-carboxamide', 'EINECS 266-994-5', 'EPA Pesticide Chemical Code 128851', '99SFL01YCL', 'CHEBI:8434', '1-(N-Propyl-N-(2-(2,4,6-trichlorophenoxy)ethyl)carbamoyl)imidazole', 'DSSTox_CID_4270', 'N-Propyl-N-(2-(2,4,6-trichlorophenoxy)ethyl)imidazole-1-carboxamide', '1H-Imidazole-1-carboxamide, N-propyl-N-[2-(2,4,6-trichlorophenoxy)ethyl]-', 'DSSTox_RID_77349', 'DSSTox_GSID_24270', 'W-104703', 'prochloraz-Mn', '1H-Imidazole-1-carboxamide, N-propyl-N-(2-(2,4,6-trichlorophenoxy)ethyl)-', 'CAS-67747-09-5', 'Procloraz', 'C15H16Cl3N3O2', 'Prochloraz solution', 'Sportak delta (Salt/Mix)', 'omega-COOH-tetranor-LTE3', 'SCHEMBL22242', 'CHEMBL522782', 'DTXSID4024270', 'CTK5C6616', 'N-propyl-N-(2-(2,4,6-trichlorophenoxy)ethyl)-1H-imidazole', 'ZINC967735', 'HY-B0845', 'Tox21_201466', 'Tox21_301179', 'AKOS015843124', 'CE-0231', 'Prochloraz 1000 microg/mL in Acetone', 'KS-0000112R', 'Prochloraz 10 microg/mL in Cyclohexane', 'NCGC00163713-02', 'NCGC00163713-03', 'NCGC00163713-04', 'NCGC00163713-05', 'NCGC00163713-06', 'NCGC00255077-01', 'NCGC00259017-01', 'AC-12685', 'CC-33933', 'LS-78200', 'O655', 'Prochloraz 100 microg/mL in Acetonitrile', 'SC-18323', 'AX8149104', 'DB-055060', 'CS-0012859', 'FT-0630772', 'NS00010885', 'P2137', 'Prochloraz, PESTANAL(R), analytical standard', 'C11182', '747P095', 'C-21273', 'Q1401484', 'Prochloraz, certified reference material, TraceCERT(R)', 'prochloraz;N-Propyl-N-2,4,6-trichlorophenoxy-ethyl-imidazole-;N-propyl-N-[2-(2,4,6-trichlorophenoxy)ethyl]-1H-imidazole-1-carboxamide;Prochloraz - Manganese Complex (4:1);dichlorotetrakis[N-propyl-N-[2-(2,4,6-trichlorophenoxy)ethyl]-1H-imidazole-1-carboxamide]manganese']</t>
  </si>
  <si>
    <t>Compound(73665)</t>
  </si>
  <si>
    <t>C15H16Cl3N3O2</t>
  </si>
  <si>
    <t>prohexadione calcium</t>
  </si>
  <si>
    <t>calcium;4-(1-oxidopropylidene)-3,5-dioxocyclohexane-1-carboxylate</t>
  </si>
  <si>
    <t>['Prohexadione calcium', 'Prohexadione-Calcium', '127277-53-6', 'calcium 3-oxido-5-oxo-4-propionylcyclohex-3-enecarboxylate', 'ProCa', 'Medax Top', 'Pro-Ca', 'calcium 4-(1-oxidopropylidene)-3,5-dioxocyclohexanecarboxylate', 'SCHEMBL1067146', 'DTXSID9034496', 'CHEBI:137425', 'BCP14946', 'BX-112', 'Q15632719', 'Prohexadione-Calcium, PESTANAL(R), analytical standard', 'calcium 1-(4-carboxy-2,6-dioxocyclohexylidene)propan-1-olate', 'calcium 3-oxido-5-oxo-4-propanoylcyclohex-3-ene-1-carboxylate', '1011719-29-1']</t>
  </si>
  <si>
    <t>Compound(12001831)</t>
  </si>
  <si>
    <t>C10H10CaO5</t>
  </si>
  <si>
    <t>bis(4-chlorophenyl)-cyclopropylmethanol</t>
  </si>
  <si>
    <t>['Proclonol', 'Kilacar', 'Dupont DPX 3654', '14088-71-2', 'UNII-2IGW7XIE2Y', 'Proclonolum [INN-Latin]', 'DPX 3654', 'Bis(p-chlorophenyl)cyclopropylmethanol', 'CCRIS 7252', 'CL 69049', 'EINECS 237-934-5', 'R 8284', '2IGW7XIE2Y', 'METHANOL, BIS(p-CHLOROPHENYL)CYCLOPROPYL-', 'Bis-p-chlorophenyl cyclopropyl methanol', 'BRN 3324205', 'AI3-27447', 'Benzenemethanol, 4-chloro-.alpha.-(4-chlorophenyl)-.alpha.-cyclopropyl-', 'R-8284', 'Proclonolum', 'Benzenemethanol, 4-chloro-alpha-(4-chlorophenyl)-alpha-cyclopropyl-', 'Proclono', 'Proclonol [USAN:BAN:INN]', 'Proclonol [USAN:INN:BAN]', 'Kilacar; R 8284', 'Proclonol (USAN/INN)', 'SCHEMBL162595', 'ZINC1985', 'CHEMBL2105277', 'DTXSID4057972', 'Di(p-Chlorophenyl)cyclopropylmethanol', 'Bis(p-chlorophenyl)cyclopropylcarbinol', 'LS-91012', 'Bis(4-chlorophenyl)(cyclopropyl)methanol #', 'NS00024568', 'D05617', 'SR-01000945075', 'SR-01000945075-1', 'Q27254787']</t>
  </si>
  <si>
    <t>Compound(26450)</t>
  </si>
  <si>
    <t>C16H14Cl2O</t>
  </si>
  <si>
    <t>procymidone</t>
  </si>
  <si>
    <t>3-(3,5-dichlorophenyl)-1,5-dimethyl-3-azabicyclo[3.1.0]hexane-2,4-dione</t>
  </si>
  <si>
    <t>['PROCYMIDONE', '32809-16-8', 'Dicyclidine', '3-(3,5-Dichlorophenyl)-1,5-dimethyl-3-azabicyclo[3.1.0]hexane-2,4-dione', 'Sumilex', 'Sumisclex', 'S 7131', '3-Azabicyclo[3.1.0]hexane-2,4-dione, 3-(3,5-dichlorophenyl)-1,5-dimethyl-', 'Procymidone [BSI:ISO]', 'DSSTox_CID_13923', 'DSSTox_RID_79102', 'DSSTox_GSID_33923', 'EINECS 251-233-1', '1,2-Cyclopropanedicarboximide, N-(3,5-dichlorophenyl)-1,2-dimethyl-', '3-Azabicyclo(3.1.0)hexane-2,4-dione, 3-(3,5-dichlorophenyl)-1,5-dimethyl-', '(1S)-3-(3,5-dichlorophenyl)-1,5-dimethyl-3-azabicyclo[3.1.0]hexane-2,4-dione', 'BRN 1539058', 'SP 751011', 'CAS-32809-16-8', '3-(3,5-Dichlorophenyl)-1,5-dimethyl-3-azabicyclo(3.1.0)hexane-2,4-dione', 'SCHEMBL23093', 'CBDivE_013932', 'MLS002222345', 'CHEMBL513678', 'DTXSID9033923', 'QXJKBPAVAHBARF-UHFFFAOYSA-', 'HMS3073A16', 'Tox21_201913', 'Tox21_303640', 'AKOS000545989', 'MCULE-1250895825', 'ACM32809168', 'Procymidone 100 microg/mL in Isooctane', 'NCGC00091017-01', 'NCGC00091017-02', 'NCGC00091017-03', 'NCGC00091017-04', 'NCGC00257305-01', 'NCGC00259462-01', 'Procymidone 10 microg/mL in Cyclohexane', 'AC-11632', 'CC-33935', 'LS-58773', 'SMR000765832', 'AX8020242', 'DB-048272', 'FT-0639055', 'NS00000518', 'C10986', 'Procymidone, PESTANAL(R), analytical standard', 'AB00078702-01', '809P168', 'C-24265', 'Q416120', 'J-018891', 'Procymidone, certified reference material, TraceCERT(R)', '60120-20-9', 'procymidone;Procymidon;3-(3,5-dichlorophenyl)-1,5-dimethyl-3-azabicyclo[3.1.0]hexane-2,4-dione']</t>
  </si>
  <si>
    <t>Compound(36242)</t>
  </si>
  <si>
    <t>C13H11Cl2NO2</t>
  </si>
  <si>
    <t>propan-2-yl N-phenylcarbamate</t>
  </si>
  <si>
    <t>['Propham', '122-42-9', 'Isopropyl phenylcarbamate', 'Isopropyl N-phenylcarbamate', 'Collavin', 'Triherbide', 'Tuberite', 'Agermin', 'Birgin', 'Profam', 'Tuberit', 'Tixit', 'Beet-Kleen', 'Isopropyl carbanilate', 'Chem-Hoe', 'Ban-Hoe', 'Premalox', 'Prophame', 'Triherbide-Ipc', 'INPC', 'IPPC', 'Ortho grass killer', 'Isopropyl phenyl urethane', 'Usaf d-9', 'Isopropyl phenylcarbmate', 'N-Phenyl isopropyl carbamate', '1-Methylethyl phenylcarbamate', 'o-Isopropyl N-phenylcarbamate', 'Iso.ppc.', 'Isopropyl carbanilic acid ester', 'propan-2-yl N-phenylcarbamate', 'Isopropyl-N-phenylurethan', 'Carbanilic acid, isopropyl ester', 'Isopropyl-N-phenylcarbamate', 'Isopropyl-N-fenyl-carbamaat', 'Isopropyl-N-phenyl-carbamat', 'Isopropil-N-fenil-carbammato', 'Caswell No. 510', "n-Phenylcarbamate d'isopropyle", 'Propham [BSI:ISO]', 'N-Phenylcarbamic acid, isopropyl ester', 'Prophame [ISO-French]', 'Carbamic acid, phenyl-, 1-methylethyl ester', 'Carbamic acid, N-phenyl-, 1-methylethyl ester', 'UNII-Y647G714RY', 'O-Isopropyl N-phenyl carbamate', 'HSDB 602', 'ISO.PPC', 'Isopropylester kyseliny karbanilove', 'Isopropyl-N-phenylurethan [German]', 'NSC 2105', 'EINECS 204-542-0', 'Isopropyl-N-fenyl-carbamaat [Dutch]', 'IFC', 'IFK', 'Isopropyl-N-phenyl-carbamat [German]', 'RCRA waste no. U373', 'propan-2-yl phenylcarbamate', 'Isopropil-N-fenil-carbammato [Italian]', 'BRN 2209666', 'Isopropyl-N-phenyl carbamate', "N-Phenylcarbamate d'isopropyle [French]", 'Phenylcarbamic acid, 1-methylethyl ester', 'AI3-14879', 'Isopropylester kyseliny karbanilove [Czech]', 'Y 2', 'CHEBI:82035', 'Y647G714RY', 'MFCD00026382', 'Phenylcarbamic acid,1-methylethyl ester', 'DSSTox_CID_766', 'DSSTox_RID_75779', 'DSSTox_GSID_20766', 'IsoPPC', 'CAS-122-42-9', 'IPC / Propham', 'Carbamate pesticide IPC', 'Enamine_005910', '(methylethoxy)-N-benzamide', 'N-Phenyl-O-isopropylurethane', 'SCHEMBL67344', '4-12-00-00620 (Beilstein Handbook Reference)', 'Propham, ~99%, crystalline', 'WLN: 1Y1 &amp; OVMR', '1-methylethyl N-phenylcarbamate', 'CHEMBL1080996', 'DTXSID7020766', 'CTK8E5974', 'NSC2105', 'HMS1410M14', 'ZINC395011', 'Propham 100 microg/mL in Toluene', 'NSC-2105', 'Tox21_201664', 'Tox21_302973', 'Propham 10 microg/mL in Acetonitrile', 'AKOS001022035', 'Carbamic acid, phenyl, isopropyl ester', 'LS-7136', 'MCULE-4687953041', 'Propham 100 microg/mL in Acetonitrile', 'IDI1_008145', 'NCGC00163998-01', 'NCGC00163998-02', 'NCGC00256576-01', 'NCGC00259213-01', 'AS-15559', 'P873', 'ST088010', 'DB-041668', 'Propham, PESTANAL(R), analytical standard', 'FT-0603327', 'NS00004441', 'C18887', 'J-004801', 'Q26840767', 'Z55310382', 'Propham solution, 100 mug/mL in methanol, PESTANAL(R), analytical standard']</t>
  </si>
  <si>
    <t>Compound(24685)</t>
  </si>
  <si>
    <t>4-bromo-2-chloro-1-[ethoxy(propylsulfanyl)phosphoryl]oxybenzene</t>
  </si>
  <si>
    <t>['PROFENOFOS', 'Curacron', '41198-08-7', 'Selecron', 'Polycron', 'Profenophos', '(+)-Profenofos', '(-)-Profenofos', 'Caswell No. 266AA', 'Phosphorothioic acid, O-(4-bromo-2-chlorophenyl) O-ethyl S-propyl ester', 'O-(4-Bromo-2-chlorophenyl) O-ethyl S-propyl phosphorothioate', 'CGA 15324', 'Profenofos [ANSI:BSI:ISO]', 'HSDB 6992', 'EINECS 255-255-2', 'EPA Pesticide Chemical Code 111401', 'BRN 2150258', 'AI3-29236', 'CHEBI:38845', 'O-(4-Bromo-2-chlorophenyl)-O-ethyl-S-propyl phosphorothioate', '81123-19-5', 'o-(4-Bromo-2-chlorophenyl) o-ethyl S-propyl thiophosphate', '4-bromo-2-chloro-1-[ethoxy(propylsulfanyl)phosphoryl]oxybenzene', '(R)-O-(4-Bromo-2-chlorophenyl) O-ethyl S-propyl phosphorothioate', '(S)-O-(4-Bromo-2-chlorophenyl) O-ethyl S-propyl phosphorothioate', 'Phosphorothioic acid, O-(4-bromo-2-chlorophenyl)-O-ethyl S-propyl ester', 'Phosphorothioic acid, O-(4-bromo-2-chlorophenyl) O-ethyl S-propyl ester, (R)-', 'Phosphorothioic acid, O-(4-bromo-2-chlorophenyl) O-ethyl S-propyl ester, (S)-', 'o-4-bromo-2-chlorophenyl o-ethyl s-propyl phosphorothioate', 'O-(4-Bromo-2-chlorophenyl)-O-ethyl-S-propylphosphorothioate', 'C11H15BrClO3PS', 'Profenphos', 'CCRIS 9291', 'EC 255-255-2', 'DSSTox_CID_12464', 'DSSTox_RID_78950', 'DSSTox_GSID_32464', 'SCHEMBL25281', 'Profenofos, analytical standard', 'CHEMBL2138242', 'DTXSID3032464', 'CTK3E8251', 'Tox21_300752', 'AKOS015899345', 'Profenofos 100 microg/mL in Methanol', 'Profenofos 1000 microg/mL in Acetone', 'Phosphorothioic acid, O-(4-bromo-2-chlorophenyl) O-ethyl S-propyl ester (9CI)', 'Profenofos 10 microg/mL in Cyclohexane', 'NCGC00164297-01', 'NCGC00164297-02', 'NCGC00164297-03', 'NCGC00254657-01', 'Profenofos 100 microg/mL in Cyclohexane', '81116-98-5', 'CC-33936', 'I562', 'CAS-41198-08-7', 'DB-049725', 'LS-108416', 'LS-108417', 'LS-108418', 'FT-0630618', 'NS00008209', 'Profenofos, PESTANAL(R), analytical standard', 'C18404', '198P087', 'C-21206', 'Q2111894', 'UNII-7J04O7BS4W component QYMMJNLHFKGANY-QGZVFWFLSA-N', 'o-(4-Bromo-2-chlorophenyl) o-ethyl S-propyl thiophosphate #', '4-bromo-2-chloro-1-(ethoxy-propylsulfanyl-phosphoryl)oxy-benzene', 'Phosphorothioic acid, O-(4-bromo-2-chlorophenyl)-O-ethyl-S-propyl ester', 'profenofos;Profenofos;O-(4-bromo-2-chlorophenyl) O-ethyl S-propyl phosphorothioate']</t>
  </si>
  <si>
    <t>Compound(38779)</t>
  </si>
  <si>
    <t>C11H15BrClO3PS</t>
  </si>
  <si>
    <t>2-[(E)-N-[2-(4-chlorophenoxy)propoxy]-C-propylcarbonimidoyl]-3-hydroxy-5-(thian-3-yl)cyclohex-2-en-1-one</t>
  </si>
  <si>
    <t>['Profoxydim', 'Tetris', '139001-49-3', 'clefoxidim', 'clefoxydim', 'Aura', 'Profoxydim 1', 'SCHEMBL336137', 'BAS 625H', 'CHEBI:144786', 'DB14820', '2-[1-[2-(4-chlorophenoxy)propoxyamino]butylidene]-5-(thian-3-yl)cyclohexane-1,3-dione', 'NS00015824', '2-{1-[2-(4-chlorophenoxy)propoxyimino]butyl}-3-hydroxy-5-(thian-3-yl)cyclohex-2-en-1-one', '2-(1-{[2-(4-Chlorophenoxy)propoxy]imino}butyl)-3-hydroxy-5-(tetrahydro-2H-thiopyran-3-yl)cyclohex-2-en-1-one', '2-[1-[[2-(4-chlorophenoxy)propoxy]imino]butyl]-3-hydroxy-5-(tetrahydro-2h-thiopyran-3-yl)-2-cyclohexen-1-one', '2-{N-[2-(4-chlorophenoxy)propoxy]butanimidoyl}-3-hydroxy-5-(tetrahydro-2H-thiopyran-3-yl)cyclohex-2-en-1-one']</t>
  </si>
  <si>
    <t>Compound(135618618)</t>
  </si>
  <si>
    <t>C24H32ClNO4S</t>
  </si>
  <si>
    <t>progesterone</t>
  </si>
  <si>
    <t>(8S,9S,10R,13S,14S,17S)-17-acetyl-10,13-dimethyl-1,2,6,7,8,9,11,12,14,15,16,17-dodecahydrocyclopenta[a]phenanthren-3-one</t>
  </si>
  <si>
    <t>['progesterone', '57-83-0', 'Pregn-4-ene-3,20-dione', 'Agolutin', 'Luteohormone', 'Crinone', '4-Pregnene-3,20-dione', 'Progestin', 'Syngesterone', 'Utrogestan', 'Luteol', 'Corpus luteum hormone', 'Glanducorpin', 'Pregnenedione', 'Progesterol', 'Corlutin', 'Cyclogest', 'Gestone', 'Gestormone', 'Progestone', 'Progestron', 'Prometrium', 'Hormoflaveine', 'Methylpregnone', 'Progestasert', 'Progesteronum', 'Progestronol', 'Corlutina', 'Corluvite', 'Corporin', 'Flavolutan', 'Fologenon', 'Gesterol', 'Gynlutin', 'Gynolutone', 'Hormoluton', 'Lingusorbs', 'Lucorteum', 'Luteodyn', 'Luteogan', 'Luteopur', 'Luteosan', 'Luteostab', 'Luteovis', 'Lutociclina', 'Lutocyclin', 'Lutocylin', 'Lutoform', 'Lutromone', 'Membrettes', 'Nalutron', 'Piaponon', 'Primolut', 'Progekan', 'Progestosol', 'Prolidon', 'Proluton', 'Protormone', 'Syngestrets', 'Syntolutan', 'Gestron', 'Lutidon', 'Lutogyl', 'Lutren', 'Prolets', 'Lutex', 'Luteal hormone', 'Lucorteum Sol', 'Bio-luton', 'Lutocyclin M', 'Lipo-Lutin', 'Luteocrin normale', 'Luteinique', 'Prochieve', 'Prolutone', 'Lutin', 'Synovex S', 'Projestaject', '17alpha-Progesterone', 'Gynoluton', 'Gesterol 50', 'Percutacrine Luteinique', 'Gesterol 100', 'Cyclogesterin', 'Prolutin', 'Pregnene-3,20-dione', 'Colprosterone', 'Progestogel', 'Akrolutin', '3,20-Pregnene-4', '(S)-Progesterone', 'Crinone progesterone gel', 'Endometrin', 'Gestiron', 'Lugesteron', 'Progesteron', 'Progestol', 'Luteol (VAN)', 'Gelbkoerperhormon', 'Lutocuclin M', '.beta.-Progesterone', 'Percutacrine', 'Progeffik', 'Utrogest', 'Vitarrine', 'Luteum', 'Progesteronum [INN-Latin]', 'Progesterona [INN-Spanish]', 'NSC-9704', 'delta(sup 4)-Pregnene-3,20-dione', '(S)-4-Pregnene-3,20-dione', 'Delta(4)-pregnene-3,20-dione', '(S)-Pregn-4-en-3,20-dione', 'CCRIS 533', 'Prontogest', 'Estima', '17.alpha.-Progesterone', 'HSDB 3389', 'Progesterone [Progestins]', 'AI3-51682', 'Prometrium (TN)', 'Pregn-4-en-3,20-dione', 'UNII-4G7DS2Q64Y', 'Crinone (TN)', '6alpha-Methylpregn-4-en-17alpha-ol-3,20-dione', 'CHEBI:17026', '.delta.4-Pregnene-3,20-dione', '17alpha-Hydroxy-6alpha-methylpregn-4-ene-3,20-dione', 'NSC 9704', 'Pregn-4-ene-3,20-dione, 17alpha-hydroxy-6alpha-methyl-', 'component of Cyclogesterin', 'EINECS 200-350-6', 'NSC 64377', '(8S,9S,10R,13S,14S,17S)-17-Acetyl-10,13-dimethyl-1,2,6,7,8,9,11,12,14,15,16,17-dodecahydrocyclopenta[a]phenanthren-3-one', '4-Pregnen-3,20-dione', '.delta.(sup4)-Pregnene-3,20-dione', 'CHEMBL103', 'D4-Pregnene-3,20-dione', 'MLS000028517', '4G7DS2Q64Y', 'NSC9704', 'NSC64377', 'NSC-64377', 'Progesterone, 98%', 'NCGC00015785-04', 'SMR000058345', 'DSSTox_CID_2370', 'U 3672', 'DSSTox_RID_76562', 'DSSTox_GSID_22370', '(8S,9S,10R,13S,14S,17S)-17-acetyl-10,13-dimethyl-1,2,6,7,8,9,10,11,12,13,14,15,16,17-tetradecahydro-3H-cyclopenta[a]phenanthren-3-one', '6.alpha.-Methylpregn-4-en-17.alpha.-ol-3,20-dione', '17.alpha.-Hydroxy-6.alpha.-methylpregn-4-ene-3,20-dione', 'Progesterona', 'Progestan', 'Pregn-4-ene-3,20-dione, 17.alpha.-hydroxy-6.alpha.-methyl-', '(1S,10S,11S,14S,15S,2R)-14-acetyl-2,15-dimethyl-5-oxotetracyclo[8.7.0.0&lt;2,7&gt;.0 &lt;11,15&gt;]heptadec-6-ene', '(8S,9S,10R,13S,14S,17S)-17-Acetyl-10,13-dimethyl-6,7,8,9,10,11,12,13,14,15,16,17-dodecahydro-1H-cyclopenta[a]phenanthren-3(2H)-one', '753497-20-0', 'SMR000653542', 'Progesterone (Prometrium)', 'WLN: L E5 B666 OV MUTJ A1 E1 FV1', 'SR-01000000088', 'SR-01000076054', 'Pregn-4-ene-3, 17.alpha.-hydroxy-6.alpha.-methyl-', 'BHR-100', 'Duraprogen', 'Progestrel', 'Lipolutin', 'Lutinus', 'Lutogynon', 'delta4-Pregnene-3,20-dione', 'Progesterone [INN:BAN:JAN]', 'Progesterone??', 'beta-Progesterone', '1dbb', '17a-Progesterone', 'CAS-57-83-0', 'delta(Sup4)-pregnene-3,20-dione', 'Progesterone [USP:INN:BAN:JAN]', 'racemic progesterone', 'Prestwick_411', 'Natural Progesterone', 'CIDR', 'mpp22', 'Micronized Progesterone', '2aa6', '4bb2', 'Opera_ID_292', 'PROG;', 'Progesterone, &gt;=99%', 'Prestwick0_000477', 'Prestwick1_000477', 'Prestwick2_000477', 'Prestwick3_000477', 'Spectrum5_002053', 'Cyclogesterin (Salt/Mix)', 'bmse000482', 'Epitope ID:116051', 'EC 200-350-6', 'Pregn-4-ne-3,20-ione', 'SCHEMBL7671', 'BIDD:PXR0094', 'Lopac0_000895', 'BSPBio_000614', 'KSC607K0T', 'MLS000758277', 'MLS001074187', 'MLS001423982', 'MLS002222367', 'BIDD:ER0547', 'P0130_SIGMA', 'SPBio_002553', '.delta.-Pregnene-3,20-dione', 'BDBM8903', 'BPBio1_000676', 'GTPL2377', 'Hydroxyprogesterone Caproic acid', 'DTXSID3022370', 'CTK5A7509', 'Progesterone (JP17/USP/INN)', 'BHR-310', 'ETI-411', '1a28', '1h60', 'HMS1569O16', 'HMS2051O05', 'HMS2090J07', 'HMS2096O16', 'HMS2230F23', 'HMS2233P11', 'HMS3262D12', 'HMS3713O16', 'Pregnene, 3,20-dione-delta^4-', 'BCP22000', 'HY-N0437', 'ZINC4428529', 'Tox21_113157', 'Tox21_201792', 'Tox21_300307', 'Tox21_500895', 'AC-700', 'CMC_13406', 'LMST02030159', 'LS-234', 'MFCD00003658', 's1705', 'SBB012538', 'AKOS015894908', 'Progesterone; 4-Pregnene-3,20-dione', 'ACN-032010', 'CCG-100766', 'CS-1937', 'DB00396', 'DR-2011', 'EBD2157912', 'LP00895', 'NC00016', 'SDCCGSBI-0050870.P002', 'Progesterone 1.0 mg/ml in Acetonitrile', 'NCGC00022185-03', 'NCGC00022185-04', 'NCGC00022185-05', 'NCGC00022185-06', 'NCGC00022185-07', 'NCGC00022185-08', 'NCGC00022185-09', 'NCGC00022185-10', 'NCGC00022185-11', 'NCGC00022185-12', 'NCGC00022185-14', 'NCGC00090798-01', 'NCGC00090798-02', 'NCGC00254120-01', 'NCGC00259341-01', 'NCGC00261580-01', 'AS-12660', 'CPD000058345', 'NCI60_042166', 'SC-22719', 'ST069329', 'FE-999913', 'EU-0100895', 'P0478', '(14beta,17alpha)-pregn-4-ene-3,20-dione', 'Progesterone, meets USP testing specifications', 'Progesterone, Vetec(TM) reagent grade, 98%', '6370-EP1441224A2', '6370-EP2269989A1', '6370-EP2269990A1', '6370-EP2275420A1', '6370-EP2284149A1', '6370-EP2289892A1', '6370-EP2292088A1', '6370-EP2292233A2', '6370-EP2292592A1', '6370-EP2295055A2', '6370-EP2295416A2', '6370-EP2298731A1', '6370-EP2298748A2', '6370-EP2298764A1', '6370-EP2298765A1', '6370-EP2298772A1', '6370-EP2305636A1', '6370-EP2305642A2', '6370-EP2308839A1', '6370-EP2308880A1', '6370-EP2311453A1', 'C00410', 'D00066', 'J10165', 'P 0130', 'Q26963', 'S00293', '10324-EP2295503A1', '10324-EP2301536A1', '10324-EP2301538A1', '10324-EP2311455A1', '10324-EP2316452A1', 'Progesterone, VETRANAL(TM), analytical standard', 'Q-201624', 'SR-01000000088-5', 'SR-01000000088-6', 'SR-01000076054-1', 'SR-01000076054-4', 'BRD-K64994968-001-03-6', '32104FB6-BF81-4F6E-83C2-024DEEAEB272', 'Progesterone, British Pharmacopoeia (BP) Reference Standard', 'Progesterone, powder, BioReagent, suitable for cell culture', 'Progesterone, European Pharmacopoeia (EP) Reference Standard', 'Progesterone, gamma-irradiated, BioXtra, suitable for cell culture', 'Progesterone, United States Pharmacopeia (USP) Reference Standard', 'Progesterone-Water Soluble, powder, BioReagent, suitable for cell culture', 'Progesterone for peak identification, European Pharmacopoeia (EP) Reference Standard', 'Progesterone for system suitability, European Pharmacopoeia (EP) Reference Standard', 'Progesterone, Pharmaceutical Secondary Standard; Certified Reference Material', '(1S,2R,10S,11S,14S,15S)-14-acetyl-2,15-dimethyltetracyclo[8.7.0.0;{2,7}.0;{11,15}]heptadec-6-en-5-one', '137940-28-4', 'Progesterone solution, 1.0 mg/mL in acetonitrile, ampule of 1 mL, certified reference material']</t>
  </si>
  <si>
    <t>Compound(5994)</t>
  </si>
  <si>
    <t>C21H30O2</t>
  </si>
  <si>
    <t>(3-methyl-5-propan-2-ylphenyl) N-methylcarbamate</t>
  </si>
  <si>
    <t>['PROMECARB', 'Carbamult', 'Promecarbe', 'Minacide', '2631-37-0', 'Schering 34615', 'Morton EP-316', 'm-Cym-5-yl methylcarbamate', 'Sch 34615', 'Nor-Am', 'Sn-316', 'OMS 716', 'ENT 27,300-a', '3-Isopropyl-5-methylphenyl methylcarbamate', 'EP 316', 'Caswell No. 271C', 'Promecarb [BSI:ISO]', 'UC 9880', 'Promecarbe [ISO-French]', 'SN 34615', '3-Methyl-5-isopropylphenyl methylcarbamate', '5-Methyl-m-cumenyl methylcarbamate', 'Union carbide UC-9880', 'Carbamic acid, methyl-, m-cym-5-yl ester', '3-Isopropyl-5-methylphenyl N-methylcarbamate', 'Phenol, 3-methyl-5-(1-methylethyl)-, methylcarbamate', 'NSC 35378', 'UNII-1QRP20775S', 'HSDB 1554', '5-Isopropyl-m-tolyl methylcarbamate', 'ENT 27300-A', 'EINECS 220-113-0', 'ENT 27300', 'Methylcarbamic acid m-cym-5-yl ester', 'RCRA waste no. P201', 'EPA Pesticide Chemical Code 271400', '3-Methyl-5-isopropyl N-methylcarbamate', 'BRN 2111695', 'T-32', 'AI3-27300', 'Carbamic acid, N-methyl-, 3-methyl-5-isopropylphenyl ester', '3-Methyl-5-isopropylphenyl-N-methylcarbamate', 'CHEBI:82096', '3-Methyl-5-(1-methylethyl)phenolmethylcarbamate', '1QRP20775S', '3-Methyl-5-(1-methylethyl)phenol methylcarbamate', '3-Methyl-5-(1-methylethyl)phenyl methylcarbamate', '(3-Methyl-5-isopropylphenyl)-N-methylcarbamat [German]', 'Phenol, 3-methyl-5-(1-methylethyl)-, methyl carbamate', 'Carbamic acid, methyl-, 3-methyl-5-(1-methylethyl)phenyl ester', '3-Methyl-5-isopropylphenyl N-methylcarbamate', '(3-methyl-5-propan-2-ylphenyl) N-methylcarbamate', '(3-Methyl-5-isopropylphenyl)-N-methylcarbamat', 'DSSTox_CID_17617', 'DSSTox_RID_79349', 'DSSTox_GSID_37617', 'SCHEMBL121314', 'CHEMBL1076537', 'DTXSID4037617', 'Carbamic acid, m-cym-5-yl ester', 'WLN: 1Y1&amp;R C1 EOVM1', 'NSC35378', 'ZINC1667587', 'Tox21_301424', 'NSC-35378', 'ACM2631370', 'Promecarb 10 microg/mL in Cyclohexane', 'Promecarb 100 microg/mL in Cyclohexane', 'NCGC00163793-01', 'NCGC00255587-01', 'LS-50098', 'CAS-2631-37-0', 'DB-046925', '3-methyl-5-i-propylphenyl N-methylcarbamate', 'FT-0603615', 'NS00003842', 'Promecarb, PESTANAL(R), analytical standard', 'C18956', 'Carbamic acid, 3-methyl-5-isopropylphenyl ester', 'C-10468', 'J-016375', 'Q7249684', 'Phenol,3-methyl-5-(1-methylethyl)-,1-(N-methylcarbamate)', 'Phenol, 3-methyl-5-(1-methylethyl)-, methylcarbamate (9CI)', '4111-89-1']</t>
  </si>
  <si>
    <t>Compound(17516)</t>
  </si>
  <si>
    <t>6-methoxy-2-N,4-N-di(propan-2-yl)-1,3,5-triazine-2,4-diamine</t>
  </si>
  <si>
    <t>['prometon', '1610-18-0', 'Gesafram', 'Pramitol', 'Methoxypropazine', 'PROMETONE', 'Ontrack', 'Pramitol 5P', 'Ontrack-we-2', 'Primatol 25e', 'Gesafram 50', '2-Methoxy-4,6-bis(isopropylamino)-s-triazine', 'Ontracic 800', '2,4-Prometone', '2,4-Bis(isopropylamino)-6-methoxy-s-triazine', '4,6-Bis(isopropylamino)-2-methoxy-s-triazine', "N,N'-Diisopropyl-6-methoxy-1,3,5-triazine-2,4-diamine", 'Caswell No. 096', '2,4-Bis(isopropylamino)-6-methoxy-1,3,5-triazine', '2,6-Diisopropylamino-4-methoxytriazine', 'Prometone [ISO-French]', '2-Methoxy-4,6-bis(isopropylamino)-1,3,5-triazine', 'UNII-DY7SQ0399L', 'Prometon [ANSI:BSI:ISO]', 'NSC 163048', "N,N'-Diisopropyl-6-methoxy-1,3,5-triazine-2,4-diyldiamine", 'G-31435', 'HSDB 1519', 'EINECS 216-548-0', 's-Triazine, 2,4-bis(isopropylamino)-6-methoxy-', 'EPA Pesticide Chemical Code 080804', "1,3,5-Triazine-2,4-diamine, 6-methoxy-N,N'-bis(1-methylethyl)-", "6-Methoxy-N,N'-bis(1-methylethyl)-1,3,5-triazine-2,4-diamine", 'BRN 0613574', 'AI3-60364', 'DY7SQ0399L', 'CHEBI:34934', '6-methoxy-2-N,4-N-di(propan-2-yl)-1,3,5-triazine-2,4-diamine', 'N2,N4-Diisopropyl-6-methoxy-1,3,5-triazine-2,4-diamine', 'N2,N4-Di-isopropyl-6-methoxy-1,3,5-triazine-2,4-diamine', '1,3,5-Triazine-2,4-diamine, 6-methoxy-N2,N4-bis(1-methylethyl)-', 'DSSTox_CID_2341', 'DSSTox_RID_76553', 'DSSTox_GSID_22341', "6-methoxy-N,N'-di(propan-2-yl)-1,3,5-triazine-2,4-diamine", 'CAS-1610-18-0', '2,4-Bis-(isopropylamino)-6-methoxy-1,3,5-triazine', 'Spectrum_001831', 'SpecPlus_000432', 'Spectrum2_001884', 'Spectrum3_000826', 'Spectrum4_000666', 'Spectrum5_001964', 'Cambridge id 5353763', 'Oprea1_311967', 'SCHEMBL22999', 'BSPBio_002351', 'KBioGR_001071', 'KBioSS_002336', 'Prometon, analytical standard', 'SPECTRUM330034', '2-Methoxy-4,3,5-triazine', 'MLS000532451', 'BIDD:ER0384', 'DivK1c_006528', 'SPBio_001788', 'CHEMBL1486524', 'DTXSID6022341', 'CTK8E3502', 'KBio1_001472', 'KBio2_002333', 'KBio2_004901', 'KBio2_007469', 'KBio3_001851', 'HMS2166M10', 'HMS3309N13', 'ZINC246221', 'Tox21_202098', 'Tox21_300893', 'CCG-39422', 'NSC163048', 'AC01011', 'MCULE-9719565564', 'NSC-163048', 'NCGC00094528-01', 'NCGC00094528-02', 'NCGC00094528-03', 'NCGC00094528-04', 'NCGC00094528-05', 'NCGC00094528-06', 'NCGC00094528-07', 'NCGC00254797-01', 'NCGC00259647-01', 'SMR000137402', '2-Methoxy-4,6-bis(isopropylamino)triazine', 'LS-155137', 'FT-0718227', 'NS00010289', 'Prometon, PESTANAL(R), analytical standard', 's-Triazine,4-bis(isopropylamino)-6-methoxy-', 'C14186', 'WLN: T6N CN ENJ BO1 DMY1&amp;1 FMY1&amp;1', 'AB00053028-02', 'C-52941', 'J-009774', 'Q7249739', '2-methoxy-4,6-bis (isopropyl amino)-1,3,5-triazine', 'BRD-K99029477-001-02-6', "1,5-Triazine-2,4-diamine, 6-methoxy-N,N'-bis(1-methylethyl)-", '6-Methoxy-N~2~,N~4~-di(propan-2-yl)-1,3,5-triazine-2,4-diamine']</t>
  </si>
  <si>
    <t>Compound(4928)</t>
  </si>
  <si>
    <t>C10H19N5O</t>
  </si>
  <si>
    <t>6-methylsulfanyl-2-N,4-N-di(propan-2-yl)-1,3,5-triazine-2,4-diamine</t>
  </si>
  <si>
    <t>['prometryn', 'Prometryne', '7287-19-6', 'Gesagard', 'Prometrex', 'Selectin', 'Caparol', 'Uvon', 'Primatol Q', 'Mercasin', 'Mercazin', 'Merkazin', 'Polisin', 'Prometrin', 'Selektin', 'Sesagard', 'Gesagard 50', 'Gesagarde 50 Wp', 'Selectin 50', 'Caparol 80W', 'Promepin', 'Promethryn', 'Prometrene', 'N2,N4-Diisopropyl-6-(methylthio)-1,3,5-triazine-2,4-diamine', 'Caswell No. 097', "N,N'-Bis(1-methylethyl)-6-methylthio-1,3,5-triazine-2,4-diamine", 'UNII-1K20TB75IL', "1,3,5-Triazine-2,4-diamine, N,N'-bis(1-methylethyl)-6-(methylthio)-", 'Prometryn [ANSI:BSI:ISO]', 'A 1114', 'NSC 163049', 'G 34161', 'Prometryne [ISO-French:JMAF]', '2,4-Bis(isopropylamino)-6-methylmercapto-s-triazine', '2-Methylmercapto-4,6-bis(isopropylamino)-s-triazine', 'HSDB 4060', 's-Triazine, 2,4-bis(isopropylamino)-6-(methylthio)-', 'EINECS 230-711-3', '2-Methylthio-4,6-bis(isopropylamino)-s-triazine', 'G-34161', 'EPA Pesticide Chemical Code 080805', '2,4-Bis(isopropylamino)-6-(methylthio)-s-triazine', '2-(Methylthio)-4,6-bis(isopropylamino)-s-triazine', 'BRN 0613575', '2,4-Bis(isopropylamino)-6-methylthio-1,3,5-triazine', 'AI3-60366', '1K20TB75IL', 'CHEBI:26276', '2,4-Bis(isopropylamino)-6-methylthio-s-triazine', '6-methylsulfanyl-2-N,4-N-di(propan-2-yl)-1,3,5-triazine-2,4-diamine', 's-Triazine, 4,6-bis(isopropylamino)-2-methylmercapto-', '2,4-Bis(propylamino)-6-methylthio-1,3,5-triazin [German]', 'N,N-Di-isopropyl-6-methylthio-1,3,5-triazine-2,4-diamine', "N,N'-diisopropyl-6-(methylthio)-1,3,5-triazine-2,4-diamine", "N,N'-Diisopropyl-6-methylthio-1,3,5-triazine-2,4-diyldiamine", 'N2,N4-Di-isopropyl-6-methylthio-1,3,5-triazine-2,4-diamine', "6-(methylsulfanyl)-N,N'-di(propan-2-yl)-1,3,5-triazine-2,4-diamine", 'DSSTox_CID_4272', "N,N'-Bis(1-methylethyl)-6-methyl-thio-1,3,5-triazine-2,4-diamine", 'DSSTox_RID_77350', 'DSSTox_GSID_24272', 'Prometryn, analytical standard', 'W-104476', '2,4-Bis(isopropylamino)-6-(methylmercapto)-s-triazine', '2-(Methylmercapto)-4,6-bis(isopropylamino)-s-triazine', '6-(methylthio)-N2,N4-di(propan-2-yl)-1,3,5-triazine-2,4-diamine', 'CAS-7287-19-6', 'Promethryne', 'Cotton-Pro', 'Caparol 4L', 'Prometryn +Terbutryn', 'Spectrum_001837', 'SpecPlus_000438', 'Cotton-Pro (Salt/Mix)', 'Spectrum2_001887', 'Spectrum3_000829', 'Spectrum4_000669', 'Spectrum5_001970', 'Caparol 4L (Salt/Mix)', 'SCHEMBL7622', 'BSPBio_002357', 'KBioGR_001077', 'KBioSS_002342', 'SPECTRUM330037', '2,4-Bis(propylamino)-6-methylthio-1,3,5-triazin', 'MLS002695921', 'DivK1c_006534', 'SPBio_001794', '2-Methylthio-4,6-bis(isopropyl amino)-1,3,5-triazine', '4,6-Bis(isopropylamino)-2-(methylthio)-1,3,5-triazine', 'CHEMBL1880257', 'DTXSID4024272', 'AAEVYOVXGOFMJO-UHFFFAOYSA-', 'KBio1_001478', 'KBio2_002339', 'KBio2_004907', 'KBio2_007475', 'KBio3_001857', 'HMS3089A14', 's-Triazine, 2,4-bis(isopropylamino)-6-(methylthio)- (8CI)', 'ZINC1635499', 'Tox21_202338', 'Tox21_300807', 'CCG-39425', 'NSC163049', 'STK687533', 'AKOS005206531', 'Prometryn 1000 microg/mL in Acetone', 'MCULE-8449557554', 'NSC-163049', 'Prometryn 10 microg/mL in Cyclohexane', 'Prometryn 10 microg/mL in Acetonitrile', 'NCGC00094530-01', 'NCGC00094530-02', 'NCGC00094530-03', 'NCGC00094530-04', 'NCGC00094530-05', 'NCGC00094530-06', 'NCGC00254711-01', 'NCGC00259887-01', 'Prometryn 100 microg/mL in Acetonitrile', 'CC-33942', 'O632', 'SMR000778056', 'DB-055688', 'HY-121324', 'LS-155138', 'CS-0081435', 'FT-0630367', 'NS00010269', 'Prometryn, PESTANAL(R), analytical standard', 'Bis(isopropylamino)-6-(methylthio)-S-triazine', 'C18542', 'WLN: T6N CN ENJ BS1 DMY1&amp;1 FMY1&amp;1', '2,4-Bis(isopropylamino)-6-(methylthio)triazine', '287P196', 'A837648', 'C-14516', 's-Triazine,4-bis(isopropylamino)-6-(methylthio)-', 'Q1257341', '2-Methylthio-4,6-bis(isopropylamino)-1,3,5triazine', 'BRD-K32582260-001-02-5', 's-Triazine,6-bis(isopropylamino)-2-(methylmercapto)-', '2,4-Bis(isopropylamino)-6-(methylthio)-1,3,5-triazine', 'S-Triazine, 2,4-bis(isopropylamino)-6-methylmercapto-', 's-Triazine, 4,6-bis(isopropylamino)-2-(methylmercapto)-', "2,4-Diamine-N,N'-bis(1-methylethyl)-6-(methylthio)triazine", "6-methylsulfanyl-N,N'-di(propan-2-yl)-1,3,5-triazine-2,4-diamine", "N,N'-Diisopropyl-6-(methylsulfanyl)-1,3,5-triazine-2,4-diamine", "1,5-Triazine-2,4-diamine, N,N'-bis(1-methylethyl)-6-(methylthio)-", '6-methylsulfanyl-N2,N4-di(propan-2-yl)-1,3,5-triazine-2,4-diamine', "1,3,5-Triazine-2,4-diamine, N,N'-bis(1-methylethyl)-6-(methylthio)- (9CI)", '6-(Methylsulfanyl)-N~2~,N~4~-di(propan-2-yl)-1,3,5-triazine-2,4-diamine', 'Prometryn solution, 100 mug/mL in acetonitrile, PESTANAL(R), analytical standard']</t>
  </si>
  <si>
    <t>Compound(4929)</t>
  </si>
  <si>
    <t>C10H19N5S</t>
  </si>
  <si>
    <t>N,N-dimethyl-1-phenothiazin-10-ylpropan-2-amine</t>
  </si>
  <si>
    <t>['promethazine', 'Proazamine', 'Diphergan', '60-87-7', 'Promethazin', 'Phenargan', 'Phensedyl', 'Promazinamide', 'Promezathine', 'Protazine', 'Isophenergan', 'Diprazine', 'Diprozin', 'Fenetazina', 'Histargan', 'Prometazin', 'Prothazin', 'Provigan', 'Thiergan', 'Vallergine', 'Aprobit', 'Avomine', 'Dimapp', 'Fargan', 'Fenazil', 'Hiberna', 'Phargan', 'Procit', 'Prorex', 'Tanidil', 'Promethacon', 'Promethegan', 'Pyrethiazine', 'Lilly 1516', 'Prometazina', 'Atosil', 'Antiallersin', 'Promethazinum', 'Promethiazine', 'Camergan', 'Fenetazine', 'Iergigan', 'Lercigan', 'Phenerzine', 'Pilothia', 'Pilpophen', 'Pipolphene', 'Proazaimine', 'Promacot', 'Promergan', 'Promesan', 'Prometasin', 'Metaryl', 'Pelpica', 'Prometh', 'PromethazineHcl', 'Pyrethia', 'Lilly 01516', 'Phenoject-50', 'SKF 1498', '(2-Dimethylamino-2-methyl)ethyl-N-dibenzoparathiazine', 'WY 509', '10-[2-(Dimethylamino)propyl]phenothiazine', "N-(2'-Dimethylamino-2'-methyl)ethylphenothiazine", 'Pro-50', 'Promethazine [INN:BAN]', 'RP 3277', 'Prothazine', 'Dimethylamino-isopropyl-phenthiazin', 'Prometazina [INN-Spanish]', 'Promethazinum [INN-Latin]', 'N,N,alpha-Trimethyl-10H-phenothiazine-10-ethanamine', 'N-Dimethylamino-2-methylethyl thiodiphenylamine', '10-(2-Dimethylaminopropyl)phenothiazine', 'A-91033', 'NCI-C60673', '10-(2-(Dimethylamino)-2-methylethyl)phenothiazine', '3277 RP', 'CCRIS 7056', '10-(2-(Dimethylamino)propyl)phenothiazine', 'HSDB 3173', 'Dimethylamino-isopropyl-phenthiazin [German]', 'Phenothiazine, 10-(2-dimethylaminopropyl)-', 'N,N-dimethyl-1-(10H-phenothiazin-10-yl)propan-2-amine', 'EINECS 200-489-2', 'NSC 30321', 'CHEMBL643', 'BRN 0088554', '10H-Phenothiazine-10-ethanamine, N,N,alpha-trimethyl-', '10H-Phenothiazine-10-ethanamine, N,N,.alpha.-trimethyl-', 'CHEBI:8461', 'Phenothiazine, 10-[2-(dimethylamino)propyl]-', 'Sominex', 'NSC-30321', 'NCGC00015817-05', 'Prometazine', 'Rumergan', 'Valergine', 'DSSTox_CID_3518', 'DSSTox_RID_77061', 'DSSTox_GSID_23518', '38878-40-9', 'dimethyl[1-(10H-phenothiazin-10-yl)propan-2-yl]amine', 'N,N-Dimethyl-1-(10H-phenothiazin-10-yl)-2-propanamine', 'N,N-DIMETHYL-1-PHENOTHIAZIN-10-YL-PROPAN-2-AMINE', 'UNII-FF28EJQ494', 'CAS-60-87-7', 'Promethazine (JAN/INN)', 'Phenergan base', 'SR-01000002993', 'FF28EJQ494', 'N,N-dimethyl-1-phenothiazin-10-ylpropan-2-amine', 'Remsed (Salt/Mix)', '3389 R.p.', 'Pyrethia (Salt/Mix)', '(+/-)-promethazine', 'Pipolphen (Salt/Mix)', 'Spectrum_000868', 'Prestwick0_000888', 'Prestwick1_000888', 'Prestwick2_000888', 'Prestwick3_000888', 'Spectrum2_000840', 'Spectrum3_001019', 'Spectrum4_001149', 'Spectrum5_000977', '(.+/-.)-Promethazine', '10H-Phenothiazine-10-ethanamine, N,N,alpha-trimethyl-, radical ion(1+)', 'SCHEMBL4700', 'Lopac0_000899', 'Oprea1_758749', 'BSPBio_000676', 'BSPBio_002777', 'KBioGR_001697', 'KBioSS_001348', '4-27-00-01253 (Beilstein Handbook Reference)', 'DivK1c_000005', 'SPBio_000799', 'SPBio_002895', '(Dimethylamino-2-propyl-10-phenothiazine hydrochloride', 'BPBio1_000744', 'GTPL7282', 'DTXSID7023518', 'CTK1C4979', 'KBio1_000005', 'KBio2_001348', 'KBio2_003916', 'KBio2_006484', 'KBio3_001997', 'PWWVAXIEGOYWEE-UHFFFAOYSA-', 'EX-A891', 'NINDS_000005', 'HMS2089E08', 'N,N-dimethyl-1-phenothiazin-10-ylpropan-2-amine hydrochloride', 'NSC30321', 'Tox21_110227', 'BDBM50017696', 'LS-264', 'PROMETHAZINE (SEE ALSO PROMETHAZINE HYDROCHLORIDE 58-33-3)', 'AKOS015962127', 'Tox21_110227_1', '4182 R.p.', 'CCG-109848', 'DB01069', 'MCULE-8146430046', 'RP-3277', 'SDCCGSBI-0050874.P005', 'IDI1_000005', 'NCGC00015817-03', 'NCGC00015817-04', 'NCGC00015817-06', 'NCGC00015817-08', 'NCGC00015817-09', 'NCGC00015817-10', 'NCGC00015817-11', 'NCGC00015817-12', 'NCGC00015817-14', 'NCGC00089735-02', 'NCGC00089735-03', 'AC-15939', 'NCI60_001878', 'SBI-0050874.P004', 'AB00053535', 'FT-0700342', 'NS00010423', 'NS00099230', 'WLN: T C666 BN ISJ B1Y1&amp;N1&amp;1', 'C07404', 'D00494', 'AB00053535-12', 'AB00053535_13', '10H-Phenothiazine-10-ethanamine,N,N,b-trimethyl-', 'L000495', 'Q422970', 'J-690333', '10H-Phenothiazine-10-ethanamine,N,.alpha.-trimethyl-', 'SR-01000002993-10', 'N,N-Dimethyl-1-(10H-phenothiazin-10-yl)-2-propanamine #', '10H-Phenothiazine-10-ethanamine, N,N,alpha-trimethyl- (9CI)']</t>
  </si>
  <si>
    <t>Compound(4927)</t>
  </si>
  <si>
    <t>C17H20N2S</t>
  </si>
  <si>
    <t>3,5-dichloro-N-(2-methylbut-3-yn-2-yl)benzamide</t>
  </si>
  <si>
    <t>['Propyzamide', '23950-58-5', 'PRONAMIDE', '3,5-Dichloro-N-(1,1-dimethylpropynyl)benzamide', '3,5-dichloro-N-(2-methylbut-3-yn-2-yl)benzamide', 'KERB', 'Pronamid', '3,5-Dichloro-N-(1,1-dimethyl-2-propynyl)benzamide', 'Clanex', 'KERB 50W', '3,5-Dichloro-N-(1,1-dimethylprop-2-ynyl)benzamide', 'Caswell No. 306A', 'Benzamide, 3,5-dichloro-N-(1,1-dimethyl-2-propynyl)-', 'N-(1,1-Dimethylpropynyl)-3,5-dichlorobenzamide', 'Propyzamide [BSI:ISO]', 'RCRA waste number U192', 'RH 315', 'CCRIS 1413', 'UNII-2EZ95375S0', 'HSDB 5118', 'EINECS 245-951-4', '3,5-Dichloro-N-(1,1-dimethylpropynyl)-benzamide', 'RCRA waste no. U192', 'EPA Pesticide Chemical Code 101701', '3,5-Dichloro-N-(2-methyl-3-butyn-2-yl)benzamide', 'BRN 0882391', 'CHEBI:34935', '2EZ95375S0', 'AK-76408', 'DSSTox_CID_420', 'DSSTox_RID_75573', 'DSSTox_GSID_20420', '3,5-Dichloro(N-1,1-dimethyl-2-propynyl)benzamide', '3,5-Dichloro-N-(1,1-dimethyl-2-propynyl) benzamide', 'Propyzamide, analytical standard', '3,5-dichloro-N-(1,1-dimethyl-2-propyn-1-yl)benzamide', '3,5-dichloro-N-(1,1-dimethylprop-2-yn-1-yl)benzamide', 'Pronamide (Kerb)', 'CAS-23950-58-5', 'Promamide', 'Rustler', 'Cohort', 'Kerb Flo', "Campbell's rapier", 'RH-315', 'Kerb propyzamide 50', 'Propyzamide (Pronamide)', 'SCHEMBL55124', 'BIDD:ER0426', 'CHEMBL283487', 'DTXSID2020420', 'CTK8B5567', 'PHNUZKMIPFFYSO-UHFFFAOYSA-', 'CS-D1356', 'KS-00000J4X', 'ZINC2014897', 'Tox21_201413', 'Tox21_301164', 'ANW-49160', 'MFCD00055346', 'AKOS010651566', 'Pronamide (Kerb), analytical standard', 'ACN-050913', 'DS-1304', 'LS-7316', 'MCULE-7506333827', 'ACM23950585', 'NCGC00168331-01', 'NCGC00168331-02', 'NCGC00168331-03', 'NCGC00255062-01', 'NCGC00258964-01', 'Propyzamide 10 microg/mL in Cyclohexane', 'BC775590', 'BR-76408', 'I566', 'SY030062', 'Propyzamide 100 microg/mL in Acetonitrile', 'AB0013764', 'AX8019586', 'AM20060566', 'FT-0630508', 'NS00000560', 'P2374', 'C14333', 'Propyzamide, PESTANAL(R), analytical standard', 'S-1649', '950P585', 'A817006', 'J-015290', "N- (1',1'-dimethylpropynyl)-3,5-dichlorobenzamide", "N-(1',1'-dimethylpropynyl)-3,5-dichlorobenzamide", 'N-(1,1-dimethyl-2-propynyl)-3,5-dichlorobenzamide', 'Q2113173', '3,5-bis(chloranyl)-N-(2-methylbut-3-yn-2-yl)benzamide', '3,5-dichloro-N-(1,1-dimethylprop-2-ynyl)benzamide;Pronamide;pronamide', '11097-11-3', '11097-12-4']</t>
  </si>
  <si>
    <t>Compound(32154)</t>
  </si>
  <si>
    <t>C12H11Cl2NO</t>
  </si>
  <si>
    <t>propachlor</t>
  </si>
  <si>
    <t>2-chloro-N-phenyl-N-propan-2-ylacetamide</t>
  </si>
  <si>
    <t>['propachlor', '1918-16-7', '2-Chloro-N-isopropyl-N-phenylacetamide', 'Niticid', '2-Chloro-N-isopropylacetanilide', 'Propachlore', 'Bexton 4L', 'Nitacid', 'Satecid', 'Bexton', 'Prolex', 'Ramrod', 'Kartex A', 'Acilid', 'Ramrod 65', 'N-Isopropyl-2-chloroacetanilide', 'N-Isopropyl-alpha-chloroacetanilide', '2-Chloro-N-(1-methylethyl)-N-phenylacetamide', 'Chloressigsaeure-N-isopropylanilid', 'alpha-Chloro-N-isopropylacetanilide', 'Acetamide, 2-chloro-N-(1-methylethyl)-N-phenyl-', 'Acetanilide, 2-chloro-N-isopropyl-', 'Caswell No. 194', 'Propachlor [BSI:ISO]', 'CP 31393', '2-chloro-N-phenyl-N-propan-2-ylacetamide', 'Propachlore [ISO-French]', 'Ramrod 20G', 'HSDB 1200', '2-chloro-N-phenyl-N-(propan-2-yl)acetamide', 'EINECS 217-638-2', 'UNII-015443A483', 'EPA Pesticide Chemical Code 019101', 'BRN 2103903', 'AI3-51503', 'Chloressigsaeure-N-isopropylanilid [German]', 'CHEBI:19503', 'alpha-chloro-N-isopropylacetanilid', 'DSSTox_CID_4274', 'DSSTox_RID_77351', 'DSSTox_GSID_24274', 'Propachlor, analytical standard', '015443A483', 'CAS-1918-16-7', 'Albrass', 'Muharicid', 'Ramrod flowable', 'Ramrod-atrazine', 'Tripart sentinel', 'Spectrum_001885', 'SpecPlus_000506', 'Spectrum2_001842', 'Spectrum3_000843', 'Spectrum4_000683', 'Spectrum5_002002', 'Ramrod flowable (Salt/Mix)', 'SCHEMBL65571', 'BSPBio_002425', 'KBioGR_001145', 'KBioSS_002415', 'SPECTRUM330052', 'MLS002207036', 'DivK1c_006602', 'SPBio_001624', '2-Chloro-N-(1-methylethyl)-N-phenylacetamide (9CI)', 'CHEMBL1394829', 'DTXSID4024274', 'KBio1_001546', 'KBio2_002409', 'KBio2_004977', 'KBio2_007545', 'KBio3_001925', 'N-methylethyl-N-chloroacidobenzene', 'N-isopropyl-N-phenylchloroacetamide', 'BCP16676', 'ZINC2039117', 'Tox21_201734', 'Tox21_303036', 'CCG-39380', 'SBB079583', 'STL281680', '.alpha.-Chloro-N-isopropylacetanilide', 'N-Isopropyl-.alpha.-Chloroacetanilide', 'AKOS001031317', 'MCULE-5126926361', 'NE11193', 'NCGC00094539-01', 'NCGC00094539-02', 'NCGC00094539-03', 'NCGC00094539-04', 'NCGC00094539-05', 'NCGC00094539-06', 'NCGC00257041-01', 'NCGC00259283-01', 'Propachlor 100 microg/mL in Cyclohexane', 'AC-19975', 'LS-10570', 'SMR000855773', 'UPCMLD0ENAT0505-1085:001', '2-chloro-N-(methylethyl)-N-phenylacetamide', 'DB-044776', 'NS00000323', 'Propachlor, PESTANAL(R), analytical standard', '2-chloranyl-N-phenyl-N-propan-2-yl-ethanamide', '2-chloro-N-(1-methylethyl)-N-phenylethanamide', 'C18759', '918P167', 'A813527', 'SR-01000004720', 'J-012400', 'Q2112916', 'SR-01000004720-1', 'BRD-K50343025-001-02-5', 'F0017-0379']</t>
  </si>
  <si>
    <t>Compound(4931)</t>
  </si>
  <si>
    <t>C11H14ClNO</t>
  </si>
  <si>
    <t>propiconazole (sum of cis and trans)</t>
  </si>
  <si>
    <t>1-[[2-(2,4-dichlorophenyl)-4-propyl-1,3-dioxolan-2-yl]methyl]-1,2,4-triazole</t>
  </si>
  <si>
    <t>['PROPICONAZOLE', '60207-90-1', 'Propiconazol', 'Desmel', 'Tilt', 'Banner', 'Orbit', 'Caswell No. 323EE', 'CGD 92710F', 'Propiconazole [BSI:ISO]', 'UNII-142KW8TBSR', 'CGA-64250', '1-[[2-(2,4-dichlorophenyl)-4-propyl-1,3-dioxolan-2-yl]methyl]-1,2,4-triazole', '1-{[2-(2,4-dichlorophenyl)-4-propyl-1,3-dioxolan-2-yl]methyl}-1H-1,2,4-triazole', 'C15H17Cl2N3O2', 'HSDB 6731', '1-((2-(2,4-Dichlorophenyl)-4-propyl-1,3-dioxolan-2-yl)methyl)-1H-1,2,4-triazole', 'EINECS 262-104-4', 'EPA Pesticide Chemical Code 122101', 'BRN 0841361', '142KW8TBSR', 'CHEBI:8489', 'CHEMBL560579', '1-[[2-(2,4-Dichlorophenyl)-4-propyl-1,3-dioxolan-2-yl]methyl]-1H-1,2,4-triazole', '1H-1,2,4-Triazole, 1-[[2-(2,4-dichlorophenyl)-4-propyl-1,3-dioxolan-2-yl]methyl]-', 'Proconazole', 'DSSTox_CID_4280', '1-(2-(2,4-Dichlorophenyl)-4-propyl-1,3-dioxolan-2-ylmethyl)-1H-1,2,4-triazole', '1H-1,2,4-Triazole, 1-((2-(2,4-dichlorophenyl)-4-propyl-1,3-dioxolan-2-yl)methyl)-', 'DSSTox_RID_77353', 'DSSTox_GSID_24280', 'W-105271', 'Bumper', '2-(2,4-dichlorophenyl)-4-propyl-2-(1,2,4-triazolylmethyl)-1,3-dioxolane', '(+-)-1-[2-(2,4-dichlorophenyl)-4-propyl-1,3-dioxolan-2-yl-methyl]-1H-1,2,4-triazole', '1-(2-(2,4-Dichlorophenyl)-4-propyl-1,3-dioxolan-2-yl)methyl-1H-1,2,4-triazole', 'CAS-60207-90-1', 'Aidol SW 900', 'Propiconizole', 'Propyconazol', '1-[2-(2,4-dichlorophenyl)-4-propyl-1,3-dioxolan-2-ylmethyl]-1H-1,2,4-triazole', 'Propiconazole (I)', 'Propiconazole (II)', 'Oprea1_008846', 'Oprea1_352194', 'SCHEMBL21081', '5-26-01-00205 (Beilstein Handbook Reference)', 'MLS000525333', 'DTXSID8024280', 'Propiconazole, analytical standard', 'HMS1607I03', 'HMS2351B22', 'HY-B0847', 'Tox21_201469', 'Tox21_300859', 'BDBM50295562', 'STL563469', 'AKOS000582963', 'AKOS021983464', 'API0003950', 'MCULE-6014167945', 'NCGC00163741-01', 'NCGC00163741-02', 'NCGC00163741-03', 'NCGC00163741-04', 'NCGC00163741-05', 'NCGC00163741-06', 'NCGC00163741-07', 'NCGC00254762-01', 'NCGC00259020-01', '75881-82-2', 'AS-12670', 'Propiconazole 1000 microg/mL in Acetone', 'SC-18416', 'SMR000122207', 'ST020560', 'Propiconazole 10 microg/mL in Cyclohexane', 'DB-053556', 'LS-155947', 'Propiconazole 10 microg/mL in Acetonitrile', 'Propiconazole 100 microg/mL in Cyclohexane', 'CS-0012861', 'FT-0630720', 'NS00000220', 'Propiconazole 100 microg/mL in Acetonitrile', '1-((2-(2,4-dichlorophenyl)-4-propyl-1,3', 'C11121', 'Propiconazole, PESTANAL(R), analytical standard', '207P901', 'A832641', 'Q414357', '1-([2-(2,4-Dichlorophenyl)-4-propyl-1,3-dioxolan-2-yl]methyl)-1H-1,2,4-triazole #', '1-[2-(2,4-Dichloro-phenyl)-4-propyl-[1,3]dioxolan-2-ylmethyl]-1H-[1,2,4]triazole', '1H-1,2,4-Triazole-1-((2-(2,4-dichlorophenyl)-4-propyl-1,3-dioxolan-2-yl)methyl', 'Propiconazole solution, 100 ng/muL in methanol, PESTANAL(R), analytical standard', 'propiconazole;1-[[2-(2,4-dichlorophenyl)-4-propyl-1,3-dioxolan-2-yl]methyl]-1H-1,2,4-triazole']</t>
  </si>
  <si>
    <t>Compound(43234)</t>
  </si>
  <si>
    <t>C15H17Cl2N3O2</t>
  </si>
  <si>
    <t>2,6-di(propan-2-yl)phenol</t>
  </si>
  <si>
    <t>['propofol', '2,6-DIISOPROPYLPHENOL', '2078-54-8', 'Diprivan', 'Disoprofol', 'Disoprivan', 'Diisopropylphenol', '2,6-Bis(1-methylethyl)phenol', 'Fresofol', 'Ampofol', 'Phenol, 2,6-bis(1-methylethyl)-', 'Rapinovet', 'Propofolum', 'Recofol', 'Ivofol', 'Propofol-Lipuro', 'Pofol', 'ICI 35868', '2,6-di(propan-2-yl)phenol', 'Propofolum [Latin]', 'Diprifusor', 'Diprofol', 'Propovan', 'Phenol, 2,6-diisopropyl-', '2,6-Diisopropyl phenol', 'Diprivan 10', 'Diprivan Injectable emulsion', '2,6-bis(propan-2-yl)phenol', 'UNII-YI7VU623SF', 'NSC 5105', 'ICI-35868', 'CCRIS 9000', 'HSDB 7123', 'C12H18O', '2,6-diisopropyl-phenol', 'EINECS 218-206-6', '2,6-bis(Isopropyl)phenol', 'CHEMBL526', 'BRN 1866484', 'YI7VU623SF', 'AI3-26295', 'CHEBI:44915', 'NSC5105', 'NSC-5105', 'MFCD00008885', 'NCGC00015389-08', 'Aquafol', 'CAS-2078-54-8', 'DSSTox_CID_3523', 'DSSTox_RID_77063', 'DSSTox_GSID_23523', '2,6 Diisopropylphenol', 'Dipravan', 'Propoven', 'Aquafo', 'Propofol IDD-D', 'Diprivan (TN)', 'Propofol [USAN:INN:BAN]', 'SMR000059151', '2, 6-Diisopropylphenol', 'SR-01000075468', 'DDS-04F', 'ghl.PD_Mitscher_leg0.558', 'Propofol [USAN:USP:INN:BAN]', 'propofol;Disoprofol', 'Di-iso-propylphenol', 'ICI35,868', 'Propofol (Diprivan)', 'ICI 35,868', 'ICI-35,868', 'ZD-0859', 'Phenol,6-diisopropyl-', 'ACMC-1CPLW', 'Prestwick0_000931', 'Prestwick1_000931', 'Prestwick2_000931', 'Prestwick3_000931', '2,6-di isopropyl phenol', 'Biomol-NT_000248', 'Lopac-D126608', 'Diisopropylphenol (Related)', '2,6-bis(methylethyl)phenol', 'Propofol (JAN/USP/INN)', 'Lopac0_000437', 'SCHEMBL36245', 'BSPBio_000862', '4-06-00-03435 (Beilstein Handbook Reference)', 'KSC490K5P', 'MLS001066348', 'MLS001335999', 'MLS002454360', 'BIDD:GT0436', 'SPECTRUM1505022', 'SPBio_003031', '2,6-Diisopropylphenol, 97%', 'BPBio1_000950', 'BPBio1_000969', 'GTPL5464', 'Phenol,6-bis(1-methylethyl)-', 'DTXSID6023523', 'CTK3J0557', 'Propofol 1.0 mg/ml in Methanol', '2,6-Diisopropylphenol, &gt;=97%', '3f33', '3p50', 'HMS1570L04', 'HMS2089O21', 'HMS2094E17', 'HMS2097L04', 'HMS2231E16', 'HMS3259E03', 'HMS3261G16', 'HMS3369I16', 'HMS3714L04', 'Pharmakon1600-01505022', 'ZINC968303', 'BCP02920', 'HY-B0649', 'KS-00000MQ0', 'Tox21_110134', 'Tox21_201371', 'Tox21_303225', 'Tox21_500437', 'ANW-24224', 'BDBM50058046', 'CP0141', 'LS-996', 'NSC758909', 'Phenol, 2, 6-bis(1-methylethyl)-', 'AKOS009159417', 'Tox21_110134_1', 'AC-2038', 'AM90311', 'CCG-204529', 'CS-W020057', 'DB00818', 'ICI 35-868', 'LP00437', 'MCULE-1903292305', 'NC00449', 'NSC-758909', 'SDCCGSBI-0050422.P002', 'VZ22957', '2,6-DIISOPROPYLPHENOL; PROPOFOL', 'MLS-0318084', 'NCGC00015389-01', 'NCGC00015389-02', 'NCGC00015389-03', 'NCGC00015389-04', 'NCGC00015389-05', 'NCGC00015389-06', 'NCGC00015389-07', 'NCGC00015389-09', 'NCGC00015389-10', 'NCGC00015389-11', 'NCGC00015389-14', 'NCGC00091538-01', 'NCGC00091538-02', 'NCGC00091538-03', 'NCGC00091538-04', 'NCGC00091538-05', 'NCGC00091538-06', 'NCGC00257228-01', 'NCGC00260670-01', 'NCGC00261122-01', 'AS-13299', 'H835', 'SC-18796', 'SY013479', '2,6-Diisopropylphenol, analytical standard', 'BCP0726000298', 'MLS-0318084.P017', 'AB00513968', 'D0617', 'EU-0100437', 'NS00007907', 'ST50405911', 'C07523', 'D00549', 'AB00513968-07', 'AB00513968_08', 'A814898', 'D126608', 'Q422740', 'Q-201631', 'SR-01000075468-1', 'SR-01000075468-4', 'SR-01000075468-6', 'BRD-K82255054-001-03-5', 'BRD-K82255054-001-08-4', 'Propofol, British Pharmacopoeia (BP) Reference Standard', 'Propofol, European Pharmacopoeia (EP) Reference Standard', 'Z1245735300', 'Propofol, United States Pharmacopeia (USP) Reference Standard', 'Propofol, Pharmaceutical Secondary Standard; Certified Reference Material', 'Propofol for peak identification, European Pharmacopoeia (EP) Reference Standard', 'Propofol solution, 1.0 mg/mL in methanol, ampule of 1 mL, certified reference material', '113981-41-2']</t>
  </si>
  <si>
    <t>Compound(4943)</t>
  </si>
  <si>
    <t>propyphenazon</t>
  </si>
  <si>
    <t>1,5-dimethyl-2-phenyl-4-propan-2-ylpyrazol-3-one</t>
  </si>
  <si>
    <t>['Propyphenazone', 'isopropylantipyrine', '479-92-5', '4-Isopropylantipyrine', 'Isopropylphenazone', 'Isopropyrine', 'Isopropylantipyrin', 'Isopropylantipyrinum', 'Larodon', 'Propifenazona', 'Propyphenazonum', 'Propyphenazon', '1-Phenyl-2,3-dimethyl-4-isopropyl-3-pyrazolin-5-one', '1-Phenyl-2,3-dimethyl-4-isopropylpyrazol-5-one', 'Propifenazone [DCIT]', 'UNII-OED8FV75PY', '1,5-dimethyl-2-phenyl-4-propan-2-ylpyrazol-3-one', 'Propifenazona [INN-Spanish]', 'Propyphenazonum [INN-Latin]', 'CCRIS 6716', 'Propyphenazone [INN:BAN:DCF]', 'ANTIPYRINE, 4-ISOPROPYL-', '4-Isopropyl-2,3-dimethyl-1-phenyl-3-pyrazolin-5-one', 'CHEBI:135538', '3H-Pyrazol-3-one, 1,2-dihydro-1,5-dimethyl-4-(1-methylethyl)-2-phenyl-', 'EINECS 207-539-2', 'OED8FV75PY', '4-Isopropyl-1,5-dimethyl-2-phenyl-1,2-dihydro-pyrazol-3-one', 'BRN 0204533', '2,3-Dimethyl-4-isopropyl-1-phenyl-3H-pyrazolin-5-one', '3-Pyrazolin-5-one, 2,3-dimethyl-4-isopropyl-1-phenyl-', '3-Pyrazolin-5-one, 4-isopropyl-2,3-dimethyl-1-phenyl-', '1,5-dimethyl-2-phenyl-4-(propan-2-yl)-1,2-dihydro-3H-pyrazol-3-one', '5-Pyrazolone, 1-phenyl-2,3-dimethyl-4-isopropyl-', 'NCGC00164612-01', 'Isopropchin', 'Propifenazone', '4-Isopropyl-1,5-dimethyl-2-phenyl-1,2-dihydro-3H-pyrazol-3-one', 'DSSTox_CID_3529', 'DSSTox_RID_77065', '4-Isopropyl-2,3-dimethyl-1-phenyl-5-pyrazolone', 'DSSTox_GSID_23529', 'W-106059', '4-Isopropyl-1,5-dimethyl-2-phenyl-1H-pyrazol-3(2H)-one', 'Budirol', 'Causyth', 'Cibalgina', 'CAS-479-92-5', '4-Isopropylphenazone', '2,3-dimethyl-4-(methylethyl)-1-phenyl-3-pyrazolin-5-one', 'Yoshipyrin (TN)', 'Propyphenazone,(S)', 'Propyphenazone (4-Isopropylantipyrine)', 'Propyphenazone (INN)', 'PubChem23315', 'ChemDiv2_002457', 'Epitope ID:124928', 'Isopropylantipyrine (JP17)', 'SCHEMBL23393', '5-24-01-00408 (Beilstein Handbook Reference)', 'MLS004773970', 'CHEMBL28318', '4-isopropyl-2,3-dimethyl-1-phenyl-3-pyrazoline-5-one', 'DTXSID6023529', 'PXWLVJLKJGVOKE-UHFFFAOYSA-', 'ZINC49151', 'HMS1375P15', 'HY-A0273', 'KS-000014RW', 'Tox21_112233', 's5309', 'SBB057120', 'STK766727', '1,5-dimethyl-4-(1-methylethyl)-2-phenyl-1,2-dihydro-3H-pyrazol-3-one', 'AKOS001725335', 'Tox21_112233_1', 'API0007224', 'CCG-266797', 'CS-5533', 'DB13524', 'MCULE-8150765163', '4-Isopropylantipyrine;Isopropylphenazone', 'NCGC00164612-02', 'AC-12099', 'LS-21388', 'Propyphenazone 1.0 mg/ml in Acetonitrile', 'SMR001495368', 'ST007547', 'FT-0654525', 'I0656', 'NS00010501', 'D01380', 'Q425111', 'SR-01000536454', '4-Isopropylantipyrine, analytical reference material', 'SR-01000536454-1', 'Propyphenazone, European Pharmacopoeia (EP) Reference Standard', '4-Isopropyl-1,5-dimethyl-2-phenyl-1,2-dihydro-3H-pyrazol-3-one #', 'Propyphenazone, Pharmaceutical Secondary Standard; Certified Reference Material']</t>
  </si>
  <si>
    <t>Compound(3778)</t>
  </si>
  <si>
    <t>C14H18N2O</t>
  </si>
  <si>
    <t>(4-methylsulfanylphenyl) dipropyl phosphate</t>
  </si>
  <si>
    <t>['PROPAPHOS', 'Kayphosnac', '7292-16-2', 'Kayaphos', '4-Methylthiophenyl dipropyl phosphate', 'Propaphos [BSI:ISO]', 'Propafos [ISO-French]', 'UNII-0U4CU57BYP', '(4-methylsulfanylphenyl) dipropyl phosphate', 'HSDB 7134', 'NK-1158', 'BRN 2990614', '0U4CU57BYP', '4-(methylsulfanyl)phenyl dipropyl phosphate', 'O,O-Di-n-propyl-O-(4-methylthiophenyl)phosphate', 'Phosphoric acid, dipropyl 4-methylthiophenyl ester', 'Phosphoric acid, p-(methylthio)phenyl dipropyl ester', 'Propafos', 'BINGCHONGLIN', 'SCHEMBL116422', 'Phosphoric acid, 4-(methylthio)phenyl dipropyl ester', 'DTXSID2058172', 'CHEBI:38858', 'PWYIUEFFPNVCMW-UHFFFAOYSA-', 'ZINC2029326', 'Propaphos 10 microg/mL in Isooctane', '4-(methylthio)phenyl dipropyl phosphate', 'LS-107857', 'NS00009554', 'C19013', 'Q22808732', 'Phosphoric acid, 4-(methylthio)phenyl dipropyl ester (9CI)']</t>
  </si>
  <si>
    <t>Compound(23717)</t>
  </si>
  <si>
    <t>C13H21O4PS</t>
  </si>
  <si>
    <t>propargyl alcohol</t>
  </si>
  <si>
    <t>prop-2-yn-1-ol</t>
  </si>
  <si>
    <t>['PROPARGYL ALCOHOL', 'Prop-2-yn-1-ol', '2-Propyn-1-ol', '107-19-7', 'Ethynylcarbinol', '1-Propyn-3-ol', '2-Propynyl alcohol', 'Ethynyl carbinol', 'Methanol, ethynyl-', 'Propynyl alcohol', '2-Propynol', '3-Propynol', '1-Hydroxy-2-propyne', '3-Hydroxy-1-propyne', 'Acetylenylcarbinol', 'Acetylene carbinol', 'Agrisynth PA', 'Propiolic alcohol', 'RCRA waste number P102', 'prop-2-yne-1-ol', 'Prop-2-in-1-ol', 'propargylalcohol', '1-Propyn-3-yl alcohol', 'NSC 8804', '2-propyne-1-ol', 'UNII-E920VF499L', 'CCRIS 6781', 'HSDB 6054', 'Propargyl alcohol, 99%', 'EINECS 203-471-2', 'NA1986', 'RCRA waste no. P102', 'BRN 0506003', 'AI3-24359', 'CHEBI:28905', 'E920VF499L', 'Propargyl alcohol [NA1986]  [Flammable liquid]', 'ethynylmethanol', 'prop-2-ynol', 'propyn-3-ol', '1-Propyne-3-ol', '2-propyn-1 ol', 'MFCD00002912', 'prop-2-yn-I-ol', 'prop-1-yn-3-ol', 'DSSTox_CID_1883', 'bmse000363', 'EC 203-471-2', 'HC.$.CCH2OH', 'DSSTox_RID_76383', 'WLN: Q2UU1', 'DSSTox_GSID_21883', '4-01-00-02214 (Beilstein Handbook Reference)', 'CHEMBL1563026', 'DTXSID5021883', 'CTK0H5003', 'NSC8804', 'ZINC895974', 'NSC-8804', 'Tox21_200976', 'ANW-54252', 'BBL011350', 'LS-434', 'STL146440', 'AKOS000118737', 'MCULE-3909200923', 'NA 1986', 'NCGC00091559-01', 'NCGC00091559-02', 'NCGC00258529-01', 'BP-30161', 'CAS-107-19-7', 'NS00003754', 'P0536', 'C05986', 'Propargyl alcohol [NA1986] [Flammable liquid]', '151058-EP2274983A1', '151058-EP2289887A2', '151058-EP2289888A2', 'Q903345', 'Q-201629', 'F0001-0140']</t>
  </si>
  <si>
    <t>Compound(7859)</t>
  </si>
  <si>
    <t>[2-(4-tert-butylphenoxy)cyclohexyl] prop-2-ynyl sulfite</t>
  </si>
  <si>
    <t>['propargite', '2312-35-8', '2-(4-(tert-Butyl)phenoxy)cyclohexyl prop-2-yn-1-yl sulfite', 'OMITE', 'Comite', 'BPPS', 'Cyclosulfyne', 'Omait', 'Uniroyal D014', 'Omite 57E', 'Omite 85E', 'Naugatuck D-014', 'Caswell No. 130I', '2-(p-tert-Butylphenoxy)cyclohexyl propargyl sulfite', 'U.S. Rubber D-014', '2-(p-tert-Butylphenoxy)cyclohexyl 2-propynyl sulfite', '2-(4-tert-Butylphenoxy)cyclohexyl prop-2-ynyl sulfite', 'UNII-30M429ANKL', '[2-(4-tert-butylphenoxy)cyclohexyl] prop-2-ynyl sulfite', 'Propargite [ANSI:BSI:ISO]', '2-(p-t-Butylphenoxy)cyclohexyl propargyl sulfite', 'HSDB 1528', 'DO 14', '2-(4-tert-Butylphenoxy)cyclohexyl prop-2-ynyl sulphite', 'D 014', '2-(4-tert-butylphenoxy)cyclohexyl prop-2-yn-1-yl sulfite', 'EINECS 219-006-1', 'ENT 27226', 'EPA Pesticide Chemical Code 097601', 'AI3-27226', '30M429ANKL', 'DTXSID4024276', 'CHEBI:39300', 'Sulfurous acid, 2-(p-tert-butylphenoxy)cyclohexyl 2-propynyl ester', '2-(4-(1,1-Dimethylethyl)phenoxy)cyclohexyl 2-propynyl sulfite', '2-(4-(1,1-Dimethylethyl)phenoxy)cyclohexyl-2-propynyl sulfite', '2-(4-(1,1-Dimethylethyl)phenoxy)cyclohexyl 2-propynyl sulfurous acid', 'DSSTox_CID_4276', 'Sulfurous acid, 2-(4-(1,1-dimethylethyl)phenoxy)cyclohexyl 2-propynyl ester', 'Sulfurous acid, 2-[4-(1,1-dimethylethyl)phenoxy]cyclohexyl 2-propynyl ester', 'DSSTox_RID_77352', 'DSSTox_GSID_24276', 'Propargiet', 'Sulfurous acid, 2-(p-tert-butylphenoxy)cyclohexyl-2-propynyl ester', 'CAS-2312-35-8', '2-(4-tert-Butylphenoxy)cyclohexyl 2-propynyl sulfite', 'Propargil', 'C19H26O4S', 'Naugatuck D 014', 'Spectrum_001925', 'SpecPlus_000556', 'Spectrum2_001875', 'Spectrum3_000858', 'Spectrum4_000698', 'Spectrum5_002034', 'EC 219-006-1', 'SCHEMBL15358', 'BSPBio_002475', 'KBioGR_001195', 'KBioSS_002467', 'SPECTRUM330067', 'DivK1c_006652', 'SPBio_001750', 'Propargite, analytical standard', 'CHEMBL1416084', 'CTK8E6775', 'KBio1_001596', 'KBio2_002460', 'KBio2_005028', 'KBio2_007596', 'KBio3_001975', 'HY-B2028', 'KS-000024PQ', 'Tox21_202046', 'Tox21_300805', 'CCG-39413', 'AKOS007930242', 'ACM2312358', 'DS-2860', 'MP-1429', 'Propargite 100 microg/mL in Isooctane', 'NCGC00094545-01', 'NCGC00094545-02', 'NCGC00094545-03', 'NCGC00094545-04', 'NCGC00094545-05', 'NCGC00094545-06', 'NCGC00094545-07', 'NCGC00254709-01', 'NCGC00259595-01', 'Propargite 10 microg/mL in Acetonitrile', 'AC-12687', 'AK122241', 'CC-33956', 'AX8149200', 'DB-046075', 'LS-148250', 'CS-0014126', 'FT-0603603', 'NS00006783', 'C18602', '312P358', 'C-20631', 'Q168065', "2-(p-tert-Butylphenoxy)cyclohexyl 2'-propynyl sulfite", '2-(4-tert-Butylphenoxy)cyclohexyl 2-propynyl sulfite #', "2-(Para-tert-butylphenoxy)cyclohexyl-2'-propynyl sulfite", 'Propargite, PESTANAL(R), analytical standard, technical mixture', 'Sulfurous acid, 2-[4-(1,1-dimethylethyl)phenoxy]cyclohexyl 2-propyn-1-yl ester', 'Pesticide5_Propargite_C19H26O4 S_Sulfurous acid, 2-[4-(1,1-dimethylethyl)phenoxy]cyclohexyl 2-propyn-1-yl ester']</t>
  </si>
  <si>
    <t>Compound(4936)</t>
  </si>
  <si>
    <t>C19H26O4S</t>
  </si>
  <si>
    <t>propyl N-[3-(dimethylamino)propyl]carbamate</t>
  </si>
  <si>
    <t>['PROPAMOCARB', '24579-73-5', 'Propamocarbe', 'Propyl (3-(dimethylamino)propyl)carbamate', 'Carbamic acid, [3-(dimethylamino)propyl]-, propyl ester', 'UNII-8HLL7N9UWO', 'Propamocarbe [ISO-French]', 'propyl N-[3-(dimethylamino)propyl]carbamate', 'Nor-AM 39744', 'Propamocarb [ANSI:BSI:ISO]', '8HLL7N9UWO', 'Propyl 3-(dimethylamino)propylcarbamate', 'BRN 2080745', 'SN 39744', 'CHEBI:82033', 'EPA Pesticide Chemical Code 119302', 'Propamocarb free base', 'propyl [3-(dimethylamino)propyl]carbamate', 'Carbamic acid, (3-(dimethylamino)propyl)-, propyl ester', 'propamocarbe hcl', 'PROPOMOCARB', 'Propamocarb-hydrochloride', 'DSSTox_CID_20295', 'DSSTox_RID_79474', 'DSSTox_GSID_40295', 'SCHEMBL21077', 'CHEMBL1907431', 'DTXSID1040295', 'HSDB 8426', 's238', 'HY-B2026', 'ZINC2013333', 'Tox21_301213', 'Carbamic acid, (3-(dimethylamino)propyl)-, propyl ester (8CI)(9CI)', 'AKOS006283218', 'Propamocarb 1000 microg/mL in Acetone', 'NCGC00163874-02', 'NCGC00163874-03', 'NCGC00163874-04', 'NCGC00255580-01', 'Propyl (3-(dimehylamino)propyl)carbamate', 'AS-69872', 'LS-49437', 'Propamocarb 10 microg/mL in Acetonitrile', 'Propyl 3-(dimethylamino)propylcarbamate #', 'SC-18758', 'CAS-24579-73-5', 'DB-046491', 'CS-0014124', 'FT-0630513', 'NS00000441', 'C18885', 'Propamocarb, PESTANAL(R), analytical standard', 'N-(dimethylaminopropyl)-carbamic acid propylester', '579P735', 'N-(3-dimethylaminopropyl)-carbamic acid propylester', 'Q1927058', 'Carbamic acid, (3-(dimethylamino)propyl)-, propyl ester (8CI)', 'Propamocarb;Propyl [3-(dimethylamino)propyl]carbamate monohydrochloride;propyl [3-(dimethylamino)propyl]carbamate monohydrochloride;Propamocarb hydrochloride']</t>
  </si>
  <si>
    <t>Compound(32490)</t>
  </si>
  <si>
    <t>C9H20N2O2</t>
  </si>
  <si>
    <t>propyl N-[3-(dimethylamino)propyl]carbamate;hydrochloride</t>
  </si>
  <si>
    <t>['Propamocarb hydrochloride', '25606-41-1', 'UNII-V39TC0925S', 'W-110639', 'CHEBI:81735', 'V39TC0925S', 'Carbamic acid, [3-(dimethylamino)propyl]-, propyl ester, monohydrochloride', 'propyl N-[3-(dimethylamino)propyl]carbamate;hydrochloride', 'DSSTox_CID_14849', 'DSSTox_RID_79210', 'DSSTox_GSID_34849', 'SCHEMBL68988', 'CHEMBL1886212', 'DTXSID6034849', 'propyl [3-(dimethylamino)propyl]carbamate hydrochloride', 'Tox21_300681', 'AKOS025310877', 'ACM25606411', 'NCGC00163874-01', 'NCGC00254589-01', 'CAS-25606-41-1', '606P411', 'Propamocarb hydrochloride 10 microg/mL in Methanol', 'Propamocarb hydrochloride 100 microg/mL in Methanol', 'Propyl 3-(dimethyiamino)propylcarbamate hydrochloride', 'propyl 3-(dimethylamino)propylcarbamate hydrochloride', 'Q27155586']</t>
  </si>
  <si>
    <t>Compound(15575641)</t>
  </si>
  <si>
    <t>C9H21ClN2O2</t>
  </si>
  <si>
    <t>zinc;N-[1-(sulfidocarbothioylamino)propan-2-yl]carbamodithioate</t>
  </si>
  <si>
    <t>['Propineb', 'Methylzineb', 'Antracol', 'Mezineb', 'Propinebe', 'Airone', 'Taifen', '12071-83-9', 'Bayer 46131', 'Zinc propylene bisdithiocarbamate', 'BAY 46131', 'Zinc 1,2-propylene bisdithiocarbamate', 'Polymeric zinc propylenebis(dithiocarbamate)', 'DTXSID1052741', 'CHEBI:81755', 'CTK8G2601', 'AKOS016036574', 'C18450', 'J-004388', 'Q2113032']</t>
  </si>
  <si>
    <t>Compound(6100711)</t>
  </si>
  <si>
    <t>C5H8N2S4Zn</t>
  </si>
  <si>
    <t>N-(3,4-dichlorophenyl)propanamide</t>
  </si>
  <si>
    <t>['propanil', '709-98-8', 'N-(3,4-Dichlorophenyl)propanamide', 'Propanide', 'Propanex', 'Grascide', 'Propanid', 'Supernox', 'Surcopur', 'Dipram', 'Rogue', 'Chem Rice', 'Synpran N', 'Cekupropanil', 'Riselect', 'Stampede', 'Herbax', 'Strel', 'Prop job', 'STAM', 'Montrose propanil', 'Stam m-4', 'N-(3,4-Dichlorophenyl)Propionamide', 'Wham EZ', 'Propanilo', 'Erbanil', 'Stam F 34', 'Erban', 'Dichloropropionanilide', 'Propanamide, N-(3,4-dichlorophenyl)-', '3,4-Dichloropropionanilide', 'Chem-Rice', 'Prop-Job', 'Stam LV 10', "3',4'-Dichloropropionanilide", 'Herbax 4E', 'Crystal propanil-4', 'Stampede 360', 'Rosanil', 'Surpur', 'Farmco propanil', 'Stam supernox', 'Stam 80EDF', 'Herbax technical', 'Drexel Prop-Job', 'BAY 30130', 'FW 734', 'Stampede 3E', 'Herbax 3E', 'Vertac Propanil 3', 'Vertac Propanil 4', 'Propionic acid 3,4-dichloroanilide', 'Herbax LV-30', 'Caswell No. 325', 'Propanil [BSI:ISO]', 'Propanile', "Propionanilide, 3',4'-dichloro-", "3',4'-Dichlorophenylpropionanilide", 'Bayer 30 130', 'NSC 31312', 'CCRIS 3009', 'S 10165', 'UNII-F57I4G0520', 'HSDB 1226', 'Propionic acid-3,4-dichloroanilide', 'EINECS 211-914-6', 'EPA Pesticide Chemical Code 028201', 'BRN 2365645', 'AI3-31382', 'CHEBI:34936', '3,4-Dichloranilid kyseliny propionove [Czech]', 'S10165', 'B-30,130', 'F57I4G0520', 'DSSTox_CID_2111', 'DSSTox_RID_76491', 'DSSTox_GSID_22111', 'CAS-709-98-8', 'propasint', 'Arrosol', 'Dropaven', 'Propanac', 'Wham DF', '3,4-Dichloranilid kyseliny propionove', 'Propanil (DCPA )', 'Spectrum_001807', 'Stam 80 EDF', 'SpecPlus_000398', 'Spectrum2_001878', 'Spectrum3_000819', 'Spectrum4_000659', 'Spectrum5_001948', 'CBMicro_000482', 'WLN: GR BG DMV2', 'Cambridge id 5840989', "Propionanilide,4'-dichloro-", 'SCHEMBL26871', "3',4'-Dichloropropioanilide", 'BSPBio_002317', 'KBioGR_001037', 'KBioSS_002300', 'SPECTRUM330027', 'MLS002207241', 'BIDD:ER0610', 'DivK1c_006494', 'SPBio_001756', 'Propanamide,4-dichlorophenyl)-', '3,4-DCPA', 'CHEMBL1222498', 'DTXSID8022111', 'SCHEMBL21900164', 'CTK8E4284', 'KBio1_001438', 'KBio2_002298', 'KBio2_004866', 'KBio2_007434', 'KBio3_001817', 'LFULEKSKNZEWOE-UHFFFAOYSA-', 'ZINC362579', 'HY-B2030', 'NSC31312', 'SMSF0001373', 'Tox21_201774', 'Tox21_300848', 'CCG-39416', 'N-(3,4-dichlorophenyl)-propionamide', 'NSC-31312', 'Propanil 10 microg/mL in Cyclohexane', 'AKOS002960411', 'CB01718', 'CS-5217', 'MCULE-7996228609', 'Propanil 10 microg/mL in Acetonitrile', 'NCGC00094523-01', 'NCGC00094523-02', 'NCGC00094523-03', 'NCGC00094523-04', 'NCGC00094523-05', 'NCGC00094523-06', 'NCGC00094523-07', 'NCGC00254751-01', 'NCGC00259323-01', 'SMR000778058', 'BIM-0000452.P001', 'DB-055477', 'LS-124363', 'FT-0603505', 'NS00009273', 'Propanil, PESTANAL(R), analytical standard', 'C14229', 'Propanamide, N-(3,4-dichlorophenyl)-;propanil', '33059-EP2274983A1', '33059-EP2305655A2', '33059-EP2311815A1', '33059-EP2371823A1', '709P988', 'AN-652/13319019', 'Q413507', 'S 10145', 'SR-01000221575', 'Q-201627', 'SR-01000221575-1', 'BRD-K08618283-001-02-0']</t>
  </si>
  <si>
    <t>Compound(4933)</t>
  </si>
  <si>
    <t>C9H9Cl2NO</t>
  </si>
  <si>
    <t>1-naphthalen-1-yloxy-3-(propan-2-ylamino)propan-2-ol</t>
  </si>
  <si>
    <t>['propranolol', 'Propanolol', 'beta-Propranolol', '525-66-6', 'Anapriline', 'Betalong', 'Euprovasin', 'Propanalol', 'Avlocardyl', 'Dociton', 'Proprasylyt', 'Propanix', 'Reducor', 'Inderal', 'propranololo', 'Betadren', 'Corpendol', 'Sawatal', 'Sumial', 'Racemic propranolol', 'Propranololum', 'D,L-Propranolol', '(+-)-Propranolol', 'Propranololo [DCIT]', 'Propranolol [INN:BAN]', 'Propanolol [INN-Spanish]', 'Propranololum [INN-Latin]', 'CCRIS 3082', '1-(isopropylamino)-3-(1-naphthyloxy)propan-2-ol', 'AY-20694', '1-naphthalen-1-yloxy-3-(propan-2-ylamino)propan-2-ol', 'CHEMBL27', 'EINECS 208-378-0', 'EINECS 235-867-6', '1-((1-Methylethyl)amino)-3-(1-naphthalenyloxy)-2-propanol', '1-Isopropylamino-3-(1-naphthyloxy)-2-propanol', '2-Propanol, 1-(isopropylamino)-3-(1-naphthyloxy)-', 'CHEBI:8499', '2-Propanol, 1-((1-methylethyl)amino)-3-(1-naphthalenyloxy)-', 'Inderol', 'Pranolol', '13013-17-7', '1-(naphthalen-1-yloxy)-3-(propan-2-ylamino)propan-2-ol', '2-Propanol, 1-(isopropylamino)-3-(1-naphthyloxy)-, (+-)-', '2-Propanol, 1-[(1-methylethyl)amino]-3-(1-naphthalenyloxy)-', 'Inderal hydrochloride', '1-(Isopropylamino)-3-(1-naphthyloxy)-2-propanol', '3-[(methylethyl)amino]-1-naphthyloxypropan-2-ol', '(1)-1-(Isopropylamino)-3-(naphthyloxy)propan-2-ol', 'hemangiol', 'Propranalol', '[2-hydroxy-3-(naphthalen-1-yloxy)propyl](propan-2-yl)amine', 'Bedranol', 'Obzidan', 'dl-propranolol', 'AY 20694', 'racemic-Propranolol', 'NSC91523', 'b-Propranolol', 'Propranolol (TN)', '.beta.-Propranolol', 'Propranolol (INN)', '1-(Isopropylamino)-3-(naphthalen-1-yloxy)propan-2-ol', 'Dociton (Salt/Mix)', 'Inderal (Salt/Mix)', 'Obsidan (Salt/Mix)', 'Propanolol,(+/-)', 'PROPRANOLOL, d', 'Avlocardyl (Salt/Mix)', 'beta-Propranolol;Dociton', 'PROPANOLOL(-)', 'Prestwick0_000952', 'Prestwick1_000952', 'Prestwick2_000952', 'Prestwick3_000952', 'PROPRANOLOL,(+)', 'PROPRANOLOL,(-)', 'Spectrum2_001301', 'Spectrum2_001699', 'Spectrum3_000883', 'Spectrum3_001071', 'Spectrum4_000974', 'Spectrum4_001222', 'Spectrum5_000751', '(.+/-.)-Propranolol', 'SCHEMBL3955', 'Lopac0_000896', 'Oprea1_304193', 'BSPBio_000944', 'BSPBio_002682', 'CBDivE_006180', 'GTPL564', 'KBioGR_001347', 'KBioGR_001684', 'KBioGR_002515', 'KBioSS_002523', 'ARONIS27011', 'DivK1c_000023', 'SPBio_001361', 'SPBio_001658', 'SPBio_003093', 'BPBio1_001040', 'ICI 45520 (Salt/Mix)', 'NSC 91523 (Salt/Mix)', 'DTXSID6023525', 'SCHEMBL12264958', '(R)-Propranolol (hydrochloride)', 'BDBM25761', 'CTK8I6896', 'HY-B0573B', 'KBio1_000023', 'KBio2_002515', 'KBio2_005083', 'KBio2_007651', 'KBio3_001766', 'KBio3_001902', 'KBio3_002993', 'cMAP_000071', 'NINDS_000023', '(A+/-)-Propranolol hydrochloride', 'Bio1_000367', 'Bio1_000856', 'Bio1_001345', 'HMS2090L21', 'HMS3428G03', 'ALBB-023324', 'BCP26001', 'BCP31343', 'KS-00002WT3', 'BBL023437', 'PDSP1_000767', 'PDSP1_001607', 'PDSP1_001608', 'PDSP2_000755', 'PDSP2_001591', 'PDSP2_001592', 'STK735510', 'AKOS000588816', 'AKOS016050338', 'CCG-103643', 'DB00571', 'FE-0204', 'MCULE-7804628650', 'SDCCGSBI-0050871.P004', 'IDI1_000023', 'NCGC00015798-04', 'NCGC00015798-05', 'NCGC00015798-06', 'NCGC00015798-07', 'NCGC00015798-08', 'NCGC00015798-09', 'NCGC00024690-02', 'NCGC00024690-03', 'ST024757', 'SBI-0050871.P003', 'AB0108847', 'AY-64043-', 'LS-122410', 'LS-184129', 'AB00053537', 'CS-0069968', 'FT-0650563', 'FT-0674088', 'NS00000196', 'T7896', 'EN300-40731', 'C07407', 'D08443', 'AB00053537-10', 'AB00053537_11', 'AB00053537_12', '1-(Isopropylamino)-3-(1-naphthoxy)-propan-2-ol', '525P666', 'L000679', 'Q423364', '1(-alpha-naphthoxy)-3-(iso-propylamino)-2-propanol', '1-(alpha-naphthoxy)-3-(iso-propylamino)-2-propanol', '1-(alpha-naphthoxy)-3-(isopropylamino)-2-propanol', 'W-109550', '1-(isopropylamino)-3-naphthalen-1-yloxy-propan-2-ol', 'BRD-A10070317-003-06-9', 'BRD-A10070317-003-17-6', '(+/-)-1-(isopropylamino)-3-(naphthyloxy)propan-2-ol', '1-((1-Methylethyl)amino)-3-(1-naphthyloxy)-2-propanol', '1-(1-Naphthyloxy)-2-hydroxy-3-(isopropylamino)propane', 'F0001-3681', '3-(naphthalen-1-yloxy)-1-(propan-2-ylamino)propan-2-ol', '1-[(1-methylethyl)amino]-3-(naphthalen-1-yloxy)propan-2-ol', '1-[(Naphthalen-1-yl)oxy]-3-[(propan-2-yl)amino]propan-2-ol', '(+)-Propranolol hydrochloride; (R)-(+)-Propranolol hydrochloride', '2-Propanol, 1-((1-methylethyl)amino)-3-(1-naphthalenyloxy)-  (9CI)', '2-Propanol, 1-((1-methylethyl)amino)-3-(1-naphthalenyloxy)-, (+-)-', '2-Propanol, 1-((1-methylethyl)amino)-3-(1-naphthalenyloxy)-, (+-)- (9CI)', '(+/-)-Propranolol-D7 (ring-D7) solution, 100 mug/mL in methanol with 5% 1 M HCl, ampule of 1 mL, certified reference material', '[2-hydroxy-3-(naphthyloxy)propyl]isopropylammonium chloride;Propranolol hydrochloride;Propranolol;[2-hydroxy-3-(naphthyloxy)propyl]isopropylammonium acetate']</t>
  </si>
  <si>
    <t>Compound(4946)</t>
  </si>
  <si>
    <t>C16H21NO2</t>
  </si>
  <si>
    <t>propranolol hydrochloride</t>
  </si>
  <si>
    <t>1-naphthalen-1-yloxy-3-(propan-2-ylamino)propan-2-ol;hydrochloride</t>
  </si>
  <si>
    <t>['Propranolol hydrochloride', '318-98-9', 'Propranolol Hcl', 'Inderal', 'Anaprilin', 'Avlocardyl', 'Berkolol', 'Caridolol', 'Herzbase', 'Inderalici', 'Naprilin', 'Pronovan', 'Dociton', 'Ikopal', 'Inderex', 'Kemi', 'Beta Neg', 'InnoPran XL', 'Propranolol chloride', 'Indermigran', 'Proprahexal', 'Propranovitan', 'Angilol', 'Apsolol', 'Arcablock', 'Artensol', 'Beprane', 'Biocard', 'Blocaryl', 'Cardinol', 'Corbeta', 'Deralin', 'Detensol', 'Dibudinate', 'Dumopranol', 'Duranol', 'Efectolol', 'Emforal', 'Farprolol', 'Frekven', 'Hemipralon', 'Indobloc', 'Kidoral', 'Nelderal', 'Noloten', 'Novopranol', 'Obsidan', 'Panolol', 'Prandol', 'Propabloc', 'Propadex', 'Propalong', 'Propayerst', 'Prophylux', 'Propral', 'Propranur', 'Pylapron', 'Rapynogen', 'Sagittol', 'Sawatol', 'Scandrug', 'Sloprolol', 'Sudenol', 'Tensiflex', 'Tiperal', 'Acifol', 'Cinlol', 'Ciplar', 'Elbrol', 'Herzul', 'Oposim', 'Pranix', 'Procor', 'Prosin', 'Tesnol', 'Nedis', 'Sinal', 'Tonum', 'Half-Inderal', 'Propranolol.HCl', 'Prano-Puren', 'Propanolol hydrochloride', 'propra vt ct', 'Inderal La', 'Proberta LA', 'Pur-Bloka', 'NSC-91523', 'beta-NEG', '3506-09-0', '1-(Isopropylamino)-3-(1-naphthyloxy)-2-propanol hydrochloride', 'propranolol (hydrochloride)', 'DL-Propranolol hydrochloride', 'R+C5989educor', '1-(Isopropylamino)-3-(naphthalen-1-yloxy)propan-2-ol hydrochloride', 'ICI 45520', 'CCRIS 1105', 'AY 64043', 'HSDB 3176', 'EINECS 206-268-7', 'I 2065', 'ICI-45520', 'MFCD00012558', 'AY-64043', '1-(Isopropylamino)-3-(1-naphthoxy)-propan-2-ol hydrochloride', 'Inderol', 'Pranolol', 'PROPRANOLOL HYDROCHLORIDE (+/-)', '1-Isopropylamino-3-(1-naphthoxy)-propan-2-ol-hydrochloride', '1-(Isopropylamino)-3-(1-naphthyloxy)propan-2-ol hydrochloride', '1-(Isopropylamino)-3-(alpha-naphthoxy)-2-propanol hydrochloride', '(??)-Propranolol HCl', '1-(1-Naphthyloxy)-2-hydroxy-3-isopropylaminopropane hydrochloride', '(+-)-1-(Isopropylamino)-3-(1-naphthyloxy)-2-propanol hydrochloride', 'DSSTox_CID_1198', 'Inderal hydrochloride', '2-Propanol, 1-((1-methylethyl)amino)-3-(1-naphthalenyloxy)-, hydrochloride', 'C16H22ClNO2', 'DSSTox_RID_76007', 'C16H21NO2.HCl', 'DSSTox_GSID_21198', '(S)-Propranolol hydrochloride', 'Q-201632', 'W-109142', '(2-Hydroxy-3-(naphthyloxy)propyl)isopropylammonium chloride', '[2-Hydroxy-3-(naphthyloxy)propyl]isopropylammonium chloride', 'Hemangeol', 'Innopran', 'Propraratiopharm', 'DL-Propranolol hydrochloride, 99%', 'Beta-Tablinen', 'Beta-Timelets', '1-naphthalen-1-yloxy-3-(propan-2-ylamino)propan-2-ol;hydrochloride', '2-Propanol, 1-(isopropylamino)-3-(1-naphthyloxy)-, hydrochloride', 'DL-Anapriline', '1-[(1-methylethyl)amino]-3-(naphthalen-1-yloxy)propan-2-ol hydrochloride', 'CHEBI:8500', '2-Propanol, 1-((1-methylethyl)amino)-3-(1-naphthalenyloxy)-, hydrochloride, (+-)-', 'SMR000059167', 'NSC91523', 'SR-01000075285', '(R)-Propranolol hydrochloride', 'd,l-Propranolol hydrochloride', 'Efektolol', 'Migrastat', 'PROPRANOLOLHYDROCHLORIDE', 'Tev-Tropin', 'Propranolol hydrochloride intensol', 'Relax-B', '(+/-)-Propranolol, Hydrochloride', 'EINECS 222-501-5', 'Inderal (TN)', 'NSC 91523', 'Propranolol hydrochloride [USAN:JAN]', 'Innopran XL (TN)', 'Propranolol hydrochloride [USAN:USP:JAN]', 'Propranolon hydrochloride', 'Propranolol Hcl Intensol', 'CAS-318-98-9', 'CHEMBL1671', 'SCHEMBL41688', '(y)-Propranolol hydrochloride', 'MLS000859628', 'MLS001055449', 'MLS001056753', 'MLS002222321', 'MLS002548855', '(?)-Propranolol hydrochloride', 'ARONIS24408', 'SPECTRUM1505270', 'Propranolol hydrochloride, 99%', 'DTXSID3021198', '(S)-Propranolol (hydrochloride)', 'CTK3J2636', '(+/-)-Propranolol hydrochloride', 'BBC/572', 'HMS1570P06', 'HMS1571G12', 'HMS1571I04', 'HMS1922P19', 'Pharmakon1600-01505270', '(+/-)-1-(Isopropylamino)-3-(1-naphthyloxy)-2-propanol, HCl', 'ACT02695', 'BCP15350', 'BCP16675', 'EUR-1000', 'HY-B0573', 'KDM-1102', 'KS-00000V0D', 'ZX-AS004773', 'Tox21_201886', 'Tox21_302905', 'Tox21_500896', '4289AB', 'ACM318989', 'ANW-62232', 'BG0302', 'CCG-39239', 'CCG-39447', 'GP3553', 'NSC758950', 's4076', 'SBB080817', '1-(naphthalen-1-yloxy)-3-[(propan-2-yl)amino]propan-2-ol hydrochloride', '2-Propanol, 1-(isopropylamino)-3-(1-naphthyloxy)-, hydrochloride, (+-)-', 'AKOS005267141', 'Propranolol hydrochloride (JP17/USP)', '(S)-2-Fmoc-6-Chlorhex-4-ynoic acid', 'CHM0004159', 'CS-2680', 'KS-1097', 'LP00896', 'LS-7676', 'MCULE-6124856976', 'NC00687', 'NSC-758950', 'NCGC00024690-04', 'NCGC00091932-01', 'NCGC00094212-01', 'NCGC00094212-02', 'NCGC00094212-03', 'NCGC00094212-04', 'NCGC00094212-05', 'NCGC00256554-01', 'NCGC00259435-01', 'NCGC00261581-01', 'CC-33976', 'SC-15116', 'AB0011639', 'AX8233861', 'DB-018092', 'EU-0100896', 'FT-0603377', 'FT-0635178', 'FT-0636788', 'P0995', 'ST50319806', 'SW219414-1', 'WLN: L66J BO1YQ1MY1 &amp; 1 &amp; GH', 'BIM-0050871.0001', 'C-4618', 'D00483', 'J10004', 'P 0884', '( inverted question mark)-Propranolol hydrochloride', 'SR-01000075285-1', 'SR-01000075285-3', 'Q27108095', 'Z90121066', '(+/-)-Propranolol hydrochloride, &gt;=99% (TLC), powder', '1-[(methylethyl)amino]-3-naphthyloxypropan-2-ol, chloride', '3-[(methylethyl)amino]-1-naphthyloxypropan-2-ol, chloride', '(+/-)-Propranolol hydrochloride, analytical reference material', '1-(Isopropylamino)-3-(1-napthyloxy)-2-propanol hydrochloride', '1-Isopropylamino-3-(1-naphthyloxy)-2-propanol hydrochloride', 'Propranolol Hydrochloride 1.0 mg/ml in Methanol (as free base)', '(+/-)-1-Isopropylamino-3-(1-naphthyloxy)-2-propanol hydrochloride', '1-(1-Naphthyloxy)-2-hydroxy-3-(isopropylamino)propane hydrochloride', '1-(1-naphthyloxy)-2-hydroxy-3-isopropylaminopropanehydrochloride', '1-(alpha-naphthoxy)-3-(iso-propylamino)-2-propanol hydrochloride', '1-(alpha-naphthoxy)-3-(isopropylamino)-2-propanol hydrochloride', '1-(Isopropylamino)-3-(.alpha.-naphthoxy)-2-propanol hydrochloride', '(2S)-1-naphthalen-1-yloxy-3-(propan-2-ylamino)propan-2-ol;hydrochloride', 'Propranolol hydrochloride, European Pharmacopoeia (EP) Reference Standard', '( inverted question mark)-1-(Isopropylamino)-3-(1-naphthyloxy)-2-propanol hydrochloride', '(RS)-1-[(1-Methylethyl)amino]-3-(1-naphthalenyloxy)-2-propanol hydrochloride', '1-[(Naphthalen-1-yl)oxy]-3-[(propan-2-yl)amino]propan-2-ol--hydrogen chloride (1/1)', 'Propranolol hydrochloride, Pharmaceutical Secondary Standard; Certified Reference Material', 'Propranolol hydrochloride, United States Pharmacopeia (USP) Reference Standard', 'Propranolol hydrochloride for performance test, European Pharmacopoeia (EP) Reference Standard', 'Propranolol hydrochloride solution, 1.0 mg/mL in methanol (as free base), ampule of 1 mL, certified reference material']</t>
  </si>
  <si>
    <t>Compound(62882)</t>
  </si>
  <si>
    <t>propionate</t>
  </si>
  <si>
    <t>propanoate</t>
  </si>
  <si>
    <t>['propionate', 'propanoate', 'Propanoic acid, ion(1-)', 'EtCO2 anion', '72-03-7', 'UNII-AKW5EM890C', 'AKW5EM890C', 'metacetonate', 'propanate', 'pseudoacetate', 'ethanecarboxylate', 'CHEMBL500826', 'NCGC00159468-02', 'Bugle', 'Propionate ion', 'carboxylatoethane', 'Propanoic acid anion', 'Sentry Grain Preservative', 'CH3-CH2-COO(-)', 'CHEBI:17272', 'CTK4G1579', 'DTXSID90222279', 'BDBM50257201', 'STL483862', 'AKOS015901051', 'NCGC00159468-03', 'NCGC00159468-04', 'Propanoic acid,neodymium(3+) salt (9CI)', 'LS-190254', '3002-EP1441224A2', '3002-EP2269977A2', '3002-EP2270004A1', '3002-EP2270006A1', '3002-EP2270113A1', '3002-EP2272817A1', '3002-EP2272849A1', '3002-EP2272935A1', '3002-EP2275412A1', '3002-EP2275414A1', '3002-EP2275420A1', '3002-EP2277565A2', '3002-EP2277566A2', '3002-EP2277567A1', '3002-EP2277568A2', '3002-EP2277569A2', '3002-EP2277570A2', '3002-EP2277622A1', '3002-EP2277876A1', '3002-EP2277898A2', '3002-EP2280010A2', '3002-EP2280014A2', '3002-EP2281559A1', '3002-EP2284149A1', '3002-EP2284169A1', '3002-EP2284171A1', '3002-EP2284174A1', '3002-EP2287158A1', '3002-EP2287161A1', '3002-EP2287162A1', '3002-EP2287168A2', '3002-EP2289868A1', '3002-EP2289876A1', '3002-EP2289891A2', '3002-EP2292227A2', '3002-EP2292280A1', '3002-EP2292600A1', '3002-EP2292614A1', '3002-EP2295411A1', '3002-EP2295412A1', '3002-EP2295413A1', '3002-EP2295426A1', '3002-EP2295427A1', '3002-EP2295437A1', '3002-EP2295550A2', '3002-EP2298415A1', '3002-EP2298734A2', '3002-EP2298764A1', '3002-EP2298765A1', '3002-EP2298775A1', '3002-EP2298777A2', '3002-EP2305033A1', '3002-EP2305636A1', '3002-EP2305642A2', '3002-EP2305666A1', '3002-EP2305671A1', '3002-EP2305825A1', '3002-EP2308812A2', '3002-EP2308828A2', '3002-EP2308844A2', '3002-EP2308845A2', '3002-EP2308846A2', '3002-EP2308861A1', '3002-EP2308872A1', '3002-EP2308873A1', '3002-EP2308875A1', '3002-EP2311831A1', '3002-EP2311837A1', '3002-EP2314295A1', '3002-EP2314584A1', '3002-EP2316829A1', '3002-EP2316834A1', '3002-EP2316835A1', '3002-EP2316836A1', '3002-EP2371811A2', '3002-EP2374454A1', '3002-EP2374895A1', '3033-EP2295402A2', '3033-EP2301933A1', 'A839578', 'Q862450']</t>
  </si>
  <si>
    <t>Compound(104745)</t>
  </si>
  <si>
    <t>C3H5O2-</t>
  </si>
  <si>
    <t>propionic acid</t>
  </si>
  <si>
    <t>propanoic acid</t>
  </si>
  <si>
    <t>['propionic acid', 'Propanoic acid', '79-09-4', 'ethylformic acid', 'Carboxyethane', 'methylacetic acid', 'Ethanecarboxylic acid', 'Pseudoacetic acid', 'Metacetonic acid', 'Monoprop', 'Luprosil', 'Prozoin', 'Propionoic acid', 'Acide propionique', 'Methyl acetic acid', 'Antischim B', 'Sentry grain preserver', 'C3 acid', 'Tenox P grain preservative', 'Caswell No. 707', 'Propionic acid grain preserver', 'Carboxylic acids, C1-5', 'Propionsaeure', 'Propcorn', 'Propkorn', 'propoic acid', 'Propioic acid', 'acide propanoique', 'FEMA No. 2924', 'Propionic acid (natural)', 'Kyselina propionova', 'Acide propionique [French]', 'Kyselina propionova [Czech]', 'CCRIS 6096', 'EPA Pesticide Chemical Code 077702', 'Propanyl acid', 'FEMA Number 2924', 'HSDB 1192', 'UNII-JHU490RVYR', 'n-propionic acid', 'Toxi-Check', 'AI3-04167', 'CH3-CH2-COOH', 'UN1848', 'BRN 0506071', 'Propionic acid [NF]', 'CHEBI:30768', 'EINECS 201-176-3', 'MFCD00002756', 'JHU490RVYR', 'CHEMBL14021', '68937-68-8', 'metacetonate', 'propanate', 'pseudoacetate', 'ethanecarboxylate', 'C3H6O2', 'Propionic acid (NF)', 'Propionic acid [UN1848]  [Corrosive]', 'Propionic acid, ACS reagent', 'Propionic acid, &gt;=99.5%', 'PropionicAcid', 'C1-5 Carboxylic acids', 'Fatty acids, C3-24', 'Propionic acid, 99+%, extra pure', '(C3-C24) Fatty acids', 'Propionic acid [USAN:NF]', 'Luprisol', 'proponic acid', 'proprionic acid', '1-propanoic acid', '2-methylacetic acid', 'EINECS 273-079-4', 'EINECS 273-598-6', 'Acid C3', 'EtCO2H', '68990-37-4', 'Propionic acid, 99%', 'Propanoic acid (9CI)', 'C2H5COOH', 'DSSTox_CID_5961', 'bmse000179', 'Epitope ID:139981', 'Propionic acid, &gt;=99%', 'Propionic acid, 99.5%', 'EC 201-176-3', 'DSSTox_GSID_25961', 'Propionic Acid Reagent Grade', 'AMMONIUM PROPIO- NATE', 'NATURAL PROPIONIC ACID', 'Propionic acid (6CI,8CI)', 'Propionic acid, 99%, pure', '4-02-00-00695 (Beilstein Handbook Reference)', 'KSC377K4B', 'Propionic acid, 99%, FCC', 'ACMC-20977b', 'GTPL1062', 'INS NO.280', 'DTXSID8025961', 'CTK2H7540', 'INS-280', 'Top distillation cut by-product acids, monobasic (C1-C5)', 'Methylacetic Acid, Propanoic Acid', 'Propionic acid, analytical standard', 'KS-00000XF3', 'ZINC6050663', 'Propionic acid, natural, 99%, FG', 'Tox21_304030', 'ANW-13605', 'BDBM50082199', 'LMFA01010003', 'STL168039', 'Propionic acid, feed grade, 98.7%', 'AKOS000118853', 'DB03766', 'LS-1771', 'MCULE-2199051150', 'UN 1848', 'CAS-79-09-4', 'Propionic acid [UN1848] [Corrosive]', 'Propionic acid, for synthesis, 99.5%', 'NCGC00357239-01', 'Propionic acid, &gt;=99.5%, FCC, FG', 'BP-20411', 'C3:0', 'E280', 'Propionic acid, ACS reagent, &gt;=99.5%', 'S067', 'SC-22887', '613-EP2269610A2', '613-EP2269986A1', '613-EP2269988A2', '613-EP2270008A1', '613-EP2270011A1', '613-EP2270113A1', '613-EP2272935A1', '613-EP2275401A1', '613-EP2275407A1', '613-EP2275413A1', '613-EP2277848A1', '613-EP2277858A1', '613-EP2277867A2', '613-EP2277878A1', '613-EP2277880A1', '613-EP2280003A2', '613-EP2280013A1', '613-EP2280014A2', '613-EP2281563A1', '613-EP2281819A1', '613-EP2284146A2', '613-EP2284147A2', '613-EP2284159A1', '613-EP2284160A1', '613-EP2284169A1', '613-EP2284174A1', '613-EP2287152A2', '613-EP2287153A1', '613-EP2287155A1', '613-EP2287156A1', '613-EP2287161A1', '613-EP2287162A1', '613-EP2287168A2', '613-EP2289510A1', '613-EP2289883A1', '613-EP2289890A1', '613-EP2289965A1', '613-EP2292597A1', '613-EP2292599A1', '613-EP2292606A1', '613-EP2292609A1', '613-EP2292610A1', '613-EP2292617A1', '613-EP2292619A1', '613-EP2295055A2', '613-EP2295409A1', '613-EP2295424A1', '613-EP2295435A1', '613-EP2295438A1', '613-EP2298731A1', '613-EP2298735A1', '613-EP2298747A1', '613-EP2298757A2', '613-EP2298763A1', '613-EP2298772A1', '613-EP2298779A1', '613-EP2298828A1', '613-EP2301918A1', '613-EP2301922A1', '613-EP2301924A1', '613-EP2301931A1', '613-EP2301937A1', '613-EP2301940A1', '613-EP2305257A1', '613-EP2305633A1', '613-EP2305641A1', '613-EP2305646A1', '613-EP2305649A1', '613-EP2305651A1', '613-EP2305659A1', '613-EP2305666A1', '613-EP2305683A1', '613-EP2305684A1', '613-EP2305808A1', '613-EP2308838A1', '613-EP2308839A1', '613-EP2308848A1', '613-EP2308851A1', '613-EP2308854A1', '613-EP2308857A1', '613-EP2308858A1', '613-EP2308869A1', '613-EP2309584A1', '613-EP2311453A1', '613-EP2311796A1', '613-EP2311797A1', '613-EP2311798A1', '613-EP2311799A1', '613-EP2311801A1', '613-EP2311802A1', '613-EP2311803A1', '613-EP2311807A1', '613-EP2311809A1', '613-EP2311811A1', '613-EP2311816A1', '613-EP2311817A1', '613-EP2311818A1', '613-EP2311824A1', '613-EP2311830A1', '613-EP2311839A1', '613-EP2311842A2', '613-EP2311850A1', '613-EP2314586A1', '613-EP2314588A1', '613-EP2314589A1', '613-EP2314590A1', '613-EP2314593A1', '613-EP2316457A1', '613-EP2316458A1', '613-EP2316459A1', '613-EP2316825A1', '613-EP2316826A1', '613-EP2316827A1', '613-EP2316828A1', '613-EP2316837A1', '613-EP2316937A1', '613-EP2371803A1', '613-EP2371814A1', '613-EP2377843A1', '613-EP2380568A1', 'E-280', 'FT-0637136', 'FT-0658557', 'NS00008857', 'P0500', 'Propionic acid, SAJ first grade, &gt;=98.0%', 'C00163', 'D02310', '11906-EP2269978A2', '11906-EP2269985A2', '11906-EP2269991A2', '11906-EP2284150A2', '11906-EP2284151A2', '11906-EP2284152A2', '11906-EP2284153A2', '11906-EP2284155A2', '11906-EP2284156A2', '11906-EP2284164A2', '11906-EP2287140A2', '11906-EP2287148A2', '11906-EP2287150A2', '11906-EP2289871A1', '11906-EP2292590A2', '11906-EP2295419A2', '11906-EP2298732A1', '11906-EP2301534A1', '11906-EP2301912A2', '11906-EP2301913A1', '11906-EP2301914A1', '11906-EP2301916A2', '11906-EP2305637A2', '11906-EP2308832A1', '11906-EP2308863A1', '11906-EP2311451A1', '11906-EP2311796A1', '11906-EP2311797A1', '11906-EP2311798A1', '11906-EP2311799A1', '11906-EP2316450A1', '32532-EP2295430A2', '32532-EP2295431A2', '32532-EP2301544A1', '32532-EP2301933A1', '32532-EP2305825A1', '32532-EP2311824A1', '32532-EP2311827A1', 'Propionic acid, puriss. p.a., &gt;=99.5% (GC)', 'Q422956', 'F2191-0098', 'Propionic acid, BioReagent, suitable for insect cell culture, ~99%', 'Propionic acid, United States Pharmacopeia (USP) Reference Standard']</t>
  </si>
  <si>
    <t>Compound(1032)</t>
  </si>
  <si>
    <t>2-(propan-2-ylideneamino)oxyethyl (2R)-2-[4-(6-chloroquinoxalin-2-yl)oxyphenoxy]propanoate</t>
  </si>
  <si>
    <t>['Propaquizafop', 'Shogun', '111479-05-1', 'UNII-24I4RS543N', 'CHEBI:82034', '24I4RS543N', 'AGIL', 'Propaquizafop [ISO]', 'Ro 17-3664', '2-Isopropylideneamino-oxyethyl (R)-2-(4-(6-chloroquinoxalin-2-yloxy)phenoxy)propionate', 'SCHEMBL43925', 'CHEMBL2251597', 'DTXSID8057934', '2-isopropylideneaminooxyethyl (R)-2-[4-(6-chloroquinoxalin-2-yloxy)phenoxy]propionate;Propanoic acid, 2-[4-[(6-chloro-2-quinoxalinyl)oxy]phenoxy]-, 2-[[(1-methylethylidene)amino]oxy]ethyl ester, (2R)-;2-isopropylideneamino-oxyethyl(R)-2-[4-(6-chloroquinoxalin-2-yloxy)phenoxy]propionate', 'Propanoic acid, 2-(4-((6-chloro-2-quinoxalinyl)oxy)phenoxy)-, 2-(((1-methylethylidene)amino)oxy)ethyl ester, (2R)-', 'Propanoic acid, 2-(4-((6-chloro-2-quinoxalinyl)oxy)phenoxy)-, 2-(((1-methylethylidene)amino)oxy)ethyl ester, (R)-', 'ZINC25781708', 'AKOS025401687', '2-isopropylideneaminooxyethyl (R)-2-[4-(6-chloroquinoxalin-2-yloxy)phenoxy]propionate', 'AC-24496', 'HY-117262', 'CS-0064604', 'C18886', 'Propaquizafop, PESTANAL(R), analytical standard', 'Q27155700', '2-(isopropylideneamino)oxyethyl (2R)-2-[4-(6-chloroquinoxalin-2-yl)oxyphenoxy]propanoate', '(R)-2-((propan-2-ylideneamino)oxy)ethyl 2-(4-((6-chloroquinoxalin-2-yl)oxy)phenoxy)propanoate', '2-[(propan-2-ylideneamino)oxy]ethyl (2R)-2-{4-[(6-chloroquinoxalin-2-yl)oxy]phenoxy}propanoate', '2-[[(1-methylethylidene)amino]oxy]ethyl (2R)-2-[4-[(6-chloro-2-quinoxalinyl)oxy]phenoxy]propanoate', '2-{[(Propan-2-ylidene)amino]oxy}ethyl (2R)-2-{4-[(6-chloroquinoxalin-2-yl)oxy]phenoxy}propanoate']</t>
  </si>
  <si>
    <t>Compound(16213016)</t>
  </si>
  <si>
    <t>C22H22ClN3O5</t>
  </si>
  <si>
    <t>propetamphos</t>
  </si>
  <si>
    <t>propan-2-yl (E)-3-[ethylamino(methoxy)phosphinothioyl]oxybut-2-enoate</t>
  </si>
  <si>
    <t>['PROPETAMPHOS', '31218-83-4', 'CHEBI:38864', '(E)-1-Methylethyl 3-(((ethylamino)methoxyphosphinothioyl)oxy)-2-butenoate', '1-Methylethyl (E)-3-(((ethylamino)methoxyphosphinothioyl)oxy)-2-butenoate', '58995-37-2', 'trans-Isopropyl-3-[[(ethylamino)methoxyfosfinothioyl]oxy]crotonate', 'W-110796', 'propan-2-yl (E)-3-[ethylamino(methoxy)phosphinothioyl]oxybut-2-enoate', 'propan-2-yl (2E)-3-{[(ethylamino)(methoxy)phosphorothioyl]oxy}but-2-enoate', 'O-methyl O-{1-[(propan-2-yl)oxycarbonyl]prop-1-en-2-yl} ethylamidothiophosphate', 'Seraphos', 'E-Propetamphos', '(E)-1-Metiletil-3-(((etilamino)metoxifosfinotiol)oxi)-2-butenoato', 'Propetamphos (Tsar)', 'AI3-27989', 'Sandoz 52139', 'DSSTox_CID_12470', 'DSSTox_RID_78951', 'DSSTox_GSID_32470', 'Safrotin, analytical standard', 'SCHEMBL117991', 'CHEMBL1875667', 'DTXSID7032470', 'trans-isopropyl-3-[[(ethylamino)methoxyfosfinothioyl]oxy]crotonate;Trans-isopropyl-3-[[(ethylamino)methoxyphosphinothioyl]oxy]crotonate', 'VEL 4283', 'Tox21_300863', 'SAN 52139', 'AKOS015960933', '2-Butenoic acid, 3-(((ethylamino)methoxyphospinothioyl)oxy)-, 1-methylethyl ester', 'ACM31218834', 'NCGC00163952-01', 'NCGC00163952-02', 'NCGC00163952-03', 'NCGC00254767-01', 'Propetamphos 10 microg/mL in Cyclohexane', 'Propetamphos 100 microg/mL in Cyclohexane', 'CAS-31218-83-4', 'C18669', 'D08437', 'Propetamphos, PESTANAL(R), analytical standard', 'Q18629963', '(E)-isopropyl 3-((ethylamino)(methoxy)phosphorothioyloxy)but-2-enoate', 'Isopropyl (2E)-3-([(ethylamino)(methoxy)phosphorothioyl]oxy)-2-butenoate', 'isopropyl (2E)-3-{[(ethylamino)(methoxy)phosphorothioyl]oxy}but-2-enoate', '(E)-3-[[(Ethylamino)methoxyphosphinothioyl]oxy]-2-butenoic acid 1-methyl-ethyl ester', '2-Butenoic acid, 3-(((ethylamino)methoxyphosphinothioyl)oxy)-, 1-methylethyl ester', '2-Butenoic acid, 3-(((ethylamino)methoxyphosphinothioyl)oxy)-, isopropyl ester, (E)-']</t>
  </si>
  <si>
    <t>Compound(5372405)</t>
  </si>
  <si>
    <t>C10H20NO4PS</t>
  </si>
  <si>
    <t>propoxycarbazone</t>
  </si>
  <si>
    <t>methyl 2-[(4-methyl-5-oxo-3-propoxy-1,2,4-triazole-1-carbonyl)sulfamoyl]benzoate</t>
  </si>
  <si>
    <t>['Propoxycarbazone', '145026-81-9', 'UNII-161W380R06', '161W380R06', 'Methyl 2-[(4-Methyl-5-Oxidanylidene-3-Propoxy-1,2,4-Triazol-1-Yl)carbonylsulfamoyl]benzoate', 'Benzoic acid, 2-((((4,5-dihydro-4-methyl-5-oxo-3-propoxy-1H-1,2,4-triazol-1-yl)carbonyl)amino)sulfonyl)-, methyl ester', 'Benzoic acid, 2-[[[(4,5-dihydro-4-methyl-5-oxo-3-propoxy-1H-1,2,4-triazol-1-yl)carbonyl]amino]sulfonyl]-, methyl ester', 'Propoxycarbazone [ISO]', 'Procarbazone', '6R4', 'Methyl 2-[(4-methyl-5-oxo-3-propoxy-1,2,4-triazole-1-carbonyl)sulfamoyl]benzoate', 'SCHEMBL115728', 'CHEMBL1882497', 'DTXSID8037704', 'NCGC00163934-01', 'NCGC00163934-02', 'NS00008432', 'Q22808796', 'Methyl 2-[(4-methyl-5-oxo-3-propoxy-4,5-dihydro-1H-1,2,4-triazole-1-carbonyl)sulfamoyl]benzoate']</t>
  </si>
  <si>
    <t>Compound(177355)</t>
  </si>
  <si>
    <t>(2-propan-2-yloxyphenyl) N-methylcarbamate</t>
  </si>
  <si>
    <t>['propoxur', 'Baygon', '114-26-1', 'Aprocarb', '2-Isopropoxyphenyl methylcarbamate', 'Propoxure', 'Sendran', 'Propoxylor', 'Blattanex', 'Blattosep', 'Mrowkozol', 'Propotox', 'Suncide', 'Bolfo', 'Boruho', 'Brygou', '2-Isopropoxyphenyl N-methylcarbamate', 'Dalf dust', 'Invisi-Gard', 'Arprocarb', 'Isocarb', 'Propyon', 'Rhoden', 'Bifex', 'Boruho 50', 'IPMC', 'o-Impc', 'Tugon fliegenkugel', 'Unden (Pesticide)', 'Bayer B 5122', 'Bayer 39007', 'Propoksuru', 'Chemagro 9010', 'Unden 50PM', 'PHC 7', 'PHC (carbamate)', 'Phenol, 2-(1-methylethoxy)-, methylcarbamate', '2-(1-Methylethoxy)phenol methylcarbamate', 'Propoksuru [Polish]', 'Bay 9010', 'Caswell No. 508', 'ENT 25,671', 'O-(2-Isopropoxyphenyl) N-methylcarbamate', 'BAY 5122', 'o-Isopropoxyphenyl N-methylcarbamate', 'UNII-BFH029TL73', 'BAY 39007', 'Propoxur [BAN]', 'NSC 379584', 'Phenol, o-isopropoxy-, methylcarbamate', 'CCRIS 1392', 'HSDB 603', 'OMS-33', 'CHEBI:34938', 'o-Isopropoxyphenyl methylcarbamate', '2-Isopropoxyphenyl-N-methylcarbamat', 'EINECS 204-043-8', 'Carbamic acid, methyl-, o-isopropoxyphenyl ester', 'EPA Pesticide Chemical Code 047802', 'BRN 1879891', 'AI3-25671', 'BFH029TL73', '(2-propan-2-yloxyphenyl) N-methylcarbamate', '2-Isopropoxyphenyl-N-methylcarbamat [German]', 'Propoxur (BAN)', '2-(1-methylethoxy)phenyl methylcarbamate', '2-(propan-2-yloxy)phenyl methylcarbamate', 'DSSTox_CID_1948', '2-[(1-methylethyl)oxy]phenyl methylcarbamate', 'DSSTox_RID_76421', 'DSSTox_GSID_21948', 'Propoxur (baygon)', 'CAS-114-26-1', 'Propoxur [INN:BAN]', 'Pillargon', 'Propogon', 'Boygon', 'OMS 33', 'Propoxur (I)', 'Bolfo (TN)', 'Spectrum_001923', 'SpecPlus_000554', '2-(1-Methylethoxy)phenyl N-methylcarbamate', 'Spectrum2_001232', 'Spectrum3_000857', 'Spectrum4_000697', 'Spectrum5_002032', 'SCHEMBL27794', 'BSPBio_002473', 'KBioGR_001193', 'KBioSS_002465', 'SPECTRUM330066', 'MLS002207242', 'BIDD:ER0307', 'DivK1c_006650', 'SPBio_001104', 'Isopropoxyphenyl methylcarbamate', 'CHEMBL446060', 'DTXSID7021948', 'CTK8G2609', 'ISRUGXGCCGIOQO-UHFFFAOYSA-', 'KBio1_001594', 'KBio2_002458', 'KBio2_005026', 'KBio2_007594', 'KBio3_001973', 'HMS3264G19', 'Pharmakon1600-00330066', 'HY-B0916', 'ZINC1590885', 'N-Methyl-2-isopropoxyphenylcarbamate', 'Tox21_201968', 'Tox21_301207', 'BDBM50064617', 'CCG-39115', 'NSC379584', 'NSC755890', 'AKOS015889907', 'NSC-379584', 'NSC-755890', 'KS-00001F97', 'NCGC00094544-01', 'NCGC00094544-02', 'NCGC00094544-03', 'NCGC00094544-04', 'NCGC00094544-05', 'NCGC00094544-06', 'NCGC00094544-07', 'NCGC00255104-01', 'NCGC00259517-01', 'AS-50078', 'CC-33975', 'LS-50228', 'S257', 'SMR000778062', '2-(1-Methylethoxy)phenyl methyl carbamate', 'SBI-0052551.P002', 'AX8017616', 'DB-041207', '2-[(Propan-2-yl)oxy]phenyl methylcarbamate', 'FT-0603314', 'NS00010600', 'Propoxur, PESTANAL(R), analytical standard', 'C14334', 'D08442', 'AB00053059_04', '114P261', 'C-10727', 'Q411303', 'SR-01000872751', 'J-003071', 'SR-01000872751-1', 'Phenol, 2-(1-methylethoxy)-, 1-(N-methylcarbamate)', 'Carbamic acid, methyl-, 2-(1-methylethoxy)phenyl ester', 'PHC']</t>
  </si>
  <si>
    <t>Compound(4944)</t>
  </si>
  <si>
    <t>C11H15NO3</t>
  </si>
  <si>
    <t>6-chloro-2-N,4-N-di(propan-2-yl)-1,3,5-triazine-2,4-diamine</t>
  </si>
  <si>
    <t>['propazine', '139-40-2', 'Prozinex', 'Gesamil', 'Milogard', 'Plantulin', 'Propasin', 'Propazin', 'Primatol P', 'Milo-pro', '2-Chloro-4,6-bis(isopropylamino)-s-triazine', 'Propazine (herbicide)', 'Geigy 30,028', 'Milocep', 'Propazin (VAN)', '2-Chloro-4,6-bis(isopropylamino)-1,3,5-triazine', 'Caswell No. 184', '2,4-Bis(isopropylamino)-6-chloro-s-triazine', "6-Chloro-N,N'-bis(1-methylethyl)-1,3,5-triazine-2,4-diamine", 'Maxx 90', 'UNII-UYP5U99Q5T', '2-Chlor-4,6-bis(isopropylamino)-s-triazine', 'NSC 26002', 'Propazine [ANSI:BSI:ISO]', "6-Chloro-N,N'-diisopropyl-1,3,5-triazine-2,4-diyldiamine", 'CCRIS 1026', 'G 30028', '2,4-Bis(isopropylamino)-6-chloro-1,3,5-triazine', "1,3,5-Triazine-2,4-diamine, 6-chloro-N,N'-bis(1-methylethyl)-", 'HSDB 1400', '6-chloro-N2,N4-diisopropyl-1,3,5-triazine-2,4-diamine', 'EINECS 205-359-9', 's-Triazine, 2-chloro-4,6-bis(isopropylamino)-', 'EPA Pesticide Chemical Code 080808', 'BRN 0747081', 'UYP5U99Q5T', 'AI3-60348', 'CHEBI:38067', '1,3,5-Triazine-2,4-diamine, 6-chloro-N2,N4-bis(1-methylethyl)-', '2-Chloro-4,6-di(isopropylamino)-1,3,5-triazine', 'G-30028', '2,4-Bis(propylamino)-6-chlor-1,3,5-triazin [German]', "6-chloro-N,N'-diisopropyl-1,3,5-triazine-2,4-diamine", '6-Chloro-N2,N4-di-isopropyl-1,3,5-triazine-2,4-diamine', "6-chloro-N,N'-di(propan-2-yl)-1,3,5-triazine-2,4-diamine", 'DSSTox_CID_1196', 'DSSTox_RID_76005', 'DSSTox_GSID_21196', '6-chloranyl-N2,N4-di(propan-2-yl)-1,3,5-triazine-2,4-diamine', '6-chloro-2-N,4-N-di(propan-2-yl)-1,3,5-triazine-2,4-diamine', "6-chloro-N,N'-(1-methylethyl)-[1,3,5]triazine-2,4-diamine", 'CAS-139-40-2', 'Milogard 4L', 'Milo-Pro 4L', 'PubChem20346', 'Spectrum_001805', 'SpecPlus_000396', 'Spectrum2_001877', 'Spectrum3_000818', 'Spectrum4_000658', 'Spectrum5_001946', '2,4-Bis(propylamino)-6-chlor-1,3,5-triazin', 'EC 205-359-9', 'Oprea1_098512', 'Oprea1_591238', 'SCHEMBL67521', 'BSPBio_002315', 'KBioGR_001035', 'KBioSS_002298', 'SPECTRUM330026', 'MLS000568823', 'BIDD:ER0362', 'DivK1c_006492', 'SPBio_001754', 'CHEMBL1333189', 'DTXSID3021196', 'KBio1_001436', 'KBio2_002296', 'KBio2_004864', 'KBio2_007432', 'KBio3_001815', "6-Chloro-N,N'-diisopropyl-[1,3,5]triazine-2,4-diamine", 'HMS2616N18', 'ZINC246137', 's-Triazine,6-bis(isopropylamino)-', 'NSC26002', 'Tox21_201394', 'Tox21_300984', 'ACM139402', 'BBL103004', 'CCG-39415', 'NSC-26002', 'STL556813', 'WLN: T6N CN ENJ BMY DMY FG', 'AKOS000617702', 'LS-7675', 'MCULE-6161065643', 'Propazine 10 microg/mL in Acetonitrile', 'NCGC00094522-01', 'NCGC00094522-02', 'NCGC00094522-03', 'NCGC00094522-04', 'NCGC00094522-05', 'NCGC00094522-06', 'NCGC00094522-07', 'NCGC00254886-01', 'NCGC00258945-01', 'Propazine 100 microg/mL in Acetonitrile', '2,4-Bis(isopropylamino)-6-chlorotriazine', '2-Chloro-4,6-bis(isopropylamino)triazine', 'CC-33960', 'MS-20533', 'O633', 'Propazine OR terbuthylazine OR trietazine', 'SMR000175937', 'Chloro-4,6-bis(isopropylamino)-s-triazine', 'DB-042471', 'FT-0603349', 'NS00000378', 'ST50239070', 'Propazine, PESTANAL(R), analytical standard', 'C14312', 'G30028', '2,4-Bis(propylamino)-6-chlor-1,3,5-triazine', '33278-EP2274983A1', '33278-EP2305655A2', '33278-EP2311815A1', '33278-EP2371823A1', 'AB00053020-02', '139P402', 'A807532', 'C-13295', 'Propazine, analytical standard, ampule of 100 mg', '2,4-bis(1-methylethyl-amino)-6-chloro-s-triazine', '2-chloro-4,6-bis(isopropyl amino)-1,3,5-triazine', 'J-007274', 'Q1953551', 'BRD-K37595074-001-02-8', "6-Chloro-N,N'-bis(1-methylethyl)-2,4-diaminetriazine", '6-chloro-N2,N4-di(propan-2-yl)-1,3,5-triazine-2,4-diamine', "Chloro-N,N'-bis(1-methylethyl)-1,3,5-triazine-2,4-diamine", "1,5-Triazine-2,4-diamine, 6-chloro-N,N'-bis(1-methylethyl)-", "2,4-Diamine-6-chloro-N,N'-bis(1-methylethyl)-1,3,5-triazine", "6-Chloro-N,N'-di(1-methylethyl)-[1,3,5]triazine-2,4-diamine", '6-Chloro-N~2~,N~4~-di(propan-2-yl)-1,3,5-triazine-2,4-diamine', '{4-chloro-6-[(methylethyl)amino](1,3,5-triazin-2-yl)}(methylethyl)amine', 'Propazine solution, 100 mug/mL in methanol, PESTANAL(R), analytical standard']</t>
  </si>
  <si>
    <t>Compound(4937)</t>
  </si>
  <si>
    <t>6-iodo-2-propoxy-3-propylquinazolin-4-one</t>
  </si>
  <si>
    <t>['Proquinazid', '189278-12-4', 'UNII-LIH67H4H0Z', '6-iodo-2-propoxy-3-propylquinazolin-4(3H)-one', '6-iodo-2-propoxy-3-propyl-4(3H)-quinazolinone', 'LIH67H4H0Z', '6-iodo-2-propoxy-3-propylquinazolin-4-one', 'Proquinazid [ISO]', '6-Iodo-2-propoxy-3-propyl-4(3H)quinazolinone', 'SCHEMBL21925', 'DTXSID1058008', 'CHEBI:83555', 'ZINC43061687', 'Proquinazid 10 microg/mL in Cyclohexane', 'DB-108125', 'NS00000653', 'Proquinazid, PESTANAL(R), analytical standard', '6 -Iodo-2 -propoxy-3-propyl-4(3H)-quinazolinone', 'Q5156108', 'proquinazid (ISO); 6-iodo-2-propoxy-3-propylquinazolin-4(3H)-one;4(3H)-Quinazolinone, 6-iodo-2-propoxy-3-propyl-']</t>
  </si>
  <si>
    <t>Compound(11057771)</t>
  </si>
  <si>
    <t>C14H17IN2O2</t>
  </si>
  <si>
    <t>S-benzyl N,N-dipropylcarbamothioate</t>
  </si>
  <si>
    <t>['Prosulfocarb', '52888-80-9', 'S-Benzyl dipropylthiocarbamate', 'Arkade', 'Defi', 'Prosulfocarb [ISO]', 'Prosulfurocarb herbicide', 'UNII-8VCE6FU50D', 'Boxer (ICI Agrochemicals)', 'S-benzyl N,N-dipropylcarbamothioate', 'Benzyl dipropylthiolcarbamate', 'S-(Phenylmethyl) dipropylcarbamothioate', 'S-benzyl dipropylcarbamothioate', 'S-Benzyl dipropylthiolcarbamate', 'BRN 4804364', 'S-Benzyl dipropyl thiolcarbamate', 'S-Benzyl N,N-dipropylthiocarbamate', 'RCRA waste no. U387', 'S-Benzyl dipropylthiocarbamate (IUPAC)', 'SC 0574', '8VCE6FU50D', 'Carbamothioic acid, dipropyl-, S-(phenylmethyl) ester', 'S-Benzyl-N,N-dipropylthiocarbamat [German]', 'CHEBI:81941', 'N,N-Dipropylthiocarbamate de S-benzyle [French]', 'R 15574', 'S-Benzyl-N,N-dipropylthiocarbamat', 'N,N-Dipropylthiocarbamate de S-benzyle', 'EC 401-730-6', 'SCHEMBL20845', 'CHEMBL2251843', 'DTXSID3058119', 'KS-00002WXZ', 'ZINC1850416', 'AKOS016011247', 'SS-4633', 'ACM52888809', 'LS-50825', 'SC-67401', 'Prosulfocarb 10 microg/mL in Acetonitrile', 'NS00010887', 'Carbamic acid, dipropylthio-, S-benzyl ester', 'C18760', 'Prosulfocarb, PESTANAL(R), analytical standard', 'Carbamic acid, dipropylthio-, S-benzyl ester (7CI)', 'Q22808799']</t>
  </si>
  <si>
    <t>Compound(62020)</t>
  </si>
  <si>
    <t>C14H21NOS</t>
  </si>
  <si>
    <t>1-(4-methoxy-6-methyl-1,3,5-triazin-2-yl)-3-[2-(3,3,3-trifluoropropyl)phenyl]sulfonylurea</t>
  </si>
  <si>
    <t>['Prosulfuron', '94125-34-5', 'Prosulfuron [ISO]', 'UNII-NG7LE47J14', '1-(4-methoxy-6-methyl-1,3,5-triazin-2-yl)-3-[2-(3,3,3-trifluoropropyl)phenylsulfonyl]urea', 'CHEBI:8523', 'NG7LE47J14', '1-(4-methoxy-6-methyl-1,3,5-triazin-2-yl)-3-[2-(3,3,3-trifluoropropyl)phenyl]sulfonylurea', 'Benzenesulfonamide, N-(((4-methoxy-6-methyl-1,3,5-triazin-2-yl)amino)carbonyl)-2-(3,3,3-trifluoropropyl)-', 'Benzenesulfonamide, N-[[(4-methoxy-6-methyl-1,3,5-triazin-2-yl)amino]carbonyl]-2-(3,3,3-trifluoropropyl)-', 'C15H16F3N5O4S', 'N-[(4-methoxy-6-methyl-1,3,5-triazin-2-yl)carbamoyl]-2-(3,3,3-trifluoropropyl)benzenesulfonamide', 'SCHEMBL56036', 'CHEMBL2251587', 'DTXSID9034868', 'CTK8D7478', 'HSDB 8445', 'ZINC900594', 'AKOS015900032', '1-(4-methoxy-6-methyl-1,3,5-triazin-2-yl)-3-[2-(3,3,3-trifluoropropyl)phenyl]sulfonyl-urea', 'NCGC00163833-01', 'NCGC00163833-02', 'NCGC00163833-03', 'NCGC00163833-04', 'AC-18025', 'LS-31630', 'M857', 'SC-75238', 'DB-057474', 'FT-0642262', 'NS00005223', 'C10950', 'Prosulfuron, PESTANAL(R), analytical standard', '125P345', 'Q22808801', '1-(4-methoxy-6-methyl-1,3,5-triazin-2-yl)-3-[2-(3,3,3-trifluoropropyl)phenylsulfonyl]urea;prosulfuron', 'N-(4-methoxy-6-methyl-1,3,5-triazin-2-ylcarbamoyl)-2-(3,3,3-trifluoropropyl)benzenesulfonamide', 'N-[(4-Methoxy-6-methyl-1,3,5-triazin-2-yl)carbamoyl]-2-(3,3,3-trifluoropropyl)benzene-1-sulfonamide', "N-[2-(3,3,3-trifluoropropyl)-phenylsulfonyl]-N'-(4-methoxy-6-methyl-1,3,5-triazin-2-yl)-urea"]</t>
  </si>
  <si>
    <t>Compound(91751)</t>
  </si>
  <si>
    <t>C15H16F3N5O4S</t>
  </si>
  <si>
    <t>prostoate</t>
  </si>
  <si>
    <t>2-diethoxyphosphinothioylsulfanyl-N-propan-2-ylacetamide</t>
  </si>
  <si>
    <t>['Prothoate', 'Prothoat', 'Fostion', 'Oleofac', 'Telefos', '2275-18-5', 'FAC (pesticide)', 'TRIMETHOATE', 'American cyanamid 18682', 'Protoat (Hungarian)', 'Caswell No. 344B', 'FAC 20', 'FAK 40', 'Prothoate [BSI:ISO]', 'Isopropyl diethyldithiophosphorylacetamide', 'ENT 24,652', 'UNII-4V035A5L4B', 'AC 18682', 'EI 18682', 'HSDB 2844', 'L 343', 'EINECS 218-893-2', '2-Diethoxyphosphinothioylthio-N-isopropylacetamide', 'EPA Pesticide Chemical Code 344300', 'BRN 1794477', 'O,O-Diethyl S-isopropylcarbamoylmethyl phosphorodithioate', 'AI3-24652', 'O,O-Diethyl S-(N-isopropylcarbamoylmethyl) dithiophosphate', 'O,O-Diethyldithiophosphorylacetic acid, N-monoisopropylamide', 'CHEBI:82147', 'N-Monoisopropylamide of O,O-diethyldithiophosphorylacetic acid', 'O,O-Diethyl S-(N-isopropylcarbamoylmethyl) phosphorodithioate', '4V035A5L4B', 'Acetamide, N-isopropyl-2-mercapto-, S-ester with O,O-diethyl phosphorodithioate', 'Phosphorodithioic acid, O,O-diethyl ester, S-ester with N-isopropyl-2-mercaptoacetamide', '2-diethoxyphosphinothioylsulfanyl-N-propan-2-ylacetamide', 'O,O-Diethyl phosphorodithioate S-ester with N-2-isopropyl-2-mercaptoacetamide', 'Phosphorodithioic acid, O,O-diethyl S-(2-((1-methylethyl)amino)-2-oxoethyl) ester', 'Phosphorodithioic acid, O,O-diethyl S-[2-[(1-methylethyl)amino]-2-oxoethyl] ester', 'Protoat', 'Fak-40', 'American Cyanamid 18,682', 'SCHEMBL118380', 'CHEMBL2136410', 'DTXSID8037627', 'Prothoate 10 microg/mL in Methanol', 'Prothoate 10 microg/mL in Isooctane', 'Prothoate 100 microg/mL in Isooctane', 'O,O-Diethyl phosphorodithioate S-ester with N-isopropyl-2-mercaptoacetamide (8CI)', 'O,O-Diethyl S-(2-((1-methylethyl)amino)-2-oxoethyl) phosphorodithioate (9CI)', 'NCGC00163808-01', 'CC-33997', 'DB-045981', 'LS-108113', 'NS00021877', 'C19014', 'C-17976', 'Q7251804', 'O,O-diethyl S-2-(isopropylamino)-2-oxoethyl phosphorodithioate', 'O,O-Diethyl S-[2-(isopropylamino)-2-oxoethyl] dithiophosphate #', 'O,O-Diethyl phosphorodithioate S-ester with N-isopropyl-2-mercaptoacetamide', 'O,O-Diethyl S-(2-((1-methylethyl)amino)-2-oxoethyl) phosphorodithioate', 'Phosphorodithioic acid, O,O-diethyl S-(2-((1-methylethyl)amino)-2-oxoethyl) ester (9CI)']</t>
  </si>
  <si>
    <t>Compound(16774)</t>
  </si>
  <si>
    <t>C9H20NO3PS2</t>
  </si>
  <si>
    <t>S-ethyl N-[3-(dimethylamino)propyl]carbamothioate</t>
  </si>
  <si>
    <t>['PROTHIOCARB', '19622-08-3', 'UNII-9FS76HFF04', '9FS76HFF04', 'S-ethyl [3-(dimethylamino)propyl]carbamothioate', 'Prothiocarb [ISO]', 'S-ethyl N-(3-dimethylaminopropyl)-thiocarbamate', 'SN 41 703', 'SCHEMBL21052', 'S-ethyl N-[3-(dimethylamino)propyl]carbamothioate', 'DTXSID5058012', 'CHEBI:82084', 'ZINC2016583', 'N-(3-Dimethylaminopropyl)thiocarbamic acid S-ethyl ester hydrochloride', 'NS00004817', 'S-ethyl (3-dimethylaminopropyl)thiocarbamate', 'C18943', 'Q18629965', '[3-(Dimethylamino)propyl]thiocarbamic acid S-ethyl ester', 'N-(3-dimethylaminopropyl)thiocarbamic acid S-ethyl ester', 'N-(3-dimethylaminopropyl)-thiocarbamic acid-S-ethyl ester', 'Carbamothioic acid, (3-(dimethylamino)propyl)-, S-ethyl ester', 'Prothiocarb;Prothiocarb hydrochloride [ISO];S-ethyl N-(dimethylaminopropyl)thiocarbamate hydrochloride']</t>
  </si>
  <si>
    <t>Compound(29697)</t>
  </si>
  <si>
    <t>C8H18N2OS</t>
  </si>
  <si>
    <t>prothioconazole desthio</t>
  </si>
  <si>
    <t>2-(1-chlorocyclopropyl)-1-(2-chlorophenyl)-3-(1,2,4-triazol-1-yl)propan-2-ol</t>
  </si>
  <si>
    <t>['Prothioconazole-desthio', '120983-64-4', '2-(1-chlorocyclopropyl)-1-(2-chlorophenyl)-3-(1H-1,2,4-triazol-1-yl)propan-2-ol', 'Prothioconazole-desethio', 'Pyrasulfotole metabolite (SXX 0665)', '2-(1-chlorocyclopropyl)-1-(2-chlorophenyl)-3-(1,2,4-triazol-1-yl)propan-2-ol', 'SXX 0665', 'Prothioconazol-desthio', 'M04 prothioconazole-desthio', 'Desthio-Prothioconazole (I)', 'DSSTox_CID_24338', 'DSSTox_GSID_44338', 'SCHEMBL2491761', 'CHEMBL2288018', 'DTXSID3044338', 'Tox21_303715', '1H-1,2,4-Triazole-1-ethanol, alpha-(1-chlorocyclopropyl)-alpha-((2-chlorophenyl)methyl)-', 'alpha-(1-Chlorocyclopropyl)-alpha-((2-chlorophenyl)methyl)-1H-1,2,4-triazole-1-ethanol', 'NCGC00357029-01', 'CAS-120983-64-4', 'NS00010886', 'Prothioconazole-desthio 10 microg/mL in Acetonitrile', 'Q27294222', '2-(1-chloro-cyclopropyl)-1-(2-chlorophenyl)-3-(1,2,4-triazol-1-yl)-propan-2-ol', '2-(1-chloro-cyclopropyl)-1-(2-chlorophenyl)-3-(1H-1,2,4-triazol-1yl)-propan-2-ol', '2-(1-Chlorocyclopropyl)-1-(2-chlorophenyl)-3-(1H-1,2,4-triazol-1-yl)-2-propanol', 'Prothioconazole-desthio;2-(1-Chlorocyclopropyl)1-(2-chlorophenyl)-3-(1,2,4-triazol-1-yl)-propan-2-ol']</t>
  </si>
  <si>
    <t>Compound(119361)</t>
  </si>
  <si>
    <t>C14H15Cl2N3O</t>
  </si>
  <si>
    <t>prothioconazole</t>
  </si>
  <si>
    <t>2-[2-(1-chlorocyclopropyl)-3-(2-chlorophenyl)-2-hydroxypropyl]-1H-1,2,4-triazole-3-thione</t>
  </si>
  <si>
    <t>['Prothioconazole', '178928-70-6', '2-(2-(1-Chlorocyclopropyl)-3-(2-chlorophenyl)-2-hydroxypropyl)-1H-1,2,4-triazole-3(2H)-thione', '2-[2-(1-Chlorocyclopropyl)-3-(2-chlorophenyl)-2-hydroxypropyl]-1,2-dihydro-3H-1,2,4-triazole-3-thione', '2-[2-(1-chlorocyclopropyl)-3-(2-chlorophenyl)-2-hydroxypropyl]-1H-1,2,4-triazole-3-thione', 'CHEBI:84008', '3H-1,2,4-Triazole-3-thione, 2-[2-(1-chlorocyclopropyl)-3-(2-chlorophenyl)-2-hydroxypropyl]-1,2-dihydro-', '2-(2-(1-chlorocyclopropyl)-3-(2-chlorophenyl)-2-hydroxypropyl)-1,2-dihydro-3H-1,2,4-triazole-3-thione', 'Prothioconazole [ISO:BSI]', 'PROLINE 480 SC Fungicide', 'HSDB 7893', 'JAU 6476', 'DSSTox_CID_14869', 'DSSTox_GSID_34869', 'SCHEMBL21497', 'CHEMBL2251446', 'DTXSID4034869', 'CTK8E8326', 'KS-00000SHX', 'ZX-AT015220', 'Tox21_303849', 'AKOS024462906', 'ACN-054260', 'DS-9631', 'OR59944', 'NCGC00357118-01', 'AK159125', 'CAS-178928-70-6', 'FT-0696709', 'NS00002744', 'C18888', 'Pesticide5_Prothioconazole_C14H15Cl2N3OS_Redigo', 'J-011412', 'Q10816580', '2-(1-chloro-cyclopropyl)-1(2-chlorophenyl)-3-(5-mercapto-1,2,4-triazol-1-yl)-propan-2-ol', '2-(1-chloro-cyclopropyl)-1-(2-chloro-phenyl)-3-(5-mercapto-1,2,4-triazol-1-yl)-propan-2-ol', '2-(1-chloro-cyclopropyl)-1-(2-chlorophenyl)-3-(5-mercapto-1 ,2,4-triazol-1-yl)-propan-2-ol', '2-(1-chloro-cyclopropyl)-1-(2-chlorophenyl)-3-(5-mercapto-1,2,4-triazol-1-yl)-propan-2-ol', '2-[2-(1-chlorocyclopropyl)-3-(2-chlorophenyl)-2-hydroxy-propyl]-4H-1,2,4-triazole-3-thione', '2-[2-(1-chlorocyclopropyl)-3-(2-chlorophenyl)-2-hydroxypropyl]-1,2-dihydro-1,2,4-triazole-3-thione', 'Prothioconazole (2-(2-(1-chlorocyclopropyl)-3-(2-chlorophenyl)-2-hydroxypropyl)-1,2-dihydro-3H-1,2,4-triazole-3-thione)', 'Prothioconazole 10 microg/mL in Acetonitrile. Short expiry date due to chemical nature of component(s)', 'prothioconazole;3H-1,2,4-Triazole-3-thione, 2-[2-(1-chlorocyclopropyl)-3-(2-chlorophenyl)-2-hydroxypropyl]-1,2-dihydro-;(RS)-2-[2-(1-chlorocyclopropyl)-3-(2-chlorophenyl)-2-hydroxypropyl]-2,4-dihydro-1,2,4-triazole-3-thione']</t>
  </si>
  <si>
    <t>Compound(6451142)</t>
  </si>
  <si>
    <t>C14H15Cl2N3OS</t>
  </si>
  <si>
    <t>(2,4-dichlorophenoxy)-ethoxy-propylsulfanyl-sulfanylidene-lambda5-phosphane</t>
  </si>
  <si>
    <t>['Prothiofos', 'Tokuthion', 'PROTHIOPHOS', '34643-46-4', 'Dichlorpropaphos', 'Bideron', 'Toyodan', 'Toyothion', 'BAY ntn 8629', 'Caswell No. 714H', 'Prothiofos [BSI:ISO]', 'O-(2,4-Dichlorophenyl) O-ethyl S-propyl dithiophosphate', 'BAY-NTN 8629', 'Phosphorodithioic acid, O-(2,4-dichlorophenyl) O-ethyl S-propyl ester', 'NTN-8629', 'EINECS 252-125-7', 'EPA Pesticide Chemical Code 128858', 'BRN 1998314', 'NTN 8629,4541', 'AI3-29305', 'CHEBI:38873', 'O-(2,4-Dichlorophenyl) O-ethyl S-propylphosphorodithioate', 'O-Ethyl-O-(2,4-dichlorophenyl)-S-n-propyl-dithiophosphate', 'o-(2,4-Dichlorophenyl) o-ethyl S-propyl phosphorodithioate', 'O-(2,4-dichlorophenyl) O-ethyl S-propyl phosphorodithionate', 'Tukuthion', 'C11H15Cl2O2PS2', '(2,4-dichlorophenoxy)-ethoxy-propylsulfanyl-sulfanylidene-?^{5}-phosphane', 'Tokuthion (Prothiophos)', 'DSSTox_CID_22349', 'DSSTox_RID_80002', 'DSSTox_GSID_42349', 'SCHEMBL26428', 'CHEMBL1560680', 'DTXSID8042349', 'Tox21_301219', 'O-(2,4-Dichlorophenyl) O-ethyl S-propyl phosphorodithioate (9CI)', 'AKOS015960703', 'NCGC00166172-01', 'NCGC00255952-01', 'Prothiophos 10 microg/mL in Cyclohexane', 'AC-12074', 'Prothiophos 10 microg/mL in Acetonitrile', 'Tokuthion, technical grade, pkg of 50 mg', 'CAS-34643-46-4', 'LS-108079', 'NS00009330', 'Prothiofos, PESTANAL(R), analytical standard', 'C18405', '643P464', 'J-019687', 'Q22808805', 'o-(2,4-Dichlorophenyl) o-ethyl S-propyl dithiophosphate #', 'UNII-H5232196GP component FITIWKDOCAUBQD-MRXNPFEDSA-N', 'O-(2,4-dichlorophenyl) O-ethyl S-propyl dithiophosphate;Prothiofos']</t>
  </si>
  <si>
    <t>Compound(36870)</t>
  </si>
  <si>
    <t>C11H15Cl2O2PS2</t>
  </si>
  <si>
    <t>p-tertiary butyl toluene</t>
  </si>
  <si>
    <t>1-tert-butyl-4-methylbenzene</t>
  </si>
  <si>
    <t>['4-tert-Butyltoluene', '98-51-1', 'p-tert-Butyltoluene', '1-tert-Butyl-4-methylbenzene', '1-(tert-Butyl)-4-methylbenzene', 'Benzene, 1-(1,1-dimethylethyl)-4-methyl-', 'p-t-Butyltoluene', '4-T-BUTYLTOLUENE', 'p-Methyl-tert-butylbenzene', 'Toluene, p-tert-butyl-', '1-Methyl-4-tert-butylbenzene', '4-tert-Butyl-1-methylbenzene', '4-Methyl-tert-butylbenzene', 'PTBT', '8-Methylparacymene', 'p-TBT', 'NSC 6589', 'CCRIS 4762', 'HSDB 5008', 'UNII-589519D43L', 'EINECS 202-675-9', 'BRN 2038670', 'AI3-26435', 'MFCD00008837', '589519D43L', 'DSSTox_CID_4704', '4-tert-Butyltoluene, 96%', 'DSSTox_RID_77507', 'DSSTox_GSID_24704', 'CAS-98-51-1', '1-tert-butyl-4-methyl-benzene', 'p-t-Butyl toluene', 'p-tert.butyltoluene', 'p-tert.-butyltoluene', '4-tert-butyl toluene', '4-tert-Butyltoluene.', '4-|tert|-Butyltoluene', 'ACMC-209sak', 'tert-butyl-4-methylbenzene', '4-t-butyl-1-methylbenzene', 'EC 202-675-9', '4-tert-Butyltoluene, 95%', '4-05-00-01097 (Beilstein Handbook Reference)', 'KSC490M8J', '1-Methyl-4-tert-butyl benzene', 'CHEMBL1489547', 'DTXSID1024704', 'CTK3J0684', 'KS-00000WSJ', 'NSC6589', 'Benzene, 1-methyl-4-tert-butyl-', 'NSC-6589', 'ZINC1693666', 'Benzene,1-dimethylethyl)-4-methyl-', 'Tox21_202329', 'Tox21_303201', '6905AC', 'ANW-40938', 'AKOS000119946', 'LS-2046', 'MCULE-3788377409', 'NCGC00091789-01', 'NCGC00091789-02', 'NCGC00256994-01', 'NCGC00259878-01', '1-(1,1-Dimethylethyl)-4-methyl-benzene', 'WLN: 1X1 &amp; 1 &amp; R D1', 'B0744', 'Benzene, 1-methyl-4-(1,1-dimethylethyl)-', 'FT-0619516', 'NS00006273', 'Benzene, 1-methyl-4-(1,1-dimethylethyl)- (9CI)', 'W-100078', 'Q20972145', 'Toluene, 4-tert-butyl-;4-TERT-BUTYLTOLUENE;4-tert-butyltoluene', 'P-TERT-BUTYLTOLUENE (SEE ALSOTERT-BUTYLTOLUENE(CAS 27138-21-2))']</t>
  </si>
  <si>
    <t>Compound(7390)</t>
  </si>
  <si>
    <t>C11H16</t>
  </si>
  <si>
    <t>para- (tertiary-amyl) phenol</t>
  </si>
  <si>
    <t>4-(2-methylbutan-2-yl)phenol</t>
  </si>
  <si>
    <t>['4-tert-Amylphenol', '80-46-6', 'p-tert-Pentylphenol', '4-tert-Pentylphenol', 'p-tert-Amylphenol', '4-t-Amylphenol', '4-(1,1-DIMETHYLPROPYL)PHENOL', 'Phenol, 4-(1,1-dimethylpropyl)-', 'Amilphenol', 'Amilfenol', 'Pentaphen', '4-(2-methylbutan-2-yl)phenol', 'Ptap', 'Amyl phenol 4T', 'Phenol, p-tert-pentyl-', 'tert-Amylphenol', 'Ucar amyl phenol 4T', 'p-t-Pentylphenol', 'p-(1,1-Dimethylpropyl)phenol', '4-(tert-pentyl)phenol', 'para-tert-Amylphenol', '4-(1,1-Dimethylpropyl)-1-phenol', 'Caswell No. 050', '2-Methyl-2-p-hydroxyphenylbutane', '1-Hydroxy-4-(1,1-dimethylpropyl)benzene', '4-t-pentylphenol', 'Phenol, p-(tert-pentyl)-', 'UNII-6NP9LYK846', 'NSC 403672', 'CCRIS 4693', 'HSDB 5236', 'EINECS 201-280-9', 'p-(alpha,alpha-Dimethylpropyl)phenol', '4-tert-Amylphenol, 99%', 'EPA Pesticide Chemical Code 064101', 'BRN 1908224', 'AI3-00460', '6NP9LYK846', 'CHEMBL195693', 'CHEBI:35096', 'NCGC00091655-02', 'p-(.alpha.,.alpha.-Dimethylpropyl)phenol', 'DSSTox_CID_1771', 'Phenol,1-dimethylpropyl)-', 'DSSTox_RID_76317', 'DSSTox_GSID_21771', 'WLN: QR D1X1&amp;1&amp;1', 'CAS-80-46-6', 'p-(tert-Amyl)phenol', 'p-tertamylphenol', 'p-t-amylphenol', 'p-t-Amyl phenol', 'Nipacide PTAP', 'Formaldehyde, polymer with 4-(1,1-dimethylpropyl)phenol', 'Pentaphen 67', 'MFCD00002369', 'Para-tertiary amylphenol', 'ACMC-1BMFO', 'EC 201-280-9', 'SCHEMBL49704', '4-06-00-03383 (Beilstein Handbook Reference)', 'KSC492Q0B', 'MLS002152935', 'BIDD:ER0210', 'DTXSID8021771', 'CTK3J2800', 'KS-00000JPD', 'NRZWYNLTFLDQQX-UHFFFAOYSA-', 'NSC4965', 'p-(1,1-Dimethyl propyl) phenol', '4-(1,1-Dimethyl-propyl)-phenol', 'HMS3039M10', 'NSC-4965', 'ZINC1680640', 'Tox21_111159', 'Tox21_202351', 'Tox21_300088', 'ANW-37372', 'BDBM50410536', 'NSC403672', 'SBB056682', 'AKOS000119604', 'Tox21_111159_1', '4 - (1,1 - Dimethylpropyl) phenol', '4-tert-Amylphenol, analytical standard', 'LS-1796', 'MCULE-4223490735', 'NSC-403672', '1-Hydroxy-4-(2-methyl-2-butyl)benzene', 'NCGC00091655-01', 'NCGC00091655-03', 'NCGC00091655-04', 'NCGC00091655-05', 'NCGC00254041-01', 'NCGC00259900-01', 'AC-16506', 'L777', 'SC-16181', 'SMR001224530', 'ST081338', 'DB-000247', 'A0460', 'AM20041188', 'FT-0704191', 'NS00004107', 'A24574', 'C14226', 'M-5973', 'P-(1,1-Dimethylpropyl)phenoL;Para-tert-amylphenol', 'W-109280', 'Q26840951', 'Z1262246132']</t>
  </si>
  <si>
    <t>Compound(6643)</t>
  </si>
  <si>
    <t>C11H16O</t>
  </si>
  <si>
    <t>6-methyl-4-[(E)-pyridin-3-ylmethylideneamino]-2,5-dihydro-1,2,4-triazin-3-one</t>
  </si>
  <si>
    <t>['Pymetrozine', '123312-89-0', 'Pymetrozin', 'Chess', 'Endeavor', 'Fulfill', 'Plenum', 'CGA 215944', 'UNII-F0G3V7874J', 'HSDB 7054', 'EINECS Annex I Index 613-202-00-4', 'CHEBI:39311', 'F0G3V7874J', '1,2,4-Triazin-3(2H)-one, 4,5-dihydro-6-methyl-4-[(E)-(3-pyridinylmethylene)amino]-', '6-methyl-4-{[(1E)-pyridin-3-ylmethylene]amino}-4,5-dihydro-1,2,4-triazin-3(2H)-one', '(E)-4,5-dihydro-6-methyl-4-((3-pyridinylmethylene)amino)-1,2,4-triazin-3(2H)-one', '1,2,4-Triazin-3(2H)-one, 4,5-dihydro-6-methyl-4-((3-pyridinylmethylene)amino)-, (E)-', '1,2,4-Triazin-3(2H)-one, 4,5-dihydro-6-methyl-4-((E)-(3-pyridinylmethylene)amino)-', '6-methyl-4-[(E)-pyridin-3-ylmethylideneamino]-2,5-dihydro-1,2,4-triazin-3-one', 'Pymetrozine  [ISO:BSI]', 'Pymethrozin', 'Pymethrozine', 'Pymetrozine [ISO:BSI]', 'DSSTox_CID_12637', 'DSSTox_RID_79016', 'DSSTox_GSID_32637', 'SCHEMBL26437', 'SCHEMBL26438', 'CHEMBL1906026', 'DTXSID2032637', 'EBD7592', 'HY-B0821', 'Tox21_300879', 'Pymetrozine 10 microg/mL in Methanol', 'AKOS015913530', 'AC-9080', 'CS-5903', 'KS-5371', '(E)-4,5-Fihydro-6-methyl-4-((3-pyridinylmethylene)amino)-1,2,4-triazin-3(2H)-one', 'NCGC00164310-01', 'NCGC00168332-01', 'NCGC00168332-02', 'NCGC00254783-01', 'P699', 'LS-155686', 'CAS-123312-89-0', 'NS00000443', 'Pymetrozin, PESTANAL(R), analytical standard', 'C18590', '312P890', 'A805042', 'J-004909', '6-methyl-4-(3-pyridinylmethylideneamino)-2,5-dihydro-1,2,4-triazin-3-one', '6-methyl-4-[(E)-3-pyridinylmethylideneamino]-2,5-dihydro-1,2,4-triazin-3-one', '6-Methyl-4-{(E)-[(pyridin-3-yl)methylidene]amino}-4,5-dihydro-1,2,4-triazin-3(2H)-one']</t>
  </si>
  <si>
    <t>Compound(9576037)</t>
  </si>
  <si>
    <t>C10H11N5O</t>
  </si>
  <si>
    <t>pyrazophos</t>
  </si>
  <si>
    <t>ethyl 2-diethoxyphosphinothioyloxy-5-methylpyrazolo[1,5-a]pyrimidine-6-carboxylate</t>
  </si>
  <si>
    <t>['PYRAZOPHOS', 'Curamil', '13457-18-6', 'Afugan', 'Missile', 'Hoechst 2873', 'HOE 2873', 'Caswell No. 714D', 'Pyrazophos [BSI:ISO]', 'UNII-BEG0A8I17D', 'NSC 232671', 'EINECS 236-656-1', 'HOE 02873', 'EPA Pesticide Chemical Code 447500', 'BRN 0577209', 'BEG0A8I17D', 'Ethyl 2-((diethoxyphosphinothioyl)oxy)-5-methylpyrazolo(1,5-a)pyrimidine-6-carboxylate', 'CHEBI:81942', 'ethyl 2-diethoxyphosphinothioyloxy-5-methylpyrazolo[1,5-a]pyrimidine-6-carboxylate', 'O,O-Diethyl-O-(5-methyl-6-ethoxy-carbonyl-pyrazolo(1.5-a)pyrimid-2-yl)-thionophosphate', 'Pyrazolo[1,5-a]pyrimidine-6-carboxylic acid, 2-[(diethoxyphosphinothioyl)oxy]-5-methyl-, ethyl ester', '2-(O,O-Diethyl-thionophosphoryl)-5-methyl-6-carbethoxy-pyrazolo-(1,5a)pyrimidine', 'Ethyl 2-diethoxythiophosphoryloxy-5-methylpyrazolo(1,5-a)pyrimidine-6-carboxylate', 'O,O-Diethyl O-(5-methyl-6-(ethoxycarbonyl)-pyrazolo-(1,5-a)-pyrimid-2-yl)-thionophosphate', 'O-6-Ethoxycarbonyl-5-methylpyrazolo(1,5-a)pyrimidin-2-yl O,O-diethyl phosphorothioate', 'Pyrazolo-(1,5a)pyrimidine, 2-(O,O-diethyl-thionophosphoryl)-5-methyl-6-ethoxycarbonyl-', 'O,O-Diethyl O-(5-methyl-6-(ethoxycarbonyl)-pyrazolo-(1,5-a)-pyrimid-2-yl)-thionophosphate [ISO:BSI]', 'Phosphorothioic acid, O,O-diethyl ester, O-ester with (6-ethoxycarbonyl-5-methyl)pyrazolo(1,5-a)pyrimidin-2-ol', 'Pyrazolo[1,5-a]pyrimidine-6-carboxylic acid, 2-hydroxy-5-methyl-, ethyl ester, O-ester with O,O-diethyl phosphorothioate', 'Ethyl 2-[(diethoxyphosphorothioyl)oxy]-5-methylpyrazolo[1,5-a]pyrimidine-6-carboxylate', 'Pyrazolo(1,5-a)pyrimidine-6-carboxylic acid, 2-((diethoxyphosphinothioyl)oxy)-5-methyl-, ethyl ester', 'Ethyl 2-[(diethoxyphosphinothioyl)oxy]-5-methylpyrazolo[1,5-a]pyrimidine-6-carboxylate', 'O-6-ethoxycarbonyl-5-methylpyrazolo[1,5-a]pyrimidin-2-yl O,O-diethyl phosphorothioate', 'Pyrazolo(1,5-a)pyrimidine-6-carboxylic acid, 2-hydroxy-5-methyl-, ethyl ester, O-ester with O,O-diethyl phosphorothioate', '2-(O,5a]pyrimidine', 'DSSTox_CID_22352', 'DSSTox_RID_80003', 'DSSTox_GSID_42352', 'SCHEMBL22029', 'MLS000028239', 'Pyrazophos, analytical standard', 'CHEMBL1537719', 'DTXSID7042352', 'HMS2273B24', 'Tox21_301359', 'NSC232671', 'Pyrazophos 10 microg/mL in Isooctane', 'NSC-232671', 'NCGC00255857-01', 'SMR000009834', 'CAS-13457-18-6', 'LS-108596', 'NS00010879', 'Pyrazophos, PESTANAL(R), analytical standard', 'C18761', 'WLN: T56 ANN FNJ COPS&amp;O2&amp;O2 G1 HVO2', 'Q302171', 'SR-01000321319', 'J-006562', 'SR-01000321319-1', 'Ethyl 2-hydroxy-5-methylpyrazolo(1,O-diethylphosphorothioate', 'Pyrazolo[1, 2-(O,O-diethyl thionophosphoryl)-5-methyl-6-ethoxycarbonyl-', 'Pyrazolo[1, 2-[(diethoxyphosphinothioyl)oxy]-5-methyl-, ethyl ester', '2-(O,O-Diethyl thionophosphoryl)-5-methyl-6-carbethoxy-pyrazolo(1,5a)pyrimidin', '2-(O,O-Diethyl-thionophosphoryl)-5-methyl-6-carbethoxy-pyrazolo-(1,5-a)pyrimidine', '2-(O,O-Diethylthionophosphoryl)-5-methyl-6-carbethoxy-pyrazolo-(1,5a)pyrimidine', 'ethyl 2-[(diethoxy phosphinothioyl)oxy]-5-methyl pyrazolo[1,5-a]pyrimidine-6-carboxylate', 'Ethyl 2-[(diethoxyphosphorothioyl)oxy]-5-methylpyrazolo[1,5-a]pyrimidine-6-carboxylate #', 'Pyrazolo(1,5a)pyrimidine, 2-(O,O-diethyl thionophosphoryl)-5-methyl-6-ethoxycarbonyl-', 'Pyrazolo[1, 2-hydroxy-5-methyl-, ethyl ester, O-ester with O,O-diethyl phosphorothioate', '2-(Diethoxy-thiophosphoryloxy)-5-methyl-pyrazolo[1,5-a]pyrimidine-6-carboxylic acid ethyl ester', 'Ethyl 2-hydroxy-5-methylpyrazolo(1,5-a)pyrimidine-6-carboxylate O-ester of O,O-diethylphosphorothioic acid', 'Phosphorothioic acid,O-diethyl ester O-ester with (6-ethoxycarbonyl-5-methyl)pyrazolo(1,5-pyrimidin-2-ol)', 'Pyrazolo(1,5-a)pyrimidine-6-carboxylic acid, 2-((diethoxyphosphinothioyl)oxy)-5-methyl-, ethyl ester (9CI)', 'Pyrazolo(1,5-a)pyrimidine-6-carboxylic acid, 2-hydroxy-5-methyl-, ethyl ester, O-ester with O,O-diethyl phosphorothioate (8CI)']</t>
  </si>
  <si>
    <t>Compound(26033)</t>
  </si>
  <si>
    <t>C14H20N3O5PS</t>
  </si>
  <si>
    <t>O-(3-tert-butylphenyl) N-(6-methoxypyridin-2-yl)-N-methylcarbamothioate</t>
  </si>
  <si>
    <t>['Pyributicarb', '88678-67-5', 'TSH-888', 'Pyributicarb [ISO]', 'UNII-EZI481Y8N1', 'EZI481Y8N1', 'o-3-tert-butylphenyl 6-methoxy-2-pyridyl(methyl)thiocarbamate', 'O-3-tert-Butylphenyl (6-methoxy-2-pyridyl)(methyl)thiocarbamate', 'O-(3-(tert-Butyl)phenyl) (6-methoxypyridin-2-yl)(methyl)carbamothioate', 'Carbamothioic acid, (6-methoxy-2-pyridinyl)methyl-, O-(3-(1,1-dimethylethyl)phenyl) ester', 'O-[3-(1,1-dimethylethyl)phenyl] N-(6-methoxy-2-pyridinyl)-N-methylcarbamothioate', 'Thiocarbamic acid, N-(6-methoxy-2-pyridyl)-N-methyl-, O-3-tert-butylphenyl ester', 'pyributicarbe', 'SCHEMBL66272', 'DTXSID2058209', 'CHEBI:81736', 'ZINC5138167', 'AKOS030228032', 'O-(3-tert-butylphenyl) N-(6-methoxypyridin-2-yl)-N-methylcarbamothioate', 'KS-0000003A', 'HY-111202', 'LS-152594', 'CS-0034633', 'NS00001094', 'C18422', 'Q19298808', 'O-(3-tert-butylphenyl) (6-methoxypyridin-2-yl)methylcarbamothioate', 'Carbamothioic acid, N-(6-methoxy-2-pyridinyl)-N-methyl-, O-[3-(1,1-dimethylethyl)phenyl] ester;(6-methoxy-pyridin-2-yl)-methyl-thiocarbamic acid O-(3-tert.-butyl-phenyl) ester']</t>
  </si>
  <si>
    <t>Compound(93486)</t>
  </si>
  <si>
    <t>C18H22N2O2S</t>
  </si>
  <si>
    <t>6-methyl-N-phenyl-3,4-dihydro-2H-pyran-5-carboxamide</t>
  </si>
  <si>
    <t>['PYRACARBOLID', 'Pyracarbolide', 'Sicarol', 'Pyracarbolid [ISO]', '24691-76-7', 'HOE 13764 of', 'HOE 2989', 'HOE 6052', 'HOE 6053', '3,4-Dihydro-6-methyl-N-phenyl-2H-pyran-5-carboxamide', '6-Methyl-N-phenyl-3,4-dihydro-2H-pyran-5-carboxamide', 'UNII-H294Q38GAN', 'HOE 13764', 'EINECS 246-419-4', '3,4-Dihydro-6-methyl-2H-pyran-5-carboxanilide', 'BRN 1427914', '5-6-Dihydro-2-methyl-3-(phenylcarbamoyl)-4H-pyrane', 'H294Q38GAN', '2-Methyl-5,6-dihydro-4-H-pyrane-3-carboxylic acid anilide', '2-Methyl-5,6-dihydro-4,4-pyran-3-carbonsaeureanilid', '4H-Pyran, 5,6-dihydro-2-methyl-3-(phenylcarbamoyl)-', '2H-Pyran-5-carboxamide, 3,4-dihydro-6-methyl-N-phenyl-', '2-Methyl-5,6-dihydro-4,4-pyran-3-carbonsaeureanilid [German]', 'Pyracarbolid;pyracarbolid', 'SCHEMBL21874', '2H-Pyran-5-carboxanilide, 3,4-dihydro-6-methyl-', 'CHEBI:82057', 'DTXSID50179432', 'ZINC2014447', 'LS-127307', 'NS00010599', 'C18914', 'Q27155713', '6-Methyl-N-phenyl-3,4-dihydro-2H-pyran-5-carboxamide #', 'Pesticide4_Pyracarbolid_C13H15NO2_6-Methyl-N-phenyl-3,4-dihydro-2H-pyran-5-carboxamide']</t>
  </si>
  <si>
    <t>Compound(32597)</t>
  </si>
  <si>
    <t>C13H15NO2</t>
  </si>
  <si>
    <t>1-(4-chlorophenyl)-4-[ethoxy(propylsulfanyl)phosphoryl]oxypyrazole</t>
  </si>
  <si>
    <t>['Pyraclofos', 'Boltage', 'Voltage', '77458-01-6', '89784-60-1', 'Pyraclofos [ISO]', 'TIA 230', 'O-[1-(4-chlorophenyl)-1H-pyrazol-4-yl] O-ethyl S-propyl phosphorothioate', 'Phosphorothioic acid, O-(1-(4-chlorophenyl)-1H-pyrazol-4-yl) O-ethyl S-propyl ester', 'starlet', '1-(4-chlorophenyl)-4-[ethoxy(propylsulfanyl)phosphoryl]oxypyrazole', '(RS)-O-1-(4-Chlorophenyl)pyrazol-4-yl O-ethyl S-propyl phosphorothioate', 'O-(1-(4-Chlorophenyl)-1H-pyrazol-4-yl) O-ethyl S-propyl phosphorothioate', '(+-)-O-(1-(4-Chlorophenyl)-1H-pyrazol-4-yl) O-ethyl S-propyl phosphorothioate', '(RS)-(O-1-(4-Chlorophenyl)pyrazol-4-yl-O-ethyl-S-propylphosphorothioate) (IUPAC)', 'Phosphorothioic acid, O-(1-(4-chlorophenyl)-1H-pyrazol-4-yl) O-ethyl S-propyl ester, (+-)-', 'O-[1-(4-chlorophenyl)-1H-pyrazol-4-yl] O-ethyl S-propyl thiophosphate', 'Phosphorothioic acid, O-[1-(4-chlorophenyl)-1H-pyrazol-4-yl] O-ethyl S-propyl ester', 'SCHEMBL119518', 'DTXSID4058493', 'CHEBI:38876', 'QHGVXILFMXYDRS-UHFFFAOYSA-', '1-(4-chlorophenyl)-4-(ethoxy-propylsulfanylphosphoryl)oxypyrazole', 'Pyraclofos 10 microg/mL in Cyclohexane', 'DB-056219', 'LS-108485', 'LS-108486', 'FT-0602978', 'NS00005916', 'C18406', 'Q27118010', 'UNII-M0W5LEC929 component QHGVXILFMXYDRS-NRFANRHFSA-N', '1-(4-Chlorophenyl)-4-(ethoxy-propylsulfanyl-phosphoryl)oxy-pyrazole', 'O-1-(4-chlorophenyl)-1H-pyrazol-4-yl O-ethyl S-propyl phosphorothioate', 'Thiophosphoric acid, O-[1-(4-chlorophenyl)-1H-pyrazol-4-yl] ester, O,-ethyl ester, S-propyl ester']</t>
  </si>
  <si>
    <t>Compound(93460)</t>
  </si>
  <si>
    <t>C14H18ClN2O3PS</t>
  </si>
  <si>
    <t>methyl N-[2-[[1-(4-chlorophenyl)pyrazol-3-yl]oxymethyl]phenyl]-N-methoxycarbamate</t>
  </si>
  <si>
    <t>['Pyraclostrobin', '175013-18-0', 'Pyraclostrobine', 'Methyl (2-(((1-(4-chlorophenyl)-1H-pyrazol-3-yl)oxy)methyl)phenyl)(methoxy)carbamate', 'Headline', 'Cabrio', 'UNII-DJW8M9OX1H', 'Pyraclostrobin [ISO:BSI]', 'DJW8M9OX1H', 'CHEBI:78780', 'Pyrachlostrobin', 'methyl [2-({[1-(4-chlorophenyl)-1H-pyrazol-3-yl]oxy}methyl)phenyl]methoxycarbamate', 'methyl N-[2-[[1-(4-chlorophenyl)pyrazol-3-yl]oxymethyl]phenyl]-N-methoxycarbamate', 'HSDB 7497', 'DSSTox_CID_12638', 'DSSTox_RID_79017', 'Methyl N-(2-(1-(4-chlorophenyl)-1H-pyrazol-3-yloxymethyl)phenyl)-(N-methoxy)carbamate', 'DSSTox_GSID_32638', 'SCHEMBL18441', 'CHEMBL519873', 'DTXSID7032638', 'CTK8C1356', 'DNDI1724943', 'HY-N6626', 'ZINC2511853', 'Tox21_301130', '9060AA', 'ANW-66330', 'AKOS015895785', 'KS-0000016W', 'methyl N-[2-[[1-(4-chlorophenyl)pyrazol-3-yl]oxymethyl]phenyl]-N-methoxy-carbamate', 'NCGC00163895-01', 'NCGC00163895-02', 'NCGC00163895-03', 'NCGC00163895-04', 'NCGC00255029-01', 'AC-27490', 'ACM175013180', 'LS-49173', 'AX8149586', 'Pyraclostrobin 10 microg/mL in Acetonitrile', 'CAS-175013-18-0', 'CS-0034419', 'NS00000390', 'C18561', '013P180', 'Pyraclostrobin, PESTANAL(R), analytical standard', 'J-011054', 'Q1961265', 'Carbamic acid, (2-(((1-(4-chlorophenyl)-1H-pyrazol-3-yl)oxy)methyl)phenyl)methoxy-, methyl ester', 'Carbamic acid, N-[2-[[[1-(4-chlorophenyl)-1H-pyrazol-3-yl]oxy]methyl]phenyl]-N-methoxy-, methyl ester', 'Carbamic acid, N-[2-[[[1-(4-chlorophenyl)-1H-pyrazol-3-yl]oxy]methyl]phenyl]-N-methoxy-, methyl ester;Carbamic acid, [2-[[[1-(4-chlorophenyl)-1H-pyrazol-3-yl]oxy]methyl]phenyl]methoxy-, methyl ester']</t>
  </si>
  <si>
    <t>Compound(6422843)</t>
  </si>
  <si>
    <t>C19H18ClN3O4</t>
  </si>
  <si>
    <t>2-tert-butyl-5-[(4-tert-butylphenyl)methylsulfanyl]-4-chloropyridazin-3-one</t>
  </si>
  <si>
    <t>['Pyridaben', 'Sanmite', '96489-71-3', 'Pyridaben [ISO]', 'NCI 129', '2-tert-butyl-5-[(4-tert-butylphenyl)methylsulfanyl]-4-chloropyridazin-3-one', 'UNII-2E4JBA5272', 'HSDB 7052', 'C19H25ClN2OS', '2-tert-Butyl-5-(4-tert-Butylbenzylthio)-4-chloropyridazin-3(2H)-one', 'MLS001165698', 'CHEBI:38626', '2E4JBA5272', '2-tert-Butyl-5-(4-tert-butyl-benzylthio)-4-chloropyridazin-3(2H)-one', 'SMR000550490', '2-tert-butyl-5-[(4-tert-butylbenzyl)thio]-4-chloropyridazin-3(2H)-one', '3(2H)-Pyridazinone, 4-chloro-2-(1,1-dimethylethyl)-5-(((4-(1,1-dimethylethyl)phenyl)methyl)thio)-', '3(2H)-Pyridazinone, 4-chloro-2-(1,1-dimethylethyl)-5-[[[4-(1,1-dimethylethyl)phenyl]methyl]thio]-', '4-chloro-2-(1,1-dimethylethyl)-5-(((4-(1,1-dimethylethyl)phenyl)methyl)thio)-3(2H)-pyridazinone', 'SR-01000789284', 'EC 405-700-3', 'DSSTox_CID_12573', 'DSSTox_RID_78991', 'DSSTox_GSID_32573', 'SCHEMBL27429', 'cid_91754', 'CHEMBL225963', 'DTXSID5032573', 'BDBM58401', 'DWFZBUWUXWZWKD-UHFFFAOYSA-', 'HMS2885L11', 'ACT03255', 'HY-B0817', 'ZINC1543237', 'Tox21_301090', 'KM3423', 'AKOS015897404', 'KS-1098', 'Pyridaben 10 microg/mL in Cyclohexane', 'NCGC00164309-01', 'NCGC00164309-02', 'NCGC00164309-03', 'NCGC00254990-01', 'Pyridaben 100 microg/mL in Acetonitrile', 'CC-34094', 'M865', 'AB0015419', 'CAS-96489-71-3', 'LS-129791', 'CS-0012834', 'FT-0630993', 'NS00010535', 'Pyridaben, PESTANAL(R), analytical standard', 'C18614', 'J90047', '489P713', 'C-20997', 'Q2119916', 'SR-01000789284-2', 'SR-01000789284-3', '2 -t-butyl-5-(p-t-butylbenzylthio)-4-chloro-3(2H)-pyridazinone', '2-t-butyl-5-(p-t-butylbenzylthio)-4-chloro-3(2H)-pyridazinone', '2-tert-butyl-5-[(4-tert-butylbenzyl)thio]-4-chloro-pyridazin-3-one', '2-tert-butyl-4-chloro-5-(4-tert-butylbenzyl) thio 3(2H)-pyridazinone', '2-tert-butyl-4-chloro-5-(4-tert-butylbenzyl)thio 3(2H)-pyridazinone', '2-tert-butyl-5-[(4-tert-butylphenyl)methylthio]-4-chloro-3-pyridazinone', '2-tert.-butyl-4-chloro-5-(4-tert.-butyl-benzylthio)-3(2H)-pyridazinone', '2-tert.-butyl-4-chloro-5-(4-tert.-butylbenzylthio)-3(2H)-pyridazinone', '2-tert-Butyl-5-[(4-tert-butylbenzyl)sulfanyl]-4-chloro-3(2H)-pyridazinone #', '2-tert-butyl-5-[(4-tert-butylphenyl)methylsulfanyl]-4-chloranyl-pyridazin-3-one', '2-tert-Butyl-5-{[(4-tert-butylphenyl)methyl]sulfanyl}-4-chloropyridazin-3(2H)-one', 'pyridaben;2-tert-Butyl-5-(4-tert-butylbenzylthio)-4-chloro-pyridazine-3(2H)-one']</t>
  </si>
  <si>
    <t>Compound(91754)</t>
  </si>
  <si>
    <t>C19H25ClN2OS</t>
  </si>
  <si>
    <t>6-chloro-3-phenyl-1H-pyridazin-4-one</t>
  </si>
  <si>
    <t>['Pyridafol', '6-Chloro-3-phenylpyridazin-4-ol', '40020-01-7', 'UNII-09L470QH6I', 'CL 9673', '09L470QH6I', '6-chloro-3-phenyl-pyridazin-4-ol', '3-chloro-5-hydroxy-6-phenylpyridazine', '3-phenyl-4-hydroxy-6-chloropyridazine', 'Pyridafol [ISO]', 'EINECS 254-752-1', 'Pyridafol (CL-9673)', 'Pyridafol, analytical standard', 'SCHEMBL125883', 'DTXSID3058086', 'CTK6H4334', '6-chloro-3-phenyl-4-pyridazinol', 'ZX-AT010551', 'OR0289', 'ZINC15020166', 'CL-9673', 'FCH1322729', '6-Chloro-4-hydroxy-3-phenyl-pyridazine', 'ACM40020017', 'DA-18091', 'CL 9673; NOA 402989', 'FT-0621045', 'NS00007024', 'C-56388', '6-Chlor-3-phenyl-pyridazin-4-ol (Pyridate-Metabolit)', 'Q22808826', '6-chloro-3-phenylpyridazin-4-ol;6-Chlor-3-phenyl-pyridazin-4-ol (Pyridate-Metabolit);Sodium 6-chloro-3-phenylpyridazin-4-olate']</t>
  </si>
  <si>
    <t>Compound(92316)</t>
  </si>
  <si>
    <t>C10H7ClN2O</t>
  </si>
  <si>
    <t>6-diethoxyphosphinothioyloxy-2-phenylpyridazin-3-one</t>
  </si>
  <si>
    <t>['PYRIDAPHENTHION', 'Pyridafenthion', '119-12-0', 'Ofnack', 'Ofnak', 'Pyridiphenthion', 'American cyanamid 12,503', 'Phosphorothioic acid, O-(1,6-dihydro-6-oxo-1-phenyl-3-pyridazinyl) O,O-diethyl ester', 'UNII-98M0VDD56Z', 'ENT 23,968', 'CL 12503', 'EINECS 204-298-5', '6-diethoxyphosphinothioyloxy-2-phenylpyridazin-3-one', 'BRN 0302741', 'AI3-23968', '98M0VDD56Z', 'O,O-Diethyl O-(1,6-dihydro-6-oxo-1-phenylpyridazin-3-yl) thiophosphate', 'O,O-Diethyl O-(2,3-dihydro-3-oxo-2-phenyl-6-pyridazinyl)phosphorothioate', 'O,O-Diethylphosphorothioate, O-ester with 6-hydroxy-2-phenyl-3(2H)-pyridazinone', 'O-(1,6-Dihydro-6-oxo-1-phenylpyridazin-3-yl) O,O-diethyl phosphorothioate', '3(2H)-Pyridazinone, 6-hydroxy-2-phenyl-, O-ester with O,O-diethyl phosphorothioate', 'Phosphorothioic acid, O,O-diethyl ester, O-ester with 6-hydroxy-2-phenyl-3(2H)pyridazinone', 'O,O-diethyl O-(6-oxo-1-phenyl-1,6-dihydropyridazin-3-yl) phosphorothioate', 'O,O-diethyl O-(6-oxo-1-phenyl-1,6-dihydropyridazin-3-yl) thiophosphate', 'C14H17N2O4PS', 'Ofunack E.C.(20%)', 'SCHEMBL82258', '4-25-00-00030 (Beilstein Handbook Reference)', 'Pyridaphenthion E.C.(20%)', 'DTXSID2042355', 'CHEBI:38881', 's535', 'AKOS016014212', 'CC-34095', 'SC-79293', 'DB-041443', 'LS-108606', 'FT-0603320', 'NS00004346', 'Pyridaphenthion 100 microg/mL in Cyclohexane', 'C18762', '119P120', 'C-20324', 'Pyridaphenthion, PESTANAL(R), analytical standard', 'Q1741694', 'O,O-Diethyl O-(6-oxo-1-phenyl-1,6-dihydro-3-pyridazinyl) thiophosphate #', 'O,O-diethyl O-6-oxo-1-phenyl-1,6-dihydropyridazin-3-yl phosphorothioate', 'Phosphorothioic acid,O-(1,6-dihydro-6-oxo-1-phenyl-3-pyridazinyl) O,O-diethyl ester', 'Pyridaphenthion solution, 10 ng/muL in ethyl acetate, PESTANAL(R), analytical standard']</t>
  </si>
  <si>
    <t>Compound(8381)</t>
  </si>
  <si>
    <t>C14H17N2O4PS</t>
  </si>
  <si>
    <t>2-[3-[2,6-dichloro-4-(3,3-dichloroprop-2-enoxy)phenoxy]propoxy]-5-(trifluoromethyl)pyridine</t>
  </si>
  <si>
    <t>['pyridalyl', '179101-81-6', 'UNII-QTD92Z2P2Z', 'QTD92Z2P2Z', 'CHEBI:38887', '2-[3-[2,6-dichloro-4-(3,3-dichloroprop-2-enoxy)phenoxy]propoxy]-5-(trifluoromethyl)pyridine', '2-(3-{2,6-dichloro-4-[(3,3-dichloroprop-2-en-1-yl)oxy]phenoxy}propoxy)-5-(trifluoromethyl)pyridine', 'HSDB 7892', 'SCHEMBL83386', 'CHEMBL2136658', 'DTXSID8034875', 'ZINC13827805', 'Pyridalyl 100 microg/mL in Cyclohexane', 'NCGC00163775-01', 'ACM179101816', 'NS00007630', 'Pyridalyl, PESTANAL(R), analytical standard', '101P816', 'Q1915098', '3,5-di-chloro-1-(3,3-dichloro-2-propenyloxy)-4-[3-(5-trifluoromethylpyridin-2-yloxy)propyl-oxy]benzene', '3,5-di-chloro-1-(3,3-dichloro-2-propenyloxy)-4-[3-(5-trifluoromethylpyridin-2-yloxy)propyloxy]benzene', '3,5-dichloro-1-(3,3-dichloro-2-propenyloxy)-4-[3-(5-trifluoromethylpyridin-2-yloxy)propyloxy]benzene', 'Pyridine, 2-(3-(2,6-dichloro-4-((3,3-dichloro-2-propenyl)oxy)phenoxy)propoxy)-5-(trifluoromethyl)-']</t>
  </si>
  <si>
    <t>Compound(11488729)</t>
  </si>
  <si>
    <t>C18H14Cl4F3NO3</t>
  </si>
  <si>
    <t>['PYRIDINE', 'Azabenzene', '110-86-1', 'Azine', 'Pyridin', 'Piridina', 'Pirydyna', 'Pyridin [German]', 'Pirydyna [Polish]', 'Piridina [Italian]', 'RCRA waste number U196', 'NCI-C55301', 'Caswell No. 717', 'CCRIS 2926', 'HSDB 118', 'pyridine-ring', 'pyridine-', 'CHEBI:16227', 'FEMA Number 2966', 'CP 32', 'UNII-NH9L3PP67S', 'EINECS 203-809-9', 'UN1282', 'NSC 406123', 'FEMA No. 2966', 'RCRA waste no. U196', 'EPA Pesticide Chemical Code 069202', 'NH9L3PP67S', 'AI3-01240', 'pyridine fraction', 'MFCD00011732', 'Pyridine [UN1282]  [Flammable liquid]', 'Pyridine, 99+%, extra pure', 'Pyridine, 99+%, for analysis', 'Pyridine, 99+%, ACS reagent', 'Pyridine, 99+%, for spectroscopy', 'Pyridine, ACS reagent, &gt;=99.0%', 'Pyridine, ReagentPlus(R), &gt;=99%', 'Pyridine, 99.5%, Extra Dry, AcroSeal(R)', 'Hydrogen fluoride-pyridine (70% HF)', 'Pyridine, 99.8%, for biochemistry, AcroSeal(R)', 'Pyridine, 99+%, extra pure, nonaqueous titration grade', 'hydropyridine', 'polypyridine', 'Pyridine, 99.5%, Extra Dry over Molecular Sieve, AcroSeal(R)', 'N-pyridine', 'pyridine solution', '[pyridine]', '2-pyridine', '4-pyridine', '3-Pyridine', 'Azabenzene; Azine', '0PY', 'Pyridine, for HPLC', 'Pyridine, 99%', 'Pyridine, ACS reagent', 'Pyridine, &gt;=99%', 'DSSTox_CID_1924', '1-Hydro-3-dehydropyridine', 'bmse000432', 'Epitope ID:140099', 'WLN: T6NJ', 'EC 203-809-9', 'Pyridine, p.a., 99%', 'DSSTox_RID_76405', 'NCIOpen2_002809', 'NCIOpen2_007786', 'NCIOpen2_007866', 'NCIOpen2_007986', 'NCIOpen2_007999', 'DSSTox_GSID_21924', 'Pyridine, LR, &gt;=99%', 'Pyridine, analytical standard', 'ACMC-20a483', 'Pyridine, anhydrous, 99.8%', 'CHEMBL266158', 'DTXSID9021924', 'Pyridine, AR, &gt;=99.5%', 'CTK0H7158', 'KS-00000WJV', 'Pyridine, &gt;=99.5% (GC)', 'LS-13', 'TRANSGENIC LECM (PYRIDINE)', 'ZINC895354', 'BCP23599', 'Pyridine, for HPLC, &gt;=99.9%', 'Tox21_200960', 'ANW-41400', 'ANW-56401', 'BDBM50176909', 'NSC141574', 'NSC406123', 'STL264195', '1,4-Dihydropyridine-4-ylideneradical', 'AKOS000120998', 'MCULE-4028120692', 'NSC-141574', 'NSC-406123', 'Pyridine, biotech. grade, &gt;=99.9%', 'UN 1282', 'NCGC00091476-01', 'NCGC00091476-02', 'NCGC00258513-01', 'Pyridine [UN1282] [Flammable liquid]', 'Pyridine, SAJ first grade, &gt;=99.0%', 'BP-13452', 'BP-31048', 'CAS-110-86-1', 'NCI60_006101', 'Pyridine, JIS special grade, &gt;=99.5%', 'Pyridine, p.a., ACS reagent, 99.0%', 'Pyridine, purification grade, &gt;=99.75%', 'Pyridine, spectrophotometric grade, &gt;=99%', 'FT-0654216', 'FT-0658212', 'FT-0658683', 'NS00010113', 'Q0034', 'X4374', '1175-EP0930075A1', '1175-EP1441224A2', '1175-EP2269977A2', '1175-EP2269978A2', '1175-EP2269985A2', '1175-EP2269986A1', '1175-EP2269989A1', '1175-EP2269990A1', '1175-EP2269991A2', '1175-EP2269992A1', '1175-EP2269993A1', '1175-EP2270001A1', '1175-EP2270002A1', '1175-EP2270003A1', '1175-EP2270004A1', '1175-EP2270006A1', '1175-EP2270008A1', '1175-EP2270010A1', '1175-EP2270011A1', '1175-EP2270014A1', '1175-EP2270015A1', '1175-EP2270017A1', '1175-EP2270018A1', '1175-EP2270113A1', '1175-EP2270114A1', '1175-EP2270505A1', '1175-EP2272509A1', '1175-EP2272510A1', '1175-EP2272516A2', '1175-EP2272517A1', '1175-EP2272537A2', '1175-EP2272813A2', '1175-EP2272817A1', '1175-EP2272822A1', '1175-EP2272825A2', '1175-EP2272826A1', '1175-EP2272827A1', '1175-EP2272828A1', '1175-EP2272832A1', '1175-EP2272834A1', '1175-EP2272835A1', '1175-EP2272837A1', '1175-EP2272838A1', '1175-EP2272839A1', '1175-EP2272840A1', '1175-EP2272841A1', '1175-EP2272844A1', '1175-EP2272845A2', '1175-EP2272849A1', '1175-EP2272935A1', '1175-EP2272972A1', '1175-EP2272973A1', '1175-EP2274983A1', '1175-EP2275105A1', '1175-EP2275395A2', '1175-EP2275398A1', '1175-EP2275401A1', '1175-EP2275404A1', '1175-EP2275409A1', '1175-EP2275410A1', '1175-EP2275411A2', '1175-EP2275412A1', '1175-EP2275414A1', '1175-EP2275418A1', '1175-EP2275420A1', '1175-EP2275425A1', '1175-EP2277848A1', '1175-EP2277858A1', '1175-EP2277861A1', '1175-EP2277865A1', '1175-EP2277867A2', '1175-EP2277872A1', '1175-EP2277875A2', '1175-EP2277877A1', '1175-EP2277878A1', '1175-EP2277880A1', '1175-EP2277881A1', '1175-EP2279750A1', '1175-EP2280000A1', '1175-EP2280001A1', '1175-EP2280002A1', '1175-EP2280003A2', '1175-EP2280004A1', '1175-EP2280005A1', '1175-EP2280007A1', '1175-EP2280008A2', '1175-EP2280009A1', '1175-EP2280011A1', '1175-EP2280012A2', '1175-EP2280020A1', '1175-EP2280021A1', '1175-EP2280948A1', '1175-EP2280957A1', '1175-EP2281563A1', '1175-EP2281810A1', '1175-EP2281815A1', '1175-EP2281817A1', '1175-EP2281818A1', '1175-EP2281819A1', '1175-EP2281820A2', '1175-EP2281821A1', '1175-EP2281822A1', '1175-EP2281823A2', '1175-EP2281824A1', '1175-EP2284149A1', '1175-EP2284150A2', '1175-EP2284151A2', '1175-EP2284152A2', '1175-EP2284153A2', '1175-EP2284155A2', '1175-EP2284156A2', '1175-EP2284157A1', '1175-EP2284159A1', '1175-EP2284160A1', '1175-EP2284164A2', '1175-EP2284169A1', '1175-EP2284171A1', '1175-EP2284174A1', '1175-EP2284920A1', '1175-EP2286811A1', '1175-EP2286812A1', '1175-EP2287140A2', '1175-EP2287147A2', '1175-EP2287148A2', '1175-EP2287150A2', '1175-EP2287152A2', '1175-EP2287153A1', '1175-EP2287155A1', '1175-EP2287157A1', '1175-EP2287160A1', '1175-EP2287161A1', '1175-EP2287162A1', '1175-EP2287165A2', '1175-EP2287166A2', '1175-EP2287167A1', '1175-EP2289509A2', '1175-EP2289868A1', '1175-EP2289871A1', '1175-EP2289877A1', '1175-EP2289880A1', '1175-EP2289884A1', '1175-EP2289885A1', '1175-EP2289887A2', '1175-EP2289888A2', '1175-EP2289891A2', '1175-EP2289893A1', '1175-EP2289894A2', '1175-EP2289897A1', '1175-EP2289965A1', '1175-EP2292228A1', '1175-EP2292586A2', '1175-EP2292590A2', '1175-EP2292592A1', '1175-EP2292593A2', '1175-EP2292595A1', '1175-EP2292596A2', '1175-EP2292597A1', '1175-EP2292604A2', '1175-EP2292606A1', '1175-EP2292610A1', '1175-EP2292611A1', '1175-EP2292613A1', '1175-EP2292615A1', '1175-EP2292617A1', '1175-EP2292618A1', '1175-EP2292619A1', '1175-EP2292620A2', '1175-EP2292629A1', '1175-EP2292630A1', '1175-EP2295053A1', '1175-EP2295402A2', '1175-EP2295406A1', '1175-EP2295408A1', '1175-EP2295409A1', '1175-EP2295410A1', '1175-EP2295411A1', '1175-EP2295412A1', '1175-EP2295413A1', '1175-EP2295414A1', '1175-EP2295415A1', '1175-EP2295416A2', '1175-EP2295417A1', '1175-EP2295418A1', '1175-EP2295419A2', '1175-EP2295425A1', '1175-EP2295426A1', '1175-EP2295427A1', '1175-EP2295428A2', '1175-EP2295429A1', '1175-EP2295432A1', '1175-EP2295433A2', '1175-EP2295434A2', '1175-EP2295437A1', '1175-EP2295439A1', '1175-EP2295441A2', '1175-EP2295503A1', '1175-EP2298312A1', '1175-EP2298729A1', '1175-EP2298731A1', '1175-EP2298732A1', '1175-EP2298734A2', '1175-EP2298735A1', '1175-EP2298739A1', '1175-EP2298744A2', '1175-EP2298746A1', '1175-EP2298747A1', '1175-EP2298748A2', '1175-EP2298750A1', '1175-EP2298754A1', '1175-EP2298755A1', '1175-EP2298756A1', '1175-EP2298757A2', '1175-EP2298758A1', '1175-EP2298759A1', '1175-EP2298761A1', '1175-EP2298763A1', '1175-EP2298764A1', '1175-EP2298765A1', '1175-EP2298766A1', '1175-EP2298767A1', '1175-EP2298768A1', '1175-EP2298770A1', '1175-EP2298772A1', '1175-EP2298774A1', '1175-EP2298775A1', '1175-EP2298776A1', '1175-EP2298778A1', '1175-EP2298779A1', '1175-EP2298780A1', '1175-EP2298783A1', '1175-EP2298828A1', '1175-EP2299509A1', '1175-EP2299510A1', '1175-EP2299785A1', '1175-EP2299817A1', '1175-EP2299819A1', '1175-EP2301534A1', '1175-EP2301536A1', '1175-EP2301538A1', '1175-EP2301911A1', '1175-EP2301912A2', '1175-EP2301913A1', '1175-EP2301914A1', '1175-EP2301916A2', '1175-EP2301918A1', '1175-EP2301921A1', '1175-EP2301922A1', '1175-EP2301923A1', '1175-EP2301926A1', '1175-EP2301928A1', '1175-EP2301929A1', '1175-EP2301930A1', '1175-EP2301932A1', '1175-EP2301933A1', '1175-EP2301934A1', '1175-EP2301935A1', '1175-EP2301936A1', '1175-EP2301937A1', '1175-EP2301939A1', '1175-EP2301940A1', '1175-EP2301983A1', '1175-EP2302003A1', '1175-EP2303843A2', '1175-EP2303861A1', '1175-EP2305219A1', '1175-EP2305250A1', '1175-EP2305627A1', '1175-EP2305629A1', '1175-EP2305633A1', '1175-EP2305637A2', '1175-EP2305640A2', '1175-EP2305641A1', '1175-EP2305643A1', '1175-EP2305644A1', '1175-EP2305647A1', '1175-EP2305648A1', '1175-EP2305649A1', '1175-EP2305652A2', '1175-EP2305654A1', '1175-EP2305657A2', '1175-EP2305658A1', '1175-EP2305659A1', '1175-EP2305660A1', '1175-EP2305663A1', '1175-EP2305664A1', '1175-EP2305667A2', '1175-EP2305668A1', '1175-EP2305672A1', '1175-EP2305674A1', '1175-EP2305677A1', '1175-EP2305679A1', '1175-EP2305682A1', '1175-EP2305684A1', '1175-EP2305687A1', '1175-EP2305688A1', '1175-EP2305689A1', '1175-EP2305695A2', '1175-EP2305696A2', '1175-EP2305697A2', '1175-EP2305698A2', '1175-EP2305808A1', '1175-EP2305825A1', '1175-EP2306788A1', '1175-EP2306789A1', '1175-EP2308510A1', '1175-EP2308562A2', '1175-EP2308812A2', '1175-EP2308828A2', '1175-EP2308832A1', '1175-EP2308833A2', '1175-EP2308838A1', '1175-EP2308839A1', '1175-EP2308840A1', '1175-EP2308841A2', '1175-EP2308847A1', '1175-EP2308848A1', '1175-EP2308849A1', '1175-EP2308850A1', '1175-EP2308851A1', '1175-EP2308857A1', '1175-EP2308858A1', '1175-EP2308861A1', '1175-EP2308862A1', '1175-EP2308863A1', '1175-EP2308866A1', '1175-EP2308867A2', '1175-EP2308868A1', '1175-EP2308870A2', '1175-EP2308871A1', '1175-EP2308872A1', '1175-EP2308873A1', '1175-EP2308874A1', '1175-EP2308877A1', '1175-EP2308879A1', '1175-EP2308880A1', '1175-EP2308926A1', '1175-EP2308960A1', '1175-EP2309564A1', '1175-EP2309584A1', '1175-EP2311451A1', '1175-EP2311455A1', '1175-EP2311464A1', '1175-EP2311796A1', '1175-EP2311797A1', '1175-EP2311798A1', '1175-EP2311799A1', '1175-EP2311801A1', '1175-EP2311802A1', '1175-EP2311803A1', '1175-EP2311806A2', '1175-EP2311807A1', '1175-EP2311808A1', '1175-EP2311809A1', '1175-EP2311810A1', '1175-EP2311811A1', '1175-EP2311814A1', '1175-EP2311815A1', '1175-EP2311816A1', '1175-EP2311817A1', '1175-EP2311818A1', '1175-EP2311821A1', '1175-EP2311822A1', '1175-EP2311823A1', '1175-EP2311824A1', '1175-EP2311825A1', '1175-EP2311827A1', '1175-EP2311829A1', '1175-EP2311830A1', '1175-EP2311831A1', '1175-EP2311836A1', '1175-EP2311837A1', '1175-EP2311840A1', '1175-EP2311842A2', '1175-EP2311850A1', '1175-EP2314295A1', '1175-EP2314558A1', '1175-EP2314574A1', '1175-EP2314575A1', '1175-EP2314576A1', '1175-EP2314582A1', '1175-EP2314583A1', '1175-EP2314584A1', '1175-EP2314585A1', '1175-EP2314586A1', '1175-EP2314587A1', '1175-EP2314588A1', '1175-EP2314590A1', '1175-EP2314593A1', '1175-EP2315303A1', '1175-EP2315502A1', '1175-EP2316450A1', '1175-EP2316452A1', '1175-EP2316457A1', '1175-EP2316459A1', '1175-EP2316470A2', '1175-EP2316824A1', '1175-EP2316825A1', '1175-EP2316826A1', '1175-EP2316827A1', '1175-EP2316829A1', '1175-EP2316831A1', '1175-EP2316832A1', '1175-EP2316833A1', '1175-EP2316834A1', '1175-EP2316835A1', '1175-EP2316836A1', '1175-EP2316905A1', '1175-EP2316906A2', '1175-EP2316974A1', '1175-EP2371811A2', '1175-EP2371812A1', '1175-EP2371814A1', '1175-EP2371831A1', '1175-EP2372804A1', '1175-EP2374454A1', '1175-EP2374783A1', '1175-EP2374788A1', '1175-EP2374790A1', '1175-EP2374792A1', '1175-EP2377510A1', '1175-EP2377813A1', '1175-EP2377841A1', '1175-EP2378585A1', '1175-EP2380568A1', '1175-EP2380867A1', '1175-EP2380869A1', '1175-EP2380870A1', '1175-EP2380874A2', 'C00747', '14835-EP2272517A1', '14835-EP2272846A1', '14835-EP2277868A1', '14835-EP2277869A1', '14835-EP2277870A1', '14835-EP2280002A1', '14835-EP2280011A1', '14835-EP2280948A1', '14835-EP2284166A1', '14835-EP2287158A1', '14835-EP2292592A1', '14835-EP2292608A1', '14835-EP2292625A1', '14835-EP2295422A2', '14835-EP2295436A1', '14835-EP2298305A1', '14835-EP2298749A1', '14835-EP2298750A1', '14835-EP2298769A1', '14835-EP2298773A1', '14835-EP2305657A2', '14835-EP2308852A1', '14835-EP2308866A1', '14835-EP2308878A2', '14835-EP2311806A2', '14835-EP2316457A1', '14835-EP2316830A2', '14835-EP2371806A1', '14835-EP2371807A1', 'A802257', 'Q210385', 'J-002482', 'F0001-0227', 'Pyridine, puriss. p.a., ACS reagent, &gt;=99.8% (GC)', 'Pyridine, suitable for hydroxyl value determination, &gt;=99.5%', 'Pyridine, Pharmaceutical Secondary Standard; Certified Reference Material', 'Pyridine, puriss. p.a., ACS reagent, reag. Ph. Eur., &gt;=99.5% (GC)', 'Pyridine, puriss., absolute, over molecular sieve (H2O &lt;=0.005%), &gt;=99.8% (GC)', 'Pyridine, puriss., Reag. Ph. Eur., dried, &gt;=99.5% (GC), &lt;=0.0075% water']</t>
  </si>
  <si>
    <t>Compound(1049)</t>
  </si>
  <si>
    <t>C5H5N</t>
  </si>
  <si>
    <t>pyridate</t>
  </si>
  <si>
    <t>(6-chloro-3-phenylpyridazin-4-yl) octylsulfanylformate</t>
  </si>
  <si>
    <t>['Pyridate', '55512-33-9', 'Lentagran', 'Fenpyrate', 'Pyridat', 'Pyron', 'Tough', 'Caswell No. 716A', 'Pyridate [BSI:ISO]', 'CL 11344', 'UNII-JQH131LU0A', 'O-(6-Chloro-3-phenylpyridazin-4-yl) S-octyl thiocarbonate', 'EINECS 259-686-7', 'P1 3419', 'EPA Pesticide Chemical Code 128834', 'BRN 0759528', 'JQH131LU0A', 'O-(6-Chloro-3-phenyl-4-pyridazinyl) S-octyl carbonothioate', 'CHEBI:81971', 'CARBONOTHIOIC ACID, O-(6-CHLORO-3-PHENYL-4-PYRIDAZINYL) S-OCTYL ESTER', '(6-chloro-3-phenylpyridazin-4-yl) octylsulfanylformate', 'Carbonothioic acid, O-(6-chloro-3-phenyl-4-pyridizinyl) S-octyl ester', 'Pyridat, analytical standard', 'o-(6-Chloro-3-phenyl-4-pyridazinyl) S-octyl thiocarbonate', 'DSSTox_CID_12639', 'DSSTox_RID_79018', 'DSSTox_GSID_32639', 'SCHEMBL53240', 'CHEMBL3186929', 'DTXSID2032639', 'ZINC2555391', 'Tox21_301247', 'NCGC00255286-01', 'LS-52224', 'CAS-55512-33-9', 'DB-052749', 'Pyridat, PESTANAL(R), analytical standard', 'FT-0630683', 'NS00000573', 'C18803', '512P339', 'C-21304', 'Q1809267', 'O-(6-Chloro-3-phenylpyridazin-4-yl) S-octyl carbonothioate', 'O-6-chloro-3-phenylpyridazin-4-yl S-octyl carbonothioate', 'O-(6-Chloro-3-phenylpyridazin-4-yl)-S-octyl thioca;O-(6-chloro-3-phenylpyridazin-4-yl) S-octyl thiocarbonate;pyridate']</t>
  </si>
  <si>
    <t>Compound(41463)</t>
  </si>
  <si>
    <t>C19H23ClN2O2S</t>
  </si>
  <si>
    <t>2-[2-chloro-5-[4-chloro-5-(difluoromethoxy)-1-methylpyrazol-3-yl]-4-fluorophenoxy]acetic acid</t>
  </si>
  <si>
    <t>['Pyraflufen', '129630-17-7', 'UNII-BP6251A20Q', 'BP6251A20Q', 'Pyraflufen [ISO]', 'pyraflufene', 'Pyraflufen (free acid)', 'SCHEMBL38952', 'DTXSID1057953', 'Pyraflufen-ethyl metabolite E-1', 'CHEBI:138287', 'Pyraflufen-ethyl (free acid; E1)', 'NS00009987', 'Q27274790', '[2-chloro-5-(4-chloro-5-difluoromethoxy-1-methylpyrazol-3-yl)-4-fluorophenoxy]acetic acid', '{2-chloro-5-[4-chloro-5-(difluoromethoxy)-1-methyl-1H-pyrazol-3-yl]-4-fluorophenoxy}acetic acid', '2-[2-chloro-5-[4-chloro-5-(difluoromethoxy)-1-methyl-1H-pyrazol-3-yl]-4-fluorophenoxy]acetic acid', '2-[2-chloro-5-[4-chloro-5-(difluoromethoxy)-1-methylpyrazol-3-yl]-4-fluorophenoxy]acetic acid', 'Acetic acid, (2-chloro-5-(4-chloro-5-(difluoromethoxy)-1-methyl-1H-pyrazol-3-yl)-4-fluorophenoxy)-', 'Pyraflufen-ethyl (free acid; E1);2-chloro-5-(4-chloro-5-difluoromethoxy-1-methylpyrazol-3-yl)-4-fluorophenoxyacetic acid;Pyraflufen (a metabolite of pyraflufen-ethyl) (ISO approved']</t>
  </si>
  <si>
    <t>Compound(15672202)</t>
  </si>
  <si>
    <t>C13H9Cl2F3N2O4</t>
  </si>
  <si>
    <t>ethyl 2-[2-chloro-5-[4-chloro-5-(difluoromethoxy)-1-methylpyrazol-3-yl]-4-fluorophenoxy]acetate</t>
  </si>
  <si>
    <t>['Pyraflufen-ethyl', '129630-19-9', 'PYRAFLUFEN ETHYL', 'UNII-XOC9Q2DLMI', 'Pyraflufen-ethyl [ISO:BSI]', 'XOC9Q2DLMI', 'CHEBI:81828', 'Ethyl [2-chloro-5-(4-chloro-5-difluoromethoxy-1-methylpyrazol-3-yl)-4-fluorophenoxy]acetate', 'ethyl 2-[2-chloro-5-[4-chloro-5-(difluoromethoxy)-1-methylpyrazol-3-yl]-4-fluorophenoxy]acetate', 'ethyl {2-chloro-5-[4-chloro-5-(difluoromethoxy)-1-methyl-1H-pyrazol-3-yl]-4-fluorophenoxy}acetate', 'Thunderbolt', 'Pyrafluefen-ethyl', 'HSDB 7498', 'HRB1', 'DSSTox_CID_14871', 'DSSTox_RID_79213', 'DSSTox_GSID_34871', 'SCHEMBL53390', 'Potassium Tellurate;Thunderbolt', 'CHEMBL1905010', 'DTXSID8034871', 'BCP33327', 'Tox21_300698', 'ET 751', 'ZINC13828120', 'NCGC00164464-01', 'NCGC00164464-03', 'NCGC00254606-01', 'LS-181894', 'CAS-129630-19-9', 'NS00001488', 'Pyraflufen-ethyl 10 microg/mL in Cyclohexane', 'C18554', 'Pyraflufen-ethyl, PESTANAL(R), analytical standard', 'Q2119649', 'Acetic acid, (2-chloro-5-(4-chloro-5-(difluoromethoxy)-1-methyl-1H-pyrazol-3-yl)-4-fluorophenoxy)-, ethyl ester', 'Acetic acid, 2-[2-chloro-5-[4-chloro-5-(difluoromethoxy)-1-methyl-1H-pyrazol-3-yl]-4-fluorophenoxy]-, ethyl ester;2-chloro-5-(4-chloro-5-difluoromethoxy-1-methylpyrazol-3-yl)-4-fluorophenoxyacetic acid ethyl ester', 'ethyl 2-[2-chloro-5-[4-chloro-5-(difluoromethoxy)-1-methyl-1H-pyrazol-3-yl]-4-fluorophenoxy]acetate']</t>
  </si>
  <si>
    <t>Compound(182951)</t>
  </si>
  <si>
    <t>C15H13Cl2F3N2O4</t>
  </si>
  <si>
    <t>1-(2,4-dichlorophenyl)-N-methoxy-2-pyridin-3-ylethanimine</t>
  </si>
  <si>
    <t>['Pyrifenox', '88283-41-4', '1-(2,4-dichlorophenyl)-N-methoxy-2-pyridin-3-ylethanimine', 'CHEBI:81972', 'Pyrifenox 1', 'Pyrifenox 2', 'Pyrifenox (I)', 'Pyrifenox (II)', 'SCHEMBL22695', 'CHEMBL1863315', 'DTXSID2042359', 'CTK8E8532', 'DNDI1255613', 'Pyrifenox 10 microg/mL in Isooctane', 'ZINC253650512', 'DB-057054', 'FT-0630957', 'Q19298809', "2',4'-dichloro-2-(3-pyridyl)-acetophenone O-methyl oxime", "pyrifenox;2',4'-Dichloro-2-(3-pyridyl)acetophenone (E,Z)-O-methyloxime;Ethanone, 1-(2,4-dichlorophenyl)-2-(3-pyridinyl)-, O-methyloxime"]</t>
  </si>
  <si>
    <t>Compound(55790)</t>
  </si>
  <si>
    <t>pyrolate</t>
  </si>
  <si>
    <t>(1,1-dimethylpyrrolidin-1-ium-3-yl) 2-cyclopentyl-2-hydroxy-2-phenylacetate;bromide</t>
  </si>
  <si>
    <t>['GLYCOPYRROLATE', 'glycopyrronium bromide', '596-51-0', 'Glycopyrrolate bromide', 'Robinul', 'Gastrodyn', 'Asecryl', 'Nodapton', 'Tarodyl', 'Tarodyn', 'Copyrrolate', 'Cuvposa', 'Glycopyrronii bromidum', 'AHR-504', 'ROBINUL FORTE', 'Bromuro de glicopirronio', 'Bromure de glycopyrronium', 'NVA-237', 'Robanul', 'Robinal', 'NSC 250836', 'NSC 251251', 'NSC 251252', 'Seebri Neohaler', 'AHR 504', 'Glycopyrronii bromidum [INN-Latin]', 'EINECS 209-887-0', 'Bromure de glycopyrronium [INN-French]', 'Bromuro de glicopirronio [INN-Spanish]', '3-Hydroxy-1,1-dimethylpyrrolidinium bromide alpha-cyclopentylmandelate', '1,1-Dimethyl-3-hydroxypyrrolidinium bromide alpha-cyclopentylmandelate', '1-Methyl-3-pyrrolidyl alpha-phenylcyclopentaneglycolate methobromide', 'Pyrrolidinium, 3-((cyclopentylhydroxyphenylacetyl)oxy)-1,1-dimethyl-, bromide', 'AD-237', 'PT-001', 'NSC-250836', 'NSC-251251', 'NSC-251252', 'DSSTox_CID_3109', '3-(2-Cyclopentyl-2-hydroxy-2-phenylacetoxy)-1,1-dimethylpyrrolidinium Bromide', 'DSSTox_RID_76878', 'DSSTox_GSID_23109', '51186-83-5', 'Seebri', 'Pyrrolidinium,1-dimethyl-, bromide', 'Pyrrolidinium, 1,1-dimethyl-3-hydroxy-, bromide, alpha-cyclopentylmandelate', 'Pyrrolidinium, 3-[(cyclopentylhydroxyphenylacetyl)oxy]-1,1-dimethyl-,bromide', 'Seebri Breezhaler', 'SMR000469282', 'Glycopyrroni bromidum', 'NSC250836', 'NSC251251', 'NSC251252', 'NVA 237', 'Glycopyrrolate [USAN]', 'NCGC00179456-02', 'WLN: T5KTJ A1 A1 COVXQR&amp;- AL5TJ &amp;Q &amp;E', 'C19H28BrNO3', 'Glycopyrrolate [USAN:USP]', 'Lonhala Magnair', 'NVA237', 'Pyrrolidinium,1-dimethyl-, bromide, .alpha.-cyclopentylmandelate', '1,1-Dimethyl-3-hydroxypyrrolidinium bromide .alpha.-cyclopentylmandelate', '1-Methyl-3-pyrrolidinyl .alpha.-phenylcyclopentaneglycolate methobromide', '3-Hydroxy-1,1-dimethylpyrrolidinium bromide .alpha.-cyclopentylmandelate', '3-Hydroxy-1,1-dimethylpyrrolidinium bromide-.alpha.-cyclopentylmandelate', 'Mandelic acid, ester with 3-hydroxy-1,1-dimethylpyrrolidinium bromide', '475468-09-8', 'Cuvposa (TN)', 'Robinul (TN)', 'MFCD00072137', 'Glycopyrrolate (USP)', '.beta.-1-Methyl-3-pyrrolidyl-.alpha.-cyclopentylmandelate methobromide', 'Seebri breezhaler (TN)', 'CAS-596-51-0', 'GLYCOPYRRONE BROMIDE', 'SCHEMBL41436', 'Glycopyrronium Bromide ,(S)', 'MLS001424112', 'MLS002222301', 'CHEMBL1201027', 'DTXSID6023109', 'C19H28NO3', 'CHEBI:90972', 'CHF5259', 'Glycopyrrolate, &gt;=98% (HPLC)', 'Glycopyrronium bromide (JAN/INN)', 'HMS1570E14', 'HMS2051P12', 'HMS2094A05', 'HMS2097E14', 'HMS2235F12', 'HMS3259P04', 'HMS3369F10', 'HMS3393P12', 'HMS3714E14', 'Pharmakon1600-01505753', 'PT001', '201667-20-1', 'BCP07110', 'BCP33298', 'CHF-5259', 'CHF-5992', 'Tox21_113144', 'Tox21_113145', 'NSC759238', 's4660', '3-(2-phenyl-2-cyclopentylglycoloyloxy)-1,1-dimethylpyrrolidinium bromide', 'AKOS015962136', 'Tox21_113144_1', 'CCG-101030', 'CCG-213543', 'CS-1763', 'NC00280', 'NC00694', 'NSC-759238', 'NCGC00179456-04', 'AC-23382', 'HY-17465', 'OR315526', 'Glycopyrrolate Erythro Isomer (SS-Isomer)', 'AB0010706', 'LS-138344', 'FT-0626787', 'G0392', 'D00540', 'Glycopyrronium (bromide);Glycopyrrolate (bromide)', 'SR-01000763650', 'Nodapton|||Robanul|||Robinul|||Tarodyl|||Tarodyn', 'SR-01000763650-3', 'Q27162963', '1-methyl-3-pyrrolidyl alpha-cyclopentylmandelate methobromide', 'Glycopyrrolate, United States Pharmacopeia (USP) Reference Standard', '1-methyl-3-pyrrolidyl alpha-phenyl-alpha-cyclopentylglycolate methobromide', 'Glycopyrronium bromide, European Pharmacopoeia (EP) Reference Standard', 'Glycopyrronium impurity N, European Pharmacopoeia (EP) Reference Standard', 'Pyrrolidinium, 3-hydroxy-1,1-dimethyl-, bromide, alpha-cyclopentylmandelate', '3-{[cyclopentyl(hydroxy)phenylacetyl]oxy}-1,1-dimethylpyrrolidin-1-ium bromide', 'alpha-cyclopentylmandelic acid ester with 3-hydroxy-1,1-dimethylpyrrolidinium bromide', 'Glycopyrronium for peak identification, European Pharmacopoeia (EP) Reference Standard', 'Pyrrolidinium, 3-hydroxy-1,1-dimethyl-, bromide, alpha-cyclopentylmandelate (8CI)']</t>
  </si>
  <si>
    <t>Compound(11693)</t>
  </si>
  <si>
    <t>C19H28BrNO3</t>
  </si>
  <si>
    <t>pyrimidifene</t>
  </si>
  <si>
    <t>5-chloro-N-[2-[4-(2-ethoxyethyl)-2,3-dimethylphenoxy]ethyl]-6-ethylpyrimidin-4-amine</t>
  </si>
  <si>
    <t>['Pyrimidifen', '105779-78-0', 'Pyrimidifen [ISO:BSI]', 'UNII-I21MX86B4X', 'I21MX86B4X', '5-chloro-N-(2-(4-(2-ethoxyethyl)-2,3-dimethylphenoxy)ethyl)-6-ethyl-4-pyrimidinamine', '5-chloro-N-[2-[4-(2-ethoxyethyl)-2,3-dimethylphenoxy]ethyl]-6-ethylpyrimidin-4-amine', '5-chloro-N-{2-[4-(2-ethoxyethyl)-2,3-dimethylphenoxy]ethyl}-6-ethylpyrimidin-4-amine', 'Miteclean', '5-chloro-n-(2-(4-(2-ethoxyethyl)-2,3-dimethylphenoxy)ethyl)-6-ethylpyrimidin-4-amine', 'SCHEMBL84281', 'DTXSID9057925', 'CHEBI:38604', 'CTK8E8172', 'ZINC2381599', 'Pyrimidifen 10 microg/mL in Acetonitrile', 'LS-134440', 'FT-0674237', 'NS00015287', 'C18603', 'Pyrimidifen, PESTANAL(R), analytical standard', '26937-EP2274983A1', '26937-EP2275422A1', '26937-EP2280009A1', '26937-EP2292608A1', '26937-EP2308857A1', '26937-EP2308858A1', '26937-EP2311816A1', '26937-EP2311817A1', '26937-EP2314583A1', 'J-001479', 'Q22808842']</t>
  </si>
  <si>
    <t>Compound(6451139)</t>
  </si>
  <si>
    <t>C20H28ClN3O2</t>
  </si>
  <si>
    <t>4,6-dimethyl-N-phenylpyrimidin-2-amine</t>
  </si>
  <si>
    <t>['Pyrimethanil', '53112-28-0', '4,6-dimethyl-N-phenyl-2-pyrimidinamine', '4,6-dimethyl-N-phenylpyrimidin-2-amine', 'Pyrimethanil [ISO]', '2-Pyrimidinamine, 4,6-dimethyl-N-phenyl-', '2-Anilino-4,6-dimethylpyrimidine', 'UNII-6IA5HP6C8Z', 'HSDB 6916', '6IA5HP6C8Z', 'CHEBI:8674', 'Dynmethanil', 'Mythos', 'Scala', 'Pyrimethanil, BSI', '4,6-dimethyl-N-phenyl-pyrimidin-2-amine', 'Peakdale1_000145', 'DSSTox_CID_14877', 'DSSTox_RID_79216', 'DSSTox_GSID_34877', 'SCHEMBL20817', 'CHEMBL540677', 'DTXSID8034877', 'CTK8E3786', 'HMS518G13', 'KS-00000JGM', 'ZINC967734', 'Tox21_300808', 'STK693289', 'AKOS005604858', 'DS-0891', 'MCULE-1726790864', 'VA11628', 'N-(4,6-dimethylpyrimidin-2-yl)aniline', 'Pyrimethanil 100 microg/mL in Methanol', '(4,6-dimethylpyrimidin-2-yl)phenylamine', 'NCGC00164307-01', 'NCGC00164307-02', 'NCGC00164307-03', 'NCGC00254712-01', 'AC-12527', 'AK-35511', 'BR-35511', 'O663', 'Pyrimethanil 10 microg/mL in Cyclohexane', '(4,6-dimethylpyrimidin-2-yl)-phenyl-amine', 'AB0016583', 'CAS-53112-28-0', 'DB-052261', 'LS-184329', 'SN 100309', 'ST4143279', 'ZK 100309', 'AM20060659', 'CS-0014128', 'FT-0630658', 'NS00000363', 'C11180', 'N-(4,6-dimethyl-2-pyrimidinyl)-N-phenylamine', 'S-1679', 'Pyrimethanil, PESTANAL(R), analytical standard', '112P280', '12B-067', 'N-(4,6-dimethylpyrimidin-2-yl)aniline;pyrimethanil', 'Q7263600']</t>
  </si>
  <si>
    <t>Compound(91650)</t>
  </si>
  <si>
    <t>C12H13N3</t>
  </si>
  <si>
    <t>pyriophenone</t>
  </si>
  <si>
    <t>(5-chloro-2-methoxy-4-methylpyridin-3-yl)-(2,3,4-trimethoxy-6-methylphenyl)methanone</t>
  </si>
  <si>
    <t>['Pyriofenone', '688046-61-9', 'IKF-309', 'UNII-4ER76S8IFJ', '4ER76S8IFJ', '(5-chloro-2-methoxy-4-methyl-3-pyridinyl)(2,3,4-trimethoxy-6-methylphenyl)methanone', '(5-chloro-2-methoxy-4-methylpyridin-3-yl)(2,3,4-trimethoxy-6-methylphenyl)methanone', 'Pyriofenone [ISO]', '(5-chloro-2-methoxy-4-methyl-3-pyridyl)(4,5,6-trimethoxy-o-tolyl)methanone', 'SCHEMBL322562', 'DTXSID8058162', 'CHEBI:83346', 'ZINC77312729', '3-(2,3,4-Trimethoxy-6-methylbenzoyl)-5-chloro-2-methoxy-4-methylpyridine', '(5-chloro-2-methoxy-4-methylpyridin-3-yl)-(2,3,4-trimethoxy-6-methylphenyl)methanone', 'FT-0674238', 'Q19298811']</t>
  </si>
  <si>
    <t>Compound(23082663)</t>
  </si>
  <si>
    <t>C18H20ClNO5</t>
  </si>
  <si>
    <t>2-[1-(4-phenoxyphenoxy)propan-2-yloxy]pyridine</t>
  </si>
  <si>
    <t>['Pyriproxyfen', '95737-68-1', 'Pyriproxifen', '2-[1-Methyl-2-(4-phenoxyphenoxy)ethoxy]pyridine', '2-((1-(4-Phenoxyphenoxy)propan-2-yl)oxy)pyridine', 'Pyriproxyfen [ISO:BSI]', '4-Phenoxyphenyl (RS)-2-(2-pyridyloxy)propyl ether', '2-[1-(4-phenoxyphenoxy)propan-2-yloxy]pyridine', 'HSDB 7053', 'Pyridine, 2-[1-methyl-2-(4-phenoxyphenoxy)ethoxy]-', 'OMS 3019', '2-(1-Methyl-2-(4-phenoxyphenoxy)ethoxy)pyridine', 'S 31183', 'Pyridine, 2-(1-methyl-2-(4-phenoxyphenoxy)ethoxy)-', 'CHEBI:39260', 'S 9138', 'S31183', 'juvinal', 'AK117751', 'Admiral', 'Distance', 'Nemesis', 'Sumilarv', 'Esteem', 'Knack', 'Nylar', 'Tiger', 'Lano Tape', 'Distance IGR', 'Archer IGR', 'NyGuard IGR', 'Pluto MC', 'Tiger 10EC', '2-(1-(4-phenoxyphenoxy)propan-2-yloxy)pyridine', '2-{[1-(4-phenoxyphenoxy)propan-2-yl]oxy}pyridine', 'BCP 8702', 'S-31183', 'PubChem23006', 'EC 429-800-1', 'Pyriproxyfen (Pyriproxifen)', 'Cyclio [veterinary] (TN)', 'DSSTox_CID_12640', 'DSSTox_RID_79019', 'DSSTox_GSID_32640', 'SCHEMBL26721', 'CHEMBL1883234', 'DTXSID1032640', 'CTK8D4322', 'BCP19779', 'HY-B2031', 'KS-00000FU9', 'Tox21_300716', 'KM3373', 'AKOS015841821', 'CS-5218', 'KS-5363', 'VA11629', 'NCGC00163945-01', 'NCGC00163945-02', 'NCGC00163945-03', 'NCGC00163945-04', 'NCGC00164462-01', 'NCGC00254622-01', 'CC-34128', 'Pyriproxyfen 10 microg/mL in Cyclohexane', 'SC-12558', 'Pyriproxyfen 10 microg/mL in Acetonitrile', 'AX8001190', 'CAS-95737-68-1', 'LS-131826', 'Pyriproxyfen 100 microg/mL in Acetonitrile', 'FT-0630990', 'NS00009439', 'C18605', 'D08455', '26905-EP2274983A1', '26905-EP2280009A1', '26905-EP2305662A1', '26905-EP2308857A1', '26905-EP2308858A1', '26905-EP2311816A1', '26905-EP2311817A1', '26905-EP2314583A1', 'Pyriproxifen, PESTANAL(R), analytical standard', '737P681', 'A845449', 'C-19698', 'Q413089', '2-[ 1-methyl-2-(4-phenoxyphenoxy)ethoxy]pyridine', '2-[1 -methyl-2-(4-phenoxyphenoxy)ethoxy]pyridine', '2-[1-methyl- 2-(4-phenoxyphenoxy)ethoxy]pyridine', '2-[1-methyl-2-(4-phenoxyphenoxy)ethoxy] pyridine', '2-[1-Methyl-2-(4-phenoxyphenoxy)ethoxy]pyridine #', '2-(1-methyl-2-(4-phenoxy-phenoxy)-ethoxy)-pyridine', 'Pyriproxifen, certified reference material, TraceCERT(R)', 'Pyriproxyfen / 2-(1-methyl-2-(4-phenoxy-phenoxy)-ethoxy)-pyridine', 'Pesticide4_Pyriproxyfen_C20H19NO3_Pyridine, 2-[1-methyl-2-(4-phenoxyphenoxy)ethoxy]-', '2-(1-methyl-2-(4-phenoxy-phenoxy)-ethoxy)-pyridine;4-phenoxyphenyl (RS)-2-(2-pyridyloxy)propyl ether;pyriproxyfen']</t>
  </si>
  <si>
    <t>Compound(91753)</t>
  </si>
  <si>
    <t>C20H19NO3</t>
  </si>
  <si>
    <t>1-azatricyclo[6.3.1.04,12]dodeca-4,6,8(12)-trien-11-one</t>
  </si>
  <si>
    <t>['Pyroquilon', '57369-32-1', 'Pyroquilone', 'Lilolidone', 'Coratop', 'Fongoren', 'Fongorene', 'Pyroquilon [BSI:ISO]', '1,2,5,6-Tetrahydro-4H-pyrrolo[3,2,1-ij]quinolin-4-one', 'Pyroquilone [ISO-French]', 'UNII-WS195Z0WJH', '1,2,5,6-TETRAHYDROPYRROLO[3,2,1-IJ]QUINOLIN-4-ONE', 'CGA 49104', 'BRN 1455831', 'WS195Z0WJH', '1,2,5,6-Tetrahydropyrrolo(3,2,1-ij)quinolin-4-one', '5,6-dihydro-1H-pyrrolo[3,2,1-ij]quinolin-4(2H)-one', 'CHEBI:45141', '1,2,5,6-TETRAHYDRO-4H-PYRROLO(3,2,1-IJ)QUINOLIN-4-ONE', '4H-Pyrrolo[3,2,1-ij]quinolin-4-one, 1,2,5,6-tetrahydro-', '1,2,5,6-Tetrahydro-4H-pyrrolo(3,2,1-ij)quinolin-4-one (9CI)', '4H-Pyrrolo(3,2,1-ij)quinolin-4-one, 1,2,5,6-tetrahydro-', '4-Oxolilidine', 'Pyroquilon, BSI, ISO', 'SCHEMBL22234', '5-21-08-00337 (Beilstein Handbook Reference)', 'CHEMBL144366', 'DTXSID6058132', 'TQR0274', 'ZINC173360', 'STL301730', 'AKOS000277334', 'DB02756', 'MCULE-8915753782', 'Pyroquilon 10 microg/mL in Cyclohexane', 'NCGC00166196-01', 'AS-42206', 'LS-139707', 'CS-0110364', 'FT-0660854', 'NS00004699', 'Pyroquilon, PESTANAL(R), analytical standard', 'C18487', 'Q19298813', '1,2,5,6-Tetrahydro-pyrrolo[3,2,1-ij]quinolin-4-one', 'Z2689172069', '1,2,5,6-tetrahydro-4H-pyrrolo[3,2,1-ij]-quinolin-4-one', '1,2,5,6-tetrahydro-4H-pyrrolo[3,2,1-ij]quinoline-4-one', '1,2,5,6-Tetrahydro-4H-pyrrolo[3,2,1-ij]quinolin-4-one #', '1-azatricyclo[6.3.1.0,(1)(2)]dodeca-4(12),5,7-trien-11-one', '1-azatricyclo[6.3.1.0^{4,12}]dodeca-4(12),5,7-trien-11-one', '1-azatricyclo[6.3.1.0^{4,12}]dodeca-4,6,8(12)-trien-11-one', '4H-Pyrrolo[3,2,1-ij]quinolin-4-one, 1,2,5,6-tetrahydro-;1,2,5,6-tetrahydropyrrolo[3,2,1-ij]quinolin-4-one']</t>
  </si>
  <si>
    <t>Compound(91665)</t>
  </si>
  <si>
    <t>C11H11NO</t>
  </si>
  <si>
    <t>N-(5,7-dimethoxy-[1,2,4]triazolo[1,5-a]pyrimidin-2-yl)-2-methoxy-4-(trifluoromethyl)pyridine-3-sulfonamide</t>
  </si>
  <si>
    <t>['Pyroxsulam', '422556-08-9', 'UNII-N9N7LU19AP', 'N-(5,7-dimethoxy-[1,2,4]triazolo[1,5-a]pyrimidin-2-yl)-2-methoxy-4-(trifluoromethyl)pyridine-3-sulfonamide', 'N9N7LU19AP', 'N-(5,7-dimethoxy[1,2,4]triazolo[1,5-a]pyrimidin-2-yl)-2-methoxy-4-(trifluoromethyl)pyridine-3-sulfonamide', 'Pyroxsulam [ISO]', 'pyroxsulame', 'SCHEMBL95924', 'DTXSID7044344', 'DE-742', 'AK317968', 'Pyroxsulam 100 microg/mL in Acetonitrile', 'NS00008309', 'Q2266549', '3-Pyridinesulfonamide, N-(5,7-dimethoxy[1,2,4]triazolo[1,5-a]pyrimidin-2-yl)-2-methoxy-4-(trifluoromethyl)-;610-007-6']</t>
  </si>
  <si>
    <t>Compound(11571555)</t>
  </si>
  <si>
    <t>C14H13F3N6O5S</t>
  </si>
  <si>
    <t>pyrethrin I.</t>
  </si>
  <si>
    <t>[(1S)-2-methyl-4-oxo-3-[(2Z)-penta-2,4-dienyl]cyclopent-2-en-1-yl] (1R,3R)-2,2-dimethyl-3-(2-methylprop-1-enyl)cyclopropane-1-carboxylate</t>
  </si>
  <si>
    <t>['PYRETHRIN I', '121-21-1', 'UNII-T018I9EQOL', 'Chrysanthemum monocarboxylic acid pyrethrolone ester', 'T018I9EQOL', 'Piretrina 1', 'Caswell No. 715', 'Piretrina 1 [Portuguese]', 'Pyrethrin I [BSI:ISO]', 'Pyrethrine I [ISO-French]', 'HSDB 6302', 'EINECS 204-455-8', 'Pyrethrine I', 'Pyrethrin 1', 'EPA Pesticide Chemical Code 069001', 'BRN 2004306', '(1S)-2-methyl-4-oxo-3-[(2Z)-penta-2,4-dien-1-yl]cyclopent-2-en-1-yl (1R,3R)-2,2-dimethyl-3-(2-methylprop-1-en-1-yl)cyclopropanecarboxylate', '(+)-Pyrethronyl (+)-trans-chrysanthemate', 'Pyrethrolone, chrysanthemum monocarboxylic acid ester', 'Pyrethrine 1', '2,2-Dimethyl-3-(2-methyl-1-propenyl)cyclopropanecarboxylic acid 2-methyl-4-oxo-3-(2,4-pentadienyl)-2-cycloenten-1-yl ester', '2-Methyl-4-oxo-3-(2,4-pentadienyl)-2-cyclopenten-2,2-dimethyl-3-(2-methyl-1-propenyl)cyclopropane carboxylate', 'Cyclopropaneacrylic acid, 2,2-dimethyl-3-(2-methylpropenyl)-, ester with 4-hydroxy-3-methyl-2-(2,4-pentadienyl)-2-cyclopenten-1-one', 'Cyclopropanecarboxylic acid, 2,2-dimethyl-3-(2-methyl-1-propenyl)-, (1S)-2-methyl-4-oxo-3-(2Z)-2,4-pentadienyl-2-cyclopenten-1-yl ester, (1R,3R)-', 'Cyclopropanecarboxylic acid, 2,2-dimethyl-3-(2-methyl-1-propenyl)-, 2-methyl-4-oxo-3-(2,4-pentadienyl)-2-cyclopenten-1-yl ester, (1R-(1alpha(S*(Z)),3beta))-', 'Bubil (TN)', 'SCHEMBL26537', '3-09-00-00215 (Beilstein Handbook Reference)', 'DTXSID4034499', 'CHEBI:27815', '2-Methyl-4-oxo-3-(penta-2,4-dienyl)cyclopent-2-enyl (1R-(1alpha(S*(Z)),3beta))-chrysanthemate', '2-methyl-4-oxo-3-(penta-2,4-dienyl)cyclopent-2-enyl [1R-[1a[S*(Z)],3ss]]-chrysanthemate;2-methyl-4-oxo-3-(penta-2,4-dienyl)cyclopent-2-enyl [1R-[1?[S*(Z)],3?]]-chrysanthemate;Pyrethrin I;Pyrethrin 1', 'Cyclopropanecarboxylic acid, 2,2-dimethyl-3-(2-methyl-1-propenyl)-, 2-methyl-4-oxo-3-(2,4-pentadienyl)-2-cyclopenten-1-yl ester, (1theta-(1alpha(S(Z)),3beta))-', 'Cyclopropanecarboxylic acid, 2,2-dimethyl-3-(2-methylpropenyl)-, ester with 4-hydroxy-3-methyl-2-(2,4-pentadienyl)-2-cyclopenten-1-one', 'ZINC4632605', '[(1S)-2-methyl-4-oxo-3-[(2Z)-penta-2,4-dienyl]cyclopent-2-en-1-yl] (1R,3R)-2,2-dimethyl-3-(2-methylprop-1-enyl)cyclopropane-1-carboxylate', 'Pyrethrin 1 100 microg/mL in Cyclohexane', 'C07594', 'D08452', 'Q7263468', 'UNII-ZUM06L90GV component ROVGZAWFACYCSP-VUMXUWRFSA-N', '2-methyl-4-oxo-3-(penta-2,4-dienyl)cyclopent-2-enyl [1R-[1a[S*(Z)],3ss]]-chrysanthemate', '[(1S)-2-methyl-4-oxo-3-[(2Z)-penta-2,4-dienyl]cyclopent-2-en-1-yl] (1R,3R)-2,2-dimethyl-3-(2-methylprop-1-enyl)cyclopropanecarboxylate', 'CYCLOPROPANECARBOXYLICACID, 2,2-DIMETHYL-3-(2-METHYL-1-PROPEN-1-YL)-,(1S)-2-METHYL-4-OXO-3-(2Z)-2,4-PENTADIEN-1-YL-2-CYCLOPENTEN-1-YL ESTER,(1R,3R)-']</t>
  </si>
  <si>
    <t>Compound(5281045)</t>
  </si>
  <si>
    <t>C21H28O3</t>
  </si>
  <si>
    <t>[(1S)-2-methyl-4-oxo-3-[(2Z)-penta-2,4-dienyl]cyclopent-2-en-1-yl] (1R,3R)-3-[(E)-3-methoxy-2-methyl-3-oxoprop-1-enyl]-2,2-dimethylcyclopropane-1-carboxylate</t>
  </si>
  <si>
    <t>['PYRETHRIN II', 'Pyrethrin', '121-29-9', 'Pyrethrin 2', 'UNII-5N9245585U', 'Pyretrin II', 'CHEBI:27474', '5N9245585U', 'Pyrethrin II [BSI:ISO]', '(1S)-2-methyl-4-oxo-3-[(2Z)-penta-2,4-dien-1-yl]cyclopent-2-en-1-yl (1R,3R)-3-[(1E)-3-methoxy-2-methyl-3-oxoprop-1-en-1-yl]-2,2-dimethylcyclopropanecarboxylate', 'Pyrethrine II [ISO-French]', 'HSDB 6303', '(+)-Pyrethronyl (+)-pyrethrate', 'EINECS 204-462-6', 'Pyrethrine II', 'ENT 7,543', 'Pyrethrolone, chrysanthemum dicarboxlic acid methyl ester ester', 'Chrysanthemumdicarboxylic acid monomethyl ester pyrethrolone ester', 'Pyrethrolone ester of chrsanthemumdicarboxylic acid monomethyl ester', '2-Methyl-4-oxo-3-(2,4-pentadienyl)-2-cyclopenten-1-yl 3-(3-methoxy-2-methyl-3-oxo-1-propenyl)-2,2-dimethyl cyclopropane carboxylate', '3-(3-Methoxy-2-methyl-3-oxo-1-propenyl)-2,2-dimethylcyclopropanecarboxylic acid 2-methyl-4-oxo-3-(2,4-pentadienyl)-2-cyclopenten-1-yl ester', 'Cyclopropaneacrylic acid, 3-carboxy-alpha,2,2-trimethyl-, 1-methyl ester, ester with 4-hydroxy-3-methyl-2-(2,4-pentadienyl)-2-cyclopenten-1-one', 'Cyclopropanecarboxylic acid, 3-(3-methoxy-2-methyl-3-oxo-1-propenyl)-2,2-dimethyl-, 2-methyl-4-oxo-3-(2,4-pentadienyl)-2-cyclopenten-1-yl ester, (1R-(1alpha(S*(Z)),3beta(E)))-', 'SCHEMBL119632', 'CHEMBL2270705', 'DTXSID2042353', '2-Methyl-4-oxo-3-(penta-2,4-dienyl)cyclopent-2-enyl (1R-(1alphaS*(Z)))(3beta)-3-(3-methoxy-2-methyl-3-oxoprop-1-enyl)-2,2-dimethylcyclopropanecarboxylate', 'Cyclopropanecarboxylic acid, 3-((1E)-3-methoxy-2-methyl-3-oxo-1-propen-1-yl)-2,2-dimethyl-, (1S)-2-methyl-4-oxo-3-(2Z)-2,4-pentadien-1-yl-2-cyclopenten-1-yl ester, (1R,3R)-', 'Cyclopropanecarboxylic acid, 3-((1E)-3-methoxy-2-methyl-3-oxo-1-propenyl)-2,2-dimethyl-, (1S)-2-methyl-4-oxo-3-(2Z)-2,4-pentadienyl-2-cyclopenten-1-yl ester, (1R,3R)-', 'Cyclopropanecarboxylic acid, 3-(3-methoxy-2-methyl-3-oxo-1-propenyl)-2,2-dimethyl-, 2-methyl-4-oxo-3-(2,4-pentadienyl)-2-cyclopenten-1-yl ester, (1theta-(1alpha(S(Z)),3beta(E)))-', 'Cyclopropanecarboxylic acid, 3-(3-methoxy-2-methyl-3-oxo-1-propenyl)-2,2-dimethyl-, 2-methyl-4-oxo-3-(2,4-pentadienyl)-2-cyclopenten-1-yl ester, (R-(1alpha(S*(Z)),3beta(E)))-', 'Cyclopropanecarboxylicacid, 3-[(1E)-3-methoxy-2-methyl-3-oxo-1-propen-1-yl]-2,2-dimethyl-,(1S)-2-methyl-4-oxo-3-(2Z)-2,4-pentadien-1-yl-2-cyclopenten-1-yl ester,(1R,3R)-', 'ZINC3875842', 'LMPR0102060022', '[(1S)-2-methyl-4-oxo-3-[(2Z)-penta-2,4-dienyl]cyclopent-2-en-1-yl] (1R,3R)-3-[(E)-3-methoxy-2-methyl-3-oxo-prop-1-enyl]-2,2-dimethyl-cyclopropanecarboxylate', 'C09894', 'UNII-ZUM06L90GV component VJFUPGQZSXIULQ-XIGJTORUSA-N', 'Pyrethrin;2-methyl-4-oxo-3-(penta-2,4-dienyl)cyclopent-2-enyl [1R-[1a[S*(Z)](3ss)-3-(3-methoxy-2-methyl-3-oxoprop-1-enyl)-2,2-dimethylcyclopropanecarboxylate;2-methyl-4-oxo-3-(penta-2,4-dienyl)cyclopent-2-enyl [1R-[1?[S*(Z)](3?)-3-(3-methoxy-2-methyl-3-oxoprop-1-enyl)-2,2-dimethylcyclopropanecarboxylate;Pyrethrin II']</t>
  </si>
  <si>
    <t>Compound(5281555)</t>
  </si>
  <si>
    <t>C22H28O5</t>
  </si>
  <si>
    <t>pyrethrins</t>
  </si>
  <si>
    <t>[(1S)-2-methyl-4-oxo-3-[(2E)-penta-2,4-dienyl]cyclopent-2-en-1-yl] (1R)-2,2-dimethyl-3-(2-methylprop-1-enyl)cyclopropane-1-carboxylate;[2-methyl-4-oxo-3-[(2E)-penta-2,4-dienyl]cyclopent-2-en-1-yl] (1R)-3-[(E)-3-methoxy-2-methyl-3-oxoprop-1-enyl]-2,2-dimethylcyclopropane-1-carboxylate</t>
  </si>
  <si>
    <t>['Pyrethrins', 'Pyrethrum extract', 'PYRETHRUM', '8003-34-7', '[(1S)-2-methyl-4-oxo-3-[(2E)-penta-2,4-dienyl]cyclopent-2-en-1-yl] (1R)-2,2-dimethyl-3-(2-methylprop-1-enyl)cyclopropane-1-carboxylate;[2-methyl-4-oxo-3-[(2E)-penta-2,4-dienyl]cyclopent-2-en-1-yl] (1R', 'MOEPdceREmmoedcc mix', 'Pyrethrins (technical)', '6644AF', 'C22H28O5.C21H28O3', 'SC-57935', 'Pyrethrum extract, &gt;=50% (sum of pyrethrines)', '003P347', 'Pyrethrins (technical) 10 microg/mL in Acetonitrile', 'Q-201642', 'Pyrethrum extract, PESTANAL(R), analytical standard', '1217499-99-4']</t>
  </si>
  <si>
    <t>Compound(71310221)</t>
  </si>
  <si>
    <t>C43H56O8</t>
  </si>
  <si>
    <t>pyrazole</t>
  </si>
  <si>
    <t>1H-pyrazole</t>
  </si>
  <si>
    <t>['pyrazole', '1H-Pyrazole', '288-13-1', '1,2-diazole', 'Pyrazol', '1H-pyrazol', 'diazole', 'UNII-3QD5KJZ7ZJ', 'EINECS 206-017-1', 'MFCD00005234', 'NSC 45410', '3QD5KJZ7ZJ', 'AI3-60151', 'CHEBI:17241', 'NSC45410', 'Pyrazole, 98%, pure', 'Hpz', 'Pyrazole-', '3-pyrazole', '1-h-pyrazole', 'Pyrazol#1', 'Pyrazole, 98%', 'PubChem21409', 'ACMC-1CPBR', 'WLN: T5MNJ', 'EC 206-017-1', 'KSC204I1R', 'CHEMBL15967', 'DTXSID2059774', 'CTK1A4418', 'KS-00000DQK', 'Pyrazole;1H-pyrazole, sodium salt', 'ZINC895257', 'ACT08445', 'BCP26863', 'EBD25393', 'STR00103', 'ANW-26478', 'BBL013144', 'BDBM50390969', 'NSC-45410', 'SBB059844', 'STK400566', 'AKOS000121045', 'Pyrazole, purum, &gt;=98.0% (GC)', 'CS-W008829', 'DB02757', 'LS21032', 'MCULE-9342475145', 'AK-80047', 'BP-12835', 'BR-80047', 'HY-76228', 'NCI60_004054', 'Pyrazole, Vetec(TM) reagent grade, 98%', 'SC-15930', 'ST007565', 'LS-127884', '257-EP2292608A1', '257-EP2301923A1', '257-EP2305658A1', '257-EP2315303A1', 'FT-0658357', 'NS00014209', 'P0546', '6020-EP0930075A1', '6020-EP2269977A2', '6020-EP2269978A2', '6020-EP2269985A2', '6020-EP2269991A2', '6020-EP2269992A1', '6020-EP2269993A1', '6020-EP2270008A1', '6020-EP2270010A1', '6020-EP2270014A1', '6020-EP2270113A1', '6020-EP2270505A1', '6020-EP2272509A1', '6020-EP2272510A1', '6020-EP2272517A1', '6020-EP2272537A2', '6020-EP2272813A2', '6020-EP2272827A1', '6020-EP2272828A1', '6020-EP2272832A1', '6020-EP2272848A1', '6020-EP2272849A1', '6020-EP2272935A1', '6020-EP2272972A1', '6020-EP2272973A1', '6020-EP2274983A1', '6020-EP2275395A2', '6020-EP2275401A1', '6020-EP2275404A1', '6020-EP2275409A1', '6020-EP2275411A2', '6020-EP2275412A1', '6020-EP2275469A1', '6020-EP2276743A1', '6020-EP2277872A1', '6020-EP2277874A1', '6020-EP2277876A1', '6020-EP2280000A1', '6020-EP2280009A1', '6020-EP2281563A1', '6020-EP2281815A1', '6020-EP2281818A1', '6020-EP2281819A1', '6020-EP2284150A2', '6020-EP2284151A2', '6020-EP2284152A2', '6020-EP2284153A2', '6020-EP2284155A2', '6020-EP2284156A2', '6020-EP2284157A1', '6020-EP2284159A1', '6020-EP2284164A2', '6020-EP2284920A1', '6020-EP2287140A2', '6020-EP2287148A2', '6020-EP2287150A2', '6020-EP2287165A2', '6020-EP2287166A2', '6020-EP2287167A1', '6020-EP2287940A1', '6020-EP2289871A1', '6020-EP2289883A1', '6020-EP2289894A2', '6020-EP2289965A1', '6020-EP2292227A2', '6020-EP2292228A1', '6020-EP2292586A2', '6020-EP2292590A2', '6020-EP2292592A1', '6020-EP2292593A2', '6020-EP2292597A1', '6020-EP2292604A2', '6020-EP2292606A1', '6020-EP2292611A1', '6020-EP2292613A1', '6020-EP2292614A1', '6020-EP2292617A1', '6020-EP2292619A1', '6020-EP2292620A2', '6020-EP2292621A1', '6020-EP2292630A1', '6020-EP2295401A2', '6020-EP2295402A2', '6020-EP2295406A1', '6020-EP2295411A1', '6020-EP2295419A2', '6020-EP2295426A1', '6020-EP2295427A1', '6020-EP2295429A1', '6020-EP2295432A1', '6020-EP2295433A2', '6020-EP2295439A1', '6020-EP2295503A1', '6020-EP2295550A2', '6020-EP2297112A1', '6020-EP2298731A1', '6020-EP2298732A1', '6020-EP2298743A1', '6020-EP2298749A1', '6020-EP2298755A1', '6020-EP2298758A1', '6020-EP2298759A1', '6020-EP2298766A1', '6020-EP2298767A1', '6020-EP2298770A1', '6020-EP2298772A1', '6020-EP2298774A1', '6020-EP2298776A1', '6020-EP2298778A1', '6020-EP2299824A1', '6020-EP2301534A1', '6020-EP2301536A1', '6020-EP2301538A1', '6020-EP2301912A2', '6020-EP2301913A1', '6020-EP2301914A1', '6020-EP2301916A2', '6020-EP2301918A1', '6020-EP2301921A1', '6020-EP2301923A1', '6020-EP2301926A1', '6020-EP2301937A1', '6020-EP2302003A1', '6020-EP2305219A1', '6020-EP2305250A1', '6020-EP2305637A2', '6020-EP2305640A2', '6020-EP2305648A1', '6020-EP2305651A1', '6020-EP2305657A2', '6020-EP2305659A1', '6020-EP2305664A1', '6020-EP2305688A1', '6020-EP2305695A2', '6020-EP2305696A2', '6020-EP2305697A2', '6020-EP2305698A2', '6020-EP2308510A1', '6020-EP2308562A2', '6020-EP2308812A2', '6020-EP2308832A1', '6020-EP2308833A2', '6020-EP2308848A1', '6020-EP2308852A1', '6020-EP2308854A1', '6020-EP2308863A1', '6020-EP2308866A1', '6020-EP2308869A1', '6020-EP2308874A1', '6020-EP2308880A1', '6020-EP2311451A1', '6020-EP2311455A1', '6020-EP2311796A1', '6020-EP2311797A1', '6020-EP2311798A1', '6020-EP2311799A1', '6020-EP2311808A1', '6020-EP2311811A1', '6020-EP2311818A1', '6020-EP2311824A1', '6020-EP2311825A1', '6020-EP2311829A1', '6020-EP2311842A2', '6020-EP2314574A1', '6020-EP2314575A1', '6020-EP2314582A1', '6020-EP2314583A1', '6020-EP2314587A1', '6020-EP2315303A1', '6020-EP2316450A1', '6020-EP2316452A1', '6020-EP2316459A1', '6020-EP2316470A2', '6020-EP2316831A1', '6020-EP2316832A1', '6020-EP2316833A1', '6020-EP2316974A1', '6020-EP2371811A2', '6020-EP2371831A1', '6020-EP2372804A1', '6020-EP2378585A1', 'C00481', 'M-6156', 'P-8110', '10198-EP2270010A1', '10198-EP2292593A2', '10198-EP2301536A1', '10198-EP2301538A1', '10198-EP2311455A1', '10198-EP2316452A1', '77216-EP2272846A1', '77216-EP2272972A1', '77216-EP2272973A1', '77216-EP2277872A1', '77216-EP2284149A1', '77216-EP2295439A1', '77216-EP2298749A1', '77216-EP2301536A1', '77216-EP2301923A1', '77216-EP2308849A1', '77216-EP2308850A1', '77216-EP2308866A1', '91656-EP2270008A1', '91656-EP2292227A2', '91656-EP2292617A1', '91656-EP2305668A1', '196393-EP2272973A1', '288P131', 'AC-907/25014006', 'Q408908', 'F2190-0642']</t>
  </si>
  <si>
    <t>Compound(1048)</t>
  </si>
  <si>
    <t>C3H4N2</t>
  </si>
  <si>
    <t>2-[2-(4-benzo[b][1,4]benzothiazepin-6-ylpiperazin-1-yl)ethoxy]ethanol</t>
  </si>
  <si>
    <t>['quetiapine', '111974-69-7', 'Seroquel', 'Quetiapine fumarate', 'Quetiapine [INN:BAN]', 'UNII-BGL0JSY5SI', '2-[2-(4-Dibenzo[b,f][1,4]thiazepin-11-yl-1-piperazinyl)ethoxy]ethanol', 'BGL0JSY5SI', 'CHEMBL716', 'Ethanol, 2-[2-(4-dibenzo[b,f][1,4]thiazepin-11-yl-1-piperazinyl)ethoxy]-', 'CHEBI:8707', 'C21H25N3O2S', '2-(2-(4-Dibenzo(b,f)(1,4)thiazepin-11-yl-1-piperazinyl)ethoxy)ethanol', '2-(2-(4-(Dibenzo[b,f][1,4]thiazepin-11-yl)piperazin-1-yl)ethoxy)ethanol', 'FK949E', 'NCGC00095911-03', 'Co-Quetiapine', '2-[2-(4-dibenzo[b,f][1,4]thiazepin-11-ylpiperazin-1-yl)ethoxy]ethanol', 'DSSTox_CID_3546', 'DSSTox_RID_77073', 'DSSTox_GSID_23546', 'quetiapina', 'quetiapinum', 'Quetiapin', '111974-72-2', '2-{[2-(4-dibenzo[b,f][1,4]thiazepin-11-ylpiperazin-1-yl)ethyl]oxy}ethanol', 'Ethanol, 2-(2-(4-dibenzo(b,f)(1,4)thiazepin-11-yl-1-piperazinyl)ethoxy)-', '(E)-2-(2-(4-(Dibenzo[b,f][1,4]thiazepin-11-yl)piperazin-1-yl)ethoxy)ethanol', 'Quetiapine (INN)', 'SMR000550491', 'Norsic (TN)', 'Seroquel (Fumarate)', 'CAS-111974-69-7', 'SR-01000759335', 'ZM-204636', '2-{2-[4-(dibenzo[b,f][1,4]thiazepin-11-yl)piperazin-1-yl]ethoxy}ethanol', 'HSDB 7557', '2-(2-(4-(dibenzo[b,f][1,4]thiazepin-11-yl)piperazin-1-yl)ethoxy)ethan-1-ol', '2-{2-[4-(Dibenzo[b,f][1,4]thiazepin-11-yl)piperazin-1-yl]ethoxy}ethan-1-ol', 'Quetiapinhemifumarat', 'GTPL50', 'SCHEMBL7932', 'MLS001165710', 'MLS001195658', 'BIDD:GT0279', 'SPECTRUM1505187', 'ETH065', 'DTXSID9023546', 'CTK8F1296', 'URKOMYMAXPYINW-UHFFFAOYSA-', 'HMS2093K06', 'HMS2231O11', 'HMS3372B05', 'HMS3744E21', 'Pharmakon1600-01505187', 'BCP23508', 'Tox21_111537', 'BBL029071', 'BDBM50095890', 'NSC758918', 's5741', 'STL373578', 'ZINC19632628', '11-[4-[2-(2-Hydroxyethoxy)ethyl]-1-piperazinyl]dibenzo[b,f][1,4]thiazepine', 'AKOS003588973', 'Tox21_111537_1', 'API0004010', 'CCG-213347', 'CS-1171', 'DB01224', 'NSC-758918', 'MRF-0000010', 'NCGC00095911-01', 'NCGC00095911-04', 'NCGC00095911-06', 'AS-35258', 'HY-14544', 'M872', 'SC-19077', 'SBI-0206776.P001', 'LS-172170', 'FT-0658790', 'NS00010395', '4769-EP2272537A2', '4769-EP2272841A1', '4769-EP2275420A1', '4769-EP2298731A1', '4769-EP2301936A1', '4769-EP2308867A2', '4769-EP2308870A2', '74Q697', 'C07397', 'D08456', 'W-5151', 'AB00640033-09', 'AB00640033-10', 'AB00640033_11', 'AB00640033_12', 'L001200', 'Q408535', 'SR-01000759335-5', 'SR-01000759335-7', 'BRD-K68867920-001-05-2', '2-(2-(4-dibenzo[b,f]-[1,4]thiazepine-11-yl-1-piperazinyl)ethoxy)ethanol', '2-(2-(4-dibenzo[b,f][1,4] thiazepine-11-yl-1-piperazinyl)ethoxy)ethanol', '2-[2-(4-benzo[b][1,5]benzothiazepin-6-ylpiperazin-1-yl)ethoxy]ethanol', '11-[4-[2-(2-Hydroxyethoxy)ethyl]-1-piperazinyl]dibenzo[b,f][1,4]thiazepine Hemifumarate;Quetiapine fumarate;Ethanol, 2-[2-(4-dibenzo[b,f][1,4]thiazepin-11-yl-1-piperazinyl)ethoxy]-, (2E)-2-butenedioate (2:1)', '2-[2-(4-{2-thia-9-azatricyclo[9.4.0.0^{3,8}]pentadeca-1(11),3(8),4,6,9,12,14-heptaen-10-yl}piperazin-1-yl)ethoxy]ethan-1-ol']</t>
  </si>
  <si>
    <t>Compound(5002)</t>
  </si>
  <si>
    <t>C21H25N3O2S</t>
  </si>
  <si>
    <t>2-amino-3-chloronaphthalene-1,4-dione</t>
  </si>
  <si>
    <t>['2797-51-5', 'Quinoclamine', '2-Amino-3-chloro-1,4-naphthoquinone', '2-amino-3-chloronaphthalene-1,4-dione', 'Quinoclamin', 'Mogeton', '06K-Quinone', 'ACNQ', 'O 6K-quinone', '1,4-Naphthalenedione, 2-amino-3-chloro-', 'Mogeton granule', 'Mogeton G', '2-Amino-3-chloronaphthoquinone', 'Quinoclamine [ISO]', '2-Chloro-3-amino-1,4-naphthoquinone', '06K-50W', 'UNII-JN6NK7K14F', 'NSC 3910', 'NSC 642009', '1,4-Naphthoquinone, 2-amino-3-chloro-', 'EINECS 220-529-2', '06K', 'BRN 2094762', 'JN6NK7K14F', 'MLS002701536', 'CHEBI:81849', 'NSC3910', '2-amino-3-chloro-1,4-dihydronaphthalene-1,4-dione', 'NSC642009', '2-Amino-3-chloro-[1,4]naphthoquinone', '3-amino-2-chloronaphthalene-1,4-dione', 'MFCD00001680', 'Quinoclamine (ACN)', 'ACMC-1CG9O', '1, 2-amino-3-chloro-', 'KSC496C5T', 'SCHEMBL119489', 'Quinoclamine pound&gt;&gt;Quinoclamin', 'CHEMBL156959', 'DTXSID1041390', 'CTK3J6159', 'OBLNWSCLAYSJJR-UHFFFAOYSA-', 'WLN: L66 BV EVJ CZ DG', 'BCP21702', 'DNDI1416924', 'KS-00000MS7', 'NSC-3910', 'ZINC1506256', 'ANW-26313', 'BBL015076', 'SBB008204', 'STK260051', '3-Chloro-2-amino-1,4-naphthoquinone', 'AKOS000108631', 'DS-0569', 'MCULE-7890145658', 'NSC-642009', 'Quinoclamine 100 microg/mL in Acetone', 'RTI1218-1-1', '2-amino-3-chloro-naphthalene-1,4-dione', 'LS-95614', 'NCI60_014211', 'SMR001565137', 'AB0061956', 'DB-080905', 'HY-121632', '2-azanyl-3-chloranyl-naphthalene-1,4-dione', 'A1288', 'BB 0218018', 'CS-0082921', 'FT-0611049', 'NS00006275', 'ST45016223', 'C18584', 'Quinoclamine, PESTANAL(R), analytical standard', 'A819269', '2-amino-3-chloro-1,4-dihydro-1,4-dioxonaphthalene', 'Q2123248', 'W-107083', '2-amino-3-chloro-1,4-dihydro-1,4-dioxo-naphthalene', 'Z57178974', 'Butanedioic acid,4-dihydro-1,4-dioxo- 2-naphthalenyl)amino]1,2-dioxo]ethyl]-3-oxo-, dimethyl ester']</t>
  </si>
  <si>
    <t>Compound(17748)</t>
  </si>
  <si>
    <t>C10H6ClNO2</t>
  </si>
  <si>
    <t>diethoxy-quinoxalin-2-yloxy-sulfanylidene-lambda5-phosphane</t>
  </si>
  <si>
    <t>['QUINALPHOS', 'Bayrusil', '13593-03-8', 'Diethquinalphion', 'Ekalux', 'Quinaltaf', 'Savall', 'Bayer 77049', 'Diethquinalphione', 'Wie oben', 'Chinalphos', 'Sandoz 6538', 'O,O-Diethyl O-quinoxalin-2-yl phosphorothioate', 'Quinalphos 25 EC', 'Ekalux 25EC', 'Spencer S-6538', 'Quinalphos [BSI:ISO]', 'SRA 7312', 'BAY 77049', 'CCRIS 3398', 'SAN 6538 I', 'SAN 6626 I', 'UNII-26S837727Y', 'BAY 5821', 'Phosphorothioic acid, O,O-diethyl O-2-quinoxalinyl ester', 'EINECS 237-031-6', 'ENT 27394', 'NSC 190986', 'BRN 0754823', 'Diethyl O-(2-quinoxalyl) phosphorothioate', 'O,O-Diethyl-O-2-quinoxalyl-thiophosphate', 'Diethyl O-(quinoxalin-2-yl) thiophosphate', 'AI3-27394', 'CHEBI:8712', 'O,O-diethyl O-quinoxalin-2-yl thiophosphate', 'Phosphorothioic acid, O,O-diethyl O-(2-quinoxalinyl) ester', 'o,o-Diethyl O-2-quinoxalinyl phosphorothioate', 'O,O-Diethyl O-(2-chinoxalyl)-phosphorothioate', 'O,O-Diethyl-O-(2-quinoxalyl) phosphorothioate', 'S-6538', 'O,O-Diethyl-O-(2-quinoxalinyl) phosphorothioate', 'O,O-Diethyl-O-(quinoxalinyl-(2))-thionophosphate', 'O,O-Diethyl O-2-quinoxalinyl phosphorothioic acid ester', 'O,O-Diaethyl-O-(chinoxalyl-(2))-monothiophosphat [German]', '26S837727Y', 'DSSTox_CID_4291', 'DSSTox_RID_77358', 'DSSTox_GSID_24291', 'Guinalphos', 'CAS-13593-03-8', 'diethoxy-quinoxalin-2-yloxy-sulfanylidene-?^{5}-phosphane', 'Quinolphos', 'Diethchinalphion', 'Sandoz 6626', 'SCHEMBL18079', '5-23-11-00455 (Beilstein Handbook Reference)', 'O,O-Diaethyl-O-(chinoxalyl-(2))-monothiophosphat', 'BIDD:ER0041', 'Quinalphos (Diethquinalphione)', 'CHEMBL1893890', 'DTXSID7024291', 'JYQUHIFYBATCCY-UHFFFAOYSA-', 'quinalphos;Quinalphos = Chinalphos', 'SAN 6538', 'SAN 6626', 'Tox21_202028', 'Tox21_303270', 'AKOS015960929', 'Diethyl 2-Quinoxalyl phosphorothionate', 'Quinalphos 1000 microg/mL in Acetone', 'Quinalphos 10 microg/mL in Cyclohexane', 'NCGC00164298-01', 'NCGC00164298-02', 'NCGC00256999-01', 'NCGC00259577-01', 'AC-12671', 'CC-33197', 'Diethyl O-2-quinoxalinyl phosphorothioate', 'Diethyl O-quinoxalin-2-yl thionophosphate', 'O725', 'LS-108723', 'FT-0742398', 'NS00005072', 'o,o-diethyl o-(2-quinoxalyl)phosphorothionate', 'Quinalphos, PESTANAL(R), analytical standard', 'C11030', 'O,O-Diethyl O-(2-quinoxalyl) phosphorothionate', 'O,O-Diethyl O-(quinoxalin-2-yl) thiophosphate', 'O,O-Diethyl O-(2-quinoxalinyl) thiophosphate #', '593Q038', 'C-35474', 'Q421631', 'diethoxy-quinoxalin-2-yloxy-sulfanylidenephosphorane', 'J-006784']</t>
  </si>
  <si>
    <t>Compound(26124)</t>
  </si>
  <si>
    <t>['QUINOLINE', '91-22-5', 'Chinoline', 'Chinolin', 'Quinolin', '1-Benzazine', '1-Azanaphthalene', 'Chinoleine', 'Leucol', 'Benzo[b]pyridine', 'Benzopyridine', 'Leukol', '2,3-Benzopyridine', 'Benzo(b)pyridine', 'USAF EK-218', '1-Benzine', 'Chinolin [Czech]', 'B 500', 'NSC 3396', 'Benzopyridine (VAN)', 'CCRIS 547', 'FEMA No. 3470', 'HSDB 121', 'Quinoline (8CI,9CI)', 'UN2656', 'UNII-E66400VT9R', 'CHEBI:17362', 'AI3-01241', 'B-500', 'EINECS 202-051-6', 'CHEMBL14474', 'DTXSID1021798', 'Quinoline [UN2656] [Poison]', 'E66400VT9R', 'Quinoline, 96%', 'Quinoline, 99%', 'Quinolinium chloride', 'DSSTox_CID_1798', 'DSSTox_RID_76332', 'DSSTox_GSID_21798', 'Quinoline-', 'MFCD00006736', 'CAS-91-22-5', 'hydroquinoline', 'Quinoline.', 'Quinoline-2-D', 'Quinoline-3-D', 'Quinoline-4-D', 'Quinoline-5-D', 'Quinoline-6-D', 'Quinoline-7-D', 'Quinoline-8-D', 'ACMC-20aimg', 'Quinoline, &gt;=97%', 'Quinoline, &gt;=99%', 'Quinoline &gt; 90% grade', 'Epitope ID:140096', 'EC 202-051-6', '1-Hydro-3-dehydroquinoline', 'SCHEMBL2774', 'NCIOpen2_007906', 'WLN: T66 BNJ', 'MLS002303065', 'BIDD:ER0666', 'Quinoline, analytical standard', 'SCHEMBL483852', 'SCHEMBL1193639', 'SCHEMBL3311562', 'SCHEMBL8571823', 'Quinoline, reagent grade, 96%', 'Quinoline, reagent grade, 98%', 'FEMA 3470', 'KS-00000WGG', 'NSC3396', 'HMS2271F08', 'ZINC896153', 'Quinoline [UN2656]  [Poison]', 'Quinoline, for synthesis, 96.0%', 'NSC-3396', 'STR01546', 'Tox21_201478', 'Tox21_300068', 'ANW-75062', 'BBL011390', 'BDBM50047015', 'MFCD06637409', 'MFCD31699982', 'MFCD31699983', 'MFCD31699984', 'MFCD31699985', 'MFCD31699986', 'MFCD31699987', 's6369', 'SBB060379', 'STL146493', 'Quinoline 500 microg/mL in Methanol', 'AKOS000119139', 'ZINC328579131', 'LS-1919', 'MCULE-2825394284', 'UN 2656', 'NCGC00091190-01', 'NCGC00091190-02', 'NCGC00091190-03', 'NCGC00091190-04', 'NCGC00254119-01', 'NCGC00259029-01', 'Quinoline, SAJ first grade, &gt;=94.0%', 'SC-47591', 'SMR000112309', 'SY246281', 'SY246328', 'SY246329', 'SY246330', 'SY246331', 'SY246332', 'SY246333', 'Quinoline, JIS special grade, &gt;=95.0%', 'DB-057248', 'FT-0602839', 'NS00010850', 'Q0011', 'Q0085', 'ST51046569', '5730-EP2269978A2', '5730-EP2269985A2', '5730-EP2269989A1', '5730-EP2269991A2', '5730-EP2270000A1', '5730-EP2270004A1', '5730-EP2270008A1', '5730-EP2270010A1', '5730-EP2270113A1', '5730-EP2270505A1', '5730-EP2272517A1', '5730-EP2272537A2', '5730-EP2272813A2', '5730-EP2272828A1', '5730-EP2272832A1', '5730-EP2272837A1', '5730-EP2272843A1', '5730-EP2272849A1', '5730-EP2272935A1', '5730-EP2272972A1', '5730-EP2272973A1', '5730-EP2274983A1', '5730-EP2275395A2', '5730-EP2275401A1', '5730-EP2275409A1', '5730-EP2275411A2', '5730-EP2275412A1', '5730-EP2277858A1', '5730-EP2277872A1', '5730-EP2277877A1', '5730-EP2280000A1', '5730-EP2280009A1', '5730-EP2280013A1', '5730-EP2281563A1', '5730-EP2281815A1', '5730-EP2281817A1', '5730-EP2281818A1', '5730-EP2281824A1', '5730-EP2284150A2', '5730-EP2284151A2', '5730-EP2284152A2', '5730-EP2284153A2', '5730-EP2284155A2', '5730-EP2284156A2', '5730-EP2284157A1', '5730-EP2284158A1', '5730-EP2284159A1', '5730-EP2284164A2', '5730-EP2284169A1', '5730-EP2284174A1', '5730-EP2284920A1', '5730-EP2285800A1', '5730-EP2287140A2', '5730-EP2287148A2', '5730-EP2287150A2', '5730-EP2287155A1', '5730-EP2287161A1', '5730-EP2287162A1', '5730-EP2287165A2', '5730-EP2287166A2', '5730-EP2289871A1', '5730-EP2289877A1', '5730-EP2289890A1', '5730-EP2289891A2', '5730-EP2289892A1', '5730-EP2292586A2', '5730-EP2292590A2', '5730-EP2292592A1', '5730-EP2292593A2', '5730-EP2292601A1', '5730-EP2292602A1', '5730-EP2292603A1', '5730-EP2292604A2', '5730-EP2292611A1', '5730-EP2292617A1', '5730-EP2292618A1', '5730-EP2292620A2', '5730-EP2292630A1', '5730-EP2293650A1', '5730-EP2295419A2', '5730-EP2295421A1', '5730-EP2295429A1', '5730-EP2295432A1', '5730-EP2295433A2', '5730-EP2298305A1', '5730-EP2298731A1', '5730-EP2298732A1', '5730-EP2298737A1', '5730-EP2298739A1', '5730-EP2298740A1', '5730-EP2298741A1', '5730-EP2298746A1', '5730-EP2298750A1', '5730-EP2298755A1', '5730-EP2298756A1', '5730-EP2298761A1', '5730-EP2298763A1', '5730-EP2298767A1', '5730-EP2298770A1', '5730-EP2298771A2', '5730-EP2298776A1', '5730-EP2299785A1', '5730-EP2301536A1', '5730-EP2301538A1', '5730-EP2301544A1', '5730-EP2301912A2', '5730-EP2301913A1', '5730-EP2301914A1', '5730-EP2301916A2', '5730-EP2301918A1', '5730-EP2301920A1', '5730-EP2301923A1', '5730-EP2301930A1', '5730-EP2301933A1', '5730-EP2301937A1', '5730-EP2305219A1', '5730-EP2305250A1', '5730-EP2305254A1', '5730-EP2305637A2', '5730-EP2305640A2', '5730-EP2305643A1', '5730-EP2305648A1', '5730-EP2305649A1', '5730-EP2305651A1', '5730-EP2305652A2', '5730-EP2305658A1', '5730-EP2305668A1', '5730-EP2305677A1', '5730-EP2305688A1', '5730-EP2305695A2', '5730-EP2305696A2', '5730-EP2305697A2', '5730-EP2305698A2', '5730-EP2305808A1', '5730-EP2306788A1', '5730-EP2306789A1', '5730-EP2308510A1', '5730-EP2308562A2', '5730-EP2308832A1', '5730-EP2308838A1', '5730-EP2308840A1', '5730-EP2308843A1', '5730-EP2308848A1', '5730-EP2308849A1', '5730-EP2308850A1', '5730-EP2308854A1', '5730-EP2308861A1', '5730-EP2308863A1', '5730-EP2308882A1', '5730-EP2308926A1', '5730-EP2309564A1', '5730-EP2311455A1', '5730-EP2311796A1', '5730-EP2311797A1', '5730-EP2311798A1', '5730-EP2311799A1', '5730-EP2311825A1', '5730-EP2311826A2', '5730-EP2311827A1', '5730-EP2311842A2', '5730-EP2314558A1', '5730-EP2314575A1', '5730-EP2314576A1', '5730-EP2314583A1', '5730-EP2314587A1', '5730-EP2315303A1', '5730-EP2315502A1', '5730-EP2316452A1', '5730-EP2316459A1', '5730-EP2316470A2', '5730-EP2316832A1', '5730-EP2316833A1', '5730-EP2316905A1', '5730-EP2316906A2', '5730-EP2371810A1', '5730-EP2371811A2', '5730-EP2371812A1', '5730-EP2371831A1', '5730-EP2372804A1', '5730-EP2378585A1', 'C06413', 'M-7415', 'AE-641/01960007', 'Q408384', 'J-524185', 'F0001-2218', 'Z1258578262', '15793-82-5', '15793-83-6', '15793-84-7', '15793-85-8', '15793-86-9', '15793-87-0']</t>
  </si>
  <si>
    <t>Compound(7047)</t>
  </si>
  <si>
    <t>7-chloro-3-methylquinoline-8-carboxylic acid</t>
  </si>
  <si>
    <t>['Quinmerac', '90717-03-6', '7-Chloro-3-methylquinoline-8-carboxylic acid', 'Fiesta', '7-Chloro-3-methyl-8-quinolinecarboxylic acid', 'BAS 518', '8-Quinolinecarboxylic acid, 7-chloro-3-methyl-', 'BAS 518H', 'Quinmerac [ISO:BSI]', 'UNII-0OFY83UPMH', 'BAS 51802H', '0OFY83UPMH', 'CHEBI:84199', '7-Chloro-3-methyl-quinoline-8-carboxylic acid', '8-Quinolinecarboxylicacid, 7-chloro-3-methyl-', 'PubChem6086', 'DSSTox_CID_22364', 'DSSTox_RID_80006', 'DSSTox_GSID_42364', 'SCHEMBL54128', 'CHEMBL2448918', 'DTXSID1042364', 'CTK3I7304', 'ZINC2516979', 'Tox21_301872', 'CS-W020999', 'VA10908', 'Quinmerac 10 microg/mL in Acetonitrile', 'NCGC00166160-01', 'NCGC00255867-01', 'Quinmerac 100 microg/mL in Acetonitrile', 'AS-66424', 'AX8013625', 'CAS-90717-03-6', 'DB-057217', 'LS-141504', 'FT-0642179', 'FT-0674281', 'NS00000708', '8-Quinolinecarboxylicacid,7-chloro-3-methyl-', 'Quinmerac, PESTANAL(R), analytical standard', 'C18891', '7-chloranyl-3-methyl-quinoline-8-carboxylic acid', 'A843616', 'C-12312', 'Q2124519', '7-chloro-3-methyl-quinoline-8-carboxylic acid;8-Quinolinecarboxylic acid, 7-chloro-3-methyl-']</t>
  </si>
  <si>
    <t>Compound(91749)</t>
  </si>
  <si>
    <t>C11H8ClNO2</t>
  </si>
  <si>
    <t>quinomethionate</t>
  </si>
  <si>
    <t>6-methyl-[1,3]dithiolo[4,5-b]quinoxalin-2-one</t>
  </si>
  <si>
    <t>['Chinomethionate', 'Chinomethionat', 'QUINOMETHIONATE', 'Oxythioquinox', 'Morestan', '2439-01-2', 'Cetactaelate', 'Forstan', 'Morestane', 'Morestan 2', 'Daisonet XL 21', 'Joust', 'Bayer 4964', 'Bayer 36205', '6-Methyl-2,3-quinoxalinedithiol cyclic S,S-dithiocarbonate', 'Bayer ss2074', 'Caswell No. 576', 'Quinomethionate [BSI]', '6-Methyl-2,3-quinoxalinedithiol cyclic dithiocarbonate', 'BAY 36205', '6-methyl-[1,3]dithiolo[4,5-b]quinoxalin-2-one', 'NSC 379587', 'SS 2074', '1,3-Dithiolo[4,5-b]quinoxalin-2-one, 6-methyl-', 'Chinomethionate [ISO-French]', 'UNII-888OQA249R', 'CHEBI:34620', 'HSDB 1740', '6-Methyl-2-oxo-1,3-dithio(4,5-b)quinoxaline', '6-Methyl-1,3-dithiolo(4,5-b)quinoxalin-2-one', '888OQA249R', 'EINECS 219-455-3', 'S,S-(6-methylquinoxaline-2,3-diyl) dithiocarbonate', 'ENT 25,606', 'EPA Pesticide Chemical Code 054101', 'BRN 0526833', '6-Methyl-2,3-quinoxaline dithiocarbonate', '6-Methyldithiolo(4,5-b)quinoxalin-2-one', 'AI3-25606', 'Dithiolo(4,5-b)quinoxalin-2-one, 6-methyl-', '6-Methyl-quinoxaline-2,3-dithiolcyclocarbonate', 'Carbonic acid, dithio-, cyclic S,S-(6-methyl-2,3-quinoxalinediyl) ester', 'Carbonic acid, dithio-, cyclic S,S-ester with 6-methyl-2,3-quinoxalinedithiol', '6-methyl[1,3]dithiolo[4,5-b]quinoxalin-2-one', '6-Methyl-1,3-Dithiolo[4,5-b]quinoxalin-2-one', '6-Methyl-2-oxo-1,3-dithiolo(4,5-b)quinoxaline', '1,3-Dithiolo(4,5-b)quinoxalin-2-one, 6-methyl-', 'MQD', '6-methyl-2H-[1,3]dithiolo[4,5-b]quinoxalin-2-one', '6-Methyl-chinoxalin-2,3-dithiol-cyclo-carbonat [German]', 'Cyclic S,S-(6-methyl-2,3-quinoxalinediyl) dithiocarbonate', '2,3-Quinoxalinedithiol, 6-methyl-, cyclic dithiocarbonate (ester)', '6-Methyl-2-oxo-1,3-dithio[4,5-b]quinoxaline', 'quinomethionat', 'QUINOMETHIOLATE', 'Chinomethionat [ISO]', 'Quinomethionate (MQD)', 'DSSTox_CID_12342', '6-Methyl-2,3-quinoxalinedithiol cyclic carbonate', 'DSSTox_GSID_32342', 'SCHEMBL21205', 'quinomethionate;chinomethionate', 'BIDD:ER0431', 'CHEMBL1595865', 'DTXSID2032342', 'CTK8F8581', 'FBQQHUGEACOBDN-UHFFFAOYSA-', 'ZINC1590887', 'Tox21_303968', 'ENT 25606', 'NSC379587', 'AKOS015897461', 'NSC-379587', 'NCGC00166177-01', 'NCGC00357013-01', 'AC-23998', 'LS-52010', 'NCI60_003583', 'CAS-2439-01-2', 'Chinomethionat 10 microg/mL in Cyclohexane', 'Chinomethionat 100 microg/mL in Cyclohexane', 'FT-0654903', 'NS00001548', '6-Methyl-chinoxalin-2,3-dithiol-cyclo-carbonat', 'C14514', '439C012', '7-methyl-[1,3]dithiolo[4,5-b]quinoxalin-2-one', 'A817262', 'Chinomethionate, PESTANAL(R), analytical standard', 'J-015488', 'Q1074415', 'Dithiolo(4,5-b)quinoxalin-2-one, 6-methyl- (9CI)', 'S,S-(6-Methylquinoxaline-2,3-diyl) dithiocarbonate (9CI)']</t>
  </si>
  <si>
    <t>Compound(17109)</t>
  </si>
  <si>
    <t>C10H6N2OS2</t>
  </si>
  <si>
    <t>quinone</t>
  </si>
  <si>
    <t>cyclohexa-2,5-diene-1,4-dione</t>
  </si>
  <si>
    <t>['p-benzoquinone', '1,4-BENZOQUINONE', 'Benzoquinone', 'Quinone', '106-51-4', 'p-Quinone', 'Chinone', 'cyclohexa-2,5-diene-1,4-dione', '2,5-Cyclohexadiene-1,4-dione', 'para-Benzoquinone', 'Cyclohexadienedione', 'para-Quinone', '1,4-Benzoquine', '1,4-Dioxybenzene', 'Steara pbq', 'p-Chinon', '1,4-Cyclohexadienedione', 'Benzo-chinon', 'Benzo-1,4-quinone', '1,4-Diossibenzene', 'Chinon', '1,4-Dioxy-benzol', '1,4-Cyclohexadiene dioxide', 'Semiquinone anion', 'semiquinone radicals', 'RCRA waste number U197', 'NCI-C55845', 'p-Chinon [German]', 'Benzo-chinon [German]', 'Caswell No. 719C', 'USAF P-220', 'Chinon [Dutch, German]', 'Cyclohexadiene-1,4-dione', '1,4-Benzochinon', 'NSC 36324', '1,4-Dioxy-benzol [German]', 'CCRIS 933', '1,4-Diossibenzene [Italian]', 'UNII-3T006GV98U', '[1,4]benzoquinone', 'CHEBI:16509', 'HSDB 1111', 'Quinone1,4-Benzoquinone', 'EINECS 203-405-2', 'UN2587', 'RCRA waste no. U197', 'EPA Pesticide Chemical Code 059805', '1,4-Benzoquinone, 99%', 'CHEMBL8320', 'AI3-09068', '3T006GV98U', 'MFCD00001591', 'DSSTox_CID_145', 'DSSTox_RID_75398', 'DSSTox_GSID_20145', '1,4 benzoquinone', 'CAS-106-51-4', 'p-benzo-quinone', 'Quinone; p-BQ', 'NSC36324', 'NSC-36324', '2,4-dione', 'p-BQ', 'PubChem14592', 'ACMC-1BVRL', 'Benzo-1,4-quinone #', '(p-Phenylenedioxy)radical', 'Lopac-B-1266', 'Benzoquinone [UN2587]', 'Epitope ID:116219', 'WLN: L6V DVJ', 'Chinon(DUTCH, GERMAN)', 'EC 203-405-2', 'cid_4650', 'Lopac0_000120', 'SCHEMBL18103', 'Benzil-related compound, 53', 'KSC175I8T', 'MLS002454445', 'GTPL6307', '2,5-cyclohexadiene-1-4-dione', 'DTXSID6020145', 'BDBM22774', 'CTK0H5489', 'HMS2230N13', 'HMS3260G22', 'ZINC895247', 'Benzoquinone [UN2587] [Poison]', 'Tox21_202020', 'Tox21_302970', 'Tox21_500120', 'ANW-15407', 'BBL010327', 'Benzoquinone [UN2587]  [Poison]', 'c0261', 'LS-403', 'SBB058657', 'STK398389', 'AKOS000119965', '3,6-Dioxo-1,4-cyclohexadiene-1-ide', 'CCG-204215', 'LP00120', 'LS41078', 'MCULE-2576853438', 'SDCCGSBI-0050108.P002', 'UN 2587', 'p-Benzoquinone, reagent grade, &gt;=98%', '1,4-Benzoquinone;p-benzoquinone;Quinone', 'NCGC00015139-01', 'NCGC00015139-02', 'NCGC00015139-03', 'NCGC00015139-04', 'NCGC00015139-05', 'NCGC00015139-06', 'NCGC00015139-07', 'NCGC00091053-01', 'NCGC00091053-02', 'NCGC00091053-03', 'NCGC00256505-01', 'NCGC00259569-01', 'NCGC00260805-01', 'SC-19123', 'SMR000326659', 'VS-02448', 'DS-000613', 'B0089', 'B0887', 'EU-0100120', 'NS00003185', 'ST51036952', '6402-EP2270505A1', '6402-EP2305689A1', '6402-EP2309584A1', '6402-EP2315303A1', '6402-EP2371812A1', 'B 1266', 'C00472', 'M-7408', '73907-EP2275469A1', '73907-EP2277862A2', '73907-EP2287940A1', '73907-EP2289965A1', '73907-EP2295416A2', '73907-EP2298748A2', '73907-EP2298770A1', '73907-EP2298828A1', '73907-EP2305808A1', '73907-EP2308926A1', '73907-EP2309564A1', '73907-EP2380568A1', '84801-EP2277862A2', '84801-EP2305808A1', '2,5-Cyclohexadiene-1,4-dione, radical ion(1-)', '205985-EP2371803A1', '205985-EP2377843A1', 'A801452', 'Q402719', 'SR-01000075705', 'J-503966', 'SR-01000075705-1', 'F1908-0067', 'UNII-3X2WQ5ZIW6 component AZQWKYJCGOJGHM-UHFFFAOYSA-N', '1,4-Benzoquinone, pharmaceutical secondary standard; traceable to USP', '1,4-Benzoquinone, United States Pharmacopeia (USP) Reference Standard', 'cyclohexa-2,5-diene-1,4-dione; QUINONE RING OF THE PLASTOQUINONE 9', 'p-Benzoquinone, for spectrophotometric det. of amines, &gt;=99.5% (HPLC)', '1,4-Benzoquinone, Pharmaceutical Secondary Standard; Certified Reference Material', '32648-87-6']</t>
  </si>
  <si>
    <t>Compound(4650)</t>
  </si>
  <si>
    <t>C6H4O2</t>
  </si>
  <si>
    <t>5,7-dichloro-4-(4-fluorophenoxy)quinoline</t>
  </si>
  <si>
    <t>['Quinoxyfen', '124495-18-7', '5,7-dichloro-4-(4-fluorophenoxy)quinoline', 'Quinoline, 5,7-dichloro-4-(4-fluorophenoxy)-', 'UNII-PPC78J1VCW', 'DE 795', 'Quinoxyfen [ISO:BSI:ANSI]', 'HSDB 7946', 'PPC78J1VCW', 'CHEBI:82040', 'Quinoxyphen', 'ACMC-20mr2i', 'Legend; DE 795', 'DSSTox_CID_14881', 'DSSTox_RID_79217', 'DSSTox_GSID_34881', 'SCHEMBL22257', '(5,7-Dichloro-4-quinolyl) (4-fluorophenyl) ether', 'CHEMBL1869863', 'DTXSID2034881', 'CTK0H6963', 'ZINC6896340', 'Tox21_300844', 'AKOS025243116', 'KS-5368', 'KS-000016F6', 'Quinoxyfen 10 microg/mL in Cyclohexane', 'NCGC00163706-01', 'NCGC00163706-02', 'NCGC00163706-03', 'NCGC00163706-04', 'NCGC00254747-01', 'Quinoxyfen 10 microg/mL in Acetonitrile', 'DB-062253', 'LS-141806', 'CAS-124495-18-7', 'CS-0078946', 'FT-0674291', 'NS00010580', 'Q0093', '5,7-dichloro-4-quinolyl 4-fluorophenyl ether', 'Quinoxyfen, PESTANAL(R), analytical standard', 'C18892', 'Q961155', 'J-005085', 'J-516558', 'Quinoline, 5,7-dichloro-4-(4-fluorophenoxy)-;5,7-dichloro-4-(4-fluorophenoxy)quinoline;quinoxyfen']</t>
  </si>
  <si>
    <t>Compound(3391107)</t>
  </si>
  <si>
    <t>C15H8Cl2FNO</t>
  </si>
  <si>
    <t>ethyl 2-[4-(6-chloroquinoxalin-2-yl)oxyphenoxy]propanoate</t>
  </si>
  <si>
    <t>['QUIZALOFOP-ETHYL', '76578-14-8', 'Assure', 'Quizalofop ethyl', 'Pilot', 'Targa', 'Quinofop-ethyl', 'Xylofop-ethyl', 'Caswell No. 215D', 'Quizalofop-ethyl [ISO]', 'DPX-Y 6202', 'HSDB 6990', 'EXP 3864', 'Ethyl 2-[4-(6-chloro-2-quinoxalinyloxy)phenoxy]propionate', 'FBC 32197', 'NC 302', 'NCI 96683', 'EPA Pesticide Chemical Code 128711', 'Propanoic acid, 2-[4-[(6-chloro-2-quinoxalinyl)oxy]phenoxy]-, ethyl ester', 'DPX-6202', 'Propanoic acid, 2-(4-((6-chloro-2-quinoxalinyl)oxy)phenoxy)-, ethyl ester', 'Ethyl 2-(4-(6-chloro-2-quinoxalinyloxy)phenoxy)propanoate', 'ethyl 2-[4-(6-chloroquinoxalin-2-yl)oxyphenoxy]propanoate', 'ethyl 2-{4-[(6-chloroquinoxalin-2-yl)oxy]phenoxy}propanoate', '2-(4-((6-Chloro-2-quinoxalinyl)oxy)phenoxy)propanoic acid ethyl ester', '2-[4-[(6-Chloro-2-quinoxalinyl)oxy]phenoxy]propanoic acid ethyl ester', 'DSSTox_CID_3889', 'DSSTox_RID_77219', 'DSSTox_GSID_23889', 'CAS-76578-14-8', 'C19H17ClN2O4', 'Ethyl 2-(4-((6-chloroquinoxalin-2-yl)oxy)phenoxy)propanoate', '2-yloxy)phenoxy)propanoate', 'Oprea1_371067', 'SCHEMBL30406', 'QUIZALOFOP ETHYL ESTER', 'CHEMBL444825', 'DTXSID9023889', 'CHEBI:81807', 'CTK8E5825', 'CHEBI:137937', 's255', 'ethyl 2-(4-(6-chloroquinoxalin-', 'EXP-3864', 'INY-6202', '(R)-Quizalofop ethyl;Quinofop-ethyl', 'Tox21_202007', 'Tox21_301040', 'FBC-32197', 'NC-302', 'NCI-96683', 'Quizalofop-ethyl, analytical standard', 'STL322911', 'AKOS022107908', 'MCULE-4512543966', 'VA11643', 'NCGC00168334-01', 'NCGC00168334-02', 'NCGC00168334-03', 'NCGC00254942-01', 'NCGC00259556-01', 'CC-34186', 'DB-056087', 'LS-121323', 'Quizalofop-ethyl 10 microg/mL in Isooctane', 'FT-0630847', 'FT-0631008', 'NS00008753', '46Q513', 'C18530', 'A838750', 'C-21191', 'Quizalofop-ethyl, PESTANAL(R), analytical standard', 'Q27155607', 'Ethyl (R)-2-[4-(6-Chloroquinoxalin-2-yloxy)phenoxy]propionate', 'Ethyl 2-(4-[(6-chloro-2-quinoxalinyl)oxy]phenoxy)propanoate #', 'ethyl 2-[4-(6-chloranylquinoxalin-2-yl)oxyphenoxy]propanoate', 'Ethyl 2-{4-[(6-chloro-2-quinoxalinyl)oxy]phenoxy}propanoate', 'ethyl 2-{4-[(6-chloroquinoxalin-2-yl)oxy]phenoxy}propionate']</t>
  </si>
  <si>
    <t>Compound(53518)</t>
  </si>
  <si>
    <t>C19H17ClN2O4</t>
  </si>
  <si>
    <t>ethyl (2R)-2-[4-(6-chloroquinoxalin-2-yl)oxyphenoxy]propanoate</t>
  </si>
  <si>
    <t>['Quizalofop-p-ethyl', '100646-51-3', 'Assure II', 'Quizalofop-P-ethyl [ISO]', 'UNII-1U4923B12R', 'DPX-Y6202-31', 'NCI-861094', 'Ethyl (R)-2-(4-((6-chloro-2-quinoxalinyl)oxy)phenoxy)propanoate', 'Propanoic acid, 2-[4-[(6-chloro-2-quinoxalinyl)oxy]phenoxy]-, ethyl ester, (2R)-', '1U4923B12R', 'Targa Super', 'Targa D', 'Propanoic acid, 2-(4-((6-chloro-2-quinoxalinyl)oxy)phenoxy)-, ethyl ester, (R)-', 'C19H17ClN2O4', 'Propanoic acid, 2-(4-((6-chloro-2-quinoxalinyl)oxy)phenoxy)-, ethyl ester, (2R)-', '(+)-quizalofop-ethyl', 'ethyl (2R)-2-[4-(6-chloroquinoxalin-2-yl)oxyphenoxy]propanoate', 'SCHEMBL53466', 'CHEMBL3138620', 'DTXSID0034857', 'CHEBI:137938', 'HY-B1950', 'ZINC1854181', '(2R)-2-[4-[(6-chloro-2-quinoxalinyl)oxy]phenoxy]propanoic acid ethyl ester', 'AKOS015895320', 'CS-5264', 'AS-13056', 'H165', 'LS-121324', 'A800251', 'J-000190', 'Q27252886', 'Quizalofop-p-ethyl, PESTANAL(R), analytical standard', 'UNII-7280704RL4 component OSUHJPCHFDQAIT-GFCCVEGCSA-N', 'ethyl (2R)-2-[4-(6-chloranylquinoxalin-2-yl)oxyphenoxy]propanoate', 'ethyl (2R)-2-[4-(6-chloroquinoxalin-2-yloxy)phenoxy]propionate', 'ethyl (2R)-2-{4-[(6-chloroquinoxalin-2-yl)oxy]phenoxy}propanoate', 'Propanoic acid, 2-[4-[(6-chloro-2-quinoxalinyl)oxy]phenoxy]-, ethyl ester, (2R)-;(R)-2-[4-(6-chloroquinoxalin-2-yloxy)phnoxy]propionate']</t>
  </si>
  <si>
    <t>Compound(1617113)</t>
  </si>
  <si>
    <t>2-[4-(6-chloroquinoxalin-2-yl)oxyphenoxy]propanoic acid</t>
  </si>
  <si>
    <t>['Quizalofop', '76578-12-6', 'Xylafop', '2-[4-(6-chloroquinoxalin-2-yl)oxyphenoxy]propanoic acid', 'Quizalofop free acid', 'Quizalofop [BSI:ISO]', '2-[4-[(6-Chloroquinoxalin-2-yl)oxy]phenoxy]propanoic acid', '2-{4-[(6-chloroquinoxalin-2-yl)oxy]phenoxy}propanoic acid', 'CCRIS 9407', 'as sur-', 'Quizalofop (free acid)', 'CHEMBL51789', 'SCHEMBL111413', '2-[4-(6-chloroquinoxaline-2-yl-oxy)phenoxy]propanoic acid, (2R)-', 'CHEBI:81943', 'CTK3I8238', 'DTXSID60273935', 'CHEBI:137509', '(RS)-2-(4-(6-Chloroquinoxalin-2-yloxy)phenoxy)propionic acid', 'BCP07599', 'Propanoic acid, 2-(4-((6-chloro-2-quinoxalinyl)oxy)phenoxy)-', '(+-)-2-(4-(6-Chloro-2-quinoxalinyloxy)phenoxy)propanoic acid (9CI)', 'Propaquizafop acid (CGA 287422)', 'AKOS015960672', 'MCULE-9267066872', 'CC-34185', 'DB-056086', 'FT-0630846', 'FT-0772688', 'NS00001776', 'C18763', 'C-20462', 'Q2123552', 'Quizalofop (free acid) 10 microg/mL in Acetonitrile', '2-(4-(6-chloroquinoxalin-2-yloxy)phenoxy)propanoic acid', '2-[4-(6-chloro-2-quinoxalinyloxy)phenoxy]propionic acid', '2-[4-(6-chloro-2-quinoxalyloxy)phenoxy]propionic acid', '2-{4-[(6-chloroquinoxalin-2-yl)oxy]phenoxy}propionic acid', 'Propanoic acid, 2-[4-[(6-chloro-2-quinixakinyl)oxy]phenoxy]-', '95977-28-9']</t>
  </si>
  <si>
    <t>Compound(178795)</t>
  </si>
  <si>
    <t>C17H13ClN2O4</t>
  </si>
  <si>
    <t>(E)-1-N'-[2-[[5-[(dimethylamino)methyl]furan-2-yl]methylsulfanyl]ethyl]-1-N-methyl-2-nitroethene-1,1-diamine</t>
  </si>
  <si>
    <t>['ranitidine', '66357-35-5', 'Raticina', 'ZANTAC', 'Gastrosedol', 'Microtid', 'Ptinolin', 'Quantor', 'Ranidine', 'Raniogas', 'Ranisen', 'Ranitiget', 'Rantacid', 'Taural', 'Duractin', 'Ranitidina', 'Ranitidinum', 'Ulceranin', 'Weichilin', 'Xanidine', 'Zantadin', 'Achedos', 'Acidex', 'Atural', 'Axoban', 'Coralen', 'Ezopta', 'Gastrial', 'Istomar', 'Logast', 'Mauran', 'Quicran', 'Radinat', 'Randin', 'Raniter', 'Sampep', 'Urantac', 'Verlost', 'Vesyca', 'Vizerul', 'Weidos', 'Zantab', 'Ranin', 'Ratic', 'Ul-Pep', 'Zantic', 'Rantidine', 'Ranitidine HCL', 'Ranitidinum [INN-Latin]', 'Ranitidina [INN-Spanish]', 'Ranitidine [USAN:BAN:INN]', 'Ranitidine Base', '(E)-ranitidine', 'CHEBI:8776', 'C13H22N4O3S', 'Zantac (TN)', 'CHEMBL512', "1,1-Ethenediamine, N-(2-(((5-((dimethylamino)methyl)-2-furanyl)methyl)thio)ethyl)-N'-methyl-2-nitro-", 'Sostril', 'AH-19065', 'HSDB 3925', 'NCGC00015876-07', 'Biotidin', 'DSSTox_CID_25191', 'DSSTox_RID_80738', "N-(2-((5-((Dimethylamino)methyl)furfuryl)thio)ethyl)-N'-methyl-2-nitro-1,1-ethenediamine", 'DSSTox_GSID_45191', '(E)-N-(2-(((5-((Dimethylamino)methyl)furan-2-yl)methyl)thio)ethyl)-N-methyl-2-nitroethene-1,1-diamine', "1,1-Ethenediamine, N-[2-[[[5-[(dimethylamino)methyl]-2-furanyl]methyl]thio]ethyl]-N'-methyl-2-nitro-", 'EINECS 266-332-5', 'RND', 'Ranitidine (TN)', '({5-[(2-{[(1E)-1-(methylamino)-2-nitrovinyl]amino}ethylthio)methyl](2-furyl)}m ethyl)dimethylamine', 'dimethyl[(5-{[(2-{[(E)-1-(methylamino)-2-nitroethenyl]amino}ethyl)sulfanyl]methyl}furan-2-yl)methyl]amine', "n-[2-[[[5-[(dimethylamino)methyl]-2-furanyl]methyl]thio]ethyl]-n'-methyl-2-nitro-1,1-ethenediamine", 'CAS-66357-35-5', 'Ranitidine (USAN/INN)', 'Gavilast', 'SR-01000075288', "N-[2-[[5-[(Dimethylamino)methyl]furfuryl]thio]ethyl]-N'-methyl-2-nitro-1,1-ethenediamine", 'Tocris-1967', 'Lopac-R-101', 'Prestwick2_000201', 'Spectrum5_001189', 'Epitope ID:127515', 'Ranitidine HCL 1/2 Type', 'Lopac0_001073', "N (2-(((5-((Dimethylamino)methyl)-2-furanyl)methyl)thio)ethyl)-N'-methyl-2-nitro-1,1-ethenediamine", 'BIDD:GT0179', 'SPECTRUM1501151', 'GTPL1234', 'BDBM22893', 'CHEBI:92246', 'HMS501F22', 'BDBM237183', 'HMS1921L07', 'HMS2092H15', 'Pharmakon1600-01501151', 'Ranitidine (Form I And Form Ii)', 'BCP21325', 'ZINC1530728', 'Tox21_110250', 'Tox21_302372', 'CCG-39025', 'NSC757851', 's5662', 'SBB006527', 'STK619092', 'AKOS005552967', 'Tox21_110250_1', 'API0004039', 'KS-5230', 'NSC-757851', 'SDCCGSBI-0051043.P004', 'IDI1_000440', 'NCGC00015876-01', 'NCGC00015876-02', 'NCGC00015876-03', 'NCGC00015876-04', 'NCGC00015876-05', 'NCGC00015876-06', 'NCGC00015876-08', 'NCGC00015876-09', 'NCGC00015876-11', 'NCGC00018108-01', 'NCGC00018108-02', 'NCGC00018108-03', 'NCGC00024387-02', 'NCGC00094913-01', 'NCGC00094913-02', 'NCGC00094913-03', 'NCGC00094913-04', 'NCGC00094913-05', 'NCGC00256269-01', "(E)-N-{2-[({5-[(dimethylamino)methyl]-2-furyl}methyl)sulfanyl]ethyl}-N'-methyl-2-nitroethene-1,1-diamine", "(E)-N-{2-[({5-[(dimethylamino)methyl]furan-2-yl}methyl)sulfanyl]ethyl}-N'-methyl-2-nitroethene-1,1-diamine", 'AC-12712', 'LS-67645', 'SC-45877', 'ST050299', 'SBI-0051043.P003', 'CAS-66357-59-3', 'NS00000209', 'D00422', 'J10378', 'AB00052223-10', 'AB00052223_11', 'AB00052223_12', '357R355', 'A835434', 'L000504', 'SR-01000075288-3', 'BRD-K70505054-001-02-9', 'Q21971328', "N-[2-[[5-[(Dimethylamino)methyl]furfuryl]thio]ethyl]-N'-methyl-2-nitro-1,1-ethylenediamine", '(E)-1-N`-[2-[[5-[(dimethylamino)methyl]furan-2-yl]methylsulfanyl]ethyl]-1-N-methyl-2-nitroethene-1,1-diamine', '(E)-N-(2-((5-((dimethylamino)methyl)furan-2-yl)methylthio)ethyl)-N-methyl-2-nitroethene-1,1-diamine', "(E)-N1'-[2-[[5-(dimethylaminomethyl)-2-furyl]methylsulfanyl]ethyl]-N1-methyl-2-nitro-ethene-1,1-diamine", "(E)-N1'-[2-[[5-[(dimethylamino)methyl]-2-furanyl]methylthio]ethyl]-N1-methyl-2-nitroethene-1,1-diamine", "(E)-N1'-[2-[[5-[(dimethylamino)methyl]furan-2-yl]methylsulfanyl]ethyl]-N1-methyl-2-nitro-ethene-1,1-diamine", "1,1-Ethenediamine, N-[2-[[[5-[(dimethylamino)methyl]-2-furanyl]methyl]thio]ethyl]-N'-methyl-2-nitro-, (E)-", 'N-[(E)-1-(Methylamino)-2-nitroethenyl]-2-[[[2-[(dimethylamino)methyl]-5-furanyl]methyl]thio]ethanamine', "N-[2-[[5-(dimethylaminomethyl)furan-2-yl]methylsulfanyl]ethyl]-N'-methyl-2-nitroethene-1,1-diamine", "N1'-[2-[[5-[(dimethylamino)methyl]-2-furanyl]methylthio]ethyl]-N1-methyl-2-nitroethene-1,1-diamine"]</t>
  </si>
  <si>
    <t>Compound(3001055)</t>
  </si>
  <si>
    <t>2-ethoxy-4-[2-[[(1S)-3-methyl-1-(2-piperidin-1-ylphenyl)butyl]amino]-2-oxoethyl]benzoic acid</t>
  </si>
  <si>
    <t>['Repaglinide', '135062-02-1', 'Prandin', 'NovoNorm', 'GlucoNorm', 'AG-EE 623 ZW', 'Repaglinidum [INN-Latin]', 'Repaglinida [INN-Spanish]', 'AG-EE 388 ZW', '(S)-2-Ethoxy-4-(2-((3-methyl-1-(2-(piperidin-1-yl)phenyl)butyl)amino)-2-oxoethyl)benzoic acid', 'AGEE-623ZW', 'UNII-668Z8C33LU', 'C27H36N2O4', '(S)-(+)-2-Ethoxy-4-[N-[1-(2-piperidinophenyl)-3-methyl-1-butyl]aminocarbonylmethyl]benzoic acid', 'CHEMBL1272', '2-ethoxy-4-[2-[[(1S)-3-methyl-1-(2-piperidin-1-ylphenyl)butyl]amino]-2-oxoethyl]benzoic acid', 'CHEBI:8805', '668Z8C33LU', '(S)-2-ethoxy-4-(2-(3-methyl-1-(2-(piperidin-1-yl)phenyl)butylamino)-2-oxoethyl)benzoic acid', '2-ethoxy-4-[2-({(1S)-3-methyl-1-[2-(piperidin-1-yl)phenyl]butyl}amino)-2-oxoethyl]benzoic acid', '2-Ethoxy-4-[2-[[(1S)-3-Methyl-1-[2-(1-Piperidinyl)Phenyl]Butyl]Amino]-2-Oxoethyl]Benzoic Acid', 'NCGC00016978-01', 'Repaglinida', 'Repaglinidum', 'CAS-135062-02-1', '(+)-2-Ethoxy-alpha-(((S)-alpha-isobutyl-o-piperidinobenzyl)carbamoyl)-p-toluic acid', '(S)-2-Ethoxy-4-(2-((methyl-1-(2-(1-piperidinyl)phenyl)butyl)amino)-2-oxoethyl)-benzoic acid', 'Q-201663', 'Repaglinide [USAN]', 'Actulin', 'Surepost', 'Reglin', '2-ethoxy-4-({[(1S)-3-methyl-1-[2-(piperidin-1-yl)phenyl]butyl]carbamoyl}methyl)benzoic acid', '(S)-2-Ethoxy-4-[2-[[3-methyl-1-[2-(piperidin-1-yl)phenyl]butyl]amino]-2-oxoethyl]benzoic acid', '2-ethoxy-4-(2-{[(1S)-3-methyl-1-(2-piperidin-1-ylphenyl)butyl]amino}-2-oxoethyl)benzoic acid', 'Benzoic acid, 2-ethoxy-4-(2-((3-methyl-1-(2-(1-piperidinyl)phenyl)butyl)amino)-2-oxoethyl)-, (S)-', 'SMR000466305', 'Prandin (TN)', 'AG-EE 388', 'AG-EE 623ZW', 'Repaglinide (JAN/USP/INN)', 'AG-EE-623 ZW', 'MFCD00906179', 'AG-EE-388', 'Repaglinide,(S)', 'SMP-508', 'Surepost (TN)', 'AK-59609', 'BJX', 'Repaglinide [USAN:USP:INN:BAN]', 'NN-623', '111GE012', 'Prestwick0_001046', 'Prestwick1_001046', 'Prestwick2_001046', 'Prestwick3_001046', 'DSSTox_CID_3552', '2-ethoxy-4-(2-((3-methyl-1-(2-(1-piperidinyl)phenyl)butyl)amino)-2-oxoethyl)benzoic acid', '2-ethoxy-N-(alpha-(2-methyl-1-propyl)-2-piperidinobenzyl)-4-carbamoylmethylbenzoic acid', 'DSSTox_RID_77078', 'DSSTox_GSID_23552', 'SCHEMBL16137', 'BSPBio_000972', '(S)-2-ethoxy-4-(2-((3-methyl-1-(2-(1-piperidinyl)-phenyl)butyl)amino)-2-oxoethyl)-benzoic acid', 'MLS000759407', 'MLS001076684', 'MLS001424111', 'MLS006011560', 'AG-EE-623ZW', 'BIDD:GT0338', 'SPBio_002906', 'AG-EE-623-ZW', 'BPBio1_001070', 'GTPL6841', 'DTXSID3023552', 'CTK3J7345', 'A10BX02', 'HMS1571A14', 'HMS2051N08', 'HMS2094C07', 'HMS2098A14', 'HMS2231M21', 'HMS3414D09', 'HMS3678D09', 'HMS3715A14', 'Pharmakon1600-01506035', 'BCP04250', 'KS-00000GU9', 'ZINC3798537', 'Tox21_110721', 'AC-726', 'ANW-63956', 'BDBM50153520', 'BG0514', 'NSC759893', 's1426', 'STK629501', 'AKOS005561792', 'Repaglinide, &gt;=98% (HPLC), solid', 'API0004049', 'BS-1010', 'CCG-101013', 'CS-0979', 'DB00912', 'MCULE-3611790330', 'NC00263', 'NSC-759893', 'NCGC00016978-02', 'NCGC00016978-04', 'NCGC00016978-05', 'CC-34234', 'HY-15209', 'I979', 'LS-38509', 'SC-17344', 'SBI-0206942.P001', 'AB0013959', 'AX8145505', 'AB00514019', 'AM20090697', 'R0179', 'SW197344-4', '62R021', 'C07670', 'D00594', 'W-5210', 'AB00514019-09', 'AB00514019_10', 'AB00514019_11', 'C-22512', 'SR-01000759404', 'Q2195995', 'SR-01000759404-4', 'BRD-K82846253-001-03-0', 'Z1777729210', 'Repaglinide, European Pharmacopoeia (EP) Reference Standard', 'Repaglinide, United States Pharmacopeia (USP) Reference Standard', '(s)-(+)-2-ethoxy-4-(2-oxo-2-[(alpha-isobutyl-2-piperidinobenzyl)amino]ethyl)-benzoic acid', 'Repaglinide for system suitability, European Pharmacopoeia (EP) Reference Standard', '(S)-2-Ethoxy-4-[N-(1-(2-piperidino-phenyl)-3-methyl-1-butyl)-aminocarbonylmethyl]-benzoic acid', '2-Ethoxy-4-[2-[[(1S)-3-methyl-1-[2-(1-piperidinyl)phenyl]butyl]amino]-2-oxoethyl]benz oic acid', '2-Ethoxy-4-{[(S)-3-methyl-1-(2-piperidin-1-yl-phenyl)-butylcarbamoyl]-methyl}-benzoic acid', 'Benzoic acid, 2-ethoxy-4-[2-[[(1S)-3-methyl-1-[2-(1-piperidinyl)phenyl]butyl]amino]-2-oxoethyl]-']</t>
  </si>
  <si>
    <t>Compound(65981)</t>
  </si>
  <si>
    <t>C27H36N2O4</t>
  </si>
  <si>
    <t>(5-benzylfuran-3-yl)methyl 2,2-dimethyl-3-(2-methylprop-1-enyl)cyclopropane-1-carboxylate</t>
  </si>
  <si>
    <t>['resmethrin', '10453-86-8', 'Benzofuroline', 'For-syn', 'Benzyfuroline', 'Bioresmethrine', 'Penncapthrin', 'Pyrethroids', 'Resmethrine', 'Chryson', 'Chrysron', 'Crossfire', 'Enforcer', 'Isathrine', 'Premgard', 'Pyresthrin', 'Synthrin', 'Resmethrin [ANSI]', 'Caswell No. 083E', 'Resbuthrin', 'SB Pennick 1382', 'Penick 1382', 'Resmetrina [Portuguese]', 'ARI-B', 'Resmethrine [ISO-French]', 'S.B. Penick 1382', 'd-trans-Resmethrin', '5-Benzylfurfuryl chrysanthemate', 'Bioresmethrin (d trans isomer)', 'CCRIS 2501', 'NRDC 104', 'HSDB 1516', 'OMS-1206', 'SBP-1382', 'EINECS 233-940-7', 'ENT 27474', 'FMC 17370', 'NIA 17370', 'EPA Pesticide Chemical Code 097801', 'NSC 195022', 'Combat White Fly Insecticide', 'AI3-27474', 'CHEBI:8811', 'NRDC 107', 'SBP-1390', '5-Benzyl-3-furylmethyl(+-)-cis,trans-chrysanthemate', 'FMC 18739', 'NIA-18739', '5-Benzyl-3-furylmethyl (+-)-cis-trans-chrysanthemate', '5-Benzyl-3-furylmethyl (1RS)-cis,trans-chrysanthemate', '5-Benzyl-3-furylmethyl (1RS,3RS;1RS,3SR)-2,2-dimethyl-3-(2-methylprop-1-enyl)cyclopropanecarboxylate', 'Dimethyl 3-(2-methyl-1-propenyl)cyclopropanecarboxylate', 'RU-11484', 'DSSTox_CID_2253', '5-Benzyl-3-furylmethyl(+)-trans-chrysanthemate', '(5-(Phenylmethyl)-3-furanyl)methyl 2,2-dimethyl-3-(2-methyl-1-propenyl)cyclopropanecarboxylate', '(5-Benzyl-3-furyl) methyl-2,2-dimethyl-3-(2-methylpropenyl)-cyclopropanecarboxylate', '(5-benzyl-3-furyl)methyl 2,2-dimethyl-3-(2-methylprop-1-en-1-yl)cyclopropanecarboxylate', '(5-Benzyl-3-furyl)methyl 2,2-dimethyl-3-(2-methylpropenyl)cyclopropanecarboxylate', '(5-benzylfuran-3-yl)methyl 2,2-dimethyl-3-(2-methylprop-1-enyl)cyclopropane-1-carboxylate', '(5-Phenylmethyl-3-furan)methyl-2,2-dimethyl-3-(2-methyl-1-propenyl)cyclopropane carboxylate', 'Cyclopropanecarboxylic acid, 2,2-dimethyl-3-(2-methylpropenyl)-, (5-benzyl-3-furyl)methyl ester', 'DSSTox_RID_76529', 'Bioresmethhrin', 'Bioresmetrina', 'DSSTox_GSID_22253', 'Isatrin', '(5-(Phenylmethyl)-3-furanyl)methyl 2,2-dimethyl-3-furylmethyl 2,2-dimethyl-3-(2-methylpropenyl)cyclopropanecarboxylate', '5-Benzyl-3-furylmethyl (1RS)-cis-trans-2,2-dimethyl-3-(2-methylprop-1-enyl)cyclopropanecarboxylate', 'Cyclopropanecarboxylic acid, 2,2-dimethyl-3-(2-methyl-1-propenyl)-, (5-(phenylmethyl)-3-furanyl)methyl ester', 'Cyclopropanecarboxylic acid, 2,2-dimethyl-3-(2-methyl-1-propenyl)-, [5-(phenylmethyl)-3-furanyl]methyl ester', 'Cyclopropanecarboxylic acid, 2,2-dimethyl-3-(2-methylpropenyl)-, (4-(2-benzyl)furyl) methyl ester', 'd-trans-Chrysron', 'Resmetrina', 'Bioresmethrin [INN]', '(5-Benzyl-3-furyl)methyl (+)-trans-2,2-dimethyl-3-(2-methylpropenyl)cyclopropanecarboxylate', 'Penick 1390', '(5-(Phenylmethyl)-3-furanyl)methyl-2,2-dimethyl-3-(2-methyl-1-propenyl)cyclopropanecarboxylate', 'Bioresmethrine [French]', 'Bioresmethrinum [Latin]', 'Bioresmetrina [Spanish]', 'Cyclopropanecarboxylic acid, 2,2-dimethyl-3-(2-methyl-1-propenyl)-, (5-(phenylmethyl)-3-furanyl)methyl ester, cis,trans-(+/-)-', 'Cyclopropanecarboxylic acid, 2,2-dimethyl-3-(2-methylpropenyl)-, (5-benzyl-3-furyl)methyl ester, d-trans-', 'Resmethrin [ISO]', 'Pyrethroid NRDC 107', 'CAS-10453-86-8', 'Bioresmethrin [BSI:ISO]', 'Bioresmetrina [Portuguese]', 'Bioresmethrine [ISO-French]', 'CCRIS 5401', 'Biobenzylfuroline', 'EINECS 249-014-0', 'NCGC00163786-03', 'Cyclopropanecarboxylic acid, 2,2-dimethyl-3-(2-methyl-1-propenyl)-, (5-(phenylmethyl)-3-furanyl)methyl ester, (1R-trans)-', 'Cyclopropanecarboxylic acid, 2,2-dimethyl-3-(2-methyl-1-propenyl)-, [5-(phenylmethyl)-3-furanyl]methyl ester, (1R-trans)-', 'Durekyl (TN)', 'Ectokyl (TN)', '5-Benzyl-3-furylmethyl-d-trans-crysanthemate', 'AI 3-27662', 'd-trans-(5-Benzyl-3-furyl)methyl chrysanthemate', 'Penick SBP 1382', 'Benzofuroline; Isathrine', 'd-trans-((5-Benzyl-3-furyl)methyl)chrysanthemumate', 'SCHEMBL27565', 'MLS004712088', 'CHEMBL1879822', 'DTXSID7022253', 'CTK4H5323', 'VEMKTZHHVJILDY-UHFFFAOYSA-', '5-Benzyl-3-furylmethyl (1R,3R)-2,2-dimethyl-3-(2-methylprop-1-enyl)cyclopropanecarboxylate', '3-Furanmethanol, 5-benzyl-, 2,2-dimethyl-3-(2-methylpropenyl)cyclopropanecarboxylate, t-(+)-', '5-Benzyl-3-furylmethyl (1R)-trans-2,2-dimethyl-3-(2-mthylprop-1-enyl)cyclopropanecarboxylate', 'Cyclopropanecarboxylic acid, 2,2-dimethyl-3-(2-methyl-1-propenyl)-, [5-(phenylmethyl)-3-furanyl]methyl ester, (1R,3R)-', 'Tox21_202138', 'Tox21_300920', 'HSCI1_000127', 'AKOS003390748', 'MCULE-6501647763', 'Resmethrin 10 microg/mL in Cyclohexane', 'NCGC00163786-01', 'NCGC00163786-02', 'NCGC00163786-04', 'NCGC00163786-05', 'NCGC00254823-01', 'NCGC00259687-01', '(5-(Phenylmethyl)-3-furanyl)methyl 2,2-dimethyl-3-(2-methyl-1-propenyl)cyclopropanecarboxylate (9CI)', 'LS-58675', 'LS-58679', 'LS-58680', 'M878', 'SMR000778072', '285-EP2281812A1', '285-EP2305662A1', '285-EP2377845A1', '544-EP2274983A1', '544-EP2275422A1', '544-EP2280009A1', '544-EP2305662A1', '544-EP2308857A1', '544-EP2308858A1', '544-EP2311816A1', '544-EP2311817A1', '544-EP2314583A1', 'FT-0630541', 'NS00009121', 'Resmethrin, PESTANAL(R), analytical standard', 'C10991', 'D08475', 'Q414562', 'J-001193', '5-Benzyl-3-furylmethyl (+-)-cis,trans-chrysanthemate', 'BRD-A83431637-001-01-3', 'BRD-A83431637-001-02-1', '2,2-dimethyl-3-(2-methylpropenyl)cyclopropanecarboxylate', '(5-Benzyl-3-furyl)methyl 2,2-dimethyl-3-(2-methyl-1-propen-1-yl)cyclopropanecarboxylate', '(5-benzyl-3-furyl)methyl 2,2-dimethyl-3-(2-methylprop-1-enyl)cyclopropanecarboxylate', '(5-benzylfuran-3-yl)methyl 2,2-dimethyl-3-(2-methylprop-1-en-1-yl)cyclopropanecarboxylate', '(5-benzylfuran-3-yl)methyl 2,2-dimethyl-3-(2-methylprop-1-enyl)cyclopropanecarboxylate', '[5-(phenylmethyl)furan-3-yl]methyl 2,2-dimethyl-3-(2-methylprop-1-enyl)cycloprop', '(1R trans)-2,2-Dimethyl-3-(2-methyl-1-propenyl)cyclopropanecarboxylic acid [5-(phenylmethyl)-3-furanyl] methyl ester', '10453-54-0', 'Cyclopropanecarboxylicacid, 2,2-dimethyl-3-(2-methyl-1-propen-1-yl)-,[5-(phenylmethyl)-3-furanyl]methyl ester, (1R,3S)-']</t>
  </si>
  <si>
    <t>Compound(5053)</t>
  </si>
  <si>
    <t>2-sulfanylidene-1,3-thiazolidin-4-one</t>
  </si>
  <si>
    <t>['RHODANINE', '141-84-4', '2-thioxothiazolidin-4-one', '2-Thioxo-4-thiazolidinone', '4-Thiazolidinone, 2-thioxo-', '2-Thioxo-1,3-thiazolidin-4-one', 'Rhodaninic acid', 'Rhodanic acid', 'Rhodanin', 'Rodanin', '4-Oxo-2-thioxothiazoline', '2-Thio-4-ketothiazolidine', '4-Thiazolidinone-2-thione', 'USAF HA-2', '4-Oxo-2-thionothiazolidine', '2-sulfanylidene-1,3-thiazolidin-4-one', '4-Oxo-2-thiothiazolidin', 'Rhodanin [Czech]', '4-Thioxo-4-thiazolidone', '2,4-Thiazolidinedione, 2-thio-', 'NSC 1899', '2-thioxo-thiazolidin-4-one', 'UNII-7O50LKL2G8', 'CCRIS 4867', 'CHEBI:8830', '2-sulfanylidenethiazolidin-4-one', 'HSDB 2087', '4-Oxo-2-thiothiazolidin [Czech]', 'EINECS 205-505-1', 'AI3-01384', '7O50LKL2G8', 'NSC1899', 'MFCD00005488', 'Rhodanine, 99%', '162382-52-7', 'SMR000568393', 'C3H3NOS2', '4(5H)-Thiazolone, 2-mercapto-', '2(5H)-Thiazolethione, 4-hydroxy-', 'Rhodanine, 97%', '2-thiothiazol-4-one', '2-Mercaptothiazolinone', 'PubChem15741', 'ACMC-209cmz', '2, 2-thio-', 'bmse000840', '4-Oxo-2-thiono-thiazolidin', 'SCHEMBL55625', '4-hydroxythiazoline-2-thione', 'WLN: T5SYMV EHJ BUS', 'MLS001074952', 'MLS001335887', 'MLS001335888', '5-Thiazolidinone, 2-thioxo-', 'CHEMBL224633', 'DTXSID4026002', '2-sulfanylidene-4-thiazolidinone', '2-thioxo-1,3-thiazolan-4-one', 'CTK3J2005', 'HMS2231K03', 'HMS3369O16', 'ALBB-003939', 'KS-00000W0S', 'NSC-1899', 'STR00300', 'ZINC3875936', '6914AA', 'ANW-20649', 'BBL008647', 'BDBM50059085', 'LS-833', 'SBB000066', 'STK202112', 'STL226799', '2-Thioxo-1,3-thiazolidin-4-one #', '2-sulfanyl-1,3-thiazol-4(5H)-one', 'AKOS000119671', 'AKOS000271047', 'CS-W011081', 'MCULE-8840169234', 'NCGC00246984-01', 'NCGC00246985-01', '162382-53-8', 'AC-18191', 'NCI60_001582', 'SC-46616', 'ST025232', 'SY037748', 'DB-063407', 'BB 0240610', 'FT-0655360', 'NS00024601', 'R0017', 'C-4568', 'C07280', '138961-EP2272849A1', '138961-EP2292586A2', 'A807816', 'Q2741084', 'W-108183', 'F0255-0005', 'Rhodanine, for spectrophotometric det. of gallic acid, &gt;=99.0%', 'E60']</t>
  </si>
  <si>
    <t>Compound(1201546)</t>
  </si>
  <si>
    <t>C3H3NOS2</t>
  </si>
  <si>
    <t>1-(4,6-dimethoxypyrimidin-2-yl)-3-(3-ethylsulfonylpyridin-2-yl)sulfonylurea</t>
  </si>
  <si>
    <t>['Rimsulfuron', '122931-48-0', 'Matrix', 'Tarot', 'Rimsulfuron [ANSI]', 'DPX-E9636', 'DPX-E 9636', 'UNII-462J071RD7', 'CHEBI:8866', '1-(4,6-Dimethoxypyrimidin-2-yl)-3-(3-ethylsulfonyl-2-pyridylsulfonyl)urea', '2-Pyridinesulfonamide, N-[[(4,6-dimethoxy-2-pyrimidinyl)amino]carbonyl]-3-(ethylsulfonyl)-', 'N-(((4,6-Dimethoxy-2-pyrimidinyl)amino)carbonyl)-3-(ethylsulfonyl)-2-pyridinesulfonamide', '462J071RD7', '1-(4,6-dimethoxy-2-pyrimidinyl)-3-[(3-ethylsulfonyl-2-pyridinyl)sulfonyl]urea', '2-Pyridinesulfonamide, N-(((4,6-dimethoxy-2-pyrimidinyl)amino)carbonyl)-3-(ethylsulfonyl)-', 'N-[(4,6-dimethoxypyrimidin-2-yl)carbamoyl]-3-(ethylsulfonyl)pyridine-2-sulfonamide', 'Rimsulfuron [ANSI:ISO]', 'Rimsulfuron-d6', 'HSDB 7947', 'C14H17N5O7S2', '1-(4,6-dimethoxypyrimidin-2-yl)-3-(3-ethylsulfonylpyridin-2-yl)sulfonylurea', 'DSSTox_CID_12642', 'DSSTox_GSID_32642', 'SCHEMBL37660', 'CHEMBL1867091', 'DTXSID1032642', 'CTK8E8792', 'ZINC1532073', 'Tox21_304014', '1-(4,6-dimethoxypyrimidin-2-yl)-3-[(3-ethylsulfonyl-2-pyridyl)sulfonyl]urea', 'AKOS015895266', 'NCGC00163825-01', 'NCGC00163825-02', 'NCGC00357227-01', 'AS-12370', 'SC-15277', 'DB-041696', 'LS-131962', 'CAS-122931-48-0', 'FT-0631112', 'NS00003980', 'C10952', 'Rimsulfuron, PESTANAL(R), analytical standard', '931R480', 'A804994', 'J-004874', 'Q22808894', '1-(4,6-dimethoxypyrimidin-2-yl)-3-(3-ethylsulfonylpyridin-2-yl)sulfonyl-urea', 'N-(4,6-dimethoxypyrimidin-2-ylcarbamoyl)-3-(ethylsulfonyl)pyridine-2-sulfonamide', 'N-[(4,6-Dimethoxypyrimidin-2-yl)carbamoyl]-3-(ethanesulfonyl)pyridine-2-sulfonamide', '2-Pyridinesulfonamide, N-[[(4,6-dimethoxy-2-pyrimidinyl)amino]carbonyl]-3-(ethylsulfonyl)-;Rimsulfuron']</t>
  </si>
  <si>
    <t>Compound(91779)</t>
  </si>
  <si>
    <t>C14H17N5O7S2</t>
  </si>
  <si>
    <t>3-[2-[4-(6-fluoro-1,2-benzoxazol-3-yl)piperidin-1-yl]ethyl]-2-methyl-6,7,8,9-tetrahydropyrido[1,2-a]pyrimidin-4-one</t>
  </si>
  <si>
    <t>['risperidone', '106266-06-2', 'Risperidal', 'Risperdal', 'Rispolept', 'Risperdal Consta', 'Risperin', 'Rispolin', 'Sequinan', 'Apexidone', 'Risperidal M-Tab', 'Risperidonum', 'Risperidona', 'Risperidonum [Latin]', 'Risperidona [Spanish]', 'Risperdal M-Tab', 'Belivon', 'Psychodal', 'Spiron', 'R 64 766', 'C23H27FN4O2', 'UNII-L6UH7ZF8HC', 'R 64766', 'R-64766', 'R 64,766', 'CHEMBL85', 'L6UH7ZF8HC', '3-[2-[4-(6-fluoro-1,2-benzisoxazol-3-yl)-1-piperidinyl]ethyl]-6,7,8,9-tetrahydro-2-methyl-4H-pyrido[1,2-a]pyrimidin-4-one', 'BRN 4891881', 'CHEBI:8871', '3-[2-[4-(6-fluoro-1,2-benzoxazol-3-yl)piperidin-1-yl]ethyl]-2-methyl-6,7,8,9-tetrahydropyrido[1,2-a]pyrimidin-4-one', 'R-64-766', 'Risperidone, 99%', '3-(2-(4-(6-Fluoro-1,2-benzisoxazol-3-yl)piperidino)ethyl)-6,7,8,9-tetrahydro-2-methyl-4H-pyrido(1,2-a)pyrimidin-4-one', '3-(2-(4-(6-Fluorobenzo[d]isoxazol-3-yl)piperidin-1-yl)ethyl)-2-methyl-6,7,8,9-tetrahydro-4H-pyrido[1,2-a]pyrimidin-4-one', '3-{2-[4-(6-fluoro-1,2-benzoxazol-3-yl)piperidin-1-yl]ethyl}-2-methyl-6,7,8,9-tetrahydro-4H-pyrido[1,2-a]pyrimidin-4-one', 'NCGC00015883-05', 'CAS-106266-06-2', 'DSSTox_CID_25193', 'DSSTox_RID_80740', 'DSSTox_GSID_45193', '3-[2-[4-(6-fluoranyl-1,2-benzoxazol-3-yl)piperidin-1-yl]ethyl]-2-methyl-6,7,8,9-tetrahydropyrido[1,2-a]pyrimidin-4-one', '3-{2-[4-(6-FLUORO-BENZO[D]ISOXAZOL-3-YL)-PIPERIDIN-1-YL]-ETHYL}-2-METHYL-6,7,8,9-TETRAHYDRO-PYRIDO[1,2-A]PYRIMIDIN-4-ONE', 'Zophrenal', 'Risperdal (TN)', '3-{2-[4-(6-fluoro-1,2-benzisoxazol-3-yl)piperidin-1-yl]ethyl}-2-methyl-6,7,8,9-tetrahydro-4H-pyrido[1,2-a]pyrimidin-4-one', '3-{2-[4-(6-Fluoro-1,2-benzisoxazol-3-yl)piperidino]ethyl}-6,7,8,9-tetrahydro-2-methylpyrido[1,2-a]pyrimidin-4-one', '3-{2-[4-(6-fluoro-1,2-benzoxazol-3-yl)piperidin-1-yl]ethyl}-2-methyl-4H,6H,7H,8H,9H-pyrido[1,2-a]pyrimidin-4-one', '4H-Pyrido(1,2-a)pyrimidin-4-one, 3-(2-(4-(6-fluoro-1,2-benzisoxazol-3-yl)-1-piperidinyl)ethyl)-6,7,8,9-tetrahydro-2-methyl-', '4H-Pyrido(1,2-a)pyrimidin-4-one, 6,7,8,9-tetrahydro-3-(2-(4-(6-fluoro-1,2-benzisoxazol-3-yl)-1-piperidinyl)ethyl)-2-methyl-', '4H-Pyrido[1,2-a]pyrimidin-4-one, 3-[2-[4-(6-fluoro-1,2-benzisoxazol-3-yl)-1-piperidinyl]ethyl]-6,7,8,9-tetrahydro-2-methyl-', 'SMR000466323', 'Risperidone (RIS)', 'Risperidone, placebo', 'Risperidone [USAN:BAN:INN]', 'SR-01000075399', 'Relday', 'Rispen', 'Risperidone-ISM', 'HSDB 7580', 'Risperidone???', 'R64766', '3-[2-[4-(6-fluoro-1,2-benzisoxazol-3-yl)piperidin-1-yl]ethyl]-2-methyl-6,7,8,9-tetrahydro-4H-pyrido[1,2-a]pyrimidin-4-one', '3-{2-[4-(6-fluoro-1,2-benzisoxazol-3-yl)-1-piperidinyl]ethyl}-6,7,8,9-tetrahydro-2-methyl-4H-pyrido[1,2-a]pyrimidin-4-one', 'Risperidone [USAN:USP:INN:BAN]', 'R-64,766', 'MFCD00274576', 'KS-1106', 'Risperidone (Risperdal)', 'Lopac-R-118', 'Prestwick0_001029', 'Prestwick1_001029', 'R-118', 'GTPL96', 'Risperidone(R 64 766)', 'SCHEMBL27911', 'MLS000759429', 'MLS001165758', 'MLS001424081', 'US8802672, Risperidone', 'BIDD:GT0262', 'R 62 766', 'SPBio_003078', 'PYR332', 'Risperidone (JP17/USP/INN)', 'DTXSID8045193', 'N05AX08', 'RCN3028', 'HMS1571M19', 'HMS2051H07', 'HMS2089C22', 'HMS2098M19', 'HMS2233O11', 'HMS3373M18', 'HMS3393H07', 'HMS3657G13', 'HMS3715M19', 'Pharmakon1600-01506038', 'ZINC538312', 'ACT04270', 'BCP08161', 'RCN-3028', 'Risperidone 1.0 mg/ml in Methanol', 'Tox21_110253', 'ANW-42874', 'BDBM50001885', 'BG0309', 'CP-018', 'CR0023', 'NP-202', 'NSC759895', 's1615', 'STK646402', 'AKOS005577302', 'Tox21_110253_1', 'AC-1306', 'API0004081', 'CCG-100930', 'CS-1619', 'DB00734', 'LY03004', 'MCULE-4027175053', 'NC00180', 'NSC-759895', 'PB26023', 'Risperidone, &gt;=98% (HPLC), powder', 'NCGC00015883-01', 'NCGC00015883-02', 'NCGC00015883-03', 'NCGC00015883-04', 'NCGC00015883-06', 'NCGC00015883-07', 'NCGC00015883-08', 'NCGC00015883-11', 'NCGC00094352-01', 'NCGC00094352-02', 'NCGC00094352-03', 'NCGC00179257-01', '3-[2-[-4-(6-fluoro-1,2-benzisoxazol-3-yl)-1-piperidinyl]ethyl]-6,7,8,9-tetrahydro-2-methyl-4H-pyrido[1,2-a]pyrimidin-4-one', '3-[2-[4-(6-Fluoro-1,2-benzisoxazol-3-yl)piperi-dino]ethyl]-6,7,8,9-tetrahydro-2-methyl-4H-pyrido[1,2-a]-pyrimidin-4-one', '3-[2-[4-(6-fluoro-1,2-benzoxazol-3-yl)-1-piperidyl]ethyl]-2-methyl-6,7,8,9-tetrahydropyrido[1,2-a]pyrimidin-4-one', '3-{2-[4-(6-Fluoro-benzo[d]isoxazol-3-yl)-piperidin-1-yl]-ethyl}-2-methyl-6,7,8,9-tetrahydropyrido[1,2-a]pyrimidin-4-one', '4H-Pyrido(1,2-a)pyrimidin-4-one, 3-(2-(4-(6-fluoro-1,2-benzisoxazol-3-yl)-1-piperidinyl)ethyl)-6 ,7,8,9-tetrahydro-2-methyl-', 'AK172045', 'CC-34268', 'HY-11018', 'LY-03004', 'SC-16313', 'AB0004623', 'LS-134196', 'AB00514010', 'EU-0101074', 'FT-0631037', 'FT-0674432', 'NS00000033', 'R0087', 'SW197348-4', 'KS-00000760', '4767-EP2269990A1', '4767-EP2272537A2', '4767-EP2272841A1', '4767-EP2275420A1', '4767-EP2275423A1', '4767-EP2280008A2', '4767-EP2280010A2', '4767-EP2298731A1', '4767-EP2298776A1', '4767-EP2301936A1', '4767-EP2308867A2', '4767-EP2308870A2', '4767-EP2308875A1', '4767-EP2316836A1', '66R062', 'D00426', 'J10290', 'Q-4040', 'AB00514010-09', 'AB00514010-11', 'AB00514010-12', 'AB00514010_13', 'AB00514010_14', 'A801409', 'C-21900', 'L000510', 'Q412443', 'J-001555', 'SR-01000075399-2', 'SR-01000075399-8', 'BRD-K53857191-001-04-5', 'BRD-K53857191-001-10-2', 'Z1522566617', 'Risperidone, British Pharmacopoeia (BP) Reference Standard', 'Risperidone, European Pharmacopoeia (EP) Reference Standard', 'Risperidone, United States Pharmacopeia (USP) Reference Standard', 'Risperidone, Pharmaceutical Secondary Standard; Certified Reference Material', '3-Ethyl-2-methyl-6,7,8,9-tetrahydro-4H-pyrido[1,2-a]pyrimidin-4-one(Risperidone Impurity)', 'Risperidone for system suitability, European Pharmacopoeia (EP) Reference Standard', 'Risperidone solution, 1.0 mg/mL in methanol, ampule of 1 mL, certified reference material', '(risperidone)3-{2-[4-(6-Fluoro-benzo[d]isoxazol-3-yl)-piperidin-1-yl]-ethyl}-2-methyl-6,7,8,9-tetrahydro-pyrido[1,2-a]pyrimidin-4-one', '2-(2-(4-(benzo[d]isoxazol-3-yl)piperidin-1-yl)ethyl)-7,8,9,9a-tetrahydro-1H-pyrido[1,2-a]pyrimidin-4(6H)-one', '2-{2-[4-(6-Fluoro-benzo[d]isoxazol-3-yl)-piperidin-1-yl]-ethyl}-6,7,8,8a-tetrahydro-5H-naphthalen-1-one', '3-(2-(4-(6-fluoro-1,2-benzisoxazol-3-y)-1-piperidinyl)-ethyl)-6,7,8,9-tetrahydro-2-methyl-4H-pirydo(1,2-a)-pyrimidin-4-one', '3-(2-(4-(6-fluorobenzo[d]isoxazol-3-yl)piperidin-1-yl)ethyl)-2-methyl-6,7,8,9-tetrahydropyrido[1,2-a]pyrimidin-4-one', '3-[2-[4(6-fluoro-1,2-benzisoxazol-3-yl)-1-piperidinyl]ethyl]-6,7,8,9-tetrahydro-2-methyl-4H-pyrido[1,2-a]pyrimidin-4-one', '3-[2-[4(6-fluoro-1,2-benzisoxazol-3-yl)-1-piperidinyl]ethyl]-6,7,8,9-tetrahydro-2-methyl4H-pyrido[1,2-a]pyrimidin-4-one', '3-[2-[4-(6 fluoro-1,2-benzisoxazol-3-yl)-1-piperidinyl]ethyl]-6,7,8,9-tetrahydro-2-methyl-4H-pyrido[1,2-a]pyrimidin-4-one', '3-[2-[4-(6-fluoro- 1,2-benzisoxazol-3-yl)-1-piperidinyl]ethyl]-6,7,8,9-tetrahydro-2-methyl4H-pyrido[1,2-a]pyrimidin-4-one', '3-[2-[4-(6-fluoro-1,2-benzisoxazol-3-yl)-1-piperidiny]ethyl]-6,7,8,9-tetrahydro-2-methyl-4H-pyrido[1,2-a]pyrimidin-4-one', '3-[2-[4-(6-fluoro-1,2-benzisoxazol-3-yl)-1-piperidinyl]-ethyl]-6,7,8,9-tetrahydro-2-methyl-4H-pyrido[1,2-A]pyrimidin-4-one', '3-[2-[4-(6-Fluoro-1,2-benzisoxazol-3-yl)-1-piperidinyl]ethyl]-6,7,8,9-tetrahydro-2-me thyl-4H-pyrido[1,2-a]pyrimidin-4-one', '3-[2-[4-(6-fluoro-1,2-benzoxazol-3-yl)-1-piperidinyl]ethyl]-2-methyl-6,7,8,9-tetrahydropyrido[1,2-a]pyrimidin-4-one', '3-[2-[4-(6-fluoro-1,2-benzoxazol-3-yl)piperidin-1-yl]ethyl]-2-methyl-6,7,8,9-tetrahydropyrido[2,1-b]pyrimidin-4-one', '3-{2-[4-(6-Fluoro-1,2-benzisoxazol-3-yl)-1-piperidinyl]-ethyl}- 6,7,8,9-tetrahydro-2-methyl-4H-pyrido[1,2-a]pyrimidin-4-one', '3-{2-[4-(6-fluoro-1,2-benzisoxazol-3-yl)-1-piperidinyl]ethyl}-6,7,8,9-tetrahydro-2-methyl-4H-pyrido[1,2-a]pyrimid-in-4-one', '3-{2-[4-(6-Fluoro-benzo[d]isoxazol-3-yl)-piperidin-1-yl]-ethyl}-2-methyl-6,7,8,9-tetrahydro-pyrido[1,2-a]pyrimidin-4-one (Resperidone)', '3-{2-[4-(6-Fluoro-benzo[d]isoxazol-3-yl)-piperidin-1-yl]-ethyl}-2-methyl-6,7,8,9-tetrahydro-pyrido[1,2-a]pyrimidin-4-one (risperidone)', '3-{2-[4-(6-Fluoro-benzo[d]isoxazol-3-yl)-piperidin-1-yl]-ethyl}-2-methyl-6,7,8,9-tetrahydro-pyrido[1,2-a]pyrimidin-4-one(risperidone)', '3-{2-[4-(6-fluorobenzo[d]isoxazol-3-yl)-piperidin-1-yl]-ethyl}-2-methyl-6,7,8,9-tetrahydro-4H-pyrido[1,2-a]pyrimidin-4-one', '4H-Pyrido[1,2-a]pyrimidin-4-one, 3-[2-[4-(6-fluoro-1,2-benz-isoxazol-3-yl)-1-piperidinyl]ethyl]-6,7,8,9-tetrahydro-2-methyl-', '5-[2-(4-Benzo[d]isothiazol-3-yl-piperazin-1-yl)-ethyl]-6-methyl-1,3-dihydro-indol-2-one(Norastemizole)']</t>
  </si>
  <si>
    <t>Compound(5073)</t>
  </si>
  <si>
    <t>C23H27FN4O2</t>
  </si>
  <si>
    <t>ritalic acid</t>
  </si>
  <si>
    <t>2-phenyl-2-piperidin-2-ylacetic acid</t>
  </si>
  <si>
    <t>['Ritalinic acid', '19395-41-6', '2-Phenyl-2-(piperidin-2-yl)acetic acid', 'phenyl(piperidin-2-yl)acetic acid', '2-Phenyl-2-(2-piperidyl)acetic Acid', 'Phenyl(2-piperidinyl)acetic acid', 'alpha-Phenyl-2-piperidineacetic acid', 'alpha-Phenylpiperidine-2-acetic acid', '2-phenyl-2-piperidin-2-ylacetic acid', '2-Phenyl-2-piperidineacetic acid', 'Ritalinsaure', 'DL-threo-Ritalinic AcidSee R533110', 'EINECS 243-020-7', 'Ritalinic acid, 99% (CP)', 'SCHEMBL1462581', 'a-phenylpiperidine-2-acetic acid', 'CHEBI:83481', 'DTXSID20864888', 'Ritalinic acid, analytical standard', '54631-24-2', 'BCP07811', 'BCP26035', 'EBD51210', 'Phenyl(2-piperidinyl)acetic acid #', 'MFCD06200695', 'AKOS015892837', '2-Piperidineacetic acid, alpha-phenyl-', 'AC-8122', 'API0000814', 'CS-W022954', 'FS-3198', '2-phenyl-2-(2-piperidinyl)acetic acid', '2-Phenyl-2-(2-piperidyl) acetic acid', 'KS-000001B8', 'AK-49062', 'BR-49062', 'SC-12104', 'SY030346', 'AB0009720', 'DB-014888', 'FT-0653505', 'FT-0674435', 'FT-0674438', 'FT-0674439', 'FT-0674440', 'FT-0674441', 'FT-0674442', 'FT-0674443', 'NS00000318', 'R0111', 'J10061', 'S-2487', '395R416', 'Q17052328', 'a-phenylpiperidine-2-acetic acid;?-phenylpiperidine-2-acetic acid', 'L-threo-Ritalinic Acid;(2S)-2-Phenyl-2-[(S)-2-piperidinyl]acetic acid', 'Phenyl(2-piperidinyl)acetic acid; alpha-Phenylpiperidine-2-acetic acid; 2-Phenyl-2-(2-piperidyl)acetic acid']</t>
  </si>
  <si>
    <t>Compound(86863)</t>
  </si>
  <si>
    <t>C13H17NO2</t>
  </si>
  <si>
    <t>ronidazole</t>
  </si>
  <si>
    <t>(1-methyl-5-nitroimidazol-2-yl)methyl carbamate</t>
  </si>
  <si>
    <t>['ronidazole', '7681-76-7', 'Ronidazol', 'Ridzol', 'Ridzol P', 'Ridazole', 'Dugro', '(1-Methyl-5-nitro-1H-imidazol-2-yl)methyl carbamate', '(1-Methyl-5-nitroimidazol-2-yl)methyl carbamate', 'Ronidazolum', 'Ronidazol-pharmachim', 'Ronidazol [INN-Spanish]', 'Ronidazolum [INN-Latin]', '1H-Imidazole-2-methanol, 1-methyl-5-nitro-, carbamate (ester)', 'UNII-E01R4M1063', 'Ronidazol-pharmachim [Bulgarian]', 'EINECS 231-675-1', 'BRN 0886221', '1-Methyl-5-nitroimidazole-2-methanol carbamate ester', 'AI3-27430', 'MLS000028665', 'C6H8N4O4', 'E01R4M1063', '1-Methyl-5-nitro-1H-imidazole-2-methanol carbamate ester', 'NCGC00016685-05', 'Carbamidsaeure-((1-methyl-5-nitroimidazol-2-yl)methyl)ester', 'SMR000058887', 'CAS-7681-76-7', 'DSSTox_CID_25400', 'DSSTox_RID_80854', '1-Methyl-2-(carbamoyloxymethyl)-5-nitroimidazole', 'DSSTox_GSID_45400', 'MCMN', 'SR-01000000287', 'Ronidazole [USAN:BAN:INN]', 'Ronidazole [USAN:INN:BAN]', 'Ronidazole (USAN)', 'Spectrum_001147', 'Opera_ID_1383', 'Prestwick0_001115', 'Prestwick1_001115', 'Prestwick2_001115', 'Prestwick3_001115', 'Spectrum2_001037', 'Spectrum3_001461', 'Spectrum4_000450', 'Spectrum5_001151', '1-Methyl-2-carbamoyloxymethyl-5-nitroimidazole', 'BSPBio_001250', 'BSPBio_002981', 'KBioGR_000840', 'KBioSS_001627', '(1-methyl-5-nitro-imidazol-2-yl)methyl carbamate', '5-23-10-00553 (Beilstein Handbook Reference)', 'DivK1c_000927', 'SCHEMBL635714', 'SPECTRUM1501154', 'SPBio_001253', 'SPBio_003115', 'Ronidazole, analytical standard', 'BPBio1_001375', 'CHEMBL290299', 'DTXSID6045400', 'CHEBI:94804', 'HMS502O09', 'KBio1_000927', 'KBio2_001627', 'KBio2_004195', 'KBio2_006763', 'KBio3_002481', 'CHEBI:141154', 'NINDS_000927', 'HMS1571O12', 'HMS1921L13', 'HMS2092H21', 'HMS2098O12', 'HMS2236G04', 'HMS3370P07', 'HMS3652I06', 'HMS3715O12', 'Imidazole-2-methanol, 1-methyl-5-nitro-, carbamate (ester)', 'Pharmakon1600-01501154', 'HY-B0565', 'ZINC1482167', 'Tox21_110560', 'Tox21_303404', '2693AH', 'CCG-40249', 'NSC757865', 'AKOS016014971', 'Tox21_110560_1', 'API0004094', 'CS-2674', 'NSC-757865', 'IDI1_000927', 'KS-00001F81', 'NCGC00016685-01', 'NCGC00016685-02', 'NCGC00016685-03', 'NCGC00016685-04', 'NCGC00016685-06', 'NCGC00016685-07', 'NCGC00016685-11', 'NCGC00021749-03', 'NCGC00021749-04', 'NCGC00021749-05', 'NCGC00257484-01', 'AS-10175', 'LS-78760', 'SBI-0051664.P002', 'AB0109558', 'AX8150511', 'AB00052226', 'FT-0674455', 'FT-0674456', 'NS00000699', 'S4062', 'SW197236-3', 'A19431', 'D05752', 'AB00052226_14', 'AB00052226_15', 'Imidazole-2-methanol, 1-methyl-5-nitro-, carbamate', 'Q7365706', 'SR-01000000287-2', 'SR-01000000287-3', 'BRD-K94266545-001-15-9', '(1-Methyl-5-nitro-1H-imidazol-2-yl)methyl carbamate #', '1-methyl-5-nitro-1h-imidazole-2-methanolcarbamateester', '1H-Imidazole-2-methanol, 1-methyl-5-nitro-, carbamate', '1-methyl-5-nitro-1H-imidazole-2-methanol  carbamate ester', 'carbamic acid (1-methyl-5-nitro-2-imidazolyl)methyl ester', '1-Methyl-5-nitro-1H-imidazole-2-methanol carbamate ester (9CI)']</t>
  </si>
  <si>
    <t>Compound(5094)</t>
  </si>
  <si>
    <t>C6H8N4O4</t>
  </si>
  <si>
    <t>rosiglitazone</t>
  </si>
  <si>
    <t>5-[[4-[2-[methyl(pyridin-2-yl)amino]ethoxy]phenyl]methyl]-1,3-thiazolidine-2,4-dione</t>
  </si>
  <si>
    <t>['rosiglitazone', '122320-73-4', 'Avandia', 'Brl-49653', '5-(4-(2-(Methyl(pyridin-2-yl)amino)ethoxy)benzyl)thiazolidine-2,4-dione', 'Rosiglizole', 'Brl 49653', 'rosiglitazone (Avandia)', 'BRL49653', 'Avandaryl', 'TDZ 01', 'Rosiglitazone [INN:BAN]', 'Avandamet', 'C18H19N3O3S', 'CHEBI:50122', 'Rosigilitazone', '5-[[4-[2-(methyl-2-pyridinylamino)ethoxy]phenyl]methyl]-2,4-thiazolidinedione', '5-((4-(2-Methyl-2-(pyridinylamino)ethoxy)phenyl)methyl)-2,4-thiazolidinedione-2-butenedioate', '2,4-Thiazolidinedione, 5-((4-(2-(methyl-2-pyridinylamino)ethoxy)phenyl)methyl)-', 'MFCD00871760', 'NCGC00095124-01', 'AK-72839', '5-(4-{2-[methyl(pyridin-2-yl)amino]ethoxy}benzyl)-1,3-thiazolidine-2,4-dione', '2,4-thiazolidinedione, 5-[[4-[2-(methyl-2-pyridinylamino)ethoxy]phenyl]methyl]-', 'DSSTox_CID_17131', 'DSSTox_RID_79303', 'DSSTox_GSID_37131', 'Q-201681', '155141-29-0', '5-[4-[2-[Methyl(2-pyridyl)amino]ethoxy]benzyl]thiazolidine-2,4-dione', '5-[4-[2-(N-Methyl-N-(2-pyridyl)amino)ethoxy]benzyl]thiazolidine-2,4-dione', '1217260-35-9', 'BRL 49653C', 'CAS-122320-73-4', 'SR-01000763023', 'rosiglitazona', 'rosiglitazonum', 'Rosiglitazon', 'Rezult', 'Rosi', 'HSDB 7555', 'Rosiglitazone base', '5-((4-(2-(methyl-2-pyridinylamino)ethoxy)phenyl)methyl)-2,4-thiazolidinedione', '5-[4-[2-[N-methyl-N-(2-pyridyl)amino)ethoxy]benzyl]thiazolidine-2,4-dione', 'Gaudil (TN)', 'Rosiglitazone (INN)', 'Spectrum_001703', '316371-84-3', 'Spectrum2_001241', 'Spectrum3_000997', 'Spectrum4_001125', 'Spectrum5_001464', 'SCHEMBL5169', 'BSPBio_002693', 'KBioGR_001609', 'KBioSS_002183', 'KSC914G9L', 'SPECTRUM1504263', 'SPBio_001142', 'GTPL1056', 'TDZ-01', 'DTXSID7037131', 'SCHEMBL14383595', 'CTK8B4395', 'KBio2_002183', 'KBio2_004751', 'KBio2_007319', 'KBio3_001913', 'KS-00000IPU', 'Rosiglitazone, &gt;=98% (HPLC)', 'HMS1922J11', 'HMS2094O13', 'HMS3649G08', 'HMS3656K16', 'HMS3744M11', 'HMS3871L03', 'Pharmakon1600-01504263', 'ACT04332', 'BCP03047', 'Tox21_111434', 'ANW-44906', 'BBL029079', 'BDBM50030474', 'BG0432', 'CCG-39102', 'GP6434', 'NSC758698', 'STL350047', 'AKOS015894872', 'Tox21_111434_1', 'AC-3459', 'API0006964', 'BCP9000017', 'CS-1088', 'DB00412', 'MCULE-8293284864', 'MP-0331', 'NSC-758698', 'SB17326', 'VA11695', '2,4-Thiazolidinedione, 5-004-02-((((methyl-2-pyridinylamino)ethoxy)phenyl)methyl)-', '5-[[4-[2-(methyl-2-pyridinylamino)ethoxy]-phenyl]methyl]-2,4-thiazolidine-dione', 'NCGC00095124-02', 'NCGC00095124-03', 'NCGC00095124-04', 'NCGC00095124-05', 'NCGC00095124-06', 'NCGC00095124-08', 'BR-72839', 'CC-34292', 'HY-17386', 'SC-19017', 'SY031184', 'BCP0726000232', 'AB0011992', 'AX8017813', 'LS-151340', 'FT-0602578', 'NS00008920', 'NS00099155', 'R0106', 'S2556', 'SW197573-6', '20R734', '6P-065', 'D08491', 'J10213', 'S00306', 'AB00698473-15', 'AB00698473-17', 'AB00698473-18', 'AB00698473-19', 'AB00698473_20', 'AB00698473_21', 'AB00698473_22', 'AB00698473_23', 'C-20817', 'Q424771', 'SR-01000763023-5', 'SR-01000763023-6', 'BRD-A97437073-001-02-3', 'BRD-A97437073-001-03-1', 'BRD-A97437073-001-04-9', 'SR-01000763023-12', '(RS)-5-{4-[2-(Methyl-2-pyridylamino)ethoxy]benzyl}-2,4-thiazolidinedion', '5-(4-(2-(Methyl(pyridin-2-yl)amino)ethoxy)-benzyl)thiazolidine-2,4-dione', '5-[4-[2-(N-Methyl-N-(2-pyridyl)amino)ethoxy]benzyl]thiazolidine-2,4dione', 'IDMB (1uM BRL49653, 1uM Dexamethasone, 0.5uM IBMX, 10ug/mL Insulin)', '(+/-)-5-[p-[2-(methyl-2-pyridylamino)ethoxy]benzyl]-2,4-thiazolidinedione', '2,4-Thiazolidinedione, 5-[[4-[2-(methyl-2-pyridinylamino)ethoxy]phenyl]methyl]- (9CI)', '5-[[4-[2-(methyl-(2-pyridyl)amino)ethoxy]phenyl]methyl] thiazolidine-2,4-dione', '5-[[4-[2-(methyl-2-pyridinylamino) ethoxy]phenyl]methyl]-2,4-thiazolidinedione', '5-[[4-[2-(Methyl-2-pyridinylamino)e thoxy]phenyl]methyl]-2,4-thiazolidinedione', '5-[[4-[2-(methyl-pyridin-2-ylamino)ethoxy]phenyl]methyl]-1,3-thiazolidine-2,4-dione', '5-[4-[2-(N-methyl-N-(2-pyridyl)amino)ethoxy]benzyl] thiazolidine-2,4-dione', '5-[4-[2-[N-methyl-N-(2-pyridyl)amino]ethoxy]phenyl methyl]thiazolidine-2,4-dione']</t>
  </si>
  <si>
    <t>Compound(77999)</t>
  </si>
  <si>
    <t>C18H19N3O3S</t>
  </si>
  <si>
    <t>rosuvastatin</t>
  </si>
  <si>
    <t>(E,3R,5S)-7-[4-(4-fluorophenyl)-2-[methyl(methylsulfonyl)amino]-6-propan-2-ylpyrimidin-5-yl]-3,5-dihydroxyhept-6-enoic acid</t>
  </si>
  <si>
    <t>['Rosuvastatin', '287714-41-4', 'ZD4522', 'UNII-413KH5ZJ73', 'CHEMBL1496', 'CHEBI:38545', '413KH5ZJ73', 'ZD-4522', '(3R,5S,6E)-7-(4-(4-fluorophenyl)-6-(1-methylethyl)-2-(ethyl(methylsulfonyl)amino)-5-pyrimidinyl)-3,5-dihydroxy-6-heptenoic acid', '(3R,5S,6E)-7-[4-(4-fluorophenyl)-2-(N-methylmethanesulfonamido)-6-(propan-2-yl)pyrimidin-5-yl]-3,5-dihydroxyhept-6-enoic acid', '(3R,5S,6E)-7-{4-(4-fluorophenyl)-6-isopropyl-2-[methyl(methylsulfonyl)amino]pyrimidin-5-yl}-3,5-dihydroxyhept-6-enoic acid', '(E)-7-[4-(4-Fluorophenyl)-6-isopropyl-2-[methyl(methylsulfonyl)amino]pyrimidin-5-yl](3R,5S)-3,5-dihydroxyhept-6-enoic acid', 'Creston (TN)', 'Rosuvastatin (INN)', '(E,3R,5S)-7-[4-(4-fluorophenyl)-2-[methyl(methylsulfonyl)amino]-6-propan-2-ylpyrimidin-5-yl]-3,5-dihydroxyhept-6-enoic acid', 'Rosuvastatin [INN:BAN]', 'C22H28FN3O6S', 'HSDB 7317', 'Spectrum5_001695', 'Rosuvastatin;ROSUVASTATIN', 'SCHEMBL2520', 'BSPBio_003429', 'SCHEMBL154400', 'SPECTRUM1505213', 'GTPL2954', 'DTXSID8048492', 'BDBM18372', 'CHEBI:93454', 'HMS1922N09', 'ZINC1535101', 'CCG-40119', 'HY-17504A', 'AKOS000280777', 'AM84890', 'CS-2112', 'DB01098', 'NCGC00178070-01', '(3R,5S,6E)-7-{4-(4-fluorophenyl)-2-[methyl(methylsulfonyl)amino]-6-(propan-2-yl)pyrimidin-5-yl}-3,5-dihydroxyhept-6-enoic acid', '(3R,5S,E)-7-(4-(4-Fluorophenyl)-6-isopropyl-2-(N-methylmethylsulfonamido)pyrimidin-5-yl)-3,5-dihydroxyhept-6-enoic acid', '6-Heptenoic acid, 7-(4-(4-fluorophenyl)-6-(1-methylethyl)-2-(ethyl(methylsulfonyl)amino)-5-pyrimidinyl)-3,5-dihydroxy-, (3R,5S,6E)', 'AS-12247', 'SBI-0206727.P001', 'LS-187345', 'S5072', 'A11122', 'A24862', 'D08492', '28050-EP2269990A1', '28050-EP2272841A1', '28050-EP2272842A1', '28050-EP2280006A1', '28050-EP2281813A1', '28050-EP2284158A1', '28050-EP2287165A2', '28050-EP2287166A2', '28050-EP2292620A2', '28050-EP2295406A1', '28050-EP2298731A1', '28050-EP2298742A1', '28050-EP2298745A1', '28050-EP2298772A1', '28050-EP2298776A1', '28050-EP2298779A1', '28050-EP2301923A1', '28050-EP2301931A1', '28050-EP2301936A1', '28050-EP2308839A1', '28050-EP2314588A1', 'Q415159', 'BRD-K82941592-001-01-3', 'BRD-K82941592-238-02-9', '(3R,5S)-7-[4-(4-fluorophenyl)-2-(methyl-methylsulfonylamino)-6-propan-2-ylpyrimidin-5-yl]-3,5-dihydroxyhept-6-enoic acid', '(3R,5S)-trans-7-(4-(4-fluorophenyl)-6-isopropyl-2-(N-methylmethylsulfonamido)pyrimidin-5-yl)-3,5-dihydroxyhept-6-enoic acid', '(3R,5S,6E)-7-[4-(4-Fluorophenyl)-2-[(methanesulfonyl)(methyl)amino]-6-(propan-2-yl)pyrimidin-5-yl]-3,5-dihydroxyhept-6-enoic acid', '(E)-7-[4-(4-fluorophenyl)-6-isopropyl-2-[methyl(methylsulfonyl)amino]pyrimidin-5-yl](3R,5S)-3,5-dihydroxyhept-6enoic acid', '(E)-7-[4-(4-fluorophenyl)-6-isopropyl-2-[methyl(methylsulfonyl)amino]pyrimidin-5-yl]-(3R,5S)-3,5-dihydroxyhept-6-enoic acid', '6-Heptenoic acid, 7-[4-(4-fluorophenyl)-6-(1-methylethyl)-2-[methyl(methylsulfonyl)amino]-5-pyrimidinyl]-3,5-dihydroxy-, (3R,5S,6E)-', '7-[4-(4-Fluorophenyl)-6-(1-methylethyl)-2-(methyl-methylsulfonyl-amino)-pyrimidin-5-yl]-3,5-dihydroxy-hept-6-enoic acid;Rosuvastatin;Rosuvastatin Acid', 'E-(7-{2-(N-methyl-N-methanesulfonylamino)-4-(4-fluorophenyl)-6-isopropyl-pyrimidin-5-yl}-(3R,5S)-3,5-dihydroxy-hept-6-enoic acid]', 'E-7-[2-(N-methyl-N-methanesulfonylamino)-4-(4-fluorophenyl)-6-isopropyl-pyrimidin-5-yl]-(3R,5S)-3,5-dihydroxyhept-6-enoic acid', 'FBI']</t>
  </si>
  <si>
    <t>Compound(446157)</t>
  </si>
  <si>
    <t>C22H28FN3O6S</t>
  </si>
  <si>
    <t>rotenone</t>
  </si>
  <si>
    <t>(1S,6R,13S)-16,17-dimethoxy-6-prop-1-en-2-yl-2,7,20-trioxapentacyclo[11.8.0.03,11.04,8.014,19]henicosa-3(11),4(8),9,14,16,18-hexaen-12-one</t>
  </si>
  <si>
    <t>['rotenone', '83-79-4', 'Dactinol', 'Paraderil', 'Barbasco', '(-)-Rotenone', 'Tubatoxin', '(-)-cis-Rotenone', 'Derrin', 'Derris', 'Rotenon', 'Cube root', 'Nicouline', 'Rotocide', 'Noxfish', 'Ronone', 'Canex', 'Deril', 'Liquid Derris', 'Cube-Pulver', 'Dri-Kil', 'Rotessenol', 'Noxfire', 'Rotefive', 'Rotefour', 'Rotenox', 'Cubor', 'Extrax', 'Haiari', 'Mexide', 'Cube extract', 'Derris root', 'Powder and root', 'Chem-Mite', 'Pro-nox fish', 'Fish-Tox', 'Cenol garden dust', 'Curex flea duster', 'Prenfish', 'Gerane', 'Prentox', 'Ro-Ko', 'Synpren', 'Derris (insecticide)', 'Chem fish', 'Pb-nox', 'Rotenox 5EC', "5'-beta-Rotenone", 'Green Cross Warble Powder', 'Chem-Fish Synergized', 'Prentox Synpren-Fish', 'Tubotoxin', 'Nekoe', 'Caswell No. 725', 'Foliafume E.C.', 'ENT 133', 'Rotenona [Spanish]', 'Rotenone, commercial', 'CCRIS 895', 'Rotenone [BSI:ISO]', 'HSDB 1762', 'NCI-C55210', "5'beta-Rotenone", 'EPA Pesticide Chemical Code 071003', 'UNII-03L9OT429T', 'AI3-00133', 'NSC26258', 'EINECS 201-501-9', 'NSC 26258', 'Rotenona', 'Derris resins', 'MLS000738056', 'CHEMBL429023', 'CHEBI:28201', '03L9OT429T', 'Rotacide E.C.', 'CUBE', '(1)Benzopyrano(3,4-b)furo(2,3-h)(1)benzopyran-6(6aH)-one, 1,2,12,12a-tetrahydro-2-alpha-isopropenyl-8,9-dimethoxy-', '(12aS,6aS,2R)-8,9-dimethoxy-2-(1-methylvinyl)-1,2-dihydrochromano[3,4-b]furano [2,3-h]chroman-6-one', '(2R,6aS,12aS)-8,9-dimethoxy-2-(prop-1-en-2-yl)-1,2,12,12a-tetrahydrochromeno[3,4-b]furo[2,3-h]chromen-6(6aH)-one', '(2R-(2alpha,6aalpha,12aalpha))-1,2,12,12a-Tetrahydro-8,9-dimethoxy-2-(1-methylethenyl)(1)benzopyrano(3,4-b)furo(2,3-h)benzopyran-6(6aH)-one', '1,2,12,12a-Tetrahydro-8,9-dimethoxy-2-(1-methylethenyl)-(1)benzopyrano(3,4-b)furo(2,3-h)(1)benzopyran-6(6aH)-one', '1,2,12,12aalpha-Tetrahydro-2a-isopropenyl-8,9-dimethoxy(1)benzopyrano(3,4-b)furo(2,3-h)(1)benzopyran-6(6aH)-one', 'NCGC00017358-05', 'AK115691', 'DSSTox_CID_1248', 'DSSTox_RID_76038', 'DSSTox_GSID_21248', '(1)Benzopyrano(3,4-b)furo(2,3-h)(1)benzopyran-6(6aH)-one, 1,2,12,12a-tetrahydro-8,9-dimethoxy-2-(1-methylethenyl)-, (2R-(2alpha,6aalpha,12aalpha))-', '(2R,6aS,12aS)-1,2,6,6a,12,12a-hexahydro-2-isopropenyl-8,9-dimethoxychromeno[3,4-b]furo[2,3-h]chromen-6-one', '(2R-(6aalpha,12aalpha)-1,2-Dihydro-2-isopropenyl-8,9-dimethoxychromano(3,4-b)furo(2,3-h)chroman-6-on', '[2R-(2alpha,6aalpha,12aalpha)]-1,2,12,12a-tetrahydro-8,9-dimethoxy-2-(1-methylethenyl)[1]benzopyrano[3,4-b]furo[2,3-H][1]benzopyran-6(6aH)-one', 'Green cross warble', 'Rotacide', 'Protax', 'MFCD09025614', "5'.beta.-Rotenone", 'CAS-83-79-4', '(1)Benzopyrano(3,4-b)furo(2,3-h)(1)benzopyran-6(6aH)-one, 1,2,12,12a-tetrahydro-8,9-dimethoxy-2-(1-methylethenyl)-, (2R,6aS,12aS)-', '(2R,6aS,12aS)-1,2,12,12a-Tetrahydro-8,9-dimethoxy-2-(1-methylethenyl)-[1]benzopyrano[3,4-b]furo[2,3-h][1]benzopyran-6(6aH)-one', '(2R,6aS,12aS)-1,2,6,6a,12,12a- hexahydro-2-isopropenyl-8,9- dimethoxychromeno[3,4-b] furo(2,3-h)chromen-6-one', '(2R,6aS,12aS)-1,2,6,6a,12,12a-hexahydro-2-isopropenyl-8,9-dimethoxychromeno(3,4-b)furo(2,3-h)chromen-6-one', '(2R,6aS,12aS)-2-isopropenyl-8,9-dimethoxy-1,2,12,12a-tetrahydrochromeno[3,4-b]furo[2,3-h]chromen-6(6aH)-one', '[1]Benzopyrano[3,4-b]furo[2,3-h][1]benzopyran-6(6aH)-one, 1,2,12,12a-tetrahydro-8,9-dimethoxy-2-(1-methylethenyl)-, (2R,6aS,12aS)-', 'SR-01000076110', 'Foliafume', 'Rotenoid', 'Roteonone', 'Nusyn', 'rote five', 'WLN: T G5 D6 B666 CV HO MO POT&amp;TT&amp;J IY1&amp;U1 SO1 TO1', 'Chem-Fish', 'Foliafume E.C', 'Rotacide E.C', "5''beta-rotenone", "5'b-Rotenone", 'Rotocide E.C.', '(1)Benzopyrano[3,3-h](1)benzopyran-6(6aH)-one, 1,2,12,12a-tetrahydro-2-.alpha.-iospropenyl-8,9-dimethoxy-', '(2R,6aS,12aS)-1,2,6,6a,12,12a-hexahydro-2-isopropenyl-8,9-dimethoxychromeno[3,4-b]furo(2,3-h)chromen-6-one', '[1]Benzopyrano[3,3-h][1]benzopyran-6(6a.alpha.H)-one, 1,2,12,12a.alpha.-tetrahydro-2.alpha.-isopropenyl-8,9-dimethoxy-', '[1]Benzopyrano[3,3-h][1]benzopyran-6(6aH)-one, 1,2,12,12a-tetrahydro-8,9-dimethoxy-2-(1-methylethenyl)-, [2R-(2.alpha.,6a.alpha.,12a.alpha.)]-', '[1]Benzopyrano[3,4-b]furo[2,3-h][1]benzopyran-6(6aH)-one, 1,2,12,12a-tetrahydro-8,9-dimethoxy-2-(1-methylethenyl)-, [2R-(2alpha,6aalpha,12aalpha)]-', 'Derris, JMAF', 'Prestwick_542', 'Hydrogenated rotenone', 'Rotenone (7CI)', 'Rotenone, hydrogenated', 'Rotenone, &gt;=95%', 'Spectrum_000065', 'Spectrum2_000457', 'Spectrum3_000158', 'Spectrum4_001638', 'Spectrum5_000455', 'Lopac0_001112', 'SCHEMBL42253', 'BSPBio_001896', 'isopropenyl(dimethoxy)[?]one', 'KBioGR_002075', 'KBioSS_000465', 'SPECTRUM200013', 'DivK1c_000947', 'Rotenone E.C. (7.5%)', 'SPBio_000534', 'DTXSID6021248', 'HMS502P09', 'KBio1_000947', 'KBio2_000465', 'KBio2_003033', 'KBio2_005601', 'KBio3_001116', 'inhibits NADH2 oxidation to NAD', 'NSC8505', 'NINDS_000947', 'HMS3263O06', '12679-58-2', 'BCP07278', 'HY-B1756', 'NSC-8505', 'TNP00301', 'ZINC3860715', 'Tox21_110819', 'Tox21_201904', 'Tox21_300695', 'Tox21_501112', '2901AC', 'BDBM50135527', 'CCG-39886', 'LMPK12060007', 'NSC-26258', 'SBB006465', 'AKOS004910398', 'Tox21_110819_1', 'API0004105', 'CS-6067', 'DB11457', 'LP01112', 'LS-1830', 'MCULE-7287067191', 'MCULE-7415617623', 'SDCCGMLS-0066415.P001', 'SDCCGSBI-0051081.P003', 'IDI1_000947', 'NCGC00017358-01', 'NCGC00017358-02', 'NCGC00017358-03', 'NCGC00017358-04', 'NCGC00017358-06', 'NCGC00017358-07', 'NCGC00017358-08', 'NCGC00017358-09', 'NCGC00017358-10', 'NCGC00017358-11', 'NCGC00017358-14', 'NCGC00017358-15', 'NCGC00094382-01', 'NCGC00094382-02', 'NCGC00094382-03', 'NCGC00094382-04', 'NCGC00094382-05', 'NCGC00254603-01', 'NCGC00259453-01', 'NCGC00261797-01', 'AS-10183', 'NCI60_002093', 'SC-66514', 'SMR000393729', 'ST057261', 'AX8150549', 'EU-0101112', 'R0090', 'Rotenone, PESTANAL(R), analytical standard', 'TRANSGENIC MODEL EVALUATION (ROTENONE)', 'C07593', 'R 8875', '26914-EP2275422A1', '26914-EP2280009A1', '26914-EP2305662A1', '26914-EP2308857A1', '26914-EP2314583A1', '599T610', 'Q412388', 'SR-01000076110-2', 'SR-01000076110-5', 'SR-01000076110-6', 'W-104134', 'BRD-K08316444-001-01-9', 'BRD-K08316444-001-05-0', 'ROTENONE (SEE ALSO TRANSGENICMODEL EVALUATION (ROTENONE))', '(2R,6a5,12axS)-1,2,12,12a-tetrahydro-2a-isopropenyl-8,9-dimethoxy(1)benzopyrano(3,4-b)furo(2,3-H)(1)benzopyran-6(6aH)-one', "(2R,6aS,12aS)-8,9-Dimethoxy-2-(prop-1-en-2-yl)-1,2,12,12a-tetrahydrofuro[2',3':7,8][1]benzopyrano[2,3-c][1]benzopyran-6(6aH)-one", '(2R-(6aalpha,12aalpha)-1,2-Dihydro-2-isopropenyl-8,9-dimethoxychromano(3,4-b)furo(2,3-h)chroman-6-one', '[1]Benzopyrano[3,3-h][1]benzopyran-6(6aH)-one, 1,2,12,12a-tetrahydro-2-.alpha.-isopropenyl-8,9-dimethoxy-', '[1]Benzopyrano[3,3-h][1]benzopyran-6(6aH)-one, 1,2,12,12a-tetrahydro-2-isopropenyl-8,9-dimethoxy-', '[1]Benzopyrano[3,4-b]furo[2,3-h][1]benzopyran-6(6aalphaH)-one, 1,2,12,12aalpha-tetrahydro-2alpha-isopropenyl-8,9-dimethoxy- (8CI)', '[1]Benzopyrano[3,4-b]furo[2,3-h][1]benzopyran-6(6aH)-one, 1,2,12,12a-tetrahydro-8,9-dimethoxy-2-(1-methylethenyl)-, (2R,6aS,12aS)- (9CI)', '[2R-(2alpha,6aalpha,12aalpha)]-1,2,12,12a-tetrahydro-8,9-dimethoxy-2-(1-methylethenyl)-[1]Benzopyrano[3,4-b]furo[2,3-h][1]benzopyran-6(6aH)-o ne', '[2R-(2alpha,6aalpha,12aalpha)]-1,2,12,12a-tetrahydro-8,9-dimethoxy-2-(1-methylethenyl)-[1]Benzopyrano[3,4-b]furo[2,3-h][1]benzopyran-6(6aH)-one', '1,2,12,12a-tetrahydro-2alpha-isopropenyl-8,9-dimethoxy(1)benzopyrano(3,4-b)furo(2,3-h)(1)benzopyran-6(6aH)-one', '1,2,12,12a-tetrahydro-8,9-dimethoxy-2-(1-methylethenyl)-(1)benzopyrano(3,4-b)furo(2,3-h) (1)benzopyran-6(6aH)-one, (2R-(2alpha, 6alpha-12aalpha))-', '1,2,12,12a-tetrahydro-8,9-dimethoxy-2-(1-methylethenyl)-(1)benzopyrano(3,4-b)furo(2,3-h)(1)benzopyran-6(6aH)-one, (2R-(2alpha, 6alpha-12aalpha))-', '1,2,12,12a-Tetrahydro-8,9-dimethoxy-2-(1-methylethenyl)-[1]benzopyrano[3,4-b]furo[2,3-h][1]benzopyran-6(6aH)-one, 9CI', '2-Isopropenyl-8,9-dimethoxy-1,2,12,12a-tetrahydrochromeno[3,4-b]furo[2,3-H]chromen-6(6ah)-one', 'Benzopyrano[3,4-b]furo[2,3-h][1]benzopyran-6(6aH)-on e, 1,2,12,12a-tetrahydro-8,9-dimethoxy-2-(1-methylethenyl)-, ([2.2.1]R-([2.2.1]alpha,6aalpha,[2.2.1][2.2.1]aalpha))-', 'Benzopyrano[3,4-b]furo[2,3-h][1]benzopyran-6(6aH)-one, 1,2,12,12a-tetrahydro-8,9-dimethoxy-2-(1-methylethenyl)-, ([2.2.1]R-([2.2.1]alpha,6aalpha,[2.2.1][2.2.1]aalpha))-', 'Tubatoxin 1,2,12,12a,-Tetrahydro-8,9-dimethoxy-2-(1-methylethenyl)-[1]benzopyrano[3,4-b]furo[2,3-h][1]-benzopyran-6(6aH)-one']</t>
  </si>
  <si>
    <t>Compound(6758)</t>
  </si>
  <si>
    <t>C23H22O6</t>
  </si>
  <si>
    <t>roxithromycin</t>
  </si>
  <si>
    <t>(3R,4S,5S,6R,7R,9R,10E,11S,12R,13S,14R)-6-[(2S,3R,4S,6R)-4-(dimethylamino)-3-hydroxy-6-methyloxan-2-yl]oxy-14-ethyl-7,12,13-trihydroxy-4-[(2R,4R,5S,6S)-5-hydroxy-4-methoxy-4,6-dimethyloxan-2-yl]oxy-10-(2-methoxyethoxymethoxyimino)-3,5,7,9,11,13-hexamethyl-oxacyclotetradecan-2-one</t>
  </si>
  <si>
    <t>['roxithromycin', 'Rulide', 'Roxithromycine', 'Roxithromycinum', 'Roxitromicina', '80214-83-1', 'RU 965', 'RU 28965', 'UNII-21KOF230FA', 'Rulid', 'CHEBI:48935', 'Roxithromycine [French]', 'Roxithromycinum [Latin]', 'Roxitromicina [Spanish]', '21KOF230FA', 'RU-965', 'RU-28965', '9-(O-((2-Methoxyethoxy)methyl)oxime)erythromycin', 'CCRIS 3461', '(9E)-erythromycin 9-(O-((2-methoxyethoxy)methyl)oxime)', '(E)-roxithromycin', 'Erythromycin 9-(O-((2-methoxyethoxy)methyl)oxime)', 'BRN 4286925', 'Rulide (TN)', '9-[O-[(2-Methoxyethoxy)methyl]oxime]erythromycin', 'SR-05000001850', 'Erythromycin, 9-(O-((2-methoxyethoxy)methyl)oxime)', 'CHEBI:48844', 'Erythromycin, 9-(O-((2-methoxyethoxy)methyl)oxime), (9E)-', 'Roxithromycin,(S)', '(3R,4S,5S,6R,7R,9R,10E,11S,12R,13S,14R)-6-[(2S,3R,4S,6R)-4-(dimethylamino)-3-hydroxy-6-methyloxan-2-yl]oxy-14-ethyl-7,12,13-trihydroxy-4-[(2R,4R,5S,6S)-5-hydroxy-4-methoxy-4,6-dimethyloxan-2-yl]oxy-10', 'Roxithromycin [USAN:INN:BAN:JAN]', 'RC2952', 'Roxithromycin (ion 2+)', 'Spectrum5_001058', 'SCHEMBL65985', 'BSPBio_002717', 'SPECTRUM1503276', '9-[O-(2-methoxyethoxymethyl)-oxime] of erythromycin', 'CHEMBL1214185', 'HMS501D04', 'HMS1922O19', 'HMS2093C11', 'HMS3714L09', 'Pharmakon1600-01503276', 'Roxithromycin (JP17/USAN/INN)', 'HY-B0435', 'BDBM50248154', 'CCG-39329', 'NSC758443', 'ZINC96061888', 'AKOS015969730', 'CS-2541', 'DB00778', 'NSC-758443', 'IDI1_000382', 'NCGC00178510-01', '(3R,4S,5S,6R,7R,9R,10E,11S,12R,13S,14R)-6-[(2S,3R,4S,6R)-4-(dimethylamino)-3-hydroxy-6-methyloxan-2-yl]oxy-14-ethyl-7,12,13-trihydroxy-4-[(2R,4R,5S,6S)-5-hydroxy-4-methoxy-4,6-dimethyloxan-2-yl]oxy-10-(2-methoxyethoxymethoxyimino)-3,5,7,9,11,13-hexamethyl-oxacyclotetradecan-2-one', 'SBI-0051809.P002', 'C13173', 'D01710', 'AB00052342_02', 'SR-05000001850-1', 'SR-05000001850-2', 'BRD-K38684403-001-03-9', 'BRD-K38684403-001-05-4', 'Q27895851', '9-[O-[(2-Methoxyethoxy)methyl]oxime]erythromycin, (9E)-', '(3R,4S,5S,6R,7R,9R,10E,11S,12R,13S,14R)-4-(2,6-dideoxy-3-C-methyl-3-O-methyl-alpha-L-ribo-hexopyranosyloxy)-14-ethyl-7,12,13-trihydroxy-10-{[(2-methoxyethoxy)methoxy]imino}-6-[3,4,6-trideoxy-3-(dimethylamino)-beta-D-xylo-hexopyranosyloxy]-3,5,7,9,11,13-hexamethyloxacyclotetradecan-2-one', '(3R,4S,5S,6R,7R,9R,10E,11S,12R,13S,14R)-6-[(2S,3R,4S,6R)-4-(dimethylamino)-3-hydroxy-6-methyl-tetrahydropyran-2-yl]oxy-14-ethyl-7,12,13-trihydroxy-4-[(2R,4R,5S,6S)-5-hydroxy-4-methoxy-4,6-dimethyl-tetrahydropyran-2-yl]oxy-10-(2-methoxyethoxymethoxyimino)-3,5,7,9,11,13-hexamethyl-oxacyclotetradecan-2-one', '(3R,4S,5S,6R,7R,9R,10E,11S,12R,13S,14R)-6-{[(2S,3R,4S,6R)-4-(dimethylamino)-3-hydroxy-6-methyltetrahydro-2H-pyran-2-yl]oxy}-14-ethyl-7,12,13-trihydroxy-4-{[(2R,4R,5S,6S)-5-hydroxy-4-methoxy-4,6-dimethyltetrahydro-2H-pyran-2-yl]oxy}-10-{[(2-methoxyethoxy)m', '(3R,4S,5S,6R,7R,9R,10E,11S,12R,13S,14R)-6-{[(2S,3R,4S,6R)-4-(dimethylamino)-3-hydroxy-6-methyltetrahydro-2H-pyran-2-yl]oxy}-14-ethyl-7,12,13-trihydroxy-4-{[(2R,4R,5S,6S)-5-hydroxy-4-methoxy-4,6-dimethyltetrahydro-2H-pyran-2-yl]oxy}-10-{[(2-methoxyethoxy)methoxy]imino}-3,5,7,9,11,13-hexamethyloxacyclotetradecan-2-one', '(3R,4S,5S,6R,7R,9R,10E,11S,12R,13S,14R)-6-{[(2S,3R,4S,6R)-4-(dimethylamino)-3-hydroxy-6-methyltetrahydro-2H-pyran-2-yl]oxy}-14-ethyl-7,12,13-trihydroxy-4-{[(2R,4R,5S,6S)-5-hydroxy-4-methoxy-4,6-dimethyltetrahydro-2H-pyran-2-yl]oxy}-3,5,7,9,11,13-hexamethyloxacyclotetradecane-2,10-dione 10-{O-[(2-methoxyethoxy)methyl]oxime} (non-preferred name)', '(3R,4S,5S,6R,7R,9R,11S,12R,13S,14R)-4-(2,6-dideoxy-3-C-methyl-3-O-methyl-alpha-L-ribo-hexopyranosyloxy)-14-ethyl-7,12,13-trihydroxy-10-{[(2-methoxyethoxy)methoxy]imino}-6-[3,4,6-trideoxy-3-(dimethylamino)-beta-D-xylo-hexopyranosyloxy]-3,5,7,9,11,13-hexamethyloxacyclotetradecan-2-one', '(3R,4S,5S,6R,7R,9R,11S,12R,13S,14R)-6-{[(2S,3R,4S,6R)-4-(dimethylamino)-3-hydroxy-6-methyloxan-2-yl]oxy}-14-ethyl-7,12,13-trihydroxy-4-{[(2R,4R,5S,6S)-5-hydroxy-4-methoxy-4,6-dimethyloxan-2-yl]oxy}-3,5,7,9,11,13-hexamethyl-10-(2,4,7-trioxa-1-azaoctan-1-ylidene)-1-oxacyclotetradecan-2-one', '(3R,4S,5S,6R,7R,9R,11S,12R,13S,14R,E)-6-(((2S,3R,6R)-4-(dimethylamino)-3-hydroxy-6-methyltetrahydro-2H-pyran-2-yl)oxy)-14-ethyl-7,12,13-trihydroxy-4-(((2R,4R,5S,6S)-5-hydroxy-4-methoxy-4,6-dimethyltetrahydro-2H-pyran-2-yl)oxy)-10-(((2-methoxyethoxy)methoxy)imino)-3,5,7,9,11,13-hexamethyloxacyclotetradecan-2-one']</t>
  </si>
  <si>
    <t>Compound(6915744)</t>
  </si>
  <si>
    <t>C41H76N2O15</t>
  </si>
  <si>
    <t>sum 1,2- and 1,4-dichlorobenzene</t>
  </si>
  <si>
    <t>sum and 1,2,3,4- 1,2, 3,5-tetrachlorobenzene</t>
  </si>
  <si>
    <t>sum 1- and 2-chloronaphthalene</t>
  </si>
  <si>
    <t>sum and 1,2,3,5- 1,2, 4,5-tetrachlorobenzene</t>
  </si>
  <si>
    <t>sum 1,3- and 1,4-xylene</t>
  </si>
  <si>
    <t>sum 1-chloro-2- and 4-nitrobenzene</t>
  </si>
  <si>
    <t>sum and 2,3,4,5- 2,3, 4,6-tetrachlorophenol</t>
  </si>
  <si>
    <t>sum 2- and 3-chlorotoluene</t>
  </si>
  <si>
    <t>sum 2- and 3-methylcyclohexanone</t>
  </si>
  <si>
    <t>sum and 2,3,4,6- 2,3, 5,6-tetrachlorophenol</t>
  </si>
  <si>
    <t>sum of 2,4- and 2,5-dichloroaniline</t>
  </si>
  <si>
    <t>sum of 2,4- and 2,5-dichlorophenol</t>
  </si>
  <si>
    <t>sum of 2,4- and 2,6-dinitrotoluene</t>
  </si>
  <si>
    <t>sum 2,4- and 2,6-toluene diisocyanate</t>
  </si>
  <si>
    <t>sum 2- and 4-methylaniline</t>
  </si>
  <si>
    <t>sum 2- and 4-nitrophenol</t>
  </si>
  <si>
    <t>sum 2-ethoxy- and isopropoxyethanol</t>
  </si>
  <si>
    <t>sum 2-chloro-4, 5 and 6-nitrotoluene</t>
  </si>
  <si>
    <t>sum of 2,3-, 2,4-, 2,5- and 2,6-dichlorophenol</t>
  </si>
  <si>
    <t>sum 3- and 4-ethyl toluene</t>
  </si>
  <si>
    <t>sum 3- and 4-chloroaniline</t>
  </si>
  <si>
    <t>sum 3- and 4-chlorophenol</t>
  </si>
  <si>
    <t>sum 3- and 4-tertiary-butylphenol</t>
  </si>
  <si>
    <t>sum 3,5-dimethylaniline and 2,5-xylidine</t>
  </si>
  <si>
    <t>sum 3,5-dimethylphenol and 4-ethylphenol</t>
  </si>
  <si>
    <t>sum 4- and 5-methyl-1H-benzotriazole</t>
  </si>
  <si>
    <t>sum 4- and 5-chloro-2-methylaniline</t>
  </si>
  <si>
    <t>sum 4-nonylphenol isomers (branched)</t>
  </si>
  <si>
    <t>sum of 4-chloromethylphenol isomers</t>
  </si>
  <si>
    <t>sum of aliphatic hydrocarbons</t>
  </si>
  <si>
    <t>sum anatoxins</t>
  </si>
  <si>
    <t>sum of adsorbable organic halogen compounds</t>
  </si>
  <si>
    <t>sum aromatic amines</t>
  </si>
  <si>
    <t>sum aromatic hydrocarbons</t>
  </si>
  <si>
    <t>sum benzo (b, j and k) fluoranthene isomers</t>
  </si>
  <si>
    <t>sum benzo (b) fluoranthene and benzo (k) fluoranthene</t>
  </si>
  <si>
    <t>sum benzo (ghi) perylene and indeno ( 1,2,3-cd) pyrene</t>
  </si>
  <si>
    <t>sum of C10-C13 chloroalkanes</t>
  </si>
  <si>
    <t>sum of C10 aromatics</t>
  </si>
  <si>
    <t>sum of C11 and C12 aromatics</t>
  </si>
  <si>
    <t>sum of C12 halogenated ethers</t>
  </si>
  <si>
    <t>sum C2-alkylphenols</t>
  </si>
  <si>
    <t>2-[(E)-N-ethoxy-C-propylcarbonimidoyl]-5-(2-ethylsulfanylpropyl)-3-hydroxycyclohex-2-en-1-one</t>
  </si>
  <si>
    <t>['SETHOXYDIM', 'Cyethoxydim', '74051-80-2', 'Aljaden', 'Checkmate', 'Fervinal', 'Grasidim', 'Expand', 'Poast', 'Tritex-extra', 'NABU', 'Caswell No. 072A', 'Sethoxydim [BSI:ISO]', 'Sethoxydime [ISO-French]', 'UNII-1189NNQ8F6', 'BAS 9052H', 'HSDB 7342', 'BAS 90520H', 'NP 55', 'BAS 9052', 'EINECS 277-682-3', 'EPA Pesticide Chemical Code 121001', 'BRN 5955471', 'SN 81742', 'CHEBI:81815', '1189NNQ8F6', '(+-)-(ZE)-2-(1-Ethoxyiminobutyl)-5-(2-(ethylthio)propyl)-3-hydroxycyclohex-2-enone', 'Sethoxydime', '2-(1-(Ethoxyimino)butyl)-5-(2-ethylthiopropyl)-3-hydroxycyclohex-2-en-1-one', '2-[(1E)-N-Ethoxybutanimidoyl]-5-[2-(ethylsulfanyl)propyl]-1,3-cyclohexanedion', '2-Cyclohexen-1-one, 2-(1-(ethoxyimino)butyl)-5-(2-(ethylthio)propyl)-3-hydroxy-', '2-(1-(Ethoxyimino)butyl)-5-(2-(ethylthio)propyl)-3-hydroxy-2-cyclohexen-1-one', '71441-80-0', 'Sethoxydim Peak 1', '1,3-Cyclohexanedione, 2-[1-(ethoxyamino)b', 'SCHEMBL33669', 'SCHEMBL6642242', 'DTXSID7058466', '(E)-2-(1-(ethoxyimino)butyl)-5-(2-(ethylthio)propyl)-3-hydroxycyclohex-2-enone', 's522', 'MFCD03792698', 'AKOS025311496', 'NCGC00164468-01', 'LS-57570', 'Sethoxydim, PESTANAL(R), analytical standard', 'C18539', '051S802', 'W-104434', '1262311-71-6']</t>
  </si>
  <si>
    <t>Compound(135491830)</t>
  </si>
  <si>
    <t>C17H29NO3S</t>
  </si>
  <si>
    <t>sum 3- and 4-ethylphenol and 3,5-dimethylphenol</t>
  </si>
  <si>
    <t>sum 4-ethylphenol and 2,3- and 3,5-dimethylphenol</t>
  </si>
  <si>
    <t>sum 2 and 3-ethylphenol and 3,5-dimethylphenol</t>
  </si>
  <si>
    <t>sum C3-alkylphenols</t>
  </si>
  <si>
    <t>sum of C4 alkylphenols</t>
  </si>
  <si>
    <t>butylbenzene (branched and linear)</t>
  </si>
  <si>
    <t>sum C6-C8 aromatics</t>
  </si>
  <si>
    <t>sum of C6 halogenated ethers</t>
  </si>
  <si>
    <t>sum C7-C10 aromatics</t>
  </si>
  <si>
    <t>sum of octylphenols</t>
  </si>
  <si>
    <t>sum of C9 halogenated ethers</t>
  </si>
  <si>
    <t>sum of C9 aromatics</t>
  </si>
  <si>
    <t>sum chlorofluorocarbons</t>
  </si>
  <si>
    <t>sum 2 chlorophyll-a fractions</t>
  </si>
  <si>
    <t>sum 4 chlorophyll-a fractions</t>
  </si>
  <si>
    <t>sum of cholinesterase inhibitors</t>
  </si>
  <si>
    <t>sum o- and p-chloronitrobenzene</t>
  </si>
  <si>
    <t>sum o-, m- and p-chloronitrobenzene</t>
  </si>
  <si>
    <t>sum chloroanilines</t>
  </si>
  <si>
    <t>sum chlorobenzenes</t>
  </si>
  <si>
    <t>sum 12 chlorobenzenes (Bbk, 1-1-2008)</t>
  </si>
  <si>
    <t>sum of chloromethylaniline isomers</t>
  </si>
  <si>
    <t>sum of chloropropene isomers</t>
  </si>
  <si>
    <t>sum chlorophenols</t>
  </si>
  <si>
    <t>sum of chlordane (sum of cis- and trans-)</t>
  </si>
  <si>
    <t>sum of 2,3- and 2,6-dimethylphenol</t>
  </si>
  <si>
    <t>sum 4-ethyl-2,3-dimethylphenol and 3,5-dimethylphenol</t>
  </si>
  <si>
    <t>sum 3 dimethylphenols (4-ethyl-3,5- and 2,3- and 3,5-)</t>
  </si>
  <si>
    <t>sum of dioctyl phthalate and bis (2-ethylhexyl) phthalate (DEHP)</t>
  </si>
  <si>
    <t>sum of dichloroaniline isomers</t>
  </si>
  <si>
    <t>sum of dichlorobenzene isomers</t>
  </si>
  <si>
    <t>sum of dichloroethylene isomers</t>
  </si>
  <si>
    <t>sum of dichloropropane isomers</t>
  </si>
  <si>
    <t>sum 3 dichloropropanes (sum 1,1- and 1,2- and 1,3-)</t>
  </si>
  <si>
    <t>sum 6 dichlorophenols (Bbk, 1-1-2008)</t>
  </si>
  <si>
    <t>sum of 2,3- and 3,4-dichloronitrobenzene</t>
  </si>
  <si>
    <t>sum of 2,3-, 2,4-, 2,5- and 3,4-dichloronitrobenzene</t>
  </si>
  <si>
    <t>sum 2,4'- and 4,4'-DDD</t>
  </si>
  <si>
    <t>sum 2,4'- and 4,4'-DDE</t>
  </si>
  <si>
    <t>sum 2,4'- and 4,4'-DDT</t>
  </si>
  <si>
    <t>sum of DDT, DDE and DDD isomers</t>
  </si>
  <si>
    <t>sum 2,4'-DDT and 4,4'-DDD</t>
  </si>
  <si>
    <t>sum 2,4'-DDT, 4,4'-DDT, 4,4'-DDD and 4,4'-DDE</t>
  </si>
  <si>
    <t>sum 2,4'-, 4,4'-DDT, 2,4'-, 4,4'-DDD, 2,4'- and 4,4'-DDE</t>
  </si>
  <si>
    <t>sum of dihydroxybenzene isomers</t>
  </si>
  <si>
    <t>sum 17 dioxins (Bbk, 1-1-2008, as I-TEQ)</t>
  </si>
  <si>
    <t>sum 29 dioxins (Bbk, 1-10-2010, as TEQ)</t>
  </si>
  <si>
    <t>sum of leaf and emers plants</t>
  </si>
  <si>
    <t>sum dimethoate and omethoate</t>
  </si>
  <si>
    <t>sum 17 dioxins and 12 dioxin-like PCBs</t>
  </si>
  <si>
    <t>sum dithiocarbamates</t>
  </si>
  <si>
    <t>sum of extractable aliphatic hydrocarbons</t>
  </si>
  <si>
    <t>sum of extractable aromatic hydrocarbons</t>
  </si>
  <si>
    <t>som emerse and riparian plants</t>
  </si>
  <si>
    <t>sum of extractable organic sulfur compounds</t>
  </si>
  <si>
    <t>sum of extractable oils and fats</t>
  </si>
  <si>
    <t>sum of extractable organic halogen compounds</t>
  </si>
  <si>
    <t>sum 2-ethoxy-2-methylpropane and methyl tertiary butyl ether</t>
  </si>
  <si>
    <t>sum Feopigment</t>
  </si>
  <si>
    <t>som flab and duckweed</t>
  </si>
  <si>
    <t>sum phenylurea herbicides</t>
  </si>
  <si>
    <t>sum phenols</t>
  </si>
  <si>
    <t>sum phenols volatile to water vapor</t>
  </si>
  <si>
    <t>sum of bound available chlorine</t>
  </si>
  <si>
    <t>sum of 1,2, 5,6, 9,10-hexabromocyclododecane</t>
  </si>
  <si>
    <t>1,2,5,6,9,10-hexabromocyclododecane</t>
  </si>
  <si>
    <t>['1,2,5,6,9,10-HEXABROMOCYCLODODECANE', '3194-55-6', 'Cyclododecane, 1,2,5,6,9,10-hexabromo-', 'HBCD', '1,2,5,6,9,10-Hexabromocyclodecane', 'UNII-66OON1WWOS', 'HSDB 6110', 'EINECS 221-695-9', '66OON1WWOS', 'DSSTox_CID_7527', 'DSSTox_RID_78489', 'DSSTox_GSID_27527', 'CAS-3194-55-6', 'Saytex HBCD-LM', 'ACMC-1BN89', 'SCHEMBL25669', 'KSC491M2H', 'CHEMBL375298', 'DTXSID4027527', 'CTK3J1623', 'CHEBI:134063', 'CD-75', 'Tox21_201402', 'Tox21_303176', 'ANW-27232', 'AKOS015836044', '1,2,5,6,9,10-Hexabromocyclododecan', 'KS-0000010E', 'NCGC00164063-01', 'NCGC00164063-02', 'NCGC00257050-01', 'NCGC00258953-01', 'AK116613', 'LS-55963', 'SC-18694', 'AX8052905', 'DB-068553', 'FT-0626944', 'NS00002582', '1,2,5,6,9,10-Hexabromocyclododecane, 95%', '1,2,5,6,9,10-Hexabromocyclododecane (HBCD)', 'Q420301', 'W-106868', '1,2,5,6,9,10-Hexabromocyclododecane, analytical standard', 'Cyclododecane, 1,2,5,6,9,10-hexabromo-;1,2,5,6,9,10-Hexabromocyclododecan;/ 25637-99-4 hexabromocyclododecane;1,2,5,6,9,10-hexabromocyclodecane']</t>
  </si>
  <si>
    <t>Compound(18529)</t>
  </si>
  <si>
    <t>sum of chlorofluorocarbons</t>
  </si>
  <si>
    <t>sum of dichlorotrifluoroethane isomers</t>
  </si>
  <si>
    <t>sum of chlorotetrafluoroethane isomers</t>
  </si>
  <si>
    <t>sum of hexachlorocyclohexane isomers</t>
  </si>
  <si>
    <t>sum of a-, b- and c-HCH</t>
  </si>
  <si>
    <t>sum of a-, b-, c- and d-HCH</t>
  </si>
  <si>
    <t>sum of a-, b-, c-, d- and e-HCH</t>
  </si>
  <si>
    <t>sum of hydrofluorocarbons</t>
  </si>
  <si>
    <t>sum heptachlor and cis and trans heptachlor epoxide</t>
  </si>
  <si>
    <t>sum of heptachlor epoxide (sum of cis and trans)</t>
  </si>
  <si>
    <t>sum hexachloro epoxide</t>
  </si>
  <si>
    <t>sum of monocyclic aromatic hydrocarbons (BTEX)</t>
  </si>
  <si>
    <t>sum MCPB and 24DB</t>
  </si>
  <si>
    <t>sum of monochloroaniline isomers</t>
  </si>
  <si>
    <t>sum of monochlorophenol isomers</t>
  </si>
  <si>
    <t>sum of monochlorotoluene isomers</t>
  </si>
  <si>
    <t>sum of mono- and dichloroanilines</t>
  </si>
  <si>
    <t>sum of microcystins</t>
  </si>
  <si>
    <t>sum of non-chloro-oxidizable cyanides</t>
  </si>
  <si>
    <t>sum ammonia and ammonium</t>
  </si>
  <si>
    <t>sum nitrofurans</t>
  </si>
  <si>
    <t>sum nitrate and nitrite</t>
  </si>
  <si>
    <t>sum 21 organochlorine content. control m. (Bbk, 1-1-2008 , agricultural )</t>
  </si>
  <si>
    <t>sum 23 organochlorine content. control m. (Bbk, 1-1-2008 , waterb )</t>
  </si>
  <si>
    <t>sum 14 organophosphorus and organo-nitrogen pesticides</t>
  </si>
  <si>
    <t>sum 10 polycyclic aromatic hydrocarbons (VROM)</t>
  </si>
  <si>
    <t>sum 16 polycyclic aromatic hydrocarbons (EPA)</t>
  </si>
  <si>
    <t>sum 4 polycyclic aromatic hydrocarbons (KB2002 DW)</t>
  </si>
  <si>
    <t>sum 6 polycyclic aromatic hydrocarbons (Borneff)</t>
  </si>
  <si>
    <t>sum 7 polycyclic aromatic hydrocarbons (BAGA)</t>
  </si>
  <si>
    <t>sum 8 polycyclic aromatic hydrocarbons (E-PRTR)</t>
  </si>
  <si>
    <t>sum of polycyclic aromatic hydrocarbons (UV screening)</t>
  </si>
  <si>
    <t>sum PBB153 and PBDE154</t>
  </si>
  <si>
    <t>sum PBB169 and PBDE183</t>
  </si>
  <si>
    <t>sum PBDE47, 49, 99 and 100</t>
  </si>
  <si>
    <t>sum PBDE28, 47, 99, 100, 153, 154</t>
  </si>
  <si>
    <t>sum PCB105 and PCB176</t>
  </si>
  <si>
    <t>sum PCB128 and PCB174</t>
  </si>
  <si>
    <t>sum 12 dioxin-like PCBs</t>
  </si>
  <si>
    <t>sum PCB138 and PCB163</t>
  </si>
  <si>
    <t>sum PCB156 and PCB172</t>
  </si>
  <si>
    <t>sum 6 polychlorinated biphenyls PCB28, 52, 101, 138, 153, 180</t>
  </si>
  <si>
    <t>sum PCB66 and PCB95</t>
  </si>
  <si>
    <t>sum 7 polychlorinated biphenyls PCB28, 52, 101, 118, 138, 153, 180</t>
  </si>
  <si>
    <t>sum of polychlorinated dibenzofurans</t>
  </si>
  <si>
    <t>sum PCDF118 and PCDF119</t>
  </si>
  <si>
    <t>sum PCDF89 and PCDF94</t>
  </si>
  <si>
    <t>sum of perfluorocarbons</t>
  </si>
  <si>
    <t>2-[[(2S,3S)-2-[[(2S)-2-[[(2S)-6-amino-2-[[(2S)-2-[[(2S)-2-[[(2S)-2-[[(2S,3R)-2-[[(2S)-6-amino-2-[[(2S)-2-[[(2S)-2-[[(2S)-6-amino-2-[[(2S)-pyrrolidine-2-carbonyl]amino]hexanoyl]amino]-4-methylpentanoyl]amino]-4-methylpentanoyl]amino]hexanoyl]amino]-3-hydroxybutanoyl]amino]-3-phenylpropanoyl]amino]-4-methylpentanoyl]amino]-3-hydroxypropanoyl]amino]hexanoyl]amino]-3-(1H-indol-3-yl)propanoyl]amino]-3-methylpentanoyl]amino]acetic acid</t>
  </si>
  <si>
    <t>['Seminalplasmin, lys(13)-', '147958-06-3', 'Spfk-res', '13-Lys-seminalplasmin', 'Seminalplasmin, lysyl(13)-', 'Seminalplasmin Fragment (SPF) Analog', 'SPFK', 'PKLLKTFLSKWIG-OH', 'SCHEMBL1370378', 'DTXSID50163851', 'Antibacterial hemolytic peptide SPFK', 'H-Pro-Lys-Leu-Leu-Lys-Thr-Phe-Leu-Ser-Lys-Trp-Ile-Gly-OH', 'Glycine, L-prolyl-L-lysyl-L-leucyl-L-leucyl-L-lysyl-L-threonyl-L-phenylalanyl-L-leucyl-L-seryl-L-lysyl-L-tryptophyl-L-isoleucyl-']</t>
  </si>
  <si>
    <t>Compound(132815)</t>
  </si>
  <si>
    <t>C76H123N17O16</t>
  </si>
  <si>
    <t>sum orthophosphate and hydrolysable phosphate</t>
  </si>
  <si>
    <t>sum of potentially toxic blue-green algae</t>
  </si>
  <si>
    <t>sum of saxitoxins</t>
  </si>
  <si>
    <t>some submerged, leafy and emers plants</t>
  </si>
  <si>
    <t>som submerged and floating leaf plants</t>
  </si>
  <si>
    <t>some submerse plants and thread algae</t>
  </si>
  <si>
    <t>sum strontium 89 and 90 isotopes</t>
  </si>
  <si>
    <t>sum of tetrachloroaniline isomers</t>
  </si>
  <si>
    <t>sum of tetrachlorobenzene isomers</t>
  </si>
  <si>
    <t>sum of tetrachlorophenol isomers</t>
  </si>
  <si>
    <t>3 sum trimethyl benzenes (sum 1,2,3 and 1,2,4, and 1,3, 5-)</t>
  </si>
  <si>
    <t>sum of trichloroaniline isomers</t>
  </si>
  <si>
    <t>trichlorobenzenes sum (sum 1,2,3 and 1,2,4, and 1,3, 5-)</t>
  </si>
  <si>
    <t>sum of trichlorethylene (tri) and tetrachlorethylene (per)</t>
  </si>
  <si>
    <t>sum of trichlorophenol isomers</t>
  </si>
  <si>
    <t>2 sum trichlorophenols (2,3,5, and 2,4, 5-trichlorophenol)</t>
  </si>
  <si>
    <t>sum 4 trihalomethanes TClC1a, TBrC1a, DBrClC1a, DClBrC1a</t>
  </si>
  <si>
    <t>sum 5 toxic blue-green algae</t>
  </si>
  <si>
    <t>sum of volatile aliphatic hydrocarbons</t>
  </si>
  <si>
    <t>sum of volatile aromatic hydrocarbons</t>
  </si>
  <si>
    <t>sum of freely available chlorine</t>
  </si>
  <si>
    <t>sum 5 volatile chlorinated hydrocarbons (BARIM 10/19/07)</t>
  </si>
  <si>
    <t>sum of free and bound available chlorine</t>
  </si>
  <si>
    <t>sum 14 volatile halogen hydrocarbons</t>
  </si>
  <si>
    <t>sum of volatile organic compounds (GM-MS screening)</t>
  </si>
  <si>
    <t>sum of volatile organic halogen compounds</t>
  </si>
  <si>
    <t>sum volatile fatty acids</t>
  </si>
  <si>
    <t>sum a-, b-, and c-HBCD (1,2, 5,6, 9,10-HBCD)</t>
  </si>
  <si>
    <t>saccharin</t>
  </si>
  <si>
    <t>1,1-dioxo-1,2-benzothiazol-3-one</t>
  </si>
  <si>
    <t>['saccharin', '81-07-2', 'o-Benzoic sulfimide', 'o-Sulfobenzimide', 'Saccharine', 'Saccharimide', 'Benzosulfimide', 'Benzoic sulfimide', 'o-Benzosulfimide', 'Benzosulphimide', 'Saccharinose', 'Garantose', 'Saccharinol', 'Gluside', 'Benzosulfinide', 'Hermesetas', 'Saccharol', 'Glucid', 'Saccharin insoluble', 'Sweeta', 'Saccharin acid', '1,2-Benzisothiazol-3(2H)-one, 1,1-dioxide', 'Benzoic sulphimide', 'Saccharina', 'Kandiset', 'Sacarina', 'Sucrette', 'Zaharina', 'Saxin', 'Sykose', 'Benzo-2-sulphimide', 'o-Benzoyl sulfimide', 'Sucre edulcor', 'o-Benzoic sulphimide', 'Benzoylsulfonic Imide', 'o-Sulfobenzoic acid imide', '1,2-Benzisothiazol-3(2H)-one 1,1-dioxide', 'o-Benzosulphimide', 'Insoluble saccharin', '550 Saccharine', 'Sacharin', 'Natreen', 'o-Benzoyl sulphimide', 'Anhydro-o-sulfaminebenzoic acid', 'Benzo[d]isothiazol-3(2H)-one 1,1-dioxide', '2,3-Dihydro-3-oxobenzisosulfonazole', '2-Sulphobenzoic imide', 'Benzoic acid sulfimide', '1,2-Dihydro-2-ketobenzisosulfonazole', '3-Benzisothiazolinone 1,1-dioxide', '3-Hydroxybenzisothiazole S,S-dioxide', '2,3-Dihydro-3-oxobenzisosulphonazole', '1,2-Dihydro-2-ketobenzisosulphonazole', 'Sacharin [Czech]', '2-Sulfobenzoic acid imide', 'Rcra waste number U202', 'Saccharin and salts', 'Benzosulfimide, O-', 'Saccharin [USAN]', 'Sulfobenzimide, O-', 'Saccharin, insoluble', '3-Hydroxybenzisothiazole-S,S-dioxide', '1,1-dioxo-1,2-benzothiazol-3-one', 'Syncal', 'o-Benzoic acid sulfimide', 'Benzo-sulphinide', '1,2-Benzisothiazolin-3-one 1,1-dioxide', 'UNII-FST467XS7D', 'Saccharin-d4', 'Cristallose', 'Crystallose', 'Kristallose', 'Willosetten', 'Madhurin', 'Sucromat', 'CCRIS 3707', 'HSDB 669', 'Sodium saccharin', 'Saccharin soluble', 'Sodium saccharide', 'Sodium saccharine', 'Soluble saccharin', '1,2-Benzisothiazolin-3-one, 1,1-dioxide', 'Saccharine soluble', 'NSC 5349', 'NSC 5731', 'EINECS 201-321-0', 'RCRA waste no. U202', 'FST467XS7D', 'Saccharin, sodium salt', 'Sodium o-benzosulfimide', '1,1-Dioxide-1,2-benzisothiazolin-3-one', 'AI3-38107', 'CHEMBL310671', '1,1-Dioxo-1,2-benzisothiazol-3(2H)-one', '1,2-Benzothiazol-3(2H)-one 1,1-dioxide', 'CHEBI:32111', 'o-Sulfonbenzoic acid imide sodium salt', '1,1-Dioxo-1,2-dihydro-benzo[d]isothiazol-3-one', 'NSC-5349', '1,1-Diox-1,2-benzisothiazol-3-one', '2,3-Dihydroxy-1,2-benzisothiazol-3-one-1,1-dioxide', 'Saccharin, 98+%', 'NCGC00094918-03', 'E954', '1,1-Dioxo-1,2-dihydro-1lambda*6*-benzo[d]-isothiazol-3-one', 'Saccharin, soluble', '1,2-Benzisothiazoline-3-one 1,1-dioxide', 'DSSTox_CID_1251', '1,1-Dioxide-1,2-benzisothiazol-3(2H)-one', '128-44-9', 'DSSTox_RID_76039', 'DSSTox_GSID_21251', '2,3-dihydro-1$l^{6},2-benzothiazole-1,1,3-trione', '2,3-Dihydro-1,2-benzoisothiazol-3-one-1,1-dioxide', 'Artificial sweetening substanz gendorf 450', 'Saccharin (only persons who manufacture are subject, no supplier notification)', 'CAS-81-07-2', 'Saccharin [NF]', 'NSC4867', 'NSC5731', '2-hydrobenzo[d]isothiazole-1,1,3-trione', 'LSA', '6381-61-9', 'Glycophenol', 'Neosaccharin', 'SR-01000389315', 'Benzo-2-sulfiide', 'O-Benzoylsulfimide', 'Saccharin nitranion', '2-Sulfobenzoicimide', 'M07 (saccharin)', 'O-Sulfobenzoic imide', 'Sweeta (TN)', 'o-sulphobenzoic imide', '2-Sulfobenzoic imide', 'Spectrum_000213', 'Saccharin, &gt;=98%', 'Saccharin, &gt;=99%', 'Saccharin (JP15/NF)', 'Saccharin (JP17/NF)', 'Spectrum2_001432', 'Spectrum3_001475', 'Spectrum4_000449', 'Spectrum5_001181', 'WLN: T56 BSWMVJ', 'EC 201-321-0', 'SCHEMBL3816', 'Saccharin, puriss., 98%', 'NCIOpen2_005140', 'NCIOpen2_005180', 'BSPBio_003029', 'KBioGR_000838', 'KBioSS_000693', 'ARONIS27195', 'DivK1c_000164', 'SPECTRUM1501171', 'SPBio_001564', 'GTPL5432', 'DTXSID5021251', 'INS NO.954(I)', 'BDBM29278', 'HMS500I06', 'KBio1_000164', 'KBio2_000693', 'KBio2_003261', 'KBio2_005829', 'KBio3_002529', 'NSC5349', '2q38', 'NINDS_000164', '1,1-Dioxo-1,2-dihydro-1lambda*6*-benzo[d]isothiazol-3-one', 'HMS1921N03', 'HMS2092J09', 'INS-954(I)', 'Pharmakon1600-01501171', 'BCP29068', 'HY-Y0272', 'KS-00000FA4', 'KS-000048OF', 'STR03759', 'ZINC2560357', '3-Benzisothiazolinone 1, 1-dioxide', 'o-Benzoic sulfimide;o-Sulfobenzimide', 'Tox21_111358', 'Tox21_201880', 'Tox21_302950', 'BBL015343', 'CCG-39011', 'MFCD00005866', 'NSC757878', 's4819', 'SBB027246', 'STK803263', '2, 3-Dihydro-3-oxobenzisosulfonazole', '2,3-Dihydro-3-oxo-Benzisosulfonazole', 'AKOS000120481', 'AKOS017272711', 'Tox21_111358_1', '1, 2-Dihydro-2-ketobenzisosulfonazole', 'DB12418', 'LS-1805', 'MCULE-3632531025', 'NSC-757878', 'IDI1_000164', '1.2-benzoisothiazole-3-on-1.1-dioxide', 'Benzisosulfonazole, 2,3-dihydro-3-oxo-', 'NCGC00094918-01', 'NCGC00094918-02', 'NCGC00094918-04', 'NCGC00094918-05', 'NCGC00094918-06', 'NCGC00094918-07', 'NCGC00094918-09', 'NCGC00256329-01', 'NCGC00259429-01', 'AK129019', 'E-954(I)', 'SC-18191', 'ST073992', '1,2-benzisothiazoline-3-one-1,1-dioxide', '1.2 -benzoisothiazole-3-on 1.1-dioxide', 'SBI-0051671.P002', '1, 2-Benzisothiazolin-3-one 1,1-dioxide', '1,2-benzisothiazol-3(2H)-one,1,1-dioxide', '1,2-benzisothiazol-3(2H)-one-1,1-dioxide', 'B0004', 'CS-0013120', 'FT-0674493', 'FT-0674494', 'H2947', 'Z1771', '1,2-Benzisothiazol-3(2H)-one 1,1-dioxide.', 'C12283', 'D01085', '1, 2-Benzisothiazol-3(2H)-one, 1,1-dioxide', '10362-EP2272822A1', '10362-EP2277848A1', '10362-EP2277865A1', '10362-EP2277879A1', '10362-EP2284157A1', '10362-EP2287167A1', '10362-EP2289883A1', '10362-EP2289892A1', '10362-EP2295426A1', '10362-EP2295427A1', '10362-EP2295429A1', '10362-EP2298735A1', '10362-EP2298764A1', '10362-EP2298765A1', '10362-EP2301536A1', '10362-EP2301538A1', '10362-EP2305248A1', '10362-EP2305254A1', '10362-EP2305257A1', '10362-EP2305648A1', '10362-EP2305663A1', '10362-EP2305668A1', '10362-EP2305688A1', '10362-EP2308867A2', '10362-EP2308870A2', '10362-EP2311455A1', '10362-EP2311821A1', '10362-EP2311824A1', '10362-EP2311829A1', '10362-EP2311842A2', '10362-EP2314584A1', '10362-EP2314588A1', '10362-EP2314590A1', '10362-EP2316452A1', '10362-EP2374792A1', '3-keto-2H,3H-1,2-benzisothiazole 1,1-dioxide', '88543-EP2275422A1', '88543-EP2277868A1', '88543-EP2277869A1', '88543-EP2277870A1', '88543-EP2298076A1', '88543-EP2298077A1', '88543-EP2301353A1', '88543-EP2305031A1', '88543-EP2305034A1', '88543-EP2305035A1', '88543-EP2374791A1', 'AB00052233-04', 'AB00052233_05', '144417-EP2289518A1', '144417-EP2292231A1', '2,3-dihydro-1??,2-benzothiazole-1,1,3-trione', 'Q191381', '1,1-Dioxido-3-oxo-2,3-dihydrobenzo[d]isothiazole', '1,2-Benzisothiazol-3(2H)-one 1,1-dioxide, 9CI', '1H-1lambda~6~,2-Benzothiazole-1,1,3(2H)-trione', '2,3-dihydro-1,2-benzisothiazol-3-one-1,1-dioxide', '2,3-dihydro-1lambda,2-benzothiazole-1,1,3-trione', '2,3-dihydro-3-oxo-1,2-benzisothiazol-1,1-dioxide', 'SR-01000389315-2', 'W-200289', '03AC8EC2-D02A-464C-A7C3-7CABD643CC1E', '2,3-dihydro-1lambda6,2-benzothiazole-1,1,3-trione', 'BRD-K46493214-001-03-4', '1, 2-Benzisothiazolin-3-one, 1,1-dioxide, sodium salt', '1, 2-Benzothiazol-3(2H)-one 1,1-dioxide sodium salt', 'F0001-2092', 'Z256708526', '1, 2-Benzisothiazol-3(2H)-one, 1,1-dioxide, sodium salt', '1,1-dioxo-1,2-dihydro-1lambda6-benzo[d]isothiazol-3-one', 'Saccharin, European Pharmacopoeia (EP) Reference Standard', 'Saccharin, United States Pharmacopeia (USP) Reference Standard', 'Saccharin, Pharmaceutical Secondary Standard; Certified Reference Material', 'Mettler-Toledo Calibration substance ME 51143091, Saccharin, traceable to primary standards (LGC)']</t>
  </si>
  <si>
    <t>Compound(5143)</t>
  </si>
  <si>
    <t>C7H5NO3S</t>
  </si>
  <si>
    <t>sucrose</t>
  </si>
  <si>
    <t>(2R,3R,4S,5S,6R)-2-[(2S,3S,4S,5R)-3,4-dihydroxy-2,5-bis(hydroxymethyl)oxolan-2-yl]oxy-6-(hydroxymethyl)oxane-3,4,5-triol</t>
  </si>
  <si>
    <t>['sucrose', '57-50-1', 'saccharose', 'sugar', 'Cane sugar', 'Table sugar', 'White sugar', 'D-Sucrose', 'Rohrzucker', 'Saccharum', 'Amerfand', 'Amerfond', 'Microse', 'Beet sugar', 'Rock candy', "Confectioner's sugar", 'D-(+)-Saccharose', 'Sucrose, dust', 'Sucrose, pure', 'D(+)-Saccharose', 'sacarosa', 'D(+)-Sucrose', 'D-(+)-Sucrose', 'beta-D-Fructofuranosyl alpha-D-glucopyranoside', 'Granulated sugar', 'Sucraloxum [INN-Latin]', 'beta-D-Fructofuranosyl-alpha-D-glucopyranoside', '(alpha-D-Glucosido)-beta-D-fructofuranoside', 'CCRIS 2120', 'HSDB 500', 'Sacharose', 'alpha-D-Glucopyranosyl beta-D-fructofuranoside', 'Sucrose [USAN:JAN]', 'CHEBI:17992', 'D-Saccharose', 'NCI-C56597', 'AI3-09085', 'alpha-D-Glucopyranoside, beta-D-fructofuranosyl', 'Fructofuranoside, alpha-D-glucopyranosyl, beta-D', 'Glucopyranoside, beta-D-fructofuranosyl, alpha-D', 'UNII-C151H8M554', 'EINECS 200-334-9', 'alpha-D-Glucopyranoside, beta-D-fructofuranosyl-', 'NSC 406942', '1-alpha-D-glucopyranosyl-2-beta-D-fructofuranoside', 'C12H22O11', 'MFCD00006626', 'C151H8M554', 'beta-D-Fruf-(2&lt;-&gt;1)-alpha-D-Glcp', 'NCGC00164248-01', 'DSSTox_CID_1288', 'DSSTox_RID_76060', 'DSSTox_GSID_21288', 'Polysucrose', '1-alpha-D-glucopyranosyl-2-beta-D-fructofranoside', 'D(+)-Sucrose, ACS reagent', 'Sucraloxum', '(+)-Sucrose', 'CAS-57-50-1', '(2R,3R,4S,5S,6R)-2-{[(2S,3S,4S,5R)-3,4-dihydroxy-2,5-bis(hydroxymethyl)oxolan-2-yl]oxy}-6-(hydroxymethyl)oxane-3,4,5-triol', '92004-84-7', 'D(+)-Sucrose, 99.7%, for biochemistry', 'FICOLL', 'Sucrose [JAN:NF]', 'GLC-(1-2)FRU', 'D(+)-Sucrose, 99+%, for biochemistry, DNAse, RNAse and protease free', 'NSC-406942', 'Sucrose, purified', 'Sucrose, AR', 'Sucrose, LR', 'Sucrose, USP', 'Sucrose ACS grade', '25702-74-3', 'Sucrose (TN)', 'Sugar spheres (NF)', 'Sugar,(S)', 'Sucrose, ACS reagent', 'Sucrose, reagent grade', '1af6', 'Sucrose (JP17/NF)', 'Glc(alpha1-&gt;2beta)Fru', 'Sucrose Biochemical grade', 'Sucrose, SAJ first grade', 'Sugar, compressible (NF)', 'bmse000119', 'bmse000804', 'bmse000918', 'Epitope ID:153236', 'Sucrose, &gt;=99.5%', 'Sucrose, JIS special grade', 'White soft sugar (JP17)', 'Sucrose, analytical standard', 'Sucrose, cell culture tested', "Sugar, confectioner's (NF)", 'Sucrose, p.a., ACS reagent', 'CHEMBL253582', 'GTPL5411', 'DTXSID2021288', 'CHEBI:65313', 'BIA1125', 'BIS3391', 'GNE-410', 'Sucrose, &gt;=99.5% (GC)', 'ZX-AFC000756', 'S-67F', 'alpha-D-Glc-(1-2)-beta-D-Fru', '2-{[3,4-dihydroxy-2,5-bis(hydroxymethyl)oxolan-2-yl]oxy}-6-(hydroxymethyl)oxane-3,4,5-triol', 'HY-B1779', 'ZINC4217475', 'Tox21_112093', 'Tox21_201397', 'Tox21_300410', '5903AE', 'BDBM50108105', 'LS-229', 'Sucrose, for electrophoresis, &gt;99%', 'AKOS024306988', 'alpha-D-Glc-(1--&gt;2)-beta-D-Fru', 'CRB0000841', 'DB02772', 'MCULE-5933491732', 'Sucrose, BioXtra, &gt;=99.5% (GC)', 'a-D-Glucopyranosyl A-D-fructofuranoside', 'a-D-Glucopyranoside, b-D-fructofuranosyl', 'b -D-Fructofuranosyl a-D-glucopyranoside', 'NCGC00164248-02', 'NCGC00164248-03', 'NCGC00164248-05', 'NCGC00254237-01', 'NCGC00258948-01', '(2R,3R,4S,5S,6R)-2-[(2S,3S,4S,5R)-3,4-dihydroxy-2,5-bis(hydroxymethyl)oxolan-2-yl]oxy-6-(hydroxymethyl)oxane-3,4,5-triol', 'CC-34575', 'SC-81182', 'Sucrose, meets USP testing specifications', 'Sucrose, Vetec(TM) reagent grade, 99%', 'alpha-D-Glucopyranosylbeta-D-fructofuranoside', 'CS-0013810', 'S0111', 'ST50308554', 'Sucrose, Grade I, plant cell culture tested', 'alpha-D-fructofuranosyl alpha-L-gulopyranoside', 'Sucrose, Grade II, plant cell culture tested', 'bet a-D-fructofuranosyl-alpha-D-Glucopyranoside', 'C00089', 'D00025', 'Sucrose, for molecular biology, &gt;=99.5% (GC)', 'Sucrose|?-D-Fructofuranosyl ?-D-glucopyranoside', 'C-30736', 'SR-01000883983', 'Sucrose, NIST(R) SRM(R) 17f, optical rotation', 'beta-D-fructofuranose-(2-1)-alpha-D-glucopyranoside', 'J-519846', 'Q4027534', 'SR-01000883983-1', 'Sucrose, for microbiology, ACS reagent, &gt;=99.0%', 'alpha-D-glucopyranosyl-(1-&gt;2)-beta-D-fructofuranoside', 'Sucrose, British Pharmacopoeia (BP) Reference Standard', 'Sucrose, European Pharmacopoeia (EP) Reference Standard', 'Sucrose, Vetec(TM) reagent grade, RNase and DNase free', 'Z1601554751', 'alpha-D-Glucopyranoside, beta-D-fructofuranosyl, homopolymer', 'beta-D-fructofuranosyl-(2&amp;harr;1)-alpha-D-glucopyranoside', 'Sucrose, analytical standard, for enzymatic assay kit SCA20', 'UNII-YUH1C99228 component CZMRCDWAGMRECN-UGDNZRGBSA-N', 'Sucrose, anhydrous, free-flowing, Redi-Dri(TM), ACS reagent', 'Sucrose, BioUltra, for molecular biology, &gt;=99.5% (HPLC)', 'Sucrose, United States Pharmacopeia (USP) Reference Standard', 'Carbon isotopes in sucrose, NIST(R) RM 8542, IAEA-CH-6 sucrose', 'Compressible sugar, United States Pharmacopeia (USP) Reference Standard', 'Sucrose, puriss., meets analytical specification of Ph. Eur., BP, NF', 'WURCS=2.0/2,2,1/[ha122h-2b_2-5][a2122h-1a_1-5]/1-2/a2-b1', '(2R,3R,4S,5S,6R)-2-((2S,3S,4S,5R)-3,4-dihydroxy-2,5-bis(hydroxymethyl)tetrahydrofuran-2-ylhydroxymethyl)tetrahydro-2H-pyran-3,4,5-triol', '(2R,3R,4S,5S,6R)-2-((2S,3S,4S,5R)-3,4-dihydroxy-2,5-bis(hydroxymethyl)tetrahydrofuran-2-yloxy)-6-(hydroxymethyl)tetrahydro-2H-pyran-3,4,5-triol', '(2R,3R,4S,5S,6R)-2-[(2S,3S,4S,5R)-3,4-dihydroxy-2,5-bis(hydroxymethyl)tetrahydrofuran-2-yl]oxy-6-(hydroxymethyl)tetrahydropyran-3,4,5-triol', '100405-08-1', '2-[(2S,3S,4S,5R)-2,5-bis(hydroxymethyl)-3,4-dihydroxyoxolan-2-yloxy](4S,5S,2R, 3R,6R)-6-(hydroxymethyl)-2H-3,4,5,6-tetrahydropyran-3,4,5-triol', '8027-47-2', '8030-20-4', '85456-51-5', '86101-30-6', '87430-66-8', 'Sucrose, BioReagent, suitable for cell culture, suitable for insect cell culture, &gt;=99.5% (GC)', 'Sucrose, Low Endotoxin, PharmaGrade, USP/NF, Ph Eur, Manufactured under appropriate GMP controls for pharma or biopharmaceutical production.']</t>
  </si>
  <si>
    <t>Compound(5988)</t>
  </si>
  <si>
    <t>safrole</t>
  </si>
  <si>
    <t>5-prop-2-enyl-1,3-benzodioxole</t>
  </si>
  <si>
    <t>['safrole', '94-59-7', '5-Allyl-1,3-benzodioxole', 'Shikimole', 'Safrol', 'Shikomol', 'Safrene', 'Sassafras', 'Rhyuno oil', 'Safrole MF', '1,3-Benzodioxole, 5-(2-propenyl)-', '5-(2-Propenyl)-1,3-benzodioxole', 'Allylcatechol methylene ether', 'Shikimol', 'm-Allylpyrocatechin methylene ether', 'Allylpyrocatechol methylene ether', '4-Allylpyrocatechol formaldehyde acetal', '3,4-(Methylenedioxy)allylbenzene', '4-Allyl-1,2-methylenedioxybenzene', 'Allyldioxybenzene methylene ether', 'RCRA waste number U203', '1,2-Methylenedioxy-4-allylbenzene', '1-Allyl-3,4-methylenedioxybenzene', 'Caswell No. 729', '1,3-Benzodioxole, 5-allyl-', 'Benzene, 4-allyl-1,2-(methylenedioxy)-', 'NSC 11831', 'CCRIS 553', 'UNII-RSB34337V9', 'Benzene, 1,2-methylenedioxy-4-allyl-', '5-allylbenzo[d][1,3]dioxole', 'HSDB 2653', 'EINECS 202-345-4', 'RCRA waste no. U203', 'EPA Pesticide Chemical Code 097901', 'BRN 0136380', '3-(3,4-Methylenedioxyphenyl)prop-1-ene', '1,3-Benzodioxole, 5-(2-propen-1-yl)-', 'AI3-00514', 'CHEBI:8994', '3,4-methylenedioxy-allylbenzene', '5-(prop-2-en-1-yl)-2H-1,3-benzodioxole', 'RSB34337V9', '(Allyldioxy)benzene methylene ether', '1-Allyl-3,4-(methylenedioxy)benzene', '4-Allyl-1,2-(methylenedioxy)benzene', '(1,2-(Methylenedioxy)-4-allyl)benzene', '3-[(3,4-Methylenedioxy)phenyl]-1-propene', 'DSSTox_CID_1254', 'DSSTox_RID_76041', 'DSSTox_GSID_21254', 'CAS-94-59-7', '[1,2-(Methylenedioxy)-4-allyl]benzene', '5-prop-2-enyl-1,3-benzodioxole', 'Rhyuno', '4-Allyl-procatecol', 'Spectrum_001446', 'Safrole, &gt;=97%', '1, 5-allyl-', 'Spectrum2_000775', 'Spectrum3_001105', 'Spectrum4_001939', 'Spectrum5_000843', '5-Allylbenzo[1,3]dioxole', '1, 5-(2-propenyl)-', '5-allyl-1,3-benzodiox ole', '5-allyl-benzo-1,3-dioxole', '5-allyl-benzo[1,3]dioxole', 'SCHEMBL56828', 'BSPBio_002810', 'KBioGR_002319', 'KBioSS_001926', '5-19-01-00553 (Beilstein Handbook Reference)', 'MLS001056251', 'DivK1c_001022', 'SPECTRUM1503620', 'SPBio_000850', '3,4-Methylenedioxy-allybenzene', '4-allylcatechol methylene ether', 'CHEMBL242273', 'ZINC2050', '5-?Allyl-?1,3-?benzodioxole', 'DTXSID0021254', 'SCHEMBL13045858', 'Benzodioxole, 5-(2-propenyl)-', 'CTK5H6850', 'HMS503M05', 'KBio1_001022', 'KBio2_001926', 'KBio2_004494', 'KBio2_007062', 'KBio3_002030', 'NINDS_001022', '5-prop-2-enylbenzo[1,3]dioxole', 'HMS1922E22', '3, 4-(Methylenedioxy)allylbenzene', '4-allylpyrocatechol methylene ether', 'NSC11831', '1,2-methylenedioxy-4-allyl-Benzene', '1-Allyl,3,4-methylenedioxy benzene', 'Tox21_202439', 'Tox21_300520', 'MFCD00005841', 'NSC-11831', '1,2-(Methylenedioxy)-4-allylbenzene', '3-Allyl-1,2-(methylenedioxy)benzene', 'WLN: T56 BO DO CHJ G2U1', '(E)5-1-Propenyl]-1,3-benzodioxole', 'AKOS016017163', '1, 2-(Methylenedioxy)-4-allylbenzene', '4-?Allyl-?1,2-?methylenedioxybenzene', '4-Allyl-1, 2-(methylenedioxy)benzene', '4-Allyl-1,2-(methylenedioxy)-benzene', '5-Allyl-1,3-benzodioxolerlet DS Base', 'CCG-214763', 'FCH3411428', 'FS-3451', 'LS-1965', 'SDCCGMLS-0066708.P001', '3-(3,4-methylendioxyphenyl)-1-propene', 'IDI1_001022', '4-Allyl-1,2-(methylened ioxy)-benzene', 'NCGC00091122-01', 'NCGC00091122-02', 'NCGC00091122-03', 'NCGC00091122-04', 'NCGC00091122-05', 'NCGC00091122-06', 'NCGC00254416-01', 'NCGC00259988-01', 'CC-34344', 'SC-75261', 'SMR001216599', '5-(2-Propenyl)-1,3-benzodioxole, 9CI', '4-Allyl-1,2-(methylenedioxy)benzene, 8CI', 'DB-057512', 'FT-0606467', 'NS00017606', 'S0002', 'ST50406117', '10024-001a', 'C10490', 'C-30422', 'Q412424', 'SR-05000002392', 'Safrole, certified reference material, TraceCERT(R)', 'SR-05000002392-1', 'BENZENE,1-ALLYL,3,4-METHYLENEDIOXY   SAFROLE', 'F0000-0021']</t>
  </si>
  <si>
    <t>Compound(5144)</t>
  </si>
  <si>
    <t>4-[2-(tert-butylamino)-1-hydroxyethyl]-2-(hydroxymethyl)phenol</t>
  </si>
  <si>
    <t>['Salbutamol', 'albuterol', '18559-94-9', 'Proventil', 'Sultanol', 'Volmax', 'Broncovaleas', 'Aerolin', 'dl-Salbutamol', 'dl-Albuterol', 'Ventolin Inhaler', 'Ventolin', 'Proventil HFA', 'Asthalin', 'Buventol', 'Cobutolin', 'Salbulin', 'Salbuvent', 'Saventol', 'Ventoline', 'Asmaven', 'Salamol', 'Spreor', 'Asmol', 'Sultanol N', 'Proventil Inhaler', 'Novosalmol', 'Salbuhexal', 'Salbutalan', 'Salbutamolum', 'Servitamol', 'Ventiloboi', 'Ventodisks', 'Almotex', 'Anebron', 'Asmadil', 'Asmanil', 'Asmasal', 'Asmatol', 'Asmidon', 'Bronter', 'Bugonol', 'Butamol', 'Butohaler', 'Butotal', 'Butovent', 'Dilatamol', 'Farcolin', 'Gerivent', 'Grafalin', 'Libretin', 'Medolin', 'Parasma', 'Pneumolat', 'Respolin', 'Sabutal', 'Salbetol', 'Salbron', 'Salbupur', 'Salbusian', 'Salbutan', 'Salbutol', 'Salbuven', 'Sallbupp', 'Salmaplon', 'Salomol', 'Salvent', 'Suprasma', 'Theosal', 'Tobybron', 'Vencronyl', 'Ventamol', 'Ventilan', 'Zaperin', 'Bumol', 'Mozal', 'Respax', 'Suxar', 'Alti-Salbutamol', 'Broncho-Spray', 'Salbu-Fatol', 'Buto-Asma', 'Asmol Uni-Dose', 'Ventolin Rotacaps', 'Salbu-BASF', 'Salbutamol Sulphate', 'Volare easi-breathe', 'Arubendol-Salbutamol', 'Volare albuterol HFA', 'Salbutamol sulfate', '4-[2-(tert-Butylamino)-1-hydroxyethyl]-2-(hydroxymethyl)phenol', 'Salbutamolum [INN-Latin]', 'AH 3365', '(l)-albuterol', '4-(2-(tert-Butylamino)-1-hydroxyethyl)-2-(hydroxymethyl)phenol', 'ALBUTEROL (+/-)', "alpha-[(tert-Butylamino)methyl]-4-hydroxy-m-xylene-alpha,alpha'-diol", '2-(tert-Butylamino)-1-(4-hydroxy-3-hydroxymethylphenyl)ethanol', 'HSDB 7206', 'Proventil (TN)', 'EINECS 242-424-0', '1-(tert-Butylaminomethyl)-4-hydroxy-m-xylene-alpha1,alpha3-diol', "alpha'-((tert-Butylamino)methyl)-4-hydroxy-m-xylene-alpha,alpha'-diol", 'BRN 2213614', '4-Hydroxy-3-hydroxymethyl-alpha-((tert-butylamino)methyl)benzyl alcohol', 'Combivent', 'DL-N-tert-Butyl-2-(4-hydroxy-3-hydroxymethylphenyl)-2-hydroxyethylamine', "alpha(sup 1)-((tert-Butylamino)methyl)-4-hydroxy-m-xylene-alpha,alpha'-diol", 'CHEBI:2549', 'Airomir', 'Ventalin inhaler', 'SCH-13949W', 'NCGC00015955-09', 'Solbutamol', 'DSSTox_CID_1255', "m-Xylene-alpha,alpha'-diol, alpha-((tert-butylamino)methyl)-4-hydroxy-", '1,3-Benzenedimethanol, alpha1-(((1,1-dimethylethyl)amino)methyl)-4-hydroxy-', '4-{2-[(1,1-dimethylethyl)amino]-1-hydroxyethyl}-2-(hydroxymethyl)phenol', 'R,S-Albuterol', 'DSSTox_RID_76042', 'DSSTox_GSID_21255', '(+-)-Salbutamol', 'Albuterol [USAN]', 'Q-201695', 'Q-201696', '(+-)-Albuterol', 'Sabutamol', 'Vospire', 'Eolene', '4-{2-[(tert-butyl)amino]-1-hydroxyethyl}-2-(hydroxymethyl)phenol', "m-Xylene-alpha,alpha'-diol, alpha'-((tert-butylamino)methyl)-4-hydroxy-", '1,3-Benzenedimethanol, alpha(sup 1)-(((1,1-dimethylethyl)amino)methyl)-4-hydroxy-', 'Albuterol (USP)', 'SR-01000075161', 'Albuterol [USAN:USP]', '51022-70-9', 'Levosalbutamol Hydrochloride', 'Salbutamol-d9', 'racemic salbutamol', 'Salamol EB', 'Prestwick_665', 'CAS-18559-94-9', 'MFCD00148978', 'Salbutamol Free Base', 'Salbutamol,(+/-)', 'Venetlin (Salt/Mix)', 'Salbutamol (Albuterol)', 'Spectrum_000200', 'Salbutamol (hemisulfate)', 'Salbutamol [INN:BAN]', 'Prestwick0_000198', 'Prestwick1_000198', 'Prestwick2_000198', 'Prestwick3_000198', 'Spectrum2_001350', 'Spectrum4_000887', 'Spectrum5_001059', '2-t-Butylamino-1-(4-hydroxy-3-hydroxy-3-hydroxymethyl)phenylethanol', 'CHEMBL714', 'EC 242-424-0', 'S 8260', 'SCHEMBL4913', 'Lopac0_001090', 'Lopac0_001098', 'BSPBio_000155', 'GTPL558', 'KBioGR_001294', 'KBioSS_000680', '35763-26-9', 'DivK1c_000943', 'SPECTRUM1500677', 'SPBio_001539', 'SPBio_002076', 'BPBio1_000171', 'SGCUT00011', 'DTXSID5021255', 'SCHEMBL10025126', 'BCBcMAP01_000116', 'BDBM25769', 'CTK8E5622', 'HMS502P05', 'KBio1_000943', 'KBio2_000680', 'KBio2_003248', 'KBio2_005816', 'BIS7017', 'NINDS_000943', 'ZX-AFC000812', 'Bio1_000446', 'Bio1_000935', 'Bio1_001424', 'HMS1568H17', 'HMS1921C04', 'HMS2089I19', 'HMS2092I08', 'HMS2095H17', 'HMS3712H17', 'KUC106739N', 'Pharmakon1600-01500677', 'SCH 13949W', '4-[2-(tert-butylamino)-1-hydroxy-ethyl]-2-(hydroxymethyl)phenol', 'BCP28423', 'HY-B1037', 'to_000081', 'Tox21_110266', 'Tox21_200800', 'CCG-39288', 'CS0015', 'NSC757417', 'PDSP1_000623', 'PDSP2_000620', 's5494', 'SBB066105', '(alpha1-((tert-butylamino)methyl)-4-hydroxy-m-xylene-alpha,alpha-diol)', 'AKOS007930174', 'Tox21_110266_1', 'API0006973', 'CS-4556', 'DB01001', 'KS-5209', 'LS-7693', 'MCULE-4493408325', 'NSC-757417', 'SDCCGSBI-0051060.P006', '(+-)-alpha(sup 1)-(((1,1-Dimethylethyl)amino)methyl)-4-hydroxy-1,3-benzenedimethanol', '1,3-Benzenedimethanol, .alpha.1-[[(1,1-dimethylethyl)amino]methyl]-4-hydroxy-', 'ACM35763269', 'IDI1_000943', 'SMP1_000268', 'NCGC00015955-04', 'NCGC00015955-05', 'NCGC00015955-06', 'NCGC00015955-07', 'NCGC00015955-08', 'NCGC00015955-10', 'NCGC00015955-11', 'NCGC00015955-12', 'NCGC00015955-13', 'NCGC00015955-14', 'NCGC00015955-16', 'NCGC00024698-02', 'NCGC00024698-03', 'NCGC00024698-04', 'NCGC00024698-05', 'NCGC00024698-06', 'NCGC00024698-07', 'NCGC00258354-01', 'AC-10286', 'CC-23825', 'KSC-11-222-1', 'LS-29861', 'Salbutamol 100 microg/mL in Acetonitrile', 'SC-22638', 'SC-93513', 'ST024764', 'ST075204', 'ST077150', 'SBI-0051060.P005', 'AB0011383', 'AX8136202', '(R)-Albuterol;(R)-Salbutamol;Levosalbutamol', 'AB00052154', 'EU-0101090', 'FT-0661467', 'FT-0770967', 'VU0243312-5', 'D02147', 'J10176', 'K-5595', 'Salbutamol, VETRANAL(TM), analytical standard', 'AB00052154-08', 'AB00052154-09', 'AB00052154_10', 'AB00052154_11', 'Albuterol (hemisulfate);AH-3365 (hemisulfate)', '559S949', 'A812971', 'C-14301', 'L000531', 'Q410358', 'SR-01000075161-3', 'SR-01000075161-4', 'SR-01000075161-5', 'SR-01000075161-8', 'BRD-A88254928-001-04-6', 'BRD-A88254928-001-05-3', 'Salbutamol impurity I (1RS)-2-[(1,1-dimethylethyl)', 'SR-01000075161-11', 'Salbutamol, British Pharmacopoeia (BP) Reference Standard', 'Salbutamol, European Pharmacopoeia (EP) Reference Standard', 'Albuterol, United States Pharmacopeia (USP) Reference Standard', '2-(tert-Butylamino)-1-[4-hydroxy-3-(hydroxymethyl)phenyl]ethanol', '4-[2-(tert-Butylamino)-1-hydroxyethyl]-2-(hydroxymethyl)phenol #', '4-[2-(tert-butylamino)-1-oxidanyl-ethyl]-2-(hydroxymethyl)phenol', '1-(tert-Butylaminomethyl)-4-hydroxy-m-xylene-.alpha.1,.alpha.3-diol', '2-(Hydroxymethyl)-4-{1-hydroxy-2-[(2-methyl-2-propanyl)amino]ethyl}phenol', '4-[(1S)-2-(butylamino)-1-hydroxy-isopropyl]-2-(hydroxymethyl)phenol', '4-Hydroxy-3-hydroxymethyl-.alpha.-((tert-butylamino)methyl)benzyl alcohol', ".alpha.'-((tert-Butylamino)methyl)-4-hydroxy-m-xylene-.alpha.,.alpha.'-diol", ".alpha.1'-[[(1,1-Dimethylethyl)amino]methyl]-4-hydroxy-1,3-benzenedimethanol, hemisulfate", ".alpha.1-[(tert-Butylamino)methyl]-4-hydroxy-m-xylene-.alpha.,.alpha.'-diol", '1,3-Benzenedimethanol, .alpha.(1)-[[(1,1-dimethylethyl)amino]methyl]-4-hydroxy-', '1,3-Benzenedimethanol, alpha(sup 1)-(((1,1-dimethylethyl)amino)methyl)-4-hydroxy-, (+-)-', '4-[(1S)-1-hydroxy-2-(propylamino)ethyl]-2-(hydroxymethyl)phenol, oxamethane', "m-Xylene-.alpha.,.alpha.'-diol, .alpha.'-((tert-butylamino)methyl)-4-hydroxy-", 'm-Xylene-.alpha.,.alpha.-diol, .alpha.-1-((tert-butylamino)methyl)-4-hydroxy-', '148563-15-9']</t>
  </si>
  <si>
    <t>Compound(2083)</t>
  </si>
  <si>
    <t>C13H21NO3</t>
  </si>
  <si>
    <t>salicylic acid</t>
  </si>
  <si>
    <t>2-hydroxybenzoic acid</t>
  </si>
  <si>
    <t>['salicylic acid', '2-Hydroxybenzoic acid', '69-72-7', 'o-hydroxybenzoic acid', '2-Carboxyphenol', 'o-Carboxyphenol', 'Rutranex', 'Salonil', 'Retarder W', 'Keralyt', 'salicylate', 'Duoplant', 'Freezone', 'Saligel', 'Ionil', 'Psoriacid-S-stift', 'Stri-Dex', 'Salicylic acid soap', 'Benzoic acid, 2-hydroxy-', 'Salicylic acid collodion', 'Verrugon', 'Phenol-2-carboxylic acid', 'Acidum salicylicum', 'Trans-Ver-Sal', 'Orthohydroxybenzoic acid', '2-Hydroxybenzenecarboxylic acid', 'Acido salicilico', 'Ionil-Plus', 'Salicylic acid, tech.', 'Kyselina salicylova', 'Clear away wart remover', 'Duofil wart remover', 'Domerine', 'Sebucare', 'Duofilm', 'Sebulex', 'Salicyclic acid', 'Ionil plus', "Dr. Scholl's corn removers", 'Kyselina salicylova [Czech]', "Dr. Scholl's callus removers", "Dr. Scholl's wart remover kit", 'Kyselina 2-hydroxybenzoova', 'Occlusal', 'Acido salicilico [Italian]', 'Advanced pain relief corn removers', 'Caswell No. 731', '2-hydroxy-benzoic acid', 'Kyselina 2-hydroxybenzoova [Czech]', 'Advanced pain relief callus removers', 'Acido o-idrossibenzoico [Italian]', 'NSC 180', 'Salicylic acid [USAN:JAN]', 'Salicylic acid &amp; Sulfur Soap', 'CCRIS 6714', 'HSDB 672', 'AI3-02407', 'UNII-O414PZ4LPZ', 'EPA Pesticide Chemical Code 076602', 'BRN 0774890', 'CHEBI:16914', 'EINECS 200-712-3', 'MFCD00002439', 'CHEMBL424', 'O414PZ4LPZ', 'MLS000069653', 'NSC180', 'K 537', 'NSC-180', 'ATA fraction 10, ammonium salt', 'NCGC00159447-05', 'SMR000059163', 'Mediplast pads', 'Salicylic acid, 99+%', 'Akurza Lotion', 'Hydrisalic Gel', 'Magnesium salicylate', 'Akurza Cream', 'Salex Lotion', 'Salex Cream', 'DSSTox_CID_6368', 'DuoPlant Gel', 'DHS Sal Shampoo', 'DSSTox_RID_78106', 'P&amp;S Shampoo', 'DSSTox_GSID_26368', 'Acido o-idrossibenzoico', 'Durasal', 'ortho-Hydroxybenzoic Acid', '63-36-5', 'Salicylic acid, 99+%, ACS reagent', 'salicylicum acidum', 'CAS-69-72-7', 'Propa pH Peel-Off Acne Mask', 'Salicylic acid, tech', 'NSC629474', 'phenol derivative, 7', 'Salicylic acid (TN)', 'Benzoic acid, hydroxy-', 'Salicylic acid [USP:JAN]', 'Salicylic acid (6CI,8CI)', 'Anti-blemish', 'Salicylic acid rs', 'hydroxy-benzoic acid', 'ortho-salicylic acid', 'CMC_13852', 'Fostex (Salt/Mix)', 'Pernox (Salt/Mix)', 'Duofilm Wart Remover', 'Phenol-2-carboxylate', 'Duofilm (Salt/Mix)', 'Salicylic Acid,(S)', 'Sebulex (Salt/Mix)', '2-hydroxobenzoic acid', 'Domerine (Salt/Mix)', 'Sebucare (Salt/Mix)', '2-Hydroxybenzoate, I', 'Natural Salicylic Acid', 'o-hydroxy benzoic acid', '2-hydroxy benzoic acid', 'Spectrum_000948', 'Salicylic acid,medicinal', 'ACMC-1AZIK', 'Opera_ID_582', 'Sulfasalazine Impurity H', 'Salicylic acid ACS grade', 'WLN: QVR BQ', 'Benzoic acid, o-hydroxy-', 'Bazuka Extra Strength Gel', '2-Hydroxybenzenecarboxylate', 'bmse000252', 'Epitope ID:124929', 'Retarder SAX (Salt/Mix)', 'UPCMLD-DP126', 'EC 200-712-3', 'SCHEMBL1967', 'Oprea1_040343', 'KBioSS_001428', 'KSC203I1R', 'ARONIS27188', 'BIDD:ER0602', 'DivK1c_000301', 'Salicylic acid (JP17/USP)', '2-Hydroxybenzoic Acid, Natural', 'FEMA3985', 'GTPL4306', 'SALICYLIC ACID (SEE ALSO ALPHA HYDROXY ACIDS)', 'SGCUT00012', 'ZINC1554', 'Salicylic acid inclusion complex', 'Salicylic acid, &gt;=99%, FG', 'Salicylic acid, LR, &gt;=99%', 'component of Tinver (Salt/Mix)', 'DTXSID7026368', 'FEMA NO. 3985', 'UPCMLD-DP126:001', 'BDBM26193', 'component of Keralyt (Salt/Mix)', 'CTK1A3418', 'KBio1_000301', 'KBio2_001428', 'KBio2_003996', 'KBio2_006564', 'KS-00000KPH', 'Alpha/Beta Hydroxy Acids (Glycolic Acid, Salicylic Acid)', 'E9A559BE-383B-4F83-BC02-3031D03D558A', 'NINDS_000301', 'HMS2233A10', 'HMS3373M19', 'KUC106694N', 'Salicylic acid, p.a., 99.0%', 'Benzoic acid, 2-hydroxy- (9CI)', 'BCP09067', 'HY-B0167', 'to_000004', 'Lamivudine impurity, salicylic acid-', 'Tox21_113453', 'Tox21_201471', 'Tox21_303109', 'ANW-43703', 's4539', 'SBB052826', 'STK258681', 'AKOS000118979', 'Salicylic acid, BioXtra, &gt;=99.0%', 'CCG-212792', 'DB00936', 'LS-2169', 'MCULE-8407868694', 'NE10196', 'ALPHA/BETA HYDROXY ACIDS (SALICYLIC ACID) (SEE ALPHA/BETA HYDROXY ACIDS)', 'IDI1_000301', 'KS-000048O6', 'SMP2_000145', 'NCGC00159447-02', 'NCGC00159447-04', 'NCGC00159447-06', 'NCGC00257065-01', 'NCGC00259022-01', '29656-58-4', 'AK112186', 'BP-12826', 'KSC-11-207-4', 'Salicylic acid &amp; Sulfur Soap (Salt/Mix)', 'Salicylic acid, ACS reagent, &gt;=99.0%', 'Salicylic acid, plant cell culture tested', 'Salicylic acid, ReagentPlus(R), &gt;=99%', 'SC-18305', 'TS-03583', 'Salicylic Acid 1.0 mg/ml in Acetonitrile', 'SBI-0051510.P003', 'FT-0645123', 'FT-0674502', 'FT-0674503', 'NS00010274', 'Salicylic acid, tested according to Ph.Eur.', 'ST51046715', 'Salicylic acid, SAJ first grade, &gt;=99.0%', '3253-EP2269610A2', '3253-EP2269988A2', '3253-EP2270002A1', '3253-EP2270006A1', '3253-EP2270008A1', '3253-EP2270011A1', '3253-EP2270113A1', '3253-EP2272935A1', '3253-EP2275401A1', '3253-EP2275413A1', '3253-EP2275420A1', '3253-EP2277867A2', '3253-EP2280003A2', '3253-EP2280008A2', '3253-EP2280010A2', '3253-EP2281563A1', '3253-EP2281816A1', '3253-EP2284146A2', '3253-EP2284147A2', '3253-EP2284160A1', '3253-EP2284178A2', '3253-EP2284179A2', '3253-EP2287156A1', '3253-EP2289510A1', '3253-EP2289883A1', '3253-EP2289890A1', '3253-EP2292592A1', '3253-EP2292597A1', '3253-EP2292617A1', '3253-EP2295053A1', '3253-EP2295401A2', '3253-EP2295416A2', '3253-EP2295424A1', '3253-EP2295433A2', '3253-EP2298734A2', '3253-EP2298735A1', '3253-EP2298748A2', '3253-EP2298757A2', '3253-EP2298758A1', '3253-EP2298759A1', '3253-EP2298764A1', '3253-EP2298765A1', '3253-EP2301931A1', '3253-EP2301937A1', '3253-EP2301940A1', '3253-EP2305243A1', '3253-EP2305248A1', '3253-EP2305257A1', '3253-EP2305646A1', '3253-EP2305651A1', '3253-EP2305655A2', '3253-EP2305662A1', '3253-EP2305663A1', '3253-EP2305664A1', '3253-EP2305675A1', '3253-EP2308851A1', '3253-EP2308854A1', '3253-EP2308873A1', '3253-EP2308875A1', '3253-EP2311807A1', '3253-EP2311809A1', '3253-EP2311810A1', '3253-EP2311814A1', '3253-EP2311831A1', '3253-EP2311842A2', '3253-EP2314574A1', '3253-EP2314588A1', '3253-EP2316457A1', '3253-EP2316458A1', '3253-EP2316459A1', '3253-EP2316825A1', '3253-EP2316826A1', '3253-EP2316827A1', '3253-EP2316828A1', '3253-EP2316836A1', '3253-EP2372017A1', '3253-EP2380874A2', 'C00805', 'D00097', 'Salicylic acid, Vetec(TM) reagent grade, 98%', '44642-EP2281819A1', '44642-EP2292619A1', '44642-EP2305659A1', '44642-EP2311818A1', 'AB00489876_15', 'BENZOIC ACID,2-HYDROXY   SALICYLIC ACID', 'Salicylic acid, puriss. p.a., &gt;=99.0% (T)', '197900-EP2269975A2', '197900-EP2269997A2', '197900-EP2275415A2', 'Q193572', 'component of Solarcaine first aid spray (Salt/Mix)', 'J-509667', 'component of Fostex medicated bar and cream (Salt/Mix)', 'F2191-0216', 'Salicylic acid, certified reference material, TraceCERT(R)', 'UNII-I3P9R8317T component YGSDEFSMJLZEOE-UHFFFAOYSA-N', 'Salicylic acid, British Pharmacopoeia (BP) Reference Standard', 'Salicylic acid, European Pharmacopoeia (EP) Reference Standard', 'Salicylic acid, United States Pharmacopeia (USP) Reference Standard', 'Salicylic acid, 1.0 mg/mL in acetonitrile, ampule of 1 mL, certified reference material', 'Salicylic acid, Pharmaceutical Secondary Standard; Certified Reference Material', '8052-31-1', 'Salicylic acid, meets analytical specification of Ph. Eur., BP, USP, 99.5-100.5% (calc. to the dried substance)']</t>
  </si>
  <si>
    <t>Compound(338)</t>
  </si>
  <si>
    <t>C7H6O3</t>
  </si>
  <si>
    <t>sum amphibole asbestos</t>
  </si>
  <si>
    <t>sum of androgenic substances</t>
  </si>
  <si>
    <t>sum anions</t>
  </si>
  <si>
    <t>sum anti-androgenic substances</t>
  </si>
  <si>
    <t>sum of 16 aromatic solvents (Bbk, 1-1-2008)</t>
  </si>
  <si>
    <t>sum bcd cypermethrin</t>
  </si>
  <si>
    <t>sum of cresol isomers</t>
  </si>
  <si>
    <t>sum m-cresol and p-cresol</t>
  </si>
  <si>
    <t>sum o-cresol and p-cresol</t>
  </si>
  <si>
    <t>sum cis- and trans-1,3-dichloropropene</t>
  </si>
  <si>
    <t>sum detergents anionic</t>
  </si>
  <si>
    <t>sum detergents cationic</t>
  </si>
  <si>
    <t>sum detergents nonionic</t>
  </si>
  <si>
    <t>sum o-demeton and s-demeton</t>
  </si>
  <si>
    <t>sum aldrin and dieldrin</t>
  </si>
  <si>
    <t>sum aldrin, dieldrin and endrin</t>
  </si>
  <si>
    <t>sum aldrin, dieldrin, endrin and isodrin</t>
  </si>
  <si>
    <t>som aldrin, dieldrin, endrin, isodrin and telodrin</t>
  </si>
  <si>
    <t>sebuthylazine</t>
  </si>
  <si>
    <t>2-N-butan-2-yl-6-chloro-4-N-ethyl-1,3,5-triazine-2,4-diamine</t>
  </si>
  <si>
    <t>['Sebuthylazine', '7286-69-3', 'Sebuthylazin', 'Sebuthylazine [ISO]', 'Caswell No. 125A', 'GS 13528', 'EINECS 230-710-8', 'EPA Pesticide Chemical Code 225200', 's-Triazine, 2-(sec-butylamino)-4-chloro-6-(ethylamino)-', "1,3,5-Triazine-2,4-diamine, 6-chloro-N-ethyl-N'-(1-methylpropyl)-", '2-(sec-Butylamino)-4-chloro-6-(ethylamino)-s-triazine', '2-Aethylamino-4-sek.butylamino-6-chlor-1,3,5-triazin', '2-Aethylamino-4-sek.butylamino-6-chlor-1,3,5-triazin [German]', '1,3,5-Triazine-2,4-diamine, 6-chloro-N2-ethyl-N4-(1-methylpropyl)-', 'ebuthylazine', '4-N-butan-2-yl-6-chloro-2-N-ethyl-1,3,5-triazine-2,4-diamine', '2-N-butan-2-yl-6-chloro-4-N-ethyl-1,3,5-triazine-2,4-diamine', 'SCHEMBL136514', 'DTXSID7058171', 'CHEBI:83789', 'CTK8G3081', 'AKOS017391001', 'LS-155161', 'Sebuthylazine 10 microg/mL in Acetonitrile', 'NS00000311', 'Sebuthylazine 100 microg/mL in Acetonitrile', '33279-EP2311815A1', 'Sebuthylazin, PESTANAL(R), analytical standard', 'Q27157222', 'N2-sec-butyl-6-chloro-N4-ethyl-1,3,5-triazine-2,4-diamine', "N-(butan-2-yl)-6-chloro-N'-ethyl-1,3,5-triazine-2,4-diamine", 'N~2~-(Butan-2-yl)-6-chloro-N~4~-ethyl-1,3,5-triazine-2,4(1H,3H)-diimine']</t>
  </si>
  <si>
    <t>Compound(23712)</t>
  </si>
  <si>
    <t>butan-2-amine</t>
  </si>
  <si>
    <t>['SEC-BUTYLAMINE', '2-Butanamine', 'butan-2-amine', '13952-84-6', '2-Aminobutane', '2-Butylamine', '1-Methylpropylamine', 'Tutane', 'Butafume', '1-Methylpropanamine', 'Deccotane', 'Frucote', '2-Aminobutane base', 's-butylamine', '(RS)-sec-Butylamine', 'Secondary butylamine', '2-AB', 'sec-butyl amine', '(+-)-sec-butylamine', '(+/-)-2-Aminobutane', 'Butylamine [ISO]', 'Caswell No. 125', 'Propylamine, 1-methyl', 'sec-Butanamine', 'sec.-butylamine', 'NSC 8030', '2-AB (VAN)', 'CCRIS 4757', '(S)-2-Aminobutane', '(Rs)-2-aminobutane', 'HSDB 6312', 'sec-Butylamine, 99%', 'Propylamine, 1-methyl-', 'EINECS 237-732-7', 'EPA Pesticide Chemical Code 004214', 'AI3-35093', 'CHEBI:74526', '2-Butanamine, hydrochloride', 'sec-Butylamine, (S)-', '2-BUTANAMINE, (S)-', 'Mono-sec-butylamine', '2-Butanamine, (R)-', '(+/-)-sec-Butylamine', 'ec-butylamine', 'sec butylamine', 'sec-butylamin', 'sec.butylamine', 'sec- butylamine', 'EINECS 208-164-7', 's-butyl amine', 'Sec. Butylamine', '2-amino-butane', 'monosec.butylamine', 'secondarybutylamine', 'DL-2-Butylamine', 'methyl-1-propanamine', 'MFCD00008094', 'racemic 2-butylamine', '1-Methyl-Propylamine', '(-)-sec-Butylamine', 'ACMC-209bpa', 'ACMC-209kta', 'sec-C4H9NH2', '.+/-.-sec-Butylamine', '(+/-)-2-Butylamine', '(rs)-1-methylpropylamine', '(+/-)-sec-butyl amine', 'ACMC-1ARF0', 'DSSTox_CID_2284', '(.+/-.)-sec-Butylamine', 'DSSTox_RID_76535', 'NCIOpen2_009269', 'DSSTox_GSID_22284', '33966-50-6', 'KSC178C3F', 'Butylamine (sec) Reagent Grade', 'C4H11N', 'WLN: ZY2&amp;1', '2-Butanamine, (.+/-.)-', 'CHEMBL3186956', 'DTXSID4022284', 'CTK0H8132', 'KS-00000VFE', '(+/-)-sec-Butylamine, 99%', 'NSC8030', 'sec-Butylamine, analytical standard', 'NSC-8030', 'STR00953', 'Tox21_301321', '7115AF', 'BBL027676', 'LS-815', 'STL194265', 'AKOS000119064', 'AKOS016352717', 'MCULE-8165681721', 'NCGC00255387-01', 'LS-47360', 'SC-46389', 'CAS-13952-84-6', 'DB-062902', 'B0708', 'FT-0604436', 'FT-0605042', 'FT-0656930', 'FT-0691583', 'NS00020057', 'C18706', '46877-EP2292606A1', '46877-EP2311804A2', '132343-EP2287141A1', '132343-EP2292606A1', '132343-EP2295418A1', 'A806444', 'A828547', 'Q288208', 'J-007288', 'F2190-0361', 'Z1245664644', '1-sec-Butylamine, salt with d-3-bromo-x-camphorsulfonic acid', '2-Butanamine;sec-butylamine;sec-Butylamine;(S)-sec-butylamine;2-butanamine', 'SEC-BUTYLAMINE (SEE ALSO: N-BUTYLAMINE (CAS 109-73-9) &amp; TERT-BUTYLAMINE (CAS 75-64-9))']</t>
  </si>
  <si>
    <t>Compound(24874)</t>
  </si>
  <si>
    <t>secondary butyl benzene</t>
  </si>
  <si>
    <t>butan-2-ylbenzene</t>
  </si>
  <si>
    <t>['SEC-BUTYLBENZENE', '135-98-8', '2-Phenylbutane', 'Benzene, (1-methylpropyl)-', '(1-Methylpropyl)benzene', 'Secondary butylbenzene', '1-sec-butylbenzene', 'Benzene, sec-butyl-', 's-Butylbenzene', 'butan-2-ylbenzene', 'HSDB 7212', 'NSC 8466', 'EINECS 205-227-0', 'BRN 1903902', 'AI3-00121', 'CHEBI:35097', '(methylpropyl)benzene', 'sec-Butylbenzene, 99+%', 'secbutylbenzene', 'ec-Butylbenzene', 'Benzene, (1-methylpropyl)-, (S)-', '2-phenyl butane', 'Butylbenzene, branched and linear', 'sec-butyl benzene', 'Sec-Butyl-Benzene', '(Butan-2-yl)benzene', '1-methyl-propyl-benzene', 'ACMC-1AQMG', 'DSSTox_CID_2333', '.alpha.-methylpropylbenzene', 'sec-Butylbenzene, &gt;=99%', 'DSSTox_GSID_22333', '2-05-00-00319 (Beilstein Handbook Reference)', 'KSC377Q2H', 'CHEMBL27516', 'DTXSID2022333', 'KS-00000WKH', 'NSC8466', 'WLN: 2Y1 &amp; R', 'NSC-8466', 'EINECS 270-126-0', 'Tox21_303828', '5698AF', 'ANW-19999', 'MFCD00009329', 'SBB060615', 'sec-Butylbenzene, analytical standard', 'AKOS000120879', 'AKOS022179304', 'AS05667', 'CM12120', 'MCULE-1280285295', 'NCGC00356966-01', '36383-15-0', 'CAS-135-98-8', 'LS-29363', 'SC-90377', 'B0714', 'FT-0656443', 'NS00002836', 'S0663', 'ST51046763', 'C14142', 'EC 270-126-0', 'ec-butylbenzene;Benzene, butyl-, branched and linear', 'J-006792', 'Q27116415', 'F0001-0456']</t>
  </si>
  <si>
    <t>Compound(8680)</t>
  </si>
  <si>
    <t>sec-butyl acetate</t>
  </si>
  <si>
    <t>2-N-butan-2-yl-4-N-ethyl-6-methoxy-1,3,5-triazine-2,4-diamine</t>
  </si>
  <si>
    <t>['SECBUMETON', '26259-45-0', 'Isobumeton', 'Etazine', 'Ezitan', 'Sumitol', 'sec-Bumetone', 'sec-Bumeton', 'Sumitol 80W', 'Secumbeton', 'Terbut', 'Geigy G.S. 14254', 'Caswell No. 125C', 'Secbumetone', 'Secbumeton [ANSI:BSI:ISO]', 'GS 14254', 'EINECS 247-554-1', 'EPA Pesticide Chemical Code 331300', "1,3,5-Triazine-2,4-diamine, N-ethyl-6-methoxy-N'-(1-methylpropyl)-", 's-Triazine, 2-(sec-butylamino)-4-(ethylamino)-6-methoxy-', 'CHEBI:83786', '2-N-butan-2-yl-4-N-ethyl-6-methoxy-1,3,5-triazine-2,4-diamine', '2-sec-Butylamino-4-ethylamino-6-methoxy-s-triazine', '2-sec-Butylamino-4-ethylamino-6-methoxy-1,3,5-triazine', '2-Methoxy-4-sec-butylamino-6-aethylamino-s-triazin [German]', 'N2-sec-Butyl-N4-ethyl-6-methoxy-1,3,5-triazine-2,6-diamine', '1,3,5-Triazine-2,4-diamine, N2-ethyl-6-methoxy-N4-(1-methylpropyl)-', 'ecbumetone', 'Etazin', 'DSSTox_CID_17594', 'DSSTox_RID_79346', 'DSSTox_GSID_37594', 'SCHEMBL134198', '2-Methoxy-4-sec-butylamino-6-aethylamino-s-triazin', 'CHEMBL1894841', 'DTXSID8037594', 'Tox21_301419', "1,3,5-Triazine-2,4-diamine, N-ethyl-6-methoxy-N'-(1-methylpropyl)- (9CI)", "N-Ethyl-6-methoxy-N'-(1-methylpropyl)-1,3,5-triazine-2,4-diamine (9CI)", 'NCGC00163848-01', 'NCGC00255673-01', 'BC4157434', 'CAS-26259-45-0', 'LS-155170', 'FT-0727278', 'NS00000310', 'Secbumeton, PESTANAL(R), analytical standard', 'C19106', 'C-56164', 'J-016354', 'Q27157217', "N-sec-Butyl-N'-ethyl-6-methoxy-1,3,5-triazine-2,4-diamine", 'N2-sec-butyl-N4-ethyl-6-methoxy-1,3,5-triazine-2,4-diamine', "N-(butan-2-yl)-N'-ethyl-6-methoxy-1,3,5-triazine-2,4-diamine", "N-Ethyl-6-methoxy-N'-(1-methylpropyl)-1,3,5-triazine-2,4-diamine"]</t>
  </si>
  <si>
    <t>Compound(33443)</t>
  </si>
  <si>
    <t>N-[2-(2-cyclopropylcyclopropyl)phenyl]-3-(difluoromethyl)-1-methylpyrazole-4-carboxamide</t>
  </si>
  <si>
    <t>['Sedaxane', '874967-67-6', 'UNII-UHZ33J8Z9F', 'UHZ33J8Z9F', 'Sedaxane [ISO]', "N-(2-([1,1'-Bi(cyclopropan)]-2-yl)phenyl)-3-(difluoromethyl)-1-methyl-1H-pyrazole-4-carboxamide", 'SCHEMBL68347', 'DTXSID2058207', 'C18H19F2N3O', 'CHEBI:83174', 'NOA-524', "N-(2-(1,1'-bicyclopropyl)-2-ylphenyl)-3-(difluoromethyl)-1-methyl-1H-pyrazole-4-carboxamide", 'X3447', 'Q17592209', 'Sedaxane, mixture of isomers, PESTANAL(R), analytical standard', 'N-(2-bicyclopropyl-2-ylphenyl)-3-difluoromethyl-1-methyl-1H-pyrazole-4-carboxamide', 'N-[2-(2-CYCLOPROPYLCYCLOPROPYL)PHENYL]-3-(DIFLUOROMETHYL)-1-METHYLPYRAZOLE-4-CARBOXAMIDE', "N-{2-[1,1'-bi(cyclopropyl)-2-yl]phenyl}-3-(difluoromethyl)-1-methyl-1H-pyrazole-4-carboxamide", "N-{2-[1,1'-bi(cyclopropyl)-2-yl]phenyl}-3-(difluoromethyl)-1-methyl-1pyrazole-4-carboxamide"]</t>
  </si>
  <si>
    <t>Compound(11688533)</t>
  </si>
  <si>
    <t>C18H19F2N3O</t>
  </si>
  <si>
    <t>sum alpha-endosulfan and endosulfan sulfate</t>
  </si>
  <si>
    <t>sum alpha and beta endosulfan and endosulfan sulfate</t>
  </si>
  <si>
    <t>(1S,4S)-4-(3,4-dichlorophenyl)-N-methyl-1,2,3,4-tetrahydronaphthalen-1-amine</t>
  </si>
  <si>
    <t>['sertraline', '79617-96-2', '(1S,4S)-4-(3,4-dichlorophenyl)-N-methyl-1,2,3,4-tetrahydronaphthalen-1-amine', '(+)-Sertraline', 'Sertralina', 'Sertralinum', 'Sertralinum [Latin]', 'Sertralina [Spanish]', 'Zoloft', 'Sertraline [INN:BAN]', 'Lustral', 'Cp 51974', 'UNII-QUC7NX6WMB', 'sertraline (Zoloft)', '(1S-cis)-1,2,3,4-Tetrahydro-4-(3,4-dichlorophenyl)-N-methyl-1-naphthalenamine', 'Sertraline [Zoloft]', 'cis-(+)-sertraline', 'HSDB 7037', '(1S,4S)-sertraline', 'QUC7NX6WMB', 'CHEMBL809', 'BRN 5753709', 'CHEBI:9123', '1-Naphthalenamine, 4-(3,4-dichlorophenyl)-1,2,3,4-tetrahydro-N-methyl-, (1S,4S)-', 'TBA-2010_Sertraline_1', 'C17H17Cl2N', '(1S,4S)-4-(3,4-dichlorophenyl)-N-methyl-tetralin-1-amine', 'MLS001401398', '1-Naphthalenamine, 1,2,3,4-tetrahydro-4-(3,4-dichlorophenyl)-N-methyl-, (1S-cis)-', 'Sertraline (INN)', 'SMR000596516', 'SRE', 'NCGC00092386-03', 'SMR000466298', 'CP-519741', 'PubChem5865', '(1S,4S)-4-(3,4-dichlorophenyl)-N-methyl-1,2,3,4-tetrahydronaphthalen-1-amine;hydrochloride', 'Prestwick3_001014', 'Spectrum2_000493', 'Spectrum3_001079', 'Spectrum4_001232', 'BIDD:PXR0193', 'SCHEMBL28701', 'BSPBio_001167', 'BSPBio_002698', 'KBioGR_001724', 'cid_63009', 'MLS001195647', 'MLS002222308', 'BIDD:GT0768', 'REGID_for_CID_68617', 'SPBio_000385', 'BPBio1_001285', 'GTPL4798', 'DTXSID6023577', 'BDBM79021', 'CTK8B7684', 'KBio3_001918', 'cp-51974', 'HMS2098K09', 'HMS2231I09', 'HMS3715K09', 'ZINC1853550', 'ANW-58187', 'BDBM50028094', 'NCGC00092386', 'AKOS016842914', 'API0004164', 'CCG-221014', 'DB01104', 'MCULE-4360779618', 'SDCCGSBI-0206734.P002', 'NCGC00092386-04', 'NCGC00092386-05', 'NCGC00092386-06', 'NCGC00092386-07', 'NCGC00092386-08', 'NCGC00092386-09', 'NCGC00092386-10', 'AC-15639', 'CC-34407', 'LS-94179', 'SC-16114', 'SBI-0206734.P001', 'AX8034967', 'AB00514002', 'FT-0630872', 'C-4401', 'C07246', 'D02360', 'EN300-150167', 'AB00514002_17', 'AB00514002_18', '617S962', 'A839725', 'C-19042', 'Q407617', 'SR-01000759296', 'SR-01000759296-5', 'BRD-K82036761-003-02-1', 'BRD-K82036761-003-07-0', 'BRD-K82036761-003-20-3', '[(1S,4S)-4-(3,4-dichlorophenyl)tetralin-1-yl]-methyl-amine;hydrochloride', 'syn-4-(3,4-dichlorophenyl)-N-methyl-1,2,3,4-tetrahydronaphthalen-1-amine', '(1S,4S)-4-(3,4-Dichlorophenyl)-N-methyl-1,2,3,4-tetrahydro-1-naphthalenamine', '(1S-cis)-4-(3,4-dichlorophenyl)-1,2,3,4-tetrahydro-N-methyl-naphthalenamine', '1-Naphthalenamine,1,2,3,4-tetrahydro-4-(3,4-dichlorophenyl)-N-methyl-, (1S-cis)-', '1-Naphthalenamine, 4-(3,4-dichlorophenyl)-1,2,3,4-tetrahydro-N-methyl-, hydrochloride (1:1), (1S,4S)-;Sertraline hydrochloride;Sertraline', '219736-80-8']</t>
  </si>
  <si>
    <t>Compound(68617)</t>
  </si>
  <si>
    <t>C17H17Cl2N</t>
  </si>
  <si>
    <t>sum estrogenic substances</t>
  </si>
  <si>
    <t>sum of phthalates</t>
  </si>
  <si>
    <t>sum 7 phthalates (Bbk, 1-1-2008)</t>
  </si>
  <si>
    <t>sum of crop protection products (BKMW)</t>
  </si>
  <si>
    <t>sum weighted asbestos</t>
  </si>
  <si>
    <t>sum of glucocorticoid substances</t>
  </si>
  <si>
    <t>sum 10 glycols</t>
  </si>
  <si>
    <t>sum of bonded and 10x non bonded asbestos</t>
  </si>
  <si>
    <t>(4-ethoxyphenyl)-[3-(4-fluoro-3-phenoxyphenyl)propyl]-dimethylsilane</t>
  </si>
  <si>
    <t>['Silafluofen', '105024-66-6', 'UNII-F4SX221ILG', 'F4SX221ILG', 'CHEBI:39393', '(4-Ethoxyphenyl)(3-(4-fluoro-3-phenoxyphenyl)propyl)dimethylsilane', '(4-ethoxyphenyl)-[3-(4-fluoro-3-phenoxyphenyl)propyl]-dimethylsilane', '(4-ethoxyphenyl)[3-(4-fluoro-3-phenoxyphenyl)propyl]dimethylsilane', 'Silafluofen [ISO]', 'Siafluofen', 'EC 405-020-7', 'SCHEMBL27295', 'CHEMBL493481', 'DTXSID4057924', 'AKOS015964966', 'ZINC170161348', 'C18412', 'Silafluofen, PESTANAL(R), analytical standard', '26893-EP2274983A1', '26893-EP2275422A1', '26893-EP2280009A1', '26893-EP2292608A1', '26893-EP2305658A1', '26893-EP2308857A1', '26893-EP2308858A1', '26893-EP2311816A1', '26893-EP2311817A1', '26893-EP2314583A1', 'J-001333', 'Q7514043', '4-ethoxyphenyl-3-(4-fluoro-3-phenoxyphenyl)propyl(dimethyl)silane', '(4-ethoxyphenyl)-(dimethyl)-(3-(4-fluoro-3-phenoxyphenyl)propyl)silane', 'Benzene,4-[3-[(4-ethoxyphenyl)dimethylsilyl]propyl]-1-fluoro-2-phenoxy-', '(4-ethoxyphenyl)(3-(4-fluoro-3-phenoxyphenyl)propyl)dimethylsilane;silafluofen']</t>
  </si>
  <si>
    <t>Compound(92430)</t>
  </si>
  <si>
    <t>C25H29FO2Si</t>
  </si>
  <si>
    <t>4,5-dimethyl-N-prop-2-enyl-2-trimethylsilylthiophene-3-carboxamide</t>
  </si>
  <si>
    <t>['silthiofam', '175217-20-6', 'Silthiopham', 'Latitude', 'N-allyl-4,5-dimethyl-2-(trimethylsilyl)thiophene-3-carboxamide', 'UNII-5991I541GW', 'CHEBI:83393', '5991I541GW', '4,5-dimethyl-N-2-propenyl-2-(trimethylsilyl)-3-thiophenecarboxamide', '4,5-dimethyl-N-prop-2-enyl-2-trimethylsilylthiophene-3-carboxamide', 'Silthiofam [ISO]', 'MON-65500', 'SCHEMBL22041', 'CHEMBL2288019', 'DTXSID1058000', 'ZINC170162782', 'Silthiofam 10 microg/mL in Cyclohexane', 'CS-12584', 'DB-044160', 'FT-0631196', 'Silthiofam, PESTANAL(R), analytical standard', 'C-16797', 'Q18630756', 'N-Allyl-4,5-Dimethyl-2-(Trimethylsilyl)-3-Thiophenecarboxamide', '3-Thiophenecarboxamide, 4,5-dimethyl-N-2-propen-1-yl-2-(trimethylsilyl)-', '4,5-dimethyl-N-(2-propen-1-yl)-2-(trimethylsilyl)thiophene-3-carboxamide', '4,5-dimethyl-N-2-propen-1-yl-2-(trimethylsilyl)-3-thiophenecarboxamide']</t>
  </si>
  <si>
    <t>Compound(9881821)</t>
  </si>
  <si>
    <t>C13H21NOSSi</t>
  </si>
  <si>
    <t>2-N,4-N-diethyl-6-methylsulfanyl-1,3,5-triazine-2,4-diamine</t>
  </si>
  <si>
    <t>['Simetryn', '1014-70-6', 'GY-Bon', 'Symetryne', 'SIMETRYNE', 'Cymetrin', '2,4-Bis(ethylamino)-6-methylthio-1,3,5-triazine', '2,4-Bis(ethylamino)-6-(methylthio)-s-triazine', "1,3,5-Triazine-2,4-diamine, N,N'-diethyl-6-(methylthio)-", '2-Methylthio-4,6-bis(ethylamino)-s-triazine', 'Caswell No. 094B', 'Simetryn [BSI:ISO]', 'Simetryne [ISO-French]', "N,N'-Diethyl-6-(methylthio)-1,3,5-triazine-2,4-diamine", '2,4-Di(ethylamino)-6-methylthio-1,3,5-triazine', 'NSC 163051', 'G 32911', 's-Triazine, 2,4-bis(ethylamino)-6-(methylthio)-', 'EINECS 213-801-7', 'UNII-036180247V', '2,4-Bis(ethylamino)-6-methylmercapto-s-triazine', '2-Methylmercapto-4,6-bis(ethylamino)-s-triazine', '2-Methylthio-4,6-bis(monoethylamino)-2-triazine', 'EPA Pesticide Chemical Code 294300', '2-Methylthio-4,6-bis(ethylamino)-1,3,5-triazine', '4,6-Bis(ethylamino)-2-methylthio-1,3,5-triazine', 'BRN 0011728', 'AI3-60361', 'CHEBI:34976', '2-N,4-N-diethyl-6-methylsulfanyl-1,3,5-triazine-2,4-diamine', 'N2,N4-Diethyl-6-methylthio-1,3,5-triazine-2,4-diamine', '2-(Methylthio)-4,6-bis(ethylamino)-s-triazine', '2,4-Bis(ethylamino)-6-(methylmercapto)-s-triazine', '2-(Methylmercapto)-4,6-bis(ethylamino)-s-triazine', '036180247V', "N,N'-diethyl-6-(methylsulfanyl)-1,3,5-triazine-2,4-diamine", 'N(2),N(4)-diethyl-6-methylthio-1,3,5-triazine-2,4-diamine', 'imetryn', '4,3,5-triazine', 'DSSTox_CID_17596', 'DSSTox_RID_79347', 'DSSTox_GSID_37596', 'Oprea1_733762', 'SCHEMBL67522', '0-26-00-00271 (Beilstein Handbook Reference)', 'BIDD:ER0259', 'C8H15N5S', 'CHEMBL1888800', 'DTXSID8037596', 'CTK8E3501', 'HY-B1853', 'ZINC1635501', 'Tox21_300702', 'NSC163051', 'AKOS015964910', 'CS-5262', 'FCH1319871', 'NSC-163051', 'Simetryn 100 microg/mL in Cyclohexane', 'NCGC00163921-01', 'NCGC00163921-02', 'NCGC00254610-01', 'WLN: T6N CN ENJ BS1 DM2 FM2', 'CC-34427', 'O395', 'CAS-1014-70-6', 'LS-155132', 'FT-0603538', 'NS00010880', 'Simetryn, PESTANAL(R), analytical standard', '2,4-Bis(ethylamino)-6-methylthio-s-triazine', 'C14457', 's-Triazine,4-bis(ethylamino)-6-(methylthio)-', '33295-EP2274983A1', '33295-EP2305658A1', '33295-EP2311815A1', '014S706', '2-methylthio-4,6-bis-ethylamino-1,3,5-triazine', 'C-11261', '2-methylthio-4,6-bis-ethylamino-1,3,5,-triazine', 'J-000402', '4,6-Bis(ethylamino)-2-(methylthio)-1,3,5-triazine', 'Q27116345', "1,5-Triazine-2,4-diamine, N,N'-diethyl-6-(methylthio)-", 'n2,n4-diethyl-6-(methylthio)-1,3,5-triazine-2,4-diamine', 'N~2~,N~4~-Diethyl-6-(methylsulfanyl)-1,3,5-triazine-2,4-diamine']</t>
  </si>
  <si>
    <t>Compound(13905)</t>
  </si>
  <si>
    <t>simvastatin</t>
  </si>
  <si>
    <t>[(1S,3R,7S,8S,8aR)-8-[2-[(2R,4R)-4-hydroxy-6-oxooxan-2-yl]ethyl]-3,7-dimethyl-1,2,3,7,8,8a-hexahydronaphthalen-1-yl] 2,2-dimethylbutanoate</t>
  </si>
  <si>
    <t>['simvastatin', '79902-63-9', 'Zocor', 'Synvinolin', 'Sinvacor', 'Denan', 'Lipex', 'MK-733', 'Sivastin', 'Lodales', 'Simvastatine', 'Cholestat', 'Colemin', 'Simovil', 'Medipo', 'Pantok', 'Simvastatina', 'Simvastatinum', 'Labistatin', 'Nivelipol', 'Rendapid', 'Vasotenal', 'Velostatin', 'Coledis', 'Corolin', 'Zocord', 'Zorced', 'Simvastatin lactone', 'Simvastatin (Zocor)', 'Lipovas', 'Simcard', 'Simvacor', 'Simvoget', 'Rechol', 'Simlup', 'Simvastatine [French]', 'Simvastatinum [Latin]', 'Simvastatina [Spanish]', 'MK-0733', '(1S,3R,7S,8S,8aR)-8-(2-((2R,4R)-4-Hydroxy-6-oxotetrahydro-2H-pyran-2-yl)ethyl)-3,7-dimethyl-1,2,3,7,8,8a-hexahydronaphthalen-1-yl 2,2-dimethylbutanoate', 'UNII-AGG2FN16EV', 'DRG-0320', 'MK 0733', 'CCRIS 7558', '2,2-Dimethylbutyric acid, 8-ester with (4R,6R)-6-(2-((1S,2S,6R,8S,8aR)-1,2,6,7,8,8a-hexahydro-8-hydroxy-2,6-dimethyl-1-naphthyl)ethyl)tetrahydro-4-hydroxy-2H-pyran-2-one', 'HSDB 7208', 'AGG2FN16EV', 'L 644128-000U', 'BRN 4768037', 'CHEBI:9150', '(1S,3R,7S,8S,8aR)-8-{2-[(2R,4R)-4-hydroxy-6-oxotetrahydro-2H-pyran-2-yl]ethyl}-3,7-dimethyl-1,2,3,7,8,8a-hexahydronaphthalen-1-yl 2,2-dimethylbutanoate', '[(1S,3R,7S,8S,8aR)-8-[2-[(2R,4R)-4-hydroxy-6-oxooxan-2-yl]ethyl]-3,7-dimethyl-1,2,3,7,8,8a-hexahydronaphthalen-1-yl] 2,2-dimethylbutanoate', 'C25H38O5', 'Simcor', 'Simvastatin, 98%', '(1S,3R,7S,8S,8aR)-8-{2-[(2R,4R)-4-hydroxy-6-oxooxan-2-yl]ethyl}-3,7-dimethyl-1,2,3,7,8,8a-hexahydronaphthalen-1-yl 2,2-dimethylbutanoate', 'Butanoic acid, 2,2-dimethyl-, (1S,3R,7S,8S,8aR)-1,2,3,7,8,8a-hexahydro-3,7-dimethyl-8-[2-[(2R,4R)-tetrahydro-4-hydroxy-6-oxo-2H-pyran-2-yl]ethyl]-1-naphthalenyl ester', 'DSSTox_CID_3581', 'DSSTox_RID_77090', 'DSSTox_GSID_23581', 'Butanoic acid, 2,2-dimethyl-, (1S,3R,7S,8S,8aR)-1,2,3,7,8,8a-hexahydro-3,7-dimethyl-8-(2-((2R,4R)-tetrahydro-4-hydroxy-6-oxo-2H-pyran-2-yl)ethyl)-1-naphthalenyl ester', 'Zosta', 'Simvast CR', '[(1S,3R,7S,8S,8aR)-8-[2-[(2R,4R)-4-hydroxy-6-oxo-tetrahydropyran-2-yl]ethyl]-3,7-dimethyl-1,2,3,7,8,8a-hexahydronaphthalen-1-yl] 2,2-dimethylbutanoate', 'Butanoic acid, 2,2-dimethyl-, 1,2,3,7,8,8a-hexahydro-3,7-dimethyl-8-(2-(tetrahydro-4-hydroxy-6-oxo-2H-pyran-2-yl)ethyl)-1-naphthalenyl ester, (1S-(1alpha,3alpha,7beta,8beta(2S*,4S*),8abeta))-', 'SMR000718785', 'Simvastatin [USAN:INN:BAN]', 'Zocor (TN)', 'Simvastatin, Compactin', 'Simvastatin &amp; Primycin', 'SR-05000001894', 'MK 733', 'Kolestevan', 'Lipinorm', 'Modutrol', 'Simvotin', 'Sinvascor', 'Valemia', 'Eucor', 'Nor-Vastina', 'Simvastatin,(S)', 'simvastatin predrug', '(+)-Simvastatin', 'NCGC00016940-01', 'inactive simvastatin', '8-[2-((2R,4R)-4-hydroxy-6-oxo(2H-3,4,5-trihydropyran-2-yl))ethyl](1S,7S,8S,3R, 8aR)-3,7-dimethyl-1,2,3,7,8,8a-hexahydronaphthyl 2,2-dimethylbutanoate', 'Simvastatin [USAN:USP:INN:BAN]', 'TNP00259', 'Prestwick_171', 'CAS-79902-63-9', 'KS-1113', 'Spectrum_001717', 'SpecPlus_000895', 'Prestwick0_000865', 'Prestwick1_000865', 'Prestwick2_000865', 'Prestwick3_000865', 'Spectrum2_001671', 'Spectrum3_000669', 'Spectrum4_000632', 'Spectrum5_001428', 'SCHEMBL2471', 'CHEMBL1064', 'BSPBio_000909', 'BSPBio_002337', 'KBioGR_001244', 'KBioSS_002197', 'MLS001304029', 'MLS001333077', 'MLS001333078', 'MLS002154038', 'MLS006011866', 'ARONIS24119', 'BIDD:GT0769', 'DivK1c_006991', 'SPECTRUM1504236', 'SPBio_001881', 'SPBio_002830', 'BPBio1_001001', 'GTPL2955', 'Simvastatin (JP17/USP/INN)', 'Simvastatin, analytical standard', 'DTXSID0023581', 'BCBcMAP01_000007', 'KBio1_001935', 'KBio2_002197', 'KBio2_004765', 'KBio2_007333', 'KBio3_001557', 'RYMZZMVNJRMUDD-HGQWONQESA-', 'C10AA01', 'HMS1570N11', 'HMS1922H13', 'HMS2089D12', 'HMS2093E06', 'HMS2097N11', 'HMS2231N22', 'HMS3259B12', 'HMS3412P08', 'HMS3676P08', 'HMS3714N11', 'Pharmakon1600-01504236', 'ZINC3780893', 'Tox21_110696', 'Tox21_300400', 'BBL024390', 'BDBM50139181', 'CCG-39069', 'MFCD00072007', 'NSC633782', 'NSC758706', 's1792', 'SBB080618', 'STK801938', 'AKOS005111006', 'AKOS015842733', 'Simvastatin, &gt;=97% (HPLC), solid', 'Tox21_110696_1', 'AC-1530', 'AT-7048', 'CS-2269', 'DB00641', 'MCULE-8390617062', 'NC00719', 'NSC-633782', 'NSC-758706', 'MRF-0000729', 'NCGC00017324-01', 'NCGC00017324-02', 'NCGC00017324-03', 'NCGC00017324-04', 'NCGC00017324-05', 'NCGC00017324-07', 'NCGC00017324-08', 'NCGC00017324-09', 'NCGC00254418-01', '2,2-Dimethylbutanoic acid (1S,3R,7S,8S,8aR)-1,2,3,7,8,8a-hexahydro-3,7-dimethyl-8-[2-[(2R,4R)-tetrahydro-4-hydroxy-6-oxo-2H-pyran-2-yl]ethyl]-1-naphthalenyl ester', 'Butanoic acid, 2,2-dimethyl-, (1S,3R,7S,8S,*aR)-1,2,3,7,8,8a-hexahydro-3,7-dimethyl-8-(2-((2R,4R)-tetrahydro-4-hydroxy-6-oxo-2H-pyran-2-yl)ethyl)-1-naphthalenyl ester', 'butanoic acid, 2,2-dimethyl-,1,2,3,7,8,8a-hexahydro-3,7-dimethyl-8-[2-(tetrahydro-4-hydroxy-6-oxo-2H-pyran-2-yl)-ethyl]-1-naphthalenyl ester, [1S-[1 alpha,3 alpha,7 beta,8 beta(2S*,4S*),-8a beta', 'HY-17502', 'LS-46264', 'SC-12666', 'ST057168', 'SBI-0206773.P001', 'AB0069097', 'D00434', 'J10128', 'W-3044', '28049-EP2269989A1', '28049-EP2269990A1', '28049-EP2270011A1', '28049-EP2270505A1', '28049-EP2272825A2', '28049-EP2272841A1', '28049-EP2277865A1', '28049-EP2280001A1', '28049-EP2280006A1', '28049-EP2281813A1', '28049-EP2284158A1', '28049-EP2287165A2', '28049-EP2287166A2', '28049-EP2292620A2', '28049-EP2295406A1', '28049-EP2295409A1', '28049-EP2295417A1', '28049-EP2295422A2', '28049-EP2298731A1', '28049-EP2298742A1', '28049-EP2298745A1', '28049-EP2298769A1', '28049-EP2298772A1', '28049-EP2298776A1', '28049-EP2298779A1', '28049-EP2301923A1', '28049-EP2301931A1', '28049-EP2301936A1', '28049-EP2305219A1', '28049-EP2305648A1', '28049-EP2308839A1', '28049-EP2308878A2', '28049-EP2314588A1', '96639-EP2287163A1', '96639-EP2305678A1', '99548-EP2270011A1', '99548-EP2298779A1', '99548-EP2301923A1', '99548-EP2301931A1', 'AB00053395-07', 'AB00053395-08', 'AB00053395-10', 'AB00053395_11', 'AB00053395_13', '902S639', 'Q670131', 'SR-05000001894-1', 'SR-05000001894-2', 'BRD-K22134346-001-05-8', 'BRD-K22134346-001-11-6', 'BRD-K22134346-001-15-7', 'Z1741982918', 'Simvastatin, British Pharmacopoeia (BP) Reference Standard', 'Simvastatin, European Pharmacopoeia (EP) Reference Standard', 'Simvastatin, United States Pharmacopeia (USP) Reference Standard', 'Simvastatin, Pharmaceutical Secondary Standard; Certified Reference Material', 'Simvastatin for peak identification, European Pharmacopoeia (EP) Reference Standard', '(1S,3R,7S,8S,8aR)-1,2,3,7,8,8a-Hexahydro-3,7-dimethyl-8-[2-[(2R,4R)-tetrahydro-4-hydroxy-6-oxo-2H-pyran-2-yl]ethyl]-1-naphthalenyly-2,2-dimethyl butanoate', '(1S,3R,7S,8S,8aR)-8-(2-((2R,4R)-4-Hydroxy-6-oxotetrahydro-2H-pyran-2-yl)ethyl)-3,7-dimethyl-1,2,3,7,8,8a-hexahydronaphthalen-1-yl 2,2-dimethylbu', '(1S,7S,8S,8aR)-8-{2-[(2R,4R)-4-hydroxy-6-oxooxan-2-yl]ethyl}-3,7-dimethyl-1,2,3,7,8,8a-hexahydronaphthalen-1-yl 2,2-dimethylbutanoate', 'SIMVASTATIN;(1S,3R,7S,8S,8aR)-1,2,3,7,8,8a-Hexahydro-3,7-dimethyl-8-[2-[(2R,4R)-tetrahydro-4-hydroxy-6-oxo-2H-pyran-2-yl]ethyl]-1-naphthalenyly-2,2-dimethyl butanoate']</t>
  </si>
  <si>
    <t>Compound(54454)</t>
  </si>
  <si>
    <t>C25H38O5</t>
  </si>
  <si>
    <t>6-chloro-2-N,4-N-diethyl-1,3,5-triazine-2,4-diamine</t>
  </si>
  <si>
    <t>['simazine', '122-34-9', 'Gesatop', 'Princep', 'Simanex', 'Aquazine', 'Batazina', 'Herbazin', 'Symazine', 'Tafazine', 'Taphazine', 'Amizine', 'Bitemol', 'Gesapun', 'Herbex', 'Herboxy', 'Printop', 'Radocon', 'Radokor', 'Simadex', 'Zeapur', 'Herbazin 50', 'Primatol S', 'Aktinit S', 'Hungazin DT', 'Gesaran', 'Premazine', 'Simazin', 'Simazine 80W', 'Gesatop 50', 'Tafazine 50-W', 'Cekuzina-S', 'Primatel S', '6-Chloro-N2,N4-diethyl-1,3,5-triazine-2,4-diamine', 'CAT (herbicide)', "1,3,5-Triazine-2,4-diamine, 6-chloro-N,N'-diethyl-", 'Yrodazin', 'Azotop', 'Simatsin-neste', 'Herbatoxol S', 'Triazine A 384', 'Geigy 27,692', "6-Chloro-N,N'-diethyl-1,3,5-triazine-2,4-diamine", '2,4-Bis(ethylamino)-6-chloro-s-triazine', '2-Chloro-4,6-bis(ethylamino)-s-triazine', 'Bitemol S 50', 'Cekusima', 'Batazine FLO', '2-Chloro-4,6-bis(ethylamino)-1,3,5-triazine', 'Herbex (pesticide)', 'Tafazine (VAN)', 'Caswell No. 740', 'Framed', 'A 2079', 'H 1803', 'W 6658', '2,4-Bis(ethylamino)-6-chloro-1,3,5-triazine', 'G 27692', 'UNII-SG0C34SMY3', 'Simazine [ANSI:BSI:ISO]', 'Bitemol S-50', 'CCRIS 1469', 'HSDB 1765', 's-Triazine, 2-chloro-4,6-bis(ethylamino)-', 'EINECS 204-535-2', 'NSC 25999', '1-Chloro-3,5-bis(ethylamino)-2,4,6-triazine', 'G-27692', 'EPA Pesticide Chemical Code 080807', 'BRN 0010895', 'SG0C34SMY3', 'AI3-51142', '6-chloro-2-N,4-N-diethyl-1,3,5-triazine-2,4-diamine', 'CHEBI:27496', "6-Chloro-N,N'-diethyl-[1,3,5]triazin-2,4-diamine", '2,4-Bis(aethylamino)-6-chlor-1,3,5-triazin [German]', '1,3,5-Triazine-2,4-diamine, 6-chloro-N2,N4-diethyl-', 'NCGC00094524-01', 'DSSTox_CID_1268', 'DSSTox_RID_76048', 'DSSTox_GSID_21268', 'Herbazin-50', '[6-chloro-4-(ethylamino)(1,3,5-triazin-2-yl)]ethylamine', '6-chloro-N(2),N(4)-diethyl-1,3,5-triazine-2,4-diamine', 'CAS-122-34-9', 'cekuzinas', 'imazine', 'permazine', 'Herboxydiene', 'Printrex', 'Simatox', 'Simazat', 'Cekusan Gesatop', 'Princep 4G', 'Princep 4L', 'Simazine 50', 'Aquazine 90WDG', 'Caliber 90', 'Gesatop-50', 'Princep 80W', 'Triazine A384', 'Sim-Trol 4L', 'Princep Caliber 90', 'Spectrum_001809', 'SpecPlus_000400', 'Enamine_005673', 'Spectrum2_001879', 'Spectrum3_000820', 'Spectrum4_000660', 'Spectrum5_001950', '2,4-Bis(aethylamino)-6-chlor-1,3,5-triazin', 'Oprea1_871264', 'SCHEMBL37774', '1-Chloro-3,4,6-triazine', 'BSPBio_002319', 'KBioGR_001039', 'KBioSS_002302', 'Simazine, analytical standard', 'SPECTRUM330028', 'BIDD:ER0337', 'DivK1c_006496', 'SPBio_001758', 's-Triazine,6-bis(ethylamino)-', 'CHEMBL1605837', 'DTXSID4021268', 'CTK8E3500', 'KBio1_001440', 'KBio2_002300', 'KBio2_004868', 'KBio2_007436', 'KBio3_001819', 'ZINC121575', 'HY-B2046', 'NSC25999', 'Simazine 100 microg/mL in Acetone', 'Tox21_111291', 'Tox21_202378', 'Tox21_300748', 'BBL001812', 'CCG-39417', 'LS-664', 'MFCD00023174', 'NSC-25999', 'SBB056728', 'STK386441', '2-Chloro-4,6-di(ethylamino)triazine', '2-Chloro-4,6-bis(ethylamino)triazine', '4,6-Bis(ethylamino)-2-chlorotriazine', 'AKOS003629500', 'Tox21_111291_1', 'KS-5070', 'MCULE-8279853852', 'Simazine 10 microg/mL in Acetonitrile', 'WLN: T6N CN ENJ BM2 DM2 FG', 'IDI1_007908', 'Simazine 10 microg/mL in Ethyl acetate', 'Simazine 100 microg/mL in Acetonitrile', 'NCGC00094524-02', 'NCGC00094524-03', 'NCGC00094524-04', 'NCGC00094524-05', 'NCGC00094524-06', 'NCGC00094524-07', 'NCGC00094524-09', 'NCGC00254653-01', 'NCGC00259927-01', 'AC-12676', 'O396', 'QC-11277', 'SC-14192', 'ST011993', 'DB-041663', "6-Chloro-N,N'-diethyl-2,4-diaminetriazine", 'CS-0014141', 'FT-0603326', 'NS00000244', 's-Triazine, 2,4-bis(ethylamino)-6-chloro-', 'Simazine, PESTANAL(R), analytical standard', 'T7353', '1-Chloro-3,5-Bisethylamino-2,4,6-Triazine', '2,4-Di(ethylamino)-6-chloro-1,3,5-triazine', '2-chloro-4,6-bis-ethylamino-1,3,5-triazine', '3584-EP2289891A2', 'C11172', '30497-EP2272847A1', '30497-EP2284170A1', '30497-EP2292088A1', '30497-EP2305642A2', '30497-EP2311835A1', '33280-EP2274983A1', '33280-EP2305655A2', '33280-EP2305658A1', '33280-EP2305662A1', '33280-EP2311815A1', '33280-EP2371823A1', 'Chloro-4,6-bis(       ethylamino)-s-triazine', '124900-EP2295426A1', '124900-EP2295427A1', 'Q416160', 'J-004790', "1,5-Triazine-2,4-diamine, 6-chloro-N,N'-diethyl-", "2,4-Diamine-6-chloro-N,N'-diethyl-1,3,5-triazine", 'BRD-K01416914-001-02-3', "N,N'-diethyl-6-chloro-[1,3,5]triazine-2,4-diamine", "6-Chloro-N,N'-diethyl-1,3,5-triazine-2,4-diyldiamine", '[4-chloro-6-(ethylamino)(1,3,5-triazin-2-yl)]ethylamine', '6-Chloro-N~2~,N~4~-diethyl-1,3,5-triazine-2,4-diamine', 'Simazine solution, 100 mug/mL in methanol, PESTANAL(R), analytical standard', '39291-64-0', 'imazine;4,4-Bipyridinium, 1,1-dimethyl-, dichloride, mixt. with 6-chloro-N,N-diethyl-1,3,5-triazine-2,4-diamine']</t>
  </si>
  <si>
    <t>Compound(5216)</t>
  </si>
  <si>
    <t>sum indoxacarb (S and R isomer)</t>
  </si>
  <si>
    <t>methyl 7-chloro-2-[methoxycarbonyl-[4-(trifluoromethoxy)phenyl]carbamoyl]-3,5-dihydroindeno[1,2-e][1,3,4]oxadiazine-4a-carboxylate</t>
  </si>
  <si>
    <t>['144171-61-9', '(+/-)-Indoxacarb', '(+-)-Indoxacarb', 'Indeno[1,2-e][1,3,4]oxadiazine-4a(3H)-carboxylic acid, 7-chloro-2,5-dihydro-2-[[(methoxycarbonyl)[4-(trifluoromethoxy)phenyl]amino]carbonyl]-, methyl ester', 'Indoxacarb, (+/-)-', 'Indeno(1,2-e)(1,3,4)oxadiazine-4a(3H)-carboxylic acid, 7-chloro-2,5-dihydro-2-(((methoxycarbonyl)(4-(trifluoromethoxy)phenyl)amino)carbonyl)-, methyl ester', 'methyl 7-chloro-2-[methoxycarbonyl-[4-(trifluoromethoxy)phenyl]carbamoyl]-3,5-dihydroindeno[1,2-e][1,3,4]oxadiazine-4a-carboxylate', 'DSSTox_CID_20801', 'DSSTox_GSID_40801', 'SCHEMBL22074', 'DPX-MP-062', 'CHEMBL1902546', 'DTXSID3040801', 'CTK8E8690', 'HY-B0834', 'Tox21_303872', 'AKOS015895562', 'Indoxacarb 10 microg/mL in Cyclohexane', 'NCGC00164264-01', 'NCGC00357134-01', 'CAS-144171-61-9', 'CS-0012848', 'FT-0631195', 'FT-0659019', 'NS00002724', 'A808186', 'J-007927', 'Q27286608', '7-chloro-2-[[N-methoxycarbonyl-4-(trifluoromethoxy)anilino]-oxomethyl]-3,5-dihydroindeno[1,2-e][1,3,4]oxadiazine-4a-carboxylic acid methyl ester', 'methyl 7-chloranyl-2-[methoxycarbonyl-[4-(trifluoromethyloxy)phenyl]carbamoyl]-3,5-dihydroindeno[1,2-e][1,3,4]oxadiazine-4a-carboxylate']</t>
  </si>
  <si>
    <t>Compound(9936739)</t>
  </si>
  <si>
    <t>sitagliptin</t>
  </si>
  <si>
    <t>(3R)-3-amino-1-[3-(trifluoromethyl)-6,8-dihydro-5H-[1,2,4]triazolo[4,3-a]pyrazin-7-yl]-4-(2,4,5-trifluorophenyl)butan-1-one</t>
  </si>
  <si>
    <t>['Sitagliptin', '486460-32-6', 'Januvia', 'MK-0431', 'Xelevia', 'Sitagliptin phosphate', 'UNII-QFP0P1DV7Z', 'Tesavel', 'LEZ763', 'QFP0P1DV7Z', 'Sitagliptan', '(2R)-4-OXO-4-[3-(TRIFLUOROMETHYL)-5,6-DIHYDRO[1,2,4]TRIAZOLO[4,3-A]PYRAZIN-7(8H)-YL]-1-(2,4,5-TRIFLUOROPHENYL)BUTAN-2-AMINE', '(R)-3-AMINO-1-(3-(TRIFLUOROMETHYL)-5,6-DIHYDRO-[1,2,4]TRIAZOLO[4,3-A]PYRAZIN-7(8H)-YL)-4-(2,4,5-TRIFLUOROPHENYL)BUTAN-1-ONE', '(3R)-3-amino-1-[3-(trifluoromethyl)-6,8-dihydro-5H-[1,2,4]triazolo[4,3-a]pyrazin-7-yl]-4-(2,4,5-trifluorophenyl)butan-1-one', 'CHEBI:40237', '(3R)-3-AMINO-1-[3-(TRIFLUOROMETHYL)-5H,6H,7H,8H-[1,2,4]TRIAZOLO[4,3-A]PYRAZIN-7-YL]-4-(2,4,5-TRIFLUOROPHENYL)BUTAN-1-ONE', '(3R)-3-amino-1-[3-(trifluoromethyl)-5,6-dihydro[1,2,4]triazolo[4,3-a]pyrazin-7(8H)-yl]-4-(2,4,5-trifluorophenyl)butan-1-one', '1,2,4-Triazolo[4,3-a]pyrazine,7-[(3R)-3-amino-1-oxo-4-(2,4,5-trifluorophenyl)butyl]-5,6,7,8-tetrahydro-3-(trifluoromethyl)-', 'Sitagliptin (Prop.INN)', 'Sitagliptin [INN:BAN]', 'sitagliptina', 'sitagliptine', 'sitagliptinum', 'Sitagliptin/', 'SR-05000001748', '790712-60-6', 'HSDB 7516', 'LEZ 763', '7-((3R)-3-Amino-1-oxo-4-(2,4,5-trifluorophenyl)buyl)-5,6,7,8-tetrahydro-3-trifluoromethyl)-1,4-triazolo(4,3-a)', 'Sitagliptin (13)', '(3R)-3-Amino-1-[3-(trifluoromethyl)-5,6,7,8-tetrahydro-1,2,4-triazolo[4,3-a]pyrazin-7-yl]-4-(2,4,5-trifluorophenyl)butan-1-one', 'PubChem18268', 'Tube110', 'Sitagliptin; MK0431', 'EC 690-730-1', 'CHEMBL1422', 'SCHEMBL17783', 'BSPBio_002262', 'Triazolopiperazine Analogue 1', 'MLS006011959', 'GTPL6286', 'BDBM11162', 'C16H15F6N5O', 'DTXSID70197572', 'LEZ-763', '1x70', 'HMS2093F20', 'ACT02665', 'EX-A2816', 'Sitagliptin (Metformin,MK-0431)', 'ZINC1489478', 'ABP000233', 'AKOS015888724', 'CCG-268731', 'CS-2914', 'DB01261', 'MCULE-2101761133', 'PB17676', 'SB20299', 'NCGC00178734-03', 'NCGC00178734-06', 'AS-19118', 'HY-13749', 'itagliptin phosphate;Sitagliptin Phosphate', 'SC-19743', 'SMR002546724', 'SBI-0206871.P001', 'AB0006583', 'LS-187389', 'S5079', 'X4663', 'A14377', 'A25516', 'D08516', 'Q-1665', 'AB01563393_01', 'AR-270/43507782', 'Q419832', 'Q-101366', 'Q-201711', 'SR-05000001748-1', 'BRD-K19416115-001-01-2', 'BRD-K19416115-001-03-8', 'Z1541638523', '(1R)-3-oxo-3-[3-(trifluoroethyl)-5,6-dihydro[1,2,4]triazolo[4,3-a]pyrazin-7(8H)-yl]-1-(2,4,5-trifluorobenzyl)propylamine', '(2r)-4-oxo-4-[3-(trifluoromethyl)-5,6-dihydro[1,2,4]triazolo[4,3-a] pyrazin-7(8h)-yl]-1-(2,4,5-trifluorophenyl)butan-2-amine', '(2r)-4-oxo-4-[3-(trifluoromethyl)-5,6-dihydro[1,2,4]triazolo[4,3-a]pyrazin-7(8h)-yl]-1-(2,4,5-trifluorophenyl)butan-2-a', '(2R)-4-oxo-4-[3-(trifluoromethyl)-5,6-dihydro[1,2,4]triazolo[4,3-alpha]pyrazin-7(8H)-yl]-1-(2,4,5-trifluorophenyl)butan-2-amine', '(3R)-3-amino-1-[3-(trifluoromethyl)-5H,6H,7H,8H-[1,2,4]triazolo[3,4-a]pyrazin-7-yl]-4-(2,4,5-trifluorophenyl)butan-1-one hydrochloride', '(R)-4-oxo-4-[3-(trifluoromethyl)-5,6-dihydro[1,2,4]triazolo[4,3-a]pyrazin-7(8H)-yl]-1-(2,4,5-trifluorophenyl)butan-2-amine', '1,2,4-Triazolo(4,3-a)pyrazine, 7-((3R)-3-amino-1-oxo-4-(2,4,5-trifluorophenyl)butyl)-5,6,7,8-tetrahydor-3-(trifluoromethyl)-', '1169707-31-6', '3-oxo-1-(2,4,5-trifluorobenzyl)-3-(3-(trifluoromethyl)-5,6-dihydro[1,2,4]triazolo[4,3-a]pyrazin-7(8H)-yl)propylamine', '7-[(3r)-3-amino-1-oxo-4-(2,4,5-trifluorophenyl)butyl]-5,6,7,8-tetrahydro-3-(trifluoromethyl)-1,2,4-triazolo[4,3-a]pyrazine']</t>
  </si>
  <si>
    <t>Compound(4369359)</t>
  </si>
  <si>
    <t>C16H15F6N5O</t>
  </si>
  <si>
    <t>sum of cations</t>
  </si>
  <si>
    <t>sum lanthanides</t>
  </si>
  <si>
    <t>som levofloxacin and ofloxacin</t>
  </si>
  <si>
    <t>sum linear and branched perfluorooctanoic acid</t>
  </si>
  <si>
    <t>sum linear and branched perfluorooctyl sulfonate</t>
  </si>
  <si>
    <t>sum metals (gray list)</t>
  </si>
  <si>
    <t>sum 5 metals (Zn, Cu, Pb, Ni, Cr)</t>
  </si>
  <si>
    <t>sum 6 metals (Zn, Cu, Pb, Ni, Cr, As)</t>
  </si>
  <si>
    <t>sum metals (black list)</t>
  </si>
  <si>
    <t>sorbic acid</t>
  </si>
  <si>
    <t>(2E,4E)-hexa-2,4-dienoic acid</t>
  </si>
  <si>
    <t>['sorbic acid', '110-44-1', '(2E,4E)-hexa-2,4-dienoic acid', '2,4-Hexadienoic acid', '2E,4E-Hexadienoic acid', 'Panosorb', 'Sorbistat', '2-Propenylacrylic acid', 'trans,trans-Sorbic acid', '2,4-Hexadienoic acid, (2E,4E)-', 'Hexadienoic acid', 'Hexa-2,4-dienoic acid', '(E,E)-2,4-Hexadienoic acid', 'alpha-trans-gamma-trans-Sorbic acid', 'Preservastat', '(E,E)-Sorbic acid', 'trans,trans-2,4-Hexadienoic acid', '2,4-Hexadienoic acid, (E,E)-', 'Crotylidene acetic acid', 'Kyselina sorbova', 'Acetic acid, crotylidene-', '(2E,4E)-2,4-Hexadienoic acid', 'Caswell No. 801', 'Sorbic Acid [USAN]', 'Acidum sorbicum', 'Acetic acid, (2-butenylidene)-', 'Kyselina sorbova [Czech]', 'trans-trans-2,4-Hexadienoic acid', '(E,E)-1,3-pentadiene-1-carboxylic acid', 'Hexadienoic acid, (E,E)', '(2-Butenylidene)acetic acid', 'Sorbic acid (NF)', 'Sorbic acid [NF]', 'UNII-X045WJ989B', 'CCRIS 5748', 'HSDB 590', '1,3-Pentadiene-1-carboxylic acid', '1,3-Pentadiene-1-carboxylic acid, (E,E)-', 'E 200', 'EINECS 203-768-7', '5309-56-8', 'Kyselina 1,3-pentadien-1-karboxylova', 'C6:2n-2,4', 'EPA Pesticide Chemical Code 075901', '(2-butenylidene) acetic acid', 'AI3-14851', '22500-92-1', 'CHEBI:38358', 'Kyselina 1,3-pentadien-1-karboxylova [Czech]', '(E,E)-Sorbic acid; Sorbic acid', 'X045WJ989B', 'MFCD00002703', 'NCGC00091737-01', 'DSSTox_CID_1277', 'DSSTox_RID_76053', 'DSSTox_GSID_21277', '91751-55-2', 'Hexadienic acid', '2,4-Hexadienoic acid, 99%', '(2E,4E)hexa-2,4-dienoic acid', 'Potassium sorbate / Sorbistat-K', 'CAS-110-44-1', 'Sorbic acid solution', 'Sorbic acid, (E,E)-', 'Sorbinsaeure', 'Sorbinsaure', 'NSC49103', 'E-sorbic acid', 'trans,trans-SA', 'Sorbic Acid FCC', 'Hexa-2,4-dienoic acid, (E,E)-', '2,4-Hexadiensaeure', 'NSC 35405', 'NSC 49103', 'NSC 50268', 'Crotylidene-Acetic acid', 'Sorbate and sorbic acid', 'EC 203-768-7', 'SCHEMBL1647', 'Sorbic acid, &gt;=99.0%', 'MLS002152937', '(2-butenylidene)-Acetic acid', '(2E)-2,4-Hexadienoic acid', '(E,E)-SA', 'CHEMBL250212', '(e,e)-hexa-2,4-dienoic acid', 'DTXSID3021277', 'Sorbic acid, analytical standard', 'CHEBI:35962', 'FEMA 3921', 'HMS3039E13', 'Sorbic acid, potassium salt (van)', 'HY-N0626', 'STR09707', 'ZINC1558385', 'Tox21_111164', 'Tox21_201719', 'Tox21_300182', '2,4-SA', 'LMFA01030100', 'LS-504', 's4983', 'SBB060282', '(2E,4E)-2,4-Hexadienoic acid #', '2, 4-Hexadienoic acid potassium salt', 'AKOS000119456', 'CCG-266056', 'NE10215', '2,4-Hexadienoic acid, (trans,trans)-', '2,4-Hexadienoic acid, &gt;=99%, FCC', '.alpha.-trans-.gamma.-trans-Sorbic acid', 'NCGC00091737-02', 'NCGC00091737-03', 'NCGC00091737-05', 'NCGC00253957-01', 'NCGC00259268-01', 'E200', 'P891', 'SMR001224532', 'Sorbic acid, tested according to Ph.Eur.', 'Sorbic acid, SAJ first grade, &gt;=98.5%', 'CS-0009618', 'NS00002145', 'S0053', 'S0856', 'Sorbic acid, Vetec(TM) reagent grade, 98%', 'ST51046499', 'Sorbic acid, for synthesis, 99.0-101.0%', 'alpha-trans-Laquo gammaRaquo -trans-sorbic acid', 'D05892', 'Hexadienoic acid1,3-pentadiene-1-carboxylic acid', 'A829400', 'AN-651/40229308', 'Q407131', 'J-002425', 'J-524281', '2,4-Hexadienoic acid, (E,E)-; 2,4-Hexadienoic acid', 'F8886-8255', 'Sorbic acid, European Pharmacopoeia (EP) Reference Standard', 'Sorbic acid, United States Pharmacopeia (USP) Reference Standard', 'Sorbic acid, Pharmaceutical Secondary Standard; Certified Reference Material']</t>
  </si>
  <si>
    <t>Compound(643460)</t>
  </si>
  <si>
    <t>sum 2 organotin compounds (tributyltin and triphenyltin)</t>
  </si>
  <si>
    <t>N-[4-[1-hydroxy-2-(propan-2-ylamino)ethyl]phenyl]methanesulfonamide</t>
  </si>
  <si>
    <t>['sotalol', '3930-20-9', 'beta-Cardone', 'Sotalolum', 'DL-Sotalol', 'Sotalol [INN:BAN]', 'Sotalolum [INN-Latin]', 'MJ-1999', 'N-(4-(1-Hydroxy-2-(isopropylamino)ethyl)phenyl)methanesulfonamide', '.beta.-Cardone', "4'-(1-Hydroxy-2-(isopropylamino)ethyl)methane sulfonanilide", 'CCRIS 4204', 'CHEMBL471', "4'-(1-Hydroxy-2-isopropylaminoethyl)methanesulfonanilid", 'CHEBI:63622', "Methanesulfonanilide, 4'-(1-hydroxy-2-(isopropylamino)ethyl)-", 'N-[4-[1-hydroxy-2-(propan-2-ylamino)ethyl]phenyl]methanesulfonamide', 'N-{4-[1-hydroxy-2-(propan-2-ylamino)ethyl]phenyl}methanesulfonamide', 'C12H20N2O3S', 'NCGC00015919-04', 'N-{4-[1-hydroxy-2-(isopropylamino)ethyl]phenyl}methanesulfonamide', 'N-(4-{1-hydroxy-2-[(propan-2-yl)amino]ethyl}phenyl)methanesulfonamide', 'Methanesulfonamide, N-(4-(1-hydroxy-2-((1-methylethyl)amino)ethyl)phenyl)-', 'Methanesulfonamide, N-[4-[1-hydroxy-2-[(1-methylethyl)amino]ethyl]phenyl]-', 'Darob mite (TN)', 'Sotalol (INN)', '(+-)-Sotalol', 'N-[4-[1-Hydroxy-2-(isopropylamino)ethyl]phenyl]methanesulfonamide', 'Sotalol,(+)', 'Sotalol,(-)', 'Prestwick0_000966', 'Prestwick1_000966', 'Prestwick2_000966', 'Prestwick3_000966', 'DSSTox_CID_3589', 'DSSTox_RID_77096', 'DSSTox_GSID_23589', 'Lopac0_001055', 'SCHEMBL16407', 'BSPBio_000971', 'cid_66245', 'SPBio_002892', 'BPBio1_001069', 'GTPL7297', 'DTXSID0023589', 'BDBM25762', 'C07AA07', 'HMS2089K09', 'ALBB-022454', 'ZX-AN038039', 'Tox21_110261', 'AKOS015897340', 'N-(4-{1-hydroxy-2-[(1-methylethyl)amino]ethyl}phenyl)methanesulfonamide', 'API0004211', 'CCG-205132', 'DB00489', 'SDCCGSBI-0051025.P003', 'VA11777', 'NCGC00015919-03', 'NCGC00015919-05', 'NCGC00015919-06', 'NCGC00015919-07', 'NCGC00015919-14', 'NCGC00024899-02', 'NCGC00024899-03', 'AC-19021', 'AK129841', 'CC-34512', 'LS-90249', 'CAS-3930-20-9', 'SBI-0051025.P002', 'AX8014256', 'DB-049399', 'AB00514715', 'NS00000195', 'NS00098785', 'R2742', 'C07309', 'D08525', 'AB00514715-09', 'AB00514715-10', 'AB00514715_11', 'AB00514715_12', '930S209', 'C-17160', 'L013427', 'Q413591', 'BRD-A33168282-003-03-2', 'BRD-A33168282-003-06-5', "4'-[1-Hhydroxy-2-(isopropylamino)ethyl]methanesulfonanilide", "4'-[1-Hydroxy-2-(isopropylamino)ethyl]metahnesulfonanilide", "4'-[1-Hydroxy-2-(isopropylamino)ethyl]methanesulfonanilide", 'N-(4-[1-Hydroxy-2-(isopropylamino)ethyl]phenyl)methanesulfonamide #', 'Methanesulfonamide, N-(4-(1-hydroxy-2-((1-methylethyl)amino)ethyl)phenyl)- (9CI)', "4-(1-hydroxy-2-isopropylaminoethyl)methanesulphonanilide hydrochloride;Methanesulphone, 4'-(1-Hydroxy-2-isopropylaminoeth;4'-(1-hydroxy-2-isopropylaminoethyl)methanesulphonanilide hydrochloride;Sotalol hydrochloride"]</t>
  </si>
  <si>
    <t>Compound(5253)</t>
  </si>
  <si>
    <t>C12H20N2O3S</t>
  </si>
  <si>
    <t>sum o-xylene and styrene</t>
  </si>
  <si>
    <t>sum of peroxisome proliferators (gamma)</t>
  </si>
  <si>
    <t>sum pesticides Cromstrijen-new</t>
  </si>
  <si>
    <t>sum pesticides group Slufter</t>
  </si>
  <si>
    <t>(1S,2S,5R,7S,9S,10S,14R,19S)-15-[(2R,5S,6R)-5-(dimethylamino)-6-methyloxan-2-yl]oxy-19-ethyl-4,14-dimethyl-7-[(2R,3R,4R,5S,6S)-3,4,5-trimethoxy-6-methyloxan-2-yl]oxy-20-oxatetracyclo[10.10.0.02,10.05,9]docosa-3,11-diene-13,21-dione;(1S,2R,5S,7R,9R,10S,14R,19S)-15-[(2R,5S,6R)-5-(dimethylamino)-6-methyloxan-2-yl]oxy-19-ethyl-14-methyl-7-[(2R,3R,4R,5S,6S)-3,4,5-trimethoxy-6-methyloxan-2-yl]oxy-20-oxatetracyclo[10.10.0.02,10.05,9]docosa-3,11-diene-13,21-dione</t>
  </si>
  <si>
    <t>['UNII-XPA88EAP6V', 'XPA88EAP6V', 'Comfortis', 'Natroba', 'NaturaLyte', 'Spinosad [USAN]', 'XDE 105', 'EC 434-300-1']</t>
  </si>
  <si>
    <t>Compound(56841558)</t>
  </si>
  <si>
    <t>C83H132N2O20</t>
  </si>
  <si>
    <t>(1S,2R,5S,7R,9R,10S,14R,15S,19S)-15-[(2R,5S,6R)-5-(dimethylamino)-6-methyloxan-2-yl]oxy-19-ethyl-14-methyl-7-[(2R,3R,4R,5S,6S)-3,4,5-trimethoxy-6-methyloxan-2-yl]oxy-20-oxatetracyclo[10.10.0.02,10.05,9]docosa-3,11-diene-13,21-dione</t>
  </si>
  <si>
    <t>['Spinosyn A', 'Spinosad factor A', '131929-60-7', 'Lepicidin A', 'UNII-OY0L59V61N', 'Spinosyn-A', 'A 83543A', 'CHEBI:9230', 'OY0L59V61N', '(-)-Spinosyn A', 'Spinosad A', 'HSDB 7006', 'Spinosad;spinosyn A', '(2R,3aS,5aR,5bS,9S,13S,14R,16aS,16bR)-13-{[(2R,5S,6R)-5-(dimethylamino)-6-methyltetrahydro-2H-pyran-2-yl]oxy}-9-ethyl-14-methyl-7,15-dioxo-2,3,3a,5a,5b,6,7,9,10,11,12,13,14,15,16a,16b-hexadecahydro-1H-as-indaceno[3,2-d]oxacyclododecin-2-yl 6-deoxy-2,3,4-tri-O-methyl-alpha-L-mannopyranoside', '2R,3aS,5aR,5bS,9S,13S,14R,16aS,16bR)-2-(6-deoxy-2,3,4-tri-O-methyl-?-L-mannopyranosyloxy)-13-(4-dimethylamino-2,3,4,6-tetradeoxy-?-D-erythropyranosyloxy)-9-ethyl-2,3,3a,5a,5b,6,7,9,10,11,12,13,14,15,16a,16b-hexadecahydro-14-methyl-1H-as-indaceno[3,2-d]oxacyclododecine-7,15-dione', 'Spinosad factor A [USAN]', 'CCRIS 8937', 'SCHEMBL465876', 'CHEMBL501411', 'DTXSID8037598', '1H-as-Indaceno(3,2-d)oxacyclododecin-7,15-dione, 2,3,3a,5a,5b,6,9,10,11,12,13,14,16a,16b-tetradecahydro-2-((6-deoxy-2,3,4-tri-O-methyl-alpha-L-mannopyranosyl)oxy)- 13-((5-dimethylamino)tetrahydro-6-methyl-2H-pyran-2-yl)oxy)-9-ethyl-14-methyl-, (2R-(2R*,3aS*,5aR*,5bS*,9S*,13S*(2R*,5S*,6R*),14R*,16aS*,16bR*))-', 'ZINC87496240', 'C11054', 'Q27108323', 'UNII-XPA88EAP6V component SRJQTHAZUNRMPR-UYQKXTDMSA-N', '(1S,2R,5S,7R,9R,10S,14R,15S,19S)-15-[(2R,5S,6R)-5-(dimethylamino)-6-methyloxan-2-yl]oxy-19-ethyl-14-methyl-7-[(2R,3R,4R,5S,6S)-3,4,5-trimethoxy-6-methyloxan-2-yl]oxy-20-oxatetracyclo[10.10.0.02,10.05,9]docosa-3,11-diene-13,21-dione', '(2R,3aS,5aR,5bS,9S,13S,14R,16aS,16bR)-2-((6-Deoxy-2,3,4-tri-O-methyl-alpha-L-mannopyranosyl)oxy)-13-(((2R,5S,6R)-5-(dimethylamino)tetrahydro-6-methyl-2H-pyran-2-yl)oxy)-9-ethyl-14-methyl-2,3,3a,5a,5b,6,9,10,11,12,13,14,16a,16b-tetradecahydro-1H-as-indaceno(3,2-d)oxacyclododecin-7,15-dione', '(2R,3aS,5aR,5bS,9S,13S,14R,16aS,16bR)-2-[(6-Deoxy-2,3,4-tri-O-methyl-alpha-L-mannopyranosyl)oxy]-13-[[(2R,5S,6R)-5-(dimethylamino)tetrahydro-6-methyl-2H-pyran-2-yl]oxy]-9-ethyl-2,3,3a,5a,5b,6,9,10,11,12,13,14,16a,16b-tetradecahydro-14-methyl-1H-as-indaceno[3,2-d]oxacyclododecin-7,15-dione', '(2R,3aS,5aR,5bS,9S,14R,16aS,16bR)-13-{[(2R,5S,6R)-5-(Dimethylamino)-6-methyloxan-2-yl]oxy}-9-ethyl-14-methyl-7,15-dioxo-2,3,3a,5a,5b,6,7,9,10,11,12,13,14,15,16a,16b-hexadecahydro-1H-as-indaceno[3,2-d]oxacyclododecin-2-yl 6-deoxy-2,3,4-tri-O-methyl-alpha-L-mannopyranoside', '1H-as-Indaceno(3,2-d)oxacyclododecin-7,15-dione, 2-((6-deoxy-2,3,4-tri-O-methyl-alpha-L-mannopyranosyl)oxy)-13-(((2R,5S,6R)-5-(dimethylamino)tetrahydro-6-methyl-2H-pyran-2-yl)oxy)-9-ethyl-2,3,3a,5a,5b,6,9,10,11,12,13,14,16a,16b-tetradecahydro-14-methyl-, (2R,3aS,5aR,5bS,9S,13S,14R,16aS,16bR)-']</t>
  </si>
  <si>
    <t>Compound(443059)</t>
  </si>
  <si>
    <t>C41H65NO10</t>
  </si>
  <si>
    <t>(1S,2S,5R,7S,9S,10S,14R,15S,19S)-15-[(2R,5S,6R)-5-(dimethylamino)-6-methyloxan-2-yl]oxy-19-ethyl-4,14-dimethyl-7-[(2R,3R,4R,5S,6S)-3,4,5-trimethoxy-6-methyloxan-2-yl]oxy-20-oxatetracyclo[10.10.0.02,10.05,9]docosa-3,11-diene-13,21-dione</t>
  </si>
  <si>
    <t>['Spinosyn D', 'Spinosad factor D', '131929-63-0', 'UNII-78G4631RTT', 'A 83543D', 'CHEBI:9232', '78G4631RTT', 'Spinosad D', 'Spinosad B;spinosyn D', '(2S,3aR,5aS,5bS,9S,13S,14R,16aS,16bS)-13-{[(2R,5S,6R)-5-(dimethylamino)-6-methyltetrahydro-2H-pyran-2-yl]oxy}-9-ethyl-4,14-dimethyl-7,15-dioxo-2,3,3a,5a,5b,6,7,9,10,11,12,13,14,15,16a,16b-hexadecahydro-1H-as-indaceno[3,2-d]oxacyclododecin-2-yl 6-deoxy-2,3,4-tri-O-methyl-alpha-L-mannopyranoside', 'Spinosad factor D [USAN]', 'SCHEMBL465825', 'CHEMBL503450', 'DTXSID3037599', 'ZINC85537011', '1H-as-Indaceno(3,2-d)oxacyclododecin-7,15-dione, 2-((6-deoxy-2,3,4-tri-O-methyl-alpha-L-mannopyranosyl)oxy)-13-(((2R,5S,6R)-5-(dimethylamino)tetrahydro-6-methyl-2H-pyran-2-yl)oxy)-9-ethyl-2,3,3a,5a,5b,6,9,10,11,12,13,14,16a,16b-tetradecahydro-4,14-dimet', 'C11056', 'J-006090', 'Q27108325', 'UNII-XPA88EAP6V component RDECBWLKMPEKPM-PSCJHHPTSA-N', '(2R,3aS,5aR,5bS,9S,13S,14R,16aS,16bR)-2-((6-Deoxy-2,3,4-tri-O-methyl-alpha-L-mannopyranosyl)oxy)-13-(((2R,5S,6R)-5-(dimethylamino)tetrahydro-6-methyl-2H-pyran-2-yl)oxy)-9-ethyl-4,14-dimethyl-2,3,3a,5a,5b,6,9,10,11,12,13,14,16a,16b-tetradecahydro-1H-as-indaceno(3,2-d)oxacyclododecin-7,15-dione', '(2S,3aR,5aS,5bS,9S,14R,16aS,16bS)-13-{[(2R,5S,6R)-5-(Dimethylamino)-6-methyloxan-2-yl]oxy}-9-ethyl-4,14-dimethyl-7,15-dioxo-2,3,3a,5a,5b,6,7,9,10,11,12,13,14,15,16a,16b-hexadecahydro-1H-as-indaceno[3,2-d]oxacyclododecin-2-yl 6-deoxy-2,3,4-tri-O-methyl-alpha-L-mannopyranoside', '1H-as-Indaceno(3,2-d)oxacyclododecin-7,15-dione, 2-((6-deoxy-2,3,4-tri-O- methyl-a-L-mannopyranosyl)oxy)-13-(((2R,5S,6R)-5- (dimethylamino)tetrahydro-6-methyl-2H-pyran-2-yl)oxy)-9-ethyl- 2,3,3a,5a,5b,6,9,10,11,12,13,14,16a,16b-tetradecahydro-4,14-dimethyl-, (2S,3aR,5aS,5bS,9S,13S,14R,16aS,16bS)-', '1H-as-Indaceno(3,2-d)oxacyclododecin-7,15-dione, 2-((6-deoxy-2,3,4-tri-O-methyl-alpha-L-mannopyranosyl)oxy)-13-(((2R,5S,6R)-5-(dimethylamino)tetrahydro-6-methyl-2H-pyran-2-yl)oxy)-9-ethyl-2,3,3a,5a,5b,6,9,10,11,12,13,14,16a,16b-tetradecahydro-4,14-dimethyl-, (2S,3aR,5aS,5bS,9S,13S,14R,16aS,16bS)-', '1H-as-Indaceno3,2-doxacyclododecin-7,15-dione, 2-(6-deoxy-2,3,4-tri-O-methyl-.alpha.-L-mannopyranosyl)oxy-13-(2R,5S,6R)-5-(dimethylamino)tetrahydro-6-methyl-2H-pyran-2-yloxy-9-ethyl-2,3,3a,5a,5b,6,9,10,11,12,13,14,16a,16b-tetradecahydro-4,14-dimethyl-, (2']</t>
  </si>
  <si>
    <t>Compound(183094)</t>
  </si>
  <si>
    <t>C42H67NO10</t>
  </si>
  <si>
    <t>[3-(2,4-dichlorophenyl)-2-oxo-1-oxaspiro[4.5]dec-3-en-4-yl] 2,2-dimethylbutanoate</t>
  </si>
  <si>
    <t>['spirodiclofen', '148477-71-8', 'UNII-3X7G31F5MX', '3X7G31F5MX', 'CHEBI:38639', '3-(2,4-dichlorophenyl)-2-oxo-1-oxaspiro[4.5]dec-3-en-4-yl 2,2-dimethylbutanoate', '[3-(2,4-dichlorophenyl)-2-oxo-1-oxaspiro[4.5]dec-3-en-4-yl] 2,2-dimethylbutanoate', 'Envidor', 'Spirodiclofen [ISO]', 'HSDB 7940', 'BAJ 2740', 'SCHEMBL27234', 'CHEMBL2227839', 'DTXSID6034928', 'BAJ2740', 'BAJ-2740', 'BCP21407', 'HY-B0826', 'ZINC2540062', 'AKOS015895782', 'CS-5165', 'NCGC00182605-01', 'Spirodiclofen 10 microg/mL in Cyclohexane', 'LS-191261', 'FT-0631177', 'NS00006322', 'C18553', '31444-EP2274983A1', '31444-EP2275422A1', '31444-EP2308858A1', '31444-EP2311816A1', '31444-EP2311817A1', 'Spirodiclofen, PESTANAL(R), analytical standard', '477S718', 'C-21910', 'Q425807', 'J-008475', 'Butanoic acid, 2,2-dimethyl-, 3-(2,4-dichlorophenyl)-2-oxo-1-oxaspiro(4.5)dec-3-en-4-yl ester', 'Pesticide7_Spirodiclofen_C21H24Cl2O4_Butanoic acid, 2,2-dimethyl-, 3-(2,4-dichlorophenyl)-2-oxo-1-oxaspiro[4.5]dec-3-en-4-yl ester']</t>
  </si>
  <si>
    <t>Compound(177863)</t>
  </si>
  <si>
    <t>C21H24Cl2O4</t>
  </si>
  <si>
    <t>spiramycin</t>
  </si>
  <si>
    <t>2-[(4R,5S,6S,7R,9R,10R,11E,13E,16R)-6-[5-(4,5-dihydroxy-4,6-dimethyloxan-2-yl)oxy-4-(dimethylamino)-3-hydroxy-6-methyloxan-2-yl]oxy-10-[5-(dimethylamino)-6-methyloxan-2-yl]oxy-4-hydroxy-5-methoxy-9,16-dimethyl-2-oxo-1-oxacyclohexadeca-11,13-dien-7-yl]acetaldehyde</t>
  </si>
  <si>
    <t>['spiramycin', '8025-81-8', 'ST075006', 'Prestwick_121', 'Prestwick2_000745', 'Prestwick3_000745', 'BPBio1_000804', 'SCHEMBL5032756', 'AKOS015896378', 'K430', 'SR-01000872632', 'SR-01000872632-1', 'Spiramycin, European Pharmacopoeia (EP) Reference Standard', 'Spiramycin from Streptomyces sp., VETRANAL(TM), analytical standard', 'Spiramycin, Pharmaceutical Secondary Standard; Certified Reference Material', '2-[(4R,5S,6S,7R,9R,10R,16R)-6-[4-(dimethylamino)-5-[4,6-dimethyl-4,5-bis(oxidanyl)oxan-2-yl]oxy-6-methyl-3-oxidanyl-oxan-2-yl]oxy-10-[5-(dimethylamino)-6-methyl-oxan-2-yl]oxy-5-methoxy-9,16-dimethyl-4-oxidanyl-2-oxidanylidene-1-oxacyclohexadeca-11,13-dien-7-yl]ethanal', '2-{(2S,3S,14S,1R,4R,8R,15R)-2-[5-(4,5-dihydroxy-4,6-dimethyl(2H-3,4,5,6-tetrah ydropyran-2-yl)oxy)-4-(dimethylamino)-3-hydroxy-6-methyl(2H-3,4,5,6-tetrahydro pyran-2-yl)oxy]-14-[5-(dimethylamino)-6-me', '2-{(2S,3S,14S,1R,4R,8R,15R)-2-[5-(4,5-dihydroxy-4,6-dimethyl(2H-3,4,5,6-tetrah ydropyran-2-yl)oxy)-4-(dimethylamino)-3-hydroxy-6-methyl(2H-3,4,5,6-tetrahydro pyran-2-yl)oxy]-14-[5-(dimethylamino)-6-methyl(2H-3,4,5,6-tetrahydropyran-2-yl )oxy]-4-hydroxy-3-', 'thyl(2H-3,4,5,6-tetrahydropyran-2-yl )oxy]-4-hydroxy-3-methoxy-8,15-dimethyl-6-oxo-7-oxacyclohexadeca-10,12-dienyl} ethanal']</t>
  </si>
  <si>
    <t>Compound(6419898)</t>
  </si>
  <si>
    <t>C43H74N2O14</t>
  </si>
  <si>
    <t>spiromesifene</t>
  </si>
  <si>
    <t>[2-oxo-3-(2,4,6-trimethylphenyl)-1-oxaspiro[4.4]non-3-en-4-yl] 3,3-dimethylbutanoate</t>
  </si>
  <si>
    <t>['spiromesifen', '283594-90-1', 'UNII-N726NTQ5ZC', 'N726NTQ5ZC', 'CHEBI:38640', '[2-oxo-3-(2,4,6-trimethylphenyl)-1-oxaspiro[4.4]non-3-en-4-yl] 3,3-dimethylbutanoate', 'Oberon', '3-mesityl-2-oxo-1-oxaspiro[4.4]non-3-en-4-yl 3,3-dimethylbutanoate', '2-oxo-3-(2,4,6-trimethylphenyl)-1-oxaspiro[4.4]non-3-en-4-yl 3,3-dimethylbutanoate', 'Spiromesifen [ISO]', 'Spiromefesin', 'HSDB 7882', 'DSSTox_CID_14929', 'DSSTox_RID_79222', 'DSSTox_GSID_34929', 'SCHEMBL25068', 'CHEMBL2227838', 'DTXSID1034929', 'CTK8E9856', 'BSN 2060', 'Tox21_301233', 'ZINC35874305', 'NCGC00255433-01', 'Spiromesifen 10 microg/mL in Cyclohexane', 'LS-191262', 'CAS-283594-90-1', 'NS00004014', 'C18488', '31434-EP2274983A1', '31434-EP2275422A1', '31434-EP2308858A1', '31434-EP2311816A1', '31434-EP2311817A1', 'Spiromesifen, PESTANAL(R), analytical standard', 'J-017051', 'Q1315183', '3-mesityl-2-oxo-1-oxaspiro[4.4]non-3-en-4-yl 3,3-dimethylbutyrate;Butanoic acid, 3,3-dimethyl-, 2-oxo-3-(2,4,6-trimethylphenyl)-1-oxaspiro[4.4]non-3-en-4-yl ester;Spiromefesin', 'Pesticide7_Spiromesifen_C23H30O4_2-Oxo-3-(2,4,6-trimethylphenyl)-1-oxaspiro[4.4]non-3-en-4-yl 3,3-dimethylbutanoate']</t>
  </si>
  <si>
    <t>Compound(9907412)</t>
  </si>
  <si>
    <t>C23H30O4</t>
  </si>
  <si>
    <t>3-(2,5-dimethylphenyl)-3-hydroxy-8-methoxy-1-azaspiro[4.5]decane-2,4-dione</t>
  </si>
  <si>
    <t>['1172134-11-0', '3-(2,5-Dimethylphenyl)-3-hydroxy-8-methoxy-1-azaspiro(4.5)decane-2,4-dione', '3-(2,5-Dimethylphenyl)-3-hydroxy-8-methoxy-1-azaspiro[4.5]decane-2,4-dione', 'UNII-2Q79H8BRGF', 'Spirotetramat-ketohydroxy', 'Spirotetramat Ketohydroxy', 'Spirotetramat-keto-hydroxy', '2Q79H8BRGF', 'DTXSID70746766', '1-Azaspiro(4.5)decane-2,4-dione, 3-(2,5-dimethylphenyl)-3-hydroxy-8-methoxy-', 'cis-3-(2,5-Dimethylphenyl)-3-hydroxy-8-methoxy-1-azaspiro(4.5)decane-2,4-dione', 'Spirotetramat cis-ketohydroxy BYI08330', 'NS00002790', 'Q27255472']</t>
  </si>
  <si>
    <t>Compound(71312325)</t>
  </si>
  <si>
    <t>C18H23NO4</t>
  </si>
  <si>
    <t>[3-(2,5-dimethylphenyl)-8-methoxy-2-oxo-1-azaspiro[4.5]dec-3-en-4-yl] ethyl carbonate</t>
  </si>
  <si>
    <t>['Spirotetramat', '203313-25-1', 'Movento', '(5s,8s)-3-(2,5-Dimethylphenyl)-8-methoxy-2-oxo-1-azaspiro[4.5]dec-3-en-4-yl ethyl carbonate', 'Ultor', 'UNII-4G7KR034OX', '4G7KR034OX', 'Carbonic acid, cis-3-(2,5-dimethylphenyl)-8-methoxy-2-oxo-1-azaspiro[4.5]dec-3-en-4-yl ethyl ester', 'CHEBI:81975', '[3-(2,5-dimethylphenyl)-8-methoxy-2-oxo-1-azaspiro[4.5]dec-3-en-4-yl] Ethyl Carbonate', 'Spirotetramat [ISO]', 'pirotetramat', 'BYI 1330', 'cis-3-(2,5-Dimethylphenyl)-8-methoxy-2-oxo-1-azaspiro[4.5]dec-3-en-4-yl ethyl carbonate', 'DSSTox_CID_24342', 'DSSTox_RID_80158', 'DSSTox_GSID_44342', 'SCHEMBL26389', 'SCHEMBL337030', 'CHEMBL2229173', 'DTXSID7044342', 'SCHEMBL12022413', 'SCHEMBL13227443', 'SCHEMBL13299093', 'Tox21_302430', 'ZINC34056151', 'AKOS016007693', 'NCGC00255843-01', 'Carbonic acid, cis-3-(2,5-dimethylphenyl)-8-methoxy-2-oxo-1-azaspiro(4.5)dec-3-en-4-y l ethyl ester', 'AX8239277', 'CAS-203313-25-1', 'NS00008224', 'C18807', 'J-013221', 'Q2685527', '3-(2,5-Dimethylphenyl)-8-methoxy-2-oxo-1-azaspiro[4.5]dec-3-en-4-yl ethyl carbonate', 'cis-3-(2,5-dimethylphenyl)-8-methoxy-2-oxo-1-azaspiro[4.5]dec-3-en-4-yl ethylcarbonate', 'ethyl cis-8-methoxy-2-oxo-3-(2,5-xylyl)-1-azaspiro[4.5]dec-3-en-4-yl carbonate', 'Ethyl=cis-3-(2,5-dimethylphenyl)-8-methoxy-2-oxo-1-azaspiro[4.5]dec-3-en-4-yl carbonate', 'Pesticide7_Spirotetramat_C21H27NO5_Carbonic acid, 3-(2,5-dimethylphenyl)-8-methoxy-2-oxo-1-azaspiro[4.5]dec-3-en-4-yl ethyl ester']</t>
  </si>
  <si>
    <t>Compound(9969573)</t>
  </si>
  <si>
    <t>C21H27NO5</t>
  </si>
  <si>
    <t>N-[(8-tert-butyl-1,4-dioxaspiro[4.5]decan-3-yl)methyl]-N-ethylpropan-1-amine</t>
  </si>
  <si>
    <t>['Spiroxamine', '118134-30-8', 'N-((8-(tert-Butyl)-1,4-dioxaspiro[4.5]decan-2-yl)methyl)-N-ethylpropan-1-amine', 'Spiroxamine [ISO]', 'KWG4168', 'CHEBI:9242', 'N-[(8-tert-butyl-1,4-dioxaspiro[4.5]dec-2-yl)methyl]-N-ethylpropan-1-amine', 'N-[(8-tert-butyl-1,4-dioxaspiro[4.5]decan-3-yl)methyl]-N-ethylpropan-1-amine', 'J-504005', 'C18H35NO2', '8-(1,1-dimethylethyl)-N-ethyl-N-propyl-1,4-dioxaspiro(4.5)decane-2-methanamine', 'Impulse', 'Spiroxamine (I)', 'Spiroxamine (II)', 'Spiroxamine isomer I', 'Spiroxamine isomer II', 'SPIROXAMINE-1', 'SPIROXAMINE-2', 'DSSTox_CID_14212', 'DSSTox_RID_79124', 'DSSTox_GSID_34212', 'SCHEMBL20282', 'CHEMBL445338', 'DTXSID1034212', 'CTK8C3884', 'ZX-AT013329', 'Tox21_301163', '2960AA', 'ANW-70756', 'AKOS015895921', 'MCULE-9507982331', 'OR59945', '1,4-Dioxaspiro(4.5)decane-2-methanamine, 8-(1,1-dimethylethyl)-N-ethyl-N-propyl-', 'N-[(8-tert-butyl-1,4-dioxaspiro[4.5]decan-3-yl)methyl]-N-ethyl-propan-1-amine', 'NCGC00164315-01', 'NCGC00164315-02', 'NCGC00164315-03', 'NCGC00255061-01', 'ACM118134308', 'Spiroxamine 10 microg/mL in Acetonitrile', 'AX8239257', 'DB-061262', 'LS-182892', 'CAS-118134-30-8', 'FT-0655721', 'NS00009694', 'C11124', 'Spiroxamine, PESTANAL(R), analytical standard', '134S308', 'A803888', 'Q1850388', '(8-tert-Butyl-1,4-dioxa-spiro[4.5]dec-2-ylmethyl)-ethyl-propyl-amine', '8-tert-butyl-1,4-dioxaspiro[4.5]decan-2-ylmethyl(ethyl)(propyl)amine', '1,4-Dioxaspiro[4.5]Decane-2-methanamine,8-(1,1-dimethylethyl)-n-ethyl-n-propyl-', 'N-[(8-tert-Butyl-1,4-dioxaspiro[4.5]dec-2-yl)methyl]-N-ethylpropan-1-amin', 'N-[(8-tert-Butyl-1,4-dioxaspiro[4.5]decan-2-yl)methyl]-N-ethylpropan-1-amine', 'N-[(8-tert-butyl-1,4-dioxaspiro[4.5]decan-3-yl)methyl]-N-ethyl-1-propanamine', 'N-Ethyl-N-{[8-(2-methyl-2-propanyl)-1,4-dioxaspiro[4.5]dec-2-yl]methyl}-1-propanamine', 'Spiroxamine;1,4-Dioxaspiro[4.5]decane-2-methanamine, 8-(1,1-dimethylethyl)-N-ethyl-N-propyl-']</t>
  </si>
  <si>
    <t>Compound(86160)</t>
  </si>
  <si>
    <t>C18H35NO2</t>
  </si>
  <si>
    <t>sum of progestins</t>
  </si>
  <si>
    <t>som ethyl parathion and methyl parathion</t>
  </si>
  <si>
    <t>sum pyrethrin I and II</t>
  </si>
  <si>
    <t>squalene</t>
  </si>
  <si>
    <t>(6E,10E,14E,18E)-2,6,10,15,19,23-hexamethyltetracosa-2,6,10,14,18,22-hexaene</t>
  </si>
  <si>
    <t>['squalene', '111-02-4', 'trans-Squalene', 'Spinacene', 'Supraene', '2,6,10,15,19,23-Hexamethyltetracosa-2,6,10,14,18,22-hexaene', 'All-trans-Squalene', '(E)-Squalene', '7683-64-9', '2,6,10,15,19,23-Hexamethyl-2,6,10,14,18,22-tetracosahexaene', 'UNII-7QWM220FJH', '(E,E,E,E)-Squalene', 'MF59', '(6E,10E,14E,18E)-2,6,10,15,19,23-hexamethyltetracosa-2,6,10,14,18,22-hexaene', 'EINECS 203-826-1', '7QWM220FJH', 'Spinacen', '(All-E)-2,6,10,15,19,23-hexamethyl-2,6,10,14,18,22-tetracosahexaene', '2,6,10,14,18,22-Tetracosahexaene, 2,6,10,15,19,23-hexamethyl-, (all-E)-', 'CHEBI:15440', 'Nikko Squalane EX', '2,6,10,14,18,22-Tetracosahexaene, 2,6,10,15,19,23-hexamethyl-', 'C30H50', 'MFCD00008912', 'Squalene, 99+%', 'NCGC00181323-01', 'DSSTox_CID_6044', 'DSSTox_RID_77993', 'DSSTox_GSID_26044', 'Super Squalene', '2,6,10,14,18,22-tetracosahexaene, 2,6,10,15,19,23-hexamethyl-, (6E,10E,14E,18E)-', 'CAS-111-02-4', 'Skvalen', 'CCRIS 711', 'NCGC00181163-01', '2,6,10,14,18,22-Tetracosahexaene, 2,6,10,15,19,23-hexamethyl-, (2E,6E,10E,14E,18E)-', '11051-27-7', 'Squalene, all-trans-', 'EC 203-826-1', 'Squalene, Spinacene, Supraene', 'CHEMBL458402', 'GTPL3054', 'QSPL 049', 'DTXSID0026044', 'HSDB 8242', 'HY-N1214', 'NSC93748', 'ZINC6845904', 'Tox21_112789', 'Tox21_113239', '1977AC', 'LS-525', 'NSC-93748', 's4862', 'AKOS015917344', 'CCG-268779', 'DB11460', '2,6,10,15,19,23-Hexamethyl-2,6,10,14,18,22-tetracosahexaene, (all-E)-', 'AK115145', 'AS-56045', 'SC-66368', 'CS-0016601', 'NS00009386', 'PhytoSquene(R) (olive oil-derived Squalene)', 'PhytoSquene&amp;reg; [olive oil-derived Squalene]', '3170-EP2269989A1', '3170-EP2269990A1', '3170-EP2272825A2', '3170-EP2284160A1', '3170-EP2287165A2', '3170-EP2287166A2', '3170-EP2292620A2', '3170-EP2295406A1', '3170-EP2298731A1', '3170-EP2298772A1', '3170-EP2298776A1', '3170-EP2298779A1', '3170-EP2301923A1', '3170-EP2305825A1', '3170-EP2308510A1', '3170-EP2308562A2', '3170-EP2308839A1', '3170-EP2311841A1', '3170-EP2371811A2', 'C00751', 'Q407560', 'SR-01000944749', 'J-002505', 'SR-01000944749-1', '3704365A-1DAB-4AAA-A0D0-CAE7A96723AC', '2,6,10,14,18,22-Tetracosahexaene, 2,6,10,15,19,23-hexamethyl-,', '(all-E)-2,6,10,15,19,23-Hexamethyl-2,6,10,14,18,22-tetraco-sahexaene', '2,6,10,15,19,23-hexamethyltetracosa-2,6,10,14,18,22-hexaene;trans-Squalene;Spinacene', '2,6,10,15,19,23-Hexamethyltetracosa-(2E,6E,10E,14E,18E,22E)-2,6,10,14,18,22-hexaene']</t>
  </si>
  <si>
    <t>Compound(638072)</t>
  </si>
  <si>
    <t>C30H50</t>
  </si>
  <si>
    <t>sum serpentine asbestos</t>
  </si>
  <si>
    <t>streptomycin</t>
  </si>
  <si>
    <t>2-[(1R,2R,3S,4R,5R,6S)-3-(diaminomethylideneamino)-4-[(2R,3R,4R,5S)-3-[(2S,3S,4S,5R,6S)-4,5-dihydroxy-6-(hydroxymethyl)-3-(methylamino)oxan-2-yl]oxy-4-formyl-4-hydroxy-5-methyloxolan-2-yl]oxy-2,5,6-trihydroxycyclohexyl]guanidine</t>
  </si>
  <si>
    <t>['streptomycin', '57-92-1', 'Strepcen', 'Streptomycin A', 'Gerox', 'Streptomycine', 'Streptomycin sulphate', 'Agrimycin', 'Chemform', 'Streptomycin sulfate', 'CHEBI:17076', 'UNII-Y45QSO73OB', 'Agrept', 'Neodiestreptopab', 'NSC-14083', 'Streptomycin A sulfate', 'Y45QSO73OB', 'Streptomycinum', 'Hokko-mycin', '2,4-Diguanidino-3,5,6-trihydroxycyclohexyl 5-deoxy-2-O-(2-deoxy-2-methylamino-alpha-L-glucopyranosyl)-3-C-formyl-beta-L-lyxopentanofuranoside', 'Caswell No. 804', 'Streptomyzin [German]', 'Streptomicina [Italian]', 'Streptomycin [INN:BAN]', 'Estreptomicina [INN-Spanish]', 'CCRIS 5730', 'HSDB 1768', 'Streptomicina', 'Streptomyzin', 'EINECS 200-355-3', 'EPA Pesticide Chemical Code 006306', 'BRN 0074498', "[2-deoxy-2-(dimethylamino)-alpha-L-glucopyranosyl]-(1-&gt;2)-[5-deoxy-3-C-formyl-alpha-L-lyxofuranosyl]-(1-&gt;4)-{N',N'''-[(1,3,5/2,4,6)-2,4,5,6-tetrahydroxycyclohexane-1,3-diyl]diguanidine}", "N,N'''-[(1R,2R,3S,4R,5R,6S)-4-({5-deoxy-2-O-[2-deoxy-2-(methylamino)-alpha-L-glucopyranosyl]-3-C-formyl-alpha-L-lyxofuranosyl}oxy)-2,5,6-trihydroxycyclohexane-1,3-diyl]diguanidine", 'SRY', "D-Streptamine, O-2-deoxy-2-(methylamino)-alpha-L-glucopyranosyl-(1-2)-O-5-deoxy-3-C-formyl-alpha-L-lyxofuranosyl-(1-4)-N,N'-bis(aminoiminomethyl)-", 'NCGC00159339-02', 'Streptomycin, Sulfate Salt', 'streomycin', 'Geroxeg', 'Streptomycin SPX', 'Streptomycin Sesquisulfate Hydrate', 'Streptomycin,(S)', 'treptomycin sulphate', '1-[(1S,2R,3R,4S,5R,6R)-2-[(2R,3R,4R,5S)-3-[(2S,3S,4S,5R,6S)-4,5-dihydroxy-6-(hydroxymethyl)-3-(methylamino)tetrahydropyran-2-yl]oxy-4-formyl-4-hydroxy-5-methyl-tetrahydrofuran-2-yl]oxy-5-guanidino-3,4,6-trihydroxy-cyclohexyl]guanidine', 'Streptomycin (TN)', 'Streptomycin (INN)', 'Liposomal Streptomycin', 'NSC14083', 'Epitope ID:224553', 'SCHEMBL3276', '4-18-00-07540 (Beilstein Handbook Reference)', 'CHEMBL372795', 'DTXSID4023597', 'GTPL10923', 'Streptomycin Sesquisulphate Hydrate', 'ZINC8214681', 'BDBM50103513', 'AKOS015969759', 'AM84920', 'API0004243', 'DB01082', '2-[(1R,2R,3S,4R,5R,6S)-3-(diaminomethylideneamino)-4-[(2R,3R,4R,5S)-3-[(2S,3S,4S,5R,6S)-4,5-dihydroxy-6-(hydroxymethyl)-3-(methylamino)oxan-2-yl]oxy-4-formyl-4-hydroxy-5-methyloxolan-2-yl]oxy-2,5,6-trihydroxycyclohexyl]guanidine', 'AS-35042', 'SC-65302', 'tetrahydro-2H-pyran-2-yloxy)-4-formyl-4', 'LS-187084', '280-EP2269990A1', '280-EP2270001A1', '280-EP2270006A1', '280-EP2270008A1', '280-EP2270014A1', '280-EP2272832A1', '280-EP2275420A1', '280-EP2275422A1', '280-EP2277861A1', '280-EP2277876A1', '280-EP2277880A1', '280-EP2277898A2', '280-EP2281563A1', '280-EP2281824A1', '280-EP2284154A1', '280-EP2284169A1', '280-EP2284171A1', '280-EP2284172A1', '280-EP2286812A1', '280-EP2287161A1', '280-EP2287162A1', '280-EP2289876A1', '280-EP2289882A1', '280-EP2289886A1', '280-EP2289892A1', '280-EP2289893A1', '280-EP2292088A1', '280-EP2292592A1', '280-EP2292608A1', '280-EP2292610A1', '280-EP2292612A2', '280-EP2292614A1', '280-EP2292617A1', '280-EP2295055A2', '280-EP2295402A2', '280-EP2295411A1', '280-EP2295416A2', '280-EP2295417A1', '280-EP2295434A2', '280-EP2298748A2', '280-EP2301536A1', '280-EP2301538A1', '280-EP2301544A1', '280-EP2301940A1', '280-EP2305033A1', '280-EP2305652A2', '280-EP2305658A1', '280-EP2305662A1', '280-EP2305684A1', '280-EP2305688A1', '280-EP2308562A2', '280-EP2308844A2', '280-EP2308845A2', '280-EP2308846A2', '280-EP2308855A1', '280-EP2308857A1', '280-EP2308872A1', '280-EP2308960A1', '280-EP2311453A1', '280-EP2311455A1', '280-EP2311494A1', '280-EP2311806A2', '280-EP2311836A1', '280-EP2314583A1', '280-EP2316452A1', '280-EP2316459A1', '280-EP2316829A1', '280-EP2316832A1', '280-EP2316833A1', '280-EP2316937A1', '280-EP2371811A2', 'C00413', 'D08531', '3-((2S,3S,4S,5R,6S)-4,5-dihydroxy-6', 'AB00443813_02', '057S921', '2,5,6-trihydroxycyclohexane-1,3-diyl)diguanidine', 'Q192717', 'BRD-K07166362-330-02-8', '1,-((1R,2R,3S,4R,5R,6S)-4-((2R,3R,4R,5S)-', "1,1'-[(1R,2R,3S,4R,5R,6S)-4-({5-Deoxy-2-O-[2-deoxy-2-(methylamino)-alpha-L-glucopyranosyl]-3-C-formyl-alpha-L-lyxofuranosyl}oxy)-2,5,6-trihydroxy-1,3-cyclohexanediyl]diguanidine", '1-[(1S,2R,3R,4S,5R,6R)-3-carbamimidamido-6-{[(2R,3R,4R,5S)-3-{[(2S,3S,4S,5R,6S)-4,5-dihydroxy-6-(hydroxymethyl)-3-(methylamino)oxan-2-yl]oxy}-4-formyl-4-hydroxy-5-methyloxolan-2-yl]oxy}-2,4,5-trihydroxycyclohexyl]guanidine', '2,4-Diguanidino-3,5,6-trihydroxycyclohexyl 5-deoxy-2-O-(2-deoxy-2-methylamino-alpha-glucopyranosyl)-3-formylpentofuranoside', "D-Streptamine, O-2-deoxy-2-(methylamino)-.alpha.-L-glucopyranosyl-(1-&gt;2)-O-5-deoxy-3-C-formyl-.alpha.-L-lyxofuranosyl-(1-&gt;4)-N,N'-bis(aminoiminomethyl)-", "D-Streptamine, O-2-deoxy-2-(methylamino)-alpha-L-glucopyranosyl-(1.fwdarw.2)-O-5-deoxy-3-C-formyl-alpha-L-lyxofuranosyl-(1.fwdarw.4)-N,N'-bis(aminoiminomethyl)-", "N,N'''-[(1R,2R,3S,4R,5R,6S)-4-{5-deoxy-2-O-[2-deoxy-2-(methylamino)-alpha-L-glucopyranosyl]-3-C-formyl-alpha-L-lyxofuranosyloxy}-2,5,6-trihydroxycyclohexane-1,3-diyl]diguanidine", "O-2-Deoxy-2-(methylamino)-.alpha.-L-glucopyranosyl-(1-&gt;2)-O-5-deoxy-3-C-formyl-.alpha.-L-lyxofuranosyl-(1-&gt;4)-N,N'-bis(aminoiminomethyl)-D-streptamine and Liposome", 'Streptomycin sulphate;Streptomycin sulfate (2:3);Streptomycin A;Streptomycin;Streptomycin hydrochloride']</t>
  </si>
  <si>
    <t>Compound(19649)</t>
  </si>
  <si>
    <t>C21H39N7O12</t>
  </si>
  <si>
    <t>(4aR,5aS,8aR,13aS,15aS,15bR)-4a,5,5a,7,8,13a,15,15a,15b,16-decahydro-2H-4,6-methanoindolo[3,2,1-ij]oxepino[2,3,4-de]pyrrolo[2,3-h]quinolin-14-one</t>
  </si>
  <si>
    <t>['strychnine', '57-24-9', '(-)-Strychnine', 'Strychnidin-10-one', 'Strychnin', 'UNII-H9Y79VD43J', 'Sanaseed', 'CHEBI:28973', 'Estricnina', 'Strychinos', 'Strychnos', 'Certox', 'Gopher-gitter', 'Gopher bait', 'Boomer-rid', 'Mole death', 'Mouse-nots', 'H9Y79VD43J', 'Mouse-rid', 'Mouse-tox', 'Kwik-kil', 'Hare-Rid', 'Dolco mouse cereal', 'Ro-Dex', 'Strychnin [German]', 'Stricnina [Italian]', 'Pied piper mouse seed', 'Caswell No. 805', 'Strychnine [BSI:ISO]', 'RCRA waste number P108', '(-)-Strychnine, 98%', 'Vauquline', 'HSDB 2001', 'NSC 5365', 'EINECS 200-319-7', 'UN1692', 'EPA Pesticide Chemical Code 076901', '[3H]strychnine', 'Strychnine [NF]', '(11S,18S,22S,1R,20R,21R)-12-oxa-8,17-diazaheptacyclo[15.5.2.0&lt;1,18&gt;.0&lt;2,7&gt;.0&lt;8 ,22&gt;.0&lt;11,21&gt;.0&lt;15,20&gt;]tetracosa-2,4,6,14-tetraen-9-one', 'RCRA waste no. P108', 'STRYCHNINE AND SALTS', 'NCGC00163241-01', '(1R,11S,18S,20R,21R,22S)-12-oxa-8,17-diazaheptacyclo[15.5.2.0^{1,18}.0^{2,7}.0^{8,22}.0^{11,21}.0^{15,20}]tetracosa-2,4,6,14-tetraen-9-one', 'SY9', '(-)-Strychnin', 'MFCD00005941', '60-41-3', 'DSSTox_CID_3600', 'NCIStruc1_001823', 'NCIStruc2_000542', 'DSSTox_RID_77101', 'DSSTox_GSID_23600', 'SCHEMBL93798', 'GTPL347', 'Strychnine or strychnine salts', 'CHEMBL227934', 'GTPL2360', 'MEGxp0_001768', 'DTXSID6023600', 'SCHEMBL14029424', 'HMS2089C04', 'ZINC119434', 'Tox21_112038', 'BDBM50225707', 'PDSP2_000441', 'SBB006463', 'AKOS015955688', 'AC-8050', 'MCULE-2750751964', 'MCULE-9004784754', 'CAS-57-24-9', 'NCGC00142530-02', 'NCGC00186632-01', 'NCGC00186632-02', '(4br,7as,8ar,13S,13ar,13bs)-5,6,7a,8,8a,11,13a,13b-octahydro-13H-13,14-ethano-7,9-methanooxepino(3,4-a)pyrrolo(2,3-d)carbazol-15-one', 'ST057252', 'S0249', 'Strychnine, PESTANAL(R), analytical standard', 'C06522', '88437-EP2272835A1', '88437-EP2272844A1', '88437-EP2305260A1', 'AB01275436-01', 'Q194406', 'Q-100661', 'Strychnine or strychnine salts [UN1692]  [Poison]', 'trychnine;strychnine sulphate;Strychnine hemisulphate salt', 'Strychnine, European Pharmacopoeia (EP) Reference Standard', '(4aR,5aS,8aR,13aS,15aS,15bR)-4a,5,5a,7,8,13a,15,15a,15b,16-decahydro-2H-4,6-methanoindolo[3,2,1-ij]oxepino[2,3,4-de]pyrrolo[2,3-h]quinoline-14-one']</t>
  </si>
  <si>
    <t>Compound(441071)</t>
  </si>
  <si>
    <t>C21H22N2O2</t>
  </si>
  <si>
    <t>sum tertiary octylphenol isomers</t>
  </si>
  <si>
    <t>2-(2,4,4-trimethylpentan-2-yl)phenol</t>
  </si>
  <si>
    <t>['tert-Octylphenol', 'Phenol, 2-(1,1,3,3-tetramethylbutyl)-', 'o-tert-Octylphenol', 't-octylphenol', '2-(1,1,3,3-Tetramethylbutyl)phenol', '(1,1,3,3-TETRAMETHYLBUTYL)PHENOL', 'Caswell No. 613D', '27193-28-8', '3884-95-5', 'o-(1,1,3,3-Tetramethylbutyl)phenol', 'USAF RH-6', '2-(2,4,4-trimethylpentan-2-yl)phenol', 'Phenol, (1,1,3,3-tetramethylbutyl)-', 'UNII-S262P7049B', 'EINECS 248-310-7', 'EPA Pesticide Chemical Code 064118', 'S262P7049B', '2-tert-octylphenol', 'EINECS 223-420-8', 'DSSTox_CID_7925', 'DSSTox_RID_78614', 'DSSTox_GSID_27925', 'SCHEMBL324566', 'CHEMBL3182290', 'DTXSID7042271', 'CTK8I5446', 'ZINC1849861', 'Tox21_202324', 'NCGC00259873-01', 'CAS-27193-28-8', 'LS-105013', 'NS00002031', 'Q27288476', 'Phenol, (1,1,3,3-tetramethylbutyl)- = Octylphenol;(1,1,3,3-tetramethylbutyl)phenol;2-(1,1,3,3-Tetramethylbutyl)phenol;Phenol, 2-(1,1,3,3-tetramethylbutyl)-;o-(1,1,3,3-tetramethylbutyl)phenol;Formaldehyde, polymer with (1,1,3,3-tetramethylbutyl)phenol']</t>
  </si>
  <si>
    <t>Compound(62530)</t>
  </si>
  <si>
    <t>butanedial</t>
  </si>
  <si>
    <t>['SUCCINALDEHYDE', 'Butanedial', '638-37-9', 'Succinic aldehyde', 'Succindialdehyde', '1,4-Butanedione', 'Succinic dialdehyde', '1,4-Butanedial', 'NSC 11057', '4440-92-0', '.beta.-Formylpropionaldehyde', 'UNII-0503177591', 'beta-Formylpropionaldehyde', 'diacetal', 'NDGA derivative', 'EINECS 211-333-8', 'zlchem 767', '1,4-butane dialdehyde', 'uccinaldehyde;Succinaldehyde', 'DTXSID3021514', 'CHEBI:80762', 'CTK5B9974', 'ZLD0225', 'ACT06102', 'BCP20105', 'EBD40137', 'NSC11057', 'ZINC1712672', 'FCH840274', 'NSC-11057', 'ACM4440920', 'CC-34562', 'N715', 'SC-13455', 'DB-008691', 'FT-0632716', 'FT-0724206', 'NS00006323', 'C16835', 'C-00084', 'Q4864618']</t>
  </si>
  <si>
    <t>Compound(12524)</t>
  </si>
  <si>
    <t>(2S,3R)-2,3-bis(sulfanyl)butanedioic acid</t>
  </si>
  <si>
    <t>['Succimer', 'meso-2,3-Dimercaptosuccinic acid', '304-55-2', 'DMSA', 'meso-Dimercaptosuccinic acid', 'Dim-sa', 'Chemet', '(2R,3S)-rel-2,3-Dimercaptosuccinic acid', 'Succimero', 'Succimerum', 'Butanedioic acid, 2,3-dimercapto-, (2R,3S)-rel-', 'Succimerum [INN-Latin]', 'Succimero [INN-Spanish]', '(R*,S*)-2,3-Dimercaptobutanedioic acid', 'UNII-DX1U2629QE', 'Succimer [USAN:INN:BAN]', 'Ro 1-7977', 'HSDB 6783', 'DMS-A', 'EINECS 206-155-2', 'BRN 1725150', 'DX1U2629QE', 'CHEBI:63623', 'Butanedioic acid, 2,3-dimercapto-, (R*,S*)-', 'meso-2,3-Dimercaptobernsteinsaeure', 'MFCD00064799', '(2R,3S)-2,3-disulfanylsuccinic acid', 'Succinic acid, 2,3-dimercapto-, meso-', 'C4H6O4S2', '(2R,3S)-2,3-dimercaptosuccinic acid', 'meso-2,3-Dimercaptosuccinic acid, 98%', '(3S,2R)-2,3-disulfanylbutanedioic acid', 'Tin Dimercaptosuccinate', '3-03-00-01033 (Beilstein Handbook Reference)', 'AK161810', 'Chemet (TN)', 'Ro-1-7977', 'Succimer (USAN/INN)', 'SCHEMBL14941', 'SPECTRUM1505007', 'CHEMBL1201073', 'DTXSID1023601', 'HY-B1768', 'KS-00000GJ8', 'MESO-2,3-DIMERCAPTOSUCCINIC', 'ZINC3831475', 's4692', 'SBB065802', 'AKOS015892684', 'AC-1366', 'API0004249', 'CCG-214189', 'DB00566', 'DS-7410', 'FCH3467898', 'meso-2,3-Dimercaptosuccinic acid, ~98%', 'AX8137528', 'LS-147428', 'CS-0013797', 'D1722', 'ST51007322', 'A17093', 'C07598', 'D00572', '304D552', 'Q423814', 'Q-201748', 'BRD-K88701661-001-01-1', 'UNII-4S9JU7XF01 component ACTRVOBWPAIOHC-XIXRPRMCSA-N']</t>
  </si>
  <si>
    <t>Compound(2724354)</t>
  </si>
  <si>
    <t>C4H6O4S2</t>
  </si>
  <si>
    <t>(2R,3R,4R,5R,6R)-2-[(2R,3S,4S,5S)-2,5-bis(chloromethyl)-3,4-dihydroxyoxolan-2-yl]oxy-5-chloro-6-(hydroxymethyl)oxane-3,4-diol</t>
  </si>
  <si>
    <t>['Sucralose', '56038-13-2', 'Trichlorosucrose', 'Splenda', 'Aspasvit', 'Acucar Light', 'Trichlorogalacto-sucrose', "1',4,6'-Trichlorogalactosucrose", 'UNII-96K6UQ3ZD4', 'EINECS 259-952-2', '1,6-Dichloro-1,6-dideoxy-beta-D-fructofuranosyl 4-chloro-4-deoxy-alpha-D-galactopyranoside', 'BRN 3654410', '96K6UQ3ZD4', 'Trichlorogalactosucrose', '1,6-Dichloro-1,6-dideoxy-beta-D-fructofuranosyl-4-chloro-4-deoxy-alpha-D-galactopyranoside', 'CHEBI:32159', 'Sucralose [BAN]', "4,1',6'-Trichloro-4,1',6'-trideoxy-galacto-sucrose", '1,6-Dichloro-1,6-dideoxy-beta-D-fructofuranosyl 4-chloro-4-deoxy-alpha-D-galactose', 'alpha-D-Galactopyranoside, 1,6-dichloro-1,6-dideoxy-beta-D-fructofuranosyl 4-chloro-4-deoxy-', 'DSSTox_CID_20245', 'DSSTox_RID_79457', 'DSSTox_GSID_40245', '(2R,3R,4R,5R,6R)-2-[(2R,3S,4S,5S)-2,5-bis(chloromethyl)-3,4-dihydroxyoxolan-2-yl]oxy-5-chloro-6-(hydroxymethyl)oxane-3,4-diol', 'a-D-Galactopyranoside, 1,6-dichloro-1,6-dideoxy-b-D-fructofuranosyl4-chloro-4-deoxy-', 'E955;Trichlorosucrose', 'CAS-56038-13-2', 'Sucralose [BAN:NF]', 'E955', 'CCRIS 8449', 'Sucralose FCC', 'HSDB 7964', 'MFCD03648615', 'SCHEMBL3686', 'Sucralose, analytical standard', 'CHEMBL3185084', 'DTXSID1040245', "4,1',6'-trichlorogalactosucrose", 'Sucralose 25% Liquid Concentrate', 'HMS2093H16', 'Pharmakon1600-01505953', '40J', 'HY-N0614', 'Sucralose, &gt;=98.0% (HPLC)', 'trichlorosucrose;1,6-dichloro-1,6-dideoxy-ss-D-fructofuranosyl 4-chloro-4-deoxy-a-D-galactose;SUCRALOSE', 'ZINC4654665', 'Tox21_113658', 'Tox21_201752', 'Tox21_303425', 'GC9213', 'NSC759272', 's4214', 'AKOS015962432', 'CCG-213995', 'CRB0000959', 'CS-8130', 'NSC-759272', 'NCGC00249110-01', 'NCGC00249110-03', 'NCGC00249110-04', 'NCGC00257400-01', 'NCGC00259301-01', '(2R,3R,4R,5R,6R)-2-[(2R,3S,4S,5S)-2,5-bis(chloromethyl)-3,4-dihydroxy-tetrahydrofuran-2-yl]oxy-5-chloro-6-(hydroxymethyl)tetrahydropyran-3,4-diol', '1-(1,6-Dichloro-1,6-dideoxy-beta-D-fructofuranosyl)-4-chloro-4-deoxy-alpha-D-galactopyranoside', 'LS-71002', 'SC-16366', 'SBI-0206860.P001', 'S0839', 'A22902', 'C12285', 'K-9960', 'AB01563242_01', 'AB01563242_02', '038S132', 'C-36580', 'Q410209', 'SR-05000001935', 'SR-05000001935-1', 'W-203112', 'BRD-K58968598-001-03-6', 'Sucralose, European Pharmacopoeia (EP) Reference Standard', 'Sucralose, United States Pharmacopeia (USP) Reference Standard', 'Sucralose, Pharmaceutical Secondary Standard; Certified Reference Material', '1,6-Dichloro-1,6-dideoxy-beta-D-fructofuranosyl  4-chloro-4-deoxy-alpha-D-galactopyranoside', '1,6-dichloro-1,6-dideoxy-beta-d-fructofuranosyl4-chloro-4-deoxy-alpha-d-gala;', '(2R,3R,4R,5R,6R)-2-((2R,3S,4S,5S)-2,5-bis(chloromethyl)-3,4-dihydroxytetrahydrofuran-2-yloxy)-5-chloro-6-(hydroxymethyl)tetrahydro-2H-pyran-3,4-diol', '(2R,3R,4R,5R,6R)-2-[(2R,3S,4S,5S)-2,5-bis(chloromethyl)-3,4-bis(oxidanyl)oxolan-2-yl]oxy-5-chloranyl-6-(hydroxymethyl)oxane-3,4-diol']</t>
  </si>
  <si>
    <t>Compound(71485)</t>
  </si>
  <si>
    <t>C12H19Cl3O8</t>
  </si>
  <si>
    <t>5-chloro-2-[4-chloro-2-[(3,4-dichlorophenyl)carbamoylamino]phenoxy]benzenesulfonic acid</t>
  </si>
  <si>
    <t>['Sulcofuron', '24019-05-4', 'UNII-4B88V7819F', 'CHEBI:59246', '4B88V7819F', 'Sulcofuron [ISO]', 'Epitope ID:131787', 'SCHEMBL118616', 'DTXSID9058656', 'CTK4F2765', 'ZINC1710123', 'NS00004874', 'Q27126566', '5-chloro-2-(4-chloro-2-{[(3,4-dichlorophenyl)carbamoyl]amino}phenoxy)benzenesulfonic acid', '5-chloro-2-(4-chloro-2-{[(3,4-dichlorophenyl)carbamoyl]amino}phenoxy)benzene-1-sulfonic acid', '5-chloro-2-[4-chloro-2-[[[(3,4-dichlorophenyl)amino]carbonyl]amino] phenoxy]benzenesulphonate', '5-chloro-2-[4-chloro-2-[[[(3,4-dichlorophenyl)amino]carbonyl]amino]phenoxy]benzenesulphonate', 'Benzenesulfonic acid,5-chloro-2-[4-chloro-2-[[[(3,4-dichlorophenyl)amino]carbonyl]amino]phenoxy]-', 'odium 5-chloro-2-[4-chloro-2-[[[(3,4-dichlorophenyl)amino]carbonyl]amino]phenoxy]benzenesulphonate;Sodium 5-chloro-2-[4-chloro-2-[[[(3,4-dichlorophenyl)amino]carbonyl]amino]phenoxy]benzenesulphonate;Sulcofuron-sodium;5-chloro-2-[4-chloro-2-[[[(3,4-dichlorophenyl)amino]carbonyl]amino] phenoxy]benzenesulphonate']</t>
  </si>
  <si>
    <t>Compound(62506)</t>
  </si>
  <si>
    <t>C19H12Cl4N2O5S</t>
  </si>
  <si>
    <t>2-(2-chloro-4-methylsulfonylbenzoyl)cyclohexane-1,3-dione</t>
  </si>
  <si>
    <t>['Sulcotrione', '99105-77-8', '2-(2-Chloro-4-(methylsulfonyl)benzoyl)cyclohexane-1,3-dione', '2-(2-chloro-4-methylsulfonylbenzoyl)cyclohexane-1,3-dione', 'UNII-5UEH9SXW7V', '1,3-Cyclohexanedione, 2-[2-chloro-4-(methylsulfonyl)benzoyl]-', '5UEH9SXW7V', '114680-61-4', 'CHEBI:83465', 'Chlormesulon', '2-[2-chloro-4-(methylsulfonyl)benzoyl]cyclohexane-1,3-dione', '1,3-Cyclohexanedione, 2-(2-chloro-4-(methylsulfonyl)benzoyl)-', '1,3-Cyclohexanedione,2-[2-chloro-4-(methylsulfonyl)benzoyl]-', 'Sulcotrione [ISO]', 'C14H13ClO5S', 'ulcotrione', 'SC 0051', '2-[2-Chloro-4-(methylsulfonyl)benzoyl]-1,3-cyclohexanedione', 'ACMC-1C5BV', 'SCHEMBL55030', 'CHEMBL2252422', 'DTXSID9058230', 'CTK4A8852', '2-(2-Chloro-4-methanesulfonylbenzoyl)-1,3-cyclohexanedione', 'HMS3749K11', 'BDBM50075318', 'AKOS015960856', 'ZINC100004255', 'CS-7791', 'DS-6039', 'AC-12558', 'M931', 'AX8152130', 'DB-057759', 'HY-107368', 'FT-0642386', 'NS00000264', 'Sulcotrione, PESTANAL(R), analytical standard', '105S778', 'C-36582', 'Q22808904', '2-(2-chloro-4-methanesulfonylbenzoyl)cyclohexane-1,3-dione', '2-(2-Chloro-4-methanesulfonylbenzoyl)-cyclohexane -1,3-dione', '2-(2-Chloro-4-methanesulfonylbenzoyl)-cyclohexane-1,3-dione', '2-(2-Chloro-4-methanesulphonylbenzoyl)-1,3-cyclohexanedione', '2-[2-Chloro-4-(methanesulfonyl)benzoyl]cyclohexane-1,3-dione', '2-(2-Chloro-4-methanesulfonyl-benzoyl)-3-hydroxy-cyclohex-2-enone', 'ulcotrione (ISO); 2-[2-chloro-4-(methylsulfonyl)benzoyl]cyclohexane-1,3-dione;Sulcotrione']</t>
  </si>
  <si>
    <t>Compound(91760)</t>
  </si>
  <si>
    <t>C14H13ClO5S</t>
  </si>
  <si>
    <t>sulfachlorpyridazine</t>
  </si>
  <si>
    <t>4-amino-N-(6-chloropyridazin-3-yl)benzenesulfonamide</t>
  </si>
  <si>
    <t>['Sulfachloropyridazine', 'sulfachlorpyridazine', '80-32-0', '4-amino-N-(6-chloropyridazin-3-yl)benzenesulfonamide', 'Sulphachlorpyridazine', 'Nefrosul', 'Sulfacloropiridazina', 'Durasulf', 'N1-(6-Chloro-3-pyridazinyl)sulfanilamide', 'Sulfachlorpyridazinum', 'Sonilyn', '4-Amino-N-(6-chloro-3-pyridazinyl)benzenesulfonamide', 'Cluricol', 'Vetisulid', 'Vetisulid (Veterinary)', 'Benzenesulfonamide, 4-amino-N-(6-chloro-3-pyridazinyl)-', 'Solfaclorpiridazina [DCIT]', 'Ba 10370', 'UNII-P78D9P90C0', 'CHEBI:59057', 'Sulfachlorpyridazinum [INN-Latin]', 'Sulfacloropiridazina [INN-Spanish]', 'EINECS 201-269-9', 'N1-(6-Chlor-3-pyridazinyl)sulfanilamid', 'MLS000777734', 'P78D9P90C0', 'CAS-80-32-0', '4-amino-N-(6-chloropyridazin-3-yl)benzene-1-sulfonamide', 'NCGC00016323-01', 'NCGC00016323-04', 'SMR000414174', 'N(1)-(6-Chloro-3-pyridazinyl)sulfanilamide', 'N(sup 1)-(6-Chloro-3-pyridazinyl)sulfanilamide', 'DSSTox_CID_25265', 'DSSTox_RID_80778', 'DSSTox_GSID_45265', '4-Amino-N-(6-chloropyridazin-3-yl)-benzenesulfonamide', '[(4-aminophenyl)sulfonyl](6-chloropyridazin-3-yl)amine', '4-Amino-N-(6-chloro-pyridazin-3-yl)-benzenesulfonamide', 'Prinzone vet.', 'Solfaclorpiridazina', 'SCP', 'SR-01000773478', 'Cosulid', 'Prinzone vet', 'Sulfachlorpyridazine [USAN:INN]', 'ulfachlorpyridazine', 'Nefrosul (TN)', 'Prestwick_130', 'Sulfachlorpyridazine [USP:INN:BAN]', 'Sulphachloropyridazine', 'Cosumix (Salt/Mix)', 'Spectrum_000127', 'Prestwick0_000715', 'Prestwick1_000715', 'Prestwick2_000715', 'Prestwick3_000715', 'Spectrum2_001942', 'Spectrum3_001221', 'Spectrum4_000444', 'Spectrum5_001011', 'Epitope ID:122243', 'cid_6634', 'Ciba 10370', 'Oprea1_485631', 'SCHEMBL94138', 'BSPBio_000929', 'BSPBio_002662', 'KBioGR_000828', 'KBioSS_000587', 'SPECTRUM1501142', 'SPBio_002003', 'SPBio_002850', 'BPBio1_001023', 'Sulfachlorpyridazine (USP/INN)', 'CHEMBL1443577', 'DTXSID9045265', 'BDBM90673', 'CTK7D7908', 'KBio2_000587', 'KBio2_003155', 'KBio2_005723', 'KBio3_002162', 'ZINC49140', '3-sulfanilamido-6-chloropyridazine', 'HMS1570O11', 'HMS1921J11', 'HMS2092F19', 'HMS2097O11', 'HMS2766B06', 'HMS3714O11', 'Pharmakon1600-01501142', 'ALBB-011657', 'HY-B1781', 'KS-00000XU1', 'STR03778', 'Tox21_110372', 'Tox21_112957', 'BBL037369', 'CCG-39459', 'MFCD00057371', 'NSC757858', 's3708', 'SBB001158', 'STK315422', 'AKOS000308728', 'Tox21_110372_1', 'CS-7970', 'DB11461', 'MCULE-9179642576', 'NSC-757858', 'NCGC00016323-02', 'NCGC00016323-03', 'NCGC00016323-09', 'NCGC00094909-01', 'NCGC00094909-02', 'Sulfachloropyridazine;sulfachlorpyridazine', 'AC-12002', 'AK307661', 'ST007536', "N'-(6-Chloro-3-pyridazinyl)sulfanilamide", 'SBI-0051655.P002', 'AB0151335', 'LS-177518', 'AB00052217', 'FT-0674699', 'NS00000002', 'R1866', 'D05948', 'AB00052217_11', 'SR-01000773478-2', 'SR-01000773478-3', 'Sulfachloropyridazine 100 microg/mL in Acetonitrile', 'W-104238', '4-amino-N-(6-chloro-3-pyridazinyl)-benzenesulfnamide', 'BRD-K32021043-001-05-1', 'Q27126423', '4-Amino-N-(6-chloro-3-pyridazinyl)benzenesulfonamide #', '4-azanyl-N-(6-chloranylpyridazin-3-yl)benzenesulfonamide', 'Pyridazin-3-amine, N-(4-aminophenylsulfonyl)-6-chloro-', 'Sulfachloropyridazine, VETRANAL(TM), analytical standard', 'Sulfachlorpyridazine, United States Pharmacopeia (USP) Reference Standard', "N'-[(5Z)-7,7-dimethyl-3-oxo-2,6,7,8-tetrahydrocinnolin-5(3H)-ylidene]-N,N-dimethylhydrazonoformamide"]</t>
  </si>
  <si>
    <t>Compound(6634)</t>
  </si>
  <si>
    <t>C10H9ClN4O2S</t>
  </si>
  <si>
    <t>[methyl-oxo-[1-[6-(trifluoromethyl)pyridin-3-yl]ethyl]-lambda6-sulfanylidene]cyanamide</t>
  </si>
  <si>
    <t>['Sulfoxaflor', '946578-00-3', 'Transform', 'Sulfoxaflor [ISO]', '[methyl-oxo-[1-[6-(trifluoromethyl)pyridin-3-yl]ethyl]-?^{6}-sulfanylidene]cyanamide', 'XDE 208', 'GF 2032', 'GF 2372', 'SCHEMBL520711', 'CHEMBL2230078', 'DTXSID0074687', 'HSDB 8245', 'CHEBI:133306', 'HY-118504', 'CS-0066179', 'GF 2032; GF 2372; XDE 208', 'Q14566721', 'Methyl[1-(2-trifluoromethylpyridin-5-yl)ethyl]-N-cyanosulfoximine', '[methyl(oxido){1-[6-(trifluoromethyl)pyridin-3-yl]ethyl}-lambda(6)-sulfanylidene]cyanamide', '[methyl(oxo){1-[6-(trifluoromethyl)-3-pyridyl]ethyl}-lambda6-sulfanylidene]cyanamide', 'Cyanamide, N[methyloxido[1-[6(trifluoromethyl)-3pyridinyl]ethyl]-.lamda.4sulfanylidene]', 'N-(methyloxido(1-(6-(trifluoromethyl)-3-pyridinyl)ethyl)-lambda4-sulfanylidene)cyanamide', 'N-[Methyl-oxo-[1-[6-(trifluoromethyl)-3-pyridyl]ethyl]-lambda6-sulfanylidene]cyanamide', 'Sulfoxaflor 100 microg/mL in Acetonitrile. Short expiry date due to chemical nature of component(s)']</t>
  </si>
  <si>
    <t>Compound(16723172)</t>
  </si>
  <si>
    <t>C10H10F3N3OS</t>
  </si>
  <si>
    <t>sulfalate</t>
  </si>
  <si>
    <t>2-chloroprop-2-enyl N,N-diethylcarbamodithioate</t>
  </si>
  <si>
    <t>['SULFALLATE', 'CDEC', 'Thioallate', 'Vegadex', '95-06-7', 'Vegadex super', '2-Chloroallyl diethyldithiocarbamate', 'Vegedex', 'Chlorallyl diethyldithiocarbamate', '2-Chloroallyl N,N-diethyldithiocarbamate', '2-Chlorallyl diethyldithiocarbamate', 'NCI-C00453', 'Caswell No. 180', 'CP 4572', 'Sulfallate [ISO:BSI]', 'CP 4,742', 'Diethyldithiocarbamic acid 2-chloroallyl ester', 'NSC 16085', 'CCRIS 566', 'Carbamodithioic acid, diethyl-, 2-chloro-2-propenyl ester', 'UNII-7U7BI7173J', 'HSDB 1538', '2-Chloro-2-propenyl diethylcarbamodithioate', 'EINECS 202-388-9', '2-Chloro-2-propene-1-thiol diethyldithiocarbamate', 'EPA Pesticide Chemical Code 039001', 'Carbamic acid, diethyldithio-, 2-chloroallyl ester', 'BRN 1772271', 'Diethylcarbamodithioic acid 2-chloro-2-propenyl ester', '2-Propene-1-thiol, 2-chloro-, diethyldithiocarbamate', 'CHEBI:82218', '7U7BI7173J', '2-chloroprop-2-en-1-yl diethyldithiocarbamate', 'N,N-Diethyldithiocarbamic acid 2-chloroallyl ester', 'ulfallate', 'Vegadex 4EC', 'Vegadex 20G', '2-chloroallyl diethylcarbamodithioate', 'CDEC / Sulfallate', 'Vegadex (Sulfallate)', 'DSSTox_CID_1289', '2-chloroprop-2-enyl N,N-diethylcarbamodithioate', 'DSSTox_RID_76061', 'DSSTox_GSID_21289', 'MLS002152939', 'SCHEMBL136254', 'CHEMBL538146', 'DTXSID7021289', 'CTK8G3252', 'WLN: 2N2&amp;YUS&amp;S1YGU1', 'HMS3039C15', 'Carbamic acid, 2-chloroallyl ester', 'NSC16085', 'ZINC1733836', 'Tox21_200042', 'NSC-16085', 'LS-1971', 'CAS-95-06-7', 'NCGC00090829-01', 'NCGC00090829-02', 'NCGC00257596-01', '2-Propene-1-thiol, diethyldithiocarbamate', 'SMR001224534', 'DB-057551', '2-Chloro-2-propenyl diethyldithiocarbamate #', 'NS00015291', 'Sulfallate, PESTANAL(R), analytical standard', 'C19096', 'diethyldithiocarbamic ac id 2-chloroallyl ester', '33258-EP2311815A1', '33258-EP2371823A1', 'Carbamodithioic acid, 2-chloro-2-propenyl ester', 'C-50568', 'Q27155815', 'carbamodithioic acid, diethyl-, 2-chloro-2-propanyl ester']</t>
  </si>
  <si>
    <t>Compound(7216)</t>
  </si>
  <si>
    <t>C8H14ClNS2</t>
  </si>
  <si>
    <t>4-amino-N-pyrimidin-2-ylbenzenesulfonamide</t>
  </si>
  <si>
    <t>['sulfadiazine', '68-35-9', 'Sulphadiazine', 'Sulfapyrimidine', 'Sulfadiazin', 'Sulfazine', 'Sulfadiazene', 'Adiazine', 'Adiazin', 'Debenal', 'Liquadiazine', 'Sulfapyrimidin', 'Pyrimal', '2-Sulfanilamidopyrimidine', 'Cremodiazine', 'Spofadrizine', 'Theradiazine', 'Cremotres', 'Deltazina', 'Diazolone', 'Eskadiazine', 'Microsulfon', 'Neotrizine', 'Palatrize', 'Piridisir', 'Quadetts', 'Quadramoid', 'Sanodiazine', 'Sterazine', 'Sulfatryl', 'Sulfolex', 'Sulfonsol', 'Terfonyl', 'Trifonamide', 'Truozine', 'Diazin', 'Neazine', 'Pirimal', 'Sulfose', 'Trisem', 'Sulfanilamidopyrimidine', 'Honey diazine', 'Lipo-Levazine', 'Tri-Sulfameth', 'Triple Sulfas', 'Coco-Diazine', 'Lipo-Diazine', 'Metha-Meridiazine', 'Sulfadiazinum', 'Diazovit', 'Sulfadiazina', 'Sulphadiazine E', 'Sulfapirimidin', 'Di-Azo-Mul', 'Thi-Di-Mer', '2-Sulfanilylaminopyrimidine', 'Codiazine', 'Silvadene', 'Pecta-diazine, suspension', 'Benzenesulfonamide, 4-amino-N-2-pyrimidinyl-', '4-amino-N-pyrimidin-2-ylbenzenesulfonamide', 'Solfadiazina [DCIT]', 'RP 2616', '4-amino-N-(pyrimidin-2-yl)benzenesulfonamide', 'Pyrimidine, 2-sulfanilamido-', 'Sulfapyrimidin [German]', '2-Sulfapyrimidine', 'N(1)-2-pyrimidylsulfanilamide', 'N(1)-2-pyrimidinylsulfanilamide', 'Sulfadiazinum [INN-Latin]', 'Sulfadiazina [INN-Spanish]', '4-AMINO-N-2-PYRIMIDINYLBENZENESULFONAMIDE', 'Zinc Sulfadiazine', '2-Sulfanilamidopyrimidin [German]', 'S.N. 112', '4-Amino-N-(2-pyrimidinyl)benzenesulfonamide', 'A 306', 'A-306 (VAN)', 'N(sup 1)-2-Pyrimidinylsulfanilamide', 'Thermazene', 'Sildaflo', '4-amino-N-(pyrimidin-2-yl)benzene-1-sulfonamide', 'CHEBI:9328', 'Sulfanilamide, N(sup 1)-2-pyrimidinyl-', 'N(sup1)-2-Pyrimidylsulfanilamide', 'Sulfanilamide, N1-2(1H)-pyrimidinylidene-', '4-amino-N-pyrimidin-2-yl-benzenesulfonamide', 'Sulfanilamide, N1-2-pyrimidinyl-', 'UNII-0N7609K889', 'silver sulfadiazine', 'A-306', 'N(sup1)-2-Pyrimidinylsulfanilamide', 'EINECS 200-685-8', 'MFCD00006065', 'NSC 35600', 'CHEMBL439', 'BRN 0235192', 'C10H10N4O2S', 'AI3-01047', 'S. N. 112', 'NSC35600', 'NSC-35600', 'CAS-68-35-9', 'NCGC00016305-01', 'Solfadiazina', 'CocoDiazine', '0N7609K889', '[(4-aminophenyl)sulfonyl]pyrimidin-2-ylamine', '2-Sulfanilamidopyrimidin', 'NSC117870', '141582-64-1', 'SMR000059113', 'Sulfadiazine (TN)', 'N-(2-Pyrimidinyl)sulfanilamide', 'Sulfadiazine [USAN:INN:JAN]', 'rBPI21 &amp; Sulfa', '4-Amino-N-2-pyrimidinyl-benzenesulfonamide', 'N1-(Pyrimidin-2-yl)sulfanilamide', 'SR-01000002973', 'SSD', '2-Sulfanilamido-pyrimidine', 'diazine', 'CRL-8131 &amp; Sulfadiazine', 'N1-2-Pyrimidinylsulfanilamide', 'Sulfadiazine (JAN/USP/INN)', 'Sulfadiazine,(S)', 'Trisulfapyrimidine, oral suspension', 'Sulfadiazine [USP:INN:BAN:JAN]', 'Prestwick_428', 'Spectrum_000986', 'Sulfadiazina Reig Jofre', 'Sulfacombin (Salt/Mix)', 'Prestwick0_000023', 'Prestwick1_000023', 'Prestwick2_000023', 'Prestwick3_000023', 'Spectrum2_001319', 'Spectrum3_001362', 'Spectrum4_000342', 'Spectrum5_000992', 'Epitope ID:140083', 'N1-2-Pyrimidylsulfanilamide', 'Sulfadiazine, &gt;=99.0%', 'DSSTox_CID_24130', 'DSSTox_RID_80105', 'DSSTox_GSID_44130', 'Oprea1_081078', 'SCHEMBL24176', 'BSPBio_000085', 'BSPBio_002884', 'KBioGR_000743', 'KBioSS_001466', '5-25-10-00067 (Beilstein Handbook Reference)', 'MLS000069423', 'MLS006011457', 'DivK1c_000543', 'SPECTRUM1500546', 'SPBio_001417', 'SPBio_002006', 'BPBio1_000095', 'WLN: T6N CNJ BMSWR DZ', 'DTXSID7044130', 'CTK7D7930', 'HMS501L05', 'KBio1_000543', 'KBio2_001466', 'KBio2_004034', 'KBio2_006602', 'KBio3_002104', 'NINDS_000543', 'HMS1568E07', 'HMS1921A13', 'HMS2090P09', 'HMS2092I15', 'HMS2095E07', 'HMS2235D19', 'HMS3371L19', 'HMS3655I10', 'HMS3712E07', 'Pharmakon1600-01500546', 'ZINC120319', 'ALBB-014888', 'BCP12140', 'HY-B0273', 'N(1)-(2-Pyrimidinyl)sulfanilamide', 'Tox21_110360', 'BBL013169', 'BDBM50166571', 'CCG-39257', 'NSC757324', 'Recombinant bactericidal/permeability-increasing protein &amp; Sulfadiazine', 's1770', 'SBB007604', 'SBB057674', 'STK317797', '2-(p-Aminobenzenesulfonamido)pyrimidin', 'AKOS000119073', 'CS-2263', 'DB00359', 'KS-1144', 'MCULE-4577338719', 'NE10425', 'NSC-757324', '2-(4-Aminobenzenesulfonamido)pyrimidine', '4-amino-N-2-pyrimidylbenzenesulfonamide', 'IDI1_000543', 'NCGC00016305-02', 'NCGC00016305-03', 'NCGC00016305-04', 'NCGC00016305-05', 'NCGC00016305-06', 'NCGC00016305-10', 'NCGC00016305-11', 'NCGC00023291-03', 'NCGC00023291-04', 'SULFADIAZINE (TRISULFAPYRIMIDINES)', '2-(4-Aminobenzenesulfonylamino)pyrimidine', 'AC-26817', 'AK321973', 'H458', 'ST059447', 'Sulfanilamide, N1-2-pyrimidinyl- (8CI)', '4-amino-N-2-pyrimidinyl benzenesulfonamide', 'Mixture of sulfadiazine, and sulfamethazine', 'SBI-0051520.P003', 'LS-147838', '4-[[(Pyrimidin-2-yl)amino]sulfonyl]aniline', 'AB00052095', 'Benzenesulfonamide,4-amino-N-2-pyrimidinyl-', 'FT-0674739', 'FT-0674740', 'FT-0674741', 'NS00000198', 'NS00043366', 'R3929', 'S0579', 'ST51006797', 'SW196657-3', '4-amino-N-(2-pyrimidinyl) benzenesulfonamide', '4-Amino-N-(2-pyrimidinyl)benzenesulfonamide #', '68S359', 'C07658', 'D00587', 'Trisulfapyrimidine, oral suspension (Salt/Mix)', 'AB00052095-13', 'AB00052095-14', 'AB00052095_15', 'AB00052095_16', 'Benzenesulfonamide, 4-amino-N-(2-pyrimidinyl)-', 'Sulfadiazine, VETRANAL(TM), analytical standard', 'Q-201759', 'Q2555060', 'SR-01000002973-2', 'SR-01000002973-3', 'BRD-K32273377-001-05-4', 'BRD-K32273377-001-09-6', 'F1657-1720', 'Sulfadiazine, certified reference material, TraceCERT(R)', 'Z271004844', 'Sulfadiazine, European Pharmacopoeia (EP) Reference Standard', 'Sulfadiazine, United States Pharmacopeia (USP) Reference Standard', '4-Amino-N-(2-pyrimidinyl)benzenesulfonamide, N1-(Pyrimidin-2-yl)sulfanilamide', 'Sulfadiazine, Pharmaceutical Secondary Standard; Certified Reference Material', 'Sulfadiazine for identification of impurity F, European Pharmacopoeia (EP) Reference Standard']</t>
  </si>
  <si>
    <t>Compound(5215)</t>
  </si>
  <si>
    <t>C10H10N4O2S</t>
  </si>
  <si>
    <t>4-amino-N-(4,6-dimethylpyrimidin-2-yl)benzenesulfonamide</t>
  </si>
  <si>
    <t>['sulfamethazine', 'Sulfadimidine', '57-68-1', 'Sulfadimethyldiazine', 'Sulfamezathine', 'Sulphamethazine', 'Sulfadimerazine', 'Sulphamezathine', 'Sulfadimezine', 'Sulfadimidin', 'Sulphadimidine', '4-amino-N-(4,6-dimethylpyrimidin-2-yl)benzenesulfonamide', 'Sulfadimethylpyrimidine', 'Sulphadimethylpyrimidine', 'Sulfadimesin', 'Sulfadimesine', 'Sulfadimezin', 'Sulfametazyny', 'Sulfamethiazine', 'Sulphamethasine', 'Sulphamidine', 'Sulphodimezine', 'Sulfadine', 'Cremomethazine', 'Sulfadimidina', 'Sulfadimidinum', 'Sulfametazina', 'Sulfodimezine', 'Azolmetazin', 'Dimezathine', 'Intradine', 'Kelametazine', 'Pirmazin', 'Spanbolet', 'Sulfodimesin', 'Superseptil', 'Superseptyl', 'Vertolan', 'Diazil', 'Mermeth', 'Neasina', 'Neazina', 'Sulfa-Isodimerazine', 'Dimidin-R', 'Hava-Span', 'Sulfadimezinum', 'Calfspan Tablets', 'Sa III', '4,6-Dimethyl-2-sulfanilamidopyrimidine', '4-Amino-N-(4,6-dimethyl-2-pyrimidinyl)benzenesulfonamide', '2-Sulfanilamido-4,6-dimethylpyrimidine', 'SulfaSURE SR Bolus', 'Sulka S Boluses', 'Benzenesulfonamide, 4-amino-N-(4,6-dimethyl-2-pyrimidinyl)-', 'N-(4,6-Dimethyl-2-pyrimidyl)sulfanilamide', '4,6-Dimethylsulfadiazine', 'Diazil (the sulfanilamide)', 'Primazin', 'Solfadimidina [DCIT]', '2-(p-Aminobenzenesulfonamido)-4,6-dimethylpyrimidine', 'Sulfametazyny [Polish]', 'N(1)-(4,6-Dimethyl-2-pyrimidinyl)sulfanilamide', '4-Amino-N-(2,6-dimethyl-4-pyrimidinyl)benzenesulfonamide', 'A-502', "6-(4'-Aminobenzol-sulfonamido)-2,4-dimethylpyrimidin", 'N(1)-(4,6-Dimethyl-2-pyrimidyl)sulfanilamide', 'NCI-C56600', 'Sulfadimidinum [INN-Latin]', 'Sulfadimidina [INN-Spanish]', 'Sulfametazina [Italian]', 'Sulfadimidine [INN:BAN]', '(p-Aminobenzolsulfonyl)-2-amino-4,6-dimethylpyrimidin', 'Sulmet', 'BN 2409', 'CCRIS 3701', 'Sulfamethazine (USP)', 'Sulfamethazine [USP]', 'UNII-48U51W007F', '2-(4-Aminobenzenesulfonamido)-4,6-dimethylpyrimidine', 'HSDB 4157', 'CHEBI:102265', 'EINECS 200-346-4', '4-amino-N-(4,6-dimethylpyrimidin-2-yl)benzene-1-sulfonamide', 'MFCD00006066', 'NSC 67457', 'BRN 0261304', 'N(sup 1)-(4,6-Dimethyl-2-pyrimidyl)sulfanilamide', 'Sulfadimidine;Sulfadimerazine', 'N(sup 1)-(4,6-Dimethyl-2-pyrimidinyl)sulfanilamide', 'Sulfanilamide, N(sup1)-(4,6-dimethyl-2-pyrimidinyl)-', 'AI3-26817', 'MLS000069711', '4-Amino-N-(4,6-dimethyl-pyrimidin-2-yl)-benzenesulfonamide', 'Solfadimidina', '(p-Aminobenzolsulfonyl)-2-amino-4,6-dimethylpyrimidin [German]', "6-(4'-Aminobenzol-sulfonamido)-2,4-dimethylpyrimidin [German]", 'n(sup1)-(2,6-Dimethylpyrimid-4-yl)sulfanilamide', 'N(Sup1)-(4,6-Dimethyl-2-pyrimidyl)sulfanilamide', 'NSC67457', 'Sulfadimidine-d4', 'Sulfanilamide, N1-(4,6-dimethyl-2-pyrimidinyl)-', 'N(Sup1)-(4,6-Dimethyl-2-pyrimidinyl)sulfanilamide', 'NSC683529', 'Sulfanilamide, N(1)-(4,6-dimethyl-2-pyrimidinyl)-', '48U51W007F', 'Sulfanilamide, N(sup1)-(2,6-dimethyl-4-pyrimidinyl)-', 'Sulfamethazine, 99%', 'NCGC00018243-07', '[(4-Aminophenyl)sulfonyl](4,6-dimethylpyrimidin-2-yl)amine', 'SMR000017409', 'DSSTox_CID_1290', 'DSSTox_RID_76062', 'DSSTox_GSID_21290', 'SMZ', 'Sulfanilamide, N(sup 1)-(4,6-dimethyl-2-pyrimidinyl)-', 'Sulfamidine', 'CAS-57-68-1', 'Sulfamezathine (TN)', 'Sulfadimidine (INN)', 'sulfamethazone', 'Diazilsulfadine', 'Calfspan', 'Panazin', 'Sulka k boluses', 'S-Dimidine', 'Dimidim-R', 'Sulfadimidine,(S)', '4-Amino-N-(4,6-dimethyl-2-pyrimidyl)benzenesulfonamide', 'Sentry aq mardel biospheres maracyn plus', 'Spectrum_000990', '4-amino-N-(4', 'Opera_ID_1374', 'Prestwick0_000775', 'Prestwick1_000775', 'Prestwick2_000775', 'Prestwick3_000775', 'Spectrum2_001321', 'Spectrum3_001700', 'Spectrum4_000344', 'Spectrum5_001270', 'Sulfamethazine, &gt;=99%', 'CHEMBL446', 'Epitope ID:122238', 'Cambridge id 5251384', 'NCIOpen2_003489', 'BIDD:PXR0093', 'Oprea1_142608', 'Oprea1_677935', 'BSPBio_000850', 'BSPBio_003260', 'CBDivE_012932', 'KBioGR_000747', 'KBioSS_001470', '5-25-10-00250 (Beilstein Handbook Reference)', 'MLS000103403', 'MLS001077331', 'MLS002454449', 'DivK1c_000293', 'SCHEMBL151305', 'SPECTRUM1500548', 'Sulfadimidine (Sulfamethazine)', 'SPBio_001441', 'SPBio_002789', 'ARONIS018080', 'BPBio1_000936', 'DTXSID6021290', 'ASWVTGNCAZCNNR-UHFFFAOYSA-', 'CTK7D7927', 'HMS500O15', 'KBio1_000293', 'KBio2_001470', 'KBio2_004038', 'KBio2_006606', 'KBio3_002480', 'KS-00004ACI', 'ZINC57494', 'NINDS_000293', 'HMS1921A17', 'HMS2092I19', 'HMS3652K03', 'Pharmakon1600-01500548', 'ALBB-033473', 'BCP28439', 'HY-B0035', 'KS-00000KN9', 'Tox21_110847', 'Tox21_202221', 'Tox21_303006', 'BBL005404', 'CCG-39259', 'LS-232', 'NSC-67457', 'NSC757326', 's3133', 'SBB030487', 'STK097514', 'AKOS000119894', 'Tox21_110847_1', 'CS-2722', 'DB01582', 'MCULE-7831442410', 'MS-1576', 'NSC-683529', 'NSC-757326', 'IDI1_000293', 'NCGC00018243-01', 'NCGC00018243-02', 'NCGC00018243-03', 'NCGC00018243-04', 'NCGC00018243-05', 'NCGC00018243-06', 'NCGC00018243-08', 'NCGC00018243-09', 'NCGC00021490-03', 'NCGC00021490-04', 'NCGC00021490-05', 'NCGC00021490-06', 'NCGC00256371-01', 'NCGC00259770-01', 'Sulfadimidine solution, 1 mg/mL in H2O', 'WLN: T6N CNJ BMSWR DZ&amp; D1 F1', 'AC-16126', 'AK481349', 'H462', 'SC-19602', 'ST011913', 'Sulfanilamide,6-dimethyl-4-pyrimidinyl)-', 'SBI-0051522.P003', 'SULFAMETHAZINE (TRISULFAPYRIMIDINES)', 'FT-0655603', 'FT-0674743', 'N1-(4,6-Dimethyl-2-pyrimidyl)sulfanilamide', 'NS00000199', 'S0586', 'SW219689-1', 'T7747', 'Benzenesulfonamide,6-dimethyl-4-pyrimidinyl)-', 'Sulfamethazine 100 microg/mL in Acetonitrile', 'C19530', 'D02436', 'N1-(4,6-Dimethyl-2-pyrimidinyl)sulfanilamide', 'AB00052097_12', 'AB00052097_13', 'SR-01000000211', 'Sulfamethazine, Vetec(TM) reagent grade, &gt;=99%', 'Sulfamethazine, VETRANAL(TM), analytical standard', 'Q3976823', 'SR-01000000211-3', 'W-105450', 'BRD-K11640013-001-02-6', 'BRD-K11640013-236-03-6', '2-(4-Aminobenzenesulfonylamino)-4,6-dimethylpyrimidine', 'F1443-4796', 'N(1)-(4,6-Dimethyl-2-pyrimidinyl)sulfanilamide sulfadimidine', 'Sulfadimidine, European Pharmacopoeia (EP) Reference Standard', '(4-AMINO-N-(4,6-DIMETHYL-2-PYRIMIDINYL)BENZENE SULFONAMIDE', '4-amino-N~1~-(4,6-dimethyl-2-pyrimidinyl)-1-benzenesulfonamide', 'HSDB 4157; HSDB 4157; HSDB 4157;Sulfadimidine;Sulfadimerazine', 'Sulfamethazine, United States Pharmacopeia (USP) Reference Standard', 'Sulfadimidine for peak identification, European Pharmacopoeia (EP) Reference Standard']</t>
  </si>
  <si>
    <t>Compound(5327)</t>
  </si>
  <si>
    <t>C12H14N4O2S</t>
  </si>
  <si>
    <t>4-amino-N-(2,6-dimethoxypyrimidin-4-yl)benzenesulfonamide</t>
  </si>
  <si>
    <t>['sulfadimethoxine', 'Sulphadimethoxine', '122-11-2', 'Sulfadimethoxin', 'Sulfadimethoxydiazine', 'Sulfadimetoxin', 'Albon', 'Dimetazina', 'Sulfadimetoxina', 'Agribon', 'Deposul', '4-Amino-N-(2,6-dimethoxy-4-pyrimidinyl)benzenesulfonamide', 'Sulfadimethoxinum', '4-amino-N-(2,6-dimethoxypyrimidin-4-yl)benzenesulfonamide', 'Arnosulfan', 'Bactrovet', 'Diasulfa', 'Diasulfyl', 'Dimethoxysulfadiazine', 'Madribon', 'Madrigid', 'Madriqid', 'Madroxin', 'Madroxine', 'Maxulvet', 'Memcozine', 'Metoxidon', 'Neostrepal', 'Persulfen', 'Roscosulf', 'Scandisil', 'Sulfastop', 'Sulfoplan', 'Theracanzan', 'Dinosol', 'Dorisul', 'Omnibon', 'Radonin', 'Redifal', 'Sudine', 'Sulxin', 'Symbio', 'Abcid', 'Fuxal', 'Sulfadimetossina', '2,6-Dimethoxy-4-sulfanilamidopyrimidine', 'Benzenesulfonamide, 4-amino-N-(2,6-dimethoxy-4-pyrimidinyl)-', '2,4-Dimethoxy-6-sulfanilamido-1,3-diazine', '6-Sulfanilamido-2,4-dimethoxypyrimidine', 'Agribon (TN)', 'Abcid (TN)', '2,6-Dimethoxy-4-(p-aminobenzenesulfonamido)pyrimidine', 'Rofenaid', 'Primor', 'Solfadimetossina [DCIT]', 'UNII-30CPC5LDEX', 'Sulfadimetossina [Italian]', 'NSC 683544', 'Sulfadimethoxinum [INN-Latin]', 'Sulfadimetoxina [INN-Spanish]', 'CHEBI:32161', 'EINECS 204-523-7', 'N1-(2,6-Dimethoxy-4-pyrimidinyl)sulfanilamide', '30CPC5LDEX', 'BRN 0306856', 'MLS000069720', 'N(1)-(2,6-dimethoxy-4-pyrimidinyl)sulfanilamide', 'NSC683544', 'N(sup 1)-(2,6-Dimethoxy-4-pyrimidinyl)sulfanilamide', '4-Amino-N-(2,6-dimethoxy-4-pyrimidinyl)benzolsulfonamid', 'Sulfanilamide, N(sup 1)-(2,6-dimethoxy-4-pyrimidinyl)-', 'NCGC00016375-01', 'CAS-122-11-2', 'SMR000017367', '4-amino-N-(2,6-dimethoxypyrimidin-4-yl)benzene-1-sulfonamide', 'Solfadimetossina', 'DSSTox_CID_3607', 'DSSTox_RID_77105', 'DSSTox_GSID_23607', 'Sulfadimetoxine', 'Neostreptal', '[(4-aminophenyl)sulfonyl](2,6-dimethoxypyrimidin-4-yl)amine', 'Suldixine', 'Sulfabon', 'Di-Methox', 'SULFAMED-G', 'Benzenesulfonamide, 4-amino-N-(2,6-dimethoxy-4-pyrimidinyl)-, monosodium salt', 'Sulfadimethoxine [JAN]', 'SR-01000000227', 'ulfadimethoxine', 'Sulfdimethoxine', 'Ultrasulfon', 'Lasibon', 'Mecozine', 'Sumbio', 'Sdmo', 'CCRIS 9326', 'Prestwick_979', 'Rofenaid (Salt/Mix)', 'Spectrum_001408', 'Sulfadimethoxine [USP:INN:BAN:JAN:NF]', 'Benzenesulfonamide, 4-amino-N-(2,6-dimethoxy-4-pyrimidinyl)-, sodium salt (1:1)', 'Opera_ID_1856', 'Prestwick0_000728', 'Prestwick1_000728', 'Prestwick2_000728', 'Prestwick3_000728', 'Spectrum2_001419', 'Spectrum3_001454', 'Spectrum4_000442', 'Spectrum5_001221', 'CBKinase1_000256', 'CBKinase1_012656', 'Epitope ID:122237', 'Cambridge id 5251398', 'Oprea1_486812', 'Oprea1_495206', 'SCHEMBL93845', 'Sulfadimethoxine (JAN/USP)', 'BSPBio_000656', 'BSPBio_002947', 'KBioGR_000824', 'KBioSS_001888', '5-25-13-00290 (Beilstein Handbook Reference)', 'MLS000103402', 'MLS000104965', 'MLS001148602', 'CHEMBL62193', 'DivK1c_000088', 'SPECTRUM1501144', 'SPBio_001498', 'SPBio_002595', 'ARONIS018062', 'BPBio1_000722', 'component of Prazil (Salt/Mix)', 'component of Primor (Salt/Mix)', 'DTXSID1023607', 'HMS500E10', 'KBio1_000088', 'KBio2_001888', 'KBio2_004456', 'KBio2_007024', 'KBio3_002447', '4-Sulfa-2,6-dimethoxypyrimidine', 'component of Maxutrim (Salt/Mix)', 'component of Rofenaid (Salt/Mix)', 'NINDS_000088', 'HMS1570A18', 'HMS1921J15', 'HMS2090P11', 'HMS2092F21', 'HMS2097A18', 'HMS2230L05', 'HMS3370K02', 'HMS3655H05', 'HMS3714A18', 'Pharmakon1600-01501144', 'component of Trivalbon (Salt/Mix)', 'BCP15413', 'HY-B0337', 'KS-00004AC0', 'Tox21_110405', 'BBL023015', 'CCG-38972', 'MFCD00057345', 'NSC757860', 's1962', 'SBB001275', 'STK018258', 'ZINC13233295', 'AKOS000485038', 'Tox21_110405_1', 'API0004264', 'CS-2379', 'DB06150', 'KS-5335', 'MCULE-5924558211', 'NSC-683544', 'NSC-757860', '4-Sulfanilamido-2,6-dimethoxypyrimidine', 'IDI1_000088', 'KS-00000Z01', 'SMP2_000079', '2,4-Dimethoxy-6-Sulfanilamidopyrimidine', 'NCGC00016375-02', 'NCGC00016375-03', 'NCGC00016375-04', 'NCGC00016375-05', 'NCGC00016375-06', 'NCGC00016375-09', 'NCGC00016375-10', 'NCGC00024020-03', 'NCGC00024020-04', 'AC-10998', 'AK323646', 'CC-34609', 'M932', 'ST007535', 'SBI-0051656.P002', 'AB0015456', 'BB0273640', 'LS-147775', '6-Sulfanilamido-2,4-dimethoxy-1,3-diazine', 'AB00052219', 'B3301', 'FT-0603324', 'NS00000200', 'S0359', 'SW149624-4', 'T7352', '2,4-Dimethoxy-6-sulfanilamido-1,3-pyrimidine', '22S112', 'D01142', 'AB00052219-15', 'AB00052219-17', 'AB00052219_18', 'AB00052219_19', 'A804847', 'C-19228', 'J-004764', 'Q4921678', 'SR-01000000227-2', 'SR-01000000227-4', 'Sulfadimethoxine, VETRANAL(TM), analytical standard', 'Sulfanilamide, N1-(2,6-dimethoxy-4-pyrimidinyl)-', '4-(p-Aminobenzenesulfonamido)-2,6-dimethoxypyrimidine', 'BRD-K71125014-001-05-7', 'BRD-K71125014-001-07-3', 'BRD-K71125014-001-17-2', 'N(Sup1)-(2,6-Dimethoxy-4-pyrimidinyl)sulfanilamide', 'F1443-4783', 'Sulfadimethoxine, analytical standard, &gt;=98.5% (TLC)', '4-azanyl-N-(2,6-dimethoxypyrimidin-4-yl)benzenesulfonamide', '4-amino-N-[2,6-bis(methyloxy)pyrimidin-4-yl]benzenesulfonamide', 'Sulfadimethoxine, European Pharmacopoeia (EP) Reference Standard', 'Sulfadimethoxine, United States Pharmacopeia (USP) Reference Standard', 'Sulfadimethoxine for peak identification, European Pharmacopoeia (EP) Reference Standard']</t>
  </si>
  <si>
    <t>Compound(5323)</t>
  </si>
  <si>
    <t>C12H14N4O4S</t>
  </si>
  <si>
    <t>4-amino-N-(5,6-dimethoxypyrimidin-4-yl)benzenesulfonamide</t>
  </si>
  <si>
    <t>['SULFADOXINE', '2447-57-6', 'Sulphadoxine', 'Sulforthomidine', 'Sulphormethoxine', '4-amino-N-(5,6-dimethoxypyrimidin-4-yl)benzenesulfonamide', 'Fanasil', 'Sulfadoxin', 'Sulfadoxina', 'Sulfadoxinum', 'Fanzil', 'Ro 4-4393', 'Benzenesulfonamide, 4-amino-N-(5,6-dimethoxy-4-pyrimidinyl)-', 'Solfadossina [DCIT]', '4-Sulfanilamido-5,6-dimethoxypyrimidine', '4-Amino-N-(5,6-dimethoxy-4-pyrimidinyl)benzenesulfonamide', 'Sulfadoxinum [INN-Latin]', 'Sulfadoxina [INN-Spanish]', 'WR 4873', "N'-(5,6-Dimethoxy-4-pyrimidyl)sulfanilamide", 'UNII-88463U4SM5', '6-(4-Aminobenzenesulfonamido)-4,5-dimethoxypyrimidine', 'EINECS 219-504-9', 'N1-(5,6-Dimethoxy-4-pyrimidinyl)sulfanilamide', 'Sulfadoxine (Sulphadoxine)', 'BRN 0625453', 'CHEBI:9329', 'Solfadossina', 'Sulformethoxine', 'Sulformetoxine', 'N(sup 1)-(5,6-Dimethoxy-4-pyrimidinyl)sulfanilamide', '88463U4SM5', 'NCGC00016612-01', 'Orthosulfin', 'Sulphormetoxin', '4-amino-N-(5,6-dimethoxypyrimidin-4-yl)benzene-1-sulfonamide', 'CAS-2447-57-6', 'DSSTox_CID_3608', 'DSSTox_RID_77106', 'DSSTox_GSID_23608', 'Sulphorthodimethoxine', '4-amino-N-[5,6-bis(methyloxy)pyrimidin-4-yl]benzenesulfonamide', 'SR-05000001523', 'Sulfadoxine [USAN:INN:BAN:JAN]', 'ulfadoxine', 'Sulfadoxine (JAN/USP/INN)', 'Sanasil: Sulfadoxine: Sulformetoxin', 'Ro-4-4393', 'WR 4073', 'Sulfadoxine [USAN:USP:INN:BAN:JAN]', 'Prestwick0_001094', 'Prestwick1_001094', 'Prestwick2_001094', 'Prestwick3_001094', 'CHEMBL1539', 'SCHEMBL41069', 'BSPBio_001168', '5-25-13-00306 (Beilstein Handbook Reference)', 'MLS002154150', 'SPBio_003054', 'BPBio1_001286', 'ZINC2094', 'Sulfadoxin, &gt;=95% (TLC)', 'DTXSID6023608', 'GTPL10173', 'HMS1571K10', 'HMS2090P07', 'HMS2094C19', 'HMS2098K10', 'HMS2230E05', 'HMS3371I15', 'HMS3715K10', 'Pharmakon1600-01506086', 'HY-B0439', 'KS-00000YG8', 'Tox21_110523', 'BBL023187', 'MFCD00792890', 'NSC759319', 'Ro-44393', 's2511', 'STL356042', 'AKOS015897281', 'Tox21_110523_1', 'AC-8428', 'CCG-213610', 'CS-2545', 'DB01299', 'KS-5334', 'MCULE-4025355907', 'NSC-759319', 'WR-4073', 'NCGC00016612-02', 'NCGC00016612-04', 'NCGC00016612-05', 'AK162164', 'H937', 'J21.373J', 'LS-31247', 'SC-62311', 'SMR000857259', 'SBI-0206941.P001', 'AB0013372', 'DB-046463', 'AB00514044', 'FT-0603610', 'N1-5,6-Dimethoxy-4-pyrimidinylsulfanilamide', 'NS00008538', 'S0899', 'T7564', '47S576', 'C07630', 'D00580', 'J10275', 'Sulfadoxin, VETRANAL(TM), analytical standard', 'AB00514044-06', 'AB00514044_07', 'AB00514044_08', 'A817328', 'Q411557', 'SR-05000001523-1', 'SR-05000001523-3', 'W-107313', 'BRD-K55250441-001-03-1', 'BRD-K55250441-001-06-4', 'Sulfadoxin, certified reference material, TraceCERT(R)', '4-Amino-N-(5,6-dimethoxy-4-pyrimidinyl)benzenesulfonamide;', '4-azanyl-N-(5,6-dimethoxypyrimidin-4-yl)benzenesulfonamide', 'Sulfadoxine, European Pharmacopoeia (EP) Reference Standard', 'Sulfadoxine, United States Pharmacopeia (USP) Reference Standard', '2247-57-6']</t>
  </si>
  <si>
    <t>Compound(17134)</t>
  </si>
  <si>
    <t>4-amino-N-(4-methylpyrimidin-2-yl)benzenesulfonamide</t>
  </si>
  <si>
    <t>['sulfamerazine', '127-79-7', 'Sulphamerazine', 'Sulfamerazin', 'Sulfamethyldiazine', 'Cremomerazine', 'Methylsulfazine', 'Sulfameradine', 'Mebacid', 'Metilsulfadiazin', '2-Sulfa-4-methylpyrimidine', 'Methylpyrimal', 'Metilsulfazin', 'Sulfamerazina', 'Sulfamerazinum', 'Kelamerazine', 'Percoccide', 'Pyralcid', 'Septacil', 'Septosyl', 'Solumedin', 'Sumedine', 'Mesulfa', 'Romezin', 'Veta-Merazine', '4-amino-N-(4-methylpyrimidin-2-yl)benzenesulfonamide', 'Debenal-M', 'Pirimal-M', 'Pyrimal M', 'Methylsulfazin', 'Benzenesulfonamide, 4-amino-N-(4-methyl-2-pyrimidinyl)-', 'N-(4-Methyl-2-pyrimidyl)sulfanilamide', '2-(Sulfanilamido)-4-methylpyrimidine', '2-(4-Aminobenzenesulfonamido)-4-methylpyrimidine', '2643-RP', 'RP 2632', 'Solfamerazina [DCIT]', 'Sulfamerazinum [INN-Latin]', 'N1-(4-Methyl-2-pyrimidinyl)sulfanilamide', 'Sulfamerazina [INN-Spanish]', '(p-Aminobenzolsulfonyl)-2-amino-4-methylpyrimidin', 'A-310', '4-Amino-N-(4-methyl-2-pyrimidinyl)-benzenesulfonamide', '2-Sulfanilamido-4-methylpyrimidine', 'UNII-UR1SAB295F', '4-Amino-N-(4-methyl-2-pyrimidinyl)benzenesulfonamide', 'N(1)-(4-Methyl-2-pyrimidinyl)sulfanilamide', 'NSC 27259', 'C11H12N4O2S', 'CHEBI:102130', '2632 R. P.', '4-amino-N-(4-methylpyrimidin-2-yl)benzene-1-sulfonamide', 'Sulfanilamide, N1-(4-methyl-2-pyrimidinyl)-', 'EINECS 204-866-2', '2-(p-Aminobenzolsulfonamido)-4-methylpyrimidine', 'RP2632', 'N(sup 1)-(4-Methyl-2-pyrimidinyl)sulfanilamide', 'BRN 0249133', 'UR1SAB295F', 'AI3-08026', 'MLS000551747', '(p-Aminobenzolsulfonyl)-2-amino-4-methylpyrimidin [German]', 'Solfamerazina', 'MFCD00023212', 'Sulfanilamide, N(sup 1)-(4-methyl-2-pyrimidinyl)-', 'NCGC00016386-01', 'CAS-127-79-7', 'SMR000145672', 'DSSTox_CID_3612', 'DSSTox_RID_77109', 'DSSTox_GSID_23612', '4-Amino-N-(4-methyl-pyrimidin-2-yl)-benzenesulfonamide', '4-amino-N-(4-methylpyrimidin-2-yl)', 'Sulfamerazine (INN)', 'Sulfamerazine [USAN:INN:BAN]', 'SR-01000684857', '[(4-aminophenyl)sulfonyl](4-methylpyrimidin-2-yl)amine', 'ulfamerazine', 'Susfamerazine', 'Sulfamerazine [USP:INN:BAN]', 'Prestwick_17', 'Spectrum_000003', 'Opera_ID_988', 'Prestwick0_000694', 'Prestwick1_000694', 'Prestwick2_000694', 'Prestwick3_000694', 'Spectrum2_001320', 'Spectrum3_001363', 'Spectrum4_000343', 'Spectrum5_001413', '2(p-Aminobenzolsulfonamido)-4-methylpyrimidin', 'CHEMBL438', 'Epitope ID:122236', 'N(sup1)-(4-Methyl-2-pyrimidinyl)sulfanilamide', 'SCHEMBL33999', 'BSPBio_000847', 'BSPBio_002886', 'KBioGR_000745', 'KBioSS_000343', '5-25-10-00167 (Beilstein Handbook Reference)', 'MLS001201765', 'DivK1c_000563', 'SPECTRUM1500547', 'SPBio_001419', 'SPBio_002768', 'BPBio1_000933', 'DTXSID0023612', 'HMS501M05', 'KBio1_000563', 'KBio2_000343', 'KBio2_002911', 'KBio2_005479', 'KBio3_002106', 'ZINC57501', 'NINDS_000563', '4-Amino-N-(4-methyl-2-pyrimidinyl)-benzenesulfonamide (9CI)', 'HMS1570K09', 'HMS1921A15', 'HMS2092I17', 'HMS2097K09', 'HMS2234D16', 'HMS3374K04', 'HMS3652I03', 'HMS3714K09', 'Pharmakon1600-01500547', 'ALBB-025702', 'HY-B0512', 'KS-00000Z2J', 'NSC27259', 'Tox21_110411', 'BBL003544', 'CCG-39258', 'NSC-27259', 'NSC757325', 's3132', 'SBB057970', 'STK520614', 'AKOS005143010', 'Tox21_110411_1', 'CS-2720', 'DB01581', 'KS-5323', 'MCULE-7699685177', 'NSC-757325', 'IDI1_000563', 'NCGC00016386-02', 'NCGC00016386-03', 'NCGC00016386-06', 'NCGC00094787-01', 'NCGC00094787-02', 'AK390512', 'H548', "N'-(4-Methyl-2-pyrimidyl) sulfanilamide", 'SULFAMERAZINE (TRISULFAPYRIMIDINES)', 'SBI-0051521.P003', '2632 R. P', 'DB-041873', 'LS-147821', 'Sulfamerazine, ReagentPlus(R), &gt;=99.0%', 'AB00052096', 'FT-0631745', 'FT-0645132', 'NS00000004', 'NS00041928', 'R1483', 'ST45028776', 'SW196334-3', 'Sulfamerazine, Vetec(TM) reagent grade, 98%', '2-(p-Aminobenzosulfonamido)-4-methylpyrimidine', 'D02435', 'AB00052096-13', 'AB00052096_15', 'AB00052096_16', 'A805747', 'Q415196', 'Sulfamerazine, VETRANAL(TM), analytical standard', 'Q-201761', 'SR-01000684857-2', 'SR-01000684857-4', '4-azanyl-N-(4-methylpyrimidin-2-yl)benzenesulfonamide', 'BRD-K93524252-001-05-6', 'BRD-K93524252-001-15-5', 'Sulfanilamide, N1-(4-methyl-2-pyrimidinyl)- (8CI)', 'F2190-0484', 'Sulfamerazine, European Pharmacopoeia (EP) Reference Standard', 'Sulfamerazine, United States Pharmacopeia (USP) Reference Standard', 'Sulfamerazine, Pharmaceutical Secondary Standard; Certified Reference Material']</t>
  </si>
  <si>
    <t>Compound(5325)</t>
  </si>
  <si>
    <t>C11H12N4O2S</t>
  </si>
  <si>
    <t>sulfamethoxazole</t>
  </si>
  <si>
    <t>4-amino-N-(5-methyl-1,2-oxazol-3-yl)benzenesulfonamide</t>
  </si>
  <si>
    <t>['sulfamethoxazole', '723-46-6', 'Sulphamethoxazole', 'Gantanol', 'Sulfisomezole', 'Sulfamethoxazol', 'Metoxal', 'Sulfamethylisoxazole', '4-Amino-N-(5-methyl-3-isoxazolyl)benzenesulfonamide', 'Simsinomin', 'Radonil', 'Sinomin', 'Sulphamethoxazol', 'Sulpha-methoxizole', 'Bactrim', 'Sulfamethalazole', 'Azo-gantanol', 'Sulphamethylisoxazole', 'Urobak', 'Sulfamethoxizole', '3-Sulfanilamido-5-methylisoxazole', 'Gantanol-DS', '4-amino-N-(5-methylisoxazol-3-yl)benzenesulfonamide', 'Bactrimel', 'Gamazole', 'Ro 4-2130', '4-amino-N-(5-methyl-1,2-oxazol-3-yl)benzenesulfonamide', 'Sulphisomezole', '5-Methyl-3-sulfanilamidoisoxazole', 'MS 53', '3-Sulphanilamido-5-methylisoxazole', 'Benzenesulfonamide, 4-amino-N-(5-methyl-3-isoxazolyl)-', '5-Methyl-3-sulphanil-amidoisoxazole', '3-(p-Aminophenylsulfonamido)-5-methylisoxazole', '5-Methyl-3-sulfanylamidoisoxazole', "N'-(5-Methyl-3-isoxazolyl)sulfanilamide", 'N1-(5-Methyl-3-isoxazolyl)sulfanilamide', "N'-(5-Methylisoxazol-3-yl)sulphanilamide", 'Solfametossazolo [DCIT]', '3-(para-Aminophenylsulphonamido)-5-methylisoxazole', 'Sulfametoxazol [INN-Spanish]', 'Sulfamethoxazolum [INN-Latin]', 'Sulmeprim', 'Trimeth/Sulfa', 'A047', 'SMX', 'UNII-JE42381TNV', 'CCRIS 567', 'N(sup 1)-(5-Methyl-3-isoxazolyl)sulphanilamide', 'CHEBI:9332', "N'-(5-Methyl-3-isoxazole)sulfanilamide", 'HSDB 3186', 'Ro 6-2580/11', '4-Amino-N-(5-methyl-isoxazol-3-yl)-benzenesulfonamide', "Sulfanilamide, N'-(5-methyl-3-isoxazolyl)-", 'Sulfanilamide, N1-(5-methyl-3-isoxazolyl)-', 'EINECS 211-963-3', '4-amino-N-(5-methyl-1,2-oxazol-3-yl)benzene-1-sulfonamide', 'CHEMBL443', 'NSC 147832', 'BRN 0226453', 'MLS000069732', 'JE42381TNV', '4-AMINO-N-(5-METHYL-3-ISOXAZOYL)BENZENESULFONAMIDE', 'Sulfametoxazol', 'C10H11N3O3S', 'Solfametossazolo', 'N(sup1)-(5-Methyl-3-isoxazolyl)sulfanilamide', '5-Methyl-3-sulfonylamidoisoxazole', 'STX-608', 'N(sup 1)-(5-Methyl-3-isoxazolyl)sulfanilamide', 'Sulfanilamide, N(1)-(5-methyl-3-isoxazolyl)-', 'Sulfamethoxazolum', 'MFCD00010546', 'NSC147832', 'Ro-42130', '4-Amino-N-(5-methyl-3-isoxazolyl)-benzenesulfonamide', 'NSC-147832', 'NCGC00016533-05', 'NCGC00186654-01', 'CAS-723-46-6', 'SMR000058223', 'DSSTox_CID_6064', '3-(p-Aminobenzenesulfonamido)-5-methylisoxazole', 'DSSTox_RID_78001', 'DSSTox_GSID_26064', '[(4-aminophenyl)sulfonyl](5-methylisoxazol-3-yl)amine', '129378-89-8', 'Sulfamethoxazole [USAN:INN:JAN]', 'SR-01000000217', 'Prestwick_453', 'ALBB-002089', 'Septran (Salt/Mix)', 'Septrin (Salt/Mix)', 'Sulfamethoxazole,(S)', 'Eusaprim (Salt/Mix)', 'Ro-4-2130', 'Spectrum_000994', 'Sulfamethoxazole(USAN)', 'N1-(5-Methylisoxazol-3-yl)sulfanilamide', 'Opera_ID_882', 'Maybridge1_007190', 'Prestwick0_000177', 'Prestwick1_000177', 'Prestwick2_000177', 'Prestwick3_000177', 'Spectrum2_000788', 'Spectrum3_000584', 'Spectrum4_000345', 'Spectrum5_000982', 'Sulfamethoxazole [USAN:USP:INN:BAN:JAN]', 'Epitope ID:114999', 'Co-trimoxazole (Salt/Mix)', 'SCHEMBL3656', 'Oprea1_114486', 'Oprea1_285680', 'BSPBio_000073', 'BSPBio_002028', 'KBioGR_000749', 'KBioSS_001474', 'KSC635S5T', 'MLS001055354', 'MLS001074165', 'MLS006011871', 'BIDD:GT0731', 'DivK1c_000649', 'SPECTRUM1500550', 'SPBio_000896', 'SPBio_001994', 'ARONIS018156', 'BPBio1_000081', 'DTXSID8026064', 'component of Bactrim (Salt/Mix)', 'CTK5D5959', 'GTPL10933', 'HMS502A11', 'HMS561O18', 'JLKIGFTWXXRPMT-UHFFFAOYSA-', 'KBio1_000649', 'KBio2_001474', 'KBio2_004042', 'KBio2_006610', 'KBio3_001528', 'KS-00004AEJ', 'ZINC89763', 'EBD3403', 'N1-(5-methylisoxazol-3-yl)-4-aminobenzene-1-sulfonamide', 'WLN: T5NOJ C1 EMSWR DZ', 'NINDS_000649', 'HMS1568D15', 'HMS1921A21', 'HMS2092K03', 'HMS2095D15', 'HMS2233L13', 'HMS3259E06', 'HMS3372M22', 'HMS3655O22', 'HMS3712D15', 'Pharmakon1600-01500550', 'BCP02881', 'HY-B0322', 'KS-000000QU', 'Sulfamethoxazole (JP17/USP/INN)', 'Sulfamethoxazole, analytical standard', 'Tox21_110480', 'Tox21_200353', 'ANW-43073', 'BBL004554', 'BDBM50029770', 'CCG-40166', 'HTS001394', 'KM1475', 'NSC757328', 's1915', 'SBB057675', 'SBB071655', 'STK007988', 'AKOS000200952', 'component of Azo Gantanol (Salt/Mix)', 'Tox21_110480_1', 'BS-3542', 'CS-2363', 'DB01015', 'LS-1620', 'MCULE-1450176600', 'NC00537', 'NSC-757328', 'IDI1_000649', 'NCGC00016533-01', 'NCGC00016533-02', 'NCGC00016533-03', 'NCGC00016533-04', 'NCGC00016533-06', 'NCGC00016533-07', 'NCGC00016533-08', 'NCGC00016533-09', 'NCGC00016533-10', 'NCGC00016533-11', 'NCGC00016533-12', 'NCGC00016533-14', 'NCGC00021995-03', 'NCGC00021995-04', 'NCGC00021995-05', 'NCGC00257907-01', 'AC-11118', 'AK-36221', 'H463', 'SC-15160', 'ST024740', 'SY018888', 'BCP0726000283', "N'-(5-Methyl-3-isoxazolyl)-Sulfanilamide", 'N1-(5-methyl-3-isoxazolyl)-Sulfanilamide', 'N1-(5-Methyl-3-isoxazolyl)sulphanilamide', 'SBI-0051524.P003', 'DB-055629', 'AB00052099', 'BB 0242379', 'FT-0602616', 'N^1-(5-Methyl-3-isoxazolyl)-Sulfanilamide', 'NS00000268', 'NS00049366', 'S0361', 'ST51006798', 'SW196670-3', 'C07315', 'D00447', 'J10090', 'AB00052099-14', 'AB00052099-16', 'AB00052099_17', 'AB00052099_18', 'Ndimethyl1-(5-methyl-3-isoxazolyl)-Sulfanilamide', 'Q415843', 'Q-201762', 'SR-01000000217-2', 'SR-01000000217-3', 'Sulfamethoxazole, VETRANAL(TM), analytical standard', 'Sulfanilamide, N1-(5-methyl-3-isoxazolyl)- (8CI)', '4-Amino-N-(5-methylisoxazol-3-yl)benzenesulphonamide', 'BRD-K28494619-001-05-0', 'BRD-K28494619-001-15-9', 'BRD-K28494619-001-26-6', 'Z57198677', '4-Amino-N-(5-methyl-isoxazol-3-yl)-benzene sulfonamide', '4-AMINO-N-[5-METHYL-3-ISOXAZOLYL]BENZENESULFONAMID', 'Sulfamethoxazole, British Pharmacopoeia (BP) Reference Standard', 'Sulfamethoxazole, certified reference material, TraceCERT(R)', '4-amino-N-(5-methyl-1,2-oxazol-3-yl)benzenesulfonamide; SMX; SMZ', 'Sulfamethoxazole, European Pharmacopoeia (EP) Reference Standard', 'Sulfamethoxazole, United States Pharmacopeia (USP) Reference Standard', 'SULFAMETHOXAZOLE (8064-90-2 (TRIMETHOPRIM/SULFAMETHOXAZOLE); TMP/SMX (MIXTURE))', 'Sulfamethoxazole, Pharmaceutical Secondary Standard; Certified Reference Material', '08D']</t>
  </si>
  <si>
    <t>Compound(5329)</t>
  </si>
  <si>
    <t>C10H11N3O3S</t>
  </si>
  <si>
    <t>1-(2-hydroxypropylamino)propan-2-ol;thiolane 1,1-dioxide;hydrate</t>
  </si>
  <si>
    <t>['Sulfinol D', '63665-16-7', 'Sulfinol', 'CTK5B9639', 'DTXSID90979892', "1lambda~6~-Thiolane-1,1-dione--1,1'-azanediyldi(propan-2-ol)--water (1/1/1)"]</t>
  </si>
  <si>
    <t>Compound(190009)</t>
  </si>
  <si>
    <t>C10H25NO5S</t>
  </si>
  <si>
    <t>4-amino-N-pyridin-2-ylbenzenesulfonamide</t>
  </si>
  <si>
    <t>['sulfapyridine', '144-83-2', 'Sulphapyridine', '2-Sulfapyridine', 'Sulfidin', '2-Sulfanilamidopyridine', 'Sulfidine', '2-Sulfanilylaminopyridine', 'Streptosilpyridine', 'Coccoclase', 'Eubasinum', 'Piridazol', 'Pyridazol', 'Eubasin', 'Haptocil', 'Plurazol', 'Relbapiridina', 'Pyriamid', 'Septipulmon', 'Thioseptal', 'Adiplon', 'Dagenan', 'Trianon', 'Ronin', '2-Sulfanilamidopyridin', 'N-2-Pyridylsulfanilamide', 'Solfapiridina', 'Sulfapiridina', 'Sulfapyridinum', '4-amino-N-pyridin-2-ylbenzenesulfonamide', 'N1-2-Pyridylsulfanilamide', '2-(p-Aminobenzenesulphonamido)pyridine', 'Benzenesulfonamide, 4-amino-N-2-pyridinyl-', '4-amino-N-pyridin-2-yl-benzenesulfonamide', 'N(sup 1)-2-Pyridylsulfanilamide', '2-Sulfanilyl aminopyridine', '4-(2-Pyridinylsulfonyl)aniline', '4-[(2-Pyridylamino)sulfonyl]aniline', '2-(4-Aminobenzenesulfonamido)pyridine', '4-amino-N-(pyridin-2-yl)benzenesulfonamide', 'Solfapiridina [DCIT]', 'N(sup1)-Pyridylsulfanilamide', 'M+B 693', 'N(1)-Pyridylsulfanilamide', 'Sulfapyridinum [INN-Latin]', 'Sulfapiridina [INN-Spanish]', 'N(1)-2-Pyridylsulfanilamide', 'A-499', '2-Sulfanilamidopyridin [German]', '4-Amino-N,2-pyridinylbenzenesulfonamide', 'M + B 693', 'UNII-Y5V2N1KE8U', 'NSC 4753', 'NSC 41791', 'Sulfanilamide, N(sup 1)-2-pyridyl-', '4-amino-N-(pyridin-2-yl)benzene-1-sulfonamide', 'M&amp;B 693', 'Sulfanilamide, N1-2-pyridyl-', 'C11H11N3O2S', '4-amino-n-(2-pyridinyl)benzenesulfonamide', 'CHEBI:132842', 'EINECS 205-642-7', 'Y5V2N1KE8U', 'AI3-01049', 'MLS000069725', 'NSC4753', 'Sulfapyridine, 95%', 'NCGC00016408-01', 'Sulphapyridin', 'CAS-144-83-2', 'SMR000058213', 'DSSTox_CID_6067', 'DSSTox_RID_78003', 'DSSTox_GSID_26067', 'WLN: T6NJ BMSWR DZ', '4-amino-N-(2-pyridyl)benzenesulfonamide', 'M and B 693', '[(4-aminophenyl)sulfonyl]-2-pyridylamine', 'Sulfapyridine (TN)', '4-Amino-n-2-pyridinyl-benzenesulfonamide', 'Sulfapyridine [USAN:INN:BAN]', 'SR-01000000207', "N'-2-Pyridylsulfanilide", 'Sulfapyridine (USP/INN)', 'ulfapyridine', 'Sulfapyridine [USP:INN:BAN]', 'sulfapyridine III', '4-AMINO-N-2-PYRIDINYLBENZENESULFONAMIDE', 'SFY', 'ALBB-006215', 'Prestwick_1015', 'Spectrum_000996', 'Sulfapyridine (Dagenan)', 'Sulfasalazine Impurity J', 'Prestwick0_000762', 'Prestwick1_000762', 'Prestwick2_000762', 'Prestwick3_000762', 'Spectrum2_001323', 'Spectrum3_001773', 'Spectrum4_000346', 'Spectrum5_001182', 'CHEMBL700', 'Epitope ID:122235', 'EC 205-642-7', 'cid_5336', 'Sulfapyridine, &gt;=99.0%', 'Oprea1_344996', 'SCHEMBL44219', 'BSPBio_000804', 'BSPBio_003265', 'KBioGR_000751', 'KBioSS_001476', 'AO-801/41077453', 'DivK1c_000216', 'SPECTRUM1500551', 'SPBio_001445', 'SPBio_002743', 'BPBio1_000886', 'ZINC2105', 'DTXSID3026067', 'BDBM39340', 'CTK3J2133', 'GECHUMIMRBOMGK-UHFFFAOYSA-', 'HMS500K18', 'KBio1_000216', 'KBio2_001476', 'KBio2_004044', 'KBio2_006612', 'KBio3_002766', 'NINDS_000216', '4-(2-Pyridinylsulfonyl)aniline #', 'HMS1570I06', 'HMS1921C03', 'HMS2092K05', 'HMS2097I06', 'HMS2233H20', 'HMS3372N13', 'HMS3714I06', 'Pharmakon1600-01500551', 'HY-B0212', 'NSC-4753', 'NSC41791', 'Tox21_110426', 'ANW-43071', 'BBL007713', 'CCG-39261', 'LS-854', 'NSC-41791', 'NSC757329', 's1617', 'SBB003154', 'STK292439', '2-(p-Aminobenzenesulfonamido)pyridine', 'AKOS000121424', 'Tox21_110426_1', 'CS-2157', 'DB00891', 'HS-0063', 'M&amp;B-693', 'MCULE-7911106459', 'NSC-757329', 'Sulfanilamide, N1-2-pyridyl- (8CI)', 'VZ28286', 'IDI1_000216', 'KS-00000G93', 'UPCMLD0ENAT5889155:001', 'NCGC00016408-02', 'NCGC00016408-03', 'NCGC00016408-04', 'NCGC00016408-05', 'NCGC00016408-06', 'NCGC00016408-09', 'NCGC00016408-10', 'NCGC00022008-03', 'NCGC00022008-04', 'Sulfanilamide, N1-2(1H)-pyridylidene-', 'AC-26818', 'AK400564', 'H460', 'SC-65296', 'SBI-0051525.P003', '4-azanyl-N-pyridin-2-yl-benzenesulfonamide', 'DB-042750', 'AB00052100', 'BB 0258406', 'FT-0631839', 'FT-0674744', 'NS00000225', 'NS00041927', 'R1664', 'S0071', 'ST45026614', 'Benzenesulfonamide, 4-amino-N-(2-pyridinyl)-', 'D02434', 'J10161', 'AB00052100_14', 'AB00052100_15', 'A808279', 'Sulfapyridine, VETRANAL(TM), analytical standard', 'Q3976827', 'SR-01000000207-2', 'SR-01000000207-3', 'W-108148', 'BRD-K41406082-001-05-5', 'BRD-K41406082-001-09-7', 'Z271004858', '4-amino-N-(1,2-dihydropyridin-2-ylidene)benzenesulfonamide', 'Sulfapyridine, European Pharmacopoeia (EP) Reference Standard', '4-Amino-N-(pyrimidin-2-yl) benzenesulfonamide (Sulfadiazine) (14)', 'Sulfapyridine, United States Pharmacopeia (USP) Reference Standard', 'Sulfapyridine Melting Point Standard, United States Pharmacopeia (USP) Reference Standard', 'Sulfapyridine melting point standard, Pharmaceutical Secondary Standard; Certified Reference Material']</t>
  </si>
  <si>
    <t>Compound(5336)</t>
  </si>
  <si>
    <t>C11H11N3O2S</t>
  </si>
  <si>
    <t>4-amino-N-quinoxalin-2-ylbenzenesulfonamide</t>
  </si>
  <si>
    <t>['sulfaquinoxaline', '59-40-5', 'Sulfabenzpyrazine', 'Sulphaquinoxaline', 'Avicocid', 'Sulfaline', 'Sulquin', 'Italquina', 'Kokozigal', 'Ursokoxaline', '2-Sulfanilamidoquinoxaline', 'Sulfacox', '2-Sulfanilamidobenzopyrazine', 'Sulfa-Q 20', 'Sulfaquinoxalin', 'Sulfaquinoxalina', '2-(p-Sulfanilamido)quinoxaline', 'Sulfaquinoxalinum', '4-Amino-N-(quinoxalin-2-yl)benzenesulfonamide', 'Compound 3-120', 'Anti-K', 'Benzenesulfonamide, 4-amino-N-2-quinoxalinyl-', 'Sulfachinoxalin', 'N-(2-Quinoxalinyl)sulfanilamide', 'N1-(2-Quinoxalinyl)sulfanilamide', "N'-2-Quinoxalylsulfanilamide", '2-p-Aminobenzenesulfonamidoquinoxaline', 'SQ 40', 'Caswell No. 721', 'N-(2-Quinoxalinyl)sulfanilide', '2-p-Aminobenzenesulphonamidoquinoxaline', '4-Amino-N-2-quinoxalinylbenzenesulfonamide', '4-amino-N-quinoxalin-2-ylbenzenesulfonamide', 'NSC41805', 'UNII-WNW8115TM9', 'NSC 41805', 'Sulfaquinoxalinum [INN-Latin]', 'N(sup 1)-(2-Quinoxalinyl)sulfanilamide', 'Sulfaquinoxalina [INN-Spanish]', 'SQX', 'C14H12N4O2S', 'HSDB 7440', 'Sulfaquinoxaline [USAN:INN:BAN]', '4-amino-N-(2-quinoxalinyl)benzenesulfonamide', 'EINECS 200-423-2', 'N(sup 1)-2-Quinoxalinylsulfanilamide', 'EPA Pesticide Chemical Code 077901', 'BRN 0290026', 'Sulquin 6-50 Concentrate (Veterinary)', 'Sulfaquinoxaline (USP/INN)', 'AI3-17254', 'MLS000737045', '4-AMINO-N-(QUINOXALIN-2-YL)BENZENE-1-SULFONAMIDE', 'WNW8115TM9', "N'-(2-Quinoxalyl)sulfanilamide", 'N1-2-Quinoxalinyl, sulfanilamide', 'Sulfanilamide, N1-2-quinoxalinyl-', 'NSC-41805', 'N(sup1)-Quinoxalin-2-ylsulfanilamide', 'N(sup1)-(2-Quinoxalinyl)sulfanilamide', '2-(p-Aminobenzene)sulfonamidoquinoxaline', 'Sulfanilamide, N(sup 1)-2-quinoxalinyl-', 'Sulfanilamide, N1-2-quinoxalinyl- (8CI)', 'EN300-24981', 'DSSTox_CID_22424', 'DSSTox_RID_80021', 'DSSTox_GSID_42424', 'W-105325', '4-amino-N-quinoxalin-2-yl-benzenesulfonamide', 'Sulfaquinoxaline (4-amino- N-2-quinoxalinylbenzenesulfonamide)', 'Sulfaquinoxaline, analytical standard', 'Sul-q-nox', 'CAS-59-40-5', 'SMR000394001', 'ulfaquinoxaline', 'Aviochina', 'Embazin', 'Nococcin', 'Quinoxipra C', 'Kokozigal S', 'Sulfa-Q', 'Sulfaquinoxaline [USP:INN:BAN]', 'SULFAQUNOXALINE', 'Spectrum_001410', '4-Amino-n-2-quinoxalinyl-benzenesulfonamide', 'Prestwick0_000731', 'Prestwick1_000731', 'Prestwick2_000731', 'Prestwick3_000731', 'Spectrum2_000986', 'Spectrum3_001455', 'Spectrum4_000423', 'Spectrum5_000983', 'S. Q. 40 Per cent', 'NCIStruc1_000587', 'NCIStruc2_000454', 'Oprea1_705564', 'SCHEMBL93789', 'Sulfaquinoxaline, BAN, INN', 'BSPBio_000682', 'BSPBio_002949', 'KBioGR_000746', 'KBioSS_001890', '5-25-11-00125 (Beilstein Handbook Reference)', 'MLS001176103', 'S. Q. "40 per cent"', "S. Q. '40 per cent'", 'BIDD:GT0642', 'DivK1c_000035', 'SPBio_001051', 'SPBio_002621', 'BPBio1_000752', 'ZINC2106', 'CHEMBL1437847', 'DTXSID8042424', 'N1-2-quinoxalinyl-Sulfanilamide', 'SCHEMBL21295162', 'CHEBI:94719', 'CTK7D7926', 'KBio1_000035', 'KBio2_001890', 'KBio2_004458', 'KBio2_007026', 'KBio3_002449', 'NINDS_000035', 'HMS2744N03', 'ALBB-033368', 'HY-B1282', 'NCI41805', 'STR08438', 'WLN: T66 BN ENJ CMSWR DZ', 'Tox21_110027', 'Tox21_300894', 'CCG-38184', 'NCGC00013489', "N'-2-QUINOXALYL SULFANILAMINE", 'N(Sup1)-2-quinoxalinyl-Sulfanilamide', 'AKOS001053134', 'AKOS024418782', 'Tox21_110027_1', 'DB11464', 'MCULE-3339443865', 'N(Sup 1)-2-quinoxalinyl-Sulfanilamide', 'IDI1_000035', 'SMP2_000015', 'NCGC00013489-01', 'NCGC00013489-02', 'NCGC00013489-03', 'NCGC00096603-01', 'NCGC00178376-05', 'NCGC00254798-01', 'Sulfanilamide, N(sup1)-2-quinoxalinyl-', 'AC-18848', 'CC-34597', 'H465', 'NCI60_003947', 'SC-17218', 'DB-053379', 'LS-147842', 'CS-0013058', 'FT-0631264', 'NS00004768', 'D05952', '4-Amino-N-2-quinoxalinylbenzenesulfonamide, 9CI', '055S406', 'C-18758', 'SR-01000768431', 'Q1019320', 'SR-01000768431-3', 'Sulfaquinoxaline, PESTANAL(R), analytical standard', 'BRD-K71133585-236-05-2', 'BRD-K71133585-236-08-6', 'Z56922081', 'Sulfaquinoxaline, United States Pharmacopeia (USP) Reference Standard']</t>
  </si>
  <si>
    <t>Compound(5338)</t>
  </si>
  <si>
    <t>C14H12N4O2S</t>
  </si>
  <si>
    <t>sulfuryl fluoride</t>
  </si>
  <si>
    <t>sulfuryl difluoride</t>
  </si>
  <si>
    <t>['SULFURYL FLUORIDE', 'Sulfonyl fluoride', 'Sulfuryl difluoride', 'Sulphuryl fluoride', 'Vikane', '2699-79-8', 'Sulfuric oxyfluoride', 'Sulphuryl difluoride', 'Vikane fumigant', 'Sulfur difluoride dioxide', 'Fluorure de sulfuryle', 'Caswell No. 816A', 'Sulfur dioxide difluoride', 'Sulphuryl fluoride [ISO]', 'UNII-64B59K7U6Q', 'Fluoro de sulfurilo [Italian]', 'Fluorure de sulfuryle [French]', 'HSDB 828', 'EINECS 220-281-5', 'UN2191', 'EPA Pesticide Chemical Code 078003', 'SO2F2', '64B59K7U6Q', 'Sulfurylfluorid', 'Fluoro de sulfurilo', 'Difluoro sulfone', 'difluorodioxosulfur', 'sulfonyl difluoride', 'difluoridodioxidosulfur', 'Sulfuryl difluoride #', 'SF2O2', 'DTXSID9034945', 'Sulfur fluoride oxide (SO2F2)', 'CHEBI:39287', 'CTK1A2109', 'ZINC242581698', 'UN 2191', 'LS-148268', 'Sulfuryl fluoride [UN2191] [Poison gas]', 'NS00014245', 'Sulfuryl fluoride [UN2191]  [Poison gas]', 'Q423633']</t>
  </si>
  <si>
    <t>Compound(17607)</t>
  </si>
  <si>
    <t>F2O2S</t>
  </si>
  <si>
    <t>1-(4,6-dimethoxypyrimidin-2-yl)-3-(2-ethylsulfonylimidazo[1,2-a]pyridin-3-yl)sulfonylurea</t>
  </si>
  <si>
    <t>['Sulfosulfuron', '141776-32-1', 'Sulfosulfuron [ISO]', 'UNII-Y0XC20DL6D', 'Y0XC20DL6D', '1-(4,6-dimethoxypyrimidin-2-yl)-3-(2-ethylsulfonylimidazo[1,2-a]pyridin-3-yl)sulfonylurea', 'Imidazo[1,2-a]pyridine-3-sulfonamide, N-[[(4,6-dimethoxy-2-pyrimidinyl)amino]carbonyl]-2-(ethylsulfonyl)-', 'AK481340', 'HSDB 7942', 'Imidazo(1,2-a)pyridine-3-sulfonamide, N-(((4,6-dimethoxy-2-pyrimidinyl)amino)carbonyl)-2-(ethylsulfonyl)-', 'SCHEMBL66574', '(ethylsulfonyl)imidazo[1,2-a]', 'CHEMBL2251590', 'DTXSID4034940', 'C16H18N6O7S2', 'KS-00000H3N', 'ZINC6057247', 'AKOS015895296', 'VA11801', 'AC-18034', 'AS-14869', 'LS-80328', 'M934', 'SC-80387', 'AB0015458', 'DB-042584', 'FT-0631163', 'NS00001795', 'A23916', 'N-(4,6-dimethoxypyrimidin-2-ylcarbamoyl)-2-', 'Sulfosulfuron, PESTANAL(R), analytical standard', '776S321', 'J-007554', 'Q2364499', '1-(4,6-dimethoxypyrimidin-2-yl)-3-(2-(ethylsulfonyl)H-imidazo[1,2-a]pyridin-3-ylsulfonyl)urea', 'Imidazo[1,2-a]pyridine-3-sulfonamide, N-[[(4,6-dimethoxy-2-pyrimidinyl)amino]carbonyl]-2-(ethylsulfonyl)-;Sulfosulfuron', 'N-[(4,6-Dimethoxypyrimidin-2-yl)carbamoyl]-2-(ethanesulfonyl)imidazo[1,2-a]pyridine-3-sulfonamide', 'N-[(4,6-dimethoxypyrimidin-2-yl)carbamoyl]-2-(ethylsulfonyl)imidazo[1,2-a]pyridine-3-sulfonamide']</t>
  </si>
  <si>
    <t>Compound(86426)</t>
  </si>
  <si>
    <t>C16H18N6O7S2</t>
  </si>
  <si>
    <t>diethoxyphosphinothioyloxy-diethoxy-sulfanylidene-lambda5-phosphane</t>
  </si>
  <si>
    <t>['Sulfotep', 'Sulfotepp', 'Dithiophos', 'Dithion', 'Dithione', 'TEDP', 'TEDTP', 'Bladafum', 'Dithiofos', 'Dithiotep', 'Thiotepp', 'Tetraethyl dithiopyrophosphate', 'Pirofos', 'Fulex', '3689-24-5', 'Ethyl thiopyrophosphate', 'Lethalaire G-57', 'Plant dithio aerosol', 'O,O,O,O-Tetraethyl dithiopyrophosphate', 'Bayer-E 393', 'Plantfume 103 smoke generator', 'Tetraethyl dithionopyrophosphate', 'ASP 47', 'Rcra waste number P109', 'Sulfotepp [ESA]', 'BAY-E-393', 'Dithion (VAN)', 'Tetraethyldithiopyrophosphate', 'Caswell No. 837', 'NSC 66403', 'Tetraethyldithiodifosfat', 'Bladafume', 'Bladafun', 'Sulfatep', 'Sulfotep [BSI:ISO]', 'Dithio', 'ENT 16,273', 'Dithiodiphosphoric acid, tetraethyl ester', 'Dithiopyrophosphate de tetraethyle', 'Tetraethyl thiodiphosphate', 'Thiopyrophosphoric acid, tetraethyl ester', 'E393', 'UNII-V41BK2EE8X', 'Pyrophosphorodithioic acid, tetraethyl ester', 'o,o,o,o-Tetraethyl dithiodiphosphate', 'Thiodiphosphoric acid tetraethyl ester', 'CCRIS 4725', 'HSDB 380', 'Tetraethyldithiodifosfat [Czech]', 'Bis(O,O-diethylphosphorothionic) anhydride', 'Thiodiphosphoric acid ([(HO)2P(S)]2O), tetraethyl ester', 'EINECS 222-995-2', 'O,O,O,O-Tetraethyl-dithio-difosfaat', 'O,O,O,O-Tetraetil-ditio-pirofosfato', 'UN1704', 'RCRA waste no. P109', 'EPA Pesticide Chemical Code 079501', 'Thiodiphosphoric acid, tetraethyl ester', 'BRN 1714019', 'V41BK2EE8X', 'Pyrophosphorodithioic acid, O,O,O,O-tetraethyl ester', 'Bis-O,O-diethylphosphorothionic anhydride', 'O,O,O,O-Tetraaethyl-dithionopyrophosphat', 'Ethyl thiopyrophosphate ((EtO)2(PS)2O)', 'Ethyl thiopyrophosphate ([(EtO)2PS]2O)', 'AI3-16273', 'Dithiopyrophosphate de tetraethyle [French]', 'Thiopyrophosphoric acid ([(HO)2PS]2O), tetraethyl ester', 'CHEBI:38945', 'O,O,O,O-Tetraethyl-dithio-difosfaat [Dutch]', 'O,O,O,O-Tetraetil-ditio-pirofosfato [Italian]', 'Pyrophosphoric acid, dithiono-, tetraethyl ester', 'O,O,O,O-Tetraaethyl-dithionopyrophosphat [German]', 'Pyrophosphoric acid, tetraethyldithio-, (liquid mixture)', 'Bis-O,O-diethylphosphorothionic anhydrid', 'Di(thiophosphoric) acid, tetraethyl ester', 'DSSTox_CID_4328', 'DSSTox_RID_77369', 'DSSTox_GSID_24328', 'Thiodiphosphoric acid (((HO)2P(S))2O), tetraethyl ester', 'Bis[O,O-diethylphosphorothionic] anhydride', 'CAS-3689-24-5', 'ulfotep', 'Thiopyrophosphoric acid (((HO)2PS)2O), tetraethyl ester', 'Sulphotepp', 'diethoxyphosphinothioyloxy-diethoxy-sulfanylidene-?^{5}-phosphane', 'Sulfotep;Sulfotepp', 'Tetraethyl thiopyrophosphate (8CI)', 'Dithio (pesticide)', 'E 393', 'Tetraethyl thiopyrophosphate', 'ASP47', 'SCHEMBL35637', '4-01-00-01351 (Beilstein Handbook Reference)', 'CHEMBL3182477', 'DTXSID7024328', 'tetra-O-ethyl dithiopyrophosphate', 'Thiodiphosphate, tetraethyl ester', 'O,O,O-Tetraethyl-dithio-difosfaat', 'O,O,O-Tetraetil-ditio-pirofosfato', 'NSC66403', 'ZINC1693865', 'Sulfotep 10 microg/mL in Isooctane', 'Tox21_201756', 'Tox21_303135', 'LS-100', 'NSC-66403', 'O,O,O-Tetraethyl dithiopyrophosphate', 'WLN: 2OPS&amp;O2&amp;OPS&amp;O2&amp;O2', 'Pyrophosphoric acid, (liquid mixture)', 'Pyrophosphoric acid, tetraethyldithio-', 'AKOS015960723', 'DB11497', 'MCULE-4788565601', 'Tetraethyl dithio pyrophosphate, liquid', 'UN 1704', 'O,O,O,O-Tetraethyl dithiodiphosphate #', 'NCGC00249112-01', 'NCGC00257084-01', 'NCGC00259305-01', "O,O,O'O'-Tetraethyl dithiopyrophosphate", 'Sulfotep 1000 microg/mL in Acetonitrile', 'DB-049031', 'NS00009366', 'Sulfotep, PESTANAL(R), analytical standard', 'Tetraethyl dithiopyrophosphate mixture, liquid', 'WLN: 2OPS&amp;O2&amp;OPS&amp;O2&amp;O2 -LIQUID MIX', '74443-EP2275422A1', '74443-EP2292608A1', '74443-EP2308857A1', 'Pyrophosphorodithioic acid,O,O,O-tetraethyl ester', 'Q409772', 'Tetraethyl dithiopyrophosphate [UN1704] [Poison]', 'Tetraethyl dithiopyrophosphate [UN1704]  [Poison]', 'Thiopyrophosphoric acid (((HO)2PS)2O), tetraethyl ester (8CI)']</t>
  </si>
  <si>
    <t>Compound(19395)</t>
  </si>
  <si>
    <t>C8H20O5P2S2</t>
  </si>
  <si>
    <t>ethoxy-(4-methylsulfanylphenoxy)-propylsulfanyl-sulfanylidene-lambda5-phosphane</t>
  </si>
  <si>
    <t>['Sulprofos', 'Mercaprofos', 'Sulprophos', 'Mercaprophos', 'Merpafos', 'Bolstar', '35400-43-2', 'Helothion', 'Bayer NTN 9306', 'Sulprofos [BSI:ISO]', 'Caswell No. 453AA', 'NTN 9306', 'BAY-NTN-9306', 'HSDB 6735', 'O-Ethyl O-(4-(methylthio)phenyl)phosphorodithioic acid S-propyl ester', 'O-Ethyl O-(4-methylthiophenyl) S-propyl dithiophosphate', 'EINECS 252-545-0', 'EPA Pesticide Chemical Code 111501', 'BRN 1990231', 'AI3-29149', 'CHEBI:38949', 'O-Ethyl O-(4-(methylthio)phenyl) S-propyl phosphorodithioate', 'O-Ethyl O-(4-(methylmercapto)phenyl)-S-n-propylphosphorothionothiolate', 'O-ethyl O-[4-(methylsulfanyl)phenyl] S-propyl phosphorodithioate', 'Phosphorodithioic acid, O-ethyl O-(4-(methylthio)phenyl) S-propyl ester', 'Phosphorodithioic acid, O-ethyl O-[4-(methylthio)phenyl] S-propyl ester', 'o-Ethyl o-[4-(methylsulfanyl)phenyl] S-propyl dithiophosphate', 'ulprofos', 'ethoxy-(4-methylsulfanylphenoxy)-propylsulfanyl-sulfanylidene-?^{5}-phosphane', 'Sulprofos (Bolstar)', 'DSSTox_CID_12675', 'DSSTox_RID_79031', 'DSSTox_GSID_32675', 'SCHEMBL73642', 'Sulprofos, analytical standard', 'BAY-NTN 9306', 'CHEMBL3184587', 'DTXSID8032675', 'Tox21_301358', 'Sulprofos 100 microg/mL in Toluene', 'AKOS015960699', 'Sulprofos 100 microg/mL in Cyclohexane', 'NCGC00255182-01', 'AC-12073', 'CAS-35400-43-2', 'LS-108284', 'NS00002119', 'Sulprofos, PESTANAL(R), analytical standard', 'C19016', 'Q20965240', 'o-ethyl o-4-(methylthio)phenyl s-propyl phosphorodithioate', 'UNII-FUX2I5F01B component JXHJNEJVUNHLKO-OAHLLOKOSA-N', 'O-ethyl O-(4-methylthiophenyl) S-propyl dithiophosphate;Sulprofos', 'O-Ethyl O-[4-(methylsulfanyl)phenyl] S-propyl dithiophosphate #']</t>
  </si>
  <si>
    <t>Compound(37125)</t>
  </si>
  <si>
    <t>C12H19O2PS3</t>
  </si>
  <si>
    <t>sum of branched PFHxS isomers</t>
  </si>
  <si>
    <t>sum of branched PFOA isomers</t>
  </si>
  <si>
    <t>sum of branched PFOS isomers</t>
  </si>
  <si>
    <t>sum of 2,4'- and 2,6'-xylidine</t>
  </si>
  <si>
    <t>sum of xylene isomers</t>
  </si>
  <si>
    <t>some acid herbicides</t>
  </si>
  <si>
    <t>(5S,6S)-5,6-dihydroxy-5,6-dihydrobenzo[b][1]benzazepine-11-carboxamide</t>
  </si>
  <si>
    <t>['58955-93-4', '(10s,11s)-10,11-dihydroxy-10,11-dihydro-5h-dibenzo[b,f]azepine-5-carboxamide', '10,11-trans-Dihydroxy-10,11-dihydrocarbamazepine', 'trans-10,11-Dihydroxy-10,11-dihydrocarbazepine', '(10S,11S)-dihydroxy-10,11-dihydrocarbamazepine', '6064-68-2', 'Carbamazepine diol', 'CGP 10000', 'DiOH-CBZ', 'CHEBI:83815', 'CTK8E0066', 'DTXSID10891461', 'Carbamazepine, 10, 11-dihydroxy', 'ZINC896945', '10,11-Dihydro-10,11-di.', '(5S,6S)-5,6-dihydroxy-5,6-dihydrobenzo[b][1]benzazepine-11-carboxamide', 'trans-10,11-Dihydro-10,11-dihydroxy-5H-dibenz(b,f)azepine-5-carboxamide', '5H-Dibenz(b,f)azepine-5-carboxamide, 10,11-dihydro-10,11-dihydroxy-, trans-', '10,11-Dihydroxy-10,11-dihydrocarbazepine', '10,11-dihydro-10,11-dihydroxycarbamazepien', '10,11-Dihydro-10,11-Dihydroxy Carbamazepine', 'Carbamazepine-10,11-dihydro-10,11-dihydroxy', 'Carbamazepine-10.11-dihydro-10.11-dihydroxy', 'Q27157255', 'Carbamazepin-10-11-dihydro-10-11-dihydroxy_2701_ p', 'TRANS-10,11-DIHYDROXY-10,11-DIHYDROCARBAMAZEPINE', '(-)-(S,S)-trans-10,11-dihydro-10,11-dihydroxy-5H-dibenzo[b,f]azepine-5-carboxamide', '10alpha,11beta-Dihydroxy-10,11-dihydro-5H-dibenzo[b,f]azepine-5-carboxamide', '5H-Dibenz(b,f)azepine-5-carboxamide, 10,11-dihydro-10,11-dihydroxy-, (10R,11R)-rel-']</t>
  </si>
  <si>
    <t>Compound(114725)</t>
  </si>
  <si>
    <t>trans-1,2-dichloroethylene</t>
  </si>
  <si>
    <t>(E)-1,2-dichloroethene</t>
  </si>
  <si>
    <t>['TRANS-1,2-DICHLOROETHYLENE', 'trans-1,2-Dichloroethene', '156-60-5', '(E)-1,2-Dichloroethene', '(E)-1,2-Dichloroethylene', 'trans-Dichloroethylene', 'trans-Acetylene dichloride', '1,2-trans-Dichloroethylene', 'Ethene, 1,2-dichloro-, (1E)-', '1,2-Dichloroethylene', 'Ethene, 1,2-dichloro-, (E)-', 'Acetylene dichloride', 'RCRA waste number U079', 'HCC 1130t', 'Ethylene, 1,2-dichloro-, trans-', 'R 1130t', 'Ethylene, 1,2-dichloro-, (E)-', 'NSC 60512', '1,2-Dichloroethene, trans-', 'CCRIS 2505', 'UNII-41799BI61U', 'HSDB 6361', 'trans-1,2-DCE', 'Dichloroethylene, trans-', 'EINECS 205-860-2', '1,trans-2-Dichloroethene', 'RCRA waste no. U079', 'BRN 1420761', '(1E)-1,2-dichloroethylene', 'Dioform', 'trans-Di-1,2-Chloroethylene', 'AI3-28786', 'CHEBI:29027', '1,2-Dichloroethylene, all isomers', 'sym-Dichloroethylene', '41799BI61U', 'DSSTox_CID_4031', 'Ethylene, 1,2-dichloro-', 'DSSTox_RID_77262', 'DSSTox_GSID_24031', '1,2-Dichlor-aethen [German]', 'CCRIS 6227', 'HSDB 149', 'Dichloro-1,2-ethylene [French]', 'NCI-C56031', 'EINECS 208-750-2', 'BRN 1719345', 'CAS-156-60-5', 'trans-1,2-Dichloroethylene, 99+%, stabilized', '1,2-trans-Dichloroethene', 'CHEBI:18882', 'cis &amp; trans 1,2-Dichloroethylene', '1,2-dichlorethen', 'trans-Dichloroethene', '1,2-Dichloraethen', 'Dichloroethylene-trans', 'E-1,2-dichloroethene', '(E)-CHCl=CHCl', 'EC 205-860-2', 'Acetylene dichloride, trans-', 'WLN: G1U1G-T', '4-01-00-00709 (Beilstein Handbook Reference)', 'Ethene,2-dichloro-, (E)-', '1,2-Dichloroethylene (trans)', 'CHEMBL157026', 'Ethylene,2-dichloro-, (E)-', 'DTXSID7024031', 'trans-1,2-Dichloroethylene, 98%', 'NSC60512', 'Tox21_202419', 'Tox21_303130', '6814AF', 'LS-206', 'LS-896', 'MFCD00062942', 'NSC-60512', 'ZINC17263645', 'AKOS009031507', 'NE24865', 'NCGC00091531-02', 'NCGC00091531-03', 'NCGC00091531-04', 'NCGC00256973-01', 'NCGC00259968-01', 'SC-65915', 'Ethene, 1,2-dichloro-, (E)- (9CI)', 'D0368', 'NS00008258', 'EN300-19376', 'trans-1,2-Dichloroethene, analytical standard', 'C06791', 'trans-1,2-Dichloroethylene, analytical standard', 'J-009321', '1,2-Dichloroethylene, mixture of cis and trans, 98%', 'Q24716723', 'trans-1,2-Dichloroethene 100 microg/mL in Methanol', 'UNII-XU9RUA6YUT component KFUSEUYYWQURPO-OWOJBTEDSA-N']</t>
  </si>
  <si>
    <t>Compound(638186)</t>
  </si>
  <si>
    <t>trans-1,2-dichloropropene</t>
  </si>
  <si>
    <t>(E)-1,2-dichloroprop-1-ene</t>
  </si>
  <si>
    <t>['UNII-4CHH7D3Y0Z', '(E)-1,2-Dichloropropene', '7069-38-7', '1-Propene, 1,2-dichloro-, (E)-', '(1E)-1,2-dichloropropene', '4CHH7D3Y0Z', 'Propene, 1,2-dichloro-', '1,2-DICHLOROPROPENE', '1-Propene, 1,2-dichloro-', 'Dichlorpropen-gemisch', '1,2-Dichloropropylene', 'trans-1,2-Dichloropropene', '1-Propene, 1,2-dichloro-, (1E)-', '(E)-1,2-Dichloro-1-propene', '1,2-Dichloropropene, (1E)-', 'SCHEMBL1813040', 'trans-1,2-dichloro-prop-1-ene', '(1E)-1,2-Dichloro-1-propene #', 'ZINC78366677', 'AKOS006272335', 'OR460035', 'Q27259408', 'UNII-ET5LKV1J95 component PPKPKFIWDXDAGC-NSCUHMNNSA-N', 'UNII-314002Q8Y6 component PPKPKFIWDXDAGC-NSCUHMNNSA-N']</t>
  </si>
  <si>
    <t>Compound(5366870)</t>
  </si>
  <si>
    <t>trans-1,3-dichloropropene</t>
  </si>
  <si>
    <t>trans-1,4-dichloro-2-butene</t>
  </si>
  <si>
    <t>trans-9,12-octadecadienoic acid</t>
  </si>
  <si>
    <t>(9E,12E)-octadeca-9,12-dienoic acid</t>
  </si>
  <si>
    <t>['Linoelaidic acid', '(9E,12E)-octadeca-9,12-dienoic acid', 'LINOLELAIDIC ACID', '506-21-8', '9E,12E-octadecadienoic acid', '9,12-Octadecadienoic acid', 'trans-9,trans-12-Linoleic acid', 'UNII-7552P0K6PN', '9,12-Octadecadienoic acid, (9E,12E)-', 'octadeca-9,12-dienoic acid', 'Linolsaure', '7552P0K6PN', '9E,12E-octadecadienoate', 'SCHEMBL120856', '18:2, n-6,9 all-trans', 'C18:2, n-6,9 all-trans', 'SCHEMBL18133791', 'CHEBI:75108', 'CHEBI:92157', 'DTXSID50897508', 'HMS3649F11', 'ZINC3802188', '(9E,12E)-9,12-Octadecadienoate', '1831AH', 'BBL027461', 'LMFA01030123', 'SBB061666', 'STK801960', 'Linolelaidic acid, analytical standard', 'AKOS015892939', '(9E,12E)-9,12-Octadecadienoic acid', '(9E,12E)octadeca-9,12-dienoic acid', 'NCGC00344326-02', 'SC-75463', 'VS-08542', 'Linolelaidic acid 10 microg/mL in Methanol', 'L001067', 'SR-01000946651', 'Q2823277', 'SR-01000946651-1', 'W-203254', 'Linolelaidic acid solution, ~250 mg/mL in ethanol, analytical standard']</t>
  </si>
  <si>
    <t>Compound(5282457)</t>
  </si>
  <si>
    <t>trans-9-octadecenoic acid</t>
  </si>
  <si>
    <t>(E)-octadec-9-enoic acid</t>
  </si>
  <si>
    <t>['Elaidic acid', '112-79-8', 'trans-Oleic acid', '9-octadecenoic acid', 'trans-9-Octadecenoic acid', '(E)-octadec-9-enoic acid', '(E)-Oleic acid', '9-Octadecenoic acid, (E)-', '9-octadecenoic acid, (9E)-', 'trans-Octadec-9-enoic acid', '(9E)-octadec-9-enoic acid', 'Elaidinsaeure', 'Elaidinsaure', 'acide elaidique', '9-elaidic acid', 'trans-Elaidic acid', 'Octadec-9-enoic acid', '9E-octadecenoic acid', 'UNII-4837010H8C', 'trans-.DELTA.9-Octadecenoic acid', '(9E)-Octadecenoic acid', 'EINECS 204-006-6', 'MFCD00063954', 'NSC 26988', '9-trans-Octadecenoic acid', '(E)-9-Octadecenoic acid', 'trans-delta(sup 9)-Octadecenoic acid', 'D9-trans-Octadecenoic acid', 'trans-D9-Octadecenoic acid', 'Delta(9)-octadecenoic acid', '9-Octadecenoic acid,(9E)-', 'AI3-15840', 'CHEMBL460657', 'CHEBI:27997', 'trans-Delta(9)-octadecenoic acid', 'NSC26988', 'Elaidic acid, 98%', 'C18:1, n-9', 'trans-.delta.(sup 9)-Octadecenoic acid', '4837010H8C', '18:1, n-9', '2027-47-6', 'Q-201508', 'octadec-9-enoate', '9 Octadecenoic Acid', 'delta9-Octadecenoic acid', 'Delta(9)-octadecenoate', 'oleic_acid', '1lfo', 'EINECS 217-977-6', '1fe3', 'Oleic Acid 213 NF', 'Oleic Acid 221 NF', 'Oleic Acid 233 LL', 'cis 9 Octadecenoic Acid', 'Canola Fatty Acid 790', 'cis-9-Octadecenoic Acid.', 'bmse000643', '(9E)octadec-9-enoic acid', 'Octadec-9-enoic acid anion', 'SCHEMBL1139', 'SCHEMBL6693', 'WLN: QV8U9-T', 'Oleic acid, tall oil derived', '9-elaidic acid, elaidinsaeure', 'DTXSID8058619', 'CHEBI:36021', 'Elaidic acid, analytical standard', 'HMS3649H19', 'Elaidic acid, &gt;=99.0% (GC)', 'ZINC8217338', '1749AH', '6479AF', 'BDBM50250904', 'CCG-35462', 'LMFA01030073', 'NSC-26988', 'STL282737', '9-Octadecenoic acid, (E)- (9CI)', 'AKOS000278123', 'Oleic acid, from tall oil fatty acids', 'cis-9-Octadecenoic Acid, Elainic Acid', 'DB04224', 'FS-4659', 'NCGC00344330-02', 'LS-63810', 'ST098716', 'HY-113016', 'LS-181026', 'CS-0059361', 'O0010', 'Oleic acid derived from tall oil fatty acids', 'EN300-19543', 'C01712', 'W-1404', 'L001099', 'Q413491', 'SR-01000946663', 'J-002839', 'SR-01000946663-1', 'D89C6CAA-1C31-4C71-BD3B-EA155A22E10C', 'Oleic Acid, 99% min (animal-origin free, vegetal-derived)']</t>
  </si>
  <si>
    <t>Compound(637517)</t>
  </si>
  <si>
    <t>trans-chlordane</t>
  </si>
  <si>
    <t>(1R,2S,3R,4R,6S,7S)-1,3,4,7,8,9,10,10-octachlorotricyclo[5.2.1.02,6]dec-8-ene</t>
  </si>
  <si>
    <t>['trans-Chlordane', '5103-74-2', 'trans-Chlordene', '(-)-TRANS-CHLORDANE', 'BIDD:ER0130', 'Chlordane-trans (?-Chlordan)', 'DTXSID4038346', 'Trans-chlordane;chlordane , trans-;(1a,2ss,3aa,4ss,7ss,7aa)-1,2,4,5,6,7,8,8-octachloro-2,3,3a,4,7,7a-hexahydro-4,7-methano-1H-indene;(1?,2?,3a?,4?,7?,7a?)-1,2,4,5,6,7,8,8-octachloro-2,3,3a,4,7,7a-hexahydro-4,7-methano-1H-indene', 'gamma-Chlordane, analytical standard', 'ZINC103662329', 'trans-Chlordane 10 microg/mL in Cyclohexane', 'trans-Chlordane 100 microg/mL in Cyclohexane', '(1R,2R,3aS,4S,7R,7aS)-1,2,4,5,6,7,8,8-Octachloro-2,3,3a,4,7,7a-hexahydro-1H-4,7-methanoindene', '142433-24-7']</t>
  </si>
  <si>
    <t>Compound(45356234)</t>
  </si>
  <si>
    <t>trans-heptachlor epoxide</t>
  </si>
  <si>
    <t>(1S,2R,3R,5R,6R,7S,8R)-1,6,8,9,10,11,11-heptachloro-4-oxatetracyclo[6.2.1.02,7.03,5]undec-9-ene</t>
  </si>
  <si>
    <t>['28044-83-9', 'trans-Heptachlor Epoxide', '(+/-)-trans-Heptachlorepoxide', 'Heptachlor Epoxide A', 'Heptachlor-endo-epoxide', 'Heptachlorepoxid, cis-', 'DTXSID2058752', 'ZINC2382701', '2,5-Methano-2H-indeno[1,2-b]oxirene, 2,3,4,5,6,7,7-heptachloro-1a,1b,5,5a,6,6a-hexahydro-, (1aR,1bR,2S,5R,5aS,6R,6aR)-rel-', 'trans-Heptachlor-endo-epoxide (isomer A)', 'Heptachlor epoxide A (Heptachlor endo-epoxide)', 'trans-Heptachlor-endo-epoxide (Isomer A) 100 microg/mL in Methanol', 'trans-Heptachlor-endo-epoxide (isomer A) 10 microg/mL in Cyclohexane', 'trans-Heptachlor-endo-epoxide (Isomer A) 100 microg/mL in Cyclohexane']</t>
  </si>
  <si>
    <t>Compound(71317194)</t>
  </si>
  <si>
    <t>trans-nonachlor</t>
  </si>
  <si>
    <t>tetrachlorophthalic acid</t>
  </si>
  <si>
    <t>3,4,5,6-tetrachlorophthalic acid</t>
  </si>
  <si>
    <t>['TETRACHLOROPHTHALIC ACID', '632-58-6', '3,4,5,6-Tetrachlorophthalic acid', 'Phthalic acid, perchloro-', 'Phthalic acid, tetrachloro-', '1,2-Benzenedicarboxylic acid, 3,4,5,6-tetrachloro-', 'UNII-W0ENH3M7X7', 'EINECS 211-181-2', 'NSC 193510', 'BRN 1914906', 'W0ENH3M7X7', 'AI3-16302', '3,4,5,6-Tetrachloro-1,2-benzenedicarboxylic acid', '3,4,5,6-tetrachlorobenzene-1,2-dicarboxylic acid', '110471-67-5', 'AK111117', 'W-104921', 'Phthalic acid, 3,4,5,6-tetrachloro-', 'ACMC-209uer', 'SCHEMBL27772', '3-09-00-04205 (Beilstein Handbook Reference)', 'DTXSID6060896', 'CTK0I1143', 'ZINC31227', 'ACT09571', 'KS-00000H5L', 'ANW-43681', 'BBL002795', 'NSC193510', 'SBB001247', 'STK371251', '3,4,5,6-Tetrachlorophthalic acid #', 'AKOS005445642', 'AC-4659', 'GS-6683', 'LS-1521', 'MCULE-4297693548', 'MP-2229', 'NSC-193510', 'tetrachlorobenzene-1,2-dicarboxylic acid', 'CC-34841', 'H468', 'SC-46610', 'ST018519', '3,4,5,6-tetrakis(chloranyl)phthalic acid', 'AX8153294', 'Benzenedicarboxylicacid, tetrachloro- (9CI)', 'DB-054442', 'FT-0632687', 'NS00000491', 'A834299', 'C-18939', 'Q27292133', 'TETRACHLOROPHTHALIC ACID (TETRACHLOROPHTHALIC ANDHYDRIDE CAS 117-08-8)', '58086-90-1']</t>
  </si>
  <si>
    <t>Compound(12442)</t>
  </si>
  <si>
    <t>thiabendazole</t>
  </si>
  <si>
    <t>4-(1H-benzimidazol-2-yl)-1,3-thiazole</t>
  </si>
  <si>
    <t>['thiabendazole', '148-79-8', 'Tiabendazole', '2-(4-Thiazolyl)benzimidazole', 'Mintezol', 'Equizole', 'Thiabendazol', 'Tiabendazol', 'Mintesol', 'Omnizole', 'Thibenzole', 'Bovizole', 'Minzolum', 'Thiabenzole', 'Thibenzol', 'Thiaben', 'Testo', 'Lombristop', 'Bioguard', 'Eprofil', 'Mertect', 'Mycozol', 'Nemapan', 'Polival', 'Tebuzate', 'Tiabenda', 'Triasox', 'Mertec', 'Tobaz', 'Tbdz', 'Thibenzole att', 'APL-luster', 'Top Form Wormer', 'Cropasal', 'Sistesan', 'Thibendole', 'Ormogal', 'Storite', 'Thibenzole 200', 'Tecto rph', 'Hokustar HP', '2-(1,3-Thiazol-4-yl)-1H-benzimidazole', '4-(1H-Benzo[d]imidazol-2-yl)thiazole', 'Mertect 160', 'Tecto 10P', 'Tecto 40F', 'Tecto 60', 'Pitrizet', '1H-Benzimidazole, 2-(4-thiazolyl)-', 'Sanaizol 100', 'Chemviron TK 100', 'Thiabendazolum', 'Thiabendole', 'Tiabendazolum', 'Biogard', 'Drawipas', 'Mintezole', 'Tecto', '2-(4-Thiazolyl)-1H-benzimidazole', 'Mertect lsp', 'E-Z-Ex', 'Equizole A', 'TBZ 60W', '4-(2-Benzimidazolyl)thiazole', 'Captan T', 'Metasol TK 100', 'Helmindrax octelmin', 'Thiabenzazole', 'Thiprazole', 'Tresaderm', 'Tubazole', '2-Thiazole-4-ylbenzimidazole', 'Hymush', 'Nemacin', 'Mertect 340f', '2-(Thiazol-4-yl)benzimidazole', 'Metasol TK-100', 'Syntol M100', 'MK 360', 'Equivet TZ', 'Tecto B', 'Tibimix 20', 'Arbotect', '2-(1,3-Thiazol-4-yl)benzimidazole', 'Thiabendazole [BSI:ISO]', 'Rival', 'TBZ 6', 'Benzimidazole, 2-(4-thiazolyl)-', 'RTU Flowable Fungicide', "2-(4'-Thiazolyl)benzimidazole", 'Mintezol (TN)', 'Thiabendazole [USAN:BAN]', 'Tiabendazolum [INN-Latin]', 'TBZ-6', 'Thiabendazole (USP)', 'MK-360', 'Caswell No. 849A', 'Tiabendazole (JAN/INN)', '4-(1H-benzimidazol-2-yl)-1,3-thiazole', '4-(1H-benzimidazol-2-yl)thiazole', '1yvm', 'Tiabendazol [INN-Spanish, French]', 'G 491', 'UNII-N1Q45E87DT', '2-(1,3-thiazol-4-yl)-1H-1,3-benzodiazole', '5-(4-Thiazolyl)benzimidazole', 'CCRIS 4510', 'RPH', 'HSDB 2027', 'EINECS 205-725-8', 'NSC 90507', 'CHEMBL625', 'EPA Pesticide Chemical Code 060101', 'NSC 525040', 'BRN 0611403', 'AI3-50598', 'MLS000053094', 'N1Q45E87DT', 'CHEBI:45979', 'NSC90507', 'NSC525040', '2-(4-THIAZOLYL)-BENZIMIDAZOLE', 'NCGC00016410-06', 'NCGC00016410-13', 'CAS-148-79-8', 'E233', 'SMR000058170', '2-(1,3-thiazol-4-yl)-1H-benzoimidazole', 'DSSTox_CID_1337', 'DSSTox_RID_76091', 'DSSTox_GSID_21337', 'Metasol tk 10', '2-[4-Thiazoly]benzimidazole', '4-benzimidazol-2-yl-1,3-thiazole', 'WLN: T56 BM DNJ C-ET5N CSJ', '98002-42-7', 'Metasol TK 25', '2-Thiazol-4-yl-1H-benzoimidazole', 'SR-01000000188', 'Thiabendazole [USAN:USP]', '2-(4-Thiazoly)-benzimidazole', 'Tiabendazole, INN', '2-(4-thiazolyl)-1h-benzoimidazole', 'Thiabendazole(usan)', 'Prestwick_813', 'Thiabendazole W.P.', 'Tiabendazole [INN]', 'TBZ / Thiabendazole', 'Thiabendazole, 98%', 'Spectrum_000039', 'CPD000058170', 'Opera_ID_336', 'Prestwick0_000524', 'Prestwick1_000524', 'Prestwick2_000524', 'Prestwick3_000524', 'Spectrum2_001331', 'Spectrum3_001407', 'Spectrum4_000354', 'Spectrum5_001009', 'NCIOpen2_005709', 'SCHEMBL19842', 'BSPBio_000507', 'BSPBio_003054', 'KBioGR_000787', 'KBioSS_000399', '2(4-thiazolyl)-benzimidazole', 'MLS000069718', 'BIDD:ER0372', 'DivK1c_000072', 'SPECTRUM1500570', 'SPBio_001481', 'SPBio_002428', 'ACMC-209d18', 'BPBio1_000559', 'GTPL7304', 'DTXSID0021337', 'Thiabendazole, &gt;=99%, powder', 'CTK5H6812', 'HMS500D14', 'KBio1_000072', 'KBio2_000399', 'KBio2_002967', 'KBio2_005535', 'KBio3_002274', 'KS-00000ZCK', 'ZINC73711', 'NINDS_000072', 'HMS1569J09', 'HMS1921E05', 'HMS2092M07', 'HMS2096J09', 'HMS2230F20', 'HMS3259E20', 'HMS3372E11', 'HMS3655E08', 'HMS3713J09', 'Pharmakon1600-01500570', 'ALBB-023635', 'BCP19179', 'HY-B0263', 'Tox21_110427', 'Tox21_202397', 'Tox21_300970', 'ANW-21162', 'BDBM50121347', 'CCG-39633', 'LS-864', 'MFCD00005587', 'NSC-90507', 'NSC757347', 's1739', 'SBB007366', 'STK394289', 'AKOS000120940', 'Tox21_110427_1', 'CS-2250', 'DB00730', 'MCULE-3720823189', 'NC00593', 'NSC-525040', 'NSC-757347', 'SDCCGMLS-0002984.P003', 'IDI1_000072', 'NCGC00016410-01', 'NCGC00016410-02', 'NCGC00016410-03', 'NCGC00016410-04', 'NCGC00016410-05', 'NCGC00016410-07', 'NCGC00016410-08', 'NCGC00016410-09', 'NCGC00016410-10', 'NCGC00016410-11', 'NCGC00016410-12', 'NCGC00016410-14', 'NCGC00016410-15', 'NCGC00016410-18', 'NCGC00021671-04', 'NCGC00021671-05', 'NCGC00021671-06', 'NCGC00021671-07', 'NCGC00021671-08', 'NCGC00021671-09', 'NCGC00021671-10', 'NCGC00254873-01', 'NCGC00259946-01', 'Thiabendazole 100 microg/mL in Methanol', '2-[35S]thiazol-4-yl-1H-benzoimidazole', 'AC-10139', 'NCI60_004280', 'NCI60_042006', 'SC-80172', 'ST023311', 'MLS-0002984.P004', 'SBI-0051531.P003', '2-(1,3-thiazole-4-yl)-1H-benzimidazole', 'DB-042952', 'Thiabendazole 10 microg/mL in Acetonitrile', 'AB00052107', 'FT-0608694', 'NS00007958', 'R1124', 'SW196947-3', '2-(1,3-Thiazol-4-yl)-1H-benzimidazole #', 'Thiabendazole, BAN, BSI, ISO, JMAF, USAN', '48T798', 'C07131', 'D00372', 'AB00052107_17', 'AB00052107_18', 'Thiabendazole, PESTANAL(R), analytical standard', 'Q424986', 'SR-01000000188-2', 'SR-01000000188-4', 'SR-01000000188-5', 'W-108097', 'BRD-K77695569-001-05-2', 'BRD-K77695569-001-16-9', 'BRD-K77695569-001-28-4', 'Thiabendazole, certified reference material, TraceCERT(R)', 'Thiabendazole, BioReagent, plant cell culture tested, powder', 'Tiabendazole, European Pharmacopoeia (EP) Reference Standard', 'Thiabendazole, United States Pharmacopeia (USP) Reference Standard', 'Thiabendazole, Pharmaceutical Secondary Standard; Certified Reference Material', '93030-56-9']</t>
  </si>
  <si>
    <t>Compound(5430)</t>
  </si>
  <si>
    <t>C10H7N3S</t>
  </si>
  <si>
    <t>2-[4-[(Z)-1,2-diphenylbut-1-enyl]phenoxy]-N,N-dimethylethanamine</t>
  </si>
  <si>
    <t>['tamoxifen', '10540-29-1', 'trans-Tamoxifen', 'Crisafeno', 'Soltamox', 'Diemon', 'Tamoxifene', 'Citofen', 'Istubol', 'Oncomox', 'Retaxim', 'Tamizam', 'Tamoxen', 'Valodex', 'Tamoxifeno', 'Tamoxifenum', 'Tamoxifene [INN-French]', 'Tamoxifenum [INN-Latin]', 'Tamoxifeno [INN-Spanish]', 'Tamoxifen (Z)', 'Tamoxifen [INN:BAN]', 'Tamoxifen and its salts', 'ICI 47699', 'ICI-46474', 'CCRIS 3275', '1-p-beta-Dimethylaminoethoxyphenyl-trans-1,2-diphenylbut-1-ene', '1-para-beta-Dimethylaminoethoxyphenyl-trans-1,2-diphenylbut-1-ene', 'UNII-094ZI81Y45', '(Z)-2-(4-(1,2-Diphenyl-1-butenyl)phenoxy)-N,N-dimethylethanamine', 'HSDB 6782', 'CHEMBL83', 'EINECS 234-118-0', 'ICI-47699', '2-{4-[(1Z)-1,2-diphenylbut-1-en-1-yl]phenoxy}-N,N-dimethylethanamine', 'cis-Tamoxifen', 'CHEBI:41774', '(2-{4-[(1Z)-1,2-diphenylbut-1-en-1-yl]phenoxy}ethyl)dimethylamine', '2-[4-[(Z)-1,2-diphenylbut-1-enyl]phenoxy]-N,N-dimethylethanamine', 'trans-2-[4-(1,2-Diphenyl-1-butenyl)phenoxy]-N,N-dimethylethylamine', '(Z)-2-(para-(1,2-Diphenyl-1-butenyl)phenoxy)-N,N-dimethylamine (IUPAC)', 'Ethanamine, 2-(4-(1,2-diphenyl-1-butenyl)phenoxy)-N,N-dimethyl-, (Z)-', 'Ethanamine, 2-[4-[(1Z)-1,2-diphenyl-1-butenyl]phenoxy]-N,N-dimethyl-', '(Z)-2-[4-(1,2)-DIPHENYL-1-BUTENYL)-PHENOXY]-N,N-DIMETHYLETHANAMINE', 'MFCD00010454', 'C26H29NO', '094ZI81Y45', 'Novaldex', 'Tomaxithen', 'DSSTox_CID_14187', 'DSSTox_RID_79121', 'DSSTox_GSID_34187', 'W-108788', '(Z)-2-(para-(1,2-Diphenyl-1-butenyl)phenoxy)-N,N-dimethylamine', '2-[4-[(Z)-1,2-diphenylbut-1-enyl]phenoxy]-N,N-dimethyl-ethanamine', 'Ethylamine, N,N-dimethyl-2-(p-(1,2-diphenyl-1-butenyl)phenoxy)-, (Z)-', '[3H]tamoxifen', 'Tamoxifen (INN)', 'Tamoxifen (TN)', '[3H]-tamoxifen', 'Tamoplex (TN)', 'SMR000059172', 'CAS-10540-29-1', 'TRANS FORM OF TAMOXIFEN', '2-[4-[(1Z)-1,2-Diphenyl-1-buten-1-yl]phenoxy]-N,N-dimethylethanamine', '2-{4-[(1Z)-1,2-Diphenyl-1-buten-1-yl]phenoxy}-N,N-dimethylethanamine', 'Ethanamine, 2-(4-((1Z)-1,2-diphenyl-1-butenyl)phenoxy)-N,N-dimethyl-', 'Tamoxifen, 7', '13002-65-8', '(E/Z)-Tamoxifen', 'ICI-46,474', 'Tocris-0999', '1ya4', 'Tamoxifen, &gt;=99%', 'Prestwick2_000146', 'Prestwick3_000146', 'Spectrum5_001417', 'Spectrum5_002043', 'UPCMLD-DP027', 'EC 234-118-0', 'SCHEMBL4084', 'BIDD:PXR0003', 'Lopac0_001203', 'BSPBio_000252', 'BSPBio_001150', 'BSPBio_001982', 'MLS001332535', 'MLS001332536', 'BIDD:ER0008', 'BIDD:GT0009', 'Tamoxifen, analytical standard', 'BPBio1_000278', 'GTPL1016', 'GTPL5384', 'DTXSID1034187', 'Ethanamine, 2-[4-[(1Z)-1,2-diphenyl-1-buten-1-yl]phenoxy]-N,N-dimethyl-', 'TAMOXIFEN (TAMOXIFEN CITRATE (54965-24-1))', 'Tamoxifen Drug Standard Solution', 'BDBM20607', 'cid_2733526', 'AOB5640', 'cMAP_000044', 'HMS1362J11', 'HMS1792J11', 'HMS1990J11', 'HMS2090N08', 'HMS2232C12', 'HMS3261D09', 'HMS3403J11', 'HMS3411P04', '7728-73-6', 'EBD41546', 'ZINC1530689', 'Tox21_201243', 'Tox21_300539', 'Tox21_500494', '(Z)-2-(4-(1,2-diphenylbut-1-enyl)phenoxy)-N,N-dimethylethanamine', '(Z)-2-[p-(1,2-Diphenyl-1-butenyl)phenoxy]-N,N-dimethylethylamine', '1-p-.beta.-Dimethylamino-ethoxyphenyl-trans-1,2-diphenylbut-1-ene', '2060AH', 'GA9513', 'HY-13757A', 'LS-393', 'NSC727681', 'AKOS022143035', 'AM84324', 'CCG-205277', 'CS-2870', 'DB00675', 'KS-1472', 'LP00494', 'NSC-727681', 'SDCCGSBI-0051170.P007', 'VA11813', 'ICI47699;Z-Tamoxifen;trans-Tamoxifen', 'IDI1_000258', 'IDI1_002170', 'QTL1_000079', 'NCGC00024928-01', 'NCGC00024928-03', 'NCGC00024928-04', 'NCGC00024928-05', 'NCGC00024928-07', 'NCGC00024928-08', 'NCGC00024928-09', 'NCGC00024928-10', 'NCGC00024928-11', 'NCGC00024928-12', 'NCGC00024928-13', 'NCGC00024928-14', 'NCGC00024928-15', 'NCGC00024928-16', 'NCGC00024928-17', 'NCGC00024928-18', 'NCGC00024928-19', 'NCGC00254455-01', 'NCGC00258795-01', 'NCGC00261179-01', 'SC-45564', 'SBI-0051170.P004', 'AX8001839', 'B5965', 'NS00010353', 'C07108', 'D08559', '10331-EP2270008A1', '10331-EP2270018A1', '10331-EP2272827A1', '10331-EP2272832A1', '10331-EP2275102A1', '10331-EP2277865A1', '10331-EP2277876A1', '10331-EP2280012A2', '10331-EP2281815A1', '10331-EP2289892A1', '10331-EP2292233A2', '10331-EP2292576A2', '10331-EP2292614A1', '10331-EP2292617A1', '10331-EP2295416A2', '10331-EP2295426A1', '10331-EP2295427A1', '10331-EP2298305A1', '10331-EP2298746A1', '10331-EP2298748A2', '10331-EP2298778A1', '10331-EP2298780A1', '10331-EP2301536A1', '10331-EP2301538A1', '10331-EP2301933A1', '10331-EP2305640A2', '10331-EP2305642A2', '10331-EP2305671A1', '10331-EP2305689A1', '10331-EP2308833A2', '10331-EP2308855A1', '10331-EP2308861A1', '10331-EP2311455A1', '10331-EP2311825A1', '10331-EP2311827A1', '10331-EP2311840A1', '10331-EP2311842A2', '10331-EP2316452A1', '10331-EP2316831A1', '10331-EP2316832A1', '10331-EP2316833A1', '10331-EP2316834A1', '10331-EP2374454A1', 'AB00053547-16', 'AB00053547-17', 'AB00053547-18', 'AB00053547_19', 'AB00053547_20', '540T291', 'A801229', 'L024126', 'Q412178', 'BRD-K93754473-001-02-9', 'BRD-K93754473-048-04-6', 'BRD-K93754473-048-05-3', 'BRD-K93754473-048-10-3', 'Tamoxifen, certified reference material, TraceCERT(R)', '1-[4-(2-Dimethylaminoethoxy)phenyl]-1,2-diphenyl-1-butene', '(Z)-2-(4-(1,2-diphenylbut-1-en-1-yl)phenoxy)-N,N-dimethylethan-1-amine', '(Z)-2-(4-(1,2-diphenylbut-1-en-1-yl)phenoxy)-N,N-dimethylethanamine', '2-[4-[(Z)-1,2-di(phenyl)but-1-enyl]phenoxy]-N,N-dimethylethanamine', '2-{4-[(1Z)-1,2-Diphenylbut-1-en-1-yl]phenoxy}-N,N-dimethylethan-1-amine', '(Z)-[2-[4-(1,2-diphenylbut-1-enyl)phenoxy]ethyl]dimethylammonium dihydrogen 2-hydroxypropane-1,2,3-tricarboxylate;Tamoxifen citrate', '(Z)-1-(p-Dimethylaminoethoxyphenyl)-1,2-diphenyl-1-butene, trans-2-[4-(1,2-Diphenyl-1-butenyl)phenoxy]-N,N-dimethylethylamine']</t>
  </si>
  <si>
    <t>Compound(2733526)</t>
  </si>
  <si>
    <t>C26H29NO</t>
  </si>
  <si>
    <t>tannin</t>
  </si>
  <si>
    <t>[2,3-dihydroxy-5-[[(2R,3R,4S,5R,6S)-3,4,5,6-tetrakis[[3,4-dihydroxy-5-(3,4,5-trihydroxybenzoyl)oxybenzoyl]oxy]oxan-2-yl]methoxycarbonyl]phenyl] 3,4,5-trihydroxybenzoate</t>
  </si>
  <si>
    <t>['TANNIC ACID', '1401-55-4', 'Glycerite', 'Chinese gallotannin', 'Gallotannic acid', '5424-20-4', 'MLS001335996', 'CHEBI:81066', 'SMR000857330', 'DSSTox_CID_6076', 'DSSTox_RID_78006', 'DSSTox_GSID_26076', 'FEMA No. 3042', 'Quebracho extract', 'MFCD00066397', 'CAS-1401-55-4', 'Tannic acid, ACS reagent', 'NSC656273', 'NSC-656273', 'NCGC00095101-01', 'EINECS 226-562-9', 'C76H52O46', 'Tannin (Tannic acid)', 'Tannic acid, technical', 'Tannins;TANNIC ACID', 'Tannic acid, technical grade', 'MLS001335995', 'SCHEMBL409692', 'Tannic acid, SAJ first grade', 'CHEMBL506247', 'GTPL4319', 'BDBM60986', 'DTXSID00892987', 'Tannic acid, puriss., 95.0%', 'cid_16129778', 'Tox21_111422', 'Tox21_300079', 'BDBM50442879', 's3951', 'AKOS015951319', 'Tannic acid, Vetec(TM) reagent grade', 'CCG-270692', 'beta-D-Glucose pentakis(3,4-dihydroxy-5-((3,4,5-trihydroxybenzoyl)oxy)benzoate)', 'NCGC00186054-01', 'NCGC00186054-02', 'NCGC00253925-01', 'SC-80506', 'Tannic acid, tested according to Ph.Eur.', 'C17409', 'Tannic acid, Source: Chinese natural gall nuts', 'Q427956', 'Q-201780', 'Tannic acid, puriss., meets analytical specification of USP, powder', 'Tannic acid, United States Pharmacopeia (USP) Reference Standard', '.Beta.-D-glucopyranose, pentakis[3,4-dihydroxy-5-[(3,4,5-trihydroxybenzoyl)oxy]benzoate]', 'beta-D-Glucopyranose pentakis[3,4-dihydroxy-5-[(3,4,5-trihydroxybenzoyl)oxy]benzoate]', 'ss-D-glucose pentakis[3,4-dihydroxy-5-[(3,4,5-trihydroxybenzoyl)oxy]benzoate]', '(2R,3R,4S,5R,6S)-4,5,6-tris({3,4-dihydroxy-5-[(3,4,5-trihydroxyphenyl)carbonyloxy]phenyl}carbonyloxy)-2-[({3,4-dihydroxy-5-[(3,4,5-trihydroxyphenyl)carbonyloxy]phenyl}carbonyloxy)methyl]oxan-3-yl 3,4-dihydroxy-5-[(3,4,5-trihydroxyphenyl)carbonyloxy]benzoate', '[(2R,3R,4S,5R,6S)-3,4,5,6-Tetrakis({3,4-dihydroxy-5-[(3,4,5-trihydroxybenzoyl)oxy]benzoyl}oxy)oxan-2-yl]methyl 3,4-dihydroxy-5-[(3,4,5-trihydroxybenzoyl)oxy]benzoate (non-preferred name)', '[2,3-dihydroxy-5-[[(2R,3R,4S,5R,6S)-3,4,5,6-tetrakis[[3,4-dihydroxy-5-(3,4,5-trihydroxybenzoyl)oxy-benzoyl]oxy]tetrahydropyran-2-yl]methoxycarbonyl]phenyl] 3,4,5-trihydroxybenzoate']</t>
  </si>
  <si>
    <t>Compound(16129778)</t>
  </si>
  <si>
    <t>C76H52O46</t>
  </si>
  <si>
    <t>tau fluvalinate</t>
  </si>
  <si>
    <t>[cyano-(3-phenoxyphenyl)methyl] (2R)-2-[2-chloro-4-(trifluoromethyl)anilino]-3-methylbutanoate</t>
  </si>
  <si>
    <t>['Tau-fluvalinate', '102851-06-9', 'CHEBI:39367', 'Fluvarol', 'Fluwarol', 'Mavrik EW', 'cyano(3-phenoxyphenyl)methyl N-[2-chloro-4-(trifluoromethyl)phenyl]-D-valinate', 'D-Valine, N-[2-chloro-4-(trifluoromethyl)phenyl]-,cyano(3-phenoxyphenyl)methyl ester', 'N-[2-chloro-4-(trifluoromethyl)phenyl]-D-valine cyano(3-phenoxyphenyl)methyl ester', '[cyano-(3-phenoxyphenyl)methyl] (2R)-2-[2-chloro-4-(trifluoromethyl)anilino]-3-methylbutanoate', 'Tau-fluvalinate [ISO]', '(a-RS,2R)-Fluvalinate', '(RS)-alpha-Cyano-3-phenoxybenzyl N-(2-chloro-alpha,alpha,alpha-trifluoro-p-tolyl)-D-valinate', 'Fluvalinate (tau-)', 'Fluvalinate Isomer 1', 'Tau-fluvalinate (I)', 'Tau-fluvalinate (II)', 'D-Valine, N-(2-chloro-4-(trifluoromethyl)phenyl)-, cyano(3-phenoxyphenyl)methyl ester', 'DSSTox_CID_17555', 'DSSTox_RID_79336', 'DSSTox_GSID_37555', 'SCHEMBL27925', 'CHEMBL1895592', 'DTXSID7037555', 'EX-A1444', 'tau-Fluvalinate, analytical standard', 'Tox21_300722', 'AKOS015896164', 'cyano(3-phenoxyphenyl)methyl (2-chloro-4-(trifluoromethyl)phenyl)-D-valinate', 'NCGC00163840-01', 'NCGC00163840-02', 'NCGC00254628-01', '[cyano-(3-phenoxyphenyl)methyl] (2R)-2-[2-chloro-4-(trifluoromethyl)anilino]-3-methyl-butanoate', 'SC-79497', '545-EP2274983A1', '545-EP2275422A1', '545-EP2308857A1', 'CAS-102851-06-9', 'tau-Fluvalinate 10 microg/mL in Cyclohexane', 'tau-Fluvalinate 100 microg/mL in Cyclohexane', 'C18790', '851T069', 'A800631', 'tau-Fluvalinate, PESTANAL(R), analytical standard', 'Q27119834', '(rs)-cyano-(3-phenoxyphenyl)methyl N-(2-chloro-4-trifluoromethylphenyl)-d-valinate', '(2R)-2-[2-chloro-4-(trifluoromethyl)anilino]-3-methylbutanoic acid [cyano-(3-phenoxyphenyl)methyl] ester', '[cyano-(3-phenoxyphenyl)methyl] (2R)-2-[[2-chloranyl-4-(trifluoromethyl)phenyl]amino]-3-methyl-butanoate', 'Tau-fluvalinate;cyano-(3-phenoxyphenyl)methyl N-[2-chloro-4-(trifluoromethyl)phenyl]-D-valinate;D-Valine, N-[2-chloro-4-(trifluoromethyl)phenyl]-, cyano(3-phenoxyphenyl)methyl ester']</t>
  </si>
  <si>
    <t>Compound(91768)</t>
  </si>
  <si>
    <t>tebuconazole</t>
  </si>
  <si>
    <t>1-(4-chlorophenyl)-4,4-dimethyl-3-(1,2,4-triazol-1-ylmethyl)pentan-3-ol</t>
  </si>
  <si>
    <t>['Tebuconazole', '107534-96-3', 'Folicur', 'Fenetrazole', 'Tebuconazol', 'Ethyltrianol', 'Terbuconazole', 'Terbutrazole', 'Etiltrianol', 'Elite', 'Raxil', 'Preventol A 8', 'LYNX', '3-((1H-1,2,4-Triazol-1-yl)methyl)-1-(4-chlorophenyl)-4,4-dimethylpentan-3-ol', '1-(4-Chlorophenyl)-4,4-dimethyl-3-(1,2,4-triazol-1-ylmethyl)pentan-3-ol', 'Tebuconazole [ISO]', '80443-41-0', 'BAY-HWG 1608', 'HWG 1608', 'HSDB 7448', 'C16H22ClN3O', 'CHEBI:83779', '1-(4-Chlorophenyl)-4,4-dimethyl-3-(1H-1,2,4-triazol-1-ylmethyl)-3-pentanol', '1-(4-chlorophenyl)-4,4-dimethyl-3-(1H-1,2,4-triazol-1-ylmethyl)pentan-3-ol', '(RS)-1-(4-Chlorophenyl)-4,4-dimethyl-3-(1H-1,2,4-triazol-1-ylmethyl)pentan-3-ol', '(RS)-1-p-Chlorophenyl-4,4-dimethyl-3-(1H-1,2,4-triazol-1-ylmethyl)pentan-3-ol', 'alpha-(2-(4-Chlorophenyl)ethyl)-alpha-(1,1-dimethylethyl)-1H-1,2,4-triazole-1-ethanol', 'DSSTox_CID_12113', 'DSSTox_RID_78905', 'DSSTox_GSID_32113', 'Horizont', 'Corail', 'Tebuconazole (+-)', 'CAS-107534-96-3', 'Tebuconazole (unspecified)', '1H-1,2,4-Triazole-1-ethanol, alpha-(2-(4-chlorophenyl)ethyl)-alpha-(1,1-dimethylethyl)-', 'Silvacur (Salt/Mix)', '(.+/-.)-Tebuconazole', 'EC 403-640-2', 'SCHEMBL21789', 'CHEMBL487186', 'TRI039', 'DTXSID9032113', 'CTK5E7796', 'KS-00000INP', 'TCMDC-143614', 'HY-B0852', 'ZX-AT013331', 'Tox21_202331', 'Tox21_300487', 'BG0674', 'EBD900712', 'AKOS015895348', 'API0004331', 'CS-8170', 'LS-1802', 'MCULE-5404194440', 'OR59970', 'Tebuconazole 10 microg/mL in Isooctane', 'Tebuconazole 100 microg/mL in Methanol', 'NCGC00091496-01', 'NCGC00091496-02', 'NCGC00091496-03', 'NCGC00091496-04', 'NCGC00254491-01', 'NCGC00259880-01', 'Tebuconazole 100 microg/mL in Isooctane', '1H-1,2,4-Triazole-1-ethanol, .alpha.-[2-(4-chlorophenyl)ethyl]-.alpha.-(1,1-dimethylethyl)-', 'AC-12496', 'AK402770', 'AS-13966', 'I817', 'SC-57865', 'Tebuconazole 10 microg/mL in Acetonitrile', 'Tebuconazole 100 microg/mL in Acetonitrile', 'FT-0651883', 'FT-0654015', 'C18489', '534T963', 'A801720', 'Q2697579', 'A-[2-(4-CHLOROPHENYL)ETHYL]-A-(1,1-DIMETHYLETHYL)-', '1-(4-chlorophenyl)-4,4-dimethyl-3-(1,2,4-triazol-1-ylmethyl)-3-pentanol', '1-(4-Chlorophenyl)-4,4-dimethyl-3-(1,2,4-triazolylmethyl)pentan-3-ol', '1H-1,2,4-Triazole-1-ethanol, .alpha.-(2-(4-chlorophenyl)ethyl)-.alpha.', '(RS)-1-(4-chloro-phenyl)-4,4-dimethyl-3-[1,2,4]triazol-1-ylmethyl-pentan-3-ol', '1-(4-chloorfenyl)-4,4-dimethyl-3-(1,2,4-tria- zole-1-ylmethyl)-3-pentanol / tebuconazole', '1-(4-chloro-phenyl)-4,4-dimethyl-3-(1,2,4-triazol-1-yl-methyl)-pentan-3-ol', '1-(4-chlorophenyl)-3-(1,2,4-triazol-1-ylmethyl)-4,4-dimethyl-pentan-3-ol', '1-(4-chlorophenyl)-4,4-dimethyl-3-(1,2,4-triazol-1-yl-methyl)-3-pentanol', '1-(4-chlorophenyl)-4,4-dimethyl-3-(1,2,4-triazol-1-yl-methyl)-pentan-3-ol', '1-(4-chlorophenyl)-4,4-dimethyl-3-(1,2,4-triazol-1-yl-methyl)-pentane-3-ol', '1-(4-chlorophenyl)-4,4-dimethyl-3-(1,2,4-triazol-l-yl-methyl)-pentan-3-ol', '1-(4-CHLOROPHENYL)-4,4-DIMETHYL-3-(1,2,4-TRIAZOLE-1-YL-METHYL)PENTANE-3-OL', '1-(4-Chlorophenyl)-4,4-dimethyl-3-(1H-1,2,4-triazol-1-ylmethyl)-3-pentanol #', '1-(4-Chlorophenyl)-4,4-dimethyl-3-(1H-1,2,4-triazole-1-ylmethyl)-3-pentanol', '1-(4-Chlorophenyl)-4,4-dimethyl-3-[(1H-1,2,4-triazol-1-yl)methyl]pentan-3-ol', '1H-1,2,4-Triazole-1-ethanol, |A-[2-(4-chlorophenyl)ethyl]-|A-(1,1-dimethylethyl)-', '(.+/-.)-.alpha.-[2-(4-Chlorophenyl)ethyl]-.alpha.-(1,1-dimethylethyl)-1H-1,2,4-triazole-1-ethanol', '(RS)-1-(4-chloro-phenyl)-4,4-dimethyl-3-[1,2,4]triazol-1-ylmethyl-pentan-3-ol;tebuconazole', '.alpha.-(2-(4-Chlorophenyl)ethyl)-.alpha.-(1,1-dimethylethyl)-1H-1,2,4-triazole-1-ethanol', '1H-1,2,4-Triazole-1-ethanol, .alpha.-(2-(4-chlorophenyl)ethyl)-.alpha.-(1,1-dimethylethyl)-, (.+/-.)-', '1H-1,2,4-Triazole-1-ethanol, alpha-(2-(4-chlorophenyl)ethyl)-alpha-(1,1-dimethylethyl)-, (+-)-', '1H-1,2,4-Triazole-1-ethanol,.alpha.-[2-(4-chlorophenyl)ethyl]-.alpha.-(1,1-dimethylethyl)-, (+-)-']</t>
  </si>
  <si>
    <t>Compound(86102)</t>
  </si>
  <si>
    <t>C16H22ClN3O</t>
  </si>
  <si>
    <t>N-tert-butyl-N'-(4-ethylbenzoyl)-3,5-dimethylbenzohydrazide</t>
  </si>
  <si>
    <t>['Tebufenozide', '112410-23-8', "N-tert-Butyl-N'-(4-ethylbenzoyl)-3,5-dimethylbenzohydrazide", 'Confirm', 'Tebufenozide [ISO]', 'UNII-TNN5MI5EKF', 'RH-5992', 'CHEBI:38452', 'HSDB 7050', "N'-(t-Butyl)-N'-(3,5-dimethylbenzoyl)-N-(4-ethylbenzoyl)hydrazine", 'TNN5MI5EKF', 'Benzoic acid, 3,5-dimethyl-, 1-(1,1-dimethylethyl)-2-(4-ethylbenzoyl)hydrazide', '3,5-Dimethylbenzoic acid 1-(1,1-dimethylethyl)-2-(4-ethylbenzoyl)hydrazide', 'Q-201782', 'RH 5992', 'EC 412-850-3', 'DSSTox_CID_14948', 'DSSTox_RID_79225', 'DSSTox_GSID_34948', 'SCHEMBL64845', 'CHEMBL226968', 'DTXSID4034948', 'HY-B2054', 'ZINC1092859', 'Tox21_300685', 'BDBM50178988', 'AKOS015907787', 'KS-5034', 'MCULE-7502231372', 'Tebufenozide 100 microg/mL in Acetone', 'NCGC00142339-01', 'NCGC00142339-02', 'NCGC00142339-03', 'NCGC00142339-04', 'NCGC00254593-01', '142583-69-5', 'AC-12582', 'LS-37208', 'ST069559', 'Tebufenozide 10 microg/mL in Acetonitrile', 'DB-041089', 'CAS-112410-23-8', 'CS-0014147', 'FT-0603185', 'NS00007887', 'C18526', '31401-EP2274983A1', '31401-EP2275422A1', '31401-EP2292088A1', '31401-EP2292608A1', '31401-EP2308858A1', '31401-EP2311816A1', '31401-EP2311817A1', 'Tebufenozide, PESTANAL(R), analytical standard', '410T238', 'A802573', 'C-20685', 'Q7692088', "N-tert-butyl-N'-(4-ethylbenzoyl)-3,5-dimethyl-benzohydrazide", "N-tert-butyl-N'-(4-ethylphenyl)carbonyl-3,5-dimethyl-benzohydrazide", "N-tert-butyl-N'-[(4-ethylphenyl)-oxomethyl]-3,5-dimethylbenzohydrazide", 'N-(tert-butyl)(3,5-dimethylphenyl)-N-[(4-ethylphenyl)carbonylamino]carboxamide']</t>
  </si>
  <si>
    <t>Compound(91773)</t>
  </si>
  <si>
    <t>C22H28N2O2</t>
  </si>
  <si>
    <t>N-[(4-tert-butylphenyl)methyl]-4-chloro-5-ethyl-2-methylpyrazole-3-carboxamide</t>
  </si>
  <si>
    <t>['Tebufenpyrad', '119168-77-3', 'Pyranica', 'Comanche', 'MK239', 'Tebufenpyrad [ISO]', 'UNII-IRU3P7ZB3F', 'MK 239', 'N-(4-(tert-Butyl)benzyl)-4-chloro-3-ethyl-1-methyl-1H-pyrazole-5-carboxamide', 'AC 801757', 'HSDB 7271', '4-Chloro-N-((4-(1,1-dimethylethyl)phenyl)methyl)-3-ethyl-1-methyl-1H-pyrazole-5-carboxamide', 'IRU3P7ZB3F', 'N-(4-t-Butylbenzyl)-4-chloro-3-ethyl-1-methylpyrazole-5-carboxamide', '1H-Pyrazole-5-carboxamide, 4-chloro-N-((4-(1,1-dimethylethyl)phenyl)methyl)-3-ethyl-1-methyl-', '1H-Pyrazole-5-carboxamide, 4-chloro-N-[[4-(1,1-dimethylethyl)phenyl]methyl]-3-ethyl-1-methyl-', 'CHEBI:9422', 'N-(4-tert-butylbenzyl)-4-chloro-3-ethyl-1-methyl-1H-pyrazole-5-carboxamide', 'N-[(4-tert-butylphenyl)methyl]-4-chloro-5-ethyl-2-methylpyrazole-3-carboxamide', 'DSSTox_CID_14223', 'DSSTox_RID_79126', 'DSSTox_GSID_34223', 'SCHEMBL26848', 'CHEMBL1897070', 'DTXSID0034223', 'ZZYSLNWGKKDOML-UHFFFAOYSA-', 'ZINC967721', 'Tox21_301038', '4-Chloro-N-(4-tert-butylbenzyl)-3-ethyl-1-methyl-1H-pyrazole-5-carboxamide', 'AKOS015895772', 'NCGC00168338-01', 'NCGC00168338-02', 'NCGC00254940-01', 'AS-12374', 'Tebufenpyrad 10 microg/mL in Cyclohexane', 'Tebufenpyrad 10 microg/mL in Acetonitrile', 'Tebufenpyrad 100 microg/mL in Cyclohexane', 'AB0011825', 'AX8152491', 'LS-128147', 'CAS-119168-77-3', 'FT-0603186', 'NS00000189', 'C11126', 'K-1355', 'Tebufenpyrad, PESTANAL(R), analytical standard', '168T773', 'A804212', 'Q285594', 'N-(p-tert-butylbenzyl)-4-chloro-3-ethyl-1-methylpyrazole-5-carboxamide', 'N-[(4-tert-butylphenyl)methyl]-4-chloranyl-5-ethyl-2-methyl-pyrazole-3-carboxamide', 'N-[(4-tert-butylphenyl)methyl]-4-chloro-5-ethyl-2-methyl-3-pyrazolecarboxamide', 'Pesticide4_Tebufenpyrad_C18H24ClN3O_1H-Pyrazole-5-carboxamide, 4-chloro-N-[[4-(1,1-dimethylethyl)phenyl]methyl]-3-ethyl-1-methyl-', 'tebufenpyrad (ISO); N-(4-tertbutylbenzyl)-4-chloro-3-ethyl-1-methyl-1Hpyrazole-5- carboxamide;4-chloro-N-((4-(1,1-dimethylethyl)phenyl)methyl)-3-ethyl-1-methyl-1H-pyrazole-5-carboxamide']</t>
  </si>
  <si>
    <t>Compound(86354)</t>
  </si>
  <si>
    <t>C18H24ClN3O</t>
  </si>
  <si>
    <t>(2-tert-butylpyrimidin-5-yl)oxy-ethoxy-propan-2-yloxy-sulfanylidene-lambda5-phosphane</t>
  </si>
  <si>
    <t>['Tebupirimfos', 'Tebupirimphos', 'Phostebupirim', '96182-53-5', 'Tebupirimfos [ISO]', 'MAT 7484', 'BAY-MAT 7484', 'HSDB 7136', 'O-(2-(1,1-Dimethylethyl)-5-pyrimidinyl) O-ethyl O-(1-methylethyl) phosphorothioate', 'CHEBI:38951', 'O-(2-(tert-Butyl)pyrimidin-5-yl) O-ethyl O-isopropyl phosphorothioate', 'Phosphorothioic acid, O-(2-(1,1-dimethylethyl)-5-pyrimidinyl) O-ethyl O-(1-methylethyl) ester', 'O-(2-tert-butylpyrimidin-5-yl) O-ethyl O-isopropyl thiophosphate', 'Phosphorothioic acid, O-[2-(1,1-dimethylethyl)-5-pyrimidinyl] O-ethyl O-(1-methylethyl) ester', 'O-(2-(tert-Butyl)pyrimidin-5-yl)O-ethyl O-isopropyl phosphorothioate', 'O-(2-tert-butylpyrimidin-5-yl) O-ethyl O-(propan-2-yl) phosphorothioate', 'C13H23N2O3PS', '(2-tert-butylpyrimidin-5-yl)oxy-ethoxy-propan-2-yloxy-sulfanylidene-?^{5}-phosphane', 'DSSTox_CID_12482', 'DSSTox_RID_78953', 'DSSTox_GSID_32482', 'SCHEMBL115556', 'CHEMBL3186920', 'DTXSID1032482', 'Tox21_300965', '4512AF', 'AKOS016010346', 'NCGC00163899-01', 'NCGC00163899-02', 'NCGC00163899-03', 'NCGC00254868-01', 'Tebupirimfos 10 microg/mL in Cyclohexane', 'CAS-96182-53-5', 'LS-108826', 'FT-0674828', 'NS00004779', 'C18692', 'Tebupirimfos, PESTANAL(R), analytical standard', 'Q2398875', 'UNII-P036T39NSI component AWYOMXWDGWUJHS-LJQANCHMSA-N', 'O-(2-tert-Butyl-5-pyrimidinyl) O-ethyl O-isopropyl thiophosphate #', 'O-(2-tert-Butylpyrimidin-5-yl) o-ethyl o-isopropyl phosphorothioate', 'O-(2-tert-Butylpyrimidin-5-yl) O-ethyl O-propan-2-yl phosphorothioate', 'O-2-TERT-BUTYLPYRIMIDIN-5-YL O-ETHYL O-ISOPROPYL PHOSPHOROTHIOATE', 'Phosphorothioic acid, o-(2-(1,1-dimethylethyl)-5-pyrimidinyl) o-ethyl-o-(1-methylethyl) ester']</t>
  </si>
  <si>
    <t>Compound(93516)</t>
  </si>
  <si>
    <t>C13H23N2O3PS</t>
  </si>
  <si>
    <t>N-benzyl-2,2-dimethyl-N-propan-2-ylpropanamide</t>
  </si>
  <si>
    <t>['Tebutam', 'Butam', 'N-Benzyl-N-isopropylpivalamide', '35256-85-0', 'Tebutame', 'Comodor', 'Butam [ANSI]', 'N-Benzyl-N-isopropyltrimethylacetamide', 'Tebutam [BSI:ISO]', 'Caswell No. 083EE', 'Tebutame [ISO-French]', 'GCP-5544', 'N-Benzyl-N-isopropyl-2,2-dimethylpropionamide', 'UNII-43Q5P667CM', 'EINECS 252-470-3', 'N-benzyl-2,2-dimethyl-N-propan-2-ylpropanamide', 'Propanamide, 2,2-dimethyl-N-(1-methylethyl)-N-(phenylmethyl)-', 'S-15544', 'EPA Pesticide Chemical Code 219500', 'BRN 2838127', 'CHEBI:82043', '43Q5P667CM', 'Propionamide, N-benzyl-2,2-dimethyl-N-isopropyl-', 'S 15544', 'N-benzyl-2,2-dimethyl-N-(propan-2-yl)propanamide', '2,2-Dimethyl-N-(1-methylethyl)-N-(phenylmethyl)propanamide', 'DSSTox_CID_21691', 'DSSTox_RID_79821', 'DSSTox_GSID_41691', 'SCHEMBL63650', 'CHEMBL3187066', 'DTXSID5041691', 'HMS1588I07', 'ZINC860086', 'Tox21_300476', '2,2-Dimethyl-N-(1-methylethyl)-N-(phenylmethyl)propanamide (9CI)', 'Propanamide, 2,2-dimethyl-N-(1-methylethyl)-N-(phenylmethyl)- (9CI)', 'Tebutam 10 microg/mL in Cyclohexane', 'AKOS003291973', 'AC01004', 'MCULE-6862321718', 'NCGC00248075-01', 'NCGC00254475-01', 'CAS-35256-85-0', 'LS-124053', 'Tebutam, PESTANAL(R), analytical standard', 'NS00000238', 'ST50624859', 'C18896', 'N-Benzyl-N-isopropyl-2,2-dimethylpropanamide #', '2,2-dimethyl-N-(methylethyl)-N-benzylpropanamide', 'SR-01000243408', 'Butam;N-benzyl-N-isopropyl-2,2-dimethylpropionamide', 'SR-01000243408-1', 'W-109215', 'Q22808947', '2,2-dimethyl-N-(phenylmethyl)-N-propan-2-yl-propanamide']</t>
  </si>
  <si>
    <t>Compound(92299)</t>
  </si>
  <si>
    <t>C15H23NO</t>
  </si>
  <si>
    <t>1-(5-tert-butyl-1,3,4-thiadiazol-2-yl)-1,3-dimethylurea</t>
  </si>
  <si>
    <t>['tebuthiuron', '34014-18-1', 'Spike', 'Graslan', 'Perflan', 'Brulan', '1-(5-tert-Butyl-1,3,4-thiadiazol-2-yl)-1,3-dimethylurea', 'Tiurolan', 'Prefmid', 'Tebulan', 'Brush bullet', 'Spike 80W', 'Graslan 250 brush bullets', '1-(5-(tert-Butyl)-1,3,4-thiadiazol-2-yl)-1,3-dimethylurea', 'Caswell No. 366AA', 'UNII-E5OX6GM11E', 'EL-103', 'Tebuthiuron [ANSI:BSI:ISO]', 'HSDB 6863', 'EINECS 251-793-7', 'EPA Pesticide Chemical Code 105501', 'SHA 105501', 'BRN 0527479', 'E5OX6GM11E', "Urea, N-[5-(1,1-dimethylethyl)-1,3,4-thiadiazol-2-yl]-N,N'-dimethyl-", 'CHEBI:81745', '1-(5-tert-Butyl-1,3,4-thiadiazol-2-yl)-3-dimethylharnstoff', 'Urea, 1-(5-(t-butyl)-1,3,4-thiadiazol-2-yl)-1,3-dimethyl-', '1-(5-tert-Butyl-1,3,4-thiadiazol-2-yl)-3-dimethylharnstoff [German]', 'DSSTox_CID_4316', "N-(5-(1,1-Dimethylethyl)-1,3,4-thiadiazol-2-yl)-N,N'-dimethylurea", "N-(5-(1,1-Dimethylaethyl)-1,3,4-thiadiazol-2-yl)-N,N'-dimethylharnstoff", 'DSSTox_RID_77365', "N-(5-(1,1-Dimethylaethyl)-1,3,4-thiadiazol-2-yl)-N,N'-dimethylharnstoff [German]", 'DSSTox_GSID_24316', "N-(5-tert-Butyl-1,3,4-thiadiazol-2-yl)-N,N'-dimethylurea", 'N-[5-(tert-butyl)(1,3,4-thiadiazol-2-yl)]-N-methyl(methylamino)carboxamide', "Urea, N-(5-(1,1-dimethylethyl)-1,3,4-thiadiazol-2-yl)-N,N'-dimethyl-", 'CAS-34014-18-1', 'Bushwacker', 'Perfmid', 'Preflan', '1-[5-(tert-Butyl)-1,3,4-thiadiazol-2-yl]-1,3-dimethylurea', 'Spectrum_001825', 'SpecPlus_000426', 'Spectrum2_001881', 'Spectrum3_000823', 'Spectrum4_000663', 'Spectrum5_001958', 'SCHEMBL66366', 'BSPBio_002345', 'KBioGR_001065', 'KBioSS_002330', 'SPECTRUM330031', 'MLS000079345', 'DivK1c_006522', 'SPBio_001782', 'CHEMBL1457493', 'DTXSID3024316', 'CTK6I4392', 'El 103', 'KBio1_001466', 'KBio2_002327', 'KBio2_004895', 'KBio2_007463', 'KBio3_001845', 'ZINC43452', 'HMS2451L04', 'ACT05627', 'EBD21687', 'Urea, 1-(5-tert-butyl-1,3,4-thiadiazol-2-yl)-1,3-dimethyl-', 'Tox21_201451', 'Tox21_300802', 'CCG-39419', 'STK537090', 'Urea, 2-(5-tert-butyl-1,3,4-thiadiazol-2-yl)-1,3-dimethyl- (8CI)', 'AKOS005467953', 'MCULE-3332482204', 'ACM34014181', "Urea, N-(5-(1,1-dimethylethyl)-1,3,4-thiadiazol-2-yl)-N,N'-dimethyl- (9CI)", 'NCGC00020997-01', 'NCGC00020997-02', 'NCGC00020997-03', 'NCGC00020997-04', 'NCGC00020997-05', 'NCGC00020997-06', 'NCGC00020997-07', 'NCGC00020997-08', 'NCGC00023459-02', 'NCGC00023459-03', 'NCGC00023459-04', 'NCGC00023459-05', 'NCGC00254706-01', 'NCGC00259002-01', 'CC-34661', 'S342', 'SMR000036753', 'ST020539', 'Tebuthiuron 10 microg/mL in Acetonitrile', 'AX8152494', 'DB-048548', 'LS-159283', 'FT-0630577', 'NS00005719', 'C18436', 'Tebuthiuron, PESTANAL(R), analytical standard', '33381-EP2274983A1', '33381-EP2305655A2', '33381-EP2311815A1', '33381-EP2371823A1', '014T181', 'C-13116', 'Q125986', 'J-019419', 'BRD-K34820100-001-02-1', 'Urea, 2-(5-tert-butyl-1,3,4-thiadiazol-2-yl)-1,3-dimethyl-', "N-[5-(1,1-Dimethylethyl)-1,3,4-thiadiazol-2-yl]-NN'-dimethylurea", "Pesticide2_Tebuthiuron_C9H16N4OS_Urea, N-[5-(1,1-dimethylethyl)-1,3,4-thiadiazol-2-yl]-N,N'-dimethyl-"]</t>
  </si>
  <si>
    <t>Compound(5383)</t>
  </si>
  <si>
    <t>C9H16N4OS</t>
  </si>
  <si>
    <t>tecnazene</t>
  </si>
  <si>
    <t>1,2,4,5-tetrachloro-3-nitrobenzene</t>
  </si>
  <si>
    <t>['TECNAZENE', '117-18-0', 'Tecnazen', '2,3,5,6-Tetrachloronitrobenzene', '1,2,4,5-Tetrachloro-3-nitrobenzene', 'Arena', 'Folosan', 'Fusarex', 'Myfusan', 'Hickstor', 'Turbostore', 'Easytec', 'Hystore', 'Nebulin', 'TCNB', 'Altritan', 'Bygran', 'Chipman 3,142', 'Fumite', 'Hytec', 'TETRACHLORONITROBENZENE', 'Teknazen', 'Fumite Techalin', 'New Hystore', 'Fusarex G', 'Fusarex T', 'Benzene, 1,2,4,5-tetrachloro-3-nitro-', 'Storite SS', 'Folosan (VAN)', '2,3,5,6-Tetrachloro-1-nitrobenzene', 'Folosan DB 905', 'Tecnazene [BSI:ISO]', 'Teknazen [Czech]', 'Tecnazen [German]', 'Caswell No. 831', 'Folosan DB-905', 'Tetrachloronitrobenzene (VAN)', 'Napotate', 'New hystor', 'UNII-02X6KNJ5EE', '2,3,5,6-Tetrachlor-1-nitrobenzol', '2,3,5,6-Tetrachlor-3-nitrobenzol', '2,3,5,6-TCNB', 'CCRIS 5939', 'Chipman 3142', 'Benzene, 3-nitro-1,2,4,5-tetrachloro-', 'HSDB 1772', 'EINECS 204-178-2', 'NSC 10235', 'EPA Pesticide Chemical Code 055201', 'BRN 1973805', '02X6KNJ5EE', 'AI3-22329', '2,3,5,6-Tetrachlor-1-nitrobenzol [German]', '2,3,5,6-Tetrachlor-3-nitrobenzol [German]', 'CHEBI:82044', 'Benzene, tetrachloronitro- (9CI)', 'NCGC00091759-02', '28804-67-3', 'Tecgran', 'Tubodust', 'Tubostore', 'Hystor', 'Quad store', 'Quad-keep', 'Tripart arena 6', 'New hickstor 6', 'Ashlade TCNB', 'Fumite TCNB', 'Fumite TCNB smoke', 'TCNB / Tecnazene', 'Hystor 10', 'Tripart arena granules', 'Tecnazene, BSI, ISO', 'DSSTox_CID_6098', 'DSSTox_RID_78016', 'DSSTox_GSID_26098', 'SCHEMBL64355', 'MLS002415680', '2,5,6-Tetrachloronitrobenzene', 'WLN: WNR BG CG EG FG', 'CHEMBL1420059', 'DTXSID0026098', '2,5,6-Tetrachlor-3-nitrobenzol', '1,4,5-Tetrachloro-3-nitrobenzene', '2,5,6-Tetrachloro-1-nitrobenzene', 'NSC10235', 'ZINC1706140', 'ZX-AT024110', 'EINECS 249-239-4', 'Tox21_400013', 'DB 905', 'LS-588', 'NSC 57595', 'NSC-10235', 'SBB057088', 'benzene, 2,3,5,6-tetrachloronitro-', '1-Nitro-2,3,5,6-tetrachlorobenzene', 'AKOS015889190', 'Benzene,2,4,5-tetrachloro-3-nitro-', 'Tecnazene 100 microg/mL in Isooctane', 'FCH1322717', 'MCULE-1748442211', 'Tecnazene 10 microg/mL in Cyclohexane', 'VZ34314', '1,2,4, 5-Tetrachloro-3-nitrobenzene', '1,2,4,5-Tetrachloro-3-nitro-Benzene', '2,3,5, 6-Tetrachloro-1-nitrobenzene', '3-Nitro-1,2,4,5-tetrachloro-Benzene', 'Benzene,1,2,4,5-tetrachloro-3-nitro-', 'NCGC00091759-01', 'NCGC00091759-03', 'CAS-117-18-0', 'SMR001253787', 'DB-041354', 'FT-0606239', 'NS00003436', 'ST50996830', 'Tecnazene, PESTANAL(R), analytical standard', '2,3,5, 6-Tetrachlor-3-nitrobenzol(GERMAN)', 'C18897', 'C-30910', 'J-003529', 'Q1642234', 'Tecnazene;tecnazene;Tecnazen;Tetrachloronitrobenzene', '1,2,4,5-Tetrachloro-3-nitrobenzene, Standard for quantitative NMR, TraceCERT(R)']</t>
  </si>
  <si>
    <t>Compound(8330)</t>
  </si>
  <si>
    <t>C6HCl4NO2</t>
  </si>
  <si>
    <t>methyl 4-[(3-methoxy-4-methyl-5-oxo-1,2,4-triazole-1-carbonyl)sulfamoyl]-5-methylthiophene-3-carboxylate</t>
  </si>
  <si>
    <t>['Thiencarbazone-methyl', '317815-83-1', 'Velocity', 'UNII-1MX00PIM4H', '1MX00PIM4H', 'Methyl 4-[(3-Methoxy-4-Methyl-5-Oxidanylidene-1,2,4-Triazol-1-Yl)carbonylsulfamoyl]-5-Methyl-Thiophene-3-Carboxylate', 'Thiencarbazone-methyl [ISO]', 'Capreno', 'Celsius', 'Adengo', 'Autumn', 'Corvus', 'Methyl 4-[(4,5-dihydro-3-methoxy-4-methyl-5-oxo-1H-1,2,4-triazol-1-yl)carbonylsulfamoyl]-5-methylthiophene-3-carboxylate', 'SCHEMBL114711', 'DTXSID0058275', 'CHEBI:145500', 'BYH 18636', 'ZINC38362799', 'methyl 4-[(3-methoxy-4-methyl-5-oxo-1,2,4-triazole-1-carbonyl)sulfamoyl]-5-methylthiophene-3-carboxylate', 'methyl 4-[[[(4,5-dihydro-3-methoxy-4-methyl-5-oxo-1h-1,2,4-triazol-1-yl)carbonyl]amino]sulfonyl]-5-methyl-3-thiophenecarboxylate', 'NS00005087', 'Q27252628', 'Thiencarbazone-methyl, PESTANAL(R), analytical standard', '3-[N-[(4,5-dihydro-3-methoxy-4-methyl-5-oxo-1H-1,2,4-triazole-1-yl)carbonyl]sulfamoyl]-2-methyl-4-thiophenecarboxylic acid methyl ester', '3-Thiophenecarboxylic acid, 4-[[[(4,5-dihydro-3-methoxy-4-methyl-5-oxo-1H-1,2,4-triazol-1-yl)carbonyl]amino]sulfonyl]-5-methyl-, methyl ester', '6R5', 'methyl 4-({[(3-methoxy-4-methyl-5-oxo-4,5-dihydro-1h-1,2,4-triazol-1-yl)carbonyl]amino}-sulfonyl)-5-methylthiophene-3-carboxylate', 'Methyl 4-[(3-methoxy-4-methyl-5-oxo-4,5-dihydro-1H-1,2,4-triazole-1-carbonyl)sulfamoyl]-5-methylthiophene-3-carboxylate', 'methyl 4-[(4,5-dihydro-3-methoxy-4-methyl-5-oxo-1H-1,2,4-triazol-1-yl)carboxamidosulfonyl]-5-methylthiophene-3-carboxylate', 'methyl 4-{[(3-methoxy-4-methyl-5-oxo-4,5-dihydro-1H-1,2,4-triazol-1-yl)carbonyl]sulfamoyl}-5-methylthiophene-3-carboxylate']</t>
  </si>
  <si>
    <t>Compound(11205153)</t>
  </si>
  <si>
    <t>C12H14N4O7S2</t>
  </si>
  <si>
    <t>N-[(3,5-dichloro-2,4-difluorophenyl)carbamoyl]-2,6-difluorobenzamide</t>
  </si>
  <si>
    <t>['Teflubenzuron', '83121-18-0', 'Calicide', 'Diaract', 'Tefluron', 'Nomolt', 'Dart', 'Teflubenzuron [BSI:ISO]', 'N-[(3,5-dichloro-2,4-difluorophenyl)carbamoyl]-2,6-difluorobenzamide', 'UNII-FS9P57VL74', '1-(3,5-Dichloro-2,4-difluorophenyl)-3-(2,6-difluorobenzoyl)urea', 'CME 134', 'HOE 522', 'OMS 3009', 'MK 139', 'AC 291898', 'MLS000756919', 'FS9P57VL74', '99039-56-2', 'CHEBI:39387', 'N-(((3,5-Dichloro-2,4-difluorophenyl)amino)carbonyl)-2,6-difluorobenzamide', 'Benzamide, N-(((3,5-dichloro-2,4-difluorophenyl)amino)carbonyl)-2,6-difluoro-', 'N-(((3,5-Dichloro-2,4-diflurophenyl)amino)carbonyl)-2,6-difluorobenzamide', 'Ektobann', 'N-{[(3,5-dichloro-2,4-difluorophenyl)amino]carbonyl}-2,6-difluorobenzamide', 'Benzamide, N-[[(3,5-dichloro-2,4-difluorophenyl)amino]carbonyl]-2,6-difluoro-', 'C14H6Cl2F4N2O2', 'DSSTox_CID_22440', 'DSSTox_RID_80025', 'DSSTox_GSID_42440', 'SCHEMBL26635', 'Cme 13406', 'CHEMBL1328219', 'DTXSID6042440', 'CTK5I0184', 'HMS2886B17', 'HY-B2055', 'ZINC1586252', 'Tox21_301448', 'NSC367306', 'AKOS015915472', 'N-[(3,5-dichloro-2,4-difluoro-phenyl)carbamoyl]-2,6-difluoro-benzamide', 'NSC-367306', 'NCGC00246803-01', 'NCGC00255875-01', 'Teflubenzuron 100 microg/mL in Methanol', 'AC-23993', 'LS-26331', 'P035', 'SMR000528992', 'CAS-83121-18-0', 'DB-056682', 'CS-0014148', 'FT-0641896', 'NS00009379', 'C18437', 'Teflubenzuron, PESTANAL(R), analytical standard', '121T180', 'A840507', 'C-24270', 'Q22808948', '3,5-dichloro-2,4-difluorophenyl) 3-(2,6-difluorobenzoyl)', 'N-(3,5-dichloro-2,4-difluorophenylcarbamoyl)-2,6-difluorobenzamide', "N-(2,4-Difluoro-3,5-dichlorophenyl)-N'-(2,6-difluorobenzoyl)-urea", 'N-[(3,5-dichloro-2,4-difluoroanilino)-oxomethyl]-2,6-difluorobenzamide', 'N-[[3,5-bis(chloranyl)-2,4-bis(fluoranyl)phenyl]carbamoyl]-2,6-bis(fluoranyl)benzamide', 'teflubenzuron;1-(3,5-Dichloro-2,4-difluoro-phenyl)-3-(2,6-difluoro-benzoyl)-urea']</t>
  </si>
  <si>
    <t>Compound(91734)</t>
  </si>
  <si>
    <t>C14H6Cl2F4N2O2</t>
  </si>
  <si>
    <t>(2,3,5,6-tetrafluoro-4-methylphenyl)methyl (1S,3S)-3-[(Z)-2-chloro-3,3,3-trifluoroprop-1-enyl]-2,2-dimethylcyclopropane-1-carboxylate</t>
  </si>
  <si>
    <t>['Tefluthrin', '79538-32-2', 'Force', 'Forza', 'Tefluthrin [BSI:ISO]', 'Tefluthrine [ISO-French]', 'HSDB 7135', 'PP993', 'EPA Pesticide Chemical Code 128912', 'C17H14ClF7O2', 'Demand', '(2,3,5,6-tetrafluoro-4-methylphenyl)methyl (1S,3S)-3-[(Z)-2-chloro-3,3,3-trifluoroprop-1-enyl]-2,2-dimethylcyclopropane-1-carboxylate', '(Z)-(1S)-cis-tefluthrin', 'BIDD:ER0633', 'SCHEMBL2740810', 'SCHEMBL4622567', 'CHEBI:78106', 'Cyclopropanecarboxylic acid, 3-((1Z)-2-chloro-3,3,3-trifluoro-1-propenyl)-2,2-dimethyl-, (2,3,5,6-tetrafluoro-4-methylphenyl)methyl ester, (1R,3R)-rel-', 'Cyclopropanecarboxylic acid, 3-(2-chloro-3,3,3-trifluoro-1-propenyl)-2,2-dimethyl-, (2,3,5,6-tetrafluoro-4-methylphenyl)methyl ester, (1-alpha,3-alpha(Z))-(+-)-', 'ZINC4098974', 'Tefluthrin 100 microg/mL in Cyclohexane', '2,3,5,6-tetrafluoro-4-methylbenzyl (Z)-(1RS)-cis-3-(2-chloro-3,3,3-trifluoroprop-1-enyl)-2,2-dimethylcyclopropanecarboxylate', 'AS-15253', 'O635', 'SC-75148', '538T322', 'Q424921', 'UNII-2HE8P42H2J component ZFHGXWPMULPQSE-SZGBIDFHSA-N', '(2,3,5,6-Tetrafluoro-4-methylphenyl)methyl ester (1-alpha,3-alpha(z))-(+-)-', '(+/-)-cis-4-Methyltetrafluorobenzyl 3-(2-chloro-3,3,3-trifluoro-prop-1-en-1-yl)-2,2-dimethylcyclopropane carboxylate', '(1r,3r)-rel-3-((1z)-2-Chloro-3,3,3-trifluoro-1-propenyl)-2,2-dimethylcyclopropanecarboxylic acid (2,3,5,6-tetrafluoro-4-methylphenyl)methyl ester', '(1S,3S)-2,3,5,6-tetrafluoro-4-methylbenzyl 3-((Z)-2-chloro-3,3,3-trifluoroprop-1-enyl)-2,2-dimethylcyclopropanecarboxylate', '2,3,5,6-tetrafluoro-4-methylbenzyl (1S,3S)-3-[(1Z)-2-chloro-3,3,3-trifluoroprop-1-en-1-yl]-2,2-dimethylcyclopropanecarboxylate', '2,3,5,6-tetrafluoro-4-methylbenzyl cis-3-((Z)-2-chloro-3,3,3-trifluoroprop-1-enyl)-2,2-dimethylcyclopropane carboxylate', '2,3,5,6-Tetrafluoro-4-methylbenzyl-(z)-(1rs,3rs)-3-(2-chloro-3,3,3-trifluoro-1-propenyl)-2,2-dimethylcyclopropanecarboxylate', '3alpha-[(Z)-2-Chloro-3,3,3-trifluoro-1-propenyl]-2,2-dimethyl-1alpha-cyclopropanecarboxylic acid 2,3,5,6-tetrafluoro-4-methylbenzyl ester', '4-methyl-2,3,5,6-tetrafluorobenzyl cis-3-((Z)-2-chloro-3,3.3-trifluoroprop-1-enyl)-2,2-dimethylcyclopropane carboxylate', 'Cyclopropanecarboxylic acid, 3-(2-chloro-3,3,3-trifluoro-1-propenyl)-2,2-dimethyl-, (2,3,5,6-tetrafluoro-4-methylphenyl)methyl ester, (1-alpha-3-alpha(z)-(+-)-']</t>
  </si>
  <si>
    <t>Compound(11534837)</t>
  </si>
  <si>
    <t>C17H14ClF7O2</t>
  </si>
  <si>
    <t>1,3,5,7,8,9,10,10-octachloro-4-oxatricyclo[5.2.1.02,6]dec-8-ene</t>
  </si>
  <si>
    <t>['ISOBENZAN', 'Telodrin', 'Omtan', '297-78-9', 'Shell 4402', 'Shell WL 1650', 'Preparation 948', 'Caswell No. 609', 'Isobenzan [ISO:BSI]', 'OMS 206', 'ENT 25,545-X', 'Bas-4402', 'ENT 25,545', 'SD 4402', 'WL 1650', 'Octachloro-hexahydro-methanoisobenzofuran', 'UNII-8IAN133486', 'CP 14,957', 'HSDB 6388', '4,7-Methanoisobenzofuran, 1,3,4,5,6,7,8,8-octachloro-1,3,3a,4,7,7a-hexahydro-', 'EINECS 206-045-4', 'R 6700', 'EPA Pesticide Chemical Code 058501', 'BRN 1292346', 'AI3-24880', 'AI3-25545', 'Octachlorohexahydro-4,7-methanoisobenzofuran', '1,3,4,5,6,7,10,10-Octachloro-4,7-endo-methylene-4,7,8,9-tetrahydrophthalan', '1,3,4,5,6,7,8,8-Octachloro-1,3,3a,4,7,7a-hexahydro-4,7-methanoisobenzofuran', '1,3,4,5,6,7,8,8-Octachloro-2-oxa-3a,4,7,7a-tetrahydro-4,7-methanoindene', '1,3,4,5,6,8,8-Octachloro-1,3,3a,4,7,7a-hexahydro-4,7-methanoisobenzofuran', '4,7-Methanoisobenzofuran, 1,3,4,5,6,7,8,8-octachloro-3a,4,7,7a-tetrahydro-', '8IAN133486', '1,3,4,5,6,7,10,10-Octachloro-4,7-endomethylene-4,7,8,9-tetrahydrophthalan', '1,3,4,5,6,7,8,8-Octachloro-4,7-methylene-3a,4,7,7a-tetrahydroisobenzofuran', '1,3,4,5,6,7,8,8-octachloro-1,3,3a,4,7,7a-hexahydro-4,7-methano-2-benzofuran', '4,7-Methanoisobenzofuran, 1,3,4,5,7,8,8-octachloro-1,3,3a,4,7,7a-hexahydro-', 'Telodrine', 'Telodrin;isobenzan', 'Telodrin (Isobenzan)', 'SCHEMBL119332', 'DTXSID3021306', 'CHEBI:82099', 'LS-7711', 'DB-047649', 'NS00022007', 'Telodrin, PESTANAL(R), analytical standard', 'C18960', 'J-017634', 'Q6085351', '(4R,7S)-1,3,4,5,6,7,8,8-octachloro-1,3,3a,4,7,7a-hexahydro-4,7-methano-2-benzofuran', 'Telodrin solution, 100 mug/mL in methanol, PESTANAL(R), analytical standard']</t>
  </si>
  <si>
    <t>Compound(9271)</t>
  </si>
  <si>
    <t>C9H4Cl8O</t>
  </si>
  <si>
    <t>2-[4-[[4-methyl-6-(1-methylbenzimidazol-2-yl)-2-propylbenzimidazol-1-yl]methyl]phenyl]benzoic acid</t>
  </si>
  <si>
    <t>['Telmisartan', '144701-48-4', 'Micardis', 'Pritor', 'BIBR 277', 'Kinzalmono', 'BIBR-277', "4'-((1,7'-Dimethyl-2'-propyl-1H,3'H-[2,5'-bibenzo[d]imidazol]-3'-yl)methyl)-[1,1'-biphenyl]-2-carboxylic acid", 'BIBR 277SE', 'Telmisattan', 'Telmisartan [INN]', 'UNII-U5SYW473RQ', "4'-[(1,7'-dimethyl-2'-propyl-1H,3'H-2,5'-bibenzimidazol-3'-yl)methyl]biphenyl-2-carboxylic acid", 'BIBR-277SE', 'BIBR-277-SE', '2-[4-[[4-methyl-6-(1-methylbenzimidazol-2-yl)-2-propylbenzimidazol-1-yl]methyl]phenyl]benzoic acid', 'CHEMBL1017', 'U5SYW473RQ', 'CHEBI:9434', "4'-((1,4'-dimethyl-2'-propyl(2,6'-bi-1H-benzimidazol)-1'-yl)methyl)-(1,1'-biphenyl)-2-carboxylic acid", "4'-((4-Methyl-6-(1-methyl-2-benzimidazolyl)-2-propyl-1-benzimidazolyl)methyl)-2-biphenylcarboxylic acid", 'C33H30N4O2', 'MFCD00918125', "[1,1'-Biphenyl]-2-carboxylic acid, 4'-[(1,4'-dimethyl-2'-propyl[2,6'-bi-1H-benzimidazol]-1'-yl)methyl]-", 'NCGC00095150-01', 'AK-72892', 'Targit', 'DSSTox_CID_3636', 'DSSTox_RID_77121', 'DSSTox_GSID_23636', "(1,1'-Biphenyl)-2-carboxylic acid, 4'-((1,4'-dimethyl-2'-propyl(2,6'-bi-1H-benzimidazol)-1'-yl)methyl)-", '2-[4-[[4-methyl-6-(1-methylbenzimidazol-2-yl)-2-propyl-benzimidazol-1-yl]methyl]phenyl]benzoic acid', "4'-[(1,4'-dimethyl-2'propyl[2,6'-bi-1H-benzimidazol]-1'-yl)methyl]-[1,1'-biphenyl]-2-carboxylic acid", "4'[(1,4'-DIMETHYL-2'-PROPYL[2,6'-BI-1H-BENZIMIDAZOL]-1'-YL)METHYL][1,1'-BIPHENYL]-2-CARBOXYLIC ACID", 'Q-101933', 'Kinzal', 'Tazlok', 'Kinzal/Pritor', 'Telmisartan [USAN:INN]', 'Micardis (TN)', '2-(4-{[4-methyl-6-(1-methyl-1H-1,3-benzodiazol-2-yl)-2-propyl-1H-1,3-benzodiazol-1-yl]methyl}phenyl)benzoic acid', "4'-((1,7'-DIMETHYL-2'-PROPYL-1H,3'H-2,5'-BIBENZO[D]IMIDAZOL-3'-YL)METHYL)BIPHENYL-2-CARBOXYLIC ACID", 'SMR000466326', 'CAS-144701-48-4', 'Bay 68-9291', 'SR-01000759355', 'HSDB 7590', "4'-[(1,4'-dimethyl-2'-propyl[2,6'-bi-1h-benzimidazol]-1'-yl)methyl]-[1,1'-biphenyl]-2-carboxylic acid", "4'-[[4-METHYL-6-(1-METHYL-2-BENZIMIDAZOLYL)-2-PROPYL-1-BENZIMIDAZOLYL]METHYL]-2-BIPHENYLCARBOXYLIC ACID", 'Telmisartan [USAN:USP:INN:BAN]', 'YM-086', 'BAY68-9291', 'PubChem14979', 'Telmisartan (Micardis)', 'CPD000466326', 'Spectrum2_001976', 'Spectrum3_001089', 'Spectrum4_001261', 'Spectrum5_001053', 'SCHEMBL4464', 'BSPBio_002738', 'GTPL592', 'KBioGR_001842', 'MLS000759432', 'MLS001076687', 'MLS001424174', 'MLS006011851', 'BIBR 277 SE', 'BIBR-277 SE', 'BIDD:GT0365', 'SPECTRUM1505261', 'SPBio_002131', 'Telmisartan (JP17/USP/INN)', 'DTXSID8023636', 'KBio3_001958', 'C09CA07', 'HMS1922P07', 'HMS2051P16', 'HMS2090P17', 'HMS2093M22', 'HMS2231P07', 'HMS3393P16', 'HMS3655C08', 'HMS3715L17', 'HMS3750E19', 'Pharmakon1600-01505261', 'ALBB-028954', 'BCP04513', 'KS-00000D1K', 'ZINC1530886', 'ZX-AN079767', 'Tox21_111452', 'BBL029085', 'BDBM50043280', 'BG0644', 'CCG-39514', 'DL-511', 'GP9498', 'NSC759811', 's1738', 'STK624049', 'AKOS005557501', 'Telmisartan, &gt;=98% (HPLC), solid', 'Tox21_111452_1', 'AB07687', 'AC-2013', 'AM90292', 'API0004337', 'CS-1699', 'DB00966', 'KS-1215', 'MCULE-8479555254', 'NC00296', 'NSC-759811', 'BAY-68-9291', 'NCGC00095150-02', 'NCGC00095150-03', 'NCGC00095150-04', 'NCGC00095150-06', 'NCGC00095150-07', 'NCGC00095150-08', "4'-((4-mehtyl-6-(1-methyl-2-benzimidazolyl)-2-propyl-1-benzimmidazolyl)methyl)-2-biphenylcarboxylic acid", "4'-[(1,7'-dimethyl-2'-propyl-1H,3'H-2,5'-bibenzimidazol-3'-yl)methyl][1,1'-biphenyl]-2-carboxylic acid", 'BR-72892', 'CC-34667', 'HY-13955', 'LS-44263', 'SC-12741', 'SY052776', 'BCP0726000055', 'SBI-0206733.P001', 'AB0012010', 'AX8018372', 'FT-0631170', 'FT-0674836', 'NS00000398', 'SW197676-3', 'T-170', 'C07710', 'D00627', 'J10282', 'S-2837', '66930-EP2270011A1', '66930-EP2272841A1', '66930-EP2277866A1', '66930-EP2277879A1', '66930-EP2295406A1', '66930-EP2295422A2', '66930-EP2298772A1', '66930-EP2298779A1', '66930-EP2301923A1', '66930-EP2301931A1', '66930-EP2301936A1', '66930-EP2305219A1', '66930-EP2305650A1', '66930-EP2308839A1', 'AB00639941-06', 'AB00639941-07', 'AB00639941_08', 'AB00639941_09', '701T484', 'A808270', 'C-23026', 'L001035', 'Q733186', 'SR-01000759355-4', 'SR-01000759355-5', 'BRD-K73999723-001-02-2', 'Z2210710360', 'Telmisartan, European Pharmacopoeia (EP) Reference Standard', 'Telmisartan, United States Pharmacopeia (USP) Reference Standard', 'Telmisartan, Pharmaceutical Secondary Standard; Certified Reference Material', 'Telmisartan for peak identification, European Pharmacopoeia (EP) Reference Standard', 'Telmisartan for system suitability, European Pharmacopoeia (EP) Reference Standard', '2-[4-[[4-methyl-6-(1-methyl-2-benzimidazolyl)-2-propyl-1-benzimidazolyl]methyl]phenyl]benzoic acid', '2-[4-[[4-methyl-6-(1-methylbenzimidazol-2-yl)-2-propylbenzimidazol-1-yl]methyl]phenyl]benzoic acid.', "4''-((1,4''-dimethyl-2''-propyl(2,6''-bi-1H-benzimidazol)-1''-yl)methyl)-(1,1''-biphenyl)-2-carboxylic acid", "4''-((4-methyl-6-(1-methyl-2-benzimidazolyl)-2-propyl-1-benzimidazolyl)methyl)-2-biphenylcarboxylic acid", "4''-[(1,4''-dimethyl-2''propyl[2,6''-bi-1H-benzimidazol]-1''-yl)methyl]-[1,1''-biphenyl]-2-carboxylic acid", "4''-[(1,7''-dimethyl-2''-propyl-1H,3''H-2,5''-bibenzimidazol-3''-yl)methyl][1,1''-biphenyl]-2-carboxylic acid", "4''-[(1,7''-dimethyl-2''-propyl-1H,3''H-2,5''-bibenzimidazol-3''-yl)methyl]biphenyl-2-carboxylic acid", "4'-((1,7'-Dimethyl-2'-propyl-1H,3'H-[2,5'-bibenzo[d]imidazol]-3'-yl)methyl)-[1,1'-biphenyl]-2-carbox", "4'-[(1,7'-Dimethyl-2'-propyl-1H,3'H-[2,5'-bibenzimidazol]-3'-yl)methyl][1,1'-biphenyl]-2-carboxylic acid", "4'-[[2-n-Propyl-4-methyl-6-(1-methylbenzimidazol-2-yl)-benzimidazol-1-yl]-methyl]-biphenyl-2-carboxylic acid", "4'-[[4-Methyl-6-(1-methyl-1H-benzimidazol-2-yl)-2-propyl-1H-benzimidazol-1-yl]methyl]biphenyl-2-carboxylic Acid", "4'-[2-n-propyl-4-methyl-6-(1-methyl benzimidazol-2-yl)benzimidazol-1-yl methyl]biphenyl-2-carboxylic acid", "4'-{[4-methyl-6-(1-methyl-1H-1,3-benzodiazol-2-yl)-2-propyl-1H-1,3-benzodiazol-1-yl]methyl}-[1,1'-biphenyl]-2-carboxylic acid", 'TLS']</t>
  </si>
  <si>
    <t>Compound(65999)</t>
  </si>
  <si>
    <t>C33H30N4O2</t>
  </si>
  <si>
    <t>2-[2-chloro-4-methylsulfonyl-3-(2,2,2-trifluoroethoxymethyl)benzoyl]cyclohexane-1,3-dione</t>
  </si>
  <si>
    <t>['Tembotrione', '335104-84-2', 'Tembotrione [ISO]', 'UNII-WA5UZ202KS', 'WA5UZ202KS', '2-(2-Chloro-4-(methylsulfonyl)-3-((2,2,2-trifluoroethoxy)methyl)benzoyl)cyclohexane-1,3-dione', '2-[2-chloro-4-(methylsulfonyl)-3-[(2,2,2-trifluoroethoxy)methyl]benzoyl]-1,3-cyclohexanedione', '2-{2-chloro-4-(methanesulfonyl)-3-[(2,2,2-trifluoroethoxy)methyl]benzoyl}cyclohexane-1,3-dione', '2-{2-Chloro-4-(methylsulfonyl)-3-[(2,2,2-trifluoroethoxy)methyl]benzoyl}-1,3-cyclohexanedione', 'HSDB 7881', '2-{2-chloro-4-(methylsulfonyl)-3-[(2,2,2-trifluoroethoxy)methyl]benzoyl}cyclohexane-1,3-dione', '2-[2-chloro-4-methylsulfonyl-3-(2,2,2-trifluoroethoxymethyl)benzoyl]cyclohexane-1,3-dione', 'DSSTox_CID_27037', 'DSSTox_RID_82058', 'DSSTox_GSID_47037', 'SCHEMBL116424', 'CHEMBL2272077', 'DTXSID5047037', 'CHEBI:132273', 'Tox21_302382', 'BDBM50264336', 'ZINC101175126', '2-{2-Chloro-4-mesyl-3-[(2,2,2-trifluoroethoxy)methyl]benzoyl}cyclohexane-1,3-dione', 'NCGC00256145-01', 'AS-56908', 'AE-0172747', 'CAS-335104-84-2', 'NS00000561', 'Tembotrione, PESTANAL(R), analytical standard', 'Q2372037', '2-{2-chloro-4-mesyl-3-[(2,2,2-trifluoroethoxy)methyl]benzoyl}cyclohexane-1,3-dione;1,3-Cyclohexanedione, 2-[2-chloro-4-(methylsulfonyl)-3-[(2,2,2-trifluoroethoxy)methyl]benzoyl]-', '2-{2-CHLORO-4-METHANESULFONYL-3-[(2,2,2-TRIFLUOROETHOXY)METHYL]BENZOYL}CYCLOHEXANE-1,3-DIONE']</t>
  </si>
  <si>
    <t>Compound(11556911)</t>
  </si>
  <si>
    <t>C17H16ClF3O6S</t>
  </si>
  <si>
    <t>[4-(4-dimethoxyphosphinothioyloxyphenyl)sulfanylphenoxy]-dimethoxy-sulfanylidene-lambda5-phosphane</t>
  </si>
  <si>
    <t>['temephos', 'Temefos', '3383-96-8', 'ABATE', 'Difos', 'Abathion', 'Biothion', 'Difenphos', 'Bithion', 'Nimitex', 'Nimitox', 'Procida', 'Swebate', 'Nephis 1G', 'Diphos (pesticide)', 'Tetrafenphos', 'Abaphos', 'Swebat', 'Abate 4-E', 'Lypor', 'Ecopro 1707', 'Caswell No. 845', 'American cyanamid CL-52160', 'Temeguard', 'Temefos [USAN:INN]', 'American cyanamid AC 52,160', 'Experimental insecticide 52160', 'Temefosum [INN-Latin]', 'UNII-ONP3ME32DL', 'American cyanamid E.I. 52,160', 'ENT 27,165', "Phosphorothioic acid, O,O'-(thiodi-4,1-phenylene) O,O,O',O'-tetramethyl ester", 'CCRIS 8942', 'HSDB 956', 'AC 52160', 'CL 52160', 'EI 52160', 'OMS 786', "O,O'-(Thiodi-p-phenylene) O,O,O',O'-tetramethyl bis(phosphorothioate)", 'EINECS 222-191-1', 'ONP3ME32DL', 'EPA Pesticide Chemical Code 059001', 'BRN 1896901', 'Temephos [ANSI:BSI:ISO]', 'AI3-27165', 'CHEBI:38954', "O,O'-(Thiodi-4,1-phenylene)bis(O,O-dimethyl phosphorothioate)", "O,O,O',O'-Tetramethyl O,O'-thiodi-p-phenylene diphosphorothioate", "O,O-Dimethyl phosphorothioate O,O-diester with 4,4'-thiodiphenol", "O,O,O',O'-Tetramethyl O,O'-thiodi-P-phenylene bis(phosphorothioate)", "Phenol, 4,4'-thiodi-, O,O-diester with O,O-dimethyl phosphorothioate", "O,O'-(Thiodi-4,1-phenylene)phosphorothioic acid O,O,O',O'-tetramethyl ester", "Phosphorothioic acid, O,O'-(thiodi-p-phenylene) O,O,O',O'-tetramethyl ester", 'Bis-p-(O,O-dimethyl O-phenylphosphorothioate)sulfide', "Tetramethyl O,O'-thiodi-p-phenylene phosphorothioate", 'NCGC00163910-02', "O,O'-(Thiodi-p-phenylene) O,O,O',O'-tetramethyl di(phosphorothioate)", "O,O'-(Thiodi-4,1-phenylene) O,O,O',O'-tetramethyl di(phosphorothioate)", "Phosphorothioic acid, O,O-dimethyl ester, O,O-diester with 4,4'-thiodiphenol", 'DSSTox_CID_12484', 'DSSTox_RID_78954', "Phosphorothioic acid, Op,Op'-(thiodi-4,1-phenylene) Op,Op,Op',Op'-tetramethyl ester", 'DSSTox_GSID_32484', 'Temefosum', "O,O,O',O'-tetramethyl O,O'-(sulfanediyldibenzene-4,1-diyl) bis(phosphorothioate)", "O,O,O',O'-tetramethyl O,O'-(sulfanediyldibenzene-4,1-diyl) bis(thiophosphate)", 'CAS-3383-96-8', 'Biothon', 'Temophos', 'Abat', 'C16H20O6P2S3', 'Temephos (Abate)', '[4-(4-dimethoxyphosphinothioyloxyphenyl)sulfanylphenoxy]-dimethoxy-sulfanylidene-?^{5}-phosphane', 'Temefos (USAN/INN)', 'SpecPlus_000546', 'Spectrum2_001873', 'Spectrum3_000853', 'Spectrum4_000693', 'SCHEMBL44105', 'BSPBio_002465', 'KBioGR_001185', 'Temephos, analytical standard', 'MLS002207187', 'DivK1c_006642', 'Abate(R), analytical standard', 'SPBio_001746', 'CHEMBL1355821', 'DTXSID1032484', 'KBio1_001586', 'KBio3_001965', 'Experimental Insecticide 52,160', 'HMS2091E03', 'Pharmakon1600-00330062', 'HY-B1120', 'Tox21_112075', 'Tox21_301778', 'CCG-39411', 'NSC755842', 'Temephos 10 microg/mL in Cyclohexane', 'AKOS026749997', 'Tox21_112075_1', 'ACM3383968', 'CS-4719', 'DB12231', 'NSC-755842', "Phosphorothioic acid, O,O'-(thiodi-p-phenylene) O,O,O',O'-tetramethyl ester (8CI)", 'NCGC00163910-01', 'NCGC00163910-03', 'NCGC00163910-05', 'NCGC00255338-01', 'O510', 'SMR001253941', 'SBI-0052547.P003', 'DB-048501', 'LS-108790', 'FT-0603637', 'NS00007937', 'Temephos, PESTANAL(R), analytical standard', 'C18809', 'D06062', 'AB00053055_04', '383T968', 'C-22658', 'Q417958', 'SR-05000001982', 'J-019338', 'SR-05000001982-1', "Tetramethyl-O,O'-thiodi-p-phenylene phosphorothioate", "o,o,o',o'-tetramethyl o,o'-thiodi-p-phenylene phosphorothioate", "O,O'-(thiodi-4,1-phenylene) bis(O,O-dimethyl phosphorothioate)", "O,O,O',O'-Tetramethyl O,O'-(Thiodi-p-phenylene) phosphorothioate", "O,O,O',O'-tetramethyl O,O'-(thiodi-4,1-phenylene) bis(thiophosphate)", "O,O,O',O'-tetramethyl O,O'-4,4'-thiobis(4,1-phenylene) diphosphorothioate", "O,O,O',O'-tetramethyl O,O'-(sulfanediyldi-4,1-phenylene) bis(phosphorothioate)", '[4-(4-dimethoxyphosphinothioyloxyphenyl)sulfanylphenoxy]-dimethoxy-sulfanylidene-$l^{5-phosphane', 'O-[4-((4-[(Dimethoxyphosphorothioyl)oxy]phenyl)sulfanyl)phenyl] O,O-dimethyl thiophosphate #', "Pesticide1_Temephos_C16H20O6P2S3_O,O,O',O'-Tetramethyl O,O'-(sulfanediyldi-4,1-phenylene) bis(phosphorothioate)"]</t>
  </si>
  <si>
    <t>Compound(5392)</t>
  </si>
  <si>
    <t>C16H20O6P2S3</t>
  </si>
  <si>
    <t>7-chloro-3-hydroxy-1-methyl-5-phenyl-3H-1,4-benzodiazepin-2-one</t>
  </si>
  <si>
    <t>['temazepam', 'Restoril', 'Hydroxydiazepam', 'Methyloxazepam', 'Levanxol', 'Oxydiazepam', 'Levanxene', 'Crisonar', 'Euhypnos', 'Signopam', 'N-Methyloxazepam', 'Mabertin', 'Normison', 'Remestan', 'Planum', '3-Hydroxydiazepam', '846-50-4', 'Cerepax', 'Euipnos', 'Temaz', 'Tenox', 'Nocturne', 'Normitab', 'Temtabs', 'Dasuen', 'Nortem', 'Norkotral Tema', 'temazep von ct', 'Pronervon T', 'Temazepamum', 'Nomapam', 'Temador', 'Lenal', 'Uvamin Retard', 'Wy-3917', 'Neodorm SP', 'ER 115', 'Temazepamum [INN-Latin]', 'Ro 5-5345', 'WY 3917', 'K-3917', '2H-1,4-Benzodiazepin-2-one, 7-chloro-1,3-dihydro-3-hydroxy-1-methyl-5-phenyl-', 'NSC 246303', 'Temazepam, pharmaceutical grade', 'CCRIS 1954', '7-chloro-3-hydroxy-1-methyl-5-phenyl-3H-1,4-benzodiazepin-2-one', 'K3917', 'EINECS 212-688-1', 'BRN 0759300', '1,3-Dihydro-7-chloro-3-hydroxy-1-methyl-5-phenyl-2H-1,4-benzodiazepin-2-one', 'CHEBI:9435', 'DEA No. 2925', '7-Chloro-3-hydroxy-1-methyl-5-phenyl-1,3-dihydro-2H-1,4-benzodiazepin-2-one', 'NSC-246303', 'NCGC00159440-02', 'Gelthix', 'Levanzene', 'Perdorm', 'DSSTox_CID_1309', 'DSSTox_RID_76071', 'DSSTox_GSID_21309', 'Strazepam', '7-chloro-3-hydroxy-1-methyl-5-phenyl-2,3-dihydro-1H-1,4-benzodiazepin-2-one', 'Restoril (TN)', 'CAS-846-50-4', 'Temazepam [USAN:INN:BAN]', 'Temazepam (USP/INN)', 'SaH 47-603', 'Ro-5-5345', 'themazepam', 'Temazepam civ', 'Temazepam [USAN:USP:INN:BAN]', 'Diazepam, 3-hydroxy', 'WY 2917', 'CHEMBL967', 'SCHEMBL29463', '5-25-02-00242 (Beilstein Handbook Reference)', 'MLS003899242', 'DivK1c_000989', 'Temazepam, analytical standard', 'GTPL7300', 'DTXSID8021309', 'HMS503E19', 'KBio1_000989', 'NINDS_000989', 'Temazepam 1.0 mg/ml in Methanol', 'Tox21_111670', 'Tox21_200044', 'BDBM50408032', 'NSC246303', 'CCG-213642', 'DB00231', 'LS-7712', 'Ro-5-5354', 'IDI1_000989', 'NCGC00159440-03', 'NCGC00257598-01', 'SMR000238146', 'WLN: T67 GNV JN IHJ CG G1 IQ KR', 'NS00010416', 'NS00099229', 'C07125', 'D00370', 'AB01563160_01', 'Q414796', 'Temazepam, British Pharmacopoeia (BP) Reference Standard', '2H-1, 7-chloro-1,3-dihydro-3-hydroxy-1-methyl-5-phenyl-', 'Temazepam, United States Pharmacopeia (USP) Reference Standard', 'Temazepam; T8275_Sigma; Divk1c_000989; Ninds_000989', '1-methyl-7-chloro-3-hydroxy-5-phenyl-1,3-dihydro-2H-1,4-benzodiazepine-2-one', '2H-1,4-Benzodiazepin-2-one, 1,3-dihydro-7-chloro-3-hydroxy-1-methyl-5-phenyl-', '3-hydroxy-1,3-dihydro-1-methyl-7-chloro-5-phenyl-2H-1,4-benzodiazepin-2-one', '7-Chloro-3-hydroxy-1-methyl-5-phenyl-1,3-dihydro-2H-1,4-benzodiazepin-2-one #', 'Temazepam solution, 1.0 mg/mL in methanol, ampule of 1 mL, certified reference material']</t>
  </si>
  <si>
    <t>Compound(5391)</t>
  </si>
  <si>
    <t>C16H13ClN2O2</t>
  </si>
  <si>
    <t>2-[(E)-N-[(E)-3-chloroprop-2-enoxy]-C-ethylcarbonimidoyl]-3-hydroxy-5-(oxan-4-yl)cyclohex-2-en-1-one</t>
  </si>
  <si>
    <t>['Tepraloxydim', '149979-41-9', 'CHEBI:81816', 'Neto', 'E-Tepraloxydim', '2-Cyclohexen-1-one, 2-(1-(((3-chloro-2-propenyl)oxy)imino)propyl)-3-hydroxy-5-(tetrahydro-2H-p', 'Tepraloxydim Peak 1', 'DSSTox_CID_14252', 'DSSTox_RID_79131', 'DSSTox_GSID_34252', 'SCHEMBL54537', 'SCHEMBL336828', 'Tox21_301109', 'MFCD03792787', 'NCGC00163957-01', 'NCGC00163957-02', 'NCGC00163957-03', 'NCGC00255009-01', 'LS-57560', 'trans-2-[1-(3-Chloroallyloxyimino)propyl]-3-hydroxy-5-(tetrahydro-2H-pyran-4-yl)-2-cyclohexen-1-one', 'CAS-149979-41-9', 'C18540', 'Tepraloxydim, PESTANAL(R), analytical standard', 'C-20367', '2-[(1E)-N-{[(2E)-3-chloroprop-2-en-1-yl]oxy}propanimidoyl]-3-hydroxy-5-(tetrahydro-2H-pyran-4-yl)cyclohex-2-en-1-one', '2-[1-(3-Chloro-2-propenyloxyimino)propyl]-3-hydroxy-5-(tetrahydro-2H-pyran-4-yl)-2-cyclohexene-1-one']</t>
  </si>
  <si>
    <t>Compound(135585373)</t>
  </si>
  <si>
    <t>C17H24ClNO4</t>
  </si>
  <si>
    <t>terbuthylazine</t>
  </si>
  <si>
    <t>2-N-tert-butyl-6-chloro-4-N-ethyl-1,3,5-triazine-2,4-diamine</t>
  </si>
  <si>
    <t>['Terbuthylazine', '5915-41-3', 'Terbutylazine', 'Gardoprim', 'TERBUTYLETHYLAZINE', 'Terbutazine', 'ChlorCaragard', 'Primatol M', "1,3,5-Triazine-2,4-diamine, 6-chloro-N-(1,1-dimethylethyl)-N'-ethyl-", 'Sorgoprim', 'Gardeprim A 1862', 'Primatol-M80', 'Caswell No. 125B', 'Turbulethylazin [German]', 'N2-tert-Butyl-6-chloro-N4-ethyl-1,3,5-triazine-2,4-diamine', 'GS 13529', 'UNII-M095B391J7', 'HSDB 6148', 'Terbuthylazine [ANSI:BSI:ISO]', 'EINECS 227-637-9', 'G 13529', 'EPA Pesticide Chemical Code 080814', 'N2-(tert-Butyl)-6-chloro-N4-ethyl-1,3,5-triazine-2,4-diamine', '2-tert-Butylamino-4-chloro-6-ethylamino-s-triazine', 's-Triazine, 2-(tert-butylamino)-4-chloro-6-(ethylamino)-', 'CHEBI:30263', '2-Chloro-4-ethylamino-6-tert-butylamino-s-triazine', 'M095B391J7', '2-Chloro-4-(Ethylamino)-6-(tert-butylamino)-s-triazine', '2-tert-Butylamino-4-chloro-6-ethylamino-1,3,5-triazine', '2-N-tert-butyl-6-chloro-4-N-ethyl-1,3,5-triazine-2,4-diamine', '2-tert.Butylamino-4-aethylamino-6-chlor-1,3,5-triazin [German]', 'N2-tert-Butyl-6-chloro-N4-ethyl-1,3,5-triazine-2,4-diyldiamine', '1,3,5-Triazine-2,4-diamine, 6-chloro-N2-(1,1-dimethylethyl)-N4-ethyl-', '2-(tert-Butylamino)-4-chloro-6-(ethylamino)-s-triazine', 'Turbulethylazin', 'Terbuthylazine, analytical standard', 'Tyllanex', "N-(tert-butyl)-6-chloro-N'-ethyl-1,3,5-triazine-2,4-diamine", 'Terbuthylazin', 'Terbutylazin', 'TERBA / Terbuthylazine', 'Terbuthylazine (TERBA)', 'DSSTox_CID_7608', 'DSSTox_RID_78528', 'DSSTox_GSID_27608', 'Oprea1_227521', 'Oprea1_770830', 'SCHEMBL23642', '2-Chloro-4-tert-butylamino-6-ethylamino-s-triazine', '2-Chloro-4-tert-butylamino-6-ethylamino-1,3,5-triazine', '2-tert.Butylamino-4-aethylamino-6-chlor-1,3,5-triazin', 'CHEMBL1888237', 'DTXSID4027608', 'CTK6F2238', 'KS-00001FCC', 'ZINC163706', 'HY-B1847', 'Tox21_300590', "6-Chloro-N-(1,1-dimethylethyl)-N'-ethyl-1,3,5-triazine-2,4-diamine (9CI)", 'AKOS000617905', 's-Triazine, 2-(tert-butylamino)-4-chloro-6-(ethylamino)- (7CI)(8CI)', 'CCG-299675', 'CS-5179', 'VA11846', 'NCGC00160618-01', 'NCGC00160618-02', 'NCGC00160618-03', 'NCGC00254413-01', 'Terbuthylazine 100 microg/mL in Acetone', 'AS-15126', 'O179', 'CAS-5915-41-3', 'LS-155162', 'Terbuthylazine 10 microg/mL in Acetonitrile', 'FT-0603683', 'NS00000258', 'ST51048531', 'Terbuthylazine 100 microg/mL in Acetonitrile', 'C18810', '33281-EP2305655A2', '33281-EP2311815A1', '33281-EP2371823A1', '915T413', 'A832186', 'Q411435', 'SR-01000317111', 'Terbuthylazine, PESTANAL(R), analytical standard', 'SR-01000317111-1', '2-t-Butylamino-4-chloro-6-ethylamino-1,3,5-triazine', 'Terbuthylazine, certified reference material, TraceCERT(R)', "N-tert-Butyl-6-chloro-N'-ethyl-[1,3,5]triazin-2,4-diamin", "N-tert-Butyl-6-chloro-N'-ethyl-[1,3,5]triazin-2,4-diamine", "N-tert-butyl-6-chloro-N'-ethyl-1,3,5-triazine-2,4-diamine", 's-Triazine, 2-chloro-4-ethylamino-6-(1,1-dimethylethyl)amino', '(tert-butyl)[4-chloro-6-(ethylamino)(1,3,5-triazin-2-yl)]amine', 'N~2~-tert-Butyl-6-chloro-N~4~-ethyl-1,3,5-triazine-2,4-diamine', 'N2-(tert-Butyl)-N4-ethyl-6-chloro-1,3,5-triazine-2,4-diamine', 'N2-tert-butyl-6-chloranyl-N4-ethyl-1,3,5-triazine-2,4-diamine', 's-Triazine, 2-(tert-butylamino)-4-chloro-6-(ethylamino)- (7CI)', "6-Chloro-N-(1,1-dimethylethyl)-N'-ethyl-1,3,5-triazine-2,4-diamine", "6-Chloro-N-ethyl-N'-(2-methyl-2-propanyl)-1,3,5-triazine-2,4-diamine", 'Terbuthylazin solution, 100 ng/muL in methanol, PESTANAL(R), analytical standard']</t>
  </si>
  <si>
    <t>Compound(22206)</t>
  </si>
  <si>
    <t>3-tert-butyl-5-chloro-6-methyl-1H-pyrimidine-2,4-dione</t>
  </si>
  <si>
    <t>['TERBACIL', 'Turbacil', '5902-51-2', 'Geonter', 'Sinbar', '3-tert-Butyl-5-chloro-6-methyluracil', 'Compound 732', 'Du Pont 732', 'Du Pont herbicide 732', 'Experimental herbicide 732', 'Caswell No. 821A', 'Uracil, 3-tert-butyl-5-chloro-6-methyl-', 'Terbacil [ANSI:BSI:ISO]', '5-Chloro-3-tert-butyl-6-methyluracil', 'UNII-S0017J6E25', 'HSDB 1418', '2,4(1H,3H)-Pyrimidinedione, 5-chloro-3-(1,1-dimethylethyl)-6-methyl-', '3-t-Butyl-5-chloro-6-methyluracil', 'EINECS 227-595-1', '3-tert.Butyl-5-chlor-6-methyluracil', 'EPA Pesticide Chemical Code 012701', 'BRN 0643054', '3-tert-butyl-5-chloro-6-methyl-1H-pyrimidine-2,4-dione', 'CHEBI:9447', '3-tert-butyl-5-chloro-6-methylpyrimidine-2,4(1H,3H)-dione', '3-tert.Butyl-5-chlor-6-methyluracil [German]', '3-tert-butyl-5-chloro-6-methyl-1,2,3,4-tetrahydropyrimidine-2,4-dione', '5-Chloro-3-(1,1-dimethylethyl)-6-methyl-2,4(1H,3H)-pyrimidinedione', 'S0017J6E25', '3-(tert-Butyl)-5-chloro-6-methylpyrimidine-2,4(1H,3H)-dione', 'DSSTox_CID_4317', 'DSSTox_RID_77366', 'DSSTox_GSID_24317', 'CAS-5902-51-2', 'Herbicide 732', 'ChemDiv2_000511', 'Sinbar 80W (Salt/Mix)', 'SCHEMBL53799', '5-24-07-00036 (Beilstein Handbook Reference)', 'DPX-D732', 'CHEMBL1901822', 'DTXSID8024317', 'CTK8E4504', 'HMS1370H05', 'ZINC240079', 'Terbacil 10 microg/mL in Isooctane', 'Tox21_201244', 'Tox21_300831', 'STK874197', 'AKOS001022252', 'MCULE-7805345996', 'NCGC00163865-01', 'NCGC00163865-02', 'NCGC00163865-03', 'NCGC00163865-04', 'NCGC00163865-05', 'NCGC00254735-01', 'NCGC00258796-01', 'LS-158582', 'NS00009250', 'Terbacil, PESTANAL(R), analytical standard', 'C10963', '902T512', 'SR-01000445711', 'Q2404316', 'SR-01000445711-1', 'Z56754343', '3-tert-butyl-5-chloranyl-6-methyl-1H-pyrimidine-2,4-dione', '5-Chloro-3-(1,1-dimethylethyl)-6-methyl-pyrimidinedione', '3-tert-Butyl-5-chloro-6-methyl-2,4(1H,3H)-pyrimidinedione #', '5-Chloro-6-methyl-3-(2-methyl-2-propanyl)-2,4(1H,3H)-pyrimidinedione']</t>
  </si>
  <si>
    <t>Compound(22188)</t>
  </si>
  <si>
    <t>C9H13ClN2O2</t>
  </si>
  <si>
    <t>terbufos sulfoxide</t>
  </si>
  <si>
    <t>tert-butylsulfinylmethylsulfanyl-diethoxy-sulfanylidene-lambda5-phosphane</t>
  </si>
  <si>
    <t>['TERBUFOS SULFOXIDE', 'Terbufos-sulfoxide', '10548-10-4', 'Phosphorodithioic acid, S-[((1,1-dimethylethyl)sulfinyl)methyl] O,O-diethyl ester', 'Phosphorodithioic acid, S-(((1,1-dimethylethyl)sulfinyl)methyl) O,O-diethyl ester', 'SCHEMBL1258449', 'DTXSID6042444', 'Terbufos-sulfoxide;Terbufos sulfoxide', 'Phosphorodithioic acid,S-[[(1,1-dimethylethyl)sulfinyl]methyl] O,O-diethyl ester', 'NS00004706', 'J-001432', 'Q27293519', 'Terbufos-sulfoxide, PESTANAL(R), analytical standard', 'tert-butylsulfinylmethylsulfanyl-diethoxy-sulfanylidene-?^{5}-phosphane', 'diethyl {[(2-methylpropane-2-sulfinyl)methyl]sulfanyl}(sulfanylidene)phosphonite']</t>
  </si>
  <si>
    <t>Compound(25355)</t>
  </si>
  <si>
    <t>C9H21O3PS3</t>
  </si>
  <si>
    <t>tert-butylsulfanylmethylsulfanyl-diethoxy-sulfanylidene-lambda5-phosphane</t>
  </si>
  <si>
    <t>['TERBUFOS', 'Counter', '13071-79-9', 'Contraven', 'Aragran', 'Counter 15G soil insecticide', 'Caswell No. 131A', 'AC 92100', 'UNII-M83BN0F8R9', 'ENT 27920', 'Terbufos [ANSI:BSI:ISO]', 'Counter 15G', 'Counter 15G soil insecticide-nematicide', 'CCRIS 4772', 'AI3-27920', 'HSDB 6444', 'St-100', 'EINECS 235-963-8', 'EPA Pesticide Chemical Code 105001', 'BRN 1710115', 'Phosphorodithioic acid S-((tert-butylthio)methyl) O,O-diethyl ester', 'S-tert-Butylthiomethyl O,O-diethylphosphorodithioate', 'S-tert-Butylthiomethyl O,O-diethyl phosphorodithioate', 'M83BN0F8R9', 'CHEBI:38960', 'S-(((1,1-Dimethylethyl)thio)methyl)-O,O-diethyl phosphorodithioate', 'S-t-Butylthio-methyl-O,O-diethyl phosphorodithioate', 'Phosphorodithioic acid, S-[[(1,1-dimethylethyl)thio]methyl] O,O-diethyl ester', 'S-((tert-Butylthio)methyl)O,O-diethylphosphorodithioate', 'S-[(tert-butylsulfanyl)methyl] O,O-diethyl phosphorodithioate', 'S-(((1,1-Dimethylethyl)thio)methyl) O,O-diethyl phosphorodithioate', 'DSSTox_CID_2254', 'Phosphorodithioic acid, S-[(tert-butylthio)methyl] O,O-diethyl ester', 'Phosphorodithioic acid S-(((1,1-dimethylethyl)thio)methyl) O,O-diethyl ester', 'Phosphorodithioic acid, O,O-diethyl S-(((1,1-dimethylethyl)thio)methyl) ester', 'DSSTox_RID_76530', 'DSSTox_GSID_22254', 'O,O-Diethyl S-(Tert-butylthio)methyl phosphorodithioate', 'S-[(tert-butylthio)methyl] O,O-diethyl dithiophosphate', 'S-[(tert-Butylsulfanyl)methyl] o,o-diethyl dithiophosphate', 'O,O-diethyl S-(((1,1-dimethylethyl)thio)methyl)phoshorodithioate', 'Phosphorodithioic acid, S-(((1,1-dimethylethyl)thio)methyl) O,O-diethyl ester', 'CAS-13071-79-9', 'Cyanater', 'terbufos;Terbufos', 'tert-butylsulfanylmethylsulfanyl-diethoxy-sulfanylidene-?^{5}-phosphane', 'Terbufos (counter)', 'SCHEMBL23773', '4-01-00-03092 (Beilstein Handbook Reference)', 'CHEMBL1406292', 'DTXSID2022254', 'Tox21_201634', 'Tox21_302994', 'LS-734', 'Terbufos 10 microg/mL in Cyclohexane', 'AKOS016014230', 'Terbufos 10 microg/mL in Acetonitrile', 'Terbufos 100 microg/mL in Acetonitrile', 'NCGC00091771-01', 'NCGC00091771-02', 'NCGC00091771-03', 'NCGC00256426-01', 'NCGC00259183-01', 'O,O-Diethyl-S-1,1-dimethylethylthiomethyl', 'NS00009904', 'Terbufos, PESTANAL(R), analytical standard', 'C18693', '31358-EP2274983A1', '31358-EP2275422A1', '31358-EP2292608A1', '31358-EP2305662A1', '31358-EP2308857A1', '31358-EP2308858A1', '31358-EP2311816A1', '31358-EP2311817A1', '(tert-butylthio)methyl O,O-diethyl dithiophosphate', '071T799', 'J-005860', 'Q2404344', 'S-[(tert-Butylthio)methyl] O,O-diethyl phosphorodithioate', 'S-[(tert-Butylsulfanyl)methyl] O,O-diethyl dithiophosphate #', 'O,O-Diethyl S-[[(1,1-dimethylethyl)thio]methyl] phosphorodithioate', 'S-[[(1,1-Dimethylethyl)thio]methyl] O,O-diethyl phoshporodithioate', 'diethyl {[(tert-butylsulfanyl)methyl]sulfanyl}(sulfanylidene)phosphonite', 'O,O-DIETHYL S-(((1,1-DIMETHYLETHYL)THIO)METHYL) PHOSHORODITHIOATE', 'Methanethiol, (tert-butylthio)-, S-ester with O,O-diethyl phosphorodithioate']</t>
  </si>
  <si>
    <t>Compound(25670)</t>
  </si>
  <si>
    <t>C9H21O2PS3</t>
  </si>
  <si>
    <t>terbufos sulfone</t>
  </si>
  <si>
    <t>tert-butylsulfonylmethylsulfanyl-diethoxy-sulfanylidene-lambda5-phosphane</t>
  </si>
  <si>
    <t>['TERBUFOS SULFONE', 'Terbufos-sulfone', '56070-16-7', 'UNII-U2V9FRY9P2', 'U2V9FRY9P2', 'Phosphorodithioic acid, S-[(1,1-dimethylethyl)sulfonylmethyl] O,O-diethyl ester', 'tert-butylsulfonylmethylsulfanyl-diethoxy-sulfanylidene-?^{5}-phosphane', 'Phosphorodithioic acid, S-((1,1-dimethylethyl)sulfonylmethyl) O,O-diethyl ester', 'DSSTox_CID_22443', 'DSSTox_GSID_42443', 'SCHEMBL5933954', 'CHEMBL3560248', 'DTXSID1042443', 'Terbufos-sulfone;Terbufos sulfone', 'Tox21_304046', 'NCGC00357253-01', 'AC-94320', 'CAS-56070-16-7', 'NS00001573', 'Terbufos-sulfone 1000 microg/mL in Acetone', 'Terbufos-sulfone, PESTANAL(R), analytical standard', 'Q27290604', 'O,O-diethyl S-(tert-butylsulfonyl)methyl Phosphorodithioate', 'S-[(tert-Butylsulfonyl)methyl] O,O-diethyl dithiophosphate #', 'Phosphorodithioic acid, S-(((1,1-dimethyethyl)sulfonyl)methyl) O,O-diethyl ester']</t>
  </si>
  <si>
    <t>Compound(41718)</t>
  </si>
  <si>
    <t>C9H21O4PS3</t>
  </si>
  <si>
    <t>2-N-tert-butyl-4-N-ethyl-6-methoxy-1,3,5-triazine-2,4-diamine</t>
  </si>
  <si>
    <t>['TERBUMETON', 'Terbuthylon', '33693-04-8', 'Caragard', 'Karagard', 'Terbutone', 'Tribunil G 14259', 'Terbumeton [BSI:ISO]', 'GS 14259', 'EINECS 251-637-8', 'A 2591', 'UNII-8Q68893703', 'BRN 0520400', '2-tert-Butylamino-4-ethylamino-6-methoxy-s-triazine', "1,3,5-Triazine-2,4-diamine, N-(1,1-dimethylethyl)-N'-ethyl-6-methoxy-", '2-tert-Butylamino-4-ethylamino-6-methoxy-1,3,5-triazine', 's-Triazine, 2-(tert-butylamino)-4-(ethylamino)-6-methoxy-', 'N2-tert-Butyl-N4-ethyl-6-methoxy-1,3,5-triazine-2,4-diamine', '2-Methoxy-4-tert-butylamino-6-aethylamino-s-triazin', '2-Methoxy-4-tert-butylamino-6-aethylamino-s-triazin [German]', '1,3,5-Triazine-2,4-diamine, N2-(1,1-dimethylethyl)-N4-ethyl-6-methoxy-', '8Q68893703', 's-Triazine, 2-tert-butylamino-4-ethylamino-6-methoxy-', "N-(1,1-Dimethylethyl)-N'-ethyl-6-methoxy-1,3,5-triazine-2,4-diamine", 'Terbumetone', '4-N-tert-butyl-2-N-ethyl-6-methoxy-1,3,5-triazine-2,4-diamine', '2-N-tert-butyl-4-N-ethyl-6-methoxy-1,3,5-triazine-2,4-diamine', 'DSSTox_CID_22445', 'DSSTox_GSID_42445', 'Oprea1_285885', 'Oprea1_325705', 'SCHEMBL66492', 'CHEMBL3560827', 'DTXSID1042445', 'CHEBI:81947', 'ZINC350642', 'Tox21_303900', 'Terbumeton 10 microg/mL in Methanol', "N-(1,1-Dimethylethyl)-N'-ethyl-6-methoxy-1,3,5-triazine-2,4-diamine (9CI)", 'ACM33693048', 'Terbumeton 10 microg/mL in Cyclohexane', 'NCGC00357154-01', 'BC4157689', 'CAS-33693-04-8', 'LS-155171', 'NS00000293', 'Terbumeton, PESTANAL(R), analytical standard', 'C18768', 'Q1650548', 's-Triazine, 2-ethylamino-4-tert-butylamino-6-methoxy', '2-(tert-butylamino)-4-(ethylamino)-6-methoxy-s--triazine', "N-tert-Butyl-N'-ethyl-6-methoxy-[1,3,5]triazin-2,4-diamin", "N-tert-Butyl-N'-ethyl-6-methoxy-[1,3,5]triazin-2,4-diamine", "N-tert-butyl-N'-ethyl-6-methoxy-1,3,5-triazine-2,4-diamine", 'N(2)-tert-butyl-N(4)-ethyl-6-methoxy-1,3,5-triazine-2,4-diamine', 'N~2~-tert-Butyl-N~4~-ethyl-6-methoxy-1,3,5-triazine-2,4-diamine', '2-Amino-4-tert-butylamino-ethyl-6-methoxy-1,3,5-triazine-2,4-diamine', "N-Ethyl-6-methoxy-N'-(2-methyl-2-propanyl)-1,3,5-triazine-2,4-diamine"]</t>
  </si>
  <si>
    <t>Compound(36584)</t>
  </si>
  <si>
    <t>5-[2-(tert-butylamino)-1-hydroxyethyl]benzene-1,3-diol</t>
  </si>
  <si>
    <t>['terbutaline', 'Terbutalin', '23031-25-6', 'Brican', 'Brethine', 'Bricanyl', 'Bricaril', 'Brethaire', 'Bricar', 'Bricyn', 'Terbutalinum', 'Terbutalina [DCIT]', 'Terbutalina', 'Terbutaline sulfate', '5-[2-(tert-butylamino)-1-hydroxyethyl]benzene-1,3-diol', 'Terbutalinum [INN-Latin]', 'Terbutalino [INN-Spanish]', '(+-)-Terbutaline', 'Terbutaline [INN:BAN]', 'KWD 2019', 'KWD-2019', 'TERBUTALINE HEMISULFATE', '5-(2-(tert-Butylamino)-1-hydroxyethyl)benzene-1,3-diol', 'EINECS 245-385-8', 'BRN 2370513', '5-(2-((1,1-DIMETHYLETHYL)AMINO)-1-HYDROXYETHYL)-1,3-BENZENEDIOL', 'CHEBI:9449', '(+-)-5-(2-((1,1-Dimethylethyl)amino)-1-hydroxyethyl)-1,3-benzenediol', 'Terbutalino', '5-{2-[(1,1-dimethylethyl)amino]-1-hydroxyethyl}benzene-1,3-diol', '1,3-Benzenediol, 5-(2-((1,1-dimethylethyl)amino)-1-hydroxyethyl)-', '1,3-Benzenediol, 5-[2-[(1,1-dimethylethyl)amino]-1-hydroxyethyl]-', '1,3-Benzenediol, 5-(2-((1,1-dimethylethyl)amino)-1-hydroxyethyl)-, (+-)-', '46719-29-3', 'Benzyl alcohol, alpha-((t-butylamino)methyl)-3,5-dihydroxy-', 'Asthmasian (TN)', 'Terbutaline (INN)', 'SR-01000000174', 'Bricanyl (Salt/Mix)', 'Terbutaline,(+/-)', 'Brethaire (Salt/Mix)', 'Spectrum_001030', 'Aerodur; Brican; Bricar', 'Prestwick0_000391', 'Prestwick1_000391', 'Prestwick2_000391', 'Prestwick3_000391', 'Spectrum2_001327', 'Spectrum3_000593', 'Spectrum4_000870', 'Spectrum5_001262', 'SCHEMBL4391', 'CHEMBL1760', 'Lopac0_001126', 'Oprea1_823972', 'BSPBio_000601', 'BSPBio_002066', 'GTPL560', 'KBioGR_001539', 'KBioSS_001510', 'DivK1c_000078', 'SPBio_001453', 'SPBio_002522', 'BPBio1_000663', 'Terbutaline sulfate (Salt/Mix)', 'DTXSID7021310', 'BDBM25770', 'CTK8E4128', 'KBio1_000078', 'KBio2_001510', 'KBio2_004078', 'KBio2_006646', 'KBio3_001566', 'NINDS_000078', 'PDSP1_000158', 'PDSP2_000157', 'AKOS015889885', 'API0005740', 'CCG-205201', 'DB00871', 'LS-7713', 'SDCCGSBI-0051094.P005', 'VA11844', 'ACM23031256', 'IDI1_000078', 'NCGC00016010-03', 'NCGC00016010-04', 'NCGC00016010-06', 'NCGC00089821-02', 'LS-29961', 'SBI-0051094.P004', 'AX8152612', 'AB00053548', 'FT-0674864', 'NS00001890', 'NS00098865', 'C07129', 'D08570', 'AB00053548_15', '031T256', 'A816514', 'L000594', 'Q424340', 'J-014950', 'SR-01000000174-2', "1-(3',5'-dihydroxyphenyl)-2-(t-butylamino)-ethanol", 'BRD-A50157456-065-02-4', 'BRD-A50157456-065-12-3', '5-[2-(tert-Butylamino)-1-hydroxyethyl]-1,3-benzenediol #', '5-[2-(tert-butylamino)-1-oxidanyl-ethyl]benzene-1,3-diol', '5-[2-(tert-butylamino)-1-hydroxyethyl]benzene-1,3-diol, 5', 'alpha-[(tert-butylamino)methyl]-3,5-dihydroxybenzenemethanol', 'Benzyl alcohol, .alpha.-((t-butylamino)methyl)-3,5-dihydroxy-', '1,3-Benzenediol, 5-(2-((1,1-dimethylethyl)amino)-1-hydroxyethyl)- (9CI)', '5-{1-Hydroxy-2-[(2-methyl-2-propanyl)amino]ethyl}-1,3-benzenediol', '1164563-86-3']</t>
  </si>
  <si>
    <t>Compound(5403)</t>
  </si>
  <si>
    <t>C12H19NO3</t>
  </si>
  <si>
    <t>2-N-tert-butyl-4-N-ethyl-6-methylsulfanyl-1,3,5-triazine-2,4-diamine</t>
  </si>
  <si>
    <t>['Terbutryn', '886-50-0', 'TERBUTRYNE', 'Clarosan', 'Shortstop', 'Prebane', 'Terbutrex', 'Igran', 'Saterb', 'Igran 50', 'N2-(tert-Butyl)-N4-ethyl-6-(methylthio)-1,3,5-triazine-2,4-diamine', 'Short-stop E', 'Igran 500', 'Caswell No. 125D', 'UNII-ZXL474TLFP', 'Terbutryne [ISO-French]', 'Terbutryn [ANSI:BSI:ISO]', "1,3,5-Triazine-2,4-diamine, N-(1,1-dimethylethyl)-N'-ethyl-6-(methylthio)-", 'GS 14260', 'HS-14260', 'HSDB 1525', 'EINECS 212-950-5', '2-tert-Butylamino-4-ethylamino-6-methylthio-1,3,5-triazine', 'A 1866', 'ZXL474TLFP', 'EPA Pesticide Chemical Code 080813', 's-Triazine, 2-(tert-butylamino)-4-(ethylamino)-6-(methylthio)-', 'BRN 0611817', '2-Methylthio-4-ethylamino-6-tert-butylamino-s-triazine', '2-tert-Butylamino-4-ethylamino-6-methylthio-s-triazine', '2-T-BUTYLAMINO-4-ETHYLAMINO-6-METHYLTHIO-S-TRIAZINE', '2-tert-Butylamino-4-ethylamino-6-methylmercapto-s-triazine', 'CHEBI:44156', "N-(1,1-Dimethylethyl)-N'-ethyl-6-(methylthio)-1,3,5-triazine-2,4-diamine", '4-Aethylamino-2-tert-butylamino-6-methylthio-s-triazin', '2-tert.Butylamino-4-aethylamino-6-methylthio-1,3,5-triazin', 'N-tert-Butyl-N-ethyl-6-methylthio-1,3,5-triazine-2,4-diamine', '4-Aethylamino-2-tert-butylamino-6-methylthio-s-triazin [German]', 'N2-tert-Butyl-N4-ethyl-6-methylthio-1,3,5-triazine-2,4-diamine', '2-tert.Butylamino-4-aethylamino-6-methylthio-1,3,5-triazin [German]', 'DSSTox_CID_4318', "1,3,5-Triazine-2,4-diamine,N-(1,1-dimethylethyl)-N'-ethyl-6-(methylthio)-", 'DSSTox_RID_77367', 'DSSTox_GSID_24318', 'W-100395', '2-(tert-butylamino)-4-(ethylamino)-6-(methylthio)triazine', 'Terbutrin', "N-(tert-butyl)-N'-ethyl-6-(methylthio)-1,3,5-triazine-2,4-diamine", 'N2-tert-butyl-N4-ethyl-6-(methylthio)-1,3,5-triazine-2,4-diamine', 'CAS-886-50-0', 'Plantonit', 'Athado', '4-N-tert-butyl-2-N-ethyl-6-methylsulfanyl-1,3,5-triazine-2,4-diamine', 'Amigan (Salt/Mix)', 'Igran 80W', 'Oprea1_587742', 'SCHEMBL65395', 'MLS001066371', 'Ametryn-terbutryn (Salt/Mix)', 'Terbutryn, analytical standard', 'CHEMBL1234490', 'DTXSID3024318', 'SCHEMBL20893401', 'EX-A928', 'HMS2236M08', 'HMS3370H22', '2-(tert-butylamino)-4-(ethylamino)-6-(methylthio)-s-triazine', 'HY-B1991', 'ZINC2008092', 'Tox21_202082', 'Tox21_303141', 'N2-tert-butyl-N4-ethyl-6-methylsulfanyl-1,3,5-triazine-2,4-diamine', '2-N-tert-butyl-4-N-ethyl-6-methylsulfanyl-1,3,5-triazine-2,4-diamine', 'AKOS015907183', 'CS-5180', 'DB08215', 'MCULE-7277402178', 'Terbutryn 10 microg/mL in Cyclohexane', "N-(1,1-Dimethylethyl)-N'-ethyl-6-(methylthio)-1,3,5-triazine-2,4-diamine (9CI)", 'Terbutryn 10 microg/mL in Acetonitrile', 'NCGC00164299-01', 'NCGC00164299-02', 'NCGC00257200-01', 'NCGC00259631-01', 'Terbutryn 100 microg/mL in Acetonitrile', 'AK121903', 'CC-34693', 'O435', 'SMR000471867', 'DB-057093', 'LS-155163', 'FT-0603520', 'NS00000276', 'Terbutryn, PESTANAL(R), analytical standard', 'Butylamino-4-ethylamino-6-methylthio-s-triazine', 'C18811', '886T500', 'A842816', 'C-14518', 'Methylthio-4-ethylamino-6-tert-butylamino-s-triazine', 'Q2404338', '2-tert-butylamino-4-ethylamino-6-methylthio-[1,3,5]triazine', '2-Tert.-butylamino-4-ethylamino-6-methylthio-[1,3,5]triazin', '2-Tert.-butylamino-4-ethylamino-6-methylthio-[1,3,5]triazine', "2,4-Diamine-N-(1,1-dimethylethyl)-N'-ethyl-6-(methylthio)triazine,", 'N(2)-tert-butyl-N(4)-ethyl-6-methylthio-1,3,5-triazine-2,4-diamine', "N-(tert-butyl)-N'-ethyl-6-(methylsulfanyl)-1,3,5-triazine-2,4-diamine", "N-tert-butyl-N'-ethyl-6-(methylsulfanyl)-1,3,5-triazine-2,4-diamine", "1,3,5-Triazine-2,4-diamine, N-(1,1-dimethylethyl)-N'-ethyl-6-(methylthio)- (9CI)", "N-Ethyl-N'-(2-methyl-2-propanyl)-6-(methylsulfanyl)-1,3,5-triazine-2,4-diamine", 'N~2~-tert-Butyl-N~4~-ethyl-6-(methylsulfanyl)-1,3,5-triazine-2,4-diamine', 'Terbutryn solution, 100 mug/mL in acetonitrile, PESTANAL(R), analytical standard']</t>
  </si>
  <si>
    <t>Compound(13450)</t>
  </si>
  <si>
    <t>terpin hydrate</t>
  </si>
  <si>
    <t>4-(2-hydroxypropan-2-yl)-1-methylcyclohexan-1-ol;hydrate</t>
  </si>
  <si>
    <t>['TERPIN HYDRATE', '2451-01-6', 'Terpin monohydrate', 'Terpin (hydrate)', 'p-Menthane-1,8-diol monohydrate', 'Terpin cis-form hydrate', '4-(2-Hydroxypropan-2-yl)-1-methylcyclohexanol hydrate', 'UNII-S3V868548T', 'C10H20O2.H2O', 'Terpinol', 'S3V868548T', 'Terpin hydrate (USP)', 'Terpin hydrate [USP]', 'AK128120', 'AI3-01762', 'Cyclohexanemethanol, 4-hydroxy-alpha,alpha,4-trimethyl-, monohydrate', 'Cyclohexanemethanol, 4-hydroxy-alpha,alpha,4-trimethyl-, hydrate (1:1), cis-', 'cis-Terpin hydrate', 'terpine hydrate', 'Terpinol hydrate', 'TerpinMonohydrate', 'Terpin Hydrate [USAN]', 'SCHEMBL29867', 'SCHEMBL2487459', 'CHEMBL2105614', 'CTK8B2903', 'DTXSID00947401', 'HMS3264B12', 'HY-B1063', 'KS-000013AN', 'cis-p-methane-1,8-diol monohydrate', '5767AF', 'ANW-41295', 'MFCD00167312', 'MFCD00594354', 's4577', 'Terpin monohydrate;cis-Terpin hydrate', 'AKOS016013500', 'AKOS024288517', 'API0004357', 'CCG-213672', 'CCG-266507', 'CS-4619', 'DB13163', 'KS-1430', 'AX8249911', 'LS-174060', 'ST50407010', 'D06081', 'SR-01000944230', 'J-015549', 'Q2273017', 'SR-01000944230-1', '4-(2-hydroxypropan-2-yl)-1-methylcyclohexan-1-ol,hydrate', '4-(1-hydroxy-isopropyl)-1-methylcyclohexan-1-ol, oxamethane', '4-(2-Hydroxypropan-2-yl)-1-methylcyclohexan-1-ol--water (1/1)', 'Terpin hydrate, United States Pharmacopeia (USP) Reference Standard']</t>
  </si>
  <si>
    <t>Compound(17141)</t>
  </si>
  <si>
    <t>turpentine</t>
  </si>
  <si>
    <t>N-methyl-N-(2,4,6-trinitrophenyl)nitramide</t>
  </si>
  <si>
    <t>['Tetryl', 'Nitramine', 'Tetralite', 'Tetril', 'N-Methyl-N-picrylnitramine', 'N-Picryl-N-methylnitramine', 'Picrylmethylnitramine', '2,4,6-Tetryl', 'Picrylnitromethylamine', '479-45-8', 'N-METHYL-N,2,4,6-TETRANITROANILINE', 'Trinitrophenylmethylnitramine', 'Nitramine (indicator)', 'Nitramine (VAN)', '2,4,6-(Trinitrophenyl)methylnitroamine', '2,4,6-Trinitrophenyl-N-methylnitramine', 'N-Methyl-N,2,4,6-tetranitrobenzenamine', '2,4,6-Trinitrophenylmethylnitramine', 'Tetralit', 'NSC 2166', 'Benzenamine, N-methyl-N,2,4,6-tetranitro-', 'CE (VAN)', '(Trinitrophenyl)methylnitramine', 'CCRIS 3143', 'Aniline, N-methyl-N,2,4,6-tetranitro-', 'HSDB 2857', 'UNII-GJ18911991', 'EINECS 207-531-9', 'UN0208', 'BRN 0964788', 'N-Methyl-N-2,4,6-tetranitrobenzenamine', 'N-methyl-N-nitro-2,4,6-trinitroaniline', 'Tetryl 2,4,6-Trinitrophenylmethylnitramine', 'GJ18911991', '2,6-Tetryl', 'SCHEMBL57161', 'Aniline,2,4,6-tetranitro-', '4-16-00-00895 (Beilstein Handbook Reference)', 'Ex223', 'Benzenamine,2,4,6-tetranitro-', 'DTXSID7047770', 'CHEBI:28950', 'NSC2166', 'WLN: WNN1&amp;R BNW DNW ENW', 'NSC-2166', '2,6-(Trinitrophenyl)methylnitramine', '2,4,6-trinitrophenylmethylnitroamine', '2,6-(Trinitrophenyl)methylnitroamine', '2,6-Trinitrophenyl-N-methylnitramine', 'ACM479458', '2,4,6,N-Tetranitro-N-methylaniline', 'Trinitrophenylmethylnitramine or tetryl', '2,4,6-(Trinitrophenyl)methylnitramine', 'MCULE-9274088341', 'UN 0208', '(Trinitrophenyl)methylnitramine (Related)', 'LS-19904', 'Tetryl;N-methyl-N,2,4,6-tetranitroaniline', 'NS00005812', 'N-Methyl-N,2,4,6-tetranitroaniline (tetryl)', 'Q409753', '2-Methyl-1-oxo-2-(2,4,6-trinitrophenyl)hydrazine 1-oxide #', 'Trinitrophenylmethylnitramine or tetryl [UN0208]  [Explosive 1.1D]', 'Trinitrophenylmethylnitramine or tetryl [UN0208] [Explosive 1.1D]', 'Tetryl solution, 1000 mug/mL in acetonitrile, ampule of 1.2 mL, certified reference material']</t>
  </si>
  <si>
    <t>Compound(10178)</t>
  </si>
  <si>
    <t>C7H5N5O8</t>
  </si>
  <si>
    <t>(3-hydroxy-2,2,4-trimethylpentyl) 2-methylpropanoate</t>
  </si>
  <si>
    <t>['Texanol', '25265-77-4', '77-68-9', '3-Hydroxy-2,2,4-trimethylpentyl isobutyrate', '2,2,4-Trimethyl-1,3-pentanediol monoisobutyrate', 'Propanoic acid, 2-methyl-, 3-hydroxy-2,2,4-trimethylpentyl ester', 'Chissocizer CS 12', '2,2,4-Trimethylpentane-1,3-diol monoisobutyrate', 'CCRIS 8966', 'Isobutyraldehyde Tishchenko trimer', 'CS 12', '2,2,4-TRIMETHYL-1,3-PENTANEDIOL 1-ISOBUTYRATE', 'Propanoic acid, 2-methyl-, monoester with 2,2,4-trimethyl-1,3-pentanediol', 'EINECS 246-771-9', '1,3-Pentanediol, 2,2,4-trimethyl-, 1-isobutyrate', '1,3-Pentanediol, 2,2,4-trimethyl-, monoisobutyrate', 'Isobutyric acid, monoester with 2,2,4-trimethylpentane-1,3-diol', 'Propanoic acid, methyl-, monoester with 2,2,4-trimethyl-1,3-pentanediol', '3-Hydroxy-2,2,4-trimethylpentyl 2-methylpropanoate', 'Isobutyric Acid 3-Hydroxy-2,2,4-trimethylpentyl Ester', 'Propionic acid, 2-methyl-, monoester with 2,2,4-trimethyl-1,3-pentanediol', 'Isobutyraldehyde trimer', '2,2,4-Trimethyl-1,3-pentanediolmono(2-methylpropanoate), 98+%', 'EINECS 201-049-2', 'component of Texanol', 'Texanol Ester Alcohol', 'Haltanol Ester Alcohol', 'DSSTox_CID_7857', 'EC 246-771-9', 'DSSTox_RID_78592', 'DSSTox_GSID_27857', 'SCHEMBL56321', '[DID-no:2597]', 'CHEMBL3184970', 'CTK2G6166', 'DTXSID10872295', 'Tox21_200148', 'MFCD00148967', 'Trimethyl pentanediol mono-isobutyrate', 'AKOS015900105', 'NCGC00164419-01', 'NCGC00248541-01', 'NCGC00257702-01', 'O919', 'CAS-25265-77-4', 'LS-101674', 'LS-124771', 'FT-0699920', 'I0405', 'NS00008484', '3-hydroxy-2,2,4-trimethylpentyl 2-methylpropionate', 'J-506772', 'Q27272708', 'Isobutyric acid, ester with 2,2,4-trimethyl-1,3-pentanediol', 'Isobutyric acid, ester with 2,2,4-trimethyl-1,3-pentanediol (7CI)', 'TRIMETHYL HYDROXYPENTYL ISOBUTYRATE;isobutyric acid, monoester with 2,2,4-trimethylpentane-1,3-diol;Propanoic acid, 2-methyl-, monoester with 2,2,4-tr;3-Hydroxy-2,2,4-trimethylpentyl 2-methylpropanoate;3-hydroxy-2,2,4-trimethylpentyl isobutyrate']</t>
  </si>
  <si>
    <t>Compound(6490)</t>
  </si>
  <si>
    <t>texanol benzyl phthalate</t>
  </si>
  <si>
    <t>(E)-1-[2-[6-(2-chlorophenoxy)-5-fluoropyrimidin-4-yl]oxyphenyl]-1-(5,6-dihydro-1,4,2-dioxazin-3-yl)-N-methoxymethanimine</t>
  </si>
  <si>
    <t>['Fluoxastrobin', '361377-29-9', 'Fluoxastrobin [ISO]', '(Z)-fluoxastrobin', 'UNII-XQ43WY091Y', 'HEC 480 SC', 'XQ43WY091Y', 'CHEBI:83253', '(1E)-(2-((6-(2-chlorophenoxy)-5-fluoro-4-pyrimidinyl)oxy)phenyl)(5,6-dihydro-1,4,2-dioxazin-3-yl)methanone O-methyloxime', 'Disarm', '(E)-1-(2-{[6-(2-chlorophenoxy)-5-fluoropyrimidin-4-yl]oxy}phenyl)-1-(5,6-dihydro-1,4,2-dioxazin-3-yl)-N-methoxymethanimine', '(E)-1-[2-[6-(2-chlorophenoxy)-5-fluoropyrimidin-4-yl]oxyphenyl]-1-(5,6-dihydro-1,4,2-dioxazin-3-yl)-N-methoxymethanimine', 'Evito', 'HSDB 7880', 'DSSTox_CID_14625', 'DSSTox_RID_79180', 'DSSTox_GSID_34625', 'SCHEMBL18719', 'SCHEMBL350134', 'CHEMBL1902591', 'DTXSID2034625', '(E)-{2-[6-(2-chlorophenoxy)-5-fluoropyrimidin-4-yloxy]phenyl}(5,6-dihydro-1,4,2-dioxazin-3-yl)methanone O-methyloxime;Methanone, [2-[[6-(2-chlorophenoxy)-5-fluoro-4-pyrimidinyl]oxy]phenyl](5,6-dihydro-1,4,2-dioxazin-3-yl)-, O-methyloxime, (1E)-', 'Tox21_300824', 'ZINC36533692', 'AKOS015909404', 'NCGC00168310-01', 'NCGC00168310-02', 'NCGC00254728-01', 'ACM361377299', 'Fluoxastrobin 10 microg/mL in Acetonitrile', 'LS-183689', 'CAS-361377-29-9', 'NS00008659', 'J2.975.310E', 'J3.642.606C', 'Fluoxastrobin, PESTANAL(R), analytical standard', 'Q27269858', '(E)-(2-{[6-(2-chlorophenoxy)-5-fluoropyrimidin-4-yl]oxy}phenyl)(5,6-dihydro-1,4,2-dioxazin-3-yl)methanone O-methyloxime', '(Z)-[2-[[6-(2-Chlorophenoxy)-5-fluoropyrimidine-4-yl]oxy]phenyl](5,6-dihydro-1,4,2-dioxazine-3-yl)-N-methoxymethaneimine']</t>
  </si>
  <si>
    <t>Compound(11048796)</t>
  </si>
  <si>
    <t>trans-phosphamidon</t>
  </si>
  <si>
    <t>[(E)-3-chloro-4-(diethylamino)-4-oxobut-2-en-2-yl] dimethyl phosphate</t>
  </si>
  <si>
    <t>['(E)-Phosphamidon', 'trans-Phosphamidon', 'ML 97', 'UNII-54VR7A0BQD', 'ENT 25,515', 'OR 1191', '54VR7A0BQD', 'Fosfamidon [Dutch]', 'Phosphoric acid, 2-chloro-3-(diethylamino)-1-methyl-3-oxo-1-propenyl dimethyl ester, (E)-', '297-99-4', 'Caswell No. 661', 'Fosfamidone [Italian]', 'Phosphamidon 85 WSC', '2-Chloro-2-diethylcarbamoyl-1-methylvinyl dimethyl phosphate', 'Dimethyl 2-chloro-2-diethylcarbamoyl-methyl vinyl phosphate', 'Foszfamidon (Hungarian)', 'CCRIS 516', 'Phosphamidon [ANSI:BSI:ISO]', 'Phosphamidon, cis/trans mixture', 'HSDB 1754', 'EINECS 236-116-5', 'EPA Pesticide Chemical Code 018201', '1-Chloro-diethylcarbamoyl-1-propen-2-yl dimethyl phosphate', 'Dimethyl phosphate of 2-chloro-N,N-diethyl-3-hydroxycrotonamide', 'AI3-25515', 'Phosphamidon, (E)-', 'N,N-Diethyl 2-chloro-3-dimethylphosphate crotonamide', 'C10H19ClNO5P', '2-Chloro-2-diethylcarbamyl-1-methylvinyl-dimethyl phosphate', 'dimercron', '2-Chloro-N,N-diethyl-3-hydroxycrotonamide dimethyl phosphate', 'Phosphamidon 8', '2-Chloro-3-(diethylamino)-1-methyl-3-oxo-1-propenyl dimethyl phosphate', '2-Chloro-N,N-diethyl-3-hydroxycrotonamide ester with dimethyl phosphate', '(2-Chloor-3-diethylamino-1-methyl-3-oxo-prop-1-en-yl)-dimethyl-fosfaat [Dutch]', '(2-Chlor-3-diaethylamino-1-methyl-3-oxo-prop-1-en-yl)-dimethyl-phosphat [German]', '(2-Cloro-3-dietilamino-1-metil-3-oxo-prop-1-en-il)-dimetil-fosfato [Italian]', 'O,O-Dimethyl-O-(1-methyl-2-chlor-2-N,N-diaethyl-carbamoyl)-vinyl-phosphat [German]', 'Phosphate de dimethyle et de (2-chloro-2-diethylcarbamoyl-1-methyl-vinyle) [French]', 'Phosphamidon (isomer)', 'Phosphamidon isomer 1', 'Phosphamidon (E isomer)', 'Phosphamidon (mixed isomers)', 'SCHEMBL3675777', 'DTXSID5058357', 'ZINC1849744', 'LS-751', 'LS-107537', 'Phosphamidon, PESTANAL(R), analytical standard', 'dimethyl diethylamido-1-chloroc rotonyl (2) phosphate', 'Q27261240', 'UNII-7H857A6N6H component RGCLLPNLLBQHPF-CMDGGOBGSA-N', '2-c hloro-2-diethyl carbamyl-1-methyl vinyl dimethyl-phosphate', '2-chloro-2-diethyl carbamyl-1-methyl vinyl dimethyl-phosphate', 'dimethyl-2-chloro-2-diethylcarbamoyl-1-methylvinyl phosphate', '2-Chloro-N,N-diethyl-3-hydroxycrotonamide ester of dimethyl phosphat e', '2-Chloro-N,N-diethyl-3-hydroxycrotonamide ester of dimethyl phosphate', 'dimethyl 2-chloro-3-(diethylamino)-1-methyl-3-oxo-1-propenylphosphorate', 'Dimethyl phosphate ester with 2-chloro-N,N-diethyl-3-hydroxycrotonamide', 'O,O-dimethyl-O-(2-chloro-2-(N,N-diethylcarbamoyl)-1-methylvinyl)phosphate', '(1E)-2-Chloro-3-(diethylamino)-1-methyl-3-oxo-1-propenyl dimethyl phosphate #', '(1Z)-2-chloro-3-(diethylamino)-1-methyl-3-oxoprop-1-en-1-yl dimethyl phosphate', 'Phosphoric acid 2-chloro-3-(diethylamino)-1- methyl-3-oxo-1-propenyl dimethyl ester', 'Phosphoric acid 2-chloro-3-(diethylamino)-1-methyl-3-oxo-1-propenyl dimethyl ester', 'phosphoric acid Chloro-3-(diethylamino)-1-methyl-3-oxo-1-propenyl dimethy l ester', 'phosphoric acid Chloro-3-(diethylamino)-1-methyl-3-oxo-1-propenyl dimethyl ester', 'Phosphoric acid, dimethyl ester, ester with 2-chloro-N-N-diethyl-3-hydroxycrotonamide']</t>
  </si>
  <si>
    <t>Compound(3033834)</t>
  </si>
  <si>
    <t>(2,3,5,6-tetrafluorophenyl)methyl (1R,3S)-3-(2,2-dichloroethenyl)-2,2-dimethylcyclopropane-1-carboxylate</t>
  </si>
  <si>
    <t>['Transfluthrin', '118712-89-3', 'UNII-QWL3SKA6EG', 'QWL3SKA6EG', 'CHEBI:32253', '(2,3,5,6-tetrafluorophenyl)methyl (1R,3S)-3-(2,2-dichloroethenyl)-2,2-dimethylcyclopropane-1-carboxylate', '(2,3,5,6-Tetrafluorophenyl)methyl(1R,3S)-3-(2,2-dichloroethenyl)-2,2-dimethylcyclopropanecarboxylate', '2,3,5,6-tetrafluorobenzyl (1R,3S)-3-(2,2-dichloroethenyl)-2,2-dimethylcyclopropanecarboxylate', 'Transfluthrin [ISO]', 'NCGC00181025-01', 'Transfluthrin (JAN)', 'DSSTox_CID_26812', 'DSSTox_RID_81924', 'DSSTox_GSID_46812', 'SCHEMBL26844', 'Cyclopropanecarboxylic acid, 3-(2,2-dichloroethenyl)-2,2-dimethyl-, (2,3,5,6-tetrafluorophenyl)methyl ester, (1R,3S)-', 'CHEMBL3184657', 'DTXSID4046812', '2,3,5,6-Tetrafluorobenzyl (1R,3S)-3-(2,2-dichlorovinyl)-2,2-dimethylcyclopropane-1-carboxylate', 'ZINC5455493', 'Tox21_112675', 'AKOS015899270', 'DB15117', 'Transfluthrin 10 microg/mL in Cyclohexane', 'CAS-118712-89-3', 'CS-0110699', 'C13410', 'D01932', 'K-1327', 'Transfluthrin, PESTANAL(R), analytical standard', '712T893', 'Q418421', '2,3,5,6-tetrafluorobenzyl (1r)-trans-3-(2,2-dichlorovinyl)-2,2-dimethylcyclopropanecarboxylate', '2,3,5,6-tetrafluorobenzyl trans-2-(2,2-dichlorovinyl)-3,3-dimethylcyclopropane- carboxylate', '2,3,5,6-tetrafluorobenzyl trans-2-(2,2-dichlorovinyl)-3,3-dimethylcyclopropane- carboxylate;2,3,5,6-tetrafluorobenzyl trans-2-(2,2-dichlorovinyl)-3,3-dimethylcyclopropanecarboxylate;2,3,5,6-Tetrafluorobenzyl trans-2-(2,2-dichlorovinyl)-3,3-dimethylcyclopropanecarboxylate;BENFLUTHRINE']</t>
  </si>
  <si>
    <t>Compound(656612)</t>
  </si>
  <si>
    <t>C15H12Cl2F4O2</t>
  </si>
  <si>
    <t>trans geranylacetone</t>
  </si>
  <si>
    <t>(5E)-6,10-dimethylundeca-5,9-dien-2-one</t>
  </si>
  <si>
    <t>['Geranylacetone', 'Geranyl acetone', '3796-70-1', '(E)-6,10-Dimethylundeca-5,9-dien-2-one', 'trans-Geranylacetone', '(5E)-6,10-dimethylundeca-5,9-dien-2-one', '6,10-Dimethyl-5,9-undecadien-2-one', 'Dihydropseudoionone', '689-67-8', 'Geranylacetone, trans-', '5,9-Undecadien-2-one, 6,10-dimethyl-, (E)-', '(E)-6,10-Dimethyl-5,9-undecadien-2-one', 'UNII-9B7RY79U9Z', 'EINECS 223-269-8', '5,9-Undecadien-2-one, 6,10-dimethyl-, (5E)-', '9B7RY79U9Z', '2,6-Dimethyl-2,6-undecadien-2-one, trans-', '6,10-Dimethyl-5,9-undecadien-2-one, trans-', '6,10-Dimethyl-5,9-undecadien-2-one, (E)-', 'FEMA No. 3542', '6,10-Dimethyl-5(E),9-undecadien-2-one', 'W-104645', '.alpha.,.beta.-Dihydropseudoionone', '(E)-geranylacetone', '2,6-dimethylundeca-2,6-dien-10-one', 'trans-6,10-Dimethyl-5,9-undecadien-2-one', 'cis,trans-Geranylacetone', 'E-geranylacetone', 'MFCD00008910', 'Undecadien-2-one, 6,10-dimethyl-', 'Dihydropseudoionon', 'E-geranyl acetone', 'Geranyl-2-propanone', '6,10-dimethyl-(E)-5,9-undecadien-2-one', '(5E)-6,10-Dimethyl-5,9-undecadien-2-one', '5, 6,10-dimethyl-', 'SCHEMBL112855', 'SCHEMBL112856', 'DTXSID4052053', 'CHEBI:67206', 'ZINC1599359', 'ZX-AT020951', 'EINECS 269-400-2', 'BBL027735', 'LMFA11000696', 'NSC406679', 'OR6045', 'SBB001603', 'STK709221', 'AKOS005522601', 'MCULE-9307860172', 'NSC-406679', 'NCGC00249179-01', 'AK114541', 'CC-28962', '(5E)-6,10-dimethyl-5,9-undecen-2-one', 'AX8131983', 'LS-179607', 'ST4049797', 'G0236', 'NS00010772', '(5E)-6,10-dimethyl-2-undeca-5,9-dienone', '(E)-6,10-Dimethylundeca-5,9-dien-2-one.', 'A836300', 'SR-01000526349', 'SR-01000526349-1', 'Q27135687', '6,10-Dimethyl-5,9-undecadien-2-one, mixture of isomers', '6,10-Dimethyl-5,9-undecadien-2-one, &gt;=97%, stabilized, FG', 'Geranylacetone [mixture of (E)- and (Z)- isomers, (3:2)]']</t>
  </si>
  <si>
    <t>Compound(1549778)</t>
  </si>
  <si>
    <t>C13H22O</t>
  </si>
  <si>
    <t>1,3-dimethyl-7H-purine-2,6-dione</t>
  </si>
  <si>
    <t>['theophylline', '58-55-9', '1,3-Dimethylxanthine', 'Theophyllin', 'Elixophyllin', 'Theolair', 'Nuelin', 'Theophylline anhydrous', 'Respbid', 'Theocin', 'Theo-dur', 'Elixophylline', 'Pseudotheophylline', 'Lanophyllin', 'Theovent', 'Uniphyl', 'Slo-phyllin', 'Accurbron', 'Armophylline', 'Bronkodyl', 'Doraphyllin', 'Liquophylline', 'Maphylline', 'Medaphyllin', 'Optiphyllin', 'Parkophyllin', 'Synophylate', 'Teofyllamin', 'Theacitin', 'Theocontin', 'Uniphyllin', 'Xantivent', 'Aerolate', 'Elixicon', 'Solosin', 'Teolair', 'Theobid', 'Theofol', 'Theograd', 'Theolix', 'Elixex', 'Acet-theocin', 'Slo-bid', 'Theophyl-225', 'Aerolate III', 'Duraphyl', 'Euphylong', 'Sustaire', 'Xanthium', 'Austyn', 'Somophyllin-t', 'Constant-T', 'Teofilina', 'Theochron', 'Asmax', 'Quibron T/SR', 'Theal tablets', 'Somophyllin-DF', 'Bronkodyl SR', 'Theoclair-SR', 'Theoclear LA', 'Spophyllin retard', 'Choledyl SA', 'Quibron-T', 'Theoclear 80', 'Theo-11', 'Theodur', 'Theopek', 'Theospan', 'Theostat 80', '1,3-dimethyl-7H-purine-2,6-dione', 'Synophylate-L.A. Cenules', 'Theophylline, anhydrous', 'Theo-Dur-Sprinkle', '3,7-Dihydro-1,3-dimethyl-1H-purine-2,6-dione', 'Aquaphyllin', 'Theophyline', 'Theo-24', 'Theodel', 'Unifyl', 'LASMA', 'Pro-vent', 'Theona P', '1,3-Dimethyl-3,7-dihydro-1H-purine-2,6-dione', 'LaBID', 'Euphylline', 'Elixomin', 'Teofilina [Polish]', 'Theolixir', 'Theophyl', 'Labophylline', 'Bronkotabs', 'Mudrane', 'Theokin', 'Hylate', 'Elixophyllin SR', 'Theophylline-SR', 'Somophyllin-CRT', 'Aerolate SR', 'Theo-Organidin', 'Theolair-SR', 'Theophyl-SR', 'GS 2591A', 'Uni-Dur', 'Theoclear-80', 'Nuelin SA', 'Quibron-T/SR', 'T-Phyl', 'Bronchodid Duracap', 'Theoclear-200', 'Uniphyllin continus', '1H-Purine-2,6-dione, 3,7-dihydro-1,3-dimethyl-', 'Xanthine, 1,3-dimethyl-', 'Dimethylxanthine', 'NSC 2066', 'X 115', 'Quadrinal', 'Theobid Jr.', 'Theoclear L.A.-130', '1,3-dimethyl-2,3,6,7-tetrahydro-1H-purine-2,6-dione', 'Theal tabl.', '1,3-dimethyl-1H-purine-2,6(3H,7H)-dione', 'UNII-0I55128JYK', 'CCRIS 4729', 'HSDB 3399', '2,6-Dihydroxy-1,3-dimethylpurine', 'Purine-2,6(1H,3H)-dione, 1,3-dimethyl-', 'EINECS 200-385-7', 'Aerobin', 'CHEMBL190', 'Theophylline [USP]', 'C7H8N4O2', 'THEOBID JR', 'AI3-50216', 'MLS000069390', 'Diffumal', 'Theostat', '1,3-dimethyl-1H-purine-2,6(3H,9H)-dione', 'CHEBI:28177', '0I55128JYK', 'NSC-2066', '1,3-Dimethyl-2,6-dioxo-1,2,3,6-tetrahydropurine', '1H-Purine-2,6-dione, 3,9-dihydro-1,3-dimethyl-', 'NCGC00018117-07', 'NCGC00018117-17', 'Uniphylline', 'Pulmidur', 'SMR000058537', 'Teonova', 'Theonite', 'Afonilum Retard', 'DSSTox_CID_1336', '1,3-dimethyl-1,3,7-trihydropurine-2,6-dione', 'DSSTox_RID_76090', 'DSSTox_GSID_21336', 'Quibron T-SR', '75448-53-2', 'Theophylline, 99+%, anhydrous', 'Teocen 200', 'Elixophyllin(e)', 'CAS-58-55-9', 'Nuelin S.A', 'Theolair (TN)', 'Elixophyllin (TN)', 'Uniphyl (TN)', 'Quibron-t (TN)', 'Theoconfin Continuous', 'Theodur G (TN)', 'Glycine Theophyllinate', '1,3-dimethyl-3,9-dihydro-1H-purine-2,6-dione', 'SR-01000075195', 'Theo-24 (TN)', 'Telbans', 'Physpa', 'Unicontin CR', '4eoh', 'Aescin-IIA', 'Theophylline form II', 'PubChem9695', 'theophylline solu-tion', 'component of Primatene', 'Xanthine,3-dimethyl-', 'Opera_ID_76', 'Spectrum_001038', 'Theophylline (JP17)', '2a3a', 'Theophylline (anhydrous)', 'Prestwick0_000820', 'Prestwick0_000873', 'Prestwick1_000820', 'Prestwick1_000873', 'Prestwick2_000820', 'Prestwick2_000873', 'Prestwick3_000820', 'Prestwick3_000873', 'Spectrum2_000842', 'Spectrum3_000672', 'Spectrum4_000353', 'Spectrum5_001232', '8-(2-Furyl)theophylline', 'UPCMLD-DP123', 'component of Theo-Organidin', 'EC 200-385-7', 'SCHEMBL4915', 'Theophylline Anhydrous,(S)', 'Theophylline Anhydrous, USP', 'Lopac0_000014', 'BSPBio_000719', 'BSPBio_000945', 'BSPBio_002363', 'component of Dicurin Procaine', 'GTPL413', 'KBioGR_000785', 'KBioSS_001518', 'KSC491S8L', 'MLS002152943', 'MLS002153487', 'MLS004491910', 'MLS006011970', 'ARONIS25346', 'BIDD:ER0557', 'BIDD:GT0151', 'DivK1c_000203', 'SPECTRUM1500568', 'SPBio_000823', 'SPBio_002640', 'SPBio_002866', 'BPBio1_000791', 'BPBio1_001041', 'SCHEMBL8312163', '1,3-Dimethylxanthine;Theo-24', 'component of Tedral (Salt/Mix)', 'DTXSID5021336', 'UPCMLD-DP123:001', 'BCBcMAP01_000071', 'BDBM10847', 'BDBM82053', 'component of Quibron (Salt/Mix)', 'CTK3J1985', 'HMS500K05', 'KBio1_000203', 'KBio2_001518', 'KBio2_004086', 'KBio2_006654', 'KBio3_001583', 'NSC2066', 'component of Hecadrol (Salt/Mix)', 'NINDS_000203', 'HMS1921E03', 'HMS2089A06', 'HMS2092M05', 'HMS2233E16', 'HMS3259O06', 'HMS3369N14', 'Pharmakon1600-01500568', 'Theophylline melting point standard', 'component of Primatene (Salt/Mix)', 'BCP30664', 'component of Bronkotabs (Salt/Mix)', 'HY-B0809', 'Theophylline 1.0 mg/ml in Methanol', 'Theophylline, &gt;=99.0% (HPLC)', 'Tox21_110827', 'Tox21_202375', 'Tox21_300028', 'BBL023514', 'CCG-20301', 'LS-241', 'MFCD00079619', 'NSC757346', 'PDSP1_001018', 'PDSP1_001234', 'PDSP2_001002', 'PDSP2_001218', 'STK397040', 'Theophylline (1,3-dimethylxanthine)', 'ZINC18043251', 'AKOS000120961', 'AKOS005434016', 'component of Quibron Plus (Salt/Mix)', 'Tox21_110827_1', 'component of Quibron-T/SR (Salt/Mix)', 'component of Theo-organdin (Salt/Mix)', 'component of Theolair plus (Salt/Mix)', 'CS-4158', 'DB00277', 'MCULE-8236489917', 'NC00542', 'NE11194', 'NSC-757346', 'Purine-2,3H)-dione, 1,3-dimethyl-', 'SDCCGMLS-0066620.P001', 'SDCCGSBI-0050003.P005', 'component of Theo-Organidin (Salt/Mix)', 'IDI1_000203', 'KS-000010T0', 'KS-0000477R', 'SMP1_000291', 'component of Slo-phyllin GG (Salt/Mix)', 'NCGC00018117-01', 'NCGC00018117-02', 'NCGC00018117-03', 'NCGC00018117-04', 'NCGC00018117-05', 'NCGC00018117-06', 'NCGC00018117-08', 'NCGC00018117-09', 'NCGC00018117-10', 'NCGC00018117-11', 'NCGC00018117-12', 'NCGC00018117-13', 'NCGC00018117-14', 'NCGC00018117-15', 'NCGC00018117-16', 'NCGC00018117-18', 'NCGC00018117-19', 'NCGC00018117-20', 'NCGC00018117-23', 'NCGC00022112-03', 'NCGC00022112-04', 'NCGC00022112-05', 'NCGC00022112-07', 'NCGC00022112-08', 'NCGC00022112-09', 'NCGC00022112-10', 'NCGC00022112-11', 'NCGC00022112-12', 'NCGC00254040-01', 'NCGC00259924-01', 'WLN: T56 BM DN FNVNVJ F1 H1', 'AC-20328', 'component of Dicurin Procaine (Salt/Mix)', 'NCI60_001736', 'SC-05534', 'SC-95891', 'SMR003435989', 'ST024762', 'Theophylline, anhydrous, &gt;=99%, powder', 'component of Primatene tablets (Salt/Mix)', 'Purine,6(1H,3H)-dione, 1,3-dimethyl-', 'SBI-0050003.P004', 'component of Mudrane GG elixir (Salt/Mix)', 'DB-053224', '1H-Purine-2, 3,7-dihydro-1,3-dimethyl-', 'AB00052106', 'FT-0631259', 'FT-0675140', 'N1442', 'NS00046597', '6461-EP1441224A2', '6461-EP2272835A1', '6461-EP2272841A1', '6461-EP2272844A1', '6461-EP2280006A1', '6461-EP2281813A1', '6461-EP2281815A1', '6461-EP2286811A1', '6461-EP2295434A2', '6461-EP2298305A1', '6461-EP2301933A1', '6461-EP2301936A1', '6461-EP2301937A1', '6461-EP2305219A1', '6461-EP2305640A2', '6461-EP2308562A2', '6461-EP2311827A1', '6461-EP2314590A1', 'C07130', 'D00371', '83377-EP2371823A1', 'AB00052106-20', 'AB00052106-22', 'AB00052106-23', 'AB00052106_24', 'AB00052106_25', 'AB00052106_26', '3,7-dihydro-1,3-dimethyl-1H- purine-2,6-dione', 'L000595', 'Q407308', '1,3-Dimethyl-3,7-dihydro-1H-purine-2,6-dione #', 'Q-201819', 'SR-01000075195-1', 'SR-01000075195-3', 'SR-01000075195-5', '1,3-Dimethyl-6-hydroxy-1,3-dihydro-2H-purin-2-one', 'BRD-K97799481-001-02-0', 'BRD-K97799481-001-12-9', 'BRD-K97799481-002-03-6', '1H-Purine-2,6-dione, 3,7-dihydro-1,3-dimethyl-, mo', 'F2173-0145', 'Z271004650', 'A3133D49-AAB6-49A1-B60B-B5198F327D3F', 'Theophylline, British Pharmacopoeia (BP) Reference Standard', 'Theophylline, European Pharmacopoeia (EP) Reference Standard', "(8alpha, 9S)-10,11-Dihydro-6'-methoxycinchonan-9-amine trihydrochloride, min. 90%", 'Theophylline melting point standard, United States Pharmacopeia (USP) Reference Standard', 'Theophylline solution, 1.0 mg/mL in methanol, ampule of 1 mL, certified reference material', 'Theophylline, Pharmaceutical Secondary Standard; Certified Reference Material', 'Theo-24;1,3-Dimethyl-3,7-dihydro-1H-purine-2,6-dione ;1,3-Dimethylxanthine;1,3-dimethyl-xanthin', 'Theophylline melting point standard, Pharmaceutical Secondary Standard; Certified Reference Material', 'Theophylline, certified reference material, United States Pharmacopeia (USP) Reference Standard']</t>
  </si>
  <si>
    <t>Compound(2153)</t>
  </si>
  <si>
    <t>C7H8N4O2</t>
  </si>
  <si>
    <t>[3-[(6-chloropyridin-3-yl)methyl]-1,3-thiazolidin-2-ylidene]cyanamide</t>
  </si>
  <si>
    <t>['Thiacloprid', '111988-49-9', 'Calypso', '(Z)-thiacloprid', 'Calypso 70WG', 'Thiacloprid [ISO:BSI]', '(E)-thiacloprid', '(3-((6-Chloro-3-pyridinyl)methyl)-2-thiazolidinylidene)cyanamide', 'UNII-DSV3A944A4', 'HSDB 7268', 'Cyanamide, [3-[(6-chloro-3-pyridinyl)methyl]-2-thiazolidinylidene]-', 'CHEMBL451432', 'DSV3A944A4', 'CHEBI:39176', '(Z)-N-(3-((6-Chloropyridin-3-yl)methyl)thiazolidin-2-ylidene)cyanamide', '[3-[(6-chloropyridin-3-yl)methyl]-1,3-thiazolidin-2-ylidene]cyanamide', '{(2Z)-3-[(6-chloropyridin-3-yl)methyl]-1,3-thiazolidin-2-ylidene}cyanamide', '{3-[(6-chloropyridin-3-yl)methyl]-1,3-thiazolidin-2-ylidene}cyanamide', '[3-(6-Chloro-3-pyridinylmethyl)-2-thiazolidinylidene]cyanamide', '[3-[(6-chloro-3-pyridinyl)methyl]-2-thiazolidinylidene]cyanamide', 'Cyanamide, (3-((6-chloro-3-pyridinyl)methyl)-2-thiazolidinylidene)-', '(Z)-[3-[(6-chloropyridin-3-yl)methyl]-1,3-thiazolidin-2-ylidene]cyanamide', 'Cyanamide, N-[3-[(6-chloro-3-pyridinyl)methyl]-2-thiazolidinylidene]-, [N(Z)]-;thiacloprid', 'DSSTox_CID_14961', 'DSSTox_RID_79228', 'DSSTox_GSID_34961', 'SCHEMBL26490', 'SCHEMBL26491', 'SCHEMBL237347', 'DTXSID7034961', 'CHEBI:39175', 'CTK8G5807', '3c84', 'HY-B1953', 'Tox21_300697', 'BDBM50251868', 'ZINC13828082', 'AKOS015897524', 'ZINC100057010', 'ZINC255976955', 'DB08620', 'CID 6011129', 'NCGC00164441-01', 'NCGC00164441-02', 'NCGC00164441-03', 'NCGC00164441-04', 'NCGC00254605-01', 'AS-35094', 'AT-19629', 'LS-55758', 'Thiacloprid 10 microg/mL in Acetonitrile', 'DB-017476', 'CAS-111988-49-9', 'CS-0014056', 'FT-0657423', 'NS00000448', 'C18512', 'Thiacloprid, PESTANAL(R), analytical standard', '988T499', 'A802461', 'Q416283', 'J-002682', 'Q63408702', 'Thiacloprid, certified reference material, TraceCERT(R)', 'N-(3-((6-Chloropyridin-3-yl)methyl)thiazolidin-2-ylidene)cyanamide', '(E)-[3-[(6-chloropyridin-3-yl)methyl]-1,3-thiazolidin-2-ylidene]cyanamide', '(E)-N-(3-((6-chloropyridin-3-yl)methyl)thiazolidin-2-ylidene)cyanamide', '(Z)-3-(6-chloro-3-pyridylmethyl)-1,3-thiazolidin-2-ylidenecyanamide', '[3-[(6-chloranylpyridin-3-yl)methyl]-1,3-thiazolidin-2-ylidene]cyanamide', 'N-(3-(6-chloro-pyridin-3-ylmethyl)-thiazolidin-2-ylidene)-cyanamide', '1119449-18-1', 'Pesticide5_Thiacloprid_C10H9ClN4S_Cyanamide, N-[(2Z)-3-[(6-chloro-3-pyridinyl)methyl]-2-thiazolidinylidene]-']</t>
  </si>
  <si>
    <t>Compound(115224)</t>
  </si>
  <si>
    <t>C10H9ClN4S</t>
  </si>
  <si>
    <t>(NE)-N-[3-[(2-chloro-1,3-thiazol-5-yl)methyl]-5-methyl-1,3,5-oxadiazinan-4-ylidene]nitramide</t>
  </si>
  <si>
    <t>['Thiamethoxam', '153719-23-4', 'Actara', 'Diacloden', 'Cruiser', 'Adage', 'Actara 2GR', 'Actara 25WG', 'Adage 5FS', 'Thiamethoxam [ISO]', '(E)-thiamethoxam', 'CGA 293343', 'CCRIS 9026', 'UNII-747IC8B487', 'n-(3-((2-chlorothiazol-5-yl)methyl)-5-methyl-1,3,5-oxadiazinan-4-ylidene)nitramide', '747IC8B487', 'AK405352', '3-((2-Chloro-5-thiazolyl)methyl)tetrahydro-5-methyl-N-nitro-4H-1,3,5-oxadiazin-4-imine', '4H-1,3,5-Oxadiazin-4-imine, 3-((2-chloro-5-thiazolyl)methyl)tetrahydro-5-methyl-N-nitro-', 'C8H10CLN5O3S', '(4E)-3-[(2-chloro-1,3-thiazol-5-yl)methyl]-5-methyl-N-nitro-1,3,5-oxadiazinan-4-imine', '4H-1,3,5-Oxadiazin-4-imine, 3-[(2-chloro-5-thiazolyl)methyl]tetrahydro-5-methyl-N-nitro-', 'HSDB 7938', '3-(2-chloro-thiazol-5-ylmethyl)-5-methyl-[1,3,5]oxadiazinan-4-ylidene-N-nitro-amine;thiamethoxam', 'PubChem20999', 'EC 428-650-4', '4H-1,3,5-Oxadiazin-4-imine, 3-(2-chloro-5-thiazolyl)methyltetrahydro-5-methyl-N-nitro-', 'SCHEMBL22916', 'CHEBI:39186', '(E)-N-(3-((2-chlorothiazol-5-yl)methyl)-5-methyl-1,3,5-oxadiazinan-4-ylidene)nitramide', 'HY-B0833', 'ZINC31361189', 'AKOS015963217', 'AC-8802', 'LS41200', '(NE)-N-[3-[(2-chloro-1,3-thiazol-5-yl)methyl]-5-methyl-1,3,5-oxadiazinan-4-ylidene]nitramide', 'AS-14085', 'LS-98976', 'CS-0012847', 'NS00010175', 'C18513', 'J90053', 'M-1317', 'Thiamethoxam, PESTANAL(R), analytical standard', 'A809460', 'Q1040678', '(NE)-N-[3-[(2-chloro-5-thiazolyl)methyl]-5-methyl-1,3,5-oxadiazinan-4-ylidene]nitramide', '3-(2-Chloro-thiazol-5-ylmethyl)-5-methyl(1,3,5)oxadiazinan-4-ylidene-N-nitroamine', '(NE)-N-[3-[(2-chloranyl-1,3-thiazol-5-yl)methyl]-5-methyl-1,3,5-oxadiazinan-4-ylidene]nitramide']</t>
  </si>
  <si>
    <t>Compound(5821911)</t>
  </si>
  <si>
    <t>C8H10ClN5O3S</t>
  </si>
  <si>
    <t>1,3-dimethyl-1-[5-(trifluoromethyl)-1,3,4-thiadiazol-2-yl]urea</t>
  </si>
  <si>
    <t>['Thiazafluron', 'Thiazfluron', 'Erbotan', 'Dmttu', '25366-23-8', 'Thiazafluron [BSI:ISO]', 'UNII-WX8ID0K28Q', 'THIAZAFLUORON', "2-(N,N'-Dimethylureido)-5-trifluoromethyl-1,3,4-thiadiazole", 'GS 29696', 'EINECS 246-901-4', 'BRN 0806900', 'WX8ID0K28Q', "N,N'-Dimethyl-N-(5-trifluoromethyl-1,3,4-thiadiazol-2-yl)urea", '1,3-Dimethyl-1-(5-trifluoromethyl-1,3,4-thiadiazol-2-yl)urea', '1,3-dimethyl-1-[5-(trifluoromethyl)-1,3,4-thiadiazol-2-yl]urea', "1,3,4-THIADIAZOLE, 2-(N,N'-DIMETHYLUREIDO)-5-TRIFLUOROMETHYL-", '1,3-dimethyl-1-(5-(trifluoromethyl)-1,3,4-thiadiazol-2-yl)urea', 'SCHEMBL135149', 'CHEBI:82215', 'DTXSID20180010', 'Thiazafluron;thiazfluron;Thiazfluron', 'ZINC2013511', 'Urea, 1,3-dimethyl-1-[5-(trifluoromethyl)-1,3,4-thiadiazol-2-yl]-', "Urea, N,N'-dimethyl-N-[5-(trifluoromethyl)-1,3,4-thiadiazol-2-yl]-", 'AKOS017343501', 'ACM25366238', 'LS-150289', 'FT-0712013', 'NS00004865', 'C19093', '33382-EP2305655A2', '33382-EP2311815A1', '33382-EP2371823A1', 'Thiazafluron, PESTANAL(R), analytical standard', 'C-56169', 'Q22808962', '1,3-Dimethyl-3-(5-trifluoromethyl-1,3,4-thiadiazol-2-yl)urea']</t>
  </si>
  <si>
    <t>Compound(32921)</t>
  </si>
  <si>
    <t>C6H7F3N4OS</t>
  </si>
  <si>
    <t>3-[(4-methoxy-6-methyl-1,3,5-triazin-2-yl)carbamoylsulfamoyl]thiophene-2-carboxylic acid</t>
  </si>
  <si>
    <t>['Thifensulfuron', '79277-67-1', '3-(N-((4-Methoxy-6-methyl-1,3,5-triazin-2-yl)carbamoyl)sulfamoyl)thiophene-2-carboxylic acid', 'UNII-R1O5RY2GKC', 'R1O5RY2GKC', 'C11H11N5O6S2', 'thiameturon', '79227-67-1', '2-Thiophenecarboxylic acid, 3-(((((4-methoxy-6-methyl-1,3,5-triazin-2-yl)amino)carbonyl)amino)sulfonyl)-', '2-Thiophenecarboxylic acid, 3-[[[[(4-methoxy-6-methyl-1,3,5-triazin-2-yl)amino]carbonyl]amino]sulfonyl]-', 'Thifensulfuron [ISO]', 'thifensulfuron acid', 'Thifensulfuron (free acid)', 'SCHEMBL65522', 'DTXSID1058185', 'CHEBI:132053', 'Thifensulfuron acid (IN-L9225)', '2399AC', 'ZINC26893049', 'AKOS015900290', 'VZ33864', '3-[(4-methoxy-6-methyl-1,3,5-triazin-2-yl)carbamoylsulfamoyl]thiophene-2-carboxylic acid', 'AX8153875', 'NS00009846', 'V0198', 'Thifensulfuron-methyl (free acid; IN-L9225)', '277T671', 'Q27225380', '3-(4-Methoxy-6-methy1-1-3,5-triazin-2-ylcarbamoylsulfamoy1)thiophen-2-carboxylic acid', '3-(4-methoxy-6-methyl-1,3,5-triazin-2-ylcarbamoylsulfamoyl)thiophene-2-carboxylic acid', '3-{[(4-methoxy-6-methyl-1,3,5-triazin-2-yl)carbamoyl]sulfamoyl}thiophene-2-carboxylic acid', "Spiro[benzofuran-2(3H),3'-pyrrolidine],1'-(phenylmethyl)-3-(1H-pyrrol-1-yl)-"]</t>
  </si>
  <si>
    <t>Compound(91729)</t>
  </si>
  <si>
    <t>C11H11N5O6S2</t>
  </si>
  <si>
    <t>methyl 3-[(4-methoxy-6-methyl-1,3,5-triazin-2-yl)carbamoylsulfamoyl]thiophene-2-carboxylate</t>
  </si>
  <si>
    <t>['Thifensulfuron-methyl', 'Thifensulfuron methyl', '79277-27-3', 'Harmony', 'Thiameturon-methyl', 'Pinnacle', 'Refine', 'Caswell No. 573S', 'UNII-5VFH25ES6F', 'hifensulfuron methyl', 'HSDB 7354', 'DPX-M 6316', 'INM 6316', 'methyl 3-[(4-methoxy-6-methyl-1,3,5-triazin-2-yl)carbamoylsulfamoyl]thiophene-2-carboxylate', 'EPA Pesticide Chemical Code 128845', '5VFH25ES6F', 'CHEBI:83453', 'DSSTox_CID_4124', 'Methyl 3-(4-methoxy-6-methyl-1,3,5-triazin-2-ylcarbamoylsulfamoyl)-2-thenoate', 'DSSTox_RID_77299', 'Methyl 3-(4-methoxy-6-methyl-1,3,5-triazin-2-ylcarbamoylsulfamoyl)thiophene-2-carboxylate', 'DSSTox_GSID_24124', 'Harmony GT', 'Refine DF', 'Harmony GT-XP', 'Pinnacle 25DF', '2-Thiophenecarboxylic acid, 3-(((((4-methoxy-6-methyl-1,3,5-triazin-2-yl)amino)carbonyl)amino)sulfonyl)-, methyl ester', '2-Thiophenecarboxylic acid, 3-[[[[(4-methoxy-6-methyl-1,3,5-triazin-2-yl)amino]carbonyl]amino]sulfonyl]-, methyl ester', 'methyl 3-{[(4-methoxy-6-methyl-1,3,5-triazin-2-yl)carbamoyl]sulfamoyl}thiophene-2-carboxylate', 'Harmony 75DF', 'CAS-79277-27-3', 'Thifensulfuron methyl ester', 'C12H13N5O6S2', 'Thifensulfuron-methyl [ISO:BSI]', 'Thifensulfuron-methyl [ANSI:ISO:BSI]', 'SCHEMBL53606', 'CHEMBL1904815', 'DTXSID1024124', 'SCHEMBL21300509', 'ZINC1532076', 'Tox21_202184', 'Tox21_303088', 'Thifensulfuron-methyl (DPX-M6316)', 'AKOS015895549', 'NCGC00164306-01', 'NCGC00164306-02', 'NCGC00257197-01', 'NCGC00259733-01', 'AC-18013', 'AS-12829', 'SC-77352', 'DB-056356', 'LS-153024', 'FT-0630865', 'NS00001276', 'A23920', 'C10957', '277T273', 'Q22808965', 'Thifensulfuron-methyl, PESTANAL(R), analytical standard', 'methyl 3-(N-(4-methoxy-6-methyl-1,3,5-triazin-2-ylcarbamoyl)sulfamoyl)thiophene-2-carboxylate', 'methyl 3-[({[(4-methoxy-6-methyl-1,3,5-triazin-2-yl)amino]carbonyl}amino)sulfonyl]thiophene-2-carboxylate', 'Methyl 3-{[(4-methoxy-6-methyl-1,3,5-triazin-2-yl)carbamoyl]sulfamoyl}-2-thiophenecarboxylate', 'thifensulfuron methyl;methyl 3-(4-methoxy-6-methyl-1,3,5-triazin-2-ylcarbamoylsulfamoyl)thiophene-2-carboxylate']</t>
  </si>
  <si>
    <t>Compound(73674)</t>
  </si>
  <si>
    <t>C12H13N5O6S2</t>
  </si>
  <si>
    <t>dimethylcarbamothioylsulfanyl N,N-dimethylcarbamodithioate</t>
  </si>
  <si>
    <t>['thiram', 'Tetramethylthiuram disulfide', '137-26-8', 'Thiuram', 'TMTD', 'Pomarsol', 'Thirame', 'Arasan', 'Fernasan', 'Nobecutan', 'Rezifilm', 'Thioscabin', 'Thirasan', 'Aapirol', 'Tersan', 'Tetrathiuram disulfide', 'Tetramethylthiuram', 'Falitiram', 'Formalsol', 'Hexathir', 'Kregasan', 'Mercuram', 'Normersan', 'Sadoplon', 'Spotrete', 'Tetrasipton', 'Thillate', 'Thiramad', 'Aatiram', 'Atiram', 'Fermide', 'Fernide', 'Hermal', 'Pomasol', 'Puralin', 'Thiosan', 'Thiotox', 'Thiulin', 'Thiulix', 'Heryl', 'Pomarsol forte', 'Methyl tuads', 'Polyram ultra', 'Accelerator T', 'Methyl Thiram', 'Fernasan A', 'Nocceler TT', 'Arasan-M', 'Bis(dimethylthiocarbamoyl) disulfide', 'Thiram B', 'Arasan-SF', 'Cyuram DS', 'Ekagom TB', 'Hermat TMT', 'Tetramethylenethiuram disulfide', 'Accel TMT', 'Accelerator thiuram', 'Aceto TETD', 'Radothiram', 'Royal TMTD', 'Tetramethyl-thiram disulfid', 'Fernacol', 'Sadoplon 75', 'Tetramethylthiuram bisulfide', 'Tetrapom', 'Thioknock', 'Thirampa', 'Thiramum', 'Anles', 'Arasan-SF-X', 'Aules', 'Thimer', 'Panoram 75', 'Tetramethylthiuram disulphide', 'Tetramethylthiurane disulfide', 'Arasan 70', 'Arasan 75', 'Tersan 75', 'Thiram 75', 'Thiram 80', 'Spotrete-F', 'TMTDS', 'Arasan 70-S Red', 'Tetramethylthioperoxydicarbonic diamide', 'Methylthiuram disulfide', 'Tetramethylthiouram disulfide', 'N,N-Tetramethylthiuram disulfide', 'Metiurac', 'Micropearls', 'Nomersan', 'Thianosan', 'Cunitex', 'Delsan', 'Metiur', 'Thimar', 'Teramethylthiuram disulfide', 'Tersantetramethyldiurane sulfide', 'Pol-Thiuram', 'Arasan 42-S', 'Tetramethylthiurum disulfide', 'Disulfure de tetramethylthiourame', 'Tetrathiuram disulphide', 'Sranan-sf-X', 'Bis(dimethylthiocarbamyl) disulfide', 'Hy-Vic', 'Chipco thiram 75', 'Bis(dimethyl-thiocarbamoyl)-disulfid', 'Orac TMTD', 'Tetramethylthioramdisulfide', 'Tetramethyldiurane sulphite', 'Thiotox (fungicide)', 'Disulfide, bis(dimethylthiocarbamoyl)', 'Bis((dimethylamino)carbonothioyl) disulfide', 'Fermide 850', 'Tetramethyl thiuramdisulfide', 'Tetramethylthiocarbamoyldisulphide', 'Thiuramyl', 'Thylate', 'Attack', 'Methyl thiuramdisulfide', 'Tetramethyl thiurane disulfide', 'Bis(dimethyl thiocarbamoyl)disulfide', 'Thirame [INN-French]', 'Thiramum [INN-Latin]', 'Thiuram D', 'Disolfuro di tetrametiltiourame', 'Tetramethyl thiurane disulphide', 'Tetramethylenethiuram disulphide', "N,N'-(Dithiodicarbonothioyl)bis(N-methylmethanamine)", 'SQ 1489', 'RCRA waste number U244', 'Flo Pro T Seed Protectant', 'Tetramethylthiuram bisulphide', 'Tetramethylthiuran disulphide', 'Tetramethylthiurum disulphide', 'Tetramethyl thiuram disulfide', 'Caswell No. 856', "alpha,alpha'-Dithiobis(dimethylthio)formamide", 'Thiotex', 'Thiurad', 'Tirampa', 'Tiuramyl', 'Trametan', 'Tridipam', 'Tripomol', 'Tyradin', 'Tuads', 'Tutan', 'Vulkacit mtic', "N,N,N',N'-Tetramethylthiuram disulfide", 'N,N-Tetramethylthiuram disulphide', 'Vulkacit thiuram', 'Thioperoxydicarbonic diamide, tetramethyl-', 'Thiuram M', 'Vulkacit TH', 'Tetramethylthioramdisulfide [Dutch]', 'Vulcafor TMT', 'Vulcafor TMTD', 'Bis((dimethylamino)carbonothioyl) disulphide', 'FMC 2070', 'NSC-1771', 'Bis(dimethylthiocarbamoyl) disulphide', 'Tetramethyl-thiram disulfid [German]', 'UNII-0D771IS0FH', "Formamide, 1,1'-dithiobis(N,N-dimethylthio-", 'dimethylcarbamothioylsulfanyl N,N-dimethylcarbamodithioate', 'Zaprawa Nasienna T', '[Me2NC(S)S]2', 'Vancida tm-95', 'Disulfuro di tetrametiltiourame', 'Arasan 42S', 'TUEX', 'CCRIS 1282', 'HSDB 863', 'Disolfuro di tetrametiltiourame [Italian]', 'Disulfuro di tetrametiltiourame [Italian]', 'Disulfure de tetramethylthiourame [French]', 'C6H12N2S4', 'ENT 987', 'NSC1771', 'Bis(dimethyl-thiocarbamoyl)-disulfid [German]', 'NSC 1771', 'VUAgT-I-4', 'EINECS 205-286-2', 'NSC 49512', 'NSC 59637', 'Thioperoxydicarbonic diamide ([(H2N)C(S)]2S2), tetramethyl-', 'RCRA waste no. U244', 'EPA Pesticide Chemical Code 079801', 'NSC 622696', '[disulfanediylbis(carbonothioylnitrilo)]tetramethane', 'BRN 1725821', 'Thiuram M rubber accelerator', 'AI3-00987', 'MLS000069752', 'MLS002702972', '0D771IS0FH', 'CHEBI:9495', 'Thiuram disulfide, tetramethyl-', 'DTXSID5021332', 'Thiuram-M', 'Thioperoxydicarbonic diamide (((H2N)C(S))2S2), tetramethyl-', 'Tetramethylthiuram disulfide, 97%', 'NSC49512', 'CCG-35460', 'NSC622696', 'TNTD', 'NCGC00091563-01', 'SMR000059023', 'Thioperoxydicarbonic diamide ((H2N)C(S))2S2, tetramethyl-', '[dithiobis(carbonothioylnitrilo)]tetramethane', 'DSSTox_CID_1332', 'DSSTox_RID_76087', ".alpha.,.alpha.'-Dithiobis(dimethylthio)formamide", 'DSSTox_GSID_21332', 'Granuflo', 'Thiuramin', "N,N',N'-Tetramethylthiuram disulfide", 'TMT Disulfide', '(dimethylamino){[(dimethylamino)thioxomethyl]disulfanyl}methane-1-thione', "Thioperoxydicarbonic diamide (((H2N)C(S))2S2), N,N,N',N'-tetramethyl-", "Thioperoxydicarbonic diamide ([(H2N)C(S)]2S2), N,N,N',N'-tetramethyl-", 'CAS-137-26-8', "Formamide,1'-dithiobis(N,N-dimethylthio-", 'Bis[(dimethylamino)carbonothioyl] disulfide', 'Attack [Antifungal]', 'NSC59637', 'Thiram [USAN:INN]', 'WLN: 1N1 &amp; YUS &amp; SSYUS &amp; N1 &amp; 1', 'tiramo', 'Basultra', 'Betoxin', 'Tiradin', 'Accelerant T', 'Ziram metabolite', 'Arasan m', 'Vulkazam S', 'Vanguard GF', 'Vancide TM', 'Akrochem TMTD', 'Perkacit TMTD', 'Vulkacit DTMT', 'Robac TMT', 'Thiram (Tmtd)', 'Rezifilm (TN)', 'Arasan 50 red', 'Spotrete WP 75', 'MFCD00008325', 'Vancide TM-95', 'Naftocit thiuram 16', 'Thiram [BSI:ISO]', 'Spectrum_001687', 'Thiram (USAN/INN)', 'Agrichem flowable thiram', 'Spectrum2_001554', 'Spectrum3_001592', 'Spectrum4_000860', 'Spectrum5_001653', 'bmse000928', 'EC 205-286-2', 'NCIMech_000272', 'cid_5455', 'NCIOpen2_007854', 'SCHEMBL21144', 'BSPBio_003184', 'KBioGR_001499', 'KBioSS_002167', '4-04-00-00242 (Beilstein Handbook Reference)', 'KSC491C8F', 'BIDD:ER0359', 'DivK1c_000741', 'SPECTRUM1503322', 'SPBio_001428', 'CHEMBL120563', 'Thiram [USAN:INN:BSI:ISO]', 'BDBM43362', 'CTK3J1182', 'HMS502F03', 'KBio1_000741', 'KBio2_002167', 'KBio2_004735', 'KBio2_007303', 'KBio3_002684', 'KUAZQDVKQLNFPE-UHFFFAOYSA-', 'ENT-987', 'NINDS_000741', 'HMS1922A12', 'HMS2093E03', 'HMS2234B08', 'HMS3374C05', 'Pharmakon1600-01503322', 'KS-00000Z7X', 'ZINC1532176', 'Thiram 10 microg/mL in Cyclohexane', 'Tox21_111150', 'Tox21_201569', 'Tox21_301102', 'LS-803', 'NSC-49512', 'NSC758454', 's2431', 'SBB000804', 'STL264104', 'Thiram / Tetramethylthiuram disulfide', 'AKOS000120200', 'bis (dimethyl thiocarbamoyl) disulfide', 'Bis(dimethylaminothiocarbonyl)disulfide', 'Tox21_111150_1', 'DB13245', 'KS-5354', 'MCULE-4171536161', 'NSC-622696', 'NSC-758454', 'SQ-1489', 'IDI1_000741', 'QTL1_000082', 'NCGC00091563-02', 'NCGC00091563-03', 'NCGC00091563-04', 'NCGC00091563-05', 'NCGC00091563-06', 'NCGC00091563-07', 'NCGC00091563-08', 'NCGC00091563-09', 'NCGC00091563-10', 'NCGC00091563-12', 'NCGC00255002-01', 'NCGC00259118-01', 'CC-34914', 'NCI60_001477', 'NCI60_006736', 'SC-18941', 'ST044501', 'Thiram (Tetramethylthiuramdisulfide.TMTD)', 'SBI-0051813.P002', 'Thiram, PESTANAL(R), analytical standard', 'DB-042384', 'B0486', 'CS-0012858', 'Disulfide, bis(dimethylthiocarbamoyl)-;thiram', 'FT-0631799', 'NS00009398', '37T268', 'C11160', 'D06114', '26833-EP2280009A1', '26833-EP2305658A1', '26833-EP2314583A1', 'AB00052345_10', 'C-31381', 'Q416572', 'SR-01000736911', 'J-006992', 'J-524968', 'SR-01000736911-2', 'Thiram, certified reference material, TraceCERT(R)', 'BRD-K29254801-001-06-3', 'F0001-0468', 'TETRAMETHYLTHIOPEROXYDICARBONIC ACID [(H2N)C(S)]2S2', 'N,N-Dimethyl[(dimethylcarbamothioyl)-disulfanyl]carbothioamide', 'N,N-dimethyl[(dimethylcarbamothioyl)disulfanyl]carbothioamide', '1-(dimethylthiocarbamoyldisulfanyl)-N,N-dimethyl-methanethioamide', 'N,N-dimethylcarbamodithioic acid (dimethylthiocarbamoylthio) ester', '1-(3-{[hydroxy(methoxy)methylidene]amino}phenoxy)-N-(3-methylphenyl)methanimidic acid', 'N(1),N(1),N(3),N(3)-tetramethyl-2-dithioperoxy-1,3-dithiodicarbonic diamide', 'N,N-dimethylcarbamodithioic acid [[dimethylamino(sulfanylidene)methyl]thio] ester']</t>
  </si>
  <si>
    <t>Compound(5455)</t>
  </si>
  <si>
    <t>C6H12N2S4</t>
  </si>
  <si>
    <t>tiamulin</t>
  </si>
  <si>
    <t>[(1S,2R,3S,4S,6R,7R,8R,14R)-4-ethenyl-3-hydroxy-2,4,7,14-tetramethyl-9-oxo-6-tricyclo[5.4.3.01,8]tetradecanyl] 2-[2-(diethylamino)ethylsulfanyl]acetate</t>
  </si>
  <si>
    <t>['Tiamulin', 'Tiamulina', 'Tiamuline', 'Tiamulinum', '55297-95-5', 'Tiamulin pamoate', 'UNII-E38WZ4U54R', 'Denagard (TN)', 'Thiamutilin', 'Denagard', 'E38WZ4U54R', 'CHEBI:44137', 'Tiavet P', 'Tiamulina [Italian]', 'Tiamuline [INN-French]', 'Tiamulinum [INN-Latin]', 'Tiamulina [INN-Spanish]', 'HSDB 7026', 'EINECS 259-580-0', 'BRN 2229396', 'SQ 14055', '(3aS,4R,5S,6S,8R,9R,9aR,10R)-6-ethenyl-5-hydroxy-4,6,9,10-tetramethyl-1-oxodecahydro-3a,9-propanocyclopenta[8]annulen-8-yl {[2-(diethylamino)ethyl]sulfanyl}acetate', 'Acetic acid, [[2-(diethylamino)ethyl]thio]-,(3aS,4R,5S,6S,8R,9R,9aR,10R)-6-ethenyldecahydro-5-hydroxy-4,6,9,10-tetramethyl-1-oxo-3a,9-propano-3aH-cyclopentacycloocten-8-ylester', 'AC1LCVRY', '14-Deoxy-14-((2-diethylaminoethyl-thio)-acetoxy)mutiline', 'Tiamulin [USAN:USP:INN:BAN]', '((2-(Diethylamino)ethyl)thio)acetic acid 8-ester with (3aS,4R,5S,6S,8R,9R,9aR,10R)-octahydro-5,8-dihydroxy-4,6,9,10)-tetramethyl-6-vinyl-3a,9-propano-3aH-cyclopentacycloocten-1(4H)-one', '((2-(Diethylamino)ethyl)thio)acetic acid 8-ester with (3aS,4R,5S,6S,8R,9R,9aR,10R)-octahydro-5,8-dihydroxy-4,6,9,10-tetramethyl-6-vinyl-3a,9-propano-3aH-cyclopentacycloocten-1(4H)-one', 'Tiamulin (USP/INN)', 'CHEMBL1234521', 'DTXSID2046701', 'SCHEMBL18232392', '(hydroxy-tetramethyl-oxo-vinyl-[?]yl) 2-(2-diethylaminoethylsulfanyl)acetate', 'Acetic acid, ((2-(diethylamino)ethyl)thio)-, 6-ethenyldecahydro-5-hydroxy-4,6,9,10-tetramethyl-1-oxo-3a,9-propano-3aH-cyclopentacycloocten-8-yl ester (3aS-(3aalpha,4beta,5alpha,6alpha,8beta,9alpha,9abeta,10S*))-', 'HY-B2060', 'ZINC4217557', 'BBL036673', 'STL559052', 'DB11468', '((2-(Diethylamino)ethyl)thio)-, 6-ethenyldecahydro-5-hydroxy-4,6,9,10-tetramethyl-1-oxo-3a,9-propano-3aH-cyclopentacycloocten-8-yl ester (3aS-(3aalpha,4beta,5alpha,6alpha,8beta,9alpha,9abeta,10S*))-', 'AK115102', 'SO 14055', 'AX8154085', 'CS-0014153', 'C12065', 'D06127', 'Q7800111', '(1S,2R,3S,4S,6R,8R,14R)-3-Hydroxy-2,4,7,14-tetramethyl-9-oxo-4-vinyltricyclo[5.4.3.0~1,8~]tetradec-6-yl {[2-(diethylamino)ethyl]sulfanyl}acetate', '(3aS,4R,5S,6S,8R,9R,9aR,10R)-5-hydroxy-4,6,9,10-tetramethyl-1-oxo-6-vinyldecahydro-3a,9-propanocyclopenta[8]annulen-8-yl {[2-(diethylamino)ethyl]sulfanyl}acetate', '(3aS,4R,5S,6S,8R,9R,9aR,10R)-6-Ethenyl-5-hydroxy- 4,6,9,10-tetramethyl-1-oxodecahydro-3a,9-propano-3aH-cyclopentacycloocten-8-yl [[2-(diethylamino)ethyl]sulfanyl]acetate', '3-[2-[3-[[4-[[[(2R,3S,4R,5R)-5-(6-aminopurin-9-yl)-4-hydroxy-3-phosphonooxy-tetrahydrofuran-2-yl]methoxy-hydroxy-phosphoryl]oxy-hydroxy-phosphoryl]oxy-2-hydroxy-3,3-dimethyl-butanoyl]amino]propanoylamino]ethylsulfanylcarbonyl]-4-hydroxy-4-(2-naphthyl)butanoic acid', 'Acetic acid, ((2-(diethylamino)ethyl)thio)-, (3aS,4R,5S,6S,8R,9R,9aR,10R)-6-ethenyldecahydro-5-hydroxy-4,6,9,10-tetramethyl-1-oxo-3a,9-propano-3aH-cyclopentacycloocten-8-yl ester']</t>
  </si>
  <si>
    <t>Compound(656958)</t>
  </si>
  <si>
    <t>C28H47NO4S</t>
  </si>
  <si>
    <t>tilmicosin</t>
  </si>
  <si>
    <t>(4R,5S,6S,7R,9R,11E,13E,15R,16R)-6-[(2R,3R,4S,5S,6R)-4-(dimethylamino)-3,5-dihydroxy-6-methyloxan-2-yl]oxy-7-[2-[(3R,5S)-3,5-dimethylpiperidin-1-yl]ethyl]-16-ethyl-4-hydroxy-15-[[(2R,3R,4R,5R,6R)-5-hydroxy-3,4-dimethoxy-6-methyloxan-2-yl]oxymethyl]-5,9,13-trimethyl-1-oxacyclohexadeca-11,13-diene-2,10-dione</t>
  </si>
  <si>
    <t>['Tilmicosin', '108050-54-0', 'Micotil 300', 'Tilmicosine [INN-French]', 'Tilmicosinum [INN-Latin]', 'Tilmicosina [INN-Spanish]', 'UNII-XL4103X2E3', 'HSDB 7446', 'C46H80N2O13', 'XL4103X2E3', '4(sup A)-O-de(2,6-Dideoxy-3-C-methyl-alpha-L-ribo-hexopyranosyl)-20-deoxo-20-(cis-3,5-dimethylpiperidino)tylosin', 'Tilmicosina', 'Tilmicosine', 'Tilmicosinum', 'Tylosin, 4(sup A)-O-de(2,6-dideoxy-3-C-methyl-alpha-L-ribo-hexopyranosyl)-20-deoxo-20-(3,5-dimethyl-1-piperidinyl)-, 20(cis)-', 'Tylosin, 4A-O-de(2,6-dideoxy-3-C-methyl-alpha-L-ribo-hexopyranosyl)-20-deoxo-20-(3,5-dimethyl-1-piperidinyl)-', 'Ly177370', 'Tilmicosin [USAN:INN:BAN]', 'Tilmicosin [USAN:USP:INN:BAN]', 'NCGC00096003-01', 'LY-177370;EL-870', 'Micotil (TN)', 'EL-870', 'Tilmicosin (USP/INN)', 'DSSTox_CID_26011', 'DSSTox_RID_81287', 'DSSTox_GSID_46011', 'SCHEMBL149192', 'CHEMBL1908333', 'DTXSID5046011', 'EL870', 'ACT06683', 'HY-B0905', 'Tox21_111546', 'MFCD00864842', 's4122', 'ZINC238809114', 'ZINC245204941', 'CCG-270545', 'DB11471', 'NCGC00348375-01', 'NCGC00348375-02', '(4R,5S,6S,7R,9R,11E,13E,15R,16R)-6-[(2R,3R,4S,5S,6R)-4-(dimethylamino)-3,5-dihydroxy-6-methyloxan-2-yl]oxy-7-[2-[(3S,5R)-3,5-dimethylpiperidin-1-yl]ethyl]-16-ethyl-4-hydroxy-15-[[(2R,3R,4R,5R,6R)-5-hydroxy-3,4-dimethoxy-6-methyloxan-2-yl]oxymethyl]-5,9,13-trimethyl-1-oxacyclohexadeca-11,13-diene-2,10-dione', 'LS-172063', 'CAS-108050-54-0', 'D02492', 'AB01566912_01', '050T540', 'Q722387', 'Tilmicosine, Antibiotic for Culture Media Use Only', 'Q-100992', '20-Deoxo-20-(3,5-dimethyl-1-piperidinyl)desmycosin', '(4R,5S,6S,7R,9R,11E,13E,15R,16R)-6-[(2R,3R,4S,5S,6R)-4-(dimethylamino)-3,5-dihydroxy-6-methyloxan-2-yl]oxy-7-[2-[(3S,5R)-3,5-dimethylpiperidin-1-yl]ethyl]-16-ethyl-4-hydroxy-15-[[(2R,3R,4R,5R,6R)-5-hy', '4A-O-De(2,6-dideoxy-3-C-methyl-a-L-ribo-hexopyranosyl)-20-deoxo-20-(3,5-dimethyl-1-piperidinyl)tylosin', 'droxy-3,4-dimethoxy-6-methyloxan-2-yl]oxymethyl]-5,9,13-trimethyl-1-oxacyclohexadeca-11,13-diene-2,10-dione', 'Tylosin, 4A-O-de(2,6-dideoxy-3-C-methyl-alpha-L-ribo-hexopyranosyl)-20-deoxo-20-((3R,5S)-3,5-dimethyl-1-piperidinyl)-']</t>
  </si>
  <si>
    <t>Compound(5282521)</t>
  </si>
  <si>
    <t>C46H80N2O13</t>
  </si>
  <si>
    <t>trans-mevinphos</t>
  </si>
  <si>
    <t>methyl (Z)-3-dimethoxyphosphoryloxybut-2-enoate</t>
  </si>
  <si>
    <t>['(Z)-Mevinphos', 'beta-Mevinphos', 'trans-Phosdrin', 'cis-Mevinphos', 'trans-Mevinphos', '338-45-4', 'UNII-3L63962IYU', 'EINECS 206-417-6', '3L63962IYU', 'Methyl 3-[(dimethoxyphosphinyl)oxy]crotonate', 'Methyl 3-((dimethoxyphosphinyl)oxy)isocrotonate', 'W-109521', '2-Butenoic acid, 3-((dimethoxyphosphinyl)oxy)-, methyl ester, (Z)-', 'CROTONIC ACID, 3-HYDROXY-, METHYL ESTER, DIMETHYL PHOSPHATE, (Z)-', 'Methyl 3-[(dimethoxyphosphinyl)oxy]isocrotonate', 'Z-Mevinphos', 'methyl (Z)-3-dimethoxyphosphoryloxybut-2-enoate', 'Mevinphos isomer 2', 'SCHEMBL3429514', 'DTXSID7042481', 'ZINC1678155', 'ACM338454', '(Z)-Mevinphos (trans-butenoic acid)', 'CIS-MEVINPHOS PESTANAL  50 MG', 'LS-55589', 'methyl 3-(dimethoxyphosphinyloxy)-crotonate', 'Q27257497', 'methyl 3-[(dimethoxyphosphinyl)oxy]isocrotonate;Mevinphos', 'UNII-14ZYO4IKXT component GEPDYQSQVLXLEU-WAYWQWQTSA-N', 'METHYL (2Z)-3-[(DIMETHOXYPHOSPHORYL)OXY]BUT-2-ENOATE', '(Z)-Mevinphos solution, 100 mug/mL in acetonitrile, PESTANAL(R), analytical standard']</t>
  </si>
  <si>
    <t>Compound(6433175)</t>
  </si>
  <si>
    <t>thiocyanate (anion)</t>
  </si>
  <si>
    <t>methyl (1E)-N-[methyl-[methyl-[(E)-1-methylsulfanylethylideneamino]oxycarbonylamino]sulfanylcarbamoyl]oxyethanimidothioate</t>
  </si>
  <si>
    <t>['THIODICARB', 'Dicarbasulf', 'Larvin', '59669-26-0', 'C10H18N4O4S3', 'DSSTox_CID_12578', 'DSSTox_RID_78993', 'DSSTox_GSID_32578', 'SCHEMBL471158', 'CHEMBL1864989', 'DTXSID0032578', 'XDOTVMNBCQVZKG-MKICQXMISA-', "Dimethyl N,N'-[thiobis[(methylimino)carbonyloxy]]bis(thioimidoacetate);thiodicarb", 'Tox21_300855', 'ZINC25723516', 'AKOS015960918', 'CS-W014483', 'HY-W013767', 'NCGC00163872-01', 'NCGC00163872-02', 'NCGC00163872-03', 'NCGC00254758-01', 'AC-12585', 'AS-74993', 'S337', 'CAS-59669-26-0', 'NS00008451', '669T260', '(1-methylsulfanylethylideneamino) N-methyl-N-[methyl-(1-methylsulfanylethylidene', "Dimethyl (1E,1'E)-N,N'-{sulfanediylbis[(methylcarbamoyl)oxy]}diethanimidothioate", '(E)-[1-(methylsulfanyl)ethylidene]amino N-methyl-N-{[(3E)-3-methyl-6-oxo-5-oxa-2-thia-4,7-diazaoct-3-en-7-yl]sulfanyl}carbamate', 'methyl (1E)-N-[methyl-[methyl-[(E)-1-methylsulfanylethylideneamino]oxycarbonylamino]sulfanylcarbamoyl]oxyethanimidothioate', 'methyl N-[methyl-[methyl-(1-methylsulfanylethylideneamino)oxycarbonylamino]sulfanylcarbamoyl]oxyethanimidothioate']</t>
  </si>
  <si>
    <t>Compound(9601227)</t>
  </si>
  <si>
    <t>C10H18N4O4S3</t>
  </si>
  <si>
    <t>ethanethioamide</t>
  </si>
  <si>
    <t>['THIOACETAMIDE', 'Ethanethioamide', '62-55-5', 'Acetothioamide', 'Thiacetamide', 'Acetamide, thio-', 'Thioacetimidic acid', 'Acetimidic acid, thio-', 'USAF CB-21', 'USAF EK-1719', 'RCRA waste number U218', 'TAA', 'Acetic acid, thiono-, amide', 'methylthioamide', 'thioacetoamide', 'Thioactamide', 'NSC 2120', 'CCRIS 584', 'Ethanimidothioic acid', 'acetic acid thioamide', 'UNII-075T165X8M', 'HSDB 1318', 'EINECS 200-541-4', 'MFCD00008070', 'RCRA waste no. U218', 'AI3-17220', 'CHEBI:32497', '075T165X8M', 'Thiacetamid', 'Thioacetamide, 99+%, ACS reagent', 'C2H5NS', 'thioacteamide', 'thioacetamide ts', 'CH3CSNH2', 'DSSTox_CID_1340', 'Acetamide, thio- (VAN)', 'bmse000781', 'Thioacetamide, ACS reagent', 'EC 200-541-4', 'WLN: ZY1&amp;US', 'DSSTox_RID_76094', 'DSSTox_GSID_21340', 'Ethanethioamide;Acetothioamide', 'KSC353K1F', 'CHEMBL38737', 'ACMC-209n54', 'DTXSID9021340', 'CTK1I2097', 'CTK2F3512', 'KS-00000WAJ', 'YUKQRDCYNOVPGJ-UHFFFAOYSA-', 'NSC2120', 'Acetamide, thio- (VAN) (8CI)', 'BCP30336', 'NSC-2120', 'STR00411', 'Thioacetamide, reagent grade, 98%', 'Tox21_301295', 'ANW-34262', 'STL199139', 'ZINC40454337', 'AKOS000119931', 'CS-W018499', 'LS-1480', 'MCULE-4635097605', 'NE61979', 'CAS-62-55-5', 'NCGC00257539-01', 'Thioacetamide, ACS reagent, &gt;=99.0%', 'BP-10926', 'SC-17261', 'Thioacetamide, p.a., ACS reagent, 99%', 'DB-000689', 'FT-0631278', 'NS00006989', 'AZ0001-0070', 'Thioacetamide, Vetec(TM) reagent grade, 98%', 'C19302', '10791-EP2292227A2', '10791-EP2301536A1', '10791-EP2301538A1', '10791-EP2308856A1', '10791-EP2311455A1', '10791-EP2316452A1', '67512-EP2292227A2', '67512-EP2292621A1', '67512-EP2308839A1', 'A833844', 'Q416253', 'J-520440', 'F0001-1649', 'Thioacetamide, ACS reagent, for the precipitation (of heavy metals), &gt;=99.0%', '65680-21-9']</t>
  </si>
  <si>
    <t>Compound(2723949)</t>
  </si>
  <si>
    <t>C2H5NS</t>
  </si>
  <si>
    <t>S-[(4-chlorophenyl)methyl] N,N-diethylcarbamothioate</t>
  </si>
  <si>
    <t>['THIOBENCARB', 'Benthiocarb', '28249-77-6', 'Bolero', 'Saturn', 'Saturno', 'Siacarb', 'Saturn (Pesticide)', 'Thiobencarbe', 'Benthiocarb [ISO]', 'S-4-Chlorobenzyl diethylthiocarbamate', 'Caswell No. 207DA', 'IMC 3950', 'Thiobencarbe [ISO-French]', 'UNII-90LN6Y7I7H', 'Thiobencarb [ANSI:BSI:ISO]', 'HSDB 6846', 'S-(4-Chlorobenzyl) N,N-diethylthiocarbamate', 'S-(4-Chlorobenzyl)-N,N-diethylthiocarbamate', 'EINECS 248-924-5', 'S-((4-Chlorophenyl)methyl)diethylcarbamothioate', 'EPA Pesticide Chemical Code 108401', 'BRN 1968440', 'S-[(4-chlorophenyl)methyl] N,N-diethylcarbamothioate', 'Carbamic acid, diethylthio-, S-(p-chlorobenzyl) ester', '90LN6Y7I7H', 'CHEBI:35011', '(S-(4-Chlorobenzyl)N,N-diethylthiolcarbamate)', 'Carbamothioic acid, diethyl-, S-[(4-chlorophenyl)methyl] ester', 'B-3015', 'S-((4-Chlorophenyl)methyl) diethylcarbamothioate', 'S-4-chlorobenzyl diethylcarbamothioate', 'S-(p-Chlorobenzyl) diethylthiocarbamate', 'S-(4-Chlorobenzyl) diethylthiocarbamate', 'Diethyl-carbamothioic acid, S-((4-chlorophenyl)methyl) ester', 'Carbamothioic acid, diethyl-, S-((4-chlorophenyl)methyl) ester', 'DSSTox_CID_4337', 'DSSTox_RID_77372', 'DSSTox_GSID_24337', 'CAS-28249-77-6', 'C12H16ClNOS', 'Thiobencarb (Benthiocarb)', 'S-(p-Chlorobenzyl) diethylthiocarbamate (8CI)', 'SCHEMBL65110', 'BIDD:ER0439', 'CHEMBL388559', 'DTXSID6024337', 'CTK8E7948', 'p-Chlorobenzyl diethylthiolcarbamate', 'ZINC4655103', 'Tox21_202360', 'Tox21_301155', 'MFCD00055475', 'AKOS015967031', 'p-Chlorobenzyl N,N-diethylthiolcarbamate', 'NCGC00164300-01', 'NCGC00164300-02', 'NCGC00164300-03', 'NCGC00164300-04', 'NCGC00255053-01', 'NCGC00259909-01', 'S-(4-Chlorobenzyl) diethylthiolcarbamate', 'Thiobencarb 10 microg/mL in Cyclohexane', 'CC-24282', 'LS-49341', 'O544', 'DB-047359', 'FT-0630539', 'NS00004130', 'B 3015', 'C14428', 'Thiobencarb, PESTANAL(R), analytical standard', 'thiobencarb;S-4-chlorobenzyl diethylthiocarbamate', '249T776', 'A819387', 'C-16039', 'J-017015', 'Q4392804', 'N,N-diethylcarbamothioic acid S-[(4-chlorophenyl)methyl] ester', 'Pesticide3_Thiobencarb_C12H16ClNOS_S-(4-Chlorobenzyl) diethylcarbamothioate']</t>
  </si>
  <si>
    <t>Compound(34192)</t>
  </si>
  <si>
    <t>S-benzyl N,N-di(butan-2-yl)carbamothioate</t>
  </si>
  <si>
    <t>['Tiocarbazil', 'Triocarbazil', '36756-79-3', 'Tiocarbenil', 'DREPAMON', 'Caswell No. 082AA', 'Tiocarbazil [BSI:ISO]', 'S-Benzyl di-sec-butylthiocarbamate', 'UNII-UO440RHO7T', 'EINECS 253-190-4', 'EPA Pesticide Chemical Code 110701', 'N,N-Di-sec-butyl-S-benzylthiocarbamate', 'BRN 1972813', 'UO440RHO7T', 'S-Benzyl N,N-di-sec-butyl thiocarbamate', 'S-Benzyl-N,N-di-sec-butyl thiocarbamate', 'M-3432', 'S-Phenylmethyl-N,N-bis(1-methylpropyl)carbamothioate', 'S-Benzyl-N,N-di-sec-butylthiocarbamate', 'Carbamothioic acid, bis(1-methylpropyl)-, S-(phenylmethyl) ester', 'Carbamic acid, di-sec-butylthio-, S-benzyl ester', 'Tiocarbazil (I)', 'Tiocarbazil (II)', 'S-benzyl N,N-di(butan-2-yl)carbamothioate', 'SCHEMBL65715', 'DTXSID6034425', 'CHEBI:82045', 'S-(Phenylmethyl) bis(1-methylpropyl)carbamothioate (9CI)', 'S-benzyl di-sec-butylcarbamothioate', 'CC-35070', 'LS-49241', 'Drepamon;S-benzyl di-sec-butylthiocarbamate', 'FT-0630596', 'NS00015412', 'C18898', 'C-17593', 'S-(Phenylmethyl) bis(1-methylpropyl)carbamothioate', 'Q27155706']</t>
  </si>
  <si>
    <t>Compound(37523)</t>
  </si>
  <si>
    <t>C16H25NOS</t>
  </si>
  <si>
    <t>N,N-dimethyltrithian-5-amine</t>
  </si>
  <si>
    <t>['Thiocyclam', '31895-21-3', 'Thiocyclame', 'Sultamine', 'N,N-dimethyl-1,2,3-trithian-5-amine', '5-(Dimethylamino)-1,2,3-trithiane', 'Thiocyclam [BSI:ISO]', 'N,N-Dimethyl-1,2,3-trithian-5-ylamine', 'Thiocyclame [ISO-French]', 'UNII-9YQ0903F7V', 'BRN 4738857', '1,2,3-Trithian-5-amine, N,N-dimethyl-', 'CHEBI:4947', '9YQ0903F7V', 'N,N-dimethyltrithian-5-amine', 'Thiocyclam (Evisekt)', 'N,N-Dimethyl-1,2,3-trithian-5-amine (9CI)', 'SCHEMBL27258', 'CHEMBL1551939', 'DTXSID9047209', 'AKOS006273377', 'NCGC00166130-01', 'LS-157728', 'NS00000070', 'C11473', '26911-EP2274983A1', '26911-EP2275422A1', '26911-EP2280009A1', '26911-EP2305658A1', '26911-EP2308858A1', '26911-EP2311816A1', '26911-EP2311817A1', '26911-EP2314583A1', '895T213', 'Q15632827', 'Thiocyclam;Bis(1,2,3-trithiacyclohexyldimethylammonium) oxalate;bis(1,2,3-trithiacyclohexyldimethylammonium) oxalate;Thiocyclam oxalate']</t>
  </si>
  <si>
    <t>Compound(35970)</t>
  </si>
  <si>
    <t>C5H11NS3</t>
  </si>
  <si>
    <t>thiophanate-methyl</t>
  </si>
  <si>
    <t>methyl N-[[2-(methoxycarbonylcarbamothioylamino)phenyl]carbamothioyl]carbamate</t>
  </si>
  <si>
    <t>['Thiophanate-methyl', '23564-05-8', 'THIOPHANATE METHYL', 'Thiophanate M', 'Methylthiofanate', 'Methylthiophanate', 'Mildothane', 'Neotopsin', 'Fungo', 'Cercobin methyl', 'Methyl topsin', 'Topsin Methyl', 'Methyl thiophanate', 'Caligran', 'Cycosin', 'Metoben', 'Thiopan', 'Easout', 'Enovit methyl', 'Enovit Super', 'Cercobin M', 'Enovit M', 'Topsin M', 'Sipcaplant', 'Sipcasan', 'Sipcavit', 'Trevin', 'Ditek', 'Rilon', 'Topsin NF-44', 'Topsin wp methyl', 'Pelt 14', 'Fungo 50', 'NF 44', 'Tiofanate metile', 'Topsin-M', 'o-Bis(3-methoxycarbonyl-2-thioureido)benzene', 'Topsin turf and ornamentals', 'BAS 32500F', '1,2-Bis(methoxycarbonylthioureido)benzene', 'Topsin NF 44', 'Caswell No. 375A', 'TD 1771', "Dimethyl 4,4'-o-phenylenebis(3-thioallophanate)", 'PEI 190', 'Tiofanate metile [Italian]', 'PELT-44', 'F 6385', 'NSC 170811', 'UNII-K4N81R84L8', '1,2-Di-(3-methoxycarbonyl-2-thioureido)benzene', 'CCRIS 6101', 'HSDB 6937', 'Pelt 44', 'C12H14N4O4S2', 'EINECS 245-740-7', 'Thiophanate-methyl [ANSI:BSI:ISO]', 'RCRA waste no. U409', 'EPA Pesticide Chemical Code 102001', '1,2-Bis(3-(methoxycarbonyl)-2-thioureido)benzene', 'BRN 0937942', 'AI3-27905', 'CHEBI:35014', 'K4N81R84L8', '1,2-Bis[3-(methoxycarbonyl)-2-thioureido]benzene', 'Carbamic acid, [1,2-phenylenebis(iminocarbonothioyl)]bis-, dimethyl ester', 'dimethyl (1,2-phenylenedicarbamothioyl)biscarbamate', 'methyl N-[[2-(methoxycarbonylcarbamothioylamino)phenyl]carbamothioyl]carbamate', 'DIMETHYL 4,4-o-PHENYLENE-BIS (3-THIOPHANATE)', 'Dimethyl ((1,2-phenylene)bis-(iminocarbonothioyl))bis(carbamate)', 'DSSTox_CID_4338', 'Carbamic acid, (1,2-phenylenebis(iminocarbonothioyl))bis-, dimethyl ester', 'DSSTox_RID_77373', 'DSSTox_GSID_24338', 'W-110573', 'dimethyl [1,2-phenylenebis(iminocarbonothioyl)]biscarbamate', "Allophanic acid, 4,4'-o-phenylenebis(3-thio-, dimethyl ester", "Allophanic acid, 4,4'-o-phenylenebis[3-thio-, dimethyl ester", 'Dimethyl ((1,2-phenylene)bis(iminocarbonothioyl))bis(carbamate)', '[1,2-Phenylenebis(iminocarbonothioyl)]bis[carbamicacid]dimethylester', 'Carbamic acid, (1,2-phenylenebis(iminocarbonothioyl)bis-, dimethyl ester', 'Cercobin M-70', 'CAS-23564-05-8', 'Dimethyl (1,2-phenylenebis(iminocarbonothioyl))biscarbamate', '1,2-bis(Methoxycarbonylthioueido) benzene', 'Methyl thiophamate', 'Dimethylphenylene Bis-Thioallophanate', 'Labilite (Salt/Mix)', 'Spectrum_001761', 'SpecPlus_000748', 'Spectrum2_000646', 'Spectrum3_001211', 'Spectrum4_000096', 'Spectrum5_001330', 'Thiophanate, methyl ester', 'SCHEMBL41622', 'BSPBio_002622', 'KBioGR_000392', 'KBioSS_002242', 'MLS002207244', 'BIDD:ER0424', 'DivK1c_006844', 'SPECTRUM1503974', 'SPBio_000651', 'CHEMBL487187', 'DTXSID1024338', 'KBio1_001788', 'KBio2_002241', 'KBio2_004809', 'KBio2_007377', 'KBio3_002122', 'NF-44', 'CID 3085', 'HY-B0842', 'ZINC3872305', 'Tox21_201679', 'Tox21_300830', 'CCG-39648', 'NSC170811', 'STK366090', 'AKOS005443059', 'MCULE-7931010931', 'NSC-170811', 'ACM23564058', 'NCGC00091407-01', 'NCGC00091407-02', 'NCGC00091407-03', 'NCGC00091407-04', 'NCGC00091407-05', 'NCGC00091407-06', 'NCGC00091407-07', 'NCGC00091407-08', 'NCGC00254734-01', 'NCGC00259228-01', 'AC-12584', 'AS-14875', 'CC-35011', 'M958', 'SMR000778087', 'DB-046179', 'CS-0012854', 'FT-0630502', 'NS00004932', 'ST50891615', 'Bis[(3-methoxycarbonyl)-2-thioureido]benzene', 'C14432', 'Pesticide2_Thiophanate-methyl_C12H14N4O4S2_', '1,2-bis-(3-methoxycarbonyl-thioureido)-benzene', 'AB00052398_04', '564T058', 'A816770', 'C-20391', "Dimethyl 4,4'-o-phenylene-bis[3-thioallophanate]", 'Q126625', "dimethyl 4,4'-(o-phenylene)bis(3-thioallophanate)", 'BRD-K90168339-001-02-9', 'BRD-K90168339-001-04-5', 'dimethyl (benzene-1,2-diyldicarbamothioyl)biscarbamate', 'Thiophanate-methyl, PESTANAL(R), analytical standard', "Allophanic acid,4'-o-phenylenebis[3-thio-, dimethyl ester", "Allophanic acid, 4,4'-o-phenylenebis*3-thio-, dimethyl ester", "dimethyl N,N'-[1,2-phenylenebis(azanediylcarbonothioyl)]dicarbamate", "dimethyl N,N'-[1,2-phenylenebis(iminocarbonothioyl)]bis[carbamate]", 'Carbamic acid,2-phenylenebis(iminocarbonothioyl)]bis-, dimethyl ester', 'Methyl [2-(([(methoxycarbonyl)amino]carbothioyl)amino)anilino]carbothioylcarbamate #', 'methoxy-N-{[(2-{[(methoxycarbonylamino)thioxomethyl]amino}phenyl)amino]thioxom ethyl}carboxamide', 'N-[[2-[[(methoxycarbonylamino)-sulfanylidenemethyl]amino]anilino]-sulfanylidenemethyl]carbamic acid methyl ester', 'N`-methoxycarbonyl-N-[2-[(N-methoxycarbonyl-C-sulfanylcarbonimidoyl)amino]phenyl]carbamimidothioic acid', 'thiophanate-methyl;Carbamic acid, [1,2-phenylenebis(iminocarbonothioyl)]bis-, dimethyl ester, mixt. with 5-ethoxy-3-(trichloromethyl)-1,2,4-thiadiazole']</t>
  </si>
  <si>
    <t>Compound(3032791)</t>
  </si>
  <si>
    <t>C12H14N4O4S2</t>
  </si>
  <si>
    <t>thiophanate-ethyl</t>
  </si>
  <si>
    <t>ethyl N-[[2-(ethoxycarbonylcarbamothioylamino)phenyl]carbamothioyl]carbamate</t>
  </si>
  <si>
    <t>['Thiophanate', 'Thiophanate-Ethyl', 'Ethyl thiophanate', 'Thiophanat', '23564-06-9', 'Thiofanate', 'Cercobin', 'Enovit', 'Topsin', 'THIOPHANATE ETHYL', 'Nemafax', 'PELT', 'Topsin NF 35', 'Topsin E', 'Pelt (pesticide)', 'Vermadax', 'Cleary 3336', 'Chipco Spot Kleen', 'Thiophanate [BAN]', 'NF 35', 'Thiophanat [German]', 'BAS 3220', 'Cercobin WP 50%', 'NF 35 (fungicide)', 'Caswell No. 344A', '3336 Turf fungicide', "4,4'-o-Phenylenebis(ethyl 3-thioallophanate)", "Cleary's Turf Fungicide", 'Tiofanate etile [Italian]', 'Thiophanate-ethyl [French]', 'NSC 170810', 'UNII-5Q0Y96D5I8', 'NF 35, fungicide', 'HSDB 6938', "Cleary's 3336", 'Thiophanate [BSI:ISO]', 'EINECS 245-741-2', '1,2-Di-(3-ethoxycarbonyl-2-thioureido)benzene', '1,2-Bis(3-ethoxycarbonyl-2-thioureido) benzene', "Diethyl 4,4'-o-phenylenebis(3-thioallophanate)", '1,2-Bis(3-(ethoxycarbonyl)-2-thioureido)benzene', 'EPA Pesticide Chemical Code 103401', 'BRN 0939969', 'CHEBI:82060', '1,2-Bis(3-ethoxycarbonyl-2-thioureido)benzene', '3336-F', '5Q0Y96D5I8', 'Thiophanat (German)', 'Carbamic acid, [1,2-phenylenebis(iminocarbonothioyl)]bis-, diethyl ester', '1,2-Bis[3-(ethoxycarbonyl)thioureido]benzene', "Allophanic acid, 4,4'-o-phenylenebis(3-thio-, diethyl ester", "Allophanic acid, 4,4'-o-phenylenebis[3-thio-, diethyl ester", 'Tiofanate etile', '(1,2-Phenylenebis(iminocarbonothioyl))biscarbamic acid diethyl ester', 'Carbamic acid, (1,2-phenylenebis(iminocarbonothioyl))bis-, diethyl ester', "Diethyl 4,4'-o-phenylenebis[3-thioallophanate]", "Diethyl 4,4'-o-phenylene-bis(3-thioallophanate)", "Diethyl 4,4'-o-phenylene-bis[3-thioallophanate]", 'Thiophenite', 'thiphanate-ethyl', 'ethoxy-N-{[(2-{[(ethoxycarbonylamino)thioxomethyl]amino}phenyl)amino]thioxomet hyl}carboxamide', 'Thiophanate (-ethyl)', 'ethyl N-[[2-(ethoxycarbonylcarbamothioylamino)phenyl]carbamothioyl]carbamate', 'DSSTox_CID_14531', 'DSSTox_RID_79163', 'DSSTox_GSID_34531', 'SCHEMBL20842', 'CHEMBL2103777', 'DTXSID3034531', 'Thiophanate (-ethyl);thiophanate', 'ZINC5316700', 'Tox21_301909', 'Diethyl (1,2-phenylenebis(iminocarbonothioyl))bis(carbamate) (9CI)', 'NSC170810', 'SBB057024', 'STK377494', 'AKOS005449019', 'MCULE-3243721818', 'NSC-170810', 'ACM23564069', '1,2-Bis(ethoxycarbonylthioureido)benzene', 'NCGC00160551-01', 'NCGC00255347-01', 'LS-16363', 'ST011975', 'CAS-23564-06-9', 'DB-046180', 'FT-0630503', 'NS00005194', 'C18918', 'C-21127', 'diethyl (1,2-phenylenedicarbamothioyl)biscarbamate', 'J-015148', 'diethyl (benzene-1,2-diyldicarbamothioyl)biscarbamate', 'Q27155716', "Allophanic acid,4'-o-phenylenebis[3-thio-, diethyl ester", 'Diethyl (1,2-phenylenebis(iminocarbonothioyl))bis(carbamate)', 'Carbamic acid,2-phenylenebis(iminocarbonothioyl)]bis-, diethyl ester', "diethyl N,N'-[1,2-phenylenebis(azanediylcarbonothioyl)]dicarbamate", "diethyl N,N'-[1,2-phenylenebis(iminocarbonothioyl)]bis[carbamate]", 'Carbamic acid, (1,2-phenylenebis(iminocarbonothioyl))bis-, diethyl ester (9CI)', 'Ethyl [2-(([(ethoxycarbonyl)amino]carbothioyl)amino)anilino]carbothioylcarbamate #', 'ethyl [2-({[(ethoxycarbonyl)amino]carbothioyl}amino)anilino]carbothioylcarbamate']</t>
  </si>
  <si>
    <t>Compound(3032792)</t>
  </si>
  <si>
    <t>C14H18N4O4S2</t>
  </si>
  <si>
    <t>thiophanox sulfoxide</t>
  </si>
  <si>
    <t>[(E)-(3,3-dimethyl-1-methylsulfinylbutan-2-ylidene)amino] N-methylcarbamate</t>
  </si>
  <si>
    <t>['39184-27-5', 'Thiofanox sulphoxide', 'ACM39184275', 'NS00005918', 'Thiofanox-sulfoxide, PESTANAL(R), analytical standard']</t>
  </si>
  <si>
    <t>Compound(5361038)</t>
  </si>
  <si>
    <t>C9H18N2O3S</t>
  </si>
  <si>
    <t>thiophanox sulfone</t>
  </si>
  <si>
    <t>[(Z)-(3,3-dimethyl-1-methylsulfonylbutan-2-ylidene)amino] N-methylcarbamate</t>
  </si>
  <si>
    <t>['Thiofanox sulfone', 'BRN 1978015', '39184-59-3', '3,3-Dimethyl-1-(methylsulfonyl)-2-butanone O-((methylamino)carbonyl)oxime', '2-BUTANONE, 3,3-DIMETHYL-1-(METHYLSULFONYL)-, O-((METHYLAMINO)CARBONYL)OXIME', 'Thiofanox-sulfone', '2-Butanone, 3,3-dimethyl-1-(methylsulfonyl)-, O-[(methylamino)carbonyl]oxime', 'Thiofanox sulphone', 'SCHEMBL11296905', 'ZINC25722109', 'LS-46724', 'NS00005637', '(2Z)-3,3-Dimethyl-2-(([(methylamino)carbonyl]oxy)imino)-1-(methylsulfonyl)butane #']</t>
  </si>
  <si>
    <t>Compound(5491760)</t>
  </si>
  <si>
    <t>C9H18N2O4S</t>
  </si>
  <si>
    <t>thiophanox</t>
  </si>
  <si>
    <t>[(3,3-dimethyl-1-methylsulfanylbutan-2-ylidene)amino] N-methylcarbamate</t>
  </si>
  <si>
    <t>['THIOFANOX', '39196-18-4', '[(3,3-dimethyl-1-methylsulfanylbutan-2-ylidene)amino] N-methylcarbamate', 'thiofanox;Thiofanox', '2-Butanone, 3,3-dimethyl-1-(methylthio)-, O-[(methylamino)carbonyl]oxime', 'CHEBI:38549', 'DS 15647', 'DSSTox_CID_22468', 'DSSTox_RID_80033', 'DSSTox_GSID_42468', 'SCHEMBL122112', '3,3-Dimethyl-1-(methylthio)-2-butanone O-(methylcarbamoyl)oxime', 'CHEMBL3184740', 'DTXSID4042468', 'CTK8G3434', '3,3-Dimethyl-2-(([(methylamino)carbonyl]oxy)imino)-1-(methylsulfanyl)butane #', 'Tox21_301851', 'Thiofanox 10 microg/mL in Cyclohexane', 'Thiofanox 1000 microg/mL in Methanol', 'NCGC00255942-01', 'CAS-39196-18-4', '74446-EP2275422A1', '74446-EP2292608A1', '74446-EP2308857A1', 'Q1286435']</t>
  </si>
  <si>
    <t>Compound(38235)</t>
  </si>
  <si>
    <t>C9H18N2O2S</t>
  </si>
  <si>
    <t>1-butyl-3-(4-methylphenyl)sulfonylurea</t>
  </si>
  <si>
    <t>['tolbutamide', '64-77-7', 'Orinase', 'Artosin', 'Tolbutamid', 'Aglicid', 'Arkozal', 'Diabetol', 'Dolipol', 'Rastinon', 'Tolumid', 'Diaben', 'Orabet', '1-Butyl-3-tosylurea', 'Tolylsulfonylbutylurea', 'Willbutamide', 'Butamide', 'Diabetamid', 'Diabuton', 'Diasulfon', 'Dirastan', 'Glyconon', 'Ipoglicone', 'Pramidex', 'Tolbusal', 'Artozin', 'Butamid', 'Drabet', 'Mobenol', 'Oralin', 'Orezan', 'Orinaz', 'Oterben', 'Toluina', 'Toluvan', '1-Butyl-3-(p-tolylsulfonyl)urea', 'Sk-tolbutamide', "N-n-Butyl-N'-tosylurea", 'Tolbutamida', 'Tolbutamidum', '1-Butyl-3-(p-methylphenylsulfonyl)urea', '1-p-Toluenesulfonyl-3-butylurea', "N-Butyl-N'-(p-tolylsulfonyl)urea", 'N-(Butylcarbamoyl)-4-methylbenzenesulfonamide', 'Beglucin', 'Butamidum', 'Diabesan', "N-Butyl-N'-p-toluenesulfonylurea", 'Tarasina', 'Tolbutone', '3-(p-Tolyl-4-sulfonyl)-1-butylurea', 'Arcosal', 'Tolbet', "N-(4-Methylphenylsulfonyl)-N'-butylurea", "N-Butyl-N'-(4-methylphenylsulfonyl)urea", "N-(4-Methylbenzenesulfonyl)-N'-butylurea", 'HLS 831', 'Orinase (TN)', "N-(Sulfonyl-p-methylbenzene)-N'-N-butylurea", 'Benzenesulfonamide, N-[(butylamino)carbonyl]-4-methyl-', "N-(p-Tolylsulfonyl)-N'-butylcarbamide", 'Tolbutamidum [INN-Latin]', 'Tolbutamida [INN-Spanish]', 'NCI-C01763', 'N-4-Methylbenzolsulfonyl-N-butylurea', 'N-[(butylamino)carbonyl]-4-methylbenzenesulfonamide', 'D 860', 'Urea, 1-butyl-3-(p-tolylsulfonyl)-', '3-butyl-1-(4-methylbenzenesulfonyl)urea', "N-Butyl-N'-toluene-p-sulfonylurea", 'UNII-982XCM1FOI', 'CCRIS 592', 'N-4-(Methylbenzolsulfonyl)-n-butylurea', '1-butyl-3-(4-methylphenyl)sulfonylurea', '1-Butyl-3-(4-methylphenylsulfonyl)urea', "N-(p-Methylbenzenesulfonyl)-N'-butylurea", 'C12H18N2O3S', 'HSDB 3393', 'EINECS 200-594-3', 'MFCD00027169', 'NSC 23813', 'U 2043', 'CHEMBL782', 'BRN 1984428', '982XCM1FOI', 'Benzenesulfonamide, N-((butylamino)carbonyl)-4-methyl-', "N-(Sulfonyl-p-methylbenzene)-N'-butylurea", 'MLS000028399', 'CHEBI:27999', 'N-((Butylamino)carbonyl)-4-methylbenzenesulfonamide', 'NSC-23813', 'CAS-64-77-7', 'NCGC00015999-10', 'SMR000058363', 'Tolbutamide form I^L^', 'DSSTox_CID_1359', '1-BUTYL-3-(4-METHYLBENZENESULFONYL)UREA', 'DSSTox_RID_76106', 'DSSTox_GSID_21359', 'toluran', 'Oramide', 'Tolumide', 'Tolbutamide [INN:BAN:JAN]', 'NSC-87833', 'TOLBUTAMIDE USP', 'SR-01000003059', '(butylamino)-N-[(4-methylphenyl)sulfonyl]carboxamide', 'tolbutamide IL', 'tolbutamide III', '3-(p-tolylsulfonyl)-1-butylurea', 'Tolbutamide [USP:INN:BAN:JAN]', 'Prestwick_471', "N-(p-tolylsulfonyl)-N'-n-butylurea", '1-Butyl-3-(para-tolylsulfonyl) urea', 'PubChem18102', 'Spectrum_000447', 'Tolbutamide form I^H^', 'Opera_ID_112', '3-butyl-1-[(4-methylbenzene)sulfonyl]urea', 'Prestwick0_000190', 'Prestwick1_000190', 'Prestwick2_000190', 'Prestwick3_000190', 'Spectrum2_001210', 'Spectrum3_000599', 'Spectrum4_000358', 'Spectrum5_001272', 'Lopac-T-0891', "N-n-Butyl-N''-tosylurea", 'WLN: 4MVMSWR D1', 'T 0891', 'NCIOpen2_009592', 'BIDD:PXR0179', 'CBiol_001920', 'Lopac0_001154', 'SCHEMBL15918', 'BSPBio_000119', 'BSPBio_001507', 'BSPBio_002078', 'KBioGR_000227', 'KBioGR_000795', 'KBioGR_002275', 'KBioSS_000227', 'KBioSS_000927', 'KBioSS_002276', '4-11-00-00396 (Beilstein Handbook Reference)', 'MLS001148399', 'MLS002152944', 'Toluina|||Tolumid|||Orinase', 'DivK1c_000341', 'SPECTRUM1500581', 'SPBio_001000', 'SPBio_002040', 'BPBio1_000131', 'GTPL6848', 'Tolbutamide (JP17/USP/INN)', 'Tolbutamide, analytical standard', 'DTXSID8021359', 'HMS501B03', 'KBio1_000341', 'KBio2_000227', 'KBio2_000927', 'KBio2_002275', 'KBio2_002795', 'KBio2_003495', 'KBio2_004843', 'KBio2_005363', 'KBio2_006063', 'KBio2_007411', 'KBio3_000453', 'KBio3_000454', 'KBio3_001578', 'KBio3_002755', 'KS-00000XIN', 'cMAP_000008', 'NINDS_000341', 'Bio1_000206', 'Bio1_000695', 'Bio1_001184', 'Bio2_000227', 'Bio2_000707', 'HMS1361L09', 'HMS1568F21', 'HMS1791L09', 'HMS1989L09', 'HMS2089C17', 'HMS2092M21', 'HMS2095F21', 'HMS2232H16', 'HMS3259A08', 'HMS3263H09', 'HMS3402L09', 'HMS3651N03', 'HMS3712F21', 'Pharmakon1600-01500581', 'BCP09192', 'HY-B0401', 'NSC23813', 'ZINC1530703', '1-n-Butyl-3-(p-tolylsulfonyl)urea', "N-Butyl-N''-(p-tolylsulfonyl)urea", 'Tox21_110279', 'Tox21_201612', 'Tox21_302795', 'Tox21_501154', 'BDBM50027886', 'CCG-39141', 'LS-278', 'NSC757354', 's2443', 'SBB058188', '1-Butyl-3-(para-tolylsulfonyl)-urea', 'AKOS015894999', 'Tox21_110279_1', '1-(p-toluenesulfonyl)-3-n-butyl-urea', 'CS-2500', 'DB01124', 'LP01154', 'MCULE-9720356859', 'NC00543', 'NE30724', 'NSC-757354', 'SDCCGSBI-0051121.P004', 'Tolbutamide 1.0 mg/ml in Acetonitrile', 'IDI1_000341', 'IDI1_033977', "N-(n-Butyl)-N'-p-toluene-sulfonylurea", 'NCGC00015999-01', 'NCGC00015999-02', 'NCGC00015999-03', 'NCGC00015999-04', 'NCGC00015999-05', 'NCGC00015999-06', 'NCGC00015999-07', 'NCGC00015999-08', 'NCGC00015999-09', 'NCGC00015999-11', 'NCGC00015999-12', 'NCGC00015999-13', 'NCGC00015999-14', 'NCGC00015999-15', 'NCGC00015999-16', 'NCGC00015999-17', 'NCGC00015999-19', 'NCGC00022721-03', 'NCGC00022721-04', 'NCGC00022721-05', 'NCGC00022721-06', 'NCGC00022721-07', 'NCGC00022721-08', 'NCGC00022721-09', 'NCGC00022721-10', 'NCGC00256548-01', 'NCGC00259161-01', 'NCGC00261839-01', 'AC-12490', 'AK115688', 'AS-14136', 'K045', 'SC-17768', "N-(4-Methylphenylsulfonyl)-N''-butylurea", "N-Butyl-N''-(4-methylphenylsulfonyl)urea", 'SBI-0051121.P003', 'DB-054728', 'AB00052110', 'EU-0101154', 'FT-0603265', 'NS00001371', 'ST50409552', 'SW196681-3', 'BIM-0051121.0001', 'C07148', 'D00380', 'J10018', 'U-2043', 'AB00052110-16', 'AB00052110_17', 'AB00052110_18', 'N-(Butylcarbamoyl)-4-methylbenzene-1-sulfonamide', 'Tolbutamide, VETRANAL(TM), analytical standard', 'Q414275', 'N-((butylamino) carbonyl)-4-methylbenzenesulfonamide', 'SR-01000003059-2', 'SR-01000003059-4', 'SR-01000003059-7', 'W-104820', 'BRD-K85119730-001-06-5', 'BRD-K85119730-001-17-2', 'Z44591715', 'Tolbutamide, European Pharmacopoeia (EP) Reference Standard', '1-(([(Butylamino)carbonyl]amino)sulfonyl)-4-methylbenzene #', 'Tolbutamide, United States Pharmacopeia (USP) Reference Standard']</t>
  </si>
  <si>
    <t>Compound(5505)</t>
  </si>
  <si>
    <t>C12H18N2O3S</t>
  </si>
  <si>
    <t>(2,6-dichloro-4-methylphenoxy)-dimethoxy-sulfanylidene-lambda5-phosphane</t>
  </si>
  <si>
    <t>['Tolclofos-methyl', '57018-04-9', 'Risolex', 'Rizolex', 'Toclofos-methyl', 'Basilex', 'UNII-G42OQL6F5B', 'Tolclofos-methyl [BSI:ISO]', 'S-3349', 'o-(2,6-Dichloro-4-methylphenyl) o,o-dimethyl phosphorothioate', 'O-(2,6-Dichloro-p-tolyl) O,O-dimethyl thiophosphate', 'Phosphorothioic acid, O-(2,6-dichloro-4-methylphenyl) O,O-dimethyl ester', 'EINECS 260-515-3', 'BRN 2136521', 'G42OQL6F5B', 'O-2,6-Dichloro-p-tolyl O,O-dimethyl phosphorothioate', 'CHEBI:81731', 'O,O-Dimethyl O-(2,6-dichloro-4-methylphenyl)phosphorothioate', 'O-(2,6-Dichloro-p-tolyl) O,O-dimethyl ester of phosphorothioic acid', 'W-111130', 'Phosphorothioic acid, O-(2,6-dichloro-p-tolyl) O,O-dimethyl ester', 'PHOSPHOROTHIOIC ACID O-(2,6-DICHLORO-PARA-TOLYL) O,O-DIMETHYL ESTER', 'Phosphorothioic acid, O-(2,6-dichloro-4-methylphenyl) O,O-dimethylester', 'Phosphorothioic acid,O-(2,6-dichloro-4-methylphenyl) O,O-dimethyl ester', 'C9H11Cl2O3PS', 'Grancer', 'tolclofos-Me', 'Tolclofos Methyl', 'Tolclophos-methyl', '(2,6-dichloro-4-methylphenoxy)-dimethoxy-sulfanylidene-?^{5}-phosphane', 'TOLCOFOS-METHYL', 'DSSTox_CID_14776', 'DSSTox_RID_79202', 'DSSTox_GSID_34776', 'SCHEMBL30367', 'BIDD:ER0164', 'CHEMBL2141416', 'DTXSID0034776', 'CTK5A6161', 'HSDB 8440', 'KS-00001FCN', 'tolclofos-methyl;Tolclofos-methyl', 'HY-B2053', 'Tox21_301347', 'O-(2,6-Dichloro-4-methylphenyl) O,O-dimethyl phosphorothioate (9CI)', 'AKOS015961111', 'O-(2,6-dichloro-4-methylphenyl)phosphorothioic acid O,O-dimethyl ester', 'AC01012', 'CS-5201', 'NCGC00164279-01', 'NCGC00255519-01', 'AC-12691', 'CC-35090', 'O803', 'CAS-57018-04-9', 'DB-053000', 'LS-108553', 'FT-0630695', 'NS00000190', 'Tolclofos-methyl 10 microg/mL in Cyclohexane', 'C18407', '018T049', 'C-18799', 'Q1651656', 'Tolclofos-methyl, PESTANAL(R), analytical standard', 'Dimethyl O-(2,6-dichloro-4-methylphenyl) phosphorothioate', 'o-2,6-dichloro-4-methylphenyl o,o-dimethyl phosphorothioate', 'O,O-Dimethyl O-(2,6-dichloro-4-methylphenyl) phosphorothioate', 'O-(2,6-Dichloro-4-methylphenyl) O,O-dimethyl thiophosphate #']</t>
  </si>
  <si>
    <t>Compound(91664)</t>
  </si>
  <si>
    <t>C9H11Cl2O3PS</t>
  </si>
  <si>
    <t>tolfenamic acid</t>
  </si>
  <si>
    <t>2-(3-chloro-2-methylanilino)benzoic acid</t>
  </si>
  <si>
    <t>['tolfenamic acid', '13710-19-5', 'Clotam', 'Tolfedine', '2-[(3-Chloro-2-methylphenyl)amino]benzoic Acid', 'N-(3-Chloro-2-methylphenyl)anthranilic acid', 'Acido tolfenamico', 'Acide tolfenamique', 'Acidum tolfenamicum', 'GEA 6414', '2-(3-Chloro-2-methylanilino)benzoic acid', 'N-(2-Methyl-3-chlorophenyl)anthranilic acid', 'UNII-3G943U18KM', 'N-(3-Chloro-o-tolyl)-anthranilic acid', 'Benzoic acid, 2-[(3-chloro-2-methylphenyl)amino]-', 'Anthranilic acid, N-(3-chloro-o-tolyl)-', 'N-(3-Chloro-ortho-tolyl) anthranilic acid', 'CHEBI:32243', '3G943U18KM', 'NCGC00016705-05', 'Bifenac', 'CAS-13710-19-5', '2-((3-Chloro-2-methylphenyl)amino)benzoic acid', 'DSSTox_CID_25409', 'DSSTox_RID_80860', 'DSSTox_GSID_45409', 'Tolfine', '2-([3-Chloro-2-methylphenyl]amino)benzoic acid', 'SR-01000000102', 'Tolfenamic', 'Tolfenaminsaure', 'Prestwick_579', 'Clotam (TN)', 'Spectrum_001263', 'ACMC-209cat', 'Tolfenamic acid, NSAID', 'Prestwick0_000205', 'Prestwick1_000205', 'Prestwick2_000205', 'Prestwick3_000205', 'Spectrum2_001446', 'Spectrum3_001762', 'Spectrum4_000238', 'Spectrum5_001143', 'Oprea1_692996', 'SCHEMBL25190', 'Tolfenamic acid (JAN/INN)', 'BSPBio_000189', 'BSPBio_003223', 'KBioGR_000935', 'KBioSS_001743', 'flufenamic acid analogue, 32', 'MLS000028531', 'BIDD:GT0343', 'SPECTRUM1501198', 'SPBio_001311', 'SPBio_002110', 'BPBio1_000209', 'CHEMBL121626', 'cid_610479', 'GTPL8769', 'ZINC2188', 'DTXSID1045409', 'BDBM35905', 'KBio2_001743', 'KBio2_004311', 'KBio2_006879', 'KBio3_002723', 'YEZNLOUZAIOMLT-UHFFFAOYSA-', 'HMS1568J11', 'HMS1921P13', 'HMS2090D04', 'HMS2095J11', 'HMS2230J13', 'HMS3370A02', 'HMS3651E06', 'HMS3712J11', 'Pharmakon1600-01501198', 'HY-B0335', 'KS-00000H6I', 'Tox21_110570', 'ANW-20211', 'CCG-39189', 'NSC757873', 's1959', 'SBB058187', 'AKOS012836098', 'Tox21_110570_1', '2-(3-Chloro-o-toluidino)benzoic Acid', 'API0002084', 'CS-2377', 'DB09216', 'MCULE-9901889833', 'NSC-757873', 'SEL10850963', '2(3-Chloro-2-methylanilino)benzoic acid', 'NCGC00016705-01', 'NCGC00016705-02', 'NCGC00016705-03', 'NCGC00016705-04', 'NCGC00016705-06', 'NCGC00016705-07', 'NCGC00016705-10', 'NCGC00022587-03', 'NCGC00022587-04', 'NCGC00022587-05', 'AK305709', 'AS-13748', 'DA-11289', 'n-(3-chloro-ortho-tolyl)anthranilic acid', 'SMR000058289', 'SBI-0051687.P002', 'AB0032595', '2-(3-Chloro-2-methylanilino)benzoic acid #', 'AB00052244', 'FT-0652603', 'NS00002545', 'ST51015128', 'SW196753-3', 'UNM000001237003', 'X5948', '2-(3-chloro-2-methylphenylamino)benzoic acid', 'D01183', 'J10240', 'Q59412', 'AB00052244-15', 'AB00052244_16', 'AB00052244_17', 'A807198', 'Benzoic acid, 2-(3-chloro-2-methylphenylamino)-', '2-[(3-chloranyl-2-methyl-phenyl)amino]benzoic acid', 'J-006962', 'SR-01000000102-2', 'SR-01000000102-3', 'Tolfenamic acid, VETRANAL(TM), analytical standard', 'BRD-K50133271-001-05-4', 'BRD-K50133271-001-10-4', 'Benzoic acid, 2-((3-chloro-2-methylphenyl)amino)- (9CI)', 'Tolfenamic acid, European Pharmacopoeia (EP) Reference Standard', 'Tolfenamic Acid, Pharmaceutical Secondary Standard; Certified Reference Material']</t>
  </si>
  <si>
    <t>Compound(610479)</t>
  </si>
  <si>
    <t>C14H12ClNO2</t>
  </si>
  <si>
    <t>N-[dichloro(fluoro)methyl]sulfanyl-N-(dimethylsulfamoyl)-4-methylaniline</t>
  </si>
  <si>
    <t>['TOLYLFLUANID', 'Tolylfluanide', '731-27-1', 'Tolyfluanid', 'Tolyfluanide', 'Euparen M', 'Dichlofluanid-methyl', 'Bayer 5712a', 'Bayer 49854', 'BAY 5712a', 'KUE 13183b', 'Tolylfluanid [BSI:ISO]', 'BAY 5212', 'Tolylfluanide [ISO-French]', 'BAY 49854', 'UNII-382277YXSG', 'HSDB 6739', 'EINECS 211-986-9', 'BRN 2949607', 'AI3-27470', 'CHEBI:75182', "N'-Dichlorofluoromethylthio-N,N-dimethyl-N'-(4-tolyl)sulfamide", 'N,N-Dimethyl-N-(4-tolyl)-N-(dichlorofluor-methylthio)-sulfamide', '382277YXSG', 'Methanesulfanenamide, 1,1-dichloro-N-((dimethylamino)sulfonyl)-1-fluoro-N-(4-methylphenyl)-', 'Methanesulfenamide, 1,1-dichloro-N-[(dimethylamino)sulfonyl]-1-fluoro-N-(4-methylphenyl)-', "N,N-Dimethyl-N'-(4-tolyl)-N'-(dichlorfluormethylthio)-sulfamid", "N-Dichlorofluoromethylthio-N',N'-dimethyl-N-p-tolylsulphamide", "N-Dichlorofluoromethanesulphenyl-N',N'-dimethyl-N-p-tolylsulphamide", 'N-[dichloro(fluoro)methyl]sulfanyl-N-(dimethylsulfamoyl)-4-methylaniline', "Sulfamide, N-((dichlorofluoromethyl)thio)-N',N'-dimethyl-N-(p-tolyl)-", 'Dichloro-N-((dimethylamino)sulphonyl)fluoro-N-(p-tolyl)methanesulphenamide', "N,N-Dimethyl-N'-(4-tolyl)-N'-(dichlorfluormethylthio)-sulfamid [German]", 'Dichloro-N-[(dimethylamino)sulphonyl]fluoro-N-(p-tolyl) methanesulphenamide', 'Dichloro-N-[(dimethylamino)sulphonyl]fluoro-N-(p-tolyl)methanesulphenamide', '1,1-Dichloro-N-((dimethylamino)sulfonyl)-1-fluoro-N-(4-methylphenyl)methanesulfenamide', 'Methanesulfenamide, 1,1-dichloro-N-((dimethylamino)sulfonyl)-1-fluoro-N-(4-methylphenyl)-', "N-{[dichloro(fluoro)methyl]sulfanyl}-N',N'-dimethyl-N-(4-methylphenyl)sulfuric diamide", 'CCRIS 9423', 'Euparen Multi', 'DSSTox_CID_22478', 'DSSTox_RID_80035', 'DSSTox_GSID_42478', 'SCHEMBL21309', 'CHEMBL3189057', 'DTXSID8042478', "N-dichlorofluoromethylthio-N',N'-dimethyl-N-p-tolylsulfamide", 'BCP18765', 'ZINC2031267', 'Tox21_301224', '1,1-Dichloro-N-((dimethylamino)sulfonyl)-1-fluoro-N-(4-methylphenyl)methanesulfenamide (9CI)', 'NCGC00256003-01', 'CAS-731-27-1', 'Tolyfluanid 100 microg/mL in Acetonitrile', 'Tolylfluanid 100 microg/mL in Cyclohexane', 'LS-147703', 'NS00000191', 'C18899', 'Tolylfluanid, PESTANAL(R), analytical standard', 'Q423824', 'W-109599', 'Tolylfluanid, certified reference material, TraceCERT(R)', "Sulfamide, N-(dichlorofluoromethyl)thio-N',N'-dimethyl-N-(p-tolyl)-", '1,1-Dichloro-N-((dimethylamino)sulfonyl)-1-fluoro-N-(4-methylphenyl)methanesulfonamide', "N-([Dichloro(fluoro)methyl]sulfanyl)-N',N'-dimethyl-N-(4-methylphenyl)sulfamide #", 'dichloro-N-[(dimethylamino)sulphonyl]fluoro-N-(p-tolyl)methanesulphenamide;tolylfluanid;Dichloro-N-[(dimethylamino)sulphonyl]fluoro-N-(p-tolyl)methanesulphenamide;Tolyfluanid']</t>
  </si>
  <si>
    <t>Compound(12898)</t>
  </si>
  <si>
    <t>C10H13Cl2FN2O2S2</t>
  </si>
  <si>
    <t>2-ethylsulfanylethylsulfanyl-dimethoxy-sulfanylidene-lambda5-phosphane</t>
  </si>
  <si>
    <t>['THIOMETON', 'Ekatin', 'Dithiomethon', 'Intrathion', 'Intration', 'Luxistelm', '640-15-3', 'Dithiometasystox', 'Ekatin aerosol', 'Ekatin ULV', 'Ekatine-25', 'Compound M-81', 'Dithiometon', 'Ebicid', 'Ekatim', 'Veltin', 'Ekatin WF', 'Bayer 23129', 'Ekatin WF ULV', 'M 81', 'Dithiometon [French]', 'Caswell No. 455B', 'Thiometon [BSI:ISO]', 'UNII-YDI0MXQ7IR', 'SAN 230', 'O,O-Dimethyl-S-(2-ethylmercaptoethyl) dithiophosphate', 'M 81 (van)', 'BAY 23129', 'CCRIS 5214', 'HSDB 6405', 'Bay 21/116', 'YDI0MXQ7IR', 'EINECS 211-362-6', '2-Ethylthioethyl O,O-dimethyl phosphorodithioate', 'EPA Pesticide Chemical Code 456300', 'Phosphorodithioic acid, S-(2-(ethylthio)ethyl) O,O-dimethyl ester', 'BRN 1707379', 'S-(2-(Ethylthio)ethyl)dimethyl phosphorothiolothionate', 'O,O-Dimethyl S-(2-(ethylthio)ethyl) phosphorodithioate', 'S-(2-(Ethylthio)ethyl) O,O-dimethylphosphorodithionate', 'AI3-24501', 'O,O-Dimetil-S-(etiltio-etil)-ditiofosfato', 'Phosphorodithioic acid, O,O-dimethyl S-(2-ethylthio)ethyl ester', 'Phosphorodithioic acid, S-[2-(ethylthio)ethyl] O,O-dimethyl ester', 'Ethanethiol, 2-(ethylthio)-, S-ester with O,O-dimethyl phosphorodithioate', 'O,O-Dimethyl-S-(2-ethylthio-ethyl)-dithiofosfaat', 'O,O-Dimetil-S-(etiltio-etil)-ditiofosfato [Italian]', 'O,O-Dimethyl-S-(2-aethylthio-aethyl)-dithio phosphat', 'S-(2-(Ethylthio)ethyl) O,O-dimethyl phospohorodithioate', 'O,O-Dimethyl-S-(2-ethylthio-ethyl)-dithiofosfaat [Dutch]', 'Dithiophosphate de O,O-dimethyle et de S-(2-ethylthio-ethyle)', 'O,O-Dimethyl-S-(2-aethylthio-aethyl)-dithio phosphat [German]', 'O,O-Dimethyl-S-2-ethylmerkaptoethylester kyseliny dithiofosforecne', 'Dithiophosphate de O,O-dimethyle et de S-(2-ethylthio-ethyle) [French]', 'O,O-Dimethyl-S-2-ethylmerkaptoethylester kyseliny dithiofosforecne [Czech]', 'S-[2-(ethylsulfanyl)ethyl] O,O-dimethyl phosphorodithioate', 'Veltin [Pesticide]', 'Thiameton', '2-ethylsulfanylethylsulfanyl-dimethoxy-sulfanylidene-?^{5}-phosphane', 'SCHEMBL73162', 'DTXSID9042469', 'CHEBI:38962', 'S-(2-(Ethylthio)ethyl) O,O-dimethyl phosphorodithioate (8CI)(9CI)', 'Thiometon 1000 microg/mL in Acetone', 'LS-108288', 'NS00007758', 'C18665', '26856-EP2274983A1', '26856-EP2275422A1', '26856-EP2280009A1', '26856-EP2308857A1', '26856-EP2308858A1', '26856-EP2311816A1', '26856-EP2311817A1', '26856-EP2314583A1', 'O,O-Dimethyl S-(2-Ethylthioethyl) dithiophosphate', 'Q426304', 'O,O-dimethyl S-[2-(ethylthio)ethyl]dithiophosphate', 'S-2-(ethylthio)ethyl O,O-dimethyl phosphorodithioate', 'S-[2-(Ethylthio)ethyl] O,O-dimethyl phosphorodithioate', 'Thiometon in Shellsol, PESTANAL(R), analytical standard', 'S-[2-(Ethylsulfanyl)ethyl] O,O-dimethyl dithiophosphate #', 'S-(2-(Ethylthio)ethyl) O,O-dimethyl phosphorodithioate (8CI)', 'dimethyl {[2-(ethylsulfanyl)ethyl]sulfanyl}(sulfanylidene)phosphonite']</t>
  </si>
  <si>
    <t>Compound(12541)</t>
  </si>
  <si>
    <t>C6H15O2PS3</t>
  </si>
  <si>
    <t>top frame sun</t>
  </si>
  <si>
    <t>4-[3-(4,5-dihydro-1,2-oxazol-3-yl)-2-methyl-4-methylsulfonylbenzoyl]-2-methyl-1H-pyrazol-3-one</t>
  </si>
  <si>
    <t>['Topramezone', '210631-68-8', 'UNII-W4934JAQ65', 'W4934JAQ65', '[3-(4,5-Dihydro-3-isoxazolyl)-2-methyl-4-(methylsulfonyl)phenyl](5-hydroxy-1-methyl-1H-pyrazol-4-yl)methanone', '[3-(4,5-dihydro-1,2-oxazol-3-yl)-4-(methanesulfonyl)-2-methylphenyl](5-hydroxy-1-methyl-1H-pyrazol-4-yl)methanone', 'benzuocaotong', 'Armezon', 'Clio', '(3-(4,5-dihydro-3-isoxazolyl)-2-methyl-4-(methylsulfonyl)phenyl)(5-hydroxy-1-methyl-1H-pyrazol-4-yl)methanone', '[3-(4,5-dihydro-1,2-oxazol-3-yl)-2-methyl-4-methylsulfonylphenyl]-(5-hydroxy-1-methylpyrazol-4-yl)methanone', 'Methanone, [3-(4,5-dihydro-3-isoxazolyl)-2-methyl-4-(methylsulfonyl)phenyl](5-hydroxy-1-methyl-1H-pyrazol-4-yl)-;1-[3-(4,5-Dihydroisoxazol-3-yl)-4-methanesulfonyl-2-methylphenyl]-1-(5-hydroxy-1 -methyl-1H-pyrazol-4-yl)methanone', 'Topramezone [ISO]', 'DSSTox_CID_14722', 'DSSTox_RID_79195', 'DSSTox_GSID_34722', 'SCHEMBL116121', 'CHEMBL2272076', 'CHEMBL3145388', 'DTXSID0034722', 'SCHEMBL12155098', 'CTK8E7363', 'HSDB 7500', 'CHEBI:131999', 'BCP17096', 'Tox21_302441', 'ZINC101094494', 'DB14826', 'NCGC00255588-01', 'ACM210631688', 'Topramezone 10 microg/mL in Acetonitrile', 'CAS-210631-68-8', 'FT-0696710', 'NS00021846', 'Topramezone, PESTANAL(R), analytical standard', 'J-013812', 'Q1168918', '[3-(4,5-dihydro-1,2-oxazol-3-yl)-2-methyl-4-(methylsulfonyl)phenyl](5-hydroxy-1-methyl-1H-pyrazol-4-yl)methanone', '1-Methyl-4-(3-(4,5-dihydroisoxazol-3-yl)-2-methyl-4-methylsulfonylbenzoyl)-5-hydroxypyrazole', '4-[3-(4,5-dihydroisoxazol-3-yl)-4-methylsulfonyl-2-methylbenzoyl]-5-hydroxy-1-methylpyrazole', '5-hydroxy-1-methylpyrazol-4-yl 3-(4,5-dihydroisoxazol-3-yl)-2-methyl-4-(methylsulfonyl)phenyl ketone']</t>
  </si>
  <si>
    <t>Compound(11302979)</t>
  </si>
  <si>
    <t>aminothiourea</t>
  </si>
  <si>
    <t>['Thiosemicarbazide', '79-19-6', 'Hydrazinecarbothioamide', 'N-Aminothiourea', 'aminothiourea', '1-Aminothiourea', 'Thiocarbamylhydrazine', 'Semicarbazide, thio-', 'Isothiosemicarbazide', '2-Thiosemicarbazide', '3-Thiosemicarbazide', 'Thiocarbamoylhydrazine', 'Semicarbazide, 3-thio-', 'Aminothio-urea', '1-AMINO-2-THIOUREA', 'USAF EK-1275', 'RCRA waste number P116', 'Isothiosemicarbazide (VAN)', 'NSC 2213', 'UNII-6056O8W6ET', 'CCRIS 1416', 'HSDB 6050', 'THIOSEMICARBAZINE', 'EINECS 201-184-7', 'MFCD00007620', 'TSZ', 'RCRA waste no. P116', 'AI3-16319', 'CHEMBL256250', '6056O8W6ET', 'WLN: ZMYZUS', 'Thiosemicarbazide, 98+%', 'DSSTox_CID_1346', 'DSSTox_RID_76099', 'DSSTox_GSID_21346', 'aminohydrazinomethane-1-thione', 'CAS-79-19-6', 'Thiocarbamoyl hydrazide', 'aminoisothiourea', '1-azanylthiourea', 'thio-semicarbazide', 'PubChem13594', 'ACMC-1BJCC', 'H2NNHCSNH2', 'Thiosemicarbazide, 99%', '(aminothioxomethyl)hydrazine', 'Amino-2-thioharnstoff, 1-', '(aminothioxomethyl)-hydrazine', 'KSC377I9J', 'DTXSID9021346', 'Thiosemicarbazide, p.a., 98%', 'Carbamohydrazonothioicacid (9CI)', 'CTK1D8582', 'CTK2H7494', 'NSC2213', 'NSC-2213', 'NSC31792', 'STR00427', 'ZINC8830546', 'Tox21_201348', 'Tox21_302983', 'ANW-37266', 'BDBM50236982', 'NSC-31792', 'SBB040860', 'STL194285', 'AKOS000269047', 'LS-2185', 'MCULE-6378380063', 'KS-000001V3', 'Thiosemicarbazide, puriss. p.a., 98%', 'NCGC00091884-01', 'NCGC00091884-02', 'NCGC00256506-01', 'NCGC00258900-01', 'BR-40145', 'NSC 2213; NSC 31792', 'SC-18209', 'DB-030119', 'Thiosemicarbazide, purum, &gt;=98.0% (RT)', 'AM20100785', 'CS-0008325', 'FT-0657078', 'NS00004203', 'ST50214450', 'A839613', 'W-104264', 'Q16295007', 'F1908-0101', '4426-73-7', 'N/M']</t>
  </si>
  <si>
    <t>Compound(2723789)</t>
  </si>
  <si>
    <t>CH5N3S</t>
  </si>
  <si>
    <t>thiourea</t>
  </si>
  <si>
    <t>['THIOUREA', 'Thiocarbamide', '62-56-6', 'Isothiourea', '2-Thiourea', 'Pseudothiourea', 'Sulourea', 'Thiuronium', '2-Thiopseudourea', 'Sulfourea', 'Thiocarbonic acid diamide', 'Urea, thio-', 'beta-Thiopseudourea', 'Thiomocovina', 'Carbamimidothioic acid', 'Urea, 2-thio-', 'Tsizp 34', 'Pseudourea, 2-thio-', 'Thiocarbamid', 'Thioharnstoff', 'Thiokarbamid', 'Sulfouren', 'USAF EK-497', 'RCRA waste number U219', 'carbonothioic diamide', 'Thiomocovina [Czech]', 'Caswell No. 855', 'sulfocarbamide', 'Thiurea', 'thio-urea', 'UNII-GYV9AM2QAG', 'RCRA waste no. U219', 'NSC 5033', 'THU', 'CCRIS 588', '.beta.-Thiopseudourea', 'HSDB 1401', 'GYV9AM2QAG', 'Urea, thio- (8CI)', 'EINECS 200-543-5', 'MFCD00008067', '17356-08-0', 'EPA Pesticide Chemical Code 080201', 'H2NC(S)NH2', 'AI3-03582', '(NH2)2CS', 'CHEMBL260876', 'CHEBI:36946', 'DSSTox_CID_1348', 'DSSTox_RID_76101', 'DSSTox_GSID_21348', 'Thiourea, 99%, extra pure', 'TOU', 'Thiourea, 99+%, for analysis', 'Thiourea, 99+%, ACS reagent', 'CAS-62-56-6', 'S C (N H2)2', 'THIOUREA, ACS', 'aminothioamide', 'thiopseudourea', 'Thiourea Solution', 'aminothiocarboxamide', '2-Thio-Pseudourea', 'Thiocarbonic diamide', '2-Thio-Urea', 'beta -thiopseudourea', 'Thiourea, 99%', 'WLN: ZYZUS', 'EC 200-543-5', 'Thiourea ACS Reagent Grade', 'Thiourea, LR, &gt;=98%', 'KSC352S5L', 'MLS002454451', 'BIDD:ER0582', 'DTXSID9021348', 'CTK0H6995', 'CTK2F2955', 'NSC5033', 'HMS2234E12', 'HMS3369M21', 'BCP27948', 'KS-00000W3Z', 'NSC-5033', 'STR00054', 'ZINC8437745', 'Thiocarbamide,Isothiourea,2-Thiourea', 'Tox21_201873', 'Tox21_302767', 'BDBM50229993', 'Silver thiuronium acrylate co polymer', 'STL194300', 'Thiourea, ACS reagent, &gt;=99.0%', 'AKOS000269032', 'AKOS028109302', 'CCG-207963', 'LS-1481', 'MCULE-5046264236', 'NE10552', 'UN 2877', 'Thiourea, ReagentPlus(R), &gt;=99.0%', 'NCGC00091199-01', 'NCGC00091199-02', 'NCGC00091199-03', 'NCGC00256530-01', 'NCGC00259422-01', 'Thiourea, &gt;=99.999% (metals basis)', 'BP-31025', 'S726', 'SC-46882', 'SMR000857187', 'Thiourea, JIS special grade, &gt;=98.0%', 'Thiourea, p.a., ACS reagent, 99.0%', 'FT-0675198', 'NS00002781', 'T0445', 'C14415', 'T-3650', '10.14272/UMGDCJDMYOKAJW-UHFFFAOYSA-N.1', 'A833853', 'Q528995', 'Thiourea, puriss. p.a., ACS reagent, &gt;=99.0%', 'doi:10.14272/UMGDCJDMYOKAJW-UHFFFAOYSA-N.1', 'J-524966', 'F0001-1650', 'Thiourea, Pharmaceutical Secondary Standard; Certified Reference Material', 'Thiourea;thiourea;Thiourea, polymer with formaldehyde and 1-phenylethanone']</t>
  </si>
  <si>
    <t>Compound(2723790)</t>
  </si>
  <si>
    <t>CH4N2S</t>
  </si>
  <si>
    <t>toxaphene</t>
  </si>
  <si>
    <t>1,4,5,6,7,7-hexachloro-2,2-bis(chloromethyl)-3-methylidenebicyclo[2.2.1]heptane</t>
  </si>
  <si>
    <t>['8001-35-2', '1,4,5,6,7,7-hexachloro-2,2-bis(chloromethyl)-3-methylidenebicyclo[2.2.1]heptane', 'NCGC00091881-01', 'DSSTox_CID_1368', 'DSSTox_RID_76114', 'DSSTox_GSID_21368', 'CAS-8001-35-2', 'GTPL2830', 'SCHEMBL5933656', 'CHEMBL1566504', 'DTXSID90858936', 'Toxaphene = Camphechlor;toxaphene', 'Tox21_111173', 'Tox21_200912', 'NCGC00091881-02', 'NCGC00091881-03', 'NCGC00258466-01', 'NS00021362', 'Q63381159', '1,2,3,4,7,7-hexachloro-6,6-bis(chloromethyl)-5-methylidenebicyclo[2.2.1]heptane', '1852481-29-8']</t>
  </si>
  <si>
    <t>Compound(5284469)</t>
  </si>
  <si>
    <t>C10H8Cl8</t>
  </si>
  <si>
    <t>(3-phenoxyphenyl)methyl (1R,3S)-3-(2,2-dichloroethenyl)-2,2-dimethylcyclopropane-1-carboxylate</t>
  </si>
  <si>
    <t>['TRANS-PERMETHRIN', 'Biopermethrin', '61949-77-7', 'UNII-5O0SBK88B7', 'CCRIS 3485', 'EINECS 263-347-9', '51877-74-8', '(+)-trans-Permethrin', '(1R)-trans-Permethrin', '5O0SBK88B7', 'Biopermethrin [ISO]', 'Cyclopropanecarboxylic acid, 3-(2,2-dichloroethenyl)-2,2-dimethyl-, (3-phenoxyphenyl)methyl ester, trans-', 'm-Phenoxybenzyl trans-3-(2,2-dichlorovinyl)-2,2-dimethylcyclopropanecarboxylate', 'trans-meta-Phenoxybenzyl 3-(2,2-dichlorovinyl)-2,2-dimethylcyclopropanecarboxylate', 'NRDC 147', 'RU 22090', '(3-phenoxyphenyl)methyl (1R,3S)-3-(2,2-dichloroethenyl)-2,2-dimethylcyclopropane-1-carboxylate', 'AI3-29190', '(+)- trans -Permethrin', 'trans-Permethrin solution', 'Cyclopropanecarboxylic acid, 3-(2,2-dichloroethenyl)-2,2-dimethyl-, (3-phenoxyphenyl)methyl ester, (1R,3S)-rel-', 'Cyclopropanecarboxylic acid, 3-(2,2-dichlorovinyl)-2,2-dimethyl-, (3-phenoxyphenyl)methyl ester, (1R-trans)-', '(RS)-cis-Permethrin', 'Purity of trans-Permethrin', 'Permethrin, (trans)-Isomer', 'SCHEMBL117908', 'CHEMBL589355', 'DTXSID4037611', 'DTXSID8058116', 'CTK8G3564', 'Cyclopropanecarboxylic acid, 3-(2,2-dichloroethenyl)-2,2-dimethyl-, (3-phenoxyphenyl)methyl ester, (1R-trans-)', 'ZINC1850374', 'AKOS015964934', 'LS-58639', 'trans-Permethrin 10 microg/mL in Acetonitrile', 'trans-Permethrin 10 microg/mL in Cyclohexane', 'trans-Permethrin 100 microg/mL in Cyclohexane', '341P329', 'UNII-509F88P9SZ component RLLPVAHGXHCWKJ-MJGOQNOKSA-N', 'UNII-MQP2PAM1G5 component RLLPVAHGXHCWKJ-MJGOQNOKSA-N', 'trans-Permethrin solution, 10 mug/mL in cyclohexane, PESTANAL(R), analytical standard', '(+)-trans-Permethrin;trans-Permethrin;m-phenoxybenzyl trans-3-(2,2-dichlorovinyl)-2,2-dimethylcyclopropanecarboxylate']</t>
  </si>
  <si>
    <t>Compound(43859)</t>
  </si>
  <si>
    <t>(E)-1-(2,4-dichlorophenyl)-N-methoxy-2-pyridin-3-ylethanimine</t>
  </si>
  <si>
    <t>['Pyrifenox', 'Pyrifenox E-isomer', '83227-22-9', 'UNII-U79DJ2571L', 'U79DJ2571L', 'Ethanone,1-(2,4-dichlorophenyl)-2-(3-pyridinyl)-,O-methyloxime,(1E)-', '88283-41-4', 'Pyridfenox', 'E-Pyrifenox', 'SCHEMBL3066779', 'DTXSID60232229', 'ZINC5141038', '(E)-Pyrifenox 10 microg/mL in Isooctane', 'Q27265864', 'UNII-9QNU6BZ7LO component CKPCAYZTYMHQEX-NBVRZTHBSA-N', '(E)-1-(2,4-dichlorophenyl)-N-methoxy-2-pyridin-3-ylethanimine', 'Ethanone, 1-(2,4-dichlorophenyl)-2-(3-pyridinyl)-, O-methyloxime, (1E)-']</t>
  </si>
  <si>
    <t>Compound(5362131)</t>
  </si>
  <si>
    <t>(1R,2R)-2-[(dimethylamino)methyl]-1-(3-methoxyphenyl)cyclohexan-1-ol</t>
  </si>
  <si>
    <t>['Tramadol', '(+)-Tramadol', '27203-92-5', 'cis-Tramadol', 'Ralivia flashtab', 'Ralivia ER', 'Tramadolum [INN-Latin]', 'Tramadol [INN:BAN]', '123154-38-1', '(R,R) tramadol', 'Tramal', 'EINECS 248-319-6', 'UNII-0NG5TTM63P', '0NG5TTM63P', 'CHEBI:75725', '(1R,2R)-2-[(dimethylamino)methyl]-1-(3-methoxyphenyl)cyclohexanol', 'Ryzolt', '181289-58-7', 'NCGC00159343-02', 'Tramadon', 'Cyclohexanol, 2-((dimethylamino)methyl)-1-(m-methoxyphenyl)-', '(+)-trans-2-(Dimethylaminomethyl)-1-(m-methoxyphenyl)cyclohexanol', 'Racemic tramadol', 'DSSTox_CID_3691', 'DSSTox_RID_77150', 'DSSTox_GSID_23691', 'Tramadolum', 'Biomadol', 'Contramid', 'Labesfal', 'Tramadis', 'Tramaliv', 'Trapidol', 'CHEMBL201531', 'Zytram', 'Tradonal odis', 'Cyclohexanol, 2-((dimethylamino)-1-(3-methoxyphenyl)-, cis-(+-)-', '(1R,2R)-2-[(dimethylamino)methyl]-1-(3-methoxyphenyl)cyclohexan-1-ol', 'Cyclohexanol, 2-((dimethylamino)methyl)-1-(3-methoxyphenyl)-, cis-(+-)-', 'Tramadol Contramid', 'HSDB 7047', 'CAS-36282-47-0', '(+-)-Tramadol', '(+)-(R,R)-trans-', 'cis tramadol', '(+)-trans-Tramadol free base', '(1R,2R)-2-((dimethylamino)methyl)-1-(3-methoxyphenyl)cyclohexanol', 'Rel-Tramadol', 'CG 315E', '(r,r)-tramadol', 'Tramadol (INN)', 'Amanda (TN)', 'Tramadol, (+)-', 'PubChem20420', 'Tramadol_2567_ p', 'U 26255A', '22204-88-2', 'sustained-release tramadol', 'E 265', 'E 382', 'SCHEMBL7464', 'CHEMBL1066', 'ZINC853', 'MLS000333190', 'BIDD:GT0075', 'CTK8E8968', 'DTXSID90858931', 'HMS2090D10', 'HMS2803D04', 'Tox21_111588', 'BDBM50176259', 'AKOS005066335', 'Cyclohexanol, 2-(dimethylaminomethyl)-1-(m-methoxyphenyl)-, (+)-(E)-', 'Tox21_111588_1', 'API0000066', 'API0004460', 'DB00193', 'MCULE-8198453745', 'NCGC00159343-05', 'LS-57115', 'LS-57116', 'SMR000436547', 'FT-0604438', 'FT-0675346', 'C07153', 'D08623', 'AB00640024-11', '914T774', 'Q407592', 'UNII-39J1LGJ30J component TVYLLZQTGLZFBW-ZBFHGGJFSA-N', '(1R,2R)-2-(dimethylaminomethyl)-1-(3-methoxyphenyl)-cyclohexanol', '(1R,2R)-2-Dimethylaminomethyl-1-(3-methoxy-phenyl)-cyclohexanol', '(1R,2R)-2-[(dimethylamino)methyl]-1-[3-(methyloxy)phenyl]cyclohexanol', '(1R,2S)-2-[(DIMETHYLAMINO)METHYL]-1-(3-METHOXYPHENYL)CYCLOHEXAN-1-OL', 'Cyclohexanol-2-((dimethylamino)methyl)-1-(3-methoxyphenyl)-, trans-(+-)- (9CI)']</t>
  </si>
  <si>
    <t>Compound(33741)</t>
  </si>
  <si>
    <t>C16H25NO2</t>
  </si>
  <si>
    <t>tremolite (gray asbestos)</t>
  </si>
  <si>
    <t>tris (2,3-dibromopropyl) phosphate</t>
  </si>
  <si>
    <t>tris(2,3-dibromopropyl) phosphate</t>
  </si>
  <si>
    <t>['Tris(2,3-dibromopropyl) phosphate', '126-72-7', 'Tris(2,3-dibromopropyl)phosphate', 'TDBPP', 'Anfram 3PB', 'Flacavon R', 'Flammex AP', 'Zetofex ZN', 'Tris (flame retardant)', 'Tris-BP', 'Tdbp', 'Firemaster T23p-lv', 'Flammex T 23P', 'Zetifex zn', 'Flamex T 23P', 'Usaf do-41', 'Bromkal P 67-6HP', 'Firemaster T23P', 'Firemaster LV-T 23P', 'Phoscon UF-S', 'FireMaster T 23', 'Phoscon PE 60', 'Flammex LV-T 23P', 'Fyrol HB 32', 'Tris(dibromopropyl) phosphate', '(2,3-Dibromopropyl) phosphate', '3PBR', 'Rcra waste number U235', '2,3-Dibromo-1-propanol phosphate', 'APEX 462-5', 'NCI-C03270', 'T 23P', 'FireMaster T 23P', 'Fyrol HB32', 'TDBP [Czech]', 'Tris (VAN)', 'NSC 3240', 'Tris(dibromopropyl)phosphate', 'UNII-X7O89N7ZY0', 'CCRIS 614', '1-Propanol, 2,3-dibromo-, phosphate (3:1)', 'Tris-(2,3-dibrompropyl)fosfat', '2,3-Dibromo-1-propanol phosphate (3:1)', 'HSDB 2581', 'ES685', 'Tris(2,3-dibromopropyl) phosphoric acid ester', 'EINECS 204-799-9', 'ES 685', 'Phosphoric acid, tris(2,3-dibromopropyl) ester', 'Tris-2,3-dibrompropyl ester kyseliny fosforecne', 'RCRA waste no. U235', "1-Propanol, 2,3-dibromo-, 1,1',1''-phosphate", 'BRN 1915153', 'Tris-(2,3-dibrompropyl)fosfat [Czech]', 'AI3-19170', 'X7O89N7ZY0', 'CHEBI:82282', 'TRIS(2,3-DIBROMO-1-PROPYL) PHOSPHATE', "1-Propanol,2,3-dibromo-, 1,1',1''-phosphate", 'Tris-2,3-dibrompropyl ester kyseliny fosforecne [Czech]', 'DSSTox_CID_1413', 'DSSTox_RID_76148', 'DSSTox_GSID_21413', 'CAS-126-72-7', 'TRIS-(2,3-DIBROMOPROPYL)PHOSPHATE', 'firemaster  t23p-lv', '2,3-Dibromopropyl phosphate', 'SCHEMBL26576', 'tr is(dibromopropyl)phosphate', 'CHEMBL1904600', 'DTXSID5021413', 'CTK4B5321', 'PQYJRMFWJJONBO-UHFFFAOYSA-', 'NSC3240', 'NSC-3240', 'Tox21_201798', 'Tox21_302967', 'tris-(2,3-dibromopropyl) phosphate', 'LS-704', 'Tris(2,3-dibromo-1-propyl)phosphate', 'AKOS015914154', '1-Propanol, 2,3-dibromo-, phosphate', 'NCGC00163880-01', 'NCGC00163880-02', 'NCGC00256444-01', 'NCGC00259347-01', 'Phosphoric acid tris(2,3-dibromopropyl)', 'WLN: E1YE1OPO &amp; O1YE1EO1YE1E', 'TBPP, PESTANAL(R), analytical standard', '1-Propanol,3-dibromo-, phosphate (3:1)', 'DB-041837', 'FT-0631736', 'NS00009427', 'Phosphoric acid tri(2,3-dibromopropyl) ester', 'C19182', 'C-50872', 'J-005427', 'Q2443865', 'Tris(2,3-dibromopropyl) phosphate, analytical standard', '1-[bis(2,3-dibromopropoxy)phosphoryloxy]-2,3-dibromo-propane']</t>
  </si>
  <si>
    <t>Compound(31356)</t>
  </si>
  <si>
    <t>C9H15Br6O4P</t>
  </si>
  <si>
    <t>tris (2-ethylhexyl) phosphate</t>
  </si>
  <si>
    <t>tris(2-ethylhexyl) phosphate</t>
  </si>
  <si>
    <t>['Tris(2-ethylhexyl) phosphate', '78-42-2', 'Tris(2-ethylhexyl)phosphate', 'Disflamoll TOF', 'Phosphoric acid, tris(2-ethylhexyl) ester', 'Flexol TOF', 'Kronitex TOF', 'Flexol plasticizer TOF', '2-Ethyl-1-hexanol phosphate', 'Tris(ethylhexyl) phosphate', 'Tri(2-ethylhexyl)phosphate', 'Tri(2-ethylhexyl) phosphate', 'NCI-C54751', 'Triethylhexyl phosphate', 'Phosphoric acid, tris(ethylhexyl) ester', 'Tri(ethylhexyl) phosphate', '1-Hexanol, 2-ethyl-, phosphate', 'UNII-BQC0BKB72S', '2-Ethylhexanol, phosphate triester', 'Tris-(2-ethylhexyl)fosfat', 'Tris(2-ethylhexy)phosphate', 'CCRIS 615', 'NSC 407921', 'HSDB 2562', 'Tris-(2-ethylhexyl)fosfat [Czech]', 'EINECS 201-116-6', 'Tris-2(2-ethylhexyl)fosfat [Czech]', 'BQC0BKB72S', 'TOF', 'Tris(2-ethylhexl)phosphate', 'BRN 1715839', 'AI3-07852', 'Phosphoric acid, tris(2-ethylhexyl)ester', 'DSSTox_CID_1414', 'DSSTox_RID_76149', 'DSSTox_GSID_21414', 'CAS-78-42-2', 'Tris-2(2-ethylhexyl)fosfat', 'C24H51O4P', 'Amgard TOF', 'MFCD00009491', '1-Hexanol, phosphate', 'ACMC-209pe8', 'EC 201-116-6', 'SCHEMBL35485', 'tris-(2-ethylhexyl)phosphate', 'MLS002415769', 'Phosphoric Acid Trioctyl Ester', 'CHEMBL1562290', 'DTXSID0021414', 'CTK3J5096', 'tris ( 2-ethylhexyl ) phosphate', '2-Ethylhexanol phosphate (3:1)', 'HMS3039O17', 'Phosphoric acid tris(2-ethylhexyl)', 'KS-000011BU', 'Tox21_201369', 'Tox21_300321', 'ANW-37182', 'NSC407921', 'Tris(2-ethylhexyl) phosphate, 97%', 'AKOS015843194', 'Tris(2-ethylhexyl) phosphate (TEHP)', 'Tris(2-ethylhexyl) phosphate - TEHP', 'LS-1747', 'NSC-407921', 'NCGC00091821-01', 'NCGC00091821-02', 'NCGC00091821-03', 'NCGC00254160-01', 'NCGC00258921-01', 'AK114643', 'Phosphoric Acid Tris(2-ethylhexyl) Ester', 'SMR001370923', 'NS00002729', 'P1022', 'WLN: 4Y2&amp;1OPO&amp;O1Y4&amp;2&amp;O1Y4&amp;2', '44698-EP2270015A1', '44698-EP2298766A1', '44698-EP2311818A1', 'Q2454094', 'Tris(2-ethylhexyl) phosphate, Selectophore(TM), &gt;=99.0%', 'Phosphoric acid, tris(2-ethylhexyl) ester;tris(2-ethylhexyl) phosphate;Tris(2-ethylhexyl) phosphate']</t>
  </si>
  <si>
    <t>Compound(6537)</t>
  </si>
  <si>
    <t>C24H51O4P</t>
  </si>
  <si>
    <t>tris (2-butoxyethyl) phosphate</t>
  </si>
  <si>
    <t>tris(2-butoxyethyl) phosphate</t>
  </si>
  <si>
    <t>['Tris(2-butoxyethyl) phosphate', '78-51-3', 'TBEP', 'Tributoxyethyl phosphate', 'Phosflex T-bep', 'Tris(butoxyethyl) phosphate', 'TRI(2-BUTOXYETHYL) PHOSPHATE', 'Kronitex KP-140', 'Tributyl cellosolve phosphate', 'Ethanol, 2-butoxy-, phosphate (3:1)', 'KP 140', 'Tri(butoxyethyl) phosphate', 'tris(2-butoxyethyl)phosphate', 'Phosphoric acid, tributoxyethyl ester', 'Phosphoric acid, tris(2-butoxyethyl) ester', 'Tri(2-butoxyethanol)phosphate', '2-Butoxyethanol, phosphate', 'NSC 4839', 'Tris-(2-butoxyethyl)fosfat', 'UNII-RYA6940G86', 'CCRIS 5942', 'Tri(2-butoxyethanol) phosphate', 'HSDB 2564', '2-Butoxyethanol phosphate (3:1)', 'tributoxy ethyl phosphate', '2-Butoxyethanol phosphate', 'EINECS 201-122-9', 'Tris(butoxyethyl)phosphate', 'Tris-(2-butoxyethyl)fosfat [Czech]', 'BRN 1716010', 'AI3-04596', "Ethanol, 2-butoxy-, 1,1',1''-phosphate", 'CHEBI:35038', 'RYA6940G86', 'tris[2-(butyloxy)ethyl] phosphate', 'Phosphoric acid, tri-(2-butoxyethyl) ester', 'DSSTox_CID_1758', 'DSSTox_RID_76309', 'Ethanol, phosphate (3:1)', 'DSSTox_GSID_21758', 'WLN: 4O2OPO&amp;O2O4&amp;O2O4', 'Tris(2-butoxyethyl) phosphate, 95%', 'CAS-78-51-3', 'Phosphoric acid, tri(butoxyethyl) ester', 'tris-2-butoxyethyl phosphate', 'C18H39O7P', 'Amgard TBEP', 'ACMC-209pei', 'Phosphoric Acid Tris(2-butoxyethyl) Ester', 'EC 201-122-9', 'NCIOpen2_007840', 'SCHEMBL37268', '4-01-00-02422 (Beilstein Handbook Reference)', 'KSC377C2F', 'Tris(2-butoxylethyl)phosphate', 'BIDD:ER0626', 'Tris(2-butoxyethyl )phosphate', 'tris-(2-butoxyethyl)phosphate', 'CHEMBL1534811', 'DTXSID5021758', 'CTK2H7122', 'NSC4839', 'KS-000011BY', 'NSC-4839', 'NSC62228', 'ZINC3861027', '2-Butoxy-ethanol phosphate (3:1)', 'Phosphoric acid tris(2-butoxyethyl)', 'TBEP;KP 140;Hostaphat B 310', 'Tox21_201593', 'Tox21_302891', 'ANW-37192', 'NSC-62228', 'Tris(2-butoxyethyl) phosphate, 94%', 'AKOS015839670', 'TRI-(2-BUTOXYETHYL)-PHOSPHATE', 'LS-1749', 'TBEP (Tris(2-butoxyethyl) Phosphate)', 'NCGC00091600-01', 'NCGC00091600-02', 'NCGC00091600-03', 'NCGC00256553-01', 'NCGC00259142-01', 'Tris(2-butoxyethyl)ester phosphoric acid', 'AS-59809', 'I587', 'Phosphoric acid tris(2-n-butoxyethyl)ester', 'FT-0689063', 'NS00010389', 'P0683', 'C14446', 'Ethanol, 2-butoxy-, phosphate (3:1) - TBEOP', 'Tris(2-butoxyethyl) phosphate, analytical standard', 'W-104277', 'Q27116378', 'Tris(2-butoxyethyl) phosphate,C18H39O7P,78-51-3']</t>
  </si>
  <si>
    <t>Compound(6540)</t>
  </si>
  <si>
    <t>C18H39O7P</t>
  </si>
  <si>
    <t>tris (2-chloro-1- ( chloromethyl) ethyl) phosphate</t>
  </si>
  <si>
    <t>tris(1,3-dichloropropan-2-yl) phosphate</t>
  </si>
  <si>
    <t>['13674-87-8', 'TDCPP', 'Tris(1,3-dichloro-2-propyl)phosphate', 'tris(1,3-dichloropropan-2-yl) phosphate', 'Fyrol FR 2', 'Emulsion 212', 'TRIS(1,3-DICHLORO-2-PROPYL) PHOSPHATE', 'Tris(1,3-dichloroisopropyl)phosphate', '2-Propanol, 1,3-dichloro-, phosphate (3:1)', 'CRP (fireproofing agent)', 'Phosphoric Acid Tris(1,3-dichloro-2-propyl) Ester', 'PF 38', 'Fyrol FR-2', '1,3-Dichloro-2-propanol phosphate (3:1)', 'UNII-B1PRV4G0T0', 'Tris(1-chloromethyl-2-chloroethyl)phosphate', 'Tris(2-chloro-1-(chloromethyl)ethyl) phosphate', 'PF 38/3', 'CCRIS 6284', "Tri(beta,beta'-dichloroisopropyl)phosphate", 'HSDB 4364', 'Tris(2-chloro-1-(chloromethyl)ethyl)phosphate', 'EINECS 237-159-2', 'BRN 1715458', 'B1PRV4G0T0', 'Fosforan troj-(1,3-dwuchloroizopropylowy)', 'DTXSID9026261', 'Tris[2-chloro-1-(chloromethyl)ethyl] phosphate', "2-Propanol, 1,3-dichloro-, 2,2',2''-phosphate", 'Fosforan troj-(1,3-dwuchloroizopropylowy) [Polish]', 'Phosphoric acid, tris(1,3-dichloro-2-propyl) ester', 'CRP', 'DSSTox_CID_6261', 'DSSTox_RID_78078', 'DSSTox_GSID_26261', 'CAS-13674-87-8', 'C9H15Cl6O4P', 'Phosphoric acid tris(1,3-dichloro-2-propyl)ester', 'Fyrol FR2', 'Tris-(1,3-dichloro-2-propyl)-phosphate', 'ACMC-209c9q', 'EC 237-159-2', 'TDCPP, analytical standard', 'TDCPP (Tris(1,3-dichloro-2-propyl)phosphate)', '3-01-00-01473 (Beilstein Handbook Reference)', 'KSC496A6H', 'SCHEMBL333198', 'CHEMBL3182032', 'CTK3J6063', 'CHEBI:143729', 'Tris(1,3-dichlorisopropyl)phosphat', 'KS-00000Z7I', 'ZINC2019519', 'Tox21_202166', 'Tox21_300194', 'ANW-20172', 'LS-798', 'AKOS015856734', 'CS-8011', 'Tris(1.3-dichloro-2-propyl) phosphate', 'Tris-(1,3-dichloro-2-propyl)phosphate', 'NCGC00247923-01', 'NCGC00247923-02', 'NCGC00254047-01', 'NCGC00259715-01', 'AK116066', 'I991', 'AX8147868', 'HY-108712', 'FT-0654115', 'NS00010388', 'P0269', 'Tris(1,3-dichlorisopropyl)phosphate (TDCPP)', "Tri(.beta.,.beta.'-dichloroisopropyl)phosphate", 'Tris(1,3-dichloro-2-propyl) phosphate, 95%', 'tris[1,3-bis(chloranyl)propan-2-yl] phosphate', 'Tris(1,3-dichloro-2-propyl) phosphate (TDCPP)', 'A807122', 'Tris(1,3-dichloro-2-propyl) phosphate (TDCIPP)', 'Tris[2-chloro-1-(chloromethyl)ethyl] phosphate #', 'J-006902', 'Q2454085', 'phosphoric acid tris(1,3-dichloropropan-2-yl) ester', 'phosphoric acid tris-(2-chloro-1-chloromethyl-ethyl) ester', 'Tris-(1,3-dichloroisopropyl) phosphate Standard 50 microg/mL in Acetonitrile']</t>
  </si>
  <si>
    <t>Compound(26177)</t>
  </si>
  <si>
    <t>C9H15Cl6O4P</t>
  </si>
  <si>
    <t>tris (tribromoneopentyl) phosphate</t>
  </si>
  <si>
    <t>1-[4-methoxy-6-(trifluoromethyl)-1,3,5-triazin-2-yl]-3-[2-(trifluoromethyl)phenyl]sulfonylurea</t>
  </si>
  <si>
    <t>['Tritosulfuron', '142469-14-5', 'N-((4-Methoxy-6-(trifluoromethyl)-1,3,5-triazin-2-yl)carbamoyl)-2-(trifluoromethyl)benzenesulfonamide', 'UNII-U9927AJG71', 'U9927AJG71', '1-[4-methoxy-6-(trifluoromethyl)-1,3,5-triazin-2-yl]-3-[2-(trifluoromethyl)phenyl]sulfonylurea', 'Q63409344', 'N-((4-Methoxy-6-(trifluoromethyl)-1,3,5-triazin-2-yl)-carbamoyl)-2-(trifluoromethyl)benzenesulfonamide', 'N-{[4-methoxy-6-(trifluoromethyl)-1,3,5-triazin-2-yl]carbamoyl}-2-(trifluoromethyl)benzenesulfonamide', 'Tritosulfuron [ISO]', 'PubChem21002', 'TRITOSULFURON PESTANAL', 'SCHEMBL53993', 'C13H9F6N5O4S', 'DTXSID9057975', 'CHEBI:83500', 'CTK8C0876', 'BAS-635', '6968AA', 'ANW-65403', 'ZINC42685591', 'AKOS015895928', '1-[4-methoxy-6-(trifluoromethyl)-1,3,5-triazin-2-yl]-3-[2-(trifluoromethyl)phenyl]sulfonyl-urea', 'ACM142469145', 'SC-44994', 'AX8234317', 'FT-0659315', 'NS00000377', 'Tritosulfuron, PESTANAL(R), analytical standard', 'A807913', 'J-007660', '1-[4-methoxy-6-(trifluoromethyl)-1,3,5-triazin-2-yl]-3-[2-(trifluoromethyl)benzenesulfonyl]urea', '1-[4-methoxy-6-(trifluoromethyl)-1,3,5-triazin-2-yl]-3-[2-(trifluoromethyl)benzenesulfonyl]urea (containing = 0,02% AMTT);Benzenesulfonamide, N-[[[4-methoxy-6-(trifluoromethyl)-1,3,5-triazin-2-yl]amino]carbonyl]-2-(trifluoromethyl)-', "N-[6-Methoxy-4-(trifluoromethyl)-1,3,5-triazin-2(1H)-ylidene]-N'-[2-(trifluoromethyl)benzene-1-sulfonyl]carbamimidic acid"]</t>
  </si>
  <si>
    <t>Compound(11657899)</t>
  </si>
  <si>
    <t>C13H9F6N5O4S</t>
  </si>
  <si>
    <t>2-[4-(2,4,4-trimethylpentan-2-yl)phenoxy]ethanol</t>
  </si>
  <si>
    <t>['Triton X-100', '2315-67-5', 'Octoxynol-1', 'Octoxinol', '9002-93-1', 'Octoxynol', 'Octoxynol-3', 'Triton X', 'Preceptin', 'Triton x-45', 'Triton X 45', 'Octoxynol-9', 'Hydrol SW', 'Triton X 100', 'Triton X 305', 'Alfenol 3', 'Alfenol 9', 'Marlophen 820', 'Neutronyx 605', 'Octoxinolum', 'Poletoxol', 'Conco nix-100', 'Hyonic pe-250', 'Triton X 35', 'Antarox A-200', 'Ortho-gynol', 'Igepal CA-630', 'Triton X 165', 'Triton X 405', 'Triton X 705', 'Triton X-102', 'Octoxynol-11', 'Octoxynol-12', 'Octoxynol-25', 'Octoxynol-33', 'Octoxynol-40', 'Peg 4-isooctylphenyl ether', 'PEG-9 Octyl phenyl ether', '4-tert-Octylphenyl peg ether', 'Peg 4-tert-octylphenyl ether', 'Texofor FP 300', 'Triton X 101', 'Triton X 102', 'Ethanol, 2-[4-(1,1,3,3-tetramethylbutyl)phenoxy]-', 'OPE 30', '4-tert-Octylphenol Monoethoxylate', 'Polyoxyethylene octyl phenyl ether', 'Octoxinolum [INN-Latin]', 'Octoxynol 1', 'Poly(oxyethylene)-p-tert-octylphenyl ether', 'Polyethylene glycol octylphenol ether', 'UNII-20CAX7IO75', 'TX 100', 'p-tert-(Octylphenoxypolyethoxy)ethanol', 'Peg P-tert-octylphenyl ether', 'Polyoxyethylene (9) octylphenyl ether', 'CCRIS 985', 'Ethoxylated p-tert-octylphenol', 'Polyoxyethylene (13) octylphenyl ether', '2-(p-(1,1,3,3-Tetramethylbutyl)phenoxy)ethanol', 'Polyethylene glycol mono(p-tert-octylphenyl) ether', '2-[4-(2,4,4-trimethylpentan-2-yl)phenoxy]ethanol', 'Polyethylene glycol 450 octyl phenyl ether', 'Polyethylene glycol p-tert-octylphenyl ether', 'Polyethylene glycol mono(4-octylphenyl) ether', 'NSC 406472', 'Peg (P-(1,1,3,3-tetramethylbutyl)phenyl) ether', 'PEG-11 Octyl phenyl ether', 'PEG-12 Octyl phenyl ether', 'PEG-25 Octyl phenyl ether', 'PEG-33 Octyl phenyl ether', 'PEG-40 Octyl phenyl ether', 'Polyethylene glycol monoether with p-tert-octylphenyl', 'Octyl phenol condensed with l2-l3 moles ethylene oxide', '20CAX7IO75', 'Polyethylene glycol (11) octyl phenyl ether', '4-(1,1,3,3-Tetramethylbutyl)phenyl hydroxypoly(oxyethylene)', 'Polyethylene glycol p-octylphenyl ether (VAN)', 'Polyethyleneglycol 4-(tert-octyl)phenyl ether', 'Polyoxyethylene mono(octylphenyl) ether (VAN)', 'p-(1,1,3,3-Tetramethylbutyl)phenol ethoxylate', 'Polyethylene glycol mono(p-(1,1,3,3-tetramethylbutyl)phenyl) ether', '4-(1,1,3,3-Tetramethylbutyl)phenol, ethoxylated', 'alpha-(4-(1,1,3,3-Tetramethylbutyl)phenyl)-omega-hydroxypoly(oxy-1,2-ethanediyl)', 'Poly(oxy-1,2-ethanediyl), alpha-(4-(1,1,3,3-tetramethylbutyl)phenyl)-omega-hydroxy-', 'Polyoxyethylene mono(octylphenyl) ether', 'Polyoxyethylene (9) octyl phenyl ether', 'Triton,(-)', 'Polyoxyethylene 4-(1,1,3,3-tetramethylbutyl)phenyl ether', 'NCGC00091012-01', 'Polyoxyethylene (11) octyl phenyl ether', 'Polyoxyethylene (12) octyl phenyl ether', 'Polyoxyethylene (25) octyl phenyl ether', 'Polyoxyethylene (33) octyl phenyl ether', 'Polyoxyethylene (40) octyl phenyl ether', 'Polyethylene glycol p-1,1,3,3-tetramethylbutylphenyl ether', 'Poly(oxy-1,2-ethanediyl), alpha-(octylphenyl)-omega-hydroxy-', 'Polyethylene glycol 600 octyl phenyl ether', 'Triton(R) X-114', 'Polyethylene glycol (25) octyl phenyl ether', 'Polyethylene glycol (33) octyl phenyl ether', 'Polyethylene glycol 2000 octyl phenyl ether', 'Glycols, polyethylene, mono(p-(1,1,3,3-tetramethylbutyl)phenyl) ether', 'alpha-(P-(1,1,3,3-Tetramethylbutyl)phenyl)-omega-hydroxypoly(oxyethylene)', 'Phenol, P-(1,1,3,3-tetramethylbutyl)-, monoether with polyethylene glycol', 'DSSTox_CID_14085', 'DSSTox_RID_79110', 'DSSTox_GSID_34085', 'TRITON(R) X-100', '2-(4-(2,4,4-trimethylpentan-2-yl)phenoxy)ethanol', '2-[4-(2,4,4-Trimethyl-2-pentanyl)phenoxy]ethanol', 'Ethanol, 2-(4-(1,1,3,3-tetramethylbutyl)phenoxy)-', 'Octoxinols', 'Octoxynols', '26-(4-Octylphenoxy)-3,6,9,12,15,18,21,24-octaoxahexacosan-1-ol', '26-(Octylphenoxy)-3,6,9,12,15,18,21,24-octaoxahexacosan-1-ol', '3,6,9,12,15,18,21,24-Octaoxahexacosan-1-ol, 26-(octylphenoxy)-', '32-(4-(1,1,3,3-Tetramethylbutyl)phenoxy)-3,6,9,12,15,18,21,24,27,- 30-decaoxadotriacontan-1-ol', 'CAS-9002-93-1', 'Triton(R) X-405, 70% solution in water', 'Ethanol, octylphenoxy-', 'Triton X-305', 'Octoxynol 9 [USAN]', 'UNII-GW0EMR6SXY', 'UNII-3E2NC94VPF', 'UNII-480KVF3EBY', 'UNII-7JPC6Y25QS', 'UNII-NR7ZWN391G', 'UNII-QH2U227LZY', 'UNII-X7V411JQHV', 'Octoxynol 9 [USAN:NF]', 'Octylphenoxypolyethoxyethanols', 'UNII-9T1C662FKS', 'UNII-KI56N6W95G', 'UNII-SQL994V0M6', 'UNII-TJ327E1R1V', 'UNII-48RF3T316O', 'UNII-8419DEW37J', 'Triton(R) X-100, 98%, for molecular biology, DNAse, RNAse and Protease free', 'Octoxinol (INN)', 'Octoxynol 9 (NF)', 'Octylphenol Ethoxylate', 'Triton,(+)', 'Triton X-405', 'GW0EMR6SXY', 'Triton X-100 (TN)', '3E2NC94VPF', '480KVF3EBY', '7JPC6Y25QS', 'NR7ZWN391G', 'QH2U227LZY', 'X7V411JQHV', 'SCHEMBL33822', 'CHEMBL39763', 'octylphenoxy polyethoxy ethanol', 'alpha-(P-(1,1,3,3-Tetramethylbutyl)phenoxy)ethanol', '9T1C662FKS', 'CHEBI:9750', 'KI56N6W95G', 'SQL994V0M6', 'TJ327E1R1V', 'DTXSID1058680', 'DTXSID8034085', 'BDBM81480', 'CTK5G8407', 'NSC5259', '4-iso-Octylphenol-mono-ethoxylate', '48RF3T316O', '8419DEW37J', 'Bio1_000474', 'Bio1_000963', 'Bio1_001452', 'ETHANOL, 2-(P-(1,1,3,3-TETRAMETHYLBUTYL)PHENOXY)-', 'CAS_5590', 'NSC-5259', 'NSC_5590', 'ZINC1532311', 'EINECS 264-520-1', 'Tox21_111055', 'Tox21_202544', 'PDSP1_001087', 'PDSP2_001071', 'STL451484', 'MCULE-7119685362', 'NSC-406472', 'Polyethylene glycol p-octylphenyl ether', 'NCGC00260093-01', 'AS-68067', 'CAS_118-96-7', 'LS-72946', 'Ethanol,1,3,3-tetramethylbutyl)phenoxy]-', 'FT-0673247', 'FT-0689215', 'NS00004478', 'ST50406992', 'C11623', 'D05229', 'J-015013', '2-[4-(1,1,3,3-tetramethylbutyl)phenoxy]ethan-1-ol', 'Q27253450', '2-[4-(2,4,4-trimethylpentan-2-yl)phenoxy]ethan-1-ol', '4-iso-Octylphenol-mono-ethoxylate 10 microg/mL in Acetone', 'Glycols, mono[p-(1,1,3,3-tetramethylbutyl)phenyl] ether', 'Polyethylene glycol p-(1,3,3-tetramethylbutyl)phenyl ether', 'Phenol,1,3,3-tetramethylbutyl)-, monoether with polyethylene glycol', 'Polyethylene glycol mono[p-(1,3,3-tetramethylbutyl)phenyl] ether', '2-[4-(1,1,3,3-tetramethylbutyl)phenoxy]ethanol / 4-Octylphenol mono-ethoxylate', '2-[4-(1,1,3,3-tetramethylbutyl)phenoxy]ethanol bzw 4-Octylphenol mono-ethoxylate (OPE1O)', '4-tert-Octylphenol monoethoxylate solution, 1 mug/mL in acetone, analytical standard', '4-tert-Octylphenol monoethoxylate solution, 10 mug/mL in acetone, analytical standard', 'Poly(oxy-1, .alpha.-[4-(1,1,3,3-tetramethylbutyl)phenyl]-.omega.-hydroxy-', '3,9,12,15,18,21,24,27,30-Decaoxatriacontan-1-ol, 30-[p-(1,1,3,3-tetramethylbutyl)phenyl]-', '9077-65-0', 'alpha-(p-(1,1,3,3-Tetramethylbutyl)phenyl)-omega-hydroxypoly(oxyethylene) produced by the condensation of 1 mole of p-(1,1,3,3-tetramethylbutyl)phenol with a range of 30-70 moles of ethylene oxide']</t>
  </si>
  <si>
    <t>Compound(5590)</t>
  </si>
  <si>
    <t>C16H26O2</t>
  </si>
  <si>
    <t>tertiary butanol</t>
  </si>
  <si>
    <t>2-methylpropan-2-ol</t>
  </si>
  <si>
    <t>['tert-Butanol', 'tert-Butyl alcohol', '2-Methyl-2-propanol', '2-Methylpropan-2-ol', '75-65-0', 't-Butanol', '1,1-Dimethylethanol', 'Trimethylcarbinol', 'T-BUTYL ALCOHOL', 't-Butyl hydroxide', 'Trimethyl methanol', '2-Propanol, 2-methyl-', 'Tertiary-Butyl Alcohol', 'Trimethylmethanol', 'tert-butylalcohol', 'Butanol tertiaire', 'Trimethyl carbinol', 'Dimethylethanol', 'tertiary-Butanol', 'Alcool butylique tertiaire', 'Arconol', 'Methanol, trimethyl-', 'tertiary Butyl Alcohol', 'tert.-butanol', 'tert- butyl alcohol', 't-BuOH', 'Caswell No. 124A', 't-butylalcohol', 'tertiary butanol', 'NCI-C55367', 't-Butyl alchohol', 'tBuOH', 'tert-BuOH', 'Butanol tertiaire [French]', 'Methyl-2-propanol', 'UNII-MD83SFE959', 'HSDB 50', 'tert-Butyl hydroxide', 'CCRIS 4755', 'Alcool butylique tertiaire [French]', 'EINECS 200-889-7', '2-Methyl n-propan-2-ol', 'BRN 0906698', 'AI3-01288', 'MD83SFE959', 'CHEBI:45895', 'MFCD00004464', 'tert-Butanol, ACS reagent', 'tert-Butanol, 99.5%, extra pure', 'tert Butanol', '(2H10)-2-Methylpropan-2-ol', 'tert-Butanol, 99.5%, for analysis', 'tert Butyl Alcohol', 'TBU', '2-Methylpropanol-2', 'Alcohol, tert-Butyl', 'terbutanol', 'tertbutanol', 'tertiarybutanol', 'ter-butanol', 'tert.butanol', 't-Butylalkohol', 't-butyl-alcohol', 'terbutyl alcohol', 'tert -butanol', 'tertbutyl alcohol', 'tert. Butanol', 't- butanol', 'HOtBu', 'ter-butyl alcohol', 'tert-buyl alcohol', 'tert-butyl-alcohol', 'tert.-butylalcohol', 'tert.butyl alcohol', 'Trimethyl-Methanol', 'tert-Butanol, AR', '2methyl-2-propanol', 'tert. butyl alcohol', 'HOt-Bu', 'Tert.-butyl alcohol', 'tert-C4H9OH', '2-methyl,2-propanol', 'PubChem3012', 'Methyl-2 propanol-2', 't-Bu-OH', '1,1-dimethyl ethanol', '2-methyl propan-2-ol', '2-methyl-propan-2-ol', '2-Methylpropan-2-ol.', 'ACMC-209ozd', 'tert-Butanol HPLC grade', 'tert-Butanol ACS reagent', 'Ethanol, 1,1-Dimethyl-', '2-methyl-2-propyl alcohol', 'EC 200-889-7', '(CH3)3COH', '4-01-00-01609 (Beilstein Handbook Reference)', 'HOC(CH3)3', 'KSC377O4L', 'CHEMBL16502', 'Tertiary butyl alcohol reagent', 'DTXSID8020204', 'CTK2H7745', 'tert-Butanol, &gt;=99% (GC)', 'tert-Butanol, analytical standard', 'tert-Butanol, p.a., 99.0%', 'LS-41', 'KS-00000W0O', 'ZINC1680021', 'ANW-36647', 'STL282741', 'tert-Butanol, anhydrous, &gt;=99.5%', 'AKOS009029221', 'DB03900', 'MCULE-2451492095', 'tert-Butanol, for HPLC, &gt;=99.5%', 'tert-Butanol, technical grade, 95.0%', 'tert-Butanol, ACS reagent, &gt;=99.0%', '25-65-0', 'BP-20656', 'Butyl Alcohol (tert)- Reagent Grade ACS', 'SC-06641', 'tert-Butanol, SAJ first grade, &gt;=98.0%', 'B0706', 'FT-0688093', 'tert-Butanol, TEBOL(R) 99, &gt;=99.3%', 'tert-Butanol, SAJ special grade, &gt;=99.0%', '6136-EP0930075A1', '6136-EP2270014A1', '6136-EP2274983A1', '6136-EP2286811A1', '6136-EP2287152A2', '6136-EP2289868A1', '6136-EP2292606A1', '6136-EP2295414A1', '6136-EP2295415A1', '6136-EP2298772A1', '6136-EP2305642A2', '6136-EP2305673A1', '6136-EP2308839A1', '6136-EP2311834A1', '6136-EP2374780A1', '6136-EP2374783A1', '6136-EP2377841A1', '6136-EP2380568A1', 'C21389', '10394-EP2269989A1', '10394-EP2269993A1', '10394-EP2270001A1', '10394-EP2270008A1', '10394-EP2270009A1', '10394-EP2270012A1', '10394-EP2270013A1', '10394-EP2272817A1', '10394-EP2272826A1', '10394-EP2275401A1', '10394-EP2275404A1', '10394-EP2277507A1', '10394-EP2277865A1', '10394-EP2284159A1', '10394-EP2284165A1', '10394-EP2286795A1', '10394-EP2287153A1', '10394-EP2287154A1', '10394-EP2287155A1', '10394-EP2287165A2', '10394-EP2287166A2', '10394-EP2289509A2', '10394-EP2289868A1', '10394-EP2289892A1', '10394-EP2292608A1', '10394-EP2292612A2', '10394-EP2292617A1', '10394-EP2292620A2', '10394-EP2295406A1', '10394-EP2295412A1', '10394-EP2295413A1', '10394-EP2295414A1', '10394-EP2295432A1', '10394-EP2298313A1', '10394-EP2298753A1', '10394-EP2298768A1', '10394-EP2301536A1', '10394-EP2301538A1', '10394-EP2301933A1', '10394-EP2305625A1', '10394-EP2305651A1', '10394-EP2305659A1', '10394-EP2305660A1', '10394-EP2305666A1', '10394-EP2305676A1', '10394-EP2305681A1', '10394-EP2308812A2', '10394-EP2308828A2', '10394-EP2308839A1', '10394-EP2308840A1', '10394-EP2308848A1', '10394-EP2308849A1', '10394-EP2308850A1', '10394-EP2308854A1', '10394-EP2308866A1', '10394-EP2308867A2', '10394-EP2308869A1', '10394-EP2308870A2', '10394-EP2308877A1', '10394-EP2311455A1', '10394-EP2311808A1', '10394-EP2311827A1', '10394-EP2311829A1', '10394-EP2311830A1', '10394-EP2311838A1', '10394-EP2314577A1', '10394-EP2314590A1', '10394-EP2315303A1', '10394-EP2316452A1', '10394-EP2377841A1', '10394-EP2380873A1', '15232-EP2272849A1', '15232-EP2275411A2', '15232-EP2275414A1', '15232-EP2277876A1', '15232-EP2280005A1', '15232-EP2281899A2', '15232-EP2284158A1', '15232-EP2284174A1', '15232-EP2286811A1', '15232-EP2289868A1', '15232-EP2289884A1', '15232-EP2292589A1', '15232-EP2292607A2', '15232-EP2292613A1', '15232-EP2292614A1', '15232-EP2292619A1', '15232-EP2292622A1', '15232-EP2295415A1', '15232-EP2295422A2', '15232-EP2298729A1', '15232-EP2298742A1', '15232-EP2298747A1', '15232-EP2298768A1', '15232-EP2298776A1', '15232-EP2301536A1', '15232-EP2301538A1', '15232-EP2301911A1', '15232-EP2301923A1', '15232-EP2305651A1', '15232-EP2305652A2', '15232-EP2305695A2', '15232-EP2305696A2', '15232-EP2305697A2', '15232-EP2305698A2', '15232-EP2308848A1', '15232-EP2308854A1', '15232-EP2311455A1', '15232-EP2311796A1', '15232-EP2311797A1', '15232-EP2311798A1', '15232-EP2311799A1', '15232-EP2311830A1', '15232-EP2314295A1', '15232-EP2314577A1', '15232-EP2315303A1', '15232-EP2316832A1', '15232-EP2316833A1', '15232-EP2374780A1', '15232-EP2374781A1', '15232-EP2374790A1', '15245-EP2272825A2', '15245-EP2272839A1', '15245-EP2272840A1', '15245-EP2275102A1', '15245-EP2277848A1', '15245-EP2286811A1', '15245-EP2289894A2', '15245-EP2292612A2', '15245-EP2301536A1', '15245-EP2301538A1', '15245-EP2301923A1', '15245-EP2305652A2', '15245-EP2305684A1', '15245-EP2308861A1', '15245-EP2308867A2', '15245-EP2308870A2', '15245-EP2311455A1', '15245-EP2311808A1', '15245-EP2316832A1', '15245-EP2316833A1', '18809-EP2269986A1', '18809-EP2275414A1', '18809-EP2298763A1', '18809-EP2298767A1', '18809-EP2301933A1', '18809-EP2305625A1', '18809-EP2308838A1', '18809-EP2311827A1', '18809-EP2314576A1', '18809-EP2314587A1', '19238-EP2277507A1', '19238-EP2286795A1', '19238-EP2295418A1', '19238-EP2298773A1', '19238-EP2305033A1', '19238-EP2308866A1', '19238-EP2311801A1', '19238-EP2311802A1', '19238-EP2311803A1', '19238-EP2314576A1', '19238-EP2371814A1', '91826-EP2269986A1', '91826-EP2289965A1', '91826-EP2292630A1', '91826-EP2295415A1', '91826-EP2298828A1', '91826-EP2305649A1', '91826-EP2305668A1', '91826-EP2305672A1', '91826-EP2371803A1', '91826-EP2377843A1', '100040-EP2272839A1', '100040-EP2272840A1', '100040-EP2301923A1', '102188-EP2292621A1', '102188-EP2301922A1', '157895-EP2374780A1', '157895-EP2374781A1', 'A838477', 'Q285790', 'J-510082', 'F0001-1901', 'tert-Butanol, puriss. p.a., ACS reagent, &gt;=99.7% (GC)', 'UNII-WB09NY83YA component DKGAVHZHDRPRBM-UHFFFAOYSA-N', 'tert-Butanol, certified reference material, 5000 mug/mL in methanol']</t>
  </si>
  <si>
    <t>Compound(6386)</t>
  </si>
  <si>
    <t>2-methylpropan-2-amine</t>
  </si>
  <si>
    <t>['tert-Butylamine', '75-64-9', '2-methylpropan-2-amine', 't-Butylamine', '2-Amino-2-methylpropane', '2-Propanamine, 2-methyl-', 'Erbumine', '1,1-Dimethylethylamine', '2-Aminoisobutane', '1,1-Dimethylethanamine', '2-Methyl-2-propylamine', 'TERTIARY-BUTYLAMINE', '2-METHYL-2-PROPANAMINE', 'Butylamine, tert', '2-Methyl-2-aminopropane', 'Butylamine, tertiary', 'tert-butyl-amine', 'tertbutylamine', 'tert-Butylamin', 't-Butyl amine', 'tert-butyl amine', 'tert.-butylamine', 'N-tert-butylamine', 'NSC 9571', 'UNII-91Z53KF68U', 'CCRIS 4758', 'HSDB 5209', 'tert-C4H9NH2', 'EINECS 200-888-1', '1-amino-1,1-dimethylethane', 'CP 11093', 'AI3-24036', 'CHEBI:44639', '91Z53KF68U', 'tert-Butylamine, 99%', 'tert-Butylamine, 99%, AcroSeal(R)', 'Erbumine [INN]', 't-butylarnine', 'ter-butylamine', 'tert butylamine', 'tert-buylamine', 'tert.butylamine', 'tert-buyl amine', 't-butyl-amine', 't-butylamine-', 'tert. butylamine', 'tert.butyl-amine', 'tertiarybutylamine', 'N-tert.butylamine', 'tert. -butylamine', 'tert. butyl amine', 'tertiary butylamine', 'tert-BuNH2', 'N-tert-butyl amine', 'N-tert-butyl-amine', 'N-tert.-butylamine', 'tBuNH2', 'Tertiary butyl amine', 'MFCD00008050', '1,1dimethylethanamine', 't-BuNH2', 'ACMC-209ozc', 'tert-Butylamine, 98%', '2-methyl-2-propaneamine', '2-methylpropane-2-amine', 'DSSTox_CID_4681', '(1,1-dimethylethyl)amine', 'EC 200-888-1', 'DSSTox_RID_77497', 'DSSTox_GSID_24681', 'KSC492A6P', 'CHEMBL13782', 'DTXSID5024681', 'CTK3J2067', 'KS-00000VGZ', 'NSC9571', 'PROPANE,2-AMINO,2-METHYL', 'WLN: ZX1&amp;1&amp;1', 'BCP30723', 'NSC-9571', 'STR00192', 'ZINC4789979', 'Tox21_301289', 'ANW-36646', 'STL185610', 'AKOS000269018', 'LS-1672', 'MCULE-6304532422', 'NE10549', 'CAS-75-64-9', 'NCGC00257538-01', 'SC-27197', 'B0709', 'FT-0653937', 'NS00005359', 'W8285', 'EN300-16766', '12437-EP2269999A1', '12437-EP2305672A1', '12437-EP2311804A2', '12437-EP2314295A1', '12437-EP2314593A1', '12437-EP2316974A1', '22166-EP2301923A1', '22166-EP2311814A1', '22166-EP2314590A1', '22166-EP2314593A1', '32619-EP2275398A1', '32619-EP2287141A1', '32619-EP2289891A2', '32619-EP2295406A1', '32619-EP2301933A1', '32619-EP2305250A1', '32619-EP2308812A2', '32619-EP2308873A1', '32619-EP2311814A1', '32619-EP2311827A1', '32755-EP2301933A1', '32755-EP2311827A1', '153203-EP2277863A1', '153203-EP2277882A1', '153203-EP2281822A1', '163586-EP2281861A2', '163586-EP2284166A1', 'Q288188', 'J-510081', 'tert-Butylamine, purified by redistillation, &gt;=99.5%', 'F2190-0362', '2-Methylpropan-2-amine pound&gt;&gt;t-Butylamine pound&gt;&gt;2-Amino-2-methylpropane', '(2S, 3aS, 7aS)-1[(S)-N-[(S)-1-carboxybutyl]alanil]hexahydro-2-indole carboxylicacid, salt with tert-butyl amine;Omadine TBAO;tert-Butylamine;tert-butylamine;2-Propanamine, 2-methyl-', 'TERT-BUTYLAMINE (SEE ALSO: N-BUTYLAMINE (CAS 109-73-9) &amp; SEC-BUTYLAMINE (CAS 13952-84-6))']</t>
  </si>
  <si>
    <t>Compound(6385)</t>
  </si>
  <si>
    <t>tertiary-butylbenzene</t>
  </si>
  <si>
    <t>tert-butylbenzene</t>
  </si>
  <si>
    <t>['tert-Butylbenzene', '98-06-6', 'T-BUTYLBENZENE', 'Benzene, (1,1-dimethylethyl)-', 'Benzene, tert-butyl-', '2-Methyl-2-phenylpropane', 'Phenyltrimethylmethane', 'Pseudobutylbenzene', 'Dimethylethylbenzene', 'Trimethylphenylmethane', '1,1-Dimethylethylbenzene', 'tertiary-Butylbenzene', 'UNII-M1R2NME7S2', 'Dimethylethylbenzene (VAN)', 'NSC 6557', 'tert-butyl benzene', '(tert-butyl)benzene', 'HSDB 5315', 'tert-Butylbenzene, 99%', 'EINECS 202-632-4', 'M1R2NME7S2', 'AI3-00118', '(1,1-dimethylethyl)benzene', 't-butyl benzene', 'tert.butylbenzene', '4-t-butylbenzene', 'tert-butyl-benzene', 't-BuPh', 'Benzene, t-butyl-', 'ACMC-20ajki', '1,1-Dimethylethyl-benzene', 'UN 2709 (Related)', 'DSSTox_CID_27138', 'DSSTox_RID_82145', 'DSSTox_GSID_47138', 'KSC490M5R', 'CHEMBL1797277', 'DTXSID3047138', 'CTK3J0658', 'KS-00000VKW', 'NSC6557', 'NSC-6557', 'STR09192', 'ZINC1693606', 'Tox21_300540', 'MFCD00008816', 'SBB040882', 'STL264211', 'tert-Butylbenzene, analytical standard', 'AKOS000120008', 'MCULE-8566444437', 'WLN: 1X1 &amp; 1 &amp; R', 'CAS-98-06-6', 'NCGC00248088-01', 'NCGC00254436-01', 'K762', 'L690', 'LS-29364', 'DB-057706', 'B0715', 'FT-0631505', 'NS00020550', 'S0661', 'ST50214479', 'A845799', 'W-100096', 'Q20950424', 'F1908-0117', 'Z1262252911']</t>
  </si>
  <si>
    <t>Compound(7366)</t>
  </si>
  <si>
    <t>tertiary butyl acrylate</t>
  </si>
  <si>
    <t>tert-butyl prop-2-enoate</t>
  </si>
  <si>
    <t>['tert-Butyl acrylate', '1663-39-4', 'tert-butyl prop-2-enoate', 't-Butyl acrylate', '2-PROPENOIC ACID, 1,1-DIMETHYLETHYL ESTER', 'tert-Butyl propenoate', 'Acrylic Acid tert-Butyl Ester', 'Acrylic acid, tert-butyl ester', 'acrylics', 'tert-Butylacrylate', 'UNII-92M2CD1O3G', 'CCRIS 7035', 'HSDB 5452', '2-propenoic acid tert-butyl ester', 'EINECS 216-768-7', 'NSC 20950', '92M2CD1O3G', '1,1-dimethylethyl 2-propenoate', 'tert-Butyl acrylate, 99%, stabilized', 't-butylacrylate', 't-buty acrylate', 'ter-butyl-acrylate', 'tert butyl acrylate', 'tert-butyl-acrylate', 'tert.-butyl acrylate', 'tert. Butyl Acrylate', 'PubChem15929', 'Acrylic acid tert-butyl', 'acrylic tert-butyl ester', 'tert-Butyl 2-propenoate', 'poly(tert-butyl acrylate)', 'tert-butyl-prop-2-enoate', 'ACMC-1BVX6', 'DSSTox_CID_9652', 'acrylic acid t-butyl ester', 'EC 216-768-7', 'DSSTox_RID_78796', 'DSSTox_GSID_29652', 'SCHEMBL30658', 'acrylic acid-tert-butyl ester', 'KSC489S2L', 'acrylic acid tert.-butyl ester', '2-propenoic acid t-butyl ester', 'CHEMBL3560064', 'DTXSID8029652', 'CTK3I9925', 'ISXSCDLOGDJUNJ-UHFFFAOYSA-', 'KS-00000WAU', 'NSC20950', 'ZINC1577265', 'Tox21_201117', 'ANW-41343', 'BBL018410', 'MFCD00008809', 'NSC-20950', 'STL185696', 'AKOS009157040', '2-Propenoic acid,1-dimethylethyl ester', 'Acrylic acid, tert-butyl ester (8CI)', 'MCULE-8872836724', 'NCGC00248926-01', 'NCGC00258669-01', 'BP-21063', 'SC-18850', 'CAS-1663-39-4', 'DB-043646', 'LS-179055', 'FT-0633742', 'H2485', 'NS00008829', '103706-EP2275404A1', '103706-EP2292621A1', '103706-EP2298779A1', '103706-EP2301911A1', '103706-EP2371811A2', 'A810720', 'J-010272', 'Q25385680', 'F0001-0604', 'tert-Butyl acrylate contains 10-20 ppm monomethyl ether hydroquinone as inhibitor', 'tert-Butyl acrylate, contains 10-20 ppm monomethyl ether hydroquinone as inhibitor, 98%']</t>
  </si>
  <si>
    <t>Compound(15458)</t>
  </si>
  <si>
    <t>tertiary butyl acetate</t>
  </si>
  <si>
    <t>tert-butyl acetate</t>
  </si>
  <si>
    <t>['TERT-BUTYL ACETATE', '540-88-5', 't-Butyl acetate', 'Acetic Acid tert-Butyl Ester', 'Acetic acid, 1,1-dimethylethyl ester', 'tert-Butyl ethanoate', 'tert-butylacetate', 'Texaco lead appreciator', 'Acetic acid, tert-butyl ester', 'tert butyl acetate', '1,1-dimethylethyl acetate', '1,1-Dimethyl acetate', 'UNII-76N22HKP3X', 'NSC 59719', 'tert.-Butyl acetate', 'CCRIS 8999', 'HSDB 835', 'EINECS 208-760-7', 'MFCD00008807', 'BRN 1699506', '76N22HKP3X', 'TLA', 'tert-Butyl acetate, 99%', 't-BUTYLACETATE', 'terbutyl acetate', 'tertbutyl acetate', 'tBuOAc', 'tert-BuOAc', 't-BuOAc', 'tertiary butylacetate', 'Acetic acid 1,1-dimethylethyl ester', 'tertiary butyl aceate', 'tertiary butyl acetate', 'tertiary-butyl acetate', 'acetic acid tert-butyl', 'ACMC-1AVPI', 'Acetic acid t-butyl ester', 'DSSTox_CID_2055', 'EC 208-760-7', 'DSSTox_RID_76472', 'Acetic acid-tert-butyl ester', 'DSSTox_GSID_22055', 'SCHEMBL26684', '4-02-00-00151 (Beilstein Handbook Reference)', 'KSC492I1F', 'acetic acid tert.-butyl ester', 'CH3C(O)OC(CH3)3', 'tert-Butyl acetate, &gt;=99%', 'CHEMBL3186747', 'DTXSID1022055', 'CTK3J2412', 'KS-00000VMZ', 'WLN: 1X1&amp;1&amp;OV1', 'Acetic acid,1-dimethylethyl ester', 'ZINC388665', 'ACN-S002402', 'BCP24431', 'NSC59719', 'Tox21_301308', 'ANW-31950', 'NSC-59719', 'AKOS009031236', 'MCULE-4713236745', 'NCGC00255313-01', 'CAS-540-88-5', 'LS-11209', 'SC-22684', 'FT-0621760', 'NS00005482', 'C-6050', 'A829954', 'Q285657', 'tert-Butyl acetate [UN1123]  [Flammable liquid]', 'tert-Butyl acetate [UN1123] [Flammable liquid]', 'F8880-1277', 'tert-butyl acetate;Tert-butyl acetate;tert-Butyl acetate']</t>
  </si>
  <si>
    <t>Compound(10908)</t>
  </si>
  <si>
    <t>tylosin</t>
  </si>
  <si>
    <t>2-[(4R,5S,6S,7R,9R,11E,13E,15R,16R)-6-[(2R,3R,4R,5S,6R)-5-[(2S,4R,5S,6S)-4,5-dihydroxy-4,6-dimethyloxan-2-yl]oxy-4-(dimethylamino)-3-hydroxy-6-methyloxan-2-yl]oxy-16-ethyl-4-hydroxy-15-[[(2R,3R,4R,5R,6R)-5-hydroxy-3,4-dimethoxy-6-methyloxan-2-yl]oxymethyl]-5,9,13-trimethyl-2,10-dioxo-1-oxacyclohexadeca-11,13-dien-7-yl]acetaldehyde</t>
  </si>
  <si>
    <t>['Tylosin', 'Tylocine', 'Tylosine', 'tylosin tartrate', 'Tilosina', 'Tylosinum', '1401-69-0', 'Tylosin A', 'Fradizine', 'Tylan', 'UNII-YEF4JXN031', 'YEF4JXN031', 'CHEBI:17658', 'Vubityl 200', 'Tylosine [INN-French]', 'Tylosinum [INN-Latin]', 'Tilosina [INN-Spanish]', 'HSDB 7022', 'EINECS 215-754-8', 'AI3-29799', 'SR-05000002057', 'Tylosin [USP:INN:BAN]', 'Tylan (TN)', 'Tylosin (USP/INN)', 'SCHEMBL3081', 'BSPBio_003548', 'CHEMBL42743', 'SPECTRUM1505312', 'SCHEMBL16931534', 'HY-B0519A', 'HMS1922B22', 'HMS2093B11', 'Pharmakon1600-01505312', '(10E,12E)-(3R,4S,5S,6R,8R,14S,15R)-14-((6-deoxy-2,3-di-O-methyl-beta-D-allopyranosyl)oxymethyl)-5-((3,6-dideoxy-4-O-(2,6-dideoxy-3-C-methyl-alpha-L-ribo-hexopyranosyl)-3-dimethylamino-beta-D-glucopyranosyl)oxy)-6-formylmethyl-3-hydroxy-4,8,12-trimethyl-9-oxoheptadeca-10,12-dien-15-olide', 'Antibiotic obtained from cultures of Streptomyces fradiae, or the same substance produced by any other means', 'CCG-38343', 'LMPK04000004', 'NSC758961', 's5108', 'ZINC238809556', 'ZINC252441679', 'CS-3442', 'DB11475', 'NSC-758961', 'NCGC00263955-02', '(10E,12E)-(3R,4S,5S,6R,8R,14S,15R)-14-((6-deoxy-2,3-di-O-methyl-beta-D-allopyranosyl)oxymethyl)-5-((3,6-dideoxy-4-O-(2,6-dideoxy-3-C-methyl-alpha-l-ribo-hexopyranosyl)-3-dimethylamino-beta-d-glucopyranosyl)oxy)-6-formylmethyl-3-hydroxy-4,8,12-trimet', '2-[(4R,5S,6S,7R,9R,11E,13E,15R,16R)-6-[(2R,3R,4R,5S,6R)-5-[(2S,4R,5S,6S)-4,5-dihydroxy-4,6-dimethyloxan-2-yl]oxy-4-(dimethylamino)-3-hydroxy-6-methyloxan-2-yl]oxy-16-ethyl-4-hydroxy-15-[[(2R,3R,4R,5R,6R)-5-hydroxy-3,4-dimethoxy-6-methyloxan-2-yl]oxymethyl]-5,9,13-trimethyl-2,10-dioxo-1-oxacyclohexadeca-11,13-dien-7-yl]acetaldehyde', 'E713', 'SBI-0206754.P001', 'C01457', 'D02490', 'AB00959655_03', 'AB00959655_04', 'Q411462', 'SR-05000002057-1', 'SR-05000002057-2', 'SR-05000002057-3', 'BRD-K37753391-046-03-2', '[(2R,3R,4E,6E,9R,11R,12S,13S,14R)-12-[3,6-dideoxy-4-O-(2,6-dideoxy-3-C-methyl-alpha-L-ribo-hexopyranosyl)-3-(dimethylamino)-beta-D-glucopyranosyloxy]-2-ethyl-14-hydroxy-5,9,13-trimethyl-8,16-dioxo-11-(2-oxoethyl)oxacyclohexadeca-4,6-dien-3-yl]methyl 6-deoxy-2,3-di-O-methyl-beta-D-allopyranoside', '[(2R,3R,4E,6E,9R,11R,12S,13S,14R)-12-{[3,6-dideoxy-4-O-(2,6-dideoxy-3-C-methyl-alpha-L-ribo-hexopyranosyl)-3-(dimethylamino)-beta-D-glucopyranosyl]oxy}-2-ethyl-14-hydroxy-5,9,13-trimethyl-8,16-dioxo-11-(2-oxoethyl)oxacyclohexadeca-4,6-dien-3-yl]methyl 6-deoxy-2,3-di-O-methyl-beta-D-allopyranoside', '[(2R,4E,6E,9R,11R,12S,13S,14R)-12-{[3,6-Dideoxy-4-O-(2,6-dideoxy-3-C-methyl-alpha-L-ribo-hexopyranosyl)-3-(dimethylamino)-beta-D-glucopyranosyl]oxy}-2-ethyl-14-hydroxy-5,9,13-trimethyl-8,16-dioxo-11-(']</t>
  </si>
  <si>
    <t>Compound(5280440)</t>
  </si>
  <si>
    <t>C46H77NO17</t>
  </si>
  <si>
    <t>tylosin tartrate</t>
  </si>
  <si>
    <t>(2R,3R)-2,3-dihydroxybutanedioic acid;2-[(4R,5S,6S,7R,9R,11E,13E,15R,16R)-6-[(2R,3R,4R,5S,6R)-5-[(2S,4R,5S,6S)-4,5-dihydroxy-4,6-dimethyloxan-2-yl]oxy-4-(dimethylamino)-3-hydroxy-6-methyloxan-2-yl]oxy-16-ethyl-4-hydroxy-15-[[(2R,3R,4R,5R,6R)-5-hydroxy-3,4-dimethoxy-6-methyloxan-2-yl]oxymethyl]-5,9,13-trimethyl-2,10-dioxo-1-oxacyclohexadeca-11,13-dien-7-yl]acetaldehyde</t>
  </si>
  <si>
    <t>['tylosin tartrate', 'Tylosin (tartrate)', 'UNII-5P4625C51T', 'Pharmasin', '5P4625C51T', 'Tylosin tartrate (USP)', 'Tylosin tartrate [USP]', 'DSSTox_CID_25938', 'DSSTox_RID_81236', 'DSSTox_GSID_45938', 'Tylan soluble', 'EINECS 215-781-5', 'CAS-74610-55-2', 'Tylan injectable', 'Tylosin Tartarte', 'NCGC00095162-01', 'Tylosin tartrate [MART.]', 'Tylosin tartrate [WHO-DD]', 'CHEMBL3189100', 'DTXSID3045938', 'Tylosin tartrate [GREEN BOOK]', 'HY-B0519', 'C46H77NO17.C4H6O6', 'Tox21_111461', 'Tox21_113372', '2772AH', 's3162', 'AKOS030485973', 'CCG-213385', 'CS-2732', 'D10033', 'Tylosin tartrate, potency: &gt;=800 units/mg tylosin', 'Q27262673', 'Tylosin tartrate, VETRANAL(TM), analytical standard', 'Tylosin, (2R,3R)-2,3-dihydroxybutanedioate (1:1)', 'Tylosin tartrate, powder, BioReagent, suitable for cell culture', '(2R,3R)-2,3-Dihydroxybutanedioic acid--[(2R,3R,4E,6E,9R,11R,12S,13S,14R)-12-{[3,6-dideoxy-4-O-(2,6-dideoxy-3-C-methyl-alpha-L-ribo-hexopyranosyl)-3-(dimethylamino)-beta-D-glucopyranosyl]oxy}-2-ethyl-1 4-hydroxy-5,9,13-trimethyl-8,16-dioxo-11-(2-oxoethyl)-', '(2R,3R)-2,3-dihydroxybutanedioic acid;2-[(4R,5S,6S,7R,9R,11E,13E,15R,16R)-6-[(2R,3R,4R,5S,6R)-5-[(2S,4R,5S,6S)-4,5-dihydroxy-4,6-dimethyloxan-2-yl]oxy-4-(dimethylamino)-3-hydroxy-6-methyloxan-2-yl]oxy', 'Tylosin solution, 8 mg/mL in 0.9% NaCl, sterile-filtered, BioReagent, suitable for cell culture']</t>
  </si>
  <si>
    <t>Compound(60196281)</t>
  </si>
  <si>
    <t>C50H83NO23</t>
  </si>
  <si>
    <t>urethane</t>
  </si>
  <si>
    <t>ethyl carbamate</t>
  </si>
  <si>
    <t>['urethane', 'ETHYL CARBAMATE', '51-79-6', 'Urethan', 'Ethylurethane', 'Carbamic acid ethyl ester', 'Carbamic acid, ethyl ester', 'Ethyl urethane', 'Ethylcarbamate', 'Pracarbamine', 'Leucethane', 'Pracarbamin', 'Ethyl urethan', 'O-Ethylurethane', 'U-Compound', 'Aethylcarbamat', 'Aethylurethan', 'Ethylurethan', 'Leucothane', 'Estane 5703', 'Uretan', 'Uretano [DCIT]', 'Uretan etylowy', 'NSC 746', 'Aethylurethan [German]', 'Aethylcarbamat [German]', 'ethyl aminoformate', 'O-Ethyl urethane', 'Urethanum [INN-Latin]', 'Uretan etylowy [Polish]', 'Carbamidsaeure-aethylester', 'RCRA waste number U238', 'Ethyl ester of carbamic acid', 'Ethylester kyseliny karbaminove', 'X 41', 'Carbamidsaeure-aethylester [German]', 'o-Ethyl carbamate', 'Urethane [INN:BAN:DCF]', 'C3H7NO2', 'CCRIS 619', 'UNII-3IN71E75Z5', 'Ethylester kyseliny karbaminove [Czech]', 'A 11032', 'HSDB 2555', 'EINECS 200-123-1', 'MFCD00007966', 'NH2COOC2H5', 'RCRA waste no. U238', 'AI3-00553', 'NSC746', 'CHEBI:17967', 'Urethane + ethanol (combination)', '3IN71E75Z5', 'Urethane, 97%', 'Aethylurethan (german)', 'NCGC00095041-01', 'Aethylcarbamat (german)', 'DSSTox_CID_1427', 'DSSTox_RID_76156', 'DSSTox_GSID_21427', 'Uretano', 'Urethanum', 'Carbamate, Ethyl', 'CAS-51-79-6', 'Urethane [INN:DCF]', 'SR-05000001854', 'Ethyl carbamate homopolymer', 'Urethane, INN', 'Carbamic acid, ethyl ester, homopolymer', 'Spectrum_001685', 'Urethane, &gt;=99%', 'Spectrum2_000909', 'Spectrum3_000965', 'Spectrum4_001082', 'Spectrum5_001651', 'ACMC-209kw3', 'WLN: ZVO2', 'BSPBio_002569', 'KBioGR_001464', 'KBioSS_002165', 'Urethane, analytical standard', 'KSC269I5R', 'ARONIS27009', 'BIDD:ER0508', 'DivK1c_000060', 'SPECTRUM1503304', 'SPBio_000758', 'CHEMBL462547', 'DTXSID9021427', 'CTK1G9458', 'HMS500C22', 'KBio1_000060', 'KBio2_002165', 'KBio2_004733', 'KBio2_007301', 'KBio3_001789', 'NSC-746', 'NINDS_000060', 'Urethane, &gt;=99.0% (GC)', 'HMS1922A10', 'HMS2093C21', 'Pharmakon1600-01503304', 'ZINC901020', 'HY-B1207', 'KS-00000H8Z', 'KS-000048ID', 'Tox21_111398', 'Tox21_201761', 'Tox21_300494', 'ANW-31345', 'CCG-39905', 'NSC758452', 's4544', 'STL257390', 'AKOS000118772', 'Tox21_111398_1', 'CS-4731', 'DB04827', 'LS-1317', 'MCULE-1776877276', 'NSC-758452', 'IDI1_000060', 'NCGC00095041-02', 'NCGC00095041-03', 'NCGC00095041-04', 'NCGC00095041-05', 'NCGC00095041-06', 'NCGC00095041-08', 'NCGC00254522-01', 'NCGC00259310-01', '26680-22-8', 'SC-16133', 'SBI-0051812.P002', 'SBI-0051812.P003', 'DB-052027', 'AM20100253', 'FT-0626365', 'FT-0675741', 'NS00020313', '6533-EP1441224A2', '6533-EP2270113A1', '6533-EP2270114A1', '6533-EP2272517A1', '6533-EP2272935A1', '6533-EP2274983A1', '6533-EP2275418A1', '6533-EP2277565A2', '6533-EP2277566A2', '6533-EP2277567A1', '6533-EP2277568A2', '6533-EP2277569A2', '6533-EP2277570A2', '6533-EP2277880A1', '6533-EP2280006A1', '6533-EP2281813A1', '6533-EP2287160A1', '6533-EP2287165A2', '6533-EP2287166A2', '6533-EP2289483A1', '6533-EP2292280A1', '6533-EP2292593A2', '6533-EP2292610A1', '6533-EP2292620A2', '6533-EP2295399A2', '6533-EP2295438A1', '6533-EP2298312A1', '6533-EP2298758A1', '6533-EP2298759A1', '6533-EP2298767A1', '6533-EP2298783A1', '6533-EP2299326A1', '6533-EP2302003A1', '6533-EP2302382A2', '6533-EP2302383A2', '6533-EP2305250A1', '6533-EP2305648A1', '6533-EP2305664A1', '6533-EP2305808A1', '6533-EP2308510A1', '6533-EP2309584A1', '6533-EP2314587A1', '6533-EP2316470A2', '6533-EP2377847A1', 'C01537', 'K-9500', 'AB00052344_04', 'Q422884', 'SR-05000001854-1', 'SR-05000001854-2', 'BRD-K24297741-001-01-1', 'Carbamic acid ethyl ester;Ethyl carbamate;Ethylurethane', 'Ethyl carbamate;Carbamic acid ethyl ester;Ethylurethane', 'Z33546369', 'F0001-1333']</t>
  </si>
  <si>
    <t>Compound(5641)</t>
  </si>
  <si>
    <t>urea</t>
  </si>
  <si>
    <t>['urea', 'carbamide', '57-13-6', 'Carbonyldiamide', 'Isourea', 'Ureophil', 'Carbonyldiamine', 'Carbamimidic acid', 'Pseudourea', 'Ureaphil', 'Urevert', 'Alphadrate', 'Aquadrate', 'Calmurid', 'Carbaderm', 'Keratinamin', 'Carbonyl diamide', 'Pastaron', 'Urepearl', 'Carbamide resin', 'Ultra Mide', 'Varioform ii', 'Aqua Care', 'Prespersion, 75 urea', 'B-I-K', 'basodexan', 'carmol', 'Harnstoff', 'Mocovina', 'Nutraplus', 'Urea solution', 'Supercel 3000', 'Aqua Care HP', 'Ureacin-20', 'Ureacin-10 lotion', 'Ureacin-40 Creme', 'Onychomal', 'Panafil', 'Polyurea', 'Hyanit', 'Caswell No. 902', 'Carbonyl Diamine', 'Mocovina [Czech]', 'Harnstoff [German]', 'NCI-C02119', 'CCRIS 989', 'aminoketone', 'Aquacare', 'HSDB 163', 'Ureum', 'Carbamimic acid', 'Bubber shet', 'Elaqua xx', 'Keratinamin Kowa', 'NSC 34375', 'Benural 70', 'Urea ammonium nitrate solution', 'EPA Pesticide Chemical Code 085702', 'UNII-8W8T17847W', 'UR', 'AI3-01202', 'EINECS 200-315-5', 'MFCD00008022', 'E927b', '(NH2)2CO', 'Helicosol', 'CHEBI:16199', 'NSC-34375', '8W8T17847W', '4744-36-9', 'NCGC00090892-01', 'DSSTox_CID_1426', 'DSSTox_RID_76155', 'DSSTox_GSID_21426', 'Urea, 99%, ACS reagent', '37955-36-5', 'URE', 'Urea, 99.5%, for analysis', 'Urea, 99+%, for biochemistry', 'Urea, 98%, extra pure, pearls', 'Antisepsis bolus', 'Sterile Urea', 'CAS-57-13-6', 'Urea [JAN]', 'Urea [USP:JAN]', 'uree', 'Isoharnstoff', 'Cerovel', 'Karbamid', 'Urepeal', 'Uroderm', 'amino ketone', 'amino-ketone', 'Urea perhydrate', 'Pastaron soft', 'Aquacare HP', 'Urea, 99.5%, for molecular biology, DNAse, RNAse and Protease free', 'Urepeal L', 'Urea, homopolymer', 'beta-I-k', 'Pastaron 10', 'Pastaron 20', 'Pastaron (TN)', 'Pastaron 20 soft', 'carbonamidimidic acid', 'Carmol 40', 'Cerovel (Salt/Mix)', 'Panafil (Salt/Mix)', 'Rubinol ST 010', 'Urea, p.a.', 'Optigen 1200', 'Urea,(S)', 'Spectrum_000672', 'Carbamide;Carbonyldiamide', 'WLN: ZVZ', 'Carbamimidic acid (VAN)', 'Spectrum2_001192', 'Spectrum3_001791', 'Spectrum4_001168', 'Spectrum5_001862', 'Urea (JP17/USP)', 'Urea, analytical standard', 'Urea, for electrophoresis', 'Urea (8CI,9CI)', 'Eucerin 10% Urea Lotion', 'CHEMBL985', 'EC 200-315-5', 'H2N-CO-NH2', 'H2NC(O)NH2', 'Urea A.C.S. reagent grade', 'H2N-C(OH)=NH', 'BSPBio_003341', 'KBioGR_001775', 'KBioSS_001152', 'Urea, puriss., 99.5%', 'KSC269M1N', 'MLS001076688', 'DivK1c_000086', 'H2N-C(=NH)-OH', 'HO-C(=NH)-NH2', 'INS NO.927A', 'SPECTRUM1500604', 'Urea, AR, &gt;=99%', 'Urea, LR, &gt;=99%', 'SPBio_001263', 'GTPL4539', 'INS-927A', 'DTXSID4021426', 'Urea, &gt;=99.0%', 'BDBM24961', 'CHEBI:48376', 'CTK1G9616', 'HMS500E08', 'KBio1_000086', 'KBio2_001152', 'KBio2_003720', 'KBio2_006288', 'KBio3_002843', 'KS-00000VYL', 'NINDS_000086', 'HMS1921I17', 'HMS2092C08', 'HMS2232P21', 'Pharmakon1600-01500604', 'component of Artra Ashy Skin Cream', 'BCP30439', 'CS-B1800', 'HY-Y0271', 'NSC34375', 'STR00449', 'Urea, tested according to Ph.Eur.', 'ZINC8214514', 'Tox21_111036', 'Tox21_202158', 'Tox21_300035', 'c0165', 'CCG-40265', 'E-927A', 'NSC757375', 's3687', 'STL194286', 'Urea, ReagentPlus(R), &gt;=99.5%', 'AKOS009031424', 'Urea, NIST(R) SRM(R) 2141', 'Urea, SAJ first grade, &gt;=98.0%', 'DB03904', 'LS-1389', 'MCULE-8513891094', 'NSC-757375', 'Urea, JIS special grade, &gt;=99.0%', 'Urea, meets USP testing specifications', 'Urea, Vetec(TM) reagent grade, 99%', 'IDI1_000086', 'Urea solution, 40 % (w/v) in H2O', 'Basodexan pound&gt;&gt;Carmol pound&gt;&gt;Carbamide', 'BUTYLATED POLYOXY- METHYLENE UREA', 'NCGC00090892-02', 'NCGC00090892-03', 'NCGC00090892-04', 'NCGC00090892-05', 'NCGC00090892-06', 'NCGC00254181-01', 'NCGC00259707-01', 'Urea solution, BioUltra, ~8 M in H2O', 'SC-18465', 'SC-81784', 'SMR000499585', 'Urea, ACS reagent, 99.0-100.5%', 'SBI-0051552.P002', 'Urea, BioReagent, suitable for cell culture', 'B7781', 'FT-0645129', 'FT-0675737', 'FT-0675738', 'NS00001564', 'U0073', 'U0077', 'Urea, ReagentPlus(R), &gt;=99.5%, pellets', 'Urea solution, for microbiology, 40% in H2O', 'C00086', 'component of Artra Ashy Skin Cream (Salt/Mix)', 'D00023', 'M02656', 'Q48318', 'Urea, p.a., ACS reagent, 99.0-100.5%', 'AB00052123_05', 'SR-01000762961', 'Urea, NIST(R) SRM(R) 912a, clinical standard', 'SR-01000762961-2', 'Urea, British Pharmacopoeia (BP) Reference Standard', 'Urea, European Pharmacopoeia (EP) Reference Standard', 'F0001-1490', 'Urea, BioUltra, for molecular biology, &gt;=99.5% (T)', 'Urea, BioXtra, pH 7.5-9.5 (20 C, 5 M in H2O)', 'Urea, NIST SRM 2152, combustion calorimetric standard', 'Z230747540', 'Urea, United States Pharmacopeia (USP) Reference Standard', '6E4EB293-4363-4D38-BF3B-1397372C31E5', 'Urea, 8 M (after reconstitution with 16 mL high purity water)', 'Urea, puriss. p.a., ACS reagent, reag. Ph. Eur., &gt;=99.5%', 'Urea, Pharmaceutical Secondary Standard; Certified Reference Material', 'Urea, powder, BioReagent, for molecular biology, suitable for cell culture', 'Urea, puriss., meets analytical specification of Ph. Eur., BP, USP, 99.0-100.5%, 99.0-101.0% (calc. on dry substance)']</t>
  </si>
  <si>
    <t>Compound(1176)</t>
  </si>
  <si>
    <t>CH4N2O</t>
  </si>
  <si>
    <t>validamycin</t>
  </si>
  <si>
    <t>(2R,3R,4S,5S,6R)-2-[(1R,2R,3S,4S,6R)-2,3-dihydroxy-6-(hydroxymethyl)-4-[[(1S,4R,5S,6S)-4,5,6-trihydroxy-3-(hydroxymethyl)cyclohex-2-en-1-yl]amino]cyclohexyl]oxy-6-(hydroxymethyl)oxane-3,4,5-triol</t>
  </si>
  <si>
    <t>['Validamycin', 'VALIDAMYCIN A', '37248-47-8', 'Validacin', 'Valimon', 'jinggangmycin', 'UNII-313E9620QS', 'T-7545-A', 'CHEBI:29703', '313E9620QS', '(1S-(1alpha,4alpha,5beta,6alpha))-1,5,6-trideoxy-4-O-beta-D-glucopyranosyl-5-(hydroxymethyl)-1-((4,5,6-trihydroxy-3-(hydroxymethyl)-2-cyclohexen-1-yl)amino)-D-chiro-inositol', '1L-(1,3,4/2,6)-2,3-Dihydroxy-6-hydroxymethyl-4-((1S,4R,5S,6S)-4,5,6-trihydroxy-3-hydroxymethylcyclohex-2-enylamino)cyclohexyl beta-D-glucopyranoside', 'D-1,5,6-Trideoxy-3-O-beta-D-glucopyranosyl-5-(hydroxymethyl)-1-((4,5,6-trihydroxy-3-(hydroxymethyl)-2-cyclohexen-1-yl)amino)-D-chiroinositol', 'HSDB 6745', 'jinganmycin A', '(1S-(1a,4a,5B,6a))-1,5,6-Trideoxy-3-O-B-D-glucopyranosyl-5-(hydroxymethyl)-1-((4,5,6-trihydroxy-3-(hydroxymethyl)-2-cyclohexen-1-yl)amino)-d-chiro-inositol', '1L-(1,3,4/2,6)-2,3-Dihydroxy-6-hydromethyl-4-((1S,4R,5S,6S)-4,5,6-trihydroxy-3-hydroxymethylcyclohex-2-enylamino)cyclohexyl beta-D-glucopyranoside', '(+)-validamycin A', 'Validamycin (technical)', '(1R,2R,3S,4S,6R)-2,3-dihydroxy-6-(hydroxymethyl)-4-{[(1S,4R,5S,6S)-4,5,6-trihydroxy-3-(hydroxymethyl)cyclohex-2-en-1-yl]amino}cyclohexyl beta-D-glucopyranoside', 'SCHEMBL3121491', 'CHEMBL1923413', 'DTXSID4058073', 'D-chiro-Inositol, 1,5,6-trideoxy-3-O-beta-D-glucopyranosyl-5-(hydroxymethyl)-1-((4,5,6-trihydroxy-3-(hydroxymethyl)-2-cyclohexen-1-yl)amino)-, (1S-(1-alpha,4-alpha,5-beta,6-alpha))-', 'ZINC8437016', 'AKOS016012982', 'AG-F-30599', '(2R,3R,4S,5S,6R)-2-[(1R,2R,3S,4S,6R)-2,3-dihydroxy-6-(hydroxymethyl)-4-[[(1S,4R,5S,6S)-4,5,6-trihydroxy-3-(hydroxymethyl)cyclohex-2-en-1-yl]amino]cyclohexyl]oxy-6-(hydroxymethyl)oxane-3,4,5-triol', 'AS-15281', 'O743', 'SC-81107', 'C12112', 'K-8237', '248V478', 'Validamycin A, PESTANAL(R), analytical standard', 'W-204201', 'D-chiro-Inositol, 1,5,6-trideoxy-3-O-|A-D-glucopyranosyl-', 'D-Chiro-inositol,1,5,6-trideoxy-3-O-beta-D-glucopyranosyl-', '(2R,3R,4S,5S,6R)-2-((1R,2R,3S,4S,6R)-2,3-dihydroxy-6-(hydroxymethyl)-4-((1S,4R,5S,6S)-4,5,6-trihydroxy-3-(hydroxymethyl)cyclohex-2-enylamino)cyclohexyloxy)-6-(hydroxymethyl)tetrahydro-2H-pyran-3,4,5-triol', '(2R,3R,4S,5S,6R)-2-[(1R,2R,3S,4S,6R)-2,3-dihydroxy-6-(hydroxymethyl)-4-[[(1S,4R,5S,6S)-4,5,6-trihydroxy-3-(hydroxymethyl)cyclohex-2-en-1-yl]amino]cyclohexoxy]-6-(hydroxymethyl)tetrahydropyran-3,4,5-triol', '1,5,6-trideoxy-4-O-beta-D-glucopyranosyl-5-(hydroxymethyl)-1-[[(1S,4R,5S,6S)-4,5,6-trihydroxy-3-(hydroxymethyl)-2-cyclohexen-1-yl]amino]-D-chiro-inositol']</t>
  </si>
  <si>
    <t>Compound(443629)</t>
  </si>
  <si>
    <t>C20H35NO13</t>
  </si>
  <si>
    <t>valifenalate</t>
  </si>
  <si>
    <t>methyl 3-(4-chlorophenyl)-3-[[(2S)-3-methyl-2-(propan-2-yloxycarbonylamino)butanoyl]amino]propanoate</t>
  </si>
  <si>
    <t>['Valifenalate', 'Valiphenal', '283159-90-0', 'IR5885;Valiphenal', 'C19H27ClN2O5', 'Valifenalate isomer 1', 'Valifenalate isomer 2', 'SCHEMBL1138368', 'DTXSID6058051', 'CHEBI:83610', 'EX-A3342', 'methyl 3-(4-chlorophenyl)-3-[[(2S)-3-methyl-2-(propan-2-yloxycarbonylamino)butanoyl]amino]propanoate', 'Valifenalate;?-Alanine, N-[(1-methylethoxy)carbonyl]-L-valyl-3-(4-chlorophenyl)-, methyl ester;Methyl-3-(4-chlorophenyl)-3-((N-(isopropylcarbonyl)-L-valyl)amino)propanoate', 'CV0020', 'CS-3304', 'HY-17518', 'X5974', 'Valifenalate, PESTANAL(R), analytical standard', 'Q19310729', 'methyl N-(isopropoxycarbonyl)-L-valyl-3-(4-chlorophenyl)-beta-alaninate', 'methyl N-(isopropoxycarbonyl)-L-valyl-3-(p-chlorophenyl)-beta-alaninate', 'methyl 3-(4-chlorophenyl)-3-{[N-(isopropoxycarbonyl)-L-valyl]amino}propanoate', 'methyl N-[(1-methylethoxy)carbonyl]-L-valyl-3-(4-chlorophenyl)-beta-alaninate', '3-[[(S)-2-[[(Isopropyloxy)carbonyl]amino]-3-methylbutyryl]amino]-3-(4-chlorophenyl)propanoic acid methyl ester']</t>
  </si>
  <si>
    <t>Compound(11338509)</t>
  </si>
  <si>
    <t>C19H27ClN2O5</t>
  </si>
  <si>
    <t>valproic acid</t>
  </si>
  <si>
    <t>2-propylpentanoic acid</t>
  </si>
  <si>
    <t>['VALPROIC ACID', '2-Propylpentanoic acid', '99-66-1', '2-Propylvaleric acid', 'Dipropylacetic acid', 'Depakine', 'Depakene', 'Valproate', 'Ergenyl', 'Di-n-propylacetic acid', 'Mylproin', 'Pentanoic acid, 2-propyl-', '4-Heptanecarboxylic acid', 'n-Dipropylacetic acid', 'Propylvaleric acid', 'Myproic Acid', 'n-DPA', 'Dipropylacetate', 'Convulex', 'Depakin', 'Vupral', 'Di-n-propylessigsaure', 'Avugane', 'Baceca', 'Stavzor', 'Acido valproico', 'Kyselina 2-propylvalerova', 'Acide valproique', '2-n-Propyl-n-valeric acid', 'Acidum valproicum', 'Acetic acid, dipropyl-', 'Abbott 44090', 'Valproinsaeure', 'Savicol', 'Depakine chrono', 'Depakin chrono', 'Valproic acid (USP)', '2,2-di-n-propylacetic acid', 'Acide valproique [INN-French]', 'Acido valproico [INN-Spanish]', 'Acidum valproicum [INN-Latin]', '2-PROPYL-PENTANOIC ACID', 'Di-n-propylessigsaure [German]', 'Valeric acid, 2-propyl-', 'divalproex', 'Depakene (TN)', 'Epilim', 'Kyselina 2-propylvalerova [Czech]', 'Di-n-propylessigsaeure', 'UNII-614OI1Z5WI', 'NSC 93819', 'VPA', 'HSDB 3582', 'EINECS 202-777-3', 'MFCD00002672', 'CHEMBL109', '(n-C3H7)2CHCOOH', 'VPA;2-Propylpentanoic Acid', 'BRN 1750447', 'AI3-10500', '614OI1Z5WI', 'CHEBI:39867', 'NSC-93819', 'Depakote CP', 'NCGC00091149-01', 'Convulsofin', 'Deproic', 'Alti-Valproic', 'Novo-Valproic', 'Penta-Valproic', 'Dom-Valproic', 'Med Valproic', 'Dipropyl Acetate', 'Nu-Valproic', 'DSSTox_CID_3733', 'DSSTox_RID_77171', 'DSSTox_GSID_23733', 'Valproic acid USP', 'PMS-Valproic Acid', '2-Propylpentanoic acid, 99%', 'CAS-99-66-1', 'Depakote (TM)', 'SMR000499581', 'Valproic acid [USAN:INN:BAN]', '2 PP (base)', 'Valproic Acid, Sodium Salt (2:1)', 'Valproinsyra', 'Novo-divalproex', 'Sandoz valproic', 'Dom-valproate', 'Gen-divalproex', 'Apo-valproic', 'A-44090', 'APO-divalproex', 'DOM-divalproex', 'Epival er', 'PHL-valproate', 'PMS-valproate', 'PMS-Divalproex', 'Erganyl; Stavzor', 'Dom-valproic acid', 'Apo-valproic syrup', 'PHL-valproic acid', 'Epiject I.V.', '2-propyl-Pentanoate', 'Epical (TM)', 'Epilim (Salt/Mix)', 'Valproic acid [USAN:USP:INN:BAN]', '2-PropylpentanoicAcid', 'Depacon (Salt/Mix)', 'Convulex (Salt/Mix)', 'Eurekene (Salt/Mix)', 'G2M-777', 'Valparin (Salt/Mix)', 'Novo-Valproic - ECC', 'Spectrum_000521', 'Divalproex (Salt/Mix)', 'Dom-valproic acid syrup', 'Ratio-Valproic - ECC', 'Valdisoval (Salt/Mix)', 'ACMC-209sdq', '2 -propylpentanoic acid', 'di-n-propyl acetic acid', 'S(-)-4-En-valproate', 'Spectrum2_000946', 'Spectrum3_001733', 'Spectrum4_000376', 'DOM-valproic acid E.C.', 'Heptane-4-carboxylic acid', 'PHL-valproic acid E.C.', 'PMS-valproic acid E.C.', 'Novo-valproic soft gel cap', 'EC 202-777-3', 'SCHEMBL2275', 'S-2-n-Propyl-4-pentenoate', '(S)-2-propyl-4-pentanoate', 'KBioGR_000871', 'KBioGR_002277', 'KBioSS_001001', 'KBioSS_002278', 'KSC493G8T', 'MLS001076682', 'MLS001335927', 'MLS001335928', 'MLS002415770', 'BIDD:GT0858', 'DivK1c_000273', 'SPBio_000912', 'GTPL7009', 'DTXSID6023733', 'WLN: QVY3 &amp; 3', 'CTK3J3389', 'KBio1_000273', 'KBio2_001001', 'KBio2_002277', 'KBio2_003569', 'KBio2_004845', 'KBio2_006137', 'KBio2_007413', 'KBio3_002626', 'KBio3_002757', 'KS-00000CCR', 'NIJJYAXOARWZEE-UHFFFAOYSA-', 'Valproic acid [USAN:BAN:INN]', 'NINDS_000273', 'HMS2089J06', 'HMS2231E06', 'HMS3259C18', 'HMS3370C21', 'HMS3715B15', 'ACT05281', 'ALBB-032973', 'BCP33204', 'NSC93819', 'ZINC3008621', 'Tox21_111091', 'Tox21_201963', 'Tox21_300603', 'ANW-41052', 'BDBM50003616', 'LMFA01020291', 's3944', 'SBB065764', 'STL445581', 'AKOS009156895', 'Tox21_111091_1', 'Valproic Acid 1.0 mg/ml in Methanol', 'CCG-221127', 'CS-1765', 'DB00313', 'LS-2068', 'MCULE-7136317196', 'NC00584', 'SDCCGSBI-0050864.P004', 'NCGC00091149-02', 'NCGC00091149-03', 'NCGC00091149-04', 'NCGC00091149-05', 'NCGC00091149-06', 'NCGC00091149-08', 'NCGC00091149-09', 'NCGC00162288-07', 'NCGC00254365-01', 'NCGC00259512-01', 'AK128830', 'AS-11354', 'HY-10585', 'SBI-0050864.P003', 'AB0009719', 'Depakote, Depacon,Valproic acid Sodium salt', 'LS-161170', '791-EP2306789A1', 'FT-0609289', 'FT-0675769', 'NS00010277', 'P0823', '6400-EP1441224A2', '6400-EP2272537A2', '6400-EP2272827A1', '6400-EP2275420A1', '6400-EP2280008A2', '6400-EP2298764A1', '6400-EP2298765A1', '6400-EP2308867A2', '6400-EP2308870A2', '6400-EP2311494A1', '6400-EP2311840A1', '6400-EP2314585A1', '6400-EP2374790A1', 'A19450', 'C07185', 'D00399', 'AB00698315-06', 'Q240642', 'Q-200321', 'Sodium valproate; 2-Propylpentanoic acid sodium salt', 'SR-01000075242-7', 'F2191-0115', 'Z1511532065', 'Valproic acid, European Pharmacopoeia (EP) Reference Standard', 'Valproic acid, United States Pharmacopeia (USP) Reference Standard', 'Valproic acid for system suitability, European Pharmacopoeia (EP) Reference Standard', 'Valproic acid solution, 1.0 mg/mL in methanol, ampule of 1 mL, certified reference material', 'Valproic acid, Pharmaceutical Secondary Standard; Certified Reference Material']</t>
  </si>
  <si>
    <t>Compound(3121)</t>
  </si>
  <si>
    <t>valeric acid</t>
  </si>
  <si>
    <t>pentanoic acid</t>
  </si>
  <si>
    <t>['Valeric acid', 'PENTANOIC ACID', 'n-Valeric acid', '109-52-4', 'n-Pentanoic acid', 'Valerianic acid', '1-Butanecarboxylic acid', 'Propylacetic acid', 'Butanecarboxylic acid', 'Pentanoate', 'pentoic acid', 'Kyselina valerova', 'VALERIC ACID, N-', 'Valeric acid, normal', 'n-Pentanoate', 'Kyselina valerova [Czech]', 'Valerate', 'Valeriansaeure', 'n-Valerate', 'UNII-GZK92PJM7B', '1-pentanoic acid', 'NSC 406833', 'FEMA No. 3101', 'Valeric acid, 99%', 'HSDB 5390', 'n-C4H9COOH', 'EINECS 203-677-2', 'MFCD00004413', 'GZK92PJM7B', 'BRN 0969454', 'CH3-[CH2]3-COOH', 'AI3-08657', 'CHEBI:17418', 'NCGC00183281-01', 'DSSTox_CID_1655', 'DSSTox_RID_76267', 'DSSTox_GSID_21655', '64118-37-2', 'CAS-109-52-4', 'SHF', 'VALERICACID', 'Butane-1-carboxylic acid', 'pentoate', 'Valerianate', 'Valeriansaure', 'Butanecarboxylate', '1-pentanoate', 'Pentanoic Acid.', '1ylv', '1-Butanecarboxylate', 'Valeric acid normal', 'n-BuCOOH', 'Valeric acid, &gt;=99%', 'bmse000345', 'EC 203-677-2', 'Pentanoic acid Valeric acid', 'SCHEMBL5886', 'WLN: QV4', 'ACMC-1B6Z8', '4-02-00-00868 (Beilstein Handbook Reference)', 'KSC175S1B', 'MLS001066335', 'Pentanoic Acid (Valeric Acid)', 'CHEMBL268736', 'GTPL1061', 'DTXSID7021655', 'CTK0H5910', 'KS-00000XCT', 'Valeric acid ( Pentanoic acid )', 'Valeric acid, analytical standard', 'HMS2267A03', 'HY-N6056', 'Tox21_113414', 'Tox21_201561', 'Tox21_303030', 'ANW-16061', 'LMFA01010005', 'NSC406833', 'SBB053585', 'STL169350', 'Valeric acid, &gt;=99%, FCC, FG', 'ZINC31500905', 'AKOS000118960', 'DB02406', 'LS-3150', 'MCULE-2333640078', 'NSC-406833', 'NCGC00183281-02', 'NCGC00183281-03', 'NCGC00256597-01', 'NCGC00259110-01', 'C5:0', 'I841', 'SC-26694', 'SMR000471834', 'CS-0032261', 'FT-0651620', 'FT-0694066', 'NS00003555', 'ST51046708', 'Valeric acid, pharmaceutical impurity standard', 'C00803', '66993-EP2298772A1', '66993-EP2305687A1', '66993-EP2308839A1', '66993-EP2374787A1', '120630-EP2275401A1', '120630-EP2284146A2', '120630-EP2284147A2', '120630-EP2298763A1', '120630-EP2371805A1', 'Q407796', 'J-002298', 'F2191-0105', 'Z955123768']</t>
  </si>
  <si>
    <t>Compound(7991)</t>
  </si>
  <si>
    <t>(2S)-3-methyl-2-[pentanoyl-[[4-[2-(2H-tetrazol-5-yl)phenyl]phenyl]methyl]amino]butanoic acid</t>
  </si>
  <si>
    <t>['valsartan', '137862-53-4', 'Diovan', 'Tareg', 'Provas', 'CGP 48933', 'CGP-48933', 'Exforge', "(S)-2-(N-((2'-(1H-Tetrazol-5-yl)-[1,1'-biphenyl]-4-yl)methyl)pentanamido)-3-methylbutanoic acid", 'UNII-80M03YXJ7I', 'N-(p-(o-1H-Tetrazol-5-ylphenyl)benzyl)-N-valeryl-L-valine', 'CHEMBL1069', '(2S)-3-methyl-2-[pentanoyl-[[4-[2-(2H-tetrazol-5-yl)phenyl]phenyl]methyl]amino]butanoic acid', '80M03YXJ7I', 'CHEBI:9927', '137863-60-6', 'C24H29N5O3', "L-Valine, N-(1-oxopentyl)-N-[[2'-(2H-tetrazol-5-yl)[1,1'-biphenyl]-4-yl]methyl]-", "N-(1-oxopentyl)-N-[[2'-(1H-tetrazol-5-yl)[1,1'-biphenyl]-4-yl]methyl]-L-valine", 'Kalpress', 'Miten', 'Nisis', 'Vals', "(S)-N-valeryl-N-{[2'-(1H-tetrazol-5-yl)biphenyl-4-yl]-methyl}-valine", "(s)-2-(n-((2'-(1h-tetrazol-5-yl)biphenyl-4-yl)methyl)pentanamido)-3-methylbutanoic acid", "L-Valine, N-(1-oxopentyl)-N-((2'-(1H-tetrazol-5-yl)(1,1'-biphenyl)-4-yl)methyl)-", 'N-[p-(o-1H-Tetrazol-5-ylphenyl)benzyl]-N-valeryl-L-valine', 'Valzaar', 'Valtan', 'Valsartan [USAN:INN]', '[3H]valsartan', 'SMR000466318', 'Diovan (TN)', 'Prexxartan', 'Valpression', 'Varexan', 'HSDB 7519', "L-Valine, N-(1-oxopentyl)-N-[[2'-(1H-tetrazol-5-yl)[1,1'-biphenyl]-4-yl]methyl]-", 'Valsartan [USAN:USP:INN:BAN]', 'Valsartan,(S)', '(2S)-3-Methyl-2-(pentanoyl-((4-(2-(2H-tetrazol-5-yl)phenyl)phenyl)methyl)amino)butanoic acid', '(2S)-3-methyl-2-[pentanoyl-[[4-[2-(1H-tetrazol-5-yl)phenyl]phenyl]methyl]amino]butanoic acid', 'AK-58790', 'valsartan (Diovan)', 'MFCD00865840', 'PubChem9865', 'Spectrum_001796', 'Valsartan_2583_ p', "N-valeryl-N-((2'-(1H-tetrazol-5-yl)biphenyl-4-yl)methyl)valine", 'Spectrum2_001120', 'Spectrum3_001831', 'Spectrum4_000749', 'Spectrum5_001582', 'Prexxartan (oral solution)', 'EC 604-045-2', 'SCHEMBL2542', 'BSPBio_003501', 'GTPL593', 'KBioGR_001078', 'KBioSS_002289', 'MLS000759423', 'MLS001424088', 'BIDD:GT0345', 'SPECTRUM1505209', 'SPBio_001260', 'Valsartan (JP17/USP/INN)', 'GTPL3937', 'Valsartan, &gt;=98% (HPLC)', 'KBio2_002287', 'KBio2_004855', 'KBio2_007423', 'KBio3_003006', 'KS-00000ISS', 'EZR-104', 'VAL-489', 'HMS1922L21', 'HMS2051L12', 'HMS2093K22', 'HMS2232F05', 'HMS3651E04', 'HMS3715P12', 'Pharmakon1600-01505209', '(2S)-3-metil-2-[pentanoil-[[4-[2-(2H-tetrazolo-5-il)fenil]fenil]metil]amino]acido butanoico', 'ACT02671', 'BCP05184', 'ZINC3875259', 'ANW-49040', 'BDBM50049186', 'BG0645', 'GP8514', 'NSC758927', 's1894', 'AKOS015914315', 'AKOS015994698', 'AB07510', 'AC-4543', 'AM90287', 'CCG-101028', 'CCG-221275', 'CS-1967', 'DB00177', 'DS-1248', 'KS-1194', 'MCULE-6728882368', 'NC00278', 'NSC-758927', 'VA11929', "N-pentanoyl-N-{[2'-(1H-tetrazol-5-yl)[1,1'-biphenyl]-4-yl]methyl}-L-valine", 'NCGC00178027-08', 'BR-58790', 'HY-18204', 'I997', 'SC-00971', 'SBI-0206738.P001', 'AB0013966', 'AX8018200', 'LS-161334', 'SW197658-2', 'V-120', '4997-EP2270011A1', '4997-EP2272841A1', '4997-EP2277879A1', '4997-EP2295406A1', '4997-EP2295422A2', '4997-EP2298772A1', '4997-EP2298776A1', '4997-EP2298779A1', '4997-EP2301923A1', '4997-EP2301931A1', '4997-EP2301936A1', '4997-EP2305219A1', '4997-EP2308562A2', '4997-EP2308839A1', '62V534', 'D00400', 'J10013', 'S-6418', 'AB00639940-06', 'AB00639940-08', 'AB00639940_09', 'AB00639940_11', 'Q155472', 'SR-05000001928', 'J-007068', 'SR-05000001928-1', 'BRD-K45158365-001-02-3', 'BRD-K45158365-001-05-6', 'Valsartan, European Pharmacopoeia (EP) Reference Standard', "N-Valeryl-N-[2'-(5-tetrazolyl)biphenyl-4-ylmethyl]-L-valine", 'Valsartan, United States Pharmacopeia (USP) Reference Standard', "N-Valeryl-N-[2'-(1H-tetrazol-5-yl)biphenyl-4-ylmethyl]-L-valine", 'Valsartan, Pharmaceutical Secondary Standard; Certified Reference Material', "(5)-2-{N-[(2'-(1H-tetrazol-5-yl)biphenyl-4-yl)methyl]pentanamido}-3-methylbutanoic acid", "(S)-3-Methyl-2-{pentanoyl-[2'-(1H-tetrazol-5-yl)-biphenyl-4-ylmethyl]-amino}-butyric acid", "3-Methyl-2-{pentanoyl-[2''-(1H-tetrazol-5-yl)-biphenyl-4-yl]-amino}-butyric acid", "L-Valine,N-(1-oxopentyl)-N-[[2'-(1H-tetrazol-5-yl)[1,1'-biphenyl]-3-yl]methyl]- (9CI)", "N-(1-oxopentyl)-N-[[2'-(1h-tetrazol-5-yl) [1,1'-bi-phenyl]-4-yl]methyl]-l-valine", "N-(1-Oxopentyl)-N-[[2'-(1H-tetrazol-5-yl)[1,1'-biphenyl]-4-yl]methyl]-(L)-valine", "N-(1-OXOPENTYL)-N-[[2'-(2H-TETRAZOL-5-YL)[1,1'-BIPHENYL]-4-YL]METHYL]-L-VALINE", "N-pentanoyl-N-{[2'-(1H-tetrazol-5-yl)-1,1'-biphenyl-4-yl]methyl}-L-valine", 'Valsartan for peak identification, European Pharmacopoeia (EP) Reference Standard', 'Valsartan for system suitability, European Pharmacopoeia (EP) Reference Standard', '(2S)-3-methyl-2-[N-({4-[2-(1H-1,2,3,4-tetrazol-5-yl)phenyl]phenyl}methyl)pentanamido]butanoic acid', '(2S)-3-methyl-2-[N-({4-[2-(2H-1,2,3,4-tetrazol-5-yl)phenyl]phenyl}methyl)pentanamido]butanoic acid', '(2S)-3-methyl-2-[pentanoyl-[[4-[2-(2H-tetrazol-5-yl)phenyl]phenyl]methyl]amino]butanoic acid.', "(2S)-3-Methyl-2-{N-pentanoyl-N'-[2'-(1H-tetrazol-5-yl)-biphenyl-4-ylmethyl]-amino}-butanoic acid", '(s)-3-methyl-2-[N-({4-[2-(2h-1,2,3,4-tetrazol-5-yl) phenyl]phenyl}methyl)pentanamido]butanoic acid', '(S)-3-methyl-2-[N-({4-[2-(2H-1,2,3,4-tetrazol-5-yl)phenyl]phenyl}methyl)pentanamido]butanoic acid', "(s)-3-methyl-2-{pentanoyl-[-2'-(1h-tetrazol-5-yl)-biphenyl-4-ylmethyl]-amino}-butyric acid", "(S)-3-Methyl-2-{pentanoyl-[2''-(1H-tetrazol-5-yl)-biphenyl-4-ylmethyl]-amino}-butyric acid", "(S)-3-Methyl-2-{pentanoyl-[2''-(2H-tetrazol-5-yl)-biphenyl-4-ylmethyl]-amino}-butyric acid", "(S)-N-(1-carboxy-2-methyl-prop-1-yl)-N-pentanoyl-N-[2'(1H-tetrazol-5-yl)biphenyl-4-yl-methyl]amine", "(S)-N-(1-carboxy-2-methyl-prop-1-yl)-N-pentanoyl-N-[2'-(1H-tetrazol-5-yl)-biphenyl-4-ylmethyl]-amine", "(S)-N-(1-Carboxy-2-methyl-prop-1-yl)-N-pentanoyl-N-[2'-(1H-tetrazol-5-yl)biphenyl-4-ylmethyl]-amine", "2-{[2''-(2,3-Dihydro-1H-tetrazol-5-yl)-biphenyl-4-ylmethyl]-pentanoyl-amino}-3-methyl-butyric acid", "3-Methyl-2-{((S)-pentanoyl)-[2''-(1H-tetrazol-5-yl)-biphenyl-4-ylmethyl]-amino}-butyric acid"]</t>
  </si>
  <si>
    <t>Compound(60846)</t>
  </si>
  <si>
    <t>C24H29N5O3</t>
  </si>
  <si>
    <t>valsartan acid</t>
  </si>
  <si>
    <t>4-[2-(2H-tetrazol-5-yl)phenyl]benzoic acid</t>
  </si>
  <si>
    <t>['Valsartan acid', 'Valsartan metabolite', '164265-78-5', 'Q63395303', 'Valsartansaure', 'VAL acid', 'Valsartansaeure_2795_ p', 'SCHEMBL5485083', 'DTXSID20881090', 'NS00000459', '4-[2-(2H-1,2,3,4-tetrazol-5-yl)phenyl]benzoic acid', "2'-(1H-Tetrazol-5-yl)[1,1'-biphenyl]-4-carboxylic acid", "2'-(2H-Tetrazole-5-yl)-1,1'-biphenyl-4-carboxylic acid"]</t>
  </si>
  <si>
    <t>Compound(19388302)</t>
  </si>
  <si>
    <t>C14H10N4O2</t>
  </si>
  <si>
    <t>7-chloro-1-methyl-5-phenyl-3H-1,4-benzodiazepin-2-one</t>
  </si>
  <si>
    <t>['diazepam', 'Valium', '439-14-5', 'Diazemuls', 'Ansiolisina', 'Apaurin', 'Faustan', 'Relanium', 'Seduxen', 'Sibazon', 'Stesolid', 'Methyldiazepinone', 'Ansiolin', 'Apozepam', 'Atensine', 'Bensedin', 'Bialzepam', 'Calmocitene', 'Calmpose', 'Ceregulart', 'Condition', 'Diacepan', 'Diazepan', 'Diazetard', 'Dipezona', 'Domalium', 'Kiatrium', 'Liberetas', 'Neurolytril', 'Paranten', 'Quetinil', 'Quiatril', 'Quievita', 'Relaminal', 'Renborin', 'Ruhsitus', 'Seduksen', 'Serenack', 'Serenamin', 'Serenzin', 'Stesolin', 'Tensopam', 'Tranimul', 'Tranqdyn', 'Tranquirit', 'Unisedil', 'Valitran', 'Alboral', 'Aliseum', 'Amiprol', 'Armonil', 'Assival', 'Atilen', 'Cercine', 'Dialag', 'Diapam', 'Dienpax', 'Duksen', 'Eridan', 'Eurosan', 'Freudal', 'Frustan', 'Gihitan', 'Lembrol', 'Levium', 'Morosan', 'Paxate', 'Plidan', 'Saromet', 'Sedipam', 'Setonil', 'Sonacon', 'Umbrium', 'Vatran', 'Velium', 'Duxen', 'Lamra', 'Paxel', 'Solis', 'Valeo', 'Vival', 'Vivol', 'Zipan', 'Noan', 'Usempax ap', 'Kabivitrum', 'Valrelease', 'Diastat', 'Evacalm', 'Gewacalm', 'Horizon', 'Novazam', 'Valaxona', 'Valiquid', 'Dialar', 'Dipam', 'Paceum', 'Methyl diazepinone', 'An-Ding', 'e-Pam', 'Q-pam', 'La-Iii', 'Jinpanfan', 'Pacitran', 'Simasedan', 'Antenex', 'Arzepam', 'Diapax', 'Drenian', 'Ducene', 'Kratium', 'Nellium', 'Nerozen', 'Zepaxid', 'Dizac', 'Doval', 'Paxum', 'Sipam', 'Vazen', 'Apo-diazepam', 'Diazepam Intensol', 'Placidox 5', 'LA III', 'D-Pam', 'Calmociteno', 'Centrazepam', 'Alupram', 'Ansilive', 'Anxicalm', 'Anxionil', 'Azedipamin', 'Benzopin', 'Betapam', 'Britazepam', 'Calmaven', 'Chuansuan', 'Desconet', 'Desloneg', 'Diaceplex', 'Diapine', 'Diaquel', 'Diatran', 'Diazepin', 'Disopam', 'Faustal', 'Gradual', 'Iazepam', 'Medipam', 'Mentalium', 'Metamidol', 'Nervium', 'Nivalen', 'Nixtensyn', 'Notense', 'Novodipam', 'Ortopsique', 'Paralium', 'Prozepam', 'Psychopax', 'Radizepam', 'Reliver', 'Sedapam', 'Trankinon', 'Tranquase', 'Trazepam', 'Valuzepam', 'Vanconin', 'Baogin', 'Calmod', 'Caudel', 'Diazem', 'Lovium', 'Mandro', 'Parzam', 'Dipaz', 'Dupin', 'Gubex', 'Lizan', 'Pomin', 'Winii', '7-chloro-1-methyl-5-phenyl-3H-1,4-benzodiazepin-2-one', '7-Chloro-1,3-dihydro-1-methyl-5-phenyl-2H-1,4-benzodiazepin-2-one', '7-Chloro-1-methyl-5-phenyl-1,3-dihydro-2H-1,4-benzodiazepin-2-one', 'Diazepam Nordic', 'Diazepam-Lipuro', 'Diazepan leo', 'WY-3467', 'Diazepam Elmu', 'Diazepam Fabra', 'Diazepam Stada', 'Metil Gobanal', 'Diazepam Dak', 'Tranquo-tablinen', 'Diazepam Desitin', 'Euphorin P', 'Mandro-Zep', 'Sico Relax', 'Diazepam Rectubes', 'Elcion CR', 'NSC-77518', 'Placidox 2', 'Kratium 2', 'Diazepam-ratiopharm', 'Placidox 10', 'Ro 5-2807', 'Diazepamu [Polish]', 'Diazepam-Eurogenerics', 'Tensium', 'CB 4261', 'Diazepamum [INN-Latin]', '2H-1,4-Benzodiazepin-2-one, 7-chloro-1,3-dihydro-1-methyl-5-phenyl-', 'Faustan,', 'UNII-Q3JTX2Q7TU', 'CCRIS 6009', '7-Chloro-1-methyl-5-phenyl-3H-1,4-benzodiazepin-2(1H)-one', 'HSDB 3057', 'Methyldiazepinone (pharmaceutical)', '7-Chloro-1-methyl-2-oxo-5-phenyl-3H-1,4-benzodiazepine', '7-Chloro-1-methyl-5-phenyl-2H-1,4-benzodiazepin-2-one', 'CHEMBL12', 'EINECS 207-122-5', 'LA-111', 'Q3JTX2Q7TU', 'NSC 169897', '1-Methyl-5-phenyl-7-chloro-1,3-dihydro-2H-1,4-benzodiazepin-2-one', 'BRN 0754371', 'DEA No. 2765', 'DZP', 'Methyldiazepinone, pharmaceutical', 'CHEBI:49575', 'Wy 3467', 'LA 111', 'NSC-169897', '7-Chloro-1-methyl-5-3H-1,4-benzodiazepin-2(1H)-one', 'NCGC00178168-02', 'DSSTox_CID_406', 'S.a. r.l.', 'DSSTox_RID_75566', 'DSSTox_GSID_20406', 'Pax', 'Diazepamum', 'Servizepam', 'Diazapam', 'Diazepamu', 'Mandrozep', 'Plumiaz', 'Tranquo-puren', 'Diastat Acudial', '7-chloro-1-methyl-5-phenyl-1,3-dihydro-benzo[e][1,4]diazepin-2-one', '7-chloro-1-methyl-5-phenyl-2,3-dihydro-1H-1,4-benzodiazepin-2-one', 'WLN: T67 GNV JN IHJ CG G1 KR', 'CAS-439-14-5', 'SMR000058398', 'Best [Pharaceutical]', '2H-1, 7-chloro-1,3-dihydro-1-methyl-5-phenyl-', '1-Methyl-5-phenyl-7-chloro-1,4-benzodiazepin-2-one', '7-Chloro-1-methyl-5-phenyl-1,4-benzodiazepin-2-one', 'Vazepam', 'Anlin', 'neurolytr il', 'Diazepam civ', 'Pro pam', 'Valium R', 'T-quil', 'Diazepam [USAN:INN:BAN:JAN]', 'Diastat (TN)', 'Diazepam (*)', 'Valium (TN)', 'Diazepam [USAN:USP:INN:BAN:JAN]', 'RO-5-2807', 'Spectrum3_001780', 'Spectrum4_000576', 'Spectrum5_001890', 'BIDD:PXR0158', 'Oprea1_126223', 'SCHEMBL21442', 'BSPBio_003279', 'KBioGR_001012', '5-24-04-00300 (Beilstein Handbook Reference)', 'MLS000759402', 'MLS001424086', 'BIDD:GT0105', 'DivK1c_000967', 'Diazepam (JP17/USP/INN)', 'Mono (2-ethylhexyl) phthalate', 'GTPL3364', 'S.A. R.L', 'S.A.R.L.', 'ZINC6427', 'DTXSID4020406', 'HMS503A15', 'KBio1_000967', 'KBio3_002780', 'Diazepam 0.1 mg/ml in Methanol', 'Diazepam 1.0 mg/ml in Methanol', 'NINDS_000967', 'HMS2051N04', 'HMS3393N04', 'BCP23002', 'NSC77518', 'Tox21_113071', 'Tox21_202458', '7-Chloro-1-methyl-5-phenyl-1H-benzo[e][1,4]diazepin-2(3H)-one', 'BDBM50000766', 'LS-122', 'NSC169897', 'Ro-52807', 'STK735517', 'AKOS003367969', 'Tox21_113071_1', 'AB02310', 'BCP9000199', 'CCG-100997', 'CS-0653', 'DB00829', 'MCULE-8990989144', 'NC00247', 'Ro 5-2805', 'IDI1_000967', 'NCGC00178168-01', 'NCGC00178168-03', 'NCGC00178168-04', 'NCGC00260007-01', 'AC-10561', 'CC-26451', 'HY-17027', 'BCP0726000176', 'DB-051179', 'NS00008403', 'C06948', 'D00293', 'W-5055', 'A826456', 'C-17931', 'Q210402', 'Valium; Ansiolisina; Diazemuls; Apaurin; Faustan', 'BRD-K16508793-001-01-8', 'Diazepam, European Pharmacopoeia (EP) Reference Standard', '7-chloranyl-1-methyl-5-phenyl-3H-1,4-benzodiazepin-2-one', '7-chloro-1-methyl-5-phenyl-3H-1,4-benzodiazepin-2-one.', '7-chloro-1-methyl-5-phenyl-1H-1,4-benzodiazepine-2(3H)on', 'Diazepam, United States Pharmacopeia (USP) Reference Standard', '7-chloro-1-methyl-5-phenyl-1,3-dihydro-[1,4]benzodiazepin-2-one', '7 -chloro-1,3-dihydro-1-methyl-5-phenyl-2H-1,4-benzodiazepin-2-one', '7-chloro-1,3-dihydro-1-methyl-5-phenyl-2H -1,4-benzodiazepin-2-one', '7-chloro-1-methyl-1,3-dihydro-5-phenyl-2H-1,4-benzodiazepin-2-one', '7-Chloro-1-methyl-5-phenyl-2-oxo-2,3-dihydro-1H-benzo[f]-1,4-diazepine', 'Diazepam for system suitability, European Pharmacopoeia (EP) Reference Standard', 'Diazepam solution, 1.0 mg/mL in methanol, ampule of 1 mL, certified reference material', 'Diazepam solution, 1.0 mg/mL in methanol, analytical standard, for drug analysis', '11100-37-1', 'diazepam;7-chloro-1,3-dihydro-1-methyl-5-phenyl-2H-benzo-1,4-diazepin-2-one monohydrochloride']</t>
  </si>
  <si>
    <t>Compound(3016)</t>
  </si>
  <si>
    <t>C16H13ClN2O</t>
  </si>
  <si>
    <t>2-(2-dimethoxyphosphorylsulfanylethylsulfanyl)-N-methylpropanamide</t>
  </si>
  <si>
    <t>['VAMIDOTHION', '2275-23-2', 'Vamidoate', 'Kilval', 'Trucidor', 'American cyanamid-43073', 'Caswell No. 379A', 'NPH 83', 'Vamidothion [BSI:ISO]', 'ENT 26,613', 'CCRIS 1305', 'HSDB 6746', '10465 rp', 'R.P. 10,465', 'EINECS 218-894-8', 'EPA Pesticide Chemical Code 379200', 'Dimethyl S-(2-(1-methylcarbamoylethylthio)ethyl) phosphorothiolate', 'RP-9895', 'BRN 2651123', 'O,O-Dimethyl S-(2-(1-methylcarbamoylethylthio)ethyl) phosphorothioate', 'AI3-25761', '2-(2-Dimethoxyphosphinoylthioethylthio)-N-methylpropionamide', 'N-Methyl O,O-dimethylthiolophosphoryl-5-thia-3-methyl-2-valeramide', 'O,O-Dimethyl S-2-(1-N-methylcarbamoylethylmercapto)ethyl thiophosphate', '2-(2-dimethoxyphosphorylsulfanylethylsulfanyl)-N-methylpropanamide', 'N-Methyl-3-thia-2-methyl-valeramid der O,O-dimethylthiolphosphorsaeure', 'N-Methyl-3-thia-2-methyl-valeramid der O,O-dimethylthiolphosphorsaeure [German]', 'O,O-Dimethyl phosphorothioate S-ester with 2-((2-mercaptoethyl)thio)-N-methylpropionamide', 'Phosphorothioic acid, O,O-dimethyl S-[2-[[1-methyl-2-(methylamino)-2-oxoethyl]thio]ethyl] ester', 'O,O-Dimethyl S-[2-(1-methylcarbamoylethylthio)ethyl] phosphorothioate', 'O,O-dimethyl S-(2-{[1-methyl-2-(methylamino)-2-oxoethyl]sulfanyl}ethyl) phosphorothioate', 'O,O-dimethyl S-(2-{[1-methyl-2-(methylamino)-2-oxoethyl]sulfanyl}ethyl) thiophosphate', 'Phosphorothioic acid, O,O-dimethyl ester, S-ester with 2-((2-mercaptoethyl)thio)-N-methylpropionamide', 'Phosphorothioic acid, O,O-dimethyl ester, S-ester with 2-[(2-mercaptoethyl)thio]-N-methylpropionamide', 'Phosphorothioic acid, O,O-dimethyl S-(2-((1-methyl-2-(methylamino)-2-oxoethyl)thio)ethyl) ester', 'Vamidothion solution', 'C8H18NO4PS2', 'Dimethyl S-[2-(1-methylcarbamoylethylthio)ethyl] phosphorothiolate', 'RP 9895', 'SCHEMBL115738', 'DTXSID7042510', 'CHEBI:38990', 'AKOS015960756', 'ACM2275232', 'O,O-Dimethyl S-(2-((1-methyl-2-(methylamino)-2-oxoethyl)thio)ethyl) phosphorothioate (9CI)', 'AC-12149', 'CC-35575', 'O418', 'Vamidothion 100 microg/mL in Acetonitrile', 'DB-045982', 'LS-108820', 'FT-0603600', 'NS00049873', 'C18666', '26850-EP2274983A1', '26850-EP2275422A1', '26850-EP2280009A1', '26850-EP2292608A1', '26850-EP2308857A1', '26850-EP2308858A1', '26850-EP2311816A1', '26850-EP2311817A1', '26850-EP2314583A1', '275V232', 'C-18087', 'Q290452', 'J-014842', 'O,O-Dimethyl S-(2-((1-methyl-2-(methylamino)-2-oxoethyl)thio)ethyl) phosphorothioate', 'O,O-Dimethyl S-(2-([1-methyl-2-(methylamino)-2-oxoethyl]sulfanyl)ethyl) thiophosphate #', 'O,O-dimethyl S-2-(1-(methylamino)-1-oxopropan-2-ylthio)ethyl phosphorothioate', 'Vamidothion solution, 100 mug/mL in acetonitrile, PESTANAL(R), analytical standard', 'Pesticide1_Vamidothion_C8H18NO4PS2_Phosphorothioic acid, O,O-dimethyl S-[2-[[1-methyl-2-(methylamino)-2-oxoethyl]thio]ethyl] ester']</t>
  </si>
  <si>
    <t>Compound(560193)</t>
  </si>
  <si>
    <t>C8H18NO4PS2</t>
  </si>
  <si>
    <t>vanillin</t>
  </si>
  <si>
    <t>4-hydroxy-3-methoxybenzaldehyde</t>
  </si>
  <si>
    <t>['vanillin', '4-Hydroxy-3-methoxybenzaldehyde', '121-33-5', 'Vanillaldehyde', 'p-Vanillin', 'Vanillic aldehyde', 'Vanilla', 'Vanilline', 'Lioxin', '2-Methoxy-4-formylphenol', '3-Methoxy-4-hydroxybenzaldehyde', 'Benzaldehyde, 4-hydroxy-3-methoxy-', '4-Hydroxy-m-anisaldehyde', '4-Hydroxy-3-methoxy-benzaldehyde', 'Zimco', 'p-Hydroxy-m-methoxybenzaldehyde', 'Vanilin', '4-Formyl-2-methoxyphenol', 'Methylprotocatechuic aldehyde', 'Vanillin (natural)', '4-Hydroxy-5-methoxybenzaldehyde', 'm-Anisaldehyde, 4-hydroxy-', 'Protocatechualdehyde, methyl-', 'Vanillin (NF)', 'Vanillin [USAN]', 'Protocatechualdehyde 3-methyl ether', 'vaniline', 'Vanillinum', 'Oleoresin vanilla', 'Vanilla oleoresin', 'NSC 15351', 'Vanillin [NF]', 'UNII-CHI530446X', 'FEMA No. 3107', 'CCRIS 2687', 'HSDB 1027', 'EINECS 204-465-2', 'BRN 0472792', 'CHEMBL13883', 'AI3-00093', 'm-Methoxy-p-hydroxybenzaldehyde', 'CHEBI:18346', 'CHI530446X', 'MFCD00006942', '4-HYDROXY,3-METHOXY-BENZALDEHYDE', 'NCGC00091645-03', 'Vanillin, 99%, pure', '4-hydroxy-3-methoxybenzaldehyde (vanillin)', 'DSSTox_CID_1969', 'WLN: VHR DQ CO1', 'DSSTox_RID_76433', 'DSSTox_GSID_21969', 'CAS-121-33-5', '4-Hydroxy-3-(methoxy-D3)benzaldehyde', 'Nat.Vanillin', '3-methoxy-4-hydroxy-benzaldehyde', 'Vanillinisobutyrate', 'oleo-Resins vanilla', 'V55', 'Vanillin sodium salt', 'ACMC-1BURM', 'oleo-Resins vanilla-bean', 'Resins, oleo-, vanilla', 'Vanillin inclusion complex', 'methyl-Protocatechualdehyde', 'bmse000343', 'bmse000597', 'bmse010006', 'Methylprotcatechuic aldehyde', 'EC 204-465-2', 'SCHEMBL1213', 'Resins, oleo-, vanilla-bean', '4-08-00-01763 (Beilstein Handbook Reference)', 'KSC174M1D', 'MLS002303069', 'BIDD:ER0330', 'Vanillin, puriss., 99.5%', 'GTPL6412', 'SGCUT00016', '4-hydroxy 3-methoxybenzaldehyde', 'DTXSID0021969', 'CTK0H4611', 'Vanilla oleoresin (vanilla SPP)', '3-methoxy-4-hydroxy benzaldehyde', '4-hydroxy-3-methoxy benzaldehyde', '3-methoxy-4-hydroxy benzoaldehyde', 'Vanillin, ReagentPlus(R), 99%', '4-hydroxy-3-(methoxy)benzaldehyde', 'HMS3651D20', 'Vanillin, &gt;=97%, FCC, FG', '4-Hydroxy-3-methoxy-benzaldehyde.', '4-hydoxy-3-(methyloxy)benzaldehyde', 'BCP29943', 'HY-N0098', 'KS-000000NC', 'NSC15351', 'NSC48383', 'STR01001', 'to_000089', 'ZINC2567933', 'Tox21_113534', 'Tox21_201925', 'Tox21_300352', '4-hydoxy-3-(methyloxy)benz aldehyde', 'ANW-17588', 'BBL011956', 'BDBM50177405', 'LS-645', 'MFCD08702848', 'NSC-15351', 'NSC-48383', 'NSC403658', 's3071', 'SBB000108', 'STK199262', 'AKOS000118929', 'Tox21_113534_1', 'CCG-266230', 'CS-W020052', 'LS-2459', 'MCULE-1294709490', 'MP-2189', 'NSC-403658', 'Vanillin, tested according to Ph.Eur.', 'NCGC00091645-01', 'NCGC00091645-02', 'NCGC00091645-04', 'NCGC00091645-05', 'NCGC00091645-07', 'NCGC00254468-01', 'NCGC00259474-01', 'Vanillin, natural, &gt;=97%, FCC, FG', 'AC-10370', 'AK-32997', 'AT-15565', 'BP-10602', 'BR-32997', 'NCI60_001085', 'SC-19021', 'SMR000156285', 'ST052001', 'SY224451', 'Vanillin, JIS special grade, &gt;=98.0%', 'Vanillin, Vetec(TM) reagent grade, 98%', 'VANILLA, OLEORESIN (VANILLA SPP.)', '3-Methoxy-4-hydroxybenzaldehyde (vanillin)', 'DB-003805', 'AM20060497', 'FT-0618639', 'FT-0669738', 'FT-0675778', 'NS00009754', 'SW219190-1', 'vanillin (3-methoxy-4-hydroxy- benzaldehyde)', '3450-EP2287158A1', '3450-EP2295424A1', '3450-EP2295426A1', '3450-EP2295427A1', '3450-EP2301934A1', '3450-EP2311821A1', '3450-EP2311824A1', '3450-EP2316831A1', '3450-EP2374783A1', '3450-EP2377841A1', 'A19444', 'C00755', 'D00091', 'Q33495', '132287-EP2284157A1', '132287-EP2295418A1', '4-hydroxy-3-methoxy-Benzaldehyde-5-chlorovanillin', '4-hydroxy-3-methoxybenzaldehyde (ACD/Name 4.0)', 'AC-907/21098004', 'Q-100102', 'Vanillin, TraceCERT(R), certified reference material', 'F2190-0587', 'Vanillin, European Pharmacopoeia (EP) Reference Standard', 'Vanillin, United States Pharmacopeia (USP) Reference Standard', 'NSC 15351;NSC-15351; NSC15351 pound&gt;&gt;4-Hydroxy-3-methoxybenzaldehyde', 'Vanillin, Pharmaceutical Secondary Standard; Certified Reference Material', 'Vanillin Melting Point Standard, United States Pharmacopeia (USP) Reference Standard', 'Mettler-Toledo Calibration substance ME 51143093, Vanillin, traceable to primary standards (LGC)', 'Vanillin melting point standard, Pharmaceutical Secondary Standard; Certified Reference Material']</t>
  </si>
  <si>
    <t>Compound(1183)</t>
  </si>
  <si>
    <t>C8H8O3</t>
  </si>
  <si>
    <t>1-[2-(dimethylamino)-1-(4-methoxyphenyl)ethyl]cyclohexan-1-ol</t>
  </si>
  <si>
    <t>['venlafaxine', '93413-69-5', 'Elafax', 'D,L-Venlafaxine', 'Venlafaxina', 'Venlafaxinum', '1-(2-(dimethylamino)-1-(4-methoxyphenyl)ethyl)cyclohexanol', 'Venlafaxine [INN:BAN]', 'Venlafaxinum [INN-Latin]', 'Venlafaxin', 'Venlafaxina [INN-Spanish]', '1-[2-(Dimethylamino)-1-(4-methoxyphenyl)ethyl]cyclohexanol', '1-[2-(dimethylamino)-1-(4-methoxyphenyl)ethyl]cyclohexan-1-ol', 'Efectin', 'CHEBI:9943', 'HSDB 6699', 'NCGC00095109-01', 'Cyclohexanol, 1-[2-(dimethylamino)-1-(4-methoxyphenyl)ethyl]-', 'DSSTox_CID_3737', 'DSSTox_RID_77175', 'DSSTox_GSID_23737', 'Venlafexine', 'VenlafaxineXR', 'Venlafaxine ER', 'Cyclohexanol, 1-(2-(dimethylamino)-1-(4-methoxyphenyl)ethyl)-, (+-)-', 'Efectin (TN)', 'Venlafaxine (INN)', 'CAS-93413-69-5', 'venlafaxine (Effexor)', 'SR-01000762930', 'Venlafaxine [BAN:INN]', 'DL-Venlafaxine', 'Venflaxine EP', 'Spectrum_001671', 'Cyclohexanol, 1-(2-(dimethylamino)-1-(4-methoxyphenyl)ethyl)-, hydrochloride', 'SpecPlus_000842', 'Spectrum2_000542', 'Spectrum3_000989', 'Spectrum4_001115', 'Spectrum5_001516', 'CHEMBL637', 'EC 618-944-2', 'N,N,O-Didesmethylvenlafaxine', 'SCHEMBL35154', 'BSPBio_002657', 'KBioGR_001590', 'KBioSS_002151', 'MLS006011859', 'DivK1c_006938', 'SPECTRUM1504171', 'SPBio_000583', 'GTPL7321', 'DTXSID6023737', 'BDBM82071', 'CTK8F8921', 'KBio1_001882', 'KBio2_002151', 'KBio2_004719', 'KBio2_007287', 'KBio3_001877', 'HMS1922F05', 'HMS2090F04', 'HMS2093A12', 'HMS3714K11', 'Pharmakon1600-01504171', '1-{2-(dimethylamino)-1-[4-(methyloxy)phenyl]ethyl}cyclohexanol', 'HY-B0196', 'Tox21_111425', 'CCG-39577', 'N,N-dimethyl-2-(1-hydroxycyclohexyl)-2-(4-methoxyphenyl)ethylamine', 'NSC_62923', 'NSC758676', 's5655', 'STK621394', 'AKOS005555049', 'Tox21_111425_1', 'AC-1547', 'API0004581', 'AT-6375', 'CS-2129', 'DB00285', 'MCULE-6632261838', 'NSC-758676', 'SDCCGSBI-0052740.P003', 'NCGC00095109-02', 'NCGC00095109-03', 'NCGC00095109-04', 'NCGC00095109-05', 'NCGC00095109-06', 'NCGC00095109-08', 'AK116310', 'K700', 'LS-57095', 'SC-25322', 'SMR002204138', 'WY-45655', 'SBI-0052740.P002', 'AX8023170', 'CAS_93413-69-5', 'CAS_99300-78-4', 'DB-057399', 'FT-0642242', 'FT-0675793', 'FT-0675795', 'NS00000031', 'C07187', 'D08670', 'AB00053751-08', 'AB00053751-10', 'AB00053751-11', 'AB00053751_12', 'AB00053751_13', '413V695', 'Q898407', 'SR-01000762930-3', 'SR-01000762930-4', 'BRD-A51714012-001-02-3', 'BRD-A51714012-003-01-1', '1-[2-dimethylamino-1-(4-methoxylphenyl)ethyl]cyclohexanol', '(RS)-1-[2-(dimethylamino)-1-(4-methoxyphenyl)ethyl]cyclohexanol', '540726-98-5', 'Cyclohexanol, 1-[2-(dimethylamino)-1-(4-methoxyphenyl)ethyl]-, hydrochloride (1:1);1-(2-(dimethylamino)-1-(4-methoxyphenyl)ethyl)cyclohexanol hydrochloride;Venlafaxine hydrochloride']</t>
  </si>
  <si>
    <t>Compound(5656)</t>
  </si>
  <si>
    <t>C17H27NO2</t>
  </si>
  <si>
    <t>(2-tert-butylcyclohexyl) acetate</t>
  </si>
  <si>
    <t>['2-tert-Butylcyclohexyl acetate', '88-41-5', 'Grumex', 'Verdox', '2-t-Butylcyclohexyl acetate', 'o-tert-Butylcyclohexyl acetate', 'o-t-Butylcyclohexyl acetate', '2-tert-Butylcyclohexanol acetate', '1-Acetoxy-2-tert-butylcyclohexane', 'EINECS 201-828-7', '2-(1,1-Dimethylethyl)cyclohexyl acetate', '2-(1,1-Dimethylethyl)cyclohexanol acetate', 'Cyclohexanol, 2-(1,1-dimethylethyl)-, 1-acetate', '20298-69-5', 'Agrumex', 'green acetate', 'Cyclohexanol, 2-(1,1-dimethylethyl)-, acetate, (1R,2R)-rel-', 'Cyclohexanol, 2-(1,1-dimethylethyl)-, 1-acetate, (1R,2R)-rel-', 'DSSTox_CID_16105', 'DSSTox_RID_79272', 'DSSTox_GSID_36105', 'SCHEMBL111167', 'Cyclohexanol, 2-(1,1-dimethylethyl)-, 1-acetate, (1R,2S)-rel-', 'Cyclohexanol, 2-(1,1-dimethylethyl)-, acetate, (1R,2S)-rel-', '2-tert-butyl cyclohexyl acetate', '2-tert.-butylcyclohexyl acetate', '2-tert-Butylcyclohexyl Acetate.', 'CHEMBL3185907', 'DTXSID3036105', 'CTK8E6319', '2-tert-Butylcyclohexyl acetate #', '2-tert-butylcyclohexyl acetate 1', '2-tert-butylcyclohexyl acetate 2', '2-tertiary-butylcyclohexyl acetate', 'o-tert-Butyl cyclohexyl acetate 1', '20298-70-8', 'Tox21_301404', 'AKOS015902562', 'FCH1113030', 'CAS-88-41-5', 'NCGC00255658-01', 'LS-57148', '2-(1,1-dimethylethyl)cyclohexyl ethanoate', 'DB-057067', 'FT-0613420', 'FT-0621939', 'NS00004250', 'C-09252', 'o-tert-Butylcyclohexyl acetate, mixture of isomers, &gt;=99%', 'Cyclohexanol, 2-(1,1-dimethylethyl)-, acetate;2-T-BUTYLCYCLOHEXYL ACETATE;2-tert-butylcyclohexyl acetate']</t>
  </si>
  <si>
    <t>Compound(62334)</t>
  </si>
  <si>
    <t>vernolate</t>
  </si>
  <si>
    <t>S-propyl N,N-dipropylcarbamothioate</t>
  </si>
  <si>
    <t>['VERNOLATE', 'Vernam', '1929-77-7', 'S-Propyl dipropylthiocarbamate', 'Perbulate', 'Vanalate', 'Surpass', 'S-Propyl dipropylcarbamothioate', 'Vernam 7E', 'Carbamothioic acid, dipropyl-, S-propyl ester', 'PPTC', 'Vernolat', 'Surpass E', 'Vernam G', 'Propyl dipropylthiolcarbamate', 'Vernam 10G', 'Caswell No. 711', 'Vernolate [BSI:ISO]', 'Propyl N,N-dipropylthiolcarbamate', 'n-Propyl-di-n-propylthiolcarbamate', 'UNII-E78ZFF4KQ0', 'Carbamic acid, dipropylthio-, S-propyl ester', 'Vernam E Vernam G Surpass E', 'Dipropylthiocarbamic acid S-propyl ester', 'n-Propyldi-n-propylthiocarbamate', 'HSDB 1028', 'Propyl-N,N-dipropylthiolcarbamate', 'S-Propyl-N,N-dipropylthiocarbamate', 'EINECS 217-681-7', 'R-1607', 'EPA Pesticide Chemical Code 041404', 'BRN 1767659', 'E78ZFF4KQ0', 'Dipropylcarbamothioic acid S-propyl ester', 'CHEBI:82219', 'S-propyl N,N-dipropylcarbamothioate', 'W-109729', 'DSSTox_CID_4376', 'DSSTox_RID_77384', 'DSSTox_GSID_24376', 'SCHEMBL55115', "S,N,N'-tripropylthiocarbamate", 'CHEMBL1865907', 'DTXSID7024376', 'CTK8G3744', 'ZINC1843518', 'Tox21_300173', 'AKOS015967032', 'ACM1929777', 'S-propyl dipropylthiocarbamate;Vernolate', 'NCGC00164302-01', 'NCGC00164302-02', 'NCGC00254205-01', 'LS-49683', 'CAS-1929-77-7', 'FT-0675810', 'NS00000192', 'Vernolat, PESTANAL(R), analytical standard', 'C19097', 'C-56172', 'Q3555984', 'Carbamothioic acid, dipropyl-, S-propyl ester (9CI)']</t>
  </si>
  <si>
    <t>Compound(16003)</t>
  </si>
  <si>
    <t>2-(3,4-dimethoxyphenyl)-5-[2-(3,4-dimethoxyphenyl)ethyl-methylamino]-2-propan-2-ylpentanenitrile</t>
  </si>
  <si>
    <t>['VERAPAMIL', 'Iproveratril', '52-53-9', 'Vasolan', 'Dilacoran', 'Isoptin', 'Falicard', 'Finoptin', 'Isoptimo', 'Isoptine', 'Calan', 'Verapamilo', 'Verapamilum', 'Lekoptin', 'Verapamilum [INN-Latin]', 'Verapamilo [INN-Spanish]', 'Isotopin', 'Calcan', 'Tarka', 'D-365', 'Izoptin', 'Securon', 'Verelan', 'Verapamil [USAN:INN:BAN]', 'CP-16533-1', 'Covera-HS', '2-(3,4-dimethoxyphenyl)-5-{[2-(3,4-dimethoxyphenyl)ethyl](methyl)amino}-2-(propan-2-yl)pentanenitrile', '5-((3,4-Dimethoxyphenethyl)methylamino)-2-(3,4-dimethoxyphenyl)-2-isopropylvaleronitrile', 'Verpamil', 'CCRIS 6749', 'Isoptin SR', 'Verelan PM', 'Calan SR', 'EINECS 200-145-1', '2-(3,4-dimethoxyphenyl)-5-[2-(3,4-dimethoxyphenyl)ethyl-methylamino]-2-propan-2-ylpentanenitrile', 'CHEBI:77733', 'NSC 135784', 'C27H38N2O4', '5-((3,4-dimethoxyphenethyl)(methyl)amino)-2-(3,4-dimethoxyphenyl)-2-isopropylpentanenitrile', 'alpha-((N-Methyl-N-homoveratryl)-gamma-aminopropyl)-3,4-dimethoxyphenylacetonitrile', 'Valeronitrile, 5-((3,4-dimethoxyphenethyl)methylamino)-2-(3,4-dimethoxyphenyl)-2-isopropyl-', 'alpha-(3-((2-(3,4-Dimethoxyphenyl)ethyl)-methylamino)propyl)-3,4-dimethoxy-alpha-(1-methylethyl)benzeneacetonitrile', 'alpha-Isopropyl-alpha-((N-methyl-N-homoveratryl)-gamma-aminopropyl)-3,4-dimethoxyphenylacetonitrile', 'Benzeneacetonitrile, .alpha.-[3-[[2-(3,4-dimethoxyphenyl)ethyl]methylamino]propyl]-3,4-dimethoxy-.alpha.-(1-methylethyl)-', 'Benzeneacetonitrile, alpha-(3-((2-(3,4-dimethoxyphenyl)ethyl)methylamino)propyl)-3,4-dimethoxy-alpha-(1-methylethyl)-', 'Verapamil AL', 'NCGC00016083-09', '5-[(3,4-Dimethoxyphenethyl)methylamino]-2-(3,4-dimethoxyphenyl)-2-isopropylvaleronitrile', 'DSSTox_CID_21152', 'DSSTox_RID_79636', 'DSSTox_GSID_41152', 'Benzeneacetonitrile, alpha-(3-((2-(3,4-dimethoxyphenyl)ethyl)methylamino) propyl)-3,4-dimethoxy-alpha-(1-methylethyl)-', 'dl-Verapamil', 'r,s-verapamil', 'CAS-52-53-9', 'HSDB 3928', 'NSC272366', 'Verapamil (USAN/INN)', 'Ansyr', 'NSC 272306NA', 'EINECS 260-462-6', 'Calan (Salt/Mix)', 'Akilen (Salt/Mix)', '(+/-) verapamil', 'Isoptin (Salt/Mix)', 'Cordilox (Salt/Mix)', 'delta-365', 'Covera-HS (Salt/Mix)', 'Prestwick0_000141', 'Prestwick1_000141', 'Prestwick2_000141', 'Prestwick3_000141', 'Spectrum2_001740', 'Spectrum4_000906', 'Spectrum5_001786', 'CP 16533-1', 'D 365', 'CHEMBL6966', 'Lopac0_001237', 'SCHEMBL16742', 'BSPBio_000242', 'BSPBio_001513', 'BSPBio_002358', 'KBioGR_000233', 'KBioGR_001372', 'KBioGR_002343', 'KBioSS_000233', 'KBioSS_002346', 'MLS006011414', 'DivK1c_000399', 'SPBio_001820', 'SPBio_002181', '(+/-)-Verapamil hydrochlorid', 'BPBio1_000268', 'GTPL2406', 'CP 16533-1 (Verapamil)', 'DTXSID9041152', 'SCHEMBL13287282', '(A+/-)-Verapamil hydrochloride', 'BDBM81939', 'CTK8D7130', 'KBio1_000399', 'KBio2_000233', 'KBio2_002343', 'KBio2_002801', 'KBio2_004911', 'KBio2_005369', 'KBio2_007479', 'KBio3_000465', 'KBio3_000466', 'KBio3_002823', 'cMAP_000023', 'NINDS_000399', 'NSC-272306NA', 'Bio1_000425', 'Bio1_000914', 'Bio1_001403', 'Bio2_000233', 'Bio2_000713', 'HMS1791L15', 'HMS1989L15', 'HMS2089H17', 'HMS3402L15', 'Tox21_110300', 'LS-174', 'NSC_62969', 'STK538085', '(+/-)-Verapamil;CP-16533-1', 'AKOS005468962', 'Tox21_110300_1', 'API0004584', 'CCG-205311', 'DB00661', 'MCULE-3016077278', 'SDCCGSBI-0051204.P005', 'CAS_52-53-9', 'IDI1_000399', 'IDI1_033983', 'NCGC00016083-04', 'NCGC00016083-05', 'NCGC00016083-06', 'NCGC00016083-07', 'NCGC00016083-08', 'NCGC00016083-10', 'NCGC00016083-11', 'NCGC00016083-13', 'NCGC00016083-14', 'NCGC00016083-15', 'NCGC00016083-16', 'NCGC00016083-17', 'NCGC00016083-18', 'NCGC00016083-20', 'NCGC00024710-04', 'NCGC00024710-05', 'NCGC00024710-06', 'NCGC00024710-07', 'NCGC00024710-08', 'NCGC00024710-09', 'NCGC00344584-01', '2-(3,4-Dimethoxyphenyl)-5-[2-(3,4-dimethoxyphenyl)ethyl-methyl-amino]-2-(1-methylethyl) pentanenitrile', '2-(3,4-dimethoxyphenyl)-5-[2-(3,4-dimethoxyphenyl)ethyl-methyl-amino]-2-isopropyl-pentanenitrile', '56949-77-0', 'AC-16016', 'BP-21223', 'CC-35584', 'HY-14275', 'NCI60_020143', 'SC-17292', 'SMR001550201', 'SBI-0051204.P003', 'CP-165331', 'AB00053495', 'CS-0002967', 'FT-0603225', 'FT-0675801', 'ST50826367', 'CP-16,533-1', '1394-EP2270011A1', '1394-EP2272841A1', '1394-EP2272972A1', '1394-EP2272973A1', '1394-EP2275420A1', '1394-EP2277865A1', '1394-EP2277872A1', '1394-EP2280008A2', '1394-EP2298742A1', '1394-EP2298764A1', '1394-EP2298765A1', '1394-EP2298776A1', '1394-EP2298779A1', '1394-EP2301923A1', '1394-EP2301931A1', '1394-EP2301936A1', '1394-EP2305648A1', '1394-EP2314585A1', '1394-EP2316832A1', '1394-EP2316833A1', '52V114', 'C07188', 'D02356', 'AB00053495-20', 'AB00053495_21', 'C-22537', 'L001330', 'Q410291', 'BRD-A09533288-001-02-7', 'BRD-A09533288-003-05-6', 'CP-165331 /  CP-16533-1', 'F2173-0851', 'VERAPAMIL, Dexverapamil, Verapamyl hydrochloride, VERAPAMIL HYDROCHLORIDE', '(+/-)-3-(3,4-dimethoxyphenyl)-6-[(5,6-dimethoxyphenethyl)methylamino]hexane-3-carbonitrile', '.alpha.-((N-Methyl-N-homoveratryl)-.gamma.-aminopropyl)-3,4-dimethoxyphenylacetonitrile', '(?)-alpha-[3-[[2-(3,4-Dimethoxyphenyl)ethyl](methyl)amino]propyl]-3,4-dimethoxy-alpha-(1-methylethyl)benzeneacetonitrile', '2-(3,4-Dimethoxyphenyl)-5-((2-(3,4-dimethoxyphenyl)ethyl)(methyl)amino)-2-isopropylpentanenitrile, (+/-)-', '2-(3,4-Dimethoxyphenyl)-5-[[2-(3,4-dimethoxyphenyl)ethyl](methyl)amino]-2-isopropylpentanenitrile #', '2-(3,4-Dimethoxyphenyl)-5-{[2-(3,4-dimethoxyphenyl)ethyl](methyl)amino}-2-isopropylpentanenitrile', '2-(3,4-dimethoxyphenyl)-5-{[2-(3,4-dimethoxyphenyl)ethyl]methylamino}-2-(methy lethyl)pentanenitrile']</t>
  </si>
  <si>
    <t>Compound(2520)</t>
  </si>
  <si>
    <t>C27H38N2O4</t>
  </si>
  <si>
    <t>1-(3-ethyl-5,5,8,8-tetramethyl-6,7-dihydronaphthalen-2-yl)ethanone</t>
  </si>
  <si>
    <t>['Versalide', 'Polycyclic musk', 'AETT', 'Musk 36A', 'Acetylethyltetramethyltetralin', '88-29-9', 'UNII-BM2DT9GHFQ', 'NSC 15342', '7-Acetyl-6-ethyl-1,1,4,4-tetramethyltetralin', 'BM2DT9GHFQ', 'Ethanone, 1-(3-ethyl-5,6,7,8-tetrahydro-5,5,8,8-tetramethyl-2-naphthalenyl)-', 'EINECS 201-817-7', '7-Acetyl-6-ethyl-1,2,3,4-tetrahydro-1,1,4,4-tetramethylnaphthalene', 'BRN 2126062', 'AI3-25436', '6-Acetyl-1,1,4,4-tetramethyl-7-ethyl-1,2,3,4-tetralin', '7-Acetyl-6-ethyl-1,1,4,4-tetramethyl-1,2,3,4-tetrahydronaphthalene', '1-(3-Ethyl-5,6,7,8-tetrahydro-5,5,8,8-tetramethyl-2-naphthalenyl)-ethanone', "3'-Ethyl-5',6',7',8'-tetrahydro-5',5',8',8'-tetramethyl-2'-acetonaphthone", '1-(3-ethyl-5,5,8,8-tetramethyl-5,6,7,8-tetrahydronaphthalen-2-yl)ethanone', "2'-ACETONAPHTHONE, 3'-ETHYL-5',6',7',8'-TETRAHYDRO-5',5',8',8'-TETRAMETHYL-", '1,1,4,4-tetramethyl-6-ethyl-7-acetyl-1,2,3,4-tetrahydronaphthalene', 'Ethanone,1-(3-ethyl-5,6,7,8-tetrahydro-5,5,8,8-tetramethyl-2-naphthalenyl)-', '4-07-00-01125 (Beilstein Handbook Reference)', 'SCHEMBL872423', 'DTXSID3041582', 'CTK5F9592', 'NSC15342', 'ZINC1706901', 'BBL018869', 'NSC-15342', 'STK024307', 'AKOS000621670', 'MCULE-2115718815', 'Acetylethyltetramethyltetralin (Related)', 'LS-13167', 'DS-010883', 'H3040', 'NS00022865', '1,1,4,4-Tetramethyl-6-ethyl-7-acetyltetralin', '6-Acetyl-1,1,4,4-tetramethyl-7-ethyltetralin', 'BRD-K97825406-001-01-7', 'Q21099104', '1,4,4-tetramethyl-6-ethyl-7-acetyl-1,2,3,4-tetrahydronaphthalene', "2'-Acetonaphthone,6',7',8'-tetrahydro-5',5',8',8'-tetramethyl-", '1,2,3,4-Tetrahydronaphthalene, 6-acetyl-7-ethyl-1,1,4,4-tetramethyl-', 'AETT;7-acetyl-6-ethyl-1,2,3,4-tetrahydro-1,1,4,4-tetramethylnaphthalene', '1-(3-Ethyl-5,5,8,8-tetramethyl-5,6,7,8-tetrahydro-2-naphthalenyl)ethanone #', '1-(3-Ethyl-5,5,8,8-tetramethyl-5,6,7,8-tetrahydronaphthalen-2-yl)ethan-1-one', "3'-Ethyl-5',7',8'-tetrahydro-5',5',8',8',-tetramethyl-2'-acetonaphthone"]</t>
  </si>
  <si>
    <t>Compound(6930)</t>
  </si>
  <si>
    <t>vigabatrin</t>
  </si>
  <si>
    <t>4-aminohex-5-enoic acid</t>
  </si>
  <si>
    <t>['vigabatrin', '4-aminohex-5-enoic acid', 'Sabril', '60643-86-9', '68506-86-5', 'Vigabatrine', 'gamma-Vinyl GABA', '4-Amino-5-hexenoic acid', 'gamma-Vinyl-GABA', 'Vigabatrinum', '5-Hexenoic acid, 4-amino-', 'Vigabatrine [French]', 'Vigabatrinum [Latin]', 'Vigabatrina [Spanish]', '4-Aminohexenoic acid', 'gamma-Vinyl-gamma-Aminobutyric Acid', 'MDL-71754', 'GVG', 'RMI-71754', 'Vigabatrin [USAN:INN:BAN]', 'C6H11NO2', 'CPP-109', 'MDL 71754', 'RMI 71754', '4-Amino-hex-5-enoic acid', '(+/-)-gamma-Vinyl-GABA', 'CHEMBL89598', 'CHEBI:63638', 'VINYL GAMMA-AMINOBUTYRIC ACID', 'NCGC00016087-06', 'Vigabatrina', 'Sabrilex', 'gamma Vinyl GABA', 'Sabril (TN)', 'Hexenoic acid, 4-amino', 'SR-01000075653', '(S)-4-Amino-5-hexenoic Acid', '(+-)-gamma-Vinyl GABA', 'Kigabeq', 'CPP109', '(1)-4-Aminohex-5-enoic acid', '(4R)-4-aminohex-5-enoic acid', '(4S)-4-aminohex-5-enoic acid', 'CPP 109', '(R,S)-4-Amino-5-hexenoic acid', 'Prestwick_837', 'EINECS 270-929-6', 'CAS-60643-86-9', 'RMI-71890', '(+/-)-Vigabatrin', '.gamma.-vinyl GABA', 'MDL 71,754', '.gamma.-Vinyl-GABA', 'Spectrum_000368', 'SpecPlus_000664', '(y)-gamma-Vinyl GABA', 'Prestwick0_000501', 'Prestwick1_000501', 'Prestwick2_000501', 'Prestwick3_000501', 'Spectrum3_001825', '(?)-gamma-Vinyl GABA', 'Biomol-NT_000247', 'V 8261', 'DSSTox_CID_21153', 'DSSTox_RID_79637', 'DSSTox_GSID_41153', 'Lopac0_001277', 'M071754', 'SCHEMBL26714', '(+/-)-gamma-Vinyl GABA', 'BSPBio_000421', 'BSPBio_003469', 'KBioSS_000848', 'Vigabatrin (JAN/USP/INN)', '(A+/-)-gamma-Vinyl GABA', 'DivK1c_006760', 'SPECTRUM1502036', '(+/-)-?-Vinyl GABA', 'SPBio_002342', '(+/-)-4-Aminohexenoic acid', 'BPBio1_000465', 'BPBio1_000925', 'GTPL4821', 'DTXSID4041153', 'Vinyl .gamma.-aminobutyric Acid', 'CTK7D4255', 'HSDB 8395', 'KBio1_001704', 'KBio2_000848', 'KBio2_003416', 'KBio2_005984', 'KBio3_002973', 'AOB6800', 'HMS1569F03', 'HMS2094M21', 'HMS2096F03', 'HMS3263P16', '(plusmn)-4-aminohex-5-enoic acid', 'BCP16220', 'Tox21_110301', 'Tox21_501277', 'BDBM50118886', 'MFCD00274076', 'MFCD00274577', 'AKOS015854596', 'ACN-036276', 'CCG-205350', 'CS-0791', 'DB01080', 'LP01277', 'SDCCGSBI-0051243.P004', '(?)-4-AMINOHEX-5-ENOIC ACID', '.gamma.-Vinyl-.gamma.-aminobutyric acid', 'NCGC00016087-03', 'NCGC00016087-04', 'NCGC00016087-05', 'NCGC00016087-07', 'NCGC00016087-08', 'NCGC00016087-09', 'NCGC00016087-11', 'NCGC00024802-02', 'NCGC00024802-03', 'NCGC00024802-04', 'NCGC00024802-05', 'NCGC00024802-06', 'NCGC00261962-01', 'AS-11778', 'HY-15399', 'LS-75569', 'SC-20397', 'SY263247', 'SBI-0051243.P003', '( inverted question mark)-gamma-Vinyl GABA', 'AB0010729', 'DB-117820', 'AB00053309', 'EU-0101277', 'FT-0675811', 'FT-0675812', 'FT-0700968', 'NS00000678', 'NS00098831', 'C07500', 'D00535', 'W-5102', 'AB00053309_04', '4-aminohex-5-enoic acid/S(+)-Gamma-VIGABATRIN', 'Q421663', 'Q-201924', 'SR-01000075653-1', 'SR-01000075653-4', 'SR-01000075653-6', '( inverted exclamation markA)-4-aminohex-5-enoic acid', 'BRD-A07893380-001-01-6', 'Z2235791448', 'Vigabatrin, European Pharmacopoeia (EP) Reference Standard', 'Vigabatrin, United States Pharmacopeia (USP) Reference Standard', 'Vigabatrin solution, 1.0 mg/mL in methanol, ampule of 1 mL, certified reference material']</t>
  </si>
  <si>
    <t>Compound(5665)</t>
  </si>
  <si>
    <t>C6H11NO2</t>
  </si>
  <si>
    <t>vinyl acetate</t>
  </si>
  <si>
    <t>ethenyl acetate</t>
  </si>
  <si>
    <t>['VINYL ACETATE', 'Ethenyl acetate', '108-05-4', 'Acetic acid ethenyl ester', 'Acetic acid vinyl ester', 'Ethenyl ethanoate', '1-Acetoxyethylene', 'Vinylacetate', 'Vinyl ethanoate', 'Acetoxyethene', 'Vinylacetat', 'Vinyl acetate monomer', 'Vinyl A monomer', 'Zeset T', 'Acetoxyethylene', 'Vinylacetaat', 'Octan winylu', 'Acetic acid, ethenyl ester', 'Acetate de vinyle', 'Vinyl acetate H.Q.', 'Ethanoic acid, ethenyl ester', 'Acetic acid, ethylene ether', 'Vinile (acetato di)', 'Vinylacetaat [Dutch]', 'Vinylacetat [German]', 'Vinyle (acetate de)', 'Octan winylu [Polish]', 'Acetic acid, vinyl ester', 'Vinylester kyseliny octove', 'VyAc', 'NSC 8404', 'Acetate de vinyle [French]', 'Everflex 81L', 'UNII-L9MK238N77', 'Vinnapas A 50', 'Vinyle (acetate de) [French]', 'CCRIS 1306', 'HSDB 190', 'Vinile (acetato di) [Italian]', 'Acetic Acid Vinyl Ester Monomer', 'Vinylester kyseliny octove [Czech]', 'EINECS 203-545-4', 'UN1301', 'CH3CO2CH=CH2', 'Unocal 76 Res S-55', 'Vinyl ester of acetic acid', 'Unocal 76 Res 6206', 'AI3-18437', 'CHEBI:46916', 'L9MK238N77', 'VAC', 'Vinyl acetate, 99+%, stabilized', 'Vinyl acetate, analytical standard', 'Poly(vinyl acetate), approx. M.W. 170,000', 'Vinile', 'Vinyle', 'Vinile(acetato di)', 'Vinylacetat(german)', 'Vinyle(acetate de)', 'Essigsaeurevinylester', 'Vinyl acetate H.Q', 'Vinyl acetate, CP', 'Ethenyl acetate, 9CI', 'ACMC-1BXJJ', 'Vinyl acetate, inhibited', 'Acetic acid ethylene ether', 'DSSTox_CID_1431', 'EC 203-545-4', 'Plyamul 40305-00', 'DSSTox_RID_76157', 'DSSTox_GSID_21431', 'KSC176O2F', 'UN 1301 (Salt/Mix)', 'WLN: 1VO1U1', 'CHEMBL1470323', 'DTXSID3021431', 'CTK0H6722', 'KS-00000UPM', 'NSC8404', 'NSC-8404', 'ZINC1586656', 'Tox21_200817', '7215AF', 'BBL036266', 'LS-451', 'MFCD00008713', 'STL264216', 'AKOS009120081', 'MCULE-7626795765', 'NCGC00091098-01', 'NCGC00091098-02', 'NCGC00258371-01', 'CAS-108-05-4', 'SC-79059', 'Vinyl Acetate 2000 microg/mL in Methanol', 'A0045', 'FT-0621762', 'FT-0695979', 'NS00008176', 'X3654', '5492-EP2270113A1', '5492-EP2272849A1', '5492-EP2272935A1', '5492-EP2277861A1', '5492-EP2289896A1', '5492-EP2298735A1', '5492-EP2298755A1', '5492-EP2298761A1', '5492-EP2301983A1', '5492-EP2305219A1', '5492-EP2305683A1', '5492-EP2308838A1', '5492-EP2308857A1', '5492-EP2309584A1', '5492-EP2311801A1', '5492-EP2311802A1', '5492-EP2311803A1', '5492-EP2311830A1', '5492-EP2311839A1', '5492-EP2314584A1', '5492-EP2314589A1', '5492-EP2316837A1', '5492-EP2371814A1', '5492-EP2380661A2', 'C19309', 'Poly(vinyl acetate), approx. M.W. 100,000', 'A801803', 'Q377339', 'Vinyl acetate, stab. with 3-20 ppm hydroquinone', 'J-002050', 'F8880-1173', 'Vinyl acetate, inhibited [UN1301]  [Flammable liquid]', 'Vinyl acetate, inhibited [UN1301] [Flammable liquid]', 'Vinyl Acetate contains 3-20 ppm hydroquinone as inhibitor', 'Vinyl acetate, European Pharmacopoeia (EP) Reference Standard', 'Vinyl acetate, contains 3-20 ppm hydroquinone as inhibitor, &gt;=99%', '85306-26-9']</t>
  </si>
  <si>
    <t>Compound(7904)</t>
  </si>
  <si>
    <t>3-(3,5-dichlorophenyl)-5-ethenyl-5-methyl-1,3-oxazolidine-2,4-dione</t>
  </si>
  <si>
    <t>['VINCLOZOLIN', 'Ronilan', '50471-44-8', 'Vinclozoline', 'Ornalin', 'Vorlan', 'Vinchlozoline', 'Vinclozolin [German]', 'Caswell No. 323C', 'BAS 352 F', 'Vinclozolin [BSI:ISO]', 'BAS 35204F', 'Vinclozoline [ISO-French]', '2,4-Oxazolidinedione, 3-(3,5-dichlorophenyl)-5-ethenyl-5-methyl-', 'CCRIS 9141', '3-(3,5-Dichlorophenyl)-5-ethenyl-5-methyl-2,4-oxazolidinedione', 'HSDB 6747', 'N-3,5-Dichlorophenyl-5-methyl-5-vinyl-1,3-oxazolidine-2,4-dione', 'EINECS 256-599-6', 'EPA Pesticide Chemical Code 113201', '3-(3,5-Dichlorophenyl)-5-methyl-5-vinyl-1,3-oxazolidine-2,4-dione', 'BRN 1080192', 'C12H9Cl2NO3', 'CHEBI:83732', '3-(3,5-dichlorophenyl)-5-ethenyl-5-methyl-1,3-oxazolidine-2,4-dione', '2,4-Oxazolidinedione, 3-(3,5-dichlorophenyl)-5-methyl-5-vinyl-', '3-(3,5-Dichlorphenyl)-5-methyl-5-vinyl-1,3-oxazolidin-2,4-dion', 'DSSTox_CID_2361', '(+ or -)-3-(3,5-dichlorophenyl)-5-ethenyl-5-methyl-2,4-oxazolidinedione', '3-(3,5-Dichlorphenyl)-5-methyl-5-vinyl-1,3-oxazolidin-2,4-dion [German]', 'DSSTox_RID_76557', 'DSSTox_GSID_22361', 'W-109230', 'Ronilan 50WP', 'CAS-50471-44-8', 'Vinclozalin', 'Vinclozlin', 'Ronilon', 'zolidine-2,4-dione', 'Ronilan FL (Salt/Mix)', 'Oprea1_496886', 'Oprea1_674584', 'SCHEMBL21851', 'Mascot contact turf fungicide', 'CHEMBL513221', 'DTXSID4022361', 'CTK8E6884', 'PUBERTAL VINCLOZOLIN STUDY', 'HMS1698A06', '3-(3,5-dichlorophenyl)-5-methyl-5-vinyloxazolidine-2,4-dione', 'Tox21_202160', 'Tox21_301101', 'MFCD00055511', 'AKOS000545958', 'LS-1312', 'MCULE-2071869001', 'Vinclozolin 10 microg/mL in Isooctane', 'NCGC00163961-01', 'NCGC00163961-02', 'NCGC00163961-03', 'NCGC00163961-04', 'NCGC00163961-05', 'NCGC00163961-06', 'NCGC00255001-01', 'NCGC00259709-01', 'VINCLOZOLIN (ENDOCRINE DISRUPTER)', 'CC-34285', 'SC-22209', 'Vinclozolin 100 microg/mL in Cyclohexane', 'DB-051781', 'FT-0630633', 'NS00000531', 'C10981', 'Vinclozolin, PESTANAL(R), analytical standard', 'C-18008', 'Q412907', 'Oxazolidinedione, 3-(3,5-dichlorophenyl)-5-ethenyl-5-methyl-', '3-(3,5-dichlorophenyl)-5-methyl-5-vinyl-oxazolidine-2,4-dione', '3-(3,5-Dichlorophenyl)-5-methyl-5-vinyl-1,3-oxazolidine-2,4-dione #', 'ENDOCRINE DISRUPTOR (VINCLOZOLIN) (SEE ALSO VINCLOZOLIN (50471-44-8))', '1,3-Oxazoline-2,4-dione, N-3,5-dichlorophenyl-5-me;N-3,5-dichlorophenyl-5-methyl-5-vinyl-1,3-oxazolidine-2,4-dione;vinclozolin']</t>
  </si>
  <si>
    <t>Compound(39676)</t>
  </si>
  <si>
    <t>C12H9Cl2NO3</t>
  </si>
  <si>
    <t>virginiamycin</t>
  </si>
  <si>
    <t>N-(3-benzyl-12-ethyl-4,16-dimethyl-2,5,11,14,18,21,24-heptaoxo-19-phenyl-17-oxa-1,4,10,13,20-pentazatricyclo[20.4.0.06,10]hexacosan-15-yl)-3-hydroxypyridine-2-carboxamide;21-hydroxy-11,19-dimethyl-10-propan-2-yl-9,26-dioxa-3,15,28-triazatricyclo[23.2.1.03,7]octacosa-1(27),6,12,17,19,25(28)-hexaene-2,8,14,23-tetrone</t>
  </si>
  <si>
    <t>['Pristinamycin', 'Virginiamycin', '11006-76-1', '270076-60-3', 'BCP19339', 'FT-0675831', 'FT-0777859']</t>
  </si>
  <si>
    <t>Compound(73160420)</t>
  </si>
  <si>
    <t>C71H84N10O17</t>
  </si>
  <si>
    <t>vinyl acetate-vinyl versatate copolymer</t>
  </si>
  <si>
    <t>4-hydroxy-3-(3-oxo-1-phenylbutyl)chromen-2-one</t>
  </si>
  <si>
    <t>['warfarin', '81-81-2', 'Coumadin', 'Coumafen', 'Coumafene', 'Prothromadin', 'Coumarins', 'Zoocoumarin', 'Vampirinip II', 'Coumefene', 'Panwarfin', 'Warfarine', 'Brumolin', 'Dethmor', 'Dethnel', 'Kumader', 'Kypfarin', 'Maveran', 'Solfarin', 'Kumadu', 'Rosex', 'Athrombine-K', 'Frass-Ratron', 'Mar-Frin', 'Rattentraenke', 'Rattunal', 'Rodafarin', 'Temus W', 'Warfarat', 'Kumatox', 'Ratorex', 'Ratron', 'Vampirinip iii', 'D-Con', 'Rats-no-more', 'Tox-hid', 'Ratten-Koederrohr', 'Rat-Gard', 'Rat-Kill', 'Rat-Trol', 'Rat-Mix', 'Rat-Ola', 'Ro-Deth', 'Coumaphene', 'Rat-a-way', 'Rat &amp; mice bait', 'Ratoxin', "Martin's mar-frin", 'Rat-B-gon', 'Maag Rattentod Cum', 'Warfarin plus', 'Rodex blox', 'CO-Rax', 'Fasco fascrat powder', 'Liqua-tox', 'Mouse pak', 'Place-pax', 'Twin light rat away', 'Warfarin Q', 'Dicusat E', 'Ratron G', 'Eastern states duocide', 'Compound 42', 'Ratox', 'Cov-R-Tox', 'rac-Warfarin', 'Rodafarin C', 'Rough &amp; ready mouse mix', 'WARF compound 42', 'Rat-o-cide #2', 'Latka 42', 'Arab Rat Death', 'Spray-trol brand roden-trol', 'Warf 42', '4-Hydroxy-3-(3-oxo-1-phenylbutyl)-2H-chromen-2-one', '200 coumarin', 'Rattenstreupulver Neu Schacht', 'Coumaphen', 'Warficide', 'Sorexa plus', '2H-1-Benzopyran-2-one, 4-hydroxy-3-(3-oxo-1-phenylbutyl)-', 'Arab rat deth', 'Coumafene [French]', 'Zoocoumarin [Russian]', '4-Hydroxy-3-(3-oxo-1-phenylbutyl)-2H-1-benzopyran-2-one', 'Latka 42 [Czech]', 'Rattenstreupulver new schacht', 'Warfarin [INN:BAN]', 'W.A.R.F. 42', 'Warfarine [INN-French]', 'Warfarine [ISO-French]', 'Warfarinum [INN-Latin]', '4-Hydroxy-3-(3-oxo-1-phenylbutyl)coumarin', 'Rcra waste number P001', 'Warfarina [INN-Spanish]', 'Warfarin plus [discontinued]', 'Athrombin-K', 'Caswell No. 903', 'Sakarat', 'Sewarin', 'Warfarin [BSI:ISO]', 'Warfarin (and salts of)', "3-(1'-Phenyl-2'-acetylethyl)-4-hydroxycoumarin", 'Zoocoumarin [Netherlands and USSR]', '4-Hydroxy-3-(3-oxo-1-fenyl-butyl) cumarine', '4-Hydroxy-3-(3-oxo-1-phenyl-butyl)-cumarin', 'Waran', '4OH-Coumarin deriv.', 'RAX', "1-(4'-Hydroxy-3'-coumarinyl)-1-phenyl-3-butanone", 'Rat-o-cide No. 2', 'HSDB 1786', '2-hydroxy-3-(3-oxo-1-phenylbutyl)-4h-chromen-4-one', '3-(alpha-Acetonylbenzyl)-4-hydroxycoumarin', '4-Idrossi-3-(3-oxo-1-fenil-butil)-cumarine', 'C19H16O4', 'DL-3-(alpha-Acetonylbenzyl)-4-hydroxycoumarin', 'EINECS 201-377-6', 'NSC 59813', '4-hydroxy-3-(3-oxo-1-phenylbutyl)chromen-2-one', 'RCRA waste no. P001', 'EPA Pesticide Chemical Code 086002', '(Phenyl-1 acetyl-2 ethyl) 3-hydroxy-4 coumarine', '3-(alpha-Phenyl-beta-acetylethyl)-4-hydroxycoumarin', 'BRN 1293536', 'CHEMBL1464', '3-(.alpha.-Acetonylbenzyl)-4-hydroxycoumarin', 'CHEBI:87732', 'Coumarin, 3-(alpha-acetonylbenzyl)-4-hydroxy-', '5543-58-8', 'NSC59813', 'Rcr grey squirrel killer concentrate', '3-(Acetonylbenzyl)-4-hydroxycoumarin', '3-(alpha-Phenyl-beta-acetylaethyl)-4-hydroxycumarin', 'NSC-59813', '4-Hydroxy-3-(3-oxo-1-fenyl-butyl) cumarine [Dutch]', '4-Hydroxy-3-(3-oxo-1-phenyl-butyl)-cumarin [German]', '4-Idrossi-3-(3-oxo-1-fenil-butil)-cumarine [Italian]', '951658-59-6', 'NCGC00094810-01', '(Phenyl-1 acetyl-2 ethyl) 3-hydroxy-4 coumarine [French]', '3-(alpha-Phenyl-beta-acetylaethyl)-4-hydroxycumarin [German]', 'Warfarina', 'Warfarinum', 'DSSTox_CID_3742', '4-Idrossi-3-(3-oxo-)-fenil-butil)-cumarine', 'DSSTox_RID_77177', '(Phenyl-1 acetyl-2 ethyl) 3-hydroxy-4 coumarin', 'Coumarin, 3-(.alpha.-acetonylbenzyl)-4-hydroxy-', 'DSSTox_GSID_23742', 'Warfarin, analytical standard', '3-(.alpha.-Phenyl-.beta.-acetylethyl)-4-hydroxycoumarin', 'Warfarin and salts, when present at concentration greater than 0.3%', 'CAS-81-81-2', 'Warfarin (INN)', '2H-1-Benzopyran-2-one, 4-hydroxy-3-(3-oxo-1-phenylbutyl)-, &amp; salts, when present at concentrations greater than 0.3%', '(R)-(+)-Warfarin', 'Choice (TN)', 'SR-01000195154', 'NCGC00094810-04', 'CBKinase1_000192', 'CBKinase1_012592', 'wafarin', 'delta-con', 'Athrombine K', 'Rat-alpha-way', 'Rat-beta-gon', 'Killgerm sewarin p', 'Rat and mice bait', '(RS)-Warfarin', '2-hydroxy-3-(3-oxo-1-phenylbutyl)chromen-4-one', 'Warfarin / Coumadin', '2-HYDROXY-3-(3-OXO-1-PHENYL-BUTYL)CHROMEN-4-ONE', 'Rattentraenke (German)', 'Spectrum_000194', 'Warfarin titrated to an INR of 2.5-3.0', '(.+/-.)-Warfarin', 'Spectrum2_000935', 'Spectrum3_000583', 'Spectrum4_000381', 'Spectrum5_001751', 'Rough and ready mouse mix', 'EC 201-377-6', 'Ratten-Koederrohr (German)', 'SCHEMBL3689', 'CHEMBL7252', 'BSPBio_002026', 'CBDivE_002127', 'CBDivE_013236', 'KBioGR_000901', 'KBioSS_000674', '5-18-04-00162 (Beilstein Handbook Reference)', 'MLS001304042', 'DivK1c_000444', 'SCHEMBL136434', 'SPECTRUM1500613', 'SPBio_000870', 'BEN360', 'GTPL6853', 'DTXSID5023742', 'CTK5A5361', 'HMS501G06', 'KBio1_000444', 'KBio2_000674', 'KBio2_003242', 'KBio2_005810', 'KBio3_001526', 'NINDS_000444', 'HMS1921K07', 'HMS2092C20', 'HMS2233L10', 'HMS3372L19', 'HMS3648B15', 'HMS3714G21', 'Pharmakon1600-01500613', 'EBD16262', 'HY-B0687', 'Tox21_113185', 'Tox21_202182', 'Tox21_300531', 'Warfarin 1.0 mg/ml in Acetonitrile', 'BBL027615', 'BDBM50343352', 'CCG-39672', 'MFCD00272376', 'NSC757385', 's4545', 'SBB058124', 'STK364490', 'WLN: T66 BOVJ DYR&amp;1V1 EQ', 'AKOS005430103', 'AKOS026749956', 'CS-2926', 'DB00682', 'MCULE-1618253893', 'NSC-757385', 'Rattenstreupulver Neu Schacht (German)', 'VC30411', '3-(a-acetonylbenzyl)-4-hydroxycoumarin', 'IDI1_000444', 'SMP1_000316', 'Warfarin 100 microg/mL in Acetonitrile', 'NCGC00094810-02', 'NCGC00094810-03', 'NCGC00094810-05', 'NCGC00094810-06', 'NCGC00159398-03', 'NCGC00178855-01', 'NCGC00188986-01', 'NCGC00188986-02', 'NCGC00254457-01', 'NCGC00259731-01', 'AC-15978', 'LS-55083', 'SC-16139', 'SMR000718754', 'SBI-0051556.P002', 'AB0015503', 'DB-052729', 'DB-052730', 'DL-3-(a-Acetonylbenzyl)-4-hydroxycoumarin', 'R-(+)-3-Acetonybenzyl)-4-hydroxycoumarin', 'FT-0635767', 'FT-0635768', 'NS00010884', 'ST50308693', 'Warfarin, PESTANAL(R), analytical standard', '4-Hydroxy-3- (3-oxo-1-fenyl-butyl) cumarine', '4-Hydroxy-3- (3-oxo-1-phenyl-butyl)-cumarin', '4-Idrossi-3- (3-oxo-)-fenil-butil)-cumarine', 'C01541', 'D08682', 'AB00052125_02', 'AB00876255-06', '006W854', '4-Hydroxy-3-(3-oxo-1-phenylbutyl)coumarin, 97%', 'A830639', 'Q407431', '4-Hydroxy-3-(3-oxo-1-phenyl-butyl)-chromen-2-one', '4-hydroxy-3-(3-oxo-1-phenyl-butyl)chromen-2-one', 'SR-01000195154-3', 'SR-01000195154-4', 'BRD-A24514565-001-02-2', 'BRD-A24514565-236-01-6', 'SR-01000195154-10', '2-hydroxy-3-(3-oxo-1-phenylbutyl)-1-benzopyran-4-one', '3-(.alpha.-Phenyl-.beta.-acetylaethyl)-4-hydroxycumarin', '4-hydroxy-3-(3-oxo-1-phenylbutyl)-1-benzopyran-2-one', 'Warfarin, British Pharmacopoeia (BP) Reference Standard', 'Z1692482575', '4-(4-hydroxy-2-oxo-2H-3-chromenyl)-4-phenyl-2-butanone', '4-Hydroxy-3-(3-oxo-1-phenylbutyl)-2H-chromen-2-one #', 'Warfarin4-Hydroxy-3-(3-oxo-1-phenyl-butyl)-chromen-2-one', '2-oxidanyl-3-(3-oxidanylidene-1-phenyl-butyl)chromen-4-one', 'Warfarin, United States Pharmacopeia (USP) Reference Standard', '2-Hydroxy-3-(alpha-(2-oxopropyl)benzyl)-4H-1-benzopyran-4-one', '2H-1-Benzopyran-2-one,4-hydroxy-3-[(1S)-3-oxo-1-phenylbutyl]-', 'R-(+)-4-Hydroxy-3-(3-oxo-1-phenybutyl)-2H-1-benzopyran-2-one', "4-Hydroxy-3-(3-oxo-1-phenylbutyl)coumarin; 3-(1'-Phenyl-2'-acetylethyl)-4-hydroxycoumarin", '56573-89-8']</t>
  </si>
  <si>
    <t>Compound(54678486)</t>
  </si>
  <si>
    <t>C19H16O4</t>
  </si>
  <si>
    <t>3,5-dichloro-N-(1-chloro-3-methyl-2-oxopentan-3-yl)-4-methylbenzamide</t>
  </si>
  <si>
    <t>['Zoxamide', '156052-68-5', 'Zoxium', 'RH 7281', '3,5-Dichloro-N-(3-chloro-1-ethyl-1-methyl-2-oxopropyl)-4-methylbenzamide', 'HSDB 7278', 'Zoxium 80W Agricultral Fungicide', '3,5-dichloro-N-(1-chloro-3-methyl-2-oxopentan-3-yl)-4-methylbenzamide', 'CHEBI:82853', 'Benzamide, 3,5-dichloro-N-(3-chloro-1-ethyl-1-methyl-2-oxopropyl)-4-methyl-', '3,5-Dichloro-N-(3-chloro-1-ethyl-1-methyl-2-oxopropyl)-p-toluamide', 'Zoxamide [ISO]', '160171-18-6', 'Zoxamid', 'Zoxium; RH 7281', 'DSSTox_CID_12581', 'DSSTox_RID_78996', 'DSSTox_GSID_32581', 'SCHEMBL70113', 'CHEMBL1893025', 'DTXSID9032581', 'CTK4D0350', 'Tox21_300943', 'Zoxamide 100 microg/mL in Acetone', 'NCGC00163809-01', 'NCGC00163809-02', 'NCGC00163809-03', 'NCGC00254845-01', 'LS-26325', 'CAS-156052-68-5', 'FT-0675936', 'NS00007053', 'Zoxamide, PESTANAL(R), analytical standard', 'C18903', 'Q19312105', '3,5-DICHLORO-N-(1-CHLORO-3-METHYL-2-OXO-PENTAN-3-YL)-4-METHYL-BENZAMIDE', 'Pesticide4_Zoxamide_C14H16Cl3NO2_3,5-Dichloro-N-(1-chloro-3-methyl-2-oxopentan-3-yl)-4-methylbenzamide', 'Zoxamid;Benzamide, 3,5-dichloro-N-(3-chloro-1-ethyl-1-methyl-2-oxopropyl)-4-methyl-;(RS)-3,5-dichloro-N-(3-chloro-1-ethyl-1-methyl-2-oxopropyl)-p-toluamide']</t>
  </si>
  <si>
    <t>Compound(122087)</t>
  </si>
  <si>
    <t>C14H16Cl3NO2</t>
  </si>
  <si>
    <t>zinc;N,N-dimethylcarbamodithioate</t>
  </si>
  <si>
    <t>['ZIRAM', 'Zinc dimethyldithiocarbamate', '137-30-4', 'Carbazinc', 'Fuclasin', 'Methazate', 'Zarlate', 'Aazira', 'Cymate', 'Tsimat', 'Zinc Bis(dimethyldithiocarbamate)', 'Dimethyldithiocarbamic acid zinc salt', 'Zinc dimethyl dithiocarbamate', 'Zinc, bis(dimethyldithiocarbamato)-', 'Bis((Dimethylcarbamothioyl)thio)Zinc', "Zinc, bis(dimethylcarbamodithioato-S,S')-, (T-4)-", 'Zinc bis dimethyldithiocarbamate', 'Bis(dimethyldithiocarbamato)zinc', 'Dimethyldithiocarbamate zinc salt', 'Zerlate', 'Milbam', 'DSSTox_CID_1464', 'Dimethyldithiocarbamic acid, zinc salt', "Bis(dimethylcarbamodithioato-S,S')zinc", 'Cuman L', 'Zinc bis(dimethylthiocarbamoyl)disulfide', 'DSSTox_RID_76171', 'DSSTox_GSID_21464', 'Zinc bis(dimethyldithiocarbamoyl)disulphide', 'Zinkcarbamate', 'Aaprotect', 'Aaprotent', 'Aavolex', 'Corozate', 'Crittam', 'Crittan', 'Fungostop', 'Hexazir', 'Methasan', 'Molurame', 'Mycronil', 'Prodaram', 'Ramedit', 'Rhodiacid', 'Rodisan', 'Trikagol', 'Triscabol', 'Weisstaub', 'Ziradin', 'Ziramvis', 'Zirasan', 'Zirberk', 'Ziretec', 'Zirthane', 'Antene', 'Cuman', 'Mezene', 'Zimate', 'Zirame', 'Ziride', 'Zitox', 'Corona corozate', 'Ziram technical', 'Methyl cymate', 'Methyl zimate', 'Fuclasin Ultra', 'Fuclasin-Ultra', 'Methyl zineb', 'Nocceler pz', 'Ziram Granuflo', 'Zirex Fungicide', 'Accelerator L', 'Aceto zdmd', 'Tricarbamix Z', 'Karbam White', 'Methyl Ziram', 'Vulkacite L', 'Zimate, methyl', 'Vulcacure ZM', 'Vulkacit L', 'Sabceler PZ', 'Alcobam ZM', 'Soxinal PZ', 'Soxinol PZ', 'Pomarsol Z forte', 'Pomarzol Z-forte', 'Hermat ZDM', 'CHEBI:79736', 'Tsiram [Russian]', 'Aceto ZDED', 'Rhodiacid (VAN)', 'CAS-137-30-4', 'Drupina 90', 'Eptac 1', 'Micosin F30', 'Orchard brand Ziram', 'Vancide mz-96', 'Zirasan 90', 'Z-C Spray', 'Z-C-Spray', 'Vancide MA-96', 'Ziram (VAN)', 'Methyl zineb (VAN)', 'Usaf p-2', 'Zirex 90', 'Caswell No. 931', 'Ziram [BSI:ISO]', 'Zirame [ISO-French]', 'Pomarsolz', 'Zincmate', 'CCRIS 625', 'Mexene', 'Ciram', 'Milam', 'mycr onil', 'UNII-73D8UA974J', 'Amyl zimate', 'Zinc N,N-dimethyldithiocarbamate', 'HSDB 1788', 'ENT 988', 'NSC 737', 'NCI-C50442', 'Ziram (pesticide)', 'EINECS 205-288-3', 'Ziram F4', 'Dimethylcarbamodithioic acid, zinc salt', 'EPA Pesticide Chemical Code 034805', 'Ziram W76', 'Zinc bis(dimethylthiocarbamoyl) disulfide', 'Ziram W7 6', 'Dimethylcarbamodithioic acid, zinc complex', 'Z 75', 'ACMC-209cbc', 'AI3-00988', 'Carbamodithioic acid, dimethyl-, zinc salt', 'Zinc bis(dimethyldithiocarbamoyl) disulfide', 'Bis-dimethyldithiocarbamate de zinc [French]', 'Zink-(N,N-dimethyl-dithiocarbamat) [German]', 'RCRA waste no. P205', 'Zink-bis(N,N-dimethyl-dithiocarbamaat) [Dutch]', 'Zink-bis(N,N-dimethyl-dithiocarbamat) [German]', 'Carbamic acid, dimethyldithio-, zinc salt (2:1)', 'KSC520O2H', 'Bis(N,N-dimetil-ditiocarbammato) di zinco [Italian]', 'NSC737', 'zinc dimethylcarbamodithioic acid', 'CHEMBL1519327', 'DTXSID0021464', 'Bis(dimethyldithiocarbama to)zinc', 'CTK4C0723', 'zinc(II) dimethylcarbamodithioate', '73D8UA974J', 'KS-00000Z7Y', 'Tox21_201910', 'Tox21_300503', 'ANW-20230', 'LS-804', 'AKOS015907829', "Bis(dimethylcarbamodithiato-S,S')-zinc", 'NCGC00091941-01', 'NCGC00164456-01', 'NCGC00254404-01', 'NCGC00259459-01', 'zinc bis(dimethyldithiocarbamoyl)disulfide', "Zinc, bis(dimethylcarbamodithioato-S,S')-", "Zinc, bis(dimethylcarbomodithioato-S,S')-", 'DB-042386', 'D0717', 'FT-0631801', "(T-4)-Bis(dimethyldithiocarbamato-S,S')zinc", '(T-4)-bis (dimethyldithiocarbamate-S,S )zinc', "(T-4)-bis(dimethylcarbamodithioato-S,S')-zinc", 'C15229', "(T-4)-bis(dimethylcarbamodithioato-S ,S')-zinc", 'Q205562', "(SP-4-1)-bis(dimethylcarbamodithioato-S,S')-zinc", 'carbamic acid, dimethyldithio-, z inc salt (2:1)', "Zinc, bis(dimethylcarbamodithioato-S,S')-, (beta-4)-", "Zinc,bis(N,N-dimethylcarbamodithioato-kS,kS')-, (T-4)-", "Zinc, bis(dimethylcarbamodithioato-kappaS,kappaS')-, (T-4)-", 'Ziram;ziram;Zinc dimethyldithiocarbamate;sodium dimethyldithiocarbamate', 'ZC']</t>
  </si>
  <si>
    <t>Compound(8722)</t>
  </si>
  <si>
    <t>C6H12N2S4Zn</t>
  </si>
  <si>
    <t>N,N-dimethyl-2-[6-methyl-2-(4-methylphenyl)imidazo[1,2-a]pyridin-3-yl]acetamide</t>
  </si>
  <si>
    <t>['zolpidem', '82626-48-0', 'Ambien', 'Lorex', 'Zolpidemum [Latin]', 'Zolpidemum', 'Zolpidem [INN:BAN]', 'N,N-Dimethyl-2-[6-methyl-2-(4-methylphenyl)imidazo[1,2-a]pyridin-3-yl]acetamide', 'UNII-7K383OQI23', 'CHEMBL911', 'N,N,6-Trimethyl-2-(4-methylphenyl)imidazo(1,2-a)pyridine-3-acetamide', 'DEA No. 2783', 'CHEBI:10125', '7K383OQI23', 'NCGC00095179-01', 'N,N,6-Trimethyl-2-p-tolylimidazo[1,2-a]pyridine-3-acetamide', 'SL-800750', 'N,N,6-Trimethyl-2-(4-methylphenyl)imidazo[1,2-a]pyridine-3-acetamide', 'Imidazo(1,2-a)pyridine-3-acetamide, N,N,6-trimethyl-2-(4-methylphenyl)-', 'DSSTox_CID_25946', 'DSSTox_RID_81244', 'DSSTox_GSID_45946', '[3H]zolpidem', '103188-50-7', 'CAS-82626-48-0', 'SL-80.0750-23N', 'zolpidem Ambien', 'Zolpidem civ', 'Imidazo[1,2-a]pyridine-3-acetamide, N,N,6-trimethyl-2-(4-methylphenyl)-', 'Zolpidem (INN)', 'Sanval (TN)', 'SL800750', 'SL 800750', 'SL-800750-23-N', 'SL 80-0750', 'SL 80.0750', 'SCHEMBL80516', 'BSPBio_002278', 'BIDD:GT0785', 'SPECTRUM1505369', 'GTPL4348', 'GTPL4362', 'ZINC3876', 'DTXSID7045946', 'BDBM26266', 'CTK8D4202', 'AOB5703', '2C19H21N3O', 'HMS1922F22', 'BCP10205', 'KS-000000IY', 'Tox21_111471', 'MFCD00153885', 'STK627113', 'Zolpidem, &gt;=98% (HPLC), solid', 'AKOS005560130', 'Tox21_111471_1', 'API0004656', 'CCG-213403', 'CS-1468', 'DB00425', 'N,N,6-trimethyl-2-(4-methylphenyl)imidazo(1,2a)pyridine-3-acetamide hemitartrate', 'NCGC00095179-02', 'NCGC00095179-03', 'NCGC00095179-04', 'NCGC00095179-05', 'AS-35386', 'HY-17441', 'LS-80196', 'LS-187761', 'NS00010401', 'Z-100', 'A-1776', 'C07219', 'D08690', 'AB00698471-07', 'AB00698471_09', '294Z936', 'Q218842', 'SR-01000763006', 'SR-01000763006-3', 'BRD-K44876623-001-01-1', 'SL 800750; SL-800750; SL800750', 'Imidazo(1,2-a)pyridine-3-acetamide, 2-(4-methylphenyl)-N,N,6-trimethyl-', 'N,N,6-Trimethyl-2-(4-methylphenyl)-imidazo[1,2-a]pyridine-3-acetamide', '6-methyl-N,N-dimethyl-2-(4-methylphenyl)imidazo[1,2-a]pyridine-3-acetamide', 'N,N,6-Trimethyl-2-(4-Methyl Phenyl) Imidazo [1,2-alpha] Pyridine-3-Acetamide', 'N,N-Dimethyl-2-[6-methyl-2-(4-methylphenyl)imidazo[1,2-a]pyridin-3-yl]acetamide #', 'N,N-dimethyl-2-[6-methyl-2-(4-methylphenyl)imidazo[1,2-a]pyridin-3-yl]acetamide.', 'N,N-dimethyl-2-[6-methyl-2-(4-methylphenyl)imidazo[3,2-a]pyridin-3-yl]acetamide', 'Zolpidem solution, 1.0 mg/mL in methanol, ampule of 1 mL, certified reference material', 'ZPM']</t>
  </si>
  <si>
    <t>Compound(5732)</t>
  </si>
  <si>
    <t>C19H21N3O</t>
  </si>
  <si>
    <t>NL_alias</t>
  </si>
  <si>
    <t>EN_alias</t>
  </si>
  <si>
    <t>Cyanobacterie</t>
  </si>
  <si>
    <t>Cyanobacterium</t>
  </si>
  <si>
    <t>blauwe asbest</t>
  </si>
  <si>
    <t>blue asbestos</t>
  </si>
  <si>
    <t>diglycidyl resorcinol ether</t>
  </si>
  <si>
    <t>tri</t>
  </si>
  <si>
    <t>soortelijke massa</t>
  </si>
  <si>
    <t>specific mass</t>
  </si>
  <si>
    <t>1,2-diethoxyethaan</t>
  </si>
  <si>
    <t>methylbenzene</t>
  </si>
  <si>
    <t>methanal</t>
  </si>
  <si>
    <t>diethyleentriamine penta(methyleen fosfonzuur)</t>
  </si>
  <si>
    <t>diethylenetriamine penta (methylene phosphonic acid)</t>
  </si>
  <si>
    <t>4-methyl-2-pentanon</t>
  </si>
  <si>
    <t>4-methyl-2-pentanone</t>
  </si>
  <si>
    <t>quintozeen</t>
  </si>
  <si>
    <t>quintozene</t>
  </si>
  <si>
    <t>diethylglycol</t>
  </si>
  <si>
    <t>diethyl glycol</t>
  </si>
  <si>
    <t>2,4,6-trinitrotolueen</t>
  </si>
  <si>
    <t>2,4,6-trinitrotoluene</t>
  </si>
  <si>
    <t>trichlorethylene</t>
  </si>
  <si>
    <t>mecoprop MCPP</t>
  </si>
  <si>
    <t>zwaar water</t>
  </si>
  <si>
    <t>heavy water</t>
  </si>
  <si>
    <t>chloridazon-desphenyl</t>
  </si>
  <si>
    <t>bis(2-ethylhexyl)ftalaat</t>
  </si>
  <si>
    <t>bis (2-ethylhexyl) phthalate</t>
  </si>
  <si>
    <t>Ethyl tert-butyl ether</t>
  </si>
  <si>
    <t>crocidoliet</t>
  </si>
  <si>
    <t>crocidolite</t>
  </si>
  <si>
    <t>tetra</t>
  </si>
  <si>
    <t>Floating Algae Beds</t>
  </si>
  <si>
    <t>1-isopropyl-3-methyl-benzeen</t>
  </si>
  <si>
    <t>1-isopropyl-3-methyl-benzene</t>
  </si>
  <si>
    <t>gamma-hexachloorcyclohexaan</t>
  </si>
  <si>
    <t>gamma-hexachlorocyclohexane</t>
  </si>
  <si>
    <t>trichloromethane</t>
  </si>
  <si>
    <t>ethyleendiaminetetraethaanzuur</t>
  </si>
  <si>
    <t>ethylenediaminetetraethanoic acid</t>
  </si>
  <si>
    <t>PETN</t>
  </si>
  <si>
    <t>2-methylpropanol</t>
  </si>
  <si>
    <t>ethyleendiamine tetra(methyleen fosfonzuur)</t>
  </si>
  <si>
    <t>ethylenediamine tetra (methylene phosphonic acid)</t>
  </si>
  <si>
    <t>p-chloor-o-toluidine</t>
  </si>
  <si>
    <t>p-chloro-o-toluidine</t>
  </si>
  <si>
    <t>per</t>
  </si>
  <si>
    <t>tremoliet</t>
  </si>
  <si>
    <t>tremolite</t>
  </si>
  <si>
    <t>som alfa- en beta-isomeer</t>
  </si>
  <si>
    <t>sum alpha and beta isomer</t>
  </si>
  <si>
    <t>1,3,5-Triazine-2,4,6-triamine</t>
  </si>
  <si>
    <t>Flab</t>
  </si>
  <si>
    <t>hexahydro-1,3,5-trinitro-1,3,5-triazin</t>
  </si>
  <si>
    <t>hexahydro-1,3,5-trinitro-1,3,5-triazine</t>
  </si>
  <si>
    <t>octogeen</t>
  </si>
  <si>
    <t>octogen</t>
  </si>
  <si>
    <t>2-butanon</t>
  </si>
  <si>
    <t>2-butanone</t>
  </si>
  <si>
    <t>n-valeraldehyde</t>
  </si>
  <si>
    <t>glycol</t>
  </si>
  <si>
    <t>hexachlorcyclopentadiene</t>
  </si>
  <si>
    <t>1,3-propyleenglycol</t>
  </si>
  <si>
    <t>1,3-propylene glycol</t>
  </si>
  <si>
    <t>Melamine</t>
  </si>
  <si>
    <t>witte asbest</t>
  </si>
  <si>
    <t>white asbestos</t>
  </si>
  <si>
    <t>nitrilotriazijnzuur</t>
  </si>
  <si>
    <t>nitrilotriacetic acid</t>
  </si>
  <si>
    <t>Dichtheid</t>
  </si>
  <si>
    <t>Density</t>
  </si>
  <si>
    <t>HMX</t>
  </si>
  <si>
    <t>butylhydroxytolueen</t>
  </si>
  <si>
    <t>butylhydroxytoluene</t>
  </si>
  <si>
    <t>di-ethyleentriaminepentaazijnzuur</t>
  </si>
  <si>
    <t>diethylenetriaminepentaacetic acid</t>
  </si>
  <si>
    <t>ETBE</t>
  </si>
  <si>
    <t>monoethylhexylftalaat</t>
  </si>
  <si>
    <t>monoethylhexyl phthalate</t>
  </si>
  <si>
    <t>MEK</t>
  </si>
  <si>
    <t>iso-butanol</t>
  </si>
  <si>
    <t>lachgas</t>
  </si>
  <si>
    <t>laughing gas</t>
  </si>
  <si>
    <t>blauwalg</t>
  </si>
  <si>
    <t>blue-green algae</t>
  </si>
  <si>
    <t>lindane</t>
  </si>
  <si>
    <t>monoethyleenglycol</t>
  </si>
  <si>
    <t>monoethylene glycol</t>
  </si>
  <si>
    <t>hexahydrohexamethylcyclopentabenzopyran</t>
  </si>
  <si>
    <t>tetrachlorethylene</t>
  </si>
  <si>
    <t>pentaerythritoltetranitraat</t>
  </si>
  <si>
    <t>pentaerythritol tetranitrate</t>
  </si>
  <si>
    <t>pentachloornitrobenzeen</t>
  </si>
  <si>
    <t>pentachloronitrobenzene</t>
  </si>
  <si>
    <t>carboxymethylcellulose</t>
  </si>
  <si>
    <t>carboxymethyl cellulose</t>
  </si>
  <si>
    <t>grijze asbest</t>
  </si>
  <si>
    <t>gray asbestos</t>
  </si>
  <si>
    <t>ethyleenglycoldinitraat</t>
  </si>
  <si>
    <t>ethylene glycol dinitrate</t>
  </si>
  <si>
    <t>looptijd (veld)</t>
  </si>
  <si>
    <t>maturity (field)</t>
  </si>
  <si>
    <t>trimethyleenglycol</t>
  </si>
  <si>
    <t>trimethylene glycol</t>
  </si>
  <si>
    <t>EGDN</t>
  </si>
  <si>
    <t>looptijd</t>
  </si>
  <si>
    <t>duration</t>
  </si>
  <si>
    <t>distikstofoxide</t>
  </si>
  <si>
    <t>sum tri and per</t>
  </si>
  <si>
    <t>chrysotiel</t>
  </si>
  <si>
    <t>chrysotile</t>
  </si>
  <si>
    <t>chlooretheen</t>
  </si>
  <si>
    <t>chloroethylene</t>
  </si>
  <si>
    <t>endosulfan</t>
  </si>
  <si>
    <t>antipyrine</t>
  </si>
  <si>
    <t>m-cymeen</t>
  </si>
  <si>
    <t>m-cymene</t>
  </si>
  <si>
    <t>deuterium oxide</t>
  </si>
  <si>
    <t>MIBK</t>
  </si>
  <si>
    <t>vinylchloride</t>
  </si>
  <si>
    <t>vinyl chloride</t>
  </si>
  <si>
    <t>Cumidine</t>
  </si>
  <si>
    <t>triamcinolone acetonide</t>
  </si>
  <si>
    <t>MAGNESIUM PHOSPHIDE</t>
  </si>
  <si>
    <t>pyrethrin</t>
  </si>
  <si>
    <t>volume of sediment in 500 µm residue</t>
  </si>
  <si>
    <t>2,3,4'-trichlorobiphenyl</t>
  </si>
  <si>
    <t>colony number 25 øC, 10 days R2A streak plate</t>
  </si>
  <si>
    <t>quinonamide</t>
  </si>
  <si>
    <t>cis-4,4'-diaminostilbene-2,2'-disulfonate</t>
  </si>
  <si>
    <t>1,3-diethyl-1,3-diphenylurea</t>
  </si>
  <si>
    <t>LAURYLDIMETHYLBENZYLAMMONIUM CHLORIDE</t>
  </si>
  <si>
    <t>isophenphos-methyl</t>
  </si>
  <si>
    <t>pieces of a plug in 500 µm residue</t>
  </si>
  <si>
    <t>tetraisobutene</t>
  </si>
  <si>
    <t>2,3,3 ', 4,5', 6-hexachlorobiphenyl</t>
  </si>
  <si>
    <t>n-butanoic acid</t>
  </si>
  <si>
    <t>dicyclohexyl tin</t>
  </si>
  <si>
    <t>2,2 ', 3,4,4', 6,6'-Heptachlorobiphenyl</t>
  </si>
  <si>
    <t>methyl benzoate</t>
  </si>
  <si>
    <t>bis (4-chlorophenyl) sulfone</t>
  </si>
  <si>
    <t>4-n-butyl benzoate</t>
  </si>
  <si>
    <t>6: 2 Fluorotelomer sulfonic acid (6: 2 FTS)</t>
  </si>
  <si>
    <t>SILICONE</t>
  </si>
  <si>
    <t>N, N-diisobutylformamide</t>
  </si>
  <si>
    <t>plant material in 500 μm residue</t>
  </si>
  <si>
    <t>3,4 dihydro-2-methoxy-2H-pyran</t>
  </si>
  <si>
    <t>TOLYL FLUANIDE</t>
  </si>
  <si>
    <t>ALACHLORINE</t>
  </si>
  <si>
    <t>POTASSIUM HYDROGEN CARBONATE</t>
  </si>
  <si>
    <t>dihydromethylindene methanol</t>
  </si>
  <si>
    <t>AMMONIUMSULPHAMATE</t>
  </si>
  <si>
    <t>dihydroxypropyl ether</t>
  </si>
  <si>
    <t>Spiramycin III</t>
  </si>
  <si>
    <t>p, p'-DDE</t>
  </si>
  <si>
    <t>DINOSEB_ACETATE</t>
  </si>
  <si>
    <t>GLYPHOSATE_TRIMESIUM</t>
  </si>
  <si>
    <t>CHLORPYRIFOS</t>
  </si>
  <si>
    <t>phenyl-oxo-phenylamine</t>
  </si>
  <si>
    <t>fenofibrate related component A</t>
  </si>
  <si>
    <t>ETRIDIA SOLE</t>
  </si>
  <si>
    <t>FENCHLORAZOLE_ETHYL</t>
  </si>
  <si>
    <t>dimethoxybenzene</t>
  </si>
  <si>
    <t>3-chloropropene (allyl chloride)</t>
  </si>
  <si>
    <t>ethyl methylcyclohexanol</t>
  </si>
  <si>
    <t>AMMONIUM THIOCYANATE</t>
  </si>
  <si>
    <t>eye flag. (Euglenophyceae)</t>
  </si>
  <si>
    <t>t-butylphenol</t>
  </si>
  <si>
    <t>N (4) -acetylsulfadoxine</t>
  </si>
  <si>
    <t>aldicarb sulfone</t>
  </si>
  <si>
    <t>ETOXAZOLE</t>
  </si>
  <si>
    <t>DIENOCHLOR</t>
  </si>
  <si>
    <t>1,3- and 1,4-dimethylbenzene (sum)</t>
  </si>
  <si>
    <t>endothal sodium</t>
  </si>
  <si>
    <t>17 alpha-ethinyl estradiol</t>
  </si>
  <si>
    <t>Chlortoluidine</t>
  </si>
  <si>
    <t>spirotetramat enol glucoside</t>
  </si>
  <si>
    <t>4-chloro-2-nitro-aniline</t>
  </si>
  <si>
    <t>2,3 ', 4', 5'-Tetrachlorobiphenyl</t>
  </si>
  <si>
    <t>ethylcyclohexanamine</t>
  </si>
  <si>
    <t>octene</t>
  </si>
  <si>
    <t>2,2,4'-tribromodiphenyl ether</t>
  </si>
  <si>
    <t>betamethasone + paramethasone</t>
  </si>
  <si>
    <t>phenylpropanol</t>
  </si>
  <si>
    <t>trimethylcyclohexanone</t>
  </si>
  <si>
    <t>2.2 ', 3.3', 4.5 ', 6'-Heptachlorobiphenyl</t>
  </si>
  <si>
    <t>arsenic III</t>
  </si>
  <si>
    <t>bound available chlorine</t>
  </si>
  <si>
    <t>methoxybenzo‰zuur</t>
  </si>
  <si>
    <t>methoxybenzo ‰ acid</t>
  </si>
  <si>
    <t>dichlorobutane</t>
  </si>
  <si>
    <t>SULFUR</t>
  </si>
  <si>
    <t>xanthene</t>
  </si>
  <si>
    <t>metam sodium</t>
  </si>
  <si>
    <t>ethoxynitrobenzene</t>
  </si>
  <si>
    <t>sec. aliphatic amines</t>
  </si>
  <si>
    <t>other material in 500 µm residue</t>
  </si>
  <si>
    <t>perfluorohexane sulfonate</t>
  </si>
  <si>
    <t>2,3,6-trichlorobiphenyl</t>
  </si>
  <si>
    <t>chlorfenvinphos (alpha)</t>
  </si>
  <si>
    <t>2,3,3 ', 5,5', 6-hexachlorobiphenyl</t>
  </si>
  <si>
    <t>perchlorate</t>
  </si>
  <si>
    <t>2,2 ', 3,3', 5,6'-hexachlorobiphenyl</t>
  </si>
  <si>
    <t>insect larvae (Insecta)</t>
  </si>
  <si>
    <t>tetra- and trichlorethylene (sum)</t>
  </si>
  <si>
    <t>dotriacontane</t>
  </si>
  <si>
    <t>methyl biphenyl</t>
  </si>
  <si>
    <t>dichlorobenzenemethanol</t>
  </si>
  <si>
    <t>NONANIC ACID</t>
  </si>
  <si>
    <t>meta-chlorophenylpiperazine</t>
  </si>
  <si>
    <t>carbofuran phenol</t>
  </si>
  <si>
    <t>dimethylbenzene methanol</t>
  </si>
  <si>
    <t>hexadecene</t>
  </si>
  <si>
    <t>2,3 ', 4,6-tetrachlorobiphenyl</t>
  </si>
  <si>
    <t>N-ethyl-N-phenylacetamide</t>
  </si>
  <si>
    <t>DICHLORMETHANE</t>
  </si>
  <si>
    <t>chloroaniformethane</t>
  </si>
  <si>
    <t>bear animals (Tardigrada)</t>
  </si>
  <si>
    <t>tin, after filtration at 0.45 µm</t>
  </si>
  <si>
    <t>chloroiodomethane</t>
  </si>
  <si>
    <t>2,2 ', 3,4', 5,6'-hexachlorobiphenyl</t>
  </si>
  <si>
    <t>PYRIDATE</t>
  </si>
  <si>
    <t>dichloromethylpropane</t>
  </si>
  <si>
    <t>hexa (methoxymethyl) melamine (HMMM)</t>
  </si>
  <si>
    <t>1_METHYLCYCLOPROPENE</t>
  </si>
  <si>
    <t>2-chloromethylbenzene</t>
  </si>
  <si>
    <t>carbon dioxide</t>
  </si>
  <si>
    <t>CHLORTOLURON</t>
  </si>
  <si>
    <t>ethyl biphenyl</t>
  </si>
  <si>
    <t>2,4-dibromophenol</t>
  </si>
  <si>
    <t>sodium</t>
  </si>
  <si>
    <t>N, N-dimethylbenzylamine</t>
  </si>
  <si>
    <t>THIOPHANATE_METHYL</t>
  </si>
  <si>
    <t>flow rate</t>
  </si>
  <si>
    <t>1-bromo-3-chloropropane</t>
  </si>
  <si>
    <t>N-methylperfluoro-1-octanesulfonamidoacetic acid (N-MePFOSAA)</t>
  </si>
  <si>
    <t>chloronitromethylbenzene</t>
  </si>
  <si>
    <t>STREPTOMYCIN</t>
  </si>
  <si>
    <t>p-Bromoaniline</t>
  </si>
  <si>
    <t>Spiramycin II</t>
  </si>
  <si>
    <t>2.2 ', 3.3', 4.5.5 ', 6,6'-Nonachlorobiphenyl</t>
  </si>
  <si>
    <t>2,3 + 3,5-dimethylphenol</t>
  </si>
  <si>
    <t>2,3,3 ', 5'-Tetrachlorobiphenyl</t>
  </si>
  <si>
    <t>di-undecyl phthalate</t>
  </si>
  <si>
    <t>Methotrexate</t>
  </si>
  <si>
    <t>ditolyl sulfone</t>
  </si>
  <si>
    <t>Lanthanum, after filtration at 0.45 µm</t>
  </si>
  <si>
    <t>california porridge</t>
  </si>
  <si>
    <t>1_NAFTYLAZIC ACID</t>
  </si>
  <si>
    <t>tetrachloromethylphenol</t>
  </si>
  <si>
    <t>trimethyltride patrienenitrile</t>
  </si>
  <si>
    <t>bis (chloroisobutyl) ether</t>
  </si>
  <si>
    <t>methylbenzene methanol</t>
  </si>
  <si>
    <t>2,2 ', 3,5,6,6'-Hexachlorobiphenyl</t>
  </si>
  <si>
    <t>diazine diyl bisacetamide</t>
  </si>
  <si>
    <t>tetrachlorvinphos</t>
  </si>
  <si>
    <t>2,4,5-trichlorobiphenyl</t>
  </si>
  <si>
    <t>trimethylquinoline</t>
  </si>
  <si>
    <t>diphenylhydrazine</t>
  </si>
  <si>
    <t>MILBEMECTIN</t>
  </si>
  <si>
    <t>orthophosphate</t>
  </si>
  <si>
    <t>methylphenol</t>
  </si>
  <si>
    <t>hexanamide</t>
  </si>
  <si>
    <t>Enterococci</t>
  </si>
  <si>
    <t>filtered sample volume</t>
  </si>
  <si>
    <t>hexachlorobenzene (HCB)</t>
  </si>
  <si>
    <t>CHLORBROMURON</t>
  </si>
  <si>
    <t>naphthalene sulfonic acid 1</t>
  </si>
  <si>
    <t>delta-9-tetrahydrocannabinol carboxylic acid</t>
  </si>
  <si>
    <t>phenols, water vapor.</t>
  </si>
  <si>
    <t>octenone</t>
  </si>
  <si>
    <t>hydroxymethylbenzo‰zuur</t>
  </si>
  <si>
    <t>hydroxymethylbenzoic acid</t>
  </si>
  <si>
    <t>2-hydroxy-4,6-bis (4-sulfanil) -1,3,5-trisulfonate</t>
  </si>
  <si>
    <t>PHOSPHAMIDON</t>
  </si>
  <si>
    <t>3,3 ', 4,5,5'-pentachlorobiphenyl</t>
  </si>
  <si>
    <t>3,3 ', 5,5'-Tetrachlorobiphenyl</t>
  </si>
  <si>
    <t>tri-4-cresyl phosphate (TCP)</t>
  </si>
  <si>
    <t>ethylhexyl diphenyl phosphate</t>
  </si>
  <si>
    <t>2,3,4,4 ', 6-pentachlorobiphenyl</t>
  </si>
  <si>
    <t>bis (2-chloroisopropyl) ether</t>
  </si>
  <si>
    <t>borate</t>
  </si>
  <si>
    <t>VOX (easy org. Built hal.)</t>
  </si>
  <si>
    <t>dichloronitroaniline</t>
  </si>
  <si>
    <t>4-n-nonylphenol</t>
  </si>
  <si>
    <t>PYRIPROXYPHEN</t>
  </si>
  <si>
    <t>total phosphate</t>
  </si>
  <si>
    <t>titanium</t>
  </si>
  <si>
    <t>cumachlor</t>
  </si>
  <si>
    <t>2,5-dichlorobiphenyl</t>
  </si>
  <si>
    <t>hexene</t>
  </si>
  <si>
    <t>cis 4,4'-dinitrostilbene 2,2'-disulfonate</t>
  </si>
  <si>
    <t>anions</t>
  </si>
  <si>
    <t>iso-octylphenol polyglycol ether</t>
  </si>
  <si>
    <t>ditoluidine ketone</t>
  </si>
  <si>
    <t>water level</t>
  </si>
  <si>
    <t>2-n-dodecylphenol</t>
  </si>
  <si>
    <t>lantern</t>
  </si>
  <si>
    <t>fluorodifene</t>
  </si>
  <si>
    <t>fentin hydroxide</t>
  </si>
  <si>
    <t>dancing midges (Chironomidae)</t>
  </si>
  <si>
    <t>undecene</t>
  </si>
  <si>
    <t>insects (Insecta), total</t>
  </si>
  <si>
    <t>quintocene</t>
  </si>
  <si>
    <t>Corrosion index for cast iron and steel: [Clî] +2 [SO4ýî] / [HCO3î]</t>
  </si>
  <si>
    <t>ethyl cyclohexanone</t>
  </si>
  <si>
    <t>anthanthrene</t>
  </si>
  <si>
    <t>oxidisability with KMnO4</t>
  </si>
  <si>
    <t>sulfafenazole</t>
  </si>
  <si>
    <t>2,2 ', 3,4,5,6'-hexachlorobiphenyl</t>
  </si>
  <si>
    <t>N-methyl-N-phenylacetamide</t>
  </si>
  <si>
    <t>pentylphenol</t>
  </si>
  <si>
    <t>(E_Z_Z) _3_8_11_TETRADECATRIEN_1_YL_ACETATE</t>
  </si>
  <si>
    <t>dimethylaminophenazone</t>
  </si>
  <si>
    <t>AOX (ads. Org. Built hal.)</t>
  </si>
  <si>
    <t>2-bromo-3-chloro-1-propene</t>
  </si>
  <si>
    <t>trioxane</t>
  </si>
  <si>
    <t>2,4'-dichlorobiphenyl</t>
  </si>
  <si>
    <t>diacetone glucose</t>
  </si>
  <si>
    <t>methyl ethyl trisulfide</t>
  </si>
  <si>
    <t>2,4-D iso-butyl ester</t>
  </si>
  <si>
    <t>4-n-butoxyphenol</t>
  </si>
  <si>
    <t>phenylmercury compounds</t>
  </si>
  <si>
    <t>silver</t>
  </si>
  <si>
    <t>octamethylcyclotrisiloxane</t>
  </si>
  <si>
    <t>4,4? Sulfonyl diphenol</t>
  </si>
  <si>
    <t>diphenyltin</t>
  </si>
  <si>
    <t>ethyl hydroxy toluate</t>
  </si>
  <si>
    <t>IRON (II) SULPHATE</t>
  </si>
  <si>
    <t>non-ionactive detergents</t>
  </si>
  <si>
    <t>2-chloro-N- (2-ethyl-6-methylphenyl) -N- (2-methoxy-1-methylethyl) acetamide</t>
  </si>
  <si>
    <t>dimethyl biphenyl</t>
  </si>
  <si>
    <t>E, Z-fluoxastrobin</t>
  </si>
  <si>
    <t>THIABENDA SOLE</t>
  </si>
  <si>
    <t>ISO_OCTYLPHENOLPOLYGLYCOLETHER</t>
  </si>
  <si>
    <t>trichloromethylphenol</t>
  </si>
  <si>
    <t>FATTY ACIDS_POTASSIUM SALTS</t>
  </si>
  <si>
    <t>methyldecene</t>
  </si>
  <si>
    <t>2- (4-chlorophenoxy) -2-methylpropionic acid</t>
  </si>
  <si>
    <t>COPPER OXYCHINOLATE</t>
  </si>
  <si>
    <t>STREPTOMYCIN (_SULPHATE)</t>
  </si>
  <si>
    <t>EOP (extra org. Based phosphorus)</t>
  </si>
  <si>
    <t>naphthalene-1-sulfonate</t>
  </si>
  <si>
    <t>barium polysulfides</t>
  </si>
  <si>
    <t>methyl ethyl ketone</t>
  </si>
  <si>
    <t>2,5- and 3,5-dimethylaniline</t>
  </si>
  <si>
    <t>tellurium, after filtration at 0.45 µm</t>
  </si>
  <si>
    <t>Gabapentin lactam</t>
  </si>
  <si>
    <t>dimethyl propanoate octenol</t>
  </si>
  <si>
    <t>2- (trifluoromethyl) aniline</t>
  </si>
  <si>
    <t>N-ethylpentanamine</t>
  </si>
  <si>
    <t>anthraquinone 1,8-disulfonate</t>
  </si>
  <si>
    <t>triethylene glycol dimethyl ether</t>
  </si>
  <si>
    <t>11-nor-delta (9) -tetrahydrocannabinol-9-carboxylic acid</t>
  </si>
  <si>
    <t>6-aminohexanoic acid</t>
  </si>
  <si>
    <t>dinoterb (2-t-butyl-4,6-dinitrophenol)</t>
  </si>
  <si>
    <t>Valsartan acid</t>
  </si>
  <si>
    <t>2,3,3 ', 4', 5'-pentachlorobiphenyl</t>
  </si>
  <si>
    <t>1,2-dibromoethylene</t>
  </si>
  <si>
    <t>di (HydroxyisoPro) benzene</t>
  </si>
  <si>
    <t>ETHYLENE</t>
  </si>
  <si>
    <t>3- and 4-methylphenol</t>
  </si>
  <si>
    <t>dipropyl ether</t>
  </si>
  <si>
    <t>methyl ethyl naphthalene</t>
  </si>
  <si>
    <t>tris (ethylhexyl) phosphate</t>
  </si>
  <si>
    <t>carbitlate</t>
  </si>
  <si>
    <t>2,2 ', 3,4,4', 6-hexachlorobiphenyl</t>
  </si>
  <si>
    <t>METHYLISOTHIOCYANATE</t>
  </si>
  <si>
    <t>lead sol. verm., 16 h, .. ° C</t>
  </si>
  <si>
    <t>acidity</t>
  </si>
  <si>
    <t>NONYLPHENOLPOLYGLYCOL ETHER</t>
  </si>
  <si>
    <t>BORATES</t>
  </si>
  <si>
    <t>hexanedione</t>
  </si>
  <si>
    <t>iron</t>
  </si>
  <si>
    <t>1,4-dimethylbenzene</t>
  </si>
  <si>
    <t>HYDRAMETHYLNONE</t>
  </si>
  <si>
    <t>trimethyldihydroquinoline</t>
  </si>
  <si>
    <t>3,4,5-trichlorobiphenyl</t>
  </si>
  <si>
    <t>bisoprolol hemifumarate</t>
  </si>
  <si>
    <t>2,5-dichloorbenzo‰zuur</t>
  </si>
  <si>
    <t>2,5-dichlorobenzoic acid</t>
  </si>
  <si>
    <t>1-chloropentane</t>
  </si>
  <si>
    <t>nickel, after filtration at 0.45 µm</t>
  </si>
  <si>
    <t>ER-Calux in 17beta-estradiol equivalents</t>
  </si>
  <si>
    <t>4-n-butylbenzo‰zuur</t>
  </si>
  <si>
    <t>4-n-butylbenzoic acid</t>
  </si>
  <si>
    <t>METRAPHENONE</t>
  </si>
  <si>
    <t>worms, various types</t>
  </si>
  <si>
    <t>dimethylindane</t>
  </si>
  <si>
    <t>time</t>
  </si>
  <si>
    <t>dimethylindene</t>
  </si>
  <si>
    <t>iodine number in activated carbon</t>
  </si>
  <si>
    <t>magnesium, after filtration at 0.45 µm</t>
  </si>
  <si>
    <t>sulfatroxazole</t>
  </si>
  <si>
    <t>N, N-dimethylacetamide</t>
  </si>
  <si>
    <t>CHLORTHAL</t>
  </si>
  <si>
    <t>2,2 ', 4,6'-Tetrachlorobiphenyl</t>
  </si>
  <si>
    <t>2-hydroxynaphthalene-3,6-disulfonate, disodium salt</t>
  </si>
  <si>
    <t>Cyanobacteri‰n (Cyanophyceae)</t>
  </si>
  <si>
    <t>Cyanobacteria (Cyanophyceae)</t>
  </si>
  <si>
    <t>dichlorocyclohexane</t>
  </si>
  <si>
    <t>ethyl hexadecanoate</t>
  </si>
  <si>
    <t>N-ethylheptanamine</t>
  </si>
  <si>
    <t>ethyl tetradecanoate</t>
  </si>
  <si>
    <t>methylphenidate</t>
  </si>
  <si>
    <t>phenothiazine</t>
  </si>
  <si>
    <t>ethylethenylbenzene</t>
  </si>
  <si>
    <t>methoxyphenylhydrazine</t>
  </si>
  <si>
    <t>naphthalene-1,5-disulfonate</t>
  </si>
  <si>
    <t>bis (2-chloropropyl) ether</t>
  </si>
  <si>
    <t>A.A. POLYGLYCOL ETHER</t>
  </si>
  <si>
    <t>2,2 ', 3,4', 5,6-hexachlorobiphenyl</t>
  </si>
  <si>
    <t>methyl ethyl disulfide</t>
  </si>
  <si>
    <t>chlorphenprop-methyl</t>
  </si>
  <si>
    <t>bis (2-methoxyethyl) ether (diglyme)</t>
  </si>
  <si>
    <t>PHENOL</t>
  </si>
  <si>
    <t>pentachloropropene</t>
  </si>
  <si>
    <t>theoretically deposited calcium carbonate at 10øC (TACC10)</t>
  </si>
  <si>
    <t>2,2 ', 4,4', 6-pentachlorobiphenyl</t>
  </si>
  <si>
    <t>chlorocyclohexanol</t>
  </si>
  <si>
    <t>chloromethoxynil</t>
  </si>
  <si>
    <t>GR-Calux activity in dexamethasone equivalents</t>
  </si>
  <si>
    <t>2,3,3 ', 5', 6-pentachlorobiphenyl</t>
  </si>
  <si>
    <t>azinphos-methyl</t>
  </si>
  <si>
    <t>taste, qualitative</t>
  </si>
  <si>
    <t>COPPER OXYCHLORIDE</t>
  </si>
  <si>
    <t>iodide</t>
  </si>
  <si>
    <t>Bromocycles</t>
  </si>
  <si>
    <t>trimethylcyclohexane</t>
  </si>
  <si>
    <t>dimethylnaphthalene</t>
  </si>
  <si>
    <t>trimethyldioxolane</t>
  </si>
  <si>
    <t>3,3'-dichlorobiphenyl</t>
  </si>
  <si>
    <t>cerium, after filtration at 0.45 µm</t>
  </si>
  <si>
    <t>volume of granular light sediment in 100 µm residue</t>
  </si>
  <si>
    <t>8-amino-2-naphthalene sulfonic acid sodium salt</t>
  </si>
  <si>
    <t>antimony, after filtration at 0.45 µm</t>
  </si>
  <si>
    <t>AOS (ads. Using sulfur)</t>
  </si>
  <si>
    <t>chlorodibromoacetic acid</t>
  </si>
  <si>
    <t>diheptyl phthalate (DHP)</t>
  </si>
  <si>
    <t>EOS (extr. Org. Using sulfur)</t>
  </si>
  <si>
    <t>total hardness</t>
  </si>
  <si>
    <t>nitrite</t>
  </si>
  <si>
    <t>1,1,3-trichloropropane</t>
  </si>
  <si>
    <t>alloxydim sodium</t>
  </si>
  <si>
    <t>green algae (Chlorophyceae)</t>
  </si>
  <si>
    <t>ethyl dodecanoate</t>
  </si>
  <si>
    <t>climbazole</t>
  </si>
  <si>
    <t>2,2 ', 3,4,6'-Pentachlorobiphenyl</t>
  </si>
  <si>
    <t>trimethyl-α-d-xylofuranoside</t>
  </si>
  <si>
    <t>EON (extra org. Utilized nitrogen)</t>
  </si>
  <si>
    <t>dichloroazobenzene</t>
  </si>
  <si>
    <t>VALIDAMYCIN</t>
  </si>
  <si>
    <t>n-hexylbenzene</t>
  </si>
  <si>
    <t>6,6-diallyloxyhexene</t>
  </si>
  <si>
    <t>choline esterase inhibitors</t>
  </si>
  <si>
    <t>water mites (Hydrachnellae)</t>
  </si>
  <si>
    <t>SULFURYL FLUORIDE</t>
  </si>
  <si>
    <t>cobalt, after filtration at 0.45 µm</t>
  </si>
  <si>
    <t>methoxyhexanone</t>
  </si>
  <si>
    <t>DIMETHACHLORINE</t>
  </si>
  <si>
    <t>methylacenaphthylene</t>
  </si>
  <si>
    <t>oxindole</t>
  </si>
  <si>
    <t>Enterococci spp.</t>
  </si>
  <si>
    <t>dibutoxymethane</t>
  </si>
  <si>
    <t>N-acetyl, N-ethylaniline</t>
  </si>
  <si>
    <t>n-butyl propanoate</t>
  </si>
  <si>
    <t>PARAFFIN_OIL</t>
  </si>
  <si>
    <t>butyl butanoate</t>
  </si>
  <si>
    <t>ethyl methylphenol</t>
  </si>
  <si>
    <t>2-chloropropene</t>
  </si>
  <si>
    <t>trimethylcyclobutanone</t>
  </si>
  <si>
    <t>2,3 ', 4,5-tetrachlorobiphenyl</t>
  </si>
  <si>
    <t>ethyl benzoate</t>
  </si>
  <si>
    <t>perfluorohexane sulfonic acid (PFHxS)</t>
  </si>
  <si>
    <t>ethyl methylthia indene</t>
  </si>
  <si>
    <t>formalin</t>
  </si>
  <si>
    <t>2,3,3 ', 4,5'-Pentachlorobiphenyl</t>
  </si>
  <si>
    <t>Pyrazole</t>
  </si>
  <si>
    <t>methoxy propoxy propanol</t>
  </si>
  <si>
    <t>ethalfluralin</t>
  </si>
  <si>
    <t>2,2 ', 3,6-tetrachlorobiphenyl</t>
  </si>
  <si>
    <t>azinphos-ethyl</t>
  </si>
  <si>
    <t>2,3 ', 4-trichlorobiphenyl</t>
  </si>
  <si>
    <t>PROPETAMPHOS</t>
  </si>
  <si>
    <t>(Z) _11_TETRADECENYL ACETATE</t>
  </si>
  <si>
    <t>acesulfame</t>
  </si>
  <si>
    <t>DIDECYLDIMETHYLAMMONIUM CHLORIDE</t>
  </si>
  <si>
    <t>1- (methoxyethoxy) benzene</t>
  </si>
  <si>
    <t>bristle worms (L&gt; 5 mm)</t>
  </si>
  <si>
    <t>diethyl trisulfide</t>
  </si>
  <si>
    <t>barium, after filtration at 0.45 µm</t>
  </si>
  <si>
    <t>prednisolone</t>
  </si>
  <si>
    <t>iodophenphos</t>
  </si>
  <si>
    <t>empty cell walls unicellular</t>
  </si>
  <si>
    <t>metolachlorosulphonic acid</t>
  </si>
  <si>
    <t>isobutylbenzene</t>
  </si>
  <si>
    <t>quinazolinone</t>
  </si>
  <si>
    <t>thallium, after filtration at 0.45 µm</t>
  </si>
  <si>
    <t>Anabaena, bio-volume</t>
  </si>
  <si>
    <t>volume of flaky light sediment in 100 µm residue</t>
  </si>
  <si>
    <t>dihydro-dimethylindol-one</t>
  </si>
  <si>
    <t>chlorphenoxyethyl butyrate</t>
  </si>
  <si>
    <t>absorbance 410 nm</t>
  </si>
  <si>
    <t>COD, after filtration at 0.45 µm</t>
  </si>
  <si>
    <t>2,2 ', 3,3', 4,5,5 ', 6'-octachlorobiphenyl</t>
  </si>
  <si>
    <t>2,4-dichloro-4-methylphenol</t>
  </si>
  <si>
    <t>methylhydroxytoluate</t>
  </si>
  <si>
    <t>carbonate</t>
  </si>
  <si>
    <t>AOC (assimilable organic carbon)</t>
  </si>
  <si>
    <t>2-ethyl-2-methyl oxirane</t>
  </si>
  <si>
    <t>OMETHOAT</t>
  </si>
  <si>
    <t>PHENPYRAZAMINE</t>
  </si>
  <si>
    <t>bromochloroiodomethane</t>
  </si>
  <si>
    <t>methylbenzylaniline naphthylamine</t>
  </si>
  <si>
    <t>selective oil</t>
  </si>
  <si>
    <t>mercury</t>
  </si>
  <si>
    <t>HYMEXAZOLE</t>
  </si>
  <si>
    <t>bisphenol A</t>
  </si>
  <si>
    <t>2,3 ', 4,4', 5 ', 6-hexachlorobiphenyl</t>
  </si>
  <si>
    <t>trimethylcyclohexane-1-methanol</t>
  </si>
  <si>
    <t>1,1,2-tribromoethane</t>
  </si>
  <si>
    <t>theoretically deposited calcium carbonate at 90øC, TACC90</t>
  </si>
  <si>
    <t>IRON_ (ORGANIC_BOND)</t>
  </si>
  <si>
    <t>traces of sulphite-reducing clostridia</t>
  </si>
  <si>
    <t>diethyl phosphate</t>
  </si>
  <si>
    <t>mussel larvae (Bivalvia)</t>
  </si>
  <si>
    <t>selenium</t>
  </si>
  <si>
    <t>N, N-dimethylaminosulfanilide (DMSA)</t>
  </si>
  <si>
    <t>tertiary amyl methyl ether</t>
  </si>
  <si>
    <t>diethoxyethyl ether</t>
  </si>
  <si>
    <t>heptanone</t>
  </si>
  <si>
    <t>ETHYLMERCURIC BROMIDE</t>
  </si>
  <si>
    <t>pentachlorobutadiene</t>
  </si>
  <si>
    <t>chloracrylic acid</t>
  </si>
  <si>
    <t>butylchloromethylbenzene</t>
  </si>
  <si>
    <t>ETHOPROPHOS</t>
  </si>
  <si>
    <t>COPPER HYDROXIDE</t>
  </si>
  <si>
    <t>o, p'-DDT</t>
  </si>
  <si>
    <t>docosane</t>
  </si>
  <si>
    <t>1,2-dimethylbenzene</t>
  </si>
  <si>
    <t>ASCORBIC ACID</t>
  </si>
  <si>
    <t>cypendazole</t>
  </si>
  <si>
    <t>bordeaux porridge</t>
  </si>
  <si>
    <t>PYRIOPHENON</t>
  </si>
  <si>
    <t>chlordiamine diethyltriazine</t>
  </si>
  <si>
    <t>2-aminonaphthalene-4,8-disulfonate</t>
  </si>
  <si>
    <t>burgundy porridge</t>
  </si>
  <si>
    <t>air temperature</t>
  </si>
  <si>
    <t>beryllium, after filtration at 0.45 µm</t>
  </si>
  <si>
    <t>FLUORCHLORIDONE</t>
  </si>
  <si>
    <t>nitropropane</t>
  </si>
  <si>
    <t>pyraoxone</t>
  </si>
  <si>
    <t>bristle worms (Oligochaeta)</t>
  </si>
  <si>
    <t>azulene</t>
  </si>
  <si>
    <t>Amoebas (Rhizopoda)</t>
  </si>
  <si>
    <t>dimethylethyl acetophenone</t>
  </si>
  <si>
    <t>2,2 ', 3,4,6-pentachlorobiphenyl</t>
  </si>
  <si>
    <t>4-amino-1-naphthalene sulfonic acid sodium salt (1: 1)</t>
  </si>
  <si>
    <t>INDOLYL BUTTERIC ACID</t>
  </si>
  <si>
    <t>FERROSULPHATE</t>
  </si>
  <si>
    <t>nitrogen, Kjeldahl</t>
  </si>
  <si>
    <t>tetramethylpentanone</t>
  </si>
  <si>
    <t>4- (1,1-dimethylethyl) cyclohexanone)</t>
  </si>
  <si>
    <t>ethyl naphthalene</t>
  </si>
  <si>
    <t>aggressive carbon dioxide</t>
  </si>
  <si>
    <t>carbon sulfur</t>
  </si>
  <si>
    <t>manganese, after filtration at 0.45 µm</t>
  </si>
  <si>
    <t>springtails (Collembola)</t>
  </si>
  <si>
    <t>1-Naphthol-8-amino-3,6-disulfonic acid</t>
  </si>
  <si>
    <t>theoretically deposited calcium carbonate at 90øC (TACC90)</t>
  </si>
  <si>
    <t>1-amino-4-bromo-9,10-dioxoanthracene-2-sulfonate (sodium salt)</t>
  </si>
  <si>
    <t>total alpha activity</t>
  </si>
  <si>
    <t>tetramethyl urea</t>
  </si>
  <si>
    <t>trans-chlorphenvinphos</t>
  </si>
  <si>
    <t>dichloro-chlorphenylaminotriazine</t>
  </si>
  <si>
    <t>FLUVALINATE_ (TAU_)</t>
  </si>
  <si>
    <t>parts of waterlice</t>
  </si>
  <si>
    <t>1-octyne-4-ol</t>
  </si>
  <si>
    <t>2,4,4-tribromodiphenyl ether</t>
  </si>
  <si>
    <t>rust crumbs in 100 µm residue</t>
  </si>
  <si>
    <t>dimethylnitroaniline</t>
  </si>
  <si>
    <t>bismuth, after filtration on 0.45</t>
  </si>
  <si>
    <t>tricyclohexyl tin</t>
  </si>
  <si>
    <t>chlorodimethoxybenzene</t>
  </si>
  <si>
    <t>dichloranthraquinone</t>
  </si>
  <si>
    <t>ethyl methyl pentanamine</t>
  </si>
  <si>
    <t>phenotrin</t>
  </si>
  <si>
    <t>ETHYLENE GLYCOL</t>
  </si>
  <si>
    <t>cis- propiconazool</t>
  </si>
  <si>
    <t>cis-propiconazole</t>
  </si>
  <si>
    <t>naphthalene 1,3,7-trisulfonate</t>
  </si>
  <si>
    <t>metalaxyl metabolite cga 108906</t>
  </si>
  <si>
    <t>phytoplankton, total</t>
  </si>
  <si>
    <t>cadmium, after filtration at 0.45 µm</t>
  </si>
  <si>
    <t>p-chloro-p'-hydroxybenzophenone</t>
  </si>
  <si>
    <t>dichloroprop (2,4-DP)</t>
  </si>
  <si>
    <t>color intensity, Pt / Co scale</t>
  </si>
  <si>
    <t>2,3 ', 4,4', 6-pentachlorobiphenyl</t>
  </si>
  <si>
    <t>thermotol.bact.of the coli group (44 ° C)</t>
  </si>
  <si>
    <t>2.2 ', 3.3', 4-pentachlorobiphenyl</t>
  </si>
  <si>
    <t>(Z) _TETRADEC_9ENYL ACETATE</t>
  </si>
  <si>
    <t>diacetoxybenzene</t>
  </si>
  <si>
    <t>2,3,4,4-tetrabromodiphenyl ether</t>
  </si>
  <si>
    <t>zinc phosphide</t>
  </si>
  <si>
    <t>methylphenoxy ethyl propionate</t>
  </si>
  <si>
    <t>2,3,3 ', 5-tetrachlorobiphenyl</t>
  </si>
  <si>
    <t>butylnaphthalene</t>
  </si>
  <si>
    <t>t-butoxymetoxymethane</t>
  </si>
  <si>
    <t>5-chloro-1H-benzotriazole</t>
  </si>
  <si>
    <t>dichlophob-methyl</t>
  </si>
  <si>
    <t>2,2 ', 6,6'-Tetrachlorobiphenyl</t>
  </si>
  <si>
    <t>3- and 4-ethylphenol</t>
  </si>
  <si>
    <t>di-o-propylidene-1-sorbofuranose</t>
  </si>
  <si>
    <t>titanium, after filtration at 0.45 µm</t>
  </si>
  <si>
    <t>temporary hardness</t>
  </si>
  <si>
    <t>2,3,3,3-tetrafluoro-2-heptafluoropropoxypropanoic acid</t>
  </si>
  <si>
    <t>PAH, sum 16 of EPA</t>
  </si>
  <si>
    <t>EPOXICONAZOLE</t>
  </si>
  <si>
    <t>PENTACHLOROPHENOL</t>
  </si>
  <si>
    <t>PROTHIOCONAZOLE</t>
  </si>
  <si>
    <t>ESPHENVALERATE</t>
  </si>
  <si>
    <t>MFI (membrane filtration index)</t>
  </si>
  <si>
    <t>Enteroviruses</t>
  </si>
  <si>
    <t>colony number 22 øC, 7 days LLA streak plate</t>
  </si>
  <si>
    <t>o, p'-DDE</t>
  </si>
  <si>
    <t>methylcyclopentanone</t>
  </si>
  <si>
    <t>carbatene</t>
  </si>
  <si>
    <t>monochloroacetic acid</t>
  </si>
  <si>
    <t>METCONAZOLE</t>
  </si>
  <si>
    <t>dimethyl dipropyl malonate</t>
  </si>
  <si>
    <t>2,2 ', 3-trichlorobiphenyl</t>
  </si>
  <si>
    <t>PYRETHRINS</t>
  </si>
  <si>
    <t>chloropropyl carbonate</t>
  </si>
  <si>
    <t>thiocyanomethylthiobenzothiazole</t>
  </si>
  <si>
    <t>quinoxaziline</t>
  </si>
  <si>
    <t>rubidium, after filtration at 0.45 µm</t>
  </si>
  <si>
    <t>octadecane</t>
  </si>
  <si>
    <t>ethyl methyl sulfide</t>
  </si>
  <si>
    <t>PROPICONAZOLE</t>
  </si>
  <si>
    <t>methylbenzonitrile</t>
  </si>
  <si>
    <t>trichloronitromethane</t>
  </si>
  <si>
    <t>Langelier index</t>
  </si>
  <si>
    <t>trichlorotrinitrobenzene</t>
  </si>
  <si>
    <t>o, p-DDD</t>
  </si>
  <si>
    <t>fenchlorphos (ronnel)</t>
  </si>
  <si>
    <t>biphenyl-ol</t>
  </si>
  <si>
    <t>dihydropyrazolone</t>
  </si>
  <si>
    <t>N, N-dipropylpropanamine</t>
  </si>
  <si>
    <t>dibutyl ether</t>
  </si>
  <si>
    <t>total organic carbon (TOC)</t>
  </si>
  <si>
    <t>penta-oxo-pentadecan</t>
  </si>
  <si>
    <t>suspended solids (-Calcite)</t>
  </si>
  <si>
    <t>SODIUM_P_TOLUEENSULPHONCHLORAMIDE</t>
  </si>
  <si>
    <t>di (2-ethylhexyl) adipate</t>
  </si>
  <si>
    <t>chlorothione</t>
  </si>
  <si>
    <t>(E_E) _8_10_DODECADIEN_1_OL</t>
  </si>
  <si>
    <t>pebbles in 500 µm residue</t>
  </si>
  <si>
    <t>hydroxybenzo‰zuur</t>
  </si>
  <si>
    <t>hydroxybenzo ‰ acid</t>
  </si>
  <si>
    <t>dicyclodihydropentadiene</t>
  </si>
  <si>
    <t>PINOXADES</t>
  </si>
  <si>
    <t>aldicarb sulfoxide</t>
  </si>
  <si>
    <t>FORMETANATE</t>
  </si>
  <si>
    <t>di-t-butyl-p-methylphenol</t>
  </si>
  <si>
    <t>heptylphenol</t>
  </si>
  <si>
    <t>fluorchloridone</t>
  </si>
  <si>
    <t>anion-active detergents</t>
  </si>
  <si>
    <t>3,4,4 ', 5-tetrachlorobiphenyl</t>
  </si>
  <si>
    <t>carbophenothion-methyl</t>
  </si>
  <si>
    <t>azidobenzene</t>
  </si>
  <si>
    <t>iodine-129</t>
  </si>
  <si>
    <t>tolyltriazole</t>
  </si>
  <si>
    <t>decylphenol</t>
  </si>
  <si>
    <t>methyl pentanone</t>
  </si>
  <si>
    <t>n-butylbenzene</t>
  </si>
  <si>
    <t>triphenyltin</t>
  </si>
  <si>
    <t>N, N-dimethylpentanamine</t>
  </si>
  <si>
    <t>larvae of water mites (Hydrachnellae)</t>
  </si>
  <si>
    <t>PARATHION_ (ETHYL_EN_METHYL)</t>
  </si>
  <si>
    <t>ethylindane</t>
  </si>
  <si>
    <t>DIFENOCONAZOLE</t>
  </si>
  <si>
    <t>COAL TEA DEST.</t>
  </si>
  <si>
    <t>hydroxyfluorene</t>
  </si>
  <si>
    <t>aminoethyl dibenzopyrrole</t>
  </si>
  <si>
    <t>2-methyl-4,6-dinitrophenol (DNOC)</t>
  </si>
  <si>
    <t>2,3,3 ', 5,5'-Pentachlorobiphenyl</t>
  </si>
  <si>
    <t>isobornyl chloride</t>
  </si>
  <si>
    <t>dichloro-s-triazine</t>
  </si>
  <si>
    <t>acesulfame-K</t>
  </si>
  <si>
    <t>ACETIC ACID</t>
  </si>
  <si>
    <t>NAPHTYLAIC ACID HYDRAZIDE</t>
  </si>
  <si>
    <t>dichloromethane sulfonic acid</t>
  </si>
  <si>
    <t>hexadiene</t>
  </si>
  <si>
    <t>1-chloro-dodecane</t>
  </si>
  <si>
    <t>TETRACHLOR FINFOS</t>
  </si>
  <si>
    <t>droppings water lice in 100 μm residue</t>
  </si>
  <si>
    <t>zinc sol. verm., 16 h, .. ° C</t>
  </si>
  <si>
    <t>phosphorus (yellow)</t>
  </si>
  <si>
    <t>heptachlor epoxide (sum)</t>
  </si>
  <si>
    <t>bis (2-butoxyethyl) phthalate</t>
  </si>
  <si>
    <t>methylphenoxybenzene</t>
  </si>
  <si>
    <t>3,4 ', 5-trichlorobiphenyl</t>
  </si>
  <si>
    <t>chloropyridine</t>
  </si>
  <si>
    <t>dichlorophenoxyethyl propionate</t>
  </si>
  <si>
    <t>POTASSIUM SALTS_OF_FATTY ACIDS</t>
  </si>
  <si>
    <t>diphenyl ether</t>
  </si>
  <si>
    <t>fungi, various</t>
  </si>
  <si>
    <t>2,3,3 ', 4,4', 5 ', 6-heptachlorobiphenyl</t>
  </si>
  <si>
    <t>hexanone</t>
  </si>
  <si>
    <t>dicyclopentanedione</t>
  </si>
  <si>
    <t>suspended substances</t>
  </si>
  <si>
    <t>fluorenone</t>
  </si>
  <si>
    <t>benzofuran</t>
  </si>
  <si>
    <t>silicate, non-ionic</t>
  </si>
  <si>
    <t>4,5-dichloro-2-octyl-isothiazolone</t>
  </si>
  <si>
    <t>tetramethylhexadiene</t>
  </si>
  <si>
    <t>F-specific RNA bacteriophages</t>
  </si>
  <si>
    <t>2.2 ', 3.3', 4.5-hexachlorobiphenyl</t>
  </si>
  <si>
    <t>somatic coliphages</t>
  </si>
  <si>
    <t>GLUFOSINATE_AMMONIUM</t>
  </si>
  <si>
    <t>dichloronaphthalene</t>
  </si>
  <si>
    <t>cations</t>
  </si>
  <si>
    <t>dichloroiodomethane</t>
  </si>
  <si>
    <t>propenyldioxolane</t>
  </si>
  <si>
    <t>date</t>
  </si>
  <si>
    <t>uniconazole</t>
  </si>
  <si>
    <t>hexachlorobutane</t>
  </si>
  <si>
    <t>dichlorobenzonitrile</t>
  </si>
  <si>
    <t>2,4,6-tribromoanisole</t>
  </si>
  <si>
    <t>aluminum, after filtration at 0.45 µm</t>
  </si>
  <si>
    <t>4-methylbenzenesulfonate</t>
  </si>
  <si>
    <t>ethyldiphenylenimine</t>
  </si>
  <si>
    <t>4-hydroxy-2,5,6-trichloroisophthalonitrile</t>
  </si>
  <si>
    <t>trimethyloxindole</t>
  </si>
  <si>
    <t>2,2 ', 3,4,4', 5,5 ', 6-octachlorobiphenyl</t>
  </si>
  <si>
    <t>phenyl-benzamide</t>
  </si>
  <si>
    <t>ethanoic acid</t>
  </si>
  <si>
    <t>sulfate</t>
  </si>
  <si>
    <t>2,2 ', 4,5', 6-pentachlorobiphenyl</t>
  </si>
  <si>
    <t>dihydro4H1-benzopyran4one</t>
  </si>
  <si>
    <t>tetramethylpiperidione</t>
  </si>
  <si>
    <t>CALCIUM CYANIDE</t>
  </si>
  <si>
    <t>POTASSIUM_HYDROGEN CARBONATE</t>
  </si>
  <si>
    <t>dihydromethoxy pyran</t>
  </si>
  <si>
    <t>octadecene</t>
  </si>
  <si>
    <t>pentanedienonitrile</t>
  </si>
  <si>
    <t>Cryptosporidium spp. (PI positive)</t>
  </si>
  <si>
    <t>2-ethyl-2-isobutyl-1,3-dioxolane</t>
  </si>
  <si>
    <t>bis (chloropentyl) ether</t>
  </si>
  <si>
    <t>oxygen saturation</t>
  </si>
  <si>
    <t>butyl nitrobenzene</t>
  </si>
  <si>
    <t>dimethylbenzeneethanol</t>
  </si>
  <si>
    <t>2,2 ', 5,6'-Tetrachlorobiphenyl</t>
  </si>
  <si>
    <t>2,3,4,5,6-pentachlorobiphenyl</t>
  </si>
  <si>
    <t>coronene</t>
  </si>
  <si>
    <t>di-iso-propyl phthalate</t>
  </si>
  <si>
    <t>isopropylethyl ether</t>
  </si>
  <si>
    <t>bromobutane</t>
  </si>
  <si>
    <t>butocarboxin sulfoxide</t>
  </si>
  <si>
    <t>hydropene</t>
  </si>
  <si>
    <t>METHYLMERCURICENZOATE</t>
  </si>
  <si>
    <t>N-nitrosodiphenylamine</t>
  </si>
  <si>
    <t>HEXYLENE GLYCOL</t>
  </si>
  <si>
    <t>methylphenanthrene</t>
  </si>
  <si>
    <t>o-terphenyl</t>
  </si>
  <si>
    <t>tetrachlororthophthalic acid</t>
  </si>
  <si>
    <t>Hexafluoropropene</t>
  </si>
  <si>
    <t>iso-propenylbenzene</t>
  </si>
  <si>
    <t>1-methoxy-2-propyl acetate</t>
  </si>
  <si>
    <t>chromium, after filtration at 0.45 µm</t>
  </si>
  <si>
    <t>dibromoiodomethane</t>
  </si>
  <si>
    <t>cyclohexylmethylphenol</t>
  </si>
  <si>
    <t>CHLOROFACINONE</t>
  </si>
  <si>
    <t>diethyl pentyl phosphate</t>
  </si>
  <si>
    <t>dichloro (a-methyl) benzenemethanol</t>
  </si>
  <si>
    <t>phenylaziridine</t>
  </si>
  <si>
    <t>Metazachlor C metabolite</t>
  </si>
  <si>
    <t>1,3,5-tri-isopropylbenzene</t>
  </si>
  <si>
    <t>methylbenzofuran</t>
  </si>
  <si>
    <t>deoxicorticosterone</t>
  </si>
  <si>
    <t>TAR OIL</t>
  </si>
  <si>
    <t>ACEFATE</t>
  </si>
  <si>
    <t>2,2 ', 3,4,5,6-hexachlorobiphenyl</t>
  </si>
  <si>
    <t>2-amino-5-methylbenzene sulfonate</t>
  </si>
  <si>
    <t>N- (t-butyl) -O-3-dimethyl urylphenyl carbamate</t>
  </si>
  <si>
    <t>turbidity visual</t>
  </si>
  <si>
    <t>2,2 ', 3,4', 5,5'-Hexachlorobiphenyl</t>
  </si>
  <si>
    <t>methylprednisolone</t>
  </si>
  <si>
    <t>2,4-dichloorbenzo‰zuur</t>
  </si>
  <si>
    <t>2,4-dichlorobenzoic acid</t>
  </si>
  <si>
    <t>2,4 + 2,5 + 2,6-dichloromethylbenzene</t>
  </si>
  <si>
    <t>didecyl phthalate</t>
  </si>
  <si>
    <t>2,3,4,6-tetrachlorobiphenyl</t>
  </si>
  <si>
    <t>methoxynitromethylbenzene</t>
  </si>
  <si>
    <t>3,5,5-trimethyl-2-cyclohexen-1-one</t>
  </si>
  <si>
    <t>2,2 ', 3,3', 5,6,6'-Heptachlorobiphenyl</t>
  </si>
  <si>
    <t>2,4-DB (4- (2,4-dichlorophenoxy) butyric acid)</t>
  </si>
  <si>
    <t>diphenylacetonitrile</t>
  </si>
  <si>
    <t>molybdenum, after filtration at 0.45 µm</t>
  </si>
  <si>
    <t>trimethyl (hydroxymethylpropyl) propanoate</t>
  </si>
  <si>
    <t>n-pentane</t>
  </si>
  <si>
    <t>2,3 + 3,4-dichloromethylbenzene</t>
  </si>
  <si>
    <t>chlorallyl alcohol</t>
  </si>
  <si>
    <t>butylthiophenol</t>
  </si>
  <si>
    <t>dichlorophenylethanone</t>
  </si>
  <si>
    <t>2,3 ', 4,4'-tetrachlorobiphenyl</t>
  </si>
  <si>
    <t>benzoquinoline</t>
  </si>
  <si>
    <t>dichloromethoxybenzene</t>
  </si>
  <si>
    <t>trimethyl disulfide</t>
  </si>
  <si>
    <t>dibutylhydroxybenzaldehyde</t>
  </si>
  <si>
    <t>n-pentadecane</t>
  </si>
  <si>
    <t>ethylhexyl diphenyl phthalate</t>
  </si>
  <si>
    <t>brown part of droppings waterlice</t>
  </si>
  <si>
    <t>tripropyl phosphate</t>
  </si>
  <si>
    <t>ignition residue, 600 øC</t>
  </si>
  <si>
    <t>dimethyl benzyl ether</t>
  </si>
  <si>
    <t>hero ‹ne</t>
  </si>
  <si>
    <t>propoxyphenol</t>
  </si>
  <si>
    <t>ethoxybutane</t>
  </si>
  <si>
    <t>ethiophencarb sulfone</t>
  </si>
  <si>
    <t>2,3,3 ', 4,6-pentachlorobiphenyl</t>
  </si>
  <si>
    <t>nauplius larvae</t>
  </si>
  <si>
    <t>sum of nonylphenols</t>
  </si>
  <si>
    <t>N, N-dimethylbenzylaniline</t>
  </si>
  <si>
    <t>2,3,3 ', 6-tetrachlorobiphenyl</t>
  </si>
  <si>
    <t>DIETHYLENE GLYCOL</t>
  </si>
  <si>
    <t>dichlorofluorodifluorochloroethane (freon 113)</t>
  </si>
  <si>
    <t>delta-HCH (delta-hexachlorocyclohexane)</t>
  </si>
  <si>
    <t>o-phenylphenol</t>
  </si>
  <si>
    <t>Gentisic acid</t>
  </si>
  <si>
    <t>naphthylisocyanide</t>
  </si>
  <si>
    <t>dichlorobutene</t>
  </si>
  <si>
    <t>colony number 22 øC, 3 dg GGA pour plate</t>
  </si>
  <si>
    <t>naphthylamine</t>
  </si>
  <si>
    <t>4,5-dimethylene phenanthrene</t>
  </si>
  <si>
    <t>trichlorobutene</t>
  </si>
  <si>
    <t>hydrogen carbonate, after filtration</t>
  </si>
  <si>
    <t>chlorobutene</t>
  </si>
  <si>
    <t>naphthalene-1,3,5-trisulfonate</t>
  </si>
  <si>
    <t>tris (2-chloroisopropyl) phosphate</t>
  </si>
  <si>
    <t>hexadecane</t>
  </si>
  <si>
    <t>diisobutyl ketone</t>
  </si>
  <si>
    <t>tributyltin cation</t>
  </si>
  <si>
    <t>methyl bromide (bromomethane)</t>
  </si>
  <si>
    <t>chlorpyrifos</t>
  </si>
  <si>
    <t>METHYLESTERS_VAN_FATTY ACIDS_C6_C12</t>
  </si>
  <si>
    <t>COD, chem. oxygen consumption</t>
  </si>
  <si>
    <t>nude amoeba (Gymnamoebia)</t>
  </si>
  <si>
    <t>dimethoxypropane</t>
  </si>
  <si>
    <t>8-hydroxyquinoline</t>
  </si>
  <si>
    <t>2,3,5-trichlorobiphenyl</t>
  </si>
  <si>
    <t>hexylphenol</t>
  </si>
  <si>
    <t>2,3,3 ', 4,4', 5,5 ', 6-octachlorobiphenyl</t>
  </si>
  <si>
    <t>HEXAZINONE</t>
  </si>
  <si>
    <t>antimony</t>
  </si>
  <si>
    <t>CYPROCONAZOLE</t>
  </si>
  <si>
    <t>depth of view</t>
  </si>
  <si>
    <t>amphipods (Gammaridae)</t>
  </si>
  <si>
    <t>dicyclohexyl phthalate (DCHP)</t>
  </si>
  <si>
    <t>2.2 ', 3.3', 4,6-hexachlorobiphenyl</t>
  </si>
  <si>
    <t>AOBr (ads.org bromine)</t>
  </si>
  <si>
    <t>tetradecene</t>
  </si>
  <si>
    <t>GIBBERELLIN_A4 + A7</t>
  </si>
  <si>
    <t>2,2 ', 3,4', 6-pentachlorobiphenyl</t>
  </si>
  <si>
    <t>2,3,4,4'-Tetrachlorobiphenyl</t>
  </si>
  <si>
    <t>dipentyl ether</t>
  </si>
  <si>
    <t>ethyl tertiary butyl ether</t>
  </si>
  <si>
    <t>tri-3-cresyl phosphate (TCP)</t>
  </si>
  <si>
    <t>thiomethylbenzothiazole</t>
  </si>
  <si>
    <t>2,3,5,6-tetrachlorobiphenyl</t>
  </si>
  <si>
    <t>2,4- and 2,5-dichloroaniline</t>
  </si>
  <si>
    <t>METOLACHLORINE</t>
  </si>
  <si>
    <t>anthraquinone-1,5-disulfonate</t>
  </si>
  <si>
    <t>PENCONAZOLE</t>
  </si>
  <si>
    <t>dibutyl benzoquinone</t>
  </si>
  <si>
    <t>2,4,5-T (2,4,5-trichlorophenoxyacetic acid)</t>
  </si>
  <si>
    <t>metalaxyl metabolite cga 62826</t>
  </si>
  <si>
    <t>hexamethylcyclotrisiloxane</t>
  </si>
  <si>
    <t>pesticides (sum)</t>
  </si>
  <si>
    <t>rotifers (Rotifera)</t>
  </si>
  <si>
    <t>2,4-D methyl ester</t>
  </si>
  <si>
    <t>metolachlor-OA</t>
  </si>
  <si>
    <t>molybdenum</t>
  </si>
  <si>
    <t>anthranilic acid</t>
  </si>
  <si>
    <t>1,3-diisopropylbenzene</t>
  </si>
  <si>
    <t>trans- propiconazool</t>
  </si>
  <si>
    <t>trans-propiconazole</t>
  </si>
  <si>
    <t>metolachlor-ESA</t>
  </si>
  <si>
    <t>Cryptosporidium spp. (total)</t>
  </si>
  <si>
    <t>phenyl isothiocyanate</t>
  </si>
  <si>
    <t>1- (1-methyl-2- (2-propenyloxy) ethoxy) -2-propanol</t>
  </si>
  <si>
    <t>2,3,3 ', 4', 5,5 ', 6-heptachlorobiphenyl</t>
  </si>
  <si>
    <t>2,3 ', 4'-trichlorobiphenyl</t>
  </si>
  <si>
    <t>trimethoxymethane</t>
  </si>
  <si>
    <t>naphthalene-1,6-disulfonate</t>
  </si>
  <si>
    <t>butylphenoxyethanol</t>
  </si>
  <si>
    <t>2-aminonaphthalene-1,5-disulfonate</t>
  </si>
  <si>
    <t>deoximetasone</t>
  </si>
  <si>
    <t>total iron content, titrimetrically determined</t>
  </si>
  <si>
    <t>METHOXYPHENOZIDE</t>
  </si>
  <si>
    <t>perfluorobutane sulfonic acid (PFBS)</t>
  </si>
  <si>
    <t>N-Acetyl-4-aminoantipyrin</t>
  </si>
  <si>
    <t>valeryl furan</t>
  </si>
  <si>
    <t>empty cell walls ‚‚ ncelligen</t>
  </si>
  <si>
    <t>octanone</t>
  </si>
  <si>
    <t>dimethylnaphthothiophenol</t>
  </si>
  <si>
    <t>thiocyanate</t>
  </si>
  <si>
    <t>2.2 ', 3.3', 6-pentachlorobiphenyl</t>
  </si>
  <si>
    <t>hydroxybutyl methanoate</t>
  </si>
  <si>
    <t>carbamazepine epoxide 10.11</t>
  </si>
  <si>
    <t>3,3 ', 5-trichlorobiphenyl</t>
  </si>
  <si>
    <t>orange part of droppings waterlice</t>
  </si>
  <si>
    <t>silver, after filtration at 0.45 µm</t>
  </si>
  <si>
    <t>flucithrinate</t>
  </si>
  <si>
    <t>other material in 100 µm residue</t>
  </si>
  <si>
    <t>dimethyl ketone</t>
  </si>
  <si>
    <t>O_PHENYLPHENOL</t>
  </si>
  <si>
    <t>2,2 ', 3,4', 6'-Pentachlorobiphenyl</t>
  </si>
  <si>
    <t>2,2 ', 3,4,4', 5,6-heptachlorobiphenyl</t>
  </si>
  <si>
    <t>bis (2-methoxyethyl) phthalate</t>
  </si>
  <si>
    <t>POTASSIUM PHOSPHONATES</t>
  </si>
  <si>
    <t>sulfamic acid</t>
  </si>
  <si>
    <t>2,3 ', 5', 6-tetrachlorobiphenyl</t>
  </si>
  <si>
    <t>ethylbenzene ethanoate</t>
  </si>
  <si>
    <t>Naphthalene-2-sulfonate</t>
  </si>
  <si>
    <t>diethyl sulfide</t>
  </si>
  <si>
    <t>butyl diphenyl ether</t>
  </si>
  <si>
    <t>2,2 ', 3,3', 6,6'-hexachlorobiphenyl</t>
  </si>
  <si>
    <t>chlorothiophos sulfone</t>
  </si>
  <si>
    <t>reoviruses</t>
  </si>
  <si>
    <t>3-hydroxynaphthalene-2,7-disulfonate</t>
  </si>
  <si>
    <t>ethylnitromethylbenzene</t>
  </si>
  <si>
    <t>fenvalerate and esfenvalerate (sum RS&amp;SR)</t>
  </si>
  <si>
    <t>tetramethylindane</t>
  </si>
  <si>
    <t>CHLORPHENVINPHOS</t>
  </si>
  <si>
    <t>theoretically deposited calcium carbonate at 10øC, TACC10</t>
  </si>
  <si>
    <t>BOD (biochem. Oxygen consumption)</t>
  </si>
  <si>
    <t>PLIFENATE</t>
  </si>
  <si>
    <t>hexatriacontane</t>
  </si>
  <si>
    <t>2,2 ', 3,4,4', 6'-hexachlorobiphenyl</t>
  </si>
  <si>
    <t>4-t-butyl-2-methylthiophenol</t>
  </si>
  <si>
    <t>5-nitro-2-methylbenzenesulfonic acid</t>
  </si>
  <si>
    <t>2,6-dinitromethylbenzene</t>
  </si>
  <si>
    <t>animal organisms, total</t>
  </si>
  <si>
    <t>dimethylbenzofuranone</t>
  </si>
  <si>
    <t>5-methyl-1-H-benzotriazole</t>
  </si>
  <si>
    <t>cis-chlorphenvinphos</t>
  </si>
  <si>
    <t>neodymium, after filtration at 0.45 µm</t>
  </si>
  <si>
    <t>flavor number, quantitative</t>
  </si>
  <si>
    <t>2,3 ', 6-trichlorobiphenyl</t>
  </si>
  <si>
    <t>nitroacetophenone</t>
  </si>
  <si>
    <t>di-t-butylphenol</t>
  </si>
  <si>
    <t>hexacosane</t>
  </si>
  <si>
    <t>trimethylthiothiophosphate</t>
  </si>
  <si>
    <t>SODIUM SILVER THIOSULPHATE</t>
  </si>
  <si>
    <t>octatriacontane</t>
  </si>
  <si>
    <t>5,6-dimethyl-1H-benzotriazole</t>
  </si>
  <si>
    <t>PROPYLBUTYLPHENOXYAC.</t>
  </si>
  <si>
    <t>copepods (Copepoda), total</t>
  </si>
  <si>
    <t>diethylmethylcyclopenteneethanone</t>
  </si>
  <si>
    <t>terbuconazole</t>
  </si>
  <si>
    <t>volume of sediment in 100 µm residue</t>
  </si>
  <si>
    <t>DI_N_PROPYL_ISOCINCHOMERONATE</t>
  </si>
  <si>
    <t>1,3-dimethylbenzene</t>
  </si>
  <si>
    <t>dimer of caprolactam</t>
  </si>
  <si>
    <t>isopropyldiphenylamine</t>
  </si>
  <si>
    <t>2,3 ', 4,5,5'-pentachlorobiphenyl</t>
  </si>
  <si>
    <t>TRICHLORONATE</t>
  </si>
  <si>
    <t>chlorfenvinphos (beta)</t>
  </si>
  <si>
    <t>di (2-ethylhexyl) phthalate</t>
  </si>
  <si>
    <t>2,2 ', 6-trichlorobiphenyl</t>
  </si>
  <si>
    <t>sum chlorophyll-a and fae pigments</t>
  </si>
  <si>
    <t>fungi, total</t>
  </si>
  <si>
    <t>2,4,4 ', 6-tetrachlorobiphenyl</t>
  </si>
  <si>
    <t>propylhexanamine</t>
  </si>
  <si>
    <t>octa-methyl-tetrasiloxane</t>
  </si>
  <si>
    <t>methylindane</t>
  </si>
  <si>
    <t>silicate</t>
  </si>
  <si>
    <t>dimethyl ethyl propanoate</t>
  </si>
  <si>
    <t>BROMINE PROPYLATE</t>
  </si>
  <si>
    <t>3,4'-dichlorobiphenyl</t>
  </si>
  <si>
    <t>isopropylphenylpropanol</t>
  </si>
  <si>
    <t>4-n-butyl acetophenone</t>
  </si>
  <si>
    <t>gold algae (Chrysophyceae)</t>
  </si>
  <si>
    <t>phospholan</t>
  </si>
  <si>
    <t>dissolved organic carbon (DOC)</t>
  </si>
  <si>
    <t>3-chloromethoxyaniline</t>
  </si>
  <si>
    <t>2,3,3 ', 4,5,5', 6-heptachlorobiphenyl</t>
  </si>
  <si>
    <t>trimethylphenol</t>
  </si>
  <si>
    <t>butylcyclohexanone</t>
  </si>
  <si>
    <t>scale amoebas (Testacea)</t>
  </si>
  <si>
    <t>dimethylnitropentane</t>
  </si>
  <si>
    <t>N-methyl-N-phenylformamide</t>
  </si>
  <si>
    <t>trimethylnaphthalene</t>
  </si>
  <si>
    <t>BENZYL BENZOATE</t>
  </si>
  <si>
    <t>N-Formyl-4-aminoantipyrin</t>
  </si>
  <si>
    <t>tri (1,3-dichloro-2-propyl) phosphate</t>
  </si>
  <si>
    <t>SPIRITRED_CARBON SEED OIL</t>
  </si>
  <si>
    <t>PHENOTHRIN</t>
  </si>
  <si>
    <t>Dibromomethanesulfonic acid</t>
  </si>
  <si>
    <t>arsenic, after filtration at 0.45 µm</t>
  </si>
  <si>
    <t>2,3'-dichlorobiphenyl</t>
  </si>
  <si>
    <t>Vigabatrin</t>
  </si>
  <si>
    <t>dimethyl toluidine</t>
  </si>
  <si>
    <t>pieces of asbestos cement in 500 µm residue</t>
  </si>
  <si>
    <t>naphthalene sulfonic acid 2</t>
  </si>
  <si>
    <t>1-amino-8-hydroxynaphthalene-2,4-disulfonic acid</t>
  </si>
  <si>
    <t>hydrogen carbonate</t>
  </si>
  <si>
    <t>methyl salicylate</t>
  </si>
  <si>
    <t>ethyl benzyl ether</t>
  </si>
  <si>
    <t>octylphenol</t>
  </si>
  <si>
    <t>2,2 ', 4,4', 5,6'-Hexachlorobiphenyl</t>
  </si>
  <si>
    <t>PCBs (sum)</t>
  </si>
  <si>
    <t>dimethylphenanthrene</t>
  </si>
  <si>
    <t>sulfisoxazole</t>
  </si>
  <si>
    <t>3-chloro-2-methyl-aniline</t>
  </si>
  <si>
    <t>amino-phenylbutanone</t>
  </si>
  <si>
    <t>phenoxyphenol</t>
  </si>
  <si>
    <t>remainder beta-radioact. (up to-K40)</t>
  </si>
  <si>
    <t>thiocyclam hydrogen oxalate</t>
  </si>
  <si>
    <t>trimethylbenzene</t>
  </si>
  <si>
    <t>N, N-dimethyl sulfamide (DMS)</t>
  </si>
  <si>
    <t>pirimiphos-ethyl</t>
  </si>
  <si>
    <t>2- (methylthio) benzothiazole</t>
  </si>
  <si>
    <t>dimethoxybutane</t>
  </si>
  <si>
    <t>BOX</t>
  </si>
  <si>
    <t>decene</t>
  </si>
  <si>
    <t>p, p'-DDT</t>
  </si>
  <si>
    <t>Naphthalam</t>
  </si>
  <si>
    <t>1- (2-methoxy-1-methylethoxy) -2-propanol</t>
  </si>
  <si>
    <t>imibenconazole</t>
  </si>
  <si>
    <t>crustaceans (Crustacea), total</t>
  </si>
  <si>
    <t>2-aminonaphthalene-6-sulfonate</t>
  </si>
  <si>
    <t>tetra-oxo-dodecane</t>
  </si>
  <si>
    <t>8,8-methylenebis-2-naphthalene sulfonic acid sodium salt</t>
  </si>
  <si>
    <t>methylethenylbenzene</t>
  </si>
  <si>
    <t>triacontane</t>
  </si>
  <si>
    <t>IRON (III) PHOSPHATE</t>
  </si>
  <si>
    <t>BIFENASATE</t>
  </si>
  <si>
    <t>dichloronitrobenzene</t>
  </si>
  <si>
    <t>GIBBERELLIC ACID</t>
  </si>
  <si>
    <t>chlorpyrifos-methyl</t>
  </si>
  <si>
    <t>cyclopentanone</t>
  </si>
  <si>
    <t>butyl benzyl phthalate</t>
  </si>
  <si>
    <t>bacteri‰n Coligroep (37 øC, MWA-methode)</t>
  </si>
  <si>
    <t>bacteria Coli group (37 øC, MWA method)</t>
  </si>
  <si>
    <t>trifluoromethylaniline</t>
  </si>
  <si>
    <t>copper oxyquinolate</t>
  </si>
  <si>
    <t>spiromesifen metabolite M01</t>
  </si>
  <si>
    <t>methylindene</t>
  </si>
  <si>
    <t>fragrance, qualitative</t>
  </si>
  <si>
    <t>pentylbenzene</t>
  </si>
  <si>
    <t>2-hydroxynaphthalene-6-disulfonate</t>
  </si>
  <si>
    <t>faeo pigments during determination of chlorophyll-a</t>
  </si>
  <si>
    <t>polybutenes</t>
  </si>
  <si>
    <t>2,3 ', 4,5'-Tetrachlorobiphenyl</t>
  </si>
  <si>
    <t>2,3,3 ', 4', 5,5'-hexachlorobiphenyl</t>
  </si>
  <si>
    <t>fenvalerate and esfenvalerate (sum RR&amp;SS)</t>
  </si>
  <si>
    <t>chlorphenamidine</t>
  </si>
  <si>
    <t>dichloromethyl benzoate</t>
  </si>
  <si>
    <t>piproctanylium bromide</t>
  </si>
  <si>
    <t>vinyl benzyl alcohol</t>
  </si>
  <si>
    <t>selenium, after filtration at 0.45 µm</t>
  </si>
  <si>
    <t>samarium, after filtration at 0.45 µm</t>
  </si>
  <si>
    <t>dimethachlorosulphonic acid</t>
  </si>
  <si>
    <t>arsenic V</t>
  </si>
  <si>
    <t>METAZACHLOR</t>
  </si>
  <si>
    <t>ethylenediaminetetraacetic acid</t>
  </si>
  <si>
    <t>dimethoxyethane</t>
  </si>
  <si>
    <t>thorium, after filtration at 0.45 µm</t>
  </si>
  <si>
    <t>dimethachlor metabolite cga 36987</t>
  </si>
  <si>
    <t>POTASSIUM THIOCYANATE</t>
  </si>
  <si>
    <t>talofuranosis</t>
  </si>
  <si>
    <t>meprobamate</t>
  </si>
  <si>
    <t>CHLORALHYDRATE</t>
  </si>
  <si>
    <t>Silica algae (Bacillariophyceae)</t>
  </si>
  <si>
    <t>dodecene</t>
  </si>
  <si>
    <t>ethyl citrate</t>
  </si>
  <si>
    <t>ephedrine</t>
  </si>
  <si>
    <t>2,3,6-trichlorobenzoic acid</t>
  </si>
  <si>
    <t>ISODECYL ALCOHOLETHOXYLATE</t>
  </si>
  <si>
    <t>2,2 ', 4,5,6'-pentachlorobiphenyl</t>
  </si>
  <si>
    <t>chloronitroaniline</t>
  </si>
  <si>
    <t>cumylphenol</t>
  </si>
  <si>
    <t>ethoxy propoxy ethanol</t>
  </si>
  <si>
    <t>flavor dilution factor at 25øC / 20øC</t>
  </si>
  <si>
    <t>2,2 ', 3,6,6'-pentachlorobiphenyl</t>
  </si>
  <si>
    <t>water lice (Asellidae)</t>
  </si>
  <si>
    <t>2,3,3 ', 4', 5,6-hexachlorobiphenyl</t>
  </si>
  <si>
    <t>trimethyl trioxane</t>
  </si>
  <si>
    <t>chlorothal-methyl</t>
  </si>
  <si>
    <t>nitronaphthalene</t>
  </si>
  <si>
    <t>bacteri‰n Coligroep (37 øC)</t>
  </si>
  <si>
    <t>bacteria Coli group (37 øC)</t>
  </si>
  <si>
    <t>di-dodecyl phthalate</t>
  </si>
  <si>
    <t>nitropentane</t>
  </si>
  <si>
    <t>2- (1,1-dimethyl-ethyl) -dimethyl-1-phenylaziridine</t>
  </si>
  <si>
    <t>dichlorotoluidine</t>
  </si>
  <si>
    <t>2,2 ', 3,5,6-pentachlorobiphenyl</t>
  </si>
  <si>
    <t>trichloroethyl phosphate</t>
  </si>
  <si>
    <t>mussel lobsters (Ostracoda)</t>
  </si>
  <si>
    <t>4-n-butyl benzene sulfonate</t>
  </si>
  <si>
    <t>dibutyl fumarate</t>
  </si>
  <si>
    <t>redox potential</t>
  </si>
  <si>
    <t>1-methyl-4-isopropylbenzene</t>
  </si>
  <si>
    <t>anthranilic acid isopropylamide</t>
  </si>
  <si>
    <t>mercury, after filtration at 0.45 µm</t>
  </si>
  <si>
    <t>dimethyl octanediol</t>
  </si>
  <si>
    <t>lidoca ‹ne</t>
  </si>
  <si>
    <t>diphenylenimine</t>
  </si>
  <si>
    <t>pentanone</t>
  </si>
  <si>
    <t>AOI (ads.org. B.iodine)</t>
  </si>
  <si>
    <t>ETHEPHONE</t>
  </si>
  <si>
    <t>2,3,3 ', 4,5,5'-Hexachlorobiphenyl</t>
  </si>
  <si>
    <t>2- and 4-methylaniline</t>
  </si>
  <si>
    <t>1-hydroxynaphthalene-4-sulfonate</t>
  </si>
  <si>
    <t>benzopyranone</t>
  </si>
  <si>
    <t>methyldioxolane</t>
  </si>
  <si>
    <t>1- (2-methoxypropoxy) -2-propanol</t>
  </si>
  <si>
    <t>dibenzyl ether</t>
  </si>
  <si>
    <t>ZINC PHOSPHIDE</t>
  </si>
  <si>
    <t>CHLORTHIAMIDE</t>
  </si>
  <si>
    <t>TOP ZONE</t>
  </si>
  <si>
    <t>trimethyl trisulfide</t>
  </si>
  <si>
    <t>dipalmityldimethylamonium chloride (TDMAC)</t>
  </si>
  <si>
    <t>CITRONELLA_OIL</t>
  </si>
  <si>
    <t>isopropyl salicylate</t>
  </si>
  <si>
    <t>eicosan</t>
  </si>
  <si>
    <t>2,3 ', 4', 5,5'-Pentachlorobiphenyl</t>
  </si>
  <si>
    <t>dimethyl phenyl ether</t>
  </si>
  <si>
    <t>polyborates</t>
  </si>
  <si>
    <t>methoxynitrobenzene</t>
  </si>
  <si>
    <t>hydrocortisone</t>
  </si>
  <si>
    <t>N-methyl-3,4-methylenedioxyamphetamine</t>
  </si>
  <si>
    <t>CREOSOT / CRESOL</t>
  </si>
  <si>
    <t>volume of sediment in 30 µm residue</t>
  </si>
  <si>
    <t>trifluoromethylbenzene</t>
  </si>
  <si>
    <t>hexanamine</t>
  </si>
  <si>
    <t>aldosterone</t>
  </si>
  <si>
    <t>2,2 ', 3,3', 4,4 ', 6,6'-octachlorobiphenyl</t>
  </si>
  <si>
    <t>dichloroacetamide</t>
  </si>
  <si>
    <t>S-butylbenzene</t>
  </si>
  <si>
    <t>bis (4-chlorobutyl) ether</t>
  </si>
  <si>
    <t>Salmonella spp.</t>
  </si>
  <si>
    <t>naphthalene-1,7-disulfonate</t>
  </si>
  <si>
    <t>3-Bromophenol</t>
  </si>
  <si>
    <t>decamethylcyclopentasiloxane</t>
  </si>
  <si>
    <t>PHENAMINOSULF</t>
  </si>
  <si>
    <t>2,2,5,5-tetramethyltetrahydrofuran</t>
  </si>
  <si>
    <t>ethylphenol</t>
  </si>
  <si>
    <t>2,4-dichlorobiphenyl</t>
  </si>
  <si>
    <t>isobutyl benzoate</t>
  </si>
  <si>
    <t>anthraquinone-2-sulfonate</t>
  </si>
  <si>
    <t>dimethyl methyl benzoate</t>
  </si>
  <si>
    <t>strontium, after filtration at 0.45 µm</t>
  </si>
  <si>
    <t>2,3 ', 4,5', 6-pentachlorobiphenyl</t>
  </si>
  <si>
    <t>dichlorotrifluoromethylbenzene</t>
  </si>
  <si>
    <t>perfluorodecan sulfonic acid (PFDS)</t>
  </si>
  <si>
    <t>nitrophen</t>
  </si>
  <si>
    <t>carbon, blow-out</t>
  </si>
  <si>
    <t>paris green</t>
  </si>
  <si>
    <t>methoxymethylpropane</t>
  </si>
  <si>
    <t>ethyl methylcyclohexanone</t>
  </si>
  <si>
    <t>trimethylbenzothiazole</t>
  </si>
  <si>
    <t>chloramben</t>
  </si>
  <si>
    <t>cationic detergents</t>
  </si>
  <si>
    <t>tridecene</t>
  </si>
  <si>
    <t>diethyldianthogenic</t>
  </si>
  <si>
    <t>2,4-dichloromethylbenzene</t>
  </si>
  <si>
    <t>2,2 ', 3,4'-Tetrachlorobiphenyl</t>
  </si>
  <si>
    <t>3,4,4'-trichlorobiphenyl</t>
  </si>
  <si>
    <t>sum trihalomethanes</t>
  </si>
  <si>
    <t>MINERAL_OIL</t>
  </si>
  <si>
    <t>1- (3-chloro-4-methylphenyl) urea</t>
  </si>
  <si>
    <t>triphenylethanol phosphate</t>
  </si>
  <si>
    <t>GARLIC_EXTRACT</t>
  </si>
  <si>
    <t>1-phenyl-2,4-hexadyne-1-one, (9Cl)</t>
  </si>
  <si>
    <t>N, N-Dimethyl-N'-tolylsulfonyl diamide</t>
  </si>
  <si>
    <t>indeno (1,2,3-cd) pyrene</t>
  </si>
  <si>
    <t>2-ethyl-5-methyl-3,3-diphenyl-1-pyrroline</t>
  </si>
  <si>
    <t>SODIUM BORATE</t>
  </si>
  <si>
    <t>copper</t>
  </si>
  <si>
    <t>2-aminonaphthalene-1-sulfonate</t>
  </si>
  <si>
    <t>perfluoroheptane sulfonic acid (PFHpS)</t>
  </si>
  <si>
    <t>tetracosan</t>
  </si>
  <si>
    <t>total available chlorine</t>
  </si>
  <si>
    <t>synthetic_latex</t>
  </si>
  <si>
    <t>iron, after filtration over 0.45 µm</t>
  </si>
  <si>
    <t>methoxyphenol</t>
  </si>
  <si>
    <t>nickel</t>
  </si>
  <si>
    <t>ignition residue, ... øC</t>
  </si>
  <si>
    <t>total inorganic carbon</t>
  </si>
  <si>
    <t>FLUCYTHRINATE</t>
  </si>
  <si>
    <t>di-n-pentyl phthalate</t>
  </si>
  <si>
    <t>o-benzyl-p-chlorophenol</t>
  </si>
  <si>
    <t>butoxycarboxime</t>
  </si>
  <si>
    <t>diethyl phenyl ether</t>
  </si>
  <si>
    <t>trichloromethoxybenzene</t>
  </si>
  <si>
    <t>colony number 37 øC, 2 dg GGA pour plate</t>
  </si>
  <si>
    <t>AMMONIUM SULPHATE</t>
  </si>
  <si>
    <t>PELARGONIC ACID</t>
  </si>
  <si>
    <t>4_CHLOROPHENOXYACETIC ACID</t>
  </si>
  <si>
    <t>FENVALERATE</t>
  </si>
  <si>
    <t>perfluorobutane sulfonate</t>
  </si>
  <si>
    <t>potassium</t>
  </si>
  <si>
    <t>2,3,4,6- and 2,3,5,6-tetrachlorophenol</t>
  </si>
  <si>
    <t>3-chloro-4- (dichloromethyl) -5-hydroxy-2 (5H) -furanone</t>
  </si>
  <si>
    <t>2,3,3 ', 4,4', 5,5'-Heptachlorobiphenyl</t>
  </si>
  <si>
    <t>methylindazolone</t>
  </si>
  <si>
    <t>2,4- and 2,5-dimethylphenol</t>
  </si>
  <si>
    <t>bromodichloromethane</t>
  </si>
  <si>
    <t>CHLORMEQUAT</t>
  </si>
  <si>
    <t>Spiramycin I</t>
  </si>
  <si>
    <t>3,3 ', 4-trichlorobiphenyl</t>
  </si>
  <si>
    <t>copper dissolving power, 16 h, .. ° C</t>
  </si>
  <si>
    <t>triamcinolone</t>
  </si>
  <si>
    <t>methyl tertiary butyl ether (MTBE)</t>
  </si>
  <si>
    <t>camphor</t>
  </si>
  <si>
    <t>UMU test</t>
  </si>
  <si>
    <t>diethylpentanamine</t>
  </si>
  <si>
    <t>trimethyl citrate</t>
  </si>
  <si>
    <t>chlorphenyldibutylurea</t>
  </si>
  <si>
    <t>trimethoxyethylbenzene</t>
  </si>
  <si>
    <t>QUARTZ SAND</t>
  </si>
  <si>
    <t>SELECTIVE_WORK.OIL</t>
  </si>
  <si>
    <t>total beta radioactivity</t>
  </si>
  <si>
    <t>Naphthol-1</t>
  </si>
  <si>
    <t>diethoxybenzene</t>
  </si>
  <si>
    <t>methylphenyloxyethanol</t>
  </si>
  <si>
    <t>diethyl disulfide</t>
  </si>
  <si>
    <t>CARBON SEED OIL</t>
  </si>
  <si>
    <t>mevinphos (cis + trans)</t>
  </si>
  <si>
    <t>methyl isothiocyanate (MITC)</t>
  </si>
  <si>
    <t>uranium, after filtration at 0.45 µm</t>
  </si>
  <si>
    <t>p, p'-DDD</t>
  </si>
  <si>
    <t>CALCIUM (POLY) SULFIDE</t>
  </si>
  <si>
    <t>ISOXAFLUTOOL_ (1998)</t>
  </si>
  <si>
    <t>ALUMINUM PHOSPHIDE</t>
  </si>
  <si>
    <t>2-2'-dichlorobiphenyl</t>
  </si>
  <si>
    <t>chlorphenylethanol</t>
  </si>
  <si>
    <t>PAK, 6 from Borneff</t>
  </si>
  <si>
    <t>freely available chlorine</t>
  </si>
  <si>
    <t>diacetone acrylamide</t>
  </si>
  <si>
    <t>2,4,5-TP (2- (2,4,5-trichlorophenoxy) propionic acid)</t>
  </si>
  <si>
    <t>Ethyl sulfate</t>
  </si>
  <si>
    <t>perfluoropentane sulfonic acid (PFPeS)</t>
  </si>
  <si>
    <t>dry residue, 105 øC</t>
  </si>
  <si>
    <t>hydroquinone</t>
  </si>
  <si>
    <t>chlorobenzenethanol</t>
  </si>
  <si>
    <t>naphthalene-2,7-disulfonate</t>
  </si>
  <si>
    <t>share waterlice with head</t>
  </si>
  <si>
    <t>2,2-dimethoxybutane</t>
  </si>
  <si>
    <t>trans 4,4-diamimostilben 2,2-disulfonate</t>
  </si>
  <si>
    <t>trichlorodifluoroethane</t>
  </si>
  <si>
    <t>odor dilution factor at 25øC / 20øC</t>
  </si>
  <si>
    <t>Clostridium perfringens (including spores)</t>
  </si>
  <si>
    <t>absorbance 436 nm</t>
  </si>
  <si>
    <t>beige part of droppings waterlice</t>
  </si>
  <si>
    <t>monobromoacetic acid</t>
  </si>
  <si>
    <t>COPPER NAFTENATE</t>
  </si>
  <si>
    <t>fluotrimazole</t>
  </si>
  <si>
    <t>ethylene urea</t>
  </si>
  <si>
    <t>dihydro-inden-one</t>
  </si>
  <si>
    <t>sun animals (Heliozoa)</t>
  </si>
  <si>
    <t>trans-1-chloro-1-propene</t>
  </si>
  <si>
    <t>snails (Gastropoda)</t>
  </si>
  <si>
    <t>code ‹ne</t>
  </si>
  <si>
    <t>1,1,2-tribromoethylene</t>
  </si>
  <si>
    <t>zinc</t>
  </si>
  <si>
    <t>naphthalene-1,3-disulfonate</t>
  </si>
  <si>
    <t>2.2 ', 3.3', 5,6-hexachlorobiphenyl</t>
  </si>
  <si>
    <t>7 (H) -pteridinone</t>
  </si>
  <si>
    <t>2,6-dibromophenol</t>
  </si>
  <si>
    <t>2_NAFTOXYACETIC ACID</t>
  </si>
  <si>
    <t>stomach hairs (Gastrotricha)</t>
  </si>
  <si>
    <t>copper naphthenate</t>
  </si>
  <si>
    <t>methyl (methylethyl) (1a, 2b, 5b) cyclohexenone</t>
  </si>
  <si>
    <t>2- (phenyl sulfone) aniline</t>
  </si>
  <si>
    <t>2,2 ', 3,6'-Tetrachlorobiphenyl</t>
  </si>
  <si>
    <t>black lumps in 100 μm residue</t>
  </si>
  <si>
    <t>2-methyl-3-butyne-2-ol</t>
  </si>
  <si>
    <t>1H, 1H, 2H, 2H, -perfluoro-1-decanesulfonic acid (H4-PFDS)</t>
  </si>
  <si>
    <t>FERRI_PHOSPHATE</t>
  </si>
  <si>
    <t>ethylene glycol</t>
  </si>
  <si>
    <t>BROMOPHENOXIM</t>
  </si>
  <si>
    <t>3-bromoanisole</t>
  </si>
  <si>
    <t>propiconazole</t>
  </si>
  <si>
    <t>PIPERONYL BUTOXIDE</t>
  </si>
  <si>
    <t>JEWISH FOX</t>
  </si>
  <si>
    <t>pentanamine</t>
  </si>
  <si>
    <t>chlorobenzylate</t>
  </si>
  <si>
    <t>isopropylacetophenone</t>
  </si>
  <si>
    <t>4,4'-dichlorobiphenyl</t>
  </si>
  <si>
    <t>chunks of rust in 500 µm residue</t>
  </si>
  <si>
    <t>2,3-dichloro-1-propene</t>
  </si>
  <si>
    <t>alachlor-ESA</t>
  </si>
  <si>
    <t>pirimiphos-methyl</t>
  </si>
  <si>
    <t>bromophos-ethyl</t>
  </si>
  <si>
    <t>tetrachlorophthalic anhydride</t>
  </si>
  <si>
    <t>tetratriacontane</t>
  </si>
  <si>
    <t>hexyloxyphenol</t>
  </si>
  <si>
    <t>bits of bitumen in 500 µm residue</t>
  </si>
  <si>
    <t>EOX (extra org. Built hal.)</t>
  </si>
  <si>
    <t>benzotriazole</t>
  </si>
  <si>
    <t>benzothiophene</t>
  </si>
  <si>
    <t>chlorodiphenyl ether</t>
  </si>
  <si>
    <t>Bromophenylisothiazole</t>
  </si>
  <si>
    <t>trifluorochloromethylbenzene</t>
  </si>
  <si>
    <t>black part of droppings waterlice</t>
  </si>
  <si>
    <t>PROPACHLOR</t>
  </si>
  <si>
    <t>2,4-DB methyl ester</t>
  </si>
  <si>
    <t>1,1,1-trichloropropane</t>
  </si>
  <si>
    <t>ALKYLDIMETHYLETHYLBENZYLAMMONIUM CHLORIDE</t>
  </si>
  <si>
    <t>N-methylene-ethylene amine</t>
  </si>
  <si>
    <t>nitrodimethylbenzene</t>
  </si>
  <si>
    <t>2,4- and 2,6-dimethylaniline</t>
  </si>
  <si>
    <t>zinc, after filtration at 0.45 µm</t>
  </si>
  <si>
    <t>UV absorbance, 254 nm</t>
  </si>
  <si>
    <t>trifluoromethanesulfonic acid</t>
  </si>
  <si>
    <t>saturation index</t>
  </si>
  <si>
    <t>DIMETHOATE</t>
  </si>
  <si>
    <t>sum parameter [nitrate] / 50 + [nitrite] / 3</t>
  </si>
  <si>
    <t>wolman salts (sum of As, Cr, Cu)</t>
  </si>
  <si>
    <t>heptyl benzene</t>
  </si>
  <si>
    <t>benzenesulfonyl chloride</t>
  </si>
  <si>
    <t>3,4-dichlorobiphenyl</t>
  </si>
  <si>
    <t>(Z) _8_DODECEN_1_YL_ACETATE</t>
  </si>
  <si>
    <t>dinitrorhodane benzene</t>
  </si>
  <si>
    <t>EGV (elec. Conduct. Power, 20 øC)</t>
  </si>
  <si>
    <t>2-amino-5-hydroxynaphthalene-7-sulfonate</t>
  </si>
  <si>
    <t>phosphamidone isomers</t>
  </si>
  <si>
    <t>2- (1,1-dimethylethyl) cyclohexanone</t>
  </si>
  <si>
    <t>ethyl methyl benzene ethanoate</t>
  </si>
  <si>
    <t>butylmethylphenol</t>
  </si>
  <si>
    <t>dimethoxychloroaniline</t>
  </si>
  <si>
    <t>CHLORBUFAM</t>
  </si>
  <si>
    <t>nitromethylphenol</t>
  </si>
  <si>
    <t>Mebendazole</t>
  </si>
  <si>
    <t>arsenic</t>
  </si>
  <si>
    <t>insoluble matter after destruction</t>
  </si>
  <si>
    <t>Gabapentin</t>
  </si>
  <si>
    <t>GREEN MINT OIL</t>
  </si>
  <si>
    <t>mercury methoxyethyl</t>
  </si>
  <si>
    <t>ETHOPHUMESATE</t>
  </si>
  <si>
    <t>para-toluenesulfonamide</t>
  </si>
  <si>
    <t>methylhexanenitrile</t>
  </si>
  <si>
    <t>o- and p-cresol</t>
  </si>
  <si>
    <t>dihydro 1H purinedione</t>
  </si>
  <si>
    <t>oxyfluorphene</t>
  </si>
  <si>
    <t>4- and 5-chloro-2-methylaniline</t>
  </si>
  <si>
    <t>drill</t>
  </si>
  <si>
    <t>PIPROCTANYLIUM BROMIDE</t>
  </si>
  <si>
    <t>perfluonononane sulfonic acid (PFNS)</t>
  </si>
  <si>
    <t>2,2 ', 3,5-tetrachlorobiphenyl</t>
  </si>
  <si>
    <t>2,4- and 2,5-dichlorophenol</t>
  </si>
  <si>
    <t>dinoseb (2-sec-butyl-4,6-dinitrophenol)</t>
  </si>
  <si>
    <t>2,2 ', 4,5-tetrachlorobiphenyl</t>
  </si>
  <si>
    <t>sand in 100 μm residue</t>
  </si>
  <si>
    <t>POLYBUTENS</t>
  </si>
  <si>
    <t>temperature</t>
  </si>
  <si>
    <t>pyran</t>
  </si>
  <si>
    <t>bis (chloromethyl) ether</t>
  </si>
  <si>
    <t>CHLORPROFAM</t>
  </si>
  <si>
    <t>BENZOIC ACID</t>
  </si>
  <si>
    <t>dichlorobenzal chloride</t>
  </si>
  <si>
    <t>curl plastic in 500 μm residue</t>
  </si>
  <si>
    <t>(E_Z) _3_8_TETRADECADIEN_1_YL_ACETATE</t>
  </si>
  <si>
    <t>methacathinone</t>
  </si>
  <si>
    <t>2,2 ', 3,3'-Tetrachlorobiphenyl</t>
  </si>
  <si>
    <t>SILVER THIOSULPHATE</t>
  </si>
  <si>
    <t>2,3,4,5-tetrachlorobiphenyl</t>
  </si>
  <si>
    <t>GLYCOLS</t>
  </si>
  <si>
    <t>di (2-methyl-propyl) phthalate</t>
  </si>
  <si>
    <t>water fleas (Cladocera)</t>
  </si>
  <si>
    <t>nonylphenol polyglycoether</t>
  </si>
  <si>
    <t>lauryl dimethyl benzyl ammonium chloride</t>
  </si>
  <si>
    <t>methylcyclohexanone</t>
  </si>
  <si>
    <t>2- (2-propenyl) phenol</t>
  </si>
  <si>
    <t>tridecan</t>
  </si>
  <si>
    <t>benzofuranone</t>
  </si>
  <si>
    <t>ethyl octadecanoate</t>
  </si>
  <si>
    <t>turbidity</t>
  </si>
  <si>
    <t>free cyanide</t>
  </si>
  <si>
    <t>3-nitrobenzenesulphonate</t>
  </si>
  <si>
    <t>ANTHRACHINONE</t>
  </si>
  <si>
    <t>nitrilo triethanoic acid (NTA)</t>
  </si>
  <si>
    <t>2,2 ', 3,4,5,6,6'-Heptachlorobiphenyl</t>
  </si>
  <si>
    <t>trichloropropanone</t>
  </si>
  <si>
    <t>flatworms (Turbellaria)</t>
  </si>
  <si>
    <t>FORMIC ACID</t>
  </si>
  <si>
    <t>Benzene-1,3-disulfonate sodium salt</t>
  </si>
  <si>
    <t>dimethyl (methoxyphenyl) formamide</t>
  </si>
  <si>
    <t>2-chlorotoluene-4-sulfonate sodium salt</t>
  </si>
  <si>
    <t>SODIUM MARSENITE</t>
  </si>
  <si>
    <t>iso-nonylphenol</t>
  </si>
  <si>
    <t>DIALLATE</t>
  </si>
  <si>
    <t>dimethoxyethyl ether</t>
  </si>
  <si>
    <t>TRIAZAMATE</t>
  </si>
  <si>
    <t>trimeer van caprolactam</t>
  </si>
  <si>
    <t>trimer of caprolactam</t>
  </si>
  <si>
    <t>ANIMAL_TEEROIL</t>
  </si>
  <si>
    <t>isobutylmethoxyphenol</t>
  </si>
  <si>
    <t>CHLORTHALONIL</t>
  </si>
  <si>
    <t>trichlorobiphenylchloromethylbenzene</t>
  </si>
  <si>
    <t>trimethylazidocyclohexene</t>
  </si>
  <si>
    <t>benzoyl oxyphenylethanone</t>
  </si>
  <si>
    <t>dimethoxyheptane</t>
  </si>
  <si>
    <t>nonanenitrile</t>
  </si>
  <si>
    <t>2-chloro-4-methyl-aniline</t>
  </si>
  <si>
    <t>dimethylhexene</t>
  </si>
  <si>
    <t>chloromethylpyridine</t>
  </si>
  <si>
    <t>terramycin</t>
  </si>
  <si>
    <t>methyl ethyl cyclohexane</t>
  </si>
  <si>
    <t>hydroxybenzophenone</t>
  </si>
  <si>
    <t>naphthylacetamide</t>
  </si>
  <si>
    <t>water drainage</t>
  </si>
  <si>
    <t>6-chloro-4-hydroxy-3-phenylpyridazine</t>
  </si>
  <si>
    <t>propachlor-ESA</t>
  </si>
  <si>
    <t>pH field</t>
  </si>
  <si>
    <t>ion balance</t>
  </si>
  <si>
    <t>TRIADIME PHONE</t>
  </si>
  <si>
    <t>copper oxide molecule</t>
  </si>
  <si>
    <t>2,3,3 ', 5,6-pentachlorobiphenyl</t>
  </si>
  <si>
    <t>ethyl benzaldehyde</t>
  </si>
  <si>
    <t>ALKYLDIMETHYLBENZYL_AMMONIUM CHLORIDE</t>
  </si>
  <si>
    <t>METHOXYCHLORINE</t>
  </si>
  <si>
    <t>iso-propylbenzene</t>
  </si>
  <si>
    <t>2,2 ', 3,4-tetrachlorobiphenyl</t>
  </si>
  <si>
    <t>2,2 ', 3,4', 5,6,6'-Heptachlorobiphenyl</t>
  </si>
  <si>
    <t>terpenes</t>
  </si>
  <si>
    <t>ALUMINUM SULPHATE</t>
  </si>
  <si>
    <t>cobalt</t>
  </si>
  <si>
    <t>2,2-azobis (methyl) propanenitrile</t>
  </si>
  <si>
    <t>TRIFLOXY STROBINE</t>
  </si>
  <si>
    <t>hexanediol</t>
  </si>
  <si>
    <t>tributylethanol phosphate</t>
  </si>
  <si>
    <t>2-nitrophenol and 4-nitrophenol (sum)</t>
  </si>
  <si>
    <t>fluorometholone</t>
  </si>
  <si>
    <t>bis (dichloroisopropyl) ether</t>
  </si>
  <si>
    <t>precipitation</t>
  </si>
  <si>
    <t>copper, after filtration at 0.45 µm</t>
  </si>
  <si>
    <t>dihydroxy acetophenone</t>
  </si>
  <si>
    <t>CHLOROPHENOXYACETIC ACID</t>
  </si>
  <si>
    <t>2,5- and 2,6-dimethylaniline</t>
  </si>
  <si>
    <t>2,4-D iso-octyl ester</t>
  </si>
  <si>
    <t>1H, 1H, 2H, 2H, -perfluoro1-1hexanesulfonic acid (H4-PFHS)</t>
  </si>
  <si>
    <t>butyl methyl ether</t>
  </si>
  <si>
    <t>2,2 ', 3,4,5-pentachlorobiphenyl</t>
  </si>
  <si>
    <t>trans 4,4-dinitrostilben 2,2-disulfonate</t>
  </si>
  <si>
    <t>hexenediol</t>
  </si>
  <si>
    <t>pinworms (Nematoda)</t>
  </si>
  <si>
    <t>3,4-methylenedioxyethamphetamine</t>
  </si>
  <si>
    <t>miscellaneous</t>
  </si>
  <si>
    <t>dimethylquinoline</t>
  </si>
  <si>
    <t>octylbenzene</t>
  </si>
  <si>
    <t>Dimetridazole</t>
  </si>
  <si>
    <t>GIBBERLINE</t>
  </si>
  <si>
    <t>total hardness, after filtration</t>
  </si>
  <si>
    <t>dimethylcyclopentane</t>
  </si>
  <si>
    <t>tetrachlorobutane</t>
  </si>
  <si>
    <t>boron, after filtr. about 0.45 µm</t>
  </si>
  <si>
    <t>eyelashes (Ciliata)</t>
  </si>
  <si>
    <t>n-propylbenzene</t>
  </si>
  <si>
    <t>nitrobenzene-ethanol</t>
  </si>
  <si>
    <t>BORIC ACID</t>
  </si>
  <si>
    <t>ethyl methoxybenzene</t>
  </si>
  <si>
    <t>dicyclohexyl ether</t>
  </si>
  <si>
    <t>DIMETHYLPOLYSILOXANE</t>
  </si>
  <si>
    <t>sulfentrazone</t>
  </si>
  <si>
    <t>Cyanobacteri‰n, biovolume</t>
  </si>
  <si>
    <t>Cyanobacteria, biovolume</t>
  </si>
  <si>
    <t>volume of heavy sediment in 100 μm residue</t>
  </si>
  <si>
    <t>dichloroacetophenone</t>
  </si>
  <si>
    <t>3-chloromethylbenzene</t>
  </si>
  <si>
    <t>METHYL BROMIDE</t>
  </si>
  <si>
    <t>DIAMYLPHENOLDEKAETHYLENE GLYCOL ETHER</t>
  </si>
  <si>
    <t>microcystin (determined at +4 C)</t>
  </si>
  <si>
    <t>acetylphenylpropanol</t>
  </si>
  <si>
    <t>dimethylethylcyclohexane</t>
  </si>
  <si>
    <t>2,3,4 ', 5-tetrachlorobiphenyl</t>
  </si>
  <si>
    <t>AOCl (ads. Org. B. Chlorine)</t>
  </si>
  <si>
    <t>2,4-D butyl glycol ester</t>
  </si>
  <si>
    <t>Coliphages</t>
  </si>
  <si>
    <t>Sitagliptin</t>
  </si>
  <si>
    <t>biol. degradability after .. weeks</t>
  </si>
  <si>
    <t>2-amino-5-chloro-4-methylbenzene sulfonate</t>
  </si>
  <si>
    <t>trans 1,3 dichloropropene</t>
  </si>
  <si>
    <t>BUPIRIMATE</t>
  </si>
  <si>
    <t>4,4? -Diamino-1,1? -Bianthraquinone-3,3? Disulfonate</t>
  </si>
  <si>
    <t>chlorobromoxylin</t>
  </si>
  <si>
    <t>vanadium, after filtration at 0.45 µm</t>
  </si>
  <si>
    <t>methylmethoxybenzene</t>
  </si>
  <si>
    <t>t-butylbenzene</t>
  </si>
  <si>
    <t>N, N-dibutyl nitrosoamine</t>
  </si>
  <si>
    <t>BROMUCONAZOLE</t>
  </si>
  <si>
    <t>amino (methylethyl) benzamide</t>
  </si>
  <si>
    <t>benazoline ethyl ester</t>
  </si>
  <si>
    <t>ethylidenebis-oxy-bispropane</t>
  </si>
  <si>
    <t>methyl naphthoxyacetate</t>
  </si>
  <si>
    <t>GLYPHOSATE</t>
  </si>
  <si>
    <t>tri-2-cresyl phosphate (TCP)</t>
  </si>
  <si>
    <t>dioxane dimethanol</t>
  </si>
  <si>
    <t>benzo‰zuur</t>
  </si>
  <si>
    <t>benzo ‰ acid</t>
  </si>
  <si>
    <t>fenazoflor</t>
  </si>
  <si>
    <t>cis 1,2-dibromoethylene</t>
  </si>
  <si>
    <t>trimethyldihydronaphthalenone</t>
  </si>
  <si>
    <t>cis-1-chloro-1-propene</t>
  </si>
  <si>
    <t>1,3-diol-2,2-trimethylpentane</t>
  </si>
  <si>
    <t>bristle worms (L &lt;= 5 mm)</t>
  </si>
  <si>
    <t>2,2 ', 3,4', 5-pentachlorobiphenyl</t>
  </si>
  <si>
    <t>2-aminobenzimidazole</t>
  </si>
  <si>
    <t>dimethylcyclohexanone</t>
  </si>
  <si>
    <t>1-hydroxynaphthalene-3,6-disulfonate</t>
  </si>
  <si>
    <t>2,4'-methoxychlor</t>
  </si>
  <si>
    <t>2,2 ', 3,4,5', 6-hexachlorobiphenyl</t>
  </si>
  <si>
    <t>mineral oil, GC method</t>
  </si>
  <si>
    <t>odor number, quantitative</t>
  </si>
  <si>
    <t>lead, after filtration to 0.45 µm</t>
  </si>
  <si>
    <t>2,3 ', 4', 6-tetrachlorobiphenyl</t>
  </si>
  <si>
    <t>ethyl dimethyl benzene ethanoate</t>
  </si>
  <si>
    <t>animal cells, total</t>
  </si>
  <si>
    <t>naphthalene-2,6-disulfonate</t>
  </si>
  <si>
    <t>TEBUCONAZOLE</t>
  </si>
  <si>
    <t>coca ‹ne</t>
  </si>
  <si>
    <t>propachloro-OA</t>
  </si>
  <si>
    <t>spore formers, aerobic</t>
  </si>
  <si>
    <t>2,2 ', 3,3', 5,5'-Hexachlorobiphenyl</t>
  </si>
  <si>
    <t>dibutyldimethyldicyclohexanone</t>
  </si>
  <si>
    <t>acetochloro-ESA</t>
  </si>
  <si>
    <t>Sedaxane</t>
  </si>
  <si>
    <t>2,2 ', 3,5,6'-pentachlorobiphenyl</t>
  </si>
  <si>
    <t>tetradecane</t>
  </si>
  <si>
    <t>SEDAXANE</t>
  </si>
  <si>
    <t>bis (1,3-dichloropropyl) ether</t>
  </si>
  <si>
    <t>ETHOXYLATED_FATTY ACID_AMINE</t>
  </si>
  <si>
    <t>2-octyl-4-isothiazolin-3-one</t>
  </si>
  <si>
    <t>Dipyridamole</t>
  </si>
  <si>
    <t>Enterococci, Intestinal</t>
  </si>
  <si>
    <t>lithium, after filtration at 0.45 µm</t>
  </si>
  <si>
    <t>2-amino-3-hydroxybenzo‰zuur</t>
  </si>
  <si>
    <t>2-amino-3-hydroxybenzo ‰ acid</t>
  </si>
  <si>
    <t>1- (2,4,6 trimethyl, phenyl) ethanone</t>
  </si>
  <si>
    <t>nonionic plus cationic detergents</t>
  </si>
  <si>
    <t>Enterococci (PCR)</t>
  </si>
  <si>
    <t>dimethylcyclohexane</t>
  </si>
  <si>
    <t>dibutoxybenzene</t>
  </si>
  <si>
    <t>CHLORORFLURENOLMETHYL</t>
  </si>
  <si>
    <t>2,2 ', 3,4', 6,6'-hexachlorobiphenyl</t>
  </si>
  <si>
    <t>cis + trans 1,3-Dichloropropene</t>
  </si>
  <si>
    <t>2-ethyl-4-methyl-1,3-dioxolane</t>
  </si>
  <si>
    <t>AMM COPPER SULPHATE</t>
  </si>
  <si>
    <t>ethyl 2-pentenoate</t>
  </si>
  <si>
    <t>Adenosine Triphosphate (ATP)</t>
  </si>
  <si>
    <t>di (n-octyl) phthalate</t>
  </si>
  <si>
    <t>6-O-monoacetylmorphine</t>
  </si>
  <si>
    <t>1-aminoanthraquinone</t>
  </si>
  <si>
    <t>ethenylbenzene</t>
  </si>
  <si>
    <t>POTASSIUM IODIDE</t>
  </si>
  <si>
    <t>dithiocarbamates as CS2</t>
  </si>
  <si>
    <t>total cyanide</t>
  </si>
  <si>
    <t>2,3,4 ', 5,6-pentachlorobiphenyl</t>
  </si>
  <si>
    <t>2,4-dibromoanisole</t>
  </si>
  <si>
    <t>dihydroabiteal</t>
  </si>
  <si>
    <t>prednisone</t>
  </si>
  <si>
    <t>4-tert-octylphenol</t>
  </si>
  <si>
    <t>methylheptanamine</t>
  </si>
  <si>
    <t>2,3 ', 5-trichlorobiphenyl</t>
  </si>
  <si>
    <t>KASUGAMYCIN</t>
  </si>
  <si>
    <t>methylbenzonazole</t>
  </si>
  <si>
    <t>1,3-dicyclohexylurea</t>
  </si>
  <si>
    <t>S_METOLACHLOR</t>
  </si>
  <si>
    <t>tenamphetamine</t>
  </si>
  <si>
    <t>æ-algae</t>
  </si>
  <si>
    <t>1,1'-oxy-bis (2-methoxy) ethane</t>
  </si>
  <si>
    <t>CYCLOATE</t>
  </si>
  <si>
    <t>2,4-D 1-butyl ester</t>
  </si>
  <si>
    <t>triisobutene</t>
  </si>
  <si>
    <t>methoxybenzene</t>
  </si>
  <si>
    <t>chlorobenzaldehyde</t>
  </si>
  <si>
    <t>bis (dimethylamino) benzophenone</t>
  </si>
  <si>
    <t>1,2-benzisothiazolin-3-one</t>
  </si>
  <si>
    <t>2,6-dichloorbenzo‰zuur</t>
  </si>
  <si>
    <t>iodine-131</t>
  </si>
  <si>
    <t>ethyl dioxolane</t>
  </si>
  <si>
    <t>2,6,6-trimethyl-2-cyclohexene-1,4-dione</t>
  </si>
  <si>
    <t>methoxyphenylethane</t>
  </si>
  <si>
    <t>manganese</t>
  </si>
  <si>
    <t>TRIFLUMIZOLE</t>
  </si>
  <si>
    <t>nitrate</t>
  </si>
  <si>
    <t>PAH, sum 10</t>
  </si>
  <si>
    <t>dimethachloric acid</t>
  </si>
  <si>
    <t>armored algae (Dinophyceae)</t>
  </si>
  <si>
    <t>microcystin (determined at -20 ° C)</t>
  </si>
  <si>
    <t>2,4 ', 6-trichlorobiphenyl</t>
  </si>
  <si>
    <t>MONOCARBAMIDE_DIHYDROGENSULPHATE_ (MCDS)</t>
  </si>
  <si>
    <t>chlorphenoxyethyl propionate</t>
  </si>
  <si>
    <t>dalapon (2,2-dichloropropionic acid)</t>
  </si>
  <si>
    <t>organically bound nitrogen</t>
  </si>
  <si>
    <t>actinomycetes</t>
  </si>
  <si>
    <t>fluennitrile</t>
  </si>
  <si>
    <t>cyanobenzyloxyethane</t>
  </si>
  <si>
    <t>2,3 ', 4', 5 ', 6-pentachlorobiphenyl</t>
  </si>
  <si>
    <t>tetracontane</t>
  </si>
  <si>
    <t>aluminum</t>
  </si>
  <si>
    <t>bis (2-chloroethyl) ether</t>
  </si>
  <si>
    <t>4- (4-chloro-2-methylphenoxy) butyric acid</t>
  </si>
  <si>
    <t>flake material in 100 µm residue</t>
  </si>
  <si>
    <t>chrome</t>
  </si>
  <si>
    <t>DECANIC ACID</t>
  </si>
  <si>
    <t>chlorothalonil sulfonic acid R417888</t>
  </si>
  <si>
    <t>trichlorodibutyl ether</t>
  </si>
  <si>
    <t>2,2 ', 3,4,4', 5,6'-Heptachlorobiphenyl</t>
  </si>
  <si>
    <t>calcium, after filtration</t>
  </si>
  <si>
    <t>2.2 ', 3.3', 4.5.5 ', 6-octachlorobiphenyl</t>
  </si>
  <si>
    <t>4-chloro-2-methylphenoxyacetic acid</t>
  </si>
  <si>
    <t>equilibrium pH</t>
  </si>
  <si>
    <t>lead</t>
  </si>
  <si>
    <t>EXPRESSED_IF_DIQUAT</t>
  </si>
  <si>
    <t>2,3,3 ', 4', 5-pentachlorobiphenyl</t>
  </si>
  <si>
    <t>2-bromacrolein</t>
  </si>
  <si>
    <t>trimethylpentadiol diisobutyrate</t>
  </si>
  <si>
    <t>di-n-nonyl phthalate</t>
  </si>
  <si>
    <t>Giardia spp. (total)</t>
  </si>
  <si>
    <t>n-butyl-cyclohexane</t>
  </si>
  <si>
    <t>FENTIN_ACETATE</t>
  </si>
  <si>
    <t>penta (methoxymethyl) melamine (PMMM)</t>
  </si>
  <si>
    <t>Naphthalene-1,3,6-trisulfonate</t>
  </si>
  <si>
    <t>TRIOXYMETHYLENE</t>
  </si>
  <si>
    <t>3_INDOLYLAIC ACID</t>
  </si>
  <si>
    <t>urbazid</t>
  </si>
  <si>
    <t>chromium VI</t>
  </si>
  <si>
    <t>sublimate</t>
  </si>
  <si>
    <t>chloroprene (2-chloro-1,3-butadiene)</t>
  </si>
  <si>
    <t>3,3 ', 4,5'-Tetrachlorobiphenyl</t>
  </si>
  <si>
    <t>trichlorodipropyl ether</t>
  </si>
  <si>
    <t>2.2 ', 3.3', 5-pentachlorobiphenyl</t>
  </si>
  <si>
    <t>2,3,3 ', 4', 5 ', 6-hexachlorobiphenyl</t>
  </si>
  <si>
    <t>heptene</t>
  </si>
  <si>
    <t>2,3-dichlorobiphenyl</t>
  </si>
  <si>
    <t>bromophos-methyl</t>
  </si>
  <si>
    <t>Metazachlor S metabolite</t>
  </si>
  <si>
    <t>CALCIUM NITRATE</t>
  </si>
  <si>
    <t>methylquinoline</t>
  </si>
  <si>
    <t>N-ethylperfluoro-1-octanesulfonamidoacetic acid (N-EtPFOSAA)</t>
  </si>
  <si>
    <t>2,3,4,6-tetrabromodiphenyl ether</t>
  </si>
  <si>
    <t>2-chloro-5-methylbenzenesulfonate</t>
  </si>
  <si>
    <t>2,3 ', 5'-trichlorobiphenyl</t>
  </si>
  <si>
    <t>thioquinox</t>
  </si>
  <si>
    <t>chlorothalonil metabolite m5 r611965</t>
  </si>
  <si>
    <t>ethylphenanthrene</t>
  </si>
  <si>
    <t>dinitrobenzene</t>
  </si>
  <si>
    <t>Giardia spp. (PI positive)</t>
  </si>
  <si>
    <t>methoxybenzoic acid</t>
  </si>
  <si>
    <t>2-amino-3-hydroxybenzoic acid</t>
  </si>
  <si>
    <t>4-n-butyl benzoic acid</t>
  </si>
  <si>
    <t>hydroxybenzoic acid</t>
  </si>
  <si>
    <t>hydroxymethyl benzoic acid</t>
  </si>
  <si>
    <t>FeatureDataBase</t>
  </si>
  <si>
    <t>PubChemCompound</t>
  </si>
  <si>
    <t>Heterotrophic Plate Count | HPC</t>
  </si>
  <si>
    <t>Heterotrophic Plate Count</t>
  </si>
  <si>
    <t>Heterotrophic Plate Count counts| HPC counts</t>
  </si>
  <si>
    <t>Heterotrophic Plate Count_volume</t>
  </si>
  <si>
    <t>Heterotrophic Plate Count volume| HPC volume</t>
  </si>
  <si>
    <t>Heterotrophic Plate Count 37°C | HPC 37°C</t>
  </si>
  <si>
    <t>Koloniegetal 37 °C</t>
  </si>
  <si>
    <t>E.col</t>
  </si>
  <si>
    <t>Escherichia coli_volume</t>
  </si>
  <si>
    <t>Escherichia coli_present_or_absent</t>
  </si>
  <si>
    <t>Assimilable Organic Carbon</t>
  </si>
  <si>
    <t>Assimilable Organic Carbon NOX</t>
  </si>
  <si>
    <t>Assimilable Organic Carbon P17</t>
  </si>
  <si>
    <t>AOC NOX</t>
  </si>
  <si>
    <t>AOC P17</t>
  </si>
  <si>
    <t>Clostridium perfringens_volume</t>
  </si>
  <si>
    <t>fungi</t>
  </si>
  <si>
    <t>Enterococcus coli_present_or_absent</t>
  </si>
  <si>
    <t>Clostridium perfringens including spores</t>
  </si>
  <si>
    <t>Enterovirus</t>
  </si>
  <si>
    <t>coliforms</t>
  </si>
  <si>
    <t>Bacteria coliforms</t>
  </si>
  <si>
    <t>Bacteria coliforms number of positive counts</t>
  </si>
  <si>
    <t>Bacteria coliforms number</t>
  </si>
  <si>
    <t>Bacteria coliforms volume |  Bacteria coliforms analysis volume</t>
  </si>
  <si>
    <t>coliforms_volume</t>
  </si>
  <si>
    <t>coliforms thermo tolerant</t>
  </si>
  <si>
    <t>i.enterococcus</t>
  </si>
  <si>
    <t>Intestinale enterokokken volume</t>
  </si>
  <si>
    <t>Fusarium</t>
  </si>
  <si>
    <t>Mucor</t>
  </si>
  <si>
    <t>Actinomycetales</t>
  </si>
  <si>
    <t>sulphite reducing clostridia spores</t>
  </si>
  <si>
    <t>sulphite reducing clostridia spores 48 hours</t>
  </si>
  <si>
    <t>sulphite reducing clostridia spores_count</t>
  </si>
  <si>
    <t>sulphite reducing clostridia spores_volume</t>
  </si>
  <si>
    <t>sulphite reducing clostridia spores 48 hours_count</t>
  </si>
  <si>
    <t>sulphite reducing clostridia spores 48 hours_volums</t>
  </si>
  <si>
    <t>Enterococcus_count</t>
  </si>
  <si>
    <t>coliforms_positive_count</t>
  </si>
  <si>
    <t>Heterotrophic Plate Count_count</t>
  </si>
  <si>
    <t>Aeromonas_count</t>
  </si>
  <si>
    <t>Clostridium perfringens_count</t>
  </si>
  <si>
    <t>coliforms_count</t>
  </si>
  <si>
    <t>Escherichia coli_count</t>
  </si>
  <si>
    <t>f_specific_phage_count</t>
  </si>
  <si>
    <t>hygienic_suspect_colonies_count</t>
  </si>
  <si>
    <t>intestinal Enterococcus</t>
  </si>
  <si>
    <t>intestinal Enterococcus_count</t>
  </si>
  <si>
    <t>intestinal Enterococcus_volume</t>
  </si>
  <si>
    <t>Salmonellae</t>
  </si>
  <si>
    <t>somatic Coliphages</t>
  </si>
  <si>
    <t>somatic Coliphages_count</t>
  </si>
  <si>
    <t>somatic Coliphages_samplevolume</t>
  </si>
  <si>
    <t>somatic Coliphages_volume</t>
  </si>
  <si>
    <t>spore formers aerobic</t>
  </si>
  <si>
    <t>Sporen sulfietreducerende clostridia | SSRC</t>
  </si>
  <si>
    <t>monstervolume</t>
  </si>
  <si>
    <t>inzetvolume |  geanalyseerd volume</t>
  </si>
  <si>
    <t>bacteroides dog</t>
  </si>
  <si>
    <t>bacteroides bacteria</t>
  </si>
  <si>
    <t>bacteroides ruminant</t>
  </si>
  <si>
    <t>bacteroides human</t>
  </si>
  <si>
    <t>bacteroides dorei</t>
  </si>
  <si>
    <t>bacteroides pig</t>
  </si>
  <si>
    <t>bacteroides avian</t>
  </si>
  <si>
    <t>Pseudomonas</t>
  </si>
  <si>
    <t>preciptation</t>
  </si>
  <si>
    <t>discharge</t>
  </si>
  <si>
    <t>O2_saturation</t>
  </si>
  <si>
    <t>tds</t>
  </si>
  <si>
    <t>TDS | Total Dissolved Solids</t>
  </si>
  <si>
    <t>secchi disk depth</t>
  </si>
  <si>
    <t>membrane fouling index</t>
  </si>
  <si>
    <t>s2/L</t>
  </si>
  <si>
    <t>Cryptosporidium positive for protease inhibitor</t>
  </si>
  <si>
    <t>Giardia</t>
  </si>
  <si>
    <t>Giardia positive for protease inhibitor</t>
  </si>
  <si>
    <t>coliforms and Escheria coli_volume</t>
  </si>
  <si>
    <t>dry residue 105°C</t>
  </si>
  <si>
    <t>dry residue after destruction</t>
  </si>
  <si>
    <t>dry residue ...°C</t>
  </si>
  <si>
    <t>dry residue 600°C</t>
  </si>
  <si>
    <t>cod_filtration</t>
  </si>
  <si>
    <t>Chemisch Zuurstof Verbruik filtratie |  CZV filtratie</t>
  </si>
  <si>
    <t>N_org</t>
  </si>
  <si>
    <t>organic N</t>
  </si>
  <si>
    <t>mmol/L</t>
  </si>
  <si>
    <t>hardness | calcium and magnesium</t>
  </si>
  <si>
    <t>hardness after filtration | calcium and magnesium after filtration</t>
  </si>
  <si>
    <t>UV extionction 436 nm</t>
  </si>
  <si>
    <t>UV extionction 254 nm</t>
  </si>
  <si>
    <t>UV extionction 410 nm</t>
  </si>
  <si>
    <t>poc</t>
  </si>
  <si>
    <t>MFI | membrane fouling index</t>
  </si>
  <si>
    <t>s</t>
  </si>
  <si>
    <t>m2</t>
  </si>
  <si>
    <t>watertemperatuur</t>
  </si>
  <si>
    <t>AOX</t>
  </si>
  <si>
    <t>EOX</t>
  </si>
  <si>
    <t>THM</t>
  </si>
  <si>
    <t>som extraheerbare organische stikstofverbindingen</t>
  </si>
  <si>
    <t>som extraheerbare organische fosforverbindingen</t>
  </si>
  <si>
    <t>Loss on Ignition | LOI</t>
  </si>
  <si>
    <t>synthetische latex</t>
  </si>
  <si>
    <t>inorganic N</t>
  </si>
  <si>
    <t>N_inorg</t>
  </si>
  <si>
    <t>P_inorg</t>
  </si>
  <si>
    <t>P_org</t>
  </si>
  <si>
    <t>inorganic P |  inorganic Phosphorus</t>
  </si>
  <si>
    <t>organic P |  organic Phosphorus</t>
  </si>
  <si>
    <t>tod</t>
  </si>
  <si>
    <t>Total Oxygen Demand</t>
  </si>
  <si>
    <t>npoc</t>
  </si>
  <si>
    <t>NPOC |  non-purgeable organic carbon</t>
  </si>
  <si>
    <t>POC | Particulate Organic Carbon | purgeable organic carbon</t>
  </si>
  <si>
    <t>AllowMergeRows</t>
  </si>
  <si>
    <t>True</t>
  </si>
</sst>
</file>

<file path=xl/styles.xml><?xml version="1.0" encoding="utf-8"?>
<styleSheet xmlns="http://schemas.openxmlformats.org/spreadsheetml/2006/main" xmlns:mc="http://schemas.openxmlformats.org/markup-compatibility/2006" xmlns:x14ac="http://schemas.microsoft.com/office/spreadsheetml/2009/9/ac" mc:Ignorable="x14ac">
  <fonts count="12" x14ac:knownFonts="1">
    <font>
      <sz val="11"/>
      <color theme="1"/>
      <name val="Calibri"/>
      <family val="2"/>
      <scheme val="minor"/>
    </font>
    <font>
      <sz val="11"/>
      <color rgb="FFFF0000"/>
      <name val="Calibri"/>
      <family val="2"/>
      <scheme val="minor"/>
    </font>
    <font>
      <b/>
      <sz val="11"/>
      <color theme="1"/>
      <name val="Calibri"/>
      <family val="2"/>
      <scheme val="minor"/>
    </font>
    <font>
      <sz val="11"/>
      <color rgb="FFFF0000"/>
      <name val="Calibri"/>
      <family val="2"/>
    </font>
    <font>
      <sz val="10"/>
      <color rgb="FFFF0000"/>
      <name val="Times New Roman"/>
      <family val="1"/>
    </font>
    <font>
      <sz val="11"/>
      <color rgb="FFFF0000"/>
      <name val="Calibri Light"/>
      <family val="2"/>
    </font>
    <font>
      <b/>
      <sz val="11"/>
      <color rgb="FFFF0000"/>
      <name val="Calibri"/>
      <family val="2"/>
    </font>
    <font>
      <sz val="11"/>
      <color theme="1"/>
      <name val="Calibri"/>
      <family val="2"/>
    </font>
    <font>
      <b/>
      <sz val="11"/>
      <color rgb="FF000000"/>
      <name val="Calibri"/>
      <family val="2"/>
      <scheme val="minor"/>
    </font>
    <font>
      <b/>
      <sz val="11"/>
      <name val="Calibri"/>
    </font>
    <font>
      <sz val="11"/>
      <color rgb="FF000000"/>
      <name val="Calibri Light"/>
      <family val="2"/>
    </font>
    <font>
      <sz val="11"/>
      <color rgb="FF4D5156"/>
      <name val="Arial"/>
      <family val="2"/>
    </font>
  </fonts>
  <fills count="9">
    <fill>
      <patternFill patternType="none"/>
    </fill>
    <fill>
      <patternFill patternType="gray125"/>
    </fill>
    <fill>
      <patternFill patternType="solid">
        <fgColor rgb="FFFFFF00"/>
        <bgColor indexed="64"/>
      </patternFill>
    </fill>
    <fill>
      <patternFill patternType="solid">
        <fgColor theme="7" tint="0.79998168889431442"/>
        <bgColor indexed="64"/>
      </patternFill>
    </fill>
    <fill>
      <patternFill patternType="solid">
        <fgColor theme="8" tint="0.59999389629810485"/>
        <bgColor indexed="64"/>
      </patternFill>
    </fill>
    <fill>
      <patternFill patternType="solid">
        <fgColor theme="5" tint="0.59999389629810485"/>
        <bgColor indexed="64"/>
      </patternFill>
    </fill>
    <fill>
      <patternFill patternType="solid">
        <fgColor theme="2" tint="-9.9978637043366805E-2"/>
        <bgColor indexed="64"/>
      </patternFill>
    </fill>
    <fill>
      <patternFill patternType="solid">
        <fgColor theme="0" tint="-0.14999847407452621"/>
        <bgColor indexed="64"/>
      </patternFill>
    </fill>
    <fill>
      <patternFill patternType="solid">
        <fgColor theme="9" tint="0.39997558519241921"/>
        <bgColor indexed="64"/>
      </patternFill>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s>
  <cellStyleXfs count="1">
    <xf numFmtId="0" fontId="0" fillId="0" borderId="0"/>
  </cellStyleXfs>
  <cellXfs count="34">
    <xf numFmtId="0" fontId="0" fillId="0" borderId="0" xfId="0"/>
    <xf numFmtId="0" fontId="0" fillId="2" borderId="0" xfId="0" applyFill="1"/>
    <xf numFmtId="0" fontId="0" fillId="3" borderId="0" xfId="0" applyFill="1"/>
    <xf numFmtId="14" fontId="0" fillId="0" borderId="0" xfId="0" applyNumberFormat="1"/>
    <xf numFmtId="0" fontId="3" fillId="2" borderId="0" xfId="0" applyFont="1" applyFill="1" applyAlignment="1">
      <alignment vertical="center" wrapText="1"/>
    </xf>
    <xf numFmtId="0" fontId="4" fillId="2" borderId="0" xfId="0" applyFont="1" applyFill="1" applyAlignment="1">
      <alignment vertical="center" wrapText="1"/>
    </xf>
    <xf numFmtId="0" fontId="5" fillId="2" borderId="0" xfId="0" applyFont="1" applyFill="1" applyAlignment="1">
      <alignment vertical="center" wrapText="1"/>
    </xf>
    <xf numFmtId="0" fontId="1" fillId="2" borderId="0" xfId="0" applyFont="1" applyFill="1"/>
    <xf numFmtId="49" fontId="0" fillId="3" borderId="0" xfId="0" applyNumberFormat="1" applyFill="1"/>
    <xf numFmtId="49" fontId="0" fillId="3" borderId="0" xfId="0" quotePrefix="1" applyNumberFormat="1" applyFill="1"/>
    <xf numFmtId="0" fontId="2" fillId="3" borderId="0" xfId="0" applyFont="1" applyFill="1"/>
    <xf numFmtId="49" fontId="2" fillId="3" borderId="0" xfId="0" applyNumberFormat="1" applyFont="1" applyFill="1"/>
    <xf numFmtId="0" fontId="6" fillId="2" borderId="0" xfId="0" applyFont="1" applyFill="1" applyAlignment="1">
      <alignment vertical="center" wrapText="1"/>
    </xf>
    <xf numFmtId="49" fontId="1" fillId="3" borderId="0" xfId="0" quotePrefix="1" applyNumberFormat="1" applyFont="1" applyFill="1"/>
    <xf numFmtId="0" fontId="2" fillId="4" borderId="1" xfId="0" applyFont="1" applyFill="1" applyBorder="1" applyAlignment="1">
      <alignment horizontal="center" vertical="top"/>
    </xf>
    <xf numFmtId="0" fontId="0" fillId="4" borderId="0" xfId="0" applyFill="1"/>
    <xf numFmtId="0" fontId="0" fillId="5" borderId="0" xfId="0" applyFill="1"/>
    <xf numFmtId="0" fontId="0" fillId="6" borderId="0" xfId="0" applyFill="1"/>
    <xf numFmtId="0" fontId="0" fillId="7" borderId="0" xfId="0" applyFill="1"/>
    <xf numFmtId="0" fontId="0" fillId="2" borderId="0" xfId="0" quotePrefix="1" applyFill="1"/>
    <xf numFmtId="49" fontId="0" fillId="0" borderId="0" xfId="0" applyNumberFormat="1"/>
    <xf numFmtId="0" fontId="1" fillId="0" borderId="0" xfId="0" applyFont="1"/>
    <xf numFmtId="0" fontId="7" fillId="0" borderId="0" xfId="0" applyFont="1"/>
    <xf numFmtId="0" fontId="3" fillId="8" borderId="0" xfId="0" applyFont="1" applyFill="1" applyAlignment="1">
      <alignment vertical="center" wrapText="1"/>
    </xf>
    <xf numFmtId="0" fontId="7" fillId="2" borderId="0" xfId="0" applyFont="1" applyFill="1"/>
    <xf numFmtId="0" fontId="2" fillId="0" borderId="0" xfId="0" applyFont="1"/>
    <xf numFmtId="0" fontId="8" fillId="0" borderId="0" xfId="0" applyFont="1"/>
    <xf numFmtId="0" fontId="0" fillId="0" borderId="0" xfId="0"/>
    <xf numFmtId="0" fontId="0" fillId="0" borderId="0" xfId="0" quotePrefix="1"/>
    <xf numFmtId="0" fontId="0" fillId="0" borderId="0" xfId="0" applyAlignment="1">
      <alignment wrapText="1"/>
    </xf>
    <xf numFmtId="0" fontId="9" fillId="0" borderId="2" xfId="0" applyFont="1" applyBorder="1" applyAlignment="1">
      <alignment horizontal="center" vertical="top"/>
    </xf>
    <xf numFmtId="0" fontId="10" fillId="0" borderId="0" xfId="0" applyFont="1"/>
    <xf numFmtId="0" fontId="0" fillId="0" borderId="0" xfId="0" applyFill="1"/>
    <xf numFmtId="0" fontId="1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2:T7915"/>
  <sheetViews>
    <sheetView tabSelected="1" zoomScale="55" zoomScaleNormal="55" workbookViewId="0">
      <pane xSplit="2" ySplit="5" topLeftCell="C6" activePane="bottomRight" state="frozen"/>
      <selection pane="topRight" activeCell="B1" sqref="B1"/>
      <selection pane="bottomLeft" activeCell="A5" sqref="A5"/>
      <selection pane="bottomRight" activeCell="E34" sqref="E34"/>
    </sheetView>
  </sheetViews>
  <sheetFormatPr defaultRowHeight="15" x14ac:dyDescent="0.25"/>
  <cols>
    <col min="1" max="1" width="17.28515625" style="27" customWidth="1"/>
    <col min="3" max="4" width="9.140625" style="27" customWidth="1"/>
    <col min="5" max="5" width="17.42578125" style="27" customWidth="1"/>
    <col min="6" max="6" width="31.28515625" style="27" customWidth="1"/>
    <col min="7" max="7" width="44.5703125" style="27" customWidth="1"/>
    <col min="8" max="8" width="19" style="27" customWidth="1"/>
    <col min="9" max="9" width="50.42578125" style="27" customWidth="1"/>
    <col min="10" max="10" width="12.42578125" style="27" bestFit="1" customWidth="1"/>
    <col min="11" max="11" width="59.140625" style="27" customWidth="1"/>
    <col min="12" max="12" width="19.28515625" style="27" customWidth="1"/>
    <col min="13" max="13" width="15.85546875" style="27" bestFit="1" customWidth="1"/>
    <col min="14" max="14" width="49.140625" style="27" customWidth="1"/>
    <col min="15" max="18" width="15.85546875" style="27" customWidth="1"/>
    <col min="19" max="19" width="11.5703125" style="27" customWidth="1"/>
  </cols>
  <sheetData>
    <row r="2" spans="1:19" x14ac:dyDescent="0.25">
      <c r="J2" s="1" t="e">
        <f t="array" ref="J2">INDEX(SIKB_2020_02_06!$A:$A,MATCH(TRUE,EXACT(#REF!,SIKB_2020_02_06!$A:$A),0),1)</f>
        <v>#N/A</v>
      </c>
      <c r="K2" s="1" t="e">
        <f>INDEX(SIKB_2020_02_06!$A:B,MATCH(TRUE,EXACT($J2,SIKB_2020_02_06!$A:$A),0),2)</f>
        <v>#N/A</v>
      </c>
      <c r="L2" s="1" t="e">
        <f>INDEX(SIKB_2020_02_06!$A:I,MATCH(TRUE,EXACT($J2,SIKB_2020_02_06!$A:$A),0),9)</f>
        <v>#N/A</v>
      </c>
      <c r="M2" s="1" t="e">
        <f t="array" ref="M2">INDEX(SIKB_2020_02_06!$A:C,MATCH(TRUE,EXACT($J2,SIKB_2020_02_06!$A:$A),0),4)</f>
        <v>#N/A</v>
      </c>
      <c r="N2" s="1"/>
      <c r="O2" s="1"/>
      <c r="P2" s="1"/>
      <c r="Q2" s="1"/>
      <c r="R2" s="1"/>
    </row>
    <row r="3" spans="1:19" x14ac:dyDescent="0.25">
      <c r="K3" t="e">
        <f t="array" ref="K3">MATCH(TRUE,EXACT($J2,SIKB_2020_02_06!$A:$A),0)</f>
        <v>#N/A</v>
      </c>
    </row>
    <row r="5" spans="1:19" x14ac:dyDescent="0.25">
      <c r="A5" s="17" t="s">
        <v>0</v>
      </c>
      <c r="B5" s="17" t="s">
        <v>1</v>
      </c>
      <c r="C5" s="17" t="s">
        <v>34748</v>
      </c>
      <c r="D5" s="17" t="s">
        <v>34866</v>
      </c>
      <c r="E5" s="17" t="s">
        <v>2</v>
      </c>
      <c r="F5" s="17" t="s">
        <v>3</v>
      </c>
      <c r="G5" s="17" t="s">
        <v>4</v>
      </c>
      <c r="H5" s="17" t="s">
        <v>5</v>
      </c>
      <c r="I5" s="17" t="s">
        <v>6</v>
      </c>
      <c r="J5" s="18" t="s">
        <v>7</v>
      </c>
      <c r="K5" s="18" t="s">
        <v>8</v>
      </c>
      <c r="L5" s="16" t="s">
        <v>9</v>
      </c>
      <c r="M5" s="16" t="s">
        <v>10</v>
      </c>
      <c r="N5" s="16" t="s">
        <v>11</v>
      </c>
      <c r="O5" s="16" t="s">
        <v>12</v>
      </c>
      <c r="P5" s="16" t="s">
        <v>13</v>
      </c>
      <c r="Q5" s="16" t="s">
        <v>14</v>
      </c>
      <c r="R5" s="16" t="s">
        <v>15</v>
      </c>
      <c r="S5" s="16" t="s">
        <v>16</v>
      </c>
    </row>
    <row r="6" spans="1:19" s="27" customFormat="1" x14ac:dyDescent="0.25">
      <c r="A6" s="28" t="s">
        <v>14843</v>
      </c>
      <c r="E6" s="1" t="s">
        <v>33814</v>
      </c>
      <c r="P6">
        <v>100</v>
      </c>
      <c r="Q6" t="s">
        <v>12908</v>
      </c>
      <c r="S6" t="s">
        <v>12907</v>
      </c>
    </row>
    <row r="7" spans="1:19" s="27" customFormat="1" x14ac:dyDescent="0.25">
      <c r="A7" s="28" t="s">
        <v>14843</v>
      </c>
      <c r="E7" s="1" t="s">
        <v>33479</v>
      </c>
      <c r="P7">
        <v>102</v>
      </c>
      <c r="Q7" t="s">
        <v>12910</v>
      </c>
      <c r="S7" t="s">
        <v>12909</v>
      </c>
    </row>
    <row r="8" spans="1:19" x14ac:dyDescent="0.25">
      <c r="A8" t="s">
        <v>17</v>
      </c>
      <c r="B8" t="s">
        <v>18</v>
      </c>
      <c r="C8" s="27" t="s">
        <v>34749</v>
      </c>
      <c r="D8" s="28" t="s">
        <v>34867</v>
      </c>
      <c r="E8" t="s">
        <v>19</v>
      </c>
      <c r="I8" t="s">
        <v>20</v>
      </c>
      <c r="J8" t="s">
        <v>21</v>
      </c>
      <c r="K8" t="s">
        <v>20</v>
      </c>
      <c r="L8" s="28" t="s">
        <v>22</v>
      </c>
      <c r="M8" t="s">
        <v>23</v>
      </c>
    </row>
    <row r="9" spans="1:19" x14ac:dyDescent="0.25">
      <c r="A9" t="s">
        <v>17</v>
      </c>
      <c r="B9" t="s">
        <v>18</v>
      </c>
      <c r="C9" s="27" t="s">
        <v>34749</v>
      </c>
      <c r="D9" s="28" t="s">
        <v>34867</v>
      </c>
      <c r="E9" t="s">
        <v>24</v>
      </c>
      <c r="I9" t="s">
        <v>25</v>
      </c>
      <c r="J9" t="s">
        <v>24</v>
      </c>
      <c r="K9" t="s">
        <v>25</v>
      </c>
      <c r="L9" s="28" t="s">
        <v>26</v>
      </c>
      <c r="M9" t="s">
        <v>23</v>
      </c>
    </row>
    <row r="10" spans="1:19" x14ac:dyDescent="0.25">
      <c r="A10" t="s">
        <v>17</v>
      </c>
      <c r="B10" t="s">
        <v>18</v>
      </c>
      <c r="C10" s="27" t="s">
        <v>34749</v>
      </c>
      <c r="D10" s="28" t="s">
        <v>34867</v>
      </c>
      <c r="E10" t="s">
        <v>27</v>
      </c>
      <c r="G10" t="s">
        <v>28</v>
      </c>
      <c r="I10" t="s">
        <v>29</v>
      </c>
      <c r="J10" t="s">
        <v>27</v>
      </c>
      <c r="K10" t="s">
        <v>30</v>
      </c>
      <c r="L10" s="28" t="s">
        <v>31</v>
      </c>
      <c r="M10" t="s">
        <v>23</v>
      </c>
    </row>
    <row r="11" spans="1:19" x14ac:dyDescent="0.25">
      <c r="A11" t="s">
        <v>17</v>
      </c>
      <c r="B11" t="s">
        <v>18</v>
      </c>
      <c r="C11" s="27" t="s">
        <v>34749</v>
      </c>
      <c r="D11" s="28" t="s">
        <v>34867</v>
      </c>
      <c r="E11" t="s">
        <v>32</v>
      </c>
      <c r="G11" t="s">
        <v>33</v>
      </c>
      <c r="I11" t="s">
        <v>34</v>
      </c>
      <c r="J11" t="s">
        <v>32</v>
      </c>
      <c r="K11" t="s">
        <v>35</v>
      </c>
      <c r="L11" s="28" t="s">
        <v>36</v>
      </c>
      <c r="M11" t="s">
        <v>23</v>
      </c>
    </row>
    <row r="12" spans="1:19" x14ac:dyDescent="0.25">
      <c r="A12" t="s">
        <v>17</v>
      </c>
      <c r="B12" t="s">
        <v>18</v>
      </c>
      <c r="C12" s="27" t="s">
        <v>34749</v>
      </c>
      <c r="D12" s="28" t="s">
        <v>34867</v>
      </c>
      <c r="E12" t="s">
        <v>37</v>
      </c>
      <c r="G12" t="s">
        <v>38</v>
      </c>
      <c r="I12" t="s">
        <v>39</v>
      </c>
      <c r="J12" t="s">
        <v>37</v>
      </c>
      <c r="K12" t="s">
        <v>40</v>
      </c>
      <c r="L12" s="28" t="s">
        <v>41</v>
      </c>
      <c r="M12" t="s">
        <v>23</v>
      </c>
    </row>
    <row r="13" spans="1:19" x14ac:dyDescent="0.25">
      <c r="A13" t="s">
        <v>17</v>
      </c>
      <c r="B13" t="s">
        <v>18</v>
      </c>
      <c r="C13" s="27" t="s">
        <v>34749</v>
      </c>
      <c r="D13" s="28" t="s">
        <v>34867</v>
      </c>
      <c r="E13" t="s">
        <v>42</v>
      </c>
      <c r="G13" t="s">
        <v>43</v>
      </c>
      <c r="I13" t="s">
        <v>44</v>
      </c>
      <c r="J13" t="s">
        <v>45</v>
      </c>
      <c r="K13" t="s">
        <v>46</v>
      </c>
      <c r="M13" t="s">
        <v>47</v>
      </c>
    </row>
    <row r="14" spans="1:19" s="27" customFormat="1" x14ac:dyDescent="0.25">
      <c r="A14" s="27" t="s">
        <v>34837</v>
      </c>
      <c r="G14" s="27" t="s">
        <v>34838</v>
      </c>
      <c r="P14">
        <v>250</v>
      </c>
      <c r="Q14" t="s">
        <v>12997</v>
      </c>
      <c r="S14" t="s">
        <v>12976</v>
      </c>
    </row>
    <row r="15" spans="1:19" s="27" customFormat="1" x14ac:dyDescent="0.25">
      <c r="A15" s="27" t="s">
        <v>34837</v>
      </c>
      <c r="G15" s="27" t="s">
        <v>34839</v>
      </c>
      <c r="P15">
        <v>251</v>
      </c>
      <c r="Q15" t="s">
        <v>12998</v>
      </c>
      <c r="S15" t="s">
        <v>12976</v>
      </c>
    </row>
    <row r="16" spans="1:19" s="27" customFormat="1" x14ac:dyDescent="0.25">
      <c r="A16" s="27" t="s">
        <v>34837</v>
      </c>
      <c r="G16" s="27" t="s">
        <v>33704</v>
      </c>
      <c r="P16">
        <v>252</v>
      </c>
      <c r="Q16" t="s">
        <v>12999</v>
      </c>
      <c r="S16" t="s">
        <v>12976</v>
      </c>
    </row>
    <row r="17" spans="1:19" x14ac:dyDescent="0.25">
      <c r="A17" t="s">
        <v>17</v>
      </c>
      <c r="B17" t="s">
        <v>18</v>
      </c>
      <c r="E17" t="s">
        <v>48</v>
      </c>
      <c r="G17" t="s">
        <v>49</v>
      </c>
      <c r="I17" t="s">
        <v>50</v>
      </c>
      <c r="L17" s="28"/>
    </row>
    <row r="18" spans="1:19" x14ac:dyDescent="0.25">
      <c r="A18" t="s">
        <v>17</v>
      </c>
      <c r="B18" t="s">
        <v>18</v>
      </c>
      <c r="E18" t="s">
        <v>51</v>
      </c>
      <c r="G18" t="s">
        <v>52</v>
      </c>
      <c r="I18" t="s">
        <v>53</v>
      </c>
      <c r="L18" s="28"/>
    </row>
    <row r="19" spans="1:19" x14ac:dyDescent="0.25">
      <c r="A19" t="s">
        <v>17</v>
      </c>
      <c r="B19" t="s">
        <v>18</v>
      </c>
      <c r="C19" s="27" t="s">
        <v>34749</v>
      </c>
      <c r="D19" s="28" t="s">
        <v>34867</v>
      </c>
      <c r="E19" t="s">
        <v>54</v>
      </c>
      <c r="G19" t="s">
        <v>55</v>
      </c>
      <c r="I19" t="s">
        <v>56</v>
      </c>
      <c r="J19" t="s">
        <v>54</v>
      </c>
      <c r="K19" t="s">
        <v>57</v>
      </c>
      <c r="L19" s="28" t="s">
        <v>58</v>
      </c>
      <c r="M19" t="s">
        <v>23</v>
      </c>
      <c r="P19">
        <v>122</v>
      </c>
      <c r="Q19" t="s">
        <v>57</v>
      </c>
      <c r="R19" s="28" t="s">
        <v>58</v>
      </c>
      <c r="S19" t="s">
        <v>12921</v>
      </c>
    </row>
    <row r="20" spans="1:19" s="27" customFormat="1" x14ac:dyDescent="0.25">
      <c r="A20" s="28" t="s">
        <v>14843</v>
      </c>
      <c r="E20" s="27" t="s">
        <v>34819</v>
      </c>
      <c r="P20">
        <v>123</v>
      </c>
      <c r="Q20" t="s">
        <v>12923</v>
      </c>
      <c r="S20" t="s">
        <v>12922</v>
      </c>
    </row>
    <row r="21" spans="1:19" x14ac:dyDescent="0.25">
      <c r="A21" t="s">
        <v>17</v>
      </c>
      <c r="B21" t="s">
        <v>18</v>
      </c>
      <c r="E21" t="s">
        <v>59</v>
      </c>
      <c r="G21" t="s">
        <v>60</v>
      </c>
      <c r="I21" t="s">
        <v>61</v>
      </c>
      <c r="J21" s="1" t="s">
        <v>6988</v>
      </c>
      <c r="K21" s="1" t="s">
        <v>6989</v>
      </c>
      <c r="L21" s="1"/>
      <c r="M21" s="1" t="s">
        <v>47</v>
      </c>
      <c r="P21" s="1">
        <v>408</v>
      </c>
      <c r="Q21" s="1" t="s">
        <v>13127</v>
      </c>
      <c r="R21" s="1"/>
      <c r="S21" s="1" t="s">
        <v>12921</v>
      </c>
    </row>
    <row r="22" spans="1:19" s="27" customFormat="1" x14ac:dyDescent="0.25">
      <c r="A22" s="27" t="s">
        <v>17</v>
      </c>
      <c r="E22" s="27" t="s">
        <v>59</v>
      </c>
      <c r="J22" s="1" t="s">
        <v>59</v>
      </c>
      <c r="K22" s="1" t="s">
        <v>62</v>
      </c>
      <c r="L22" s="19" t="s">
        <v>63</v>
      </c>
      <c r="M22" s="1" t="s">
        <v>23</v>
      </c>
    </row>
    <row r="23" spans="1:19" x14ac:dyDescent="0.25">
      <c r="A23" t="s">
        <v>17</v>
      </c>
      <c r="B23" t="s">
        <v>18</v>
      </c>
      <c r="C23" s="27" t="s">
        <v>34749</v>
      </c>
      <c r="D23" s="28" t="s">
        <v>34867</v>
      </c>
      <c r="E23" t="s">
        <v>64</v>
      </c>
      <c r="G23" t="s">
        <v>65</v>
      </c>
      <c r="I23" t="s">
        <v>66</v>
      </c>
      <c r="J23" t="s">
        <v>64</v>
      </c>
      <c r="K23" t="s">
        <v>66</v>
      </c>
      <c r="L23" s="28" t="s">
        <v>67</v>
      </c>
      <c r="M23" t="s">
        <v>23</v>
      </c>
    </row>
    <row r="24" spans="1:19" x14ac:dyDescent="0.25">
      <c r="A24" t="s">
        <v>17</v>
      </c>
      <c r="B24" t="s">
        <v>18</v>
      </c>
      <c r="C24" s="27" t="s">
        <v>34749</v>
      </c>
      <c r="D24" s="28" t="s">
        <v>34867</v>
      </c>
      <c r="E24" t="s">
        <v>68</v>
      </c>
      <c r="G24" t="s">
        <v>69</v>
      </c>
      <c r="I24" t="s">
        <v>70</v>
      </c>
      <c r="J24" t="s">
        <v>68</v>
      </c>
      <c r="K24" t="s">
        <v>70</v>
      </c>
      <c r="L24" s="28" t="s">
        <v>71</v>
      </c>
      <c r="M24" t="s">
        <v>23</v>
      </c>
    </row>
    <row r="25" spans="1:19" x14ac:dyDescent="0.25">
      <c r="A25" t="s">
        <v>17</v>
      </c>
      <c r="B25" t="s">
        <v>18</v>
      </c>
      <c r="C25" s="27" t="s">
        <v>34749</v>
      </c>
      <c r="D25" s="28" t="s">
        <v>34867</v>
      </c>
      <c r="E25" t="s">
        <v>72</v>
      </c>
      <c r="G25" t="s">
        <v>73</v>
      </c>
      <c r="I25" t="s">
        <v>74</v>
      </c>
      <c r="J25" t="s">
        <v>72</v>
      </c>
      <c r="K25" t="s">
        <v>74</v>
      </c>
      <c r="L25" s="28" t="s">
        <v>75</v>
      </c>
      <c r="M25" t="s">
        <v>23</v>
      </c>
    </row>
    <row r="26" spans="1:19" x14ac:dyDescent="0.25">
      <c r="A26" t="s">
        <v>17</v>
      </c>
      <c r="B26" t="s">
        <v>18</v>
      </c>
      <c r="E26" t="s">
        <v>76</v>
      </c>
      <c r="G26" t="s">
        <v>77</v>
      </c>
      <c r="H26" s="28"/>
      <c r="I26" t="s">
        <v>79</v>
      </c>
      <c r="J26" t="s">
        <v>80</v>
      </c>
      <c r="K26" t="s">
        <v>81</v>
      </c>
      <c r="M26" t="s">
        <v>23</v>
      </c>
      <c r="P26">
        <v>274</v>
      </c>
      <c r="Q26" t="s">
        <v>13007</v>
      </c>
      <c r="S26" t="s">
        <v>13006</v>
      </c>
    </row>
    <row r="27" spans="1:19" s="27" customFormat="1" x14ac:dyDescent="0.25">
      <c r="A27" s="28" t="s">
        <v>14843</v>
      </c>
      <c r="E27" s="1" t="s">
        <v>34835</v>
      </c>
      <c r="G27" s="27" t="s">
        <v>34836</v>
      </c>
      <c r="H27" s="28"/>
      <c r="J27" t="s">
        <v>6098</v>
      </c>
      <c r="K27" t="s">
        <v>6099</v>
      </c>
      <c r="M27" t="s">
        <v>23</v>
      </c>
      <c r="P27">
        <v>276</v>
      </c>
      <c r="Q27" t="s">
        <v>13008</v>
      </c>
      <c r="S27" t="s">
        <v>13006</v>
      </c>
    </row>
    <row r="28" spans="1:19" s="27" customFormat="1" x14ac:dyDescent="0.25">
      <c r="A28" s="28"/>
      <c r="E28" s="1" t="s">
        <v>34856</v>
      </c>
      <c r="G28" s="27" t="s">
        <v>34855</v>
      </c>
      <c r="H28" s="28"/>
      <c r="J28" t="s">
        <v>6063</v>
      </c>
      <c r="K28" t="s">
        <v>6064</v>
      </c>
      <c r="M28" t="s">
        <v>23</v>
      </c>
    </row>
    <row r="29" spans="1:19" x14ac:dyDescent="0.25">
      <c r="A29" t="s">
        <v>17</v>
      </c>
      <c r="B29" t="s">
        <v>18</v>
      </c>
      <c r="C29" s="27" t="s">
        <v>34749</v>
      </c>
      <c r="D29" s="28" t="s">
        <v>34867</v>
      </c>
      <c r="E29" t="s">
        <v>82</v>
      </c>
      <c r="G29" t="s">
        <v>83</v>
      </c>
      <c r="H29" s="28" t="s">
        <v>78</v>
      </c>
      <c r="I29" t="s">
        <v>84</v>
      </c>
      <c r="J29" t="s">
        <v>6109</v>
      </c>
      <c r="K29" t="s">
        <v>6110</v>
      </c>
      <c r="M29" t="s">
        <v>23</v>
      </c>
    </row>
    <row r="30" spans="1:19" x14ac:dyDescent="0.25">
      <c r="A30" t="s">
        <v>17</v>
      </c>
      <c r="B30" t="s">
        <v>18</v>
      </c>
      <c r="C30" s="27" t="s">
        <v>34749</v>
      </c>
      <c r="D30" s="28" t="s">
        <v>34867</v>
      </c>
      <c r="E30" t="s">
        <v>85</v>
      </c>
      <c r="G30" t="s">
        <v>86</v>
      </c>
      <c r="I30" t="s">
        <v>87</v>
      </c>
      <c r="J30" t="s">
        <v>85</v>
      </c>
      <c r="K30" t="s">
        <v>88</v>
      </c>
      <c r="L30" s="28" t="s">
        <v>89</v>
      </c>
      <c r="M30" t="s">
        <v>23</v>
      </c>
    </row>
    <row r="31" spans="1:19" x14ac:dyDescent="0.25">
      <c r="A31" t="s">
        <v>17</v>
      </c>
      <c r="B31" t="s">
        <v>18</v>
      </c>
      <c r="E31" t="s">
        <v>90</v>
      </c>
      <c r="G31" t="s">
        <v>91</v>
      </c>
      <c r="I31" t="s">
        <v>92</v>
      </c>
    </row>
    <row r="32" spans="1:19" x14ac:dyDescent="0.25">
      <c r="A32" t="s">
        <v>17</v>
      </c>
      <c r="B32" t="s">
        <v>18</v>
      </c>
      <c r="C32" s="27" t="s">
        <v>34749</v>
      </c>
      <c r="D32" s="28" t="s">
        <v>34867</v>
      </c>
      <c r="E32" t="s">
        <v>93</v>
      </c>
      <c r="G32" t="s">
        <v>94</v>
      </c>
      <c r="H32" s="28" t="s">
        <v>95</v>
      </c>
      <c r="I32" t="s">
        <v>96</v>
      </c>
      <c r="J32" t="s">
        <v>7073</v>
      </c>
      <c r="K32" t="s">
        <v>7074</v>
      </c>
      <c r="M32" t="s">
        <v>23</v>
      </c>
    </row>
    <row r="33" spans="1:19" s="27" customFormat="1" x14ac:dyDescent="0.25">
      <c r="E33" s="1" t="s">
        <v>34858</v>
      </c>
      <c r="G33" s="27" t="s">
        <v>34860</v>
      </c>
      <c r="H33" s="28"/>
      <c r="J33" t="s">
        <v>7071</v>
      </c>
      <c r="K33" t="s">
        <v>7072</v>
      </c>
      <c r="M33" t="s">
        <v>23</v>
      </c>
    </row>
    <row r="34" spans="1:19" s="27" customFormat="1" x14ac:dyDescent="0.25">
      <c r="E34" s="1" t="s">
        <v>34857</v>
      </c>
      <c r="G34" s="27" t="s">
        <v>34859</v>
      </c>
      <c r="H34" s="28"/>
    </row>
    <row r="35" spans="1:19" x14ac:dyDescent="0.25">
      <c r="A35" t="s">
        <v>17</v>
      </c>
      <c r="B35" t="s">
        <v>18</v>
      </c>
      <c r="C35" s="27" t="s">
        <v>34749</v>
      </c>
      <c r="D35" s="28" t="s">
        <v>34867</v>
      </c>
      <c r="E35" t="s">
        <v>97</v>
      </c>
      <c r="I35" t="s">
        <v>98</v>
      </c>
      <c r="J35" t="s">
        <v>97</v>
      </c>
      <c r="K35" t="s">
        <v>99</v>
      </c>
      <c r="L35" s="28" t="s">
        <v>100</v>
      </c>
      <c r="M35" t="s">
        <v>23</v>
      </c>
    </row>
    <row r="36" spans="1:19" x14ac:dyDescent="0.25">
      <c r="A36" t="s">
        <v>17</v>
      </c>
      <c r="B36" t="s">
        <v>18</v>
      </c>
      <c r="C36" s="27" t="s">
        <v>34749</v>
      </c>
      <c r="D36" s="28" t="s">
        <v>34867</v>
      </c>
      <c r="E36" t="s">
        <v>101</v>
      </c>
      <c r="G36" t="s">
        <v>102</v>
      </c>
      <c r="I36" t="s">
        <v>103</v>
      </c>
      <c r="J36" t="s">
        <v>101</v>
      </c>
      <c r="K36" t="s">
        <v>103</v>
      </c>
      <c r="L36" s="28" t="s">
        <v>104</v>
      </c>
      <c r="M36" t="s">
        <v>23</v>
      </c>
    </row>
    <row r="37" spans="1:19" x14ac:dyDescent="0.25">
      <c r="A37" t="s">
        <v>17</v>
      </c>
      <c r="B37" t="s">
        <v>18</v>
      </c>
      <c r="E37" t="s">
        <v>105</v>
      </c>
      <c r="G37" t="s">
        <v>106</v>
      </c>
      <c r="H37" s="28" t="s">
        <v>104</v>
      </c>
      <c r="I37" t="s">
        <v>107</v>
      </c>
    </row>
    <row r="38" spans="1:19" x14ac:dyDescent="0.25">
      <c r="A38" t="s">
        <v>17</v>
      </c>
      <c r="B38" t="s">
        <v>18</v>
      </c>
      <c r="E38" t="s">
        <v>108</v>
      </c>
      <c r="G38" t="s">
        <v>109</v>
      </c>
      <c r="H38" s="28" t="s">
        <v>104</v>
      </c>
      <c r="I38" t="s">
        <v>110</v>
      </c>
    </row>
    <row r="39" spans="1:19" x14ac:dyDescent="0.25">
      <c r="A39" t="s">
        <v>17</v>
      </c>
      <c r="E39" t="s">
        <v>111</v>
      </c>
      <c r="G39" t="s">
        <v>112</v>
      </c>
      <c r="I39" t="s">
        <v>113</v>
      </c>
      <c r="J39" t="s">
        <v>114</v>
      </c>
      <c r="K39" t="s">
        <v>115</v>
      </c>
      <c r="M39" t="s">
        <v>23</v>
      </c>
      <c r="P39">
        <v>403</v>
      </c>
      <c r="Q39" t="s">
        <v>13122</v>
      </c>
      <c r="S39" t="s">
        <v>13120</v>
      </c>
    </row>
    <row r="40" spans="1:19" x14ac:dyDescent="0.25">
      <c r="A40" s="27" t="s">
        <v>17</v>
      </c>
      <c r="E40" s="1" t="s">
        <v>116</v>
      </c>
      <c r="G40" t="s">
        <v>117</v>
      </c>
      <c r="J40" t="s">
        <v>118</v>
      </c>
      <c r="K40" t="s">
        <v>119</v>
      </c>
      <c r="M40" t="s">
        <v>23</v>
      </c>
      <c r="P40">
        <v>696</v>
      </c>
      <c r="Q40" t="s">
        <v>13230</v>
      </c>
      <c r="S40" t="s">
        <v>12976</v>
      </c>
    </row>
    <row r="41" spans="1:19" x14ac:dyDescent="0.25">
      <c r="A41" t="s">
        <v>17</v>
      </c>
      <c r="E41" t="s">
        <v>120</v>
      </c>
      <c r="G41" t="s">
        <v>121</v>
      </c>
      <c r="I41" t="s">
        <v>122</v>
      </c>
      <c r="P41">
        <v>401</v>
      </c>
      <c r="Q41" t="s">
        <v>13119</v>
      </c>
      <c r="S41" t="s">
        <v>13120</v>
      </c>
    </row>
    <row r="42" spans="1:19" s="27" customFormat="1" x14ac:dyDescent="0.25">
      <c r="A42" s="27" t="s">
        <v>17</v>
      </c>
      <c r="E42" s="1" t="s">
        <v>34843</v>
      </c>
      <c r="G42" s="27" t="s">
        <v>34865</v>
      </c>
      <c r="P42">
        <v>402</v>
      </c>
      <c r="Q42" t="s">
        <v>13121</v>
      </c>
      <c r="S42" t="s">
        <v>13120</v>
      </c>
    </row>
    <row r="43" spans="1:19" s="27" customFormat="1" x14ac:dyDescent="0.25">
      <c r="E43" s="1" t="s">
        <v>34863</v>
      </c>
      <c r="G43" s="33" t="s">
        <v>34864</v>
      </c>
    </row>
    <row r="44" spans="1:19" s="27" customFormat="1" x14ac:dyDescent="0.25">
      <c r="A44" s="27" t="s">
        <v>17</v>
      </c>
      <c r="G44" s="27" t="s">
        <v>6404</v>
      </c>
      <c r="J44" t="s">
        <v>6405</v>
      </c>
      <c r="K44" t="s">
        <v>6406</v>
      </c>
      <c r="M44" t="s">
        <v>666</v>
      </c>
    </row>
    <row r="45" spans="1:19" x14ac:dyDescent="0.25">
      <c r="A45" t="s">
        <v>17</v>
      </c>
      <c r="E45" t="s">
        <v>123</v>
      </c>
      <c r="G45" t="s">
        <v>124</v>
      </c>
      <c r="I45" t="s">
        <v>125</v>
      </c>
      <c r="J45" t="s">
        <v>126</v>
      </c>
      <c r="K45" t="s">
        <v>127</v>
      </c>
      <c r="M45" t="s">
        <v>23</v>
      </c>
      <c r="P45">
        <v>404</v>
      </c>
      <c r="Q45" t="s">
        <v>13123</v>
      </c>
      <c r="S45" t="s">
        <v>12921</v>
      </c>
    </row>
    <row r="46" spans="1:19" s="27" customFormat="1" x14ac:dyDescent="0.25">
      <c r="A46" s="27" t="s">
        <v>17</v>
      </c>
      <c r="E46" s="27" t="s">
        <v>34833</v>
      </c>
      <c r="I46" s="27" t="s">
        <v>34834</v>
      </c>
      <c r="P46">
        <v>405</v>
      </c>
      <c r="Q46" t="s">
        <v>13124</v>
      </c>
      <c r="S46" t="s">
        <v>12921</v>
      </c>
    </row>
    <row r="47" spans="1:19" x14ac:dyDescent="0.25">
      <c r="A47" s="27" t="s">
        <v>17</v>
      </c>
      <c r="E47" s="1" t="s">
        <v>128</v>
      </c>
      <c r="G47" t="s">
        <v>129</v>
      </c>
      <c r="I47" t="s">
        <v>130</v>
      </c>
      <c r="P47">
        <v>406</v>
      </c>
      <c r="Q47" t="s">
        <v>13125</v>
      </c>
      <c r="S47" t="s">
        <v>12921</v>
      </c>
    </row>
    <row r="48" spans="1:19" s="27" customFormat="1" x14ac:dyDescent="0.25">
      <c r="E48" s="1" t="s">
        <v>34861</v>
      </c>
      <c r="G48" s="27" t="s">
        <v>34862</v>
      </c>
      <c r="J48" t="s">
        <v>7628</v>
      </c>
      <c r="K48" t="s">
        <v>7629</v>
      </c>
      <c r="M48" t="s">
        <v>23</v>
      </c>
    </row>
    <row r="49" spans="1:19" x14ac:dyDescent="0.25">
      <c r="A49" s="22" t="s">
        <v>131</v>
      </c>
      <c r="E49" t="s">
        <v>132</v>
      </c>
      <c r="G49" t="s">
        <v>133</v>
      </c>
      <c r="I49" t="s">
        <v>134</v>
      </c>
    </row>
    <row r="50" spans="1:19" x14ac:dyDescent="0.25">
      <c r="A50" s="22" t="s">
        <v>131</v>
      </c>
      <c r="E50" t="s">
        <v>135</v>
      </c>
      <c r="G50" t="s">
        <v>136</v>
      </c>
      <c r="I50" t="s">
        <v>137</v>
      </c>
    </row>
    <row r="51" spans="1:19" x14ac:dyDescent="0.25">
      <c r="A51" s="22" t="s">
        <v>131</v>
      </c>
      <c r="E51" t="s">
        <v>138</v>
      </c>
      <c r="G51" t="s">
        <v>139</v>
      </c>
      <c r="I51" t="s">
        <v>140</v>
      </c>
      <c r="P51">
        <v>200</v>
      </c>
      <c r="Q51" t="s">
        <v>12971</v>
      </c>
      <c r="S51" t="s">
        <v>12970</v>
      </c>
    </row>
    <row r="52" spans="1:19" x14ac:dyDescent="0.25">
      <c r="A52" s="28" t="s">
        <v>14843</v>
      </c>
      <c r="E52" t="s">
        <v>141</v>
      </c>
      <c r="G52" t="s">
        <v>142</v>
      </c>
      <c r="I52" t="s">
        <v>143</v>
      </c>
      <c r="P52">
        <v>183</v>
      </c>
      <c r="Q52" t="s">
        <v>12955</v>
      </c>
      <c r="S52" t="s">
        <v>150</v>
      </c>
    </row>
    <row r="53" spans="1:19" x14ac:dyDescent="0.25">
      <c r="A53" s="28" t="s">
        <v>14843</v>
      </c>
      <c r="E53" t="s">
        <v>144</v>
      </c>
      <c r="G53" t="s">
        <v>145</v>
      </c>
      <c r="I53" t="s">
        <v>146</v>
      </c>
      <c r="P53">
        <v>182</v>
      </c>
      <c r="Q53" t="s">
        <v>12954</v>
      </c>
      <c r="S53" t="s">
        <v>12953</v>
      </c>
    </row>
    <row r="54" spans="1:19" x14ac:dyDescent="0.25">
      <c r="A54" s="28" t="s">
        <v>14843</v>
      </c>
      <c r="E54" t="s">
        <v>147</v>
      </c>
      <c r="G54" t="s">
        <v>148</v>
      </c>
      <c r="I54" t="s">
        <v>149</v>
      </c>
      <c r="J54" t="s">
        <v>150</v>
      </c>
      <c r="K54" t="s">
        <v>151</v>
      </c>
      <c r="M54" t="s">
        <v>47</v>
      </c>
      <c r="P54">
        <v>180</v>
      </c>
      <c r="Q54" t="s">
        <v>149</v>
      </c>
      <c r="S54" t="s">
        <v>150</v>
      </c>
    </row>
    <row r="55" spans="1:19" s="27" customFormat="1" x14ac:dyDescent="0.25">
      <c r="A55" s="28" t="s">
        <v>14843</v>
      </c>
      <c r="G55" s="27" t="s">
        <v>34706</v>
      </c>
    </row>
    <row r="56" spans="1:19" x14ac:dyDescent="0.25">
      <c r="A56" s="24" t="s">
        <v>152</v>
      </c>
      <c r="E56" t="s">
        <v>153</v>
      </c>
      <c r="G56" t="s">
        <v>154</v>
      </c>
      <c r="I56" t="s">
        <v>155</v>
      </c>
      <c r="P56">
        <v>120</v>
      </c>
      <c r="Q56" t="s">
        <v>12920</v>
      </c>
      <c r="S56" t="s">
        <v>152</v>
      </c>
    </row>
    <row r="57" spans="1:19" x14ac:dyDescent="0.25">
      <c r="A57" s="24" t="s">
        <v>152</v>
      </c>
      <c r="E57" t="s">
        <v>156</v>
      </c>
      <c r="G57" t="s">
        <v>157</v>
      </c>
      <c r="I57" t="s">
        <v>158</v>
      </c>
    </row>
    <row r="58" spans="1:19" x14ac:dyDescent="0.25">
      <c r="A58" s="24" t="s">
        <v>152</v>
      </c>
      <c r="E58" t="s">
        <v>159</v>
      </c>
      <c r="G58" t="s">
        <v>160</v>
      </c>
      <c r="I58" t="s">
        <v>34847</v>
      </c>
      <c r="J58" t="s">
        <v>7346</v>
      </c>
      <c r="K58" t="s">
        <v>7347</v>
      </c>
      <c r="M58" t="s">
        <v>47</v>
      </c>
    </row>
    <row r="59" spans="1:19" x14ac:dyDescent="0.25">
      <c r="A59" t="s">
        <v>161</v>
      </c>
      <c r="E59" t="s">
        <v>162</v>
      </c>
      <c r="G59" t="s">
        <v>163</v>
      </c>
      <c r="J59" t="s">
        <v>164</v>
      </c>
      <c r="K59" t="s">
        <v>165</v>
      </c>
      <c r="M59" t="s">
        <v>47</v>
      </c>
      <c r="P59">
        <v>148</v>
      </c>
      <c r="Q59" t="s">
        <v>12939</v>
      </c>
      <c r="S59" t="s">
        <v>161</v>
      </c>
    </row>
    <row r="60" spans="1:19" x14ac:dyDescent="0.25">
      <c r="A60" t="s">
        <v>12924</v>
      </c>
      <c r="E60" t="s">
        <v>166</v>
      </c>
      <c r="G60" t="s">
        <v>167</v>
      </c>
      <c r="I60" t="s">
        <v>168</v>
      </c>
      <c r="P60">
        <v>126</v>
      </c>
      <c r="Q60" t="s">
        <v>12925</v>
      </c>
      <c r="S60" t="s">
        <v>12924</v>
      </c>
    </row>
    <row r="61" spans="1:19" s="27" customFormat="1" x14ac:dyDescent="0.25">
      <c r="A61" s="28" t="s">
        <v>14843</v>
      </c>
      <c r="G61" s="27" t="s">
        <v>33875</v>
      </c>
      <c r="P61">
        <v>127</v>
      </c>
      <c r="Q61" t="s">
        <v>12926</v>
      </c>
      <c r="S61" t="s">
        <v>12927</v>
      </c>
    </row>
    <row r="62" spans="1:19" s="27" customFormat="1" x14ac:dyDescent="0.25">
      <c r="A62" s="24" t="s">
        <v>12929</v>
      </c>
      <c r="G62" s="27" t="s">
        <v>34822</v>
      </c>
      <c r="J62" t="s">
        <v>8066</v>
      </c>
      <c r="K62" t="s">
        <v>8067</v>
      </c>
      <c r="M62" t="s">
        <v>47</v>
      </c>
      <c r="P62">
        <v>130</v>
      </c>
      <c r="Q62" t="s">
        <v>12930</v>
      </c>
      <c r="S62" t="s">
        <v>12929</v>
      </c>
    </row>
    <row r="63" spans="1:19" s="27" customFormat="1" x14ac:dyDescent="0.25">
      <c r="A63" s="27" t="s">
        <v>34824</v>
      </c>
      <c r="E63" s="1" t="s">
        <v>34823</v>
      </c>
      <c r="G63" s="27" t="s">
        <v>34844</v>
      </c>
      <c r="P63">
        <v>136</v>
      </c>
      <c r="Q63" t="s">
        <v>12932</v>
      </c>
      <c r="S63" t="s">
        <v>12931</v>
      </c>
    </row>
    <row r="64" spans="1:19" s="27" customFormat="1" x14ac:dyDescent="0.25">
      <c r="A64" s="27" t="s">
        <v>17</v>
      </c>
      <c r="E64" s="1" t="s">
        <v>34820</v>
      </c>
      <c r="G64" s="27" t="s">
        <v>34821</v>
      </c>
      <c r="I64" t="s">
        <v>187</v>
      </c>
      <c r="P64">
        <v>128</v>
      </c>
      <c r="Q64" t="s">
        <v>12928</v>
      </c>
      <c r="S64" t="s">
        <v>17</v>
      </c>
    </row>
    <row r="65" spans="1:19" s="27" customFormat="1" x14ac:dyDescent="0.25">
      <c r="A65" s="27" t="s">
        <v>17</v>
      </c>
      <c r="G65" s="27" t="s">
        <v>34829</v>
      </c>
      <c r="P65">
        <v>202</v>
      </c>
      <c r="Q65" t="s">
        <v>12972</v>
      </c>
      <c r="S65" t="s">
        <v>17</v>
      </c>
    </row>
    <row r="66" spans="1:19" s="27" customFormat="1" x14ac:dyDescent="0.25">
      <c r="A66" s="27" t="s">
        <v>17</v>
      </c>
      <c r="G66" s="27" t="s">
        <v>34830</v>
      </c>
      <c r="P66">
        <v>203</v>
      </c>
      <c r="Q66" t="s">
        <v>12973</v>
      </c>
      <c r="S66" t="s">
        <v>17</v>
      </c>
    </row>
    <row r="67" spans="1:19" s="27" customFormat="1" x14ac:dyDescent="0.25">
      <c r="A67" s="27" t="s">
        <v>17</v>
      </c>
      <c r="G67" s="27" t="s">
        <v>34831</v>
      </c>
      <c r="P67">
        <v>204</v>
      </c>
      <c r="Q67" t="s">
        <v>12974</v>
      </c>
      <c r="S67" t="s">
        <v>17</v>
      </c>
    </row>
    <row r="68" spans="1:19" s="27" customFormat="1" x14ac:dyDescent="0.25">
      <c r="A68" s="27" t="s">
        <v>17</v>
      </c>
      <c r="G68" s="27" t="s">
        <v>34832</v>
      </c>
      <c r="P68">
        <v>206</v>
      </c>
      <c r="Q68" t="s">
        <v>12975</v>
      </c>
      <c r="S68" t="s">
        <v>17</v>
      </c>
    </row>
    <row r="69" spans="1:19" s="27" customFormat="1" x14ac:dyDescent="0.25">
      <c r="A69" s="27" t="s">
        <v>17</v>
      </c>
      <c r="G69" s="27" t="s">
        <v>34853</v>
      </c>
      <c r="J69" t="s">
        <v>5054</v>
      </c>
      <c r="K69" t="s">
        <v>5055</v>
      </c>
      <c r="M69" t="s">
        <v>666</v>
      </c>
    </row>
    <row r="70" spans="1:19" x14ac:dyDescent="0.25">
      <c r="A70" s="28" t="s">
        <v>14843</v>
      </c>
      <c r="G70" t="s">
        <v>170</v>
      </c>
      <c r="I70"/>
    </row>
    <row r="71" spans="1:19" s="27" customFormat="1" x14ac:dyDescent="0.25">
      <c r="A71" s="1" t="s">
        <v>169</v>
      </c>
      <c r="G71" s="27" t="s">
        <v>34840</v>
      </c>
      <c r="P71">
        <v>409</v>
      </c>
      <c r="Q71" t="s">
        <v>13128</v>
      </c>
      <c r="S71" t="s">
        <v>169</v>
      </c>
    </row>
    <row r="72" spans="1:19" s="27" customFormat="1" x14ac:dyDescent="0.25">
      <c r="A72" s="1" t="s">
        <v>169</v>
      </c>
      <c r="G72" s="27" t="s">
        <v>34841</v>
      </c>
      <c r="P72">
        <v>410</v>
      </c>
      <c r="Q72" t="s">
        <v>13129</v>
      </c>
      <c r="S72" t="s">
        <v>169</v>
      </c>
    </row>
    <row r="73" spans="1:19" s="27" customFormat="1" x14ac:dyDescent="0.25">
      <c r="A73" s="1" t="s">
        <v>169</v>
      </c>
      <c r="G73" s="27" t="s">
        <v>34842</v>
      </c>
      <c r="P73">
        <v>411</v>
      </c>
      <c r="Q73" t="s">
        <v>13130</v>
      </c>
      <c r="S73" t="s">
        <v>169</v>
      </c>
    </row>
    <row r="74" spans="1:19" x14ac:dyDescent="0.25">
      <c r="A74" t="s">
        <v>152</v>
      </c>
      <c r="G74" t="s">
        <v>171</v>
      </c>
      <c r="I74" t="s">
        <v>172</v>
      </c>
    </row>
    <row r="75" spans="1:19" x14ac:dyDescent="0.25">
      <c r="A75" t="s">
        <v>152</v>
      </c>
      <c r="G75" t="s">
        <v>173</v>
      </c>
      <c r="I75" t="s">
        <v>174</v>
      </c>
    </row>
    <row r="76" spans="1:19" x14ac:dyDescent="0.25">
      <c r="A76" t="s">
        <v>152</v>
      </c>
      <c r="G76" t="s">
        <v>175</v>
      </c>
      <c r="I76" t="s">
        <v>176</v>
      </c>
    </row>
    <row r="77" spans="1:19" x14ac:dyDescent="0.25">
      <c r="A77" t="s">
        <v>152</v>
      </c>
      <c r="G77" t="s">
        <v>177</v>
      </c>
      <c r="I77" t="s">
        <v>178</v>
      </c>
    </row>
    <row r="78" spans="1:19" x14ac:dyDescent="0.25">
      <c r="A78" t="s">
        <v>152</v>
      </c>
      <c r="G78" t="s">
        <v>179</v>
      </c>
      <c r="I78" t="s">
        <v>179</v>
      </c>
    </row>
    <row r="79" spans="1:19" x14ac:dyDescent="0.25">
      <c r="A79" t="s">
        <v>152</v>
      </c>
      <c r="G79" t="s">
        <v>180</v>
      </c>
      <c r="I79" t="s">
        <v>180</v>
      </c>
    </row>
    <row r="80" spans="1:19" x14ac:dyDescent="0.25">
      <c r="A80" t="s">
        <v>152</v>
      </c>
      <c r="G80" t="s">
        <v>181</v>
      </c>
      <c r="I80" t="s">
        <v>182</v>
      </c>
    </row>
    <row r="81" spans="1:13" x14ac:dyDescent="0.25">
      <c r="A81" t="s">
        <v>152</v>
      </c>
      <c r="G81" t="s">
        <v>183</v>
      </c>
      <c r="I81" t="s">
        <v>184</v>
      </c>
    </row>
    <row r="82" spans="1:13" x14ac:dyDescent="0.25">
      <c r="A82" t="s">
        <v>152</v>
      </c>
      <c r="G82" t="s">
        <v>185</v>
      </c>
      <c r="I82" t="s">
        <v>186</v>
      </c>
    </row>
    <row r="83" spans="1:13" x14ac:dyDescent="0.25">
      <c r="A83" t="s">
        <v>17</v>
      </c>
      <c r="B83" t="s">
        <v>188</v>
      </c>
      <c r="C83" s="27" t="s">
        <v>34749</v>
      </c>
      <c r="D83" s="28" t="s">
        <v>34867</v>
      </c>
      <c r="E83" t="s">
        <v>189</v>
      </c>
      <c r="G83" t="s">
        <v>190</v>
      </c>
      <c r="I83" t="s">
        <v>191</v>
      </c>
      <c r="J83" t="s">
        <v>189</v>
      </c>
      <c r="K83" t="s">
        <v>191</v>
      </c>
      <c r="L83" s="28" t="s">
        <v>192</v>
      </c>
      <c r="M83" t="s">
        <v>23</v>
      </c>
    </row>
    <row r="84" spans="1:13" x14ac:dyDescent="0.25">
      <c r="A84" t="s">
        <v>193</v>
      </c>
      <c r="B84" t="s">
        <v>188</v>
      </c>
      <c r="C84" s="27" t="s">
        <v>34749</v>
      </c>
      <c r="D84" s="28" t="s">
        <v>34867</v>
      </c>
      <c r="E84" t="s">
        <v>194</v>
      </c>
      <c r="G84" t="s">
        <v>195</v>
      </c>
      <c r="I84" t="s">
        <v>196</v>
      </c>
      <c r="J84" t="s">
        <v>194</v>
      </c>
      <c r="K84" t="s">
        <v>196</v>
      </c>
      <c r="L84" s="28" t="s">
        <v>197</v>
      </c>
      <c r="M84" t="s">
        <v>23</v>
      </c>
    </row>
    <row r="85" spans="1:13" x14ac:dyDescent="0.25">
      <c r="A85" t="s">
        <v>193</v>
      </c>
      <c r="B85" t="s">
        <v>188</v>
      </c>
      <c r="C85" s="27" t="s">
        <v>34749</v>
      </c>
      <c r="D85" s="28" t="s">
        <v>34867</v>
      </c>
      <c r="E85" t="s">
        <v>198</v>
      </c>
      <c r="G85" t="s">
        <v>199</v>
      </c>
      <c r="I85" t="s">
        <v>200</v>
      </c>
      <c r="J85" t="s">
        <v>198</v>
      </c>
      <c r="K85" t="s">
        <v>200</v>
      </c>
      <c r="L85" s="28" t="s">
        <v>201</v>
      </c>
      <c r="M85" t="s">
        <v>23</v>
      </c>
    </row>
    <row r="86" spans="1:13" x14ac:dyDescent="0.25">
      <c r="A86" t="s">
        <v>193</v>
      </c>
      <c r="B86" t="s">
        <v>188</v>
      </c>
      <c r="C86" s="27" t="s">
        <v>34749</v>
      </c>
      <c r="D86" s="28" t="s">
        <v>34867</v>
      </c>
      <c r="E86" t="s">
        <v>202</v>
      </c>
      <c r="G86" t="s">
        <v>203</v>
      </c>
      <c r="I86" t="s">
        <v>204</v>
      </c>
      <c r="J86" t="s">
        <v>202</v>
      </c>
      <c r="K86" t="s">
        <v>204</v>
      </c>
      <c r="L86" s="28" t="s">
        <v>205</v>
      </c>
      <c r="M86" t="s">
        <v>23</v>
      </c>
    </row>
    <row r="87" spans="1:13" x14ac:dyDescent="0.25">
      <c r="A87" t="s">
        <v>193</v>
      </c>
      <c r="B87" t="s">
        <v>188</v>
      </c>
      <c r="C87" s="27" t="s">
        <v>34749</v>
      </c>
      <c r="D87" s="28" t="s">
        <v>34867</v>
      </c>
      <c r="E87" t="s">
        <v>206</v>
      </c>
      <c r="G87" t="s">
        <v>207</v>
      </c>
      <c r="I87" t="s">
        <v>208</v>
      </c>
      <c r="J87" t="s">
        <v>206</v>
      </c>
      <c r="K87" t="s">
        <v>208</v>
      </c>
      <c r="L87" s="28" t="s">
        <v>209</v>
      </c>
      <c r="M87" t="s">
        <v>23</v>
      </c>
    </row>
    <row r="88" spans="1:13" x14ac:dyDescent="0.25">
      <c r="A88" t="s">
        <v>17</v>
      </c>
      <c r="B88" t="s">
        <v>188</v>
      </c>
      <c r="C88" s="27" t="s">
        <v>34749</v>
      </c>
      <c r="D88" s="28" t="s">
        <v>34867</v>
      </c>
      <c r="E88" t="s">
        <v>210</v>
      </c>
      <c r="G88" t="s">
        <v>211</v>
      </c>
      <c r="I88" t="s">
        <v>212</v>
      </c>
      <c r="J88" t="s">
        <v>210</v>
      </c>
      <c r="K88" t="s">
        <v>212</v>
      </c>
      <c r="L88" s="28" t="s">
        <v>213</v>
      </c>
      <c r="M88" t="s">
        <v>23</v>
      </c>
    </row>
    <row r="89" spans="1:13" x14ac:dyDescent="0.25">
      <c r="A89" t="s">
        <v>17</v>
      </c>
      <c r="B89" t="s">
        <v>188</v>
      </c>
      <c r="C89" s="27" t="s">
        <v>34749</v>
      </c>
      <c r="D89" s="28" t="s">
        <v>34867</v>
      </c>
      <c r="E89" t="s">
        <v>82</v>
      </c>
      <c r="G89" t="s">
        <v>214</v>
      </c>
      <c r="H89" s="28" t="s">
        <v>78</v>
      </c>
      <c r="I89" t="s">
        <v>215</v>
      </c>
    </row>
    <row r="90" spans="1:13" x14ac:dyDescent="0.25">
      <c r="A90" t="s">
        <v>17</v>
      </c>
      <c r="B90" t="s">
        <v>188</v>
      </c>
      <c r="C90" s="27" t="s">
        <v>34749</v>
      </c>
      <c r="D90" s="28" t="s">
        <v>34867</v>
      </c>
      <c r="E90" t="s">
        <v>216</v>
      </c>
      <c r="G90" t="s">
        <v>217</v>
      </c>
      <c r="H90" s="28" t="s">
        <v>218</v>
      </c>
    </row>
    <row r="91" spans="1:13" x14ac:dyDescent="0.25">
      <c r="A91" t="s">
        <v>193</v>
      </c>
      <c r="B91" t="s">
        <v>188</v>
      </c>
      <c r="C91" s="27" t="s">
        <v>34749</v>
      </c>
      <c r="D91" s="28" t="s">
        <v>34867</v>
      </c>
      <c r="E91" t="s">
        <v>219</v>
      </c>
      <c r="G91" t="s">
        <v>220</v>
      </c>
      <c r="I91" t="s">
        <v>221</v>
      </c>
      <c r="J91" t="s">
        <v>219</v>
      </c>
      <c r="K91" t="s">
        <v>221</v>
      </c>
      <c r="L91" s="28" t="s">
        <v>222</v>
      </c>
      <c r="M91" t="s">
        <v>23</v>
      </c>
    </row>
    <row r="92" spans="1:13" x14ac:dyDescent="0.25">
      <c r="A92" t="s">
        <v>193</v>
      </c>
      <c r="B92" t="s">
        <v>188</v>
      </c>
      <c r="C92" s="27" t="s">
        <v>34749</v>
      </c>
      <c r="D92" s="28" t="s">
        <v>34867</v>
      </c>
      <c r="E92" t="s">
        <v>223</v>
      </c>
      <c r="G92" t="s">
        <v>224</v>
      </c>
      <c r="I92" t="s">
        <v>225</v>
      </c>
      <c r="J92" t="s">
        <v>223</v>
      </c>
      <c r="K92" t="s">
        <v>225</v>
      </c>
      <c r="L92" s="28" t="s">
        <v>226</v>
      </c>
      <c r="M92" t="s">
        <v>23</v>
      </c>
    </row>
    <row r="93" spans="1:13" x14ac:dyDescent="0.25">
      <c r="A93" t="s">
        <v>17</v>
      </c>
      <c r="B93" t="s">
        <v>188</v>
      </c>
      <c r="C93" s="27" t="s">
        <v>34749</v>
      </c>
      <c r="D93" s="28" t="s">
        <v>34867</v>
      </c>
      <c r="E93" t="s">
        <v>227</v>
      </c>
      <c r="G93" t="s">
        <v>228</v>
      </c>
      <c r="I93" t="s">
        <v>229</v>
      </c>
      <c r="J93" t="s">
        <v>227</v>
      </c>
      <c r="K93" t="s">
        <v>229</v>
      </c>
      <c r="L93" s="28" t="s">
        <v>230</v>
      </c>
      <c r="M93" t="s">
        <v>23</v>
      </c>
    </row>
    <row r="94" spans="1:13" x14ac:dyDescent="0.25">
      <c r="A94" t="s">
        <v>17</v>
      </c>
      <c r="B94" t="s">
        <v>188</v>
      </c>
      <c r="C94" s="27" t="s">
        <v>34749</v>
      </c>
      <c r="D94" s="28" t="s">
        <v>34867</v>
      </c>
      <c r="E94" t="s">
        <v>231</v>
      </c>
      <c r="G94" t="s">
        <v>232</v>
      </c>
      <c r="I94" t="s">
        <v>233</v>
      </c>
      <c r="J94" t="s">
        <v>231</v>
      </c>
      <c r="K94" t="s">
        <v>233</v>
      </c>
      <c r="L94" s="28" t="s">
        <v>234</v>
      </c>
      <c r="M94" t="s">
        <v>23</v>
      </c>
    </row>
    <row r="95" spans="1:13" x14ac:dyDescent="0.25">
      <c r="A95" t="s">
        <v>17</v>
      </c>
      <c r="B95" t="s">
        <v>188</v>
      </c>
      <c r="C95" s="27" t="s">
        <v>34749</v>
      </c>
      <c r="D95" s="28" t="s">
        <v>34867</v>
      </c>
      <c r="E95" t="s">
        <v>235</v>
      </c>
      <c r="G95" t="s">
        <v>236</v>
      </c>
      <c r="I95" t="s">
        <v>237</v>
      </c>
      <c r="J95" t="s">
        <v>235</v>
      </c>
      <c r="K95" t="s">
        <v>237</v>
      </c>
      <c r="L95" s="28" t="s">
        <v>238</v>
      </c>
      <c r="M95" t="s">
        <v>23</v>
      </c>
    </row>
    <row r="96" spans="1:13" x14ac:dyDescent="0.25">
      <c r="A96" t="s">
        <v>17</v>
      </c>
      <c r="B96" t="s">
        <v>188</v>
      </c>
      <c r="C96" s="27" t="s">
        <v>34749</v>
      </c>
      <c r="D96" s="28" t="s">
        <v>34867</v>
      </c>
      <c r="E96" t="s">
        <v>239</v>
      </c>
      <c r="G96" t="s">
        <v>240</v>
      </c>
      <c r="I96" t="s">
        <v>241</v>
      </c>
      <c r="J96" t="s">
        <v>239</v>
      </c>
      <c r="K96" t="s">
        <v>241</v>
      </c>
      <c r="L96" s="28" t="s">
        <v>242</v>
      </c>
      <c r="M96" t="s">
        <v>23</v>
      </c>
    </row>
    <row r="97" spans="1:13" x14ac:dyDescent="0.25">
      <c r="A97" t="s">
        <v>17</v>
      </c>
      <c r="B97" t="s">
        <v>188</v>
      </c>
      <c r="C97" s="27" t="s">
        <v>34749</v>
      </c>
      <c r="D97" s="28" t="s">
        <v>34867</v>
      </c>
      <c r="E97" t="s">
        <v>93</v>
      </c>
      <c r="G97" t="s">
        <v>243</v>
      </c>
      <c r="H97" s="28" t="s">
        <v>95</v>
      </c>
      <c r="I97" t="s">
        <v>244</v>
      </c>
    </row>
    <row r="98" spans="1:13" x14ac:dyDescent="0.25">
      <c r="A98" t="s">
        <v>17</v>
      </c>
      <c r="B98" t="s">
        <v>188</v>
      </c>
      <c r="C98" s="27" t="s">
        <v>34749</v>
      </c>
      <c r="D98" s="28" t="s">
        <v>34867</v>
      </c>
      <c r="E98" t="s">
        <v>245</v>
      </c>
      <c r="G98" t="s">
        <v>246</v>
      </c>
      <c r="I98" t="s">
        <v>247</v>
      </c>
      <c r="J98" t="s">
        <v>245</v>
      </c>
      <c r="K98" t="s">
        <v>248</v>
      </c>
      <c r="L98" s="28" t="s">
        <v>249</v>
      </c>
      <c r="M98" t="s">
        <v>23</v>
      </c>
    </row>
    <row r="99" spans="1:13" x14ac:dyDescent="0.25">
      <c r="A99" t="s">
        <v>17</v>
      </c>
      <c r="B99" t="s">
        <v>188</v>
      </c>
      <c r="C99" s="27" t="s">
        <v>34749</v>
      </c>
      <c r="D99" s="28" t="s">
        <v>34867</v>
      </c>
      <c r="E99" t="s">
        <v>250</v>
      </c>
      <c r="G99" t="s">
        <v>251</v>
      </c>
      <c r="I99" t="s">
        <v>252</v>
      </c>
      <c r="J99" t="s">
        <v>250</v>
      </c>
      <c r="K99" t="s">
        <v>252</v>
      </c>
      <c r="L99" s="28" t="s">
        <v>253</v>
      </c>
      <c r="M99" t="s">
        <v>23</v>
      </c>
    </row>
    <row r="100" spans="1:13" x14ac:dyDescent="0.25">
      <c r="A100" t="s">
        <v>193</v>
      </c>
      <c r="B100" t="s">
        <v>188</v>
      </c>
      <c r="C100" s="27" t="s">
        <v>34749</v>
      </c>
      <c r="D100" s="28" t="s">
        <v>34867</v>
      </c>
      <c r="E100" t="s">
        <v>254</v>
      </c>
      <c r="G100" t="s">
        <v>255</v>
      </c>
      <c r="I100" t="s">
        <v>256</v>
      </c>
      <c r="J100" t="s">
        <v>254</v>
      </c>
      <c r="K100" t="s">
        <v>256</v>
      </c>
      <c r="L100" s="28" t="s">
        <v>257</v>
      </c>
      <c r="M100" t="s">
        <v>23</v>
      </c>
    </row>
    <row r="101" spans="1:13" x14ac:dyDescent="0.25">
      <c r="A101" t="s">
        <v>17</v>
      </c>
      <c r="B101" t="s">
        <v>188</v>
      </c>
      <c r="C101" s="27" t="s">
        <v>34749</v>
      </c>
      <c r="D101" s="28" t="s">
        <v>34867</v>
      </c>
      <c r="E101" t="s">
        <v>258</v>
      </c>
      <c r="G101" t="s">
        <v>259</v>
      </c>
      <c r="I101" t="s">
        <v>260</v>
      </c>
      <c r="J101" t="s">
        <v>258</v>
      </c>
      <c r="K101" t="s">
        <v>260</v>
      </c>
      <c r="L101" s="28" t="s">
        <v>261</v>
      </c>
      <c r="M101" t="s">
        <v>23</v>
      </c>
    </row>
    <row r="102" spans="1:13" x14ac:dyDescent="0.25">
      <c r="A102" t="s">
        <v>17</v>
      </c>
      <c r="B102" t="s">
        <v>188</v>
      </c>
      <c r="C102" s="27" t="s">
        <v>34749</v>
      </c>
      <c r="D102" s="28" t="s">
        <v>34867</v>
      </c>
      <c r="E102" t="s">
        <v>262</v>
      </c>
      <c r="G102" t="s">
        <v>263</v>
      </c>
      <c r="I102" t="s">
        <v>264</v>
      </c>
      <c r="J102" t="s">
        <v>262</v>
      </c>
      <c r="K102" t="s">
        <v>264</v>
      </c>
      <c r="L102" s="28" t="s">
        <v>265</v>
      </c>
      <c r="M102" t="s">
        <v>23</v>
      </c>
    </row>
    <row r="103" spans="1:13" x14ac:dyDescent="0.25">
      <c r="A103" t="s">
        <v>193</v>
      </c>
      <c r="B103" t="s">
        <v>188</v>
      </c>
      <c r="C103" s="27" t="s">
        <v>34749</v>
      </c>
      <c r="D103" s="28" t="s">
        <v>34867</v>
      </c>
      <c r="E103" t="s">
        <v>266</v>
      </c>
      <c r="G103" t="s">
        <v>267</v>
      </c>
      <c r="I103" t="s">
        <v>268</v>
      </c>
      <c r="J103" t="s">
        <v>266</v>
      </c>
      <c r="K103" t="s">
        <v>268</v>
      </c>
      <c r="L103" s="28" t="s">
        <v>269</v>
      </c>
      <c r="M103" t="s">
        <v>23</v>
      </c>
    </row>
    <row r="104" spans="1:13" x14ac:dyDescent="0.25">
      <c r="A104" t="s">
        <v>193</v>
      </c>
      <c r="B104" t="s">
        <v>188</v>
      </c>
      <c r="C104" s="27" t="s">
        <v>34749</v>
      </c>
      <c r="D104" s="28" t="s">
        <v>34867</v>
      </c>
      <c r="E104" t="s">
        <v>270</v>
      </c>
      <c r="G104" t="s">
        <v>271</v>
      </c>
      <c r="I104" t="s">
        <v>272</v>
      </c>
      <c r="J104" t="s">
        <v>270</v>
      </c>
      <c r="K104" t="s">
        <v>272</v>
      </c>
      <c r="L104" s="28" t="s">
        <v>273</v>
      </c>
      <c r="M104" t="s">
        <v>23</v>
      </c>
    </row>
    <row r="105" spans="1:13" x14ac:dyDescent="0.25">
      <c r="A105" t="s">
        <v>193</v>
      </c>
      <c r="B105" t="s">
        <v>188</v>
      </c>
      <c r="C105" s="27" t="s">
        <v>34749</v>
      </c>
      <c r="D105" s="28" t="s">
        <v>34867</v>
      </c>
      <c r="E105" t="s">
        <v>274</v>
      </c>
      <c r="G105" t="s">
        <v>275</v>
      </c>
      <c r="I105" t="s">
        <v>276</v>
      </c>
      <c r="J105" t="s">
        <v>274</v>
      </c>
      <c r="K105" t="s">
        <v>276</v>
      </c>
      <c r="L105" s="28" t="s">
        <v>277</v>
      </c>
      <c r="M105" t="s">
        <v>23</v>
      </c>
    </row>
    <row r="106" spans="1:13" x14ac:dyDescent="0.25">
      <c r="A106" t="s">
        <v>193</v>
      </c>
      <c r="B106" t="s">
        <v>188</v>
      </c>
      <c r="C106" s="27" t="s">
        <v>34749</v>
      </c>
      <c r="D106" s="28" t="s">
        <v>34867</v>
      </c>
      <c r="E106" t="s">
        <v>278</v>
      </c>
      <c r="G106" t="s">
        <v>279</v>
      </c>
      <c r="I106" t="s">
        <v>280</v>
      </c>
      <c r="J106" t="s">
        <v>278</v>
      </c>
      <c r="K106" t="s">
        <v>280</v>
      </c>
      <c r="L106" s="28" t="s">
        <v>281</v>
      </c>
      <c r="M106" t="s">
        <v>23</v>
      </c>
    </row>
    <row r="107" spans="1:13" x14ac:dyDescent="0.25">
      <c r="A107" t="s">
        <v>17</v>
      </c>
      <c r="B107" t="s">
        <v>188</v>
      </c>
      <c r="C107" s="27" t="s">
        <v>34749</v>
      </c>
      <c r="D107" s="28" t="s">
        <v>34867</v>
      </c>
      <c r="E107" t="s">
        <v>282</v>
      </c>
      <c r="G107" t="s">
        <v>283</v>
      </c>
      <c r="I107" t="s">
        <v>284</v>
      </c>
      <c r="J107" t="s">
        <v>282</v>
      </c>
      <c r="K107" t="s">
        <v>284</v>
      </c>
      <c r="L107" s="28" t="s">
        <v>285</v>
      </c>
      <c r="M107" t="s">
        <v>23</v>
      </c>
    </row>
    <row r="108" spans="1:13" x14ac:dyDescent="0.25">
      <c r="A108" t="s">
        <v>17</v>
      </c>
      <c r="B108" t="s">
        <v>188</v>
      </c>
      <c r="C108" s="27" t="s">
        <v>34749</v>
      </c>
      <c r="D108" s="28" t="s">
        <v>34867</v>
      </c>
      <c r="E108" t="s">
        <v>286</v>
      </c>
      <c r="G108" t="s">
        <v>287</v>
      </c>
      <c r="I108" t="s">
        <v>288</v>
      </c>
      <c r="J108" t="s">
        <v>286</v>
      </c>
      <c r="K108" t="s">
        <v>288</v>
      </c>
      <c r="L108" s="28" t="s">
        <v>289</v>
      </c>
      <c r="M108" t="s">
        <v>23</v>
      </c>
    </row>
    <row r="109" spans="1:13" x14ac:dyDescent="0.25">
      <c r="A109" t="s">
        <v>193</v>
      </c>
      <c r="B109" t="s">
        <v>188</v>
      </c>
      <c r="C109" s="27" t="s">
        <v>34749</v>
      </c>
      <c r="D109" s="28" t="s">
        <v>34867</v>
      </c>
      <c r="E109" t="s">
        <v>290</v>
      </c>
      <c r="G109" t="s">
        <v>291</v>
      </c>
      <c r="I109" t="s">
        <v>292</v>
      </c>
      <c r="J109" t="s">
        <v>290</v>
      </c>
      <c r="K109" t="s">
        <v>292</v>
      </c>
      <c r="L109" s="28" t="s">
        <v>293</v>
      </c>
      <c r="M109" t="s">
        <v>23</v>
      </c>
    </row>
    <row r="110" spans="1:13" x14ac:dyDescent="0.25">
      <c r="A110" t="s">
        <v>193</v>
      </c>
      <c r="B110" t="s">
        <v>188</v>
      </c>
      <c r="C110" s="27" t="s">
        <v>34749</v>
      </c>
      <c r="D110" s="28" t="s">
        <v>34867</v>
      </c>
      <c r="E110" t="s">
        <v>294</v>
      </c>
      <c r="G110" t="s">
        <v>295</v>
      </c>
      <c r="I110" t="s">
        <v>296</v>
      </c>
      <c r="J110" t="s">
        <v>294</v>
      </c>
      <c r="K110" t="s">
        <v>296</v>
      </c>
      <c r="L110" s="28" t="s">
        <v>297</v>
      </c>
      <c r="M110" t="s">
        <v>23</v>
      </c>
    </row>
    <row r="111" spans="1:13" x14ac:dyDescent="0.25">
      <c r="A111" t="s">
        <v>193</v>
      </c>
      <c r="B111" t="s">
        <v>188</v>
      </c>
      <c r="C111" s="27" t="s">
        <v>34749</v>
      </c>
      <c r="D111" s="28" t="s">
        <v>34867</v>
      </c>
      <c r="E111" t="s">
        <v>298</v>
      </c>
      <c r="G111" t="s">
        <v>299</v>
      </c>
      <c r="I111" t="s">
        <v>300</v>
      </c>
      <c r="J111" t="s">
        <v>298</v>
      </c>
      <c r="K111" t="s">
        <v>300</v>
      </c>
      <c r="L111" s="28" t="s">
        <v>301</v>
      </c>
      <c r="M111" t="s">
        <v>23</v>
      </c>
    </row>
    <row r="112" spans="1:13" x14ac:dyDescent="0.25">
      <c r="A112" t="s">
        <v>193</v>
      </c>
      <c r="B112" t="s">
        <v>188</v>
      </c>
      <c r="C112" s="27" t="s">
        <v>34749</v>
      </c>
      <c r="D112" s="28" t="s">
        <v>34867</v>
      </c>
      <c r="E112" t="s">
        <v>302</v>
      </c>
      <c r="G112" t="s">
        <v>303</v>
      </c>
      <c r="I112" t="s">
        <v>304</v>
      </c>
      <c r="J112" t="s">
        <v>302</v>
      </c>
      <c r="K112" t="s">
        <v>304</v>
      </c>
      <c r="L112" s="28" t="s">
        <v>305</v>
      </c>
      <c r="M112" t="s">
        <v>23</v>
      </c>
    </row>
    <row r="113" spans="1:13" x14ac:dyDescent="0.25">
      <c r="A113" t="s">
        <v>193</v>
      </c>
      <c r="B113" t="s">
        <v>188</v>
      </c>
      <c r="C113" s="27" t="s">
        <v>34749</v>
      </c>
      <c r="D113" s="28" t="s">
        <v>34867</v>
      </c>
      <c r="E113" t="s">
        <v>306</v>
      </c>
      <c r="G113" t="s">
        <v>307</v>
      </c>
      <c r="I113" t="s">
        <v>308</v>
      </c>
      <c r="J113" t="s">
        <v>306</v>
      </c>
      <c r="K113" t="s">
        <v>308</v>
      </c>
      <c r="L113" s="28" t="s">
        <v>309</v>
      </c>
      <c r="M113" t="s">
        <v>23</v>
      </c>
    </row>
    <row r="114" spans="1:13" x14ac:dyDescent="0.25">
      <c r="A114" t="s">
        <v>193</v>
      </c>
      <c r="B114" t="s">
        <v>188</v>
      </c>
      <c r="C114" s="27" t="s">
        <v>34749</v>
      </c>
      <c r="D114" s="28" t="s">
        <v>34867</v>
      </c>
      <c r="E114" t="s">
        <v>310</v>
      </c>
      <c r="G114" t="s">
        <v>311</v>
      </c>
      <c r="I114" t="s">
        <v>312</v>
      </c>
      <c r="J114" t="s">
        <v>310</v>
      </c>
      <c r="K114" t="s">
        <v>312</v>
      </c>
      <c r="L114" s="28" t="s">
        <v>313</v>
      </c>
      <c r="M114" t="s">
        <v>23</v>
      </c>
    </row>
    <row r="115" spans="1:13" x14ac:dyDescent="0.25">
      <c r="A115" t="s">
        <v>193</v>
      </c>
      <c r="B115" t="s">
        <v>188</v>
      </c>
      <c r="C115" s="27" t="s">
        <v>34749</v>
      </c>
      <c r="D115" s="28" t="s">
        <v>34867</v>
      </c>
      <c r="E115" t="s">
        <v>314</v>
      </c>
      <c r="G115" t="s">
        <v>315</v>
      </c>
      <c r="I115" t="s">
        <v>316</v>
      </c>
      <c r="J115" t="s">
        <v>314</v>
      </c>
      <c r="K115" t="s">
        <v>316</v>
      </c>
      <c r="L115" s="28" t="s">
        <v>317</v>
      </c>
      <c r="M115" t="s">
        <v>23</v>
      </c>
    </row>
    <row r="116" spans="1:13" x14ac:dyDescent="0.25">
      <c r="A116" t="s">
        <v>193</v>
      </c>
      <c r="B116" t="s">
        <v>188</v>
      </c>
      <c r="C116" s="27" t="s">
        <v>34749</v>
      </c>
      <c r="D116" s="28" t="s">
        <v>34867</v>
      </c>
      <c r="E116" t="s">
        <v>318</v>
      </c>
      <c r="G116" t="s">
        <v>319</v>
      </c>
      <c r="I116" t="s">
        <v>320</v>
      </c>
      <c r="J116" t="s">
        <v>318</v>
      </c>
      <c r="K116" t="s">
        <v>320</v>
      </c>
      <c r="L116" s="28" t="s">
        <v>321</v>
      </c>
      <c r="M116" t="s">
        <v>23</v>
      </c>
    </row>
    <row r="117" spans="1:13" x14ac:dyDescent="0.25">
      <c r="A117" t="s">
        <v>193</v>
      </c>
      <c r="B117" t="s">
        <v>188</v>
      </c>
      <c r="C117" s="27" t="s">
        <v>34749</v>
      </c>
      <c r="D117" s="28" t="s">
        <v>34867</v>
      </c>
      <c r="E117" t="s">
        <v>322</v>
      </c>
      <c r="G117" t="s">
        <v>323</v>
      </c>
      <c r="I117" t="s">
        <v>324</v>
      </c>
      <c r="J117" t="s">
        <v>322</v>
      </c>
      <c r="K117" t="s">
        <v>324</v>
      </c>
      <c r="L117" s="28" t="s">
        <v>325</v>
      </c>
      <c r="M117" t="s">
        <v>23</v>
      </c>
    </row>
    <row r="118" spans="1:13" x14ac:dyDescent="0.25">
      <c r="A118" t="s">
        <v>193</v>
      </c>
      <c r="B118" t="s">
        <v>188</v>
      </c>
      <c r="C118" s="27" t="s">
        <v>34749</v>
      </c>
      <c r="D118" s="28" t="s">
        <v>34867</v>
      </c>
      <c r="E118" t="s">
        <v>326</v>
      </c>
      <c r="G118" t="s">
        <v>327</v>
      </c>
      <c r="I118" t="s">
        <v>328</v>
      </c>
      <c r="J118" t="s">
        <v>326</v>
      </c>
      <c r="K118" t="s">
        <v>328</v>
      </c>
      <c r="L118" s="28" t="s">
        <v>329</v>
      </c>
      <c r="M118" t="s">
        <v>23</v>
      </c>
    </row>
    <row r="119" spans="1:13" x14ac:dyDescent="0.25">
      <c r="A119" t="s">
        <v>193</v>
      </c>
      <c r="B119" t="s">
        <v>188</v>
      </c>
      <c r="C119" s="27" t="s">
        <v>34749</v>
      </c>
      <c r="D119" s="28" t="s">
        <v>34867</v>
      </c>
      <c r="E119" t="s">
        <v>330</v>
      </c>
      <c r="G119" t="s">
        <v>331</v>
      </c>
      <c r="I119" t="s">
        <v>332</v>
      </c>
      <c r="J119" t="s">
        <v>330</v>
      </c>
      <c r="K119" t="s">
        <v>332</v>
      </c>
      <c r="L119" s="28" t="s">
        <v>333</v>
      </c>
      <c r="M119" t="s">
        <v>23</v>
      </c>
    </row>
    <row r="120" spans="1:13" x14ac:dyDescent="0.25">
      <c r="A120" t="s">
        <v>193</v>
      </c>
      <c r="B120" t="s">
        <v>188</v>
      </c>
      <c r="C120" s="27" t="s">
        <v>34749</v>
      </c>
      <c r="D120" s="28" t="s">
        <v>34867</v>
      </c>
      <c r="E120" t="s">
        <v>334</v>
      </c>
      <c r="G120" t="s">
        <v>335</v>
      </c>
      <c r="I120" t="s">
        <v>336</v>
      </c>
      <c r="J120" t="s">
        <v>334</v>
      </c>
      <c r="K120" t="s">
        <v>336</v>
      </c>
      <c r="L120" s="28" t="s">
        <v>337</v>
      </c>
      <c r="M120" t="s">
        <v>23</v>
      </c>
    </row>
    <row r="121" spans="1:13" x14ac:dyDescent="0.25">
      <c r="A121" t="s">
        <v>193</v>
      </c>
      <c r="B121" t="s">
        <v>188</v>
      </c>
      <c r="C121" s="27" t="s">
        <v>34749</v>
      </c>
      <c r="D121" s="28" t="s">
        <v>34867</v>
      </c>
      <c r="E121" t="s">
        <v>338</v>
      </c>
      <c r="G121" t="s">
        <v>339</v>
      </c>
      <c r="I121" t="s">
        <v>340</v>
      </c>
      <c r="J121" t="s">
        <v>338</v>
      </c>
      <c r="K121" t="s">
        <v>340</v>
      </c>
      <c r="L121" s="28" t="s">
        <v>341</v>
      </c>
      <c r="M121" t="s">
        <v>23</v>
      </c>
    </row>
    <row r="122" spans="1:13" x14ac:dyDescent="0.25">
      <c r="A122" t="s">
        <v>193</v>
      </c>
      <c r="B122" t="s">
        <v>188</v>
      </c>
      <c r="C122" s="27" t="s">
        <v>34749</v>
      </c>
      <c r="D122" s="28" t="s">
        <v>34867</v>
      </c>
      <c r="E122" t="s">
        <v>342</v>
      </c>
      <c r="G122" t="s">
        <v>343</v>
      </c>
      <c r="I122" t="s">
        <v>344</v>
      </c>
      <c r="J122" t="s">
        <v>342</v>
      </c>
      <c r="K122" t="s">
        <v>344</v>
      </c>
      <c r="L122" s="28" t="s">
        <v>345</v>
      </c>
      <c r="M122" t="s">
        <v>23</v>
      </c>
    </row>
    <row r="123" spans="1:13" x14ac:dyDescent="0.25">
      <c r="A123" t="s">
        <v>193</v>
      </c>
      <c r="B123" t="s">
        <v>188</v>
      </c>
      <c r="C123" s="27" t="s">
        <v>34749</v>
      </c>
      <c r="D123" s="28" t="s">
        <v>34867</v>
      </c>
      <c r="E123" t="s">
        <v>346</v>
      </c>
      <c r="G123" t="s">
        <v>347</v>
      </c>
      <c r="I123" t="s">
        <v>348</v>
      </c>
      <c r="J123" t="s">
        <v>346</v>
      </c>
      <c r="K123" t="s">
        <v>348</v>
      </c>
      <c r="L123" s="28" t="s">
        <v>349</v>
      </c>
      <c r="M123" t="s">
        <v>23</v>
      </c>
    </row>
    <row r="124" spans="1:13" x14ac:dyDescent="0.25">
      <c r="A124" t="s">
        <v>193</v>
      </c>
      <c r="B124" t="s">
        <v>188</v>
      </c>
      <c r="C124" s="27" t="s">
        <v>34749</v>
      </c>
      <c r="D124" s="28" t="s">
        <v>34867</v>
      </c>
      <c r="E124" t="s">
        <v>350</v>
      </c>
      <c r="G124" t="s">
        <v>351</v>
      </c>
      <c r="I124" t="s">
        <v>352</v>
      </c>
      <c r="J124" t="s">
        <v>350</v>
      </c>
      <c r="K124" t="s">
        <v>352</v>
      </c>
      <c r="L124" s="28" t="s">
        <v>353</v>
      </c>
      <c r="M124" t="s">
        <v>23</v>
      </c>
    </row>
    <row r="125" spans="1:13" x14ac:dyDescent="0.25">
      <c r="A125" t="s">
        <v>193</v>
      </c>
      <c r="B125" t="s">
        <v>188</v>
      </c>
      <c r="C125" s="27" t="s">
        <v>34749</v>
      </c>
      <c r="D125" s="28" t="s">
        <v>34867</v>
      </c>
      <c r="E125" t="s">
        <v>354</v>
      </c>
      <c r="G125" t="s">
        <v>355</v>
      </c>
      <c r="I125" t="s">
        <v>356</v>
      </c>
      <c r="J125" t="s">
        <v>354</v>
      </c>
      <c r="K125" t="s">
        <v>356</v>
      </c>
      <c r="L125" s="28" t="s">
        <v>357</v>
      </c>
      <c r="M125" t="s">
        <v>23</v>
      </c>
    </row>
    <row r="126" spans="1:13" x14ac:dyDescent="0.25">
      <c r="A126" t="s">
        <v>193</v>
      </c>
      <c r="B126" t="s">
        <v>188</v>
      </c>
      <c r="C126" s="27" t="s">
        <v>34749</v>
      </c>
      <c r="D126" s="28" t="s">
        <v>34867</v>
      </c>
      <c r="E126" t="s">
        <v>358</v>
      </c>
      <c r="G126" t="s">
        <v>359</v>
      </c>
      <c r="I126" t="s">
        <v>360</v>
      </c>
      <c r="J126" t="s">
        <v>358</v>
      </c>
      <c r="K126" t="s">
        <v>360</v>
      </c>
      <c r="L126" s="28" t="s">
        <v>361</v>
      </c>
      <c r="M126" t="s">
        <v>23</v>
      </c>
    </row>
    <row r="127" spans="1:13" x14ac:dyDescent="0.25">
      <c r="A127" t="s">
        <v>193</v>
      </c>
      <c r="B127" t="s">
        <v>188</v>
      </c>
      <c r="C127" s="27" t="s">
        <v>34749</v>
      </c>
      <c r="D127" s="28" t="s">
        <v>34867</v>
      </c>
      <c r="E127" t="s">
        <v>362</v>
      </c>
      <c r="G127" t="s">
        <v>363</v>
      </c>
      <c r="I127" t="s">
        <v>364</v>
      </c>
      <c r="J127" t="s">
        <v>362</v>
      </c>
      <c r="K127" t="s">
        <v>364</v>
      </c>
      <c r="L127" s="28" t="s">
        <v>365</v>
      </c>
      <c r="M127" t="s">
        <v>23</v>
      </c>
    </row>
    <row r="128" spans="1:13" x14ac:dyDescent="0.25">
      <c r="A128" t="s">
        <v>193</v>
      </c>
      <c r="B128" t="s">
        <v>188</v>
      </c>
      <c r="C128" s="27" t="s">
        <v>34749</v>
      </c>
      <c r="D128" s="28" t="s">
        <v>34867</v>
      </c>
      <c r="E128" t="s">
        <v>366</v>
      </c>
      <c r="G128" t="s">
        <v>367</v>
      </c>
      <c r="I128" t="s">
        <v>368</v>
      </c>
      <c r="J128" t="s">
        <v>366</v>
      </c>
      <c r="K128" t="s">
        <v>368</v>
      </c>
      <c r="L128" s="28" t="s">
        <v>369</v>
      </c>
      <c r="M128" t="s">
        <v>23</v>
      </c>
    </row>
    <row r="129" spans="1:13" x14ac:dyDescent="0.25">
      <c r="A129" t="s">
        <v>193</v>
      </c>
      <c r="B129" t="s">
        <v>188</v>
      </c>
      <c r="C129" s="27" t="s">
        <v>34749</v>
      </c>
      <c r="D129" s="28" t="s">
        <v>34867</v>
      </c>
      <c r="E129" t="s">
        <v>370</v>
      </c>
      <c r="G129" t="s">
        <v>371</v>
      </c>
      <c r="I129" t="s">
        <v>372</v>
      </c>
      <c r="J129" t="s">
        <v>370</v>
      </c>
      <c r="K129" t="s">
        <v>372</v>
      </c>
      <c r="L129" s="28" t="s">
        <v>373</v>
      </c>
      <c r="M129" t="s">
        <v>23</v>
      </c>
    </row>
    <row r="130" spans="1:13" x14ac:dyDescent="0.25">
      <c r="A130" t="s">
        <v>193</v>
      </c>
      <c r="B130" t="s">
        <v>188</v>
      </c>
      <c r="C130" s="27" t="s">
        <v>34749</v>
      </c>
      <c r="D130" s="28" t="s">
        <v>34867</v>
      </c>
      <c r="E130" t="s">
        <v>374</v>
      </c>
      <c r="G130" t="s">
        <v>375</v>
      </c>
      <c r="I130" t="s">
        <v>376</v>
      </c>
      <c r="J130" t="s">
        <v>374</v>
      </c>
      <c r="K130" t="s">
        <v>376</v>
      </c>
      <c r="L130" s="28" t="s">
        <v>377</v>
      </c>
      <c r="M130" t="s">
        <v>23</v>
      </c>
    </row>
    <row r="131" spans="1:13" x14ac:dyDescent="0.25">
      <c r="A131" t="s">
        <v>193</v>
      </c>
      <c r="B131" t="s">
        <v>188</v>
      </c>
      <c r="C131" s="27" t="s">
        <v>34749</v>
      </c>
      <c r="D131" s="28" t="s">
        <v>34867</v>
      </c>
      <c r="E131" t="s">
        <v>378</v>
      </c>
      <c r="G131" t="s">
        <v>379</v>
      </c>
      <c r="I131" t="s">
        <v>380</v>
      </c>
      <c r="J131" t="s">
        <v>378</v>
      </c>
      <c r="K131" t="s">
        <v>380</v>
      </c>
      <c r="L131" s="28" t="s">
        <v>381</v>
      </c>
      <c r="M131" t="s">
        <v>23</v>
      </c>
    </row>
    <row r="132" spans="1:13" x14ac:dyDescent="0.25">
      <c r="A132" t="s">
        <v>193</v>
      </c>
      <c r="B132" t="s">
        <v>188</v>
      </c>
      <c r="C132" s="27" t="s">
        <v>34749</v>
      </c>
      <c r="D132" s="28" t="s">
        <v>34867</v>
      </c>
      <c r="E132" t="s">
        <v>382</v>
      </c>
      <c r="G132" t="s">
        <v>383</v>
      </c>
      <c r="I132" t="s">
        <v>384</v>
      </c>
      <c r="J132" t="s">
        <v>382</v>
      </c>
      <c r="K132" t="s">
        <v>384</v>
      </c>
      <c r="L132" s="28" t="s">
        <v>385</v>
      </c>
      <c r="M132" t="s">
        <v>23</v>
      </c>
    </row>
    <row r="133" spans="1:13" x14ac:dyDescent="0.25">
      <c r="A133" t="s">
        <v>193</v>
      </c>
      <c r="B133" t="s">
        <v>188</v>
      </c>
      <c r="C133" s="27" t="s">
        <v>34749</v>
      </c>
      <c r="D133" s="28" t="s">
        <v>34867</v>
      </c>
      <c r="E133" t="s">
        <v>386</v>
      </c>
      <c r="G133" t="s">
        <v>387</v>
      </c>
      <c r="I133" t="s">
        <v>388</v>
      </c>
      <c r="J133" t="s">
        <v>386</v>
      </c>
      <c r="K133" t="s">
        <v>388</v>
      </c>
      <c r="L133" s="28" t="s">
        <v>389</v>
      </c>
      <c r="M133" t="s">
        <v>23</v>
      </c>
    </row>
    <row r="134" spans="1:13" x14ac:dyDescent="0.25">
      <c r="A134" t="s">
        <v>193</v>
      </c>
      <c r="B134" t="s">
        <v>188</v>
      </c>
      <c r="C134" s="27" t="s">
        <v>34749</v>
      </c>
      <c r="D134" s="28" t="s">
        <v>34867</v>
      </c>
      <c r="E134" t="s">
        <v>390</v>
      </c>
      <c r="G134" s="29" t="s">
        <v>391</v>
      </c>
      <c r="H134" s="28" t="s">
        <v>392</v>
      </c>
      <c r="I134" t="s">
        <v>393</v>
      </c>
    </row>
    <row r="135" spans="1:13" x14ac:dyDescent="0.25">
      <c r="A135" t="s">
        <v>193</v>
      </c>
      <c r="B135" t="s">
        <v>188</v>
      </c>
      <c r="C135" s="27" t="s">
        <v>34749</v>
      </c>
      <c r="D135" s="28" t="s">
        <v>34867</v>
      </c>
      <c r="E135" t="s">
        <v>394</v>
      </c>
      <c r="G135" t="s">
        <v>395</v>
      </c>
      <c r="I135" t="s">
        <v>396</v>
      </c>
      <c r="J135" t="s">
        <v>394</v>
      </c>
      <c r="K135" t="s">
        <v>396</v>
      </c>
      <c r="L135" s="28" t="s">
        <v>397</v>
      </c>
      <c r="M135" t="s">
        <v>23</v>
      </c>
    </row>
    <row r="136" spans="1:13" x14ac:dyDescent="0.25">
      <c r="A136" t="s">
        <v>193</v>
      </c>
      <c r="B136" t="s">
        <v>188</v>
      </c>
      <c r="C136" s="27" t="s">
        <v>34749</v>
      </c>
      <c r="D136" s="28" t="s">
        <v>34867</v>
      </c>
      <c r="E136" t="s">
        <v>398</v>
      </c>
      <c r="G136" t="s">
        <v>399</v>
      </c>
      <c r="I136" t="s">
        <v>400</v>
      </c>
      <c r="J136" t="s">
        <v>398</v>
      </c>
      <c r="K136" t="s">
        <v>400</v>
      </c>
      <c r="L136" s="28" t="s">
        <v>401</v>
      </c>
      <c r="M136" t="s">
        <v>23</v>
      </c>
    </row>
    <row r="137" spans="1:13" x14ac:dyDescent="0.25">
      <c r="A137" t="s">
        <v>193</v>
      </c>
      <c r="B137" t="s">
        <v>188</v>
      </c>
      <c r="C137" s="27" t="s">
        <v>34749</v>
      </c>
      <c r="D137" s="28" t="s">
        <v>34867</v>
      </c>
      <c r="E137" t="s">
        <v>402</v>
      </c>
      <c r="G137" t="s">
        <v>403</v>
      </c>
      <c r="I137" t="s">
        <v>404</v>
      </c>
      <c r="J137" t="s">
        <v>402</v>
      </c>
      <c r="K137" t="s">
        <v>404</v>
      </c>
      <c r="L137" s="28" t="s">
        <v>405</v>
      </c>
      <c r="M137" t="s">
        <v>23</v>
      </c>
    </row>
    <row r="138" spans="1:13" x14ac:dyDescent="0.25">
      <c r="A138" t="s">
        <v>193</v>
      </c>
      <c r="B138" t="s">
        <v>188</v>
      </c>
      <c r="C138" s="27" t="s">
        <v>34749</v>
      </c>
      <c r="D138" s="28" t="s">
        <v>34867</v>
      </c>
      <c r="E138" t="s">
        <v>406</v>
      </c>
      <c r="G138" t="s">
        <v>407</v>
      </c>
      <c r="I138" t="s">
        <v>408</v>
      </c>
      <c r="J138" t="s">
        <v>406</v>
      </c>
      <c r="K138" t="s">
        <v>408</v>
      </c>
      <c r="L138" s="28" t="s">
        <v>409</v>
      </c>
      <c r="M138" t="s">
        <v>23</v>
      </c>
    </row>
    <row r="139" spans="1:13" x14ac:dyDescent="0.25">
      <c r="A139" t="s">
        <v>193</v>
      </c>
      <c r="B139" t="s">
        <v>188</v>
      </c>
      <c r="C139" s="27" t="s">
        <v>34749</v>
      </c>
      <c r="D139" s="28" t="s">
        <v>34867</v>
      </c>
      <c r="E139" t="s">
        <v>410</v>
      </c>
      <c r="G139" t="s">
        <v>411</v>
      </c>
      <c r="I139" t="s">
        <v>412</v>
      </c>
      <c r="J139" t="s">
        <v>410</v>
      </c>
      <c r="K139" t="s">
        <v>412</v>
      </c>
      <c r="L139" s="28" t="s">
        <v>413</v>
      </c>
      <c r="M139" t="s">
        <v>23</v>
      </c>
    </row>
    <row r="140" spans="1:13" x14ac:dyDescent="0.25">
      <c r="A140" t="s">
        <v>193</v>
      </c>
      <c r="B140" t="s">
        <v>188</v>
      </c>
      <c r="C140" s="27" t="s">
        <v>34749</v>
      </c>
      <c r="D140" s="28" t="s">
        <v>34867</v>
      </c>
      <c r="E140" t="s">
        <v>414</v>
      </c>
      <c r="G140" t="s">
        <v>415</v>
      </c>
      <c r="I140" t="s">
        <v>416</v>
      </c>
      <c r="J140" t="s">
        <v>414</v>
      </c>
      <c r="K140" t="s">
        <v>416</v>
      </c>
      <c r="L140" s="28" t="s">
        <v>417</v>
      </c>
      <c r="M140" t="s">
        <v>23</v>
      </c>
    </row>
    <row r="141" spans="1:13" x14ac:dyDescent="0.25">
      <c r="A141" t="s">
        <v>193</v>
      </c>
      <c r="B141" t="s">
        <v>188</v>
      </c>
      <c r="C141" s="27" t="s">
        <v>34749</v>
      </c>
      <c r="D141" s="28" t="s">
        <v>34867</v>
      </c>
      <c r="E141" t="s">
        <v>418</v>
      </c>
      <c r="G141" t="s">
        <v>419</v>
      </c>
      <c r="I141" t="s">
        <v>420</v>
      </c>
      <c r="J141" t="s">
        <v>418</v>
      </c>
      <c r="K141" t="s">
        <v>420</v>
      </c>
      <c r="L141" s="28" t="s">
        <v>421</v>
      </c>
      <c r="M141" t="s">
        <v>23</v>
      </c>
    </row>
    <row r="142" spans="1:13" x14ac:dyDescent="0.25">
      <c r="A142" t="s">
        <v>193</v>
      </c>
      <c r="B142" t="s">
        <v>188</v>
      </c>
      <c r="C142" s="27" t="s">
        <v>34749</v>
      </c>
      <c r="D142" s="28" t="s">
        <v>34867</v>
      </c>
      <c r="E142" t="s">
        <v>422</v>
      </c>
      <c r="G142" t="s">
        <v>423</v>
      </c>
      <c r="I142" t="s">
        <v>424</v>
      </c>
      <c r="J142" t="s">
        <v>422</v>
      </c>
      <c r="K142" t="s">
        <v>424</v>
      </c>
      <c r="L142" s="28" t="s">
        <v>425</v>
      </c>
      <c r="M142" t="s">
        <v>23</v>
      </c>
    </row>
    <row r="143" spans="1:13" x14ac:dyDescent="0.25">
      <c r="A143" t="s">
        <v>193</v>
      </c>
      <c r="B143" t="s">
        <v>188</v>
      </c>
      <c r="C143" s="27" t="s">
        <v>34749</v>
      </c>
      <c r="D143" s="28" t="s">
        <v>34867</v>
      </c>
      <c r="E143" t="s">
        <v>426</v>
      </c>
      <c r="G143" t="s">
        <v>427</v>
      </c>
      <c r="I143" t="s">
        <v>428</v>
      </c>
      <c r="J143" t="s">
        <v>426</v>
      </c>
      <c r="K143" t="s">
        <v>428</v>
      </c>
      <c r="L143" s="28" t="s">
        <v>429</v>
      </c>
      <c r="M143" t="s">
        <v>23</v>
      </c>
    </row>
    <row r="144" spans="1:13" x14ac:dyDescent="0.25">
      <c r="A144" t="s">
        <v>193</v>
      </c>
      <c r="B144" t="s">
        <v>188</v>
      </c>
      <c r="C144" s="27" t="s">
        <v>34749</v>
      </c>
      <c r="D144" s="28" t="s">
        <v>34867</v>
      </c>
      <c r="E144" t="s">
        <v>430</v>
      </c>
      <c r="G144" t="s">
        <v>431</v>
      </c>
      <c r="I144" t="s">
        <v>432</v>
      </c>
      <c r="J144" t="s">
        <v>430</v>
      </c>
      <c r="K144" t="s">
        <v>432</v>
      </c>
      <c r="L144" s="28" t="s">
        <v>433</v>
      </c>
      <c r="M144" t="s">
        <v>23</v>
      </c>
    </row>
    <row r="145" spans="1:13" x14ac:dyDescent="0.25">
      <c r="A145" t="s">
        <v>193</v>
      </c>
      <c r="B145" t="s">
        <v>188</v>
      </c>
      <c r="C145" s="27" t="s">
        <v>34749</v>
      </c>
      <c r="D145" s="28" t="s">
        <v>34867</v>
      </c>
      <c r="E145" t="s">
        <v>434</v>
      </c>
      <c r="G145" t="s">
        <v>435</v>
      </c>
      <c r="I145" t="s">
        <v>436</v>
      </c>
      <c r="J145" t="s">
        <v>434</v>
      </c>
      <c r="K145" t="s">
        <v>436</v>
      </c>
      <c r="L145" s="28" t="s">
        <v>437</v>
      </c>
      <c r="M145" t="s">
        <v>23</v>
      </c>
    </row>
    <row r="146" spans="1:13" x14ac:dyDescent="0.25">
      <c r="A146" t="s">
        <v>193</v>
      </c>
      <c r="B146" t="s">
        <v>188</v>
      </c>
      <c r="C146" s="27" t="s">
        <v>34749</v>
      </c>
      <c r="D146" s="28" t="s">
        <v>34867</v>
      </c>
      <c r="E146" t="s">
        <v>438</v>
      </c>
      <c r="G146" t="s">
        <v>439</v>
      </c>
      <c r="I146" t="s">
        <v>440</v>
      </c>
      <c r="J146" t="s">
        <v>438</v>
      </c>
      <c r="K146" t="s">
        <v>440</v>
      </c>
      <c r="L146" s="28" t="s">
        <v>441</v>
      </c>
      <c r="M146" t="s">
        <v>23</v>
      </c>
    </row>
    <row r="147" spans="1:13" x14ac:dyDescent="0.25">
      <c r="A147" t="s">
        <v>193</v>
      </c>
      <c r="B147" t="s">
        <v>188</v>
      </c>
      <c r="C147" s="27" t="s">
        <v>34749</v>
      </c>
      <c r="D147" s="28" t="s">
        <v>34867</v>
      </c>
      <c r="E147" t="s">
        <v>442</v>
      </c>
      <c r="G147" t="s">
        <v>443</v>
      </c>
      <c r="I147" t="s">
        <v>444</v>
      </c>
      <c r="J147" t="s">
        <v>442</v>
      </c>
      <c r="K147" t="s">
        <v>444</v>
      </c>
      <c r="L147" s="28" t="s">
        <v>445</v>
      </c>
      <c r="M147" t="s">
        <v>23</v>
      </c>
    </row>
    <row r="148" spans="1:13" x14ac:dyDescent="0.25">
      <c r="A148" t="s">
        <v>193</v>
      </c>
      <c r="B148" t="s">
        <v>188</v>
      </c>
      <c r="C148" s="27" t="s">
        <v>34749</v>
      </c>
      <c r="D148" s="28" t="s">
        <v>34867</v>
      </c>
      <c r="E148" t="s">
        <v>446</v>
      </c>
      <c r="G148" t="s">
        <v>447</v>
      </c>
      <c r="I148" t="s">
        <v>447</v>
      </c>
      <c r="J148" t="s">
        <v>446</v>
      </c>
      <c r="K148" t="s">
        <v>447</v>
      </c>
      <c r="L148" s="28" t="s">
        <v>448</v>
      </c>
      <c r="M148" t="s">
        <v>23</v>
      </c>
    </row>
    <row r="149" spans="1:13" x14ac:dyDescent="0.25">
      <c r="A149" t="s">
        <v>193</v>
      </c>
      <c r="B149" t="s">
        <v>188</v>
      </c>
      <c r="C149" s="27" t="s">
        <v>34749</v>
      </c>
      <c r="D149" s="28" t="s">
        <v>34867</v>
      </c>
      <c r="E149" t="s">
        <v>449</v>
      </c>
      <c r="G149" t="s">
        <v>450</v>
      </c>
      <c r="I149" t="s">
        <v>451</v>
      </c>
      <c r="J149" t="s">
        <v>449</v>
      </c>
      <c r="K149" t="s">
        <v>451</v>
      </c>
      <c r="L149" s="28" t="s">
        <v>452</v>
      </c>
      <c r="M149" t="s">
        <v>23</v>
      </c>
    </row>
    <row r="150" spans="1:13" x14ac:dyDescent="0.25">
      <c r="A150" t="s">
        <v>193</v>
      </c>
      <c r="B150" t="s">
        <v>188</v>
      </c>
      <c r="C150" s="27" t="s">
        <v>34749</v>
      </c>
      <c r="D150" s="28" t="s">
        <v>34867</v>
      </c>
      <c r="E150" t="s">
        <v>453</v>
      </c>
      <c r="G150" t="s">
        <v>454</v>
      </c>
      <c r="I150" t="s">
        <v>455</v>
      </c>
      <c r="J150" t="s">
        <v>453</v>
      </c>
      <c r="K150" t="s">
        <v>455</v>
      </c>
      <c r="L150" s="28" t="s">
        <v>456</v>
      </c>
      <c r="M150" t="s">
        <v>23</v>
      </c>
    </row>
    <row r="151" spans="1:13" x14ac:dyDescent="0.25">
      <c r="A151" t="s">
        <v>193</v>
      </c>
      <c r="B151" t="s">
        <v>188</v>
      </c>
      <c r="C151" s="27" t="s">
        <v>34749</v>
      </c>
      <c r="D151" s="28" t="s">
        <v>34867</v>
      </c>
      <c r="E151" t="s">
        <v>457</v>
      </c>
      <c r="G151" t="s">
        <v>458</v>
      </c>
      <c r="I151" t="s">
        <v>459</v>
      </c>
      <c r="J151" t="s">
        <v>457</v>
      </c>
      <c r="K151" t="s">
        <v>459</v>
      </c>
      <c r="L151" s="28" t="s">
        <v>460</v>
      </c>
      <c r="M151" t="s">
        <v>23</v>
      </c>
    </row>
    <row r="152" spans="1:13" x14ac:dyDescent="0.25">
      <c r="A152" t="s">
        <v>193</v>
      </c>
      <c r="B152" t="s">
        <v>188</v>
      </c>
      <c r="C152" s="27" t="s">
        <v>34749</v>
      </c>
      <c r="D152" s="28" t="s">
        <v>34867</v>
      </c>
      <c r="E152" t="s">
        <v>461</v>
      </c>
      <c r="G152" t="s">
        <v>462</v>
      </c>
      <c r="I152" t="s">
        <v>463</v>
      </c>
      <c r="J152" t="s">
        <v>461</v>
      </c>
      <c r="K152" t="s">
        <v>463</v>
      </c>
      <c r="L152" s="28" t="s">
        <v>464</v>
      </c>
      <c r="M152" t="s">
        <v>23</v>
      </c>
    </row>
    <row r="153" spans="1:13" x14ac:dyDescent="0.25">
      <c r="A153" t="s">
        <v>193</v>
      </c>
      <c r="B153" t="s">
        <v>188</v>
      </c>
      <c r="C153" s="27" t="s">
        <v>34749</v>
      </c>
      <c r="D153" s="28" t="s">
        <v>34867</v>
      </c>
      <c r="E153" t="s">
        <v>465</v>
      </c>
      <c r="G153" t="s">
        <v>466</v>
      </c>
      <c r="I153" t="s">
        <v>467</v>
      </c>
      <c r="J153" t="s">
        <v>465</v>
      </c>
      <c r="K153" t="s">
        <v>467</v>
      </c>
      <c r="L153" s="28" t="s">
        <v>468</v>
      </c>
      <c r="M153" t="s">
        <v>23</v>
      </c>
    </row>
    <row r="154" spans="1:13" x14ac:dyDescent="0.25">
      <c r="A154" t="s">
        <v>193</v>
      </c>
      <c r="B154" t="s">
        <v>188</v>
      </c>
      <c r="C154" s="27" t="s">
        <v>34749</v>
      </c>
      <c r="D154" s="28" t="s">
        <v>34867</v>
      </c>
      <c r="E154" t="s">
        <v>469</v>
      </c>
      <c r="G154" t="s">
        <v>470</v>
      </c>
      <c r="I154" t="s">
        <v>471</v>
      </c>
      <c r="J154" t="s">
        <v>469</v>
      </c>
      <c r="K154" t="s">
        <v>472</v>
      </c>
      <c r="L154" s="28" t="s">
        <v>473</v>
      </c>
      <c r="M154" t="s">
        <v>23</v>
      </c>
    </row>
    <row r="155" spans="1:13" x14ac:dyDescent="0.25">
      <c r="A155" t="s">
        <v>193</v>
      </c>
      <c r="B155" t="s">
        <v>188</v>
      </c>
      <c r="C155" s="27" t="s">
        <v>34749</v>
      </c>
      <c r="D155" s="28" t="s">
        <v>34867</v>
      </c>
      <c r="E155" t="s">
        <v>474</v>
      </c>
      <c r="G155" t="s">
        <v>475</v>
      </c>
      <c r="I155" t="s">
        <v>476</v>
      </c>
      <c r="J155" t="s">
        <v>474</v>
      </c>
      <c r="K155" t="s">
        <v>476</v>
      </c>
      <c r="L155" s="28" t="s">
        <v>477</v>
      </c>
      <c r="M155" t="s">
        <v>23</v>
      </c>
    </row>
    <row r="156" spans="1:13" x14ac:dyDescent="0.25">
      <c r="A156" t="s">
        <v>193</v>
      </c>
      <c r="B156" t="s">
        <v>188</v>
      </c>
      <c r="C156" s="27" t="s">
        <v>34749</v>
      </c>
      <c r="D156" s="28" t="s">
        <v>34867</v>
      </c>
      <c r="E156" t="s">
        <v>478</v>
      </c>
      <c r="G156" t="s">
        <v>479</v>
      </c>
      <c r="I156" t="s">
        <v>480</v>
      </c>
      <c r="J156" t="s">
        <v>478</v>
      </c>
      <c r="K156" t="s">
        <v>480</v>
      </c>
      <c r="L156" s="28" t="s">
        <v>481</v>
      </c>
      <c r="M156" t="s">
        <v>23</v>
      </c>
    </row>
    <row r="157" spans="1:13" x14ac:dyDescent="0.25">
      <c r="A157" t="s">
        <v>193</v>
      </c>
      <c r="B157" t="s">
        <v>188</v>
      </c>
      <c r="C157" s="27" t="s">
        <v>34749</v>
      </c>
      <c r="D157" s="28" t="s">
        <v>34867</v>
      </c>
      <c r="E157" t="s">
        <v>482</v>
      </c>
      <c r="G157" t="s">
        <v>483</v>
      </c>
      <c r="I157" t="s">
        <v>484</v>
      </c>
      <c r="J157" t="s">
        <v>482</v>
      </c>
      <c r="K157" t="s">
        <v>484</v>
      </c>
      <c r="L157" s="28" t="s">
        <v>485</v>
      </c>
      <c r="M157" t="s">
        <v>23</v>
      </c>
    </row>
    <row r="158" spans="1:13" x14ac:dyDescent="0.25">
      <c r="A158" t="s">
        <v>193</v>
      </c>
      <c r="B158" t="s">
        <v>188</v>
      </c>
      <c r="C158" s="27" t="s">
        <v>34749</v>
      </c>
      <c r="D158" s="28" t="s">
        <v>34867</v>
      </c>
      <c r="E158" t="s">
        <v>486</v>
      </c>
      <c r="G158" t="s">
        <v>487</v>
      </c>
      <c r="H158" s="28"/>
      <c r="J158" t="s">
        <v>486</v>
      </c>
      <c r="K158" t="s">
        <v>488</v>
      </c>
      <c r="L158" s="28" t="s">
        <v>489</v>
      </c>
      <c r="M158" t="s">
        <v>23</v>
      </c>
    </row>
    <row r="159" spans="1:13" x14ac:dyDescent="0.25">
      <c r="A159" t="s">
        <v>193</v>
      </c>
      <c r="B159" t="s">
        <v>188</v>
      </c>
      <c r="C159" s="27" t="s">
        <v>34749</v>
      </c>
      <c r="D159" s="28" t="s">
        <v>34867</v>
      </c>
      <c r="E159" t="s">
        <v>490</v>
      </c>
      <c r="G159" t="s">
        <v>491</v>
      </c>
      <c r="I159" t="s">
        <v>492</v>
      </c>
      <c r="J159" t="s">
        <v>490</v>
      </c>
      <c r="K159" t="s">
        <v>492</v>
      </c>
      <c r="L159" s="28" t="s">
        <v>493</v>
      </c>
      <c r="M159" t="s">
        <v>23</v>
      </c>
    </row>
    <row r="160" spans="1:13" x14ac:dyDescent="0.25">
      <c r="A160" t="s">
        <v>193</v>
      </c>
      <c r="B160" t="s">
        <v>188</v>
      </c>
      <c r="C160" s="27" t="s">
        <v>34749</v>
      </c>
      <c r="D160" s="28" t="s">
        <v>34867</v>
      </c>
      <c r="E160" t="s">
        <v>494</v>
      </c>
      <c r="G160" t="s">
        <v>495</v>
      </c>
      <c r="I160" t="s">
        <v>496</v>
      </c>
      <c r="J160" t="s">
        <v>494</v>
      </c>
      <c r="K160" t="s">
        <v>496</v>
      </c>
      <c r="L160" s="28" t="s">
        <v>497</v>
      </c>
      <c r="M160" t="s">
        <v>23</v>
      </c>
    </row>
    <row r="161" spans="1:13" x14ac:dyDescent="0.25">
      <c r="A161" t="s">
        <v>193</v>
      </c>
      <c r="B161" t="s">
        <v>188</v>
      </c>
      <c r="C161" s="27" t="s">
        <v>34749</v>
      </c>
      <c r="D161" s="28" t="s">
        <v>34867</v>
      </c>
      <c r="E161" t="s">
        <v>498</v>
      </c>
      <c r="G161" t="s">
        <v>499</v>
      </c>
      <c r="I161" t="s">
        <v>500</v>
      </c>
      <c r="J161" t="s">
        <v>498</v>
      </c>
      <c r="K161" t="s">
        <v>500</v>
      </c>
      <c r="L161" s="28" t="s">
        <v>501</v>
      </c>
      <c r="M161" t="s">
        <v>23</v>
      </c>
    </row>
    <row r="162" spans="1:13" x14ac:dyDescent="0.25">
      <c r="A162" t="s">
        <v>193</v>
      </c>
      <c r="B162" t="s">
        <v>188</v>
      </c>
      <c r="C162" s="27" t="s">
        <v>34749</v>
      </c>
      <c r="D162" s="28" t="s">
        <v>34867</v>
      </c>
      <c r="E162" t="s">
        <v>502</v>
      </c>
      <c r="G162" t="s">
        <v>503</v>
      </c>
      <c r="I162" t="s">
        <v>504</v>
      </c>
      <c r="J162" t="s">
        <v>502</v>
      </c>
      <c r="K162" t="s">
        <v>504</v>
      </c>
      <c r="L162" s="28" t="s">
        <v>505</v>
      </c>
      <c r="M162" t="s">
        <v>23</v>
      </c>
    </row>
    <row r="163" spans="1:13" x14ac:dyDescent="0.25">
      <c r="A163" t="s">
        <v>193</v>
      </c>
      <c r="B163" t="s">
        <v>188</v>
      </c>
      <c r="C163" s="27" t="s">
        <v>34749</v>
      </c>
      <c r="D163" s="28" t="s">
        <v>34867</v>
      </c>
      <c r="E163" t="s">
        <v>506</v>
      </c>
      <c r="G163" t="s">
        <v>507</v>
      </c>
      <c r="I163" t="s">
        <v>508</v>
      </c>
      <c r="J163" t="s">
        <v>506</v>
      </c>
      <c r="K163" t="s">
        <v>508</v>
      </c>
      <c r="L163" s="28" t="s">
        <v>509</v>
      </c>
      <c r="M163" t="s">
        <v>23</v>
      </c>
    </row>
    <row r="164" spans="1:13" x14ac:dyDescent="0.25">
      <c r="A164" t="s">
        <v>193</v>
      </c>
      <c r="B164" t="s">
        <v>188</v>
      </c>
      <c r="C164" s="27" t="s">
        <v>34749</v>
      </c>
      <c r="D164" s="28" t="s">
        <v>34867</v>
      </c>
      <c r="E164" t="s">
        <v>510</v>
      </c>
      <c r="G164" t="s">
        <v>511</v>
      </c>
      <c r="I164" t="s">
        <v>512</v>
      </c>
      <c r="J164" t="s">
        <v>510</v>
      </c>
      <c r="K164" t="s">
        <v>512</v>
      </c>
      <c r="L164" s="28" t="s">
        <v>513</v>
      </c>
      <c r="M164" t="s">
        <v>23</v>
      </c>
    </row>
    <row r="165" spans="1:13" x14ac:dyDescent="0.25">
      <c r="A165" t="s">
        <v>193</v>
      </c>
      <c r="B165" t="s">
        <v>188</v>
      </c>
      <c r="C165" s="27" t="s">
        <v>34749</v>
      </c>
      <c r="D165" s="28" t="s">
        <v>34867</v>
      </c>
      <c r="E165" t="s">
        <v>514</v>
      </c>
      <c r="G165" t="s">
        <v>515</v>
      </c>
      <c r="I165" t="s">
        <v>516</v>
      </c>
      <c r="J165" t="s">
        <v>514</v>
      </c>
      <c r="K165" t="s">
        <v>516</v>
      </c>
      <c r="L165" s="28" t="s">
        <v>517</v>
      </c>
      <c r="M165" t="s">
        <v>23</v>
      </c>
    </row>
    <row r="166" spans="1:13" x14ac:dyDescent="0.25">
      <c r="A166" t="s">
        <v>193</v>
      </c>
      <c r="B166" t="s">
        <v>188</v>
      </c>
      <c r="C166" s="27" t="s">
        <v>34749</v>
      </c>
      <c r="D166" s="28" t="s">
        <v>34867</v>
      </c>
      <c r="E166" t="s">
        <v>518</v>
      </c>
      <c r="G166" t="s">
        <v>519</v>
      </c>
      <c r="I166" t="s">
        <v>520</v>
      </c>
      <c r="J166" t="s">
        <v>518</v>
      </c>
      <c r="K166" t="s">
        <v>520</v>
      </c>
      <c r="L166" s="28" t="s">
        <v>521</v>
      </c>
      <c r="M166" t="s">
        <v>23</v>
      </c>
    </row>
    <row r="167" spans="1:13" x14ac:dyDescent="0.25">
      <c r="A167" t="s">
        <v>193</v>
      </c>
      <c r="B167" t="s">
        <v>188</v>
      </c>
      <c r="C167" s="27" t="s">
        <v>34749</v>
      </c>
      <c r="D167" s="28" t="s">
        <v>34867</v>
      </c>
      <c r="E167" t="s">
        <v>522</v>
      </c>
      <c r="G167" t="s">
        <v>523</v>
      </c>
      <c r="I167" t="s">
        <v>524</v>
      </c>
      <c r="J167" t="s">
        <v>522</v>
      </c>
      <c r="K167" t="s">
        <v>524</v>
      </c>
      <c r="L167" s="28" t="s">
        <v>525</v>
      </c>
      <c r="M167" t="s">
        <v>23</v>
      </c>
    </row>
    <row r="168" spans="1:13" x14ac:dyDescent="0.25">
      <c r="A168" t="s">
        <v>193</v>
      </c>
      <c r="B168" t="s">
        <v>188</v>
      </c>
      <c r="C168" s="27" t="s">
        <v>34749</v>
      </c>
      <c r="D168" s="28" t="s">
        <v>34867</v>
      </c>
      <c r="E168" t="s">
        <v>526</v>
      </c>
      <c r="G168" t="s">
        <v>527</v>
      </c>
      <c r="I168" t="s">
        <v>528</v>
      </c>
      <c r="J168" t="s">
        <v>526</v>
      </c>
      <c r="K168" t="s">
        <v>528</v>
      </c>
      <c r="L168" s="28" t="s">
        <v>529</v>
      </c>
      <c r="M168" t="s">
        <v>23</v>
      </c>
    </row>
    <row r="169" spans="1:13" x14ac:dyDescent="0.25">
      <c r="A169" t="s">
        <v>193</v>
      </c>
      <c r="B169" t="s">
        <v>188</v>
      </c>
      <c r="C169" s="27" t="s">
        <v>34749</v>
      </c>
      <c r="D169" s="28" t="s">
        <v>34867</v>
      </c>
      <c r="E169" t="s">
        <v>530</v>
      </c>
      <c r="G169" t="s">
        <v>531</v>
      </c>
      <c r="I169" t="s">
        <v>532</v>
      </c>
      <c r="J169" t="s">
        <v>530</v>
      </c>
      <c r="K169" t="s">
        <v>532</v>
      </c>
      <c r="L169" s="28" t="s">
        <v>533</v>
      </c>
      <c r="M169" t="s">
        <v>23</v>
      </c>
    </row>
    <row r="170" spans="1:13" x14ac:dyDescent="0.25">
      <c r="A170" t="s">
        <v>193</v>
      </c>
      <c r="B170" t="s">
        <v>188</v>
      </c>
      <c r="C170" s="27" t="s">
        <v>34749</v>
      </c>
      <c r="D170" s="28" t="s">
        <v>34867</v>
      </c>
      <c r="E170" t="s">
        <v>534</v>
      </c>
      <c r="G170" t="s">
        <v>535</v>
      </c>
      <c r="I170" t="s">
        <v>536</v>
      </c>
      <c r="J170" t="s">
        <v>534</v>
      </c>
      <c r="K170" t="s">
        <v>536</v>
      </c>
      <c r="L170" s="28" t="s">
        <v>537</v>
      </c>
      <c r="M170" t="s">
        <v>23</v>
      </c>
    </row>
    <row r="171" spans="1:13" x14ac:dyDescent="0.25">
      <c r="A171" t="s">
        <v>193</v>
      </c>
      <c r="B171" t="s">
        <v>188</v>
      </c>
      <c r="C171" s="27" t="s">
        <v>34749</v>
      </c>
      <c r="D171" s="28" t="s">
        <v>34867</v>
      </c>
      <c r="E171" t="s">
        <v>538</v>
      </c>
      <c r="G171" t="s">
        <v>539</v>
      </c>
      <c r="I171" t="s">
        <v>540</v>
      </c>
      <c r="J171" t="s">
        <v>538</v>
      </c>
      <c r="K171" t="s">
        <v>540</v>
      </c>
      <c r="L171" s="28" t="s">
        <v>541</v>
      </c>
      <c r="M171" t="s">
        <v>23</v>
      </c>
    </row>
    <row r="172" spans="1:13" x14ac:dyDescent="0.25">
      <c r="A172" t="s">
        <v>193</v>
      </c>
      <c r="B172" t="s">
        <v>188</v>
      </c>
      <c r="C172" s="27" t="s">
        <v>34749</v>
      </c>
      <c r="D172" s="28" t="s">
        <v>34867</v>
      </c>
      <c r="E172" t="s">
        <v>542</v>
      </c>
      <c r="G172" t="s">
        <v>543</v>
      </c>
      <c r="I172" t="s">
        <v>544</v>
      </c>
      <c r="J172" t="s">
        <v>542</v>
      </c>
      <c r="K172" t="s">
        <v>544</v>
      </c>
      <c r="L172" s="28" t="s">
        <v>545</v>
      </c>
      <c r="M172" t="s">
        <v>23</v>
      </c>
    </row>
    <row r="173" spans="1:13" x14ac:dyDescent="0.25">
      <c r="A173" t="s">
        <v>193</v>
      </c>
      <c r="B173" t="s">
        <v>188</v>
      </c>
      <c r="C173" s="27" t="s">
        <v>34749</v>
      </c>
      <c r="D173" s="28" t="s">
        <v>34867</v>
      </c>
      <c r="E173" t="s">
        <v>546</v>
      </c>
      <c r="G173" t="s">
        <v>547</v>
      </c>
      <c r="I173" t="s">
        <v>548</v>
      </c>
      <c r="J173" t="s">
        <v>546</v>
      </c>
      <c r="K173" t="s">
        <v>548</v>
      </c>
      <c r="L173" s="28" t="s">
        <v>549</v>
      </c>
      <c r="M173" t="s">
        <v>23</v>
      </c>
    </row>
    <row r="174" spans="1:13" x14ac:dyDescent="0.25">
      <c r="A174" t="s">
        <v>193</v>
      </c>
      <c r="B174" t="s">
        <v>188</v>
      </c>
      <c r="C174" s="27" t="s">
        <v>34749</v>
      </c>
      <c r="D174" s="28" t="s">
        <v>34867</v>
      </c>
      <c r="E174" t="s">
        <v>550</v>
      </c>
      <c r="G174" t="s">
        <v>551</v>
      </c>
      <c r="I174" t="s">
        <v>552</v>
      </c>
      <c r="J174" t="s">
        <v>550</v>
      </c>
      <c r="K174" t="s">
        <v>552</v>
      </c>
      <c r="L174" s="28" t="s">
        <v>553</v>
      </c>
      <c r="M174" t="s">
        <v>23</v>
      </c>
    </row>
    <row r="175" spans="1:13" x14ac:dyDescent="0.25">
      <c r="A175" t="s">
        <v>193</v>
      </c>
      <c r="B175" t="s">
        <v>188</v>
      </c>
      <c r="C175" s="27" t="s">
        <v>34749</v>
      </c>
      <c r="D175" s="28" t="s">
        <v>34867</v>
      </c>
      <c r="E175" t="s">
        <v>554</v>
      </c>
      <c r="G175" t="s">
        <v>555</v>
      </c>
      <c r="I175" t="s">
        <v>556</v>
      </c>
      <c r="J175" t="s">
        <v>554</v>
      </c>
      <c r="K175" t="s">
        <v>556</v>
      </c>
      <c r="L175" s="28" t="s">
        <v>557</v>
      </c>
      <c r="M175" t="s">
        <v>23</v>
      </c>
    </row>
    <row r="176" spans="1:13" x14ac:dyDescent="0.25">
      <c r="A176" t="s">
        <v>193</v>
      </c>
      <c r="B176" t="s">
        <v>188</v>
      </c>
      <c r="C176" s="27" t="s">
        <v>34749</v>
      </c>
      <c r="D176" s="28" t="s">
        <v>34867</v>
      </c>
      <c r="E176" t="s">
        <v>558</v>
      </c>
      <c r="G176" t="s">
        <v>559</v>
      </c>
      <c r="I176" t="s">
        <v>560</v>
      </c>
      <c r="J176" t="s">
        <v>558</v>
      </c>
      <c r="K176" t="s">
        <v>560</v>
      </c>
      <c r="L176" s="28" t="s">
        <v>561</v>
      </c>
      <c r="M176" t="s">
        <v>23</v>
      </c>
    </row>
    <row r="177" spans="1:13" x14ac:dyDescent="0.25">
      <c r="A177" t="s">
        <v>193</v>
      </c>
      <c r="B177" t="s">
        <v>188</v>
      </c>
      <c r="C177" s="27" t="s">
        <v>34749</v>
      </c>
      <c r="D177" s="28" t="s">
        <v>34867</v>
      </c>
      <c r="E177" t="s">
        <v>562</v>
      </c>
      <c r="G177" t="s">
        <v>563</v>
      </c>
      <c r="I177" t="s">
        <v>564</v>
      </c>
      <c r="J177" t="s">
        <v>562</v>
      </c>
      <c r="K177" t="s">
        <v>564</v>
      </c>
      <c r="L177" s="28" t="s">
        <v>565</v>
      </c>
      <c r="M177" t="s">
        <v>23</v>
      </c>
    </row>
    <row r="178" spans="1:13" x14ac:dyDescent="0.25">
      <c r="A178" t="s">
        <v>193</v>
      </c>
      <c r="B178" t="s">
        <v>188</v>
      </c>
      <c r="C178" s="27" t="s">
        <v>34749</v>
      </c>
      <c r="D178" s="28" t="s">
        <v>34867</v>
      </c>
      <c r="E178" t="s">
        <v>566</v>
      </c>
      <c r="G178" t="s">
        <v>567</v>
      </c>
      <c r="I178" t="s">
        <v>568</v>
      </c>
      <c r="J178" t="s">
        <v>566</v>
      </c>
      <c r="K178" t="s">
        <v>568</v>
      </c>
      <c r="L178" s="28" t="s">
        <v>569</v>
      </c>
      <c r="M178" t="s">
        <v>23</v>
      </c>
    </row>
    <row r="179" spans="1:13" x14ac:dyDescent="0.25">
      <c r="A179" t="s">
        <v>193</v>
      </c>
      <c r="B179" t="s">
        <v>188</v>
      </c>
      <c r="C179" s="27" t="s">
        <v>34749</v>
      </c>
      <c r="D179" s="28" t="s">
        <v>34867</v>
      </c>
      <c r="E179" t="s">
        <v>570</v>
      </c>
      <c r="G179" t="s">
        <v>571</v>
      </c>
      <c r="I179" t="s">
        <v>572</v>
      </c>
      <c r="J179" t="s">
        <v>570</v>
      </c>
      <c r="K179" t="s">
        <v>572</v>
      </c>
      <c r="L179" s="28" t="s">
        <v>573</v>
      </c>
      <c r="M179" t="s">
        <v>23</v>
      </c>
    </row>
    <row r="180" spans="1:13" x14ac:dyDescent="0.25">
      <c r="A180" t="s">
        <v>193</v>
      </c>
      <c r="B180" t="s">
        <v>188</v>
      </c>
      <c r="C180" s="27" t="s">
        <v>34749</v>
      </c>
      <c r="D180" s="28" t="s">
        <v>34867</v>
      </c>
      <c r="E180" t="s">
        <v>574</v>
      </c>
      <c r="G180" t="s">
        <v>575</v>
      </c>
      <c r="I180" t="s">
        <v>576</v>
      </c>
      <c r="J180" t="s">
        <v>574</v>
      </c>
      <c r="K180" t="s">
        <v>576</v>
      </c>
      <c r="L180" s="28" t="s">
        <v>577</v>
      </c>
      <c r="M180" t="s">
        <v>23</v>
      </c>
    </row>
    <row r="181" spans="1:13" x14ac:dyDescent="0.25">
      <c r="A181" t="s">
        <v>193</v>
      </c>
      <c r="B181" t="s">
        <v>188</v>
      </c>
      <c r="C181" s="27" t="s">
        <v>34749</v>
      </c>
      <c r="D181" s="28" t="s">
        <v>34867</v>
      </c>
      <c r="E181" t="s">
        <v>578</v>
      </c>
      <c r="G181" t="s">
        <v>579</v>
      </c>
      <c r="I181" t="s">
        <v>580</v>
      </c>
      <c r="J181" t="s">
        <v>578</v>
      </c>
      <c r="K181" t="s">
        <v>580</v>
      </c>
      <c r="L181" s="28" t="s">
        <v>581</v>
      </c>
      <c r="M181" t="s">
        <v>23</v>
      </c>
    </row>
    <row r="182" spans="1:13" x14ac:dyDescent="0.25">
      <c r="A182" t="s">
        <v>193</v>
      </c>
      <c r="B182" t="s">
        <v>188</v>
      </c>
      <c r="C182" s="27" t="s">
        <v>34749</v>
      </c>
      <c r="D182" s="28" t="s">
        <v>34867</v>
      </c>
      <c r="E182" t="s">
        <v>582</v>
      </c>
      <c r="G182" t="s">
        <v>583</v>
      </c>
      <c r="I182" t="s">
        <v>584</v>
      </c>
      <c r="J182" t="s">
        <v>582</v>
      </c>
      <c r="K182" t="s">
        <v>584</v>
      </c>
      <c r="L182" s="28" t="s">
        <v>585</v>
      </c>
      <c r="M182" t="s">
        <v>23</v>
      </c>
    </row>
    <row r="183" spans="1:13" x14ac:dyDescent="0.25">
      <c r="A183" t="s">
        <v>193</v>
      </c>
      <c r="B183" t="s">
        <v>188</v>
      </c>
      <c r="C183" s="27" t="s">
        <v>34749</v>
      </c>
      <c r="D183" s="28" t="s">
        <v>34867</v>
      </c>
      <c r="E183" t="s">
        <v>586</v>
      </c>
      <c r="G183" t="s">
        <v>587</v>
      </c>
      <c r="I183" t="s">
        <v>588</v>
      </c>
      <c r="J183" t="s">
        <v>586</v>
      </c>
      <c r="K183" t="s">
        <v>588</v>
      </c>
      <c r="L183" s="28" t="s">
        <v>589</v>
      </c>
      <c r="M183" t="s">
        <v>23</v>
      </c>
    </row>
    <row r="184" spans="1:13" x14ac:dyDescent="0.25">
      <c r="A184" t="s">
        <v>193</v>
      </c>
      <c r="B184" t="s">
        <v>188</v>
      </c>
      <c r="C184" s="27" t="s">
        <v>34749</v>
      </c>
      <c r="D184" s="28" t="s">
        <v>34867</v>
      </c>
      <c r="E184" t="s">
        <v>590</v>
      </c>
      <c r="G184" t="s">
        <v>591</v>
      </c>
      <c r="I184" t="s">
        <v>592</v>
      </c>
      <c r="J184" t="s">
        <v>590</v>
      </c>
      <c r="K184" t="s">
        <v>592</v>
      </c>
      <c r="L184" s="28" t="s">
        <v>593</v>
      </c>
      <c r="M184" t="s">
        <v>23</v>
      </c>
    </row>
    <row r="185" spans="1:13" x14ac:dyDescent="0.25">
      <c r="A185" t="s">
        <v>193</v>
      </c>
      <c r="B185" t="s">
        <v>188</v>
      </c>
      <c r="C185" s="27" t="s">
        <v>34749</v>
      </c>
      <c r="D185" s="28" t="s">
        <v>34867</v>
      </c>
      <c r="E185" t="s">
        <v>594</v>
      </c>
      <c r="G185" t="s">
        <v>595</v>
      </c>
      <c r="I185" t="s">
        <v>596</v>
      </c>
      <c r="J185" t="s">
        <v>594</v>
      </c>
      <c r="K185" t="s">
        <v>596</v>
      </c>
      <c r="L185" s="28" t="s">
        <v>597</v>
      </c>
      <c r="M185" t="s">
        <v>23</v>
      </c>
    </row>
    <row r="186" spans="1:13" x14ac:dyDescent="0.25">
      <c r="A186" t="s">
        <v>193</v>
      </c>
      <c r="B186" t="s">
        <v>188</v>
      </c>
      <c r="C186" s="27" t="s">
        <v>34749</v>
      </c>
      <c r="D186" s="28" t="s">
        <v>34867</v>
      </c>
      <c r="E186" t="s">
        <v>598</v>
      </c>
      <c r="G186" t="s">
        <v>599</v>
      </c>
      <c r="I186" t="s">
        <v>600</v>
      </c>
      <c r="J186" t="s">
        <v>598</v>
      </c>
      <c r="K186" t="s">
        <v>600</v>
      </c>
      <c r="L186" s="28" t="s">
        <v>601</v>
      </c>
      <c r="M186" t="s">
        <v>23</v>
      </c>
    </row>
    <row r="187" spans="1:13" x14ac:dyDescent="0.25">
      <c r="A187" t="s">
        <v>193</v>
      </c>
      <c r="B187" t="s">
        <v>188</v>
      </c>
      <c r="C187" s="27" t="s">
        <v>34749</v>
      </c>
      <c r="D187" s="28" t="s">
        <v>34867</v>
      </c>
      <c r="E187" t="s">
        <v>602</v>
      </c>
      <c r="G187" t="s">
        <v>603</v>
      </c>
      <c r="I187" t="s">
        <v>604</v>
      </c>
      <c r="J187" t="s">
        <v>602</v>
      </c>
      <c r="K187" t="s">
        <v>604</v>
      </c>
      <c r="L187" s="28" t="s">
        <v>605</v>
      </c>
      <c r="M187" t="s">
        <v>23</v>
      </c>
    </row>
    <row r="188" spans="1:13" x14ac:dyDescent="0.25">
      <c r="A188" t="s">
        <v>193</v>
      </c>
      <c r="B188" t="s">
        <v>188</v>
      </c>
      <c r="C188" s="27" t="s">
        <v>34749</v>
      </c>
      <c r="D188" s="28" t="s">
        <v>34867</v>
      </c>
      <c r="E188" t="s">
        <v>606</v>
      </c>
      <c r="G188" t="s">
        <v>607</v>
      </c>
      <c r="I188" t="s">
        <v>608</v>
      </c>
      <c r="J188" t="s">
        <v>606</v>
      </c>
      <c r="K188" t="s">
        <v>608</v>
      </c>
      <c r="L188" s="28" t="s">
        <v>609</v>
      </c>
      <c r="M188" t="s">
        <v>23</v>
      </c>
    </row>
    <row r="189" spans="1:13" x14ac:dyDescent="0.25">
      <c r="A189" t="s">
        <v>193</v>
      </c>
      <c r="B189" t="s">
        <v>188</v>
      </c>
      <c r="C189" s="27" t="s">
        <v>34749</v>
      </c>
      <c r="D189" s="28" t="s">
        <v>34867</v>
      </c>
      <c r="E189" t="s">
        <v>610</v>
      </c>
      <c r="G189" t="s">
        <v>611</v>
      </c>
      <c r="I189" t="s">
        <v>612</v>
      </c>
      <c r="J189" t="s">
        <v>610</v>
      </c>
      <c r="K189" t="s">
        <v>612</v>
      </c>
      <c r="L189" s="28" t="s">
        <v>613</v>
      </c>
      <c r="M189" t="s">
        <v>23</v>
      </c>
    </row>
    <row r="190" spans="1:13" x14ac:dyDescent="0.25">
      <c r="A190" t="s">
        <v>193</v>
      </c>
      <c r="B190" t="s">
        <v>188</v>
      </c>
      <c r="C190" s="27" t="s">
        <v>34749</v>
      </c>
      <c r="D190" s="28" t="s">
        <v>34867</v>
      </c>
      <c r="E190" t="s">
        <v>614</v>
      </c>
      <c r="G190" t="s">
        <v>615</v>
      </c>
      <c r="I190" t="s">
        <v>616</v>
      </c>
      <c r="J190" t="s">
        <v>614</v>
      </c>
      <c r="K190" t="s">
        <v>616</v>
      </c>
      <c r="L190" s="28" t="s">
        <v>617</v>
      </c>
      <c r="M190" t="s">
        <v>23</v>
      </c>
    </row>
    <row r="191" spans="1:13" x14ac:dyDescent="0.25">
      <c r="A191" t="s">
        <v>193</v>
      </c>
      <c r="B191" t="s">
        <v>188</v>
      </c>
      <c r="C191" s="27" t="s">
        <v>34749</v>
      </c>
      <c r="D191" s="28" t="s">
        <v>34867</v>
      </c>
      <c r="E191" t="s">
        <v>618</v>
      </c>
      <c r="G191" t="s">
        <v>619</v>
      </c>
      <c r="I191" t="s">
        <v>620</v>
      </c>
      <c r="J191" t="s">
        <v>618</v>
      </c>
      <c r="K191" t="s">
        <v>620</v>
      </c>
      <c r="L191" s="28" t="s">
        <v>621</v>
      </c>
      <c r="M191" t="s">
        <v>23</v>
      </c>
    </row>
    <row r="192" spans="1:13" x14ac:dyDescent="0.25">
      <c r="A192" t="s">
        <v>193</v>
      </c>
      <c r="B192" t="s">
        <v>188</v>
      </c>
      <c r="C192" s="27" t="s">
        <v>34749</v>
      </c>
      <c r="D192" s="28" t="s">
        <v>34867</v>
      </c>
      <c r="E192" t="s">
        <v>622</v>
      </c>
      <c r="G192" t="s">
        <v>623</v>
      </c>
      <c r="J192" t="s">
        <v>622</v>
      </c>
      <c r="K192" t="s">
        <v>624</v>
      </c>
      <c r="L192" s="28" t="s">
        <v>625</v>
      </c>
      <c r="M192" t="s">
        <v>23</v>
      </c>
    </row>
    <row r="193" spans="1:19" x14ac:dyDescent="0.25">
      <c r="A193" t="s">
        <v>193</v>
      </c>
      <c r="B193" t="s">
        <v>188</v>
      </c>
      <c r="C193" s="27" t="s">
        <v>34749</v>
      </c>
      <c r="D193" s="28" t="s">
        <v>34867</v>
      </c>
      <c r="E193" t="s">
        <v>626</v>
      </c>
      <c r="G193" t="s">
        <v>627</v>
      </c>
      <c r="I193" t="s">
        <v>628</v>
      </c>
      <c r="J193" t="s">
        <v>626</v>
      </c>
      <c r="K193" t="s">
        <v>628</v>
      </c>
      <c r="L193" s="28" t="s">
        <v>629</v>
      </c>
      <c r="M193" t="s">
        <v>23</v>
      </c>
    </row>
    <row r="194" spans="1:19" x14ac:dyDescent="0.25">
      <c r="A194" t="s">
        <v>193</v>
      </c>
      <c r="B194" t="s">
        <v>188</v>
      </c>
      <c r="C194" s="27" t="s">
        <v>34749</v>
      </c>
      <c r="D194" s="28" t="s">
        <v>34867</v>
      </c>
      <c r="E194" t="s">
        <v>630</v>
      </c>
      <c r="G194" t="s">
        <v>631</v>
      </c>
      <c r="I194" t="s">
        <v>632</v>
      </c>
      <c r="J194" t="s">
        <v>630</v>
      </c>
      <c r="K194" t="s">
        <v>633</v>
      </c>
      <c r="L194" s="28" t="s">
        <v>634</v>
      </c>
      <c r="M194" t="s">
        <v>23</v>
      </c>
    </row>
    <row r="195" spans="1:19" x14ac:dyDescent="0.25">
      <c r="A195" s="27" t="s">
        <v>193</v>
      </c>
      <c r="B195" t="s">
        <v>188</v>
      </c>
      <c r="C195" s="27" t="s">
        <v>34749</v>
      </c>
      <c r="D195" s="28" t="s">
        <v>34867</v>
      </c>
      <c r="E195" t="s">
        <v>635</v>
      </c>
      <c r="G195" t="s">
        <v>636</v>
      </c>
      <c r="H195" s="28" t="s">
        <v>637</v>
      </c>
    </row>
    <row r="196" spans="1:19" x14ac:dyDescent="0.25">
      <c r="A196" t="s">
        <v>193</v>
      </c>
      <c r="B196" t="s">
        <v>188</v>
      </c>
      <c r="C196" s="27" t="s">
        <v>34749</v>
      </c>
      <c r="D196" s="28" t="s">
        <v>34867</v>
      </c>
      <c r="E196" t="s">
        <v>638</v>
      </c>
      <c r="G196" t="s">
        <v>639</v>
      </c>
      <c r="I196" t="s">
        <v>640</v>
      </c>
      <c r="J196" t="s">
        <v>638</v>
      </c>
      <c r="K196" t="s">
        <v>640</v>
      </c>
      <c r="L196" s="28" t="s">
        <v>641</v>
      </c>
      <c r="M196" t="s">
        <v>23</v>
      </c>
    </row>
    <row r="197" spans="1:19" x14ac:dyDescent="0.25">
      <c r="A197" s="27" t="s">
        <v>193</v>
      </c>
      <c r="B197" t="s">
        <v>188</v>
      </c>
      <c r="C197" s="27" t="s">
        <v>34749</v>
      </c>
      <c r="D197" s="28" t="s">
        <v>34867</v>
      </c>
      <c r="E197" t="s">
        <v>642</v>
      </c>
      <c r="G197" t="s">
        <v>643</v>
      </c>
      <c r="H197" s="28" t="s">
        <v>644</v>
      </c>
    </row>
    <row r="198" spans="1:19" x14ac:dyDescent="0.25">
      <c r="A198" t="s">
        <v>193</v>
      </c>
      <c r="B198" t="s">
        <v>188</v>
      </c>
      <c r="C198" s="27" t="s">
        <v>34749</v>
      </c>
      <c r="D198" s="28" t="s">
        <v>34867</v>
      </c>
      <c r="E198" t="s">
        <v>645</v>
      </c>
      <c r="G198" t="s">
        <v>646</v>
      </c>
      <c r="I198" t="s">
        <v>647</v>
      </c>
      <c r="J198" t="s">
        <v>645</v>
      </c>
      <c r="K198" t="s">
        <v>647</v>
      </c>
      <c r="L198" s="28" t="s">
        <v>648</v>
      </c>
      <c r="M198" t="s">
        <v>23</v>
      </c>
    </row>
    <row r="199" spans="1:19" x14ac:dyDescent="0.25">
      <c r="A199" s="27" t="s">
        <v>193</v>
      </c>
      <c r="B199" t="s">
        <v>188</v>
      </c>
      <c r="C199" s="27" t="s">
        <v>34749</v>
      </c>
      <c r="D199" s="28" t="s">
        <v>34867</v>
      </c>
      <c r="E199" t="s">
        <v>649</v>
      </c>
      <c r="G199" t="s">
        <v>650</v>
      </c>
      <c r="H199" s="28" t="s">
        <v>651</v>
      </c>
    </row>
    <row r="200" spans="1:19" x14ac:dyDescent="0.25">
      <c r="A200" s="27" t="s">
        <v>193</v>
      </c>
      <c r="B200" t="s">
        <v>188</v>
      </c>
      <c r="C200" s="27" t="s">
        <v>34749</v>
      </c>
      <c r="D200" s="28" t="s">
        <v>34867</v>
      </c>
      <c r="E200" t="s">
        <v>652</v>
      </c>
      <c r="G200" t="s">
        <v>653</v>
      </c>
      <c r="H200" s="28" t="s">
        <v>654</v>
      </c>
    </row>
    <row r="201" spans="1:19" x14ac:dyDescent="0.25">
      <c r="A201" s="28" t="s">
        <v>14843</v>
      </c>
      <c r="G201" t="s">
        <v>772</v>
      </c>
      <c r="I201" t="s">
        <v>773</v>
      </c>
    </row>
    <row r="202" spans="1:19" x14ac:dyDescent="0.25">
      <c r="A202" s="28" t="s">
        <v>14843</v>
      </c>
      <c r="G202" t="s">
        <v>774</v>
      </c>
      <c r="I202" t="s">
        <v>775</v>
      </c>
    </row>
    <row r="203" spans="1:19" x14ac:dyDescent="0.25">
      <c r="A203" s="28" t="s">
        <v>14843</v>
      </c>
      <c r="G203" t="s">
        <v>776</v>
      </c>
      <c r="I203" t="s">
        <v>777</v>
      </c>
    </row>
    <row r="204" spans="1:19" x14ac:dyDescent="0.25">
      <c r="A204" s="28" t="s">
        <v>14843</v>
      </c>
      <c r="G204" t="s">
        <v>778</v>
      </c>
      <c r="I204" t="s">
        <v>779</v>
      </c>
    </row>
    <row r="205" spans="1:19" x14ac:dyDescent="0.25">
      <c r="A205" s="27" t="s">
        <v>34845</v>
      </c>
      <c r="G205" s="27" t="s">
        <v>33196</v>
      </c>
      <c r="I205" t="s">
        <v>780</v>
      </c>
    </row>
    <row r="206" spans="1:19" x14ac:dyDescent="0.25">
      <c r="A206" s="27" t="s">
        <v>152</v>
      </c>
      <c r="G206" s="27" t="s">
        <v>33637</v>
      </c>
      <c r="P206">
        <v>106</v>
      </c>
      <c r="Q206" t="s">
        <v>12911</v>
      </c>
      <c r="S206" t="s">
        <v>152</v>
      </c>
    </row>
    <row r="207" spans="1:19" x14ac:dyDescent="0.25">
      <c r="A207" s="27" t="s">
        <v>12929</v>
      </c>
      <c r="G207" s="27" t="s">
        <v>34817</v>
      </c>
      <c r="P207">
        <v>108</v>
      </c>
      <c r="Q207" t="s">
        <v>12913</v>
      </c>
      <c r="S207" t="s">
        <v>12912</v>
      </c>
    </row>
    <row r="208" spans="1:19" x14ac:dyDescent="0.25">
      <c r="A208" s="27" t="s">
        <v>12929</v>
      </c>
      <c r="G208" s="27" t="s">
        <v>33385</v>
      </c>
      <c r="P208">
        <v>110</v>
      </c>
      <c r="Q208" t="s">
        <v>12915</v>
      </c>
      <c r="S208" t="s">
        <v>12914</v>
      </c>
    </row>
    <row r="209" spans="1:19" x14ac:dyDescent="0.25">
      <c r="A209" s="27" t="s">
        <v>12916</v>
      </c>
      <c r="G209" s="27" t="s">
        <v>34818</v>
      </c>
      <c r="P209">
        <v>112</v>
      </c>
      <c r="Q209" t="s">
        <v>12917</v>
      </c>
      <c r="S209" t="s">
        <v>12916</v>
      </c>
    </row>
    <row r="210" spans="1:19" x14ac:dyDescent="0.25">
      <c r="A210" s="27" t="s">
        <v>12916</v>
      </c>
      <c r="G210" s="27" t="s">
        <v>34818</v>
      </c>
      <c r="J210" t="s">
        <v>7094</v>
      </c>
      <c r="K210" t="s">
        <v>7095</v>
      </c>
      <c r="M210" t="s">
        <v>47</v>
      </c>
      <c r="P210">
        <v>114</v>
      </c>
      <c r="Q210" t="s">
        <v>12919</v>
      </c>
      <c r="S210" t="s">
        <v>12918</v>
      </c>
    </row>
    <row r="211" spans="1:19" x14ac:dyDescent="0.25">
      <c r="A211" s="28" t="s">
        <v>655</v>
      </c>
      <c r="F211" s="27" t="s">
        <v>34781</v>
      </c>
      <c r="P211">
        <v>642</v>
      </c>
      <c r="Q211" t="s">
        <v>13198</v>
      </c>
      <c r="S211" t="s">
        <v>13190</v>
      </c>
    </row>
    <row r="212" spans="1:19" s="27" customFormat="1" x14ac:dyDescent="0.25">
      <c r="A212" s="28" t="s">
        <v>655</v>
      </c>
      <c r="F212" s="27" t="s">
        <v>13218</v>
      </c>
      <c r="P212">
        <v>672</v>
      </c>
      <c r="Q212" t="s">
        <v>13218</v>
      </c>
      <c r="S212" t="s">
        <v>13190</v>
      </c>
    </row>
    <row r="213" spans="1:19" x14ac:dyDescent="0.25">
      <c r="A213" s="28" t="s">
        <v>655</v>
      </c>
      <c r="F213" t="s">
        <v>656</v>
      </c>
      <c r="G213"/>
      <c r="I213" t="s">
        <v>656</v>
      </c>
      <c r="P213">
        <v>640</v>
      </c>
      <c r="Q213" t="s">
        <v>13196</v>
      </c>
      <c r="S213" t="s">
        <v>13190</v>
      </c>
    </row>
    <row r="214" spans="1:19" s="27" customFormat="1" x14ac:dyDescent="0.25">
      <c r="A214" s="28" t="s">
        <v>655</v>
      </c>
      <c r="F214" s="27" t="s">
        <v>656</v>
      </c>
      <c r="P214">
        <v>641</v>
      </c>
      <c r="Q214" t="s">
        <v>13197</v>
      </c>
      <c r="S214" t="s">
        <v>13190</v>
      </c>
    </row>
    <row r="215" spans="1:19" x14ac:dyDescent="0.25">
      <c r="A215" s="28" t="s">
        <v>14843</v>
      </c>
      <c r="F215" t="s">
        <v>34791</v>
      </c>
      <c r="G215" t="s">
        <v>657</v>
      </c>
      <c r="I215" t="s">
        <v>658</v>
      </c>
    </row>
    <row r="216" spans="1:19" x14ac:dyDescent="0.25">
      <c r="A216" t="s">
        <v>659</v>
      </c>
      <c r="F216" t="s">
        <v>660</v>
      </c>
      <c r="G216" t="s">
        <v>661</v>
      </c>
      <c r="I216" t="s">
        <v>662</v>
      </c>
    </row>
    <row r="217" spans="1:19" x14ac:dyDescent="0.25">
      <c r="A217" s="28" t="s">
        <v>655</v>
      </c>
      <c r="F217" t="s">
        <v>34809</v>
      </c>
      <c r="G217" t="s">
        <v>737</v>
      </c>
      <c r="J217" t="s">
        <v>738</v>
      </c>
      <c r="K217" t="s">
        <v>739</v>
      </c>
      <c r="N217"/>
      <c r="O217"/>
      <c r="P217"/>
      <c r="Q217"/>
      <c r="R217"/>
      <c r="S217"/>
    </row>
    <row r="218" spans="1:19" x14ac:dyDescent="0.25">
      <c r="A218" s="28" t="s">
        <v>655</v>
      </c>
      <c r="F218" t="s">
        <v>34810</v>
      </c>
      <c r="J218" t="s">
        <v>740</v>
      </c>
      <c r="K218" t="s">
        <v>741</v>
      </c>
      <c r="N218"/>
      <c r="O218"/>
      <c r="P218"/>
      <c r="Q218"/>
      <c r="R218"/>
      <c r="S218"/>
    </row>
    <row r="219" spans="1:19" x14ac:dyDescent="0.25">
      <c r="A219" s="28" t="s">
        <v>655</v>
      </c>
      <c r="F219" t="s">
        <v>34811</v>
      </c>
      <c r="G219" t="s">
        <v>742</v>
      </c>
      <c r="J219" t="s">
        <v>743</v>
      </c>
      <c r="K219" t="s">
        <v>744</v>
      </c>
      <c r="N219"/>
      <c r="O219"/>
      <c r="P219"/>
      <c r="Q219"/>
      <c r="R219"/>
      <c r="S219"/>
    </row>
    <row r="220" spans="1:19" x14ac:dyDescent="0.25">
      <c r="A220" s="28" t="s">
        <v>655</v>
      </c>
      <c r="F220" t="s">
        <v>34812</v>
      </c>
      <c r="G220" t="s">
        <v>745</v>
      </c>
      <c r="J220" t="s">
        <v>746</v>
      </c>
      <c r="K220" t="s">
        <v>747</v>
      </c>
      <c r="N220"/>
      <c r="O220"/>
      <c r="P220"/>
      <c r="Q220"/>
      <c r="R220"/>
      <c r="S220"/>
    </row>
    <row r="221" spans="1:19" x14ac:dyDescent="0.25">
      <c r="A221" s="28" t="s">
        <v>655</v>
      </c>
      <c r="F221" t="s">
        <v>34813</v>
      </c>
      <c r="J221" t="s">
        <v>748</v>
      </c>
      <c r="K221" t="s">
        <v>749</v>
      </c>
      <c r="N221"/>
      <c r="O221"/>
      <c r="P221"/>
      <c r="Q221"/>
      <c r="R221"/>
      <c r="S221"/>
    </row>
    <row r="222" spans="1:19" x14ac:dyDescent="0.25">
      <c r="A222" s="28" t="s">
        <v>655</v>
      </c>
      <c r="F222" t="s">
        <v>34814</v>
      </c>
      <c r="G222" t="s">
        <v>750</v>
      </c>
      <c r="J222" t="s">
        <v>751</v>
      </c>
      <c r="K222" t="s">
        <v>752</v>
      </c>
      <c r="N222"/>
      <c r="O222"/>
      <c r="P222"/>
      <c r="Q222"/>
      <c r="R222"/>
      <c r="S222"/>
    </row>
    <row r="223" spans="1:19" x14ac:dyDescent="0.25">
      <c r="A223" s="28" t="s">
        <v>655</v>
      </c>
      <c r="F223" t="s">
        <v>34815</v>
      </c>
      <c r="G223" t="s">
        <v>753</v>
      </c>
      <c r="S223"/>
    </row>
    <row r="224" spans="1:19" s="27" customFormat="1" x14ac:dyDescent="0.25">
      <c r="A224" s="28" t="s">
        <v>655</v>
      </c>
      <c r="F224" s="27" t="s">
        <v>725</v>
      </c>
      <c r="J224" t="s">
        <v>726</v>
      </c>
      <c r="K224" t="s">
        <v>725</v>
      </c>
      <c r="M224" t="s">
        <v>666</v>
      </c>
      <c r="P224">
        <v>665</v>
      </c>
      <c r="Q224" t="s">
        <v>13214</v>
      </c>
      <c r="S224" t="s">
        <v>13213</v>
      </c>
    </row>
    <row r="225" spans="1:19" s="27" customFormat="1" x14ac:dyDescent="0.25">
      <c r="A225" s="28" t="s">
        <v>655</v>
      </c>
      <c r="F225" s="27" t="s">
        <v>725</v>
      </c>
      <c r="P225">
        <v>666</v>
      </c>
      <c r="Q225" t="s">
        <v>13214</v>
      </c>
      <c r="S225" t="s">
        <v>13215</v>
      </c>
    </row>
    <row r="226" spans="1:19" s="27" customFormat="1" x14ac:dyDescent="0.25">
      <c r="A226" s="28" t="s">
        <v>655</v>
      </c>
      <c r="F226" s="27" t="s">
        <v>665</v>
      </c>
      <c r="J226" t="s">
        <v>664</v>
      </c>
      <c r="K226" t="s">
        <v>665</v>
      </c>
      <c r="M226" t="s">
        <v>666</v>
      </c>
    </row>
    <row r="227" spans="1:19" x14ac:dyDescent="0.25">
      <c r="A227" s="28" t="s">
        <v>655</v>
      </c>
      <c r="F227" s="27" t="s">
        <v>663</v>
      </c>
      <c r="G227" t="s">
        <v>663</v>
      </c>
      <c r="I227" t="s">
        <v>663</v>
      </c>
    </row>
    <row r="228" spans="1:19" x14ac:dyDescent="0.25">
      <c r="A228" s="28" t="s">
        <v>14843</v>
      </c>
      <c r="F228" s="27" t="s">
        <v>34792</v>
      </c>
      <c r="G228" t="s">
        <v>667</v>
      </c>
      <c r="I228" t="s">
        <v>668</v>
      </c>
    </row>
    <row r="229" spans="1:19" x14ac:dyDescent="0.25">
      <c r="A229" t="s">
        <v>659</v>
      </c>
      <c r="F229" s="27" t="s">
        <v>34765</v>
      </c>
      <c r="G229" t="s">
        <v>669</v>
      </c>
      <c r="I229" t="s">
        <v>670</v>
      </c>
    </row>
    <row r="230" spans="1:19" s="27" customFormat="1" x14ac:dyDescent="0.25">
      <c r="A230" s="28" t="s">
        <v>655</v>
      </c>
      <c r="F230" s="27" t="s">
        <v>34768</v>
      </c>
      <c r="P230">
        <v>664</v>
      </c>
      <c r="Q230" t="s">
        <v>13212</v>
      </c>
      <c r="S230" t="s">
        <v>13190</v>
      </c>
    </row>
    <row r="231" spans="1:19" s="27" customFormat="1" x14ac:dyDescent="0.25">
      <c r="A231" s="28" t="s">
        <v>655</v>
      </c>
      <c r="F231" s="27" t="s">
        <v>13211</v>
      </c>
      <c r="P231">
        <v>662</v>
      </c>
      <c r="Q231" t="s">
        <v>13211</v>
      </c>
      <c r="S231" t="s">
        <v>13190</v>
      </c>
    </row>
    <row r="232" spans="1:19" x14ac:dyDescent="0.25">
      <c r="A232" s="28" t="s">
        <v>655</v>
      </c>
      <c r="F232" t="s">
        <v>34770</v>
      </c>
      <c r="G232" t="s">
        <v>34771</v>
      </c>
      <c r="I232" t="s">
        <v>671</v>
      </c>
      <c r="J232" t="s">
        <v>672</v>
      </c>
      <c r="K232" t="s">
        <v>673</v>
      </c>
      <c r="P232">
        <v>610</v>
      </c>
      <c r="Q232" t="s">
        <v>13189</v>
      </c>
      <c r="S232" t="s">
        <v>13188</v>
      </c>
    </row>
    <row r="233" spans="1:19" s="27" customFormat="1" x14ac:dyDescent="0.25">
      <c r="A233" s="28" t="s">
        <v>655</v>
      </c>
      <c r="F233" s="27" t="s">
        <v>34770</v>
      </c>
      <c r="P233">
        <v>614</v>
      </c>
      <c r="Q233" t="s">
        <v>13191</v>
      </c>
      <c r="S233" t="s">
        <v>13190</v>
      </c>
    </row>
    <row r="234" spans="1:19" x14ac:dyDescent="0.25">
      <c r="A234" s="28" t="s">
        <v>14843</v>
      </c>
      <c r="F234" t="s">
        <v>34789</v>
      </c>
      <c r="G234" t="s">
        <v>34772</v>
      </c>
      <c r="I234" t="s">
        <v>674</v>
      </c>
    </row>
    <row r="235" spans="1:19" x14ac:dyDescent="0.25">
      <c r="A235" s="28" t="s">
        <v>14843</v>
      </c>
      <c r="F235" t="s">
        <v>34793</v>
      </c>
      <c r="G235" t="s">
        <v>34773</v>
      </c>
      <c r="I235" t="s">
        <v>675</v>
      </c>
    </row>
    <row r="236" spans="1:19" x14ac:dyDescent="0.25">
      <c r="A236" t="s">
        <v>659</v>
      </c>
      <c r="F236" t="s">
        <v>34828</v>
      </c>
      <c r="G236" t="s">
        <v>34774</v>
      </c>
      <c r="I236" t="s">
        <v>676</v>
      </c>
    </row>
    <row r="237" spans="1:19" x14ac:dyDescent="0.25">
      <c r="A237" t="s">
        <v>659</v>
      </c>
      <c r="F237" t="s">
        <v>34775</v>
      </c>
      <c r="G237" t="s">
        <v>34774</v>
      </c>
      <c r="I237" t="s">
        <v>677</v>
      </c>
      <c r="N237"/>
      <c r="O237"/>
      <c r="P237"/>
      <c r="Q237"/>
      <c r="R237"/>
      <c r="S237"/>
    </row>
    <row r="238" spans="1:19" x14ac:dyDescent="0.25">
      <c r="A238" s="28" t="s">
        <v>655</v>
      </c>
      <c r="F238" s="27" t="s">
        <v>34776</v>
      </c>
      <c r="J238" t="s">
        <v>7589</v>
      </c>
      <c r="K238" t="s">
        <v>7590</v>
      </c>
      <c r="M238" t="s">
        <v>666</v>
      </c>
      <c r="N238"/>
      <c r="O238"/>
      <c r="P238">
        <v>624</v>
      </c>
      <c r="Q238" t="s">
        <v>13192</v>
      </c>
      <c r="S238" t="s">
        <v>13190</v>
      </c>
    </row>
    <row r="239" spans="1:19" x14ac:dyDescent="0.25">
      <c r="A239" s="28" t="s">
        <v>655</v>
      </c>
      <c r="F239" t="s">
        <v>721</v>
      </c>
      <c r="L239"/>
      <c r="M239"/>
      <c r="N239"/>
      <c r="O239"/>
      <c r="P239">
        <v>7590</v>
      </c>
      <c r="Q239" t="s">
        <v>14934</v>
      </c>
      <c r="S239" t="s">
        <v>13200</v>
      </c>
    </row>
    <row r="240" spans="1:19" s="27" customFormat="1" x14ac:dyDescent="0.25">
      <c r="A240" s="28" t="s">
        <v>655</v>
      </c>
      <c r="F240" s="27" t="s">
        <v>721</v>
      </c>
      <c r="P240">
        <v>7591</v>
      </c>
      <c r="Q240" t="s">
        <v>14936</v>
      </c>
      <c r="S240" t="s">
        <v>14935</v>
      </c>
    </row>
    <row r="241" spans="1:19" s="27" customFormat="1" x14ac:dyDescent="0.25">
      <c r="A241" s="28" t="s">
        <v>655</v>
      </c>
      <c r="F241" s="27" t="s">
        <v>34825</v>
      </c>
      <c r="P241">
        <v>7592</v>
      </c>
      <c r="Q241" t="s">
        <v>14937</v>
      </c>
      <c r="S241" t="s">
        <v>14935</v>
      </c>
    </row>
    <row r="242" spans="1:19" x14ac:dyDescent="0.25">
      <c r="A242" s="28" t="s">
        <v>655</v>
      </c>
      <c r="F242" s="27" t="s">
        <v>688</v>
      </c>
      <c r="N242"/>
      <c r="O242"/>
      <c r="P242">
        <v>655</v>
      </c>
      <c r="Q242" t="s">
        <v>13206</v>
      </c>
      <c r="S242" t="s">
        <v>13205</v>
      </c>
    </row>
    <row r="243" spans="1:19" s="27" customFormat="1" x14ac:dyDescent="0.25">
      <c r="A243" s="28" t="s">
        <v>655</v>
      </c>
      <c r="F243" s="27" t="s">
        <v>688</v>
      </c>
      <c r="P243">
        <v>634</v>
      </c>
      <c r="Q243" t="s">
        <v>13193</v>
      </c>
      <c r="S243" t="s">
        <v>13190</v>
      </c>
    </row>
    <row r="244" spans="1:19" x14ac:dyDescent="0.25">
      <c r="A244" s="28" t="s">
        <v>14843</v>
      </c>
      <c r="F244" s="27" t="s">
        <v>34767</v>
      </c>
      <c r="P244">
        <v>656</v>
      </c>
      <c r="Q244" t="s">
        <v>13207</v>
      </c>
      <c r="S244" t="s">
        <v>13194</v>
      </c>
    </row>
    <row r="245" spans="1:19" x14ac:dyDescent="0.25">
      <c r="A245" s="28" t="s">
        <v>655</v>
      </c>
      <c r="F245" s="27" t="s">
        <v>34769</v>
      </c>
      <c r="P245">
        <v>693</v>
      </c>
      <c r="Q245" t="s">
        <v>13228</v>
      </c>
      <c r="S245" t="s">
        <v>13226</v>
      </c>
    </row>
    <row r="246" spans="1:19" x14ac:dyDescent="0.25">
      <c r="A246" s="28" t="s">
        <v>655</v>
      </c>
      <c r="F246" s="27" t="s">
        <v>34779</v>
      </c>
      <c r="P246">
        <v>674</v>
      </c>
      <c r="Q246" t="s">
        <v>13219</v>
      </c>
      <c r="S246" t="s">
        <v>13190</v>
      </c>
    </row>
    <row r="247" spans="1:19" s="27" customFormat="1" x14ac:dyDescent="0.25">
      <c r="A247" s="28" t="s">
        <v>655</v>
      </c>
      <c r="F247" s="27" t="s">
        <v>34826</v>
      </c>
      <c r="P247">
        <v>7595</v>
      </c>
      <c r="Q247" t="s">
        <v>14938</v>
      </c>
      <c r="S247" t="s">
        <v>13200</v>
      </c>
    </row>
    <row r="248" spans="1:19" s="27" customFormat="1" x14ac:dyDescent="0.25">
      <c r="A248" s="28" t="s">
        <v>655</v>
      </c>
      <c r="F248" s="27" t="s">
        <v>34826</v>
      </c>
      <c r="P248">
        <v>7596</v>
      </c>
      <c r="Q248" t="s">
        <v>14940</v>
      </c>
      <c r="S248" t="s">
        <v>14939</v>
      </c>
    </row>
    <row r="249" spans="1:19" s="27" customFormat="1" x14ac:dyDescent="0.25">
      <c r="A249" s="28" t="s">
        <v>655</v>
      </c>
      <c r="F249" s="27" t="s">
        <v>34827</v>
      </c>
      <c r="P249">
        <v>7597</v>
      </c>
      <c r="Q249" t="s">
        <v>14941</v>
      </c>
      <c r="S249" t="s">
        <v>14939</v>
      </c>
    </row>
    <row r="250" spans="1:19" x14ac:dyDescent="0.25">
      <c r="A250" s="28" t="s">
        <v>655</v>
      </c>
      <c r="F250" s="31" t="s">
        <v>34751</v>
      </c>
      <c r="G250" t="s">
        <v>34750</v>
      </c>
      <c r="I250" t="s">
        <v>678</v>
      </c>
      <c r="N250"/>
      <c r="O250"/>
      <c r="P250">
        <v>600</v>
      </c>
      <c r="Q250" t="s">
        <v>13184</v>
      </c>
      <c r="S250" t="s">
        <v>13183</v>
      </c>
    </row>
    <row r="251" spans="1:19" s="27" customFormat="1" x14ac:dyDescent="0.25">
      <c r="A251" s="28" t="s">
        <v>655</v>
      </c>
      <c r="F251" s="31" t="s">
        <v>34751</v>
      </c>
      <c r="P251">
        <v>604</v>
      </c>
      <c r="Q251" t="s">
        <v>13186</v>
      </c>
      <c r="S251" t="s">
        <v>13183</v>
      </c>
    </row>
    <row r="252" spans="1:19" x14ac:dyDescent="0.25">
      <c r="A252" s="28" t="s">
        <v>655</v>
      </c>
      <c r="F252" s="31" t="s">
        <v>34751</v>
      </c>
      <c r="G252" s="27" t="s">
        <v>34755</v>
      </c>
      <c r="I252" s="27" t="s">
        <v>34756</v>
      </c>
      <c r="N252"/>
      <c r="O252"/>
      <c r="P252">
        <v>602</v>
      </c>
      <c r="Q252" t="s">
        <v>13185</v>
      </c>
      <c r="S252" t="s">
        <v>13183</v>
      </c>
    </row>
    <row r="253" spans="1:19" s="27" customFormat="1" x14ac:dyDescent="0.25">
      <c r="A253" s="28" t="s">
        <v>655</v>
      </c>
      <c r="F253" s="31" t="s">
        <v>34751</v>
      </c>
      <c r="P253">
        <v>606</v>
      </c>
      <c r="Q253" t="s">
        <v>13187</v>
      </c>
      <c r="S253" t="s">
        <v>13183</v>
      </c>
    </row>
    <row r="254" spans="1:19" s="27" customFormat="1" x14ac:dyDescent="0.25">
      <c r="A254" s="28" t="s">
        <v>14843</v>
      </c>
      <c r="F254" s="31" t="s">
        <v>34790</v>
      </c>
      <c r="G254" s="27" t="s">
        <v>34752</v>
      </c>
      <c r="I254" s="27" t="s">
        <v>679</v>
      </c>
    </row>
    <row r="255" spans="1:19" s="27" customFormat="1" x14ac:dyDescent="0.25">
      <c r="A255" s="27" t="s">
        <v>659</v>
      </c>
      <c r="F255" s="31" t="s">
        <v>34753</v>
      </c>
      <c r="G255" s="27" t="s">
        <v>34754</v>
      </c>
      <c r="I255" t="s">
        <v>680</v>
      </c>
    </row>
    <row r="256" spans="1:19" x14ac:dyDescent="0.25">
      <c r="A256" s="28" t="s">
        <v>655</v>
      </c>
      <c r="F256" s="27" t="s">
        <v>681</v>
      </c>
      <c r="G256" t="s">
        <v>34757</v>
      </c>
      <c r="I256" t="s">
        <v>682</v>
      </c>
      <c r="N256"/>
      <c r="O256"/>
      <c r="P256">
        <v>626</v>
      </c>
      <c r="Q256" t="s">
        <v>681</v>
      </c>
      <c r="S256" t="s">
        <v>13190</v>
      </c>
    </row>
    <row r="257" spans="1:19" x14ac:dyDescent="0.25">
      <c r="A257" s="28" t="s">
        <v>14843</v>
      </c>
      <c r="F257" s="27" t="s">
        <v>34794</v>
      </c>
      <c r="G257" t="s">
        <v>683</v>
      </c>
      <c r="I257" t="s">
        <v>684</v>
      </c>
      <c r="J257" t="s">
        <v>685</v>
      </c>
      <c r="K257" t="s">
        <v>681</v>
      </c>
      <c r="M257" t="s">
        <v>666</v>
      </c>
      <c r="N257"/>
      <c r="O257"/>
      <c r="P257"/>
    </row>
    <row r="258" spans="1:19" x14ac:dyDescent="0.25">
      <c r="A258" t="s">
        <v>659</v>
      </c>
      <c r="F258" s="27" t="s">
        <v>34758</v>
      </c>
      <c r="G258" t="s">
        <v>686</v>
      </c>
      <c r="I258" t="s">
        <v>687</v>
      </c>
      <c r="N258"/>
      <c r="O258"/>
      <c r="P258"/>
    </row>
    <row r="259" spans="1:19" s="27" customFormat="1" x14ac:dyDescent="0.25">
      <c r="A259" s="28" t="s">
        <v>14843</v>
      </c>
      <c r="F259" s="27" t="s">
        <v>34759</v>
      </c>
      <c r="P259">
        <v>637</v>
      </c>
      <c r="Q259" t="s">
        <v>13195</v>
      </c>
      <c r="S259" t="s">
        <v>13194</v>
      </c>
    </row>
    <row r="260" spans="1:19" x14ac:dyDescent="0.25">
      <c r="A260" s="28" t="s">
        <v>655</v>
      </c>
      <c r="F260" t="s">
        <v>688</v>
      </c>
      <c r="G260" t="s">
        <v>688</v>
      </c>
      <c r="I260" t="s">
        <v>689</v>
      </c>
      <c r="N260"/>
      <c r="O260"/>
      <c r="P260"/>
      <c r="Q260"/>
      <c r="R260"/>
      <c r="S260"/>
    </row>
    <row r="261" spans="1:19" x14ac:dyDescent="0.25">
      <c r="A261" s="28" t="s">
        <v>14843</v>
      </c>
      <c r="F261" t="s">
        <v>34788</v>
      </c>
      <c r="G261" t="s">
        <v>690</v>
      </c>
      <c r="I261" t="s">
        <v>691</v>
      </c>
      <c r="N261"/>
      <c r="O261"/>
      <c r="P261"/>
      <c r="Q261"/>
      <c r="R261"/>
      <c r="S261"/>
    </row>
    <row r="262" spans="1:19" x14ac:dyDescent="0.25">
      <c r="A262" t="s">
        <v>659</v>
      </c>
      <c r="F262" t="s">
        <v>692</v>
      </c>
      <c r="G262" t="s">
        <v>693</v>
      </c>
      <c r="I262" t="s">
        <v>694</v>
      </c>
      <c r="L262"/>
      <c r="M262"/>
      <c r="N262"/>
      <c r="O262"/>
      <c r="P262"/>
      <c r="Q262"/>
      <c r="R262"/>
      <c r="S262"/>
    </row>
    <row r="263" spans="1:19" x14ac:dyDescent="0.25">
      <c r="A263" s="28" t="s">
        <v>655</v>
      </c>
      <c r="F263" t="s">
        <v>695</v>
      </c>
      <c r="G263" t="s">
        <v>696</v>
      </c>
      <c r="I263" t="s">
        <v>697</v>
      </c>
      <c r="L263"/>
      <c r="M263"/>
      <c r="N263"/>
      <c r="O263"/>
      <c r="P263">
        <v>694</v>
      </c>
      <c r="Q263" t="s">
        <v>13229</v>
      </c>
      <c r="S263" t="s">
        <v>13226</v>
      </c>
    </row>
    <row r="264" spans="1:19" x14ac:dyDescent="0.25">
      <c r="A264" s="28" t="s">
        <v>14843</v>
      </c>
      <c r="F264" t="s">
        <v>34795</v>
      </c>
      <c r="L264"/>
      <c r="M264"/>
      <c r="N264"/>
      <c r="O264"/>
      <c r="P264"/>
      <c r="Q264"/>
      <c r="R264"/>
      <c r="S264"/>
    </row>
    <row r="265" spans="1:19" x14ac:dyDescent="0.25">
      <c r="A265" t="s">
        <v>659</v>
      </c>
      <c r="F265" t="s">
        <v>698</v>
      </c>
      <c r="G265" t="s">
        <v>699</v>
      </c>
      <c r="I265" t="s">
        <v>700</v>
      </c>
      <c r="L265"/>
      <c r="M265"/>
      <c r="N265"/>
      <c r="O265"/>
      <c r="P265"/>
      <c r="Q265"/>
      <c r="R265"/>
      <c r="S265"/>
    </row>
    <row r="266" spans="1:19" x14ac:dyDescent="0.25">
      <c r="A266" s="28" t="s">
        <v>655</v>
      </c>
      <c r="F266" t="s">
        <v>729</v>
      </c>
      <c r="J266" t="s">
        <v>730</v>
      </c>
      <c r="K266" t="s">
        <v>731</v>
      </c>
      <c r="M266" t="s">
        <v>666</v>
      </c>
      <c r="N266"/>
      <c r="O266"/>
      <c r="P266"/>
      <c r="Q266"/>
      <c r="R266"/>
      <c r="S266"/>
    </row>
    <row r="267" spans="1:19" x14ac:dyDescent="0.25">
      <c r="A267" s="28" t="s">
        <v>655</v>
      </c>
      <c r="F267" t="s">
        <v>732</v>
      </c>
      <c r="J267" t="s">
        <v>733</v>
      </c>
      <c r="K267" t="s">
        <v>734</v>
      </c>
      <c r="M267" t="s">
        <v>666</v>
      </c>
      <c r="N267"/>
      <c r="O267"/>
      <c r="P267"/>
      <c r="Q267"/>
      <c r="R267"/>
      <c r="S267"/>
    </row>
    <row r="268" spans="1:19" s="27" customFormat="1" x14ac:dyDescent="0.25">
      <c r="A268" s="27" t="s">
        <v>655</v>
      </c>
      <c r="F268" s="27" t="s">
        <v>34766</v>
      </c>
      <c r="P268">
        <v>670</v>
      </c>
      <c r="Q268" t="s">
        <v>13217</v>
      </c>
      <c r="S268" t="s">
        <v>13190</v>
      </c>
    </row>
    <row r="269" spans="1:19" s="27" customFormat="1" x14ac:dyDescent="0.25">
      <c r="A269" s="27" t="s">
        <v>655</v>
      </c>
      <c r="F269" s="27" t="s">
        <v>34766</v>
      </c>
      <c r="P269">
        <v>680</v>
      </c>
      <c r="Q269" t="s">
        <v>13222</v>
      </c>
      <c r="S269" t="s">
        <v>13190</v>
      </c>
    </row>
    <row r="270" spans="1:19" x14ac:dyDescent="0.25">
      <c r="A270" s="28" t="s">
        <v>655</v>
      </c>
      <c r="F270" t="s">
        <v>701</v>
      </c>
      <c r="G270" t="s">
        <v>702</v>
      </c>
      <c r="I270" t="s">
        <v>703</v>
      </c>
      <c r="L270"/>
      <c r="M270"/>
      <c r="N270"/>
      <c r="O270"/>
      <c r="P270"/>
      <c r="Q270"/>
      <c r="R270"/>
      <c r="S270"/>
    </row>
    <row r="271" spans="1:19" x14ac:dyDescent="0.25">
      <c r="A271" s="28" t="s">
        <v>14843</v>
      </c>
      <c r="F271" t="s">
        <v>34796</v>
      </c>
      <c r="G271" t="s">
        <v>704</v>
      </c>
      <c r="I271" t="s">
        <v>705</v>
      </c>
      <c r="L271"/>
      <c r="M271"/>
      <c r="N271"/>
      <c r="O271"/>
      <c r="P271"/>
      <c r="Q271"/>
      <c r="R271"/>
      <c r="S271"/>
    </row>
    <row r="272" spans="1:19" x14ac:dyDescent="0.25">
      <c r="A272" t="s">
        <v>659</v>
      </c>
      <c r="F272" t="s">
        <v>706</v>
      </c>
      <c r="G272" t="s">
        <v>707</v>
      </c>
      <c r="I272" t="s">
        <v>708</v>
      </c>
      <c r="L272"/>
      <c r="M272"/>
      <c r="N272"/>
      <c r="O272"/>
      <c r="P272"/>
      <c r="Q272"/>
      <c r="R272"/>
      <c r="S272"/>
    </row>
    <row r="273" spans="1:19" x14ac:dyDescent="0.25">
      <c r="A273" s="28" t="s">
        <v>655</v>
      </c>
      <c r="F273" t="s">
        <v>34797</v>
      </c>
      <c r="G273" t="s">
        <v>34777</v>
      </c>
      <c r="I273" t="s">
        <v>709</v>
      </c>
      <c r="J273" t="s">
        <v>710</v>
      </c>
      <c r="K273" t="s">
        <v>711</v>
      </c>
      <c r="L273"/>
      <c r="M273"/>
      <c r="N273"/>
      <c r="O273"/>
      <c r="P273">
        <v>651</v>
      </c>
      <c r="Q273" t="s">
        <v>13203</v>
      </c>
      <c r="S273" t="s">
        <v>13190</v>
      </c>
    </row>
    <row r="274" spans="1:19" x14ac:dyDescent="0.25">
      <c r="A274" s="28" t="s">
        <v>14843</v>
      </c>
      <c r="F274" s="27" t="s">
        <v>34798</v>
      </c>
      <c r="G274"/>
      <c r="I274" t="s">
        <v>712</v>
      </c>
      <c r="L274"/>
      <c r="M274"/>
      <c r="N274"/>
      <c r="O274"/>
      <c r="P274"/>
      <c r="Q274"/>
      <c r="R274"/>
      <c r="S274"/>
    </row>
    <row r="275" spans="1:19" x14ac:dyDescent="0.25">
      <c r="A275" t="s">
        <v>659</v>
      </c>
      <c r="F275" s="27" t="s">
        <v>34799</v>
      </c>
      <c r="I275" s="27" t="s">
        <v>34778</v>
      </c>
      <c r="L275"/>
      <c r="M275"/>
      <c r="N275"/>
      <c r="O275"/>
      <c r="P275"/>
      <c r="Q275"/>
      <c r="R275"/>
      <c r="S275"/>
    </row>
    <row r="276" spans="1:19" x14ac:dyDescent="0.25">
      <c r="A276" s="28" t="s">
        <v>655</v>
      </c>
      <c r="F276" s="27" t="s">
        <v>5525</v>
      </c>
      <c r="P276">
        <v>699</v>
      </c>
      <c r="Q276" t="s">
        <v>5525</v>
      </c>
      <c r="S276" t="s">
        <v>13234</v>
      </c>
    </row>
    <row r="277" spans="1:19" x14ac:dyDescent="0.25">
      <c r="A277" s="28" t="s">
        <v>655</v>
      </c>
      <c r="F277" s="27" t="s">
        <v>5527</v>
      </c>
      <c r="P277">
        <v>702</v>
      </c>
      <c r="Q277" t="s">
        <v>13237</v>
      </c>
      <c r="S277" t="s">
        <v>13200</v>
      </c>
    </row>
    <row r="278" spans="1:19" s="27" customFormat="1" x14ac:dyDescent="0.25">
      <c r="A278" s="28" t="s">
        <v>655</v>
      </c>
      <c r="F278" s="27" t="s">
        <v>5523</v>
      </c>
      <c r="P278">
        <v>647</v>
      </c>
      <c r="Q278" t="s">
        <v>13201</v>
      </c>
      <c r="S278" t="s">
        <v>13200</v>
      </c>
    </row>
    <row r="279" spans="1:19" x14ac:dyDescent="0.25">
      <c r="A279" s="28" t="s">
        <v>655</v>
      </c>
      <c r="F279" s="27" t="s">
        <v>34780</v>
      </c>
      <c r="P279">
        <v>676</v>
      </c>
      <c r="Q279" t="s">
        <v>13220</v>
      </c>
      <c r="S279" t="s">
        <v>13190</v>
      </c>
    </row>
    <row r="280" spans="1:19" x14ac:dyDescent="0.25">
      <c r="A280" s="28" t="s">
        <v>655</v>
      </c>
      <c r="F280" s="27" t="s">
        <v>13221</v>
      </c>
      <c r="P280">
        <v>678</v>
      </c>
      <c r="Q280" t="s">
        <v>13221</v>
      </c>
      <c r="S280" t="s">
        <v>13190</v>
      </c>
    </row>
    <row r="281" spans="1:19" s="27" customFormat="1" x14ac:dyDescent="0.25">
      <c r="A281" s="28" t="s">
        <v>655</v>
      </c>
      <c r="F281" s="27" t="s">
        <v>34816</v>
      </c>
      <c r="P281">
        <v>648</v>
      </c>
      <c r="Q281" t="s">
        <v>13202</v>
      </c>
      <c r="S281" t="s">
        <v>13190</v>
      </c>
    </row>
    <row r="282" spans="1:19" s="27" customFormat="1" x14ac:dyDescent="0.25">
      <c r="A282" s="28" t="s">
        <v>655</v>
      </c>
      <c r="F282" s="27" t="s">
        <v>6995</v>
      </c>
      <c r="J282" t="s">
        <v>6994</v>
      </c>
      <c r="K282" t="s">
        <v>6995</v>
      </c>
      <c r="M282" t="s">
        <v>666</v>
      </c>
    </row>
    <row r="283" spans="1:19" x14ac:dyDescent="0.25">
      <c r="A283" t="s">
        <v>655</v>
      </c>
      <c r="F283" s="27" t="s">
        <v>34800</v>
      </c>
      <c r="J283" t="s">
        <v>7163</v>
      </c>
      <c r="K283" t="s">
        <v>7164</v>
      </c>
      <c r="M283" t="s">
        <v>666</v>
      </c>
      <c r="P283">
        <v>700</v>
      </c>
      <c r="Q283" t="s">
        <v>13236</v>
      </c>
      <c r="S283" t="s">
        <v>13235</v>
      </c>
    </row>
    <row r="284" spans="1:19" s="27" customFormat="1" x14ac:dyDescent="0.25">
      <c r="A284" s="28" t="s">
        <v>655</v>
      </c>
      <c r="F284" s="27" t="s">
        <v>34572</v>
      </c>
      <c r="P284">
        <v>660</v>
      </c>
      <c r="Q284" t="s">
        <v>13210</v>
      </c>
      <c r="S284" t="s">
        <v>13209</v>
      </c>
    </row>
    <row r="285" spans="1:19" x14ac:dyDescent="0.25">
      <c r="A285" s="28" t="s">
        <v>655</v>
      </c>
      <c r="F285" t="s">
        <v>34801</v>
      </c>
      <c r="G285" t="s">
        <v>713</v>
      </c>
      <c r="I285" t="s">
        <v>714</v>
      </c>
      <c r="L285"/>
      <c r="M285"/>
      <c r="N285"/>
      <c r="O285"/>
      <c r="P285">
        <v>691</v>
      </c>
      <c r="Q285" t="s">
        <v>13227</v>
      </c>
      <c r="S285" t="s">
        <v>13226</v>
      </c>
    </row>
    <row r="286" spans="1:19" x14ac:dyDescent="0.25">
      <c r="A286" s="28" t="s">
        <v>14843</v>
      </c>
      <c r="F286" t="s">
        <v>34802</v>
      </c>
      <c r="G286" t="s">
        <v>715</v>
      </c>
      <c r="I286" t="s">
        <v>716</v>
      </c>
      <c r="L286"/>
      <c r="M286"/>
      <c r="N286"/>
      <c r="O286"/>
    </row>
    <row r="287" spans="1:19" x14ac:dyDescent="0.25">
      <c r="A287" t="s">
        <v>659</v>
      </c>
      <c r="F287" t="s">
        <v>34803</v>
      </c>
      <c r="G287" t="s">
        <v>717</v>
      </c>
      <c r="I287" t="s">
        <v>718</v>
      </c>
      <c r="L287"/>
      <c r="M287"/>
      <c r="N287"/>
      <c r="O287"/>
      <c r="P287"/>
      <c r="Q287"/>
      <c r="R287"/>
      <c r="S287"/>
    </row>
    <row r="288" spans="1:19" x14ac:dyDescent="0.25">
      <c r="A288" t="s">
        <v>659</v>
      </c>
      <c r="F288" t="s">
        <v>34804</v>
      </c>
      <c r="G288" t="s">
        <v>719</v>
      </c>
      <c r="I288" t="s">
        <v>720</v>
      </c>
      <c r="L288"/>
      <c r="M288"/>
      <c r="N288"/>
      <c r="O288"/>
      <c r="P288"/>
      <c r="Q288"/>
      <c r="R288"/>
      <c r="S288"/>
    </row>
    <row r="289" spans="1:19" x14ac:dyDescent="0.25">
      <c r="A289" s="28" t="s">
        <v>655</v>
      </c>
      <c r="F289" s="27" t="s">
        <v>34805</v>
      </c>
      <c r="P289">
        <v>652</v>
      </c>
      <c r="Q289" t="s">
        <v>13204</v>
      </c>
      <c r="S289" t="s">
        <v>13190</v>
      </c>
    </row>
    <row r="290" spans="1:19" x14ac:dyDescent="0.25">
      <c r="A290" s="28" t="s">
        <v>655</v>
      </c>
      <c r="F290" t="s">
        <v>34782</v>
      </c>
      <c r="I290" t="s">
        <v>34806</v>
      </c>
      <c r="N290"/>
      <c r="O290"/>
      <c r="P290">
        <v>644</v>
      </c>
      <c r="Q290" t="s">
        <v>13199</v>
      </c>
      <c r="S290" t="s">
        <v>13190</v>
      </c>
    </row>
    <row r="291" spans="1:19" x14ac:dyDescent="0.25">
      <c r="A291" s="28" t="s">
        <v>14843</v>
      </c>
      <c r="F291" s="27" t="s">
        <v>34784</v>
      </c>
      <c r="I291" t="s">
        <v>722</v>
      </c>
      <c r="N291"/>
      <c r="O291"/>
      <c r="P291"/>
      <c r="Q291"/>
      <c r="R291"/>
      <c r="S291"/>
    </row>
    <row r="292" spans="1:19" x14ac:dyDescent="0.25">
      <c r="A292" t="s">
        <v>659</v>
      </c>
      <c r="F292" s="27" t="s">
        <v>34785</v>
      </c>
      <c r="I292" t="s">
        <v>723</v>
      </c>
      <c r="N292"/>
      <c r="O292"/>
      <c r="P292"/>
      <c r="Q292"/>
      <c r="R292"/>
      <c r="S292"/>
    </row>
    <row r="293" spans="1:19" x14ac:dyDescent="0.25">
      <c r="A293" s="28" t="s">
        <v>14843</v>
      </c>
      <c r="F293" s="27" t="s">
        <v>34783</v>
      </c>
      <c r="G293"/>
      <c r="N293"/>
      <c r="O293"/>
      <c r="P293"/>
      <c r="Q293"/>
      <c r="R293"/>
      <c r="S293"/>
    </row>
    <row r="294" spans="1:19" x14ac:dyDescent="0.25">
      <c r="A294" s="28" t="s">
        <v>655</v>
      </c>
      <c r="F294" s="27" t="s">
        <v>34786</v>
      </c>
      <c r="I294" t="s">
        <v>724</v>
      </c>
    </row>
    <row r="295" spans="1:19" s="27" customFormat="1" x14ac:dyDescent="0.25">
      <c r="A295" s="28" t="s">
        <v>655</v>
      </c>
      <c r="F295" s="27" t="s">
        <v>34787</v>
      </c>
    </row>
    <row r="296" spans="1:19" x14ac:dyDescent="0.25">
      <c r="A296" t="s">
        <v>655</v>
      </c>
      <c r="F296" s="27" t="s">
        <v>13223</v>
      </c>
      <c r="P296">
        <v>682</v>
      </c>
      <c r="Q296" t="s">
        <v>13223</v>
      </c>
      <c r="S296" t="s">
        <v>13190</v>
      </c>
    </row>
    <row r="297" spans="1:19" s="27" customFormat="1" x14ac:dyDescent="0.25">
      <c r="A297" s="27" t="s">
        <v>655</v>
      </c>
      <c r="F297" s="27" t="s">
        <v>7616</v>
      </c>
      <c r="J297" t="s">
        <v>7615</v>
      </c>
      <c r="K297" t="s">
        <v>7616</v>
      </c>
      <c r="M297" t="s">
        <v>666</v>
      </c>
    </row>
    <row r="298" spans="1:19" s="27" customFormat="1" x14ac:dyDescent="0.25">
      <c r="A298" s="27" t="s">
        <v>655</v>
      </c>
      <c r="F298" s="27" t="s">
        <v>7618</v>
      </c>
      <c r="J298" t="s">
        <v>7617</v>
      </c>
      <c r="K298" t="s">
        <v>7618</v>
      </c>
      <c r="M298" t="s">
        <v>666</v>
      </c>
    </row>
    <row r="299" spans="1:19" x14ac:dyDescent="0.25">
      <c r="A299" t="s">
        <v>659</v>
      </c>
      <c r="F299" t="s">
        <v>727</v>
      </c>
      <c r="I299" t="s">
        <v>34807</v>
      </c>
      <c r="N299"/>
      <c r="O299"/>
      <c r="P299"/>
      <c r="Q299"/>
      <c r="R299"/>
      <c r="S299"/>
    </row>
    <row r="300" spans="1:19" s="27" customFormat="1" x14ac:dyDescent="0.25">
      <c r="A300" s="27" t="s">
        <v>659</v>
      </c>
      <c r="F300" t="s">
        <v>728</v>
      </c>
      <c r="I300" s="27" t="s">
        <v>34808</v>
      </c>
    </row>
    <row r="301" spans="1:19" x14ac:dyDescent="0.25">
      <c r="A301" s="28" t="s">
        <v>14843</v>
      </c>
      <c r="F301" t="s">
        <v>735</v>
      </c>
      <c r="N301"/>
      <c r="O301"/>
      <c r="P301"/>
      <c r="Q301"/>
      <c r="R301"/>
      <c r="S301"/>
    </row>
    <row r="302" spans="1:19" x14ac:dyDescent="0.25">
      <c r="A302" s="28" t="s">
        <v>14843</v>
      </c>
      <c r="F302" t="s">
        <v>736</v>
      </c>
      <c r="N302"/>
      <c r="O302"/>
      <c r="P302"/>
      <c r="Q302"/>
      <c r="R302"/>
      <c r="S302"/>
    </row>
    <row r="303" spans="1:19" x14ac:dyDescent="0.25">
      <c r="A303" s="27" t="s">
        <v>193</v>
      </c>
      <c r="F303" t="s">
        <v>34760</v>
      </c>
      <c r="G303" s="27" t="s">
        <v>754</v>
      </c>
      <c r="I303" t="s">
        <v>755</v>
      </c>
      <c r="P303">
        <v>690</v>
      </c>
      <c r="Q303" t="s">
        <v>13225</v>
      </c>
      <c r="S303" t="s">
        <v>13224</v>
      </c>
    </row>
    <row r="304" spans="1:19" x14ac:dyDescent="0.25">
      <c r="A304" s="27" t="s">
        <v>193</v>
      </c>
      <c r="F304" t="s">
        <v>34761</v>
      </c>
      <c r="G304" s="27" t="s">
        <v>34763</v>
      </c>
      <c r="P304">
        <v>697</v>
      </c>
      <c r="Q304" t="s">
        <v>13232</v>
      </c>
      <c r="S304" t="s">
        <v>13231</v>
      </c>
    </row>
    <row r="305" spans="1:19" x14ac:dyDescent="0.25">
      <c r="A305" s="27" t="s">
        <v>193</v>
      </c>
      <c r="F305" t="s">
        <v>34762</v>
      </c>
      <c r="G305" s="27" t="s">
        <v>34764</v>
      </c>
      <c r="P305">
        <v>698</v>
      </c>
      <c r="Q305" t="s">
        <v>13233</v>
      </c>
      <c r="S305" t="s">
        <v>13231</v>
      </c>
    </row>
    <row r="306" spans="1:19" x14ac:dyDescent="0.25">
      <c r="A306" t="s">
        <v>17</v>
      </c>
      <c r="C306" s="27" t="s">
        <v>34749</v>
      </c>
      <c r="D306" s="28" t="s">
        <v>34867</v>
      </c>
      <c r="F306" t="s">
        <v>756</v>
      </c>
      <c r="G306" t="s">
        <v>757</v>
      </c>
      <c r="J306" t="s">
        <v>756</v>
      </c>
      <c r="K306" t="s">
        <v>758</v>
      </c>
      <c r="L306" s="28" t="s">
        <v>759</v>
      </c>
      <c r="M306" t="s">
        <v>23</v>
      </c>
      <c r="S306"/>
    </row>
    <row r="307" spans="1:19" x14ac:dyDescent="0.25">
      <c r="A307" t="s">
        <v>17</v>
      </c>
      <c r="F307" t="s">
        <v>760</v>
      </c>
      <c r="G307" t="s">
        <v>761</v>
      </c>
      <c r="I307" t="s">
        <v>762</v>
      </c>
      <c r="S307"/>
    </row>
    <row r="308" spans="1:19" x14ac:dyDescent="0.25">
      <c r="A308" s="28" t="s">
        <v>14843</v>
      </c>
      <c r="F308" t="s">
        <v>763</v>
      </c>
      <c r="G308" t="s">
        <v>764</v>
      </c>
      <c r="I308" t="s">
        <v>765</v>
      </c>
      <c r="S308"/>
    </row>
    <row r="309" spans="1:19" x14ac:dyDescent="0.25">
      <c r="A309" t="s">
        <v>17</v>
      </c>
      <c r="F309" t="s">
        <v>766</v>
      </c>
      <c r="G309" t="s">
        <v>767</v>
      </c>
      <c r="I309" t="s">
        <v>768</v>
      </c>
      <c r="S309"/>
    </row>
    <row r="310" spans="1:19" x14ac:dyDescent="0.25">
      <c r="A310" s="28" t="s">
        <v>14843</v>
      </c>
      <c r="F310" t="s">
        <v>769</v>
      </c>
      <c r="G310" t="s">
        <v>770</v>
      </c>
      <c r="I310" t="s">
        <v>771</v>
      </c>
      <c r="S310"/>
    </row>
    <row r="311" spans="1:19" x14ac:dyDescent="0.25">
      <c r="A311" s="27" t="s">
        <v>193</v>
      </c>
      <c r="C311" s="27" t="s">
        <v>34749</v>
      </c>
      <c r="D311" s="28" t="s">
        <v>34867</v>
      </c>
      <c r="G311" t="s">
        <v>781</v>
      </c>
      <c r="I311" t="s">
        <v>782</v>
      </c>
      <c r="S311"/>
    </row>
    <row r="312" spans="1:19" x14ac:dyDescent="0.25">
      <c r="A312" s="27" t="s">
        <v>193</v>
      </c>
      <c r="C312" s="27" t="s">
        <v>34749</v>
      </c>
      <c r="D312" s="28" t="s">
        <v>34867</v>
      </c>
      <c r="G312" t="s">
        <v>783</v>
      </c>
      <c r="I312" t="s">
        <v>784</v>
      </c>
      <c r="M312" s="3"/>
      <c r="N312" s="3"/>
      <c r="O312" s="3"/>
      <c r="P312" s="3"/>
      <c r="Q312" s="3"/>
      <c r="R312" s="3"/>
      <c r="S312"/>
    </row>
    <row r="313" spans="1:19" x14ac:dyDescent="0.25">
      <c r="A313" s="27" t="s">
        <v>193</v>
      </c>
      <c r="C313" s="27" t="s">
        <v>34749</v>
      </c>
      <c r="D313" s="28" t="s">
        <v>34867</v>
      </c>
      <c r="I313" t="s">
        <v>785</v>
      </c>
    </row>
    <row r="314" spans="1:19" x14ac:dyDescent="0.25">
      <c r="A314" s="27" t="s">
        <v>193</v>
      </c>
      <c r="C314" s="27" t="s">
        <v>34749</v>
      </c>
      <c r="D314" s="28" t="s">
        <v>34867</v>
      </c>
      <c r="I314" t="s">
        <v>786</v>
      </c>
    </row>
    <row r="315" spans="1:19" x14ac:dyDescent="0.25">
      <c r="A315" s="27" t="s">
        <v>193</v>
      </c>
      <c r="C315" s="27" t="s">
        <v>34749</v>
      </c>
      <c r="D315" s="28" t="s">
        <v>34867</v>
      </c>
      <c r="G315" t="s">
        <v>787</v>
      </c>
      <c r="I315" t="s">
        <v>788</v>
      </c>
    </row>
    <row r="316" spans="1:19" x14ac:dyDescent="0.25">
      <c r="A316" t="s">
        <v>193</v>
      </c>
      <c r="C316" s="27" t="s">
        <v>34749</v>
      </c>
      <c r="D316" s="28" t="s">
        <v>34867</v>
      </c>
      <c r="I316" t="str">
        <f>CONCATENATE(LEFT(K316,SEARCH(" (",K316))," | ", RIGHT(LEFT(K316,LEN(K316)-1),LEN(K316)-2-FIND(" (",K316)))</f>
        <v>chlooretheen  | vinylchloride</v>
      </c>
      <c r="J316" t="s">
        <v>789</v>
      </c>
      <c r="K316" t="s">
        <v>790</v>
      </c>
      <c r="L316" s="28" t="s">
        <v>791</v>
      </c>
      <c r="M316" t="s">
        <v>23</v>
      </c>
    </row>
    <row r="317" spans="1:19" x14ac:dyDescent="0.25">
      <c r="A317" t="s">
        <v>193</v>
      </c>
      <c r="C317" s="27" t="s">
        <v>34749</v>
      </c>
      <c r="D317" s="28" t="s">
        <v>34867</v>
      </c>
      <c r="I317" t="str">
        <f>CONCATENATE(LEFT(K317,SEARCH(" (",K317))," | ", RIGHT(LEFT(K317,LEN(K317)-1),LEN(K317)-2-FIND(" (",K317)))</f>
        <v>trichloormethaan  | chloroform</v>
      </c>
      <c r="J317" t="s">
        <v>792</v>
      </c>
      <c r="K317" t="s">
        <v>793</v>
      </c>
      <c r="L317" s="28" t="s">
        <v>794</v>
      </c>
      <c r="M317" t="s">
        <v>23</v>
      </c>
    </row>
    <row r="318" spans="1:19" x14ac:dyDescent="0.25">
      <c r="A318" t="s">
        <v>193</v>
      </c>
      <c r="C318" s="27" t="s">
        <v>34749</v>
      </c>
      <c r="D318" s="28" t="s">
        <v>34867</v>
      </c>
      <c r="I318" t="s">
        <v>795</v>
      </c>
      <c r="J318" t="s">
        <v>796</v>
      </c>
      <c r="K318" t="s">
        <v>797</v>
      </c>
      <c r="L318" s="28" t="s">
        <v>798</v>
      </c>
      <c r="M318" t="s">
        <v>23</v>
      </c>
    </row>
    <row r="319" spans="1:19" x14ac:dyDescent="0.25">
      <c r="A319" s="27" t="s">
        <v>193</v>
      </c>
      <c r="C319" s="27" t="s">
        <v>34749</v>
      </c>
      <c r="D319" s="28" t="s">
        <v>34867</v>
      </c>
      <c r="I319" t="str">
        <f>CONCATENATE(LEFT(K319,SEARCH(" (",K319))," | ", RIGHT(LEFT(K319,LEN(K319)-1),LEN(K319)-2-FIND(" (",K319)))</f>
        <v>pentachloornitrobenzeen  | quintozeen</v>
      </c>
      <c r="J319" t="s">
        <v>799</v>
      </c>
      <c r="K319" t="s">
        <v>800</v>
      </c>
    </row>
    <row r="320" spans="1:19" x14ac:dyDescent="0.25">
      <c r="A320" s="27" t="s">
        <v>193</v>
      </c>
      <c r="C320" s="27" t="s">
        <v>34749</v>
      </c>
      <c r="D320" s="28" t="s">
        <v>34867</v>
      </c>
      <c r="I320" t="str">
        <f>CONCATENATE(LEFT(K320,SEARCH(" (",K320))," | ", RIGHT(LEFT(K320,LEN(K320)-1),LEN(K320)-2-FIND(" (",K320)))</f>
        <v>fenazon  | antipyrine</v>
      </c>
      <c r="J320" t="s">
        <v>801</v>
      </c>
      <c r="K320" t="s">
        <v>802</v>
      </c>
    </row>
    <row r="321" spans="1:19" x14ac:dyDescent="0.25">
      <c r="A321" s="27" t="s">
        <v>193</v>
      </c>
      <c r="C321" s="27" t="s">
        <v>34749</v>
      </c>
      <c r="D321" s="28" t="s">
        <v>34867</v>
      </c>
      <c r="I321" t="str">
        <f>CONCATENATE(LEFT(K321,SEARCH(" (",K321))," | ", RIGHT(LEFT(K321,LEN(K321)-1),LEN(K321)-2-FIND(" (",K321)))</f>
        <v>octogeen  | HMX</v>
      </c>
      <c r="J321" t="s">
        <v>803</v>
      </c>
      <c r="K321" t="s">
        <v>804</v>
      </c>
    </row>
    <row r="322" spans="1:19" x14ac:dyDescent="0.25">
      <c r="A322" s="27" t="s">
        <v>193</v>
      </c>
      <c r="C322" s="27" t="s">
        <v>34749</v>
      </c>
      <c r="D322" s="28" t="s">
        <v>34867</v>
      </c>
      <c r="I322" t="s">
        <v>805</v>
      </c>
      <c r="J322" t="s">
        <v>806</v>
      </c>
      <c r="K322" t="s">
        <v>807</v>
      </c>
    </row>
    <row r="323" spans="1:19" x14ac:dyDescent="0.25">
      <c r="A323" t="s">
        <v>193</v>
      </c>
      <c r="C323" s="27" t="s">
        <v>34749</v>
      </c>
      <c r="D323" s="28" t="s">
        <v>34867</v>
      </c>
      <c r="I323" t="s">
        <v>808</v>
      </c>
      <c r="J323" t="s">
        <v>809</v>
      </c>
      <c r="K323" t="s">
        <v>810</v>
      </c>
      <c r="L323" s="28" t="s">
        <v>811</v>
      </c>
      <c r="M323" t="s">
        <v>23</v>
      </c>
    </row>
    <row r="324" spans="1:19" x14ac:dyDescent="0.25">
      <c r="A324" t="s">
        <v>193</v>
      </c>
      <c r="C324" s="27" t="s">
        <v>34749</v>
      </c>
      <c r="D324" s="28" t="s">
        <v>34867</v>
      </c>
      <c r="J324" t="s">
        <v>812</v>
      </c>
      <c r="K324" t="s">
        <v>813</v>
      </c>
      <c r="L324" s="28" t="s">
        <v>814</v>
      </c>
      <c r="M324" t="s">
        <v>23</v>
      </c>
    </row>
    <row r="325" spans="1:19" x14ac:dyDescent="0.25">
      <c r="A325" t="s">
        <v>193</v>
      </c>
      <c r="C325" s="27" t="s">
        <v>34749</v>
      </c>
      <c r="D325" s="28" t="s">
        <v>34867</v>
      </c>
      <c r="J325" t="s">
        <v>815</v>
      </c>
      <c r="K325" t="s">
        <v>816</v>
      </c>
      <c r="L325" s="28" t="s">
        <v>817</v>
      </c>
      <c r="M325" t="s">
        <v>23</v>
      </c>
    </row>
    <row r="326" spans="1:19" x14ac:dyDescent="0.25">
      <c r="A326" t="s">
        <v>193</v>
      </c>
      <c r="C326" s="27" t="s">
        <v>34749</v>
      </c>
      <c r="D326" s="28" t="s">
        <v>34867</v>
      </c>
      <c r="J326" t="s">
        <v>818</v>
      </c>
      <c r="K326" t="s">
        <v>819</v>
      </c>
      <c r="L326" s="28" t="s">
        <v>820</v>
      </c>
      <c r="M326" t="s">
        <v>23</v>
      </c>
    </row>
    <row r="327" spans="1:19" x14ac:dyDescent="0.25">
      <c r="A327" t="s">
        <v>193</v>
      </c>
      <c r="C327" s="27" t="s">
        <v>34749</v>
      </c>
      <c r="D327" s="28" t="s">
        <v>34867</v>
      </c>
      <c r="J327" t="s">
        <v>821</v>
      </c>
      <c r="K327" t="s">
        <v>822</v>
      </c>
      <c r="L327" s="28" t="s">
        <v>823</v>
      </c>
      <c r="M327" t="s">
        <v>23</v>
      </c>
    </row>
    <row r="328" spans="1:19" x14ac:dyDescent="0.25">
      <c r="A328" t="s">
        <v>193</v>
      </c>
      <c r="C328" s="27" t="s">
        <v>34749</v>
      </c>
      <c r="D328" s="28" t="s">
        <v>34867</v>
      </c>
      <c r="J328" t="s">
        <v>824</v>
      </c>
      <c r="K328" t="s">
        <v>825</v>
      </c>
      <c r="L328" s="28" t="s">
        <v>826</v>
      </c>
      <c r="M328" t="s">
        <v>23</v>
      </c>
    </row>
    <row r="329" spans="1:19" x14ac:dyDescent="0.25">
      <c r="A329" t="s">
        <v>193</v>
      </c>
      <c r="C329" s="27" t="s">
        <v>34749</v>
      </c>
      <c r="D329" s="28" t="s">
        <v>34867</v>
      </c>
      <c r="J329" t="s">
        <v>827</v>
      </c>
      <c r="K329" t="s">
        <v>828</v>
      </c>
      <c r="L329" s="28" t="s">
        <v>829</v>
      </c>
      <c r="M329" t="s">
        <v>23</v>
      </c>
      <c r="N329"/>
      <c r="O329"/>
      <c r="P329"/>
      <c r="Q329"/>
      <c r="R329"/>
      <c r="S329"/>
    </row>
    <row r="330" spans="1:19" x14ac:dyDescent="0.25">
      <c r="A330" t="s">
        <v>193</v>
      </c>
      <c r="C330" s="27" t="s">
        <v>34749</v>
      </c>
      <c r="D330" s="28" t="s">
        <v>34867</v>
      </c>
      <c r="J330" t="s">
        <v>830</v>
      </c>
      <c r="K330" t="s">
        <v>831</v>
      </c>
      <c r="L330" s="28" t="s">
        <v>832</v>
      </c>
      <c r="M330" t="s">
        <v>23</v>
      </c>
      <c r="N330"/>
      <c r="O330"/>
      <c r="P330"/>
      <c r="Q330"/>
      <c r="R330"/>
      <c r="S330"/>
    </row>
    <row r="331" spans="1:19" x14ac:dyDescent="0.25">
      <c r="A331" t="s">
        <v>193</v>
      </c>
      <c r="C331" s="27" t="s">
        <v>34749</v>
      </c>
      <c r="D331" s="28" t="s">
        <v>34867</v>
      </c>
      <c r="J331" t="s">
        <v>833</v>
      </c>
      <c r="K331" t="s">
        <v>834</v>
      </c>
      <c r="L331" s="28" t="s">
        <v>835</v>
      </c>
      <c r="M331" t="s">
        <v>23</v>
      </c>
      <c r="N331"/>
      <c r="O331"/>
      <c r="P331"/>
      <c r="Q331"/>
      <c r="R331"/>
      <c r="S331"/>
    </row>
    <row r="332" spans="1:19" x14ac:dyDescent="0.25">
      <c r="A332" t="s">
        <v>193</v>
      </c>
      <c r="C332" s="27" t="s">
        <v>34749</v>
      </c>
      <c r="D332" s="28" t="s">
        <v>34867</v>
      </c>
      <c r="J332" t="s">
        <v>836</v>
      </c>
      <c r="K332" t="s">
        <v>837</v>
      </c>
      <c r="L332" s="28" t="s">
        <v>838</v>
      </c>
      <c r="M332" t="s">
        <v>23</v>
      </c>
      <c r="N332"/>
      <c r="O332"/>
      <c r="P332"/>
      <c r="Q332"/>
      <c r="R332"/>
      <c r="S332"/>
    </row>
    <row r="333" spans="1:19" x14ac:dyDescent="0.25">
      <c r="A333" t="s">
        <v>193</v>
      </c>
      <c r="C333" s="27" t="s">
        <v>34749</v>
      </c>
      <c r="D333" s="28" t="s">
        <v>34867</v>
      </c>
      <c r="J333" t="s">
        <v>839</v>
      </c>
      <c r="K333" t="s">
        <v>840</v>
      </c>
      <c r="L333" s="28" t="s">
        <v>841</v>
      </c>
      <c r="M333" t="s">
        <v>23</v>
      </c>
      <c r="N333"/>
      <c r="O333"/>
      <c r="P333"/>
      <c r="Q333"/>
      <c r="R333"/>
      <c r="S333"/>
    </row>
    <row r="334" spans="1:19" x14ac:dyDescent="0.25">
      <c r="A334" t="s">
        <v>193</v>
      </c>
      <c r="C334" s="27" t="s">
        <v>34749</v>
      </c>
      <c r="D334" s="28" t="s">
        <v>34867</v>
      </c>
      <c r="J334" t="s">
        <v>842</v>
      </c>
      <c r="K334" t="s">
        <v>843</v>
      </c>
      <c r="L334" s="28" t="s">
        <v>844</v>
      </c>
      <c r="M334" t="s">
        <v>23</v>
      </c>
      <c r="N334"/>
      <c r="O334"/>
      <c r="P334"/>
      <c r="Q334"/>
      <c r="R334"/>
      <c r="S334"/>
    </row>
    <row r="335" spans="1:19" x14ac:dyDescent="0.25">
      <c r="A335" t="s">
        <v>193</v>
      </c>
      <c r="C335" s="27" t="s">
        <v>34749</v>
      </c>
      <c r="D335" s="28" t="s">
        <v>34867</v>
      </c>
      <c r="J335" t="s">
        <v>845</v>
      </c>
      <c r="K335" t="s">
        <v>846</v>
      </c>
      <c r="L335" s="28" t="s">
        <v>847</v>
      </c>
      <c r="M335" t="s">
        <v>23</v>
      </c>
      <c r="N335"/>
      <c r="O335"/>
      <c r="P335"/>
      <c r="Q335"/>
      <c r="R335"/>
      <c r="S335"/>
    </row>
    <row r="336" spans="1:19" x14ac:dyDescent="0.25">
      <c r="A336" t="s">
        <v>193</v>
      </c>
      <c r="C336" s="27" t="s">
        <v>34749</v>
      </c>
      <c r="D336" s="28" t="s">
        <v>34867</v>
      </c>
      <c r="J336" t="s">
        <v>848</v>
      </c>
      <c r="K336" t="s">
        <v>849</v>
      </c>
      <c r="L336" s="28" t="s">
        <v>850</v>
      </c>
      <c r="M336" t="s">
        <v>23</v>
      </c>
      <c r="N336"/>
      <c r="O336"/>
      <c r="P336"/>
      <c r="Q336"/>
      <c r="R336"/>
      <c r="S336"/>
    </row>
    <row r="337" spans="1:19" x14ac:dyDescent="0.25">
      <c r="A337" t="s">
        <v>193</v>
      </c>
      <c r="C337" s="27" t="s">
        <v>34749</v>
      </c>
      <c r="D337" s="28" t="s">
        <v>34867</v>
      </c>
      <c r="J337" t="s">
        <v>851</v>
      </c>
      <c r="K337" t="s">
        <v>852</v>
      </c>
      <c r="L337" s="28" t="s">
        <v>853</v>
      </c>
      <c r="M337" t="s">
        <v>23</v>
      </c>
      <c r="N337"/>
      <c r="O337"/>
      <c r="P337"/>
      <c r="Q337"/>
      <c r="R337"/>
      <c r="S337"/>
    </row>
    <row r="338" spans="1:19" x14ac:dyDescent="0.25">
      <c r="A338" t="s">
        <v>193</v>
      </c>
      <c r="C338" s="27" t="s">
        <v>34749</v>
      </c>
      <c r="D338" s="28" t="s">
        <v>34867</v>
      </c>
      <c r="J338" t="s">
        <v>854</v>
      </c>
      <c r="K338" t="s">
        <v>855</v>
      </c>
      <c r="L338" s="28" t="s">
        <v>856</v>
      </c>
      <c r="M338" t="s">
        <v>23</v>
      </c>
      <c r="N338"/>
      <c r="O338"/>
      <c r="P338"/>
      <c r="Q338"/>
      <c r="R338"/>
      <c r="S338"/>
    </row>
    <row r="339" spans="1:19" x14ac:dyDescent="0.25">
      <c r="A339" t="s">
        <v>193</v>
      </c>
      <c r="C339" s="27" t="s">
        <v>34749</v>
      </c>
      <c r="D339" s="28" t="s">
        <v>34867</v>
      </c>
      <c r="J339" t="s">
        <v>857</v>
      </c>
      <c r="K339" t="s">
        <v>858</v>
      </c>
      <c r="L339" s="28" t="s">
        <v>859</v>
      </c>
      <c r="M339" t="s">
        <v>23</v>
      </c>
      <c r="N339"/>
      <c r="O339"/>
      <c r="P339"/>
      <c r="Q339"/>
      <c r="R339"/>
      <c r="S339"/>
    </row>
    <row r="340" spans="1:19" x14ac:dyDescent="0.25">
      <c r="A340" t="s">
        <v>193</v>
      </c>
      <c r="C340" s="27" t="s">
        <v>34749</v>
      </c>
      <c r="D340" s="28" t="s">
        <v>34867</v>
      </c>
      <c r="J340" t="s">
        <v>860</v>
      </c>
      <c r="K340" t="s">
        <v>861</v>
      </c>
      <c r="L340" s="28" t="s">
        <v>862</v>
      </c>
      <c r="M340" t="s">
        <v>23</v>
      </c>
      <c r="N340"/>
      <c r="O340"/>
      <c r="P340"/>
      <c r="Q340"/>
      <c r="R340"/>
      <c r="S340"/>
    </row>
    <row r="341" spans="1:19" x14ac:dyDescent="0.25">
      <c r="A341" t="s">
        <v>193</v>
      </c>
      <c r="C341" s="27" t="s">
        <v>34749</v>
      </c>
      <c r="D341" s="28" t="s">
        <v>34867</v>
      </c>
      <c r="J341" t="s">
        <v>863</v>
      </c>
      <c r="K341" t="s">
        <v>864</v>
      </c>
      <c r="L341" s="28" t="s">
        <v>865</v>
      </c>
      <c r="M341" t="s">
        <v>23</v>
      </c>
      <c r="N341"/>
      <c r="O341"/>
      <c r="P341"/>
      <c r="Q341"/>
      <c r="R341"/>
      <c r="S341"/>
    </row>
    <row r="342" spans="1:19" x14ac:dyDescent="0.25">
      <c r="A342" t="s">
        <v>193</v>
      </c>
      <c r="C342" s="27" t="s">
        <v>34749</v>
      </c>
      <c r="D342" s="28" t="s">
        <v>34867</v>
      </c>
      <c r="J342" t="s">
        <v>866</v>
      </c>
      <c r="K342" t="s">
        <v>867</v>
      </c>
      <c r="L342" s="28" t="s">
        <v>868</v>
      </c>
      <c r="M342" t="s">
        <v>23</v>
      </c>
      <c r="N342"/>
      <c r="O342"/>
      <c r="P342"/>
      <c r="Q342"/>
      <c r="R342"/>
      <c r="S342"/>
    </row>
    <row r="343" spans="1:19" x14ac:dyDescent="0.25">
      <c r="A343" t="s">
        <v>193</v>
      </c>
      <c r="C343" s="27" t="s">
        <v>34749</v>
      </c>
      <c r="D343" s="28" t="s">
        <v>34867</v>
      </c>
      <c r="J343" t="s">
        <v>869</v>
      </c>
      <c r="K343" t="s">
        <v>870</v>
      </c>
      <c r="L343" s="28" t="s">
        <v>871</v>
      </c>
      <c r="M343" t="s">
        <v>23</v>
      </c>
      <c r="N343"/>
      <c r="O343"/>
      <c r="P343"/>
      <c r="Q343"/>
      <c r="R343"/>
      <c r="S343"/>
    </row>
    <row r="344" spans="1:19" x14ac:dyDescent="0.25">
      <c r="A344" t="s">
        <v>193</v>
      </c>
      <c r="C344" s="27" t="s">
        <v>34749</v>
      </c>
      <c r="D344" s="28" t="s">
        <v>34867</v>
      </c>
      <c r="J344" t="s">
        <v>872</v>
      </c>
      <c r="K344" t="s">
        <v>873</v>
      </c>
      <c r="L344" s="28" t="s">
        <v>874</v>
      </c>
      <c r="M344" t="s">
        <v>23</v>
      </c>
      <c r="N344"/>
      <c r="O344"/>
      <c r="P344"/>
      <c r="Q344"/>
      <c r="R344"/>
      <c r="S344"/>
    </row>
    <row r="345" spans="1:19" x14ac:dyDescent="0.25">
      <c r="A345" t="s">
        <v>193</v>
      </c>
      <c r="C345" s="27" t="s">
        <v>34749</v>
      </c>
      <c r="D345" s="28" t="s">
        <v>34867</v>
      </c>
      <c r="J345" t="s">
        <v>875</v>
      </c>
      <c r="K345" t="s">
        <v>876</v>
      </c>
      <c r="L345" s="28" t="s">
        <v>877</v>
      </c>
      <c r="M345" t="s">
        <v>23</v>
      </c>
      <c r="N345"/>
      <c r="O345"/>
      <c r="P345"/>
      <c r="Q345"/>
      <c r="R345"/>
      <c r="S345"/>
    </row>
    <row r="346" spans="1:19" x14ac:dyDescent="0.25">
      <c r="A346" t="s">
        <v>193</v>
      </c>
      <c r="C346" s="27" t="s">
        <v>34749</v>
      </c>
      <c r="D346" s="28" t="s">
        <v>34867</v>
      </c>
      <c r="J346" t="s">
        <v>878</v>
      </c>
      <c r="K346" t="s">
        <v>879</v>
      </c>
      <c r="L346" s="28" t="s">
        <v>880</v>
      </c>
      <c r="M346" t="s">
        <v>23</v>
      </c>
      <c r="N346"/>
      <c r="O346"/>
      <c r="P346"/>
      <c r="Q346"/>
      <c r="R346"/>
      <c r="S346"/>
    </row>
    <row r="347" spans="1:19" x14ac:dyDescent="0.25">
      <c r="A347" t="s">
        <v>193</v>
      </c>
      <c r="C347" s="27" t="s">
        <v>34749</v>
      </c>
      <c r="D347" s="28" t="s">
        <v>34867</v>
      </c>
      <c r="J347" t="s">
        <v>881</v>
      </c>
      <c r="K347" t="s">
        <v>882</v>
      </c>
      <c r="L347" s="28" t="s">
        <v>883</v>
      </c>
      <c r="M347" t="s">
        <v>23</v>
      </c>
      <c r="N347"/>
      <c r="O347"/>
      <c r="P347"/>
      <c r="Q347"/>
      <c r="R347"/>
      <c r="S347"/>
    </row>
    <row r="348" spans="1:19" x14ac:dyDescent="0.25">
      <c r="A348" t="s">
        <v>193</v>
      </c>
      <c r="C348" s="27" t="s">
        <v>34749</v>
      </c>
      <c r="D348" s="28" t="s">
        <v>34867</v>
      </c>
      <c r="J348" t="s">
        <v>884</v>
      </c>
      <c r="K348" t="s">
        <v>885</v>
      </c>
      <c r="L348" s="28" t="s">
        <v>886</v>
      </c>
      <c r="M348" t="s">
        <v>23</v>
      </c>
      <c r="N348"/>
      <c r="O348"/>
      <c r="P348"/>
      <c r="Q348"/>
      <c r="R348"/>
      <c r="S348"/>
    </row>
    <row r="349" spans="1:19" x14ac:dyDescent="0.25">
      <c r="A349" t="s">
        <v>193</v>
      </c>
      <c r="C349" s="27" t="s">
        <v>34749</v>
      </c>
      <c r="D349" s="28" t="s">
        <v>34867</v>
      </c>
      <c r="J349" t="s">
        <v>887</v>
      </c>
      <c r="K349" t="s">
        <v>888</v>
      </c>
      <c r="L349" s="28" t="s">
        <v>889</v>
      </c>
      <c r="M349" t="s">
        <v>23</v>
      </c>
      <c r="N349"/>
      <c r="O349"/>
      <c r="P349"/>
      <c r="Q349"/>
      <c r="R349"/>
      <c r="S349"/>
    </row>
    <row r="350" spans="1:19" x14ac:dyDescent="0.25">
      <c r="A350" t="s">
        <v>193</v>
      </c>
      <c r="C350" s="27" t="s">
        <v>34749</v>
      </c>
      <c r="D350" s="28" t="s">
        <v>34867</v>
      </c>
      <c r="J350" t="s">
        <v>890</v>
      </c>
      <c r="K350" t="s">
        <v>891</v>
      </c>
      <c r="L350" s="28" t="s">
        <v>892</v>
      </c>
      <c r="M350" t="s">
        <v>23</v>
      </c>
      <c r="N350"/>
      <c r="O350"/>
      <c r="P350"/>
      <c r="Q350"/>
      <c r="R350"/>
      <c r="S350"/>
    </row>
    <row r="351" spans="1:19" x14ac:dyDescent="0.25">
      <c r="A351" t="s">
        <v>193</v>
      </c>
      <c r="C351" s="27" t="s">
        <v>34749</v>
      </c>
      <c r="D351" s="28" t="s">
        <v>34867</v>
      </c>
      <c r="J351" t="s">
        <v>893</v>
      </c>
      <c r="K351" t="s">
        <v>894</v>
      </c>
      <c r="L351" s="28" t="s">
        <v>895</v>
      </c>
      <c r="M351" t="s">
        <v>23</v>
      </c>
      <c r="N351"/>
      <c r="O351"/>
      <c r="P351"/>
      <c r="Q351"/>
      <c r="R351"/>
      <c r="S351"/>
    </row>
    <row r="352" spans="1:19" x14ac:dyDescent="0.25">
      <c r="A352" t="s">
        <v>193</v>
      </c>
      <c r="C352" s="27" t="s">
        <v>34749</v>
      </c>
      <c r="D352" s="28" t="s">
        <v>34867</v>
      </c>
      <c r="J352" t="s">
        <v>896</v>
      </c>
      <c r="K352" t="s">
        <v>897</v>
      </c>
      <c r="L352" s="28" t="s">
        <v>898</v>
      </c>
      <c r="M352" t="s">
        <v>23</v>
      </c>
      <c r="N352"/>
      <c r="O352"/>
      <c r="P352"/>
      <c r="Q352"/>
      <c r="R352"/>
      <c r="S352"/>
    </row>
    <row r="353" spans="1:19" x14ac:dyDescent="0.25">
      <c r="A353" t="s">
        <v>193</v>
      </c>
      <c r="C353" s="27" t="s">
        <v>34749</v>
      </c>
      <c r="D353" s="28" t="s">
        <v>34867</v>
      </c>
      <c r="J353" t="s">
        <v>899</v>
      </c>
      <c r="K353" t="s">
        <v>900</v>
      </c>
      <c r="L353" s="28" t="s">
        <v>901</v>
      </c>
      <c r="M353" t="s">
        <v>23</v>
      </c>
      <c r="N353"/>
      <c r="O353"/>
      <c r="P353"/>
      <c r="Q353"/>
      <c r="R353"/>
      <c r="S353"/>
    </row>
    <row r="354" spans="1:19" x14ac:dyDescent="0.25">
      <c r="A354" t="s">
        <v>193</v>
      </c>
      <c r="C354" s="27" t="s">
        <v>34749</v>
      </c>
      <c r="D354" s="28" t="s">
        <v>34867</v>
      </c>
      <c r="J354" t="s">
        <v>902</v>
      </c>
      <c r="K354" t="s">
        <v>903</v>
      </c>
      <c r="L354" s="28" t="s">
        <v>904</v>
      </c>
      <c r="M354" t="s">
        <v>23</v>
      </c>
      <c r="N354"/>
      <c r="O354"/>
      <c r="P354"/>
      <c r="Q354"/>
      <c r="R354"/>
      <c r="S354"/>
    </row>
    <row r="355" spans="1:19" x14ac:dyDescent="0.25">
      <c r="A355" t="s">
        <v>193</v>
      </c>
      <c r="C355" s="27" t="s">
        <v>34749</v>
      </c>
      <c r="D355" s="28" t="s">
        <v>34867</v>
      </c>
      <c r="J355" t="s">
        <v>905</v>
      </c>
      <c r="K355" t="s">
        <v>906</v>
      </c>
      <c r="L355" s="28" t="s">
        <v>907</v>
      </c>
      <c r="M355" t="s">
        <v>23</v>
      </c>
      <c r="N355"/>
      <c r="O355"/>
      <c r="P355"/>
      <c r="Q355"/>
      <c r="R355"/>
      <c r="S355"/>
    </row>
    <row r="356" spans="1:19" x14ac:dyDescent="0.25">
      <c r="A356" t="s">
        <v>193</v>
      </c>
      <c r="C356" s="27" t="s">
        <v>34749</v>
      </c>
      <c r="D356" s="28" t="s">
        <v>34867</v>
      </c>
      <c r="J356" t="s">
        <v>908</v>
      </c>
      <c r="K356" t="s">
        <v>909</v>
      </c>
      <c r="L356" s="28" t="s">
        <v>910</v>
      </c>
      <c r="M356" t="s">
        <v>23</v>
      </c>
      <c r="N356"/>
      <c r="O356"/>
      <c r="P356"/>
      <c r="Q356"/>
      <c r="R356"/>
      <c r="S356"/>
    </row>
    <row r="357" spans="1:19" x14ac:dyDescent="0.25">
      <c r="A357" t="s">
        <v>193</v>
      </c>
      <c r="C357" s="27" t="s">
        <v>34749</v>
      </c>
      <c r="D357" s="28" t="s">
        <v>34867</v>
      </c>
      <c r="J357" t="s">
        <v>911</v>
      </c>
      <c r="K357" t="s">
        <v>912</v>
      </c>
      <c r="L357" s="28" t="s">
        <v>913</v>
      </c>
      <c r="M357" t="s">
        <v>23</v>
      </c>
      <c r="N357"/>
      <c r="O357"/>
      <c r="P357"/>
      <c r="Q357"/>
      <c r="R357"/>
      <c r="S357"/>
    </row>
    <row r="358" spans="1:19" x14ac:dyDescent="0.25">
      <c r="A358" t="s">
        <v>193</v>
      </c>
      <c r="C358" s="27" t="s">
        <v>34749</v>
      </c>
      <c r="D358" s="28" t="s">
        <v>34867</v>
      </c>
      <c r="J358" t="s">
        <v>914</v>
      </c>
      <c r="K358" t="s">
        <v>915</v>
      </c>
      <c r="L358" s="28" t="s">
        <v>916</v>
      </c>
      <c r="M358" t="s">
        <v>23</v>
      </c>
      <c r="N358"/>
      <c r="O358"/>
      <c r="P358"/>
      <c r="Q358"/>
      <c r="R358"/>
      <c r="S358"/>
    </row>
    <row r="359" spans="1:19" x14ac:dyDescent="0.25">
      <c r="A359" t="s">
        <v>193</v>
      </c>
      <c r="C359" s="27" t="s">
        <v>34749</v>
      </c>
      <c r="D359" s="28" t="s">
        <v>34867</v>
      </c>
      <c r="J359" t="s">
        <v>917</v>
      </c>
      <c r="K359" t="s">
        <v>918</v>
      </c>
      <c r="L359" s="28" t="s">
        <v>919</v>
      </c>
      <c r="M359" t="s">
        <v>23</v>
      </c>
      <c r="N359"/>
      <c r="O359"/>
      <c r="P359"/>
      <c r="Q359"/>
      <c r="R359"/>
      <c r="S359"/>
    </row>
    <row r="360" spans="1:19" x14ac:dyDescent="0.25">
      <c r="A360" t="s">
        <v>193</v>
      </c>
      <c r="C360" s="27" t="s">
        <v>34749</v>
      </c>
      <c r="D360" s="28" t="s">
        <v>34867</v>
      </c>
      <c r="J360" t="s">
        <v>920</v>
      </c>
      <c r="K360" t="s">
        <v>921</v>
      </c>
      <c r="L360" s="28" t="s">
        <v>922</v>
      </c>
      <c r="M360" t="s">
        <v>23</v>
      </c>
      <c r="N360"/>
      <c r="O360"/>
      <c r="P360"/>
      <c r="Q360"/>
      <c r="R360"/>
      <c r="S360"/>
    </row>
    <row r="361" spans="1:19" x14ac:dyDescent="0.25">
      <c r="A361" t="s">
        <v>193</v>
      </c>
      <c r="C361" s="27" t="s">
        <v>34749</v>
      </c>
      <c r="D361" s="28" t="s">
        <v>34867</v>
      </c>
      <c r="J361" t="s">
        <v>923</v>
      </c>
      <c r="K361" t="s">
        <v>924</v>
      </c>
      <c r="L361" s="28" t="s">
        <v>925</v>
      </c>
      <c r="M361" t="s">
        <v>23</v>
      </c>
      <c r="N361"/>
      <c r="O361"/>
      <c r="P361"/>
      <c r="Q361"/>
      <c r="R361"/>
      <c r="S361"/>
    </row>
    <row r="362" spans="1:19" x14ac:dyDescent="0.25">
      <c r="A362" t="s">
        <v>193</v>
      </c>
      <c r="C362" s="27" t="s">
        <v>34749</v>
      </c>
      <c r="D362" s="28" t="s">
        <v>34867</v>
      </c>
      <c r="J362" t="s">
        <v>926</v>
      </c>
      <c r="K362" t="s">
        <v>927</v>
      </c>
      <c r="L362" s="28" t="s">
        <v>928</v>
      </c>
      <c r="M362" t="s">
        <v>23</v>
      </c>
      <c r="N362"/>
      <c r="O362"/>
      <c r="P362"/>
      <c r="Q362"/>
      <c r="R362"/>
      <c r="S362"/>
    </row>
    <row r="363" spans="1:19" x14ac:dyDescent="0.25">
      <c r="A363" t="s">
        <v>193</v>
      </c>
      <c r="C363" s="27" t="s">
        <v>34749</v>
      </c>
      <c r="D363" s="28" t="s">
        <v>34867</v>
      </c>
      <c r="J363" t="s">
        <v>929</v>
      </c>
      <c r="K363" t="s">
        <v>930</v>
      </c>
      <c r="L363" s="28" t="s">
        <v>931</v>
      </c>
      <c r="M363" t="s">
        <v>23</v>
      </c>
      <c r="N363"/>
      <c r="O363"/>
      <c r="P363"/>
      <c r="Q363"/>
      <c r="R363"/>
      <c r="S363"/>
    </row>
    <row r="364" spans="1:19" x14ac:dyDescent="0.25">
      <c r="A364" t="s">
        <v>193</v>
      </c>
      <c r="C364" s="27" t="s">
        <v>34749</v>
      </c>
      <c r="D364" s="28" t="s">
        <v>34867</v>
      </c>
      <c r="J364" t="s">
        <v>932</v>
      </c>
      <c r="K364" t="s">
        <v>933</v>
      </c>
      <c r="L364" s="28" t="s">
        <v>934</v>
      </c>
      <c r="M364" t="s">
        <v>23</v>
      </c>
      <c r="N364"/>
      <c r="O364"/>
      <c r="P364"/>
      <c r="Q364"/>
      <c r="R364"/>
      <c r="S364"/>
    </row>
    <row r="365" spans="1:19" x14ac:dyDescent="0.25">
      <c r="A365" t="s">
        <v>193</v>
      </c>
      <c r="C365" s="27" t="s">
        <v>34749</v>
      </c>
      <c r="D365" s="28" t="s">
        <v>34867</v>
      </c>
      <c r="J365" t="s">
        <v>935</v>
      </c>
      <c r="K365" t="s">
        <v>936</v>
      </c>
      <c r="L365" s="28" t="s">
        <v>937</v>
      </c>
      <c r="M365" t="s">
        <v>23</v>
      </c>
      <c r="N365"/>
      <c r="O365"/>
      <c r="P365"/>
      <c r="Q365"/>
      <c r="R365"/>
      <c r="S365"/>
    </row>
    <row r="366" spans="1:19" x14ac:dyDescent="0.25">
      <c r="A366" t="s">
        <v>193</v>
      </c>
      <c r="C366" s="27" t="s">
        <v>34749</v>
      </c>
      <c r="D366" s="28" t="s">
        <v>34867</v>
      </c>
      <c r="J366" t="s">
        <v>938</v>
      </c>
      <c r="K366" t="s">
        <v>939</v>
      </c>
      <c r="L366" s="28" t="s">
        <v>940</v>
      </c>
      <c r="M366" t="s">
        <v>23</v>
      </c>
      <c r="N366"/>
      <c r="O366"/>
      <c r="P366"/>
      <c r="Q366"/>
      <c r="R366"/>
      <c r="S366"/>
    </row>
    <row r="367" spans="1:19" x14ac:dyDescent="0.25">
      <c r="A367" t="s">
        <v>193</v>
      </c>
      <c r="C367" s="27" t="s">
        <v>34749</v>
      </c>
      <c r="D367" s="28" t="s">
        <v>34867</v>
      </c>
      <c r="I367" t="str">
        <f>CONCATENATE(LEFT(K367,SEARCH(" (",K367))," | ", RIGHT(LEFT(K367,LEN(K367)-1),LEN(K367)-2-FIND(" (",K367)))</f>
        <v>1,2-diethoxyethaan  | diethylglycol</v>
      </c>
      <c r="J367" t="s">
        <v>941</v>
      </c>
      <c r="K367" t="s">
        <v>942</v>
      </c>
      <c r="L367" s="28" t="s">
        <v>943</v>
      </c>
      <c r="M367" t="s">
        <v>23</v>
      </c>
      <c r="N367"/>
      <c r="O367"/>
      <c r="P367"/>
      <c r="Q367"/>
      <c r="R367"/>
      <c r="S367"/>
    </row>
    <row r="368" spans="1:19" x14ac:dyDescent="0.25">
      <c r="A368" t="s">
        <v>193</v>
      </c>
      <c r="C368" s="27" t="s">
        <v>34749</v>
      </c>
      <c r="D368" s="28" t="s">
        <v>34867</v>
      </c>
      <c r="J368" t="s">
        <v>944</v>
      </c>
      <c r="K368" t="s">
        <v>945</v>
      </c>
      <c r="L368" s="28" t="s">
        <v>946</v>
      </c>
      <c r="M368" t="s">
        <v>23</v>
      </c>
      <c r="N368"/>
      <c r="O368"/>
      <c r="P368"/>
      <c r="Q368"/>
      <c r="R368"/>
      <c r="S368"/>
    </row>
    <row r="369" spans="1:19" x14ac:dyDescent="0.25">
      <c r="A369" t="s">
        <v>193</v>
      </c>
      <c r="C369" s="27" t="s">
        <v>34749</v>
      </c>
      <c r="D369" s="28" t="s">
        <v>34867</v>
      </c>
      <c r="J369" t="s">
        <v>947</v>
      </c>
      <c r="K369" t="s">
        <v>948</v>
      </c>
      <c r="L369" s="28" t="s">
        <v>949</v>
      </c>
      <c r="M369" t="s">
        <v>23</v>
      </c>
      <c r="N369"/>
      <c r="O369"/>
      <c r="P369"/>
      <c r="Q369"/>
      <c r="R369"/>
      <c r="S369"/>
    </row>
    <row r="370" spans="1:19" x14ac:dyDescent="0.25">
      <c r="A370" t="s">
        <v>193</v>
      </c>
      <c r="C370" s="27" t="s">
        <v>34749</v>
      </c>
      <c r="D370" s="28" t="s">
        <v>34867</v>
      </c>
      <c r="J370" t="s">
        <v>950</v>
      </c>
      <c r="K370" t="s">
        <v>951</v>
      </c>
      <c r="L370" s="28" t="s">
        <v>952</v>
      </c>
      <c r="M370" t="s">
        <v>23</v>
      </c>
      <c r="N370"/>
      <c r="O370"/>
      <c r="P370"/>
      <c r="Q370"/>
      <c r="R370"/>
      <c r="S370"/>
    </row>
    <row r="371" spans="1:19" x14ac:dyDescent="0.25">
      <c r="A371" t="s">
        <v>193</v>
      </c>
      <c r="C371" s="27" t="s">
        <v>34749</v>
      </c>
      <c r="D371" s="28" t="s">
        <v>34867</v>
      </c>
      <c r="J371" t="s">
        <v>953</v>
      </c>
      <c r="K371" t="s">
        <v>954</v>
      </c>
      <c r="L371" s="28" t="s">
        <v>955</v>
      </c>
      <c r="M371" t="s">
        <v>23</v>
      </c>
      <c r="N371"/>
      <c r="O371"/>
      <c r="P371"/>
      <c r="Q371"/>
      <c r="R371"/>
      <c r="S371"/>
    </row>
    <row r="372" spans="1:19" x14ac:dyDescent="0.25">
      <c r="A372" t="s">
        <v>193</v>
      </c>
      <c r="C372" s="27" t="s">
        <v>34749</v>
      </c>
      <c r="D372" s="28" t="s">
        <v>34867</v>
      </c>
      <c r="J372" t="s">
        <v>956</v>
      </c>
      <c r="K372" t="s">
        <v>957</v>
      </c>
      <c r="L372" s="28" t="s">
        <v>958</v>
      </c>
      <c r="M372" t="s">
        <v>23</v>
      </c>
      <c r="N372"/>
      <c r="O372"/>
      <c r="P372"/>
      <c r="Q372"/>
      <c r="R372"/>
      <c r="S372"/>
    </row>
    <row r="373" spans="1:19" x14ac:dyDescent="0.25">
      <c r="A373" t="s">
        <v>193</v>
      </c>
      <c r="C373" s="27" t="s">
        <v>34749</v>
      </c>
      <c r="D373" s="28" t="s">
        <v>34867</v>
      </c>
      <c r="J373" t="s">
        <v>959</v>
      </c>
      <c r="K373" t="s">
        <v>960</v>
      </c>
      <c r="L373" s="28" t="s">
        <v>961</v>
      </c>
      <c r="M373" t="s">
        <v>23</v>
      </c>
      <c r="N373"/>
      <c r="O373"/>
      <c r="P373"/>
      <c r="Q373"/>
      <c r="R373"/>
      <c r="S373"/>
    </row>
    <row r="374" spans="1:19" x14ac:dyDescent="0.25">
      <c r="A374" t="s">
        <v>193</v>
      </c>
      <c r="C374" s="27" t="s">
        <v>34749</v>
      </c>
      <c r="D374" s="28" t="s">
        <v>34867</v>
      </c>
      <c r="J374" t="s">
        <v>962</v>
      </c>
      <c r="K374" t="s">
        <v>963</v>
      </c>
      <c r="L374" s="28" t="s">
        <v>964</v>
      </c>
      <c r="M374" t="s">
        <v>23</v>
      </c>
      <c r="N374"/>
      <c r="O374"/>
      <c r="P374"/>
      <c r="Q374"/>
      <c r="R374"/>
      <c r="S374"/>
    </row>
    <row r="375" spans="1:19" x14ac:dyDescent="0.25">
      <c r="A375" t="s">
        <v>193</v>
      </c>
      <c r="C375" s="27" t="s">
        <v>34749</v>
      </c>
      <c r="D375" s="28" t="s">
        <v>34867</v>
      </c>
      <c r="J375" t="s">
        <v>965</v>
      </c>
      <c r="K375" t="s">
        <v>966</v>
      </c>
      <c r="L375" s="28" t="s">
        <v>967</v>
      </c>
      <c r="M375" t="s">
        <v>23</v>
      </c>
      <c r="N375"/>
      <c r="O375"/>
      <c r="P375"/>
      <c r="Q375"/>
      <c r="R375"/>
      <c r="S375"/>
    </row>
    <row r="376" spans="1:19" x14ac:dyDescent="0.25">
      <c r="A376" t="s">
        <v>193</v>
      </c>
      <c r="C376" s="27" t="s">
        <v>34749</v>
      </c>
      <c r="D376" s="28" t="s">
        <v>34867</v>
      </c>
      <c r="J376" t="s">
        <v>968</v>
      </c>
      <c r="K376" t="s">
        <v>969</v>
      </c>
      <c r="L376" s="28" t="s">
        <v>970</v>
      </c>
      <c r="M376" t="s">
        <v>23</v>
      </c>
      <c r="N376"/>
      <c r="O376"/>
      <c r="P376"/>
      <c r="Q376"/>
      <c r="R376"/>
      <c r="S376"/>
    </row>
    <row r="377" spans="1:19" x14ac:dyDescent="0.25">
      <c r="A377" t="s">
        <v>193</v>
      </c>
      <c r="C377" s="27" t="s">
        <v>34749</v>
      </c>
      <c r="D377" s="28" t="s">
        <v>34867</v>
      </c>
      <c r="J377" t="s">
        <v>971</v>
      </c>
      <c r="K377" t="s">
        <v>972</v>
      </c>
      <c r="L377" s="28" t="s">
        <v>973</v>
      </c>
      <c r="M377" t="s">
        <v>23</v>
      </c>
      <c r="N377"/>
      <c r="O377"/>
      <c r="P377"/>
      <c r="Q377"/>
      <c r="R377"/>
      <c r="S377"/>
    </row>
    <row r="378" spans="1:19" x14ac:dyDescent="0.25">
      <c r="A378" t="s">
        <v>193</v>
      </c>
      <c r="C378" s="27" t="s">
        <v>34749</v>
      </c>
      <c r="D378" s="28" t="s">
        <v>34867</v>
      </c>
      <c r="J378" t="s">
        <v>974</v>
      </c>
      <c r="K378" t="s">
        <v>975</v>
      </c>
      <c r="L378" s="28" t="s">
        <v>976</v>
      </c>
      <c r="M378" t="s">
        <v>23</v>
      </c>
      <c r="N378"/>
      <c r="O378"/>
      <c r="P378"/>
      <c r="Q378"/>
      <c r="R378"/>
      <c r="S378"/>
    </row>
    <row r="379" spans="1:19" x14ac:dyDescent="0.25">
      <c r="A379" t="s">
        <v>193</v>
      </c>
      <c r="C379" s="27" t="s">
        <v>34749</v>
      </c>
      <c r="D379" s="28" t="s">
        <v>34867</v>
      </c>
      <c r="J379" t="s">
        <v>977</v>
      </c>
      <c r="K379" t="s">
        <v>978</v>
      </c>
      <c r="L379" s="28" t="s">
        <v>979</v>
      </c>
      <c r="M379" t="s">
        <v>23</v>
      </c>
      <c r="N379"/>
      <c r="O379"/>
      <c r="P379"/>
      <c r="Q379"/>
      <c r="R379"/>
      <c r="S379"/>
    </row>
    <row r="380" spans="1:19" x14ac:dyDescent="0.25">
      <c r="A380" t="s">
        <v>193</v>
      </c>
      <c r="C380" s="27" t="s">
        <v>34749</v>
      </c>
      <c r="D380" s="28" t="s">
        <v>34867</v>
      </c>
      <c r="E380" s="3"/>
      <c r="F380" s="3"/>
      <c r="J380" t="s">
        <v>980</v>
      </c>
      <c r="K380" t="s">
        <v>981</v>
      </c>
      <c r="L380" s="28" t="s">
        <v>982</v>
      </c>
      <c r="M380" t="s">
        <v>23</v>
      </c>
      <c r="N380"/>
      <c r="O380"/>
      <c r="P380"/>
      <c r="Q380"/>
      <c r="R380"/>
      <c r="S380"/>
    </row>
    <row r="381" spans="1:19" x14ac:dyDescent="0.25">
      <c r="A381" t="s">
        <v>193</v>
      </c>
      <c r="C381" s="27" t="s">
        <v>34749</v>
      </c>
      <c r="D381" s="28" t="s">
        <v>34867</v>
      </c>
      <c r="J381" t="s">
        <v>983</v>
      </c>
      <c r="K381" t="s">
        <v>984</v>
      </c>
      <c r="L381" s="28" t="s">
        <v>985</v>
      </c>
      <c r="M381" t="s">
        <v>23</v>
      </c>
      <c r="N381"/>
      <c r="O381"/>
      <c r="P381"/>
      <c r="Q381"/>
      <c r="R381"/>
      <c r="S381"/>
    </row>
    <row r="382" spans="1:19" x14ac:dyDescent="0.25">
      <c r="A382" t="s">
        <v>193</v>
      </c>
      <c r="C382" s="27" t="s">
        <v>34749</v>
      </c>
      <c r="D382" s="28" t="s">
        <v>34867</v>
      </c>
      <c r="J382" t="s">
        <v>986</v>
      </c>
      <c r="K382" t="s">
        <v>987</v>
      </c>
      <c r="L382" s="28" t="s">
        <v>988</v>
      </c>
      <c r="M382" t="s">
        <v>23</v>
      </c>
      <c r="N382"/>
      <c r="O382"/>
      <c r="P382"/>
      <c r="Q382"/>
      <c r="R382"/>
      <c r="S382"/>
    </row>
    <row r="383" spans="1:19" x14ac:dyDescent="0.25">
      <c r="A383" t="s">
        <v>193</v>
      </c>
      <c r="C383" s="27" t="s">
        <v>34749</v>
      </c>
      <c r="D383" s="28" t="s">
        <v>34867</v>
      </c>
      <c r="J383" t="s">
        <v>989</v>
      </c>
      <c r="K383" t="s">
        <v>990</v>
      </c>
      <c r="L383" s="28" t="s">
        <v>991</v>
      </c>
      <c r="M383" t="s">
        <v>23</v>
      </c>
      <c r="N383"/>
      <c r="O383"/>
      <c r="P383"/>
      <c r="Q383"/>
      <c r="R383"/>
      <c r="S383"/>
    </row>
    <row r="384" spans="1:19" x14ac:dyDescent="0.25">
      <c r="A384" t="s">
        <v>193</v>
      </c>
      <c r="C384" s="27" t="s">
        <v>34749</v>
      </c>
      <c r="D384" s="28" t="s">
        <v>34867</v>
      </c>
      <c r="J384" t="s">
        <v>992</v>
      </c>
      <c r="K384" t="s">
        <v>993</v>
      </c>
      <c r="L384" s="28" t="s">
        <v>994</v>
      </c>
      <c r="M384" t="s">
        <v>23</v>
      </c>
      <c r="N384"/>
      <c r="O384"/>
      <c r="P384"/>
      <c r="Q384"/>
      <c r="R384"/>
      <c r="S384"/>
    </row>
    <row r="385" spans="1:19" x14ac:dyDescent="0.25">
      <c r="A385" t="s">
        <v>193</v>
      </c>
      <c r="C385" s="27" t="s">
        <v>34749</v>
      </c>
      <c r="D385" s="28" t="s">
        <v>34867</v>
      </c>
      <c r="J385" t="s">
        <v>995</v>
      </c>
      <c r="K385" t="s">
        <v>996</v>
      </c>
      <c r="L385" s="28" t="s">
        <v>997</v>
      </c>
      <c r="M385" t="s">
        <v>23</v>
      </c>
      <c r="N385"/>
      <c r="O385"/>
      <c r="P385"/>
      <c r="Q385"/>
      <c r="R385"/>
      <c r="S385"/>
    </row>
    <row r="386" spans="1:19" x14ac:dyDescent="0.25">
      <c r="A386" t="s">
        <v>193</v>
      </c>
      <c r="C386" s="27" t="s">
        <v>34749</v>
      </c>
      <c r="D386" s="28" t="s">
        <v>34867</v>
      </c>
      <c r="J386" t="s">
        <v>998</v>
      </c>
      <c r="K386" t="s">
        <v>999</v>
      </c>
      <c r="L386" s="28" t="s">
        <v>1000</v>
      </c>
      <c r="M386" t="s">
        <v>23</v>
      </c>
      <c r="N386"/>
      <c r="O386"/>
      <c r="P386"/>
      <c r="Q386"/>
      <c r="R386"/>
      <c r="S386"/>
    </row>
    <row r="387" spans="1:19" x14ac:dyDescent="0.25">
      <c r="A387" t="s">
        <v>193</v>
      </c>
      <c r="C387" s="27" t="s">
        <v>34749</v>
      </c>
      <c r="D387" s="28" t="s">
        <v>34867</v>
      </c>
      <c r="J387" t="s">
        <v>1001</v>
      </c>
      <c r="K387" t="s">
        <v>1002</v>
      </c>
      <c r="L387" s="28" t="s">
        <v>1003</v>
      </c>
      <c r="M387" t="s">
        <v>23</v>
      </c>
      <c r="N387"/>
      <c r="O387"/>
      <c r="P387"/>
      <c r="Q387"/>
      <c r="R387"/>
      <c r="S387"/>
    </row>
    <row r="388" spans="1:19" x14ac:dyDescent="0.25">
      <c r="A388" t="s">
        <v>193</v>
      </c>
      <c r="C388" s="27" t="s">
        <v>34749</v>
      </c>
      <c r="D388" s="28" t="s">
        <v>34867</v>
      </c>
      <c r="I388" t="str">
        <f>CONCATENATE(LEFT(K388,SEARCH(" (",K388))," | ", RIGHT(LEFT(K388,LEN(K388)-1),LEN(K388)-2-FIND(" (",K388)))</f>
        <v>1,3,5-Triazine-2,4,6-triamine  | Melamine</v>
      </c>
      <c r="J388" t="s">
        <v>1004</v>
      </c>
      <c r="K388" t="s">
        <v>1005</v>
      </c>
      <c r="L388" s="28" t="s">
        <v>1006</v>
      </c>
      <c r="M388" t="s">
        <v>23</v>
      </c>
      <c r="N388"/>
      <c r="O388"/>
      <c r="P388"/>
      <c r="Q388"/>
      <c r="R388"/>
      <c r="S388"/>
    </row>
    <row r="389" spans="1:19" x14ac:dyDescent="0.25">
      <c r="A389" t="s">
        <v>193</v>
      </c>
      <c r="C389" s="27" t="s">
        <v>34749</v>
      </c>
      <c r="D389" s="28" t="s">
        <v>34867</v>
      </c>
      <c r="J389" t="s">
        <v>1007</v>
      </c>
      <c r="K389" t="s">
        <v>1008</v>
      </c>
      <c r="L389" s="28" t="s">
        <v>1009</v>
      </c>
      <c r="M389" t="s">
        <v>23</v>
      </c>
      <c r="N389"/>
      <c r="O389"/>
      <c r="P389"/>
      <c r="Q389"/>
      <c r="R389"/>
      <c r="S389"/>
    </row>
    <row r="390" spans="1:19" x14ac:dyDescent="0.25">
      <c r="A390" t="s">
        <v>193</v>
      </c>
      <c r="C390" s="27" t="s">
        <v>34749</v>
      </c>
      <c r="D390" s="28" t="s">
        <v>34867</v>
      </c>
      <c r="J390" t="s">
        <v>1010</v>
      </c>
      <c r="K390" t="s">
        <v>1011</v>
      </c>
      <c r="L390" s="28" t="s">
        <v>1012</v>
      </c>
      <c r="M390" t="s">
        <v>23</v>
      </c>
      <c r="N390"/>
      <c r="O390"/>
      <c r="P390"/>
      <c r="Q390"/>
      <c r="R390"/>
      <c r="S390"/>
    </row>
    <row r="391" spans="1:19" x14ac:dyDescent="0.25">
      <c r="A391" t="s">
        <v>193</v>
      </c>
      <c r="C391" s="27" t="s">
        <v>34749</v>
      </c>
      <c r="D391" s="28" t="s">
        <v>34867</v>
      </c>
      <c r="J391" t="s">
        <v>1013</v>
      </c>
      <c r="K391" t="s">
        <v>1014</v>
      </c>
      <c r="L391" s="28" t="s">
        <v>1015</v>
      </c>
      <c r="M391" t="s">
        <v>23</v>
      </c>
      <c r="N391"/>
      <c r="O391"/>
      <c r="P391"/>
      <c r="Q391"/>
      <c r="R391"/>
      <c r="S391"/>
    </row>
    <row r="392" spans="1:19" x14ac:dyDescent="0.25">
      <c r="A392" t="s">
        <v>193</v>
      </c>
      <c r="C392" s="27" t="s">
        <v>34749</v>
      </c>
      <c r="D392" s="28" t="s">
        <v>34867</v>
      </c>
      <c r="J392" t="s">
        <v>1016</v>
      </c>
      <c r="K392" t="s">
        <v>1017</v>
      </c>
      <c r="L392" s="28" t="s">
        <v>1018</v>
      </c>
      <c r="M392" t="s">
        <v>23</v>
      </c>
      <c r="N392"/>
      <c r="O392"/>
      <c r="P392"/>
      <c r="Q392"/>
      <c r="R392"/>
      <c r="S392"/>
    </row>
    <row r="393" spans="1:19" x14ac:dyDescent="0.25">
      <c r="A393" t="s">
        <v>193</v>
      </c>
      <c r="C393" s="27" t="s">
        <v>34749</v>
      </c>
      <c r="D393" s="28" t="s">
        <v>34867</v>
      </c>
      <c r="J393" t="s">
        <v>1019</v>
      </c>
      <c r="K393" t="s">
        <v>1020</v>
      </c>
      <c r="L393" s="28" t="s">
        <v>1021</v>
      </c>
      <c r="M393" t="s">
        <v>23</v>
      </c>
      <c r="N393"/>
      <c r="O393"/>
      <c r="P393"/>
      <c r="Q393"/>
      <c r="R393"/>
      <c r="S393"/>
    </row>
    <row r="394" spans="1:19" x14ac:dyDescent="0.25">
      <c r="A394" t="s">
        <v>193</v>
      </c>
      <c r="C394" s="27" t="s">
        <v>34749</v>
      </c>
      <c r="D394" s="28" t="s">
        <v>34867</v>
      </c>
      <c r="J394" t="s">
        <v>1022</v>
      </c>
      <c r="K394" t="s">
        <v>1023</v>
      </c>
      <c r="L394" s="28" t="s">
        <v>1024</v>
      </c>
      <c r="M394" t="s">
        <v>23</v>
      </c>
      <c r="N394"/>
      <c r="O394"/>
      <c r="P394"/>
      <c r="Q394"/>
      <c r="R394"/>
      <c r="S394"/>
    </row>
    <row r="395" spans="1:19" x14ac:dyDescent="0.25">
      <c r="A395" t="s">
        <v>193</v>
      </c>
      <c r="C395" s="27" t="s">
        <v>34749</v>
      </c>
      <c r="D395" s="28" t="s">
        <v>34867</v>
      </c>
      <c r="J395" t="s">
        <v>1025</v>
      </c>
      <c r="K395" t="s">
        <v>1026</v>
      </c>
      <c r="L395" s="28" t="s">
        <v>1027</v>
      </c>
      <c r="M395" t="s">
        <v>23</v>
      </c>
      <c r="N395"/>
      <c r="O395"/>
      <c r="P395"/>
      <c r="Q395"/>
      <c r="R395"/>
      <c r="S395"/>
    </row>
    <row r="396" spans="1:19" x14ac:dyDescent="0.25">
      <c r="A396" t="s">
        <v>193</v>
      </c>
      <c r="C396" s="27" t="s">
        <v>34749</v>
      </c>
      <c r="D396" s="28" t="s">
        <v>34867</v>
      </c>
      <c r="J396" t="s">
        <v>1028</v>
      </c>
      <c r="K396" t="s">
        <v>1029</v>
      </c>
      <c r="L396" s="28" t="s">
        <v>1030</v>
      </c>
      <c r="M396" t="s">
        <v>23</v>
      </c>
      <c r="N396"/>
      <c r="O396"/>
      <c r="P396"/>
      <c r="Q396"/>
      <c r="R396"/>
      <c r="S396"/>
    </row>
    <row r="397" spans="1:19" x14ac:dyDescent="0.25">
      <c r="A397" t="s">
        <v>193</v>
      </c>
      <c r="C397" s="27" t="s">
        <v>34749</v>
      </c>
      <c r="D397" s="28" t="s">
        <v>34867</v>
      </c>
      <c r="J397" t="s">
        <v>1031</v>
      </c>
      <c r="K397" t="s">
        <v>1032</v>
      </c>
      <c r="L397" s="28" t="s">
        <v>1033</v>
      </c>
      <c r="M397" t="s">
        <v>23</v>
      </c>
      <c r="N397"/>
      <c r="O397"/>
      <c r="P397"/>
      <c r="Q397"/>
      <c r="R397"/>
      <c r="S397"/>
    </row>
    <row r="398" spans="1:19" x14ac:dyDescent="0.25">
      <c r="A398" t="s">
        <v>193</v>
      </c>
      <c r="C398" s="27" t="s">
        <v>34749</v>
      </c>
      <c r="D398" s="28" t="s">
        <v>34867</v>
      </c>
      <c r="J398" t="s">
        <v>1034</v>
      </c>
      <c r="K398" t="s">
        <v>1035</v>
      </c>
      <c r="L398" s="28" t="s">
        <v>1036</v>
      </c>
      <c r="M398" t="s">
        <v>23</v>
      </c>
      <c r="N398"/>
      <c r="O398"/>
      <c r="P398"/>
      <c r="Q398"/>
      <c r="R398"/>
      <c r="S398"/>
    </row>
    <row r="399" spans="1:19" x14ac:dyDescent="0.25">
      <c r="A399" t="s">
        <v>193</v>
      </c>
      <c r="C399" s="27" t="s">
        <v>34749</v>
      </c>
      <c r="D399" s="28" t="s">
        <v>34867</v>
      </c>
      <c r="J399" t="s">
        <v>1037</v>
      </c>
      <c r="K399" t="s">
        <v>1038</v>
      </c>
      <c r="L399" s="28" t="s">
        <v>1039</v>
      </c>
      <c r="M399" t="s">
        <v>23</v>
      </c>
      <c r="N399"/>
      <c r="O399"/>
      <c r="P399"/>
      <c r="Q399"/>
      <c r="R399"/>
      <c r="S399"/>
    </row>
    <row r="400" spans="1:19" x14ac:dyDescent="0.25">
      <c r="A400" t="s">
        <v>193</v>
      </c>
      <c r="C400" s="27" t="s">
        <v>34749</v>
      </c>
      <c r="D400" s="28" t="s">
        <v>34867</v>
      </c>
      <c r="J400" t="s">
        <v>1040</v>
      </c>
      <c r="K400" t="s">
        <v>1041</v>
      </c>
      <c r="L400" s="28" t="s">
        <v>1042</v>
      </c>
      <c r="M400" t="s">
        <v>23</v>
      </c>
      <c r="N400"/>
      <c r="O400"/>
      <c r="P400"/>
      <c r="Q400"/>
      <c r="R400"/>
      <c r="S400"/>
    </row>
    <row r="401" spans="1:19" x14ac:dyDescent="0.25">
      <c r="A401" t="s">
        <v>193</v>
      </c>
      <c r="C401" s="27" t="s">
        <v>34749</v>
      </c>
      <c r="D401" s="28" t="s">
        <v>34867</v>
      </c>
      <c r="J401" t="s">
        <v>1043</v>
      </c>
      <c r="K401" t="s">
        <v>1044</v>
      </c>
      <c r="L401" s="28" t="s">
        <v>1045</v>
      </c>
      <c r="M401" t="s">
        <v>23</v>
      </c>
      <c r="N401"/>
      <c r="O401"/>
      <c r="P401"/>
      <c r="Q401"/>
      <c r="R401"/>
      <c r="S401"/>
    </row>
    <row r="402" spans="1:19" x14ac:dyDescent="0.25">
      <c r="A402" t="s">
        <v>193</v>
      </c>
      <c r="C402" s="27" t="s">
        <v>34749</v>
      </c>
      <c r="D402" s="28" t="s">
        <v>34867</v>
      </c>
      <c r="J402" t="s">
        <v>1046</v>
      </c>
      <c r="K402" t="s">
        <v>1047</v>
      </c>
      <c r="L402" s="28" t="s">
        <v>1048</v>
      </c>
      <c r="M402" t="s">
        <v>23</v>
      </c>
      <c r="N402"/>
      <c r="O402"/>
      <c r="P402"/>
      <c r="Q402"/>
      <c r="R402"/>
      <c r="S402"/>
    </row>
    <row r="403" spans="1:19" x14ac:dyDescent="0.25">
      <c r="A403" t="s">
        <v>193</v>
      </c>
      <c r="C403" s="27" t="s">
        <v>34749</v>
      </c>
      <c r="D403" s="28" t="s">
        <v>34867</v>
      </c>
      <c r="J403" t="s">
        <v>1049</v>
      </c>
      <c r="K403" t="s">
        <v>1050</v>
      </c>
      <c r="L403" s="28" t="s">
        <v>1051</v>
      </c>
      <c r="M403" t="s">
        <v>23</v>
      </c>
      <c r="N403"/>
      <c r="O403"/>
      <c r="P403"/>
      <c r="Q403"/>
      <c r="R403"/>
      <c r="S403"/>
    </row>
    <row r="404" spans="1:19" x14ac:dyDescent="0.25">
      <c r="A404" t="s">
        <v>193</v>
      </c>
      <c r="C404" s="27" t="s">
        <v>34749</v>
      </c>
      <c r="D404" s="28" t="s">
        <v>34867</v>
      </c>
      <c r="J404" t="s">
        <v>1052</v>
      </c>
      <c r="K404" t="s">
        <v>1053</v>
      </c>
      <c r="L404" s="28" t="s">
        <v>1054</v>
      </c>
      <c r="M404" t="s">
        <v>23</v>
      </c>
      <c r="N404"/>
      <c r="O404"/>
      <c r="P404"/>
      <c r="Q404"/>
      <c r="R404"/>
      <c r="S404"/>
    </row>
    <row r="405" spans="1:19" x14ac:dyDescent="0.25">
      <c r="A405" t="s">
        <v>193</v>
      </c>
      <c r="C405" s="27" t="s">
        <v>34749</v>
      </c>
      <c r="D405" s="28" t="s">
        <v>34867</v>
      </c>
      <c r="J405" t="s">
        <v>1055</v>
      </c>
      <c r="K405" t="s">
        <v>1056</v>
      </c>
      <c r="L405" s="28" t="s">
        <v>1057</v>
      </c>
      <c r="M405" t="s">
        <v>23</v>
      </c>
      <c r="N405"/>
      <c r="O405"/>
      <c r="P405"/>
      <c r="Q405"/>
      <c r="R405"/>
      <c r="S405"/>
    </row>
    <row r="406" spans="1:19" x14ac:dyDescent="0.25">
      <c r="A406" t="s">
        <v>193</v>
      </c>
      <c r="C406" s="27" t="s">
        <v>34749</v>
      </c>
      <c r="D406" s="28" t="s">
        <v>34867</v>
      </c>
      <c r="J406" t="s">
        <v>1058</v>
      </c>
      <c r="K406" t="s">
        <v>1059</v>
      </c>
      <c r="L406" s="28" t="s">
        <v>1060</v>
      </c>
      <c r="M406" t="s">
        <v>23</v>
      </c>
      <c r="N406"/>
      <c r="O406"/>
      <c r="P406"/>
      <c r="Q406"/>
      <c r="R406"/>
      <c r="S406"/>
    </row>
    <row r="407" spans="1:19" x14ac:dyDescent="0.25">
      <c r="A407" t="s">
        <v>193</v>
      </c>
      <c r="C407" s="27" t="s">
        <v>34749</v>
      </c>
      <c r="D407" s="28" t="s">
        <v>34867</v>
      </c>
      <c r="J407" t="s">
        <v>1061</v>
      </c>
      <c r="K407" t="s">
        <v>1062</v>
      </c>
      <c r="L407" s="28" t="s">
        <v>1063</v>
      </c>
      <c r="M407" t="s">
        <v>23</v>
      </c>
      <c r="N407"/>
      <c r="O407"/>
      <c r="P407"/>
      <c r="Q407"/>
      <c r="R407"/>
      <c r="S407"/>
    </row>
    <row r="408" spans="1:19" x14ac:dyDescent="0.25">
      <c r="A408" t="s">
        <v>193</v>
      </c>
      <c r="C408" s="27" t="s">
        <v>34749</v>
      </c>
      <c r="D408" s="28" t="s">
        <v>34867</v>
      </c>
      <c r="J408" t="s">
        <v>1064</v>
      </c>
      <c r="K408" t="s">
        <v>1065</v>
      </c>
      <c r="L408" s="28" t="s">
        <v>1066</v>
      </c>
      <c r="M408" t="s">
        <v>23</v>
      </c>
      <c r="N408"/>
      <c r="O408"/>
      <c r="P408"/>
      <c r="Q408"/>
      <c r="R408"/>
      <c r="S408"/>
    </row>
    <row r="409" spans="1:19" x14ac:dyDescent="0.25">
      <c r="A409" t="s">
        <v>193</v>
      </c>
      <c r="C409" s="27" t="s">
        <v>34749</v>
      </c>
      <c r="D409" s="28" t="s">
        <v>34867</v>
      </c>
      <c r="J409" t="s">
        <v>1067</v>
      </c>
      <c r="K409" t="s">
        <v>1068</v>
      </c>
      <c r="L409" s="28" t="s">
        <v>1069</v>
      </c>
      <c r="M409" t="s">
        <v>23</v>
      </c>
      <c r="N409"/>
      <c r="O409"/>
      <c r="P409"/>
      <c r="Q409"/>
      <c r="R409"/>
      <c r="S409"/>
    </row>
    <row r="410" spans="1:19" x14ac:dyDescent="0.25">
      <c r="A410" t="s">
        <v>193</v>
      </c>
      <c r="C410" s="27" t="s">
        <v>34749</v>
      </c>
      <c r="D410" s="28" t="s">
        <v>34867</v>
      </c>
      <c r="J410" t="s">
        <v>1070</v>
      </c>
      <c r="K410" t="s">
        <v>1071</v>
      </c>
      <c r="L410" s="28" t="s">
        <v>1072</v>
      </c>
      <c r="M410" t="s">
        <v>23</v>
      </c>
      <c r="N410"/>
      <c r="O410"/>
      <c r="P410"/>
      <c r="Q410"/>
      <c r="R410"/>
      <c r="S410"/>
    </row>
    <row r="411" spans="1:19" x14ac:dyDescent="0.25">
      <c r="A411" t="s">
        <v>193</v>
      </c>
      <c r="C411" s="27" t="s">
        <v>34749</v>
      </c>
      <c r="D411" s="28" t="s">
        <v>34867</v>
      </c>
      <c r="J411" t="s">
        <v>1073</v>
      </c>
      <c r="K411" t="s">
        <v>1074</v>
      </c>
      <c r="L411" s="28" t="s">
        <v>1075</v>
      </c>
      <c r="M411" t="s">
        <v>23</v>
      </c>
      <c r="N411"/>
      <c r="O411"/>
      <c r="P411"/>
      <c r="Q411"/>
      <c r="R411"/>
      <c r="S411"/>
    </row>
    <row r="412" spans="1:19" x14ac:dyDescent="0.25">
      <c r="A412" t="s">
        <v>193</v>
      </c>
      <c r="C412" s="27" t="s">
        <v>34749</v>
      </c>
      <c r="D412" s="28" t="s">
        <v>34867</v>
      </c>
      <c r="J412" t="s">
        <v>1076</v>
      </c>
      <c r="K412" t="s">
        <v>1077</v>
      </c>
      <c r="L412" s="28" t="s">
        <v>1078</v>
      </c>
      <c r="M412" t="s">
        <v>23</v>
      </c>
      <c r="N412"/>
      <c r="O412"/>
      <c r="P412"/>
      <c r="Q412"/>
      <c r="R412"/>
      <c r="S412"/>
    </row>
    <row r="413" spans="1:19" x14ac:dyDescent="0.25">
      <c r="A413" t="s">
        <v>193</v>
      </c>
      <c r="C413" s="27" t="s">
        <v>34749</v>
      </c>
      <c r="D413" s="28" t="s">
        <v>34867</v>
      </c>
      <c r="J413" t="s">
        <v>1079</v>
      </c>
      <c r="K413" t="s">
        <v>1080</v>
      </c>
      <c r="L413" s="28" t="s">
        <v>1081</v>
      </c>
      <c r="M413" t="s">
        <v>23</v>
      </c>
      <c r="N413"/>
      <c r="O413"/>
      <c r="P413"/>
      <c r="Q413"/>
      <c r="R413"/>
      <c r="S413"/>
    </row>
    <row r="414" spans="1:19" x14ac:dyDescent="0.25">
      <c r="A414" t="s">
        <v>193</v>
      </c>
      <c r="C414" s="27" t="s">
        <v>34749</v>
      </c>
      <c r="D414" s="28" t="s">
        <v>34867</v>
      </c>
      <c r="J414" t="s">
        <v>1082</v>
      </c>
      <c r="K414" t="s">
        <v>1083</v>
      </c>
      <c r="L414" s="28" t="s">
        <v>1084</v>
      </c>
      <c r="M414" t="s">
        <v>23</v>
      </c>
      <c r="N414"/>
      <c r="O414"/>
      <c r="P414"/>
      <c r="Q414"/>
      <c r="R414"/>
      <c r="S414"/>
    </row>
    <row r="415" spans="1:19" x14ac:dyDescent="0.25">
      <c r="A415" t="s">
        <v>193</v>
      </c>
      <c r="C415" s="27" t="s">
        <v>34749</v>
      </c>
      <c r="D415" s="28" t="s">
        <v>34867</v>
      </c>
      <c r="J415" t="s">
        <v>1085</v>
      </c>
      <c r="K415" t="s">
        <v>1086</v>
      </c>
      <c r="L415" s="28" t="s">
        <v>1087</v>
      </c>
      <c r="M415" t="s">
        <v>23</v>
      </c>
      <c r="N415"/>
      <c r="O415"/>
      <c r="P415"/>
      <c r="Q415"/>
      <c r="R415"/>
      <c r="S415"/>
    </row>
    <row r="416" spans="1:19" x14ac:dyDescent="0.25">
      <c r="A416" t="s">
        <v>193</v>
      </c>
      <c r="C416" s="27" t="s">
        <v>34749</v>
      </c>
      <c r="D416" s="28" t="s">
        <v>34867</v>
      </c>
      <c r="J416" t="s">
        <v>1088</v>
      </c>
      <c r="K416" t="s">
        <v>1089</v>
      </c>
      <c r="L416" s="28" t="s">
        <v>1090</v>
      </c>
      <c r="M416" t="s">
        <v>23</v>
      </c>
      <c r="N416"/>
      <c r="O416"/>
      <c r="P416"/>
      <c r="Q416"/>
      <c r="R416"/>
      <c r="S416"/>
    </row>
    <row r="417" spans="1:19" x14ac:dyDescent="0.25">
      <c r="A417" t="s">
        <v>193</v>
      </c>
      <c r="C417" s="27" t="s">
        <v>34749</v>
      </c>
      <c r="D417" s="28" t="s">
        <v>34867</v>
      </c>
      <c r="J417" t="s">
        <v>1091</v>
      </c>
      <c r="K417" t="s">
        <v>1092</v>
      </c>
      <c r="L417" s="28" t="s">
        <v>1093</v>
      </c>
      <c r="M417" t="s">
        <v>23</v>
      </c>
      <c r="N417"/>
      <c r="O417"/>
      <c r="P417"/>
      <c r="Q417"/>
      <c r="R417"/>
      <c r="S417"/>
    </row>
    <row r="418" spans="1:19" x14ac:dyDescent="0.25">
      <c r="A418" t="s">
        <v>193</v>
      </c>
      <c r="C418" s="27" t="s">
        <v>34749</v>
      </c>
      <c r="D418" s="28" t="s">
        <v>34867</v>
      </c>
      <c r="J418" t="s">
        <v>1094</v>
      </c>
      <c r="K418" t="s">
        <v>1095</v>
      </c>
      <c r="L418" s="28" t="s">
        <v>1096</v>
      </c>
      <c r="M418" t="s">
        <v>23</v>
      </c>
      <c r="N418"/>
      <c r="O418"/>
      <c r="P418"/>
      <c r="Q418"/>
      <c r="R418"/>
      <c r="S418"/>
    </row>
    <row r="419" spans="1:19" x14ac:dyDescent="0.25">
      <c r="A419" t="s">
        <v>193</v>
      </c>
      <c r="C419" s="27" t="s">
        <v>34749</v>
      </c>
      <c r="D419" s="28" t="s">
        <v>34867</v>
      </c>
      <c r="J419" t="s">
        <v>1097</v>
      </c>
      <c r="K419" t="s">
        <v>1098</v>
      </c>
      <c r="L419" s="28" t="s">
        <v>1099</v>
      </c>
      <c r="M419" t="s">
        <v>23</v>
      </c>
      <c r="N419"/>
      <c r="O419"/>
      <c r="P419"/>
      <c r="Q419"/>
      <c r="R419"/>
      <c r="S419"/>
    </row>
    <row r="420" spans="1:19" x14ac:dyDescent="0.25">
      <c r="A420" t="s">
        <v>193</v>
      </c>
      <c r="C420" s="27" t="s">
        <v>34749</v>
      </c>
      <c r="D420" s="28" t="s">
        <v>34867</v>
      </c>
      <c r="J420" t="s">
        <v>1100</v>
      </c>
      <c r="K420" t="s">
        <v>1101</v>
      </c>
      <c r="L420" s="28" t="s">
        <v>1102</v>
      </c>
      <c r="M420" t="s">
        <v>23</v>
      </c>
      <c r="N420"/>
      <c r="O420"/>
      <c r="P420"/>
      <c r="Q420"/>
      <c r="R420"/>
      <c r="S420"/>
    </row>
    <row r="421" spans="1:19" x14ac:dyDescent="0.25">
      <c r="A421" t="s">
        <v>193</v>
      </c>
      <c r="C421" s="27" t="s">
        <v>34749</v>
      </c>
      <c r="D421" s="28" t="s">
        <v>34867</v>
      </c>
      <c r="J421" t="s">
        <v>1103</v>
      </c>
      <c r="K421" t="s">
        <v>1104</v>
      </c>
      <c r="L421" s="28" t="s">
        <v>1105</v>
      </c>
      <c r="M421" t="s">
        <v>23</v>
      </c>
      <c r="N421"/>
      <c r="O421"/>
      <c r="P421"/>
      <c r="Q421"/>
      <c r="R421"/>
      <c r="S421"/>
    </row>
    <row r="422" spans="1:19" x14ac:dyDescent="0.25">
      <c r="A422" t="s">
        <v>193</v>
      </c>
      <c r="C422" s="27" t="s">
        <v>34749</v>
      </c>
      <c r="D422" s="28" t="s">
        <v>34867</v>
      </c>
      <c r="J422" t="s">
        <v>1106</v>
      </c>
      <c r="K422" t="s">
        <v>1107</v>
      </c>
      <c r="L422" s="28" t="s">
        <v>1108</v>
      </c>
      <c r="M422" t="s">
        <v>23</v>
      </c>
      <c r="N422"/>
      <c r="O422"/>
      <c r="P422"/>
      <c r="Q422"/>
      <c r="R422"/>
      <c r="S422"/>
    </row>
    <row r="423" spans="1:19" x14ac:dyDescent="0.25">
      <c r="A423" t="s">
        <v>193</v>
      </c>
      <c r="C423" s="27" t="s">
        <v>34749</v>
      </c>
      <c r="D423" s="28" t="s">
        <v>34867</v>
      </c>
      <c r="J423" t="s">
        <v>1109</v>
      </c>
      <c r="K423" t="s">
        <v>1110</v>
      </c>
      <c r="L423" s="28" t="s">
        <v>1111</v>
      </c>
      <c r="M423" t="s">
        <v>23</v>
      </c>
      <c r="N423"/>
      <c r="O423"/>
      <c r="P423"/>
      <c r="Q423"/>
      <c r="R423"/>
      <c r="S423"/>
    </row>
    <row r="424" spans="1:19" x14ac:dyDescent="0.25">
      <c r="A424" t="s">
        <v>193</v>
      </c>
      <c r="C424" s="27" t="s">
        <v>34749</v>
      </c>
      <c r="D424" s="28" t="s">
        <v>34867</v>
      </c>
      <c r="J424" t="s">
        <v>1112</v>
      </c>
      <c r="K424" t="s">
        <v>1113</v>
      </c>
      <c r="L424" s="28" t="s">
        <v>1114</v>
      </c>
      <c r="M424" t="s">
        <v>23</v>
      </c>
      <c r="N424"/>
      <c r="O424"/>
      <c r="P424"/>
      <c r="Q424"/>
      <c r="R424"/>
      <c r="S424"/>
    </row>
    <row r="425" spans="1:19" x14ac:dyDescent="0.25">
      <c r="A425" t="s">
        <v>193</v>
      </c>
      <c r="C425" s="27" t="s">
        <v>34749</v>
      </c>
      <c r="D425" s="28" t="s">
        <v>34867</v>
      </c>
      <c r="J425" t="s">
        <v>1115</v>
      </c>
      <c r="K425" t="s">
        <v>1116</v>
      </c>
      <c r="L425" s="28" t="s">
        <v>1117</v>
      </c>
      <c r="M425" t="s">
        <v>23</v>
      </c>
      <c r="N425"/>
      <c r="O425"/>
      <c r="P425"/>
      <c r="Q425"/>
      <c r="R425"/>
      <c r="S425"/>
    </row>
    <row r="426" spans="1:19" x14ac:dyDescent="0.25">
      <c r="A426" t="s">
        <v>193</v>
      </c>
      <c r="C426" s="27" t="s">
        <v>34749</v>
      </c>
      <c r="D426" s="28" t="s">
        <v>34867</v>
      </c>
      <c r="J426" t="s">
        <v>1118</v>
      </c>
      <c r="K426" t="s">
        <v>1119</v>
      </c>
      <c r="L426" s="28" t="s">
        <v>1120</v>
      </c>
      <c r="M426" t="s">
        <v>23</v>
      </c>
      <c r="N426"/>
      <c r="O426"/>
      <c r="P426"/>
      <c r="Q426"/>
      <c r="R426"/>
      <c r="S426"/>
    </row>
    <row r="427" spans="1:19" x14ac:dyDescent="0.25">
      <c r="A427" t="s">
        <v>193</v>
      </c>
      <c r="C427" s="27" t="s">
        <v>34749</v>
      </c>
      <c r="D427" s="28" t="s">
        <v>34867</v>
      </c>
      <c r="J427" t="s">
        <v>1121</v>
      </c>
      <c r="K427" t="s">
        <v>1122</v>
      </c>
      <c r="L427" s="28" t="s">
        <v>1123</v>
      </c>
      <c r="M427" t="s">
        <v>23</v>
      </c>
      <c r="N427"/>
      <c r="O427"/>
      <c r="P427"/>
      <c r="Q427"/>
      <c r="R427"/>
      <c r="S427"/>
    </row>
    <row r="428" spans="1:19" x14ac:dyDescent="0.25">
      <c r="A428" t="s">
        <v>193</v>
      </c>
      <c r="C428" s="27" t="s">
        <v>34749</v>
      </c>
      <c r="D428" s="28" t="s">
        <v>34867</v>
      </c>
      <c r="J428" t="s">
        <v>1124</v>
      </c>
      <c r="K428" t="s">
        <v>1125</v>
      </c>
      <c r="L428" s="28" t="s">
        <v>1126</v>
      </c>
      <c r="M428" t="s">
        <v>23</v>
      </c>
      <c r="N428"/>
      <c r="O428"/>
      <c r="P428"/>
      <c r="Q428"/>
      <c r="R428"/>
      <c r="S428"/>
    </row>
    <row r="429" spans="1:19" x14ac:dyDescent="0.25">
      <c r="A429" t="s">
        <v>193</v>
      </c>
      <c r="C429" s="27" t="s">
        <v>34749</v>
      </c>
      <c r="D429" s="28" t="s">
        <v>34867</v>
      </c>
      <c r="J429" t="s">
        <v>1127</v>
      </c>
      <c r="K429" t="s">
        <v>1128</v>
      </c>
      <c r="L429" s="28" t="s">
        <v>1129</v>
      </c>
      <c r="M429" t="s">
        <v>23</v>
      </c>
      <c r="N429"/>
      <c r="O429"/>
      <c r="P429"/>
      <c r="Q429"/>
      <c r="R429"/>
      <c r="S429"/>
    </row>
    <row r="430" spans="1:19" x14ac:dyDescent="0.25">
      <c r="A430" t="s">
        <v>193</v>
      </c>
      <c r="C430" s="27" t="s">
        <v>34749</v>
      </c>
      <c r="D430" s="28" t="s">
        <v>34867</v>
      </c>
      <c r="J430" t="s">
        <v>1130</v>
      </c>
      <c r="K430" t="s">
        <v>1131</v>
      </c>
      <c r="L430" s="28" t="s">
        <v>1132</v>
      </c>
      <c r="M430" t="s">
        <v>23</v>
      </c>
      <c r="N430"/>
      <c r="O430"/>
      <c r="P430"/>
      <c r="Q430"/>
      <c r="R430"/>
      <c r="S430"/>
    </row>
    <row r="431" spans="1:19" x14ac:dyDescent="0.25">
      <c r="A431" t="s">
        <v>193</v>
      </c>
      <c r="C431" s="27" t="s">
        <v>34749</v>
      </c>
      <c r="D431" s="28" t="s">
        <v>34867</v>
      </c>
      <c r="J431" t="s">
        <v>1133</v>
      </c>
      <c r="K431" t="s">
        <v>1134</v>
      </c>
      <c r="L431" s="28" t="s">
        <v>1135</v>
      </c>
      <c r="M431" t="s">
        <v>23</v>
      </c>
      <c r="N431"/>
      <c r="O431"/>
      <c r="P431"/>
      <c r="Q431"/>
      <c r="R431"/>
      <c r="S431"/>
    </row>
    <row r="432" spans="1:19" x14ac:dyDescent="0.25">
      <c r="A432" t="s">
        <v>193</v>
      </c>
      <c r="C432" s="27" t="s">
        <v>34749</v>
      </c>
      <c r="D432" s="28" t="s">
        <v>34867</v>
      </c>
      <c r="J432" t="s">
        <v>1136</v>
      </c>
      <c r="K432" t="s">
        <v>1137</v>
      </c>
      <c r="L432" s="28" t="s">
        <v>1138</v>
      </c>
      <c r="M432" t="s">
        <v>23</v>
      </c>
      <c r="N432"/>
      <c r="O432"/>
      <c r="P432"/>
      <c r="Q432"/>
      <c r="R432"/>
      <c r="S432"/>
    </row>
    <row r="433" spans="1:19" x14ac:dyDescent="0.25">
      <c r="A433" t="s">
        <v>193</v>
      </c>
      <c r="C433" s="27" t="s">
        <v>34749</v>
      </c>
      <c r="D433" s="28" t="s">
        <v>34867</v>
      </c>
      <c r="J433" t="s">
        <v>1139</v>
      </c>
      <c r="K433" t="s">
        <v>1140</v>
      </c>
      <c r="L433" s="28" t="s">
        <v>1141</v>
      </c>
      <c r="M433" t="s">
        <v>23</v>
      </c>
      <c r="N433"/>
      <c r="O433"/>
      <c r="P433"/>
      <c r="Q433"/>
      <c r="R433"/>
      <c r="S433"/>
    </row>
    <row r="434" spans="1:19" x14ac:dyDescent="0.25">
      <c r="A434" t="s">
        <v>193</v>
      </c>
      <c r="C434" s="27" t="s">
        <v>34749</v>
      </c>
      <c r="D434" s="28" t="s">
        <v>34867</v>
      </c>
      <c r="J434" t="s">
        <v>1142</v>
      </c>
      <c r="K434" t="s">
        <v>1143</v>
      </c>
      <c r="L434" s="28" t="s">
        <v>1144</v>
      </c>
      <c r="M434" t="s">
        <v>23</v>
      </c>
      <c r="N434"/>
      <c r="O434"/>
      <c r="P434"/>
      <c r="Q434"/>
      <c r="R434"/>
      <c r="S434"/>
    </row>
    <row r="435" spans="1:19" x14ac:dyDescent="0.25">
      <c r="A435" t="s">
        <v>193</v>
      </c>
      <c r="C435" s="27" t="s">
        <v>34749</v>
      </c>
      <c r="D435" s="28" t="s">
        <v>34867</v>
      </c>
      <c r="J435" t="s">
        <v>1145</v>
      </c>
      <c r="K435" t="s">
        <v>1146</v>
      </c>
      <c r="L435" s="28" t="s">
        <v>1147</v>
      </c>
      <c r="M435" t="s">
        <v>23</v>
      </c>
      <c r="N435"/>
      <c r="O435"/>
      <c r="P435"/>
      <c r="Q435"/>
      <c r="R435"/>
      <c r="S435"/>
    </row>
    <row r="436" spans="1:19" x14ac:dyDescent="0.25">
      <c r="A436" t="s">
        <v>193</v>
      </c>
      <c r="C436" s="27" t="s">
        <v>34749</v>
      </c>
      <c r="D436" s="28" t="s">
        <v>34867</v>
      </c>
      <c r="J436" t="s">
        <v>1148</v>
      </c>
      <c r="K436" t="s">
        <v>1149</v>
      </c>
      <c r="L436" s="28" t="s">
        <v>1150</v>
      </c>
      <c r="M436" t="s">
        <v>23</v>
      </c>
      <c r="N436"/>
      <c r="O436"/>
      <c r="P436"/>
      <c r="Q436"/>
      <c r="R436"/>
      <c r="S436"/>
    </row>
    <row r="437" spans="1:19" x14ac:dyDescent="0.25">
      <c r="A437" t="s">
        <v>193</v>
      </c>
      <c r="C437" s="27" t="s">
        <v>34749</v>
      </c>
      <c r="D437" s="28" t="s">
        <v>34867</v>
      </c>
      <c r="J437" t="s">
        <v>1151</v>
      </c>
      <c r="K437" t="s">
        <v>1152</v>
      </c>
      <c r="L437" s="28" t="s">
        <v>1153</v>
      </c>
      <c r="M437" t="s">
        <v>23</v>
      </c>
      <c r="N437"/>
      <c r="O437"/>
      <c r="P437"/>
      <c r="Q437"/>
      <c r="R437"/>
      <c r="S437"/>
    </row>
    <row r="438" spans="1:19" x14ac:dyDescent="0.25">
      <c r="A438" t="s">
        <v>193</v>
      </c>
      <c r="C438" s="27" t="s">
        <v>34749</v>
      </c>
      <c r="D438" s="28" t="s">
        <v>34867</v>
      </c>
      <c r="J438" t="s">
        <v>1154</v>
      </c>
      <c r="K438" t="s">
        <v>1155</v>
      </c>
      <c r="L438" s="28" t="s">
        <v>1156</v>
      </c>
      <c r="M438" t="s">
        <v>23</v>
      </c>
      <c r="N438"/>
      <c r="O438"/>
      <c r="P438"/>
      <c r="Q438"/>
      <c r="R438"/>
      <c r="S438"/>
    </row>
    <row r="439" spans="1:19" x14ac:dyDescent="0.25">
      <c r="A439" t="s">
        <v>193</v>
      </c>
      <c r="C439" s="27" t="s">
        <v>34749</v>
      </c>
      <c r="D439" s="28" t="s">
        <v>34867</v>
      </c>
      <c r="J439" t="s">
        <v>1157</v>
      </c>
      <c r="K439" t="s">
        <v>1158</v>
      </c>
      <c r="L439" s="28" t="s">
        <v>1159</v>
      </c>
      <c r="M439" t="s">
        <v>23</v>
      </c>
      <c r="N439"/>
      <c r="O439"/>
      <c r="P439"/>
      <c r="Q439"/>
      <c r="R439"/>
      <c r="S439"/>
    </row>
    <row r="440" spans="1:19" x14ac:dyDescent="0.25">
      <c r="A440" t="s">
        <v>193</v>
      </c>
      <c r="C440" s="27" t="s">
        <v>34749</v>
      </c>
      <c r="D440" s="28" t="s">
        <v>34867</v>
      </c>
      <c r="J440" t="s">
        <v>1160</v>
      </c>
      <c r="K440" t="s">
        <v>1161</v>
      </c>
      <c r="L440" s="28" t="s">
        <v>1162</v>
      </c>
      <c r="M440" t="s">
        <v>23</v>
      </c>
      <c r="N440"/>
      <c r="O440"/>
      <c r="P440"/>
      <c r="Q440"/>
      <c r="R440"/>
      <c r="S440"/>
    </row>
    <row r="441" spans="1:19" x14ac:dyDescent="0.25">
      <c r="A441" t="s">
        <v>193</v>
      </c>
      <c r="C441" s="27" t="s">
        <v>34749</v>
      </c>
      <c r="D441" s="28" t="s">
        <v>34867</v>
      </c>
      <c r="J441" t="s">
        <v>1163</v>
      </c>
      <c r="K441" t="s">
        <v>1164</v>
      </c>
      <c r="L441" s="28" t="s">
        <v>1165</v>
      </c>
      <c r="M441" t="s">
        <v>23</v>
      </c>
      <c r="N441"/>
      <c r="O441"/>
      <c r="P441"/>
      <c r="Q441"/>
      <c r="R441"/>
      <c r="S441"/>
    </row>
    <row r="442" spans="1:19" x14ac:dyDescent="0.25">
      <c r="A442" t="s">
        <v>193</v>
      </c>
      <c r="C442" s="27" t="s">
        <v>34749</v>
      </c>
      <c r="D442" s="28" t="s">
        <v>34867</v>
      </c>
      <c r="J442" t="s">
        <v>1166</v>
      </c>
      <c r="K442" t="s">
        <v>1167</v>
      </c>
      <c r="L442" s="28" t="s">
        <v>1168</v>
      </c>
      <c r="M442" t="s">
        <v>23</v>
      </c>
      <c r="N442"/>
      <c r="O442"/>
      <c r="P442"/>
      <c r="Q442"/>
      <c r="R442"/>
      <c r="S442"/>
    </row>
    <row r="443" spans="1:19" x14ac:dyDescent="0.25">
      <c r="A443" t="s">
        <v>193</v>
      </c>
      <c r="C443" s="27" t="s">
        <v>34749</v>
      </c>
      <c r="D443" s="28" t="s">
        <v>34867</v>
      </c>
      <c r="J443" t="s">
        <v>1169</v>
      </c>
      <c r="K443" t="s">
        <v>1170</v>
      </c>
      <c r="L443" s="28" t="s">
        <v>1171</v>
      </c>
      <c r="M443" t="s">
        <v>23</v>
      </c>
      <c r="N443"/>
      <c r="O443"/>
      <c r="P443"/>
      <c r="Q443"/>
      <c r="R443"/>
      <c r="S443"/>
    </row>
    <row r="444" spans="1:19" x14ac:dyDescent="0.25">
      <c r="A444" t="s">
        <v>193</v>
      </c>
      <c r="C444" s="27" t="s">
        <v>34749</v>
      </c>
      <c r="D444" s="28" t="s">
        <v>34867</v>
      </c>
      <c r="J444" t="s">
        <v>1172</v>
      </c>
      <c r="K444" t="s">
        <v>1173</v>
      </c>
      <c r="L444" s="28" t="s">
        <v>1174</v>
      </c>
      <c r="M444" t="s">
        <v>23</v>
      </c>
      <c r="N444"/>
      <c r="O444"/>
      <c r="P444"/>
      <c r="Q444"/>
      <c r="R444"/>
      <c r="S444"/>
    </row>
    <row r="445" spans="1:19" x14ac:dyDescent="0.25">
      <c r="A445" t="s">
        <v>193</v>
      </c>
      <c r="C445" s="27" t="s">
        <v>34749</v>
      </c>
      <c r="D445" s="28" t="s">
        <v>34867</v>
      </c>
      <c r="J445" t="s">
        <v>1175</v>
      </c>
      <c r="K445" t="s">
        <v>1176</v>
      </c>
      <c r="L445" s="28" t="s">
        <v>1177</v>
      </c>
      <c r="M445" t="s">
        <v>23</v>
      </c>
      <c r="N445"/>
      <c r="O445"/>
      <c r="P445"/>
      <c r="Q445"/>
      <c r="R445"/>
      <c r="S445"/>
    </row>
    <row r="446" spans="1:19" x14ac:dyDescent="0.25">
      <c r="A446" t="s">
        <v>193</v>
      </c>
      <c r="C446" s="27" t="s">
        <v>34749</v>
      </c>
      <c r="D446" s="28" t="s">
        <v>34867</v>
      </c>
      <c r="J446" t="s">
        <v>1178</v>
      </c>
      <c r="K446" t="s">
        <v>1179</v>
      </c>
      <c r="L446" s="28" t="s">
        <v>1180</v>
      </c>
      <c r="M446" t="s">
        <v>23</v>
      </c>
      <c r="N446"/>
      <c r="O446"/>
      <c r="P446"/>
      <c r="Q446"/>
      <c r="R446"/>
      <c r="S446"/>
    </row>
    <row r="447" spans="1:19" x14ac:dyDescent="0.25">
      <c r="A447" t="s">
        <v>193</v>
      </c>
      <c r="C447" s="27" t="s">
        <v>34749</v>
      </c>
      <c r="D447" s="28" t="s">
        <v>34867</v>
      </c>
      <c r="J447" t="s">
        <v>1181</v>
      </c>
      <c r="K447" t="s">
        <v>1182</v>
      </c>
      <c r="L447" s="28" t="s">
        <v>1183</v>
      </c>
      <c r="M447" t="s">
        <v>23</v>
      </c>
      <c r="N447"/>
      <c r="O447"/>
      <c r="P447"/>
      <c r="Q447"/>
      <c r="R447"/>
      <c r="S447"/>
    </row>
    <row r="448" spans="1:19" x14ac:dyDescent="0.25">
      <c r="A448" t="s">
        <v>193</v>
      </c>
      <c r="C448" s="27" t="s">
        <v>34749</v>
      </c>
      <c r="D448" s="28" t="s">
        <v>34867</v>
      </c>
      <c r="J448" t="s">
        <v>1184</v>
      </c>
      <c r="K448" t="s">
        <v>1185</v>
      </c>
      <c r="L448" s="28" t="s">
        <v>1186</v>
      </c>
      <c r="M448" t="s">
        <v>23</v>
      </c>
      <c r="N448"/>
      <c r="O448"/>
      <c r="P448"/>
      <c r="Q448"/>
      <c r="R448"/>
      <c r="S448"/>
    </row>
    <row r="449" spans="1:19" x14ac:dyDescent="0.25">
      <c r="A449" t="s">
        <v>193</v>
      </c>
      <c r="C449" s="27" t="s">
        <v>34749</v>
      </c>
      <c r="D449" s="28" t="s">
        <v>34867</v>
      </c>
      <c r="J449" t="s">
        <v>1187</v>
      </c>
      <c r="K449" t="s">
        <v>1188</v>
      </c>
      <c r="L449" s="28" t="s">
        <v>1189</v>
      </c>
      <c r="M449" t="s">
        <v>23</v>
      </c>
      <c r="N449"/>
      <c r="O449"/>
      <c r="P449"/>
      <c r="Q449"/>
      <c r="R449"/>
      <c r="S449"/>
    </row>
    <row r="450" spans="1:19" x14ac:dyDescent="0.25">
      <c r="A450" t="s">
        <v>193</v>
      </c>
      <c r="C450" s="27" t="s">
        <v>34749</v>
      </c>
      <c r="D450" s="28" t="s">
        <v>34867</v>
      </c>
      <c r="J450" t="s">
        <v>1190</v>
      </c>
      <c r="K450" t="s">
        <v>1191</v>
      </c>
      <c r="L450" s="28" t="s">
        <v>1192</v>
      </c>
      <c r="M450" t="s">
        <v>23</v>
      </c>
      <c r="N450"/>
      <c r="O450"/>
      <c r="P450"/>
      <c r="Q450"/>
      <c r="R450"/>
      <c r="S450"/>
    </row>
    <row r="451" spans="1:19" x14ac:dyDescent="0.25">
      <c r="A451" t="s">
        <v>193</v>
      </c>
      <c r="C451" s="27" t="s">
        <v>34749</v>
      </c>
      <c r="D451" s="28" t="s">
        <v>34867</v>
      </c>
      <c r="J451" t="s">
        <v>1193</v>
      </c>
      <c r="K451" t="s">
        <v>1194</v>
      </c>
      <c r="L451" s="28" t="s">
        <v>1195</v>
      </c>
      <c r="M451" t="s">
        <v>23</v>
      </c>
      <c r="N451"/>
      <c r="O451"/>
      <c r="P451"/>
      <c r="Q451"/>
      <c r="R451"/>
      <c r="S451"/>
    </row>
    <row r="452" spans="1:19" x14ac:dyDescent="0.25">
      <c r="A452" t="s">
        <v>193</v>
      </c>
      <c r="C452" s="27" t="s">
        <v>34749</v>
      </c>
      <c r="D452" s="28" t="s">
        <v>34867</v>
      </c>
      <c r="J452" t="s">
        <v>1196</v>
      </c>
      <c r="K452" t="s">
        <v>1197</v>
      </c>
      <c r="L452" s="28" t="s">
        <v>1198</v>
      </c>
      <c r="M452" t="s">
        <v>23</v>
      </c>
      <c r="N452"/>
      <c r="O452"/>
      <c r="P452"/>
      <c r="Q452"/>
      <c r="R452"/>
      <c r="S452"/>
    </row>
    <row r="453" spans="1:19" x14ac:dyDescent="0.25">
      <c r="A453" t="s">
        <v>193</v>
      </c>
      <c r="C453" s="27" t="s">
        <v>34749</v>
      </c>
      <c r="D453" s="28" t="s">
        <v>34867</v>
      </c>
      <c r="J453" t="s">
        <v>1199</v>
      </c>
      <c r="K453" t="s">
        <v>1200</v>
      </c>
      <c r="L453" s="28" t="s">
        <v>1201</v>
      </c>
      <c r="M453" t="s">
        <v>23</v>
      </c>
      <c r="N453"/>
      <c r="O453"/>
      <c r="P453"/>
      <c r="Q453"/>
      <c r="R453"/>
      <c r="S453"/>
    </row>
    <row r="454" spans="1:19" x14ac:dyDescent="0.25">
      <c r="A454" t="s">
        <v>193</v>
      </c>
      <c r="C454" s="27" t="s">
        <v>34749</v>
      </c>
      <c r="D454" s="28" t="s">
        <v>34867</v>
      </c>
      <c r="J454" t="s">
        <v>1202</v>
      </c>
      <c r="K454" t="s">
        <v>1203</v>
      </c>
      <c r="L454" s="28" t="s">
        <v>1204</v>
      </c>
      <c r="M454" t="s">
        <v>23</v>
      </c>
      <c r="N454"/>
      <c r="O454"/>
      <c r="P454"/>
      <c r="Q454"/>
      <c r="R454"/>
      <c r="S454"/>
    </row>
    <row r="455" spans="1:19" x14ac:dyDescent="0.25">
      <c r="A455" t="s">
        <v>193</v>
      </c>
      <c r="C455" s="27" t="s">
        <v>34749</v>
      </c>
      <c r="D455" s="28" t="s">
        <v>34867</v>
      </c>
      <c r="J455" t="s">
        <v>1205</v>
      </c>
      <c r="K455" t="s">
        <v>1206</v>
      </c>
      <c r="L455" s="28" t="s">
        <v>1207</v>
      </c>
      <c r="M455" t="s">
        <v>23</v>
      </c>
      <c r="N455"/>
      <c r="O455"/>
      <c r="P455"/>
      <c r="Q455"/>
      <c r="R455"/>
      <c r="S455"/>
    </row>
    <row r="456" spans="1:19" x14ac:dyDescent="0.25">
      <c r="A456" t="s">
        <v>193</v>
      </c>
      <c r="C456" s="27" t="s">
        <v>34749</v>
      </c>
      <c r="D456" s="28" t="s">
        <v>34867</v>
      </c>
      <c r="J456" t="s">
        <v>1208</v>
      </c>
      <c r="K456" t="s">
        <v>1209</v>
      </c>
      <c r="L456" s="28" t="s">
        <v>1210</v>
      </c>
      <c r="M456" t="s">
        <v>23</v>
      </c>
      <c r="N456"/>
      <c r="O456"/>
      <c r="P456"/>
      <c r="Q456"/>
      <c r="R456"/>
      <c r="S456"/>
    </row>
    <row r="457" spans="1:19" x14ac:dyDescent="0.25">
      <c r="A457" t="s">
        <v>193</v>
      </c>
      <c r="C457" s="27" t="s">
        <v>34749</v>
      </c>
      <c r="D457" s="28" t="s">
        <v>34867</v>
      </c>
      <c r="J457" t="s">
        <v>1211</v>
      </c>
      <c r="K457" t="s">
        <v>1212</v>
      </c>
      <c r="L457" s="28" t="s">
        <v>1213</v>
      </c>
      <c r="M457" t="s">
        <v>23</v>
      </c>
      <c r="N457"/>
      <c r="O457"/>
      <c r="P457"/>
      <c r="Q457"/>
      <c r="R457"/>
      <c r="S457"/>
    </row>
    <row r="458" spans="1:19" x14ac:dyDescent="0.25">
      <c r="A458" t="s">
        <v>193</v>
      </c>
      <c r="C458" s="27" t="s">
        <v>34749</v>
      </c>
      <c r="D458" s="28" t="s">
        <v>34867</v>
      </c>
      <c r="J458" t="s">
        <v>1214</v>
      </c>
      <c r="K458" t="s">
        <v>1215</v>
      </c>
      <c r="L458" s="28" t="s">
        <v>1216</v>
      </c>
      <c r="M458" t="s">
        <v>23</v>
      </c>
      <c r="N458"/>
      <c r="O458"/>
      <c r="P458"/>
      <c r="Q458"/>
      <c r="R458"/>
      <c r="S458"/>
    </row>
    <row r="459" spans="1:19" x14ac:dyDescent="0.25">
      <c r="A459" t="s">
        <v>193</v>
      </c>
      <c r="C459" s="27" t="s">
        <v>34749</v>
      </c>
      <c r="D459" s="28" t="s">
        <v>34867</v>
      </c>
      <c r="J459" t="s">
        <v>1217</v>
      </c>
      <c r="K459" t="s">
        <v>1218</v>
      </c>
      <c r="L459" s="28" t="s">
        <v>1219</v>
      </c>
      <c r="M459" t="s">
        <v>23</v>
      </c>
      <c r="N459"/>
      <c r="O459"/>
      <c r="P459"/>
      <c r="Q459"/>
      <c r="R459"/>
      <c r="S459"/>
    </row>
    <row r="460" spans="1:19" x14ac:dyDescent="0.25">
      <c r="A460" t="s">
        <v>193</v>
      </c>
      <c r="C460" s="27" t="s">
        <v>34749</v>
      </c>
      <c r="D460" s="28" t="s">
        <v>34867</v>
      </c>
      <c r="J460" t="s">
        <v>1220</v>
      </c>
      <c r="K460" t="s">
        <v>1221</v>
      </c>
      <c r="L460" s="28" t="s">
        <v>1222</v>
      </c>
      <c r="M460" t="s">
        <v>23</v>
      </c>
      <c r="N460"/>
      <c r="O460"/>
      <c r="P460"/>
      <c r="Q460"/>
      <c r="R460"/>
      <c r="S460"/>
    </row>
    <row r="461" spans="1:19" x14ac:dyDescent="0.25">
      <c r="A461" t="s">
        <v>193</v>
      </c>
      <c r="C461" s="27" t="s">
        <v>34749</v>
      </c>
      <c r="D461" s="28" t="s">
        <v>34867</v>
      </c>
      <c r="J461" t="s">
        <v>1223</v>
      </c>
      <c r="K461" t="s">
        <v>1224</v>
      </c>
      <c r="L461" s="28" t="s">
        <v>1225</v>
      </c>
      <c r="M461" t="s">
        <v>23</v>
      </c>
      <c r="N461"/>
      <c r="O461"/>
      <c r="P461"/>
      <c r="Q461"/>
      <c r="R461"/>
      <c r="S461"/>
    </row>
    <row r="462" spans="1:19" x14ac:dyDescent="0.25">
      <c r="A462" t="s">
        <v>193</v>
      </c>
      <c r="C462" s="27" t="s">
        <v>34749</v>
      </c>
      <c r="D462" s="28" t="s">
        <v>34867</v>
      </c>
      <c r="J462" t="s">
        <v>1226</v>
      </c>
      <c r="K462" t="s">
        <v>1227</v>
      </c>
      <c r="L462" s="28" t="s">
        <v>1228</v>
      </c>
      <c r="M462" t="s">
        <v>23</v>
      </c>
      <c r="N462"/>
      <c r="O462"/>
      <c r="P462"/>
      <c r="Q462"/>
      <c r="R462"/>
      <c r="S462"/>
    </row>
    <row r="463" spans="1:19" x14ac:dyDescent="0.25">
      <c r="A463" t="s">
        <v>193</v>
      </c>
      <c r="C463" s="27" t="s">
        <v>34749</v>
      </c>
      <c r="D463" s="28" t="s">
        <v>34867</v>
      </c>
      <c r="J463" t="s">
        <v>1229</v>
      </c>
      <c r="K463" t="s">
        <v>1230</v>
      </c>
      <c r="L463" s="28" t="s">
        <v>1231</v>
      </c>
      <c r="M463" t="s">
        <v>23</v>
      </c>
      <c r="N463"/>
      <c r="O463"/>
      <c r="P463"/>
      <c r="Q463"/>
      <c r="R463"/>
      <c r="S463"/>
    </row>
    <row r="464" spans="1:19" x14ac:dyDescent="0.25">
      <c r="A464" t="s">
        <v>193</v>
      </c>
      <c r="C464" s="27" t="s">
        <v>34749</v>
      </c>
      <c r="D464" s="28" t="s">
        <v>34867</v>
      </c>
      <c r="J464" t="s">
        <v>1232</v>
      </c>
      <c r="K464" t="s">
        <v>1233</v>
      </c>
      <c r="L464" s="28" t="s">
        <v>1234</v>
      </c>
      <c r="M464" t="s">
        <v>23</v>
      </c>
      <c r="N464"/>
      <c r="O464"/>
      <c r="P464"/>
      <c r="Q464"/>
      <c r="R464"/>
      <c r="S464"/>
    </row>
    <row r="465" spans="1:19" x14ac:dyDescent="0.25">
      <c r="A465" t="s">
        <v>193</v>
      </c>
      <c r="C465" s="27" t="s">
        <v>34749</v>
      </c>
      <c r="D465" s="28" t="s">
        <v>34867</v>
      </c>
      <c r="J465" t="s">
        <v>1235</v>
      </c>
      <c r="K465" t="s">
        <v>1236</v>
      </c>
      <c r="L465" s="28" t="s">
        <v>1237</v>
      </c>
      <c r="M465" t="s">
        <v>23</v>
      </c>
      <c r="N465"/>
      <c r="O465"/>
      <c r="P465"/>
      <c r="Q465"/>
      <c r="R465"/>
      <c r="S465"/>
    </row>
    <row r="466" spans="1:19" x14ac:dyDescent="0.25">
      <c r="A466" t="s">
        <v>193</v>
      </c>
      <c r="C466" s="27" t="s">
        <v>34749</v>
      </c>
      <c r="D466" s="28" t="s">
        <v>34867</v>
      </c>
      <c r="J466" t="s">
        <v>1238</v>
      </c>
      <c r="K466" t="s">
        <v>1239</v>
      </c>
      <c r="L466" s="28" t="s">
        <v>1240</v>
      </c>
      <c r="M466" t="s">
        <v>23</v>
      </c>
      <c r="N466"/>
      <c r="O466"/>
      <c r="P466"/>
      <c r="Q466"/>
      <c r="R466"/>
      <c r="S466"/>
    </row>
    <row r="467" spans="1:19" x14ac:dyDescent="0.25">
      <c r="A467" t="s">
        <v>193</v>
      </c>
      <c r="C467" s="27" t="s">
        <v>34749</v>
      </c>
      <c r="D467" s="28" t="s">
        <v>34867</v>
      </c>
      <c r="J467" t="s">
        <v>1241</v>
      </c>
      <c r="K467" t="s">
        <v>1242</v>
      </c>
      <c r="L467" s="28" t="s">
        <v>1243</v>
      </c>
      <c r="M467" t="s">
        <v>23</v>
      </c>
      <c r="N467"/>
      <c r="O467"/>
      <c r="P467"/>
      <c r="Q467"/>
      <c r="R467"/>
      <c r="S467"/>
    </row>
    <row r="468" spans="1:19" x14ac:dyDescent="0.25">
      <c r="A468" t="s">
        <v>193</v>
      </c>
      <c r="C468" s="27" t="s">
        <v>34749</v>
      </c>
      <c r="D468" s="28" t="s">
        <v>34867</v>
      </c>
      <c r="J468" t="s">
        <v>1244</v>
      </c>
      <c r="K468" t="s">
        <v>1245</v>
      </c>
      <c r="L468" s="28" t="s">
        <v>1246</v>
      </c>
      <c r="M468" t="s">
        <v>23</v>
      </c>
      <c r="N468"/>
      <c r="O468"/>
      <c r="P468"/>
      <c r="Q468"/>
      <c r="R468"/>
      <c r="S468"/>
    </row>
    <row r="469" spans="1:19" x14ac:dyDescent="0.25">
      <c r="A469" t="s">
        <v>193</v>
      </c>
      <c r="C469" s="27" t="s">
        <v>34749</v>
      </c>
      <c r="D469" s="28" t="s">
        <v>34867</v>
      </c>
      <c r="J469" t="s">
        <v>1247</v>
      </c>
      <c r="K469" t="s">
        <v>1248</v>
      </c>
      <c r="L469" s="28" t="s">
        <v>1249</v>
      </c>
      <c r="M469" t="s">
        <v>23</v>
      </c>
      <c r="N469"/>
      <c r="O469"/>
      <c r="P469"/>
      <c r="Q469"/>
      <c r="R469"/>
      <c r="S469"/>
    </row>
    <row r="470" spans="1:19" x14ac:dyDescent="0.25">
      <c r="A470" t="s">
        <v>193</v>
      </c>
      <c r="C470" s="27" t="s">
        <v>34749</v>
      </c>
      <c r="D470" s="28" t="s">
        <v>34867</v>
      </c>
      <c r="J470" t="s">
        <v>1250</v>
      </c>
      <c r="K470" t="s">
        <v>1251</v>
      </c>
      <c r="L470" s="28" t="s">
        <v>1252</v>
      </c>
      <c r="M470" t="s">
        <v>23</v>
      </c>
      <c r="N470"/>
      <c r="O470"/>
      <c r="P470"/>
      <c r="Q470"/>
      <c r="R470"/>
      <c r="S470"/>
    </row>
    <row r="471" spans="1:19" x14ac:dyDescent="0.25">
      <c r="A471" t="s">
        <v>193</v>
      </c>
      <c r="C471" s="27" t="s">
        <v>34749</v>
      </c>
      <c r="D471" s="28" t="s">
        <v>34867</v>
      </c>
      <c r="J471" t="s">
        <v>1253</v>
      </c>
      <c r="K471" t="s">
        <v>1254</v>
      </c>
      <c r="L471" s="28" t="s">
        <v>1255</v>
      </c>
      <c r="M471" t="s">
        <v>23</v>
      </c>
      <c r="N471"/>
      <c r="O471"/>
      <c r="P471"/>
      <c r="Q471"/>
      <c r="R471"/>
      <c r="S471"/>
    </row>
    <row r="472" spans="1:19" x14ac:dyDescent="0.25">
      <c r="A472" t="s">
        <v>193</v>
      </c>
      <c r="C472" s="27" t="s">
        <v>34749</v>
      </c>
      <c r="D472" s="28" t="s">
        <v>34867</v>
      </c>
      <c r="J472" t="s">
        <v>1256</v>
      </c>
      <c r="K472" t="s">
        <v>1257</v>
      </c>
      <c r="L472" s="28" t="s">
        <v>1258</v>
      </c>
      <c r="M472" t="s">
        <v>23</v>
      </c>
      <c r="N472"/>
      <c r="O472"/>
      <c r="P472"/>
      <c r="Q472"/>
      <c r="R472"/>
      <c r="S472"/>
    </row>
    <row r="473" spans="1:19" x14ac:dyDescent="0.25">
      <c r="A473" t="s">
        <v>193</v>
      </c>
      <c r="C473" s="27" t="s">
        <v>34749</v>
      </c>
      <c r="D473" s="28" t="s">
        <v>34867</v>
      </c>
      <c r="J473" t="s">
        <v>1259</v>
      </c>
      <c r="K473" t="s">
        <v>1260</v>
      </c>
      <c r="L473" s="28" t="s">
        <v>1261</v>
      </c>
      <c r="M473" t="s">
        <v>23</v>
      </c>
      <c r="N473"/>
      <c r="O473"/>
      <c r="P473"/>
      <c r="Q473"/>
      <c r="R473"/>
      <c r="S473"/>
    </row>
    <row r="474" spans="1:19" x14ac:dyDescent="0.25">
      <c r="A474" t="s">
        <v>193</v>
      </c>
      <c r="C474" s="27" t="s">
        <v>34749</v>
      </c>
      <c r="D474" s="28" t="s">
        <v>34867</v>
      </c>
      <c r="J474" t="s">
        <v>1262</v>
      </c>
      <c r="K474" t="s">
        <v>1263</v>
      </c>
      <c r="L474" s="28" t="s">
        <v>1264</v>
      </c>
      <c r="M474" t="s">
        <v>23</v>
      </c>
      <c r="N474"/>
      <c r="O474"/>
      <c r="P474"/>
      <c r="Q474"/>
      <c r="R474"/>
      <c r="S474"/>
    </row>
    <row r="475" spans="1:19" x14ac:dyDescent="0.25">
      <c r="A475" t="s">
        <v>193</v>
      </c>
      <c r="C475" s="27" t="s">
        <v>34749</v>
      </c>
      <c r="D475" s="28" t="s">
        <v>34867</v>
      </c>
      <c r="J475" t="s">
        <v>1265</v>
      </c>
      <c r="K475" t="s">
        <v>1266</v>
      </c>
      <c r="L475" s="28" t="s">
        <v>1267</v>
      </c>
      <c r="M475" t="s">
        <v>23</v>
      </c>
      <c r="N475"/>
      <c r="O475"/>
      <c r="P475"/>
      <c r="Q475"/>
      <c r="R475"/>
      <c r="S475"/>
    </row>
    <row r="476" spans="1:19" x14ac:dyDescent="0.25">
      <c r="A476" t="s">
        <v>193</v>
      </c>
      <c r="C476" s="27" t="s">
        <v>34749</v>
      </c>
      <c r="D476" s="28" t="s">
        <v>34867</v>
      </c>
      <c r="J476" t="s">
        <v>1268</v>
      </c>
      <c r="K476" t="s">
        <v>1269</v>
      </c>
      <c r="L476" s="28" t="s">
        <v>1270</v>
      </c>
      <c r="M476" t="s">
        <v>23</v>
      </c>
      <c r="N476"/>
      <c r="O476"/>
      <c r="P476"/>
      <c r="Q476"/>
      <c r="R476"/>
      <c r="S476"/>
    </row>
    <row r="477" spans="1:19" x14ac:dyDescent="0.25">
      <c r="A477" t="s">
        <v>193</v>
      </c>
      <c r="C477" s="27" t="s">
        <v>34749</v>
      </c>
      <c r="D477" s="28" t="s">
        <v>34867</v>
      </c>
      <c r="J477" t="s">
        <v>1271</v>
      </c>
      <c r="K477" t="s">
        <v>1272</v>
      </c>
      <c r="L477" s="28" t="s">
        <v>1273</v>
      </c>
      <c r="M477" t="s">
        <v>23</v>
      </c>
      <c r="N477"/>
      <c r="O477"/>
      <c r="P477"/>
      <c r="Q477"/>
      <c r="R477"/>
      <c r="S477"/>
    </row>
    <row r="478" spans="1:19" x14ac:dyDescent="0.25">
      <c r="A478" t="s">
        <v>193</v>
      </c>
      <c r="C478" s="27" t="s">
        <v>34749</v>
      </c>
      <c r="D478" s="28" t="s">
        <v>34867</v>
      </c>
      <c r="J478" t="s">
        <v>1274</v>
      </c>
      <c r="K478" t="s">
        <v>1275</v>
      </c>
      <c r="L478" s="28" t="s">
        <v>1276</v>
      </c>
      <c r="M478" t="s">
        <v>23</v>
      </c>
      <c r="N478"/>
      <c r="O478"/>
      <c r="P478"/>
      <c r="Q478"/>
      <c r="R478"/>
      <c r="S478"/>
    </row>
    <row r="479" spans="1:19" x14ac:dyDescent="0.25">
      <c r="A479" t="s">
        <v>193</v>
      </c>
      <c r="C479" s="27" t="s">
        <v>34749</v>
      </c>
      <c r="D479" s="28" t="s">
        <v>34867</v>
      </c>
      <c r="J479" t="s">
        <v>1277</v>
      </c>
      <c r="K479" t="s">
        <v>1278</v>
      </c>
      <c r="L479" s="28" t="s">
        <v>1279</v>
      </c>
      <c r="M479" t="s">
        <v>23</v>
      </c>
      <c r="N479"/>
      <c r="O479"/>
      <c r="P479"/>
      <c r="Q479"/>
      <c r="R479"/>
      <c r="S479"/>
    </row>
    <row r="480" spans="1:19" x14ac:dyDescent="0.25">
      <c r="A480" t="s">
        <v>193</v>
      </c>
      <c r="C480" s="27" t="s">
        <v>34749</v>
      </c>
      <c r="D480" s="28" t="s">
        <v>34867</v>
      </c>
      <c r="E480" s="3"/>
      <c r="F480" s="3"/>
      <c r="J480" t="s">
        <v>1280</v>
      </c>
      <c r="K480" t="s">
        <v>1281</v>
      </c>
      <c r="L480" s="28" t="s">
        <v>1282</v>
      </c>
      <c r="M480" t="s">
        <v>23</v>
      </c>
      <c r="N480"/>
      <c r="O480"/>
      <c r="P480"/>
      <c r="Q480"/>
      <c r="R480"/>
      <c r="S480"/>
    </row>
    <row r="481" spans="1:19" x14ac:dyDescent="0.25">
      <c r="A481" t="s">
        <v>193</v>
      </c>
      <c r="C481" s="27" t="s">
        <v>34749</v>
      </c>
      <c r="D481" s="28" t="s">
        <v>34867</v>
      </c>
      <c r="J481" t="s">
        <v>1283</v>
      </c>
      <c r="K481" t="s">
        <v>1284</v>
      </c>
      <c r="L481" s="28" t="s">
        <v>1285</v>
      </c>
      <c r="M481" t="s">
        <v>23</v>
      </c>
      <c r="N481"/>
      <c r="O481"/>
      <c r="P481"/>
      <c r="Q481"/>
      <c r="R481"/>
      <c r="S481"/>
    </row>
    <row r="482" spans="1:19" x14ac:dyDescent="0.25">
      <c r="A482" t="s">
        <v>193</v>
      </c>
      <c r="C482" s="27" t="s">
        <v>34749</v>
      </c>
      <c r="D482" s="28" t="s">
        <v>34867</v>
      </c>
      <c r="J482" t="s">
        <v>1286</v>
      </c>
      <c r="K482" t="s">
        <v>1287</v>
      </c>
      <c r="L482" s="28" t="s">
        <v>1288</v>
      </c>
      <c r="M482" t="s">
        <v>23</v>
      </c>
      <c r="N482"/>
      <c r="O482"/>
      <c r="P482"/>
      <c r="Q482"/>
      <c r="R482"/>
      <c r="S482"/>
    </row>
    <row r="483" spans="1:19" x14ac:dyDescent="0.25">
      <c r="A483" t="s">
        <v>193</v>
      </c>
      <c r="C483" s="27" t="s">
        <v>34749</v>
      </c>
      <c r="D483" s="28" t="s">
        <v>34867</v>
      </c>
      <c r="J483" t="s">
        <v>1289</v>
      </c>
      <c r="K483" t="s">
        <v>1290</v>
      </c>
      <c r="L483" s="28" t="s">
        <v>1291</v>
      </c>
      <c r="M483" t="s">
        <v>23</v>
      </c>
      <c r="N483"/>
      <c r="O483"/>
      <c r="P483"/>
      <c r="Q483"/>
      <c r="R483"/>
      <c r="S483"/>
    </row>
    <row r="484" spans="1:19" x14ac:dyDescent="0.25">
      <c r="A484" t="s">
        <v>193</v>
      </c>
      <c r="C484" s="27" t="s">
        <v>34749</v>
      </c>
      <c r="D484" s="28" t="s">
        <v>34867</v>
      </c>
      <c r="J484" t="s">
        <v>1292</v>
      </c>
      <c r="K484" t="s">
        <v>1293</v>
      </c>
      <c r="L484" s="28" t="s">
        <v>1294</v>
      </c>
      <c r="M484" t="s">
        <v>23</v>
      </c>
      <c r="N484"/>
      <c r="O484"/>
      <c r="P484"/>
      <c r="Q484"/>
      <c r="R484"/>
      <c r="S484"/>
    </row>
    <row r="485" spans="1:19" x14ac:dyDescent="0.25">
      <c r="A485" t="s">
        <v>193</v>
      </c>
      <c r="C485" s="27" t="s">
        <v>34749</v>
      </c>
      <c r="D485" s="28" t="s">
        <v>34867</v>
      </c>
      <c r="J485" t="s">
        <v>1295</v>
      </c>
      <c r="K485" t="s">
        <v>1296</v>
      </c>
      <c r="L485" s="28" t="s">
        <v>1297</v>
      </c>
      <c r="M485" t="s">
        <v>23</v>
      </c>
      <c r="N485"/>
      <c r="O485"/>
      <c r="P485"/>
      <c r="Q485"/>
      <c r="R485"/>
      <c r="S485"/>
    </row>
    <row r="486" spans="1:19" x14ac:dyDescent="0.25">
      <c r="A486" t="s">
        <v>193</v>
      </c>
      <c r="C486" s="27" t="s">
        <v>34749</v>
      </c>
      <c r="D486" s="28" t="s">
        <v>34867</v>
      </c>
      <c r="J486" t="s">
        <v>1298</v>
      </c>
      <c r="K486" t="s">
        <v>1299</v>
      </c>
      <c r="L486" s="28" t="s">
        <v>1300</v>
      </c>
      <c r="M486" t="s">
        <v>23</v>
      </c>
      <c r="N486"/>
      <c r="O486"/>
      <c r="P486"/>
      <c r="Q486"/>
      <c r="R486"/>
      <c r="S486"/>
    </row>
    <row r="487" spans="1:19" x14ac:dyDescent="0.25">
      <c r="A487" t="s">
        <v>193</v>
      </c>
      <c r="C487" s="27" t="s">
        <v>34749</v>
      </c>
      <c r="D487" s="28" t="s">
        <v>34867</v>
      </c>
      <c r="J487" t="s">
        <v>1301</v>
      </c>
      <c r="K487" t="s">
        <v>1302</v>
      </c>
      <c r="L487" s="28" t="s">
        <v>1303</v>
      </c>
      <c r="M487" t="s">
        <v>23</v>
      </c>
      <c r="N487"/>
      <c r="O487"/>
      <c r="P487"/>
      <c r="Q487"/>
      <c r="R487"/>
      <c r="S487"/>
    </row>
    <row r="488" spans="1:19" x14ac:dyDescent="0.25">
      <c r="A488" t="s">
        <v>193</v>
      </c>
      <c r="C488" s="27" t="s">
        <v>34749</v>
      </c>
      <c r="D488" s="28" t="s">
        <v>34867</v>
      </c>
      <c r="J488" t="s">
        <v>1304</v>
      </c>
      <c r="K488" t="s">
        <v>1305</v>
      </c>
      <c r="L488" s="28" t="s">
        <v>1306</v>
      </c>
      <c r="M488" t="s">
        <v>23</v>
      </c>
      <c r="N488"/>
      <c r="O488"/>
      <c r="P488"/>
      <c r="Q488"/>
      <c r="R488"/>
      <c r="S488"/>
    </row>
    <row r="489" spans="1:19" x14ac:dyDescent="0.25">
      <c r="A489" t="s">
        <v>193</v>
      </c>
      <c r="C489" s="27" t="s">
        <v>34749</v>
      </c>
      <c r="D489" s="28" t="s">
        <v>34867</v>
      </c>
      <c r="J489" t="s">
        <v>1307</v>
      </c>
      <c r="K489" t="s">
        <v>1308</v>
      </c>
      <c r="L489" s="28" t="s">
        <v>1309</v>
      </c>
      <c r="M489" t="s">
        <v>23</v>
      </c>
      <c r="N489"/>
      <c r="O489"/>
      <c r="P489"/>
      <c r="Q489"/>
      <c r="R489"/>
      <c r="S489"/>
    </row>
    <row r="490" spans="1:19" x14ac:dyDescent="0.25">
      <c r="A490" t="s">
        <v>193</v>
      </c>
      <c r="C490" s="27" t="s">
        <v>34749</v>
      </c>
      <c r="D490" s="28" t="s">
        <v>34867</v>
      </c>
      <c r="J490" t="s">
        <v>1310</v>
      </c>
      <c r="K490" t="s">
        <v>1311</v>
      </c>
      <c r="L490" s="28" t="s">
        <v>1312</v>
      </c>
      <c r="M490" t="s">
        <v>23</v>
      </c>
      <c r="N490"/>
      <c r="O490"/>
      <c r="P490"/>
      <c r="Q490"/>
      <c r="R490"/>
      <c r="S490"/>
    </row>
    <row r="491" spans="1:19" x14ac:dyDescent="0.25">
      <c r="A491" t="s">
        <v>193</v>
      </c>
      <c r="C491" s="27" t="s">
        <v>34749</v>
      </c>
      <c r="D491" s="28" t="s">
        <v>34867</v>
      </c>
      <c r="J491" t="s">
        <v>1313</v>
      </c>
      <c r="K491" t="s">
        <v>1314</v>
      </c>
      <c r="L491" s="28" t="s">
        <v>1315</v>
      </c>
      <c r="M491" t="s">
        <v>23</v>
      </c>
      <c r="N491"/>
      <c r="O491"/>
      <c r="P491"/>
      <c r="Q491"/>
      <c r="R491"/>
      <c r="S491"/>
    </row>
    <row r="492" spans="1:19" x14ac:dyDescent="0.25">
      <c r="A492" t="s">
        <v>193</v>
      </c>
      <c r="C492" s="27" t="s">
        <v>34749</v>
      </c>
      <c r="D492" s="28" t="s">
        <v>34867</v>
      </c>
      <c r="J492" t="s">
        <v>1316</v>
      </c>
      <c r="K492" t="s">
        <v>1317</v>
      </c>
      <c r="L492" s="28" t="s">
        <v>1318</v>
      </c>
      <c r="M492" t="s">
        <v>23</v>
      </c>
      <c r="N492"/>
      <c r="O492"/>
      <c r="P492"/>
      <c r="Q492"/>
      <c r="R492"/>
      <c r="S492"/>
    </row>
    <row r="493" spans="1:19" x14ac:dyDescent="0.25">
      <c r="A493" t="s">
        <v>193</v>
      </c>
      <c r="C493" s="27" t="s">
        <v>34749</v>
      </c>
      <c r="D493" s="28" t="s">
        <v>34867</v>
      </c>
      <c r="J493" t="s">
        <v>1319</v>
      </c>
      <c r="K493" t="s">
        <v>1320</v>
      </c>
      <c r="L493" s="28" t="s">
        <v>1321</v>
      </c>
      <c r="M493" t="s">
        <v>23</v>
      </c>
      <c r="N493"/>
      <c r="O493"/>
      <c r="P493"/>
      <c r="Q493"/>
      <c r="R493"/>
      <c r="S493"/>
    </row>
    <row r="494" spans="1:19" x14ac:dyDescent="0.25">
      <c r="A494" t="s">
        <v>193</v>
      </c>
      <c r="C494" s="27" t="s">
        <v>34749</v>
      </c>
      <c r="D494" s="28" t="s">
        <v>34867</v>
      </c>
      <c r="J494" t="s">
        <v>1322</v>
      </c>
      <c r="K494" t="s">
        <v>1323</v>
      </c>
      <c r="L494" s="28" t="s">
        <v>1324</v>
      </c>
      <c r="M494" t="s">
        <v>23</v>
      </c>
      <c r="N494"/>
      <c r="O494"/>
      <c r="P494"/>
      <c r="Q494"/>
      <c r="R494"/>
      <c r="S494"/>
    </row>
    <row r="495" spans="1:19" x14ac:dyDescent="0.25">
      <c r="A495" t="s">
        <v>193</v>
      </c>
      <c r="C495" s="27" t="s">
        <v>34749</v>
      </c>
      <c r="D495" s="28" t="s">
        <v>34867</v>
      </c>
      <c r="I495" t="str">
        <f>CONCATENATE(LEFT(K495,SEARCH(" (",K495))," | ", RIGHT(LEFT(K495,LEN(K495)-1),LEN(K495)-2-FIND(" (",K495)))</f>
        <v>1-isopropyl-3-methyl-benzeen  | m-cymeen</v>
      </c>
      <c r="J495" t="s">
        <v>1325</v>
      </c>
      <c r="K495" t="s">
        <v>1326</v>
      </c>
      <c r="L495" s="28" t="s">
        <v>1327</v>
      </c>
      <c r="M495" t="s">
        <v>23</v>
      </c>
      <c r="N495"/>
      <c r="O495"/>
      <c r="P495"/>
      <c r="Q495"/>
      <c r="R495"/>
      <c r="S495"/>
    </row>
    <row r="496" spans="1:19" x14ac:dyDescent="0.25">
      <c r="A496" t="s">
        <v>193</v>
      </c>
      <c r="C496" s="27" t="s">
        <v>34749</v>
      </c>
      <c r="D496" s="28" t="s">
        <v>34867</v>
      </c>
      <c r="J496" t="s">
        <v>1328</v>
      </c>
      <c r="K496" t="s">
        <v>1329</v>
      </c>
      <c r="L496" s="28" t="s">
        <v>1330</v>
      </c>
      <c r="M496" t="s">
        <v>23</v>
      </c>
      <c r="N496"/>
      <c r="O496"/>
      <c r="P496"/>
      <c r="Q496"/>
      <c r="R496"/>
      <c r="S496"/>
    </row>
    <row r="497" spans="1:19" x14ac:dyDescent="0.25">
      <c r="A497" t="s">
        <v>193</v>
      </c>
      <c r="C497" s="27" t="s">
        <v>34749</v>
      </c>
      <c r="D497" s="28" t="s">
        <v>34867</v>
      </c>
      <c r="J497" t="s">
        <v>1331</v>
      </c>
      <c r="K497" t="s">
        <v>1332</v>
      </c>
      <c r="L497" s="28" t="s">
        <v>1333</v>
      </c>
      <c r="M497" t="s">
        <v>23</v>
      </c>
      <c r="N497"/>
      <c r="O497"/>
      <c r="P497"/>
      <c r="Q497"/>
      <c r="R497"/>
      <c r="S497"/>
    </row>
    <row r="498" spans="1:19" x14ac:dyDescent="0.25">
      <c r="A498" t="s">
        <v>193</v>
      </c>
      <c r="C498" s="27" t="s">
        <v>34749</v>
      </c>
      <c r="D498" s="28" t="s">
        <v>34867</v>
      </c>
      <c r="J498" t="s">
        <v>1334</v>
      </c>
      <c r="K498" t="s">
        <v>1335</v>
      </c>
      <c r="L498" s="28" t="s">
        <v>1336</v>
      </c>
      <c r="M498" t="s">
        <v>23</v>
      </c>
      <c r="N498"/>
      <c r="O498"/>
      <c r="P498"/>
      <c r="Q498"/>
      <c r="R498"/>
      <c r="S498"/>
    </row>
    <row r="499" spans="1:19" x14ac:dyDescent="0.25">
      <c r="A499" t="s">
        <v>193</v>
      </c>
      <c r="C499" s="27" t="s">
        <v>34749</v>
      </c>
      <c r="D499" s="28" t="s">
        <v>34867</v>
      </c>
      <c r="J499" t="s">
        <v>1337</v>
      </c>
      <c r="K499" t="s">
        <v>1338</v>
      </c>
      <c r="L499" s="28" t="s">
        <v>1339</v>
      </c>
      <c r="M499" t="s">
        <v>23</v>
      </c>
      <c r="N499"/>
      <c r="O499"/>
      <c r="P499"/>
      <c r="Q499"/>
      <c r="R499"/>
      <c r="S499"/>
    </row>
    <row r="500" spans="1:19" x14ac:dyDescent="0.25">
      <c r="A500" t="s">
        <v>193</v>
      </c>
      <c r="C500" s="27" t="s">
        <v>34749</v>
      </c>
      <c r="D500" s="28" t="s">
        <v>34867</v>
      </c>
      <c r="J500" t="s">
        <v>1340</v>
      </c>
      <c r="K500" t="s">
        <v>1341</v>
      </c>
      <c r="L500" s="28" t="s">
        <v>1342</v>
      </c>
      <c r="M500" t="s">
        <v>23</v>
      </c>
      <c r="N500"/>
      <c r="O500"/>
      <c r="P500"/>
      <c r="Q500"/>
      <c r="R500"/>
      <c r="S500"/>
    </row>
    <row r="501" spans="1:19" x14ac:dyDescent="0.25">
      <c r="A501" t="s">
        <v>193</v>
      </c>
      <c r="C501" s="27" t="s">
        <v>34749</v>
      </c>
      <c r="D501" s="28" t="s">
        <v>34867</v>
      </c>
      <c r="J501" t="s">
        <v>1343</v>
      </c>
      <c r="K501" t="s">
        <v>1344</v>
      </c>
      <c r="L501" s="28" t="s">
        <v>1345</v>
      </c>
      <c r="M501" t="s">
        <v>23</v>
      </c>
      <c r="N501"/>
      <c r="O501"/>
      <c r="P501"/>
      <c r="Q501"/>
      <c r="R501"/>
      <c r="S501"/>
    </row>
    <row r="502" spans="1:19" x14ac:dyDescent="0.25">
      <c r="A502" t="s">
        <v>193</v>
      </c>
      <c r="C502" s="27" t="s">
        <v>34749</v>
      </c>
      <c r="D502" s="28" t="s">
        <v>34867</v>
      </c>
      <c r="J502" t="s">
        <v>1346</v>
      </c>
      <c r="K502" t="s">
        <v>1347</v>
      </c>
      <c r="L502" s="28" t="s">
        <v>1348</v>
      </c>
      <c r="M502" t="s">
        <v>23</v>
      </c>
      <c r="N502"/>
      <c r="O502"/>
      <c r="P502"/>
      <c r="Q502"/>
      <c r="R502"/>
      <c r="S502"/>
    </row>
    <row r="503" spans="1:19" x14ac:dyDescent="0.25">
      <c r="A503" t="s">
        <v>193</v>
      </c>
      <c r="C503" s="27" t="s">
        <v>34749</v>
      </c>
      <c r="D503" s="28" t="s">
        <v>34867</v>
      </c>
      <c r="J503" t="s">
        <v>1349</v>
      </c>
      <c r="K503" t="s">
        <v>1350</v>
      </c>
      <c r="L503" s="28" t="s">
        <v>1351</v>
      </c>
      <c r="M503" t="s">
        <v>23</v>
      </c>
      <c r="N503"/>
      <c r="O503"/>
      <c r="P503"/>
      <c r="Q503"/>
      <c r="R503"/>
      <c r="S503"/>
    </row>
    <row r="504" spans="1:19" x14ac:dyDescent="0.25">
      <c r="A504" t="s">
        <v>193</v>
      </c>
      <c r="C504" s="27" t="s">
        <v>34749</v>
      </c>
      <c r="D504" s="28" t="s">
        <v>34867</v>
      </c>
      <c r="J504" t="s">
        <v>1352</v>
      </c>
      <c r="K504" t="s">
        <v>1353</v>
      </c>
      <c r="L504" s="28" t="s">
        <v>1354</v>
      </c>
      <c r="M504" t="s">
        <v>23</v>
      </c>
      <c r="N504"/>
      <c r="O504"/>
      <c r="P504"/>
      <c r="Q504"/>
      <c r="R504"/>
      <c r="S504"/>
    </row>
    <row r="505" spans="1:19" x14ac:dyDescent="0.25">
      <c r="A505" t="s">
        <v>193</v>
      </c>
      <c r="C505" s="27" t="s">
        <v>34749</v>
      </c>
      <c r="D505" s="28" t="s">
        <v>34867</v>
      </c>
      <c r="J505" t="s">
        <v>1355</v>
      </c>
      <c r="K505" t="s">
        <v>1356</v>
      </c>
      <c r="L505" s="28" t="s">
        <v>1357</v>
      </c>
      <c r="M505" t="s">
        <v>23</v>
      </c>
      <c r="N505"/>
      <c r="O505"/>
      <c r="P505"/>
      <c r="Q505"/>
      <c r="R505"/>
      <c r="S505"/>
    </row>
    <row r="506" spans="1:19" x14ac:dyDescent="0.25">
      <c r="A506" t="s">
        <v>193</v>
      </c>
      <c r="C506" s="27" t="s">
        <v>34749</v>
      </c>
      <c r="D506" s="28" t="s">
        <v>34867</v>
      </c>
      <c r="J506" t="s">
        <v>1358</v>
      </c>
      <c r="K506" t="s">
        <v>1359</v>
      </c>
      <c r="L506" s="28" t="s">
        <v>1360</v>
      </c>
      <c r="M506" t="s">
        <v>23</v>
      </c>
      <c r="N506"/>
      <c r="O506"/>
      <c r="P506"/>
      <c r="Q506"/>
      <c r="R506"/>
      <c r="S506"/>
    </row>
    <row r="507" spans="1:19" x14ac:dyDescent="0.25">
      <c r="A507" t="s">
        <v>193</v>
      </c>
      <c r="C507" s="27" t="s">
        <v>34749</v>
      </c>
      <c r="D507" s="28" t="s">
        <v>34867</v>
      </c>
      <c r="J507" t="s">
        <v>1361</v>
      </c>
      <c r="K507" t="s">
        <v>1362</v>
      </c>
      <c r="L507" s="28" t="s">
        <v>1363</v>
      </c>
      <c r="M507" t="s">
        <v>23</v>
      </c>
      <c r="N507"/>
      <c r="O507"/>
      <c r="P507"/>
      <c r="Q507"/>
      <c r="R507"/>
      <c r="S507"/>
    </row>
    <row r="508" spans="1:19" x14ac:dyDescent="0.25">
      <c r="A508" t="s">
        <v>193</v>
      </c>
      <c r="C508" s="27" t="s">
        <v>34749</v>
      </c>
      <c r="D508" s="28" t="s">
        <v>34867</v>
      </c>
      <c r="J508" t="s">
        <v>1364</v>
      </c>
      <c r="K508" t="s">
        <v>1365</v>
      </c>
      <c r="L508" s="28" t="s">
        <v>1366</v>
      </c>
      <c r="M508" t="s">
        <v>23</v>
      </c>
      <c r="N508"/>
      <c r="O508"/>
      <c r="P508"/>
      <c r="Q508"/>
      <c r="R508"/>
      <c r="S508"/>
    </row>
    <row r="509" spans="1:19" x14ac:dyDescent="0.25">
      <c r="A509" t="s">
        <v>193</v>
      </c>
      <c r="C509" s="27" t="s">
        <v>34749</v>
      </c>
      <c r="D509" s="28" t="s">
        <v>34867</v>
      </c>
      <c r="J509" t="s">
        <v>1367</v>
      </c>
      <c r="K509" t="s">
        <v>1368</v>
      </c>
      <c r="L509" s="28" t="s">
        <v>1369</v>
      </c>
      <c r="M509" t="s">
        <v>23</v>
      </c>
      <c r="N509"/>
      <c r="O509"/>
      <c r="P509"/>
      <c r="Q509"/>
      <c r="R509"/>
      <c r="S509"/>
    </row>
    <row r="510" spans="1:19" x14ac:dyDescent="0.25">
      <c r="A510" t="s">
        <v>193</v>
      </c>
      <c r="C510" s="27" t="s">
        <v>34749</v>
      </c>
      <c r="D510" s="28" t="s">
        <v>34867</v>
      </c>
      <c r="J510" t="s">
        <v>1370</v>
      </c>
      <c r="K510" t="s">
        <v>1371</v>
      </c>
      <c r="L510" s="28" t="s">
        <v>1372</v>
      </c>
      <c r="M510" t="s">
        <v>23</v>
      </c>
      <c r="N510"/>
      <c r="O510"/>
      <c r="P510"/>
      <c r="Q510"/>
      <c r="R510"/>
      <c r="S510"/>
    </row>
    <row r="511" spans="1:19" x14ac:dyDescent="0.25">
      <c r="A511" t="s">
        <v>193</v>
      </c>
      <c r="C511" s="27" t="s">
        <v>34749</v>
      </c>
      <c r="D511" s="28" t="s">
        <v>34867</v>
      </c>
      <c r="J511" t="s">
        <v>1373</v>
      </c>
      <c r="K511" t="s">
        <v>1374</v>
      </c>
      <c r="L511" s="28" t="s">
        <v>1375</v>
      </c>
      <c r="M511" t="s">
        <v>23</v>
      </c>
      <c r="N511"/>
      <c r="O511"/>
      <c r="P511"/>
      <c r="Q511"/>
      <c r="R511"/>
      <c r="S511"/>
    </row>
    <row r="512" spans="1:19" x14ac:dyDescent="0.25">
      <c r="A512" t="s">
        <v>193</v>
      </c>
      <c r="C512" s="27" t="s">
        <v>34749</v>
      </c>
      <c r="D512" s="28" t="s">
        <v>34867</v>
      </c>
      <c r="J512" t="s">
        <v>1376</v>
      </c>
      <c r="K512" t="s">
        <v>1377</v>
      </c>
      <c r="L512" s="28" t="s">
        <v>1378</v>
      </c>
      <c r="M512" t="s">
        <v>23</v>
      </c>
      <c r="N512"/>
      <c r="O512"/>
      <c r="P512"/>
      <c r="Q512"/>
      <c r="R512"/>
      <c r="S512"/>
    </row>
    <row r="513" spans="1:19" x14ac:dyDescent="0.25">
      <c r="A513" t="s">
        <v>193</v>
      </c>
      <c r="C513" s="27" t="s">
        <v>34749</v>
      </c>
      <c r="D513" s="28" t="s">
        <v>34867</v>
      </c>
      <c r="J513" t="s">
        <v>1379</v>
      </c>
      <c r="K513" t="s">
        <v>1380</v>
      </c>
      <c r="L513" s="28" t="s">
        <v>1381</v>
      </c>
      <c r="M513" t="s">
        <v>23</v>
      </c>
      <c r="N513"/>
      <c r="O513"/>
      <c r="P513"/>
      <c r="Q513"/>
      <c r="R513"/>
      <c r="S513"/>
    </row>
    <row r="514" spans="1:19" x14ac:dyDescent="0.25">
      <c r="A514" t="s">
        <v>193</v>
      </c>
      <c r="C514" s="27" t="s">
        <v>34749</v>
      </c>
      <c r="D514" s="28" t="s">
        <v>34867</v>
      </c>
      <c r="J514" t="s">
        <v>1382</v>
      </c>
      <c r="K514" t="s">
        <v>1383</v>
      </c>
      <c r="L514" s="28" t="s">
        <v>1384</v>
      </c>
      <c r="M514" t="s">
        <v>23</v>
      </c>
      <c r="N514"/>
      <c r="O514"/>
      <c r="P514"/>
      <c r="Q514"/>
      <c r="R514"/>
      <c r="S514"/>
    </row>
    <row r="515" spans="1:19" x14ac:dyDescent="0.25">
      <c r="A515" t="s">
        <v>193</v>
      </c>
      <c r="C515" s="27" t="s">
        <v>34749</v>
      </c>
      <c r="D515" s="28" t="s">
        <v>34867</v>
      </c>
      <c r="J515" t="s">
        <v>1385</v>
      </c>
      <c r="K515" t="s">
        <v>1386</v>
      </c>
      <c r="L515" s="28" t="s">
        <v>1387</v>
      </c>
      <c r="M515" t="s">
        <v>23</v>
      </c>
      <c r="N515"/>
      <c r="O515"/>
      <c r="P515"/>
      <c r="Q515"/>
      <c r="R515"/>
      <c r="S515"/>
    </row>
    <row r="516" spans="1:19" x14ac:dyDescent="0.25">
      <c r="A516" t="s">
        <v>193</v>
      </c>
      <c r="C516" s="27" t="s">
        <v>34749</v>
      </c>
      <c r="D516" s="28" t="s">
        <v>34867</v>
      </c>
      <c r="J516" t="s">
        <v>1388</v>
      </c>
      <c r="K516" t="s">
        <v>1389</v>
      </c>
      <c r="L516" s="28" t="s">
        <v>1390</v>
      </c>
      <c r="M516" t="s">
        <v>23</v>
      </c>
      <c r="N516"/>
      <c r="O516"/>
      <c r="P516"/>
      <c r="Q516"/>
      <c r="R516"/>
      <c r="S516"/>
    </row>
    <row r="517" spans="1:19" x14ac:dyDescent="0.25">
      <c r="A517" t="s">
        <v>193</v>
      </c>
      <c r="C517" s="27" t="s">
        <v>34749</v>
      </c>
      <c r="D517" s="28" t="s">
        <v>34867</v>
      </c>
      <c r="J517" t="s">
        <v>1391</v>
      </c>
      <c r="K517" t="s">
        <v>1392</v>
      </c>
      <c r="L517" s="28" t="s">
        <v>1393</v>
      </c>
      <c r="M517" t="s">
        <v>23</v>
      </c>
      <c r="N517"/>
      <c r="O517"/>
      <c r="P517"/>
      <c r="Q517"/>
      <c r="R517"/>
      <c r="S517"/>
    </row>
    <row r="518" spans="1:19" x14ac:dyDescent="0.25">
      <c r="A518" t="s">
        <v>193</v>
      </c>
      <c r="C518" s="27" t="s">
        <v>34749</v>
      </c>
      <c r="D518" s="28" t="s">
        <v>34867</v>
      </c>
      <c r="J518" t="s">
        <v>1394</v>
      </c>
      <c r="K518" t="s">
        <v>1395</v>
      </c>
      <c r="L518" s="28" t="s">
        <v>1396</v>
      </c>
      <c r="M518" t="s">
        <v>23</v>
      </c>
      <c r="N518"/>
      <c r="O518"/>
      <c r="P518"/>
      <c r="Q518"/>
      <c r="R518"/>
      <c r="S518"/>
    </row>
    <row r="519" spans="1:19" x14ac:dyDescent="0.25">
      <c r="A519" t="s">
        <v>193</v>
      </c>
      <c r="C519" s="27" t="s">
        <v>34749</v>
      </c>
      <c r="D519" s="28" t="s">
        <v>34867</v>
      </c>
      <c r="J519" t="s">
        <v>1397</v>
      </c>
      <c r="K519" t="s">
        <v>1398</v>
      </c>
      <c r="L519" s="28" t="s">
        <v>1399</v>
      </c>
      <c r="M519" t="s">
        <v>23</v>
      </c>
      <c r="N519"/>
      <c r="O519"/>
      <c r="P519"/>
      <c r="Q519"/>
      <c r="R519"/>
      <c r="S519"/>
    </row>
    <row r="520" spans="1:19" x14ac:dyDescent="0.25">
      <c r="A520" t="s">
        <v>193</v>
      </c>
      <c r="C520" s="27" t="s">
        <v>34749</v>
      </c>
      <c r="D520" s="28" t="s">
        <v>34867</v>
      </c>
      <c r="J520" t="s">
        <v>1400</v>
      </c>
      <c r="K520" t="s">
        <v>1401</v>
      </c>
      <c r="L520" s="28" t="s">
        <v>1402</v>
      </c>
      <c r="M520" t="s">
        <v>23</v>
      </c>
      <c r="N520"/>
      <c r="O520"/>
      <c r="P520"/>
      <c r="Q520"/>
      <c r="R520"/>
      <c r="S520"/>
    </row>
    <row r="521" spans="1:19" x14ac:dyDescent="0.25">
      <c r="A521" t="s">
        <v>193</v>
      </c>
      <c r="C521" s="27" t="s">
        <v>34749</v>
      </c>
      <c r="D521" s="28" t="s">
        <v>34867</v>
      </c>
      <c r="J521" t="s">
        <v>1403</v>
      </c>
      <c r="K521" t="s">
        <v>1404</v>
      </c>
      <c r="L521" s="28" t="s">
        <v>1405</v>
      </c>
      <c r="M521" t="s">
        <v>23</v>
      </c>
      <c r="N521"/>
      <c r="O521"/>
      <c r="P521"/>
      <c r="Q521"/>
      <c r="R521"/>
      <c r="S521"/>
    </row>
    <row r="522" spans="1:19" x14ac:dyDescent="0.25">
      <c r="A522" t="s">
        <v>193</v>
      </c>
      <c r="C522" s="27" t="s">
        <v>34749</v>
      </c>
      <c r="D522" s="28" t="s">
        <v>34867</v>
      </c>
      <c r="J522" t="s">
        <v>1406</v>
      </c>
      <c r="K522" t="s">
        <v>1407</v>
      </c>
      <c r="L522" s="28" t="s">
        <v>1408</v>
      </c>
      <c r="M522" t="s">
        <v>23</v>
      </c>
      <c r="N522"/>
      <c r="O522"/>
      <c r="P522"/>
      <c r="Q522"/>
      <c r="R522"/>
      <c r="S522"/>
    </row>
    <row r="523" spans="1:19" x14ac:dyDescent="0.25">
      <c r="A523" t="s">
        <v>193</v>
      </c>
      <c r="C523" s="27" t="s">
        <v>34749</v>
      </c>
      <c r="D523" s="28" t="s">
        <v>34867</v>
      </c>
      <c r="J523" t="s">
        <v>1409</v>
      </c>
      <c r="K523" t="s">
        <v>1410</v>
      </c>
      <c r="L523" s="28" t="s">
        <v>1411</v>
      </c>
      <c r="M523" t="s">
        <v>23</v>
      </c>
      <c r="N523"/>
      <c r="O523"/>
      <c r="P523"/>
      <c r="Q523"/>
      <c r="R523"/>
      <c r="S523"/>
    </row>
    <row r="524" spans="1:19" x14ac:dyDescent="0.25">
      <c r="A524" t="s">
        <v>193</v>
      </c>
      <c r="C524" s="27" t="s">
        <v>34749</v>
      </c>
      <c r="D524" s="28" t="s">
        <v>34867</v>
      </c>
      <c r="J524" t="s">
        <v>1412</v>
      </c>
      <c r="K524" t="s">
        <v>1413</v>
      </c>
      <c r="L524" s="28" t="s">
        <v>1414</v>
      </c>
      <c r="M524" t="s">
        <v>23</v>
      </c>
      <c r="N524"/>
      <c r="O524"/>
      <c r="P524"/>
      <c r="Q524"/>
      <c r="R524"/>
      <c r="S524"/>
    </row>
    <row r="525" spans="1:19" x14ac:dyDescent="0.25">
      <c r="A525" t="s">
        <v>193</v>
      </c>
      <c r="C525" s="27" t="s">
        <v>34749</v>
      </c>
      <c r="D525" s="28" t="s">
        <v>34867</v>
      </c>
      <c r="J525" t="s">
        <v>1415</v>
      </c>
      <c r="K525" t="s">
        <v>1416</v>
      </c>
      <c r="L525" s="28" t="s">
        <v>1417</v>
      </c>
      <c r="M525" t="s">
        <v>23</v>
      </c>
      <c r="N525"/>
      <c r="O525"/>
      <c r="P525"/>
      <c r="Q525"/>
      <c r="R525"/>
      <c r="S525"/>
    </row>
    <row r="526" spans="1:19" x14ac:dyDescent="0.25">
      <c r="A526" t="s">
        <v>193</v>
      </c>
      <c r="C526" s="27" t="s">
        <v>34749</v>
      </c>
      <c r="D526" s="28" t="s">
        <v>34867</v>
      </c>
      <c r="J526" t="s">
        <v>1418</v>
      </c>
      <c r="K526" t="s">
        <v>1419</v>
      </c>
      <c r="L526" s="28" t="s">
        <v>1420</v>
      </c>
      <c r="M526" t="s">
        <v>23</v>
      </c>
      <c r="N526"/>
      <c r="O526"/>
      <c r="P526"/>
      <c r="Q526"/>
      <c r="R526"/>
      <c r="S526"/>
    </row>
    <row r="527" spans="1:19" x14ac:dyDescent="0.25">
      <c r="A527" t="s">
        <v>193</v>
      </c>
      <c r="C527" s="27" t="s">
        <v>34749</v>
      </c>
      <c r="D527" s="28" t="s">
        <v>34867</v>
      </c>
      <c r="J527" t="s">
        <v>1421</v>
      </c>
      <c r="K527" t="s">
        <v>1422</v>
      </c>
      <c r="L527" s="28" t="s">
        <v>1423</v>
      </c>
      <c r="M527" t="s">
        <v>23</v>
      </c>
      <c r="N527"/>
      <c r="O527"/>
      <c r="P527"/>
      <c r="Q527"/>
      <c r="R527"/>
      <c r="S527"/>
    </row>
    <row r="528" spans="1:19" x14ac:dyDescent="0.25">
      <c r="A528" t="s">
        <v>193</v>
      </c>
      <c r="C528" s="27" t="s">
        <v>34749</v>
      </c>
      <c r="D528" s="28" t="s">
        <v>34867</v>
      </c>
      <c r="J528" t="s">
        <v>1424</v>
      </c>
      <c r="K528" t="s">
        <v>1425</v>
      </c>
      <c r="L528" s="28" t="s">
        <v>1426</v>
      </c>
      <c r="M528" t="s">
        <v>23</v>
      </c>
      <c r="N528"/>
      <c r="O528"/>
      <c r="P528"/>
      <c r="Q528"/>
      <c r="R528"/>
      <c r="S528"/>
    </row>
    <row r="529" spans="1:19" x14ac:dyDescent="0.25">
      <c r="A529" t="s">
        <v>193</v>
      </c>
      <c r="C529" s="27" t="s">
        <v>34749</v>
      </c>
      <c r="D529" s="28" t="s">
        <v>34867</v>
      </c>
      <c r="J529" t="s">
        <v>1427</v>
      </c>
      <c r="K529" t="s">
        <v>1428</v>
      </c>
      <c r="L529" s="28" t="s">
        <v>1429</v>
      </c>
      <c r="M529" t="s">
        <v>23</v>
      </c>
      <c r="N529"/>
      <c r="O529"/>
      <c r="P529"/>
      <c r="Q529"/>
      <c r="R529"/>
      <c r="S529"/>
    </row>
    <row r="530" spans="1:19" x14ac:dyDescent="0.25">
      <c r="A530" t="s">
        <v>193</v>
      </c>
      <c r="C530" s="27" t="s">
        <v>34749</v>
      </c>
      <c r="D530" s="28" t="s">
        <v>34867</v>
      </c>
      <c r="J530" t="s">
        <v>1430</v>
      </c>
      <c r="K530" t="s">
        <v>1431</v>
      </c>
      <c r="L530" s="28" t="s">
        <v>1432</v>
      </c>
      <c r="M530" t="s">
        <v>23</v>
      </c>
      <c r="N530"/>
      <c r="O530"/>
      <c r="P530"/>
      <c r="Q530"/>
      <c r="R530"/>
      <c r="S530"/>
    </row>
    <row r="531" spans="1:19" x14ac:dyDescent="0.25">
      <c r="A531" t="s">
        <v>193</v>
      </c>
      <c r="C531" s="27" t="s">
        <v>34749</v>
      </c>
      <c r="D531" s="28" t="s">
        <v>34867</v>
      </c>
      <c r="J531" t="s">
        <v>1433</v>
      </c>
      <c r="K531" t="s">
        <v>1434</v>
      </c>
      <c r="L531" s="28" t="s">
        <v>1435</v>
      </c>
      <c r="M531" t="s">
        <v>23</v>
      </c>
      <c r="N531"/>
      <c r="O531"/>
      <c r="P531"/>
      <c r="Q531"/>
      <c r="R531"/>
      <c r="S531"/>
    </row>
    <row r="532" spans="1:19" x14ac:dyDescent="0.25">
      <c r="A532" t="s">
        <v>193</v>
      </c>
      <c r="C532" s="27" t="s">
        <v>34749</v>
      </c>
      <c r="D532" s="28" t="s">
        <v>34867</v>
      </c>
      <c r="J532" t="s">
        <v>1436</v>
      </c>
      <c r="K532" t="s">
        <v>1437</v>
      </c>
      <c r="L532" s="28" t="s">
        <v>1438</v>
      </c>
      <c r="M532" t="s">
        <v>23</v>
      </c>
      <c r="N532"/>
      <c r="O532"/>
      <c r="P532"/>
      <c r="Q532"/>
      <c r="R532"/>
      <c r="S532"/>
    </row>
    <row r="533" spans="1:19" x14ac:dyDescent="0.25">
      <c r="A533" t="s">
        <v>193</v>
      </c>
      <c r="C533" s="27" t="s">
        <v>34749</v>
      </c>
      <c r="D533" s="28" t="s">
        <v>34867</v>
      </c>
      <c r="J533" t="s">
        <v>1439</v>
      </c>
      <c r="K533" t="s">
        <v>1440</v>
      </c>
      <c r="L533" s="28" t="s">
        <v>1441</v>
      </c>
      <c r="M533" t="s">
        <v>23</v>
      </c>
      <c r="N533"/>
      <c r="O533"/>
      <c r="P533"/>
      <c r="Q533"/>
      <c r="R533"/>
      <c r="S533"/>
    </row>
    <row r="534" spans="1:19" x14ac:dyDescent="0.25">
      <c r="A534" t="s">
        <v>193</v>
      </c>
      <c r="C534" s="27" t="s">
        <v>34749</v>
      </c>
      <c r="D534" s="28" t="s">
        <v>34867</v>
      </c>
      <c r="J534" t="s">
        <v>1442</v>
      </c>
      <c r="K534" t="s">
        <v>1443</v>
      </c>
      <c r="L534" s="28" t="s">
        <v>1444</v>
      </c>
      <c r="M534" t="s">
        <v>23</v>
      </c>
      <c r="N534"/>
      <c r="O534"/>
      <c r="P534"/>
      <c r="Q534"/>
      <c r="R534"/>
      <c r="S534"/>
    </row>
    <row r="535" spans="1:19" x14ac:dyDescent="0.25">
      <c r="A535" t="s">
        <v>193</v>
      </c>
      <c r="C535" s="27" t="s">
        <v>34749</v>
      </c>
      <c r="D535" s="28" t="s">
        <v>34867</v>
      </c>
      <c r="J535" t="s">
        <v>1445</v>
      </c>
      <c r="K535" t="s">
        <v>1446</v>
      </c>
      <c r="L535" s="28" t="s">
        <v>1447</v>
      </c>
      <c r="M535" t="s">
        <v>23</v>
      </c>
      <c r="N535"/>
      <c r="O535"/>
      <c r="P535"/>
      <c r="Q535"/>
      <c r="R535"/>
      <c r="S535"/>
    </row>
    <row r="536" spans="1:19" x14ac:dyDescent="0.25">
      <c r="A536" t="s">
        <v>193</v>
      </c>
      <c r="C536" s="27" t="s">
        <v>34749</v>
      </c>
      <c r="D536" s="28" t="s">
        <v>34867</v>
      </c>
      <c r="J536" t="s">
        <v>1448</v>
      </c>
      <c r="K536" t="s">
        <v>1449</v>
      </c>
      <c r="L536" s="28" t="s">
        <v>1450</v>
      </c>
      <c r="M536" t="s">
        <v>23</v>
      </c>
      <c r="N536"/>
      <c r="O536"/>
      <c r="P536"/>
      <c r="Q536"/>
      <c r="R536"/>
      <c r="S536"/>
    </row>
    <row r="537" spans="1:19" x14ac:dyDescent="0.25">
      <c r="A537" t="s">
        <v>193</v>
      </c>
      <c r="C537" s="27" t="s">
        <v>34749</v>
      </c>
      <c r="D537" s="28" t="s">
        <v>34867</v>
      </c>
      <c r="J537" t="s">
        <v>1451</v>
      </c>
      <c r="K537" t="s">
        <v>1452</v>
      </c>
      <c r="L537" s="28" t="s">
        <v>1453</v>
      </c>
      <c r="M537" t="s">
        <v>23</v>
      </c>
      <c r="N537"/>
      <c r="O537"/>
      <c r="P537"/>
      <c r="Q537"/>
      <c r="R537"/>
      <c r="S537"/>
    </row>
    <row r="538" spans="1:19" x14ac:dyDescent="0.25">
      <c r="A538" t="s">
        <v>193</v>
      </c>
      <c r="C538" s="27" t="s">
        <v>34749</v>
      </c>
      <c r="D538" s="28" t="s">
        <v>34867</v>
      </c>
      <c r="J538" t="s">
        <v>1454</v>
      </c>
      <c r="K538" t="s">
        <v>1455</v>
      </c>
      <c r="L538" s="28" t="s">
        <v>1456</v>
      </c>
      <c r="M538" t="s">
        <v>23</v>
      </c>
      <c r="N538"/>
      <c r="O538"/>
      <c r="P538"/>
      <c r="Q538"/>
      <c r="R538"/>
      <c r="S538"/>
    </row>
    <row r="539" spans="1:19" x14ac:dyDescent="0.25">
      <c r="A539" t="s">
        <v>193</v>
      </c>
      <c r="C539" s="27" t="s">
        <v>34749</v>
      </c>
      <c r="D539" s="28" t="s">
        <v>34867</v>
      </c>
      <c r="J539" t="s">
        <v>1457</v>
      </c>
      <c r="K539" t="s">
        <v>1458</v>
      </c>
      <c r="L539" s="28" t="s">
        <v>1459</v>
      </c>
      <c r="M539" t="s">
        <v>23</v>
      </c>
      <c r="N539"/>
      <c r="O539"/>
      <c r="P539"/>
      <c r="Q539"/>
      <c r="R539"/>
      <c r="S539"/>
    </row>
    <row r="540" spans="1:19" x14ac:dyDescent="0.25">
      <c r="A540" t="s">
        <v>193</v>
      </c>
      <c r="C540" s="27" t="s">
        <v>34749</v>
      </c>
      <c r="D540" s="28" t="s">
        <v>34867</v>
      </c>
      <c r="J540" t="s">
        <v>1460</v>
      </c>
      <c r="K540" t="s">
        <v>1461</v>
      </c>
      <c r="L540" s="28" t="s">
        <v>1462</v>
      </c>
      <c r="M540" t="s">
        <v>23</v>
      </c>
      <c r="N540"/>
      <c r="O540"/>
      <c r="P540"/>
      <c r="Q540"/>
      <c r="R540"/>
      <c r="S540"/>
    </row>
    <row r="541" spans="1:19" x14ac:dyDescent="0.25">
      <c r="A541" t="s">
        <v>193</v>
      </c>
      <c r="C541" s="27" t="s">
        <v>34749</v>
      </c>
      <c r="D541" s="28" t="s">
        <v>34867</v>
      </c>
      <c r="J541" t="s">
        <v>1463</v>
      </c>
      <c r="K541" t="s">
        <v>1464</v>
      </c>
      <c r="L541" s="28" t="s">
        <v>1465</v>
      </c>
      <c r="M541" t="s">
        <v>23</v>
      </c>
      <c r="N541"/>
      <c r="O541"/>
      <c r="P541"/>
      <c r="Q541"/>
      <c r="R541"/>
      <c r="S541"/>
    </row>
    <row r="542" spans="1:19" x14ac:dyDescent="0.25">
      <c r="A542" t="s">
        <v>193</v>
      </c>
      <c r="C542" s="27" t="s">
        <v>34749</v>
      </c>
      <c r="D542" s="28" t="s">
        <v>34867</v>
      </c>
      <c r="J542" t="s">
        <v>1466</v>
      </c>
      <c r="K542" t="s">
        <v>1467</v>
      </c>
      <c r="L542" s="28" t="s">
        <v>1468</v>
      </c>
      <c r="M542" t="s">
        <v>23</v>
      </c>
      <c r="N542"/>
      <c r="O542"/>
      <c r="P542"/>
      <c r="Q542"/>
      <c r="R542"/>
      <c r="S542"/>
    </row>
    <row r="543" spans="1:19" x14ac:dyDescent="0.25">
      <c r="A543" t="s">
        <v>193</v>
      </c>
      <c r="C543" s="27" t="s">
        <v>34749</v>
      </c>
      <c r="D543" s="28" t="s">
        <v>34867</v>
      </c>
      <c r="J543" t="s">
        <v>1469</v>
      </c>
      <c r="K543" t="s">
        <v>1470</v>
      </c>
      <c r="L543" s="28" t="s">
        <v>1471</v>
      </c>
      <c r="M543" t="s">
        <v>23</v>
      </c>
      <c r="N543"/>
      <c r="O543"/>
      <c r="P543"/>
      <c r="Q543"/>
      <c r="R543"/>
      <c r="S543"/>
    </row>
    <row r="544" spans="1:19" x14ac:dyDescent="0.25">
      <c r="A544" t="s">
        <v>193</v>
      </c>
      <c r="C544" s="27" t="s">
        <v>34749</v>
      </c>
      <c r="D544" s="28" t="s">
        <v>34867</v>
      </c>
      <c r="J544" t="s">
        <v>1472</v>
      </c>
      <c r="K544" t="s">
        <v>1473</v>
      </c>
      <c r="L544" s="28" t="s">
        <v>1474</v>
      </c>
      <c r="M544" t="s">
        <v>23</v>
      </c>
      <c r="N544"/>
      <c r="O544"/>
      <c r="P544"/>
      <c r="Q544"/>
      <c r="R544"/>
      <c r="S544"/>
    </row>
    <row r="545" spans="1:19" x14ac:dyDescent="0.25">
      <c r="A545" t="s">
        <v>193</v>
      </c>
      <c r="C545" s="27" t="s">
        <v>34749</v>
      </c>
      <c r="D545" s="28" t="s">
        <v>34867</v>
      </c>
      <c r="J545" t="s">
        <v>1475</v>
      </c>
      <c r="K545" t="s">
        <v>1476</v>
      </c>
      <c r="L545" s="28" t="s">
        <v>1477</v>
      </c>
      <c r="M545" t="s">
        <v>23</v>
      </c>
      <c r="N545"/>
      <c r="O545"/>
      <c r="P545"/>
      <c r="Q545"/>
      <c r="R545"/>
      <c r="S545"/>
    </row>
    <row r="546" spans="1:19" x14ac:dyDescent="0.25">
      <c r="A546" t="s">
        <v>193</v>
      </c>
      <c r="C546" s="27" t="s">
        <v>34749</v>
      </c>
      <c r="D546" s="28" t="s">
        <v>34867</v>
      </c>
      <c r="J546" t="s">
        <v>1478</v>
      </c>
      <c r="K546" t="s">
        <v>1479</v>
      </c>
      <c r="L546" s="28" t="s">
        <v>1480</v>
      </c>
      <c r="M546" t="s">
        <v>23</v>
      </c>
      <c r="N546"/>
      <c r="O546"/>
      <c r="P546"/>
      <c r="Q546"/>
      <c r="R546"/>
      <c r="S546"/>
    </row>
    <row r="547" spans="1:19" x14ac:dyDescent="0.25">
      <c r="A547" t="s">
        <v>193</v>
      </c>
      <c r="C547" s="27" t="s">
        <v>34749</v>
      </c>
      <c r="D547" s="28" t="s">
        <v>34867</v>
      </c>
      <c r="J547" t="s">
        <v>1481</v>
      </c>
      <c r="K547" t="s">
        <v>1482</v>
      </c>
      <c r="L547" s="28" t="s">
        <v>1483</v>
      </c>
      <c r="M547" t="s">
        <v>23</v>
      </c>
      <c r="N547"/>
      <c r="O547"/>
      <c r="P547"/>
      <c r="Q547"/>
      <c r="R547"/>
      <c r="S547"/>
    </row>
    <row r="548" spans="1:19" x14ac:dyDescent="0.25">
      <c r="A548" t="s">
        <v>193</v>
      </c>
      <c r="C548" s="27" t="s">
        <v>34749</v>
      </c>
      <c r="D548" s="28" t="s">
        <v>34867</v>
      </c>
      <c r="J548" t="s">
        <v>1484</v>
      </c>
      <c r="K548" t="s">
        <v>1485</v>
      </c>
      <c r="L548" s="28" t="s">
        <v>1486</v>
      </c>
      <c r="M548" t="s">
        <v>23</v>
      </c>
      <c r="N548"/>
      <c r="O548"/>
      <c r="P548"/>
      <c r="Q548"/>
      <c r="R548"/>
      <c r="S548"/>
    </row>
    <row r="549" spans="1:19" x14ac:dyDescent="0.25">
      <c r="A549" t="s">
        <v>193</v>
      </c>
      <c r="C549" s="27" t="s">
        <v>34749</v>
      </c>
      <c r="D549" s="28" t="s">
        <v>34867</v>
      </c>
      <c r="J549" t="s">
        <v>1487</v>
      </c>
      <c r="K549" t="s">
        <v>1488</v>
      </c>
      <c r="L549" s="28" t="s">
        <v>1489</v>
      </c>
      <c r="M549" t="s">
        <v>23</v>
      </c>
      <c r="N549"/>
      <c r="O549"/>
      <c r="P549"/>
      <c r="Q549"/>
      <c r="R549"/>
      <c r="S549"/>
    </row>
    <row r="550" spans="1:19" x14ac:dyDescent="0.25">
      <c r="A550" t="s">
        <v>193</v>
      </c>
      <c r="C550" s="27" t="s">
        <v>34749</v>
      </c>
      <c r="D550" s="28" t="s">
        <v>34867</v>
      </c>
      <c r="J550" t="s">
        <v>1490</v>
      </c>
      <c r="K550" t="s">
        <v>1491</v>
      </c>
      <c r="L550" s="28" t="s">
        <v>1492</v>
      </c>
      <c r="M550" t="s">
        <v>23</v>
      </c>
      <c r="N550"/>
      <c r="O550"/>
      <c r="P550"/>
      <c r="Q550"/>
      <c r="R550"/>
      <c r="S550"/>
    </row>
    <row r="551" spans="1:19" x14ac:dyDescent="0.25">
      <c r="A551" t="s">
        <v>193</v>
      </c>
      <c r="C551" s="27" t="s">
        <v>34749</v>
      </c>
      <c r="D551" s="28" t="s">
        <v>34867</v>
      </c>
      <c r="J551" t="s">
        <v>1493</v>
      </c>
      <c r="K551" t="s">
        <v>1494</v>
      </c>
      <c r="L551" s="28" t="s">
        <v>1495</v>
      </c>
      <c r="M551" t="s">
        <v>23</v>
      </c>
      <c r="N551"/>
      <c r="O551"/>
      <c r="P551"/>
      <c r="Q551"/>
      <c r="R551"/>
      <c r="S551"/>
    </row>
    <row r="552" spans="1:19" x14ac:dyDescent="0.25">
      <c r="A552" t="s">
        <v>193</v>
      </c>
      <c r="C552" s="27" t="s">
        <v>34749</v>
      </c>
      <c r="D552" s="28" t="s">
        <v>34867</v>
      </c>
      <c r="J552" t="s">
        <v>1496</v>
      </c>
      <c r="K552" t="s">
        <v>1497</v>
      </c>
      <c r="L552" s="28" t="s">
        <v>1498</v>
      </c>
      <c r="M552" t="s">
        <v>23</v>
      </c>
      <c r="N552"/>
      <c r="O552"/>
      <c r="P552"/>
      <c r="Q552"/>
      <c r="R552"/>
      <c r="S552"/>
    </row>
    <row r="553" spans="1:19" x14ac:dyDescent="0.25">
      <c r="A553" t="s">
        <v>193</v>
      </c>
      <c r="C553" s="27" t="s">
        <v>34749</v>
      </c>
      <c r="D553" s="28" t="s">
        <v>34867</v>
      </c>
      <c r="J553" t="s">
        <v>1499</v>
      </c>
      <c r="K553" t="s">
        <v>1500</v>
      </c>
      <c r="L553" s="28" t="s">
        <v>1501</v>
      </c>
      <c r="M553" t="s">
        <v>23</v>
      </c>
      <c r="N553"/>
      <c r="O553"/>
      <c r="P553"/>
      <c r="Q553"/>
      <c r="R553"/>
      <c r="S553"/>
    </row>
    <row r="554" spans="1:19" x14ac:dyDescent="0.25">
      <c r="A554" t="s">
        <v>193</v>
      </c>
      <c r="C554" s="27" t="s">
        <v>34749</v>
      </c>
      <c r="D554" s="28" t="s">
        <v>34867</v>
      </c>
      <c r="J554" t="s">
        <v>1502</v>
      </c>
      <c r="K554" t="s">
        <v>1503</v>
      </c>
      <c r="L554" s="28" t="s">
        <v>1504</v>
      </c>
      <c r="M554" t="s">
        <v>23</v>
      </c>
      <c r="N554"/>
      <c r="O554"/>
      <c r="P554"/>
      <c r="Q554"/>
      <c r="R554"/>
      <c r="S554"/>
    </row>
    <row r="555" spans="1:19" x14ac:dyDescent="0.25">
      <c r="A555" t="s">
        <v>193</v>
      </c>
      <c r="C555" s="27" t="s">
        <v>34749</v>
      </c>
      <c r="D555" s="28" t="s">
        <v>34867</v>
      </c>
      <c r="J555" t="s">
        <v>1505</v>
      </c>
      <c r="K555" t="s">
        <v>1506</v>
      </c>
      <c r="L555" s="28" t="s">
        <v>1507</v>
      </c>
      <c r="M555" t="s">
        <v>23</v>
      </c>
      <c r="N555"/>
      <c r="O555"/>
      <c r="P555"/>
      <c r="Q555"/>
      <c r="R555"/>
      <c r="S555"/>
    </row>
    <row r="556" spans="1:19" x14ac:dyDescent="0.25">
      <c r="A556" t="s">
        <v>193</v>
      </c>
      <c r="C556" s="27" t="s">
        <v>34749</v>
      </c>
      <c r="D556" s="28" t="s">
        <v>34867</v>
      </c>
      <c r="J556" t="s">
        <v>1508</v>
      </c>
      <c r="K556" t="s">
        <v>1509</v>
      </c>
      <c r="L556" s="28" t="s">
        <v>1510</v>
      </c>
      <c r="M556" t="s">
        <v>23</v>
      </c>
      <c r="N556"/>
      <c r="O556"/>
      <c r="P556"/>
      <c r="Q556"/>
      <c r="R556"/>
      <c r="S556"/>
    </row>
    <row r="557" spans="1:19" x14ac:dyDescent="0.25">
      <c r="A557" t="s">
        <v>193</v>
      </c>
      <c r="C557" s="27" t="s">
        <v>34749</v>
      </c>
      <c r="D557" s="28" t="s">
        <v>34867</v>
      </c>
      <c r="J557" t="s">
        <v>1511</v>
      </c>
      <c r="K557" t="s">
        <v>1512</v>
      </c>
      <c r="L557" s="28" t="s">
        <v>1513</v>
      </c>
      <c r="M557" t="s">
        <v>23</v>
      </c>
      <c r="N557"/>
      <c r="O557"/>
      <c r="P557"/>
      <c r="Q557"/>
      <c r="R557"/>
      <c r="S557"/>
    </row>
    <row r="558" spans="1:19" x14ac:dyDescent="0.25">
      <c r="A558" t="s">
        <v>193</v>
      </c>
      <c r="C558" s="27" t="s">
        <v>34749</v>
      </c>
      <c r="D558" s="28" t="s">
        <v>34867</v>
      </c>
      <c r="J558" t="s">
        <v>1514</v>
      </c>
      <c r="K558" t="s">
        <v>1515</v>
      </c>
      <c r="L558" s="28" t="s">
        <v>1516</v>
      </c>
      <c r="M558" t="s">
        <v>23</v>
      </c>
      <c r="N558"/>
      <c r="O558"/>
      <c r="P558"/>
      <c r="Q558"/>
      <c r="R558"/>
      <c r="S558"/>
    </row>
    <row r="559" spans="1:19" x14ac:dyDescent="0.25">
      <c r="A559" t="s">
        <v>193</v>
      </c>
      <c r="C559" s="27" t="s">
        <v>34749</v>
      </c>
      <c r="D559" s="28" t="s">
        <v>34867</v>
      </c>
      <c r="J559" t="s">
        <v>1517</v>
      </c>
      <c r="K559" t="s">
        <v>1518</v>
      </c>
      <c r="L559" s="28" t="s">
        <v>1519</v>
      </c>
      <c r="M559" t="s">
        <v>23</v>
      </c>
      <c r="N559"/>
      <c r="O559"/>
      <c r="P559"/>
      <c r="Q559"/>
      <c r="R559"/>
      <c r="S559"/>
    </row>
    <row r="560" spans="1:19" x14ac:dyDescent="0.25">
      <c r="A560" t="s">
        <v>193</v>
      </c>
      <c r="C560" s="27" t="s">
        <v>34749</v>
      </c>
      <c r="D560" s="28" t="s">
        <v>34867</v>
      </c>
      <c r="J560" t="s">
        <v>1520</v>
      </c>
      <c r="K560" t="s">
        <v>1521</v>
      </c>
      <c r="L560" s="28" t="s">
        <v>1522</v>
      </c>
      <c r="M560" t="s">
        <v>23</v>
      </c>
      <c r="N560"/>
      <c r="O560"/>
      <c r="P560"/>
      <c r="Q560"/>
      <c r="R560"/>
      <c r="S560"/>
    </row>
    <row r="561" spans="1:19" x14ac:dyDescent="0.25">
      <c r="A561" t="s">
        <v>193</v>
      </c>
      <c r="C561" s="27" t="s">
        <v>34749</v>
      </c>
      <c r="D561" s="28" t="s">
        <v>34867</v>
      </c>
      <c r="J561" t="s">
        <v>1523</v>
      </c>
      <c r="K561" t="s">
        <v>1524</v>
      </c>
      <c r="L561" s="28" t="s">
        <v>1525</v>
      </c>
      <c r="M561" t="s">
        <v>23</v>
      </c>
      <c r="N561"/>
      <c r="O561"/>
      <c r="P561"/>
      <c r="Q561"/>
      <c r="R561"/>
      <c r="S561"/>
    </row>
    <row r="562" spans="1:19" x14ac:dyDescent="0.25">
      <c r="A562" t="s">
        <v>193</v>
      </c>
      <c r="C562" s="27" t="s">
        <v>34749</v>
      </c>
      <c r="D562" s="28" t="s">
        <v>34867</v>
      </c>
      <c r="J562" t="s">
        <v>1526</v>
      </c>
      <c r="K562" t="s">
        <v>1527</v>
      </c>
      <c r="L562" s="28" t="s">
        <v>1528</v>
      </c>
      <c r="M562" t="s">
        <v>23</v>
      </c>
      <c r="N562"/>
      <c r="O562"/>
      <c r="P562"/>
      <c r="Q562"/>
      <c r="R562"/>
      <c r="S562"/>
    </row>
    <row r="563" spans="1:19" x14ac:dyDescent="0.25">
      <c r="A563" t="s">
        <v>193</v>
      </c>
      <c r="C563" s="27" t="s">
        <v>34749</v>
      </c>
      <c r="D563" s="28" t="s">
        <v>34867</v>
      </c>
      <c r="J563" t="s">
        <v>1529</v>
      </c>
      <c r="K563" t="s">
        <v>1530</v>
      </c>
      <c r="L563" s="28" t="s">
        <v>1531</v>
      </c>
      <c r="M563" t="s">
        <v>23</v>
      </c>
      <c r="N563"/>
      <c r="O563"/>
      <c r="P563"/>
      <c r="Q563"/>
      <c r="R563"/>
      <c r="S563"/>
    </row>
    <row r="564" spans="1:19" x14ac:dyDescent="0.25">
      <c r="A564" t="s">
        <v>193</v>
      </c>
      <c r="C564" s="27" t="s">
        <v>34749</v>
      </c>
      <c r="D564" s="28" t="s">
        <v>34867</v>
      </c>
      <c r="J564" t="s">
        <v>1532</v>
      </c>
      <c r="K564" t="s">
        <v>1533</v>
      </c>
      <c r="L564" s="28" t="s">
        <v>1534</v>
      </c>
      <c r="M564" t="s">
        <v>23</v>
      </c>
      <c r="N564"/>
      <c r="O564"/>
      <c r="P564"/>
      <c r="Q564"/>
      <c r="R564"/>
      <c r="S564"/>
    </row>
    <row r="565" spans="1:19" x14ac:dyDescent="0.25">
      <c r="A565" t="s">
        <v>193</v>
      </c>
      <c r="C565" s="27" t="s">
        <v>34749</v>
      </c>
      <c r="D565" s="28" t="s">
        <v>34867</v>
      </c>
      <c r="J565" t="s">
        <v>1535</v>
      </c>
      <c r="K565" t="s">
        <v>1536</v>
      </c>
      <c r="L565" s="28" t="s">
        <v>1537</v>
      </c>
      <c r="M565" t="s">
        <v>23</v>
      </c>
      <c r="N565"/>
      <c r="O565"/>
      <c r="P565"/>
      <c r="Q565"/>
      <c r="R565"/>
      <c r="S565"/>
    </row>
    <row r="566" spans="1:19" x14ac:dyDescent="0.25">
      <c r="A566" t="s">
        <v>193</v>
      </c>
      <c r="C566" s="27" t="s">
        <v>34749</v>
      </c>
      <c r="D566" s="28" t="s">
        <v>34867</v>
      </c>
      <c r="J566" t="s">
        <v>1538</v>
      </c>
      <c r="K566" t="s">
        <v>1539</v>
      </c>
      <c r="L566" s="28" t="s">
        <v>1540</v>
      </c>
      <c r="M566" t="s">
        <v>23</v>
      </c>
      <c r="N566"/>
      <c r="O566"/>
      <c r="P566"/>
      <c r="Q566"/>
      <c r="R566"/>
      <c r="S566"/>
    </row>
    <row r="567" spans="1:19" x14ac:dyDescent="0.25">
      <c r="A567" t="s">
        <v>193</v>
      </c>
      <c r="C567" s="27" t="s">
        <v>34749</v>
      </c>
      <c r="D567" s="28" t="s">
        <v>34867</v>
      </c>
      <c r="J567" t="s">
        <v>1541</v>
      </c>
      <c r="K567" t="s">
        <v>1542</v>
      </c>
      <c r="L567" s="28" t="s">
        <v>1543</v>
      </c>
      <c r="M567" t="s">
        <v>23</v>
      </c>
      <c r="N567"/>
      <c r="O567"/>
      <c r="P567"/>
      <c r="Q567"/>
      <c r="R567"/>
      <c r="S567"/>
    </row>
    <row r="568" spans="1:19" x14ac:dyDescent="0.25">
      <c r="A568" t="s">
        <v>193</v>
      </c>
      <c r="C568" s="27" t="s">
        <v>34749</v>
      </c>
      <c r="D568" s="28" t="s">
        <v>34867</v>
      </c>
      <c r="J568" t="s">
        <v>1544</v>
      </c>
      <c r="K568" t="s">
        <v>1545</v>
      </c>
      <c r="L568" s="28" t="s">
        <v>1546</v>
      </c>
      <c r="M568" t="s">
        <v>23</v>
      </c>
      <c r="N568"/>
      <c r="O568"/>
      <c r="P568"/>
      <c r="Q568"/>
      <c r="R568"/>
      <c r="S568"/>
    </row>
    <row r="569" spans="1:19" x14ac:dyDescent="0.25">
      <c r="A569" t="s">
        <v>193</v>
      </c>
      <c r="C569" s="27" t="s">
        <v>34749</v>
      </c>
      <c r="D569" s="28" t="s">
        <v>34867</v>
      </c>
      <c r="J569" t="s">
        <v>1547</v>
      </c>
      <c r="K569" t="s">
        <v>1548</v>
      </c>
      <c r="L569" s="28" t="s">
        <v>1549</v>
      </c>
      <c r="M569" t="s">
        <v>23</v>
      </c>
      <c r="N569"/>
      <c r="O569"/>
      <c r="P569"/>
      <c r="Q569"/>
      <c r="R569"/>
      <c r="S569"/>
    </row>
    <row r="570" spans="1:19" x14ac:dyDescent="0.25">
      <c r="A570" t="s">
        <v>193</v>
      </c>
      <c r="C570" s="27" t="s">
        <v>34749</v>
      </c>
      <c r="D570" s="28" t="s">
        <v>34867</v>
      </c>
      <c r="J570" t="s">
        <v>1550</v>
      </c>
      <c r="K570" t="s">
        <v>1551</v>
      </c>
      <c r="L570" s="28" t="s">
        <v>1552</v>
      </c>
      <c r="M570" t="s">
        <v>23</v>
      </c>
      <c r="N570"/>
      <c r="O570"/>
      <c r="P570"/>
      <c r="Q570"/>
      <c r="R570"/>
      <c r="S570"/>
    </row>
    <row r="571" spans="1:19" x14ac:dyDescent="0.25">
      <c r="A571" t="s">
        <v>193</v>
      </c>
      <c r="C571" s="27" t="s">
        <v>34749</v>
      </c>
      <c r="D571" s="28" t="s">
        <v>34867</v>
      </c>
      <c r="J571" t="s">
        <v>1553</v>
      </c>
      <c r="K571" t="s">
        <v>1554</v>
      </c>
      <c r="L571" s="28" t="s">
        <v>1555</v>
      </c>
      <c r="M571" t="s">
        <v>23</v>
      </c>
      <c r="N571"/>
      <c r="O571"/>
      <c r="P571"/>
      <c r="Q571"/>
      <c r="R571"/>
      <c r="S571"/>
    </row>
    <row r="572" spans="1:19" x14ac:dyDescent="0.25">
      <c r="A572" t="s">
        <v>193</v>
      </c>
      <c r="C572" s="27" t="s">
        <v>34749</v>
      </c>
      <c r="D572" s="28" t="s">
        <v>34867</v>
      </c>
      <c r="J572" t="s">
        <v>1556</v>
      </c>
      <c r="K572" t="s">
        <v>1557</v>
      </c>
      <c r="L572" s="28" t="s">
        <v>1558</v>
      </c>
      <c r="M572" t="s">
        <v>23</v>
      </c>
      <c r="N572"/>
      <c r="O572"/>
      <c r="P572"/>
      <c r="Q572"/>
      <c r="R572"/>
      <c r="S572"/>
    </row>
    <row r="573" spans="1:19" x14ac:dyDescent="0.25">
      <c r="A573" t="s">
        <v>193</v>
      </c>
      <c r="C573" s="27" t="s">
        <v>34749</v>
      </c>
      <c r="D573" s="28" t="s">
        <v>34867</v>
      </c>
      <c r="J573" t="s">
        <v>1559</v>
      </c>
      <c r="K573" t="s">
        <v>1560</v>
      </c>
      <c r="L573" s="28" t="s">
        <v>1561</v>
      </c>
      <c r="M573" t="s">
        <v>23</v>
      </c>
      <c r="N573"/>
      <c r="O573"/>
      <c r="P573"/>
      <c r="Q573"/>
      <c r="R573"/>
      <c r="S573"/>
    </row>
    <row r="574" spans="1:19" x14ac:dyDescent="0.25">
      <c r="A574" t="s">
        <v>193</v>
      </c>
      <c r="C574" s="27" t="s">
        <v>34749</v>
      </c>
      <c r="D574" s="28" t="s">
        <v>34867</v>
      </c>
      <c r="J574" t="s">
        <v>1562</v>
      </c>
      <c r="K574" t="s">
        <v>1563</v>
      </c>
      <c r="L574" s="28" t="s">
        <v>1564</v>
      </c>
      <c r="M574" t="s">
        <v>23</v>
      </c>
      <c r="N574"/>
      <c r="O574"/>
      <c r="P574"/>
      <c r="Q574"/>
      <c r="R574"/>
      <c r="S574"/>
    </row>
    <row r="575" spans="1:19" x14ac:dyDescent="0.25">
      <c r="A575" t="s">
        <v>193</v>
      </c>
      <c r="C575" s="27" t="s">
        <v>34749</v>
      </c>
      <c r="D575" s="28" t="s">
        <v>34867</v>
      </c>
      <c r="J575" t="s">
        <v>1565</v>
      </c>
      <c r="K575" t="s">
        <v>1566</v>
      </c>
      <c r="L575" s="28" t="s">
        <v>1567</v>
      </c>
      <c r="M575" t="s">
        <v>23</v>
      </c>
      <c r="N575"/>
      <c r="O575"/>
      <c r="P575"/>
      <c r="Q575"/>
      <c r="R575"/>
      <c r="S575"/>
    </row>
    <row r="576" spans="1:19" x14ac:dyDescent="0.25">
      <c r="A576" t="s">
        <v>193</v>
      </c>
      <c r="C576" s="27" t="s">
        <v>34749</v>
      </c>
      <c r="D576" s="28" t="s">
        <v>34867</v>
      </c>
      <c r="J576" t="s">
        <v>1568</v>
      </c>
      <c r="K576" t="s">
        <v>1569</v>
      </c>
      <c r="L576" s="28" t="s">
        <v>1570</v>
      </c>
      <c r="M576" t="s">
        <v>23</v>
      </c>
      <c r="N576"/>
      <c r="O576"/>
      <c r="P576"/>
      <c r="Q576"/>
      <c r="R576"/>
      <c r="S576"/>
    </row>
    <row r="577" spans="1:19" x14ac:dyDescent="0.25">
      <c r="A577" t="s">
        <v>193</v>
      </c>
      <c r="C577" s="27" t="s">
        <v>34749</v>
      </c>
      <c r="D577" s="28" t="s">
        <v>34867</v>
      </c>
      <c r="J577" t="s">
        <v>1571</v>
      </c>
      <c r="K577" t="s">
        <v>1572</v>
      </c>
      <c r="L577" s="28" t="s">
        <v>1573</v>
      </c>
      <c r="M577" t="s">
        <v>23</v>
      </c>
      <c r="N577"/>
      <c r="O577"/>
      <c r="P577"/>
      <c r="Q577"/>
      <c r="R577"/>
      <c r="S577"/>
    </row>
    <row r="578" spans="1:19" x14ac:dyDescent="0.25">
      <c r="A578" t="s">
        <v>193</v>
      </c>
      <c r="C578" s="27" t="s">
        <v>34749</v>
      </c>
      <c r="D578" s="28" t="s">
        <v>34867</v>
      </c>
      <c r="J578" t="s">
        <v>1574</v>
      </c>
      <c r="K578" t="s">
        <v>1575</v>
      </c>
      <c r="L578" s="28" t="s">
        <v>1576</v>
      </c>
      <c r="M578" t="s">
        <v>23</v>
      </c>
      <c r="N578"/>
      <c r="O578"/>
      <c r="P578"/>
      <c r="Q578"/>
      <c r="R578"/>
      <c r="S578"/>
    </row>
    <row r="579" spans="1:19" x14ac:dyDescent="0.25">
      <c r="A579" t="s">
        <v>193</v>
      </c>
      <c r="C579" s="27" t="s">
        <v>34749</v>
      </c>
      <c r="D579" s="28" t="s">
        <v>34867</v>
      </c>
      <c r="J579" t="s">
        <v>1577</v>
      </c>
      <c r="K579" t="s">
        <v>1578</v>
      </c>
      <c r="L579" s="28" t="s">
        <v>1579</v>
      </c>
      <c r="M579" t="s">
        <v>23</v>
      </c>
      <c r="N579"/>
      <c r="O579"/>
      <c r="P579"/>
      <c r="Q579"/>
      <c r="R579"/>
      <c r="S579"/>
    </row>
    <row r="580" spans="1:19" x14ac:dyDescent="0.25">
      <c r="A580" t="s">
        <v>193</v>
      </c>
      <c r="C580" s="27" t="s">
        <v>34749</v>
      </c>
      <c r="D580" s="28" t="s">
        <v>34867</v>
      </c>
      <c r="J580" t="s">
        <v>1580</v>
      </c>
      <c r="K580" t="s">
        <v>1581</v>
      </c>
      <c r="L580" s="28" t="s">
        <v>1582</v>
      </c>
      <c r="M580" t="s">
        <v>23</v>
      </c>
      <c r="N580"/>
      <c r="O580"/>
      <c r="P580"/>
      <c r="Q580"/>
      <c r="R580"/>
      <c r="S580"/>
    </row>
    <row r="581" spans="1:19" x14ac:dyDescent="0.25">
      <c r="A581" t="s">
        <v>193</v>
      </c>
      <c r="C581" s="27" t="s">
        <v>34749</v>
      </c>
      <c r="D581" s="28" t="s">
        <v>34867</v>
      </c>
      <c r="J581" t="s">
        <v>1583</v>
      </c>
      <c r="K581" t="s">
        <v>1584</v>
      </c>
      <c r="L581" s="28" t="s">
        <v>1585</v>
      </c>
      <c r="M581" t="s">
        <v>23</v>
      </c>
      <c r="N581"/>
      <c r="O581"/>
      <c r="P581"/>
      <c r="Q581"/>
      <c r="R581"/>
      <c r="S581"/>
    </row>
    <row r="582" spans="1:19" x14ac:dyDescent="0.25">
      <c r="A582" t="s">
        <v>193</v>
      </c>
      <c r="C582" s="27" t="s">
        <v>34749</v>
      </c>
      <c r="D582" s="28" t="s">
        <v>34867</v>
      </c>
      <c r="J582" t="s">
        <v>1586</v>
      </c>
      <c r="K582" t="s">
        <v>1587</v>
      </c>
      <c r="L582" s="28" t="s">
        <v>1588</v>
      </c>
      <c r="M582" t="s">
        <v>23</v>
      </c>
      <c r="N582"/>
      <c r="O582"/>
      <c r="P582"/>
      <c r="Q582"/>
      <c r="R582"/>
      <c r="S582"/>
    </row>
    <row r="583" spans="1:19" x14ac:dyDescent="0.25">
      <c r="A583" t="s">
        <v>193</v>
      </c>
      <c r="C583" s="27" t="s">
        <v>34749</v>
      </c>
      <c r="D583" s="28" t="s">
        <v>34867</v>
      </c>
      <c r="J583" t="s">
        <v>1589</v>
      </c>
      <c r="K583" t="s">
        <v>1590</v>
      </c>
      <c r="L583" s="28" t="s">
        <v>1591</v>
      </c>
      <c r="M583" t="s">
        <v>23</v>
      </c>
      <c r="N583"/>
      <c r="O583"/>
      <c r="P583"/>
      <c r="Q583"/>
      <c r="R583"/>
      <c r="S583"/>
    </row>
    <row r="584" spans="1:19" x14ac:dyDescent="0.25">
      <c r="A584" t="s">
        <v>193</v>
      </c>
      <c r="C584" s="27" t="s">
        <v>34749</v>
      </c>
      <c r="D584" s="28" t="s">
        <v>34867</v>
      </c>
      <c r="J584" t="s">
        <v>1592</v>
      </c>
      <c r="K584" t="s">
        <v>1593</v>
      </c>
      <c r="L584" s="28" t="s">
        <v>1594</v>
      </c>
      <c r="M584" t="s">
        <v>23</v>
      </c>
      <c r="N584"/>
      <c r="O584"/>
      <c r="P584"/>
      <c r="Q584"/>
      <c r="R584"/>
      <c r="S584"/>
    </row>
    <row r="585" spans="1:19" x14ac:dyDescent="0.25">
      <c r="A585" t="s">
        <v>193</v>
      </c>
      <c r="C585" s="27" t="s">
        <v>34749</v>
      </c>
      <c r="D585" s="28" t="s">
        <v>34867</v>
      </c>
      <c r="J585" t="s">
        <v>1595</v>
      </c>
      <c r="K585" t="s">
        <v>1596</v>
      </c>
      <c r="L585" s="28" t="s">
        <v>1597</v>
      </c>
      <c r="M585" t="s">
        <v>23</v>
      </c>
      <c r="N585"/>
      <c r="O585"/>
      <c r="P585"/>
      <c r="Q585"/>
      <c r="R585"/>
      <c r="S585"/>
    </row>
    <row r="586" spans="1:19" x14ac:dyDescent="0.25">
      <c r="A586" t="s">
        <v>193</v>
      </c>
      <c r="C586" s="27" t="s">
        <v>34749</v>
      </c>
      <c r="D586" s="28" t="s">
        <v>34867</v>
      </c>
      <c r="J586" t="s">
        <v>1598</v>
      </c>
      <c r="K586" t="s">
        <v>1599</v>
      </c>
      <c r="L586" s="28" t="s">
        <v>1600</v>
      </c>
      <c r="M586" t="s">
        <v>23</v>
      </c>
      <c r="N586"/>
      <c r="O586"/>
      <c r="P586"/>
      <c r="Q586"/>
      <c r="R586"/>
      <c r="S586"/>
    </row>
    <row r="587" spans="1:19" x14ac:dyDescent="0.25">
      <c r="A587" t="s">
        <v>193</v>
      </c>
      <c r="C587" s="27" t="s">
        <v>34749</v>
      </c>
      <c r="D587" s="28" t="s">
        <v>34867</v>
      </c>
      <c r="J587" t="s">
        <v>1601</v>
      </c>
      <c r="K587" t="s">
        <v>1602</v>
      </c>
      <c r="L587" s="28" t="s">
        <v>1603</v>
      </c>
      <c r="M587" t="s">
        <v>23</v>
      </c>
      <c r="N587"/>
      <c r="O587"/>
      <c r="P587"/>
      <c r="Q587"/>
      <c r="R587"/>
      <c r="S587"/>
    </row>
    <row r="588" spans="1:19" x14ac:dyDescent="0.25">
      <c r="A588" t="s">
        <v>193</v>
      </c>
      <c r="C588" s="27" t="s">
        <v>34749</v>
      </c>
      <c r="D588" s="28" t="s">
        <v>34867</v>
      </c>
      <c r="J588" t="s">
        <v>1604</v>
      </c>
      <c r="K588" t="s">
        <v>1605</v>
      </c>
      <c r="L588" s="28" t="s">
        <v>1606</v>
      </c>
      <c r="M588" t="s">
        <v>23</v>
      </c>
      <c r="N588"/>
      <c r="O588"/>
      <c r="P588"/>
      <c r="Q588"/>
      <c r="R588"/>
      <c r="S588"/>
    </row>
    <row r="589" spans="1:19" x14ac:dyDescent="0.25">
      <c r="A589" t="s">
        <v>193</v>
      </c>
      <c r="C589" s="27" t="s">
        <v>34749</v>
      </c>
      <c r="D589" s="28" t="s">
        <v>34867</v>
      </c>
      <c r="J589" t="s">
        <v>1607</v>
      </c>
      <c r="K589" t="s">
        <v>1608</v>
      </c>
      <c r="L589" s="28" t="s">
        <v>1609</v>
      </c>
      <c r="M589" t="s">
        <v>23</v>
      </c>
      <c r="N589"/>
      <c r="O589"/>
      <c r="P589"/>
      <c r="Q589"/>
      <c r="R589"/>
      <c r="S589"/>
    </row>
    <row r="590" spans="1:19" x14ac:dyDescent="0.25">
      <c r="A590" t="s">
        <v>193</v>
      </c>
      <c r="C590" s="27" t="s">
        <v>34749</v>
      </c>
      <c r="D590" s="28" t="s">
        <v>34867</v>
      </c>
      <c r="J590" t="s">
        <v>1610</v>
      </c>
      <c r="K590" t="s">
        <v>1611</v>
      </c>
      <c r="L590" s="28" t="s">
        <v>1612</v>
      </c>
      <c r="M590" t="s">
        <v>23</v>
      </c>
      <c r="N590"/>
      <c r="O590"/>
      <c r="P590"/>
      <c r="Q590"/>
      <c r="R590"/>
      <c r="S590"/>
    </row>
    <row r="591" spans="1:19" x14ac:dyDescent="0.25">
      <c r="A591" t="s">
        <v>193</v>
      </c>
      <c r="C591" s="27" t="s">
        <v>34749</v>
      </c>
      <c r="D591" s="28" t="s">
        <v>34867</v>
      </c>
      <c r="J591" t="s">
        <v>1613</v>
      </c>
      <c r="K591" t="s">
        <v>1614</v>
      </c>
      <c r="L591" s="28" t="s">
        <v>1615</v>
      </c>
      <c r="M591" t="s">
        <v>23</v>
      </c>
      <c r="N591"/>
      <c r="O591"/>
      <c r="P591"/>
      <c r="Q591"/>
      <c r="R591"/>
      <c r="S591"/>
    </row>
    <row r="592" spans="1:19" x14ac:dyDescent="0.25">
      <c r="A592" t="s">
        <v>193</v>
      </c>
      <c r="C592" s="27" t="s">
        <v>34749</v>
      </c>
      <c r="D592" s="28" t="s">
        <v>34867</v>
      </c>
      <c r="J592" t="s">
        <v>1616</v>
      </c>
      <c r="K592" t="s">
        <v>1617</v>
      </c>
      <c r="L592" s="28" t="s">
        <v>1618</v>
      </c>
      <c r="M592" t="s">
        <v>23</v>
      </c>
      <c r="N592"/>
      <c r="O592"/>
      <c r="P592"/>
      <c r="Q592"/>
      <c r="R592"/>
      <c r="S592"/>
    </row>
    <row r="593" spans="1:19" x14ac:dyDescent="0.25">
      <c r="A593" t="s">
        <v>193</v>
      </c>
      <c r="C593" s="27" t="s">
        <v>34749</v>
      </c>
      <c r="D593" s="28" t="s">
        <v>34867</v>
      </c>
      <c r="J593" t="s">
        <v>1619</v>
      </c>
      <c r="K593" t="s">
        <v>1620</v>
      </c>
      <c r="L593" s="28" t="s">
        <v>1621</v>
      </c>
      <c r="M593" t="s">
        <v>23</v>
      </c>
      <c r="N593"/>
      <c r="O593"/>
      <c r="P593"/>
      <c r="Q593"/>
      <c r="R593"/>
      <c r="S593"/>
    </row>
    <row r="594" spans="1:19" x14ac:dyDescent="0.25">
      <c r="A594" t="s">
        <v>193</v>
      </c>
      <c r="C594" s="27" t="s">
        <v>34749</v>
      </c>
      <c r="D594" s="28" t="s">
        <v>34867</v>
      </c>
      <c r="J594" t="s">
        <v>1622</v>
      </c>
      <c r="K594" t="s">
        <v>1623</v>
      </c>
      <c r="L594" s="28" t="s">
        <v>1624</v>
      </c>
      <c r="M594" t="s">
        <v>23</v>
      </c>
      <c r="N594"/>
      <c r="O594"/>
      <c r="P594"/>
      <c r="Q594"/>
      <c r="R594"/>
      <c r="S594"/>
    </row>
    <row r="595" spans="1:19" x14ac:dyDescent="0.25">
      <c r="A595" t="s">
        <v>193</v>
      </c>
      <c r="C595" s="27" t="s">
        <v>34749</v>
      </c>
      <c r="D595" s="28" t="s">
        <v>34867</v>
      </c>
      <c r="J595" t="s">
        <v>1625</v>
      </c>
      <c r="K595" t="s">
        <v>1626</v>
      </c>
      <c r="L595" s="28" t="s">
        <v>1627</v>
      </c>
      <c r="M595" t="s">
        <v>23</v>
      </c>
      <c r="N595"/>
      <c r="O595"/>
      <c r="P595"/>
      <c r="Q595"/>
      <c r="R595"/>
      <c r="S595"/>
    </row>
    <row r="596" spans="1:19" x14ac:dyDescent="0.25">
      <c r="A596" t="s">
        <v>193</v>
      </c>
      <c r="C596" s="27" t="s">
        <v>34749</v>
      </c>
      <c r="D596" s="28" t="s">
        <v>34867</v>
      </c>
      <c r="J596" t="s">
        <v>1628</v>
      </c>
      <c r="K596" t="s">
        <v>1629</v>
      </c>
      <c r="L596" s="28" t="s">
        <v>1630</v>
      </c>
      <c r="M596" t="s">
        <v>23</v>
      </c>
      <c r="N596"/>
      <c r="O596"/>
      <c r="P596"/>
      <c r="Q596"/>
      <c r="R596"/>
      <c r="S596"/>
    </row>
    <row r="597" spans="1:19" x14ac:dyDescent="0.25">
      <c r="A597" t="s">
        <v>193</v>
      </c>
      <c r="C597" s="27" t="s">
        <v>34749</v>
      </c>
      <c r="D597" s="28" t="s">
        <v>34867</v>
      </c>
      <c r="J597" t="s">
        <v>1631</v>
      </c>
      <c r="K597" t="s">
        <v>1632</v>
      </c>
      <c r="L597" s="28" t="s">
        <v>1633</v>
      </c>
      <c r="M597" t="s">
        <v>23</v>
      </c>
      <c r="N597"/>
      <c r="O597"/>
      <c r="P597"/>
      <c r="Q597"/>
      <c r="R597"/>
      <c r="S597"/>
    </row>
    <row r="598" spans="1:19" x14ac:dyDescent="0.25">
      <c r="A598" t="s">
        <v>193</v>
      </c>
      <c r="C598" s="27" t="s">
        <v>34749</v>
      </c>
      <c r="D598" s="28" t="s">
        <v>34867</v>
      </c>
      <c r="J598" t="s">
        <v>1634</v>
      </c>
      <c r="K598" t="s">
        <v>1635</v>
      </c>
      <c r="L598" s="28" t="s">
        <v>1636</v>
      </c>
      <c r="M598" t="s">
        <v>23</v>
      </c>
      <c r="N598"/>
      <c r="O598"/>
      <c r="P598"/>
      <c r="Q598"/>
      <c r="R598"/>
      <c r="S598"/>
    </row>
    <row r="599" spans="1:19" x14ac:dyDescent="0.25">
      <c r="A599" t="s">
        <v>193</v>
      </c>
      <c r="C599" s="27" t="s">
        <v>34749</v>
      </c>
      <c r="D599" s="28" t="s">
        <v>34867</v>
      </c>
      <c r="J599" t="s">
        <v>1637</v>
      </c>
      <c r="K599" t="s">
        <v>1638</v>
      </c>
      <c r="L599" s="28" t="s">
        <v>1639</v>
      </c>
      <c r="M599" t="s">
        <v>23</v>
      </c>
      <c r="N599"/>
      <c r="O599"/>
      <c r="P599"/>
      <c r="Q599"/>
      <c r="R599"/>
      <c r="S599"/>
    </row>
    <row r="600" spans="1:19" x14ac:dyDescent="0.25">
      <c r="A600" t="s">
        <v>193</v>
      </c>
      <c r="C600" s="27" t="s">
        <v>34749</v>
      </c>
      <c r="D600" s="28" t="s">
        <v>34867</v>
      </c>
      <c r="J600" t="s">
        <v>1640</v>
      </c>
      <c r="K600" t="s">
        <v>1641</v>
      </c>
      <c r="L600" s="28" t="s">
        <v>1642</v>
      </c>
      <c r="M600" t="s">
        <v>23</v>
      </c>
      <c r="N600"/>
      <c r="O600"/>
      <c r="P600"/>
      <c r="Q600"/>
      <c r="R600"/>
      <c r="S600"/>
    </row>
    <row r="601" spans="1:19" x14ac:dyDescent="0.25">
      <c r="A601" t="s">
        <v>193</v>
      </c>
      <c r="C601" s="27" t="s">
        <v>34749</v>
      </c>
      <c r="D601" s="28" t="s">
        <v>34867</v>
      </c>
      <c r="J601" t="s">
        <v>1643</v>
      </c>
      <c r="K601" t="s">
        <v>1644</v>
      </c>
      <c r="L601" s="28" t="s">
        <v>1645</v>
      </c>
      <c r="M601" t="s">
        <v>23</v>
      </c>
      <c r="N601"/>
      <c r="O601"/>
      <c r="P601"/>
      <c r="Q601"/>
      <c r="R601"/>
      <c r="S601"/>
    </row>
    <row r="602" spans="1:19" x14ac:dyDescent="0.25">
      <c r="A602" t="s">
        <v>193</v>
      </c>
      <c r="C602" s="27" t="s">
        <v>34749</v>
      </c>
      <c r="D602" s="28" t="s">
        <v>34867</v>
      </c>
      <c r="J602" t="s">
        <v>1646</v>
      </c>
      <c r="K602" t="s">
        <v>1647</v>
      </c>
      <c r="L602" s="28" t="s">
        <v>1648</v>
      </c>
      <c r="M602" t="s">
        <v>23</v>
      </c>
      <c r="N602"/>
      <c r="O602"/>
      <c r="P602"/>
      <c r="Q602"/>
      <c r="R602"/>
      <c r="S602"/>
    </row>
    <row r="603" spans="1:19" x14ac:dyDescent="0.25">
      <c r="A603" t="s">
        <v>193</v>
      </c>
      <c r="C603" s="27" t="s">
        <v>34749</v>
      </c>
      <c r="D603" s="28" t="s">
        <v>34867</v>
      </c>
      <c r="J603" t="s">
        <v>1649</v>
      </c>
      <c r="K603" t="s">
        <v>1650</v>
      </c>
      <c r="L603" s="28" t="s">
        <v>1651</v>
      </c>
      <c r="M603" t="s">
        <v>23</v>
      </c>
      <c r="N603"/>
      <c r="O603"/>
      <c r="P603"/>
      <c r="Q603"/>
      <c r="R603"/>
      <c r="S603"/>
    </row>
    <row r="604" spans="1:19" x14ac:dyDescent="0.25">
      <c r="A604" t="s">
        <v>193</v>
      </c>
      <c r="C604" s="27" t="s">
        <v>34749</v>
      </c>
      <c r="D604" s="28" t="s">
        <v>34867</v>
      </c>
      <c r="J604" t="s">
        <v>1652</v>
      </c>
      <c r="K604" t="s">
        <v>1653</v>
      </c>
      <c r="L604" s="28" t="s">
        <v>1654</v>
      </c>
      <c r="M604" t="s">
        <v>23</v>
      </c>
      <c r="N604"/>
      <c r="O604"/>
      <c r="P604"/>
      <c r="Q604"/>
      <c r="R604"/>
      <c r="S604"/>
    </row>
    <row r="605" spans="1:19" x14ac:dyDescent="0.25">
      <c r="A605" t="s">
        <v>193</v>
      </c>
      <c r="C605" s="27" t="s">
        <v>34749</v>
      </c>
      <c r="D605" s="28" t="s">
        <v>34867</v>
      </c>
      <c r="J605" t="s">
        <v>1655</v>
      </c>
      <c r="K605" t="s">
        <v>1656</v>
      </c>
      <c r="L605" s="28" t="s">
        <v>1657</v>
      </c>
      <c r="M605" t="s">
        <v>23</v>
      </c>
      <c r="N605"/>
      <c r="O605"/>
      <c r="P605"/>
      <c r="Q605"/>
      <c r="R605"/>
      <c r="S605"/>
    </row>
    <row r="606" spans="1:19" x14ac:dyDescent="0.25">
      <c r="A606" t="s">
        <v>193</v>
      </c>
      <c r="C606" s="27" t="s">
        <v>34749</v>
      </c>
      <c r="D606" s="28" t="s">
        <v>34867</v>
      </c>
      <c r="J606" t="s">
        <v>1658</v>
      </c>
      <c r="K606" t="s">
        <v>1659</v>
      </c>
      <c r="L606" s="28" t="s">
        <v>1660</v>
      </c>
      <c r="M606" t="s">
        <v>23</v>
      </c>
      <c r="N606"/>
      <c r="O606"/>
      <c r="P606"/>
      <c r="Q606"/>
      <c r="R606"/>
      <c r="S606"/>
    </row>
    <row r="607" spans="1:19" x14ac:dyDescent="0.25">
      <c r="A607" t="s">
        <v>193</v>
      </c>
      <c r="C607" s="27" t="s">
        <v>34749</v>
      </c>
      <c r="D607" s="28" t="s">
        <v>34867</v>
      </c>
      <c r="J607" t="s">
        <v>1661</v>
      </c>
      <c r="K607" t="s">
        <v>1662</v>
      </c>
      <c r="L607" s="28" t="s">
        <v>1663</v>
      </c>
      <c r="M607" t="s">
        <v>23</v>
      </c>
      <c r="N607"/>
      <c r="O607"/>
      <c r="P607"/>
      <c r="Q607"/>
      <c r="R607"/>
      <c r="S607"/>
    </row>
    <row r="608" spans="1:19" x14ac:dyDescent="0.25">
      <c r="A608" t="s">
        <v>193</v>
      </c>
      <c r="C608" s="27" t="s">
        <v>34749</v>
      </c>
      <c r="D608" s="28" t="s">
        <v>34867</v>
      </c>
      <c r="J608" t="s">
        <v>1664</v>
      </c>
      <c r="K608" t="s">
        <v>1665</v>
      </c>
      <c r="L608" s="28" t="s">
        <v>1666</v>
      </c>
      <c r="M608" t="s">
        <v>23</v>
      </c>
      <c r="N608"/>
      <c r="O608"/>
      <c r="P608"/>
      <c r="Q608"/>
      <c r="R608"/>
      <c r="S608"/>
    </row>
    <row r="609" spans="1:19" x14ac:dyDescent="0.25">
      <c r="A609" t="s">
        <v>193</v>
      </c>
      <c r="C609" s="27" t="s">
        <v>34749</v>
      </c>
      <c r="D609" s="28" t="s">
        <v>34867</v>
      </c>
      <c r="J609" t="s">
        <v>1667</v>
      </c>
      <c r="K609" t="s">
        <v>1668</v>
      </c>
      <c r="L609" s="28" t="s">
        <v>1669</v>
      </c>
      <c r="M609" t="s">
        <v>23</v>
      </c>
      <c r="N609"/>
      <c r="O609"/>
      <c r="P609"/>
      <c r="Q609"/>
      <c r="R609"/>
      <c r="S609"/>
    </row>
    <row r="610" spans="1:19" x14ac:dyDescent="0.25">
      <c r="A610" t="s">
        <v>193</v>
      </c>
      <c r="C610" s="27" t="s">
        <v>34749</v>
      </c>
      <c r="D610" s="28" t="s">
        <v>34867</v>
      </c>
      <c r="J610" t="s">
        <v>1670</v>
      </c>
      <c r="K610" t="s">
        <v>1671</v>
      </c>
      <c r="L610" s="28" t="s">
        <v>1672</v>
      </c>
      <c r="M610" t="s">
        <v>23</v>
      </c>
      <c r="N610"/>
      <c r="O610"/>
      <c r="P610"/>
      <c r="Q610"/>
      <c r="R610"/>
      <c r="S610"/>
    </row>
    <row r="611" spans="1:19" x14ac:dyDescent="0.25">
      <c r="A611" t="s">
        <v>193</v>
      </c>
      <c r="C611" s="27" t="s">
        <v>34749</v>
      </c>
      <c r="D611" s="28" t="s">
        <v>34867</v>
      </c>
      <c r="J611" t="s">
        <v>1673</v>
      </c>
      <c r="K611" t="s">
        <v>1674</v>
      </c>
      <c r="L611" s="28" t="s">
        <v>1675</v>
      </c>
      <c r="M611" t="s">
        <v>23</v>
      </c>
      <c r="N611"/>
      <c r="O611"/>
      <c r="P611"/>
      <c r="Q611"/>
      <c r="R611"/>
      <c r="S611"/>
    </row>
    <row r="612" spans="1:19" x14ac:dyDescent="0.25">
      <c r="A612" t="s">
        <v>193</v>
      </c>
      <c r="C612" s="27" t="s">
        <v>34749</v>
      </c>
      <c r="D612" s="28" t="s">
        <v>34867</v>
      </c>
      <c r="J612" t="s">
        <v>1676</v>
      </c>
      <c r="K612" t="s">
        <v>1677</v>
      </c>
      <c r="L612" s="28" t="s">
        <v>1678</v>
      </c>
      <c r="M612" t="s">
        <v>23</v>
      </c>
      <c r="N612"/>
      <c r="O612"/>
      <c r="P612"/>
      <c r="Q612"/>
      <c r="R612"/>
      <c r="S612"/>
    </row>
    <row r="613" spans="1:19" x14ac:dyDescent="0.25">
      <c r="A613" t="s">
        <v>193</v>
      </c>
      <c r="C613" s="27" t="s">
        <v>34749</v>
      </c>
      <c r="D613" s="28" t="s">
        <v>34867</v>
      </c>
      <c r="J613" t="s">
        <v>1679</v>
      </c>
      <c r="K613" t="s">
        <v>1680</v>
      </c>
      <c r="L613" s="28" t="s">
        <v>1681</v>
      </c>
      <c r="M613" t="s">
        <v>23</v>
      </c>
      <c r="N613"/>
      <c r="O613"/>
      <c r="P613"/>
      <c r="Q613"/>
      <c r="R613"/>
      <c r="S613"/>
    </row>
    <row r="614" spans="1:19" x14ac:dyDescent="0.25">
      <c r="A614" t="s">
        <v>193</v>
      </c>
      <c r="C614" s="27" t="s">
        <v>34749</v>
      </c>
      <c r="D614" s="28" t="s">
        <v>34867</v>
      </c>
      <c r="J614" t="s">
        <v>1682</v>
      </c>
      <c r="K614" t="s">
        <v>1683</v>
      </c>
      <c r="L614" s="28" t="s">
        <v>1684</v>
      </c>
      <c r="M614" t="s">
        <v>23</v>
      </c>
      <c r="N614"/>
      <c r="O614"/>
      <c r="P614"/>
      <c r="Q614"/>
      <c r="R614"/>
      <c r="S614"/>
    </row>
    <row r="615" spans="1:19" x14ac:dyDescent="0.25">
      <c r="A615" t="s">
        <v>193</v>
      </c>
      <c r="C615" s="27" t="s">
        <v>34749</v>
      </c>
      <c r="D615" s="28" t="s">
        <v>34867</v>
      </c>
      <c r="J615" t="s">
        <v>1685</v>
      </c>
      <c r="K615" t="s">
        <v>1686</v>
      </c>
      <c r="L615" s="28" t="s">
        <v>1687</v>
      </c>
      <c r="M615" t="s">
        <v>23</v>
      </c>
      <c r="N615"/>
      <c r="O615"/>
      <c r="P615"/>
      <c r="Q615"/>
      <c r="R615"/>
      <c r="S615"/>
    </row>
    <row r="616" spans="1:19" x14ac:dyDescent="0.25">
      <c r="A616" t="s">
        <v>193</v>
      </c>
      <c r="C616" s="27" t="s">
        <v>34749</v>
      </c>
      <c r="D616" s="28" t="s">
        <v>34867</v>
      </c>
      <c r="J616" t="s">
        <v>1688</v>
      </c>
      <c r="K616" t="s">
        <v>1689</v>
      </c>
      <c r="L616" s="28" t="s">
        <v>1690</v>
      </c>
      <c r="M616" t="s">
        <v>23</v>
      </c>
      <c r="N616"/>
      <c r="O616"/>
      <c r="P616"/>
      <c r="Q616"/>
      <c r="R616"/>
      <c r="S616"/>
    </row>
    <row r="617" spans="1:19" x14ac:dyDescent="0.25">
      <c r="A617" t="s">
        <v>193</v>
      </c>
      <c r="C617" s="27" t="s">
        <v>34749</v>
      </c>
      <c r="D617" s="28" t="s">
        <v>34867</v>
      </c>
      <c r="J617" t="s">
        <v>1691</v>
      </c>
      <c r="K617" t="s">
        <v>1692</v>
      </c>
      <c r="L617" s="28" t="s">
        <v>1693</v>
      </c>
      <c r="M617" t="s">
        <v>23</v>
      </c>
      <c r="N617"/>
      <c r="O617"/>
      <c r="P617"/>
      <c r="Q617"/>
      <c r="R617"/>
      <c r="S617"/>
    </row>
    <row r="618" spans="1:19" x14ac:dyDescent="0.25">
      <c r="A618" t="s">
        <v>193</v>
      </c>
      <c r="C618" s="27" t="s">
        <v>34749</v>
      </c>
      <c r="D618" s="28" t="s">
        <v>34867</v>
      </c>
      <c r="J618" t="s">
        <v>1694</v>
      </c>
      <c r="K618" t="s">
        <v>1695</v>
      </c>
      <c r="L618" s="28" t="s">
        <v>1696</v>
      </c>
      <c r="M618" t="s">
        <v>23</v>
      </c>
      <c r="N618"/>
      <c r="O618"/>
      <c r="P618"/>
      <c r="Q618"/>
      <c r="R618"/>
      <c r="S618"/>
    </row>
    <row r="619" spans="1:19" x14ac:dyDescent="0.25">
      <c r="A619" t="s">
        <v>193</v>
      </c>
      <c r="C619" s="27" t="s">
        <v>34749</v>
      </c>
      <c r="D619" s="28" t="s">
        <v>34867</v>
      </c>
      <c r="J619" t="s">
        <v>1697</v>
      </c>
      <c r="K619" t="s">
        <v>1698</v>
      </c>
      <c r="L619" s="28" t="s">
        <v>1699</v>
      </c>
      <c r="M619" t="s">
        <v>23</v>
      </c>
      <c r="N619"/>
      <c r="O619"/>
      <c r="P619"/>
      <c r="Q619"/>
      <c r="R619"/>
      <c r="S619"/>
    </row>
    <row r="620" spans="1:19" x14ac:dyDescent="0.25">
      <c r="A620" t="s">
        <v>193</v>
      </c>
      <c r="C620" s="27" t="s">
        <v>34749</v>
      </c>
      <c r="D620" s="28" t="s">
        <v>34867</v>
      </c>
      <c r="J620" t="s">
        <v>1700</v>
      </c>
      <c r="K620" t="s">
        <v>1701</v>
      </c>
      <c r="L620" s="28" t="s">
        <v>1702</v>
      </c>
      <c r="M620" t="s">
        <v>23</v>
      </c>
      <c r="N620"/>
      <c r="O620"/>
      <c r="P620"/>
      <c r="Q620"/>
      <c r="R620"/>
      <c r="S620"/>
    </row>
    <row r="621" spans="1:19" x14ac:dyDescent="0.25">
      <c r="A621" t="s">
        <v>193</v>
      </c>
      <c r="C621" s="27" t="s">
        <v>34749</v>
      </c>
      <c r="D621" s="28" t="s">
        <v>34867</v>
      </c>
      <c r="J621" t="s">
        <v>1703</v>
      </c>
      <c r="K621" t="s">
        <v>1704</v>
      </c>
      <c r="L621" s="28" t="s">
        <v>1705</v>
      </c>
      <c r="M621" t="s">
        <v>23</v>
      </c>
      <c r="N621"/>
      <c r="O621"/>
      <c r="P621"/>
      <c r="Q621"/>
      <c r="R621"/>
      <c r="S621"/>
    </row>
    <row r="622" spans="1:19" x14ac:dyDescent="0.25">
      <c r="A622" t="s">
        <v>193</v>
      </c>
      <c r="C622" s="27" t="s">
        <v>34749</v>
      </c>
      <c r="D622" s="28" t="s">
        <v>34867</v>
      </c>
      <c r="J622" t="s">
        <v>1706</v>
      </c>
      <c r="K622" t="s">
        <v>1707</v>
      </c>
      <c r="L622" s="28" t="s">
        <v>1708</v>
      </c>
      <c r="M622" t="s">
        <v>23</v>
      </c>
      <c r="N622"/>
      <c r="O622"/>
      <c r="P622"/>
      <c r="Q622"/>
      <c r="R622"/>
      <c r="S622"/>
    </row>
    <row r="623" spans="1:19" x14ac:dyDescent="0.25">
      <c r="A623" t="s">
        <v>193</v>
      </c>
      <c r="C623" s="27" t="s">
        <v>34749</v>
      </c>
      <c r="D623" s="28" t="s">
        <v>34867</v>
      </c>
      <c r="J623" t="s">
        <v>1709</v>
      </c>
      <c r="K623" t="s">
        <v>1710</v>
      </c>
      <c r="L623" s="28" t="s">
        <v>1711</v>
      </c>
      <c r="M623" t="s">
        <v>23</v>
      </c>
      <c r="N623"/>
      <c r="O623"/>
      <c r="P623"/>
      <c r="Q623"/>
      <c r="R623"/>
      <c r="S623"/>
    </row>
    <row r="624" spans="1:19" x14ac:dyDescent="0.25">
      <c r="A624" t="s">
        <v>193</v>
      </c>
      <c r="C624" s="27" t="s">
        <v>34749</v>
      </c>
      <c r="D624" s="28" t="s">
        <v>34867</v>
      </c>
      <c r="J624" t="s">
        <v>1712</v>
      </c>
      <c r="K624" t="s">
        <v>1713</v>
      </c>
      <c r="L624" s="28" t="s">
        <v>1714</v>
      </c>
      <c r="M624" t="s">
        <v>23</v>
      </c>
      <c r="N624"/>
      <c r="O624"/>
      <c r="P624"/>
      <c r="Q624"/>
      <c r="R624"/>
      <c r="S624"/>
    </row>
    <row r="625" spans="1:19" x14ac:dyDescent="0.25">
      <c r="A625" t="s">
        <v>193</v>
      </c>
      <c r="C625" s="27" t="s">
        <v>34749</v>
      </c>
      <c r="D625" s="28" t="s">
        <v>34867</v>
      </c>
      <c r="J625" t="s">
        <v>1715</v>
      </c>
      <c r="K625" t="s">
        <v>1716</v>
      </c>
      <c r="L625" s="28" t="s">
        <v>1717</v>
      </c>
      <c r="M625" t="s">
        <v>23</v>
      </c>
      <c r="N625"/>
      <c r="O625"/>
      <c r="P625"/>
      <c r="Q625"/>
      <c r="R625"/>
      <c r="S625"/>
    </row>
    <row r="626" spans="1:19" x14ac:dyDescent="0.25">
      <c r="A626" t="s">
        <v>193</v>
      </c>
      <c r="C626" s="27" t="s">
        <v>34749</v>
      </c>
      <c r="D626" s="28" t="s">
        <v>34867</v>
      </c>
      <c r="J626" t="s">
        <v>1718</v>
      </c>
      <c r="K626" t="s">
        <v>1719</v>
      </c>
      <c r="L626" s="28" t="s">
        <v>1720</v>
      </c>
      <c r="M626" t="s">
        <v>23</v>
      </c>
      <c r="N626"/>
      <c r="O626"/>
      <c r="P626"/>
      <c r="Q626"/>
      <c r="R626"/>
      <c r="S626"/>
    </row>
    <row r="627" spans="1:19" x14ac:dyDescent="0.25">
      <c r="A627" t="s">
        <v>193</v>
      </c>
      <c r="C627" s="27" t="s">
        <v>34749</v>
      </c>
      <c r="D627" s="28" t="s">
        <v>34867</v>
      </c>
      <c r="J627" t="s">
        <v>1721</v>
      </c>
      <c r="K627" t="s">
        <v>1722</v>
      </c>
      <c r="L627" s="28" t="s">
        <v>1723</v>
      </c>
      <c r="M627" t="s">
        <v>23</v>
      </c>
      <c r="N627"/>
      <c r="O627"/>
      <c r="P627"/>
      <c r="Q627"/>
      <c r="R627"/>
      <c r="S627"/>
    </row>
    <row r="628" spans="1:19" x14ac:dyDescent="0.25">
      <c r="A628" t="s">
        <v>193</v>
      </c>
      <c r="C628" s="27" t="s">
        <v>34749</v>
      </c>
      <c r="D628" s="28" t="s">
        <v>34867</v>
      </c>
      <c r="E628" s="3"/>
      <c r="F628" s="3"/>
      <c r="J628" t="s">
        <v>1724</v>
      </c>
      <c r="K628" t="s">
        <v>1725</v>
      </c>
      <c r="L628" s="28" t="s">
        <v>1726</v>
      </c>
      <c r="M628" t="s">
        <v>23</v>
      </c>
      <c r="N628"/>
      <c r="O628"/>
      <c r="P628"/>
      <c r="Q628"/>
      <c r="R628"/>
      <c r="S628"/>
    </row>
    <row r="629" spans="1:19" x14ac:dyDescent="0.25">
      <c r="A629" t="s">
        <v>193</v>
      </c>
      <c r="C629" s="27" t="s">
        <v>34749</v>
      </c>
      <c r="D629" s="28" t="s">
        <v>34867</v>
      </c>
      <c r="J629" t="s">
        <v>1727</v>
      </c>
      <c r="K629" t="s">
        <v>1728</v>
      </c>
      <c r="L629" s="28" t="s">
        <v>1729</v>
      </c>
      <c r="M629" t="s">
        <v>23</v>
      </c>
      <c r="N629"/>
      <c r="O629"/>
      <c r="P629"/>
      <c r="Q629"/>
      <c r="R629"/>
      <c r="S629"/>
    </row>
    <row r="630" spans="1:19" x14ac:dyDescent="0.25">
      <c r="A630" t="s">
        <v>193</v>
      </c>
      <c r="C630" s="27" t="s">
        <v>34749</v>
      </c>
      <c r="D630" s="28" t="s">
        <v>34867</v>
      </c>
      <c r="J630" t="s">
        <v>1730</v>
      </c>
      <c r="K630" t="s">
        <v>1731</v>
      </c>
      <c r="L630" s="28" t="s">
        <v>1732</v>
      </c>
      <c r="M630" t="s">
        <v>23</v>
      </c>
      <c r="N630"/>
      <c r="O630"/>
      <c r="P630"/>
      <c r="Q630"/>
      <c r="R630"/>
      <c r="S630"/>
    </row>
    <row r="631" spans="1:19" x14ac:dyDescent="0.25">
      <c r="A631" t="s">
        <v>193</v>
      </c>
      <c r="C631" s="27" t="s">
        <v>34749</v>
      </c>
      <c r="D631" s="28" t="s">
        <v>34867</v>
      </c>
      <c r="J631" t="s">
        <v>1733</v>
      </c>
      <c r="K631" t="s">
        <v>1734</v>
      </c>
      <c r="L631" s="28" t="s">
        <v>1735</v>
      </c>
      <c r="M631" t="s">
        <v>23</v>
      </c>
      <c r="N631"/>
      <c r="O631"/>
      <c r="P631"/>
      <c r="Q631"/>
      <c r="R631"/>
      <c r="S631"/>
    </row>
    <row r="632" spans="1:19" x14ac:dyDescent="0.25">
      <c r="A632" t="s">
        <v>193</v>
      </c>
      <c r="C632" s="27" t="s">
        <v>34749</v>
      </c>
      <c r="D632" s="28" t="s">
        <v>34867</v>
      </c>
      <c r="J632" t="s">
        <v>1736</v>
      </c>
      <c r="K632" t="s">
        <v>1737</v>
      </c>
      <c r="L632" s="28" t="s">
        <v>1738</v>
      </c>
      <c r="M632" t="s">
        <v>23</v>
      </c>
      <c r="N632"/>
      <c r="O632"/>
      <c r="P632"/>
      <c r="Q632"/>
      <c r="R632"/>
      <c r="S632"/>
    </row>
    <row r="633" spans="1:19" x14ac:dyDescent="0.25">
      <c r="A633" t="s">
        <v>193</v>
      </c>
      <c r="C633" s="27" t="s">
        <v>34749</v>
      </c>
      <c r="D633" s="28" t="s">
        <v>34867</v>
      </c>
      <c r="J633" t="s">
        <v>1739</v>
      </c>
      <c r="K633" t="s">
        <v>1740</v>
      </c>
      <c r="L633" s="28" t="s">
        <v>1741</v>
      </c>
      <c r="M633" t="s">
        <v>23</v>
      </c>
      <c r="N633"/>
      <c r="O633"/>
      <c r="P633"/>
      <c r="Q633"/>
      <c r="R633"/>
      <c r="S633"/>
    </row>
    <row r="634" spans="1:19" x14ac:dyDescent="0.25">
      <c r="A634" t="s">
        <v>193</v>
      </c>
      <c r="C634" s="27" t="s">
        <v>34749</v>
      </c>
      <c r="D634" s="28" t="s">
        <v>34867</v>
      </c>
      <c r="J634" t="s">
        <v>1742</v>
      </c>
      <c r="K634" t="s">
        <v>1743</v>
      </c>
      <c r="L634" s="28" t="s">
        <v>1744</v>
      </c>
      <c r="M634" t="s">
        <v>23</v>
      </c>
      <c r="N634"/>
      <c r="O634"/>
      <c r="P634"/>
      <c r="Q634"/>
      <c r="R634"/>
      <c r="S634"/>
    </row>
    <row r="635" spans="1:19" x14ac:dyDescent="0.25">
      <c r="A635" t="s">
        <v>193</v>
      </c>
      <c r="C635" s="27" t="s">
        <v>34749</v>
      </c>
      <c r="D635" s="28" t="s">
        <v>34867</v>
      </c>
      <c r="J635" t="s">
        <v>1745</v>
      </c>
      <c r="K635" t="s">
        <v>1746</v>
      </c>
      <c r="L635" s="28" t="s">
        <v>1747</v>
      </c>
      <c r="M635" t="s">
        <v>23</v>
      </c>
      <c r="N635"/>
      <c r="O635"/>
      <c r="P635"/>
      <c r="Q635"/>
      <c r="R635"/>
      <c r="S635"/>
    </row>
    <row r="636" spans="1:19" x14ac:dyDescent="0.25">
      <c r="A636" t="s">
        <v>193</v>
      </c>
      <c r="C636" s="27" t="s">
        <v>34749</v>
      </c>
      <c r="D636" s="28" t="s">
        <v>34867</v>
      </c>
      <c r="J636" t="s">
        <v>1748</v>
      </c>
      <c r="K636" t="s">
        <v>1749</v>
      </c>
      <c r="L636" s="28" t="s">
        <v>1750</v>
      </c>
      <c r="M636" t="s">
        <v>23</v>
      </c>
      <c r="N636"/>
      <c r="O636"/>
      <c r="P636"/>
      <c r="Q636"/>
      <c r="R636"/>
      <c r="S636"/>
    </row>
    <row r="637" spans="1:19" x14ac:dyDescent="0.25">
      <c r="A637" t="s">
        <v>193</v>
      </c>
      <c r="C637" s="27" t="s">
        <v>34749</v>
      </c>
      <c r="D637" s="28" t="s">
        <v>34867</v>
      </c>
      <c r="J637" t="s">
        <v>1751</v>
      </c>
      <c r="K637" t="s">
        <v>1752</v>
      </c>
      <c r="L637" s="28" t="s">
        <v>1753</v>
      </c>
      <c r="M637" t="s">
        <v>23</v>
      </c>
      <c r="N637"/>
      <c r="O637"/>
      <c r="P637"/>
      <c r="Q637"/>
      <c r="R637"/>
      <c r="S637"/>
    </row>
    <row r="638" spans="1:19" x14ac:dyDescent="0.25">
      <c r="A638" t="s">
        <v>193</v>
      </c>
      <c r="C638" s="27" t="s">
        <v>34749</v>
      </c>
      <c r="D638" s="28" t="s">
        <v>34867</v>
      </c>
      <c r="J638" t="s">
        <v>1754</v>
      </c>
      <c r="K638" t="s">
        <v>1755</v>
      </c>
      <c r="L638" s="28" t="s">
        <v>1756</v>
      </c>
      <c r="M638" t="s">
        <v>23</v>
      </c>
      <c r="N638"/>
      <c r="O638"/>
      <c r="P638"/>
      <c r="Q638"/>
      <c r="R638"/>
      <c r="S638"/>
    </row>
    <row r="639" spans="1:19" x14ac:dyDescent="0.25">
      <c r="A639" t="s">
        <v>193</v>
      </c>
      <c r="C639" s="27" t="s">
        <v>34749</v>
      </c>
      <c r="D639" s="28" t="s">
        <v>34867</v>
      </c>
      <c r="J639" t="s">
        <v>1757</v>
      </c>
      <c r="K639" t="s">
        <v>1758</v>
      </c>
      <c r="L639" s="28" t="s">
        <v>1759</v>
      </c>
      <c r="M639" t="s">
        <v>23</v>
      </c>
      <c r="N639"/>
      <c r="O639"/>
      <c r="P639"/>
      <c r="Q639"/>
      <c r="R639"/>
      <c r="S639"/>
    </row>
    <row r="640" spans="1:19" x14ac:dyDescent="0.25">
      <c r="A640" t="s">
        <v>193</v>
      </c>
      <c r="C640" s="27" t="s">
        <v>34749</v>
      </c>
      <c r="D640" s="28" t="s">
        <v>34867</v>
      </c>
      <c r="J640" t="s">
        <v>1760</v>
      </c>
      <c r="K640" t="s">
        <v>1761</v>
      </c>
      <c r="L640" s="28" t="s">
        <v>1762</v>
      </c>
      <c r="M640" t="s">
        <v>23</v>
      </c>
      <c r="N640"/>
      <c r="O640"/>
      <c r="P640"/>
      <c r="Q640"/>
      <c r="R640"/>
      <c r="S640"/>
    </row>
    <row r="641" spans="1:19" x14ac:dyDescent="0.25">
      <c r="A641" t="s">
        <v>193</v>
      </c>
      <c r="C641" s="27" t="s">
        <v>34749</v>
      </c>
      <c r="D641" s="28" t="s">
        <v>34867</v>
      </c>
      <c r="J641" t="s">
        <v>1763</v>
      </c>
      <c r="K641" t="s">
        <v>1764</v>
      </c>
      <c r="L641" s="28" t="s">
        <v>1765</v>
      </c>
      <c r="M641" t="s">
        <v>23</v>
      </c>
      <c r="N641"/>
      <c r="O641"/>
      <c r="P641"/>
      <c r="Q641"/>
      <c r="R641"/>
      <c r="S641"/>
    </row>
    <row r="642" spans="1:19" x14ac:dyDescent="0.25">
      <c r="A642" t="s">
        <v>193</v>
      </c>
      <c r="C642" s="27" t="s">
        <v>34749</v>
      </c>
      <c r="D642" s="28" t="s">
        <v>34867</v>
      </c>
      <c r="J642" t="s">
        <v>1766</v>
      </c>
      <c r="K642" t="s">
        <v>1767</v>
      </c>
      <c r="L642" s="28" t="s">
        <v>1768</v>
      </c>
      <c r="M642" t="s">
        <v>23</v>
      </c>
      <c r="N642"/>
      <c r="O642"/>
      <c r="P642"/>
      <c r="Q642"/>
      <c r="R642"/>
      <c r="S642"/>
    </row>
    <row r="643" spans="1:19" x14ac:dyDescent="0.25">
      <c r="A643" t="s">
        <v>193</v>
      </c>
      <c r="C643" s="27" t="s">
        <v>34749</v>
      </c>
      <c r="D643" s="28" t="s">
        <v>34867</v>
      </c>
      <c r="J643" t="s">
        <v>1769</v>
      </c>
      <c r="K643" t="s">
        <v>1770</v>
      </c>
      <c r="L643" s="28" t="s">
        <v>1771</v>
      </c>
      <c r="M643" t="s">
        <v>23</v>
      </c>
      <c r="N643"/>
      <c r="O643"/>
      <c r="P643"/>
      <c r="Q643"/>
      <c r="R643"/>
      <c r="S643"/>
    </row>
    <row r="644" spans="1:19" x14ac:dyDescent="0.25">
      <c r="A644" t="s">
        <v>193</v>
      </c>
      <c r="C644" s="27" t="s">
        <v>34749</v>
      </c>
      <c r="D644" s="28" t="s">
        <v>34867</v>
      </c>
      <c r="J644" t="s">
        <v>1772</v>
      </c>
      <c r="K644" t="s">
        <v>1773</v>
      </c>
      <c r="L644" s="28" t="s">
        <v>1774</v>
      </c>
      <c r="M644" t="s">
        <v>23</v>
      </c>
      <c r="N644"/>
      <c r="O644"/>
      <c r="P644"/>
      <c r="Q644"/>
      <c r="R644"/>
      <c r="S644"/>
    </row>
    <row r="645" spans="1:19" x14ac:dyDescent="0.25">
      <c r="A645" t="s">
        <v>193</v>
      </c>
      <c r="C645" s="27" t="s">
        <v>34749</v>
      </c>
      <c r="D645" s="28" t="s">
        <v>34867</v>
      </c>
      <c r="J645" t="s">
        <v>1775</v>
      </c>
      <c r="K645" t="s">
        <v>1776</v>
      </c>
      <c r="L645" s="28" t="s">
        <v>1777</v>
      </c>
      <c r="M645" t="s">
        <v>23</v>
      </c>
      <c r="N645"/>
      <c r="O645"/>
      <c r="P645"/>
      <c r="Q645"/>
      <c r="R645"/>
      <c r="S645"/>
    </row>
    <row r="646" spans="1:19" x14ac:dyDescent="0.25">
      <c r="A646" t="s">
        <v>193</v>
      </c>
      <c r="C646" s="27" t="s">
        <v>34749</v>
      </c>
      <c r="D646" s="28" t="s">
        <v>34867</v>
      </c>
      <c r="J646" t="s">
        <v>1778</v>
      </c>
      <c r="K646" t="s">
        <v>1779</v>
      </c>
      <c r="L646" s="28" t="s">
        <v>1780</v>
      </c>
      <c r="M646" t="s">
        <v>23</v>
      </c>
      <c r="N646"/>
      <c r="O646"/>
      <c r="P646"/>
      <c r="Q646"/>
      <c r="R646"/>
      <c r="S646"/>
    </row>
    <row r="647" spans="1:19" x14ac:dyDescent="0.25">
      <c r="A647" t="s">
        <v>193</v>
      </c>
      <c r="C647" s="27" t="s">
        <v>34749</v>
      </c>
      <c r="D647" s="28" t="s">
        <v>34867</v>
      </c>
      <c r="J647" t="s">
        <v>1781</v>
      </c>
      <c r="K647" t="s">
        <v>1782</v>
      </c>
      <c r="L647" s="28" t="s">
        <v>1783</v>
      </c>
      <c r="M647" t="s">
        <v>23</v>
      </c>
      <c r="N647"/>
      <c r="O647"/>
      <c r="P647"/>
      <c r="Q647"/>
      <c r="R647"/>
      <c r="S647"/>
    </row>
    <row r="648" spans="1:19" x14ac:dyDescent="0.25">
      <c r="A648" t="s">
        <v>193</v>
      </c>
      <c r="C648" s="27" t="s">
        <v>34749</v>
      </c>
      <c r="D648" s="28" t="s">
        <v>34867</v>
      </c>
      <c r="J648" t="s">
        <v>1784</v>
      </c>
      <c r="K648" t="s">
        <v>1785</v>
      </c>
      <c r="L648" s="28" t="s">
        <v>1786</v>
      </c>
      <c r="M648" t="s">
        <v>23</v>
      </c>
      <c r="N648"/>
      <c r="O648"/>
      <c r="P648"/>
      <c r="Q648"/>
      <c r="R648"/>
      <c r="S648"/>
    </row>
    <row r="649" spans="1:19" x14ac:dyDescent="0.25">
      <c r="A649" t="s">
        <v>193</v>
      </c>
      <c r="C649" s="27" t="s">
        <v>34749</v>
      </c>
      <c r="D649" s="28" t="s">
        <v>34867</v>
      </c>
      <c r="J649" t="s">
        <v>1787</v>
      </c>
      <c r="K649" t="s">
        <v>1788</v>
      </c>
      <c r="L649" s="28" t="s">
        <v>1789</v>
      </c>
      <c r="M649" t="s">
        <v>23</v>
      </c>
      <c r="N649"/>
      <c r="O649"/>
      <c r="P649"/>
      <c r="Q649"/>
      <c r="R649"/>
      <c r="S649"/>
    </row>
    <row r="650" spans="1:19" x14ac:dyDescent="0.25">
      <c r="A650" t="s">
        <v>193</v>
      </c>
      <c r="C650" s="27" t="s">
        <v>34749</v>
      </c>
      <c r="D650" s="28" t="s">
        <v>34867</v>
      </c>
      <c r="J650" t="s">
        <v>1790</v>
      </c>
      <c r="K650" t="s">
        <v>1791</v>
      </c>
      <c r="L650" s="28" t="s">
        <v>1792</v>
      </c>
      <c r="M650" t="s">
        <v>23</v>
      </c>
      <c r="N650"/>
      <c r="O650"/>
      <c r="P650"/>
      <c r="Q650"/>
      <c r="R650"/>
      <c r="S650"/>
    </row>
    <row r="651" spans="1:19" x14ac:dyDescent="0.25">
      <c r="A651" t="s">
        <v>193</v>
      </c>
      <c r="C651" s="27" t="s">
        <v>34749</v>
      </c>
      <c r="D651" s="28" t="s">
        <v>34867</v>
      </c>
      <c r="J651" t="s">
        <v>1793</v>
      </c>
      <c r="K651" t="s">
        <v>1794</v>
      </c>
      <c r="L651" s="28" t="s">
        <v>1795</v>
      </c>
      <c r="M651" t="s">
        <v>23</v>
      </c>
      <c r="N651"/>
      <c r="O651"/>
      <c r="P651"/>
      <c r="Q651"/>
      <c r="R651"/>
      <c r="S651"/>
    </row>
    <row r="652" spans="1:19" x14ac:dyDescent="0.25">
      <c r="A652" t="s">
        <v>193</v>
      </c>
      <c r="C652" s="27" t="s">
        <v>34749</v>
      </c>
      <c r="D652" s="28" t="s">
        <v>34867</v>
      </c>
      <c r="J652" t="s">
        <v>1796</v>
      </c>
      <c r="K652" t="s">
        <v>1797</v>
      </c>
      <c r="L652" s="28" t="s">
        <v>1798</v>
      </c>
      <c r="M652" t="s">
        <v>23</v>
      </c>
      <c r="N652"/>
      <c r="O652"/>
      <c r="P652"/>
      <c r="Q652"/>
      <c r="R652"/>
      <c r="S652"/>
    </row>
    <row r="653" spans="1:19" x14ac:dyDescent="0.25">
      <c r="A653" t="s">
        <v>193</v>
      </c>
      <c r="C653" s="27" t="s">
        <v>34749</v>
      </c>
      <c r="D653" s="28" t="s">
        <v>34867</v>
      </c>
      <c r="J653" t="s">
        <v>1799</v>
      </c>
      <c r="K653" t="s">
        <v>1800</v>
      </c>
      <c r="L653" s="28" t="s">
        <v>1801</v>
      </c>
      <c r="M653" t="s">
        <v>23</v>
      </c>
      <c r="N653"/>
      <c r="O653"/>
      <c r="P653"/>
      <c r="Q653"/>
      <c r="R653"/>
      <c r="S653"/>
    </row>
    <row r="654" spans="1:19" x14ac:dyDescent="0.25">
      <c r="A654" t="s">
        <v>193</v>
      </c>
      <c r="C654" s="27" t="s">
        <v>34749</v>
      </c>
      <c r="D654" s="28" t="s">
        <v>34867</v>
      </c>
      <c r="J654" t="s">
        <v>1802</v>
      </c>
      <c r="K654" t="s">
        <v>1803</v>
      </c>
      <c r="L654" s="28" t="s">
        <v>1804</v>
      </c>
      <c r="M654" t="s">
        <v>23</v>
      </c>
      <c r="N654"/>
      <c r="O654"/>
      <c r="P654"/>
      <c r="Q654"/>
      <c r="R654"/>
      <c r="S654"/>
    </row>
    <row r="655" spans="1:19" x14ac:dyDescent="0.25">
      <c r="A655" t="s">
        <v>193</v>
      </c>
      <c r="C655" s="27" t="s">
        <v>34749</v>
      </c>
      <c r="D655" s="28" t="s">
        <v>34867</v>
      </c>
      <c r="J655" t="s">
        <v>1805</v>
      </c>
      <c r="K655" t="s">
        <v>1806</v>
      </c>
      <c r="L655" s="28" t="s">
        <v>1807</v>
      </c>
      <c r="M655" t="s">
        <v>23</v>
      </c>
      <c r="N655"/>
      <c r="O655"/>
      <c r="P655"/>
      <c r="Q655"/>
      <c r="R655"/>
      <c r="S655"/>
    </row>
    <row r="656" spans="1:19" x14ac:dyDescent="0.25">
      <c r="A656" t="s">
        <v>193</v>
      </c>
      <c r="C656" s="27" t="s">
        <v>34749</v>
      </c>
      <c r="D656" s="28" t="s">
        <v>34867</v>
      </c>
      <c r="J656" t="s">
        <v>1808</v>
      </c>
      <c r="K656" t="s">
        <v>1809</v>
      </c>
      <c r="L656" s="28" t="s">
        <v>1810</v>
      </c>
      <c r="M656" t="s">
        <v>23</v>
      </c>
      <c r="N656"/>
      <c r="O656"/>
      <c r="P656"/>
      <c r="Q656"/>
      <c r="R656"/>
      <c r="S656"/>
    </row>
    <row r="657" spans="1:19" x14ac:dyDescent="0.25">
      <c r="A657" t="s">
        <v>193</v>
      </c>
      <c r="C657" s="27" t="s">
        <v>34749</v>
      </c>
      <c r="D657" s="28" t="s">
        <v>34867</v>
      </c>
      <c r="J657" t="s">
        <v>1811</v>
      </c>
      <c r="K657" t="s">
        <v>1812</v>
      </c>
      <c r="L657" s="28" t="s">
        <v>1813</v>
      </c>
      <c r="M657" t="s">
        <v>23</v>
      </c>
      <c r="N657"/>
      <c r="O657"/>
      <c r="P657"/>
      <c r="Q657"/>
      <c r="R657"/>
      <c r="S657"/>
    </row>
    <row r="658" spans="1:19" x14ac:dyDescent="0.25">
      <c r="A658" t="s">
        <v>193</v>
      </c>
      <c r="C658" s="27" t="s">
        <v>34749</v>
      </c>
      <c r="D658" s="28" t="s">
        <v>34867</v>
      </c>
      <c r="J658" t="s">
        <v>1814</v>
      </c>
      <c r="K658" t="s">
        <v>1815</v>
      </c>
      <c r="L658" s="28" t="s">
        <v>1816</v>
      </c>
      <c r="M658" t="s">
        <v>23</v>
      </c>
      <c r="N658"/>
      <c r="O658"/>
      <c r="P658"/>
      <c r="Q658"/>
      <c r="R658"/>
      <c r="S658"/>
    </row>
    <row r="659" spans="1:19" x14ac:dyDescent="0.25">
      <c r="A659" t="s">
        <v>193</v>
      </c>
      <c r="C659" s="27" t="s">
        <v>34749</v>
      </c>
      <c r="D659" s="28" t="s">
        <v>34867</v>
      </c>
      <c r="J659" t="s">
        <v>1817</v>
      </c>
      <c r="K659" t="s">
        <v>1818</v>
      </c>
      <c r="L659" s="28" t="s">
        <v>1819</v>
      </c>
      <c r="M659" t="s">
        <v>23</v>
      </c>
      <c r="N659"/>
      <c r="O659"/>
      <c r="P659"/>
      <c r="Q659"/>
      <c r="R659"/>
      <c r="S659"/>
    </row>
    <row r="660" spans="1:19" x14ac:dyDescent="0.25">
      <c r="A660" t="s">
        <v>193</v>
      </c>
      <c r="C660" s="27" t="s">
        <v>34749</v>
      </c>
      <c r="D660" s="28" t="s">
        <v>34867</v>
      </c>
      <c r="J660" t="s">
        <v>1820</v>
      </c>
      <c r="K660" t="s">
        <v>1821</v>
      </c>
      <c r="L660" s="28" t="s">
        <v>1822</v>
      </c>
      <c r="M660" t="s">
        <v>23</v>
      </c>
      <c r="N660"/>
      <c r="O660"/>
      <c r="P660"/>
      <c r="Q660"/>
      <c r="R660"/>
      <c r="S660"/>
    </row>
    <row r="661" spans="1:19" x14ac:dyDescent="0.25">
      <c r="A661" t="s">
        <v>193</v>
      </c>
      <c r="C661" s="27" t="s">
        <v>34749</v>
      </c>
      <c r="D661" s="28" t="s">
        <v>34867</v>
      </c>
      <c r="J661" t="s">
        <v>1823</v>
      </c>
      <c r="K661" t="s">
        <v>1824</v>
      </c>
      <c r="L661" s="28" t="s">
        <v>1825</v>
      </c>
      <c r="M661" t="s">
        <v>23</v>
      </c>
      <c r="N661"/>
      <c r="O661"/>
      <c r="P661"/>
      <c r="Q661"/>
      <c r="R661"/>
      <c r="S661"/>
    </row>
    <row r="662" spans="1:19" x14ac:dyDescent="0.25">
      <c r="A662" t="s">
        <v>193</v>
      </c>
      <c r="C662" s="27" t="s">
        <v>34749</v>
      </c>
      <c r="D662" s="28" t="s">
        <v>34867</v>
      </c>
      <c r="J662" t="s">
        <v>1826</v>
      </c>
      <c r="K662" t="s">
        <v>1827</v>
      </c>
      <c r="L662" s="28" t="s">
        <v>1828</v>
      </c>
      <c r="M662" t="s">
        <v>23</v>
      </c>
      <c r="N662"/>
      <c r="O662"/>
      <c r="P662"/>
      <c r="Q662"/>
      <c r="R662"/>
      <c r="S662"/>
    </row>
    <row r="663" spans="1:19" x14ac:dyDescent="0.25">
      <c r="A663" t="s">
        <v>193</v>
      </c>
      <c r="C663" s="27" t="s">
        <v>34749</v>
      </c>
      <c r="D663" s="28" t="s">
        <v>34867</v>
      </c>
      <c r="J663" t="s">
        <v>1829</v>
      </c>
      <c r="K663" t="s">
        <v>1830</v>
      </c>
      <c r="L663" s="28" t="s">
        <v>1831</v>
      </c>
      <c r="M663" t="s">
        <v>23</v>
      </c>
      <c r="N663"/>
      <c r="O663"/>
      <c r="P663"/>
      <c r="Q663"/>
      <c r="R663"/>
      <c r="S663"/>
    </row>
    <row r="664" spans="1:19" x14ac:dyDescent="0.25">
      <c r="A664" t="s">
        <v>193</v>
      </c>
      <c r="C664" s="27" t="s">
        <v>34749</v>
      </c>
      <c r="D664" s="28" t="s">
        <v>34867</v>
      </c>
      <c r="J664" t="s">
        <v>1832</v>
      </c>
      <c r="K664" t="s">
        <v>1833</v>
      </c>
      <c r="L664" s="28" t="s">
        <v>1834</v>
      </c>
      <c r="M664" t="s">
        <v>23</v>
      </c>
      <c r="N664"/>
      <c r="O664"/>
      <c r="P664"/>
      <c r="Q664"/>
      <c r="R664"/>
      <c r="S664"/>
    </row>
    <row r="665" spans="1:19" x14ac:dyDescent="0.25">
      <c r="A665" t="s">
        <v>193</v>
      </c>
      <c r="C665" s="27" t="s">
        <v>34749</v>
      </c>
      <c r="D665" s="28" t="s">
        <v>34867</v>
      </c>
      <c r="J665" t="s">
        <v>1835</v>
      </c>
      <c r="K665" t="s">
        <v>1836</v>
      </c>
      <c r="L665" s="28" t="s">
        <v>1837</v>
      </c>
      <c r="M665" t="s">
        <v>23</v>
      </c>
      <c r="N665"/>
      <c r="O665"/>
      <c r="P665"/>
      <c r="Q665"/>
      <c r="R665"/>
      <c r="S665"/>
    </row>
    <row r="666" spans="1:19" x14ac:dyDescent="0.25">
      <c r="A666" t="s">
        <v>193</v>
      </c>
      <c r="C666" s="27" t="s">
        <v>34749</v>
      </c>
      <c r="D666" s="28" t="s">
        <v>34867</v>
      </c>
      <c r="J666" t="s">
        <v>1838</v>
      </c>
      <c r="K666" t="s">
        <v>1839</v>
      </c>
      <c r="L666" s="28" t="s">
        <v>1840</v>
      </c>
      <c r="M666" t="s">
        <v>23</v>
      </c>
      <c r="N666"/>
      <c r="O666"/>
      <c r="P666"/>
      <c r="Q666"/>
      <c r="R666"/>
      <c r="S666"/>
    </row>
    <row r="667" spans="1:19" x14ac:dyDescent="0.25">
      <c r="A667" t="s">
        <v>193</v>
      </c>
      <c r="C667" s="27" t="s">
        <v>34749</v>
      </c>
      <c r="D667" s="28" t="s">
        <v>34867</v>
      </c>
      <c r="J667" t="s">
        <v>1841</v>
      </c>
      <c r="K667" t="s">
        <v>1842</v>
      </c>
      <c r="L667" s="28" t="s">
        <v>1843</v>
      </c>
      <c r="M667" t="s">
        <v>23</v>
      </c>
      <c r="N667"/>
      <c r="O667"/>
      <c r="P667"/>
      <c r="Q667"/>
      <c r="R667"/>
      <c r="S667"/>
    </row>
    <row r="668" spans="1:19" x14ac:dyDescent="0.25">
      <c r="A668" t="s">
        <v>193</v>
      </c>
      <c r="C668" s="27" t="s">
        <v>34749</v>
      </c>
      <c r="D668" s="28" t="s">
        <v>34867</v>
      </c>
      <c r="J668" t="s">
        <v>1844</v>
      </c>
      <c r="K668" t="s">
        <v>1845</v>
      </c>
      <c r="L668" s="28" t="s">
        <v>1846</v>
      </c>
      <c r="M668" t="s">
        <v>23</v>
      </c>
      <c r="N668"/>
      <c r="O668"/>
      <c r="P668"/>
      <c r="Q668"/>
      <c r="R668"/>
      <c r="S668"/>
    </row>
    <row r="669" spans="1:19" x14ac:dyDescent="0.25">
      <c r="A669" t="s">
        <v>193</v>
      </c>
      <c r="C669" s="27" t="s">
        <v>34749</v>
      </c>
      <c r="D669" s="28" t="s">
        <v>34867</v>
      </c>
      <c r="J669" t="s">
        <v>1847</v>
      </c>
      <c r="K669" t="s">
        <v>1848</v>
      </c>
      <c r="L669" s="28" t="s">
        <v>1849</v>
      </c>
      <c r="M669" t="s">
        <v>23</v>
      </c>
      <c r="N669"/>
      <c r="O669"/>
      <c r="P669"/>
      <c r="Q669"/>
      <c r="R669"/>
      <c r="S669"/>
    </row>
    <row r="670" spans="1:19" x14ac:dyDescent="0.25">
      <c r="A670" t="s">
        <v>193</v>
      </c>
      <c r="C670" s="27" t="s">
        <v>34749</v>
      </c>
      <c r="D670" s="28" t="s">
        <v>34867</v>
      </c>
      <c r="J670" t="s">
        <v>1850</v>
      </c>
      <c r="K670" t="s">
        <v>1851</v>
      </c>
      <c r="L670" s="28" t="s">
        <v>1852</v>
      </c>
      <c r="M670" t="s">
        <v>23</v>
      </c>
      <c r="N670"/>
      <c r="O670"/>
      <c r="P670"/>
      <c r="Q670"/>
      <c r="R670"/>
      <c r="S670"/>
    </row>
    <row r="671" spans="1:19" x14ac:dyDescent="0.25">
      <c r="A671" t="s">
        <v>193</v>
      </c>
      <c r="C671" s="27" t="s">
        <v>34749</v>
      </c>
      <c r="D671" s="28" t="s">
        <v>34867</v>
      </c>
      <c r="J671" t="s">
        <v>1853</v>
      </c>
      <c r="K671" t="s">
        <v>1854</v>
      </c>
      <c r="L671" s="28" t="s">
        <v>1855</v>
      </c>
      <c r="M671" t="s">
        <v>23</v>
      </c>
      <c r="N671"/>
      <c r="O671"/>
      <c r="P671"/>
      <c r="Q671"/>
      <c r="R671"/>
      <c r="S671"/>
    </row>
    <row r="672" spans="1:19" x14ac:dyDescent="0.25">
      <c r="A672" t="s">
        <v>193</v>
      </c>
      <c r="C672" s="27" t="s">
        <v>34749</v>
      </c>
      <c r="D672" s="28" t="s">
        <v>34867</v>
      </c>
      <c r="J672" t="s">
        <v>1856</v>
      </c>
      <c r="K672" t="s">
        <v>1857</v>
      </c>
      <c r="L672" s="28" t="s">
        <v>1858</v>
      </c>
      <c r="M672" t="s">
        <v>23</v>
      </c>
      <c r="N672"/>
      <c r="O672"/>
      <c r="P672"/>
      <c r="Q672"/>
      <c r="R672"/>
      <c r="S672"/>
    </row>
    <row r="673" spans="1:19" x14ac:dyDescent="0.25">
      <c r="A673" t="s">
        <v>193</v>
      </c>
      <c r="C673" s="27" t="s">
        <v>34749</v>
      </c>
      <c r="D673" s="28" t="s">
        <v>34867</v>
      </c>
      <c r="J673" t="s">
        <v>1859</v>
      </c>
      <c r="K673" t="s">
        <v>1860</v>
      </c>
      <c r="L673" s="28" t="s">
        <v>1861</v>
      </c>
      <c r="M673" t="s">
        <v>23</v>
      </c>
      <c r="N673"/>
      <c r="O673"/>
      <c r="P673"/>
      <c r="Q673"/>
      <c r="R673"/>
      <c r="S673"/>
    </row>
    <row r="674" spans="1:19" x14ac:dyDescent="0.25">
      <c r="A674" t="s">
        <v>193</v>
      </c>
      <c r="C674" s="27" t="s">
        <v>34749</v>
      </c>
      <c r="D674" s="28" t="s">
        <v>34867</v>
      </c>
      <c r="I674" t="str">
        <f>CONCATENATE(LEFT(K674,SEARCH(" (",K674))," | ", RIGHT(LEFT(K674,LEN(K674)-1),LEN(K674)-2-FIND(" (",K674)))</f>
        <v>2-methylpropanol  | iso-butanol</v>
      </c>
      <c r="J674" t="s">
        <v>1862</v>
      </c>
      <c r="K674" t="s">
        <v>1863</v>
      </c>
      <c r="L674" s="28" t="s">
        <v>1864</v>
      </c>
      <c r="M674" t="s">
        <v>23</v>
      </c>
      <c r="N674"/>
      <c r="O674"/>
      <c r="P674"/>
      <c r="Q674"/>
      <c r="R674"/>
      <c r="S674"/>
    </row>
    <row r="675" spans="1:19" x14ac:dyDescent="0.25">
      <c r="A675" t="s">
        <v>193</v>
      </c>
      <c r="C675" s="27" t="s">
        <v>34749</v>
      </c>
      <c r="D675" s="28" t="s">
        <v>34867</v>
      </c>
      <c r="J675" t="s">
        <v>1865</v>
      </c>
      <c r="K675" t="s">
        <v>1866</v>
      </c>
      <c r="L675" s="28" t="s">
        <v>1867</v>
      </c>
      <c r="M675" t="s">
        <v>23</v>
      </c>
      <c r="N675"/>
      <c r="O675"/>
      <c r="P675"/>
      <c r="Q675"/>
      <c r="R675"/>
      <c r="S675"/>
    </row>
    <row r="676" spans="1:19" x14ac:dyDescent="0.25">
      <c r="A676" t="s">
        <v>193</v>
      </c>
      <c r="C676" s="27" t="s">
        <v>34749</v>
      </c>
      <c r="D676" s="28" t="s">
        <v>34867</v>
      </c>
      <c r="J676" t="s">
        <v>1868</v>
      </c>
      <c r="K676" t="s">
        <v>1869</v>
      </c>
      <c r="L676" s="28" t="s">
        <v>1870</v>
      </c>
      <c r="M676" t="s">
        <v>23</v>
      </c>
      <c r="N676"/>
      <c r="O676"/>
      <c r="P676"/>
      <c r="Q676"/>
      <c r="R676"/>
      <c r="S676"/>
    </row>
    <row r="677" spans="1:19" x14ac:dyDescent="0.25">
      <c r="A677" t="s">
        <v>193</v>
      </c>
      <c r="C677" s="27" t="s">
        <v>34749</v>
      </c>
      <c r="D677" s="28" t="s">
        <v>34867</v>
      </c>
      <c r="J677" t="s">
        <v>1871</v>
      </c>
      <c r="K677" t="s">
        <v>1872</v>
      </c>
      <c r="L677" s="28" t="s">
        <v>1873</v>
      </c>
      <c r="M677" t="s">
        <v>23</v>
      </c>
      <c r="N677"/>
      <c r="O677"/>
      <c r="P677"/>
      <c r="Q677"/>
      <c r="R677"/>
      <c r="S677"/>
    </row>
    <row r="678" spans="1:19" x14ac:dyDescent="0.25">
      <c r="A678" t="s">
        <v>193</v>
      </c>
      <c r="C678" s="27" t="s">
        <v>34749</v>
      </c>
      <c r="D678" s="28" t="s">
        <v>34867</v>
      </c>
      <c r="J678" t="s">
        <v>1874</v>
      </c>
      <c r="K678" t="s">
        <v>1875</v>
      </c>
      <c r="L678" s="28" t="s">
        <v>1876</v>
      </c>
      <c r="M678" t="s">
        <v>23</v>
      </c>
      <c r="N678"/>
      <c r="O678"/>
      <c r="P678"/>
      <c r="Q678"/>
      <c r="R678"/>
      <c r="S678"/>
    </row>
    <row r="679" spans="1:19" x14ac:dyDescent="0.25">
      <c r="A679" t="s">
        <v>193</v>
      </c>
      <c r="C679" s="27" t="s">
        <v>34749</v>
      </c>
      <c r="D679" s="28" t="s">
        <v>34867</v>
      </c>
      <c r="J679" t="s">
        <v>1877</v>
      </c>
      <c r="K679" t="s">
        <v>1878</v>
      </c>
      <c r="L679" s="28" t="s">
        <v>1879</v>
      </c>
      <c r="M679" t="s">
        <v>23</v>
      </c>
      <c r="N679"/>
      <c r="O679"/>
      <c r="P679"/>
      <c r="Q679"/>
      <c r="R679"/>
      <c r="S679"/>
    </row>
    <row r="680" spans="1:19" x14ac:dyDescent="0.25">
      <c r="A680" t="s">
        <v>193</v>
      </c>
      <c r="C680" s="27" t="s">
        <v>34749</v>
      </c>
      <c r="D680" s="28" t="s">
        <v>34867</v>
      </c>
      <c r="J680" t="s">
        <v>1880</v>
      </c>
      <c r="K680" t="s">
        <v>1881</v>
      </c>
      <c r="L680" s="28" t="s">
        <v>1882</v>
      </c>
      <c r="M680" t="s">
        <v>23</v>
      </c>
      <c r="N680"/>
      <c r="O680"/>
      <c r="P680"/>
      <c r="Q680"/>
      <c r="R680"/>
      <c r="S680"/>
    </row>
    <row r="681" spans="1:19" x14ac:dyDescent="0.25">
      <c r="A681" t="s">
        <v>193</v>
      </c>
      <c r="C681" s="27" t="s">
        <v>34749</v>
      </c>
      <c r="D681" s="28" t="s">
        <v>34867</v>
      </c>
      <c r="J681" t="s">
        <v>1883</v>
      </c>
      <c r="K681" t="s">
        <v>1884</v>
      </c>
      <c r="L681" s="28" t="s">
        <v>1885</v>
      </c>
      <c r="M681" t="s">
        <v>23</v>
      </c>
      <c r="N681"/>
      <c r="O681"/>
      <c r="P681"/>
      <c r="Q681"/>
      <c r="R681"/>
      <c r="S681"/>
    </row>
    <row r="682" spans="1:19" x14ac:dyDescent="0.25">
      <c r="A682" t="s">
        <v>193</v>
      </c>
      <c r="C682" s="27" t="s">
        <v>34749</v>
      </c>
      <c r="D682" s="28" t="s">
        <v>34867</v>
      </c>
      <c r="J682" t="s">
        <v>1886</v>
      </c>
      <c r="K682" t="s">
        <v>1887</v>
      </c>
      <c r="L682" s="28" t="s">
        <v>1888</v>
      </c>
      <c r="M682" t="s">
        <v>23</v>
      </c>
      <c r="N682"/>
      <c r="O682"/>
      <c r="P682"/>
      <c r="Q682"/>
      <c r="R682"/>
      <c r="S682"/>
    </row>
    <row r="683" spans="1:19" x14ac:dyDescent="0.25">
      <c r="A683" t="s">
        <v>193</v>
      </c>
      <c r="C683" s="27" t="s">
        <v>34749</v>
      </c>
      <c r="D683" s="28" t="s">
        <v>34867</v>
      </c>
      <c r="J683" t="s">
        <v>1889</v>
      </c>
      <c r="K683" t="s">
        <v>1890</v>
      </c>
      <c r="L683" s="28" t="s">
        <v>1891</v>
      </c>
      <c r="M683" t="s">
        <v>23</v>
      </c>
      <c r="N683"/>
      <c r="O683"/>
      <c r="P683"/>
      <c r="Q683"/>
      <c r="R683"/>
      <c r="S683"/>
    </row>
    <row r="684" spans="1:19" x14ac:dyDescent="0.25">
      <c r="A684" t="s">
        <v>193</v>
      </c>
      <c r="C684" s="27" t="s">
        <v>34749</v>
      </c>
      <c r="D684" s="28" t="s">
        <v>34867</v>
      </c>
      <c r="J684" t="s">
        <v>1892</v>
      </c>
      <c r="K684" t="s">
        <v>1893</v>
      </c>
      <c r="L684" s="28" t="s">
        <v>1894</v>
      </c>
      <c r="M684" t="s">
        <v>23</v>
      </c>
      <c r="N684"/>
      <c r="O684"/>
      <c r="P684"/>
      <c r="Q684"/>
      <c r="R684"/>
      <c r="S684"/>
    </row>
    <row r="685" spans="1:19" x14ac:dyDescent="0.25">
      <c r="A685" t="s">
        <v>193</v>
      </c>
      <c r="C685" s="27" t="s">
        <v>34749</v>
      </c>
      <c r="D685" s="28" t="s">
        <v>34867</v>
      </c>
      <c r="J685" t="s">
        <v>1895</v>
      </c>
      <c r="K685" t="s">
        <v>1896</v>
      </c>
      <c r="L685" s="28" t="s">
        <v>1897</v>
      </c>
      <c r="M685" t="s">
        <v>23</v>
      </c>
      <c r="N685"/>
      <c r="O685"/>
      <c r="P685"/>
      <c r="Q685"/>
      <c r="R685"/>
      <c r="S685"/>
    </row>
    <row r="686" spans="1:19" x14ac:dyDescent="0.25">
      <c r="A686" t="s">
        <v>193</v>
      </c>
      <c r="C686" s="27" t="s">
        <v>34749</v>
      </c>
      <c r="D686" s="28" t="s">
        <v>34867</v>
      </c>
      <c r="J686" t="s">
        <v>1898</v>
      </c>
      <c r="K686" t="s">
        <v>1899</v>
      </c>
      <c r="L686" s="28" t="s">
        <v>1900</v>
      </c>
      <c r="M686" t="s">
        <v>23</v>
      </c>
      <c r="N686"/>
      <c r="O686"/>
      <c r="P686"/>
      <c r="Q686"/>
      <c r="R686"/>
      <c r="S686"/>
    </row>
    <row r="687" spans="1:19" x14ac:dyDescent="0.25">
      <c r="A687" t="s">
        <v>193</v>
      </c>
      <c r="C687" s="27" t="s">
        <v>34749</v>
      </c>
      <c r="D687" s="28" t="s">
        <v>34867</v>
      </c>
      <c r="J687" t="s">
        <v>1901</v>
      </c>
      <c r="K687" t="s">
        <v>1902</v>
      </c>
      <c r="L687" s="28" t="s">
        <v>1903</v>
      </c>
      <c r="M687" t="s">
        <v>23</v>
      </c>
      <c r="N687"/>
      <c r="O687"/>
      <c r="P687"/>
      <c r="Q687"/>
      <c r="R687"/>
      <c r="S687"/>
    </row>
    <row r="688" spans="1:19" x14ac:dyDescent="0.25">
      <c r="A688" t="s">
        <v>193</v>
      </c>
      <c r="C688" s="27" t="s">
        <v>34749</v>
      </c>
      <c r="D688" s="28" t="s">
        <v>34867</v>
      </c>
      <c r="J688" t="s">
        <v>1904</v>
      </c>
      <c r="K688" t="s">
        <v>1905</v>
      </c>
      <c r="L688" s="28" t="s">
        <v>1906</v>
      </c>
      <c r="M688" t="s">
        <v>23</v>
      </c>
      <c r="N688"/>
      <c r="O688"/>
      <c r="P688"/>
      <c r="Q688"/>
      <c r="R688"/>
      <c r="S688"/>
    </row>
    <row r="689" spans="1:19" x14ac:dyDescent="0.25">
      <c r="A689" t="s">
        <v>193</v>
      </c>
      <c r="C689" s="27" t="s">
        <v>34749</v>
      </c>
      <c r="D689" s="28" t="s">
        <v>34867</v>
      </c>
      <c r="J689" t="s">
        <v>1907</v>
      </c>
      <c r="K689" t="s">
        <v>1908</v>
      </c>
      <c r="L689" s="28" t="s">
        <v>1909</v>
      </c>
      <c r="M689" t="s">
        <v>23</v>
      </c>
      <c r="N689"/>
      <c r="O689"/>
      <c r="P689"/>
      <c r="Q689"/>
      <c r="R689"/>
      <c r="S689"/>
    </row>
    <row r="690" spans="1:19" x14ac:dyDescent="0.25">
      <c r="A690" t="s">
        <v>193</v>
      </c>
      <c r="C690" s="27" t="s">
        <v>34749</v>
      </c>
      <c r="D690" s="28" t="s">
        <v>34867</v>
      </c>
      <c r="J690" t="s">
        <v>1910</v>
      </c>
      <c r="K690" t="s">
        <v>1911</v>
      </c>
      <c r="L690" s="28" t="s">
        <v>1912</v>
      </c>
      <c r="M690" t="s">
        <v>23</v>
      </c>
      <c r="N690"/>
      <c r="O690"/>
      <c r="P690"/>
      <c r="Q690"/>
      <c r="R690"/>
      <c r="S690"/>
    </row>
    <row r="691" spans="1:19" x14ac:dyDescent="0.25">
      <c r="A691" t="s">
        <v>193</v>
      </c>
      <c r="C691" s="27" t="s">
        <v>34749</v>
      </c>
      <c r="D691" s="28" t="s">
        <v>34867</v>
      </c>
      <c r="J691" t="s">
        <v>1913</v>
      </c>
      <c r="K691" t="s">
        <v>1914</v>
      </c>
      <c r="L691" s="28" t="s">
        <v>1915</v>
      </c>
      <c r="M691" t="s">
        <v>23</v>
      </c>
      <c r="N691"/>
      <c r="O691"/>
      <c r="P691"/>
      <c r="Q691"/>
      <c r="R691"/>
      <c r="S691"/>
    </row>
    <row r="692" spans="1:19" x14ac:dyDescent="0.25">
      <c r="A692" t="s">
        <v>193</v>
      </c>
      <c r="C692" s="27" t="s">
        <v>34749</v>
      </c>
      <c r="D692" s="28" t="s">
        <v>34867</v>
      </c>
      <c r="J692" t="s">
        <v>1916</v>
      </c>
      <c r="K692" t="s">
        <v>1917</v>
      </c>
      <c r="L692" s="28" t="s">
        <v>1918</v>
      </c>
      <c r="M692" t="s">
        <v>23</v>
      </c>
      <c r="N692"/>
      <c r="O692"/>
      <c r="P692"/>
      <c r="Q692"/>
      <c r="R692"/>
      <c r="S692"/>
    </row>
    <row r="693" spans="1:19" x14ac:dyDescent="0.25">
      <c r="A693" t="s">
        <v>193</v>
      </c>
      <c r="C693" s="27" t="s">
        <v>34749</v>
      </c>
      <c r="D693" s="28" t="s">
        <v>34867</v>
      </c>
      <c r="J693" t="s">
        <v>1919</v>
      </c>
      <c r="K693" t="s">
        <v>1920</v>
      </c>
      <c r="L693" s="28" t="s">
        <v>1921</v>
      </c>
      <c r="M693" t="s">
        <v>23</v>
      </c>
      <c r="N693"/>
      <c r="O693"/>
      <c r="P693"/>
      <c r="Q693"/>
      <c r="R693"/>
      <c r="S693"/>
    </row>
    <row r="694" spans="1:19" x14ac:dyDescent="0.25">
      <c r="A694" t="s">
        <v>193</v>
      </c>
      <c r="C694" s="27" t="s">
        <v>34749</v>
      </c>
      <c r="D694" s="28" t="s">
        <v>34867</v>
      </c>
      <c r="J694" t="s">
        <v>1922</v>
      </c>
      <c r="K694" t="s">
        <v>1923</v>
      </c>
      <c r="L694" s="28" t="s">
        <v>1924</v>
      </c>
      <c r="M694" t="s">
        <v>23</v>
      </c>
      <c r="N694"/>
      <c r="O694"/>
      <c r="P694"/>
      <c r="Q694"/>
      <c r="R694"/>
      <c r="S694"/>
    </row>
    <row r="695" spans="1:19" x14ac:dyDescent="0.25">
      <c r="A695" t="s">
        <v>193</v>
      </c>
      <c r="C695" s="27" t="s">
        <v>34749</v>
      </c>
      <c r="D695" s="28" t="s">
        <v>34867</v>
      </c>
      <c r="J695" t="s">
        <v>1925</v>
      </c>
      <c r="K695" t="s">
        <v>1926</v>
      </c>
      <c r="L695" s="28" t="s">
        <v>1927</v>
      </c>
      <c r="M695" t="s">
        <v>23</v>
      </c>
      <c r="N695"/>
      <c r="O695"/>
      <c r="P695"/>
      <c r="Q695"/>
      <c r="R695"/>
      <c r="S695"/>
    </row>
    <row r="696" spans="1:19" x14ac:dyDescent="0.25">
      <c r="A696" t="s">
        <v>193</v>
      </c>
      <c r="C696" s="27" t="s">
        <v>34749</v>
      </c>
      <c r="D696" s="28" t="s">
        <v>34867</v>
      </c>
      <c r="J696" t="s">
        <v>1928</v>
      </c>
      <c r="K696" t="s">
        <v>1929</v>
      </c>
      <c r="L696" s="28" t="s">
        <v>1930</v>
      </c>
      <c r="M696" t="s">
        <v>23</v>
      </c>
      <c r="N696"/>
      <c r="O696"/>
      <c r="P696"/>
      <c r="Q696"/>
      <c r="R696"/>
      <c r="S696"/>
    </row>
    <row r="697" spans="1:19" x14ac:dyDescent="0.25">
      <c r="A697" t="s">
        <v>193</v>
      </c>
      <c r="C697" s="27" t="s">
        <v>34749</v>
      </c>
      <c r="D697" s="28" t="s">
        <v>34867</v>
      </c>
      <c r="J697" t="s">
        <v>1931</v>
      </c>
      <c r="K697" t="s">
        <v>1932</v>
      </c>
      <c r="L697" s="28" t="s">
        <v>1933</v>
      </c>
      <c r="M697" t="s">
        <v>23</v>
      </c>
      <c r="N697"/>
      <c r="O697"/>
      <c r="P697"/>
      <c r="Q697"/>
      <c r="R697"/>
      <c r="S697"/>
    </row>
    <row r="698" spans="1:19" x14ac:dyDescent="0.25">
      <c r="A698" t="s">
        <v>193</v>
      </c>
      <c r="C698" s="27" t="s">
        <v>34749</v>
      </c>
      <c r="D698" s="28" t="s">
        <v>34867</v>
      </c>
      <c r="J698" t="s">
        <v>1934</v>
      </c>
      <c r="K698" t="s">
        <v>1935</v>
      </c>
      <c r="L698" s="28" t="s">
        <v>1936</v>
      </c>
      <c r="M698" t="s">
        <v>23</v>
      </c>
      <c r="N698"/>
      <c r="O698"/>
      <c r="P698"/>
      <c r="Q698"/>
      <c r="R698"/>
      <c r="S698"/>
    </row>
    <row r="699" spans="1:19" x14ac:dyDescent="0.25">
      <c r="A699" t="s">
        <v>193</v>
      </c>
      <c r="C699" s="27" t="s">
        <v>34749</v>
      </c>
      <c r="D699" s="28" t="s">
        <v>34867</v>
      </c>
      <c r="J699" t="s">
        <v>1937</v>
      </c>
      <c r="K699" t="s">
        <v>1938</v>
      </c>
      <c r="L699" s="28" t="s">
        <v>1939</v>
      </c>
      <c r="M699" t="s">
        <v>23</v>
      </c>
      <c r="N699"/>
      <c r="O699"/>
      <c r="P699"/>
      <c r="Q699"/>
      <c r="R699"/>
      <c r="S699"/>
    </row>
    <row r="700" spans="1:19" x14ac:dyDescent="0.25">
      <c r="A700" t="s">
        <v>193</v>
      </c>
      <c r="C700" s="27" t="s">
        <v>34749</v>
      </c>
      <c r="D700" s="28" t="s">
        <v>34867</v>
      </c>
      <c r="J700" t="s">
        <v>1940</v>
      </c>
      <c r="K700" t="s">
        <v>1941</v>
      </c>
      <c r="L700" s="28" t="s">
        <v>1942</v>
      </c>
      <c r="M700" t="s">
        <v>23</v>
      </c>
      <c r="N700"/>
      <c r="O700"/>
      <c r="P700"/>
      <c r="Q700"/>
      <c r="R700"/>
      <c r="S700"/>
    </row>
    <row r="701" spans="1:19" x14ac:dyDescent="0.25">
      <c r="A701" t="s">
        <v>193</v>
      </c>
      <c r="C701" s="27" t="s">
        <v>34749</v>
      </c>
      <c r="D701" s="28" t="s">
        <v>34867</v>
      </c>
      <c r="J701" t="s">
        <v>1943</v>
      </c>
      <c r="K701" t="s">
        <v>1944</v>
      </c>
      <c r="L701" s="28" t="s">
        <v>1945</v>
      </c>
      <c r="M701" t="s">
        <v>23</v>
      </c>
      <c r="N701"/>
      <c r="O701"/>
      <c r="P701"/>
      <c r="Q701"/>
      <c r="R701"/>
      <c r="S701"/>
    </row>
    <row r="702" spans="1:19" x14ac:dyDescent="0.25">
      <c r="A702" t="s">
        <v>193</v>
      </c>
      <c r="C702" s="27" t="s">
        <v>34749</v>
      </c>
      <c r="D702" s="28" t="s">
        <v>34867</v>
      </c>
      <c r="J702" t="s">
        <v>1946</v>
      </c>
      <c r="K702" t="s">
        <v>1947</v>
      </c>
      <c r="L702" s="28" t="s">
        <v>1948</v>
      </c>
      <c r="M702" t="s">
        <v>23</v>
      </c>
      <c r="N702"/>
      <c r="O702"/>
      <c r="P702"/>
      <c r="Q702"/>
      <c r="R702"/>
      <c r="S702"/>
    </row>
    <row r="703" spans="1:19" x14ac:dyDescent="0.25">
      <c r="A703" t="s">
        <v>193</v>
      </c>
      <c r="C703" s="27" t="s">
        <v>34749</v>
      </c>
      <c r="D703" s="28" t="s">
        <v>34867</v>
      </c>
      <c r="J703" t="s">
        <v>1949</v>
      </c>
      <c r="K703" t="s">
        <v>1950</v>
      </c>
      <c r="L703" s="28" t="s">
        <v>1951</v>
      </c>
      <c r="M703" t="s">
        <v>23</v>
      </c>
      <c r="N703"/>
      <c r="O703"/>
      <c r="P703"/>
      <c r="Q703"/>
      <c r="R703"/>
      <c r="S703"/>
    </row>
    <row r="704" spans="1:19" x14ac:dyDescent="0.25">
      <c r="A704" t="s">
        <v>193</v>
      </c>
      <c r="C704" s="27" t="s">
        <v>34749</v>
      </c>
      <c r="D704" s="28" t="s">
        <v>34867</v>
      </c>
      <c r="J704" t="s">
        <v>1952</v>
      </c>
      <c r="K704" t="s">
        <v>1953</v>
      </c>
      <c r="L704" s="28" t="s">
        <v>1954</v>
      </c>
      <c r="M704" t="s">
        <v>23</v>
      </c>
      <c r="N704"/>
      <c r="O704"/>
      <c r="P704"/>
      <c r="Q704"/>
      <c r="R704"/>
      <c r="S704"/>
    </row>
    <row r="705" spans="1:19" x14ac:dyDescent="0.25">
      <c r="A705" t="s">
        <v>193</v>
      </c>
      <c r="C705" s="27" t="s">
        <v>34749</v>
      </c>
      <c r="D705" s="28" t="s">
        <v>34867</v>
      </c>
      <c r="J705" t="s">
        <v>1955</v>
      </c>
      <c r="K705" t="s">
        <v>1956</v>
      </c>
      <c r="L705" s="28" t="s">
        <v>1957</v>
      </c>
      <c r="M705" t="s">
        <v>23</v>
      </c>
      <c r="N705"/>
      <c r="O705"/>
      <c r="P705"/>
      <c r="Q705"/>
      <c r="R705"/>
      <c r="S705"/>
    </row>
    <row r="706" spans="1:19" x14ac:dyDescent="0.25">
      <c r="A706" t="s">
        <v>193</v>
      </c>
      <c r="C706" s="27" t="s">
        <v>34749</v>
      </c>
      <c r="D706" s="28" t="s">
        <v>34867</v>
      </c>
      <c r="J706" t="s">
        <v>1958</v>
      </c>
      <c r="K706" t="s">
        <v>1959</v>
      </c>
      <c r="L706" s="28" t="s">
        <v>1960</v>
      </c>
      <c r="M706" t="s">
        <v>23</v>
      </c>
      <c r="N706"/>
      <c r="O706"/>
      <c r="P706"/>
      <c r="Q706"/>
      <c r="R706"/>
      <c r="S706"/>
    </row>
    <row r="707" spans="1:19" x14ac:dyDescent="0.25">
      <c r="A707" t="s">
        <v>193</v>
      </c>
      <c r="C707" s="27" t="s">
        <v>34749</v>
      </c>
      <c r="D707" s="28" t="s">
        <v>34867</v>
      </c>
      <c r="J707" t="s">
        <v>1961</v>
      </c>
      <c r="K707" t="s">
        <v>1962</v>
      </c>
      <c r="L707" s="28" t="s">
        <v>1963</v>
      </c>
      <c r="M707" t="s">
        <v>23</v>
      </c>
      <c r="N707"/>
      <c r="O707"/>
      <c r="P707"/>
      <c r="Q707"/>
      <c r="R707"/>
      <c r="S707"/>
    </row>
    <row r="708" spans="1:19" x14ac:dyDescent="0.25">
      <c r="A708" t="s">
        <v>193</v>
      </c>
      <c r="C708" s="27" t="s">
        <v>34749</v>
      </c>
      <c r="D708" s="28" t="s">
        <v>34867</v>
      </c>
      <c r="J708" t="s">
        <v>1964</v>
      </c>
      <c r="K708" t="s">
        <v>1965</v>
      </c>
      <c r="L708" s="28" t="s">
        <v>1966</v>
      </c>
      <c r="M708" t="s">
        <v>23</v>
      </c>
      <c r="N708"/>
      <c r="O708"/>
      <c r="P708"/>
      <c r="Q708"/>
      <c r="R708"/>
      <c r="S708"/>
    </row>
    <row r="709" spans="1:19" x14ac:dyDescent="0.25">
      <c r="A709" t="s">
        <v>193</v>
      </c>
      <c r="C709" s="27" t="s">
        <v>34749</v>
      </c>
      <c r="D709" s="28" t="s">
        <v>34867</v>
      </c>
      <c r="J709" t="s">
        <v>1967</v>
      </c>
      <c r="K709" t="s">
        <v>1968</v>
      </c>
      <c r="L709" s="28" t="s">
        <v>1969</v>
      </c>
      <c r="M709" t="s">
        <v>23</v>
      </c>
      <c r="N709"/>
      <c r="O709"/>
      <c r="P709"/>
      <c r="Q709"/>
      <c r="R709"/>
      <c r="S709"/>
    </row>
    <row r="710" spans="1:19" x14ac:dyDescent="0.25">
      <c r="A710" t="s">
        <v>193</v>
      </c>
      <c r="C710" s="27" t="s">
        <v>34749</v>
      </c>
      <c r="D710" s="28" t="s">
        <v>34867</v>
      </c>
      <c r="J710" t="s">
        <v>1970</v>
      </c>
      <c r="K710" t="s">
        <v>1971</v>
      </c>
      <c r="L710" s="28" t="s">
        <v>1972</v>
      </c>
      <c r="M710" t="s">
        <v>23</v>
      </c>
      <c r="N710"/>
      <c r="O710"/>
      <c r="P710"/>
      <c r="Q710"/>
      <c r="R710"/>
      <c r="S710"/>
    </row>
    <row r="711" spans="1:19" x14ac:dyDescent="0.25">
      <c r="A711" t="s">
        <v>193</v>
      </c>
      <c r="C711" s="27" t="s">
        <v>34749</v>
      </c>
      <c r="D711" s="28" t="s">
        <v>34867</v>
      </c>
      <c r="I711" t="str">
        <f>CONCATENATE(LEFT(K711,SEARCH(" (",K711))," | ", RIGHT(LEFT(K711,LEN(K711)-1),LEN(K711)-2-FIND(" (",K711)))</f>
        <v>2-butanon  | MEK</v>
      </c>
      <c r="J711" t="s">
        <v>1973</v>
      </c>
      <c r="K711" t="s">
        <v>1974</v>
      </c>
      <c r="L711" s="28" t="s">
        <v>1975</v>
      </c>
      <c r="M711" t="s">
        <v>23</v>
      </c>
      <c r="N711"/>
      <c r="O711"/>
      <c r="P711"/>
      <c r="Q711"/>
      <c r="R711"/>
      <c r="S711"/>
    </row>
    <row r="712" spans="1:19" x14ac:dyDescent="0.25">
      <c r="A712" t="s">
        <v>193</v>
      </c>
      <c r="C712" s="27" t="s">
        <v>34749</v>
      </c>
      <c r="D712" s="28" t="s">
        <v>34867</v>
      </c>
      <c r="J712" t="s">
        <v>1976</v>
      </c>
      <c r="K712" t="s">
        <v>1977</v>
      </c>
      <c r="L712" s="28" t="s">
        <v>1978</v>
      </c>
      <c r="M712" t="s">
        <v>23</v>
      </c>
      <c r="N712"/>
      <c r="O712"/>
      <c r="P712"/>
      <c r="Q712"/>
      <c r="R712"/>
      <c r="S712"/>
    </row>
    <row r="713" spans="1:19" x14ac:dyDescent="0.25">
      <c r="A713" t="s">
        <v>193</v>
      </c>
      <c r="C713" s="27" t="s">
        <v>34749</v>
      </c>
      <c r="D713" s="28" t="s">
        <v>34867</v>
      </c>
      <c r="J713" t="s">
        <v>1979</v>
      </c>
      <c r="K713" t="s">
        <v>1980</v>
      </c>
      <c r="L713" s="28" t="s">
        <v>1981</v>
      </c>
      <c r="M713" t="s">
        <v>23</v>
      </c>
      <c r="N713"/>
      <c r="O713"/>
      <c r="P713"/>
      <c r="Q713"/>
      <c r="R713"/>
      <c r="S713"/>
    </row>
    <row r="714" spans="1:19" x14ac:dyDescent="0.25">
      <c r="A714" t="s">
        <v>193</v>
      </c>
      <c r="C714" s="27" t="s">
        <v>34749</v>
      </c>
      <c r="D714" s="28" t="s">
        <v>34867</v>
      </c>
      <c r="J714" t="s">
        <v>1982</v>
      </c>
      <c r="K714" t="s">
        <v>1983</v>
      </c>
      <c r="L714" s="28" t="s">
        <v>1984</v>
      </c>
      <c r="M714" t="s">
        <v>23</v>
      </c>
      <c r="N714"/>
      <c r="O714"/>
      <c r="P714"/>
      <c r="Q714"/>
      <c r="R714"/>
      <c r="S714"/>
    </row>
    <row r="715" spans="1:19" x14ac:dyDescent="0.25">
      <c r="A715" t="s">
        <v>193</v>
      </c>
      <c r="C715" s="27" t="s">
        <v>34749</v>
      </c>
      <c r="D715" s="28" t="s">
        <v>34867</v>
      </c>
      <c r="J715" t="s">
        <v>1985</v>
      </c>
      <c r="K715" t="s">
        <v>1986</v>
      </c>
      <c r="L715" s="28" t="s">
        <v>1987</v>
      </c>
      <c r="M715" t="s">
        <v>23</v>
      </c>
      <c r="N715"/>
      <c r="O715"/>
      <c r="P715"/>
      <c r="Q715"/>
      <c r="R715"/>
      <c r="S715"/>
    </row>
    <row r="716" spans="1:19" x14ac:dyDescent="0.25">
      <c r="A716" t="s">
        <v>193</v>
      </c>
      <c r="C716" s="27" t="s">
        <v>34749</v>
      </c>
      <c r="D716" s="28" t="s">
        <v>34867</v>
      </c>
      <c r="J716" t="s">
        <v>1988</v>
      </c>
      <c r="K716" t="s">
        <v>1989</v>
      </c>
      <c r="L716" s="28" t="s">
        <v>1990</v>
      </c>
      <c r="M716" t="s">
        <v>23</v>
      </c>
      <c r="N716"/>
      <c r="O716"/>
      <c r="P716"/>
      <c r="Q716"/>
      <c r="R716"/>
      <c r="S716"/>
    </row>
    <row r="717" spans="1:19" x14ac:dyDescent="0.25">
      <c r="A717" t="s">
        <v>193</v>
      </c>
      <c r="C717" s="27" t="s">
        <v>34749</v>
      </c>
      <c r="D717" s="28" t="s">
        <v>34867</v>
      </c>
      <c r="J717" t="s">
        <v>1991</v>
      </c>
      <c r="K717" t="s">
        <v>1992</v>
      </c>
      <c r="L717" s="28" t="s">
        <v>1993</v>
      </c>
      <c r="M717" t="s">
        <v>23</v>
      </c>
      <c r="N717"/>
      <c r="O717"/>
      <c r="P717"/>
      <c r="Q717"/>
      <c r="R717"/>
      <c r="S717"/>
    </row>
    <row r="718" spans="1:19" x14ac:dyDescent="0.25">
      <c r="A718" t="s">
        <v>193</v>
      </c>
      <c r="C718" s="27" t="s">
        <v>34749</v>
      </c>
      <c r="D718" s="28" t="s">
        <v>34867</v>
      </c>
      <c r="J718" t="s">
        <v>1994</v>
      </c>
      <c r="K718" t="s">
        <v>1995</v>
      </c>
      <c r="L718" s="28" t="s">
        <v>1996</v>
      </c>
      <c r="M718" t="s">
        <v>23</v>
      </c>
      <c r="N718"/>
      <c r="O718"/>
      <c r="P718"/>
      <c r="Q718"/>
      <c r="R718"/>
      <c r="S718"/>
    </row>
    <row r="719" spans="1:19" x14ac:dyDescent="0.25">
      <c r="A719" t="s">
        <v>193</v>
      </c>
      <c r="C719" s="27" t="s">
        <v>34749</v>
      </c>
      <c r="D719" s="28" t="s">
        <v>34867</v>
      </c>
      <c r="J719" t="s">
        <v>1997</v>
      </c>
      <c r="K719" t="s">
        <v>1998</v>
      </c>
      <c r="L719" s="28" t="s">
        <v>1999</v>
      </c>
      <c r="M719" t="s">
        <v>23</v>
      </c>
      <c r="N719"/>
      <c r="O719"/>
      <c r="P719"/>
      <c r="Q719"/>
      <c r="R719"/>
      <c r="S719"/>
    </row>
    <row r="720" spans="1:19" x14ac:dyDescent="0.25">
      <c r="A720" t="s">
        <v>193</v>
      </c>
      <c r="C720" s="27" t="s">
        <v>34749</v>
      </c>
      <c r="D720" s="28" t="s">
        <v>34867</v>
      </c>
      <c r="J720" t="s">
        <v>2000</v>
      </c>
      <c r="K720" t="s">
        <v>2001</v>
      </c>
      <c r="L720" s="28" t="s">
        <v>2002</v>
      </c>
      <c r="M720" t="s">
        <v>23</v>
      </c>
      <c r="N720"/>
      <c r="O720"/>
      <c r="P720"/>
      <c r="Q720"/>
      <c r="R720"/>
      <c r="S720"/>
    </row>
    <row r="721" spans="1:19" x14ac:dyDescent="0.25">
      <c r="A721" t="s">
        <v>193</v>
      </c>
      <c r="C721" s="27" t="s">
        <v>34749</v>
      </c>
      <c r="D721" s="28" t="s">
        <v>34867</v>
      </c>
      <c r="J721" t="s">
        <v>2003</v>
      </c>
      <c r="K721" t="s">
        <v>2004</v>
      </c>
      <c r="L721" s="28" t="s">
        <v>2005</v>
      </c>
      <c r="M721" t="s">
        <v>23</v>
      </c>
      <c r="N721"/>
      <c r="O721"/>
      <c r="P721"/>
      <c r="Q721"/>
      <c r="R721"/>
      <c r="S721"/>
    </row>
    <row r="722" spans="1:19" x14ac:dyDescent="0.25">
      <c r="A722" t="s">
        <v>193</v>
      </c>
      <c r="C722" s="27" t="s">
        <v>34749</v>
      </c>
      <c r="D722" s="28" t="s">
        <v>34867</v>
      </c>
      <c r="J722" t="s">
        <v>2006</v>
      </c>
      <c r="K722" t="s">
        <v>2007</v>
      </c>
      <c r="L722" s="28" t="s">
        <v>2008</v>
      </c>
      <c r="M722" t="s">
        <v>23</v>
      </c>
      <c r="N722"/>
      <c r="O722"/>
      <c r="P722"/>
      <c r="Q722"/>
      <c r="R722"/>
      <c r="S722"/>
    </row>
    <row r="723" spans="1:19" x14ac:dyDescent="0.25">
      <c r="A723" t="s">
        <v>193</v>
      </c>
      <c r="C723" s="27" t="s">
        <v>34749</v>
      </c>
      <c r="D723" s="28" t="s">
        <v>34867</v>
      </c>
      <c r="J723" t="s">
        <v>2009</v>
      </c>
      <c r="K723" t="s">
        <v>2010</v>
      </c>
      <c r="L723" s="28" t="s">
        <v>2011</v>
      </c>
      <c r="M723" t="s">
        <v>23</v>
      </c>
      <c r="N723"/>
      <c r="O723"/>
      <c r="P723"/>
      <c r="Q723"/>
      <c r="R723"/>
      <c r="S723"/>
    </row>
    <row r="724" spans="1:19" x14ac:dyDescent="0.25">
      <c r="A724" t="s">
        <v>193</v>
      </c>
      <c r="C724" s="27" t="s">
        <v>34749</v>
      </c>
      <c r="D724" s="28" t="s">
        <v>34867</v>
      </c>
      <c r="J724" t="s">
        <v>2012</v>
      </c>
      <c r="K724" t="s">
        <v>2013</v>
      </c>
      <c r="L724" s="28" t="s">
        <v>2014</v>
      </c>
      <c r="M724" t="s">
        <v>23</v>
      </c>
      <c r="N724"/>
      <c r="O724"/>
      <c r="P724"/>
      <c r="Q724"/>
      <c r="R724"/>
      <c r="S724"/>
    </row>
    <row r="725" spans="1:19" x14ac:dyDescent="0.25">
      <c r="A725" t="s">
        <v>193</v>
      </c>
      <c r="C725" s="27" t="s">
        <v>34749</v>
      </c>
      <c r="D725" s="28" t="s">
        <v>34867</v>
      </c>
      <c r="J725" t="s">
        <v>2015</v>
      </c>
      <c r="K725" t="s">
        <v>2016</v>
      </c>
      <c r="L725" s="28" t="s">
        <v>2017</v>
      </c>
      <c r="M725" t="s">
        <v>23</v>
      </c>
      <c r="N725"/>
      <c r="O725"/>
      <c r="P725"/>
      <c r="Q725"/>
      <c r="R725"/>
      <c r="S725"/>
    </row>
    <row r="726" spans="1:19" x14ac:dyDescent="0.25">
      <c r="A726" t="s">
        <v>193</v>
      </c>
      <c r="C726" s="27" t="s">
        <v>34749</v>
      </c>
      <c r="D726" s="28" t="s">
        <v>34867</v>
      </c>
      <c r="J726" t="s">
        <v>2018</v>
      </c>
      <c r="K726" t="s">
        <v>2019</v>
      </c>
      <c r="L726" s="28" t="s">
        <v>2020</v>
      </c>
      <c r="M726" t="s">
        <v>23</v>
      </c>
      <c r="N726"/>
      <c r="O726"/>
      <c r="P726"/>
      <c r="Q726"/>
      <c r="R726"/>
      <c r="S726"/>
    </row>
    <row r="727" spans="1:19" x14ac:dyDescent="0.25">
      <c r="A727" t="s">
        <v>193</v>
      </c>
      <c r="C727" s="27" t="s">
        <v>34749</v>
      </c>
      <c r="D727" s="28" t="s">
        <v>34867</v>
      </c>
      <c r="J727" t="s">
        <v>2021</v>
      </c>
      <c r="K727" t="s">
        <v>2022</v>
      </c>
      <c r="L727" s="28" t="s">
        <v>2023</v>
      </c>
      <c r="M727" t="s">
        <v>23</v>
      </c>
      <c r="N727"/>
      <c r="O727"/>
      <c r="P727"/>
      <c r="Q727"/>
      <c r="R727"/>
      <c r="S727"/>
    </row>
    <row r="728" spans="1:19" x14ac:dyDescent="0.25">
      <c r="A728" t="s">
        <v>193</v>
      </c>
      <c r="C728" s="27" t="s">
        <v>34749</v>
      </c>
      <c r="D728" s="28" t="s">
        <v>34867</v>
      </c>
      <c r="J728" t="s">
        <v>2024</v>
      </c>
      <c r="K728" t="s">
        <v>2025</v>
      </c>
      <c r="L728" s="28" t="s">
        <v>2026</v>
      </c>
      <c r="M728" t="s">
        <v>23</v>
      </c>
      <c r="N728"/>
      <c r="O728"/>
      <c r="P728"/>
      <c r="Q728"/>
      <c r="R728"/>
      <c r="S728"/>
    </row>
    <row r="729" spans="1:19" x14ac:dyDescent="0.25">
      <c r="A729" t="s">
        <v>193</v>
      </c>
      <c r="C729" s="27" t="s">
        <v>34749</v>
      </c>
      <c r="D729" s="28" t="s">
        <v>34867</v>
      </c>
      <c r="J729" t="s">
        <v>2027</v>
      </c>
      <c r="K729" t="s">
        <v>2028</v>
      </c>
      <c r="L729" s="28" t="s">
        <v>2029</v>
      </c>
      <c r="M729" t="s">
        <v>23</v>
      </c>
      <c r="N729"/>
      <c r="O729"/>
      <c r="P729"/>
      <c r="Q729"/>
      <c r="R729"/>
      <c r="S729"/>
    </row>
    <row r="730" spans="1:19" x14ac:dyDescent="0.25">
      <c r="A730" t="s">
        <v>193</v>
      </c>
      <c r="C730" s="27" t="s">
        <v>34749</v>
      </c>
      <c r="D730" s="28" t="s">
        <v>34867</v>
      </c>
      <c r="J730" t="s">
        <v>2030</v>
      </c>
      <c r="K730" t="s">
        <v>2031</v>
      </c>
      <c r="L730" s="28" t="s">
        <v>2032</v>
      </c>
      <c r="M730" t="s">
        <v>23</v>
      </c>
      <c r="N730"/>
      <c r="O730"/>
      <c r="P730"/>
      <c r="Q730"/>
      <c r="R730"/>
      <c r="S730"/>
    </row>
    <row r="731" spans="1:19" x14ac:dyDescent="0.25">
      <c r="A731" t="s">
        <v>193</v>
      </c>
      <c r="C731" s="27" t="s">
        <v>34749</v>
      </c>
      <c r="D731" s="28" t="s">
        <v>34867</v>
      </c>
      <c r="J731" t="s">
        <v>2033</v>
      </c>
      <c r="K731" t="s">
        <v>2034</v>
      </c>
      <c r="L731" s="28" t="s">
        <v>2035</v>
      </c>
      <c r="M731" t="s">
        <v>23</v>
      </c>
      <c r="N731"/>
      <c r="O731"/>
      <c r="P731"/>
      <c r="Q731"/>
      <c r="R731"/>
      <c r="S731"/>
    </row>
    <row r="732" spans="1:19" x14ac:dyDescent="0.25">
      <c r="A732" t="s">
        <v>193</v>
      </c>
      <c r="C732" s="27" t="s">
        <v>34749</v>
      </c>
      <c r="D732" s="28" t="s">
        <v>34867</v>
      </c>
      <c r="J732" t="s">
        <v>2036</v>
      </c>
      <c r="K732" t="s">
        <v>2037</v>
      </c>
      <c r="L732" s="28" t="s">
        <v>2038</v>
      </c>
      <c r="M732" t="s">
        <v>23</v>
      </c>
      <c r="N732"/>
      <c r="O732"/>
      <c r="P732"/>
      <c r="Q732"/>
      <c r="R732"/>
      <c r="S732"/>
    </row>
    <row r="733" spans="1:19" x14ac:dyDescent="0.25">
      <c r="A733" t="s">
        <v>193</v>
      </c>
      <c r="C733" s="27" t="s">
        <v>34749</v>
      </c>
      <c r="D733" s="28" t="s">
        <v>34867</v>
      </c>
      <c r="J733" t="s">
        <v>2039</v>
      </c>
      <c r="K733" t="s">
        <v>2040</v>
      </c>
      <c r="L733" s="28" t="s">
        <v>2041</v>
      </c>
      <c r="M733" t="s">
        <v>23</v>
      </c>
      <c r="N733"/>
      <c r="O733"/>
      <c r="P733"/>
      <c r="Q733"/>
      <c r="R733"/>
      <c r="S733"/>
    </row>
    <row r="734" spans="1:19" x14ac:dyDescent="0.25">
      <c r="A734" t="s">
        <v>193</v>
      </c>
      <c r="C734" s="27" t="s">
        <v>34749</v>
      </c>
      <c r="D734" s="28" t="s">
        <v>34867</v>
      </c>
      <c r="J734" t="s">
        <v>2042</v>
      </c>
      <c r="K734" t="s">
        <v>2043</v>
      </c>
      <c r="L734" s="28" t="s">
        <v>2044</v>
      </c>
      <c r="M734" t="s">
        <v>23</v>
      </c>
      <c r="N734"/>
      <c r="O734"/>
      <c r="P734"/>
      <c r="Q734"/>
      <c r="R734"/>
      <c r="S734"/>
    </row>
    <row r="735" spans="1:19" x14ac:dyDescent="0.25">
      <c r="A735" t="s">
        <v>193</v>
      </c>
      <c r="C735" s="27" t="s">
        <v>34749</v>
      </c>
      <c r="D735" s="28" t="s">
        <v>34867</v>
      </c>
      <c r="J735" t="s">
        <v>2045</v>
      </c>
      <c r="K735" t="s">
        <v>2046</v>
      </c>
      <c r="L735" s="28" t="s">
        <v>2047</v>
      </c>
      <c r="M735" t="s">
        <v>23</v>
      </c>
      <c r="N735"/>
      <c r="O735"/>
      <c r="P735"/>
      <c r="Q735"/>
      <c r="R735"/>
      <c r="S735"/>
    </row>
    <row r="736" spans="1:19" x14ac:dyDescent="0.25">
      <c r="A736" t="s">
        <v>193</v>
      </c>
      <c r="C736" s="27" t="s">
        <v>34749</v>
      </c>
      <c r="D736" s="28" t="s">
        <v>34867</v>
      </c>
      <c r="J736" t="s">
        <v>2048</v>
      </c>
      <c r="K736" t="s">
        <v>2049</v>
      </c>
      <c r="L736" s="28" t="s">
        <v>2050</v>
      </c>
      <c r="M736" t="s">
        <v>23</v>
      </c>
      <c r="N736"/>
      <c r="O736"/>
      <c r="P736"/>
      <c r="Q736"/>
      <c r="R736"/>
      <c r="S736"/>
    </row>
    <row r="737" spans="1:19" x14ac:dyDescent="0.25">
      <c r="A737" t="s">
        <v>193</v>
      </c>
      <c r="C737" s="27" t="s">
        <v>34749</v>
      </c>
      <c r="D737" s="28" t="s">
        <v>34867</v>
      </c>
      <c r="J737" t="s">
        <v>2051</v>
      </c>
      <c r="K737" t="s">
        <v>2052</v>
      </c>
      <c r="L737" s="28" t="s">
        <v>2053</v>
      </c>
      <c r="M737" t="s">
        <v>23</v>
      </c>
      <c r="N737"/>
      <c r="O737"/>
      <c r="P737"/>
      <c r="Q737"/>
      <c r="R737"/>
      <c r="S737"/>
    </row>
    <row r="738" spans="1:19" x14ac:dyDescent="0.25">
      <c r="A738" t="s">
        <v>193</v>
      </c>
      <c r="C738" s="27" t="s">
        <v>34749</v>
      </c>
      <c r="D738" s="28" t="s">
        <v>34867</v>
      </c>
      <c r="J738" t="s">
        <v>2054</v>
      </c>
      <c r="K738" t="s">
        <v>2055</v>
      </c>
      <c r="L738" s="28" t="s">
        <v>2056</v>
      </c>
      <c r="M738" t="s">
        <v>23</v>
      </c>
      <c r="N738"/>
      <c r="O738"/>
      <c r="P738"/>
      <c r="Q738"/>
      <c r="R738"/>
      <c r="S738"/>
    </row>
    <row r="739" spans="1:19" x14ac:dyDescent="0.25">
      <c r="A739" t="s">
        <v>193</v>
      </c>
      <c r="C739" s="27" t="s">
        <v>34749</v>
      </c>
      <c r="D739" s="28" t="s">
        <v>34867</v>
      </c>
      <c r="J739" t="s">
        <v>2057</v>
      </c>
      <c r="K739" t="s">
        <v>2058</v>
      </c>
      <c r="L739" s="28" t="s">
        <v>2059</v>
      </c>
      <c r="M739" t="s">
        <v>23</v>
      </c>
      <c r="N739"/>
      <c r="O739"/>
      <c r="P739"/>
      <c r="Q739"/>
      <c r="R739"/>
      <c r="S739"/>
    </row>
    <row r="740" spans="1:19" x14ac:dyDescent="0.25">
      <c r="A740" t="s">
        <v>193</v>
      </c>
      <c r="C740" s="27" t="s">
        <v>34749</v>
      </c>
      <c r="D740" s="28" t="s">
        <v>34867</v>
      </c>
      <c r="J740" t="s">
        <v>2060</v>
      </c>
      <c r="K740" t="s">
        <v>2061</v>
      </c>
      <c r="L740" s="28" t="s">
        <v>2062</v>
      </c>
      <c r="M740" t="s">
        <v>23</v>
      </c>
      <c r="N740"/>
      <c r="O740"/>
      <c r="P740"/>
      <c r="Q740"/>
      <c r="R740"/>
      <c r="S740"/>
    </row>
    <row r="741" spans="1:19" x14ac:dyDescent="0.25">
      <c r="A741" t="s">
        <v>193</v>
      </c>
      <c r="C741" s="27" t="s">
        <v>34749</v>
      </c>
      <c r="D741" s="28" t="s">
        <v>34867</v>
      </c>
      <c r="J741" t="s">
        <v>2063</v>
      </c>
      <c r="K741" t="s">
        <v>2064</v>
      </c>
      <c r="L741" s="28" t="s">
        <v>2065</v>
      </c>
      <c r="M741" t="s">
        <v>23</v>
      </c>
      <c r="N741"/>
      <c r="O741"/>
      <c r="P741"/>
      <c r="Q741"/>
      <c r="R741"/>
      <c r="S741"/>
    </row>
    <row r="742" spans="1:19" x14ac:dyDescent="0.25">
      <c r="A742" t="s">
        <v>193</v>
      </c>
      <c r="C742" s="27" t="s">
        <v>34749</v>
      </c>
      <c r="D742" s="28" t="s">
        <v>34867</v>
      </c>
      <c r="J742" t="s">
        <v>2066</v>
      </c>
      <c r="K742" t="s">
        <v>2067</v>
      </c>
      <c r="L742" s="28" t="s">
        <v>2068</v>
      </c>
      <c r="M742" t="s">
        <v>23</v>
      </c>
      <c r="N742"/>
      <c r="O742"/>
      <c r="P742"/>
      <c r="Q742"/>
      <c r="R742"/>
      <c r="S742"/>
    </row>
    <row r="743" spans="1:19" x14ac:dyDescent="0.25">
      <c r="A743" t="s">
        <v>193</v>
      </c>
      <c r="C743" s="27" t="s">
        <v>34749</v>
      </c>
      <c r="D743" s="28" t="s">
        <v>34867</v>
      </c>
      <c r="J743" t="s">
        <v>2069</v>
      </c>
      <c r="K743" t="s">
        <v>2070</v>
      </c>
      <c r="L743" s="28" t="s">
        <v>2071</v>
      </c>
      <c r="M743" t="s">
        <v>23</v>
      </c>
      <c r="N743"/>
      <c r="O743"/>
      <c r="P743"/>
      <c r="Q743"/>
      <c r="R743"/>
      <c r="S743"/>
    </row>
    <row r="744" spans="1:19" x14ac:dyDescent="0.25">
      <c r="A744" t="s">
        <v>193</v>
      </c>
      <c r="C744" s="27" t="s">
        <v>34749</v>
      </c>
      <c r="D744" s="28" t="s">
        <v>34867</v>
      </c>
      <c r="J744" t="s">
        <v>2072</v>
      </c>
      <c r="K744" t="s">
        <v>2073</v>
      </c>
      <c r="L744" s="28" t="s">
        <v>2074</v>
      </c>
      <c r="M744" t="s">
        <v>23</v>
      </c>
      <c r="N744"/>
      <c r="O744"/>
      <c r="P744"/>
      <c r="Q744"/>
      <c r="R744"/>
      <c r="S744"/>
    </row>
    <row r="745" spans="1:19" x14ac:dyDescent="0.25">
      <c r="A745" t="s">
        <v>193</v>
      </c>
      <c r="C745" s="27" t="s">
        <v>34749</v>
      </c>
      <c r="D745" s="28" t="s">
        <v>34867</v>
      </c>
      <c r="J745" t="s">
        <v>2075</v>
      </c>
      <c r="K745" t="s">
        <v>2076</v>
      </c>
      <c r="L745" s="28" t="s">
        <v>2077</v>
      </c>
      <c r="M745" t="s">
        <v>23</v>
      </c>
      <c r="N745"/>
      <c r="O745"/>
      <c r="P745"/>
      <c r="Q745"/>
      <c r="R745"/>
      <c r="S745"/>
    </row>
    <row r="746" spans="1:19" x14ac:dyDescent="0.25">
      <c r="A746" t="s">
        <v>193</v>
      </c>
      <c r="C746" s="27" t="s">
        <v>34749</v>
      </c>
      <c r="D746" s="28" t="s">
        <v>34867</v>
      </c>
      <c r="J746" t="s">
        <v>2078</v>
      </c>
      <c r="K746" t="s">
        <v>2079</v>
      </c>
      <c r="L746" s="28" t="s">
        <v>2080</v>
      </c>
      <c r="M746" t="s">
        <v>23</v>
      </c>
      <c r="N746"/>
      <c r="O746"/>
      <c r="P746"/>
      <c r="Q746"/>
      <c r="R746"/>
      <c r="S746"/>
    </row>
    <row r="747" spans="1:19" x14ac:dyDescent="0.25">
      <c r="A747" t="s">
        <v>193</v>
      </c>
      <c r="C747" s="27" t="s">
        <v>34749</v>
      </c>
      <c r="D747" s="28" t="s">
        <v>34867</v>
      </c>
      <c r="J747" t="s">
        <v>2081</v>
      </c>
      <c r="K747" t="s">
        <v>2082</v>
      </c>
      <c r="L747" s="28" t="s">
        <v>2083</v>
      </c>
      <c r="M747" t="s">
        <v>23</v>
      </c>
      <c r="N747"/>
      <c r="O747"/>
      <c r="P747"/>
      <c r="Q747"/>
      <c r="R747"/>
      <c r="S747"/>
    </row>
    <row r="748" spans="1:19" x14ac:dyDescent="0.25">
      <c r="A748" t="s">
        <v>193</v>
      </c>
      <c r="C748" s="27" t="s">
        <v>34749</v>
      </c>
      <c r="D748" s="28" t="s">
        <v>34867</v>
      </c>
      <c r="J748" t="s">
        <v>2084</v>
      </c>
      <c r="K748" t="s">
        <v>2085</v>
      </c>
      <c r="L748" s="28" t="s">
        <v>2086</v>
      </c>
      <c r="M748" t="s">
        <v>23</v>
      </c>
      <c r="N748"/>
      <c r="O748"/>
      <c r="P748"/>
      <c r="Q748"/>
      <c r="R748"/>
      <c r="S748"/>
    </row>
    <row r="749" spans="1:19" x14ac:dyDescent="0.25">
      <c r="A749" t="s">
        <v>193</v>
      </c>
      <c r="C749" s="27" t="s">
        <v>34749</v>
      </c>
      <c r="D749" s="28" t="s">
        <v>34867</v>
      </c>
      <c r="J749" t="s">
        <v>2087</v>
      </c>
      <c r="K749" t="s">
        <v>2088</v>
      </c>
      <c r="L749" s="28" t="s">
        <v>2089</v>
      </c>
      <c r="M749" t="s">
        <v>23</v>
      </c>
      <c r="N749"/>
      <c r="O749"/>
      <c r="P749"/>
      <c r="Q749"/>
      <c r="R749"/>
      <c r="S749"/>
    </row>
    <row r="750" spans="1:19" x14ac:dyDescent="0.25">
      <c r="A750" t="s">
        <v>193</v>
      </c>
      <c r="C750" s="27" t="s">
        <v>34749</v>
      </c>
      <c r="D750" s="28" t="s">
        <v>34867</v>
      </c>
      <c r="J750" t="s">
        <v>2090</v>
      </c>
      <c r="K750" t="s">
        <v>2091</v>
      </c>
      <c r="L750" s="28" t="s">
        <v>2092</v>
      </c>
      <c r="M750" t="s">
        <v>23</v>
      </c>
      <c r="N750"/>
      <c r="O750"/>
      <c r="P750"/>
      <c r="Q750"/>
      <c r="R750"/>
      <c r="S750"/>
    </row>
    <row r="751" spans="1:19" x14ac:dyDescent="0.25">
      <c r="A751" t="s">
        <v>193</v>
      </c>
      <c r="C751" s="27" t="s">
        <v>34749</v>
      </c>
      <c r="D751" s="28" t="s">
        <v>34867</v>
      </c>
      <c r="J751" t="s">
        <v>2093</v>
      </c>
      <c r="K751" t="s">
        <v>2094</v>
      </c>
      <c r="L751" s="28" t="s">
        <v>2095</v>
      </c>
      <c r="M751" t="s">
        <v>23</v>
      </c>
      <c r="N751"/>
      <c r="O751"/>
      <c r="P751"/>
      <c r="Q751"/>
      <c r="R751"/>
      <c r="S751"/>
    </row>
    <row r="752" spans="1:19" x14ac:dyDescent="0.25">
      <c r="A752" t="s">
        <v>193</v>
      </c>
      <c r="C752" s="27" t="s">
        <v>34749</v>
      </c>
      <c r="D752" s="28" t="s">
        <v>34867</v>
      </c>
      <c r="J752" t="s">
        <v>2096</v>
      </c>
      <c r="K752" t="s">
        <v>2097</v>
      </c>
      <c r="L752" s="28" t="s">
        <v>2098</v>
      </c>
      <c r="M752" t="s">
        <v>23</v>
      </c>
      <c r="N752"/>
      <c r="O752"/>
      <c r="P752"/>
      <c r="Q752"/>
      <c r="R752"/>
      <c r="S752"/>
    </row>
    <row r="753" spans="1:19" x14ac:dyDescent="0.25">
      <c r="A753" t="s">
        <v>193</v>
      </c>
      <c r="C753" s="27" t="s">
        <v>34749</v>
      </c>
      <c r="D753" s="28" t="s">
        <v>34867</v>
      </c>
      <c r="J753" t="s">
        <v>2099</v>
      </c>
      <c r="K753" t="s">
        <v>2100</v>
      </c>
      <c r="L753" s="28" t="s">
        <v>2101</v>
      </c>
      <c r="M753" t="s">
        <v>23</v>
      </c>
      <c r="N753"/>
      <c r="O753"/>
      <c r="P753"/>
      <c r="Q753"/>
      <c r="R753"/>
      <c r="S753"/>
    </row>
    <row r="754" spans="1:19" x14ac:dyDescent="0.25">
      <c r="A754" t="s">
        <v>193</v>
      </c>
      <c r="C754" s="27" t="s">
        <v>34749</v>
      </c>
      <c r="D754" s="28" t="s">
        <v>34867</v>
      </c>
      <c r="J754" t="s">
        <v>2102</v>
      </c>
      <c r="K754" t="s">
        <v>2103</v>
      </c>
      <c r="L754" s="28" t="s">
        <v>2104</v>
      </c>
      <c r="M754" t="s">
        <v>23</v>
      </c>
      <c r="N754"/>
      <c r="O754"/>
      <c r="P754"/>
      <c r="Q754"/>
      <c r="R754"/>
      <c r="S754"/>
    </row>
    <row r="755" spans="1:19" x14ac:dyDescent="0.25">
      <c r="A755" t="s">
        <v>193</v>
      </c>
      <c r="C755" s="27" t="s">
        <v>34749</v>
      </c>
      <c r="D755" s="28" t="s">
        <v>34867</v>
      </c>
      <c r="J755" t="s">
        <v>2105</v>
      </c>
      <c r="K755" t="s">
        <v>2106</v>
      </c>
      <c r="L755" s="28" t="s">
        <v>2107</v>
      </c>
      <c r="M755" t="s">
        <v>23</v>
      </c>
      <c r="N755"/>
      <c r="O755"/>
      <c r="P755"/>
      <c r="Q755"/>
      <c r="R755"/>
      <c r="S755"/>
    </row>
    <row r="756" spans="1:19" x14ac:dyDescent="0.25">
      <c r="A756" t="s">
        <v>193</v>
      </c>
      <c r="C756" s="27" t="s">
        <v>34749</v>
      </c>
      <c r="D756" s="28" t="s">
        <v>34867</v>
      </c>
      <c r="J756" t="s">
        <v>2108</v>
      </c>
      <c r="K756" t="s">
        <v>2109</v>
      </c>
      <c r="L756" s="28" t="s">
        <v>2110</v>
      </c>
      <c r="M756" t="s">
        <v>23</v>
      </c>
      <c r="N756"/>
      <c r="O756"/>
      <c r="P756"/>
      <c r="Q756"/>
      <c r="R756"/>
      <c r="S756"/>
    </row>
    <row r="757" spans="1:19" x14ac:dyDescent="0.25">
      <c r="A757" t="s">
        <v>193</v>
      </c>
      <c r="C757" s="27" t="s">
        <v>34749</v>
      </c>
      <c r="D757" s="28" t="s">
        <v>34867</v>
      </c>
      <c r="J757" t="s">
        <v>2111</v>
      </c>
      <c r="K757" t="s">
        <v>2112</v>
      </c>
      <c r="L757" s="28" t="s">
        <v>2113</v>
      </c>
      <c r="M757" t="s">
        <v>23</v>
      </c>
      <c r="N757"/>
      <c r="O757"/>
      <c r="P757"/>
      <c r="Q757"/>
      <c r="R757"/>
      <c r="S757"/>
    </row>
    <row r="758" spans="1:19" x14ac:dyDescent="0.25">
      <c r="A758" t="s">
        <v>193</v>
      </c>
      <c r="C758" s="27" t="s">
        <v>34749</v>
      </c>
      <c r="D758" s="28" t="s">
        <v>34867</v>
      </c>
      <c r="J758" t="s">
        <v>2114</v>
      </c>
      <c r="K758" t="s">
        <v>2115</v>
      </c>
      <c r="L758" s="28" t="s">
        <v>2116</v>
      </c>
      <c r="M758" t="s">
        <v>23</v>
      </c>
      <c r="N758"/>
      <c r="O758"/>
      <c r="P758"/>
      <c r="Q758"/>
      <c r="R758"/>
      <c r="S758"/>
    </row>
    <row r="759" spans="1:19" x14ac:dyDescent="0.25">
      <c r="A759" t="s">
        <v>193</v>
      </c>
      <c r="C759" s="27" t="s">
        <v>34749</v>
      </c>
      <c r="D759" s="28" t="s">
        <v>34867</v>
      </c>
      <c r="J759" t="s">
        <v>2117</v>
      </c>
      <c r="K759" t="s">
        <v>2118</v>
      </c>
      <c r="L759" s="28" t="s">
        <v>2119</v>
      </c>
      <c r="M759" t="s">
        <v>23</v>
      </c>
      <c r="N759"/>
      <c r="O759"/>
      <c r="P759"/>
      <c r="Q759"/>
      <c r="R759"/>
      <c r="S759"/>
    </row>
    <row r="760" spans="1:19" x14ac:dyDescent="0.25">
      <c r="A760" t="s">
        <v>193</v>
      </c>
      <c r="C760" s="27" t="s">
        <v>34749</v>
      </c>
      <c r="D760" s="28" t="s">
        <v>34867</v>
      </c>
      <c r="J760" t="s">
        <v>2120</v>
      </c>
      <c r="K760" t="s">
        <v>2121</v>
      </c>
      <c r="L760" s="28" t="s">
        <v>2122</v>
      </c>
      <c r="M760" t="s">
        <v>23</v>
      </c>
      <c r="N760"/>
      <c r="O760"/>
      <c r="P760"/>
      <c r="Q760"/>
      <c r="R760"/>
      <c r="S760"/>
    </row>
    <row r="761" spans="1:19" x14ac:dyDescent="0.25">
      <c r="A761" t="s">
        <v>193</v>
      </c>
      <c r="C761" s="27" t="s">
        <v>34749</v>
      </c>
      <c r="D761" s="28" t="s">
        <v>34867</v>
      </c>
      <c r="J761" t="s">
        <v>2123</v>
      </c>
      <c r="K761" t="s">
        <v>2124</v>
      </c>
      <c r="L761" s="28" t="s">
        <v>2125</v>
      </c>
      <c r="M761" t="s">
        <v>23</v>
      </c>
      <c r="N761"/>
      <c r="O761"/>
      <c r="P761"/>
      <c r="Q761"/>
      <c r="R761"/>
      <c r="S761"/>
    </row>
    <row r="762" spans="1:19" x14ac:dyDescent="0.25">
      <c r="A762" t="s">
        <v>193</v>
      </c>
      <c r="C762" s="27" t="s">
        <v>34749</v>
      </c>
      <c r="D762" s="28" t="s">
        <v>34867</v>
      </c>
      <c r="J762" t="s">
        <v>2126</v>
      </c>
      <c r="K762" t="s">
        <v>2127</v>
      </c>
      <c r="L762" s="28" t="s">
        <v>2128</v>
      </c>
      <c r="M762" t="s">
        <v>23</v>
      </c>
      <c r="N762"/>
      <c r="O762"/>
      <c r="P762"/>
      <c r="Q762"/>
      <c r="R762"/>
      <c r="S762"/>
    </row>
    <row r="763" spans="1:19" x14ac:dyDescent="0.25">
      <c r="A763" t="s">
        <v>193</v>
      </c>
      <c r="C763" s="27" t="s">
        <v>34749</v>
      </c>
      <c r="D763" s="28" t="s">
        <v>34867</v>
      </c>
      <c r="J763" t="s">
        <v>2129</v>
      </c>
      <c r="K763" t="s">
        <v>2130</v>
      </c>
      <c r="L763" s="28" t="s">
        <v>2131</v>
      </c>
      <c r="M763" t="s">
        <v>23</v>
      </c>
      <c r="N763"/>
      <c r="O763"/>
      <c r="P763"/>
      <c r="Q763"/>
      <c r="R763"/>
      <c r="S763"/>
    </row>
    <row r="764" spans="1:19" x14ac:dyDescent="0.25">
      <c r="A764" t="s">
        <v>193</v>
      </c>
      <c r="C764" s="27" t="s">
        <v>34749</v>
      </c>
      <c r="D764" s="28" t="s">
        <v>34867</v>
      </c>
      <c r="J764" t="s">
        <v>2132</v>
      </c>
      <c r="K764" t="s">
        <v>2133</v>
      </c>
      <c r="L764" s="28" t="s">
        <v>2134</v>
      </c>
      <c r="M764" t="s">
        <v>23</v>
      </c>
      <c r="N764"/>
      <c r="O764"/>
      <c r="P764"/>
      <c r="Q764"/>
      <c r="R764"/>
      <c r="S764"/>
    </row>
    <row r="765" spans="1:19" x14ac:dyDescent="0.25">
      <c r="A765" t="s">
        <v>193</v>
      </c>
      <c r="C765" s="27" t="s">
        <v>34749</v>
      </c>
      <c r="D765" s="28" t="s">
        <v>34867</v>
      </c>
      <c r="J765" t="s">
        <v>2135</v>
      </c>
      <c r="K765" t="s">
        <v>2136</v>
      </c>
      <c r="L765" s="28" t="s">
        <v>2137</v>
      </c>
      <c r="M765" t="s">
        <v>23</v>
      </c>
      <c r="N765"/>
      <c r="O765"/>
      <c r="P765"/>
      <c r="Q765"/>
      <c r="R765"/>
      <c r="S765"/>
    </row>
    <row r="766" spans="1:19" x14ac:dyDescent="0.25">
      <c r="A766" t="s">
        <v>193</v>
      </c>
      <c r="C766" s="27" t="s">
        <v>34749</v>
      </c>
      <c r="D766" s="28" t="s">
        <v>34867</v>
      </c>
      <c r="J766" t="s">
        <v>2138</v>
      </c>
      <c r="K766" t="s">
        <v>2139</v>
      </c>
      <c r="L766" s="28" t="s">
        <v>2140</v>
      </c>
      <c r="M766" t="s">
        <v>23</v>
      </c>
      <c r="N766"/>
      <c r="O766"/>
      <c r="P766"/>
      <c r="Q766"/>
      <c r="R766"/>
      <c r="S766"/>
    </row>
    <row r="767" spans="1:19" x14ac:dyDescent="0.25">
      <c r="A767" t="s">
        <v>193</v>
      </c>
      <c r="C767" s="27" t="s">
        <v>34749</v>
      </c>
      <c r="D767" s="28" t="s">
        <v>34867</v>
      </c>
      <c r="J767" t="s">
        <v>2141</v>
      </c>
      <c r="K767" t="s">
        <v>2142</v>
      </c>
      <c r="L767" s="28" t="s">
        <v>2143</v>
      </c>
      <c r="M767" t="s">
        <v>23</v>
      </c>
      <c r="N767"/>
      <c r="O767"/>
      <c r="P767"/>
      <c r="Q767"/>
      <c r="R767"/>
      <c r="S767"/>
    </row>
    <row r="768" spans="1:19" x14ac:dyDescent="0.25">
      <c r="A768" t="s">
        <v>193</v>
      </c>
      <c r="C768" s="27" t="s">
        <v>34749</v>
      </c>
      <c r="D768" s="28" t="s">
        <v>34867</v>
      </c>
      <c r="J768" t="s">
        <v>2144</v>
      </c>
      <c r="K768" t="s">
        <v>2145</v>
      </c>
      <c r="L768" s="28" t="s">
        <v>2146</v>
      </c>
      <c r="M768" t="s">
        <v>23</v>
      </c>
      <c r="N768"/>
      <c r="O768"/>
      <c r="P768"/>
      <c r="Q768"/>
      <c r="R768"/>
      <c r="S768"/>
    </row>
    <row r="769" spans="1:19" x14ac:dyDescent="0.25">
      <c r="A769" t="s">
        <v>193</v>
      </c>
      <c r="C769" s="27" t="s">
        <v>34749</v>
      </c>
      <c r="D769" s="28" t="s">
        <v>34867</v>
      </c>
      <c r="J769" t="s">
        <v>2147</v>
      </c>
      <c r="K769" t="s">
        <v>2148</v>
      </c>
      <c r="L769" s="28" t="s">
        <v>2149</v>
      </c>
      <c r="M769" t="s">
        <v>23</v>
      </c>
      <c r="N769"/>
      <c r="O769"/>
      <c r="P769"/>
      <c r="Q769"/>
      <c r="R769"/>
      <c r="S769"/>
    </row>
    <row r="770" spans="1:19" x14ac:dyDescent="0.25">
      <c r="A770" t="s">
        <v>193</v>
      </c>
      <c r="C770" s="27" t="s">
        <v>34749</v>
      </c>
      <c r="D770" s="28" t="s">
        <v>34867</v>
      </c>
      <c r="J770" t="s">
        <v>2150</v>
      </c>
      <c r="K770" t="s">
        <v>2151</v>
      </c>
      <c r="L770" s="28" t="s">
        <v>2152</v>
      </c>
      <c r="M770" t="s">
        <v>23</v>
      </c>
      <c r="N770"/>
      <c r="O770"/>
      <c r="P770"/>
      <c r="Q770"/>
      <c r="R770"/>
      <c r="S770"/>
    </row>
    <row r="771" spans="1:19" x14ac:dyDescent="0.25">
      <c r="A771" t="s">
        <v>193</v>
      </c>
      <c r="C771" s="27" t="s">
        <v>34749</v>
      </c>
      <c r="D771" s="28" t="s">
        <v>34867</v>
      </c>
      <c r="J771" t="s">
        <v>2153</v>
      </c>
      <c r="K771" t="s">
        <v>2154</v>
      </c>
      <c r="L771" s="28" t="s">
        <v>2155</v>
      </c>
      <c r="M771" t="s">
        <v>23</v>
      </c>
      <c r="N771"/>
      <c r="O771"/>
      <c r="P771"/>
      <c r="Q771"/>
      <c r="R771"/>
      <c r="S771"/>
    </row>
    <row r="772" spans="1:19" x14ac:dyDescent="0.25">
      <c r="A772" t="s">
        <v>193</v>
      </c>
      <c r="C772" s="27" t="s">
        <v>34749</v>
      </c>
      <c r="D772" s="28" t="s">
        <v>34867</v>
      </c>
      <c r="E772" s="3"/>
      <c r="F772" s="3"/>
      <c r="J772" t="s">
        <v>2156</v>
      </c>
      <c r="K772" t="s">
        <v>2157</v>
      </c>
      <c r="L772" s="28" t="s">
        <v>2158</v>
      </c>
      <c r="M772" t="s">
        <v>23</v>
      </c>
      <c r="N772"/>
      <c r="O772"/>
      <c r="P772"/>
      <c r="Q772"/>
      <c r="R772"/>
      <c r="S772"/>
    </row>
    <row r="773" spans="1:19" x14ac:dyDescent="0.25">
      <c r="A773" t="s">
        <v>193</v>
      </c>
      <c r="C773" s="27" t="s">
        <v>34749</v>
      </c>
      <c r="D773" s="28" t="s">
        <v>34867</v>
      </c>
      <c r="J773" t="s">
        <v>2159</v>
      </c>
      <c r="K773" t="s">
        <v>2160</v>
      </c>
      <c r="L773" s="28" t="s">
        <v>2161</v>
      </c>
      <c r="M773" t="s">
        <v>23</v>
      </c>
      <c r="N773"/>
      <c r="O773"/>
      <c r="P773"/>
      <c r="Q773"/>
      <c r="R773"/>
      <c r="S773"/>
    </row>
    <row r="774" spans="1:19" x14ac:dyDescent="0.25">
      <c r="A774" t="s">
        <v>193</v>
      </c>
      <c r="C774" s="27" t="s">
        <v>34749</v>
      </c>
      <c r="D774" s="28" t="s">
        <v>34867</v>
      </c>
      <c r="J774" t="s">
        <v>2162</v>
      </c>
      <c r="K774" t="s">
        <v>2163</v>
      </c>
      <c r="L774" s="28" t="s">
        <v>2164</v>
      </c>
      <c r="M774" t="s">
        <v>23</v>
      </c>
      <c r="N774"/>
      <c r="O774"/>
      <c r="P774"/>
      <c r="Q774"/>
      <c r="R774"/>
      <c r="S774"/>
    </row>
    <row r="775" spans="1:19" x14ac:dyDescent="0.25">
      <c r="A775" t="s">
        <v>193</v>
      </c>
      <c r="C775" s="27" t="s">
        <v>34749</v>
      </c>
      <c r="D775" s="28" t="s">
        <v>34867</v>
      </c>
      <c r="J775" t="s">
        <v>2165</v>
      </c>
      <c r="K775" t="s">
        <v>2166</v>
      </c>
      <c r="L775" s="28" t="s">
        <v>2167</v>
      </c>
      <c r="M775" t="s">
        <v>23</v>
      </c>
      <c r="N775"/>
      <c r="O775"/>
      <c r="P775"/>
      <c r="Q775"/>
      <c r="R775"/>
      <c r="S775"/>
    </row>
    <row r="776" spans="1:19" x14ac:dyDescent="0.25">
      <c r="A776" t="s">
        <v>193</v>
      </c>
      <c r="C776" s="27" t="s">
        <v>34749</v>
      </c>
      <c r="D776" s="28" t="s">
        <v>34867</v>
      </c>
      <c r="J776" t="s">
        <v>2168</v>
      </c>
      <c r="K776" t="s">
        <v>2169</v>
      </c>
      <c r="L776" s="28" t="s">
        <v>2170</v>
      </c>
      <c r="M776" t="s">
        <v>23</v>
      </c>
      <c r="N776"/>
      <c r="O776"/>
      <c r="P776"/>
      <c r="Q776"/>
      <c r="R776"/>
      <c r="S776"/>
    </row>
    <row r="777" spans="1:19" x14ac:dyDescent="0.25">
      <c r="A777" t="s">
        <v>193</v>
      </c>
      <c r="C777" s="27" t="s">
        <v>34749</v>
      </c>
      <c r="D777" s="28" t="s">
        <v>34867</v>
      </c>
      <c r="J777" t="s">
        <v>2171</v>
      </c>
      <c r="K777" t="s">
        <v>2172</v>
      </c>
      <c r="L777" s="28" t="s">
        <v>2173</v>
      </c>
      <c r="M777" t="s">
        <v>23</v>
      </c>
      <c r="N777"/>
      <c r="O777"/>
      <c r="P777"/>
      <c r="Q777"/>
      <c r="R777"/>
      <c r="S777"/>
    </row>
    <row r="778" spans="1:19" x14ac:dyDescent="0.25">
      <c r="A778" t="s">
        <v>193</v>
      </c>
      <c r="C778" s="27" t="s">
        <v>34749</v>
      </c>
      <c r="D778" s="28" t="s">
        <v>34867</v>
      </c>
      <c r="J778" t="s">
        <v>2174</v>
      </c>
      <c r="K778" t="s">
        <v>2175</v>
      </c>
      <c r="L778" s="28" t="s">
        <v>2176</v>
      </c>
      <c r="M778" t="s">
        <v>23</v>
      </c>
      <c r="N778"/>
      <c r="O778"/>
      <c r="P778"/>
      <c r="Q778"/>
      <c r="R778"/>
      <c r="S778"/>
    </row>
    <row r="779" spans="1:19" x14ac:dyDescent="0.25">
      <c r="A779" t="s">
        <v>193</v>
      </c>
      <c r="C779" s="27" t="s">
        <v>34749</v>
      </c>
      <c r="D779" s="28" t="s">
        <v>34867</v>
      </c>
      <c r="J779" t="s">
        <v>2177</v>
      </c>
      <c r="K779" t="s">
        <v>2178</v>
      </c>
      <c r="L779" s="28" t="s">
        <v>2179</v>
      </c>
      <c r="M779" t="s">
        <v>23</v>
      </c>
      <c r="N779"/>
      <c r="O779"/>
      <c r="P779"/>
      <c r="Q779"/>
      <c r="R779"/>
      <c r="S779"/>
    </row>
    <row r="780" spans="1:19" x14ac:dyDescent="0.25">
      <c r="A780" t="s">
        <v>193</v>
      </c>
      <c r="C780" s="27" t="s">
        <v>34749</v>
      </c>
      <c r="D780" s="28" t="s">
        <v>34867</v>
      </c>
      <c r="J780" t="s">
        <v>2180</v>
      </c>
      <c r="K780" t="s">
        <v>2181</v>
      </c>
      <c r="L780" s="28" t="s">
        <v>2182</v>
      </c>
      <c r="M780" t="s">
        <v>23</v>
      </c>
      <c r="N780"/>
      <c r="O780"/>
      <c r="P780"/>
      <c r="Q780"/>
      <c r="R780"/>
      <c r="S780"/>
    </row>
    <row r="781" spans="1:19" x14ac:dyDescent="0.25">
      <c r="A781" t="s">
        <v>193</v>
      </c>
      <c r="C781" s="27" t="s">
        <v>34749</v>
      </c>
      <c r="D781" s="28" t="s">
        <v>34867</v>
      </c>
      <c r="J781" t="s">
        <v>2183</v>
      </c>
      <c r="K781" t="s">
        <v>2184</v>
      </c>
      <c r="L781" s="28" t="s">
        <v>2185</v>
      </c>
      <c r="M781" t="s">
        <v>23</v>
      </c>
      <c r="N781"/>
      <c r="O781"/>
      <c r="P781"/>
      <c r="Q781"/>
      <c r="R781"/>
      <c r="S781"/>
    </row>
    <row r="782" spans="1:19" x14ac:dyDescent="0.25">
      <c r="A782" t="s">
        <v>193</v>
      </c>
      <c r="C782" s="27" t="s">
        <v>34749</v>
      </c>
      <c r="D782" s="28" t="s">
        <v>34867</v>
      </c>
      <c r="J782" t="s">
        <v>2186</v>
      </c>
      <c r="K782" t="s">
        <v>2187</v>
      </c>
      <c r="L782" s="28" t="s">
        <v>2188</v>
      </c>
      <c r="M782" t="s">
        <v>23</v>
      </c>
      <c r="N782"/>
      <c r="O782"/>
      <c r="P782"/>
      <c r="Q782"/>
      <c r="R782"/>
      <c r="S782"/>
    </row>
    <row r="783" spans="1:19" x14ac:dyDescent="0.25">
      <c r="A783" t="s">
        <v>193</v>
      </c>
      <c r="C783" s="27" t="s">
        <v>34749</v>
      </c>
      <c r="D783" s="28" t="s">
        <v>34867</v>
      </c>
      <c r="J783" t="s">
        <v>2189</v>
      </c>
      <c r="K783" t="s">
        <v>2190</v>
      </c>
      <c r="L783" s="28" t="s">
        <v>2191</v>
      </c>
      <c r="M783" t="s">
        <v>23</v>
      </c>
      <c r="N783"/>
      <c r="O783"/>
      <c r="P783"/>
      <c r="Q783"/>
      <c r="R783"/>
      <c r="S783"/>
    </row>
    <row r="784" spans="1:19" x14ac:dyDescent="0.25">
      <c r="A784" t="s">
        <v>193</v>
      </c>
      <c r="C784" s="27" t="s">
        <v>34749</v>
      </c>
      <c r="D784" s="28" t="s">
        <v>34867</v>
      </c>
      <c r="J784" t="s">
        <v>2192</v>
      </c>
      <c r="K784" t="s">
        <v>2193</v>
      </c>
      <c r="L784" s="28" t="s">
        <v>2194</v>
      </c>
      <c r="M784" t="s">
        <v>23</v>
      </c>
      <c r="N784"/>
      <c r="O784"/>
      <c r="P784"/>
      <c r="Q784"/>
      <c r="R784"/>
      <c r="S784"/>
    </row>
    <row r="785" spans="1:19" x14ac:dyDescent="0.25">
      <c r="A785" t="s">
        <v>193</v>
      </c>
      <c r="C785" s="27" t="s">
        <v>34749</v>
      </c>
      <c r="D785" s="28" t="s">
        <v>34867</v>
      </c>
      <c r="J785" t="s">
        <v>2195</v>
      </c>
      <c r="K785" t="s">
        <v>2196</v>
      </c>
      <c r="L785" s="28" t="s">
        <v>2197</v>
      </c>
      <c r="M785" t="s">
        <v>23</v>
      </c>
      <c r="N785"/>
      <c r="O785"/>
      <c r="P785"/>
      <c r="Q785"/>
      <c r="R785"/>
      <c r="S785"/>
    </row>
    <row r="786" spans="1:19" x14ac:dyDescent="0.25">
      <c r="A786" t="s">
        <v>193</v>
      </c>
      <c r="C786" s="27" t="s">
        <v>34749</v>
      </c>
      <c r="D786" s="28" t="s">
        <v>34867</v>
      </c>
      <c r="J786" t="s">
        <v>2198</v>
      </c>
      <c r="K786" t="s">
        <v>2199</v>
      </c>
      <c r="L786" s="28" t="s">
        <v>2200</v>
      </c>
      <c r="M786" t="s">
        <v>23</v>
      </c>
      <c r="N786"/>
      <c r="O786"/>
      <c r="P786"/>
      <c r="Q786"/>
      <c r="R786"/>
      <c r="S786"/>
    </row>
    <row r="787" spans="1:19" x14ac:dyDescent="0.25">
      <c r="A787" t="s">
        <v>193</v>
      </c>
      <c r="C787" s="27" t="s">
        <v>34749</v>
      </c>
      <c r="D787" s="28" t="s">
        <v>34867</v>
      </c>
      <c r="J787" t="s">
        <v>2201</v>
      </c>
      <c r="K787" t="s">
        <v>2202</v>
      </c>
      <c r="L787" s="28" t="s">
        <v>2203</v>
      </c>
      <c r="M787" t="s">
        <v>23</v>
      </c>
      <c r="N787"/>
      <c r="O787"/>
      <c r="P787"/>
      <c r="Q787"/>
      <c r="R787"/>
      <c r="S787"/>
    </row>
    <row r="788" spans="1:19" x14ac:dyDescent="0.25">
      <c r="A788" t="s">
        <v>193</v>
      </c>
      <c r="C788" s="27" t="s">
        <v>34749</v>
      </c>
      <c r="D788" s="28" t="s">
        <v>34867</v>
      </c>
      <c r="J788" t="s">
        <v>2204</v>
      </c>
      <c r="K788" t="s">
        <v>2205</v>
      </c>
      <c r="L788" s="28" t="s">
        <v>2206</v>
      </c>
      <c r="M788" t="s">
        <v>23</v>
      </c>
      <c r="N788"/>
      <c r="O788"/>
      <c r="P788"/>
      <c r="Q788"/>
      <c r="R788"/>
      <c r="S788"/>
    </row>
    <row r="789" spans="1:19" x14ac:dyDescent="0.25">
      <c r="A789" t="s">
        <v>193</v>
      </c>
      <c r="C789" s="27" t="s">
        <v>34749</v>
      </c>
      <c r="D789" s="28" t="s">
        <v>34867</v>
      </c>
      <c r="J789" t="s">
        <v>2207</v>
      </c>
      <c r="K789" t="s">
        <v>2208</v>
      </c>
      <c r="L789" s="28" t="s">
        <v>2209</v>
      </c>
      <c r="M789" t="s">
        <v>23</v>
      </c>
      <c r="N789"/>
      <c r="O789"/>
      <c r="P789"/>
      <c r="Q789"/>
      <c r="R789"/>
      <c r="S789"/>
    </row>
    <row r="790" spans="1:19" x14ac:dyDescent="0.25">
      <c r="A790" t="s">
        <v>193</v>
      </c>
      <c r="C790" s="27" t="s">
        <v>34749</v>
      </c>
      <c r="D790" s="28" t="s">
        <v>34867</v>
      </c>
      <c r="J790" t="s">
        <v>2210</v>
      </c>
      <c r="K790" t="s">
        <v>2211</v>
      </c>
      <c r="L790" s="28" t="s">
        <v>2212</v>
      </c>
      <c r="M790" t="s">
        <v>23</v>
      </c>
      <c r="N790"/>
      <c r="O790"/>
      <c r="P790"/>
      <c r="Q790"/>
      <c r="R790"/>
      <c r="S790"/>
    </row>
    <row r="791" spans="1:19" x14ac:dyDescent="0.25">
      <c r="A791" t="s">
        <v>193</v>
      </c>
      <c r="C791" s="27" t="s">
        <v>34749</v>
      </c>
      <c r="D791" s="28" t="s">
        <v>34867</v>
      </c>
      <c r="J791" t="s">
        <v>2213</v>
      </c>
      <c r="K791" t="s">
        <v>2214</v>
      </c>
      <c r="L791" s="28" t="s">
        <v>2215</v>
      </c>
      <c r="M791" t="s">
        <v>23</v>
      </c>
      <c r="N791"/>
      <c r="O791"/>
      <c r="P791"/>
      <c r="Q791"/>
      <c r="R791"/>
      <c r="S791"/>
    </row>
    <row r="792" spans="1:19" x14ac:dyDescent="0.25">
      <c r="A792" t="s">
        <v>193</v>
      </c>
      <c r="C792" s="27" t="s">
        <v>34749</v>
      </c>
      <c r="D792" s="28" t="s">
        <v>34867</v>
      </c>
      <c r="J792" t="s">
        <v>2216</v>
      </c>
      <c r="K792" t="s">
        <v>2217</v>
      </c>
      <c r="L792" s="28" t="s">
        <v>2218</v>
      </c>
      <c r="M792" t="s">
        <v>23</v>
      </c>
      <c r="N792"/>
      <c r="O792"/>
      <c r="P792"/>
      <c r="Q792"/>
      <c r="R792"/>
      <c r="S792"/>
    </row>
    <row r="793" spans="1:19" x14ac:dyDescent="0.25">
      <c r="A793" t="s">
        <v>193</v>
      </c>
      <c r="C793" s="27" t="s">
        <v>34749</v>
      </c>
      <c r="D793" s="28" t="s">
        <v>34867</v>
      </c>
      <c r="J793" t="s">
        <v>2219</v>
      </c>
      <c r="K793" t="s">
        <v>2220</v>
      </c>
      <c r="L793" s="28" t="s">
        <v>2221</v>
      </c>
      <c r="M793" t="s">
        <v>23</v>
      </c>
      <c r="N793"/>
      <c r="O793"/>
      <c r="P793"/>
      <c r="Q793"/>
      <c r="R793"/>
      <c r="S793"/>
    </row>
    <row r="794" spans="1:19" x14ac:dyDescent="0.25">
      <c r="A794" t="s">
        <v>193</v>
      </c>
      <c r="C794" s="27" t="s">
        <v>34749</v>
      </c>
      <c r="D794" s="28" t="s">
        <v>34867</v>
      </c>
      <c r="J794" t="s">
        <v>2222</v>
      </c>
      <c r="K794" t="s">
        <v>2223</v>
      </c>
      <c r="L794" s="28" t="s">
        <v>2224</v>
      </c>
      <c r="M794" t="s">
        <v>23</v>
      </c>
      <c r="N794"/>
      <c r="O794"/>
      <c r="P794"/>
      <c r="Q794"/>
      <c r="R794"/>
      <c r="S794"/>
    </row>
    <row r="795" spans="1:19" x14ac:dyDescent="0.25">
      <c r="A795" t="s">
        <v>193</v>
      </c>
      <c r="C795" s="27" t="s">
        <v>34749</v>
      </c>
      <c r="D795" s="28" t="s">
        <v>34867</v>
      </c>
      <c r="J795" t="s">
        <v>2225</v>
      </c>
      <c r="K795" t="s">
        <v>2226</v>
      </c>
      <c r="L795" s="28" t="s">
        <v>2227</v>
      </c>
      <c r="M795" t="s">
        <v>23</v>
      </c>
      <c r="N795"/>
      <c r="O795"/>
      <c r="P795"/>
      <c r="Q795"/>
      <c r="R795"/>
      <c r="S795"/>
    </row>
    <row r="796" spans="1:19" x14ac:dyDescent="0.25">
      <c r="A796" t="s">
        <v>193</v>
      </c>
      <c r="C796" s="27" t="s">
        <v>34749</v>
      </c>
      <c r="D796" s="28" t="s">
        <v>34867</v>
      </c>
      <c r="J796" t="s">
        <v>2228</v>
      </c>
      <c r="K796" t="s">
        <v>2229</v>
      </c>
      <c r="L796" s="28" t="s">
        <v>2230</v>
      </c>
      <c r="M796" t="s">
        <v>23</v>
      </c>
      <c r="N796"/>
      <c r="O796"/>
      <c r="P796"/>
      <c r="Q796"/>
      <c r="R796"/>
      <c r="S796"/>
    </row>
    <row r="797" spans="1:19" x14ac:dyDescent="0.25">
      <c r="A797" t="s">
        <v>193</v>
      </c>
      <c r="C797" s="27" t="s">
        <v>34749</v>
      </c>
      <c r="D797" s="28" t="s">
        <v>34867</v>
      </c>
      <c r="E797" s="3"/>
      <c r="F797" s="3"/>
      <c r="J797" t="s">
        <v>2231</v>
      </c>
      <c r="K797" t="s">
        <v>2232</v>
      </c>
      <c r="L797" s="28" t="s">
        <v>2233</v>
      </c>
      <c r="M797" t="s">
        <v>23</v>
      </c>
      <c r="N797"/>
      <c r="O797"/>
      <c r="P797"/>
      <c r="Q797"/>
      <c r="R797"/>
      <c r="S797"/>
    </row>
    <row r="798" spans="1:19" x14ac:dyDescent="0.25">
      <c r="A798" t="s">
        <v>193</v>
      </c>
      <c r="C798" s="27" t="s">
        <v>34749</v>
      </c>
      <c r="D798" s="28" t="s">
        <v>34867</v>
      </c>
      <c r="J798" t="s">
        <v>2234</v>
      </c>
      <c r="K798" t="s">
        <v>2235</v>
      </c>
      <c r="L798" s="28" t="s">
        <v>2236</v>
      </c>
      <c r="M798" t="s">
        <v>23</v>
      </c>
      <c r="N798"/>
      <c r="O798"/>
      <c r="P798"/>
      <c r="Q798"/>
      <c r="R798"/>
      <c r="S798"/>
    </row>
    <row r="799" spans="1:19" x14ac:dyDescent="0.25">
      <c r="A799" t="s">
        <v>193</v>
      </c>
      <c r="C799" s="27" t="s">
        <v>34749</v>
      </c>
      <c r="D799" s="28" t="s">
        <v>34867</v>
      </c>
      <c r="J799" t="s">
        <v>2237</v>
      </c>
      <c r="K799" t="s">
        <v>2238</v>
      </c>
      <c r="L799" s="28" t="s">
        <v>2239</v>
      </c>
      <c r="M799" t="s">
        <v>23</v>
      </c>
      <c r="N799"/>
      <c r="O799"/>
      <c r="P799"/>
      <c r="Q799"/>
      <c r="R799"/>
      <c r="S799"/>
    </row>
    <row r="800" spans="1:19" x14ac:dyDescent="0.25">
      <c r="A800" t="s">
        <v>193</v>
      </c>
      <c r="C800" s="27" t="s">
        <v>34749</v>
      </c>
      <c r="D800" s="28" t="s">
        <v>34867</v>
      </c>
      <c r="J800" t="s">
        <v>2240</v>
      </c>
      <c r="K800" t="s">
        <v>2241</v>
      </c>
      <c r="L800" s="28" t="s">
        <v>2242</v>
      </c>
      <c r="M800" t="s">
        <v>23</v>
      </c>
      <c r="N800"/>
      <c r="O800"/>
      <c r="P800"/>
      <c r="Q800"/>
      <c r="R800"/>
      <c r="S800"/>
    </row>
    <row r="801" spans="1:19" x14ac:dyDescent="0.25">
      <c r="A801" t="s">
        <v>193</v>
      </c>
      <c r="C801" s="27" t="s">
        <v>34749</v>
      </c>
      <c r="D801" s="28" t="s">
        <v>34867</v>
      </c>
      <c r="J801" t="s">
        <v>2243</v>
      </c>
      <c r="K801" t="s">
        <v>2244</v>
      </c>
      <c r="L801" s="28" t="s">
        <v>2245</v>
      </c>
      <c r="M801" t="s">
        <v>23</v>
      </c>
      <c r="N801"/>
      <c r="O801"/>
      <c r="P801"/>
      <c r="Q801"/>
      <c r="R801"/>
      <c r="S801"/>
    </row>
    <row r="802" spans="1:19" x14ac:dyDescent="0.25">
      <c r="A802" t="s">
        <v>193</v>
      </c>
      <c r="C802" s="27" t="s">
        <v>34749</v>
      </c>
      <c r="D802" s="28" t="s">
        <v>34867</v>
      </c>
      <c r="J802" t="s">
        <v>2246</v>
      </c>
      <c r="K802" t="s">
        <v>2247</v>
      </c>
      <c r="L802" s="28" t="s">
        <v>2248</v>
      </c>
      <c r="M802" t="s">
        <v>23</v>
      </c>
      <c r="N802"/>
      <c r="O802"/>
      <c r="P802"/>
      <c r="Q802"/>
      <c r="R802"/>
      <c r="S802"/>
    </row>
    <row r="803" spans="1:19" x14ac:dyDescent="0.25">
      <c r="A803" t="s">
        <v>193</v>
      </c>
      <c r="C803" s="27" t="s">
        <v>34749</v>
      </c>
      <c r="D803" s="28" t="s">
        <v>34867</v>
      </c>
      <c r="J803" t="s">
        <v>2249</v>
      </c>
      <c r="K803" t="s">
        <v>2250</v>
      </c>
      <c r="L803" s="28" t="s">
        <v>2251</v>
      </c>
      <c r="M803" t="s">
        <v>23</v>
      </c>
      <c r="N803"/>
      <c r="O803"/>
      <c r="P803"/>
      <c r="Q803"/>
      <c r="R803"/>
      <c r="S803"/>
    </row>
    <row r="804" spans="1:19" x14ac:dyDescent="0.25">
      <c r="A804" t="s">
        <v>193</v>
      </c>
      <c r="C804" s="27" t="s">
        <v>34749</v>
      </c>
      <c r="D804" s="28" t="s">
        <v>34867</v>
      </c>
      <c r="J804" t="s">
        <v>2252</v>
      </c>
      <c r="K804" t="s">
        <v>2253</v>
      </c>
      <c r="L804" s="28" t="s">
        <v>2254</v>
      </c>
      <c r="M804" t="s">
        <v>23</v>
      </c>
      <c r="N804"/>
      <c r="O804"/>
      <c r="P804"/>
      <c r="Q804"/>
      <c r="R804"/>
      <c r="S804"/>
    </row>
    <row r="805" spans="1:19" x14ac:dyDescent="0.25">
      <c r="A805" t="s">
        <v>193</v>
      </c>
      <c r="C805" s="27" t="s">
        <v>34749</v>
      </c>
      <c r="D805" s="28" t="s">
        <v>34867</v>
      </c>
      <c r="J805" t="s">
        <v>2255</v>
      </c>
      <c r="K805" t="s">
        <v>2256</v>
      </c>
      <c r="L805" s="28" t="s">
        <v>2257</v>
      </c>
      <c r="M805" t="s">
        <v>23</v>
      </c>
      <c r="N805"/>
      <c r="O805"/>
      <c r="P805"/>
      <c r="Q805"/>
      <c r="R805"/>
      <c r="S805"/>
    </row>
    <row r="806" spans="1:19" x14ac:dyDescent="0.25">
      <c r="A806" t="s">
        <v>193</v>
      </c>
      <c r="C806" s="27" t="s">
        <v>34749</v>
      </c>
      <c r="D806" s="28" t="s">
        <v>34867</v>
      </c>
      <c r="J806" t="s">
        <v>2258</v>
      </c>
      <c r="K806" t="s">
        <v>2259</v>
      </c>
      <c r="L806" s="28" t="s">
        <v>2260</v>
      </c>
      <c r="M806" t="s">
        <v>23</v>
      </c>
      <c r="N806"/>
      <c r="O806"/>
      <c r="P806"/>
      <c r="Q806"/>
      <c r="R806"/>
      <c r="S806"/>
    </row>
    <row r="807" spans="1:19" x14ac:dyDescent="0.25">
      <c r="A807" t="s">
        <v>193</v>
      </c>
      <c r="C807" s="27" t="s">
        <v>34749</v>
      </c>
      <c r="D807" s="28" t="s">
        <v>34867</v>
      </c>
      <c r="J807" t="s">
        <v>2261</v>
      </c>
      <c r="K807" t="s">
        <v>2262</v>
      </c>
      <c r="L807" s="28" t="s">
        <v>2263</v>
      </c>
      <c r="M807" t="s">
        <v>23</v>
      </c>
      <c r="N807"/>
      <c r="O807"/>
      <c r="P807"/>
      <c r="Q807"/>
      <c r="R807"/>
      <c r="S807"/>
    </row>
    <row r="808" spans="1:19" x14ac:dyDescent="0.25">
      <c r="A808" t="s">
        <v>193</v>
      </c>
      <c r="C808" s="27" t="s">
        <v>34749</v>
      </c>
      <c r="D808" s="28" t="s">
        <v>34867</v>
      </c>
      <c r="J808" t="s">
        <v>2264</v>
      </c>
      <c r="K808" t="s">
        <v>2265</v>
      </c>
      <c r="L808" s="28" t="s">
        <v>2266</v>
      </c>
      <c r="M808" t="s">
        <v>23</v>
      </c>
      <c r="N808"/>
      <c r="O808"/>
      <c r="P808"/>
      <c r="Q808"/>
      <c r="R808"/>
      <c r="S808"/>
    </row>
    <row r="809" spans="1:19" x14ac:dyDescent="0.25">
      <c r="A809" t="s">
        <v>193</v>
      </c>
      <c r="C809" s="27" t="s">
        <v>34749</v>
      </c>
      <c r="D809" s="28" t="s">
        <v>34867</v>
      </c>
      <c r="J809" t="s">
        <v>2267</v>
      </c>
      <c r="K809" t="s">
        <v>2268</v>
      </c>
      <c r="L809" s="28" t="s">
        <v>2269</v>
      </c>
      <c r="M809" t="s">
        <v>23</v>
      </c>
      <c r="N809"/>
      <c r="O809"/>
      <c r="P809"/>
      <c r="Q809"/>
      <c r="R809"/>
      <c r="S809"/>
    </row>
    <row r="810" spans="1:19" x14ac:dyDescent="0.25">
      <c r="A810" t="s">
        <v>193</v>
      </c>
      <c r="C810" s="27" t="s">
        <v>34749</v>
      </c>
      <c r="D810" s="28" t="s">
        <v>34867</v>
      </c>
      <c r="J810" t="s">
        <v>2270</v>
      </c>
      <c r="K810" t="s">
        <v>2271</v>
      </c>
      <c r="L810" s="28" t="s">
        <v>2272</v>
      </c>
      <c r="M810" t="s">
        <v>23</v>
      </c>
      <c r="N810"/>
      <c r="O810"/>
      <c r="P810"/>
      <c r="Q810"/>
      <c r="R810"/>
      <c r="S810"/>
    </row>
    <row r="811" spans="1:19" x14ac:dyDescent="0.25">
      <c r="A811" t="s">
        <v>193</v>
      </c>
      <c r="C811" s="27" t="s">
        <v>34749</v>
      </c>
      <c r="D811" s="28" t="s">
        <v>34867</v>
      </c>
      <c r="J811" t="s">
        <v>2273</v>
      </c>
      <c r="K811" t="s">
        <v>2274</v>
      </c>
      <c r="L811" s="28" t="s">
        <v>2275</v>
      </c>
      <c r="M811" t="s">
        <v>23</v>
      </c>
      <c r="N811"/>
      <c r="O811"/>
      <c r="P811"/>
      <c r="Q811"/>
      <c r="R811"/>
      <c r="S811"/>
    </row>
    <row r="812" spans="1:19" x14ac:dyDescent="0.25">
      <c r="A812" t="s">
        <v>193</v>
      </c>
      <c r="C812" s="27" t="s">
        <v>34749</v>
      </c>
      <c r="D812" s="28" t="s">
        <v>34867</v>
      </c>
      <c r="J812" t="s">
        <v>2276</v>
      </c>
      <c r="K812" t="s">
        <v>2277</v>
      </c>
      <c r="L812" s="28" t="s">
        <v>2278</v>
      </c>
      <c r="M812" t="s">
        <v>23</v>
      </c>
      <c r="N812"/>
      <c r="O812"/>
      <c r="P812"/>
      <c r="Q812"/>
      <c r="R812"/>
      <c r="S812"/>
    </row>
    <row r="813" spans="1:19" x14ac:dyDescent="0.25">
      <c r="A813" t="s">
        <v>193</v>
      </c>
      <c r="C813" s="27" t="s">
        <v>34749</v>
      </c>
      <c r="D813" s="28" t="s">
        <v>34867</v>
      </c>
      <c r="J813" t="s">
        <v>2279</v>
      </c>
      <c r="K813" t="s">
        <v>2280</v>
      </c>
      <c r="L813" s="28" t="s">
        <v>2281</v>
      </c>
      <c r="M813" t="s">
        <v>23</v>
      </c>
      <c r="N813"/>
      <c r="O813"/>
      <c r="P813"/>
      <c r="Q813"/>
      <c r="R813"/>
      <c r="S813"/>
    </row>
    <row r="814" spans="1:19" x14ac:dyDescent="0.25">
      <c r="A814" t="s">
        <v>193</v>
      </c>
      <c r="C814" s="27" t="s">
        <v>34749</v>
      </c>
      <c r="D814" s="28" t="s">
        <v>34867</v>
      </c>
      <c r="J814" t="s">
        <v>2282</v>
      </c>
      <c r="K814" t="s">
        <v>2283</v>
      </c>
      <c r="L814" s="28" t="s">
        <v>2284</v>
      </c>
      <c r="M814" t="s">
        <v>23</v>
      </c>
      <c r="N814"/>
      <c r="O814"/>
      <c r="P814"/>
      <c r="Q814"/>
      <c r="R814"/>
      <c r="S814"/>
    </row>
    <row r="815" spans="1:19" x14ac:dyDescent="0.25">
      <c r="A815" t="s">
        <v>193</v>
      </c>
      <c r="C815" s="27" t="s">
        <v>34749</v>
      </c>
      <c r="D815" s="28" t="s">
        <v>34867</v>
      </c>
      <c r="J815" t="s">
        <v>2285</v>
      </c>
      <c r="K815" t="s">
        <v>2286</v>
      </c>
      <c r="L815" s="28" t="s">
        <v>2287</v>
      </c>
      <c r="M815" t="s">
        <v>23</v>
      </c>
      <c r="N815"/>
      <c r="O815"/>
      <c r="P815"/>
      <c r="Q815"/>
      <c r="R815"/>
      <c r="S815"/>
    </row>
    <row r="816" spans="1:19" x14ac:dyDescent="0.25">
      <c r="A816" t="s">
        <v>193</v>
      </c>
      <c r="C816" s="27" t="s">
        <v>34749</v>
      </c>
      <c r="D816" s="28" t="s">
        <v>34867</v>
      </c>
      <c r="J816" t="s">
        <v>2288</v>
      </c>
      <c r="K816" t="s">
        <v>2289</v>
      </c>
      <c r="L816" s="28" t="s">
        <v>2290</v>
      </c>
      <c r="M816" t="s">
        <v>23</v>
      </c>
      <c r="N816"/>
      <c r="O816"/>
      <c r="P816"/>
      <c r="Q816"/>
      <c r="R816"/>
      <c r="S816"/>
    </row>
    <row r="817" spans="1:19" x14ac:dyDescent="0.25">
      <c r="A817" t="s">
        <v>193</v>
      </c>
      <c r="C817" s="27" t="s">
        <v>34749</v>
      </c>
      <c r="D817" s="28" t="s">
        <v>34867</v>
      </c>
      <c r="J817" t="s">
        <v>2291</v>
      </c>
      <c r="K817" t="s">
        <v>2292</v>
      </c>
      <c r="L817" s="28" t="s">
        <v>2293</v>
      </c>
      <c r="M817" t="s">
        <v>23</v>
      </c>
      <c r="N817"/>
      <c r="O817"/>
      <c r="P817"/>
      <c r="Q817"/>
      <c r="R817"/>
      <c r="S817"/>
    </row>
    <row r="818" spans="1:19" x14ac:dyDescent="0.25">
      <c r="A818" t="s">
        <v>193</v>
      </c>
      <c r="C818" s="27" t="s">
        <v>34749</v>
      </c>
      <c r="D818" s="28" t="s">
        <v>34867</v>
      </c>
      <c r="J818" t="s">
        <v>2294</v>
      </c>
      <c r="K818" t="s">
        <v>2295</v>
      </c>
      <c r="L818" s="28" t="s">
        <v>2296</v>
      </c>
      <c r="M818" t="s">
        <v>23</v>
      </c>
      <c r="N818"/>
      <c r="O818"/>
      <c r="P818"/>
      <c r="Q818"/>
      <c r="R818"/>
      <c r="S818"/>
    </row>
    <row r="819" spans="1:19" x14ac:dyDescent="0.25">
      <c r="A819" t="s">
        <v>193</v>
      </c>
      <c r="C819" s="27" t="s">
        <v>34749</v>
      </c>
      <c r="D819" s="28" t="s">
        <v>34867</v>
      </c>
      <c r="J819" t="s">
        <v>2297</v>
      </c>
      <c r="K819" t="s">
        <v>2298</v>
      </c>
      <c r="L819" s="28" t="s">
        <v>2299</v>
      </c>
      <c r="M819" t="s">
        <v>23</v>
      </c>
      <c r="N819"/>
      <c r="O819"/>
      <c r="P819"/>
      <c r="Q819"/>
      <c r="R819"/>
      <c r="S819"/>
    </row>
    <row r="820" spans="1:19" x14ac:dyDescent="0.25">
      <c r="A820" t="s">
        <v>193</v>
      </c>
      <c r="C820" s="27" t="s">
        <v>34749</v>
      </c>
      <c r="D820" s="28" t="s">
        <v>34867</v>
      </c>
      <c r="J820" t="s">
        <v>2300</v>
      </c>
      <c r="K820" t="s">
        <v>2301</v>
      </c>
      <c r="L820" s="28" t="s">
        <v>2302</v>
      </c>
      <c r="M820" t="s">
        <v>23</v>
      </c>
      <c r="N820"/>
      <c r="O820"/>
      <c r="P820"/>
      <c r="Q820"/>
      <c r="R820"/>
      <c r="S820"/>
    </row>
    <row r="821" spans="1:19" x14ac:dyDescent="0.25">
      <c r="A821" t="s">
        <v>193</v>
      </c>
      <c r="C821" s="27" t="s">
        <v>34749</v>
      </c>
      <c r="D821" s="28" t="s">
        <v>34867</v>
      </c>
      <c r="J821" t="s">
        <v>2303</v>
      </c>
      <c r="K821" t="s">
        <v>2304</v>
      </c>
      <c r="L821" s="28" t="s">
        <v>2305</v>
      </c>
      <c r="M821" t="s">
        <v>23</v>
      </c>
      <c r="N821"/>
      <c r="O821"/>
      <c r="P821"/>
      <c r="Q821"/>
      <c r="R821"/>
      <c r="S821"/>
    </row>
    <row r="822" spans="1:19" x14ac:dyDescent="0.25">
      <c r="A822" t="s">
        <v>193</v>
      </c>
      <c r="C822" s="27" t="s">
        <v>34749</v>
      </c>
      <c r="D822" s="28" t="s">
        <v>34867</v>
      </c>
      <c r="J822" t="s">
        <v>2306</v>
      </c>
      <c r="K822" t="s">
        <v>2307</v>
      </c>
      <c r="L822" s="28" t="s">
        <v>2308</v>
      </c>
      <c r="M822" t="s">
        <v>23</v>
      </c>
      <c r="N822"/>
      <c r="O822"/>
      <c r="P822"/>
      <c r="Q822"/>
      <c r="R822"/>
      <c r="S822"/>
    </row>
    <row r="823" spans="1:19" x14ac:dyDescent="0.25">
      <c r="A823" t="s">
        <v>193</v>
      </c>
      <c r="C823" s="27" t="s">
        <v>34749</v>
      </c>
      <c r="D823" s="28" t="s">
        <v>34867</v>
      </c>
      <c r="J823" t="s">
        <v>2309</v>
      </c>
      <c r="K823" t="s">
        <v>2310</v>
      </c>
      <c r="L823" s="28" t="s">
        <v>2311</v>
      </c>
      <c r="M823" t="s">
        <v>23</v>
      </c>
      <c r="N823"/>
      <c r="O823"/>
      <c r="P823"/>
      <c r="Q823"/>
      <c r="R823"/>
      <c r="S823"/>
    </row>
    <row r="824" spans="1:19" x14ac:dyDescent="0.25">
      <c r="A824" t="s">
        <v>193</v>
      </c>
      <c r="C824" s="27" t="s">
        <v>34749</v>
      </c>
      <c r="D824" s="28" t="s">
        <v>34867</v>
      </c>
      <c r="J824" t="s">
        <v>2312</v>
      </c>
      <c r="K824" t="s">
        <v>2313</v>
      </c>
      <c r="L824" s="28" t="s">
        <v>2314</v>
      </c>
      <c r="M824" t="s">
        <v>23</v>
      </c>
      <c r="N824"/>
      <c r="O824"/>
      <c r="P824"/>
      <c r="Q824"/>
      <c r="R824"/>
      <c r="S824"/>
    </row>
    <row r="825" spans="1:19" x14ac:dyDescent="0.25">
      <c r="A825" t="s">
        <v>193</v>
      </c>
      <c r="C825" s="27" t="s">
        <v>34749</v>
      </c>
      <c r="D825" s="28" t="s">
        <v>34867</v>
      </c>
      <c r="J825" t="s">
        <v>2315</v>
      </c>
      <c r="K825" t="s">
        <v>2316</v>
      </c>
      <c r="L825" s="28" t="s">
        <v>2317</v>
      </c>
      <c r="M825" t="s">
        <v>23</v>
      </c>
      <c r="N825"/>
      <c r="O825"/>
      <c r="P825"/>
      <c r="Q825"/>
      <c r="R825"/>
      <c r="S825"/>
    </row>
    <row r="826" spans="1:19" x14ac:dyDescent="0.25">
      <c r="A826" t="s">
        <v>193</v>
      </c>
      <c r="C826" s="27" t="s">
        <v>34749</v>
      </c>
      <c r="D826" s="28" t="s">
        <v>34867</v>
      </c>
      <c r="J826" t="s">
        <v>2318</v>
      </c>
      <c r="K826" t="s">
        <v>2319</v>
      </c>
      <c r="L826" s="28" t="s">
        <v>2320</v>
      </c>
      <c r="M826" t="s">
        <v>23</v>
      </c>
      <c r="N826"/>
      <c r="O826"/>
      <c r="P826"/>
      <c r="Q826"/>
      <c r="R826"/>
      <c r="S826"/>
    </row>
    <row r="827" spans="1:19" x14ac:dyDescent="0.25">
      <c r="A827" t="s">
        <v>193</v>
      </c>
      <c r="C827" s="27" t="s">
        <v>34749</v>
      </c>
      <c r="D827" s="28" t="s">
        <v>34867</v>
      </c>
      <c r="J827" t="s">
        <v>2321</v>
      </c>
      <c r="K827" t="s">
        <v>2322</v>
      </c>
      <c r="L827" s="28" t="s">
        <v>2323</v>
      </c>
      <c r="M827" t="s">
        <v>23</v>
      </c>
      <c r="N827"/>
      <c r="O827"/>
      <c r="P827"/>
      <c r="Q827"/>
      <c r="R827"/>
      <c r="S827"/>
    </row>
    <row r="828" spans="1:19" x14ac:dyDescent="0.25">
      <c r="A828" t="s">
        <v>193</v>
      </c>
      <c r="C828" s="27" t="s">
        <v>34749</v>
      </c>
      <c r="D828" s="28" t="s">
        <v>34867</v>
      </c>
      <c r="J828" t="s">
        <v>2324</v>
      </c>
      <c r="K828" t="s">
        <v>2325</v>
      </c>
      <c r="L828" s="28" t="s">
        <v>2326</v>
      </c>
      <c r="M828" t="s">
        <v>23</v>
      </c>
      <c r="N828"/>
      <c r="O828"/>
      <c r="P828"/>
      <c r="Q828"/>
      <c r="R828"/>
      <c r="S828"/>
    </row>
    <row r="829" spans="1:19" x14ac:dyDescent="0.25">
      <c r="A829" t="s">
        <v>193</v>
      </c>
      <c r="C829" s="27" t="s">
        <v>34749</v>
      </c>
      <c r="D829" s="28" t="s">
        <v>34867</v>
      </c>
      <c r="J829" t="s">
        <v>2327</v>
      </c>
      <c r="K829" t="s">
        <v>2328</v>
      </c>
      <c r="L829" s="28" t="s">
        <v>2329</v>
      </c>
      <c r="M829" t="s">
        <v>23</v>
      </c>
      <c r="N829"/>
      <c r="O829"/>
      <c r="P829"/>
      <c r="Q829"/>
      <c r="R829"/>
      <c r="S829"/>
    </row>
    <row r="830" spans="1:19" x14ac:dyDescent="0.25">
      <c r="A830" t="s">
        <v>193</v>
      </c>
      <c r="C830" s="27" t="s">
        <v>34749</v>
      </c>
      <c r="D830" s="28" t="s">
        <v>34867</v>
      </c>
      <c r="J830" t="s">
        <v>2330</v>
      </c>
      <c r="K830" t="s">
        <v>2331</v>
      </c>
      <c r="L830" s="28" t="s">
        <v>2332</v>
      </c>
      <c r="M830" t="s">
        <v>23</v>
      </c>
      <c r="N830"/>
      <c r="O830"/>
      <c r="P830"/>
      <c r="Q830"/>
      <c r="R830"/>
      <c r="S830"/>
    </row>
    <row r="831" spans="1:19" x14ac:dyDescent="0.25">
      <c r="A831" t="s">
        <v>193</v>
      </c>
      <c r="C831" s="27" t="s">
        <v>34749</v>
      </c>
      <c r="D831" s="28" t="s">
        <v>34867</v>
      </c>
      <c r="J831" t="s">
        <v>2333</v>
      </c>
      <c r="K831" t="s">
        <v>2334</v>
      </c>
      <c r="L831" s="28" t="s">
        <v>2335</v>
      </c>
      <c r="M831" t="s">
        <v>23</v>
      </c>
      <c r="N831"/>
      <c r="O831"/>
      <c r="P831"/>
      <c r="Q831"/>
      <c r="R831"/>
      <c r="S831"/>
    </row>
    <row r="832" spans="1:19" x14ac:dyDescent="0.25">
      <c r="A832" t="s">
        <v>193</v>
      </c>
      <c r="C832" s="27" t="s">
        <v>34749</v>
      </c>
      <c r="D832" s="28" t="s">
        <v>34867</v>
      </c>
      <c r="J832" t="s">
        <v>2336</v>
      </c>
      <c r="K832" t="s">
        <v>2337</v>
      </c>
      <c r="L832" s="28" t="s">
        <v>2338</v>
      </c>
      <c r="M832" t="s">
        <v>23</v>
      </c>
      <c r="N832"/>
      <c r="O832"/>
      <c r="P832"/>
      <c r="Q832"/>
      <c r="R832"/>
      <c r="S832"/>
    </row>
    <row r="833" spans="1:19" x14ac:dyDescent="0.25">
      <c r="A833" t="s">
        <v>193</v>
      </c>
      <c r="C833" s="27" t="s">
        <v>34749</v>
      </c>
      <c r="D833" s="28" t="s">
        <v>34867</v>
      </c>
      <c r="J833" t="s">
        <v>2339</v>
      </c>
      <c r="K833" t="s">
        <v>2340</v>
      </c>
      <c r="L833" s="28" t="s">
        <v>2341</v>
      </c>
      <c r="M833" t="s">
        <v>23</v>
      </c>
      <c r="N833"/>
      <c r="O833"/>
      <c r="P833"/>
      <c r="Q833"/>
      <c r="R833"/>
      <c r="S833"/>
    </row>
    <row r="834" spans="1:19" x14ac:dyDescent="0.25">
      <c r="A834" t="s">
        <v>193</v>
      </c>
      <c r="C834" s="27" t="s">
        <v>34749</v>
      </c>
      <c r="D834" s="28" t="s">
        <v>34867</v>
      </c>
      <c r="J834" t="s">
        <v>2342</v>
      </c>
      <c r="K834" t="s">
        <v>2343</v>
      </c>
      <c r="L834" s="28" t="s">
        <v>2344</v>
      </c>
      <c r="M834" t="s">
        <v>23</v>
      </c>
      <c r="N834"/>
      <c r="O834"/>
      <c r="P834"/>
      <c r="Q834"/>
      <c r="R834"/>
      <c r="S834"/>
    </row>
    <row r="835" spans="1:19" x14ac:dyDescent="0.25">
      <c r="A835" t="s">
        <v>193</v>
      </c>
      <c r="C835" s="27" t="s">
        <v>34749</v>
      </c>
      <c r="D835" s="28" t="s">
        <v>34867</v>
      </c>
      <c r="J835" t="s">
        <v>2345</v>
      </c>
      <c r="K835" t="s">
        <v>2346</v>
      </c>
      <c r="L835" s="28" t="s">
        <v>2347</v>
      </c>
      <c r="M835" t="s">
        <v>23</v>
      </c>
      <c r="N835"/>
      <c r="O835"/>
      <c r="P835"/>
      <c r="Q835"/>
      <c r="R835"/>
      <c r="S835"/>
    </row>
    <row r="836" spans="1:19" x14ac:dyDescent="0.25">
      <c r="A836" t="s">
        <v>193</v>
      </c>
      <c r="C836" s="27" t="s">
        <v>34749</v>
      </c>
      <c r="D836" s="28" t="s">
        <v>34867</v>
      </c>
      <c r="J836" t="s">
        <v>2348</v>
      </c>
      <c r="K836" t="s">
        <v>2349</v>
      </c>
      <c r="L836" s="28" t="s">
        <v>2350</v>
      </c>
      <c r="M836" t="s">
        <v>23</v>
      </c>
      <c r="N836"/>
      <c r="O836"/>
      <c r="P836"/>
      <c r="Q836"/>
      <c r="R836"/>
      <c r="S836"/>
    </row>
    <row r="837" spans="1:19" x14ac:dyDescent="0.25">
      <c r="A837" t="s">
        <v>193</v>
      </c>
      <c r="C837" s="27" t="s">
        <v>34749</v>
      </c>
      <c r="D837" s="28" t="s">
        <v>34867</v>
      </c>
      <c r="J837" t="s">
        <v>2351</v>
      </c>
      <c r="K837" t="s">
        <v>2352</v>
      </c>
      <c r="L837" s="28" t="s">
        <v>2353</v>
      </c>
      <c r="M837" t="s">
        <v>23</v>
      </c>
      <c r="N837"/>
      <c r="O837"/>
      <c r="P837"/>
      <c r="Q837"/>
      <c r="R837"/>
      <c r="S837"/>
    </row>
    <row r="838" spans="1:19" x14ac:dyDescent="0.25">
      <c r="A838" t="s">
        <v>193</v>
      </c>
      <c r="C838" s="27" t="s">
        <v>34749</v>
      </c>
      <c r="D838" s="28" t="s">
        <v>34867</v>
      </c>
      <c r="J838" t="s">
        <v>2354</v>
      </c>
      <c r="K838" t="s">
        <v>2355</v>
      </c>
      <c r="L838" s="28" t="s">
        <v>2356</v>
      </c>
      <c r="M838" t="s">
        <v>23</v>
      </c>
      <c r="N838"/>
      <c r="O838"/>
      <c r="P838"/>
      <c r="Q838"/>
      <c r="R838"/>
      <c r="S838"/>
    </row>
    <row r="839" spans="1:19" x14ac:dyDescent="0.25">
      <c r="A839" t="s">
        <v>193</v>
      </c>
      <c r="C839" s="27" t="s">
        <v>34749</v>
      </c>
      <c r="D839" s="28" t="s">
        <v>34867</v>
      </c>
      <c r="J839" t="s">
        <v>2357</v>
      </c>
      <c r="K839" t="s">
        <v>2358</v>
      </c>
      <c r="L839" s="28" t="s">
        <v>2359</v>
      </c>
      <c r="M839" t="s">
        <v>23</v>
      </c>
      <c r="N839"/>
      <c r="O839"/>
      <c r="P839"/>
      <c r="Q839"/>
      <c r="R839"/>
      <c r="S839"/>
    </row>
    <row r="840" spans="1:19" x14ac:dyDescent="0.25">
      <c r="A840" t="s">
        <v>193</v>
      </c>
      <c r="C840" s="27" t="s">
        <v>34749</v>
      </c>
      <c r="D840" s="28" t="s">
        <v>34867</v>
      </c>
      <c r="J840" t="s">
        <v>2360</v>
      </c>
      <c r="K840" t="s">
        <v>2361</v>
      </c>
      <c r="L840" s="28" t="s">
        <v>2362</v>
      </c>
      <c r="M840" t="s">
        <v>23</v>
      </c>
      <c r="N840"/>
      <c r="O840"/>
      <c r="P840"/>
      <c r="Q840"/>
      <c r="R840"/>
      <c r="S840"/>
    </row>
    <row r="841" spans="1:19" x14ac:dyDescent="0.25">
      <c r="A841" t="s">
        <v>193</v>
      </c>
      <c r="C841" s="27" t="s">
        <v>34749</v>
      </c>
      <c r="D841" s="28" t="s">
        <v>34867</v>
      </c>
      <c r="J841" t="s">
        <v>2363</v>
      </c>
      <c r="K841" t="s">
        <v>2364</v>
      </c>
      <c r="L841" s="28" t="s">
        <v>2365</v>
      </c>
      <c r="M841" t="s">
        <v>23</v>
      </c>
      <c r="N841"/>
      <c r="O841"/>
      <c r="P841"/>
      <c r="Q841"/>
      <c r="R841"/>
      <c r="S841"/>
    </row>
    <row r="842" spans="1:19" x14ac:dyDescent="0.25">
      <c r="A842" t="s">
        <v>193</v>
      </c>
      <c r="C842" s="27" t="s">
        <v>34749</v>
      </c>
      <c r="D842" s="28" t="s">
        <v>34867</v>
      </c>
      <c r="J842" t="s">
        <v>2366</v>
      </c>
      <c r="K842" t="s">
        <v>2367</v>
      </c>
      <c r="L842" s="28" t="s">
        <v>2368</v>
      </c>
      <c r="M842" t="s">
        <v>23</v>
      </c>
      <c r="N842"/>
      <c r="O842"/>
      <c r="P842"/>
      <c r="Q842"/>
      <c r="R842"/>
      <c r="S842"/>
    </row>
    <row r="843" spans="1:19" x14ac:dyDescent="0.25">
      <c r="A843" t="s">
        <v>193</v>
      </c>
      <c r="C843" s="27" t="s">
        <v>34749</v>
      </c>
      <c r="D843" s="28" t="s">
        <v>34867</v>
      </c>
      <c r="J843" t="s">
        <v>2369</v>
      </c>
      <c r="K843" t="s">
        <v>2370</v>
      </c>
      <c r="L843" s="28" t="s">
        <v>2371</v>
      </c>
      <c r="M843" t="s">
        <v>23</v>
      </c>
      <c r="N843"/>
      <c r="O843"/>
      <c r="P843"/>
      <c r="Q843"/>
      <c r="R843"/>
      <c r="S843"/>
    </row>
    <row r="844" spans="1:19" x14ac:dyDescent="0.25">
      <c r="A844" t="s">
        <v>193</v>
      </c>
      <c r="C844" s="27" t="s">
        <v>34749</v>
      </c>
      <c r="D844" s="28" t="s">
        <v>34867</v>
      </c>
      <c r="J844" t="s">
        <v>2372</v>
      </c>
      <c r="K844" t="s">
        <v>2373</v>
      </c>
      <c r="L844" s="28" t="s">
        <v>2374</v>
      </c>
      <c r="M844" t="s">
        <v>23</v>
      </c>
      <c r="N844"/>
      <c r="O844"/>
      <c r="P844"/>
      <c r="Q844"/>
      <c r="R844"/>
      <c r="S844"/>
    </row>
    <row r="845" spans="1:19" x14ac:dyDescent="0.25">
      <c r="A845" t="s">
        <v>193</v>
      </c>
      <c r="C845" s="27" t="s">
        <v>34749</v>
      </c>
      <c r="D845" s="28" t="s">
        <v>34867</v>
      </c>
      <c r="J845" t="s">
        <v>2375</v>
      </c>
      <c r="K845" t="s">
        <v>2376</v>
      </c>
      <c r="L845" s="28" t="s">
        <v>2377</v>
      </c>
      <c r="M845" t="s">
        <v>23</v>
      </c>
      <c r="N845"/>
      <c r="O845"/>
      <c r="P845"/>
      <c r="Q845"/>
      <c r="R845"/>
      <c r="S845"/>
    </row>
    <row r="846" spans="1:19" x14ac:dyDescent="0.25">
      <c r="A846" t="s">
        <v>193</v>
      </c>
      <c r="C846" s="27" t="s">
        <v>34749</v>
      </c>
      <c r="D846" s="28" t="s">
        <v>34867</v>
      </c>
      <c r="J846" t="s">
        <v>2378</v>
      </c>
      <c r="K846" t="s">
        <v>2379</v>
      </c>
      <c r="L846" s="28" t="s">
        <v>2380</v>
      </c>
      <c r="M846" t="s">
        <v>23</v>
      </c>
      <c r="N846"/>
      <c r="O846"/>
      <c r="P846"/>
      <c r="Q846"/>
      <c r="R846"/>
      <c r="S846"/>
    </row>
    <row r="847" spans="1:19" x14ac:dyDescent="0.25">
      <c r="A847" t="s">
        <v>193</v>
      </c>
      <c r="C847" s="27" t="s">
        <v>34749</v>
      </c>
      <c r="D847" s="28" t="s">
        <v>34867</v>
      </c>
      <c r="J847" t="s">
        <v>2381</v>
      </c>
      <c r="K847" t="s">
        <v>2382</v>
      </c>
      <c r="L847" s="28" t="s">
        <v>2383</v>
      </c>
      <c r="M847" t="s">
        <v>23</v>
      </c>
      <c r="N847"/>
      <c r="O847"/>
      <c r="P847"/>
      <c r="Q847"/>
      <c r="R847"/>
      <c r="S847"/>
    </row>
    <row r="848" spans="1:19" x14ac:dyDescent="0.25">
      <c r="A848" t="s">
        <v>193</v>
      </c>
      <c r="C848" s="27" t="s">
        <v>34749</v>
      </c>
      <c r="D848" s="28" t="s">
        <v>34867</v>
      </c>
      <c r="J848" t="s">
        <v>2384</v>
      </c>
      <c r="K848" t="s">
        <v>2385</v>
      </c>
      <c r="L848" s="28" t="s">
        <v>2386</v>
      </c>
      <c r="M848" t="s">
        <v>23</v>
      </c>
      <c r="N848"/>
      <c r="O848"/>
      <c r="P848"/>
      <c r="Q848"/>
      <c r="R848"/>
      <c r="S848"/>
    </row>
    <row r="849" spans="1:19" x14ac:dyDescent="0.25">
      <c r="A849" t="s">
        <v>193</v>
      </c>
      <c r="C849" s="27" t="s">
        <v>34749</v>
      </c>
      <c r="D849" s="28" t="s">
        <v>34867</v>
      </c>
      <c r="J849" t="s">
        <v>2387</v>
      </c>
      <c r="K849" t="s">
        <v>2388</v>
      </c>
      <c r="L849" s="28" t="s">
        <v>2389</v>
      </c>
      <c r="M849" t="s">
        <v>23</v>
      </c>
      <c r="N849"/>
      <c r="O849"/>
      <c r="P849"/>
      <c r="Q849"/>
      <c r="R849"/>
      <c r="S849"/>
    </row>
    <row r="850" spans="1:19" x14ac:dyDescent="0.25">
      <c r="A850" t="s">
        <v>193</v>
      </c>
      <c r="C850" s="27" t="s">
        <v>34749</v>
      </c>
      <c r="D850" s="28" t="s">
        <v>34867</v>
      </c>
      <c r="J850" t="s">
        <v>2390</v>
      </c>
      <c r="K850" t="s">
        <v>2391</v>
      </c>
      <c r="L850" s="28" t="s">
        <v>2392</v>
      </c>
      <c r="M850" t="s">
        <v>23</v>
      </c>
      <c r="N850"/>
      <c r="O850"/>
      <c r="P850"/>
      <c r="Q850"/>
      <c r="R850"/>
      <c r="S850"/>
    </row>
    <row r="851" spans="1:19" x14ac:dyDescent="0.25">
      <c r="A851" t="s">
        <v>193</v>
      </c>
      <c r="C851" s="27" t="s">
        <v>34749</v>
      </c>
      <c r="D851" s="28" t="s">
        <v>34867</v>
      </c>
      <c r="J851" t="s">
        <v>2393</v>
      </c>
      <c r="K851" t="s">
        <v>2394</v>
      </c>
      <c r="L851" s="28" t="s">
        <v>2395</v>
      </c>
      <c r="M851" t="s">
        <v>23</v>
      </c>
      <c r="N851"/>
      <c r="O851"/>
      <c r="P851"/>
      <c r="Q851"/>
      <c r="R851"/>
      <c r="S851"/>
    </row>
    <row r="852" spans="1:19" x14ac:dyDescent="0.25">
      <c r="A852" t="s">
        <v>193</v>
      </c>
      <c r="C852" s="27" t="s">
        <v>34749</v>
      </c>
      <c r="D852" s="28" t="s">
        <v>34867</v>
      </c>
      <c r="J852" t="s">
        <v>2396</v>
      </c>
      <c r="K852" t="s">
        <v>2397</v>
      </c>
      <c r="L852" s="28" t="s">
        <v>2398</v>
      </c>
      <c r="M852" t="s">
        <v>23</v>
      </c>
      <c r="N852"/>
      <c r="O852"/>
      <c r="P852"/>
      <c r="Q852"/>
      <c r="R852"/>
      <c r="S852"/>
    </row>
    <row r="853" spans="1:19" x14ac:dyDescent="0.25">
      <c r="A853" t="s">
        <v>193</v>
      </c>
      <c r="C853" s="27" t="s">
        <v>34749</v>
      </c>
      <c r="D853" s="28" t="s">
        <v>34867</v>
      </c>
      <c r="J853" t="s">
        <v>2399</v>
      </c>
      <c r="K853" t="s">
        <v>2400</v>
      </c>
      <c r="L853" s="28" t="s">
        <v>2401</v>
      </c>
      <c r="M853" t="s">
        <v>23</v>
      </c>
      <c r="N853"/>
      <c r="O853"/>
      <c r="P853"/>
      <c r="Q853"/>
      <c r="R853"/>
      <c r="S853"/>
    </row>
    <row r="854" spans="1:19" x14ac:dyDescent="0.25">
      <c r="A854" t="s">
        <v>193</v>
      </c>
      <c r="C854" s="27" t="s">
        <v>34749</v>
      </c>
      <c r="D854" s="28" t="s">
        <v>34867</v>
      </c>
      <c r="J854" t="s">
        <v>2402</v>
      </c>
      <c r="K854" t="s">
        <v>2403</v>
      </c>
      <c r="L854" s="28" t="s">
        <v>2404</v>
      </c>
      <c r="M854" t="s">
        <v>23</v>
      </c>
      <c r="N854"/>
      <c r="O854"/>
      <c r="P854"/>
      <c r="Q854"/>
      <c r="R854"/>
      <c r="S854"/>
    </row>
    <row r="855" spans="1:19" x14ac:dyDescent="0.25">
      <c r="A855" t="s">
        <v>193</v>
      </c>
      <c r="C855" s="27" t="s">
        <v>34749</v>
      </c>
      <c r="D855" s="28" t="s">
        <v>34867</v>
      </c>
      <c r="J855" t="s">
        <v>2405</v>
      </c>
      <c r="K855" t="s">
        <v>2406</v>
      </c>
      <c r="L855" s="28" t="s">
        <v>2407</v>
      </c>
      <c r="M855" t="s">
        <v>23</v>
      </c>
      <c r="N855"/>
      <c r="O855"/>
      <c r="P855"/>
      <c r="Q855"/>
      <c r="R855"/>
      <c r="S855"/>
    </row>
    <row r="856" spans="1:19" x14ac:dyDescent="0.25">
      <c r="A856" t="s">
        <v>193</v>
      </c>
      <c r="C856" s="27" t="s">
        <v>34749</v>
      </c>
      <c r="D856" s="28" t="s">
        <v>34867</v>
      </c>
      <c r="J856" t="s">
        <v>2408</v>
      </c>
      <c r="K856" t="s">
        <v>2409</v>
      </c>
      <c r="L856" s="28" t="s">
        <v>2410</v>
      </c>
      <c r="M856" t="s">
        <v>23</v>
      </c>
      <c r="N856"/>
      <c r="O856"/>
      <c r="P856"/>
      <c r="Q856"/>
      <c r="R856"/>
      <c r="S856"/>
    </row>
    <row r="857" spans="1:19" x14ac:dyDescent="0.25">
      <c r="A857" t="s">
        <v>193</v>
      </c>
      <c r="C857" s="27" t="s">
        <v>34749</v>
      </c>
      <c r="D857" s="28" t="s">
        <v>34867</v>
      </c>
      <c r="J857" t="s">
        <v>2411</v>
      </c>
      <c r="K857" t="s">
        <v>2412</v>
      </c>
      <c r="L857" s="28" t="s">
        <v>2413</v>
      </c>
      <c r="M857" t="s">
        <v>23</v>
      </c>
      <c r="N857"/>
      <c r="O857"/>
      <c r="P857"/>
      <c r="Q857"/>
      <c r="R857"/>
      <c r="S857"/>
    </row>
    <row r="858" spans="1:19" x14ac:dyDescent="0.25">
      <c r="A858" t="s">
        <v>193</v>
      </c>
      <c r="C858" s="27" t="s">
        <v>34749</v>
      </c>
      <c r="D858" s="28" t="s">
        <v>34867</v>
      </c>
      <c r="J858" t="s">
        <v>2414</v>
      </c>
      <c r="K858" t="s">
        <v>2415</v>
      </c>
      <c r="L858" s="28" t="s">
        <v>2416</v>
      </c>
      <c r="M858" t="s">
        <v>23</v>
      </c>
      <c r="N858"/>
      <c r="O858"/>
      <c r="P858"/>
      <c r="Q858"/>
      <c r="R858"/>
      <c r="S858"/>
    </row>
    <row r="859" spans="1:19" x14ac:dyDescent="0.25">
      <c r="A859" t="s">
        <v>193</v>
      </c>
      <c r="C859" s="27" t="s">
        <v>34749</v>
      </c>
      <c r="D859" s="28" t="s">
        <v>34867</v>
      </c>
      <c r="J859" t="s">
        <v>2417</v>
      </c>
      <c r="K859" t="s">
        <v>2418</v>
      </c>
      <c r="L859" s="28" t="s">
        <v>2419</v>
      </c>
      <c r="M859" t="s">
        <v>23</v>
      </c>
      <c r="N859"/>
      <c r="O859"/>
      <c r="P859"/>
      <c r="Q859"/>
      <c r="R859"/>
      <c r="S859"/>
    </row>
    <row r="860" spans="1:19" x14ac:dyDescent="0.25">
      <c r="A860" t="s">
        <v>193</v>
      </c>
      <c r="C860" s="27" t="s">
        <v>34749</v>
      </c>
      <c r="D860" s="28" t="s">
        <v>34867</v>
      </c>
      <c r="J860" t="s">
        <v>2420</v>
      </c>
      <c r="K860" t="s">
        <v>2421</v>
      </c>
      <c r="L860" s="28" t="s">
        <v>2422</v>
      </c>
      <c r="M860" t="s">
        <v>23</v>
      </c>
      <c r="N860"/>
      <c r="O860"/>
      <c r="P860"/>
      <c r="Q860"/>
      <c r="R860"/>
      <c r="S860"/>
    </row>
    <row r="861" spans="1:19" x14ac:dyDescent="0.25">
      <c r="A861" t="s">
        <v>193</v>
      </c>
      <c r="C861" s="27" t="s">
        <v>34749</v>
      </c>
      <c r="D861" s="28" t="s">
        <v>34867</v>
      </c>
      <c r="J861" t="s">
        <v>2423</v>
      </c>
      <c r="K861" t="s">
        <v>2424</v>
      </c>
      <c r="L861" s="28" t="s">
        <v>2425</v>
      </c>
      <c r="M861" t="s">
        <v>23</v>
      </c>
      <c r="N861"/>
      <c r="O861"/>
      <c r="P861"/>
      <c r="Q861"/>
      <c r="R861"/>
      <c r="S861"/>
    </row>
    <row r="862" spans="1:19" x14ac:dyDescent="0.25">
      <c r="A862" t="s">
        <v>193</v>
      </c>
      <c r="C862" s="27" t="s">
        <v>34749</v>
      </c>
      <c r="D862" s="28" t="s">
        <v>34867</v>
      </c>
      <c r="J862" t="s">
        <v>2426</v>
      </c>
      <c r="K862" t="s">
        <v>2427</v>
      </c>
      <c r="L862" s="28" t="s">
        <v>2428</v>
      </c>
      <c r="M862" t="s">
        <v>23</v>
      </c>
      <c r="N862"/>
      <c r="O862"/>
      <c r="P862"/>
      <c r="Q862"/>
      <c r="R862"/>
      <c r="S862"/>
    </row>
    <row r="863" spans="1:19" x14ac:dyDescent="0.25">
      <c r="A863" t="s">
        <v>193</v>
      </c>
      <c r="C863" s="27" t="s">
        <v>34749</v>
      </c>
      <c r="D863" s="28" t="s">
        <v>34867</v>
      </c>
      <c r="J863" t="s">
        <v>2429</v>
      </c>
      <c r="K863" t="s">
        <v>2430</v>
      </c>
      <c r="L863" s="28" t="s">
        <v>2431</v>
      </c>
      <c r="M863" t="s">
        <v>23</v>
      </c>
      <c r="N863"/>
      <c r="O863"/>
      <c r="P863"/>
      <c r="Q863"/>
      <c r="R863"/>
      <c r="S863"/>
    </row>
    <row r="864" spans="1:19" x14ac:dyDescent="0.25">
      <c r="A864" t="s">
        <v>193</v>
      </c>
      <c r="C864" s="27" t="s">
        <v>34749</v>
      </c>
      <c r="D864" s="28" t="s">
        <v>34867</v>
      </c>
      <c r="J864" t="s">
        <v>2432</v>
      </c>
      <c r="K864" t="s">
        <v>2433</v>
      </c>
      <c r="L864" s="28" t="s">
        <v>2434</v>
      </c>
      <c r="M864" t="s">
        <v>23</v>
      </c>
      <c r="N864"/>
      <c r="O864"/>
      <c r="P864"/>
      <c r="Q864"/>
      <c r="R864"/>
      <c r="S864"/>
    </row>
    <row r="865" spans="1:19" x14ac:dyDescent="0.25">
      <c r="A865" t="s">
        <v>193</v>
      </c>
      <c r="C865" s="27" t="s">
        <v>34749</v>
      </c>
      <c r="D865" s="28" t="s">
        <v>34867</v>
      </c>
      <c r="J865" t="s">
        <v>2435</v>
      </c>
      <c r="K865" t="s">
        <v>2436</v>
      </c>
      <c r="L865" s="28" t="s">
        <v>2437</v>
      </c>
      <c r="M865" t="s">
        <v>23</v>
      </c>
      <c r="N865"/>
      <c r="O865"/>
      <c r="P865"/>
      <c r="Q865"/>
      <c r="R865"/>
      <c r="S865"/>
    </row>
    <row r="866" spans="1:19" x14ac:dyDescent="0.25">
      <c r="A866" t="s">
        <v>193</v>
      </c>
      <c r="C866" s="27" t="s">
        <v>34749</v>
      </c>
      <c r="D866" s="28" t="s">
        <v>34867</v>
      </c>
      <c r="J866" t="s">
        <v>2438</v>
      </c>
      <c r="K866" t="s">
        <v>2439</v>
      </c>
      <c r="L866" s="28" t="s">
        <v>2440</v>
      </c>
      <c r="M866" t="s">
        <v>23</v>
      </c>
      <c r="N866"/>
      <c r="O866"/>
      <c r="P866"/>
      <c r="Q866"/>
      <c r="R866"/>
      <c r="S866"/>
    </row>
    <row r="867" spans="1:19" x14ac:dyDescent="0.25">
      <c r="A867" t="s">
        <v>193</v>
      </c>
      <c r="C867" s="27" t="s">
        <v>34749</v>
      </c>
      <c r="D867" s="28" t="s">
        <v>34867</v>
      </c>
      <c r="J867" t="s">
        <v>2441</v>
      </c>
      <c r="K867" t="s">
        <v>2442</v>
      </c>
      <c r="L867" s="28" t="s">
        <v>2443</v>
      </c>
      <c r="M867" t="s">
        <v>23</v>
      </c>
      <c r="N867"/>
      <c r="O867"/>
      <c r="P867"/>
      <c r="Q867"/>
      <c r="R867"/>
      <c r="S867"/>
    </row>
    <row r="868" spans="1:19" x14ac:dyDescent="0.25">
      <c r="A868" t="s">
        <v>193</v>
      </c>
      <c r="C868" s="27" t="s">
        <v>34749</v>
      </c>
      <c r="D868" s="28" t="s">
        <v>34867</v>
      </c>
      <c r="J868" t="s">
        <v>2444</v>
      </c>
      <c r="K868" t="s">
        <v>2445</v>
      </c>
      <c r="L868" s="28" t="s">
        <v>2446</v>
      </c>
      <c r="M868" t="s">
        <v>23</v>
      </c>
      <c r="N868"/>
      <c r="O868"/>
      <c r="P868"/>
      <c r="Q868"/>
      <c r="R868"/>
      <c r="S868"/>
    </row>
    <row r="869" spans="1:19" x14ac:dyDescent="0.25">
      <c r="A869" t="s">
        <v>193</v>
      </c>
      <c r="C869" s="27" t="s">
        <v>34749</v>
      </c>
      <c r="D869" s="28" t="s">
        <v>34867</v>
      </c>
      <c r="J869" t="s">
        <v>2447</v>
      </c>
      <c r="K869" t="s">
        <v>2448</v>
      </c>
      <c r="L869" s="28" t="s">
        <v>2449</v>
      </c>
      <c r="M869" t="s">
        <v>23</v>
      </c>
      <c r="N869"/>
      <c r="O869"/>
      <c r="P869"/>
      <c r="Q869"/>
      <c r="R869"/>
      <c r="S869"/>
    </row>
    <row r="870" spans="1:19" x14ac:dyDescent="0.25">
      <c r="A870" t="s">
        <v>193</v>
      </c>
      <c r="C870" s="27" t="s">
        <v>34749</v>
      </c>
      <c r="D870" s="28" t="s">
        <v>34867</v>
      </c>
      <c r="J870" t="s">
        <v>2450</v>
      </c>
      <c r="K870" t="s">
        <v>2451</v>
      </c>
      <c r="L870" s="28" t="s">
        <v>2452</v>
      </c>
      <c r="M870" t="s">
        <v>23</v>
      </c>
      <c r="N870"/>
      <c r="O870"/>
      <c r="P870"/>
      <c r="Q870"/>
      <c r="R870"/>
      <c r="S870"/>
    </row>
    <row r="871" spans="1:19" x14ac:dyDescent="0.25">
      <c r="A871" t="s">
        <v>193</v>
      </c>
      <c r="C871" s="27" t="s">
        <v>34749</v>
      </c>
      <c r="D871" s="28" t="s">
        <v>34867</v>
      </c>
      <c r="J871" t="s">
        <v>2453</v>
      </c>
      <c r="K871" t="s">
        <v>2454</v>
      </c>
      <c r="L871" s="28" t="s">
        <v>2455</v>
      </c>
      <c r="M871" t="s">
        <v>23</v>
      </c>
      <c r="N871"/>
      <c r="O871"/>
      <c r="P871"/>
      <c r="Q871"/>
      <c r="R871"/>
      <c r="S871"/>
    </row>
    <row r="872" spans="1:19" x14ac:dyDescent="0.25">
      <c r="A872" t="s">
        <v>193</v>
      </c>
      <c r="C872" s="27" t="s">
        <v>34749</v>
      </c>
      <c r="D872" s="28" t="s">
        <v>34867</v>
      </c>
      <c r="J872" t="s">
        <v>2456</v>
      </c>
      <c r="K872" t="s">
        <v>2457</v>
      </c>
      <c r="L872" s="28" t="s">
        <v>2458</v>
      </c>
      <c r="M872" t="s">
        <v>23</v>
      </c>
      <c r="N872"/>
      <c r="O872"/>
      <c r="P872"/>
      <c r="Q872"/>
      <c r="R872"/>
      <c r="S872"/>
    </row>
    <row r="873" spans="1:19" x14ac:dyDescent="0.25">
      <c r="A873" t="s">
        <v>193</v>
      </c>
      <c r="C873" s="27" t="s">
        <v>34749</v>
      </c>
      <c r="D873" s="28" t="s">
        <v>34867</v>
      </c>
      <c r="J873" t="s">
        <v>2459</v>
      </c>
      <c r="K873" t="s">
        <v>2460</v>
      </c>
      <c r="L873" s="28" t="s">
        <v>2461</v>
      </c>
      <c r="M873" t="s">
        <v>23</v>
      </c>
      <c r="N873"/>
      <c r="O873"/>
      <c r="P873"/>
      <c r="Q873"/>
      <c r="R873"/>
      <c r="S873"/>
    </row>
    <row r="874" spans="1:19" x14ac:dyDescent="0.25">
      <c r="A874" t="s">
        <v>193</v>
      </c>
      <c r="C874" s="27" t="s">
        <v>34749</v>
      </c>
      <c r="D874" s="28" t="s">
        <v>34867</v>
      </c>
      <c r="J874" t="s">
        <v>2462</v>
      </c>
      <c r="K874" t="s">
        <v>2463</v>
      </c>
      <c r="L874" s="28" t="s">
        <v>2464</v>
      </c>
      <c r="M874" t="s">
        <v>23</v>
      </c>
      <c r="N874"/>
      <c r="O874"/>
      <c r="P874"/>
      <c r="Q874"/>
      <c r="R874"/>
      <c r="S874"/>
    </row>
    <row r="875" spans="1:19" x14ac:dyDescent="0.25">
      <c r="A875" t="s">
        <v>193</v>
      </c>
      <c r="C875" s="27" t="s">
        <v>34749</v>
      </c>
      <c r="D875" s="28" t="s">
        <v>34867</v>
      </c>
      <c r="J875" t="s">
        <v>2465</v>
      </c>
      <c r="K875" t="s">
        <v>2466</v>
      </c>
      <c r="L875" s="28" t="s">
        <v>2467</v>
      </c>
      <c r="M875" t="s">
        <v>23</v>
      </c>
      <c r="N875"/>
      <c r="O875"/>
      <c r="P875"/>
      <c r="Q875"/>
      <c r="R875"/>
      <c r="S875"/>
    </row>
    <row r="876" spans="1:19" x14ac:dyDescent="0.25">
      <c r="A876" t="s">
        <v>193</v>
      </c>
      <c r="C876" s="27" t="s">
        <v>34749</v>
      </c>
      <c r="D876" s="28" t="s">
        <v>34867</v>
      </c>
      <c r="J876" t="s">
        <v>2468</v>
      </c>
      <c r="K876" t="s">
        <v>2469</v>
      </c>
      <c r="L876" s="28" t="s">
        <v>2470</v>
      </c>
      <c r="M876" t="s">
        <v>23</v>
      </c>
      <c r="N876"/>
      <c r="O876"/>
      <c r="P876"/>
      <c r="Q876"/>
      <c r="R876"/>
      <c r="S876"/>
    </row>
    <row r="877" spans="1:19" x14ac:dyDescent="0.25">
      <c r="A877" t="s">
        <v>193</v>
      </c>
      <c r="C877" s="27" t="s">
        <v>34749</v>
      </c>
      <c r="D877" s="28" t="s">
        <v>34867</v>
      </c>
      <c r="J877" t="s">
        <v>2471</v>
      </c>
      <c r="K877" t="s">
        <v>2472</v>
      </c>
      <c r="L877" s="28" t="s">
        <v>2473</v>
      </c>
      <c r="M877" t="s">
        <v>23</v>
      </c>
      <c r="N877"/>
      <c r="O877"/>
      <c r="P877"/>
      <c r="Q877"/>
      <c r="R877"/>
      <c r="S877"/>
    </row>
    <row r="878" spans="1:19" x14ac:dyDescent="0.25">
      <c r="A878" t="s">
        <v>193</v>
      </c>
      <c r="C878" s="27" t="s">
        <v>34749</v>
      </c>
      <c r="D878" s="28" t="s">
        <v>34867</v>
      </c>
      <c r="J878" t="s">
        <v>2474</v>
      </c>
      <c r="K878" t="s">
        <v>2475</v>
      </c>
      <c r="L878" s="28" t="s">
        <v>2476</v>
      </c>
      <c r="M878" t="s">
        <v>23</v>
      </c>
      <c r="N878"/>
      <c r="O878"/>
      <c r="P878"/>
      <c r="Q878"/>
      <c r="R878"/>
      <c r="S878"/>
    </row>
    <row r="879" spans="1:19" x14ac:dyDescent="0.25">
      <c r="A879" t="s">
        <v>193</v>
      </c>
      <c r="C879" s="27" t="s">
        <v>34749</v>
      </c>
      <c r="D879" s="28" t="s">
        <v>34867</v>
      </c>
      <c r="J879" t="s">
        <v>2477</v>
      </c>
      <c r="K879" t="s">
        <v>2478</v>
      </c>
      <c r="L879" s="28" t="s">
        <v>2479</v>
      </c>
      <c r="M879" t="s">
        <v>23</v>
      </c>
      <c r="N879"/>
      <c r="O879"/>
      <c r="P879"/>
      <c r="Q879"/>
      <c r="R879"/>
      <c r="S879"/>
    </row>
    <row r="880" spans="1:19" x14ac:dyDescent="0.25">
      <c r="A880" t="s">
        <v>193</v>
      </c>
      <c r="C880" s="27" t="s">
        <v>34749</v>
      </c>
      <c r="D880" s="28" t="s">
        <v>34867</v>
      </c>
      <c r="J880" t="s">
        <v>2480</v>
      </c>
      <c r="K880" t="s">
        <v>2481</v>
      </c>
      <c r="L880" s="28" t="s">
        <v>2482</v>
      </c>
      <c r="M880" t="s">
        <v>23</v>
      </c>
      <c r="N880"/>
      <c r="O880"/>
      <c r="P880"/>
      <c r="Q880"/>
      <c r="R880"/>
      <c r="S880"/>
    </row>
    <row r="881" spans="1:19" x14ac:dyDescent="0.25">
      <c r="A881" t="s">
        <v>193</v>
      </c>
      <c r="C881" s="27" t="s">
        <v>34749</v>
      </c>
      <c r="D881" s="28" t="s">
        <v>34867</v>
      </c>
      <c r="J881" t="s">
        <v>2483</v>
      </c>
      <c r="K881" t="s">
        <v>2484</v>
      </c>
      <c r="L881" s="28" t="s">
        <v>2485</v>
      </c>
      <c r="M881" t="s">
        <v>23</v>
      </c>
      <c r="N881"/>
      <c r="O881"/>
      <c r="P881"/>
      <c r="Q881"/>
      <c r="R881"/>
      <c r="S881"/>
    </row>
    <row r="882" spans="1:19" x14ac:dyDescent="0.25">
      <c r="A882" t="s">
        <v>193</v>
      </c>
      <c r="C882" s="27" t="s">
        <v>34749</v>
      </c>
      <c r="D882" s="28" t="s">
        <v>34867</v>
      </c>
      <c r="J882" t="s">
        <v>2486</v>
      </c>
      <c r="K882" t="s">
        <v>2487</v>
      </c>
      <c r="L882" s="28" t="s">
        <v>2488</v>
      </c>
      <c r="M882" t="s">
        <v>23</v>
      </c>
      <c r="N882"/>
      <c r="O882"/>
      <c r="P882"/>
      <c r="Q882"/>
      <c r="R882"/>
      <c r="S882"/>
    </row>
    <row r="883" spans="1:19" x14ac:dyDescent="0.25">
      <c r="A883" t="s">
        <v>193</v>
      </c>
      <c r="C883" s="27" t="s">
        <v>34749</v>
      </c>
      <c r="D883" s="28" t="s">
        <v>34867</v>
      </c>
      <c r="J883" t="s">
        <v>2489</v>
      </c>
      <c r="K883" t="s">
        <v>2490</v>
      </c>
      <c r="L883" s="28" t="s">
        <v>2491</v>
      </c>
      <c r="M883" t="s">
        <v>23</v>
      </c>
      <c r="N883"/>
      <c r="O883"/>
      <c r="P883"/>
      <c r="Q883"/>
      <c r="R883"/>
      <c r="S883"/>
    </row>
    <row r="884" spans="1:19" x14ac:dyDescent="0.25">
      <c r="A884" t="s">
        <v>193</v>
      </c>
      <c r="C884" s="27" t="s">
        <v>34749</v>
      </c>
      <c r="D884" s="28" t="s">
        <v>34867</v>
      </c>
      <c r="J884" t="s">
        <v>2492</v>
      </c>
      <c r="K884" t="s">
        <v>2493</v>
      </c>
      <c r="L884" s="28" t="s">
        <v>2494</v>
      </c>
      <c r="M884" t="s">
        <v>23</v>
      </c>
      <c r="N884"/>
      <c r="O884"/>
      <c r="P884"/>
      <c r="Q884"/>
      <c r="R884"/>
      <c r="S884"/>
    </row>
    <row r="885" spans="1:19" x14ac:dyDescent="0.25">
      <c r="A885" t="s">
        <v>193</v>
      </c>
      <c r="C885" s="27" t="s">
        <v>34749</v>
      </c>
      <c r="D885" s="28" t="s">
        <v>34867</v>
      </c>
      <c r="J885" t="s">
        <v>2495</v>
      </c>
      <c r="K885" t="s">
        <v>2496</v>
      </c>
      <c r="L885" s="28" t="s">
        <v>2497</v>
      </c>
      <c r="M885" t="s">
        <v>23</v>
      </c>
      <c r="N885"/>
      <c r="O885"/>
      <c r="P885"/>
      <c r="Q885"/>
      <c r="R885"/>
      <c r="S885"/>
    </row>
    <row r="886" spans="1:19" x14ac:dyDescent="0.25">
      <c r="A886" t="s">
        <v>193</v>
      </c>
      <c r="C886" s="27" t="s">
        <v>34749</v>
      </c>
      <c r="D886" s="28" t="s">
        <v>34867</v>
      </c>
      <c r="J886" t="s">
        <v>2498</v>
      </c>
      <c r="K886" t="s">
        <v>2499</v>
      </c>
      <c r="L886" s="28" t="s">
        <v>2500</v>
      </c>
      <c r="M886" t="s">
        <v>23</v>
      </c>
      <c r="N886"/>
      <c r="O886"/>
      <c r="P886"/>
      <c r="Q886"/>
      <c r="R886"/>
      <c r="S886"/>
    </row>
    <row r="887" spans="1:19" x14ac:dyDescent="0.25">
      <c r="A887" t="s">
        <v>193</v>
      </c>
      <c r="C887" s="27" t="s">
        <v>34749</v>
      </c>
      <c r="D887" s="28" t="s">
        <v>34867</v>
      </c>
      <c r="I887" t="str">
        <f>CONCATENATE(LEFT(K887,SEARCH(" (",K887))," | ", RIGHT(LEFT(K887,LEN(K887)-1),LEN(K887)-2-FIND(" (",K887)))</f>
        <v>4-methyl-2-pentanon  | MIBK</v>
      </c>
      <c r="J887" t="s">
        <v>2501</v>
      </c>
      <c r="K887" t="s">
        <v>2502</v>
      </c>
      <c r="L887" s="28" t="s">
        <v>2503</v>
      </c>
      <c r="M887" t="s">
        <v>23</v>
      </c>
      <c r="N887"/>
      <c r="O887"/>
      <c r="P887"/>
      <c r="Q887"/>
      <c r="R887"/>
      <c r="S887"/>
    </row>
    <row r="888" spans="1:19" x14ac:dyDescent="0.25">
      <c r="A888" t="s">
        <v>193</v>
      </c>
      <c r="C888" s="27" t="s">
        <v>34749</v>
      </c>
      <c r="D888" s="28" t="s">
        <v>34867</v>
      </c>
      <c r="J888" t="s">
        <v>2504</v>
      </c>
      <c r="K888" t="s">
        <v>2505</v>
      </c>
      <c r="L888" s="28" t="s">
        <v>2506</v>
      </c>
      <c r="M888" t="s">
        <v>23</v>
      </c>
      <c r="N888"/>
      <c r="O888"/>
      <c r="P888"/>
      <c r="Q888"/>
      <c r="R888"/>
      <c r="S888"/>
    </row>
    <row r="889" spans="1:19" x14ac:dyDescent="0.25">
      <c r="A889" t="s">
        <v>193</v>
      </c>
      <c r="C889" s="27" t="s">
        <v>34749</v>
      </c>
      <c r="D889" s="28" t="s">
        <v>34867</v>
      </c>
      <c r="J889" t="s">
        <v>2507</v>
      </c>
      <c r="K889" t="s">
        <v>2508</v>
      </c>
      <c r="L889" s="28" t="s">
        <v>2509</v>
      </c>
      <c r="M889" t="s">
        <v>23</v>
      </c>
      <c r="N889"/>
      <c r="O889"/>
      <c r="P889"/>
      <c r="Q889"/>
      <c r="R889"/>
      <c r="S889"/>
    </row>
    <row r="890" spans="1:19" x14ac:dyDescent="0.25">
      <c r="A890" t="s">
        <v>193</v>
      </c>
      <c r="C890" s="27" t="s">
        <v>34749</v>
      </c>
      <c r="D890" s="28" t="s">
        <v>34867</v>
      </c>
      <c r="J890" t="s">
        <v>2510</v>
      </c>
      <c r="K890" t="s">
        <v>2511</v>
      </c>
      <c r="L890" s="28" t="s">
        <v>2512</v>
      </c>
      <c r="M890" t="s">
        <v>23</v>
      </c>
      <c r="N890"/>
      <c r="O890"/>
      <c r="P890"/>
      <c r="Q890"/>
      <c r="R890"/>
      <c r="S890"/>
    </row>
    <row r="891" spans="1:19" x14ac:dyDescent="0.25">
      <c r="A891" t="s">
        <v>193</v>
      </c>
      <c r="C891" s="27" t="s">
        <v>34749</v>
      </c>
      <c r="D891" s="28" t="s">
        <v>34867</v>
      </c>
      <c r="J891" t="s">
        <v>2513</v>
      </c>
      <c r="K891" t="s">
        <v>2514</v>
      </c>
      <c r="L891" s="28" t="s">
        <v>2515</v>
      </c>
      <c r="M891" t="s">
        <v>23</v>
      </c>
      <c r="N891"/>
      <c r="O891"/>
      <c r="P891"/>
      <c r="Q891"/>
      <c r="R891"/>
      <c r="S891"/>
    </row>
    <row r="892" spans="1:19" x14ac:dyDescent="0.25">
      <c r="A892" t="s">
        <v>193</v>
      </c>
      <c r="C892" s="27" t="s">
        <v>34749</v>
      </c>
      <c r="D892" s="28" t="s">
        <v>34867</v>
      </c>
      <c r="J892" t="s">
        <v>2516</v>
      </c>
      <c r="K892" t="s">
        <v>2517</v>
      </c>
      <c r="L892" s="28" t="s">
        <v>2518</v>
      </c>
      <c r="M892" t="s">
        <v>23</v>
      </c>
      <c r="N892"/>
      <c r="O892"/>
      <c r="P892"/>
      <c r="Q892"/>
      <c r="R892"/>
      <c r="S892"/>
    </row>
    <row r="893" spans="1:19" x14ac:dyDescent="0.25">
      <c r="A893" t="s">
        <v>193</v>
      </c>
      <c r="C893" s="27" t="s">
        <v>34749</v>
      </c>
      <c r="D893" s="28" t="s">
        <v>34867</v>
      </c>
      <c r="J893" t="s">
        <v>2519</v>
      </c>
      <c r="K893" t="s">
        <v>2520</v>
      </c>
      <c r="L893" s="28" t="s">
        <v>2521</v>
      </c>
      <c r="M893" t="s">
        <v>23</v>
      </c>
      <c r="N893"/>
      <c r="O893"/>
      <c r="P893"/>
      <c r="Q893"/>
      <c r="R893"/>
      <c r="S893"/>
    </row>
    <row r="894" spans="1:19" x14ac:dyDescent="0.25">
      <c r="A894" t="s">
        <v>193</v>
      </c>
      <c r="C894" s="27" t="s">
        <v>34749</v>
      </c>
      <c r="D894" s="28" t="s">
        <v>34867</v>
      </c>
      <c r="J894" t="s">
        <v>2522</v>
      </c>
      <c r="K894" t="s">
        <v>2523</v>
      </c>
      <c r="L894" s="28" t="s">
        <v>2524</v>
      </c>
      <c r="M894" t="s">
        <v>23</v>
      </c>
      <c r="N894"/>
      <c r="O894"/>
      <c r="P894"/>
      <c r="Q894"/>
      <c r="R894"/>
      <c r="S894"/>
    </row>
    <row r="895" spans="1:19" x14ac:dyDescent="0.25">
      <c r="A895" t="s">
        <v>193</v>
      </c>
      <c r="C895" s="27" t="s">
        <v>34749</v>
      </c>
      <c r="D895" s="28" t="s">
        <v>34867</v>
      </c>
      <c r="J895" t="s">
        <v>2525</v>
      </c>
      <c r="K895" t="s">
        <v>2526</v>
      </c>
      <c r="L895" s="28" t="s">
        <v>2527</v>
      </c>
      <c r="M895" t="s">
        <v>23</v>
      </c>
      <c r="N895"/>
      <c r="O895"/>
      <c r="P895"/>
      <c r="Q895"/>
      <c r="R895"/>
      <c r="S895"/>
    </row>
    <row r="896" spans="1:19" x14ac:dyDescent="0.25">
      <c r="A896" t="s">
        <v>193</v>
      </c>
      <c r="C896" s="27" t="s">
        <v>34749</v>
      </c>
      <c r="D896" s="28" t="s">
        <v>34867</v>
      </c>
      <c r="J896" t="s">
        <v>2528</v>
      </c>
      <c r="K896" t="s">
        <v>2529</v>
      </c>
      <c r="L896" s="28" t="s">
        <v>2530</v>
      </c>
      <c r="M896" t="s">
        <v>23</v>
      </c>
      <c r="N896"/>
      <c r="O896"/>
      <c r="P896"/>
      <c r="Q896"/>
      <c r="R896"/>
      <c r="S896"/>
    </row>
    <row r="897" spans="1:19" x14ac:dyDescent="0.25">
      <c r="A897" t="s">
        <v>193</v>
      </c>
      <c r="C897" s="27" t="s">
        <v>34749</v>
      </c>
      <c r="D897" s="28" t="s">
        <v>34867</v>
      </c>
      <c r="J897" t="s">
        <v>2531</v>
      </c>
      <c r="K897" t="s">
        <v>2532</v>
      </c>
      <c r="L897" s="28" t="s">
        <v>2533</v>
      </c>
      <c r="M897" t="s">
        <v>23</v>
      </c>
      <c r="N897"/>
      <c r="O897"/>
      <c r="P897"/>
      <c r="Q897"/>
      <c r="R897"/>
      <c r="S897"/>
    </row>
    <row r="898" spans="1:19" x14ac:dyDescent="0.25">
      <c r="A898" t="s">
        <v>193</v>
      </c>
      <c r="C898" s="27" t="s">
        <v>34749</v>
      </c>
      <c r="D898" s="28" t="s">
        <v>34867</v>
      </c>
      <c r="J898" t="s">
        <v>2534</v>
      </c>
      <c r="K898" t="s">
        <v>2535</v>
      </c>
      <c r="L898" s="28" t="s">
        <v>2536</v>
      </c>
      <c r="M898" t="s">
        <v>23</v>
      </c>
      <c r="N898"/>
      <c r="O898"/>
      <c r="P898"/>
      <c r="Q898"/>
      <c r="R898"/>
      <c r="S898"/>
    </row>
    <row r="899" spans="1:19" x14ac:dyDescent="0.25">
      <c r="A899" t="s">
        <v>193</v>
      </c>
      <c r="C899" s="27" t="s">
        <v>34749</v>
      </c>
      <c r="D899" s="28" t="s">
        <v>34867</v>
      </c>
      <c r="J899" t="s">
        <v>2537</v>
      </c>
      <c r="K899" t="s">
        <v>2538</v>
      </c>
      <c r="L899" s="28" t="s">
        <v>2539</v>
      </c>
      <c r="M899" t="s">
        <v>23</v>
      </c>
      <c r="N899"/>
      <c r="O899"/>
      <c r="P899"/>
      <c r="Q899"/>
      <c r="R899"/>
      <c r="S899"/>
    </row>
    <row r="900" spans="1:19" x14ac:dyDescent="0.25">
      <c r="A900" t="s">
        <v>193</v>
      </c>
      <c r="C900" s="27" t="s">
        <v>34749</v>
      </c>
      <c r="D900" s="28" t="s">
        <v>34867</v>
      </c>
      <c r="J900" t="s">
        <v>2540</v>
      </c>
      <c r="K900" t="s">
        <v>2541</v>
      </c>
      <c r="L900" s="28" t="s">
        <v>2542</v>
      </c>
      <c r="M900" t="s">
        <v>23</v>
      </c>
      <c r="N900"/>
      <c r="O900"/>
      <c r="P900"/>
      <c r="Q900"/>
      <c r="R900"/>
      <c r="S900"/>
    </row>
    <row r="901" spans="1:19" x14ac:dyDescent="0.25">
      <c r="A901" t="s">
        <v>193</v>
      </c>
      <c r="C901" s="27" t="s">
        <v>34749</v>
      </c>
      <c r="D901" s="28" t="s">
        <v>34867</v>
      </c>
      <c r="J901" t="s">
        <v>2543</v>
      </c>
      <c r="K901" t="s">
        <v>2544</v>
      </c>
      <c r="L901" s="28" t="s">
        <v>2545</v>
      </c>
      <c r="M901" t="s">
        <v>23</v>
      </c>
      <c r="N901"/>
      <c r="O901"/>
      <c r="P901"/>
      <c r="Q901"/>
      <c r="R901"/>
      <c r="S901"/>
    </row>
    <row r="902" spans="1:19" x14ac:dyDescent="0.25">
      <c r="A902" t="s">
        <v>193</v>
      </c>
      <c r="C902" s="27" t="s">
        <v>34749</v>
      </c>
      <c r="D902" s="28" t="s">
        <v>34867</v>
      </c>
      <c r="J902" t="s">
        <v>2546</v>
      </c>
      <c r="K902" t="s">
        <v>2547</v>
      </c>
      <c r="L902" s="28" t="s">
        <v>2548</v>
      </c>
      <c r="M902" t="s">
        <v>23</v>
      </c>
      <c r="N902"/>
      <c r="O902"/>
      <c r="P902"/>
      <c r="Q902"/>
      <c r="R902"/>
      <c r="S902"/>
    </row>
    <row r="903" spans="1:19" x14ac:dyDescent="0.25">
      <c r="A903" t="s">
        <v>193</v>
      </c>
      <c r="C903" s="27" t="s">
        <v>34749</v>
      </c>
      <c r="D903" s="28" t="s">
        <v>34867</v>
      </c>
      <c r="J903" t="s">
        <v>2549</v>
      </c>
      <c r="K903" t="s">
        <v>2550</v>
      </c>
      <c r="L903" s="28" t="s">
        <v>2551</v>
      </c>
      <c r="M903" t="s">
        <v>23</v>
      </c>
      <c r="N903"/>
      <c r="O903"/>
      <c r="P903"/>
      <c r="Q903"/>
      <c r="R903"/>
      <c r="S903"/>
    </row>
    <row r="904" spans="1:19" x14ac:dyDescent="0.25">
      <c r="A904" t="s">
        <v>193</v>
      </c>
      <c r="C904" s="27" t="s">
        <v>34749</v>
      </c>
      <c r="D904" s="28" t="s">
        <v>34867</v>
      </c>
      <c r="J904" t="s">
        <v>2552</v>
      </c>
      <c r="K904" t="s">
        <v>2553</v>
      </c>
      <c r="L904" s="28" t="s">
        <v>2554</v>
      </c>
      <c r="M904" t="s">
        <v>23</v>
      </c>
      <c r="N904"/>
      <c r="O904"/>
      <c r="P904"/>
      <c r="Q904"/>
      <c r="R904"/>
      <c r="S904"/>
    </row>
    <row r="905" spans="1:19" x14ac:dyDescent="0.25">
      <c r="A905" t="s">
        <v>193</v>
      </c>
      <c r="C905" s="27" t="s">
        <v>34749</v>
      </c>
      <c r="D905" s="28" t="s">
        <v>34867</v>
      </c>
      <c r="J905" t="s">
        <v>2555</v>
      </c>
      <c r="K905" t="s">
        <v>2556</v>
      </c>
      <c r="L905" s="28" t="s">
        <v>2557</v>
      </c>
      <c r="M905" t="s">
        <v>23</v>
      </c>
      <c r="N905"/>
      <c r="O905"/>
      <c r="P905"/>
      <c r="Q905"/>
      <c r="R905"/>
      <c r="S905"/>
    </row>
    <row r="906" spans="1:19" x14ac:dyDescent="0.25">
      <c r="A906" t="s">
        <v>193</v>
      </c>
      <c r="C906" s="27" t="s">
        <v>34749</v>
      </c>
      <c r="D906" s="28" t="s">
        <v>34867</v>
      </c>
      <c r="J906" t="s">
        <v>2558</v>
      </c>
      <c r="K906" t="s">
        <v>2559</v>
      </c>
      <c r="L906" s="28" t="s">
        <v>2560</v>
      </c>
      <c r="M906" t="s">
        <v>23</v>
      </c>
      <c r="N906"/>
      <c r="O906"/>
      <c r="P906"/>
      <c r="Q906"/>
      <c r="R906"/>
      <c r="S906"/>
    </row>
    <row r="907" spans="1:19" x14ac:dyDescent="0.25">
      <c r="A907" t="s">
        <v>193</v>
      </c>
      <c r="C907" s="27" t="s">
        <v>34749</v>
      </c>
      <c r="D907" s="28" t="s">
        <v>34867</v>
      </c>
      <c r="J907" t="s">
        <v>2561</v>
      </c>
      <c r="K907" t="s">
        <v>2562</v>
      </c>
      <c r="L907" s="28" t="s">
        <v>2563</v>
      </c>
      <c r="M907" t="s">
        <v>23</v>
      </c>
      <c r="N907"/>
      <c r="O907"/>
      <c r="P907"/>
      <c r="Q907"/>
      <c r="R907"/>
      <c r="S907"/>
    </row>
    <row r="908" spans="1:19" x14ac:dyDescent="0.25">
      <c r="A908" t="s">
        <v>193</v>
      </c>
      <c r="C908" s="27" t="s">
        <v>34749</v>
      </c>
      <c r="D908" s="28" t="s">
        <v>34867</v>
      </c>
      <c r="J908" t="s">
        <v>2564</v>
      </c>
      <c r="K908" t="s">
        <v>2565</v>
      </c>
      <c r="L908" s="28" t="s">
        <v>2566</v>
      </c>
      <c r="M908" t="s">
        <v>23</v>
      </c>
      <c r="N908"/>
      <c r="O908"/>
      <c r="P908"/>
      <c r="Q908"/>
      <c r="R908"/>
      <c r="S908"/>
    </row>
    <row r="909" spans="1:19" x14ac:dyDescent="0.25">
      <c r="A909" t="s">
        <v>193</v>
      </c>
      <c r="C909" s="27" t="s">
        <v>34749</v>
      </c>
      <c r="D909" s="28" t="s">
        <v>34867</v>
      </c>
      <c r="I909" t="str">
        <f>CONCATENATE(LEFT(K909,SEARCH(" (",K909))," | ", RIGHT(LEFT(K909,LEN(K909)-1),LEN(K909)-2-FIND(" (",K909)))</f>
        <v>4-chloor-2-methylaniline  | p-chloor-o-toluidine</v>
      </c>
      <c r="J909" t="s">
        <v>2567</v>
      </c>
      <c r="K909" t="s">
        <v>2568</v>
      </c>
      <c r="L909" s="28" t="s">
        <v>2569</v>
      </c>
      <c r="M909" t="s">
        <v>23</v>
      </c>
      <c r="N909"/>
      <c r="O909"/>
      <c r="P909"/>
      <c r="Q909"/>
      <c r="R909"/>
      <c r="S909"/>
    </row>
    <row r="910" spans="1:19" x14ac:dyDescent="0.25">
      <c r="A910" t="s">
        <v>193</v>
      </c>
      <c r="C910" s="27" t="s">
        <v>34749</v>
      </c>
      <c r="D910" s="28" t="s">
        <v>34867</v>
      </c>
      <c r="J910" t="s">
        <v>2570</v>
      </c>
      <c r="K910" t="s">
        <v>2571</v>
      </c>
      <c r="L910" s="28" t="s">
        <v>2572</v>
      </c>
      <c r="M910" t="s">
        <v>23</v>
      </c>
      <c r="N910"/>
      <c r="O910"/>
      <c r="P910"/>
      <c r="Q910"/>
      <c r="R910"/>
      <c r="S910"/>
    </row>
    <row r="911" spans="1:19" x14ac:dyDescent="0.25">
      <c r="A911" t="s">
        <v>193</v>
      </c>
      <c r="C911" s="27" t="s">
        <v>34749</v>
      </c>
      <c r="D911" s="28" t="s">
        <v>34867</v>
      </c>
      <c r="J911" t="s">
        <v>2573</v>
      </c>
      <c r="K911" t="s">
        <v>2574</v>
      </c>
      <c r="L911" s="28" t="s">
        <v>2575</v>
      </c>
      <c r="M911" t="s">
        <v>23</v>
      </c>
      <c r="N911"/>
      <c r="O911"/>
      <c r="P911"/>
      <c r="Q911"/>
      <c r="R911"/>
      <c r="S911"/>
    </row>
    <row r="912" spans="1:19" x14ac:dyDescent="0.25">
      <c r="A912" t="s">
        <v>193</v>
      </c>
      <c r="C912" s="27" t="s">
        <v>34749</v>
      </c>
      <c r="D912" s="28" t="s">
        <v>34867</v>
      </c>
      <c r="J912" t="s">
        <v>2576</v>
      </c>
      <c r="K912" t="s">
        <v>2577</v>
      </c>
      <c r="L912" s="28" t="s">
        <v>2578</v>
      </c>
      <c r="M912" t="s">
        <v>23</v>
      </c>
      <c r="N912"/>
      <c r="O912"/>
      <c r="P912"/>
      <c r="Q912"/>
      <c r="R912"/>
      <c r="S912"/>
    </row>
    <row r="913" spans="1:19" x14ac:dyDescent="0.25">
      <c r="A913" t="s">
        <v>193</v>
      </c>
      <c r="C913" s="27" t="s">
        <v>34749</v>
      </c>
      <c r="D913" s="28" t="s">
        <v>34867</v>
      </c>
      <c r="J913" t="s">
        <v>2579</v>
      </c>
      <c r="K913" t="s">
        <v>2580</v>
      </c>
      <c r="L913" s="28" t="s">
        <v>2581</v>
      </c>
      <c r="M913" t="s">
        <v>23</v>
      </c>
      <c r="N913"/>
      <c r="O913"/>
      <c r="P913"/>
      <c r="Q913"/>
      <c r="R913"/>
      <c r="S913"/>
    </row>
    <row r="914" spans="1:19" x14ac:dyDescent="0.25">
      <c r="A914" t="s">
        <v>193</v>
      </c>
      <c r="C914" s="27" t="s">
        <v>34749</v>
      </c>
      <c r="D914" s="28" t="s">
        <v>34867</v>
      </c>
      <c r="J914" t="s">
        <v>2582</v>
      </c>
      <c r="K914" t="s">
        <v>2583</v>
      </c>
      <c r="L914" s="28" t="s">
        <v>2584</v>
      </c>
      <c r="M914" t="s">
        <v>23</v>
      </c>
      <c r="N914"/>
      <c r="O914"/>
      <c r="P914"/>
      <c r="Q914"/>
      <c r="R914"/>
      <c r="S914"/>
    </row>
    <row r="915" spans="1:19" x14ac:dyDescent="0.25">
      <c r="A915" t="s">
        <v>193</v>
      </c>
      <c r="C915" s="27" t="s">
        <v>34749</v>
      </c>
      <c r="D915" s="28" t="s">
        <v>34867</v>
      </c>
      <c r="J915" t="s">
        <v>2585</v>
      </c>
      <c r="K915" t="s">
        <v>2586</v>
      </c>
      <c r="L915" s="28" t="s">
        <v>2587</v>
      </c>
      <c r="M915" t="s">
        <v>23</v>
      </c>
      <c r="N915"/>
      <c r="O915"/>
      <c r="P915"/>
      <c r="Q915"/>
      <c r="R915"/>
      <c r="S915"/>
    </row>
    <row r="916" spans="1:19" x14ac:dyDescent="0.25">
      <c r="A916" t="s">
        <v>193</v>
      </c>
      <c r="C916" s="27" t="s">
        <v>34749</v>
      </c>
      <c r="D916" s="28" t="s">
        <v>34867</v>
      </c>
      <c r="J916" t="s">
        <v>2588</v>
      </c>
      <c r="K916" t="s">
        <v>2589</v>
      </c>
      <c r="L916" s="28" t="s">
        <v>2590</v>
      </c>
      <c r="M916" t="s">
        <v>23</v>
      </c>
      <c r="N916"/>
      <c r="O916"/>
      <c r="P916"/>
      <c r="Q916"/>
      <c r="R916"/>
      <c r="S916"/>
    </row>
    <row r="917" spans="1:19" x14ac:dyDescent="0.25">
      <c r="A917" t="s">
        <v>193</v>
      </c>
      <c r="C917" s="27" t="s">
        <v>34749</v>
      </c>
      <c r="D917" s="28" t="s">
        <v>34867</v>
      </c>
      <c r="J917" t="s">
        <v>2591</v>
      </c>
      <c r="K917" t="s">
        <v>2592</v>
      </c>
      <c r="L917" s="28" t="s">
        <v>2593</v>
      </c>
      <c r="M917" t="s">
        <v>23</v>
      </c>
      <c r="N917"/>
      <c r="O917"/>
      <c r="P917"/>
      <c r="Q917"/>
      <c r="R917"/>
      <c r="S917"/>
    </row>
    <row r="918" spans="1:19" x14ac:dyDescent="0.25">
      <c r="A918" t="s">
        <v>193</v>
      </c>
      <c r="C918" s="27" t="s">
        <v>34749</v>
      </c>
      <c r="D918" s="28" t="s">
        <v>34867</v>
      </c>
      <c r="J918" t="s">
        <v>2594</v>
      </c>
      <c r="K918" t="s">
        <v>2595</v>
      </c>
      <c r="L918" s="28" t="s">
        <v>2596</v>
      </c>
      <c r="M918" t="s">
        <v>23</v>
      </c>
      <c r="N918"/>
      <c r="O918"/>
      <c r="P918"/>
      <c r="Q918"/>
      <c r="R918"/>
      <c r="S918"/>
    </row>
    <row r="919" spans="1:19" x14ac:dyDescent="0.25">
      <c r="A919" t="s">
        <v>193</v>
      </c>
      <c r="C919" s="27" t="s">
        <v>34749</v>
      </c>
      <c r="D919" s="28" t="s">
        <v>34867</v>
      </c>
      <c r="J919" t="s">
        <v>2597</v>
      </c>
      <c r="K919" t="s">
        <v>2598</v>
      </c>
      <c r="L919" s="28" t="s">
        <v>2599</v>
      </c>
      <c r="M919" t="s">
        <v>23</v>
      </c>
      <c r="N919"/>
      <c r="O919"/>
      <c r="P919"/>
      <c r="Q919"/>
      <c r="R919"/>
      <c r="S919"/>
    </row>
    <row r="920" spans="1:19" x14ac:dyDescent="0.25">
      <c r="A920" t="s">
        <v>193</v>
      </c>
      <c r="C920" s="27" t="s">
        <v>34749</v>
      </c>
      <c r="D920" s="28" t="s">
        <v>34867</v>
      </c>
      <c r="J920" t="s">
        <v>2600</v>
      </c>
      <c r="K920" t="s">
        <v>2601</v>
      </c>
      <c r="L920" s="28" t="s">
        <v>2602</v>
      </c>
      <c r="M920" t="s">
        <v>23</v>
      </c>
      <c r="N920"/>
      <c r="O920"/>
      <c r="P920"/>
      <c r="Q920"/>
      <c r="R920"/>
      <c r="S920"/>
    </row>
    <row r="921" spans="1:19" x14ac:dyDescent="0.25">
      <c r="A921" t="s">
        <v>193</v>
      </c>
      <c r="C921" s="27" t="s">
        <v>34749</v>
      </c>
      <c r="D921" s="28" t="s">
        <v>34867</v>
      </c>
      <c r="J921" t="s">
        <v>2603</v>
      </c>
      <c r="K921" t="s">
        <v>2604</v>
      </c>
      <c r="L921" s="28" t="s">
        <v>2605</v>
      </c>
      <c r="M921" t="s">
        <v>23</v>
      </c>
      <c r="N921"/>
      <c r="O921"/>
      <c r="P921"/>
      <c r="Q921"/>
      <c r="R921"/>
      <c r="S921"/>
    </row>
    <row r="922" spans="1:19" x14ac:dyDescent="0.25">
      <c r="A922" t="s">
        <v>193</v>
      </c>
      <c r="C922" s="27" t="s">
        <v>34749</v>
      </c>
      <c r="D922" s="28" t="s">
        <v>34867</v>
      </c>
      <c r="J922" t="s">
        <v>2606</v>
      </c>
      <c r="K922" t="s">
        <v>2607</v>
      </c>
      <c r="L922" s="28" t="s">
        <v>2608</v>
      </c>
      <c r="M922" t="s">
        <v>23</v>
      </c>
      <c r="N922"/>
      <c r="O922"/>
      <c r="P922"/>
      <c r="Q922"/>
      <c r="R922"/>
      <c r="S922"/>
    </row>
    <row r="923" spans="1:19" x14ac:dyDescent="0.25">
      <c r="A923" t="s">
        <v>193</v>
      </c>
      <c r="C923" s="27" t="s">
        <v>34749</v>
      </c>
      <c r="D923" s="28" t="s">
        <v>34867</v>
      </c>
      <c r="J923" t="s">
        <v>2609</v>
      </c>
      <c r="K923" t="s">
        <v>2610</v>
      </c>
      <c r="L923" s="28" t="s">
        <v>2611</v>
      </c>
      <c r="M923" t="s">
        <v>23</v>
      </c>
      <c r="N923"/>
      <c r="O923"/>
      <c r="P923"/>
      <c r="Q923"/>
      <c r="R923"/>
      <c r="S923"/>
    </row>
    <row r="924" spans="1:19" x14ac:dyDescent="0.25">
      <c r="A924" t="s">
        <v>193</v>
      </c>
      <c r="C924" s="27" t="s">
        <v>34749</v>
      </c>
      <c r="D924" s="28" t="s">
        <v>34867</v>
      </c>
      <c r="J924" t="s">
        <v>2612</v>
      </c>
      <c r="K924" t="s">
        <v>2613</v>
      </c>
      <c r="L924" s="28" t="s">
        <v>2614</v>
      </c>
      <c r="M924" t="s">
        <v>23</v>
      </c>
      <c r="N924"/>
      <c r="O924"/>
      <c r="P924"/>
      <c r="Q924"/>
      <c r="R924"/>
      <c r="S924"/>
    </row>
    <row r="925" spans="1:19" x14ac:dyDescent="0.25">
      <c r="A925" t="s">
        <v>193</v>
      </c>
      <c r="C925" s="27" t="s">
        <v>34749</v>
      </c>
      <c r="D925" s="28" t="s">
        <v>34867</v>
      </c>
      <c r="J925" t="s">
        <v>2615</v>
      </c>
      <c r="K925" t="s">
        <v>2616</v>
      </c>
      <c r="L925" s="28" t="s">
        <v>2617</v>
      </c>
      <c r="M925" t="s">
        <v>23</v>
      </c>
      <c r="N925"/>
      <c r="O925"/>
      <c r="P925"/>
      <c r="Q925"/>
      <c r="R925"/>
      <c r="S925"/>
    </row>
    <row r="926" spans="1:19" x14ac:dyDescent="0.25">
      <c r="A926" t="s">
        <v>193</v>
      </c>
      <c r="C926" s="27" t="s">
        <v>34749</v>
      </c>
      <c r="D926" s="28" t="s">
        <v>34867</v>
      </c>
      <c r="J926" t="s">
        <v>2618</v>
      </c>
      <c r="K926" t="s">
        <v>2619</v>
      </c>
      <c r="L926" s="28" t="s">
        <v>2620</v>
      </c>
      <c r="M926" t="s">
        <v>23</v>
      </c>
      <c r="N926"/>
      <c r="O926"/>
      <c r="P926"/>
      <c r="Q926"/>
      <c r="R926"/>
      <c r="S926"/>
    </row>
    <row r="927" spans="1:19" x14ac:dyDescent="0.25">
      <c r="A927" t="s">
        <v>193</v>
      </c>
      <c r="C927" s="27" t="s">
        <v>34749</v>
      </c>
      <c r="D927" s="28" t="s">
        <v>34867</v>
      </c>
      <c r="J927" t="s">
        <v>2621</v>
      </c>
      <c r="K927" t="s">
        <v>2622</v>
      </c>
      <c r="L927" s="28" t="s">
        <v>2623</v>
      </c>
      <c r="M927" t="s">
        <v>23</v>
      </c>
      <c r="N927"/>
      <c r="O927"/>
      <c r="P927"/>
      <c r="Q927"/>
      <c r="R927"/>
      <c r="S927"/>
    </row>
    <row r="928" spans="1:19" x14ac:dyDescent="0.25">
      <c r="A928" t="s">
        <v>193</v>
      </c>
      <c r="C928" s="27" t="s">
        <v>34749</v>
      </c>
      <c r="D928" s="28" t="s">
        <v>34867</v>
      </c>
      <c r="J928" t="s">
        <v>2624</v>
      </c>
      <c r="K928" t="s">
        <v>2625</v>
      </c>
      <c r="L928" s="28" t="s">
        <v>2626</v>
      </c>
      <c r="M928" t="s">
        <v>23</v>
      </c>
      <c r="N928"/>
      <c r="O928"/>
      <c r="P928"/>
      <c r="Q928"/>
      <c r="R928"/>
      <c r="S928"/>
    </row>
    <row r="929" spans="1:19" x14ac:dyDescent="0.25">
      <c r="A929" t="s">
        <v>193</v>
      </c>
      <c r="C929" s="27" t="s">
        <v>34749</v>
      </c>
      <c r="D929" s="28" t="s">
        <v>34867</v>
      </c>
      <c r="J929" t="s">
        <v>2627</v>
      </c>
      <c r="K929" t="s">
        <v>2628</v>
      </c>
      <c r="L929" s="28" t="s">
        <v>2629</v>
      </c>
      <c r="M929" t="s">
        <v>23</v>
      </c>
      <c r="N929"/>
      <c r="O929"/>
      <c r="P929"/>
      <c r="Q929"/>
      <c r="R929"/>
      <c r="S929"/>
    </row>
    <row r="930" spans="1:19" x14ac:dyDescent="0.25">
      <c r="A930" t="s">
        <v>193</v>
      </c>
      <c r="C930" s="27" t="s">
        <v>34749</v>
      </c>
      <c r="D930" s="28" t="s">
        <v>34867</v>
      </c>
      <c r="J930" t="s">
        <v>2630</v>
      </c>
      <c r="K930" t="s">
        <v>2631</v>
      </c>
      <c r="L930" s="28" t="s">
        <v>2632</v>
      </c>
      <c r="M930" t="s">
        <v>23</v>
      </c>
      <c r="N930"/>
      <c r="O930"/>
      <c r="P930"/>
      <c r="Q930"/>
      <c r="R930"/>
      <c r="S930"/>
    </row>
    <row r="931" spans="1:19" x14ac:dyDescent="0.25">
      <c r="A931" t="s">
        <v>193</v>
      </c>
      <c r="C931" s="27" t="s">
        <v>34749</v>
      </c>
      <c r="D931" s="28" t="s">
        <v>34867</v>
      </c>
      <c r="J931" t="s">
        <v>2633</v>
      </c>
      <c r="K931" t="s">
        <v>2634</v>
      </c>
      <c r="L931" s="28" t="s">
        <v>2635</v>
      </c>
      <c r="M931" t="s">
        <v>23</v>
      </c>
      <c r="N931"/>
      <c r="O931"/>
      <c r="P931"/>
      <c r="Q931"/>
      <c r="R931"/>
      <c r="S931"/>
    </row>
    <row r="932" spans="1:19" x14ac:dyDescent="0.25">
      <c r="A932" t="s">
        <v>193</v>
      </c>
      <c r="C932" s="27" t="s">
        <v>34749</v>
      </c>
      <c r="D932" s="28" t="s">
        <v>34867</v>
      </c>
      <c r="J932" t="s">
        <v>2636</v>
      </c>
      <c r="K932" t="s">
        <v>2637</v>
      </c>
      <c r="L932" s="28" t="s">
        <v>2638</v>
      </c>
      <c r="M932" t="s">
        <v>23</v>
      </c>
      <c r="N932"/>
      <c r="O932"/>
      <c r="P932"/>
      <c r="Q932"/>
      <c r="R932"/>
      <c r="S932"/>
    </row>
    <row r="933" spans="1:19" x14ac:dyDescent="0.25">
      <c r="A933" t="s">
        <v>193</v>
      </c>
      <c r="C933" s="27" t="s">
        <v>34749</v>
      </c>
      <c r="D933" s="28" t="s">
        <v>34867</v>
      </c>
      <c r="J933" t="s">
        <v>2639</v>
      </c>
      <c r="K933" t="s">
        <v>2640</v>
      </c>
      <c r="L933" s="28" t="s">
        <v>2641</v>
      </c>
      <c r="M933" t="s">
        <v>23</v>
      </c>
      <c r="N933"/>
      <c r="O933"/>
      <c r="P933"/>
      <c r="Q933"/>
      <c r="R933"/>
      <c r="S933"/>
    </row>
    <row r="934" spans="1:19" x14ac:dyDescent="0.25">
      <c r="A934" t="s">
        <v>193</v>
      </c>
      <c r="C934" s="27" t="s">
        <v>34749</v>
      </c>
      <c r="D934" s="28" t="s">
        <v>34867</v>
      </c>
      <c r="J934" t="s">
        <v>2642</v>
      </c>
      <c r="K934" t="s">
        <v>2643</v>
      </c>
      <c r="L934" s="28" t="s">
        <v>2644</v>
      </c>
      <c r="M934" t="s">
        <v>23</v>
      </c>
      <c r="N934"/>
      <c r="O934"/>
      <c r="P934"/>
      <c r="Q934"/>
      <c r="R934"/>
      <c r="S934"/>
    </row>
    <row r="935" spans="1:19" x14ac:dyDescent="0.25">
      <c r="A935" t="s">
        <v>193</v>
      </c>
      <c r="C935" s="27" t="s">
        <v>34749</v>
      </c>
      <c r="D935" s="28" t="s">
        <v>34867</v>
      </c>
      <c r="J935" t="s">
        <v>2645</v>
      </c>
      <c r="K935" t="s">
        <v>2646</v>
      </c>
      <c r="L935" s="28" t="s">
        <v>2647</v>
      </c>
      <c r="M935" t="s">
        <v>23</v>
      </c>
      <c r="N935"/>
      <c r="O935"/>
      <c r="P935"/>
      <c r="Q935"/>
      <c r="R935"/>
      <c r="S935"/>
    </row>
    <row r="936" spans="1:19" x14ac:dyDescent="0.25">
      <c r="A936" t="s">
        <v>193</v>
      </c>
      <c r="C936" s="27" t="s">
        <v>34749</v>
      </c>
      <c r="D936" s="28" t="s">
        <v>34867</v>
      </c>
      <c r="J936" t="s">
        <v>2648</v>
      </c>
      <c r="K936" t="s">
        <v>2649</v>
      </c>
      <c r="L936" s="28" t="s">
        <v>2650</v>
      </c>
      <c r="M936" t="s">
        <v>23</v>
      </c>
      <c r="N936"/>
      <c r="O936"/>
      <c r="P936"/>
      <c r="Q936"/>
      <c r="R936"/>
      <c r="S936"/>
    </row>
    <row r="937" spans="1:19" x14ac:dyDescent="0.25">
      <c r="A937" t="s">
        <v>193</v>
      </c>
      <c r="C937" s="27" t="s">
        <v>34749</v>
      </c>
      <c r="D937" s="28" t="s">
        <v>34867</v>
      </c>
      <c r="J937" t="s">
        <v>2651</v>
      </c>
      <c r="K937" t="s">
        <v>2652</v>
      </c>
      <c r="L937" s="28" t="s">
        <v>2653</v>
      </c>
      <c r="M937" t="s">
        <v>23</v>
      </c>
      <c r="N937"/>
      <c r="O937"/>
      <c r="P937"/>
      <c r="Q937"/>
      <c r="R937"/>
      <c r="S937"/>
    </row>
    <row r="938" spans="1:19" x14ac:dyDescent="0.25">
      <c r="A938" t="s">
        <v>193</v>
      </c>
      <c r="C938" s="27" t="s">
        <v>34749</v>
      </c>
      <c r="D938" s="28" t="s">
        <v>34867</v>
      </c>
      <c r="J938" t="s">
        <v>2654</v>
      </c>
      <c r="K938" t="s">
        <v>2655</v>
      </c>
      <c r="L938" s="28" t="s">
        <v>2656</v>
      </c>
      <c r="M938" t="s">
        <v>23</v>
      </c>
      <c r="N938"/>
      <c r="O938"/>
      <c r="P938"/>
      <c r="Q938"/>
      <c r="R938"/>
      <c r="S938"/>
    </row>
    <row r="939" spans="1:19" x14ac:dyDescent="0.25">
      <c r="A939" t="s">
        <v>193</v>
      </c>
      <c r="C939" s="27" t="s">
        <v>34749</v>
      </c>
      <c r="D939" s="28" t="s">
        <v>34867</v>
      </c>
      <c r="I939" t="str">
        <f>CONCATENATE(LEFT(K939,SEARCH(" (",K939))," | ", RIGHT(LEFT(K939,LEN(K939)-1),LEN(K939)-2-FIND(" (",K939)))</f>
        <v>4-isopropylaniline  | Cumidine</v>
      </c>
      <c r="J939" t="s">
        <v>2657</v>
      </c>
      <c r="K939" t="s">
        <v>2658</v>
      </c>
      <c r="L939" s="28" t="s">
        <v>2659</v>
      </c>
      <c r="M939" t="s">
        <v>23</v>
      </c>
      <c r="N939"/>
      <c r="O939"/>
      <c r="P939"/>
      <c r="Q939"/>
      <c r="R939"/>
      <c r="S939"/>
    </row>
    <row r="940" spans="1:19" x14ac:dyDescent="0.25">
      <c r="A940" t="s">
        <v>193</v>
      </c>
      <c r="C940" s="27" t="s">
        <v>34749</v>
      </c>
      <c r="D940" s="28" t="s">
        <v>34867</v>
      </c>
      <c r="J940" t="s">
        <v>2660</v>
      </c>
      <c r="K940" t="s">
        <v>2661</v>
      </c>
      <c r="L940" s="28" t="s">
        <v>2662</v>
      </c>
      <c r="M940" t="s">
        <v>23</v>
      </c>
      <c r="N940"/>
      <c r="O940"/>
      <c r="P940"/>
      <c r="Q940"/>
      <c r="R940"/>
      <c r="S940"/>
    </row>
    <row r="941" spans="1:19" x14ac:dyDescent="0.25">
      <c r="A941" t="s">
        <v>193</v>
      </c>
      <c r="C941" s="27" t="s">
        <v>34749</v>
      </c>
      <c r="D941" s="28" t="s">
        <v>34867</v>
      </c>
      <c r="J941" t="s">
        <v>2663</v>
      </c>
      <c r="K941" t="s">
        <v>2664</v>
      </c>
      <c r="L941" s="28" t="s">
        <v>2665</v>
      </c>
      <c r="M941" t="s">
        <v>23</v>
      </c>
      <c r="N941"/>
      <c r="O941"/>
      <c r="P941"/>
      <c r="Q941"/>
      <c r="R941"/>
      <c r="S941"/>
    </row>
    <row r="942" spans="1:19" x14ac:dyDescent="0.25">
      <c r="A942" t="s">
        <v>193</v>
      </c>
      <c r="C942" s="27" t="s">
        <v>34749</v>
      </c>
      <c r="D942" s="28" t="s">
        <v>34867</v>
      </c>
      <c r="J942" t="s">
        <v>2666</v>
      </c>
      <c r="K942" t="s">
        <v>2667</v>
      </c>
      <c r="L942" s="28" t="s">
        <v>2668</v>
      </c>
      <c r="M942" t="s">
        <v>23</v>
      </c>
      <c r="N942"/>
      <c r="O942"/>
      <c r="P942"/>
      <c r="Q942"/>
      <c r="R942"/>
      <c r="S942"/>
    </row>
    <row r="943" spans="1:19" x14ac:dyDescent="0.25">
      <c r="A943" t="s">
        <v>193</v>
      </c>
      <c r="C943" s="27" t="s">
        <v>34749</v>
      </c>
      <c r="D943" s="28" t="s">
        <v>34867</v>
      </c>
      <c r="J943" t="s">
        <v>2669</v>
      </c>
      <c r="K943" t="s">
        <v>2670</v>
      </c>
      <c r="L943" s="28" t="s">
        <v>2671</v>
      </c>
      <c r="M943" t="s">
        <v>23</v>
      </c>
      <c r="N943"/>
      <c r="O943"/>
      <c r="P943"/>
      <c r="Q943"/>
      <c r="R943"/>
      <c r="S943"/>
    </row>
    <row r="944" spans="1:19" x14ac:dyDescent="0.25">
      <c r="A944" t="s">
        <v>193</v>
      </c>
      <c r="C944" s="27" t="s">
        <v>34749</v>
      </c>
      <c r="D944" s="28" t="s">
        <v>34867</v>
      </c>
      <c r="J944" t="s">
        <v>2672</v>
      </c>
      <c r="K944" t="s">
        <v>2673</v>
      </c>
      <c r="L944" s="28" t="s">
        <v>2674</v>
      </c>
      <c r="M944" t="s">
        <v>23</v>
      </c>
      <c r="N944"/>
      <c r="O944"/>
      <c r="P944"/>
      <c r="Q944"/>
      <c r="R944"/>
      <c r="S944"/>
    </row>
    <row r="945" spans="1:19" x14ac:dyDescent="0.25">
      <c r="A945" t="s">
        <v>193</v>
      </c>
      <c r="C945" s="27" t="s">
        <v>34749</v>
      </c>
      <c r="D945" s="28" t="s">
        <v>34867</v>
      </c>
      <c r="J945" t="s">
        <v>2675</v>
      </c>
      <c r="K945" t="s">
        <v>2676</v>
      </c>
      <c r="L945" s="28" t="s">
        <v>2677</v>
      </c>
      <c r="M945" t="s">
        <v>23</v>
      </c>
      <c r="N945"/>
      <c r="O945"/>
      <c r="P945"/>
      <c r="Q945"/>
      <c r="R945"/>
      <c r="S945"/>
    </row>
    <row r="946" spans="1:19" x14ac:dyDescent="0.25">
      <c r="A946" t="s">
        <v>193</v>
      </c>
      <c r="C946" s="27" t="s">
        <v>34749</v>
      </c>
      <c r="D946" s="28" t="s">
        <v>34867</v>
      </c>
      <c r="J946" t="s">
        <v>2678</v>
      </c>
      <c r="K946" t="s">
        <v>2679</v>
      </c>
      <c r="L946" s="28" t="s">
        <v>2680</v>
      </c>
      <c r="M946" t="s">
        <v>23</v>
      </c>
      <c r="N946"/>
      <c r="O946"/>
      <c r="P946"/>
      <c r="Q946"/>
      <c r="R946"/>
      <c r="S946"/>
    </row>
    <row r="947" spans="1:19" x14ac:dyDescent="0.25">
      <c r="A947" t="s">
        <v>193</v>
      </c>
      <c r="C947" s="27" t="s">
        <v>34749</v>
      </c>
      <c r="D947" s="28" t="s">
        <v>34867</v>
      </c>
      <c r="J947" t="s">
        <v>2681</v>
      </c>
      <c r="K947" t="s">
        <v>2682</v>
      </c>
      <c r="L947" s="28" t="s">
        <v>2683</v>
      </c>
      <c r="M947" t="s">
        <v>23</v>
      </c>
      <c r="N947"/>
      <c r="O947"/>
      <c r="P947"/>
      <c r="Q947"/>
      <c r="R947"/>
      <c r="S947"/>
    </row>
    <row r="948" spans="1:19" x14ac:dyDescent="0.25">
      <c r="A948" t="s">
        <v>193</v>
      </c>
      <c r="C948" s="27" t="s">
        <v>34749</v>
      </c>
      <c r="D948" s="28" t="s">
        <v>34867</v>
      </c>
      <c r="J948" t="s">
        <v>2684</v>
      </c>
      <c r="K948" t="s">
        <v>2685</v>
      </c>
      <c r="L948" s="28" t="s">
        <v>2686</v>
      </c>
      <c r="M948" t="s">
        <v>23</v>
      </c>
      <c r="N948"/>
      <c r="O948"/>
      <c r="P948"/>
      <c r="Q948"/>
      <c r="R948"/>
      <c r="S948"/>
    </row>
    <row r="949" spans="1:19" x14ac:dyDescent="0.25">
      <c r="A949" t="s">
        <v>193</v>
      </c>
      <c r="C949" s="27" t="s">
        <v>34749</v>
      </c>
      <c r="D949" s="28" t="s">
        <v>34867</v>
      </c>
      <c r="J949" t="s">
        <v>2687</v>
      </c>
      <c r="K949" t="s">
        <v>2688</v>
      </c>
      <c r="L949" s="28" t="s">
        <v>2689</v>
      </c>
      <c r="M949" t="s">
        <v>23</v>
      </c>
      <c r="N949"/>
      <c r="O949"/>
      <c r="P949"/>
      <c r="Q949"/>
      <c r="R949"/>
      <c r="S949"/>
    </row>
    <row r="950" spans="1:19" x14ac:dyDescent="0.25">
      <c r="A950" t="s">
        <v>193</v>
      </c>
      <c r="C950" s="27" t="s">
        <v>34749</v>
      </c>
      <c r="D950" s="28" t="s">
        <v>34867</v>
      </c>
      <c r="J950" t="s">
        <v>2690</v>
      </c>
      <c r="K950" t="s">
        <v>2691</v>
      </c>
      <c r="L950" s="28" t="s">
        <v>2692</v>
      </c>
      <c r="M950" t="s">
        <v>23</v>
      </c>
      <c r="N950"/>
      <c r="O950"/>
      <c r="P950"/>
      <c r="Q950"/>
      <c r="R950"/>
      <c r="S950"/>
    </row>
    <row r="951" spans="1:19" x14ac:dyDescent="0.25">
      <c r="A951" t="s">
        <v>193</v>
      </c>
      <c r="C951" s="27" t="s">
        <v>34749</v>
      </c>
      <c r="D951" s="28" t="s">
        <v>34867</v>
      </c>
      <c r="J951" t="s">
        <v>2693</v>
      </c>
      <c r="K951" t="s">
        <v>2694</v>
      </c>
      <c r="L951" s="28" t="s">
        <v>2695</v>
      </c>
      <c r="M951" t="s">
        <v>23</v>
      </c>
      <c r="N951"/>
      <c r="O951"/>
      <c r="P951"/>
      <c r="Q951"/>
      <c r="R951"/>
      <c r="S951"/>
    </row>
    <row r="952" spans="1:19" x14ac:dyDescent="0.25">
      <c r="A952" t="s">
        <v>193</v>
      </c>
      <c r="C952" s="27" t="s">
        <v>34749</v>
      </c>
      <c r="D952" s="28" t="s">
        <v>34867</v>
      </c>
      <c r="J952" t="s">
        <v>2696</v>
      </c>
      <c r="K952" t="s">
        <v>2697</v>
      </c>
      <c r="L952" s="28" t="s">
        <v>2698</v>
      </c>
      <c r="M952" t="s">
        <v>23</v>
      </c>
      <c r="N952"/>
      <c r="O952"/>
      <c r="P952"/>
      <c r="Q952"/>
      <c r="R952"/>
      <c r="S952"/>
    </row>
    <row r="953" spans="1:19" x14ac:dyDescent="0.25">
      <c r="A953" t="s">
        <v>193</v>
      </c>
      <c r="C953" s="27" t="s">
        <v>34749</v>
      </c>
      <c r="D953" s="28" t="s">
        <v>34867</v>
      </c>
      <c r="J953" t="s">
        <v>2699</v>
      </c>
      <c r="K953" t="s">
        <v>2700</v>
      </c>
      <c r="L953" s="28" t="s">
        <v>2701</v>
      </c>
      <c r="M953" t="s">
        <v>23</v>
      </c>
      <c r="N953"/>
      <c r="O953"/>
      <c r="P953"/>
      <c r="Q953"/>
      <c r="R953"/>
      <c r="S953"/>
    </row>
    <row r="954" spans="1:19" x14ac:dyDescent="0.25">
      <c r="A954" t="s">
        <v>193</v>
      </c>
      <c r="C954" s="27" t="s">
        <v>34749</v>
      </c>
      <c r="D954" s="28" t="s">
        <v>34867</v>
      </c>
      <c r="J954" t="s">
        <v>2702</v>
      </c>
      <c r="K954" t="s">
        <v>2703</v>
      </c>
      <c r="L954" s="28" t="s">
        <v>2704</v>
      </c>
      <c r="M954" t="s">
        <v>23</v>
      </c>
      <c r="N954"/>
      <c r="O954"/>
      <c r="P954"/>
      <c r="Q954"/>
      <c r="R954"/>
      <c r="S954"/>
    </row>
    <row r="955" spans="1:19" x14ac:dyDescent="0.25">
      <c r="A955" t="s">
        <v>193</v>
      </c>
      <c r="C955" s="27" t="s">
        <v>34749</v>
      </c>
      <c r="D955" s="28" t="s">
        <v>34867</v>
      </c>
      <c r="J955" t="s">
        <v>2705</v>
      </c>
      <c r="K955" t="s">
        <v>2706</v>
      </c>
      <c r="L955" s="28" t="s">
        <v>2707</v>
      </c>
      <c r="M955" t="s">
        <v>23</v>
      </c>
      <c r="N955"/>
      <c r="O955"/>
      <c r="P955"/>
      <c r="Q955"/>
      <c r="R955"/>
      <c r="S955"/>
    </row>
    <row r="956" spans="1:19" x14ac:dyDescent="0.25">
      <c r="A956" t="s">
        <v>193</v>
      </c>
      <c r="C956" s="27" t="s">
        <v>34749</v>
      </c>
      <c r="D956" s="28" t="s">
        <v>34867</v>
      </c>
      <c r="J956" t="s">
        <v>2708</v>
      </c>
      <c r="K956" t="s">
        <v>2709</v>
      </c>
      <c r="L956" s="28" t="s">
        <v>2710</v>
      </c>
      <c r="M956" t="s">
        <v>23</v>
      </c>
      <c r="N956"/>
      <c r="O956"/>
      <c r="P956"/>
      <c r="Q956"/>
      <c r="R956"/>
      <c r="S956"/>
    </row>
    <row r="957" spans="1:19" x14ac:dyDescent="0.25">
      <c r="A957" t="s">
        <v>193</v>
      </c>
      <c r="C957" s="27" t="s">
        <v>34749</v>
      </c>
      <c r="D957" s="28" t="s">
        <v>34867</v>
      </c>
      <c r="J957" t="s">
        <v>2711</v>
      </c>
      <c r="K957" t="s">
        <v>2712</v>
      </c>
      <c r="L957" s="28" t="s">
        <v>2713</v>
      </c>
      <c r="M957" t="s">
        <v>23</v>
      </c>
      <c r="N957"/>
      <c r="O957"/>
      <c r="P957"/>
      <c r="Q957"/>
      <c r="R957"/>
      <c r="S957"/>
    </row>
    <row r="958" spans="1:19" x14ac:dyDescent="0.25">
      <c r="A958" t="s">
        <v>193</v>
      </c>
      <c r="C958" s="27" t="s">
        <v>34749</v>
      </c>
      <c r="D958" s="28" t="s">
        <v>34867</v>
      </c>
      <c r="J958" t="s">
        <v>2714</v>
      </c>
      <c r="K958" t="s">
        <v>2715</v>
      </c>
      <c r="L958" s="28" t="s">
        <v>2716</v>
      </c>
      <c r="M958" t="s">
        <v>23</v>
      </c>
      <c r="N958"/>
      <c r="O958"/>
      <c r="P958"/>
      <c r="Q958"/>
      <c r="R958"/>
      <c r="S958"/>
    </row>
    <row r="959" spans="1:19" x14ac:dyDescent="0.25">
      <c r="A959" t="s">
        <v>193</v>
      </c>
      <c r="C959" s="27" t="s">
        <v>34749</v>
      </c>
      <c r="D959" s="28" t="s">
        <v>34867</v>
      </c>
      <c r="J959" t="s">
        <v>2717</v>
      </c>
      <c r="K959" t="s">
        <v>2718</v>
      </c>
      <c r="L959" s="28" t="s">
        <v>2719</v>
      </c>
      <c r="M959" t="s">
        <v>23</v>
      </c>
      <c r="N959"/>
      <c r="O959"/>
      <c r="P959"/>
      <c r="Q959"/>
      <c r="R959"/>
      <c r="S959"/>
    </row>
    <row r="960" spans="1:19" x14ac:dyDescent="0.25">
      <c r="A960" t="s">
        <v>193</v>
      </c>
      <c r="C960" s="27" t="s">
        <v>34749</v>
      </c>
      <c r="D960" s="28" t="s">
        <v>34867</v>
      </c>
      <c r="J960" t="s">
        <v>2720</v>
      </c>
      <c r="K960" t="s">
        <v>2721</v>
      </c>
      <c r="L960" s="28" t="s">
        <v>2722</v>
      </c>
      <c r="M960" t="s">
        <v>23</v>
      </c>
      <c r="N960"/>
      <c r="O960"/>
      <c r="P960"/>
      <c r="Q960"/>
      <c r="R960"/>
      <c r="S960"/>
    </row>
    <row r="961" spans="1:19" x14ac:dyDescent="0.25">
      <c r="A961" t="s">
        <v>193</v>
      </c>
      <c r="C961" s="27" t="s">
        <v>34749</v>
      </c>
      <c r="D961" s="28" t="s">
        <v>34867</v>
      </c>
      <c r="J961" t="s">
        <v>2723</v>
      </c>
      <c r="K961" t="s">
        <v>2724</v>
      </c>
      <c r="L961" s="28" t="s">
        <v>2725</v>
      </c>
      <c r="M961" t="s">
        <v>23</v>
      </c>
      <c r="N961"/>
      <c r="O961"/>
      <c r="P961"/>
      <c r="Q961"/>
      <c r="R961"/>
      <c r="S961"/>
    </row>
    <row r="962" spans="1:19" x14ac:dyDescent="0.25">
      <c r="A962" t="s">
        <v>193</v>
      </c>
      <c r="C962" s="27" t="s">
        <v>34749</v>
      </c>
      <c r="D962" s="28" t="s">
        <v>34867</v>
      </c>
      <c r="J962" t="s">
        <v>2726</v>
      </c>
      <c r="K962" t="s">
        <v>2727</v>
      </c>
      <c r="L962" s="28" t="s">
        <v>2728</v>
      </c>
      <c r="M962" t="s">
        <v>23</v>
      </c>
      <c r="N962"/>
      <c r="O962"/>
      <c r="P962"/>
      <c r="Q962"/>
      <c r="R962"/>
      <c r="S962"/>
    </row>
    <row r="963" spans="1:19" x14ac:dyDescent="0.25">
      <c r="A963" t="s">
        <v>193</v>
      </c>
      <c r="C963" s="27" t="s">
        <v>34749</v>
      </c>
      <c r="D963" s="28" t="s">
        <v>34867</v>
      </c>
      <c r="J963" t="s">
        <v>2729</v>
      </c>
      <c r="K963" t="s">
        <v>2730</v>
      </c>
      <c r="L963" s="28" t="s">
        <v>2731</v>
      </c>
      <c r="M963" t="s">
        <v>23</v>
      </c>
      <c r="N963"/>
      <c r="O963"/>
      <c r="P963"/>
      <c r="Q963"/>
      <c r="R963"/>
      <c r="S963"/>
    </row>
    <row r="964" spans="1:19" x14ac:dyDescent="0.25">
      <c r="A964" t="s">
        <v>193</v>
      </c>
      <c r="C964" s="27" t="s">
        <v>34749</v>
      </c>
      <c r="D964" s="28" t="s">
        <v>34867</v>
      </c>
      <c r="J964" t="s">
        <v>2732</v>
      </c>
      <c r="K964" t="s">
        <v>2733</v>
      </c>
      <c r="L964" s="28" t="s">
        <v>2734</v>
      </c>
      <c r="M964" t="s">
        <v>23</v>
      </c>
      <c r="N964"/>
      <c r="O964"/>
      <c r="P964"/>
      <c r="Q964"/>
      <c r="R964"/>
      <c r="S964"/>
    </row>
    <row r="965" spans="1:19" x14ac:dyDescent="0.25">
      <c r="A965" t="s">
        <v>193</v>
      </c>
      <c r="C965" s="27" t="s">
        <v>34749</v>
      </c>
      <c r="D965" s="28" t="s">
        <v>34867</v>
      </c>
      <c r="J965" t="s">
        <v>2735</v>
      </c>
      <c r="K965" t="s">
        <v>2736</v>
      </c>
      <c r="L965" s="28" t="s">
        <v>2737</v>
      </c>
      <c r="M965" t="s">
        <v>23</v>
      </c>
      <c r="N965"/>
      <c r="O965"/>
      <c r="P965"/>
      <c r="Q965"/>
      <c r="R965"/>
      <c r="S965"/>
    </row>
    <row r="966" spans="1:19" x14ac:dyDescent="0.25">
      <c r="A966" t="s">
        <v>193</v>
      </c>
      <c r="C966" s="27" t="s">
        <v>34749</v>
      </c>
      <c r="D966" s="28" t="s">
        <v>34867</v>
      </c>
      <c r="J966" t="s">
        <v>2738</v>
      </c>
      <c r="K966" t="s">
        <v>2739</v>
      </c>
      <c r="L966" s="28" t="s">
        <v>2740</v>
      </c>
      <c r="M966" t="s">
        <v>23</v>
      </c>
      <c r="N966"/>
      <c r="O966"/>
      <c r="P966"/>
      <c r="Q966"/>
      <c r="R966"/>
      <c r="S966"/>
    </row>
    <row r="967" spans="1:19" x14ac:dyDescent="0.25">
      <c r="A967" t="s">
        <v>193</v>
      </c>
      <c r="C967" s="27" t="s">
        <v>34749</v>
      </c>
      <c r="D967" s="28" t="s">
        <v>34867</v>
      </c>
      <c r="J967" t="s">
        <v>2741</v>
      </c>
      <c r="K967" t="s">
        <v>2742</v>
      </c>
      <c r="L967" s="28" t="s">
        <v>2743</v>
      </c>
      <c r="M967" t="s">
        <v>23</v>
      </c>
      <c r="N967"/>
      <c r="O967"/>
      <c r="P967"/>
      <c r="Q967"/>
      <c r="R967"/>
      <c r="S967"/>
    </row>
    <row r="968" spans="1:19" x14ac:dyDescent="0.25">
      <c r="A968" t="s">
        <v>193</v>
      </c>
      <c r="C968" s="27" t="s">
        <v>34749</v>
      </c>
      <c r="D968" s="28" t="s">
        <v>34867</v>
      </c>
      <c r="J968" t="s">
        <v>2744</v>
      </c>
      <c r="K968" t="s">
        <v>2745</v>
      </c>
      <c r="L968" s="28" t="s">
        <v>2746</v>
      </c>
      <c r="M968" t="s">
        <v>23</v>
      </c>
      <c r="N968"/>
      <c r="O968"/>
      <c r="P968"/>
      <c r="Q968"/>
      <c r="R968"/>
      <c r="S968"/>
    </row>
    <row r="969" spans="1:19" x14ac:dyDescent="0.25">
      <c r="A969" t="s">
        <v>193</v>
      </c>
      <c r="C969" s="27" t="s">
        <v>34749</v>
      </c>
      <c r="D969" s="28" t="s">
        <v>34867</v>
      </c>
      <c r="J969" t="s">
        <v>2747</v>
      </c>
      <c r="K969" t="s">
        <v>2748</v>
      </c>
      <c r="L969" s="28" t="s">
        <v>2749</v>
      </c>
      <c r="M969" t="s">
        <v>23</v>
      </c>
      <c r="N969"/>
      <c r="O969"/>
      <c r="P969"/>
      <c r="Q969"/>
      <c r="R969"/>
      <c r="S969"/>
    </row>
    <row r="970" spans="1:19" x14ac:dyDescent="0.25">
      <c r="A970" t="s">
        <v>193</v>
      </c>
      <c r="C970" s="27" t="s">
        <v>34749</v>
      </c>
      <c r="D970" s="28" t="s">
        <v>34867</v>
      </c>
      <c r="J970" t="s">
        <v>2750</v>
      </c>
      <c r="K970" t="s">
        <v>2751</v>
      </c>
      <c r="L970" s="28" t="s">
        <v>2752</v>
      </c>
      <c r="M970" t="s">
        <v>23</v>
      </c>
      <c r="N970"/>
      <c r="O970"/>
      <c r="P970"/>
      <c r="Q970"/>
      <c r="R970"/>
      <c r="S970"/>
    </row>
    <row r="971" spans="1:19" x14ac:dyDescent="0.25">
      <c r="A971" t="s">
        <v>193</v>
      </c>
      <c r="C971" s="27" t="s">
        <v>34749</v>
      </c>
      <c r="D971" s="28" t="s">
        <v>34867</v>
      </c>
      <c r="J971" t="s">
        <v>2753</v>
      </c>
      <c r="K971" t="s">
        <v>2754</v>
      </c>
      <c r="L971" s="28" t="s">
        <v>2755</v>
      </c>
      <c r="M971" t="s">
        <v>23</v>
      </c>
      <c r="N971"/>
      <c r="O971"/>
      <c r="P971"/>
      <c r="Q971"/>
      <c r="R971"/>
      <c r="S971"/>
    </row>
    <row r="972" spans="1:19" x14ac:dyDescent="0.25">
      <c r="A972" t="s">
        <v>193</v>
      </c>
      <c r="C972" s="27" t="s">
        <v>34749</v>
      </c>
      <c r="D972" s="28" t="s">
        <v>34867</v>
      </c>
      <c r="J972" t="s">
        <v>2756</v>
      </c>
      <c r="K972" t="s">
        <v>2757</v>
      </c>
      <c r="L972" s="28" t="s">
        <v>2758</v>
      </c>
      <c r="M972" t="s">
        <v>23</v>
      </c>
      <c r="N972"/>
      <c r="O972"/>
      <c r="P972"/>
      <c r="Q972"/>
      <c r="R972"/>
      <c r="S972"/>
    </row>
    <row r="973" spans="1:19" x14ac:dyDescent="0.25">
      <c r="A973" t="s">
        <v>193</v>
      </c>
      <c r="C973" s="27" t="s">
        <v>34749</v>
      </c>
      <c r="D973" s="28" t="s">
        <v>34867</v>
      </c>
      <c r="J973" t="s">
        <v>2759</v>
      </c>
      <c r="K973" t="s">
        <v>2760</v>
      </c>
      <c r="L973" s="28" t="s">
        <v>2761</v>
      </c>
      <c r="M973" t="s">
        <v>23</v>
      </c>
      <c r="N973"/>
      <c r="O973"/>
      <c r="P973"/>
      <c r="Q973"/>
      <c r="R973"/>
      <c r="S973"/>
    </row>
    <row r="974" spans="1:19" x14ac:dyDescent="0.25">
      <c r="A974" t="s">
        <v>193</v>
      </c>
      <c r="C974" s="27" t="s">
        <v>34749</v>
      </c>
      <c r="D974" s="28" t="s">
        <v>34867</v>
      </c>
      <c r="J974" t="s">
        <v>2762</v>
      </c>
      <c r="K974" t="s">
        <v>2763</v>
      </c>
      <c r="L974" s="28" t="s">
        <v>2764</v>
      </c>
      <c r="M974" t="s">
        <v>23</v>
      </c>
      <c r="N974"/>
      <c r="O974"/>
      <c r="P974"/>
      <c r="Q974"/>
      <c r="R974"/>
      <c r="S974"/>
    </row>
    <row r="975" spans="1:19" x14ac:dyDescent="0.25">
      <c r="A975" t="s">
        <v>193</v>
      </c>
      <c r="C975" s="27" t="s">
        <v>34749</v>
      </c>
      <c r="D975" s="28" t="s">
        <v>34867</v>
      </c>
      <c r="J975" t="s">
        <v>2765</v>
      </c>
      <c r="K975" t="s">
        <v>2766</v>
      </c>
      <c r="L975" s="28" t="s">
        <v>2767</v>
      </c>
      <c r="M975" t="s">
        <v>23</v>
      </c>
      <c r="N975"/>
      <c r="O975"/>
      <c r="P975"/>
      <c r="Q975"/>
      <c r="R975"/>
      <c r="S975"/>
    </row>
    <row r="976" spans="1:19" x14ac:dyDescent="0.25">
      <c r="A976" t="s">
        <v>193</v>
      </c>
      <c r="C976" s="27" t="s">
        <v>34749</v>
      </c>
      <c r="D976" s="28" t="s">
        <v>34867</v>
      </c>
      <c r="J976" t="s">
        <v>2768</v>
      </c>
      <c r="K976" t="s">
        <v>2769</v>
      </c>
      <c r="L976" s="28" t="s">
        <v>2770</v>
      </c>
      <c r="M976" t="s">
        <v>23</v>
      </c>
      <c r="N976"/>
      <c r="O976"/>
      <c r="P976"/>
      <c r="Q976"/>
      <c r="R976"/>
      <c r="S976"/>
    </row>
    <row r="977" spans="1:19" x14ac:dyDescent="0.25">
      <c r="A977" t="s">
        <v>193</v>
      </c>
      <c r="C977" s="27" t="s">
        <v>34749</v>
      </c>
      <c r="D977" s="28" t="s">
        <v>34867</v>
      </c>
      <c r="J977" t="s">
        <v>2771</v>
      </c>
      <c r="K977" t="s">
        <v>2772</v>
      </c>
      <c r="L977" s="28" t="s">
        <v>2773</v>
      </c>
      <c r="M977" t="s">
        <v>23</v>
      </c>
      <c r="N977"/>
      <c r="O977"/>
      <c r="P977"/>
      <c r="Q977"/>
      <c r="R977"/>
      <c r="S977"/>
    </row>
    <row r="978" spans="1:19" x14ac:dyDescent="0.25">
      <c r="A978" t="s">
        <v>193</v>
      </c>
      <c r="C978" s="27" t="s">
        <v>34749</v>
      </c>
      <c r="D978" s="28" t="s">
        <v>34867</v>
      </c>
      <c r="J978" t="s">
        <v>2774</v>
      </c>
      <c r="K978" t="s">
        <v>2775</v>
      </c>
      <c r="L978" s="28" t="s">
        <v>2776</v>
      </c>
      <c r="M978" t="s">
        <v>23</v>
      </c>
      <c r="N978"/>
      <c r="O978"/>
      <c r="P978"/>
      <c r="Q978"/>
      <c r="R978"/>
      <c r="S978"/>
    </row>
    <row r="979" spans="1:19" x14ac:dyDescent="0.25">
      <c r="A979" s="28" t="s">
        <v>14843</v>
      </c>
      <c r="J979" t="s">
        <v>2777</v>
      </c>
      <c r="K979" t="s">
        <v>2778</v>
      </c>
      <c r="M979" t="s">
        <v>2779</v>
      </c>
      <c r="N979"/>
      <c r="O979"/>
      <c r="P979"/>
      <c r="Q979"/>
      <c r="R979"/>
      <c r="S979"/>
    </row>
    <row r="980" spans="1:19" x14ac:dyDescent="0.25">
      <c r="A980" s="28" t="s">
        <v>14843</v>
      </c>
      <c r="J980" t="s">
        <v>2780</v>
      </c>
      <c r="K980" t="s">
        <v>2781</v>
      </c>
      <c r="M980" t="s">
        <v>47</v>
      </c>
      <c r="N980"/>
      <c r="O980"/>
      <c r="P980"/>
      <c r="Q980"/>
      <c r="R980"/>
      <c r="S980"/>
    </row>
    <row r="981" spans="1:19" x14ac:dyDescent="0.25">
      <c r="A981" s="28" t="s">
        <v>14843</v>
      </c>
      <c r="J981" t="s">
        <v>2782</v>
      </c>
      <c r="K981" t="s">
        <v>2783</v>
      </c>
      <c r="M981" t="s">
        <v>47</v>
      </c>
      <c r="N981"/>
      <c r="O981"/>
      <c r="P981"/>
      <c r="Q981"/>
      <c r="R981"/>
      <c r="S981"/>
    </row>
    <row r="982" spans="1:19" x14ac:dyDescent="0.25">
      <c r="A982" t="s">
        <v>169</v>
      </c>
      <c r="J982" t="s">
        <v>2784</v>
      </c>
      <c r="K982" t="s">
        <v>2785</v>
      </c>
      <c r="M982" t="s">
        <v>47</v>
      </c>
      <c r="N982"/>
      <c r="O982"/>
      <c r="P982"/>
      <c r="Q982"/>
      <c r="R982"/>
      <c r="S982"/>
    </row>
    <row r="983" spans="1:19" x14ac:dyDescent="0.25">
      <c r="A983" t="s">
        <v>2786</v>
      </c>
      <c r="J983" t="s">
        <v>2787</v>
      </c>
      <c r="K983" t="s">
        <v>2788</v>
      </c>
      <c r="M983" t="s">
        <v>47</v>
      </c>
      <c r="N983"/>
      <c r="O983"/>
      <c r="P983"/>
      <c r="Q983"/>
      <c r="R983"/>
      <c r="S983"/>
    </row>
    <row r="984" spans="1:19" x14ac:dyDescent="0.25">
      <c r="A984" t="s">
        <v>2789</v>
      </c>
      <c r="J984" t="s">
        <v>2790</v>
      </c>
      <c r="K984" t="s">
        <v>2791</v>
      </c>
      <c r="M984" t="s">
        <v>47</v>
      </c>
      <c r="N984"/>
      <c r="O984"/>
      <c r="P984"/>
      <c r="Q984"/>
      <c r="R984"/>
      <c r="S984"/>
    </row>
    <row r="985" spans="1:19" x14ac:dyDescent="0.25">
      <c r="A985" t="s">
        <v>2792</v>
      </c>
      <c r="J985" t="s">
        <v>2793</v>
      </c>
      <c r="K985" t="s">
        <v>2794</v>
      </c>
      <c r="M985" t="s">
        <v>47</v>
      </c>
      <c r="N985"/>
      <c r="O985"/>
      <c r="P985"/>
      <c r="Q985"/>
      <c r="R985"/>
      <c r="S985"/>
    </row>
    <row r="986" spans="1:19" x14ac:dyDescent="0.25">
      <c r="A986" s="28" t="s">
        <v>14843</v>
      </c>
      <c r="J986" t="s">
        <v>2795</v>
      </c>
      <c r="K986" t="s">
        <v>2796</v>
      </c>
      <c r="M986" t="s">
        <v>47</v>
      </c>
      <c r="N986"/>
      <c r="O986"/>
      <c r="P986"/>
      <c r="Q986"/>
      <c r="R986"/>
      <c r="S986"/>
    </row>
    <row r="987" spans="1:19" x14ac:dyDescent="0.25">
      <c r="A987" s="28" t="s">
        <v>14843</v>
      </c>
      <c r="J987" t="s">
        <v>2797</v>
      </c>
      <c r="K987" t="s">
        <v>2798</v>
      </c>
      <c r="M987" t="s">
        <v>47</v>
      </c>
      <c r="N987"/>
      <c r="O987"/>
      <c r="P987"/>
      <c r="Q987"/>
      <c r="R987"/>
      <c r="S987"/>
    </row>
    <row r="988" spans="1:19" x14ac:dyDescent="0.25">
      <c r="A988" s="28" t="s">
        <v>14843</v>
      </c>
      <c r="G988" t="s">
        <v>2799</v>
      </c>
      <c r="J988" t="s">
        <v>2800</v>
      </c>
      <c r="K988" t="s">
        <v>2801</v>
      </c>
      <c r="M988" t="s">
        <v>666</v>
      </c>
      <c r="N988"/>
      <c r="O988"/>
      <c r="P988"/>
      <c r="Q988"/>
      <c r="R988"/>
      <c r="S988"/>
    </row>
    <row r="989" spans="1:19" x14ac:dyDescent="0.25">
      <c r="A989" s="28" t="s">
        <v>14843</v>
      </c>
      <c r="J989" t="s">
        <v>2802</v>
      </c>
      <c r="K989" t="s">
        <v>2803</v>
      </c>
      <c r="M989" t="s">
        <v>47</v>
      </c>
      <c r="N989"/>
      <c r="O989"/>
      <c r="P989"/>
      <c r="Q989"/>
      <c r="R989"/>
      <c r="S989"/>
    </row>
    <row r="990" spans="1:19" x14ac:dyDescent="0.25">
      <c r="A990" s="28" t="s">
        <v>14843</v>
      </c>
      <c r="J990" t="s">
        <v>2804</v>
      </c>
      <c r="K990" t="s">
        <v>2805</v>
      </c>
      <c r="M990" t="s">
        <v>47</v>
      </c>
      <c r="N990"/>
      <c r="O990"/>
      <c r="P990"/>
      <c r="Q990"/>
      <c r="R990"/>
      <c r="S990"/>
    </row>
    <row r="991" spans="1:19" x14ac:dyDescent="0.25">
      <c r="A991" s="28" t="s">
        <v>14843</v>
      </c>
      <c r="J991" t="s">
        <v>2806</v>
      </c>
      <c r="K991" t="s">
        <v>2807</v>
      </c>
      <c r="M991" t="s">
        <v>47</v>
      </c>
      <c r="N991"/>
      <c r="O991"/>
      <c r="P991"/>
      <c r="Q991"/>
      <c r="R991"/>
      <c r="S991"/>
    </row>
    <row r="992" spans="1:19" x14ac:dyDescent="0.25">
      <c r="A992" t="s">
        <v>193</v>
      </c>
      <c r="C992" s="27" t="s">
        <v>34749</v>
      </c>
      <c r="D992" s="28" t="s">
        <v>34867</v>
      </c>
      <c r="J992" t="s">
        <v>2808</v>
      </c>
      <c r="K992" t="s">
        <v>2809</v>
      </c>
      <c r="L992" s="28" t="s">
        <v>2810</v>
      </c>
      <c r="M992" t="s">
        <v>23</v>
      </c>
      <c r="N992"/>
      <c r="O992"/>
      <c r="P992"/>
      <c r="Q992"/>
      <c r="R992"/>
      <c r="S992"/>
    </row>
    <row r="993" spans="1:19" x14ac:dyDescent="0.25">
      <c r="A993" s="28" t="s">
        <v>14843</v>
      </c>
      <c r="J993" t="s">
        <v>2811</v>
      </c>
      <c r="K993" t="s">
        <v>2812</v>
      </c>
      <c r="M993" t="s">
        <v>666</v>
      </c>
      <c r="N993"/>
      <c r="O993"/>
      <c r="P993"/>
      <c r="Q993"/>
      <c r="R993"/>
      <c r="S993"/>
    </row>
    <row r="994" spans="1:19" x14ac:dyDescent="0.25">
      <c r="A994" t="s">
        <v>193</v>
      </c>
      <c r="C994" s="27" t="s">
        <v>34749</v>
      </c>
      <c r="D994" s="28" t="s">
        <v>34867</v>
      </c>
      <c r="J994" t="s">
        <v>2813</v>
      </c>
      <c r="K994" t="s">
        <v>2814</v>
      </c>
      <c r="L994" s="28" t="s">
        <v>2815</v>
      </c>
      <c r="M994" t="s">
        <v>23</v>
      </c>
      <c r="N994"/>
      <c r="O994"/>
      <c r="P994"/>
      <c r="Q994"/>
      <c r="R994"/>
      <c r="S994"/>
    </row>
    <row r="995" spans="1:19" x14ac:dyDescent="0.25">
      <c r="A995" s="28" t="s">
        <v>14843</v>
      </c>
      <c r="J995" t="s">
        <v>2816</v>
      </c>
      <c r="K995" t="s">
        <v>2817</v>
      </c>
      <c r="M995" t="s">
        <v>47</v>
      </c>
      <c r="N995"/>
      <c r="O995"/>
      <c r="P995"/>
      <c r="Q995"/>
      <c r="R995"/>
      <c r="S995"/>
    </row>
    <row r="996" spans="1:19" x14ac:dyDescent="0.25">
      <c r="A996" s="28" t="s">
        <v>14843</v>
      </c>
      <c r="J996" t="s">
        <v>2818</v>
      </c>
      <c r="K996" t="s">
        <v>2819</v>
      </c>
      <c r="M996" t="s">
        <v>2820</v>
      </c>
      <c r="N996"/>
      <c r="O996"/>
      <c r="P996"/>
      <c r="Q996"/>
      <c r="R996"/>
      <c r="S996"/>
    </row>
    <row r="997" spans="1:19" x14ac:dyDescent="0.25">
      <c r="A997" s="28" t="s">
        <v>14843</v>
      </c>
      <c r="J997" t="s">
        <v>2821</v>
      </c>
      <c r="K997" t="s">
        <v>2822</v>
      </c>
      <c r="M997" t="s">
        <v>47</v>
      </c>
      <c r="N997"/>
      <c r="O997"/>
      <c r="P997"/>
      <c r="Q997"/>
      <c r="R997"/>
      <c r="S997"/>
    </row>
    <row r="998" spans="1:19" x14ac:dyDescent="0.25">
      <c r="A998" s="28" t="s">
        <v>14843</v>
      </c>
      <c r="J998" t="s">
        <v>2823</v>
      </c>
      <c r="K998" t="s">
        <v>2824</v>
      </c>
      <c r="M998" t="s">
        <v>47</v>
      </c>
      <c r="N998"/>
      <c r="O998"/>
      <c r="P998"/>
      <c r="Q998"/>
      <c r="R998"/>
      <c r="S998"/>
    </row>
    <row r="999" spans="1:19" x14ac:dyDescent="0.25">
      <c r="A999" s="28" t="s">
        <v>14843</v>
      </c>
      <c r="J999" t="s">
        <v>2825</v>
      </c>
      <c r="K999" t="s">
        <v>2826</v>
      </c>
      <c r="M999" t="s">
        <v>47</v>
      </c>
      <c r="N999"/>
      <c r="O999"/>
      <c r="P999"/>
      <c r="Q999"/>
      <c r="R999"/>
      <c r="S999"/>
    </row>
    <row r="1000" spans="1:19" x14ac:dyDescent="0.25">
      <c r="A1000" t="s">
        <v>193</v>
      </c>
      <c r="C1000" s="27" t="s">
        <v>34749</v>
      </c>
      <c r="D1000" s="28" t="s">
        <v>34867</v>
      </c>
      <c r="J1000" t="s">
        <v>2827</v>
      </c>
      <c r="K1000" t="s">
        <v>2828</v>
      </c>
      <c r="L1000" s="28" t="s">
        <v>2829</v>
      </c>
      <c r="M1000" t="s">
        <v>23</v>
      </c>
      <c r="N1000"/>
      <c r="O1000"/>
      <c r="P1000"/>
      <c r="Q1000"/>
      <c r="R1000"/>
      <c r="S1000"/>
    </row>
    <row r="1001" spans="1:19" x14ac:dyDescent="0.25">
      <c r="A1001" t="s">
        <v>193</v>
      </c>
      <c r="C1001" s="27" t="s">
        <v>34749</v>
      </c>
      <c r="D1001" s="28" t="s">
        <v>34867</v>
      </c>
      <c r="J1001" t="s">
        <v>2830</v>
      </c>
      <c r="K1001" t="s">
        <v>2831</v>
      </c>
      <c r="L1001" s="28" t="s">
        <v>2832</v>
      </c>
      <c r="M1001" t="s">
        <v>23</v>
      </c>
      <c r="N1001"/>
      <c r="O1001"/>
      <c r="P1001"/>
      <c r="Q1001"/>
      <c r="R1001"/>
      <c r="S1001"/>
    </row>
    <row r="1002" spans="1:19" x14ac:dyDescent="0.25">
      <c r="A1002" t="s">
        <v>193</v>
      </c>
      <c r="C1002" s="27" t="s">
        <v>34749</v>
      </c>
      <c r="D1002" s="28" t="s">
        <v>34867</v>
      </c>
      <c r="J1002" t="s">
        <v>2833</v>
      </c>
      <c r="K1002" t="s">
        <v>2834</v>
      </c>
      <c r="L1002" s="28" t="s">
        <v>2835</v>
      </c>
      <c r="M1002" t="s">
        <v>23</v>
      </c>
      <c r="N1002"/>
      <c r="O1002"/>
      <c r="P1002"/>
      <c r="Q1002"/>
      <c r="R1002"/>
      <c r="S1002"/>
    </row>
    <row r="1003" spans="1:19" x14ac:dyDescent="0.25">
      <c r="A1003" s="28" t="s">
        <v>14843</v>
      </c>
      <c r="J1003" t="s">
        <v>2836</v>
      </c>
      <c r="K1003" t="s">
        <v>2837</v>
      </c>
      <c r="M1003" t="s">
        <v>666</v>
      </c>
      <c r="N1003"/>
      <c r="O1003"/>
      <c r="P1003"/>
      <c r="Q1003"/>
      <c r="R1003"/>
      <c r="S1003"/>
    </row>
    <row r="1004" spans="1:19" x14ac:dyDescent="0.25">
      <c r="A1004" s="28" t="s">
        <v>14843</v>
      </c>
      <c r="J1004" t="s">
        <v>2838</v>
      </c>
      <c r="K1004" t="s">
        <v>2839</v>
      </c>
      <c r="M1004" t="s">
        <v>666</v>
      </c>
      <c r="N1004"/>
      <c r="O1004"/>
      <c r="P1004"/>
      <c r="Q1004"/>
      <c r="R1004"/>
      <c r="S1004"/>
    </row>
    <row r="1005" spans="1:19" x14ac:dyDescent="0.25">
      <c r="A1005" s="28" t="s">
        <v>14843</v>
      </c>
      <c r="J1005" t="s">
        <v>2840</v>
      </c>
      <c r="K1005" t="s">
        <v>2841</v>
      </c>
      <c r="M1005" t="s">
        <v>2820</v>
      </c>
      <c r="N1005"/>
      <c r="O1005"/>
      <c r="P1005"/>
      <c r="Q1005"/>
      <c r="R1005"/>
      <c r="S1005"/>
    </row>
    <row r="1006" spans="1:19" x14ac:dyDescent="0.25">
      <c r="A1006" s="28" t="s">
        <v>14843</v>
      </c>
      <c r="J1006" t="s">
        <v>2842</v>
      </c>
      <c r="K1006" t="s">
        <v>2843</v>
      </c>
      <c r="M1006" t="s">
        <v>2820</v>
      </c>
      <c r="N1006"/>
      <c r="O1006"/>
      <c r="P1006"/>
      <c r="Q1006"/>
      <c r="R1006"/>
      <c r="S1006"/>
    </row>
    <row r="1007" spans="1:19" x14ac:dyDescent="0.25">
      <c r="A1007" s="28" t="s">
        <v>14843</v>
      </c>
      <c r="J1007" t="s">
        <v>2844</v>
      </c>
      <c r="K1007" t="s">
        <v>2845</v>
      </c>
      <c r="M1007" t="s">
        <v>2820</v>
      </c>
      <c r="N1007"/>
      <c r="O1007"/>
      <c r="P1007"/>
      <c r="Q1007"/>
      <c r="R1007"/>
      <c r="S1007"/>
    </row>
    <row r="1008" spans="1:19" x14ac:dyDescent="0.25">
      <c r="A1008" s="28" t="s">
        <v>14843</v>
      </c>
      <c r="J1008" t="s">
        <v>2846</v>
      </c>
      <c r="K1008" t="s">
        <v>2847</v>
      </c>
      <c r="M1008" t="s">
        <v>2820</v>
      </c>
      <c r="N1008"/>
      <c r="O1008"/>
      <c r="P1008"/>
      <c r="Q1008"/>
      <c r="R1008"/>
      <c r="S1008"/>
    </row>
    <row r="1009" spans="1:19" x14ac:dyDescent="0.25">
      <c r="A1009" s="28" t="s">
        <v>14843</v>
      </c>
      <c r="J1009" t="s">
        <v>2848</v>
      </c>
      <c r="K1009" t="s">
        <v>2849</v>
      </c>
      <c r="M1009" t="s">
        <v>2820</v>
      </c>
      <c r="N1009"/>
      <c r="O1009"/>
      <c r="P1009"/>
      <c r="Q1009"/>
      <c r="R1009"/>
      <c r="S1009"/>
    </row>
    <row r="1010" spans="1:19" x14ac:dyDescent="0.25">
      <c r="A1010" s="28" t="s">
        <v>14843</v>
      </c>
      <c r="J1010" t="s">
        <v>2850</v>
      </c>
      <c r="K1010" t="s">
        <v>2851</v>
      </c>
      <c r="M1010" t="s">
        <v>2820</v>
      </c>
      <c r="N1010"/>
      <c r="O1010"/>
      <c r="P1010"/>
      <c r="Q1010"/>
      <c r="R1010"/>
      <c r="S1010"/>
    </row>
    <row r="1011" spans="1:19" x14ac:dyDescent="0.25">
      <c r="A1011" s="28" t="s">
        <v>14843</v>
      </c>
      <c r="J1011" t="s">
        <v>2852</v>
      </c>
      <c r="K1011" t="s">
        <v>2853</v>
      </c>
      <c r="M1011" t="s">
        <v>2820</v>
      </c>
      <c r="N1011"/>
      <c r="O1011"/>
      <c r="P1011"/>
      <c r="Q1011"/>
      <c r="R1011"/>
      <c r="S1011"/>
    </row>
    <row r="1012" spans="1:19" x14ac:dyDescent="0.25">
      <c r="A1012" s="28" t="s">
        <v>14843</v>
      </c>
      <c r="J1012" t="s">
        <v>2854</v>
      </c>
      <c r="K1012" t="s">
        <v>2855</v>
      </c>
      <c r="M1012" t="s">
        <v>2820</v>
      </c>
      <c r="N1012"/>
      <c r="O1012"/>
      <c r="P1012"/>
      <c r="Q1012"/>
      <c r="R1012"/>
      <c r="S1012"/>
    </row>
    <row r="1013" spans="1:19" x14ac:dyDescent="0.25">
      <c r="A1013" s="28" t="s">
        <v>14843</v>
      </c>
      <c r="J1013" t="s">
        <v>2856</v>
      </c>
      <c r="K1013" t="s">
        <v>2857</v>
      </c>
      <c r="M1013" t="s">
        <v>2820</v>
      </c>
      <c r="N1013"/>
      <c r="O1013"/>
      <c r="P1013"/>
      <c r="Q1013"/>
      <c r="R1013"/>
      <c r="S1013"/>
    </row>
    <row r="1014" spans="1:19" x14ac:dyDescent="0.25">
      <c r="A1014" s="28" t="s">
        <v>14843</v>
      </c>
      <c r="J1014" t="s">
        <v>2858</v>
      </c>
      <c r="K1014" t="s">
        <v>2859</v>
      </c>
      <c r="M1014" t="s">
        <v>2820</v>
      </c>
      <c r="N1014"/>
      <c r="O1014"/>
      <c r="P1014"/>
      <c r="Q1014"/>
      <c r="R1014"/>
      <c r="S1014"/>
    </row>
    <row r="1015" spans="1:19" x14ac:dyDescent="0.25">
      <c r="A1015" s="28" t="s">
        <v>14843</v>
      </c>
      <c r="J1015" t="s">
        <v>2860</v>
      </c>
      <c r="K1015" t="s">
        <v>2861</v>
      </c>
      <c r="M1015" t="s">
        <v>2862</v>
      </c>
      <c r="N1015"/>
      <c r="O1015"/>
      <c r="P1015"/>
      <c r="Q1015"/>
      <c r="R1015"/>
      <c r="S1015"/>
    </row>
    <row r="1016" spans="1:19" x14ac:dyDescent="0.25">
      <c r="A1016" s="28" t="s">
        <v>14843</v>
      </c>
      <c r="J1016" t="s">
        <v>2863</v>
      </c>
      <c r="K1016" t="s">
        <v>2864</v>
      </c>
      <c r="M1016" t="s">
        <v>2862</v>
      </c>
      <c r="N1016"/>
      <c r="O1016"/>
      <c r="P1016"/>
      <c r="Q1016"/>
      <c r="R1016"/>
      <c r="S1016"/>
    </row>
    <row r="1017" spans="1:19" x14ac:dyDescent="0.25">
      <c r="A1017" s="28" t="s">
        <v>14843</v>
      </c>
      <c r="C1017"/>
      <c r="E1017"/>
      <c r="F1017"/>
      <c r="G1017"/>
      <c r="H1017"/>
      <c r="I1017"/>
      <c r="J1017" t="s">
        <v>2865</v>
      </c>
      <c r="K1017" t="s">
        <v>2866</v>
      </c>
      <c r="M1017" t="s">
        <v>2862</v>
      </c>
      <c r="N1017"/>
      <c r="O1017"/>
      <c r="P1017"/>
      <c r="Q1017"/>
      <c r="R1017"/>
      <c r="S1017"/>
    </row>
    <row r="1018" spans="1:19" x14ac:dyDescent="0.25">
      <c r="A1018" s="28" t="s">
        <v>14843</v>
      </c>
      <c r="C1018"/>
      <c r="E1018"/>
      <c r="F1018"/>
      <c r="G1018"/>
      <c r="H1018"/>
      <c r="I1018"/>
      <c r="J1018" t="s">
        <v>2867</v>
      </c>
      <c r="K1018" t="s">
        <v>2868</v>
      </c>
      <c r="M1018" t="s">
        <v>2862</v>
      </c>
      <c r="N1018"/>
      <c r="O1018"/>
      <c r="P1018"/>
      <c r="Q1018"/>
      <c r="R1018"/>
      <c r="S1018"/>
    </row>
    <row r="1019" spans="1:19" x14ac:dyDescent="0.25">
      <c r="A1019" s="28" t="s">
        <v>14843</v>
      </c>
      <c r="C1019"/>
      <c r="E1019"/>
      <c r="F1019"/>
      <c r="G1019"/>
      <c r="H1019"/>
      <c r="I1019"/>
      <c r="J1019" t="s">
        <v>2869</v>
      </c>
      <c r="K1019" t="s">
        <v>2870</v>
      </c>
      <c r="M1019" t="s">
        <v>2820</v>
      </c>
      <c r="N1019"/>
      <c r="O1019"/>
      <c r="P1019"/>
      <c r="Q1019"/>
      <c r="R1019"/>
      <c r="S1019"/>
    </row>
    <row r="1020" spans="1:19" x14ac:dyDescent="0.25">
      <c r="A1020" s="28" t="s">
        <v>14843</v>
      </c>
      <c r="C1020"/>
      <c r="E1020"/>
      <c r="F1020"/>
      <c r="G1020"/>
      <c r="H1020"/>
      <c r="I1020"/>
      <c r="J1020" t="s">
        <v>2871</v>
      </c>
      <c r="K1020" t="s">
        <v>2872</v>
      </c>
      <c r="M1020" t="s">
        <v>2862</v>
      </c>
      <c r="N1020"/>
      <c r="O1020"/>
      <c r="P1020"/>
      <c r="Q1020"/>
      <c r="R1020"/>
      <c r="S1020"/>
    </row>
    <row r="1021" spans="1:19" x14ac:dyDescent="0.25">
      <c r="A1021" s="28" t="s">
        <v>14843</v>
      </c>
      <c r="C1021"/>
      <c r="E1021"/>
      <c r="F1021"/>
      <c r="G1021"/>
      <c r="H1021"/>
      <c r="I1021"/>
      <c r="J1021" t="s">
        <v>2873</v>
      </c>
      <c r="K1021" t="s">
        <v>2874</v>
      </c>
      <c r="M1021" t="s">
        <v>2862</v>
      </c>
      <c r="N1021"/>
      <c r="O1021"/>
      <c r="P1021"/>
      <c r="Q1021"/>
      <c r="R1021"/>
      <c r="S1021"/>
    </row>
    <row r="1022" spans="1:19" x14ac:dyDescent="0.25">
      <c r="A1022" s="28" t="s">
        <v>14843</v>
      </c>
      <c r="C1022"/>
      <c r="E1022"/>
      <c r="F1022"/>
      <c r="G1022"/>
      <c r="H1022"/>
      <c r="I1022"/>
      <c r="J1022" t="s">
        <v>2875</v>
      </c>
      <c r="K1022" t="s">
        <v>2876</v>
      </c>
      <c r="M1022" t="s">
        <v>2862</v>
      </c>
      <c r="N1022"/>
      <c r="O1022"/>
      <c r="P1022"/>
      <c r="Q1022"/>
      <c r="R1022"/>
      <c r="S1022"/>
    </row>
    <row r="1023" spans="1:19" x14ac:dyDescent="0.25">
      <c r="A1023" s="28" t="s">
        <v>14843</v>
      </c>
      <c r="C1023"/>
      <c r="E1023"/>
      <c r="F1023"/>
      <c r="G1023"/>
      <c r="H1023"/>
      <c r="I1023"/>
      <c r="J1023" t="s">
        <v>2877</v>
      </c>
      <c r="K1023" t="s">
        <v>2878</v>
      </c>
      <c r="M1023" t="s">
        <v>2862</v>
      </c>
      <c r="N1023"/>
      <c r="O1023"/>
      <c r="P1023"/>
      <c r="Q1023"/>
      <c r="R1023"/>
      <c r="S1023"/>
    </row>
    <row r="1024" spans="1:19" x14ac:dyDescent="0.25">
      <c r="A1024" s="28" t="s">
        <v>14843</v>
      </c>
      <c r="C1024"/>
      <c r="E1024"/>
      <c r="F1024"/>
      <c r="G1024"/>
      <c r="H1024"/>
      <c r="I1024"/>
      <c r="J1024" t="s">
        <v>2879</v>
      </c>
      <c r="K1024" t="s">
        <v>2880</v>
      </c>
      <c r="M1024" t="s">
        <v>2862</v>
      </c>
      <c r="N1024"/>
      <c r="O1024"/>
      <c r="P1024"/>
      <c r="Q1024"/>
      <c r="R1024"/>
      <c r="S1024"/>
    </row>
    <row r="1025" spans="1:19" x14ac:dyDescent="0.25">
      <c r="A1025" s="28" t="s">
        <v>14843</v>
      </c>
      <c r="C1025"/>
      <c r="E1025"/>
      <c r="F1025"/>
      <c r="G1025"/>
      <c r="H1025"/>
      <c r="I1025"/>
      <c r="J1025" t="s">
        <v>2881</v>
      </c>
      <c r="K1025" t="s">
        <v>2882</v>
      </c>
      <c r="M1025" t="s">
        <v>2862</v>
      </c>
      <c r="N1025"/>
      <c r="O1025"/>
      <c r="P1025"/>
      <c r="Q1025"/>
      <c r="R1025"/>
      <c r="S1025"/>
    </row>
    <row r="1026" spans="1:19" x14ac:dyDescent="0.25">
      <c r="A1026" s="28" t="s">
        <v>14843</v>
      </c>
      <c r="C1026"/>
      <c r="E1026"/>
      <c r="F1026"/>
      <c r="G1026"/>
      <c r="H1026"/>
      <c r="I1026"/>
      <c r="J1026" t="s">
        <v>2883</v>
      </c>
      <c r="K1026" t="s">
        <v>2884</v>
      </c>
      <c r="M1026" t="s">
        <v>2862</v>
      </c>
      <c r="N1026"/>
      <c r="O1026"/>
      <c r="P1026"/>
      <c r="Q1026"/>
      <c r="R1026"/>
      <c r="S1026"/>
    </row>
    <row r="1027" spans="1:19" x14ac:dyDescent="0.25">
      <c r="A1027" s="28" t="s">
        <v>14843</v>
      </c>
      <c r="C1027"/>
      <c r="E1027"/>
      <c r="F1027"/>
      <c r="G1027"/>
      <c r="H1027"/>
      <c r="I1027"/>
      <c r="J1027" t="s">
        <v>2885</v>
      </c>
      <c r="K1027" t="s">
        <v>2886</v>
      </c>
      <c r="M1027" t="s">
        <v>2862</v>
      </c>
      <c r="N1027"/>
      <c r="O1027"/>
      <c r="P1027"/>
      <c r="Q1027"/>
      <c r="R1027"/>
      <c r="S1027"/>
    </row>
    <row r="1028" spans="1:19" x14ac:dyDescent="0.25">
      <c r="A1028" s="28" t="s">
        <v>14843</v>
      </c>
      <c r="C1028"/>
      <c r="E1028"/>
      <c r="F1028"/>
      <c r="G1028"/>
      <c r="H1028"/>
      <c r="I1028"/>
      <c r="J1028" t="s">
        <v>2887</v>
      </c>
      <c r="K1028" t="s">
        <v>2888</v>
      </c>
      <c r="M1028" t="s">
        <v>2862</v>
      </c>
      <c r="N1028"/>
      <c r="O1028"/>
      <c r="P1028"/>
      <c r="Q1028"/>
      <c r="R1028"/>
      <c r="S1028"/>
    </row>
    <row r="1029" spans="1:19" x14ac:dyDescent="0.25">
      <c r="A1029" s="28" t="s">
        <v>14843</v>
      </c>
      <c r="C1029"/>
      <c r="E1029"/>
      <c r="F1029"/>
      <c r="G1029"/>
      <c r="H1029"/>
      <c r="I1029"/>
      <c r="J1029" t="s">
        <v>2889</v>
      </c>
      <c r="K1029" t="s">
        <v>2890</v>
      </c>
      <c r="M1029" t="s">
        <v>2862</v>
      </c>
      <c r="N1029"/>
      <c r="O1029"/>
      <c r="P1029"/>
      <c r="Q1029"/>
      <c r="R1029"/>
      <c r="S1029"/>
    </row>
    <row r="1030" spans="1:19" x14ac:dyDescent="0.25">
      <c r="A1030" s="28" t="s">
        <v>14843</v>
      </c>
      <c r="C1030"/>
      <c r="E1030"/>
      <c r="F1030"/>
      <c r="G1030"/>
      <c r="H1030"/>
      <c r="I1030"/>
      <c r="J1030" t="s">
        <v>2891</v>
      </c>
      <c r="K1030" t="s">
        <v>2892</v>
      </c>
      <c r="M1030" t="s">
        <v>2862</v>
      </c>
      <c r="N1030"/>
      <c r="O1030"/>
      <c r="P1030"/>
      <c r="Q1030"/>
      <c r="R1030"/>
      <c r="S1030"/>
    </row>
    <row r="1031" spans="1:19" x14ac:dyDescent="0.25">
      <c r="A1031" s="28" t="s">
        <v>14843</v>
      </c>
      <c r="C1031"/>
      <c r="E1031"/>
      <c r="F1031"/>
      <c r="G1031"/>
      <c r="H1031"/>
      <c r="I1031"/>
      <c r="J1031" t="s">
        <v>2893</v>
      </c>
      <c r="K1031" t="s">
        <v>2894</v>
      </c>
      <c r="M1031" t="s">
        <v>2862</v>
      </c>
      <c r="N1031"/>
      <c r="O1031"/>
      <c r="P1031"/>
      <c r="Q1031"/>
      <c r="R1031"/>
      <c r="S1031"/>
    </row>
    <row r="1032" spans="1:19" x14ac:dyDescent="0.25">
      <c r="A1032" s="28" t="s">
        <v>14843</v>
      </c>
      <c r="C1032"/>
      <c r="E1032"/>
      <c r="F1032"/>
      <c r="G1032"/>
      <c r="H1032"/>
      <c r="I1032"/>
      <c r="J1032" t="s">
        <v>2895</v>
      </c>
      <c r="K1032" t="s">
        <v>2896</v>
      </c>
      <c r="M1032" t="s">
        <v>2862</v>
      </c>
      <c r="N1032"/>
      <c r="O1032"/>
      <c r="P1032"/>
      <c r="Q1032"/>
      <c r="R1032"/>
      <c r="S1032"/>
    </row>
    <row r="1033" spans="1:19" x14ac:dyDescent="0.25">
      <c r="A1033" s="28" t="s">
        <v>14843</v>
      </c>
      <c r="C1033"/>
      <c r="E1033"/>
      <c r="F1033"/>
      <c r="G1033"/>
      <c r="H1033"/>
      <c r="I1033"/>
      <c r="J1033" t="s">
        <v>2897</v>
      </c>
      <c r="K1033" t="s">
        <v>2898</v>
      </c>
      <c r="M1033" t="s">
        <v>2862</v>
      </c>
      <c r="N1033"/>
      <c r="O1033"/>
      <c r="P1033"/>
      <c r="Q1033"/>
      <c r="R1033"/>
      <c r="S1033"/>
    </row>
    <row r="1034" spans="1:19" x14ac:dyDescent="0.25">
      <c r="A1034" s="28" t="s">
        <v>14843</v>
      </c>
      <c r="C1034"/>
      <c r="E1034"/>
      <c r="F1034"/>
      <c r="G1034"/>
      <c r="H1034"/>
      <c r="I1034"/>
      <c r="J1034" t="s">
        <v>2899</v>
      </c>
      <c r="K1034" t="s">
        <v>2900</v>
      </c>
      <c r="M1034" t="s">
        <v>2862</v>
      </c>
      <c r="N1034"/>
      <c r="O1034"/>
      <c r="P1034"/>
      <c r="Q1034"/>
      <c r="R1034"/>
      <c r="S1034"/>
    </row>
    <row r="1035" spans="1:19" x14ac:dyDescent="0.25">
      <c r="A1035" s="28" t="s">
        <v>14843</v>
      </c>
      <c r="C1035"/>
      <c r="E1035"/>
      <c r="F1035"/>
      <c r="G1035"/>
      <c r="H1035"/>
      <c r="I1035"/>
      <c r="J1035" t="s">
        <v>2901</v>
      </c>
      <c r="K1035" t="s">
        <v>2902</v>
      </c>
      <c r="M1035" t="s">
        <v>2862</v>
      </c>
      <c r="N1035"/>
      <c r="O1035"/>
      <c r="P1035"/>
      <c r="Q1035"/>
      <c r="R1035"/>
      <c r="S1035"/>
    </row>
    <row r="1036" spans="1:19" x14ac:dyDescent="0.25">
      <c r="A1036" s="28" t="s">
        <v>14843</v>
      </c>
      <c r="C1036"/>
      <c r="E1036"/>
      <c r="F1036"/>
      <c r="G1036"/>
      <c r="H1036"/>
      <c r="I1036"/>
      <c r="J1036" t="s">
        <v>2903</v>
      </c>
      <c r="K1036" t="s">
        <v>2904</v>
      </c>
      <c r="M1036" t="s">
        <v>2862</v>
      </c>
      <c r="N1036"/>
      <c r="O1036"/>
      <c r="P1036"/>
      <c r="Q1036"/>
      <c r="R1036"/>
      <c r="S1036"/>
    </row>
    <row r="1037" spans="1:19" x14ac:dyDescent="0.25">
      <c r="A1037" s="28" t="s">
        <v>14843</v>
      </c>
      <c r="C1037"/>
      <c r="E1037"/>
      <c r="F1037"/>
      <c r="G1037"/>
      <c r="H1037"/>
      <c r="I1037"/>
      <c r="J1037" t="s">
        <v>2905</v>
      </c>
      <c r="K1037" t="s">
        <v>2906</v>
      </c>
      <c r="M1037" t="s">
        <v>2862</v>
      </c>
      <c r="N1037"/>
      <c r="O1037"/>
      <c r="P1037"/>
      <c r="Q1037"/>
      <c r="R1037"/>
      <c r="S1037"/>
    </row>
    <row r="1038" spans="1:19" x14ac:dyDescent="0.25">
      <c r="A1038" s="28" t="s">
        <v>14843</v>
      </c>
      <c r="C1038"/>
      <c r="E1038"/>
      <c r="F1038"/>
      <c r="G1038"/>
      <c r="H1038"/>
      <c r="I1038"/>
      <c r="J1038" t="s">
        <v>2907</v>
      </c>
      <c r="K1038" t="s">
        <v>2908</v>
      </c>
      <c r="M1038" t="s">
        <v>2862</v>
      </c>
      <c r="N1038"/>
      <c r="O1038"/>
      <c r="P1038"/>
      <c r="Q1038"/>
      <c r="R1038"/>
      <c r="S1038"/>
    </row>
    <row r="1039" spans="1:19" x14ac:dyDescent="0.25">
      <c r="A1039" s="28" t="s">
        <v>14843</v>
      </c>
      <c r="C1039"/>
      <c r="E1039"/>
      <c r="F1039"/>
      <c r="G1039"/>
      <c r="H1039"/>
      <c r="I1039"/>
      <c r="J1039" t="s">
        <v>2909</v>
      </c>
      <c r="K1039" t="s">
        <v>2910</v>
      </c>
      <c r="M1039" t="s">
        <v>2862</v>
      </c>
      <c r="N1039"/>
      <c r="O1039"/>
      <c r="P1039"/>
      <c r="Q1039"/>
      <c r="R1039"/>
      <c r="S1039"/>
    </row>
    <row r="1040" spans="1:19" x14ac:dyDescent="0.25">
      <c r="A1040" s="28" t="s">
        <v>14843</v>
      </c>
      <c r="C1040"/>
      <c r="E1040"/>
      <c r="F1040"/>
      <c r="G1040"/>
      <c r="H1040"/>
      <c r="I1040"/>
      <c r="J1040" t="s">
        <v>2911</v>
      </c>
      <c r="K1040" t="s">
        <v>2912</v>
      </c>
      <c r="M1040" t="s">
        <v>2862</v>
      </c>
      <c r="N1040"/>
      <c r="O1040"/>
      <c r="P1040"/>
      <c r="Q1040"/>
      <c r="R1040"/>
      <c r="S1040"/>
    </row>
    <row r="1041" spans="1:19" x14ac:dyDescent="0.25">
      <c r="A1041" s="28" t="s">
        <v>14843</v>
      </c>
      <c r="C1041"/>
      <c r="E1041"/>
      <c r="F1041"/>
      <c r="G1041"/>
      <c r="H1041"/>
      <c r="I1041"/>
      <c r="J1041" t="s">
        <v>2913</v>
      </c>
      <c r="K1041" t="s">
        <v>2914</v>
      </c>
      <c r="M1041" t="s">
        <v>2862</v>
      </c>
      <c r="N1041"/>
      <c r="O1041"/>
      <c r="P1041"/>
      <c r="Q1041"/>
      <c r="R1041"/>
      <c r="S1041"/>
    </row>
    <row r="1042" spans="1:19" x14ac:dyDescent="0.25">
      <c r="A1042" s="28" t="s">
        <v>14843</v>
      </c>
      <c r="C1042"/>
      <c r="E1042"/>
      <c r="F1042"/>
      <c r="G1042"/>
      <c r="H1042"/>
      <c r="I1042"/>
      <c r="J1042" t="s">
        <v>2915</v>
      </c>
      <c r="K1042" t="s">
        <v>2916</v>
      </c>
      <c r="M1042" t="s">
        <v>2862</v>
      </c>
      <c r="N1042"/>
      <c r="O1042"/>
      <c r="P1042"/>
      <c r="Q1042"/>
      <c r="R1042"/>
      <c r="S1042"/>
    </row>
    <row r="1043" spans="1:19" x14ac:dyDescent="0.25">
      <c r="A1043" s="28" t="s">
        <v>14843</v>
      </c>
      <c r="C1043"/>
      <c r="E1043"/>
      <c r="F1043"/>
      <c r="G1043"/>
      <c r="H1043"/>
      <c r="I1043"/>
      <c r="J1043" t="s">
        <v>2917</v>
      </c>
      <c r="K1043" t="s">
        <v>2918</v>
      </c>
      <c r="M1043" t="s">
        <v>2862</v>
      </c>
      <c r="N1043"/>
      <c r="O1043"/>
      <c r="P1043"/>
      <c r="Q1043"/>
      <c r="R1043"/>
      <c r="S1043"/>
    </row>
    <row r="1044" spans="1:19" x14ac:dyDescent="0.25">
      <c r="A1044" s="28" t="s">
        <v>14843</v>
      </c>
      <c r="C1044"/>
      <c r="E1044"/>
      <c r="F1044"/>
      <c r="G1044"/>
      <c r="H1044"/>
      <c r="I1044"/>
      <c r="J1044" t="s">
        <v>2919</v>
      </c>
      <c r="K1044" t="s">
        <v>2920</v>
      </c>
      <c r="M1044" t="s">
        <v>2862</v>
      </c>
      <c r="N1044"/>
      <c r="O1044"/>
      <c r="P1044"/>
      <c r="Q1044"/>
      <c r="R1044"/>
      <c r="S1044"/>
    </row>
    <row r="1045" spans="1:19" x14ac:dyDescent="0.25">
      <c r="A1045" s="28" t="s">
        <v>14843</v>
      </c>
      <c r="C1045"/>
      <c r="E1045"/>
      <c r="F1045"/>
      <c r="G1045"/>
      <c r="H1045"/>
      <c r="I1045"/>
      <c r="J1045" t="s">
        <v>2921</v>
      </c>
      <c r="K1045" t="s">
        <v>2922</v>
      </c>
      <c r="M1045" t="s">
        <v>2862</v>
      </c>
      <c r="N1045"/>
      <c r="O1045"/>
      <c r="P1045"/>
      <c r="Q1045"/>
      <c r="R1045"/>
      <c r="S1045"/>
    </row>
    <row r="1046" spans="1:19" x14ac:dyDescent="0.25">
      <c r="A1046" s="28" t="s">
        <v>14843</v>
      </c>
      <c r="C1046"/>
      <c r="E1046"/>
      <c r="F1046"/>
      <c r="G1046"/>
      <c r="H1046"/>
      <c r="I1046"/>
      <c r="J1046" t="s">
        <v>2923</v>
      </c>
      <c r="K1046" t="s">
        <v>2924</v>
      </c>
      <c r="M1046" t="s">
        <v>2862</v>
      </c>
      <c r="N1046"/>
      <c r="O1046"/>
      <c r="P1046"/>
      <c r="Q1046"/>
      <c r="R1046"/>
      <c r="S1046"/>
    </row>
    <row r="1047" spans="1:19" x14ac:dyDescent="0.25">
      <c r="A1047" s="28" t="s">
        <v>14843</v>
      </c>
      <c r="C1047"/>
      <c r="E1047"/>
      <c r="F1047"/>
      <c r="G1047"/>
      <c r="H1047"/>
      <c r="I1047"/>
      <c r="J1047" t="s">
        <v>2925</v>
      </c>
      <c r="K1047" t="s">
        <v>2926</v>
      </c>
      <c r="M1047" t="s">
        <v>2862</v>
      </c>
      <c r="N1047"/>
      <c r="O1047"/>
      <c r="P1047"/>
      <c r="Q1047"/>
      <c r="R1047"/>
      <c r="S1047"/>
    </row>
    <row r="1048" spans="1:19" x14ac:dyDescent="0.25">
      <c r="A1048" s="28" t="s">
        <v>14843</v>
      </c>
      <c r="C1048"/>
      <c r="E1048"/>
      <c r="F1048"/>
      <c r="G1048"/>
      <c r="H1048"/>
      <c r="I1048"/>
      <c r="J1048" t="s">
        <v>2927</v>
      </c>
      <c r="K1048" t="s">
        <v>2928</v>
      </c>
      <c r="M1048" t="s">
        <v>2862</v>
      </c>
      <c r="N1048"/>
      <c r="O1048"/>
      <c r="P1048"/>
      <c r="Q1048"/>
      <c r="R1048"/>
      <c r="S1048"/>
    </row>
    <row r="1049" spans="1:19" x14ac:dyDescent="0.25">
      <c r="A1049" s="28" t="s">
        <v>14843</v>
      </c>
      <c r="J1049" t="s">
        <v>2929</v>
      </c>
      <c r="K1049" t="s">
        <v>2930</v>
      </c>
      <c r="M1049" t="s">
        <v>2862</v>
      </c>
      <c r="N1049"/>
      <c r="O1049"/>
      <c r="P1049"/>
      <c r="Q1049"/>
      <c r="R1049"/>
      <c r="S1049"/>
    </row>
    <row r="1050" spans="1:19" x14ac:dyDescent="0.25">
      <c r="A1050" s="28" t="s">
        <v>14843</v>
      </c>
      <c r="J1050" t="s">
        <v>2931</v>
      </c>
      <c r="K1050" t="s">
        <v>2932</v>
      </c>
      <c r="M1050" t="s">
        <v>2862</v>
      </c>
      <c r="N1050"/>
      <c r="O1050"/>
      <c r="P1050"/>
      <c r="Q1050"/>
      <c r="R1050"/>
      <c r="S1050"/>
    </row>
    <row r="1051" spans="1:19" x14ac:dyDescent="0.25">
      <c r="A1051" s="28" t="s">
        <v>14843</v>
      </c>
      <c r="J1051" t="s">
        <v>2933</v>
      </c>
      <c r="K1051" t="s">
        <v>2934</v>
      </c>
      <c r="M1051" t="s">
        <v>2862</v>
      </c>
      <c r="N1051"/>
      <c r="O1051"/>
      <c r="P1051"/>
      <c r="Q1051"/>
      <c r="R1051"/>
      <c r="S1051"/>
    </row>
    <row r="1052" spans="1:19" x14ac:dyDescent="0.25">
      <c r="A1052" s="28" t="s">
        <v>14843</v>
      </c>
      <c r="J1052" t="s">
        <v>2935</v>
      </c>
      <c r="K1052" t="s">
        <v>2936</v>
      </c>
      <c r="M1052" t="s">
        <v>2862</v>
      </c>
      <c r="N1052"/>
      <c r="O1052"/>
      <c r="P1052"/>
      <c r="Q1052"/>
      <c r="R1052"/>
      <c r="S1052"/>
    </row>
    <row r="1053" spans="1:19" x14ac:dyDescent="0.25">
      <c r="A1053" s="28" t="s">
        <v>14843</v>
      </c>
      <c r="J1053" t="s">
        <v>2937</v>
      </c>
      <c r="K1053" t="s">
        <v>2938</v>
      </c>
      <c r="M1053" t="s">
        <v>2862</v>
      </c>
      <c r="N1053"/>
      <c r="O1053"/>
      <c r="P1053"/>
      <c r="Q1053"/>
      <c r="R1053"/>
      <c r="S1053"/>
    </row>
    <row r="1054" spans="1:19" x14ac:dyDescent="0.25">
      <c r="A1054" s="28" t="s">
        <v>14843</v>
      </c>
      <c r="J1054" t="s">
        <v>2939</v>
      </c>
      <c r="K1054" t="s">
        <v>2940</v>
      </c>
      <c r="M1054" t="s">
        <v>2862</v>
      </c>
      <c r="N1054"/>
      <c r="O1054"/>
      <c r="P1054"/>
      <c r="Q1054"/>
      <c r="R1054"/>
      <c r="S1054"/>
    </row>
    <row r="1055" spans="1:19" x14ac:dyDescent="0.25">
      <c r="A1055" s="28" t="s">
        <v>14843</v>
      </c>
      <c r="J1055" t="s">
        <v>2941</v>
      </c>
      <c r="K1055" t="s">
        <v>2942</v>
      </c>
      <c r="M1055" t="s">
        <v>2862</v>
      </c>
      <c r="N1055"/>
      <c r="O1055"/>
      <c r="P1055"/>
      <c r="Q1055"/>
      <c r="R1055"/>
      <c r="S1055"/>
    </row>
    <row r="1056" spans="1:19" x14ac:dyDescent="0.25">
      <c r="A1056" s="28" t="s">
        <v>14843</v>
      </c>
      <c r="J1056" t="s">
        <v>2943</v>
      </c>
      <c r="K1056" t="s">
        <v>2944</v>
      </c>
      <c r="M1056" t="s">
        <v>2862</v>
      </c>
      <c r="N1056"/>
      <c r="O1056"/>
      <c r="P1056"/>
      <c r="Q1056"/>
      <c r="R1056"/>
      <c r="S1056"/>
    </row>
    <row r="1057" spans="1:19" x14ac:dyDescent="0.25">
      <c r="A1057" s="28" t="s">
        <v>14843</v>
      </c>
      <c r="J1057" t="s">
        <v>2945</v>
      </c>
      <c r="K1057" t="s">
        <v>2946</v>
      </c>
      <c r="M1057" t="s">
        <v>2862</v>
      </c>
      <c r="N1057"/>
      <c r="O1057"/>
      <c r="P1057"/>
      <c r="Q1057"/>
      <c r="R1057"/>
      <c r="S1057"/>
    </row>
    <row r="1058" spans="1:19" x14ac:dyDescent="0.25">
      <c r="A1058" s="28" t="s">
        <v>14843</v>
      </c>
      <c r="J1058" t="s">
        <v>2947</v>
      </c>
      <c r="K1058" t="s">
        <v>2948</v>
      </c>
      <c r="M1058" t="s">
        <v>666</v>
      </c>
      <c r="N1058"/>
      <c r="O1058"/>
      <c r="P1058"/>
      <c r="Q1058"/>
      <c r="R1058"/>
      <c r="S1058"/>
    </row>
    <row r="1059" spans="1:19" x14ac:dyDescent="0.25">
      <c r="A1059" t="s">
        <v>193</v>
      </c>
      <c r="C1059" s="27" t="s">
        <v>34749</v>
      </c>
      <c r="D1059" s="28" t="s">
        <v>34867</v>
      </c>
      <c r="J1059" t="s">
        <v>2949</v>
      </c>
      <c r="K1059" t="s">
        <v>2950</v>
      </c>
      <c r="L1059" s="28" t="s">
        <v>2951</v>
      </c>
      <c r="M1059" t="s">
        <v>23</v>
      </c>
      <c r="N1059"/>
      <c r="O1059"/>
      <c r="P1059"/>
      <c r="Q1059"/>
      <c r="R1059"/>
      <c r="S1059"/>
    </row>
    <row r="1060" spans="1:19" x14ac:dyDescent="0.25">
      <c r="A1060" t="s">
        <v>193</v>
      </c>
      <c r="C1060" s="27" t="s">
        <v>34749</v>
      </c>
      <c r="D1060" s="28" t="s">
        <v>34867</v>
      </c>
      <c r="J1060" t="s">
        <v>2952</v>
      </c>
      <c r="K1060" t="s">
        <v>2953</v>
      </c>
      <c r="L1060" s="28" t="s">
        <v>2954</v>
      </c>
      <c r="M1060" t="s">
        <v>23</v>
      </c>
      <c r="N1060"/>
      <c r="O1060"/>
      <c r="P1060"/>
      <c r="Q1060"/>
      <c r="R1060"/>
      <c r="S1060"/>
    </row>
    <row r="1061" spans="1:19" x14ac:dyDescent="0.25">
      <c r="A1061" t="s">
        <v>193</v>
      </c>
      <c r="C1061" s="27" t="s">
        <v>34749</v>
      </c>
      <c r="D1061" s="28" t="s">
        <v>34867</v>
      </c>
      <c r="J1061" t="s">
        <v>2955</v>
      </c>
      <c r="K1061" t="s">
        <v>2956</v>
      </c>
      <c r="L1061" s="28" t="s">
        <v>2957</v>
      </c>
      <c r="M1061" t="s">
        <v>23</v>
      </c>
      <c r="N1061"/>
      <c r="O1061"/>
      <c r="P1061"/>
      <c r="Q1061"/>
      <c r="R1061"/>
      <c r="S1061"/>
    </row>
    <row r="1062" spans="1:19" x14ac:dyDescent="0.25">
      <c r="A1062" s="28" t="s">
        <v>14843</v>
      </c>
      <c r="J1062" t="s">
        <v>2958</v>
      </c>
      <c r="K1062" t="s">
        <v>2959</v>
      </c>
      <c r="M1062" t="s">
        <v>47</v>
      </c>
      <c r="N1062"/>
      <c r="O1062"/>
      <c r="P1062"/>
      <c r="Q1062"/>
      <c r="R1062"/>
      <c r="S1062"/>
    </row>
    <row r="1063" spans="1:19" x14ac:dyDescent="0.25">
      <c r="A1063" s="28" t="s">
        <v>14843</v>
      </c>
      <c r="J1063" t="s">
        <v>2960</v>
      </c>
      <c r="K1063" t="s">
        <v>2961</v>
      </c>
      <c r="M1063" t="s">
        <v>47</v>
      </c>
      <c r="N1063"/>
      <c r="O1063"/>
      <c r="P1063"/>
      <c r="Q1063"/>
      <c r="R1063"/>
      <c r="S1063"/>
    </row>
    <row r="1064" spans="1:19" x14ac:dyDescent="0.25">
      <c r="A1064" t="s">
        <v>193</v>
      </c>
      <c r="C1064" s="27" t="s">
        <v>34749</v>
      </c>
      <c r="D1064" s="28" t="s">
        <v>34867</v>
      </c>
      <c r="J1064" t="s">
        <v>2962</v>
      </c>
      <c r="K1064" t="s">
        <v>2963</v>
      </c>
      <c r="L1064" s="28" t="s">
        <v>2964</v>
      </c>
      <c r="M1064" t="s">
        <v>23</v>
      </c>
      <c r="N1064"/>
      <c r="O1064"/>
      <c r="P1064"/>
      <c r="Q1064"/>
      <c r="R1064"/>
      <c r="S1064"/>
    </row>
    <row r="1065" spans="1:19" x14ac:dyDescent="0.25">
      <c r="A1065" t="s">
        <v>193</v>
      </c>
      <c r="C1065" s="27" t="s">
        <v>34749</v>
      </c>
      <c r="D1065" s="28" t="s">
        <v>34867</v>
      </c>
      <c r="J1065" t="s">
        <v>2965</v>
      </c>
      <c r="K1065" t="s">
        <v>2966</v>
      </c>
      <c r="L1065" s="28" t="s">
        <v>2967</v>
      </c>
      <c r="M1065" t="s">
        <v>23</v>
      </c>
      <c r="N1065"/>
      <c r="O1065"/>
      <c r="P1065"/>
      <c r="Q1065"/>
      <c r="R1065"/>
      <c r="S1065"/>
    </row>
    <row r="1066" spans="1:19" x14ac:dyDescent="0.25">
      <c r="A1066" t="s">
        <v>193</v>
      </c>
      <c r="C1066" s="27" t="s">
        <v>34749</v>
      </c>
      <c r="D1066" s="28" t="s">
        <v>34867</v>
      </c>
      <c r="J1066" t="s">
        <v>2968</v>
      </c>
      <c r="K1066" t="s">
        <v>2969</v>
      </c>
      <c r="L1066" s="28" t="s">
        <v>2970</v>
      </c>
      <c r="M1066" t="s">
        <v>23</v>
      </c>
      <c r="N1066"/>
      <c r="O1066"/>
      <c r="P1066"/>
      <c r="Q1066"/>
      <c r="R1066"/>
      <c r="S1066"/>
    </row>
    <row r="1067" spans="1:19" x14ac:dyDescent="0.25">
      <c r="A1067" t="s">
        <v>193</v>
      </c>
      <c r="C1067" s="27" t="s">
        <v>34749</v>
      </c>
      <c r="D1067" s="28" t="s">
        <v>34867</v>
      </c>
      <c r="J1067" t="s">
        <v>2971</v>
      </c>
      <c r="K1067" t="s">
        <v>2972</v>
      </c>
      <c r="L1067" s="28" t="s">
        <v>2973</v>
      </c>
      <c r="M1067" t="s">
        <v>23</v>
      </c>
      <c r="N1067"/>
      <c r="O1067"/>
      <c r="P1067"/>
      <c r="Q1067"/>
      <c r="R1067"/>
      <c r="S1067"/>
    </row>
    <row r="1068" spans="1:19" x14ac:dyDescent="0.25">
      <c r="A1068" t="s">
        <v>193</v>
      </c>
      <c r="C1068" s="27" t="s">
        <v>34749</v>
      </c>
      <c r="D1068" s="28" t="s">
        <v>34867</v>
      </c>
      <c r="J1068" t="s">
        <v>2974</v>
      </c>
      <c r="K1068" t="s">
        <v>2975</v>
      </c>
      <c r="L1068" s="28" t="s">
        <v>2976</v>
      </c>
      <c r="M1068" t="s">
        <v>23</v>
      </c>
      <c r="N1068"/>
      <c r="O1068"/>
      <c r="P1068"/>
      <c r="Q1068"/>
      <c r="R1068"/>
      <c r="S1068"/>
    </row>
    <row r="1069" spans="1:19" x14ac:dyDescent="0.25">
      <c r="A1069" t="s">
        <v>193</v>
      </c>
      <c r="C1069" s="27" t="s">
        <v>34749</v>
      </c>
      <c r="D1069" s="28" t="s">
        <v>34867</v>
      </c>
      <c r="J1069" t="s">
        <v>2977</v>
      </c>
      <c r="K1069" t="s">
        <v>2978</v>
      </c>
      <c r="L1069" s="28" t="s">
        <v>2979</v>
      </c>
      <c r="M1069" t="s">
        <v>23</v>
      </c>
      <c r="N1069"/>
      <c r="O1069"/>
      <c r="P1069"/>
      <c r="Q1069"/>
      <c r="R1069"/>
      <c r="S1069"/>
    </row>
    <row r="1070" spans="1:19" x14ac:dyDescent="0.25">
      <c r="A1070" t="s">
        <v>193</v>
      </c>
      <c r="C1070" s="27" t="s">
        <v>34749</v>
      </c>
      <c r="D1070" s="28" t="s">
        <v>34867</v>
      </c>
      <c r="J1070" t="s">
        <v>2980</v>
      </c>
      <c r="K1070" t="s">
        <v>2981</v>
      </c>
      <c r="L1070" s="28" t="s">
        <v>2982</v>
      </c>
      <c r="M1070" t="s">
        <v>23</v>
      </c>
      <c r="N1070"/>
      <c r="O1070"/>
      <c r="P1070"/>
      <c r="Q1070"/>
      <c r="R1070"/>
      <c r="S1070"/>
    </row>
    <row r="1071" spans="1:19" x14ac:dyDescent="0.25">
      <c r="A1071" t="s">
        <v>193</v>
      </c>
      <c r="C1071" s="27" t="s">
        <v>34749</v>
      </c>
      <c r="D1071" s="28" t="s">
        <v>34867</v>
      </c>
      <c r="J1071" t="s">
        <v>2983</v>
      </c>
      <c r="K1071" t="s">
        <v>2984</v>
      </c>
      <c r="L1071" s="28" t="s">
        <v>2985</v>
      </c>
      <c r="M1071" t="s">
        <v>23</v>
      </c>
      <c r="N1071"/>
      <c r="O1071"/>
      <c r="P1071"/>
      <c r="Q1071"/>
      <c r="R1071"/>
      <c r="S1071"/>
    </row>
    <row r="1072" spans="1:19" x14ac:dyDescent="0.25">
      <c r="A1072" t="s">
        <v>193</v>
      </c>
      <c r="C1072" s="27" t="s">
        <v>34749</v>
      </c>
      <c r="D1072" s="28" t="s">
        <v>34867</v>
      </c>
      <c r="J1072" t="s">
        <v>2986</v>
      </c>
      <c r="K1072" t="s">
        <v>2987</v>
      </c>
      <c r="L1072" s="28" t="s">
        <v>2988</v>
      </c>
      <c r="M1072" t="s">
        <v>23</v>
      </c>
      <c r="N1072"/>
      <c r="O1072"/>
      <c r="P1072"/>
      <c r="Q1072"/>
      <c r="R1072"/>
      <c r="S1072"/>
    </row>
    <row r="1073" spans="1:19" x14ac:dyDescent="0.25">
      <c r="A1073" t="s">
        <v>193</v>
      </c>
      <c r="C1073" s="27" t="s">
        <v>34749</v>
      </c>
      <c r="D1073" s="28" t="s">
        <v>34867</v>
      </c>
      <c r="J1073" t="s">
        <v>2989</v>
      </c>
      <c r="K1073" t="s">
        <v>2990</v>
      </c>
      <c r="L1073" s="28" t="s">
        <v>2991</v>
      </c>
      <c r="M1073" t="s">
        <v>23</v>
      </c>
      <c r="N1073"/>
      <c r="O1073"/>
      <c r="P1073"/>
      <c r="Q1073"/>
      <c r="R1073"/>
      <c r="S1073"/>
    </row>
    <row r="1074" spans="1:19" x14ac:dyDescent="0.25">
      <c r="A1074" t="s">
        <v>193</v>
      </c>
      <c r="C1074" s="27" t="s">
        <v>34749</v>
      </c>
      <c r="D1074" s="28" t="s">
        <v>34867</v>
      </c>
      <c r="J1074" t="s">
        <v>2992</v>
      </c>
      <c r="K1074" t="s">
        <v>2993</v>
      </c>
      <c r="L1074" s="28" t="s">
        <v>2994</v>
      </c>
      <c r="M1074" t="s">
        <v>23</v>
      </c>
      <c r="N1074"/>
      <c r="O1074"/>
      <c r="P1074"/>
      <c r="Q1074"/>
      <c r="R1074"/>
      <c r="S1074"/>
    </row>
    <row r="1075" spans="1:19" x14ac:dyDescent="0.25">
      <c r="A1075" t="s">
        <v>193</v>
      </c>
      <c r="C1075" s="27" t="s">
        <v>34749</v>
      </c>
      <c r="D1075" s="28" t="s">
        <v>34867</v>
      </c>
      <c r="J1075" t="s">
        <v>2995</v>
      </c>
      <c r="K1075" t="s">
        <v>2996</v>
      </c>
      <c r="L1075" s="28" t="s">
        <v>2997</v>
      </c>
      <c r="M1075" t="s">
        <v>23</v>
      </c>
      <c r="N1075"/>
      <c r="O1075"/>
      <c r="P1075"/>
      <c r="Q1075"/>
      <c r="R1075"/>
      <c r="S1075"/>
    </row>
    <row r="1076" spans="1:19" x14ac:dyDescent="0.25">
      <c r="A1076" t="s">
        <v>193</v>
      </c>
      <c r="C1076" s="27" t="s">
        <v>34749</v>
      </c>
      <c r="D1076" s="28" t="s">
        <v>34867</v>
      </c>
      <c r="J1076" t="s">
        <v>2998</v>
      </c>
      <c r="K1076" t="s">
        <v>2999</v>
      </c>
      <c r="L1076" s="28" t="s">
        <v>3000</v>
      </c>
      <c r="M1076" t="s">
        <v>23</v>
      </c>
      <c r="N1076"/>
      <c r="O1076"/>
      <c r="P1076"/>
      <c r="Q1076"/>
      <c r="R1076"/>
      <c r="S1076"/>
    </row>
    <row r="1077" spans="1:19" x14ac:dyDescent="0.25">
      <c r="A1077" t="s">
        <v>193</v>
      </c>
      <c r="C1077" s="27" t="s">
        <v>34749</v>
      </c>
      <c r="D1077" s="28" t="s">
        <v>34867</v>
      </c>
      <c r="J1077" t="s">
        <v>3001</v>
      </c>
      <c r="K1077" t="s">
        <v>3002</v>
      </c>
      <c r="L1077" s="28" t="s">
        <v>3003</v>
      </c>
      <c r="M1077" t="s">
        <v>23</v>
      </c>
      <c r="N1077"/>
      <c r="O1077"/>
      <c r="P1077"/>
      <c r="Q1077"/>
      <c r="R1077"/>
      <c r="S1077"/>
    </row>
    <row r="1078" spans="1:19" x14ac:dyDescent="0.25">
      <c r="A1078" t="s">
        <v>193</v>
      </c>
      <c r="C1078" s="27" t="s">
        <v>34749</v>
      </c>
      <c r="D1078" s="28" t="s">
        <v>34867</v>
      </c>
      <c r="J1078" t="s">
        <v>3004</v>
      </c>
      <c r="K1078" t="s">
        <v>3005</v>
      </c>
      <c r="L1078" s="28" t="s">
        <v>3006</v>
      </c>
      <c r="M1078" t="s">
        <v>23</v>
      </c>
      <c r="N1078"/>
      <c r="O1078"/>
      <c r="P1078"/>
      <c r="Q1078"/>
      <c r="R1078"/>
      <c r="S1078"/>
    </row>
    <row r="1079" spans="1:19" x14ac:dyDescent="0.25">
      <c r="A1079" t="s">
        <v>193</v>
      </c>
      <c r="C1079" s="27" t="s">
        <v>34749</v>
      </c>
      <c r="D1079" s="28" t="s">
        <v>34867</v>
      </c>
      <c r="J1079" t="s">
        <v>3007</v>
      </c>
      <c r="K1079" t="s">
        <v>3008</v>
      </c>
      <c r="L1079" s="28" t="s">
        <v>3009</v>
      </c>
      <c r="M1079" t="s">
        <v>23</v>
      </c>
      <c r="N1079"/>
      <c r="O1079"/>
      <c r="P1079"/>
      <c r="Q1079"/>
      <c r="R1079"/>
      <c r="S1079"/>
    </row>
    <row r="1080" spans="1:19" x14ac:dyDescent="0.25">
      <c r="A1080" t="s">
        <v>193</v>
      </c>
      <c r="C1080" s="27" t="s">
        <v>34749</v>
      </c>
      <c r="D1080" s="28" t="s">
        <v>34867</v>
      </c>
      <c r="J1080" t="s">
        <v>3010</v>
      </c>
      <c r="K1080" t="s">
        <v>3011</v>
      </c>
      <c r="L1080" s="28" t="s">
        <v>3012</v>
      </c>
      <c r="M1080" t="s">
        <v>23</v>
      </c>
      <c r="N1080"/>
      <c r="O1080"/>
      <c r="P1080"/>
      <c r="Q1080"/>
      <c r="R1080"/>
      <c r="S1080"/>
    </row>
    <row r="1081" spans="1:19" x14ac:dyDescent="0.25">
      <c r="A1081" t="s">
        <v>193</v>
      </c>
      <c r="C1081" s="27" t="s">
        <v>34749</v>
      </c>
      <c r="D1081" s="28" t="s">
        <v>34867</v>
      </c>
      <c r="J1081" t="s">
        <v>3013</v>
      </c>
      <c r="K1081" t="s">
        <v>3014</v>
      </c>
      <c r="L1081" s="28" t="s">
        <v>3015</v>
      </c>
      <c r="M1081" t="s">
        <v>23</v>
      </c>
      <c r="N1081"/>
      <c r="O1081"/>
      <c r="P1081"/>
      <c r="Q1081"/>
      <c r="R1081"/>
      <c r="S1081"/>
    </row>
    <row r="1082" spans="1:19" x14ac:dyDescent="0.25">
      <c r="A1082" t="s">
        <v>193</v>
      </c>
      <c r="C1082" s="27" t="s">
        <v>34749</v>
      </c>
      <c r="D1082" s="28" t="s">
        <v>34867</v>
      </c>
      <c r="J1082" t="s">
        <v>3016</v>
      </c>
      <c r="K1082" t="s">
        <v>3017</v>
      </c>
      <c r="L1082" s="28" t="s">
        <v>3018</v>
      </c>
      <c r="M1082" t="s">
        <v>23</v>
      </c>
      <c r="N1082"/>
      <c r="O1082"/>
      <c r="P1082"/>
      <c r="Q1082"/>
      <c r="R1082"/>
      <c r="S1082"/>
    </row>
    <row r="1083" spans="1:19" x14ac:dyDescent="0.25">
      <c r="A1083" t="s">
        <v>193</v>
      </c>
      <c r="C1083" s="27" t="s">
        <v>34749</v>
      </c>
      <c r="D1083" s="28" t="s">
        <v>34867</v>
      </c>
      <c r="J1083" t="s">
        <v>3019</v>
      </c>
      <c r="K1083" t="s">
        <v>3020</v>
      </c>
      <c r="L1083" s="28" t="s">
        <v>3021</v>
      </c>
      <c r="M1083" t="s">
        <v>23</v>
      </c>
      <c r="N1083"/>
      <c r="O1083"/>
      <c r="P1083"/>
      <c r="Q1083"/>
      <c r="R1083"/>
      <c r="S1083"/>
    </row>
    <row r="1084" spans="1:19" x14ac:dyDescent="0.25">
      <c r="A1084" t="s">
        <v>193</v>
      </c>
      <c r="C1084" s="27" t="s">
        <v>34749</v>
      </c>
      <c r="D1084" s="28" t="s">
        <v>34867</v>
      </c>
      <c r="J1084" t="s">
        <v>3022</v>
      </c>
      <c r="K1084" t="s">
        <v>3023</v>
      </c>
      <c r="L1084" s="28" t="s">
        <v>3024</v>
      </c>
      <c r="M1084" t="s">
        <v>23</v>
      </c>
      <c r="N1084"/>
      <c r="O1084"/>
      <c r="P1084"/>
      <c r="Q1084"/>
      <c r="R1084"/>
      <c r="S1084"/>
    </row>
    <row r="1085" spans="1:19" x14ac:dyDescent="0.25">
      <c r="A1085" t="s">
        <v>193</v>
      </c>
      <c r="C1085" s="27" t="s">
        <v>34749</v>
      </c>
      <c r="D1085" s="28" t="s">
        <v>34867</v>
      </c>
      <c r="J1085" t="s">
        <v>3025</v>
      </c>
      <c r="K1085" t="s">
        <v>3026</v>
      </c>
      <c r="L1085" s="28" t="s">
        <v>3027</v>
      </c>
      <c r="M1085" t="s">
        <v>23</v>
      </c>
      <c r="N1085"/>
      <c r="O1085"/>
      <c r="P1085"/>
      <c r="Q1085"/>
      <c r="R1085"/>
      <c r="S1085"/>
    </row>
    <row r="1086" spans="1:19" x14ac:dyDescent="0.25">
      <c r="A1086" t="s">
        <v>193</v>
      </c>
      <c r="C1086" s="27" t="s">
        <v>34749</v>
      </c>
      <c r="D1086" s="28" t="s">
        <v>34867</v>
      </c>
      <c r="J1086" t="s">
        <v>3028</v>
      </c>
      <c r="K1086" t="s">
        <v>3029</v>
      </c>
      <c r="L1086" s="28" t="s">
        <v>3030</v>
      </c>
      <c r="M1086" t="s">
        <v>23</v>
      </c>
      <c r="N1086"/>
      <c r="O1086"/>
      <c r="P1086"/>
      <c r="Q1086"/>
      <c r="R1086"/>
      <c r="S1086"/>
    </row>
    <row r="1087" spans="1:19" x14ac:dyDescent="0.25">
      <c r="A1087" t="s">
        <v>193</v>
      </c>
      <c r="C1087" s="27" t="s">
        <v>34749</v>
      </c>
      <c r="D1087" s="28" t="s">
        <v>34867</v>
      </c>
      <c r="J1087" t="s">
        <v>3031</v>
      </c>
      <c r="K1087" t="s">
        <v>3032</v>
      </c>
      <c r="L1087" s="28" t="s">
        <v>3033</v>
      </c>
      <c r="M1087" t="s">
        <v>23</v>
      </c>
      <c r="N1087"/>
      <c r="O1087"/>
      <c r="P1087"/>
      <c r="Q1087"/>
      <c r="R1087"/>
      <c r="S1087"/>
    </row>
    <row r="1088" spans="1:19" x14ac:dyDescent="0.25">
      <c r="A1088" t="s">
        <v>193</v>
      </c>
      <c r="C1088" s="27" t="s">
        <v>34749</v>
      </c>
      <c r="D1088" s="28" t="s">
        <v>34867</v>
      </c>
      <c r="J1088" t="s">
        <v>3034</v>
      </c>
      <c r="K1088" t="s">
        <v>3035</v>
      </c>
      <c r="L1088" s="28" t="s">
        <v>3036</v>
      </c>
      <c r="M1088" t="s">
        <v>23</v>
      </c>
      <c r="N1088"/>
      <c r="O1088"/>
      <c r="P1088"/>
      <c r="Q1088"/>
      <c r="R1088"/>
      <c r="S1088"/>
    </row>
    <row r="1089" spans="1:19" x14ac:dyDescent="0.25">
      <c r="A1089" s="28" t="s">
        <v>14843</v>
      </c>
      <c r="J1089" t="s">
        <v>3037</v>
      </c>
      <c r="K1089" t="s">
        <v>3038</v>
      </c>
      <c r="M1089" t="s">
        <v>666</v>
      </c>
      <c r="N1089"/>
      <c r="O1089"/>
      <c r="P1089"/>
      <c r="Q1089"/>
      <c r="R1089"/>
      <c r="S1089"/>
    </row>
    <row r="1090" spans="1:19" x14ac:dyDescent="0.25">
      <c r="A1090" t="s">
        <v>193</v>
      </c>
      <c r="C1090" s="27" t="s">
        <v>34749</v>
      </c>
      <c r="D1090" s="28" t="s">
        <v>34867</v>
      </c>
      <c r="J1090" t="s">
        <v>3039</v>
      </c>
      <c r="K1090" t="s">
        <v>3040</v>
      </c>
      <c r="L1090" s="28" t="s">
        <v>3041</v>
      </c>
      <c r="M1090" t="s">
        <v>23</v>
      </c>
      <c r="N1090"/>
      <c r="O1090"/>
      <c r="P1090"/>
      <c r="Q1090"/>
      <c r="R1090"/>
      <c r="S1090"/>
    </row>
    <row r="1091" spans="1:19" x14ac:dyDescent="0.25">
      <c r="A1091" s="28" t="s">
        <v>14843</v>
      </c>
      <c r="J1091" t="s">
        <v>3042</v>
      </c>
      <c r="K1091" t="s">
        <v>3043</v>
      </c>
      <c r="M1091" t="s">
        <v>47</v>
      </c>
      <c r="N1091"/>
      <c r="O1091"/>
      <c r="P1091"/>
      <c r="Q1091"/>
      <c r="R1091"/>
      <c r="S1091"/>
    </row>
    <row r="1092" spans="1:19" x14ac:dyDescent="0.25">
      <c r="A1092" s="28" t="s">
        <v>14843</v>
      </c>
      <c r="J1092" t="s">
        <v>3044</v>
      </c>
      <c r="K1092" t="s">
        <v>3045</v>
      </c>
      <c r="M1092" t="s">
        <v>47</v>
      </c>
      <c r="N1092"/>
      <c r="O1092"/>
      <c r="P1092"/>
      <c r="Q1092"/>
      <c r="R1092"/>
      <c r="S1092"/>
    </row>
    <row r="1093" spans="1:19" x14ac:dyDescent="0.25">
      <c r="A1093" s="28" t="s">
        <v>14843</v>
      </c>
      <c r="J1093" t="s">
        <v>3046</v>
      </c>
      <c r="K1093" t="s">
        <v>3047</v>
      </c>
      <c r="M1093" t="s">
        <v>2820</v>
      </c>
      <c r="N1093"/>
      <c r="O1093"/>
      <c r="P1093"/>
      <c r="Q1093"/>
      <c r="R1093"/>
      <c r="S1093"/>
    </row>
    <row r="1094" spans="1:19" x14ac:dyDescent="0.25">
      <c r="A1094" s="28" t="s">
        <v>14843</v>
      </c>
      <c r="J1094" t="s">
        <v>3048</v>
      </c>
      <c r="K1094" t="s">
        <v>3049</v>
      </c>
      <c r="M1094" t="s">
        <v>47</v>
      </c>
      <c r="N1094"/>
      <c r="O1094"/>
      <c r="P1094"/>
      <c r="Q1094"/>
      <c r="R1094"/>
      <c r="S1094"/>
    </row>
    <row r="1095" spans="1:19" x14ac:dyDescent="0.25">
      <c r="A1095" s="28" t="s">
        <v>14843</v>
      </c>
      <c r="J1095" t="s">
        <v>3050</v>
      </c>
      <c r="K1095" t="s">
        <v>3051</v>
      </c>
      <c r="M1095" t="s">
        <v>47</v>
      </c>
      <c r="N1095"/>
      <c r="O1095"/>
      <c r="P1095"/>
      <c r="Q1095"/>
      <c r="R1095"/>
      <c r="S1095"/>
    </row>
    <row r="1096" spans="1:19" x14ac:dyDescent="0.25">
      <c r="A1096" s="28" t="s">
        <v>14843</v>
      </c>
      <c r="J1096" t="s">
        <v>3052</v>
      </c>
      <c r="K1096" t="s">
        <v>3053</v>
      </c>
      <c r="M1096" t="s">
        <v>47</v>
      </c>
      <c r="N1096"/>
      <c r="O1096"/>
      <c r="P1096"/>
      <c r="Q1096"/>
      <c r="R1096"/>
      <c r="S1096"/>
    </row>
    <row r="1097" spans="1:19" x14ac:dyDescent="0.25">
      <c r="A1097" s="28" t="s">
        <v>14843</v>
      </c>
      <c r="J1097" t="s">
        <v>3054</v>
      </c>
      <c r="K1097" t="s">
        <v>3055</v>
      </c>
      <c r="M1097" t="s">
        <v>47</v>
      </c>
      <c r="N1097"/>
      <c r="O1097"/>
      <c r="P1097"/>
      <c r="Q1097"/>
      <c r="R1097"/>
      <c r="S1097"/>
    </row>
    <row r="1098" spans="1:19" x14ac:dyDescent="0.25">
      <c r="A1098" s="28" t="s">
        <v>14843</v>
      </c>
      <c r="J1098" t="s">
        <v>3056</v>
      </c>
      <c r="K1098" t="s">
        <v>3057</v>
      </c>
      <c r="M1098" t="s">
        <v>2820</v>
      </c>
      <c r="N1098"/>
      <c r="O1098"/>
      <c r="P1098"/>
      <c r="Q1098"/>
      <c r="R1098"/>
      <c r="S1098"/>
    </row>
    <row r="1099" spans="1:19" x14ac:dyDescent="0.25">
      <c r="A1099" s="28" t="s">
        <v>14843</v>
      </c>
      <c r="J1099" t="s">
        <v>3058</v>
      </c>
      <c r="K1099" t="s">
        <v>3059</v>
      </c>
      <c r="M1099" t="s">
        <v>2820</v>
      </c>
      <c r="N1099"/>
      <c r="O1099"/>
      <c r="P1099"/>
      <c r="Q1099"/>
      <c r="R1099"/>
      <c r="S1099"/>
    </row>
    <row r="1100" spans="1:19" x14ac:dyDescent="0.25">
      <c r="A1100" s="28" t="s">
        <v>14843</v>
      </c>
      <c r="J1100" t="s">
        <v>3060</v>
      </c>
      <c r="K1100" t="s">
        <v>3061</v>
      </c>
      <c r="M1100" t="s">
        <v>666</v>
      </c>
      <c r="N1100"/>
      <c r="O1100"/>
      <c r="P1100"/>
      <c r="Q1100"/>
      <c r="R1100"/>
      <c r="S1100"/>
    </row>
    <row r="1101" spans="1:19" x14ac:dyDescent="0.25">
      <c r="A1101" t="s">
        <v>193</v>
      </c>
      <c r="C1101" s="27" t="s">
        <v>34749</v>
      </c>
      <c r="D1101" s="28" t="s">
        <v>34867</v>
      </c>
      <c r="I1101" t="str">
        <f>CONCATENATE(LEFT(K1101,SEARCH(" (",K1101))," | ", RIGHT(LEFT(K1101,LEN(K1101)-1),LEN(K1101)-2-FIND(" (",K1101)))</f>
        <v>butylhydroxytolueen  | BHT</v>
      </c>
      <c r="J1101" t="s">
        <v>3062</v>
      </c>
      <c r="K1101" t="s">
        <v>3063</v>
      </c>
      <c r="L1101" s="28" t="s">
        <v>3064</v>
      </c>
      <c r="M1101" t="s">
        <v>23</v>
      </c>
      <c r="N1101"/>
      <c r="O1101"/>
      <c r="P1101"/>
      <c r="Q1101"/>
      <c r="R1101"/>
      <c r="S1101"/>
    </row>
    <row r="1102" spans="1:19" x14ac:dyDescent="0.25">
      <c r="A1102" s="28" t="s">
        <v>14843</v>
      </c>
      <c r="J1102" t="s">
        <v>3065</v>
      </c>
      <c r="K1102" t="s">
        <v>3066</v>
      </c>
      <c r="M1102" t="s">
        <v>2779</v>
      </c>
      <c r="N1102"/>
      <c r="O1102"/>
      <c r="P1102"/>
      <c r="Q1102"/>
      <c r="R1102"/>
      <c r="S1102"/>
    </row>
    <row r="1103" spans="1:19" x14ac:dyDescent="0.25">
      <c r="A1103" s="28" t="s">
        <v>14843</v>
      </c>
      <c r="J1103" t="s">
        <v>3067</v>
      </c>
      <c r="K1103" t="s">
        <v>3068</v>
      </c>
      <c r="M1103" t="s">
        <v>666</v>
      </c>
      <c r="N1103"/>
      <c r="O1103"/>
      <c r="P1103"/>
      <c r="Q1103"/>
      <c r="R1103"/>
      <c r="S1103"/>
    </row>
    <row r="1104" spans="1:19" x14ac:dyDescent="0.25">
      <c r="A1104" s="28" t="s">
        <v>14843</v>
      </c>
      <c r="J1104" t="s">
        <v>3069</v>
      </c>
      <c r="K1104" t="s">
        <v>3070</v>
      </c>
      <c r="M1104" t="s">
        <v>2820</v>
      </c>
      <c r="N1104"/>
      <c r="O1104"/>
      <c r="P1104"/>
      <c r="Q1104"/>
      <c r="R1104"/>
      <c r="S1104"/>
    </row>
    <row r="1105" spans="1:19" x14ac:dyDescent="0.25">
      <c r="A1105" s="28" t="s">
        <v>14843</v>
      </c>
      <c r="J1105" t="s">
        <v>3071</v>
      </c>
      <c r="K1105" t="s">
        <v>3072</v>
      </c>
      <c r="M1105" t="s">
        <v>666</v>
      </c>
      <c r="N1105"/>
      <c r="O1105"/>
      <c r="P1105"/>
      <c r="Q1105"/>
      <c r="R1105"/>
      <c r="S1105"/>
    </row>
    <row r="1106" spans="1:19" x14ac:dyDescent="0.25">
      <c r="A1106" s="28" t="s">
        <v>14843</v>
      </c>
      <c r="J1106" t="s">
        <v>3073</v>
      </c>
      <c r="K1106" t="s">
        <v>3074</v>
      </c>
      <c r="M1106" t="s">
        <v>47</v>
      </c>
      <c r="N1106"/>
      <c r="O1106"/>
      <c r="P1106"/>
      <c r="Q1106"/>
      <c r="R1106"/>
      <c r="S1106"/>
    </row>
    <row r="1107" spans="1:19" x14ac:dyDescent="0.25">
      <c r="A1107" t="s">
        <v>193</v>
      </c>
      <c r="C1107" s="27" t="s">
        <v>34749</v>
      </c>
      <c r="D1107" s="28" t="s">
        <v>34867</v>
      </c>
      <c r="J1107" t="s">
        <v>3075</v>
      </c>
      <c r="K1107" t="s">
        <v>3076</v>
      </c>
      <c r="L1107" s="28" t="s">
        <v>3077</v>
      </c>
      <c r="M1107" t="s">
        <v>23</v>
      </c>
      <c r="N1107"/>
      <c r="O1107"/>
      <c r="P1107"/>
      <c r="Q1107"/>
      <c r="R1107"/>
      <c r="S1107"/>
    </row>
    <row r="1108" spans="1:19" x14ac:dyDescent="0.25">
      <c r="A1108" s="28" t="s">
        <v>14843</v>
      </c>
      <c r="J1108" t="s">
        <v>3078</v>
      </c>
      <c r="K1108" t="s">
        <v>3079</v>
      </c>
      <c r="M1108" t="s">
        <v>2820</v>
      </c>
      <c r="N1108"/>
      <c r="O1108"/>
      <c r="P1108"/>
      <c r="Q1108"/>
      <c r="R1108"/>
      <c r="S1108"/>
    </row>
    <row r="1109" spans="1:19" x14ac:dyDescent="0.25">
      <c r="A1109" s="28" t="s">
        <v>14843</v>
      </c>
      <c r="J1109" t="s">
        <v>3080</v>
      </c>
      <c r="K1109" t="s">
        <v>3081</v>
      </c>
      <c r="M1109" t="s">
        <v>2820</v>
      </c>
      <c r="N1109"/>
      <c r="O1109"/>
      <c r="P1109"/>
      <c r="Q1109"/>
      <c r="R1109"/>
      <c r="S1109"/>
    </row>
    <row r="1110" spans="1:19" x14ac:dyDescent="0.25">
      <c r="A1110" s="28" t="s">
        <v>14843</v>
      </c>
      <c r="J1110" t="s">
        <v>3082</v>
      </c>
      <c r="K1110" t="s">
        <v>3083</v>
      </c>
      <c r="M1110" t="s">
        <v>47</v>
      </c>
      <c r="N1110"/>
      <c r="O1110"/>
      <c r="P1110"/>
      <c r="Q1110"/>
      <c r="R1110"/>
      <c r="S1110"/>
    </row>
    <row r="1111" spans="1:19" x14ac:dyDescent="0.25">
      <c r="A1111" s="28" t="s">
        <v>14843</v>
      </c>
      <c r="J1111" t="s">
        <v>3084</v>
      </c>
      <c r="K1111" t="s">
        <v>3085</v>
      </c>
      <c r="M1111" t="s">
        <v>47</v>
      </c>
      <c r="N1111"/>
      <c r="O1111"/>
      <c r="P1111"/>
      <c r="Q1111"/>
      <c r="R1111"/>
      <c r="S1111"/>
    </row>
    <row r="1112" spans="1:19" x14ac:dyDescent="0.25">
      <c r="A1112" s="28" t="s">
        <v>14843</v>
      </c>
      <c r="J1112" t="s">
        <v>3086</v>
      </c>
      <c r="K1112" t="s">
        <v>3087</v>
      </c>
      <c r="M1112" t="s">
        <v>2820</v>
      </c>
      <c r="N1112"/>
      <c r="O1112"/>
      <c r="P1112"/>
      <c r="Q1112"/>
      <c r="R1112"/>
      <c r="S1112"/>
    </row>
    <row r="1113" spans="1:19" x14ac:dyDescent="0.25">
      <c r="A1113" s="28" t="s">
        <v>14843</v>
      </c>
      <c r="J1113" t="s">
        <v>3088</v>
      </c>
      <c r="K1113" t="s">
        <v>3089</v>
      </c>
      <c r="M1113" t="s">
        <v>666</v>
      </c>
      <c r="N1113"/>
      <c r="O1113"/>
      <c r="P1113"/>
      <c r="Q1113"/>
      <c r="R1113"/>
      <c r="S1113"/>
    </row>
    <row r="1114" spans="1:19" x14ac:dyDescent="0.25">
      <c r="A1114" s="28" t="s">
        <v>14843</v>
      </c>
      <c r="J1114" t="s">
        <v>3090</v>
      </c>
      <c r="K1114" t="s">
        <v>3091</v>
      </c>
      <c r="M1114" t="s">
        <v>666</v>
      </c>
      <c r="N1114"/>
      <c r="O1114"/>
      <c r="P1114"/>
      <c r="Q1114"/>
      <c r="R1114"/>
      <c r="S1114"/>
    </row>
    <row r="1115" spans="1:19" x14ac:dyDescent="0.25">
      <c r="A1115" s="28" t="s">
        <v>14843</v>
      </c>
      <c r="J1115" t="s">
        <v>3092</v>
      </c>
      <c r="K1115" t="s">
        <v>3093</v>
      </c>
      <c r="M1115" t="s">
        <v>2820</v>
      </c>
      <c r="N1115"/>
      <c r="O1115"/>
      <c r="P1115"/>
      <c r="Q1115"/>
      <c r="R1115"/>
      <c r="S1115"/>
    </row>
    <row r="1116" spans="1:19" x14ac:dyDescent="0.25">
      <c r="A1116" s="28" t="s">
        <v>14843</v>
      </c>
      <c r="J1116" t="s">
        <v>3094</v>
      </c>
      <c r="K1116" t="s">
        <v>3095</v>
      </c>
      <c r="M1116" t="s">
        <v>47</v>
      </c>
      <c r="N1116"/>
      <c r="O1116"/>
      <c r="P1116"/>
      <c r="Q1116"/>
      <c r="R1116"/>
      <c r="S1116"/>
    </row>
    <row r="1117" spans="1:19" x14ac:dyDescent="0.25">
      <c r="A1117" s="28" t="s">
        <v>14843</v>
      </c>
      <c r="J1117" t="s">
        <v>3096</v>
      </c>
      <c r="K1117" t="s">
        <v>3097</v>
      </c>
      <c r="M1117" t="s">
        <v>666</v>
      </c>
      <c r="N1117"/>
      <c r="O1117"/>
      <c r="P1117"/>
      <c r="Q1117"/>
      <c r="R1117"/>
      <c r="S1117"/>
    </row>
    <row r="1118" spans="1:19" x14ac:dyDescent="0.25">
      <c r="A1118" t="s">
        <v>193</v>
      </c>
      <c r="C1118" s="27" t="s">
        <v>34749</v>
      </c>
      <c r="D1118" s="28" t="s">
        <v>34867</v>
      </c>
      <c r="J1118" t="s">
        <v>3098</v>
      </c>
      <c r="K1118" t="s">
        <v>3099</v>
      </c>
      <c r="L1118" s="28" t="s">
        <v>3100</v>
      </c>
      <c r="M1118" t="s">
        <v>23</v>
      </c>
      <c r="N1118"/>
      <c r="O1118"/>
      <c r="P1118"/>
      <c r="Q1118"/>
      <c r="R1118"/>
      <c r="S1118"/>
    </row>
    <row r="1119" spans="1:19" x14ac:dyDescent="0.25">
      <c r="A1119" t="s">
        <v>193</v>
      </c>
      <c r="C1119" s="27" t="s">
        <v>34749</v>
      </c>
      <c r="D1119" s="28" t="s">
        <v>34867</v>
      </c>
      <c r="J1119" t="s">
        <v>3101</v>
      </c>
      <c r="K1119" t="s">
        <v>3102</v>
      </c>
      <c r="L1119" s="28" t="s">
        <v>3103</v>
      </c>
      <c r="M1119" t="s">
        <v>23</v>
      </c>
      <c r="N1119"/>
      <c r="O1119"/>
      <c r="P1119"/>
      <c r="Q1119"/>
      <c r="R1119"/>
      <c r="S1119"/>
    </row>
    <row r="1120" spans="1:19" x14ac:dyDescent="0.25">
      <c r="A1120" s="28" t="s">
        <v>14843</v>
      </c>
      <c r="J1120" t="s">
        <v>3104</v>
      </c>
      <c r="K1120" t="s">
        <v>3105</v>
      </c>
      <c r="M1120" t="s">
        <v>47</v>
      </c>
      <c r="N1120"/>
      <c r="O1120"/>
      <c r="P1120"/>
      <c r="Q1120"/>
      <c r="R1120"/>
      <c r="S1120"/>
    </row>
    <row r="1121" spans="1:19" x14ac:dyDescent="0.25">
      <c r="A1121" s="28" t="s">
        <v>14843</v>
      </c>
      <c r="J1121" t="s">
        <v>3106</v>
      </c>
      <c r="K1121" t="s">
        <v>3107</v>
      </c>
      <c r="M1121" t="s">
        <v>47</v>
      </c>
      <c r="N1121"/>
      <c r="O1121"/>
      <c r="P1121"/>
      <c r="Q1121"/>
      <c r="R1121"/>
      <c r="S1121"/>
    </row>
    <row r="1122" spans="1:19" x14ac:dyDescent="0.25">
      <c r="A1122" t="s">
        <v>3108</v>
      </c>
      <c r="J1122" t="s">
        <v>3109</v>
      </c>
      <c r="K1122" t="s">
        <v>3110</v>
      </c>
      <c r="M1122" t="s">
        <v>23</v>
      </c>
      <c r="N1122"/>
      <c r="O1122"/>
      <c r="P1122"/>
      <c r="Q1122"/>
      <c r="R1122"/>
      <c r="S1122"/>
    </row>
    <row r="1123" spans="1:19" x14ac:dyDescent="0.25">
      <c r="A1123" t="s">
        <v>3108</v>
      </c>
      <c r="J1123" t="s">
        <v>3111</v>
      </c>
      <c r="K1123" t="s">
        <v>3112</v>
      </c>
      <c r="M1123" t="s">
        <v>23</v>
      </c>
      <c r="N1123"/>
      <c r="O1123"/>
      <c r="P1123"/>
      <c r="Q1123"/>
      <c r="R1123"/>
      <c r="S1123"/>
    </row>
    <row r="1124" spans="1:19" x14ac:dyDescent="0.25">
      <c r="A1124" t="s">
        <v>3108</v>
      </c>
      <c r="E1124" s="3"/>
      <c r="F1124" s="3"/>
      <c r="J1124" t="s">
        <v>3113</v>
      </c>
      <c r="K1124" t="s">
        <v>3114</v>
      </c>
      <c r="M1124" t="s">
        <v>23</v>
      </c>
      <c r="N1124"/>
      <c r="O1124"/>
      <c r="P1124"/>
      <c r="Q1124"/>
      <c r="R1124"/>
      <c r="S1124"/>
    </row>
    <row r="1125" spans="1:19" x14ac:dyDescent="0.25">
      <c r="A1125" t="s">
        <v>3108</v>
      </c>
      <c r="J1125" t="s">
        <v>3115</v>
      </c>
      <c r="K1125" t="s">
        <v>3116</v>
      </c>
      <c r="M1125" t="s">
        <v>23</v>
      </c>
      <c r="N1125"/>
      <c r="O1125"/>
      <c r="P1125"/>
      <c r="Q1125"/>
      <c r="R1125"/>
      <c r="S1125"/>
    </row>
    <row r="1126" spans="1:19" x14ac:dyDescent="0.25">
      <c r="A1126" t="s">
        <v>3108</v>
      </c>
      <c r="J1126" t="s">
        <v>3117</v>
      </c>
      <c r="K1126" t="s">
        <v>3118</v>
      </c>
      <c r="M1126" t="s">
        <v>23</v>
      </c>
      <c r="N1126"/>
      <c r="O1126"/>
      <c r="P1126"/>
      <c r="Q1126"/>
      <c r="R1126"/>
      <c r="S1126"/>
    </row>
    <row r="1127" spans="1:19" x14ac:dyDescent="0.25">
      <c r="A1127" t="s">
        <v>3108</v>
      </c>
      <c r="J1127" t="s">
        <v>3119</v>
      </c>
      <c r="K1127" t="s">
        <v>3120</v>
      </c>
      <c r="M1127" t="s">
        <v>23</v>
      </c>
      <c r="N1127"/>
      <c r="O1127"/>
      <c r="P1127"/>
      <c r="Q1127"/>
      <c r="R1127"/>
      <c r="S1127"/>
    </row>
    <row r="1128" spans="1:19" x14ac:dyDescent="0.25">
      <c r="A1128" t="s">
        <v>3108</v>
      </c>
      <c r="J1128" t="s">
        <v>3121</v>
      </c>
      <c r="K1128" t="s">
        <v>3122</v>
      </c>
      <c r="M1128" t="s">
        <v>23</v>
      </c>
      <c r="N1128"/>
      <c r="O1128"/>
      <c r="P1128"/>
      <c r="Q1128"/>
      <c r="R1128"/>
      <c r="S1128"/>
    </row>
    <row r="1129" spans="1:19" x14ac:dyDescent="0.25">
      <c r="A1129" t="s">
        <v>3108</v>
      </c>
      <c r="J1129" t="s">
        <v>3123</v>
      </c>
      <c r="K1129" t="s">
        <v>3124</v>
      </c>
      <c r="M1129" t="s">
        <v>23</v>
      </c>
      <c r="N1129"/>
      <c r="O1129"/>
      <c r="P1129"/>
      <c r="Q1129"/>
      <c r="R1129"/>
      <c r="S1129"/>
    </row>
    <row r="1130" spans="1:19" x14ac:dyDescent="0.25">
      <c r="A1130" t="s">
        <v>3108</v>
      </c>
      <c r="J1130" t="s">
        <v>3125</v>
      </c>
      <c r="K1130" t="s">
        <v>3126</v>
      </c>
      <c r="M1130" t="s">
        <v>23</v>
      </c>
      <c r="N1130"/>
      <c r="O1130"/>
      <c r="P1130"/>
      <c r="Q1130"/>
      <c r="R1130"/>
      <c r="S1130"/>
    </row>
    <row r="1131" spans="1:19" x14ac:dyDescent="0.25">
      <c r="A1131" t="s">
        <v>3108</v>
      </c>
      <c r="J1131" t="s">
        <v>3127</v>
      </c>
      <c r="K1131" t="s">
        <v>3128</v>
      </c>
      <c r="M1131" t="s">
        <v>23</v>
      </c>
      <c r="N1131"/>
      <c r="O1131"/>
      <c r="P1131"/>
      <c r="Q1131"/>
      <c r="R1131"/>
      <c r="S1131"/>
    </row>
    <row r="1132" spans="1:19" x14ac:dyDescent="0.25">
      <c r="A1132" t="s">
        <v>3108</v>
      </c>
      <c r="J1132" t="s">
        <v>3129</v>
      </c>
      <c r="K1132" t="s">
        <v>3130</v>
      </c>
      <c r="M1132" t="s">
        <v>23</v>
      </c>
      <c r="N1132"/>
      <c r="O1132"/>
      <c r="P1132"/>
      <c r="Q1132"/>
      <c r="R1132"/>
      <c r="S1132"/>
    </row>
    <row r="1133" spans="1:19" x14ac:dyDescent="0.25">
      <c r="A1133" t="s">
        <v>3108</v>
      </c>
      <c r="J1133" t="s">
        <v>3131</v>
      </c>
      <c r="K1133" t="s">
        <v>3132</v>
      </c>
      <c r="M1133" t="s">
        <v>23</v>
      </c>
      <c r="N1133"/>
      <c r="O1133"/>
      <c r="P1133"/>
      <c r="Q1133"/>
      <c r="R1133"/>
      <c r="S1133"/>
    </row>
    <row r="1134" spans="1:19" x14ac:dyDescent="0.25">
      <c r="A1134" t="s">
        <v>3108</v>
      </c>
      <c r="J1134" t="s">
        <v>3133</v>
      </c>
      <c r="K1134" t="s">
        <v>3134</v>
      </c>
      <c r="M1134" t="s">
        <v>23</v>
      </c>
      <c r="N1134"/>
      <c r="O1134"/>
      <c r="P1134"/>
      <c r="Q1134"/>
      <c r="R1134"/>
      <c r="S1134"/>
    </row>
    <row r="1135" spans="1:19" x14ac:dyDescent="0.25">
      <c r="A1135" t="s">
        <v>3108</v>
      </c>
      <c r="J1135" t="s">
        <v>3135</v>
      </c>
      <c r="K1135" t="s">
        <v>3136</v>
      </c>
      <c r="M1135" t="s">
        <v>23</v>
      </c>
      <c r="N1135"/>
      <c r="O1135"/>
      <c r="P1135"/>
      <c r="Q1135"/>
      <c r="R1135"/>
      <c r="S1135"/>
    </row>
    <row r="1136" spans="1:19" x14ac:dyDescent="0.25">
      <c r="A1136" t="s">
        <v>3108</v>
      </c>
      <c r="J1136" t="s">
        <v>3137</v>
      </c>
      <c r="K1136" t="s">
        <v>3138</v>
      </c>
      <c r="M1136" t="s">
        <v>23</v>
      </c>
      <c r="N1136"/>
      <c r="O1136"/>
      <c r="P1136"/>
      <c r="Q1136"/>
      <c r="R1136"/>
      <c r="S1136"/>
    </row>
    <row r="1137" spans="1:19" x14ac:dyDescent="0.25">
      <c r="A1137" t="s">
        <v>3108</v>
      </c>
      <c r="J1137" t="s">
        <v>3139</v>
      </c>
      <c r="K1137" t="s">
        <v>3140</v>
      </c>
      <c r="M1137" t="s">
        <v>23</v>
      </c>
      <c r="N1137"/>
      <c r="O1137"/>
      <c r="P1137"/>
      <c r="Q1137"/>
      <c r="R1137"/>
      <c r="S1137"/>
    </row>
    <row r="1138" spans="1:19" x14ac:dyDescent="0.25">
      <c r="A1138" t="s">
        <v>3108</v>
      </c>
      <c r="J1138" t="s">
        <v>3141</v>
      </c>
      <c r="K1138" t="s">
        <v>3142</v>
      </c>
      <c r="M1138" t="s">
        <v>23</v>
      </c>
      <c r="N1138"/>
      <c r="O1138"/>
      <c r="P1138"/>
      <c r="Q1138"/>
      <c r="R1138"/>
      <c r="S1138"/>
    </row>
    <row r="1139" spans="1:19" x14ac:dyDescent="0.25">
      <c r="A1139" t="s">
        <v>3108</v>
      </c>
      <c r="J1139" t="s">
        <v>3143</v>
      </c>
      <c r="K1139" t="s">
        <v>3144</v>
      </c>
      <c r="M1139" t="s">
        <v>23</v>
      </c>
      <c r="N1139"/>
      <c r="O1139"/>
      <c r="P1139"/>
      <c r="Q1139"/>
      <c r="R1139"/>
      <c r="S1139"/>
    </row>
    <row r="1140" spans="1:19" x14ac:dyDescent="0.25">
      <c r="A1140" t="s">
        <v>3108</v>
      </c>
      <c r="J1140" t="s">
        <v>3145</v>
      </c>
      <c r="K1140" t="s">
        <v>3146</v>
      </c>
      <c r="M1140" t="s">
        <v>23</v>
      </c>
      <c r="N1140"/>
      <c r="O1140"/>
      <c r="P1140"/>
      <c r="Q1140"/>
      <c r="R1140"/>
      <c r="S1140"/>
    </row>
    <row r="1141" spans="1:19" x14ac:dyDescent="0.25">
      <c r="A1141" t="s">
        <v>3108</v>
      </c>
      <c r="J1141" t="s">
        <v>3147</v>
      </c>
      <c r="K1141" t="s">
        <v>3148</v>
      </c>
      <c r="M1141" t="s">
        <v>23</v>
      </c>
      <c r="N1141"/>
      <c r="O1141"/>
      <c r="P1141"/>
      <c r="Q1141"/>
      <c r="R1141"/>
      <c r="S1141"/>
    </row>
    <row r="1142" spans="1:19" x14ac:dyDescent="0.25">
      <c r="A1142" t="s">
        <v>3108</v>
      </c>
      <c r="J1142" t="s">
        <v>3149</v>
      </c>
      <c r="K1142" t="s">
        <v>3150</v>
      </c>
      <c r="M1142" t="s">
        <v>23</v>
      </c>
      <c r="N1142"/>
      <c r="O1142"/>
      <c r="P1142"/>
      <c r="Q1142"/>
      <c r="R1142"/>
      <c r="S1142"/>
    </row>
    <row r="1143" spans="1:19" x14ac:dyDescent="0.25">
      <c r="A1143" t="s">
        <v>3108</v>
      </c>
      <c r="J1143" t="s">
        <v>3151</v>
      </c>
      <c r="K1143" t="s">
        <v>3152</v>
      </c>
      <c r="M1143" t="s">
        <v>23</v>
      </c>
      <c r="N1143"/>
      <c r="O1143"/>
      <c r="P1143"/>
      <c r="Q1143"/>
      <c r="R1143"/>
      <c r="S1143"/>
    </row>
    <row r="1144" spans="1:19" x14ac:dyDescent="0.25">
      <c r="A1144" t="s">
        <v>193</v>
      </c>
      <c r="C1144" s="27" t="s">
        <v>34749</v>
      </c>
      <c r="D1144" s="28" t="s">
        <v>34867</v>
      </c>
      <c r="J1144" t="s">
        <v>3153</v>
      </c>
      <c r="K1144" t="s">
        <v>3154</v>
      </c>
      <c r="L1144" s="28" t="s">
        <v>3155</v>
      </c>
      <c r="M1144" t="s">
        <v>23</v>
      </c>
      <c r="N1144"/>
      <c r="O1144"/>
      <c r="P1144"/>
      <c r="Q1144"/>
      <c r="R1144"/>
      <c r="S1144"/>
    </row>
    <row r="1145" spans="1:19" x14ac:dyDescent="0.25">
      <c r="A1145" t="s">
        <v>193</v>
      </c>
      <c r="C1145" s="27" t="s">
        <v>34749</v>
      </c>
      <c r="D1145" s="28" t="s">
        <v>34867</v>
      </c>
      <c r="J1145" t="s">
        <v>3156</v>
      </c>
      <c r="K1145" t="s">
        <v>3157</v>
      </c>
      <c r="L1145" s="28" t="s">
        <v>3158</v>
      </c>
      <c r="M1145" t="s">
        <v>23</v>
      </c>
      <c r="N1145"/>
      <c r="O1145"/>
      <c r="P1145"/>
      <c r="Q1145"/>
      <c r="R1145"/>
      <c r="S1145"/>
    </row>
    <row r="1146" spans="1:19" x14ac:dyDescent="0.25">
      <c r="A1146" t="s">
        <v>193</v>
      </c>
      <c r="C1146" s="27" t="s">
        <v>34749</v>
      </c>
      <c r="D1146" s="28" t="s">
        <v>34867</v>
      </c>
      <c r="J1146" t="s">
        <v>3159</v>
      </c>
      <c r="K1146" t="s">
        <v>3160</v>
      </c>
      <c r="L1146" s="28" t="s">
        <v>3161</v>
      </c>
      <c r="M1146" t="s">
        <v>23</v>
      </c>
      <c r="N1146"/>
      <c r="O1146"/>
      <c r="P1146"/>
      <c r="Q1146"/>
      <c r="R1146"/>
      <c r="S1146"/>
    </row>
    <row r="1147" spans="1:19" x14ac:dyDescent="0.25">
      <c r="A1147" t="s">
        <v>193</v>
      </c>
      <c r="C1147" s="27" t="s">
        <v>34749</v>
      </c>
      <c r="D1147" s="28" t="s">
        <v>34867</v>
      </c>
      <c r="J1147" t="s">
        <v>3162</v>
      </c>
      <c r="K1147" t="s">
        <v>3163</v>
      </c>
      <c r="L1147" s="28" t="s">
        <v>3164</v>
      </c>
      <c r="M1147" t="s">
        <v>23</v>
      </c>
      <c r="N1147"/>
      <c r="O1147"/>
      <c r="P1147"/>
      <c r="Q1147"/>
      <c r="R1147"/>
      <c r="S1147"/>
    </row>
    <row r="1148" spans="1:19" x14ac:dyDescent="0.25">
      <c r="A1148" t="s">
        <v>193</v>
      </c>
      <c r="C1148" s="27" t="s">
        <v>34749</v>
      </c>
      <c r="D1148" s="28" t="s">
        <v>34867</v>
      </c>
      <c r="J1148" t="s">
        <v>3165</v>
      </c>
      <c r="K1148" t="s">
        <v>3166</v>
      </c>
      <c r="L1148" s="28" t="s">
        <v>3167</v>
      </c>
      <c r="M1148" t="s">
        <v>23</v>
      </c>
      <c r="N1148"/>
      <c r="O1148"/>
      <c r="P1148"/>
      <c r="Q1148"/>
      <c r="R1148"/>
      <c r="S1148"/>
    </row>
    <row r="1149" spans="1:19" x14ac:dyDescent="0.25">
      <c r="A1149" t="s">
        <v>193</v>
      </c>
      <c r="C1149" s="27" t="s">
        <v>34749</v>
      </c>
      <c r="D1149" s="28" t="s">
        <v>34867</v>
      </c>
      <c r="J1149" t="s">
        <v>3168</v>
      </c>
      <c r="K1149" t="s">
        <v>3169</v>
      </c>
      <c r="L1149" s="28" t="s">
        <v>3170</v>
      </c>
      <c r="M1149" t="s">
        <v>23</v>
      </c>
      <c r="N1149"/>
      <c r="O1149"/>
      <c r="P1149"/>
      <c r="Q1149"/>
      <c r="R1149"/>
      <c r="S1149"/>
    </row>
    <row r="1150" spans="1:19" x14ac:dyDescent="0.25">
      <c r="A1150" t="s">
        <v>193</v>
      </c>
      <c r="C1150" s="27" t="s">
        <v>34749</v>
      </c>
      <c r="D1150" s="28" t="s">
        <v>34867</v>
      </c>
      <c r="J1150" t="s">
        <v>3171</v>
      </c>
      <c r="K1150" t="s">
        <v>3172</v>
      </c>
      <c r="L1150" s="28" t="s">
        <v>3173</v>
      </c>
      <c r="M1150" t="s">
        <v>23</v>
      </c>
      <c r="N1150"/>
      <c r="O1150"/>
      <c r="P1150"/>
      <c r="Q1150"/>
      <c r="R1150"/>
      <c r="S1150"/>
    </row>
    <row r="1151" spans="1:19" x14ac:dyDescent="0.25">
      <c r="A1151" t="s">
        <v>193</v>
      </c>
      <c r="C1151" s="27" t="s">
        <v>34749</v>
      </c>
      <c r="D1151" s="28" t="s">
        <v>34867</v>
      </c>
      <c r="J1151" t="s">
        <v>3174</v>
      </c>
      <c r="K1151" t="s">
        <v>3175</v>
      </c>
      <c r="L1151" s="28" t="s">
        <v>3176</v>
      </c>
      <c r="M1151" t="s">
        <v>23</v>
      </c>
      <c r="N1151"/>
      <c r="O1151"/>
      <c r="P1151"/>
      <c r="Q1151"/>
      <c r="R1151"/>
      <c r="S1151"/>
    </row>
    <row r="1152" spans="1:19" x14ac:dyDescent="0.25">
      <c r="A1152" t="s">
        <v>193</v>
      </c>
      <c r="C1152" s="27" t="s">
        <v>34749</v>
      </c>
      <c r="D1152" s="28" t="s">
        <v>34867</v>
      </c>
      <c r="J1152" t="s">
        <v>3177</v>
      </c>
      <c r="K1152" t="s">
        <v>3178</v>
      </c>
      <c r="L1152" s="28" t="s">
        <v>3179</v>
      </c>
      <c r="M1152" t="s">
        <v>23</v>
      </c>
      <c r="N1152"/>
      <c r="O1152"/>
      <c r="P1152"/>
      <c r="Q1152"/>
      <c r="R1152"/>
      <c r="S1152"/>
    </row>
    <row r="1153" spans="1:19" x14ac:dyDescent="0.25">
      <c r="A1153" t="s">
        <v>193</v>
      </c>
      <c r="C1153" s="27" t="s">
        <v>34749</v>
      </c>
      <c r="D1153" s="28" t="s">
        <v>34867</v>
      </c>
      <c r="J1153" t="s">
        <v>3180</v>
      </c>
      <c r="K1153" t="s">
        <v>3181</v>
      </c>
      <c r="L1153" s="28" t="s">
        <v>3182</v>
      </c>
      <c r="M1153" t="s">
        <v>23</v>
      </c>
      <c r="N1153"/>
      <c r="O1153"/>
      <c r="P1153"/>
      <c r="Q1153"/>
      <c r="R1153"/>
      <c r="S1153"/>
    </row>
    <row r="1154" spans="1:19" x14ac:dyDescent="0.25">
      <c r="A1154" t="s">
        <v>193</v>
      </c>
      <c r="C1154" s="27" t="s">
        <v>34749</v>
      </c>
      <c r="D1154" s="28" t="s">
        <v>34867</v>
      </c>
      <c r="J1154" t="s">
        <v>3183</v>
      </c>
      <c r="K1154" t="s">
        <v>3184</v>
      </c>
      <c r="L1154" s="28" t="s">
        <v>3185</v>
      </c>
      <c r="M1154" t="s">
        <v>23</v>
      </c>
      <c r="N1154"/>
      <c r="O1154"/>
      <c r="P1154"/>
      <c r="Q1154"/>
      <c r="R1154"/>
      <c r="S1154"/>
    </row>
    <row r="1155" spans="1:19" x14ac:dyDescent="0.25">
      <c r="A1155" t="s">
        <v>193</v>
      </c>
      <c r="C1155" s="27" t="s">
        <v>34749</v>
      </c>
      <c r="D1155" s="28" t="s">
        <v>34867</v>
      </c>
      <c r="J1155" t="s">
        <v>3186</v>
      </c>
      <c r="K1155" t="s">
        <v>3187</v>
      </c>
      <c r="L1155" s="28" t="s">
        <v>3188</v>
      </c>
      <c r="M1155" t="s">
        <v>23</v>
      </c>
      <c r="N1155"/>
      <c r="O1155"/>
      <c r="P1155"/>
      <c r="Q1155"/>
      <c r="R1155"/>
      <c r="S1155"/>
    </row>
    <row r="1156" spans="1:19" x14ac:dyDescent="0.25">
      <c r="A1156" t="s">
        <v>193</v>
      </c>
      <c r="C1156" s="27" t="s">
        <v>34749</v>
      </c>
      <c r="D1156" s="28" t="s">
        <v>34867</v>
      </c>
      <c r="J1156" t="s">
        <v>3189</v>
      </c>
      <c r="K1156" t="s">
        <v>3190</v>
      </c>
      <c r="L1156" s="28" t="s">
        <v>3191</v>
      </c>
      <c r="M1156" t="s">
        <v>23</v>
      </c>
      <c r="N1156"/>
      <c r="O1156"/>
      <c r="P1156"/>
      <c r="Q1156"/>
      <c r="R1156"/>
      <c r="S1156"/>
    </row>
    <row r="1157" spans="1:19" x14ac:dyDescent="0.25">
      <c r="A1157" t="s">
        <v>193</v>
      </c>
      <c r="C1157" s="27" t="s">
        <v>34749</v>
      </c>
      <c r="D1157" s="28" t="s">
        <v>34867</v>
      </c>
      <c r="J1157" t="s">
        <v>3192</v>
      </c>
      <c r="K1157" t="s">
        <v>3193</v>
      </c>
      <c r="L1157" s="28" t="s">
        <v>3194</v>
      </c>
      <c r="M1157" t="s">
        <v>23</v>
      </c>
      <c r="N1157"/>
      <c r="O1157"/>
      <c r="P1157"/>
      <c r="Q1157"/>
      <c r="R1157"/>
      <c r="S1157"/>
    </row>
    <row r="1158" spans="1:19" x14ac:dyDescent="0.25">
      <c r="A1158" t="s">
        <v>193</v>
      </c>
      <c r="C1158" s="27" t="s">
        <v>34749</v>
      </c>
      <c r="D1158" s="28" t="s">
        <v>34867</v>
      </c>
      <c r="J1158" t="s">
        <v>3195</v>
      </c>
      <c r="K1158" t="s">
        <v>3196</v>
      </c>
      <c r="L1158" s="28" t="s">
        <v>3197</v>
      </c>
      <c r="M1158" t="s">
        <v>23</v>
      </c>
      <c r="N1158"/>
      <c r="O1158"/>
      <c r="P1158"/>
      <c r="Q1158"/>
      <c r="R1158"/>
      <c r="S1158"/>
    </row>
    <row r="1159" spans="1:19" x14ac:dyDescent="0.25">
      <c r="A1159" t="s">
        <v>193</v>
      </c>
      <c r="C1159" s="27" t="s">
        <v>34749</v>
      </c>
      <c r="D1159" s="28" t="s">
        <v>34867</v>
      </c>
      <c r="J1159" t="s">
        <v>3198</v>
      </c>
      <c r="K1159" t="s">
        <v>3199</v>
      </c>
      <c r="L1159" s="28" t="s">
        <v>3200</v>
      </c>
      <c r="M1159" t="s">
        <v>23</v>
      </c>
      <c r="N1159"/>
      <c r="O1159"/>
      <c r="P1159"/>
      <c r="Q1159"/>
      <c r="R1159"/>
      <c r="S1159"/>
    </row>
    <row r="1160" spans="1:19" x14ac:dyDescent="0.25">
      <c r="A1160" t="s">
        <v>193</v>
      </c>
      <c r="C1160" s="27" t="s">
        <v>34749</v>
      </c>
      <c r="D1160" s="28" t="s">
        <v>34867</v>
      </c>
      <c r="J1160" t="s">
        <v>3201</v>
      </c>
      <c r="K1160" t="s">
        <v>3202</v>
      </c>
      <c r="L1160" s="28" t="s">
        <v>3203</v>
      </c>
      <c r="M1160" t="s">
        <v>23</v>
      </c>
      <c r="N1160"/>
      <c r="O1160"/>
      <c r="P1160"/>
      <c r="Q1160"/>
      <c r="R1160"/>
      <c r="S1160"/>
    </row>
    <row r="1161" spans="1:19" x14ac:dyDescent="0.25">
      <c r="A1161" t="s">
        <v>193</v>
      </c>
      <c r="C1161" s="27" t="s">
        <v>34749</v>
      </c>
      <c r="D1161" s="28" t="s">
        <v>34867</v>
      </c>
      <c r="J1161" t="s">
        <v>3204</v>
      </c>
      <c r="K1161" t="s">
        <v>3205</v>
      </c>
      <c r="L1161" s="28" t="s">
        <v>3206</v>
      </c>
      <c r="M1161" t="s">
        <v>23</v>
      </c>
      <c r="N1161"/>
      <c r="O1161"/>
      <c r="P1161"/>
      <c r="Q1161"/>
      <c r="R1161"/>
      <c r="S1161"/>
    </row>
    <row r="1162" spans="1:19" x14ac:dyDescent="0.25">
      <c r="A1162" t="s">
        <v>193</v>
      </c>
      <c r="C1162" s="27" t="s">
        <v>34749</v>
      </c>
      <c r="D1162" s="28" t="s">
        <v>34867</v>
      </c>
      <c r="J1162" t="s">
        <v>3207</v>
      </c>
      <c r="K1162" t="s">
        <v>3208</v>
      </c>
      <c r="L1162" s="28" t="s">
        <v>3209</v>
      </c>
      <c r="M1162" t="s">
        <v>23</v>
      </c>
      <c r="N1162"/>
      <c r="O1162"/>
      <c r="P1162"/>
      <c r="Q1162"/>
      <c r="R1162"/>
      <c r="S1162"/>
    </row>
    <row r="1163" spans="1:19" x14ac:dyDescent="0.25">
      <c r="A1163" t="s">
        <v>193</v>
      </c>
      <c r="C1163" s="27" t="s">
        <v>34749</v>
      </c>
      <c r="D1163" s="28" t="s">
        <v>34867</v>
      </c>
      <c r="J1163" t="s">
        <v>3210</v>
      </c>
      <c r="K1163" t="s">
        <v>3211</v>
      </c>
      <c r="L1163" s="28" t="s">
        <v>3212</v>
      </c>
      <c r="M1163" t="s">
        <v>23</v>
      </c>
      <c r="N1163"/>
      <c r="O1163"/>
      <c r="P1163"/>
      <c r="Q1163"/>
      <c r="R1163"/>
      <c r="S1163"/>
    </row>
    <row r="1164" spans="1:19" x14ac:dyDescent="0.25">
      <c r="A1164" t="s">
        <v>193</v>
      </c>
      <c r="C1164" s="27" t="s">
        <v>34749</v>
      </c>
      <c r="D1164" s="28" t="s">
        <v>34867</v>
      </c>
      <c r="J1164" t="s">
        <v>3213</v>
      </c>
      <c r="K1164" t="s">
        <v>3214</v>
      </c>
      <c r="L1164" s="28" t="s">
        <v>3215</v>
      </c>
      <c r="M1164" t="s">
        <v>23</v>
      </c>
      <c r="N1164"/>
      <c r="O1164"/>
      <c r="P1164"/>
      <c r="Q1164"/>
      <c r="R1164"/>
      <c r="S1164"/>
    </row>
    <row r="1165" spans="1:19" x14ac:dyDescent="0.25">
      <c r="A1165" t="s">
        <v>193</v>
      </c>
      <c r="C1165" s="27" t="s">
        <v>34749</v>
      </c>
      <c r="D1165" s="28" t="s">
        <v>34867</v>
      </c>
      <c r="J1165" t="s">
        <v>3216</v>
      </c>
      <c r="K1165" t="s">
        <v>3217</v>
      </c>
      <c r="L1165" s="28" t="s">
        <v>3218</v>
      </c>
      <c r="M1165" t="s">
        <v>23</v>
      </c>
      <c r="N1165"/>
      <c r="O1165"/>
      <c r="P1165"/>
      <c r="Q1165"/>
      <c r="R1165"/>
      <c r="S1165"/>
    </row>
    <row r="1166" spans="1:19" x14ac:dyDescent="0.25">
      <c r="A1166" t="s">
        <v>193</v>
      </c>
      <c r="C1166" s="27" t="s">
        <v>34749</v>
      </c>
      <c r="D1166" s="28" t="s">
        <v>34867</v>
      </c>
      <c r="J1166" t="s">
        <v>3219</v>
      </c>
      <c r="K1166" t="s">
        <v>3220</v>
      </c>
      <c r="L1166" s="28" t="s">
        <v>3221</v>
      </c>
      <c r="M1166" t="s">
        <v>23</v>
      </c>
      <c r="N1166"/>
      <c r="O1166"/>
      <c r="P1166"/>
      <c r="Q1166"/>
      <c r="R1166"/>
      <c r="S1166"/>
    </row>
    <row r="1167" spans="1:19" x14ac:dyDescent="0.25">
      <c r="A1167" t="s">
        <v>193</v>
      </c>
      <c r="C1167" s="27" t="s">
        <v>34749</v>
      </c>
      <c r="D1167" s="28" t="s">
        <v>34867</v>
      </c>
      <c r="J1167" t="s">
        <v>3222</v>
      </c>
      <c r="K1167" t="s">
        <v>3223</v>
      </c>
      <c r="L1167" s="28" t="s">
        <v>3224</v>
      </c>
      <c r="M1167" t="s">
        <v>23</v>
      </c>
      <c r="N1167"/>
      <c r="O1167"/>
      <c r="P1167"/>
      <c r="Q1167"/>
      <c r="R1167"/>
      <c r="S1167"/>
    </row>
    <row r="1168" spans="1:19" x14ac:dyDescent="0.25">
      <c r="A1168" t="s">
        <v>193</v>
      </c>
      <c r="C1168" s="27" t="s">
        <v>34749</v>
      </c>
      <c r="D1168" s="28" t="s">
        <v>34867</v>
      </c>
      <c r="J1168" t="s">
        <v>3225</v>
      </c>
      <c r="K1168" t="s">
        <v>3226</v>
      </c>
      <c r="L1168" s="28" t="s">
        <v>3227</v>
      </c>
      <c r="M1168" t="s">
        <v>23</v>
      </c>
      <c r="N1168"/>
      <c r="O1168"/>
      <c r="P1168"/>
      <c r="Q1168"/>
      <c r="R1168"/>
      <c r="S1168"/>
    </row>
    <row r="1169" spans="1:19" x14ac:dyDescent="0.25">
      <c r="A1169" t="s">
        <v>193</v>
      </c>
      <c r="C1169" s="27" t="s">
        <v>34749</v>
      </c>
      <c r="D1169" s="28" t="s">
        <v>34867</v>
      </c>
      <c r="J1169" t="s">
        <v>3228</v>
      </c>
      <c r="K1169" t="s">
        <v>3229</v>
      </c>
      <c r="L1169" s="28" t="s">
        <v>3230</v>
      </c>
      <c r="M1169" t="s">
        <v>23</v>
      </c>
      <c r="N1169"/>
      <c r="O1169"/>
      <c r="P1169"/>
      <c r="Q1169"/>
      <c r="R1169"/>
      <c r="S1169"/>
    </row>
    <row r="1170" spans="1:19" x14ac:dyDescent="0.25">
      <c r="A1170" t="s">
        <v>193</v>
      </c>
      <c r="C1170" s="27" t="s">
        <v>34749</v>
      </c>
      <c r="D1170" s="28" t="s">
        <v>34867</v>
      </c>
      <c r="J1170" t="s">
        <v>3231</v>
      </c>
      <c r="K1170" t="s">
        <v>3232</v>
      </c>
      <c r="L1170" s="28" t="s">
        <v>3233</v>
      </c>
      <c r="M1170" t="s">
        <v>23</v>
      </c>
      <c r="N1170"/>
      <c r="O1170"/>
      <c r="P1170"/>
      <c r="Q1170"/>
      <c r="R1170"/>
      <c r="S1170"/>
    </row>
    <row r="1171" spans="1:19" x14ac:dyDescent="0.25">
      <c r="A1171" t="s">
        <v>193</v>
      </c>
      <c r="C1171" s="27" t="s">
        <v>34749</v>
      </c>
      <c r="D1171" s="28" t="s">
        <v>34867</v>
      </c>
      <c r="J1171" t="s">
        <v>3234</v>
      </c>
      <c r="K1171" t="s">
        <v>3235</v>
      </c>
      <c r="L1171" s="28" t="s">
        <v>3236</v>
      </c>
      <c r="M1171" t="s">
        <v>23</v>
      </c>
      <c r="N1171"/>
      <c r="O1171"/>
      <c r="P1171"/>
      <c r="Q1171"/>
      <c r="R1171"/>
      <c r="S1171"/>
    </row>
    <row r="1172" spans="1:19" x14ac:dyDescent="0.25">
      <c r="A1172" t="s">
        <v>193</v>
      </c>
      <c r="C1172" s="27" t="s">
        <v>34749</v>
      </c>
      <c r="D1172" s="28" t="s">
        <v>34867</v>
      </c>
      <c r="J1172" t="s">
        <v>3237</v>
      </c>
      <c r="K1172" t="s">
        <v>3238</v>
      </c>
      <c r="L1172" s="28" t="s">
        <v>3239</v>
      </c>
      <c r="M1172" t="s">
        <v>23</v>
      </c>
      <c r="N1172"/>
      <c r="O1172"/>
      <c r="P1172"/>
      <c r="Q1172"/>
      <c r="R1172"/>
      <c r="S1172"/>
    </row>
    <row r="1173" spans="1:19" x14ac:dyDescent="0.25">
      <c r="A1173" t="s">
        <v>193</v>
      </c>
      <c r="C1173" s="27" t="s">
        <v>34749</v>
      </c>
      <c r="D1173" s="28" t="s">
        <v>34867</v>
      </c>
      <c r="J1173" t="s">
        <v>3240</v>
      </c>
      <c r="K1173" t="s">
        <v>3241</v>
      </c>
      <c r="L1173" s="28" t="s">
        <v>3242</v>
      </c>
      <c r="M1173" t="s">
        <v>23</v>
      </c>
      <c r="N1173"/>
      <c r="O1173"/>
      <c r="P1173"/>
      <c r="Q1173"/>
      <c r="R1173"/>
      <c r="S1173"/>
    </row>
    <row r="1174" spans="1:19" x14ac:dyDescent="0.25">
      <c r="A1174" t="s">
        <v>193</v>
      </c>
      <c r="C1174" s="27" t="s">
        <v>34749</v>
      </c>
      <c r="D1174" s="28" t="s">
        <v>34867</v>
      </c>
      <c r="J1174" t="s">
        <v>3243</v>
      </c>
      <c r="K1174" t="s">
        <v>3244</v>
      </c>
      <c r="L1174" s="28" t="s">
        <v>3245</v>
      </c>
      <c r="M1174" t="s">
        <v>23</v>
      </c>
      <c r="N1174"/>
      <c r="O1174"/>
      <c r="P1174"/>
      <c r="Q1174"/>
      <c r="R1174"/>
      <c r="S1174"/>
    </row>
    <row r="1175" spans="1:19" x14ac:dyDescent="0.25">
      <c r="A1175" t="s">
        <v>193</v>
      </c>
      <c r="C1175" s="27" t="s">
        <v>34749</v>
      </c>
      <c r="D1175" s="28" t="s">
        <v>34867</v>
      </c>
      <c r="J1175" t="s">
        <v>3246</v>
      </c>
      <c r="K1175" t="s">
        <v>3247</v>
      </c>
      <c r="L1175" s="28" t="s">
        <v>3248</v>
      </c>
      <c r="M1175" t="s">
        <v>23</v>
      </c>
      <c r="N1175"/>
      <c r="O1175"/>
      <c r="P1175"/>
      <c r="Q1175"/>
      <c r="R1175"/>
      <c r="S1175"/>
    </row>
    <row r="1176" spans="1:19" x14ac:dyDescent="0.25">
      <c r="A1176" t="s">
        <v>193</v>
      </c>
      <c r="C1176" s="27" t="s">
        <v>34749</v>
      </c>
      <c r="D1176" s="28" t="s">
        <v>34867</v>
      </c>
      <c r="J1176" t="s">
        <v>3249</v>
      </c>
      <c r="K1176" t="s">
        <v>3250</v>
      </c>
      <c r="L1176" s="28" t="s">
        <v>3251</v>
      </c>
      <c r="M1176" t="s">
        <v>23</v>
      </c>
      <c r="N1176"/>
      <c r="O1176"/>
      <c r="P1176"/>
      <c r="Q1176"/>
      <c r="R1176"/>
      <c r="S1176"/>
    </row>
    <row r="1177" spans="1:19" x14ac:dyDescent="0.25">
      <c r="A1177" t="s">
        <v>193</v>
      </c>
      <c r="C1177" s="27" t="s">
        <v>34749</v>
      </c>
      <c r="D1177" s="28" t="s">
        <v>34867</v>
      </c>
      <c r="J1177" t="s">
        <v>3252</v>
      </c>
      <c r="K1177" t="s">
        <v>3253</v>
      </c>
      <c r="L1177" s="28" t="s">
        <v>3254</v>
      </c>
      <c r="M1177" t="s">
        <v>23</v>
      </c>
      <c r="N1177"/>
      <c r="O1177"/>
      <c r="P1177"/>
      <c r="Q1177"/>
      <c r="R1177"/>
      <c r="S1177"/>
    </row>
    <row r="1178" spans="1:19" x14ac:dyDescent="0.25">
      <c r="A1178" t="s">
        <v>193</v>
      </c>
      <c r="C1178" s="27" t="s">
        <v>34749</v>
      </c>
      <c r="D1178" s="28" t="s">
        <v>34867</v>
      </c>
      <c r="J1178" t="s">
        <v>3255</v>
      </c>
      <c r="K1178" t="s">
        <v>3256</v>
      </c>
      <c r="L1178" s="28" t="s">
        <v>3257</v>
      </c>
      <c r="M1178" t="s">
        <v>23</v>
      </c>
      <c r="N1178"/>
      <c r="O1178"/>
      <c r="P1178"/>
      <c r="Q1178"/>
      <c r="R1178"/>
      <c r="S1178"/>
    </row>
    <row r="1179" spans="1:19" x14ac:dyDescent="0.25">
      <c r="A1179" t="s">
        <v>193</v>
      </c>
      <c r="C1179" s="27" t="s">
        <v>34749</v>
      </c>
      <c r="D1179" s="28" t="s">
        <v>34867</v>
      </c>
      <c r="J1179" t="s">
        <v>3258</v>
      </c>
      <c r="K1179" t="s">
        <v>3259</v>
      </c>
      <c r="L1179" s="28" t="s">
        <v>3260</v>
      </c>
      <c r="M1179" t="s">
        <v>23</v>
      </c>
      <c r="N1179"/>
      <c r="O1179"/>
      <c r="P1179"/>
      <c r="Q1179"/>
      <c r="R1179"/>
      <c r="S1179"/>
    </row>
    <row r="1180" spans="1:19" x14ac:dyDescent="0.25">
      <c r="A1180" t="s">
        <v>193</v>
      </c>
      <c r="C1180" s="27" t="s">
        <v>34749</v>
      </c>
      <c r="D1180" s="28" t="s">
        <v>34867</v>
      </c>
      <c r="J1180" t="s">
        <v>3261</v>
      </c>
      <c r="K1180" t="s">
        <v>3262</v>
      </c>
      <c r="L1180" s="28" t="s">
        <v>3263</v>
      </c>
      <c r="M1180" t="s">
        <v>23</v>
      </c>
      <c r="N1180"/>
      <c r="O1180"/>
      <c r="P1180"/>
      <c r="Q1180"/>
      <c r="R1180"/>
      <c r="S1180"/>
    </row>
    <row r="1181" spans="1:19" x14ac:dyDescent="0.25">
      <c r="A1181" t="s">
        <v>193</v>
      </c>
      <c r="C1181" s="27" t="s">
        <v>34749</v>
      </c>
      <c r="D1181" s="28" t="s">
        <v>34867</v>
      </c>
      <c r="J1181" t="s">
        <v>3264</v>
      </c>
      <c r="K1181" t="s">
        <v>3265</v>
      </c>
      <c r="L1181" s="28" t="s">
        <v>3266</v>
      </c>
      <c r="M1181" t="s">
        <v>23</v>
      </c>
      <c r="N1181"/>
      <c r="O1181"/>
      <c r="P1181"/>
      <c r="Q1181"/>
      <c r="R1181"/>
      <c r="S1181"/>
    </row>
    <row r="1182" spans="1:19" x14ac:dyDescent="0.25">
      <c r="A1182" t="s">
        <v>193</v>
      </c>
      <c r="C1182" s="27" t="s">
        <v>34749</v>
      </c>
      <c r="D1182" s="28" t="s">
        <v>34867</v>
      </c>
      <c r="J1182" t="s">
        <v>3267</v>
      </c>
      <c r="K1182" t="s">
        <v>3268</v>
      </c>
      <c r="L1182" s="28" t="s">
        <v>3269</v>
      </c>
      <c r="M1182" t="s">
        <v>23</v>
      </c>
      <c r="N1182"/>
      <c r="O1182"/>
      <c r="P1182"/>
      <c r="Q1182"/>
      <c r="R1182"/>
      <c r="S1182"/>
    </row>
    <row r="1183" spans="1:19" x14ac:dyDescent="0.25">
      <c r="A1183" t="s">
        <v>193</v>
      </c>
      <c r="C1183" s="27" t="s">
        <v>34749</v>
      </c>
      <c r="D1183" s="28" t="s">
        <v>34867</v>
      </c>
      <c r="J1183" t="s">
        <v>3270</v>
      </c>
      <c r="K1183" t="s">
        <v>3271</v>
      </c>
      <c r="L1183" s="28" t="s">
        <v>3272</v>
      </c>
      <c r="M1183" t="s">
        <v>23</v>
      </c>
      <c r="N1183"/>
      <c r="O1183"/>
      <c r="P1183"/>
      <c r="Q1183"/>
      <c r="R1183"/>
      <c r="S1183"/>
    </row>
    <row r="1184" spans="1:19" x14ac:dyDescent="0.25">
      <c r="A1184" t="s">
        <v>193</v>
      </c>
      <c r="C1184" s="27" t="s">
        <v>34749</v>
      </c>
      <c r="D1184" s="28" t="s">
        <v>34867</v>
      </c>
      <c r="J1184" t="s">
        <v>3273</v>
      </c>
      <c r="K1184" t="s">
        <v>3274</v>
      </c>
      <c r="L1184" s="28" t="s">
        <v>3275</v>
      </c>
      <c r="M1184" t="s">
        <v>23</v>
      </c>
      <c r="N1184"/>
      <c r="O1184"/>
      <c r="P1184"/>
      <c r="Q1184"/>
      <c r="R1184"/>
      <c r="S1184"/>
    </row>
    <row r="1185" spans="1:19" x14ac:dyDescent="0.25">
      <c r="A1185" t="s">
        <v>193</v>
      </c>
      <c r="C1185" s="27" t="s">
        <v>34749</v>
      </c>
      <c r="D1185" s="28" t="s">
        <v>34867</v>
      </c>
      <c r="J1185" t="s">
        <v>3276</v>
      </c>
      <c r="K1185" t="s">
        <v>3277</v>
      </c>
      <c r="L1185" s="28" t="s">
        <v>3278</v>
      </c>
      <c r="M1185" t="s">
        <v>23</v>
      </c>
      <c r="N1185"/>
      <c r="O1185"/>
      <c r="P1185"/>
      <c r="Q1185"/>
      <c r="R1185"/>
      <c r="S1185"/>
    </row>
    <row r="1186" spans="1:19" x14ac:dyDescent="0.25">
      <c r="A1186" t="s">
        <v>193</v>
      </c>
      <c r="C1186" s="27" t="s">
        <v>34749</v>
      </c>
      <c r="D1186" s="28" t="s">
        <v>34867</v>
      </c>
      <c r="J1186" t="s">
        <v>3279</v>
      </c>
      <c r="K1186" t="s">
        <v>3280</v>
      </c>
      <c r="L1186" s="28" t="s">
        <v>3281</v>
      </c>
      <c r="M1186" t="s">
        <v>23</v>
      </c>
      <c r="N1186"/>
      <c r="O1186"/>
      <c r="P1186"/>
      <c r="Q1186"/>
      <c r="R1186"/>
      <c r="S1186"/>
    </row>
    <row r="1187" spans="1:19" x14ac:dyDescent="0.25">
      <c r="A1187" t="s">
        <v>193</v>
      </c>
      <c r="C1187" s="27" t="s">
        <v>34749</v>
      </c>
      <c r="D1187" s="28" t="s">
        <v>34867</v>
      </c>
      <c r="J1187" t="s">
        <v>3282</v>
      </c>
      <c r="K1187" t="s">
        <v>3283</v>
      </c>
      <c r="L1187" s="28" t="s">
        <v>3284</v>
      </c>
      <c r="M1187" t="s">
        <v>23</v>
      </c>
      <c r="N1187"/>
      <c r="O1187"/>
      <c r="P1187"/>
      <c r="Q1187"/>
      <c r="R1187"/>
      <c r="S1187"/>
    </row>
    <row r="1188" spans="1:19" x14ac:dyDescent="0.25">
      <c r="A1188" t="s">
        <v>193</v>
      </c>
      <c r="C1188" s="27" t="s">
        <v>34749</v>
      </c>
      <c r="D1188" s="28" t="s">
        <v>34867</v>
      </c>
      <c r="J1188" t="s">
        <v>3285</v>
      </c>
      <c r="K1188" t="s">
        <v>3286</v>
      </c>
      <c r="L1188" s="28" t="s">
        <v>3287</v>
      </c>
      <c r="M1188" t="s">
        <v>23</v>
      </c>
      <c r="N1188"/>
      <c r="O1188"/>
      <c r="P1188"/>
      <c r="Q1188"/>
      <c r="R1188"/>
      <c r="S1188"/>
    </row>
    <row r="1189" spans="1:19" x14ac:dyDescent="0.25">
      <c r="A1189" t="s">
        <v>193</v>
      </c>
      <c r="C1189" s="27" t="s">
        <v>34749</v>
      </c>
      <c r="D1189" s="28" t="s">
        <v>34867</v>
      </c>
      <c r="J1189" t="s">
        <v>3288</v>
      </c>
      <c r="K1189" t="s">
        <v>3289</v>
      </c>
      <c r="L1189" s="28" t="s">
        <v>3290</v>
      </c>
      <c r="M1189" t="s">
        <v>23</v>
      </c>
      <c r="N1189"/>
      <c r="O1189"/>
      <c r="P1189"/>
      <c r="Q1189"/>
      <c r="R1189"/>
      <c r="S1189"/>
    </row>
    <row r="1190" spans="1:19" x14ac:dyDescent="0.25">
      <c r="A1190" t="s">
        <v>193</v>
      </c>
      <c r="C1190" s="27" t="s">
        <v>34749</v>
      </c>
      <c r="D1190" s="28" t="s">
        <v>34867</v>
      </c>
      <c r="J1190" t="s">
        <v>3291</v>
      </c>
      <c r="K1190" t="s">
        <v>3292</v>
      </c>
      <c r="L1190" s="28" t="s">
        <v>3293</v>
      </c>
      <c r="M1190" t="s">
        <v>23</v>
      </c>
      <c r="N1190"/>
      <c r="O1190"/>
      <c r="P1190"/>
      <c r="Q1190"/>
      <c r="R1190"/>
      <c r="S1190"/>
    </row>
    <row r="1191" spans="1:19" x14ac:dyDescent="0.25">
      <c r="A1191" t="s">
        <v>193</v>
      </c>
      <c r="C1191" s="27" t="s">
        <v>34749</v>
      </c>
      <c r="D1191" s="28" t="s">
        <v>34867</v>
      </c>
      <c r="J1191" t="s">
        <v>3294</v>
      </c>
      <c r="K1191" t="s">
        <v>3295</v>
      </c>
      <c r="L1191" s="28" t="s">
        <v>3296</v>
      </c>
      <c r="M1191" t="s">
        <v>23</v>
      </c>
      <c r="N1191"/>
      <c r="O1191"/>
      <c r="P1191"/>
      <c r="Q1191"/>
      <c r="R1191"/>
      <c r="S1191"/>
    </row>
    <row r="1192" spans="1:19" x14ac:dyDescent="0.25">
      <c r="A1192" t="s">
        <v>193</v>
      </c>
      <c r="C1192" s="27" t="s">
        <v>34749</v>
      </c>
      <c r="D1192" s="28" t="s">
        <v>34867</v>
      </c>
      <c r="J1192" t="s">
        <v>3297</v>
      </c>
      <c r="K1192" t="s">
        <v>3298</v>
      </c>
      <c r="L1192" s="28" t="s">
        <v>3299</v>
      </c>
      <c r="M1192" t="s">
        <v>23</v>
      </c>
      <c r="N1192"/>
      <c r="O1192"/>
      <c r="P1192"/>
      <c r="Q1192"/>
      <c r="R1192"/>
      <c r="S1192"/>
    </row>
    <row r="1193" spans="1:19" x14ac:dyDescent="0.25">
      <c r="A1193" t="s">
        <v>193</v>
      </c>
      <c r="C1193" s="27" t="s">
        <v>34749</v>
      </c>
      <c r="D1193" s="28" t="s">
        <v>34867</v>
      </c>
      <c r="J1193" t="s">
        <v>3300</v>
      </c>
      <c r="K1193" t="s">
        <v>3301</v>
      </c>
      <c r="L1193" s="28" t="s">
        <v>3302</v>
      </c>
      <c r="M1193" t="s">
        <v>23</v>
      </c>
      <c r="N1193"/>
      <c r="O1193"/>
      <c r="P1193"/>
      <c r="Q1193"/>
      <c r="R1193"/>
      <c r="S1193"/>
    </row>
    <row r="1194" spans="1:19" x14ac:dyDescent="0.25">
      <c r="A1194" t="s">
        <v>193</v>
      </c>
      <c r="C1194" s="27" t="s">
        <v>34749</v>
      </c>
      <c r="D1194" s="28" t="s">
        <v>34867</v>
      </c>
      <c r="J1194" t="s">
        <v>3303</v>
      </c>
      <c r="K1194" t="s">
        <v>3304</v>
      </c>
      <c r="L1194" s="28" t="s">
        <v>3305</v>
      </c>
      <c r="M1194" t="s">
        <v>23</v>
      </c>
      <c r="N1194"/>
      <c r="O1194"/>
      <c r="P1194"/>
      <c r="Q1194"/>
      <c r="R1194"/>
      <c r="S1194"/>
    </row>
    <row r="1195" spans="1:19" x14ac:dyDescent="0.25">
      <c r="A1195" t="s">
        <v>193</v>
      </c>
      <c r="C1195" s="27" t="s">
        <v>34749</v>
      </c>
      <c r="D1195" s="28" t="s">
        <v>34867</v>
      </c>
      <c r="J1195" t="s">
        <v>3306</v>
      </c>
      <c r="K1195" t="s">
        <v>3307</v>
      </c>
      <c r="L1195" s="28" t="s">
        <v>3308</v>
      </c>
      <c r="M1195" t="s">
        <v>23</v>
      </c>
      <c r="N1195"/>
      <c r="O1195"/>
      <c r="P1195"/>
      <c r="Q1195"/>
      <c r="R1195"/>
      <c r="S1195"/>
    </row>
    <row r="1196" spans="1:19" x14ac:dyDescent="0.25">
      <c r="A1196" t="s">
        <v>193</v>
      </c>
      <c r="C1196" s="27" t="s">
        <v>34749</v>
      </c>
      <c r="D1196" s="28" t="s">
        <v>34867</v>
      </c>
      <c r="J1196" t="s">
        <v>3309</v>
      </c>
      <c r="K1196" t="s">
        <v>3310</v>
      </c>
      <c r="L1196" s="28" t="s">
        <v>3311</v>
      </c>
      <c r="M1196" t="s">
        <v>23</v>
      </c>
      <c r="N1196"/>
      <c r="O1196"/>
      <c r="P1196"/>
      <c r="Q1196"/>
      <c r="R1196"/>
      <c r="S1196"/>
    </row>
    <row r="1197" spans="1:19" x14ac:dyDescent="0.25">
      <c r="A1197" t="s">
        <v>193</v>
      </c>
      <c r="C1197" s="27" t="s">
        <v>34749</v>
      </c>
      <c r="D1197" s="28" t="s">
        <v>34867</v>
      </c>
      <c r="J1197" t="s">
        <v>3312</v>
      </c>
      <c r="K1197" t="s">
        <v>3313</v>
      </c>
      <c r="L1197" s="28" t="s">
        <v>3314</v>
      </c>
      <c r="M1197" t="s">
        <v>23</v>
      </c>
      <c r="N1197"/>
      <c r="O1197"/>
      <c r="P1197"/>
      <c r="Q1197"/>
      <c r="R1197"/>
      <c r="S1197"/>
    </row>
    <row r="1198" spans="1:19" x14ac:dyDescent="0.25">
      <c r="A1198" t="s">
        <v>193</v>
      </c>
      <c r="C1198" s="27" t="s">
        <v>34749</v>
      </c>
      <c r="D1198" s="28" t="s">
        <v>34867</v>
      </c>
      <c r="J1198" t="s">
        <v>3315</v>
      </c>
      <c r="K1198" t="s">
        <v>3316</v>
      </c>
      <c r="L1198" s="28" t="s">
        <v>3317</v>
      </c>
      <c r="M1198" t="s">
        <v>23</v>
      </c>
      <c r="N1198"/>
      <c r="O1198"/>
      <c r="P1198"/>
      <c r="Q1198"/>
      <c r="R1198"/>
      <c r="S1198"/>
    </row>
    <row r="1199" spans="1:19" x14ac:dyDescent="0.25">
      <c r="A1199" t="s">
        <v>193</v>
      </c>
      <c r="C1199" s="27" t="s">
        <v>34749</v>
      </c>
      <c r="D1199" s="28" t="s">
        <v>34867</v>
      </c>
      <c r="J1199" t="s">
        <v>3318</v>
      </c>
      <c r="K1199" t="s">
        <v>3319</v>
      </c>
      <c r="L1199" s="28" t="s">
        <v>3320</v>
      </c>
      <c r="M1199" t="s">
        <v>23</v>
      </c>
      <c r="N1199"/>
      <c r="O1199"/>
      <c r="P1199"/>
      <c r="Q1199"/>
      <c r="R1199"/>
      <c r="S1199"/>
    </row>
    <row r="1200" spans="1:19" x14ac:dyDescent="0.25">
      <c r="A1200" t="s">
        <v>193</v>
      </c>
      <c r="C1200" s="27" t="s">
        <v>34749</v>
      </c>
      <c r="D1200" s="28" t="s">
        <v>34867</v>
      </c>
      <c r="J1200" t="s">
        <v>3321</v>
      </c>
      <c r="K1200" t="s">
        <v>3322</v>
      </c>
      <c r="L1200" s="28" t="s">
        <v>3323</v>
      </c>
      <c r="M1200" t="s">
        <v>23</v>
      </c>
      <c r="N1200"/>
      <c r="O1200"/>
      <c r="P1200"/>
      <c r="Q1200"/>
      <c r="R1200"/>
      <c r="S1200"/>
    </row>
    <row r="1201" spans="1:19" x14ac:dyDescent="0.25">
      <c r="A1201" t="s">
        <v>193</v>
      </c>
      <c r="C1201" s="27" t="s">
        <v>34749</v>
      </c>
      <c r="D1201" s="28" t="s">
        <v>34867</v>
      </c>
      <c r="J1201" t="s">
        <v>3324</v>
      </c>
      <c r="K1201" t="s">
        <v>3325</v>
      </c>
      <c r="L1201" s="28" t="s">
        <v>3326</v>
      </c>
      <c r="M1201" t="s">
        <v>23</v>
      </c>
      <c r="N1201"/>
      <c r="O1201"/>
      <c r="P1201"/>
      <c r="Q1201"/>
      <c r="R1201"/>
      <c r="S1201"/>
    </row>
    <row r="1202" spans="1:19" x14ac:dyDescent="0.25">
      <c r="A1202" t="s">
        <v>193</v>
      </c>
      <c r="C1202" s="27" t="s">
        <v>34749</v>
      </c>
      <c r="D1202" s="28" t="s">
        <v>34867</v>
      </c>
      <c r="J1202" t="s">
        <v>3327</v>
      </c>
      <c r="K1202" t="s">
        <v>3328</v>
      </c>
      <c r="L1202" s="28" t="s">
        <v>3329</v>
      </c>
      <c r="M1202" t="s">
        <v>23</v>
      </c>
      <c r="N1202"/>
      <c r="O1202"/>
      <c r="P1202"/>
      <c r="Q1202"/>
      <c r="R1202"/>
      <c r="S1202"/>
    </row>
    <row r="1203" spans="1:19" x14ac:dyDescent="0.25">
      <c r="A1203" t="s">
        <v>193</v>
      </c>
      <c r="C1203" s="27" t="s">
        <v>34749</v>
      </c>
      <c r="D1203" s="28" t="s">
        <v>34867</v>
      </c>
      <c r="J1203" t="s">
        <v>3330</v>
      </c>
      <c r="K1203" t="s">
        <v>3331</v>
      </c>
      <c r="L1203" s="28" t="s">
        <v>3332</v>
      </c>
      <c r="M1203" t="s">
        <v>23</v>
      </c>
      <c r="N1203"/>
      <c r="O1203"/>
      <c r="P1203"/>
      <c r="Q1203"/>
      <c r="R1203"/>
      <c r="S1203"/>
    </row>
    <row r="1204" spans="1:19" x14ac:dyDescent="0.25">
      <c r="A1204" t="s">
        <v>193</v>
      </c>
      <c r="C1204" s="27" t="s">
        <v>34749</v>
      </c>
      <c r="D1204" s="28" t="s">
        <v>34867</v>
      </c>
      <c r="J1204" t="s">
        <v>3333</v>
      </c>
      <c r="K1204" t="s">
        <v>3334</v>
      </c>
      <c r="L1204" s="28" t="s">
        <v>3335</v>
      </c>
      <c r="M1204" t="s">
        <v>23</v>
      </c>
      <c r="N1204"/>
      <c r="O1204"/>
      <c r="P1204"/>
      <c r="Q1204"/>
      <c r="R1204"/>
      <c r="S1204"/>
    </row>
    <row r="1205" spans="1:19" x14ac:dyDescent="0.25">
      <c r="A1205" t="s">
        <v>193</v>
      </c>
      <c r="C1205" s="27" t="s">
        <v>34749</v>
      </c>
      <c r="D1205" s="28" t="s">
        <v>34867</v>
      </c>
      <c r="J1205" t="s">
        <v>3336</v>
      </c>
      <c r="K1205" t="s">
        <v>3337</v>
      </c>
      <c r="L1205" s="28" t="s">
        <v>3338</v>
      </c>
      <c r="M1205" t="s">
        <v>23</v>
      </c>
      <c r="N1205"/>
      <c r="O1205"/>
      <c r="P1205"/>
      <c r="Q1205"/>
      <c r="R1205"/>
      <c r="S1205"/>
    </row>
    <row r="1206" spans="1:19" x14ac:dyDescent="0.25">
      <c r="A1206" t="s">
        <v>193</v>
      </c>
      <c r="C1206" s="27" t="s">
        <v>34749</v>
      </c>
      <c r="D1206" s="28" t="s">
        <v>34867</v>
      </c>
      <c r="J1206" t="s">
        <v>3339</v>
      </c>
      <c r="K1206" t="s">
        <v>3340</v>
      </c>
      <c r="L1206" s="28" t="s">
        <v>3341</v>
      </c>
      <c r="M1206" t="s">
        <v>23</v>
      </c>
      <c r="N1206"/>
      <c r="O1206"/>
      <c r="P1206"/>
      <c r="Q1206"/>
      <c r="R1206"/>
      <c r="S1206"/>
    </row>
    <row r="1207" spans="1:19" x14ac:dyDescent="0.25">
      <c r="A1207" t="s">
        <v>193</v>
      </c>
      <c r="C1207" s="27" t="s">
        <v>34749</v>
      </c>
      <c r="D1207" s="28" t="s">
        <v>34867</v>
      </c>
      <c r="J1207" t="s">
        <v>3342</v>
      </c>
      <c r="K1207" t="s">
        <v>3343</v>
      </c>
      <c r="L1207" s="28" t="s">
        <v>3344</v>
      </c>
      <c r="M1207" t="s">
        <v>23</v>
      </c>
      <c r="N1207"/>
      <c r="O1207"/>
      <c r="P1207"/>
      <c r="Q1207"/>
      <c r="R1207"/>
      <c r="S1207"/>
    </row>
    <row r="1208" spans="1:19" x14ac:dyDescent="0.25">
      <c r="A1208" t="s">
        <v>193</v>
      </c>
      <c r="C1208" s="27" t="s">
        <v>34749</v>
      </c>
      <c r="D1208" s="28" t="s">
        <v>34867</v>
      </c>
      <c r="E1208" s="3"/>
      <c r="F1208" s="3"/>
      <c r="J1208" t="s">
        <v>3345</v>
      </c>
      <c r="K1208" t="s">
        <v>3346</v>
      </c>
      <c r="L1208" s="28" t="s">
        <v>3347</v>
      </c>
      <c r="M1208" t="s">
        <v>23</v>
      </c>
      <c r="N1208"/>
      <c r="O1208"/>
      <c r="P1208"/>
      <c r="Q1208"/>
      <c r="R1208"/>
      <c r="S1208"/>
    </row>
    <row r="1209" spans="1:19" x14ac:dyDescent="0.25">
      <c r="A1209" t="s">
        <v>193</v>
      </c>
      <c r="C1209" s="27" t="s">
        <v>34749</v>
      </c>
      <c r="D1209" s="28" t="s">
        <v>34867</v>
      </c>
      <c r="E1209" s="3"/>
      <c r="F1209" s="3"/>
      <c r="J1209" t="s">
        <v>3348</v>
      </c>
      <c r="K1209" t="s">
        <v>3349</v>
      </c>
      <c r="L1209" s="28" t="s">
        <v>3350</v>
      </c>
      <c r="M1209" t="s">
        <v>23</v>
      </c>
      <c r="N1209"/>
      <c r="O1209"/>
      <c r="P1209"/>
      <c r="Q1209"/>
      <c r="R1209"/>
      <c r="S1209"/>
    </row>
    <row r="1210" spans="1:19" x14ac:dyDescent="0.25">
      <c r="A1210" t="s">
        <v>193</v>
      </c>
      <c r="C1210" s="27" t="s">
        <v>34749</v>
      </c>
      <c r="D1210" s="28" t="s">
        <v>34867</v>
      </c>
      <c r="J1210" t="s">
        <v>3351</v>
      </c>
      <c r="K1210" t="s">
        <v>3352</v>
      </c>
      <c r="L1210" s="28" t="s">
        <v>3353</v>
      </c>
      <c r="M1210" t="s">
        <v>23</v>
      </c>
      <c r="N1210"/>
      <c r="O1210"/>
      <c r="P1210"/>
      <c r="Q1210"/>
      <c r="R1210"/>
      <c r="S1210"/>
    </row>
    <row r="1211" spans="1:19" x14ac:dyDescent="0.25">
      <c r="A1211" t="s">
        <v>193</v>
      </c>
      <c r="C1211" s="27" t="s">
        <v>34749</v>
      </c>
      <c r="D1211" s="28" t="s">
        <v>34867</v>
      </c>
      <c r="J1211" t="s">
        <v>3354</v>
      </c>
      <c r="K1211" t="s">
        <v>3355</v>
      </c>
      <c r="L1211" s="28" t="s">
        <v>3356</v>
      </c>
      <c r="M1211" t="s">
        <v>23</v>
      </c>
      <c r="N1211"/>
      <c r="O1211"/>
      <c r="P1211"/>
      <c r="Q1211"/>
      <c r="R1211"/>
      <c r="S1211"/>
    </row>
    <row r="1212" spans="1:19" x14ac:dyDescent="0.25">
      <c r="A1212" t="s">
        <v>193</v>
      </c>
      <c r="C1212" s="27" t="s">
        <v>34749</v>
      </c>
      <c r="D1212" s="28" t="s">
        <v>34867</v>
      </c>
      <c r="I1212" t="str">
        <f>CONCATENATE(LEFT(K1212,SEARCH(" (",K1212))," | ", RIGHT(LEFT(K1212,LEN(K1212)-1),LEN(K1212)-2-FIND(" (",K1212)))</f>
        <v>methanal  | formaldehyde</v>
      </c>
      <c r="J1212" t="s">
        <v>3357</v>
      </c>
      <c r="K1212" t="s">
        <v>3358</v>
      </c>
      <c r="L1212" s="28" t="s">
        <v>3359</v>
      </c>
      <c r="M1212" t="s">
        <v>23</v>
      </c>
      <c r="N1212"/>
      <c r="O1212"/>
      <c r="P1212"/>
      <c r="Q1212"/>
      <c r="R1212"/>
      <c r="S1212"/>
    </row>
    <row r="1213" spans="1:19" x14ac:dyDescent="0.25">
      <c r="A1213" t="s">
        <v>193</v>
      </c>
      <c r="C1213" s="27" t="s">
        <v>34749</v>
      </c>
      <c r="D1213" s="28" t="s">
        <v>34867</v>
      </c>
      <c r="J1213" t="s">
        <v>3360</v>
      </c>
      <c r="K1213" t="s">
        <v>3361</v>
      </c>
      <c r="L1213" s="28" t="s">
        <v>3362</v>
      </c>
      <c r="M1213" t="s">
        <v>23</v>
      </c>
      <c r="N1213"/>
      <c r="O1213"/>
      <c r="P1213"/>
      <c r="Q1213"/>
      <c r="R1213"/>
      <c r="S1213"/>
    </row>
    <row r="1214" spans="1:19" x14ac:dyDescent="0.25">
      <c r="A1214" t="s">
        <v>193</v>
      </c>
      <c r="C1214" s="27" t="s">
        <v>34749</v>
      </c>
      <c r="D1214" s="28" t="s">
        <v>34867</v>
      </c>
      <c r="J1214" t="s">
        <v>3363</v>
      </c>
      <c r="K1214" t="s">
        <v>3364</v>
      </c>
      <c r="L1214" s="28" t="s">
        <v>3365</v>
      </c>
      <c r="M1214" t="s">
        <v>23</v>
      </c>
      <c r="N1214"/>
      <c r="O1214"/>
      <c r="P1214"/>
      <c r="Q1214"/>
      <c r="R1214"/>
      <c r="S1214"/>
    </row>
    <row r="1215" spans="1:19" x14ac:dyDescent="0.25">
      <c r="A1215" t="s">
        <v>193</v>
      </c>
      <c r="C1215" s="27" t="s">
        <v>34749</v>
      </c>
      <c r="D1215" s="28" t="s">
        <v>34867</v>
      </c>
      <c r="J1215" t="s">
        <v>3366</v>
      </c>
      <c r="K1215" t="s">
        <v>3367</v>
      </c>
      <c r="L1215" s="28" t="s">
        <v>3368</v>
      </c>
      <c r="M1215" t="s">
        <v>23</v>
      </c>
      <c r="N1215"/>
      <c r="O1215"/>
      <c r="P1215"/>
      <c r="Q1215"/>
      <c r="R1215"/>
      <c r="S1215"/>
    </row>
    <row r="1216" spans="1:19" x14ac:dyDescent="0.25">
      <c r="A1216" t="s">
        <v>193</v>
      </c>
      <c r="C1216" s="27" t="s">
        <v>34749</v>
      </c>
      <c r="D1216" s="28" t="s">
        <v>34867</v>
      </c>
      <c r="J1216" t="s">
        <v>3369</v>
      </c>
      <c r="K1216" t="s">
        <v>3370</v>
      </c>
      <c r="L1216" s="28" t="s">
        <v>3371</v>
      </c>
      <c r="M1216" t="s">
        <v>23</v>
      </c>
      <c r="N1216"/>
      <c r="O1216"/>
      <c r="P1216"/>
      <c r="Q1216"/>
      <c r="R1216"/>
      <c r="S1216"/>
    </row>
    <row r="1217" spans="1:19" x14ac:dyDescent="0.25">
      <c r="A1217" t="s">
        <v>193</v>
      </c>
      <c r="C1217" s="27" t="s">
        <v>34749</v>
      </c>
      <c r="D1217" s="28" t="s">
        <v>34867</v>
      </c>
      <c r="J1217" t="s">
        <v>3372</v>
      </c>
      <c r="K1217" t="s">
        <v>3373</v>
      </c>
      <c r="L1217" s="28" t="s">
        <v>3374</v>
      </c>
      <c r="M1217" t="s">
        <v>23</v>
      </c>
      <c r="N1217"/>
      <c r="O1217"/>
      <c r="P1217"/>
      <c r="Q1217"/>
      <c r="R1217"/>
      <c r="S1217"/>
    </row>
    <row r="1218" spans="1:19" x14ac:dyDescent="0.25">
      <c r="A1218" t="s">
        <v>193</v>
      </c>
      <c r="C1218" s="27" t="s">
        <v>34749</v>
      </c>
      <c r="D1218" s="28" t="s">
        <v>34867</v>
      </c>
      <c r="J1218" t="s">
        <v>3375</v>
      </c>
      <c r="K1218" t="s">
        <v>3376</v>
      </c>
      <c r="L1218" s="28" t="s">
        <v>3377</v>
      </c>
      <c r="M1218" t="s">
        <v>23</v>
      </c>
      <c r="N1218"/>
      <c r="O1218"/>
      <c r="P1218"/>
      <c r="Q1218"/>
      <c r="R1218"/>
      <c r="S1218"/>
    </row>
    <row r="1219" spans="1:19" x14ac:dyDescent="0.25">
      <c r="A1219" t="s">
        <v>193</v>
      </c>
      <c r="C1219" s="27" t="s">
        <v>34749</v>
      </c>
      <c r="D1219" s="28" t="s">
        <v>34867</v>
      </c>
      <c r="J1219" t="s">
        <v>3378</v>
      </c>
      <c r="K1219" t="s">
        <v>3379</v>
      </c>
      <c r="L1219" s="28" t="s">
        <v>3380</v>
      </c>
      <c r="M1219" t="s">
        <v>23</v>
      </c>
      <c r="N1219"/>
      <c r="O1219"/>
      <c r="P1219"/>
      <c r="Q1219"/>
      <c r="R1219"/>
      <c r="S1219"/>
    </row>
    <row r="1220" spans="1:19" x14ac:dyDescent="0.25">
      <c r="A1220" t="s">
        <v>193</v>
      </c>
      <c r="C1220" s="27" t="s">
        <v>34749</v>
      </c>
      <c r="D1220" s="28" t="s">
        <v>34867</v>
      </c>
      <c r="J1220" t="s">
        <v>3381</v>
      </c>
      <c r="K1220" t="s">
        <v>3382</v>
      </c>
      <c r="L1220" s="28" t="s">
        <v>3383</v>
      </c>
      <c r="M1220" t="s">
        <v>23</v>
      </c>
      <c r="N1220"/>
      <c r="O1220"/>
      <c r="P1220"/>
      <c r="Q1220"/>
      <c r="R1220"/>
      <c r="S1220"/>
    </row>
    <row r="1221" spans="1:19" x14ac:dyDescent="0.25">
      <c r="A1221" t="s">
        <v>193</v>
      </c>
      <c r="C1221" s="27" t="s">
        <v>34749</v>
      </c>
      <c r="D1221" s="28" t="s">
        <v>34867</v>
      </c>
      <c r="J1221" t="s">
        <v>3384</v>
      </c>
      <c r="K1221" t="s">
        <v>3385</v>
      </c>
      <c r="L1221" s="28" t="s">
        <v>3386</v>
      </c>
      <c r="M1221" t="s">
        <v>23</v>
      </c>
      <c r="N1221"/>
      <c r="O1221"/>
      <c r="P1221"/>
      <c r="Q1221"/>
      <c r="R1221"/>
      <c r="S1221"/>
    </row>
    <row r="1222" spans="1:19" x14ac:dyDescent="0.25">
      <c r="A1222" t="s">
        <v>193</v>
      </c>
      <c r="C1222" s="27" t="s">
        <v>34749</v>
      </c>
      <c r="D1222" s="28" t="s">
        <v>34867</v>
      </c>
      <c r="J1222" t="s">
        <v>3387</v>
      </c>
      <c r="K1222" t="s">
        <v>3388</v>
      </c>
      <c r="L1222" s="28" t="s">
        <v>3389</v>
      </c>
      <c r="M1222" t="s">
        <v>23</v>
      </c>
      <c r="N1222"/>
      <c r="O1222"/>
      <c r="P1222"/>
      <c r="Q1222"/>
      <c r="R1222"/>
      <c r="S1222"/>
    </row>
    <row r="1223" spans="1:19" x14ac:dyDescent="0.25">
      <c r="A1223" t="s">
        <v>193</v>
      </c>
      <c r="C1223" s="27" t="s">
        <v>34749</v>
      </c>
      <c r="D1223" s="28" t="s">
        <v>34867</v>
      </c>
      <c r="J1223" t="s">
        <v>3390</v>
      </c>
      <c r="K1223" t="s">
        <v>3391</v>
      </c>
      <c r="L1223" s="28" t="s">
        <v>3392</v>
      </c>
      <c r="M1223" t="s">
        <v>23</v>
      </c>
      <c r="N1223"/>
      <c r="O1223"/>
      <c r="P1223"/>
      <c r="Q1223"/>
      <c r="R1223"/>
      <c r="S1223"/>
    </row>
    <row r="1224" spans="1:19" x14ac:dyDescent="0.25">
      <c r="A1224" t="s">
        <v>193</v>
      </c>
      <c r="C1224" s="27" t="s">
        <v>34749</v>
      </c>
      <c r="D1224" s="28" t="s">
        <v>34867</v>
      </c>
      <c r="J1224" t="s">
        <v>3393</v>
      </c>
      <c r="K1224" t="s">
        <v>3394</v>
      </c>
      <c r="L1224" s="28" t="s">
        <v>3395</v>
      </c>
      <c r="M1224" t="s">
        <v>23</v>
      </c>
      <c r="N1224"/>
      <c r="O1224"/>
      <c r="P1224"/>
      <c r="Q1224"/>
      <c r="R1224"/>
      <c r="S1224"/>
    </row>
    <row r="1225" spans="1:19" x14ac:dyDescent="0.25">
      <c r="A1225" t="s">
        <v>193</v>
      </c>
      <c r="C1225" s="27" t="s">
        <v>34749</v>
      </c>
      <c r="D1225" s="28" t="s">
        <v>34867</v>
      </c>
      <c r="J1225" t="s">
        <v>3396</v>
      </c>
      <c r="K1225" t="s">
        <v>3397</v>
      </c>
      <c r="L1225" s="28" t="s">
        <v>3398</v>
      </c>
      <c r="M1225" t="s">
        <v>23</v>
      </c>
      <c r="N1225"/>
      <c r="O1225"/>
      <c r="P1225"/>
      <c r="Q1225"/>
      <c r="R1225"/>
      <c r="S1225"/>
    </row>
    <row r="1226" spans="1:19" x14ac:dyDescent="0.25">
      <c r="A1226" t="s">
        <v>193</v>
      </c>
      <c r="C1226" s="27" t="s">
        <v>34749</v>
      </c>
      <c r="D1226" s="28" t="s">
        <v>34867</v>
      </c>
      <c r="J1226" t="s">
        <v>3399</v>
      </c>
      <c r="K1226" t="s">
        <v>3400</v>
      </c>
      <c r="L1226" s="28" t="s">
        <v>3401</v>
      </c>
      <c r="M1226" t="s">
        <v>23</v>
      </c>
      <c r="N1226"/>
      <c r="O1226"/>
      <c r="P1226"/>
      <c r="Q1226"/>
      <c r="R1226"/>
      <c r="S1226"/>
    </row>
    <row r="1227" spans="1:19" x14ac:dyDescent="0.25">
      <c r="A1227" t="s">
        <v>193</v>
      </c>
      <c r="C1227" s="27" t="s">
        <v>34749</v>
      </c>
      <c r="D1227" s="28" t="s">
        <v>34867</v>
      </c>
      <c r="J1227" t="s">
        <v>3402</v>
      </c>
      <c r="K1227" t="s">
        <v>3403</v>
      </c>
      <c r="L1227" s="28" t="s">
        <v>3404</v>
      </c>
      <c r="M1227" t="s">
        <v>23</v>
      </c>
      <c r="N1227"/>
      <c r="O1227"/>
      <c r="P1227"/>
      <c r="Q1227"/>
      <c r="R1227"/>
      <c r="S1227"/>
    </row>
    <row r="1228" spans="1:19" x14ac:dyDescent="0.25">
      <c r="A1228" t="s">
        <v>193</v>
      </c>
      <c r="C1228" s="27" t="s">
        <v>34749</v>
      </c>
      <c r="D1228" s="28" t="s">
        <v>34867</v>
      </c>
      <c r="J1228" t="s">
        <v>3405</v>
      </c>
      <c r="K1228" t="s">
        <v>3406</v>
      </c>
      <c r="L1228" s="28" t="s">
        <v>3407</v>
      </c>
      <c r="M1228" t="s">
        <v>23</v>
      </c>
      <c r="N1228"/>
      <c r="O1228"/>
      <c r="P1228"/>
      <c r="Q1228"/>
      <c r="R1228"/>
      <c r="S1228"/>
    </row>
    <row r="1229" spans="1:19" x14ac:dyDescent="0.25">
      <c r="A1229" t="s">
        <v>193</v>
      </c>
      <c r="C1229" s="27" t="s">
        <v>34749</v>
      </c>
      <c r="D1229" s="28" t="s">
        <v>34867</v>
      </c>
      <c r="J1229" t="s">
        <v>3408</v>
      </c>
      <c r="K1229" t="s">
        <v>3409</v>
      </c>
      <c r="L1229" s="28" t="s">
        <v>3410</v>
      </c>
      <c r="M1229" t="s">
        <v>23</v>
      </c>
      <c r="N1229"/>
      <c r="O1229"/>
      <c r="P1229"/>
      <c r="Q1229"/>
      <c r="R1229"/>
      <c r="S1229"/>
    </row>
    <row r="1230" spans="1:19" x14ac:dyDescent="0.25">
      <c r="A1230" t="s">
        <v>193</v>
      </c>
      <c r="C1230" s="27" t="s">
        <v>34749</v>
      </c>
      <c r="D1230" s="28" t="s">
        <v>34867</v>
      </c>
      <c r="J1230" t="s">
        <v>3411</v>
      </c>
      <c r="K1230" t="s">
        <v>3412</v>
      </c>
      <c r="L1230" s="28" t="s">
        <v>3413</v>
      </c>
      <c r="M1230" t="s">
        <v>23</v>
      </c>
      <c r="N1230"/>
      <c r="O1230"/>
      <c r="P1230"/>
      <c r="Q1230"/>
      <c r="R1230"/>
      <c r="S1230"/>
    </row>
    <row r="1231" spans="1:19" x14ac:dyDescent="0.25">
      <c r="A1231" t="s">
        <v>193</v>
      </c>
      <c r="C1231" s="27" t="s">
        <v>34749</v>
      </c>
      <c r="D1231" s="28" t="s">
        <v>34867</v>
      </c>
      <c r="J1231" t="s">
        <v>3414</v>
      </c>
      <c r="K1231" t="s">
        <v>3415</v>
      </c>
      <c r="L1231" s="28" t="s">
        <v>3416</v>
      </c>
      <c r="M1231" t="s">
        <v>23</v>
      </c>
      <c r="N1231"/>
      <c r="O1231"/>
      <c r="P1231"/>
      <c r="Q1231"/>
      <c r="R1231"/>
      <c r="S1231"/>
    </row>
    <row r="1232" spans="1:19" x14ac:dyDescent="0.25">
      <c r="A1232" t="s">
        <v>193</v>
      </c>
      <c r="C1232" s="27" t="s">
        <v>34749</v>
      </c>
      <c r="D1232" s="28" t="s">
        <v>34867</v>
      </c>
      <c r="J1232" t="s">
        <v>3417</v>
      </c>
      <c r="K1232" t="s">
        <v>3418</v>
      </c>
      <c r="L1232" s="28" t="s">
        <v>3419</v>
      </c>
      <c r="M1232" t="s">
        <v>23</v>
      </c>
      <c r="N1232"/>
      <c r="O1232"/>
      <c r="P1232"/>
      <c r="Q1232"/>
      <c r="R1232"/>
      <c r="S1232"/>
    </row>
    <row r="1233" spans="1:19" x14ac:dyDescent="0.25">
      <c r="A1233" t="s">
        <v>193</v>
      </c>
      <c r="C1233" s="27" t="s">
        <v>34749</v>
      </c>
      <c r="D1233" s="28" t="s">
        <v>34867</v>
      </c>
      <c r="J1233" t="s">
        <v>3420</v>
      </c>
      <c r="K1233" t="s">
        <v>3421</v>
      </c>
      <c r="L1233" s="28" t="s">
        <v>3422</v>
      </c>
      <c r="M1233" t="s">
        <v>23</v>
      </c>
      <c r="N1233"/>
      <c r="O1233"/>
      <c r="P1233"/>
      <c r="Q1233"/>
      <c r="R1233"/>
      <c r="S1233"/>
    </row>
    <row r="1234" spans="1:19" x14ac:dyDescent="0.25">
      <c r="A1234" t="s">
        <v>193</v>
      </c>
      <c r="C1234" s="27" t="s">
        <v>34749</v>
      </c>
      <c r="D1234" s="28" t="s">
        <v>34867</v>
      </c>
      <c r="J1234" t="s">
        <v>3423</v>
      </c>
      <c r="K1234" t="s">
        <v>3424</v>
      </c>
      <c r="L1234" s="28" t="s">
        <v>3425</v>
      </c>
      <c r="M1234" t="s">
        <v>23</v>
      </c>
      <c r="N1234"/>
      <c r="O1234"/>
      <c r="P1234"/>
      <c r="Q1234"/>
      <c r="R1234"/>
      <c r="S1234"/>
    </row>
    <row r="1235" spans="1:19" x14ac:dyDescent="0.25">
      <c r="A1235" t="s">
        <v>193</v>
      </c>
      <c r="C1235" s="27" t="s">
        <v>34749</v>
      </c>
      <c r="D1235" s="28" t="s">
        <v>34867</v>
      </c>
      <c r="J1235" t="s">
        <v>3426</v>
      </c>
      <c r="K1235" t="s">
        <v>3427</v>
      </c>
      <c r="L1235" s="28" t="s">
        <v>3428</v>
      </c>
      <c r="M1235" t="s">
        <v>23</v>
      </c>
      <c r="N1235"/>
      <c r="O1235"/>
      <c r="P1235"/>
      <c r="Q1235"/>
      <c r="R1235"/>
      <c r="S1235"/>
    </row>
    <row r="1236" spans="1:19" x14ac:dyDescent="0.25">
      <c r="A1236" t="s">
        <v>193</v>
      </c>
      <c r="C1236" s="27" t="s">
        <v>34749</v>
      </c>
      <c r="D1236" s="28" t="s">
        <v>34867</v>
      </c>
      <c r="J1236" t="s">
        <v>3429</v>
      </c>
      <c r="K1236" t="s">
        <v>3430</v>
      </c>
      <c r="L1236" s="28" t="s">
        <v>3431</v>
      </c>
      <c r="M1236" t="s">
        <v>23</v>
      </c>
      <c r="N1236"/>
      <c r="O1236"/>
      <c r="P1236"/>
      <c r="Q1236"/>
      <c r="R1236"/>
      <c r="S1236"/>
    </row>
    <row r="1237" spans="1:19" x14ac:dyDescent="0.25">
      <c r="A1237" t="s">
        <v>193</v>
      </c>
      <c r="C1237" s="27" t="s">
        <v>34749</v>
      </c>
      <c r="D1237" s="28" t="s">
        <v>34867</v>
      </c>
      <c r="J1237" t="s">
        <v>3432</v>
      </c>
      <c r="K1237" t="s">
        <v>3433</v>
      </c>
      <c r="L1237" s="28" t="s">
        <v>3434</v>
      </c>
      <c r="M1237" t="s">
        <v>23</v>
      </c>
      <c r="N1237"/>
      <c r="O1237"/>
      <c r="P1237"/>
      <c r="Q1237"/>
      <c r="R1237"/>
      <c r="S1237"/>
    </row>
    <row r="1238" spans="1:19" x14ac:dyDescent="0.25">
      <c r="A1238" t="s">
        <v>193</v>
      </c>
      <c r="C1238" s="27" t="s">
        <v>34749</v>
      </c>
      <c r="D1238" s="28" t="s">
        <v>34867</v>
      </c>
      <c r="J1238" t="s">
        <v>3435</v>
      </c>
      <c r="K1238" t="s">
        <v>3436</v>
      </c>
      <c r="L1238" s="28" t="s">
        <v>3437</v>
      </c>
      <c r="M1238" t="s">
        <v>23</v>
      </c>
      <c r="N1238"/>
      <c r="O1238"/>
      <c r="P1238"/>
      <c r="Q1238"/>
      <c r="R1238"/>
      <c r="S1238"/>
    </row>
    <row r="1239" spans="1:19" x14ac:dyDescent="0.25">
      <c r="A1239" t="s">
        <v>193</v>
      </c>
      <c r="C1239" s="27" t="s">
        <v>34749</v>
      </c>
      <c r="D1239" s="28" t="s">
        <v>34867</v>
      </c>
      <c r="J1239" t="s">
        <v>3438</v>
      </c>
      <c r="K1239" t="s">
        <v>3439</v>
      </c>
      <c r="L1239" s="28" t="s">
        <v>3440</v>
      </c>
      <c r="M1239" t="s">
        <v>23</v>
      </c>
      <c r="N1239"/>
      <c r="O1239"/>
      <c r="P1239"/>
      <c r="Q1239"/>
      <c r="R1239"/>
      <c r="S1239"/>
    </row>
    <row r="1240" spans="1:19" x14ac:dyDescent="0.25">
      <c r="A1240" t="s">
        <v>193</v>
      </c>
      <c r="C1240" s="27" t="s">
        <v>34749</v>
      </c>
      <c r="D1240" s="28" t="s">
        <v>34867</v>
      </c>
      <c r="J1240" t="s">
        <v>3441</v>
      </c>
      <c r="K1240" t="s">
        <v>3442</v>
      </c>
      <c r="L1240" s="28" t="s">
        <v>3443</v>
      </c>
      <c r="M1240" t="s">
        <v>23</v>
      </c>
      <c r="N1240"/>
      <c r="O1240"/>
      <c r="P1240"/>
      <c r="Q1240"/>
      <c r="R1240"/>
      <c r="S1240"/>
    </row>
    <row r="1241" spans="1:19" x14ac:dyDescent="0.25">
      <c r="A1241" t="s">
        <v>193</v>
      </c>
      <c r="C1241" s="27" t="s">
        <v>34749</v>
      </c>
      <c r="D1241" s="28" t="s">
        <v>34867</v>
      </c>
      <c r="J1241" t="s">
        <v>3444</v>
      </c>
      <c r="K1241" t="s">
        <v>3445</v>
      </c>
      <c r="L1241" s="28" t="s">
        <v>3446</v>
      </c>
      <c r="M1241" t="s">
        <v>23</v>
      </c>
      <c r="N1241"/>
      <c r="O1241"/>
      <c r="P1241"/>
      <c r="Q1241"/>
      <c r="R1241"/>
      <c r="S1241"/>
    </row>
    <row r="1242" spans="1:19" x14ac:dyDescent="0.25">
      <c r="A1242" t="s">
        <v>193</v>
      </c>
      <c r="C1242" s="27" t="s">
        <v>34749</v>
      </c>
      <c r="D1242" s="28" t="s">
        <v>34867</v>
      </c>
      <c r="J1242" t="s">
        <v>3447</v>
      </c>
      <c r="K1242" t="s">
        <v>3448</v>
      </c>
      <c r="L1242" s="28" t="s">
        <v>3449</v>
      </c>
      <c r="M1242" t="s">
        <v>23</v>
      </c>
      <c r="N1242"/>
      <c r="O1242"/>
      <c r="P1242"/>
      <c r="Q1242"/>
      <c r="R1242"/>
      <c r="S1242"/>
    </row>
    <row r="1243" spans="1:19" x14ac:dyDescent="0.25">
      <c r="A1243" t="s">
        <v>193</v>
      </c>
      <c r="C1243" s="27" t="s">
        <v>34749</v>
      </c>
      <c r="D1243" s="28" t="s">
        <v>34867</v>
      </c>
      <c r="J1243" t="s">
        <v>3450</v>
      </c>
      <c r="K1243" t="s">
        <v>3451</v>
      </c>
      <c r="L1243" s="28" t="s">
        <v>3452</v>
      </c>
      <c r="M1243" t="s">
        <v>23</v>
      </c>
      <c r="N1243"/>
      <c r="O1243"/>
      <c r="P1243"/>
      <c r="Q1243"/>
      <c r="R1243"/>
      <c r="S1243"/>
    </row>
    <row r="1244" spans="1:19" x14ac:dyDescent="0.25">
      <c r="A1244" t="s">
        <v>193</v>
      </c>
      <c r="C1244" s="27" t="s">
        <v>34749</v>
      </c>
      <c r="D1244" s="28" t="s">
        <v>34867</v>
      </c>
      <c r="J1244" t="s">
        <v>3453</v>
      </c>
      <c r="K1244" t="s">
        <v>3454</v>
      </c>
      <c r="L1244" s="28" t="s">
        <v>3455</v>
      </c>
      <c r="M1244" t="s">
        <v>23</v>
      </c>
      <c r="N1244"/>
      <c r="O1244"/>
      <c r="P1244"/>
      <c r="Q1244"/>
      <c r="R1244"/>
      <c r="S1244"/>
    </row>
    <row r="1245" spans="1:19" x14ac:dyDescent="0.25">
      <c r="A1245" t="s">
        <v>193</v>
      </c>
      <c r="C1245" s="27" t="s">
        <v>34749</v>
      </c>
      <c r="D1245" s="28" t="s">
        <v>34867</v>
      </c>
      <c r="J1245" t="s">
        <v>3456</v>
      </c>
      <c r="K1245" t="s">
        <v>3457</v>
      </c>
      <c r="L1245" s="28" t="s">
        <v>3458</v>
      </c>
      <c r="M1245" t="s">
        <v>23</v>
      </c>
      <c r="N1245"/>
      <c r="O1245"/>
      <c r="P1245"/>
      <c r="Q1245"/>
      <c r="R1245"/>
      <c r="S1245"/>
    </row>
    <row r="1246" spans="1:19" x14ac:dyDescent="0.25">
      <c r="A1246" t="s">
        <v>193</v>
      </c>
      <c r="C1246" s="27" t="s">
        <v>34749</v>
      </c>
      <c r="D1246" s="28" t="s">
        <v>34867</v>
      </c>
      <c r="J1246" t="s">
        <v>3459</v>
      </c>
      <c r="K1246" t="s">
        <v>3460</v>
      </c>
      <c r="L1246" s="28" t="s">
        <v>3461</v>
      </c>
      <c r="M1246" t="s">
        <v>23</v>
      </c>
      <c r="N1246"/>
      <c r="O1246"/>
      <c r="P1246"/>
      <c r="Q1246"/>
      <c r="R1246"/>
      <c r="S1246"/>
    </row>
    <row r="1247" spans="1:19" x14ac:dyDescent="0.25">
      <c r="A1247" t="s">
        <v>193</v>
      </c>
      <c r="C1247" s="27" t="s">
        <v>34749</v>
      </c>
      <c r="D1247" s="28" t="s">
        <v>34867</v>
      </c>
      <c r="J1247" t="s">
        <v>3462</v>
      </c>
      <c r="K1247" t="s">
        <v>3463</v>
      </c>
      <c r="L1247" s="28" t="s">
        <v>3464</v>
      </c>
      <c r="M1247" t="s">
        <v>23</v>
      </c>
      <c r="N1247"/>
      <c r="O1247"/>
      <c r="P1247"/>
      <c r="Q1247"/>
      <c r="R1247"/>
      <c r="S1247"/>
    </row>
    <row r="1248" spans="1:19" x14ac:dyDescent="0.25">
      <c r="A1248" t="s">
        <v>193</v>
      </c>
      <c r="C1248" s="27" t="s">
        <v>34749</v>
      </c>
      <c r="D1248" s="28" t="s">
        <v>34867</v>
      </c>
      <c r="J1248" t="s">
        <v>3465</v>
      </c>
      <c r="K1248" t="s">
        <v>3466</v>
      </c>
      <c r="L1248" s="28" t="s">
        <v>3467</v>
      </c>
      <c r="M1248" t="s">
        <v>23</v>
      </c>
      <c r="N1248"/>
      <c r="O1248"/>
      <c r="P1248"/>
      <c r="Q1248"/>
      <c r="R1248"/>
      <c r="S1248"/>
    </row>
    <row r="1249" spans="1:19" x14ac:dyDescent="0.25">
      <c r="A1249" t="s">
        <v>193</v>
      </c>
      <c r="C1249" s="27" t="s">
        <v>34749</v>
      </c>
      <c r="D1249" s="28" t="s">
        <v>34867</v>
      </c>
      <c r="E1249" s="3"/>
      <c r="F1249" s="3"/>
      <c r="J1249" t="s">
        <v>3468</v>
      </c>
      <c r="K1249" t="s">
        <v>3469</v>
      </c>
      <c r="L1249" s="28" t="s">
        <v>3470</v>
      </c>
      <c r="M1249" t="s">
        <v>23</v>
      </c>
      <c r="N1249"/>
      <c r="O1249"/>
      <c r="P1249"/>
      <c r="Q1249"/>
      <c r="R1249"/>
      <c r="S1249"/>
    </row>
    <row r="1250" spans="1:19" x14ac:dyDescent="0.25">
      <c r="A1250" t="s">
        <v>193</v>
      </c>
      <c r="C1250" s="27" t="s">
        <v>34749</v>
      </c>
      <c r="D1250" s="28" t="s">
        <v>34867</v>
      </c>
      <c r="J1250" t="s">
        <v>3471</v>
      </c>
      <c r="K1250" t="s">
        <v>3472</v>
      </c>
      <c r="L1250" s="28" t="s">
        <v>3473</v>
      </c>
      <c r="M1250" t="s">
        <v>23</v>
      </c>
      <c r="N1250"/>
      <c r="O1250"/>
      <c r="P1250"/>
      <c r="Q1250"/>
      <c r="R1250"/>
      <c r="S1250"/>
    </row>
    <row r="1251" spans="1:19" x14ac:dyDescent="0.25">
      <c r="A1251" t="s">
        <v>193</v>
      </c>
      <c r="C1251" s="27" t="s">
        <v>34749</v>
      </c>
      <c r="D1251" s="28" t="s">
        <v>34867</v>
      </c>
      <c r="J1251" t="s">
        <v>3474</v>
      </c>
      <c r="K1251" t="s">
        <v>3475</v>
      </c>
      <c r="L1251" s="28" t="s">
        <v>3476</v>
      </c>
      <c r="M1251" t="s">
        <v>23</v>
      </c>
      <c r="N1251"/>
      <c r="O1251"/>
      <c r="P1251"/>
      <c r="Q1251"/>
      <c r="R1251"/>
      <c r="S1251"/>
    </row>
    <row r="1252" spans="1:19" x14ac:dyDescent="0.25">
      <c r="A1252" t="s">
        <v>193</v>
      </c>
      <c r="C1252" s="27" t="s">
        <v>34749</v>
      </c>
      <c r="D1252" s="28" t="s">
        <v>34867</v>
      </c>
      <c r="J1252" t="s">
        <v>3477</v>
      </c>
      <c r="K1252" t="s">
        <v>3478</v>
      </c>
      <c r="L1252" s="28" t="s">
        <v>3479</v>
      </c>
      <c r="M1252" t="s">
        <v>23</v>
      </c>
      <c r="N1252"/>
      <c r="O1252"/>
      <c r="P1252"/>
      <c r="Q1252"/>
      <c r="R1252"/>
      <c r="S1252"/>
    </row>
    <row r="1253" spans="1:19" x14ac:dyDescent="0.25">
      <c r="A1253" t="s">
        <v>193</v>
      </c>
      <c r="C1253" s="27" t="s">
        <v>34749</v>
      </c>
      <c r="D1253" s="28" t="s">
        <v>34867</v>
      </c>
      <c r="J1253" t="s">
        <v>3480</v>
      </c>
      <c r="K1253" t="s">
        <v>3481</v>
      </c>
      <c r="L1253" s="28" t="s">
        <v>3482</v>
      </c>
      <c r="M1253" t="s">
        <v>23</v>
      </c>
      <c r="N1253"/>
      <c r="O1253"/>
      <c r="P1253"/>
      <c r="Q1253"/>
      <c r="R1253"/>
      <c r="S1253"/>
    </row>
    <row r="1254" spans="1:19" x14ac:dyDescent="0.25">
      <c r="A1254" t="s">
        <v>193</v>
      </c>
      <c r="C1254" s="27" t="s">
        <v>34749</v>
      </c>
      <c r="D1254" s="28" t="s">
        <v>34867</v>
      </c>
      <c r="J1254" t="s">
        <v>3483</v>
      </c>
      <c r="K1254" t="s">
        <v>3484</v>
      </c>
      <c r="L1254" s="28" t="s">
        <v>3485</v>
      </c>
      <c r="M1254" t="s">
        <v>23</v>
      </c>
      <c r="N1254"/>
      <c r="O1254"/>
      <c r="P1254"/>
      <c r="Q1254"/>
      <c r="R1254"/>
      <c r="S1254"/>
    </row>
    <row r="1255" spans="1:19" x14ac:dyDescent="0.25">
      <c r="A1255" t="s">
        <v>193</v>
      </c>
      <c r="C1255" s="27" t="s">
        <v>34749</v>
      </c>
      <c r="D1255" s="28" t="s">
        <v>34867</v>
      </c>
      <c r="J1255" t="s">
        <v>3486</v>
      </c>
      <c r="K1255" t="s">
        <v>3487</v>
      </c>
      <c r="L1255" s="28" t="s">
        <v>3488</v>
      </c>
      <c r="M1255" t="s">
        <v>23</v>
      </c>
      <c r="N1255"/>
      <c r="O1255"/>
      <c r="P1255"/>
      <c r="Q1255"/>
      <c r="R1255"/>
      <c r="S1255"/>
    </row>
    <row r="1256" spans="1:19" x14ac:dyDescent="0.25">
      <c r="A1256" t="s">
        <v>193</v>
      </c>
      <c r="C1256" s="27" t="s">
        <v>34749</v>
      </c>
      <c r="D1256" s="28" t="s">
        <v>34867</v>
      </c>
      <c r="J1256" t="s">
        <v>3489</v>
      </c>
      <c r="K1256" t="s">
        <v>3490</v>
      </c>
      <c r="L1256" s="28" t="s">
        <v>3491</v>
      </c>
      <c r="M1256" t="s">
        <v>23</v>
      </c>
      <c r="N1256"/>
      <c r="O1256"/>
      <c r="P1256"/>
      <c r="Q1256"/>
      <c r="R1256"/>
      <c r="S1256"/>
    </row>
    <row r="1257" spans="1:19" x14ac:dyDescent="0.25">
      <c r="A1257" t="s">
        <v>193</v>
      </c>
      <c r="C1257" s="27" t="s">
        <v>34749</v>
      </c>
      <c r="D1257" s="28" t="s">
        <v>34867</v>
      </c>
      <c r="J1257" t="s">
        <v>3492</v>
      </c>
      <c r="K1257" t="s">
        <v>3493</v>
      </c>
      <c r="L1257" s="28" t="s">
        <v>3494</v>
      </c>
      <c r="M1257" t="s">
        <v>23</v>
      </c>
      <c r="N1257"/>
      <c r="O1257"/>
      <c r="P1257"/>
      <c r="Q1257"/>
      <c r="R1257"/>
      <c r="S1257"/>
    </row>
    <row r="1258" spans="1:19" x14ac:dyDescent="0.25">
      <c r="A1258" t="s">
        <v>193</v>
      </c>
      <c r="C1258" s="27" t="s">
        <v>34749</v>
      </c>
      <c r="D1258" s="28" t="s">
        <v>34867</v>
      </c>
      <c r="J1258" t="s">
        <v>3495</v>
      </c>
      <c r="K1258" t="s">
        <v>3496</v>
      </c>
      <c r="L1258" s="28" t="s">
        <v>3497</v>
      </c>
      <c r="M1258" t="s">
        <v>23</v>
      </c>
      <c r="N1258"/>
      <c r="O1258"/>
      <c r="P1258"/>
      <c r="Q1258"/>
      <c r="R1258"/>
      <c r="S1258"/>
    </row>
    <row r="1259" spans="1:19" x14ac:dyDescent="0.25">
      <c r="A1259" t="s">
        <v>193</v>
      </c>
      <c r="C1259" s="27" t="s">
        <v>34749</v>
      </c>
      <c r="D1259" s="28" t="s">
        <v>34867</v>
      </c>
      <c r="J1259" t="s">
        <v>3498</v>
      </c>
      <c r="K1259" t="s">
        <v>3499</v>
      </c>
      <c r="L1259" s="28" t="s">
        <v>3500</v>
      </c>
      <c r="M1259" t="s">
        <v>23</v>
      </c>
      <c r="N1259"/>
      <c r="O1259"/>
      <c r="P1259"/>
      <c r="Q1259"/>
      <c r="R1259"/>
      <c r="S1259"/>
    </row>
    <row r="1260" spans="1:19" x14ac:dyDescent="0.25">
      <c r="A1260" t="s">
        <v>193</v>
      </c>
      <c r="C1260" s="27" t="s">
        <v>34749</v>
      </c>
      <c r="D1260" s="28" t="s">
        <v>34867</v>
      </c>
      <c r="J1260" t="s">
        <v>3501</v>
      </c>
      <c r="K1260" t="s">
        <v>3502</v>
      </c>
      <c r="L1260" s="28" t="s">
        <v>3503</v>
      </c>
      <c r="M1260" t="s">
        <v>23</v>
      </c>
      <c r="N1260"/>
      <c r="O1260"/>
      <c r="P1260"/>
      <c r="Q1260"/>
      <c r="R1260"/>
      <c r="S1260"/>
    </row>
    <row r="1261" spans="1:19" x14ac:dyDescent="0.25">
      <c r="A1261" t="s">
        <v>193</v>
      </c>
      <c r="C1261" s="27" t="s">
        <v>34749</v>
      </c>
      <c r="D1261" s="28" t="s">
        <v>34867</v>
      </c>
      <c r="J1261" t="s">
        <v>3504</v>
      </c>
      <c r="K1261" t="s">
        <v>3505</v>
      </c>
      <c r="L1261" s="28" t="s">
        <v>3506</v>
      </c>
      <c r="M1261" t="s">
        <v>23</v>
      </c>
      <c r="N1261"/>
      <c r="O1261"/>
      <c r="P1261"/>
      <c r="Q1261"/>
      <c r="R1261"/>
      <c r="S1261"/>
    </row>
    <row r="1262" spans="1:19" x14ac:dyDescent="0.25">
      <c r="A1262" t="s">
        <v>193</v>
      </c>
      <c r="C1262" s="27" t="s">
        <v>34749</v>
      </c>
      <c r="D1262" s="28" t="s">
        <v>34867</v>
      </c>
      <c r="J1262" t="s">
        <v>3507</v>
      </c>
      <c r="K1262" t="s">
        <v>3508</v>
      </c>
      <c r="L1262" s="28" t="s">
        <v>3509</v>
      </c>
      <c r="M1262" t="s">
        <v>23</v>
      </c>
      <c r="N1262"/>
      <c r="O1262"/>
      <c r="P1262"/>
      <c r="Q1262"/>
      <c r="R1262"/>
      <c r="S1262"/>
    </row>
    <row r="1263" spans="1:19" x14ac:dyDescent="0.25">
      <c r="A1263" t="s">
        <v>193</v>
      </c>
      <c r="C1263" s="27" t="s">
        <v>34749</v>
      </c>
      <c r="D1263" s="28" t="s">
        <v>34867</v>
      </c>
      <c r="J1263" t="s">
        <v>3510</v>
      </c>
      <c r="K1263" t="s">
        <v>3511</v>
      </c>
      <c r="L1263" s="28" t="s">
        <v>3512</v>
      </c>
      <c r="M1263" t="s">
        <v>23</v>
      </c>
      <c r="N1263"/>
      <c r="O1263"/>
      <c r="P1263"/>
      <c r="Q1263"/>
      <c r="R1263"/>
      <c r="S1263"/>
    </row>
    <row r="1264" spans="1:19" x14ac:dyDescent="0.25">
      <c r="A1264" t="s">
        <v>193</v>
      </c>
      <c r="C1264" s="27" t="s">
        <v>34749</v>
      </c>
      <c r="D1264" s="28" t="s">
        <v>34867</v>
      </c>
      <c r="J1264" t="s">
        <v>3513</v>
      </c>
      <c r="K1264" t="s">
        <v>3514</v>
      </c>
      <c r="L1264" s="28" t="s">
        <v>3515</v>
      </c>
      <c r="M1264" t="s">
        <v>23</v>
      </c>
      <c r="N1264"/>
      <c r="O1264"/>
      <c r="P1264"/>
      <c r="Q1264"/>
      <c r="R1264"/>
      <c r="S1264"/>
    </row>
    <row r="1265" spans="1:19" x14ac:dyDescent="0.25">
      <c r="A1265" t="s">
        <v>193</v>
      </c>
      <c r="C1265" s="27" t="s">
        <v>34749</v>
      </c>
      <c r="D1265" s="28" t="s">
        <v>34867</v>
      </c>
      <c r="J1265" t="s">
        <v>3516</v>
      </c>
      <c r="K1265" t="s">
        <v>3517</v>
      </c>
      <c r="L1265" s="28" t="s">
        <v>3518</v>
      </c>
      <c r="M1265" t="s">
        <v>23</v>
      </c>
      <c r="N1265"/>
      <c r="O1265"/>
      <c r="P1265"/>
      <c r="Q1265"/>
      <c r="R1265"/>
      <c r="S1265"/>
    </row>
    <row r="1266" spans="1:19" x14ac:dyDescent="0.25">
      <c r="A1266" t="s">
        <v>193</v>
      </c>
      <c r="C1266" s="27" t="s">
        <v>34749</v>
      </c>
      <c r="D1266" s="28" t="s">
        <v>34867</v>
      </c>
      <c r="J1266" t="s">
        <v>3519</v>
      </c>
      <c r="K1266" t="s">
        <v>3520</v>
      </c>
      <c r="L1266" s="28" t="s">
        <v>3521</v>
      </c>
      <c r="M1266" t="s">
        <v>23</v>
      </c>
      <c r="N1266"/>
      <c r="O1266"/>
      <c r="P1266"/>
      <c r="Q1266"/>
      <c r="R1266"/>
      <c r="S1266"/>
    </row>
    <row r="1267" spans="1:19" x14ac:dyDescent="0.25">
      <c r="A1267" t="s">
        <v>193</v>
      </c>
      <c r="C1267" s="27" t="s">
        <v>34749</v>
      </c>
      <c r="D1267" s="28" t="s">
        <v>34867</v>
      </c>
      <c r="J1267" t="s">
        <v>3522</v>
      </c>
      <c r="K1267" t="s">
        <v>3523</v>
      </c>
      <c r="L1267" s="28" t="s">
        <v>3524</v>
      </c>
      <c r="M1267" t="s">
        <v>23</v>
      </c>
      <c r="N1267"/>
      <c r="O1267"/>
      <c r="P1267"/>
      <c r="Q1267"/>
      <c r="R1267"/>
      <c r="S1267"/>
    </row>
    <row r="1268" spans="1:19" x14ac:dyDescent="0.25">
      <c r="A1268" t="s">
        <v>193</v>
      </c>
      <c r="C1268" s="27" t="s">
        <v>34749</v>
      </c>
      <c r="D1268" s="28" t="s">
        <v>34867</v>
      </c>
      <c r="J1268" t="s">
        <v>3525</v>
      </c>
      <c r="K1268" t="s">
        <v>3526</v>
      </c>
      <c r="L1268" s="28" t="s">
        <v>3527</v>
      </c>
      <c r="M1268" t="s">
        <v>23</v>
      </c>
      <c r="N1268"/>
      <c r="O1268"/>
      <c r="P1268"/>
      <c r="Q1268"/>
      <c r="R1268"/>
      <c r="S1268"/>
    </row>
    <row r="1269" spans="1:19" x14ac:dyDescent="0.25">
      <c r="A1269" t="s">
        <v>193</v>
      </c>
      <c r="C1269" s="27" t="s">
        <v>34749</v>
      </c>
      <c r="D1269" s="28" t="s">
        <v>34867</v>
      </c>
      <c r="J1269" t="s">
        <v>3528</v>
      </c>
      <c r="K1269" t="s">
        <v>3529</v>
      </c>
      <c r="L1269" s="28" t="s">
        <v>3530</v>
      </c>
      <c r="M1269" t="s">
        <v>23</v>
      </c>
      <c r="N1269"/>
      <c r="O1269"/>
      <c r="P1269"/>
      <c r="Q1269"/>
      <c r="R1269"/>
      <c r="S1269"/>
    </row>
    <row r="1270" spans="1:19" x14ac:dyDescent="0.25">
      <c r="A1270" t="s">
        <v>193</v>
      </c>
      <c r="C1270" s="27" t="s">
        <v>34749</v>
      </c>
      <c r="D1270" s="28" t="s">
        <v>34867</v>
      </c>
      <c r="J1270" t="s">
        <v>3531</v>
      </c>
      <c r="K1270" t="s">
        <v>3532</v>
      </c>
      <c r="L1270" s="28" t="s">
        <v>3533</v>
      </c>
      <c r="M1270" t="s">
        <v>23</v>
      </c>
      <c r="N1270"/>
      <c r="O1270"/>
      <c r="P1270"/>
      <c r="Q1270"/>
      <c r="R1270"/>
      <c r="S1270"/>
    </row>
    <row r="1271" spans="1:19" x14ac:dyDescent="0.25">
      <c r="A1271" t="s">
        <v>193</v>
      </c>
      <c r="C1271" s="27" t="s">
        <v>34749</v>
      </c>
      <c r="D1271" s="28" t="s">
        <v>34867</v>
      </c>
      <c r="J1271" t="s">
        <v>3534</v>
      </c>
      <c r="K1271" t="s">
        <v>3535</v>
      </c>
      <c r="L1271" s="28" t="s">
        <v>3536</v>
      </c>
      <c r="M1271" t="s">
        <v>23</v>
      </c>
      <c r="N1271"/>
      <c r="O1271"/>
      <c r="P1271"/>
      <c r="Q1271"/>
      <c r="R1271"/>
      <c r="S1271"/>
    </row>
    <row r="1272" spans="1:19" x14ac:dyDescent="0.25">
      <c r="A1272" t="s">
        <v>193</v>
      </c>
      <c r="C1272" s="27" t="s">
        <v>34749</v>
      </c>
      <c r="D1272" s="28" t="s">
        <v>34867</v>
      </c>
      <c r="J1272" t="s">
        <v>3537</v>
      </c>
      <c r="K1272" t="s">
        <v>3538</v>
      </c>
      <c r="L1272" s="28" t="s">
        <v>3539</v>
      </c>
      <c r="M1272" t="s">
        <v>23</v>
      </c>
      <c r="N1272"/>
      <c r="O1272"/>
      <c r="P1272"/>
      <c r="Q1272"/>
      <c r="R1272"/>
      <c r="S1272"/>
    </row>
    <row r="1273" spans="1:19" x14ac:dyDescent="0.25">
      <c r="A1273" t="s">
        <v>193</v>
      </c>
      <c r="C1273" s="27" t="s">
        <v>34749</v>
      </c>
      <c r="D1273" s="28" t="s">
        <v>34867</v>
      </c>
      <c r="J1273" t="s">
        <v>3540</v>
      </c>
      <c r="K1273" t="s">
        <v>3541</v>
      </c>
      <c r="L1273" s="28" t="s">
        <v>3542</v>
      </c>
      <c r="M1273" t="s">
        <v>23</v>
      </c>
      <c r="N1273"/>
      <c r="O1273"/>
      <c r="P1273"/>
      <c r="Q1273"/>
      <c r="R1273"/>
      <c r="S1273"/>
    </row>
    <row r="1274" spans="1:19" x14ac:dyDescent="0.25">
      <c r="A1274" t="s">
        <v>193</v>
      </c>
      <c r="C1274" s="27" t="s">
        <v>34749</v>
      </c>
      <c r="D1274" s="28" t="s">
        <v>34867</v>
      </c>
      <c r="J1274" t="s">
        <v>3543</v>
      </c>
      <c r="K1274" t="s">
        <v>3544</v>
      </c>
      <c r="L1274" s="28" t="s">
        <v>3545</v>
      </c>
      <c r="M1274" t="s">
        <v>23</v>
      </c>
      <c r="N1274"/>
      <c r="O1274"/>
      <c r="P1274"/>
      <c r="Q1274"/>
      <c r="R1274"/>
      <c r="S1274"/>
    </row>
    <row r="1275" spans="1:19" x14ac:dyDescent="0.25">
      <c r="A1275" t="s">
        <v>193</v>
      </c>
      <c r="C1275" s="27" t="s">
        <v>34749</v>
      </c>
      <c r="D1275" s="28" t="s">
        <v>34867</v>
      </c>
      <c r="J1275" t="s">
        <v>3546</v>
      </c>
      <c r="K1275" t="s">
        <v>3547</v>
      </c>
      <c r="L1275" s="28" t="s">
        <v>3548</v>
      </c>
      <c r="M1275" t="s">
        <v>23</v>
      </c>
      <c r="N1275"/>
      <c r="O1275"/>
      <c r="P1275"/>
      <c r="Q1275"/>
      <c r="R1275"/>
      <c r="S1275"/>
    </row>
    <row r="1276" spans="1:19" x14ac:dyDescent="0.25">
      <c r="A1276" t="s">
        <v>193</v>
      </c>
      <c r="C1276" s="27" t="s">
        <v>34749</v>
      </c>
      <c r="D1276" s="28" t="s">
        <v>34867</v>
      </c>
      <c r="J1276" t="s">
        <v>3549</v>
      </c>
      <c r="K1276" t="s">
        <v>3550</v>
      </c>
      <c r="L1276" s="28" t="s">
        <v>3551</v>
      </c>
      <c r="M1276" t="s">
        <v>23</v>
      </c>
      <c r="N1276"/>
      <c r="O1276"/>
      <c r="P1276"/>
      <c r="Q1276"/>
      <c r="R1276"/>
      <c r="S1276"/>
    </row>
    <row r="1277" spans="1:19" x14ac:dyDescent="0.25">
      <c r="A1277" t="s">
        <v>193</v>
      </c>
      <c r="C1277" s="27" t="s">
        <v>34749</v>
      </c>
      <c r="D1277" s="28" t="s">
        <v>34867</v>
      </c>
      <c r="J1277" t="s">
        <v>3552</v>
      </c>
      <c r="K1277" t="s">
        <v>3553</v>
      </c>
      <c r="L1277" s="28" t="s">
        <v>3554</v>
      </c>
      <c r="M1277" t="s">
        <v>23</v>
      </c>
      <c r="N1277"/>
      <c r="O1277"/>
      <c r="P1277"/>
      <c r="Q1277"/>
      <c r="R1277"/>
      <c r="S1277"/>
    </row>
    <row r="1278" spans="1:19" x14ac:dyDescent="0.25">
      <c r="A1278" t="s">
        <v>193</v>
      </c>
      <c r="C1278" s="27" t="s">
        <v>34749</v>
      </c>
      <c r="D1278" s="28" t="s">
        <v>34867</v>
      </c>
      <c r="J1278" t="s">
        <v>3555</v>
      </c>
      <c r="K1278" t="s">
        <v>3556</v>
      </c>
      <c r="L1278" s="28" t="s">
        <v>3557</v>
      </c>
      <c r="M1278" t="s">
        <v>23</v>
      </c>
      <c r="N1278"/>
      <c r="O1278"/>
      <c r="P1278"/>
      <c r="Q1278"/>
      <c r="R1278"/>
      <c r="S1278"/>
    </row>
    <row r="1279" spans="1:19" x14ac:dyDescent="0.25">
      <c r="A1279" t="s">
        <v>193</v>
      </c>
      <c r="C1279" s="27" t="s">
        <v>34749</v>
      </c>
      <c r="D1279" s="28" t="s">
        <v>34867</v>
      </c>
      <c r="J1279" t="s">
        <v>3558</v>
      </c>
      <c r="K1279" t="s">
        <v>3559</v>
      </c>
      <c r="L1279" s="28" t="s">
        <v>3560</v>
      </c>
      <c r="M1279" t="s">
        <v>23</v>
      </c>
      <c r="N1279"/>
      <c r="O1279"/>
      <c r="P1279"/>
      <c r="Q1279"/>
      <c r="R1279"/>
      <c r="S1279"/>
    </row>
    <row r="1280" spans="1:19" x14ac:dyDescent="0.25">
      <c r="A1280" t="s">
        <v>193</v>
      </c>
      <c r="C1280" s="27" t="s">
        <v>34749</v>
      </c>
      <c r="D1280" s="28" t="s">
        <v>34867</v>
      </c>
      <c r="J1280" t="s">
        <v>3561</v>
      </c>
      <c r="K1280" t="s">
        <v>3562</v>
      </c>
      <c r="L1280" s="28" t="s">
        <v>3563</v>
      </c>
      <c r="M1280" t="s">
        <v>23</v>
      </c>
      <c r="N1280"/>
      <c r="O1280"/>
      <c r="P1280"/>
      <c r="Q1280"/>
      <c r="R1280"/>
      <c r="S1280"/>
    </row>
    <row r="1281" spans="1:19" x14ac:dyDescent="0.25">
      <c r="A1281" t="s">
        <v>193</v>
      </c>
      <c r="C1281" s="27" t="s">
        <v>34749</v>
      </c>
      <c r="D1281" s="28" t="s">
        <v>34867</v>
      </c>
      <c r="J1281" t="s">
        <v>3564</v>
      </c>
      <c r="K1281" t="s">
        <v>3565</v>
      </c>
      <c r="L1281" s="28" t="s">
        <v>3566</v>
      </c>
      <c r="M1281" t="s">
        <v>23</v>
      </c>
      <c r="N1281"/>
      <c r="O1281"/>
      <c r="P1281"/>
      <c r="Q1281"/>
      <c r="R1281"/>
      <c r="S1281"/>
    </row>
    <row r="1282" spans="1:19" x14ac:dyDescent="0.25">
      <c r="A1282" t="s">
        <v>193</v>
      </c>
      <c r="C1282" s="27" t="s">
        <v>34749</v>
      </c>
      <c r="D1282" s="28" t="s">
        <v>34867</v>
      </c>
      <c r="J1282" t="s">
        <v>3567</v>
      </c>
      <c r="K1282" t="s">
        <v>3568</v>
      </c>
      <c r="L1282" s="28" t="s">
        <v>3569</v>
      </c>
      <c r="M1282" t="s">
        <v>23</v>
      </c>
      <c r="N1282"/>
      <c r="O1282"/>
      <c r="P1282"/>
      <c r="Q1282"/>
      <c r="R1282"/>
      <c r="S1282"/>
    </row>
    <row r="1283" spans="1:19" x14ac:dyDescent="0.25">
      <c r="A1283" t="s">
        <v>193</v>
      </c>
      <c r="C1283" s="27" t="s">
        <v>34749</v>
      </c>
      <c r="D1283" s="28" t="s">
        <v>34867</v>
      </c>
      <c r="J1283" t="s">
        <v>3570</v>
      </c>
      <c r="K1283" t="s">
        <v>3571</v>
      </c>
      <c r="L1283" s="28" t="s">
        <v>3572</v>
      </c>
      <c r="M1283" t="s">
        <v>23</v>
      </c>
      <c r="N1283"/>
      <c r="O1283"/>
      <c r="P1283"/>
      <c r="Q1283"/>
      <c r="R1283"/>
      <c r="S1283"/>
    </row>
    <row r="1284" spans="1:19" x14ac:dyDescent="0.25">
      <c r="A1284" t="s">
        <v>193</v>
      </c>
      <c r="C1284" s="27" t="s">
        <v>34749</v>
      </c>
      <c r="D1284" s="28" t="s">
        <v>34867</v>
      </c>
      <c r="J1284" t="s">
        <v>3573</v>
      </c>
      <c r="K1284" t="s">
        <v>3574</v>
      </c>
      <c r="L1284" s="28" t="s">
        <v>3575</v>
      </c>
      <c r="M1284" t="s">
        <v>23</v>
      </c>
      <c r="N1284"/>
      <c r="O1284"/>
      <c r="P1284"/>
      <c r="Q1284"/>
      <c r="R1284"/>
      <c r="S1284"/>
    </row>
    <row r="1285" spans="1:19" x14ac:dyDescent="0.25">
      <c r="A1285" t="s">
        <v>193</v>
      </c>
      <c r="C1285" s="27" t="s">
        <v>34749</v>
      </c>
      <c r="D1285" s="28" t="s">
        <v>34867</v>
      </c>
      <c r="J1285" t="s">
        <v>3576</v>
      </c>
      <c r="K1285" t="s">
        <v>3577</v>
      </c>
      <c r="L1285" s="28" t="s">
        <v>3578</v>
      </c>
      <c r="M1285" t="s">
        <v>23</v>
      </c>
      <c r="N1285"/>
      <c r="O1285"/>
      <c r="P1285"/>
      <c r="Q1285"/>
      <c r="R1285"/>
      <c r="S1285"/>
    </row>
    <row r="1286" spans="1:19" x14ac:dyDescent="0.25">
      <c r="A1286" t="s">
        <v>193</v>
      </c>
      <c r="C1286" s="27" t="s">
        <v>34749</v>
      </c>
      <c r="D1286" s="28" t="s">
        <v>34867</v>
      </c>
      <c r="J1286" t="s">
        <v>3579</v>
      </c>
      <c r="K1286" t="s">
        <v>3580</v>
      </c>
      <c r="L1286" s="28" t="s">
        <v>3581</v>
      </c>
      <c r="M1286" t="s">
        <v>23</v>
      </c>
      <c r="N1286"/>
      <c r="O1286"/>
      <c r="P1286"/>
      <c r="Q1286"/>
      <c r="R1286"/>
      <c r="S1286"/>
    </row>
    <row r="1287" spans="1:19" x14ac:dyDescent="0.25">
      <c r="A1287" t="s">
        <v>193</v>
      </c>
      <c r="C1287" s="27" t="s">
        <v>34749</v>
      </c>
      <c r="D1287" s="28" t="s">
        <v>34867</v>
      </c>
      <c r="J1287" t="s">
        <v>3582</v>
      </c>
      <c r="K1287" t="s">
        <v>3583</v>
      </c>
      <c r="L1287" s="28" t="s">
        <v>3584</v>
      </c>
      <c r="M1287" t="s">
        <v>23</v>
      </c>
      <c r="N1287"/>
      <c r="O1287"/>
      <c r="P1287"/>
      <c r="Q1287"/>
      <c r="R1287"/>
      <c r="S1287"/>
    </row>
    <row r="1288" spans="1:19" x14ac:dyDescent="0.25">
      <c r="A1288" t="s">
        <v>193</v>
      </c>
      <c r="C1288" s="27" t="s">
        <v>34749</v>
      </c>
      <c r="D1288" s="28" t="s">
        <v>34867</v>
      </c>
      <c r="J1288" t="s">
        <v>3585</v>
      </c>
      <c r="K1288" t="s">
        <v>3586</v>
      </c>
      <c r="L1288" s="28" t="s">
        <v>3587</v>
      </c>
      <c r="M1288" t="s">
        <v>23</v>
      </c>
      <c r="N1288"/>
      <c r="O1288"/>
      <c r="P1288"/>
      <c r="Q1288"/>
      <c r="R1288"/>
      <c r="S1288"/>
    </row>
    <row r="1289" spans="1:19" x14ac:dyDescent="0.25">
      <c r="A1289" t="s">
        <v>193</v>
      </c>
      <c r="C1289" s="27" t="s">
        <v>34749</v>
      </c>
      <c r="D1289" s="28" t="s">
        <v>34867</v>
      </c>
      <c r="J1289" t="s">
        <v>3588</v>
      </c>
      <c r="K1289" t="s">
        <v>3589</v>
      </c>
      <c r="L1289" s="28" t="s">
        <v>3590</v>
      </c>
      <c r="M1289" t="s">
        <v>23</v>
      </c>
      <c r="N1289"/>
      <c r="O1289"/>
      <c r="P1289"/>
      <c r="Q1289"/>
      <c r="R1289"/>
      <c r="S1289"/>
    </row>
    <row r="1290" spans="1:19" x14ac:dyDescent="0.25">
      <c r="A1290" t="s">
        <v>193</v>
      </c>
      <c r="C1290" s="27" t="s">
        <v>34749</v>
      </c>
      <c r="D1290" s="28" t="s">
        <v>34867</v>
      </c>
      <c r="J1290" t="s">
        <v>3591</v>
      </c>
      <c r="K1290" t="s">
        <v>3592</v>
      </c>
      <c r="L1290" s="28" t="s">
        <v>3593</v>
      </c>
      <c r="M1290" t="s">
        <v>23</v>
      </c>
      <c r="N1290"/>
      <c r="O1290"/>
      <c r="P1290"/>
      <c r="Q1290"/>
      <c r="R1290"/>
      <c r="S1290"/>
    </row>
    <row r="1291" spans="1:19" x14ac:dyDescent="0.25">
      <c r="A1291" t="s">
        <v>193</v>
      </c>
      <c r="C1291" s="27" t="s">
        <v>34749</v>
      </c>
      <c r="D1291" s="28" t="s">
        <v>34867</v>
      </c>
      <c r="J1291" t="s">
        <v>3594</v>
      </c>
      <c r="K1291" t="s">
        <v>3595</v>
      </c>
      <c r="L1291" s="28" t="s">
        <v>3596</v>
      </c>
      <c r="M1291" t="s">
        <v>23</v>
      </c>
      <c r="N1291"/>
      <c r="O1291"/>
      <c r="P1291"/>
      <c r="Q1291"/>
      <c r="R1291"/>
      <c r="S1291"/>
    </row>
    <row r="1292" spans="1:19" x14ac:dyDescent="0.25">
      <c r="A1292" t="s">
        <v>193</v>
      </c>
      <c r="C1292" s="27" t="s">
        <v>34749</v>
      </c>
      <c r="D1292" s="28" t="s">
        <v>34867</v>
      </c>
      <c r="J1292" t="s">
        <v>3597</v>
      </c>
      <c r="K1292" t="s">
        <v>3598</v>
      </c>
      <c r="L1292" s="28" t="s">
        <v>3599</v>
      </c>
      <c r="M1292" t="s">
        <v>23</v>
      </c>
      <c r="N1292"/>
      <c r="O1292"/>
      <c r="P1292"/>
      <c r="Q1292"/>
      <c r="R1292"/>
      <c r="S1292"/>
    </row>
    <row r="1293" spans="1:19" x14ac:dyDescent="0.25">
      <c r="A1293" t="s">
        <v>193</v>
      </c>
      <c r="C1293" s="27" t="s">
        <v>34749</v>
      </c>
      <c r="D1293" s="28" t="s">
        <v>34867</v>
      </c>
      <c r="J1293" t="s">
        <v>3600</v>
      </c>
      <c r="K1293" t="s">
        <v>3601</v>
      </c>
      <c r="L1293" s="28" t="s">
        <v>3602</v>
      </c>
      <c r="M1293" t="s">
        <v>23</v>
      </c>
      <c r="N1293"/>
      <c r="O1293"/>
      <c r="P1293"/>
      <c r="Q1293"/>
      <c r="R1293"/>
      <c r="S1293"/>
    </row>
    <row r="1294" spans="1:19" x14ac:dyDescent="0.25">
      <c r="A1294" t="s">
        <v>193</v>
      </c>
      <c r="C1294" s="27" t="s">
        <v>34749</v>
      </c>
      <c r="D1294" s="28" t="s">
        <v>34867</v>
      </c>
      <c r="J1294" t="s">
        <v>3603</v>
      </c>
      <c r="K1294" t="s">
        <v>3604</v>
      </c>
      <c r="L1294" s="28" t="s">
        <v>3605</v>
      </c>
      <c r="M1294" t="s">
        <v>23</v>
      </c>
      <c r="N1294"/>
      <c r="O1294"/>
      <c r="P1294"/>
      <c r="Q1294"/>
      <c r="R1294"/>
      <c r="S1294"/>
    </row>
    <row r="1295" spans="1:19" x14ac:dyDescent="0.25">
      <c r="A1295" t="s">
        <v>193</v>
      </c>
      <c r="C1295" s="27" t="s">
        <v>34749</v>
      </c>
      <c r="D1295" s="28" t="s">
        <v>34867</v>
      </c>
      <c r="J1295" t="s">
        <v>3606</v>
      </c>
      <c r="K1295" t="s">
        <v>3607</v>
      </c>
      <c r="L1295" s="28" t="s">
        <v>3608</v>
      </c>
      <c r="M1295" t="s">
        <v>23</v>
      </c>
      <c r="N1295"/>
      <c r="O1295"/>
      <c r="P1295"/>
      <c r="Q1295"/>
      <c r="R1295"/>
      <c r="S1295"/>
    </row>
    <row r="1296" spans="1:19" x14ac:dyDescent="0.25">
      <c r="A1296" t="s">
        <v>193</v>
      </c>
      <c r="C1296" s="27" t="s">
        <v>34749</v>
      </c>
      <c r="D1296" s="28" t="s">
        <v>34867</v>
      </c>
      <c r="J1296" t="s">
        <v>3609</v>
      </c>
      <c r="K1296" t="s">
        <v>3610</v>
      </c>
      <c r="L1296" s="28" t="s">
        <v>3611</v>
      </c>
      <c r="M1296" t="s">
        <v>23</v>
      </c>
      <c r="N1296"/>
      <c r="O1296"/>
      <c r="P1296"/>
      <c r="Q1296"/>
      <c r="R1296"/>
      <c r="S1296"/>
    </row>
    <row r="1297" spans="1:19" x14ac:dyDescent="0.25">
      <c r="A1297" t="s">
        <v>193</v>
      </c>
      <c r="C1297" s="27" t="s">
        <v>34749</v>
      </c>
      <c r="D1297" s="28" t="s">
        <v>34867</v>
      </c>
      <c r="J1297" t="s">
        <v>3612</v>
      </c>
      <c r="K1297" t="s">
        <v>3613</v>
      </c>
      <c r="L1297" s="28" t="s">
        <v>3614</v>
      </c>
      <c r="M1297" t="s">
        <v>23</v>
      </c>
      <c r="N1297"/>
      <c r="O1297"/>
      <c r="P1297"/>
      <c r="Q1297"/>
      <c r="R1297"/>
      <c r="S1297"/>
    </row>
    <row r="1298" spans="1:19" x14ac:dyDescent="0.25">
      <c r="A1298" t="s">
        <v>193</v>
      </c>
      <c r="C1298" s="27" t="s">
        <v>34749</v>
      </c>
      <c r="D1298" s="28" t="s">
        <v>34867</v>
      </c>
      <c r="J1298" t="s">
        <v>3615</v>
      </c>
      <c r="K1298" t="s">
        <v>3616</v>
      </c>
      <c r="L1298" s="28" t="s">
        <v>3617</v>
      </c>
      <c r="M1298" t="s">
        <v>23</v>
      </c>
      <c r="N1298"/>
      <c r="O1298"/>
      <c r="P1298"/>
      <c r="Q1298"/>
      <c r="R1298"/>
      <c r="S1298"/>
    </row>
    <row r="1299" spans="1:19" x14ac:dyDescent="0.25">
      <c r="A1299" t="s">
        <v>193</v>
      </c>
      <c r="C1299" s="27" t="s">
        <v>34749</v>
      </c>
      <c r="D1299" s="28" t="s">
        <v>34867</v>
      </c>
      <c r="I1299" t="str">
        <f>CONCATENATE(LEFT(K1299,SEARCH(" (",K1299))," | ", RIGHT(LEFT(K1299,LEN(K1299)-1),LEN(K1299)-2-FIND(" (",K1299)))</f>
        <v>ethyleenglycoldinitraat  | EGDN</v>
      </c>
      <c r="J1299" t="s">
        <v>3618</v>
      </c>
      <c r="K1299" t="s">
        <v>3619</v>
      </c>
      <c r="L1299" s="28" t="s">
        <v>3620</v>
      </c>
      <c r="M1299" t="s">
        <v>23</v>
      </c>
      <c r="N1299"/>
      <c r="O1299"/>
      <c r="P1299"/>
      <c r="Q1299"/>
      <c r="R1299"/>
      <c r="S1299"/>
    </row>
    <row r="1300" spans="1:19" x14ac:dyDescent="0.25">
      <c r="A1300" t="s">
        <v>193</v>
      </c>
      <c r="C1300" s="27" t="s">
        <v>34749</v>
      </c>
      <c r="D1300" s="28" t="s">
        <v>34867</v>
      </c>
      <c r="J1300" t="s">
        <v>3621</v>
      </c>
      <c r="K1300" t="s">
        <v>3622</v>
      </c>
      <c r="L1300" s="28" t="s">
        <v>3623</v>
      </c>
      <c r="M1300" t="s">
        <v>23</v>
      </c>
      <c r="N1300"/>
      <c r="O1300"/>
      <c r="P1300"/>
      <c r="Q1300"/>
      <c r="R1300"/>
      <c r="S1300"/>
    </row>
    <row r="1301" spans="1:19" x14ac:dyDescent="0.25">
      <c r="A1301" t="s">
        <v>193</v>
      </c>
      <c r="C1301" s="27" t="s">
        <v>34749</v>
      </c>
      <c r="D1301" s="28" t="s">
        <v>34867</v>
      </c>
      <c r="J1301" t="s">
        <v>3624</v>
      </c>
      <c r="K1301" t="s">
        <v>3625</v>
      </c>
      <c r="L1301" s="28" t="s">
        <v>3626</v>
      </c>
      <c r="M1301" t="s">
        <v>23</v>
      </c>
      <c r="N1301"/>
      <c r="O1301"/>
      <c r="P1301"/>
      <c r="Q1301"/>
      <c r="R1301"/>
      <c r="S1301"/>
    </row>
    <row r="1302" spans="1:19" x14ac:dyDescent="0.25">
      <c r="A1302" t="s">
        <v>193</v>
      </c>
      <c r="C1302" s="27" t="s">
        <v>34749</v>
      </c>
      <c r="D1302" s="28" t="s">
        <v>34867</v>
      </c>
      <c r="J1302" t="s">
        <v>3627</v>
      </c>
      <c r="K1302" t="s">
        <v>3628</v>
      </c>
      <c r="L1302" s="28" t="s">
        <v>3629</v>
      </c>
      <c r="M1302" t="s">
        <v>23</v>
      </c>
      <c r="N1302"/>
      <c r="O1302"/>
      <c r="P1302"/>
      <c r="Q1302"/>
      <c r="R1302"/>
      <c r="S1302"/>
    </row>
    <row r="1303" spans="1:19" x14ac:dyDescent="0.25">
      <c r="A1303" t="s">
        <v>193</v>
      </c>
      <c r="C1303" s="27" t="s">
        <v>34749</v>
      </c>
      <c r="D1303" s="28" t="s">
        <v>34867</v>
      </c>
      <c r="J1303" t="s">
        <v>3630</v>
      </c>
      <c r="K1303" t="s">
        <v>3631</v>
      </c>
      <c r="L1303" s="28" t="s">
        <v>3632</v>
      </c>
      <c r="M1303" t="s">
        <v>23</v>
      </c>
      <c r="N1303"/>
      <c r="O1303"/>
      <c r="P1303"/>
      <c r="Q1303"/>
      <c r="R1303"/>
      <c r="S1303"/>
    </row>
    <row r="1304" spans="1:19" x14ac:dyDescent="0.25">
      <c r="A1304" t="s">
        <v>193</v>
      </c>
      <c r="C1304" s="27" t="s">
        <v>34749</v>
      </c>
      <c r="D1304" s="28" t="s">
        <v>34867</v>
      </c>
      <c r="J1304" t="s">
        <v>3633</v>
      </c>
      <c r="K1304" t="s">
        <v>3634</v>
      </c>
      <c r="L1304" s="28" t="s">
        <v>3635</v>
      </c>
      <c r="M1304" t="s">
        <v>23</v>
      </c>
      <c r="N1304"/>
      <c r="O1304"/>
      <c r="P1304"/>
      <c r="Q1304"/>
      <c r="R1304"/>
      <c r="S1304"/>
    </row>
    <row r="1305" spans="1:19" x14ac:dyDescent="0.25">
      <c r="A1305" t="s">
        <v>193</v>
      </c>
      <c r="C1305" s="27" t="s">
        <v>34749</v>
      </c>
      <c r="D1305" s="28" t="s">
        <v>34867</v>
      </c>
      <c r="J1305" t="s">
        <v>3636</v>
      </c>
      <c r="K1305" t="s">
        <v>3637</v>
      </c>
      <c r="L1305" s="28" t="s">
        <v>3638</v>
      </c>
      <c r="M1305" t="s">
        <v>23</v>
      </c>
      <c r="N1305"/>
      <c r="O1305"/>
      <c r="P1305"/>
      <c r="Q1305"/>
      <c r="R1305"/>
      <c r="S1305"/>
    </row>
    <row r="1306" spans="1:19" x14ac:dyDescent="0.25">
      <c r="A1306" t="s">
        <v>193</v>
      </c>
      <c r="C1306" s="27" t="s">
        <v>34749</v>
      </c>
      <c r="D1306" s="28" t="s">
        <v>34867</v>
      </c>
      <c r="J1306" t="s">
        <v>3639</v>
      </c>
      <c r="K1306" t="s">
        <v>3640</v>
      </c>
      <c r="L1306" s="28" t="s">
        <v>3641</v>
      </c>
      <c r="M1306" t="s">
        <v>23</v>
      </c>
      <c r="N1306"/>
      <c r="O1306"/>
      <c r="P1306"/>
      <c r="Q1306"/>
      <c r="R1306"/>
      <c r="S1306"/>
    </row>
    <row r="1307" spans="1:19" x14ac:dyDescent="0.25">
      <c r="A1307" t="s">
        <v>193</v>
      </c>
      <c r="C1307" s="27" t="s">
        <v>34749</v>
      </c>
      <c r="D1307" s="28" t="s">
        <v>34867</v>
      </c>
      <c r="J1307" t="s">
        <v>3642</v>
      </c>
      <c r="K1307" t="s">
        <v>3643</v>
      </c>
      <c r="L1307" s="28" t="s">
        <v>3644</v>
      </c>
      <c r="M1307" t="s">
        <v>23</v>
      </c>
      <c r="N1307"/>
      <c r="O1307"/>
      <c r="P1307"/>
      <c r="Q1307"/>
      <c r="R1307"/>
      <c r="S1307"/>
    </row>
    <row r="1308" spans="1:19" x14ac:dyDescent="0.25">
      <c r="A1308" t="s">
        <v>193</v>
      </c>
      <c r="C1308" s="27" t="s">
        <v>34749</v>
      </c>
      <c r="D1308" s="28" t="s">
        <v>34867</v>
      </c>
      <c r="J1308" t="s">
        <v>3645</v>
      </c>
      <c r="K1308" t="s">
        <v>3646</v>
      </c>
      <c r="L1308" s="28" t="s">
        <v>3647</v>
      </c>
      <c r="M1308" t="s">
        <v>23</v>
      </c>
      <c r="N1308"/>
      <c r="O1308"/>
      <c r="P1308"/>
      <c r="Q1308"/>
      <c r="R1308"/>
      <c r="S1308"/>
    </row>
    <row r="1309" spans="1:19" x14ac:dyDescent="0.25">
      <c r="A1309" t="s">
        <v>193</v>
      </c>
      <c r="C1309" s="27" t="s">
        <v>34749</v>
      </c>
      <c r="D1309" s="28" t="s">
        <v>34867</v>
      </c>
      <c r="J1309" t="s">
        <v>3648</v>
      </c>
      <c r="K1309" t="s">
        <v>3649</v>
      </c>
      <c r="L1309" s="28" t="s">
        <v>3650</v>
      </c>
      <c r="M1309" t="s">
        <v>23</v>
      </c>
      <c r="N1309"/>
      <c r="O1309"/>
      <c r="P1309"/>
      <c r="Q1309"/>
      <c r="R1309"/>
      <c r="S1309"/>
    </row>
    <row r="1310" spans="1:19" x14ac:dyDescent="0.25">
      <c r="A1310" t="s">
        <v>193</v>
      </c>
      <c r="C1310" s="27" t="s">
        <v>34749</v>
      </c>
      <c r="D1310" s="28" t="s">
        <v>34867</v>
      </c>
      <c r="J1310" t="s">
        <v>3651</v>
      </c>
      <c r="K1310" t="s">
        <v>3652</v>
      </c>
      <c r="L1310" s="28" t="s">
        <v>3653</v>
      </c>
      <c r="M1310" t="s">
        <v>23</v>
      </c>
      <c r="N1310"/>
      <c r="O1310"/>
      <c r="P1310"/>
      <c r="Q1310"/>
      <c r="R1310"/>
      <c r="S1310"/>
    </row>
    <row r="1311" spans="1:19" x14ac:dyDescent="0.25">
      <c r="A1311" t="s">
        <v>193</v>
      </c>
      <c r="C1311" s="27" t="s">
        <v>34749</v>
      </c>
      <c r="D1311" s="28" t="s">
        <v>34867</v>
      </c>
      <c r="J1311" t="s">
        <v>3654</v>
      </c>
      <c r="K1311" t="s">
        <v>3655</v>
      </c>
      <c r="L1311" s="28" t="s">
        <v>3656</v>
      </c>
      <c r="M1311" t="s">
        <v>23</v>
      </c>
      <c r="N1311"/>
      <c r="O1311"/>
      <c r="P1311"/>
      <c r="Q1311"/>
      <c r="R1311"/>
      <c r="S1311"/>
    </row>
    <row r="1312" spans="1:19" x14ac:dyDescent="0.25">
      <c r="A1312" t="s">
        <v>193</v>
      </c>
      <c r="C1312" s="27" t="s">
        <v>34749</v>
      </c>
      <c r="D1312" s="28" t="s">
        <v>34867</v>
      </c>
      <c r="J1312" t="s">
        <v>3657</v>
      </c>
      <c r="K1312" t="s">
        <v>3658</v>
      </c>
      <c r="L1312" s="28" t="s">
        <v>3659</v>
      </c>
      <c r="M1312" t="s">
        <v>23</v>
      </c>
      <c r="N1312"/>
      <c r="O1312"/>
      <c r="P1312"/>
      <c r="Q1312"/>
      <c r="R1312"/>
      <c r="S1312"/>
    </row>
    <row r="1313" spans="1:19" x14ac:dyDescent="0.25">
      <c r="A1313" t="s">
        <v>193</v>
      </c>
      <c r="C1313" s="27" t="s">
        <v>34749</v>
      </c>
      <c r="D1313" s="28" t="s">
        <v>34867</v>
      </c>
      <c r="J1313" t="s">
        <v>3660</v>
      </c>
      <c r="K1313" t="s">
        <v>3661</v>
      </c>
      <c r="L1313" s="28" t="s">
        <v>3662</v>
      </c>
      <c r="M1313" t="s">
        <v>23</v>
      </c>
      <c r="N1313"/>
      <c r="O1313"/>
      <c r="P1313"/>
      <c r="Q1313"/>
      <c r="R1313"/>
      <c r="S1313"/>
    </row>
    <row r="1314" spans="1:19" x14ac:dyDescent="0.25">
      <c r="A1314" t="s">
        <v>193</v>
      </c>
      <c r="C1314" s="27" t="s">
        <v>34749</v>
      </c>
      <c r="D1314" s="28" t="s">
        <v>34867</v>
      </c>
      <c r="J1314" t="s">
        <v>3663</v>
      </c>
      <c r="K1314" t="s">
        <v>3664</v>
      </c>
      <c r="L1314" s="28" t="s">
        <v>3665</v>
      </c>
      <c r="M1314" t="s">
        <v>23</v>
      </c>
      <c r="N1314"/>
      <c r="O1314"/>
      <c r="P1314"/>
      <c r="Q1314"/>
      <c r="R1314"/>
      <c r="S1314"/>
    </row>
    <row r="1315" spans="1:19" x14ac:dyDescent="0.25">
      <c r="A1315" t="s">
        <v>193</v>
      </c>
      <c r="C1315" s="27" t="s">
        <v>34749</v>
      </c>
      <c r="D1315" s="28" t="s">
        <v>34867</v>
      </c>
      <c r="J1315" t="s">
        <v>3666</v>
      </c>
      <c r="K1315" t="s">
        <v>3667</v>
      </c>
      <c r="L1315" s="28" t="s">
        <v>3668</v>
      </c>
      <c r="M1315" t="s">
        <v>23</v>
      </c>
      <c r="N1315"/>
      <c r="O1315"/>
      <c r="P1315"/>
      <c r="Q1315"/>
      <c r="R1315"/>
      <c r="S1315"/>
    </row>
    <row r="1316" spans="1:19" x14ac:dyDescent="0.25">
      <c r="A1316" t="s">
        <v>193</v>
      </c>
      <c r="C1316" s="27" t="s">
        <v>34749</v>
      </c>
      <c r="D1316" s="28" t="s">
        <v>34867</v>
      </c>
      <c r="J1316" t="s">
        <v>3669</v>
      </c>
      <c r="K1316" t="s">
        <v>3670</v>
      </c>
      <c r="L1316" s="28" t="s">
        <v>3671</v>
      </c>
      <c r="M1316" t="s">
        <v>23</v>
      </c>
      <c r="N1316"/>
      <c r="O1316"/>
      <c r="P1316"/>
      <c r="Q1316"/>
      <c r="R1316"/>
      <c r="S1316"/>
    </row>
    <row r="1317" spans="1:19" x14ac:dyDescent="0.25">
      <c r="A1317" t="s">
        <v>193</v>
      </c>
      <c r="C1317" s="27" t="s">
        <v>34749</v>
      </c>
      <c r="D1317" s="28" t="s">
        <v>34867</v>
      </c>
      <c r="J1317" t="s">
        <v>3672</v>
      </c>
      <c r="K1317" t="s">
        <v>3673</v>
      </c>
      <c r="L1317" s="28" t="s">
        <v>3674</v>
      </c>
      <c r="M1317" t="s">
        <v>23</v>
      </c>
      <c r="N1317"/>
      <c r="O1317"/>
      <c r="P1317"/>
      <c r="Q1317"/>
      <c r="R1317"/>
      <c r="S1317"/>
    </row>
    <row r="1318" spans="1:19" x14ac:dyDescent="0.25">
      <c r="A1318" t="s">
        <v>193</v>
      </c>
      <c r="C1318" s="27" t="s">
        <v>34749</v>
      </c>
      <c r="D1318" s="28" t="s">
        <v>34867</v>
      </c>
      <c r="J1318" t="s">
        <v>3675</v>
      </c>
      <c r="K1318" t="s">
        <v>3676</v>
      </c>
      <c r="L1318" s="28" t="s">
        <v>3677</v>
      </c>
      <c r="M1318" t="s">
        <v>23</v>
      </c>
      <c r="N1318"/>
      <c r="O1318"/>
      <c r="P1318"/>
      <c r="Q1318"/>
      <c r="R1318"/>
      <c r="S1318"/>
    </row>
    <row r="1319" spans="1:19" x14ac:dyDescent="0.25">
      <c r="A1319" t="s">
        <v>193</v>
      </c>
      <c r="C1319" s="27" t="s">
        <v>34749</v>
      </c>
      <c r="D1319" s="28" t="s">
        <v>34867</v>
      </c>
      <c r="J1319" t="s">
        <v>3678</v>
      </c>
      <c r="K1319" t="s">
        <v>3679</v>
      </c>
      <c r="L1319" s="28" t="s">
        <v>3680</v>
      </c>
      <c r="M1319" t="s">
        <v>23</v>
      </c>
      <c r="N1319"/>
      <c r="O1319"/>
      <c r="P1319"/>
      <c r="Q1319"/>
      <c r="R1319"/>
      <c r="S1319"/>
    </row>
    <row r="1320" spans="1:19" x14ac:dyDescent="0.25">
      <c r="A1320" t="s">
        <v>193</v>
      </c>
      <c r="C1320" s="27" t="s">
        <v>34749</v>
      </c>
      <c r="D1320" s="28" t="s">
        <v>34867</v>
      </c>
      <c r="J1320" t="s">
        <v>3681</v>
      </c>
      <c r="K1320" t="s">
        <v>3682</v>
      </c>
      <c r="L1320" s="28" t="s">
        <v>3683</v>
      </c>
      <c r="M1320" t="s">
        <v>23</v>
      </c>
      <c r="N1320"/>
      <c r="O1320"/>
      <c r="P1320"/>
      <c r="Q1320"/>
      <c r="R1320"/>
      <c r="S1320"/>
    </row>
    <row r="1321" spans="1:19" x14ac:dyDescent="0.25">
      <c r="A1321" t="s">
        <v>193</v>
      </c>
      <c r="C1321" s="27" t="s">
        <v>34749</v>
      </c>
      <c r="D1321" s="28" t="s">
        <v>34867</v>
      </c>
      <c r="J1321" t="s">
        <v>3684</v>
      </c>
      <c r="K1321" t="s">
        <v>3685</v>
      </c>
      <c r="L1321" s="28" t="s">
        <v>3686</v>
      </c>
      <c r="M1321" t="s">
        <v>23</v>
      </c>
      <c r="N1321"/>
      <c r="O1321"/>
      <c r="P1321"/>
      <c r="Q1321"/>
      <c r="R1321"/>
      <c r="S1321"/>
    </row>
    <row r="1322" spans="1:19" x14ac:dyDescent="0.25">
      <c r="A1322" t="s">
        <v>193</v>
      </c>
      <c r="C1322" s="27" t="s">
        <v>34749</v>
      </c>
      <c r="D1322" s="28" t="s">
        <v>34867</v>
      </c>
      <c r="J1322" t="s">
        <v>3687</v>
      </c>
      <c r="K1322" t="s">
        <v>3688</v>
      </c>
      <c r="L1322" s="28" t="s">
        <v>3689</v>
      </c>
      <c r="M1322" t="s">
        <v>23</v>
      </c>
      <c r="N1322"/>
      <c r="O1322"/>
      <c r="P1322"/>
      <c r="Q1322"/>
      <c r="R1322"/>
      <c r="S1322"/>
    </row>
    <row r="1323" spans="1:19" x14ac:dyDescent="0.25">
      <c r="A1323" t="s">
        <v>193</v>
      </c>
      <c r="C1323" s="27" t="s">
        <v>34749</v>
      </c>
      <c r="D1323" s="28" t="s">
        <v>34867</v>
      </c>
      <c r="J1323" t="s">
        <v>3690</v>
      </c>
      <c r="K1323" t="s">
        <v>3691</v>
      </c>
      <c r="L1323" s="28" t="s">
        <v>3692</v>
      </c>
      <c r="M1323" t="s">
        <v>23</v>
      </c>
      <c r="N1323"/>
      <c r="O1323"/>
      <c r="P1323"/>
      <c r="Q1323"/>
      <c r="R1323"/>
      <c r="S1323"/>
    </row>
    <row r="1324" spans="1:19" x14ac:dyDescent="0.25">
      <c r="A1324" t="s">
        <v>193</v>
      </c>
      <c r="C1324" s="27" t="s">
        <v>34749</v>
      </c>
      <c r="D1324" s="28" t="s">
        <v>34867</v>
      </c>
      <c r="J1324" t="s">
        <v>3693</v>
      </c>
      <c r="K1324" t="s">
        <v>3694</v>
      </c>
      <c r="L1324" s="28" t="s">
        <v>3695</v>
      </c>
      <c r="M1324" t="s">
        <v>23</v>
      </c>
      <c r="N1324"/>
      <c r="O1324"/>
      <c r="P1324"/>
      <c r="Q1324"/>
      <c r="R1324"/>
      <c r="S1324"/>
    </row>
    <row r="1325" spans="1:19" x14ac:dyDescent="0.25">
      <c r="A1325" t="s">
        <v>193</v>
      </c>
      <c r="C1325" s="27" t="s">
        <v>34749</v>
      </c>
      <c r="D1325" s="28" t="s">
        <v>34867</v>
      </c>
      <c r="I1325" t="str">
        <f>CONCATENATE(LEFT(K1325,SEARCH(" (",K1325))," | ", RIGHT(LEFT(K1325,LEN(K1325)-1),LEN(K1325)-2-FIND(" (",K1325)))</f>
        <v>pentanal  | n-valeraldehyde</v>
      </c>
      <c r="J1325" t="s">
        <v>3696</v>
      </c>
      <c r="K1325" t="s">
        <v>3697</v>
      </c>
      <c r="L1325" s="28" t="s">
        <v>3698</v>
      </c>
      <c r="M1325" t="s">
        <v>23</v>
      </c>
      <c r="N1325"/>
      <c r="O1325"/>
      <c r="P1325"/>
      <c r="Q1325"/>
      <c r="R1325"/>
      <c r="S1325"/>
    </row>
    <row r="1326" spans="1:19" x14ac:dyDescent="0.25">
      <c r="A1326" t="s">
        <v>193</v>
      </c>
      <c r="C1326" s="27" t="s">
        <v>34749</v>
      </c>
      <c r="D1326" s="28" t="s">
        <v>34867</v>
      </c>
      <c r="J1326" t="s">
        <v>3699</v>
      </c>
      <c r="K1326" t="s">
        <v>3700</v>
      </c>
      <c r="L1326" s="28" t="s">
        <v>3701</v>
      </c>
      <c r="M1326" t="s">
        <v>23</v>
      </c>
      <c r="N1326"/>
      <c r="O1326"/>
      <c r="P1326"/>
      <c r="Q1326"/>
      <c r="R1326"/>
      <c r="S1326"/>
    </row>
    <row r="1327" spans="1:19" x14ac:dyDescent="0.25">
      <c r="A1327" t="s">
        <v>193</v>
      </c>
      <c r="C1327" s="27" t="s">
        <v>34749</v>
      </c>
      <c r="D1327" s="28" t="s">
        <v>34867</v>
      </c>
      <c r="J1327" t="s">
        <v>3702</v>
      </c>
      <c r="K1327" t="s">
        <v>3703</v>
      </c>
      <c r="L1327" s="28" t="s">
        <v>3704</v>
      </c>
      <c r="M1327" t="s">
        <v>23</v>
      </c>
      <c r="N1327"/>
      <c r="O1327"/>
      <c r="P1327"/>
      <c r="Q1327"/>
      <c r="R1327"/>
      <c r="S1327"/>
    </row>
    <row r="1328" spans="1:19" x14ac:dyDescent="0.25">
      <c r="A1328" t="s">
        <v>193</v>
      </c>
      <c r="C1328" s="27" t="s">
        <v>34749</v>
      </c>
      <c r="D1328" s="28" t="s">
        <v>34867</v>
      </c>
      <c r="J1328" t="s">
        <v>3705</v>
      </c>
      <c r="K1328" t="s">
        <v>3706</v>
      </c>
      <c r="L1328" s="28" t="s">
        <v>3707</v>
      </c>
      <c r="M1328" t="s">
        <v>23</v>
      </c>
      <c r="N1328"/>
      <c r="O1328"/>
      <c r="P1328"/>
      <c r="Q1328"/>
      <c r="R1328"/>
      <c r="S1328"/>
    </row>
    <row r="1329" spans="1:19" x14ac:dyDescent="0.25">
      <c r="A1329" t="s">
        <v>193</v>
      </c>
      <c r="C1329" s="27" t="s">
        <v>34749</v>
      </c>
      <c r="D1329" s="28" t="s">
        <v>34867</v>
      </c>
      <c r="J1329" t="s">
        <v>3708</v>
      </c>
      <c r="K1329" t="s">
        <v>3709</v>
      </c>
      <c r="L1329" s="28" t="s">
        <v>3710</v>
      </c>
      <c r="M1329" t="s">
        <v>23</v>
      </c>
      <c r="N1329"/>
      <c r="O1329"/>
      <c r="P1329"/>
      <c r="Q1329"/>
      <c r="R1329"/>
      <c r="S1329"/>
    </row>
    <row r="1330" spans="1:19" x14ac:dyDescent="0.25">
      <c r="A1330" t="s">
        <v>193</v>
      </c>
      <c r="C1330" s="27" t="s">
        <v>34749</v>
      </c>
      <c r="D1330" s="28" t="s">
        <v>34867</v>
      </c>
      <c r="J1330" t="s">
        <v>3711</v>
      </c>
      <c r="K1330" t="s">
        <v>3712</v>
      </c>
      <c r="L1330" s="28" t="s">
        <v>3713</v>
      </c>
      <c r="M1330" t="s">
        <v>23</v>
      </c>
      <c r="N1330"/>
      <c r="O1330"/>
      <c r="P1330"/>
      <c r="Q1330"/>
      <c r="R1330"/>
      <c r="S1330"/>
    </row>
    <row r="1331" spans="1:19" x14ac:dyDescent="0.25">
      <c r="A1331" t="s">
        <v>193</v>
      </c>
      <c r="C1331" s="27" t="s">
        <v>34749</v>
      </c>
      <c r="D1331" s="28" t="s">
        <v>34867</v>
      </c>
      <c r="J1331" t="s">
        <v>3714</v>
      </c>
      <c r="K1331" t="s">
        <v>3715</v>
      </c>
      <c r="L1331" s="28" t="s">
        <v>3716</v>
      </c>
      <c r="M1331" t="s">
        <v>23</v>
      </c>
      <c r="N1331"/>
      <c r="O1331"/>
      <c r="P1331"/>
      <c r="Q1331"/>
      <c r="R1331"/>
      <c r="S1331"/>
    </row>
    <row r="1332" spans="1:19" x14ac:dyDescent="0.25">
      <c r="A1332" t="s">
        <v>193</v>
      </c>
      <c r="C1332" s="27" t="s">
        <v>34749</v>
      </c>
      <c r="D1332" s="28" t="s">
        <v>34867</v>
      </c>
      <c r="J1332" t="s">
        <v>3717</v>
      </c>
      <c r="K1332" t="s">
        <v>3718</v>
      </c>
      <c r="L1332" s="28" t="s">
        <v>3719</v>
      </c>
      <c r="M1332" t="s">
        <v>23</v>
      </c>
      <c r="N1332"/>
      <c r="O1332"/>
      <c r="P1332"/>
      <c r="Q1332"/>
      <c r="R1332"/>
      <c r="S1332"/>
    </row>
    <row r="1333" spans="1:19" x14ac:dyDescent="0.25">
      <c r="A1333" t="s">
        <v>193</v>
      </c>
      <c r="C1333" s="27" t="s">
        <v>34749</v>
      </c>
      <c r="D1333" s="28" t="s">
        <v>34867</v>
      </c>
      <c r="J1333" t="s">
        <v>3720</v>
      </c>
      <c r="K1333" t="s">
        <v>3721</v>
      </c>
      <c r="L1333" s="28" t="s">
        <v>3722</v>
      </c>
      <c r="M1333" t="s">
        <v>23</v>
      </c>
      <c r="N1333"/>
      <c r="O1333"/>
      <c r="P1333"/>
      <c r="Q1333"/>
      <c r="R1333"/>
      <c r="S1333"/>
    </row>
    <row r="1334" spans="1:19" x14ac:dyDescent="0.25">
      <c r="A1334" t="s">
        <v>193</v>
      </c>
      <c r="C1334" s="27" t="s">
        <v>34749</v>
      </c>
      <c r="D1334" s="28" t="s">
        <v>34867</v>
      </c>
      <c r="J1334" t="s">
        <v>3723</v>
      </c>
      <c r="K1334" t="s">
        <v>3724</v>
      </c>
      <c r="L1334" s="28" t="s">
        <v>3725</v>
      </c>
      <c r="M1334" t="s">
        <v>23</v>
      </c>
      <c r="N1334"/>
      <c r="O1334"/>
      <c r="P1334"/>
      <c r="Q1334"/>
      <c r="R1334"/>
      <c r="S1334"/>
    </row>
    <row r="1335" spans="1:19" x14ac:dyDescent="0.25">
      <c r="A1335" t="s">
        <v>193</v>
      </c>
      <c r="C1335" s="27" t="s">
        <v>34749</v>
      </c>
      <c r="D1335" s="28" t="s">
        <v>34867</v>
      </c>
      <c r="J1335" t="s">
        <v>3726</v>
      </c>
      <c r="K1335" t="s">
        <v>3727</v>
      </c>
      <c r="L1335" s="28" t="s">
        <v>3728</v>
      </c>
      <c r="M1335" t="s">
        <v>23</v>
      </c>
      <c r="N1335"/>
      <c r="O1335"/>
      <c r="P1335"/>
      <c r="Q1335"/>
      <c r="R1335"/>
      <c r="S1335"/>
    </row>
    <row r="1336" spans="1:19" x14ac:dyDescent="0.25">
      <c r="A1336" t="s">
        <v>193</v>
      </c>
      <c r="C1336" s="27" t="s">
        <v>34749</v>
      </c>
      <c r="D1336" s="28" t="s">
        <v>34867</v>
      </c>
      <c r="J1336" t="s">
        <v>3729</v>
      </c>
      <c r="K1336" t="s">
        <v>3730</v>
      </c>
      <c r="L1336" s="28" t="s">
        <v>3731</v>
      </c>
      <c r="M1336" t="s">
        <v>23</v>
      </c>
      <c r="N1336"/>
      <c r="O1336"/>
      <c r="P1336"/>
      <c r="Q1336"/>
      <c r="R1336"/>
      <c r="S1336"/>
    </row>
    <row r="1337" spans="1:19" x14ac:dyDescent="0.25">
      <c r="A1337" t="s">
        <v>193</v>
      </c>
      <c r="C1337" s="27" t="s">
        <v>34749</v>
      </c>
      <c r="D1337" s="28" t="s">
        <v>34867</v>
      </c>
      <c r="J1337" t="s">
        <v>3732</v>
      </c>
      <c r="K1337" t="s">
        <v>3733</v>
      </c>
      <c r="L1337" s="28" t="s">
        <v>3734</v>
      </c>
      <c r="M1337" t="s">
        <v>23</v>
      </c>
      <c r="N1337"/>
      <c r="O1337"/>
      <c r="P1337"/>
      <c r="Q1337"/>
      <c r="R1337"/>
      <c r="S1337"/>
    </row>
    <row r="1338" spans="1:19" x14ac:dyDescent="0.25">
      <c r="A1338" t="s">
        <v>193</v>
      </c>
      <c r="C1338" s="27" t="s">
        <v>34749</v>
      </c>
      <c r="D1338" s="28" t="s">
        <v>34867</v>
      </c>
      <c r="J1338" t="s">
        <v>3735</v>
      </c>
      <c r="K1338" t="s">
        <v>3736</v>
      </c>
      <c r="L1338" s="28" t="s">
        <v>3737</v>
      </c>
      <c r="M1338" t="s">
        <v>23</v>
      </c>
      <c r="N1338"/>
      <c r="O1338"/>
      <c r="P1338"/>
      <c r="Q1338"/>
      <c r="R1338"/>
      <c r="S1338"/>
    </row>
    <row r="1339" spans="1:19" x14ac:dyDescent="0.25">
      <c r="A1339" t="s">
        <v>193</v>
      </c>
      <c r="C1339" s="27" t="s">
        <v>34749</v>
      </c>
      <c r="D1339" s="28" t="s">
        <v>34867</v>
      </c>
      <c r="J1339" t="s">
        <v>3738</v>
      </c>
      <c r="K1339" t="s">
        <v>3739</v>
      </c>
      <c r="L1339" s="28" t="s">
        <v>3740</v>
      </c>
      <c r="M1339" t="s">
        <v>23</v>
      </c>
      <c r="N1339"/>
      <c r="O1339"/>
      <c r="P1339"/>
      <c r="Q1339"/>
      <c r="R1339"/>
      <c r="S1339"/>
    </row>
    <row r="1340" spans="1:19" x14ac:dyDescent="0.25">
      <c r="A1340" t="s">
        <v>193</v>
      </c>
      <c r="C1340" s="27" t="s">
        <v>34749</v>
      </c>
      <c r="D1340" s="28" t="s">
        <v>34867</v>
      </c>
      <c r="J1340" t="s">
        <v>3741</v>
      </c>
      <c r="K1340" t="s">
        <v>3742</v>
      </c>
      <c r="L1340" s="28" t="s">
        <v>3743</v>
      </c>
      <c r="M1340" t="s">
        <v>23</v>
      </c>
      <c r="N1340"/>
      <c r="O1340"/>
      <c r="P1340"/>
      <c r="Q1340"/>
      <c r="R1340"/>
      <c r="S1340"/>
    </row>
    <row r="1341" spans="1:19" x14ac:dyDescent="0.25">
      <c r="A1341" t="s">
        <v>193</v>
      </c>
      <c r="C1341" s="27" t="s">
        <v>34749</v>
      </c>
      <c r="D1341" s="28" t="s">
        <v>34867</v>
      </c>
      <c r="J1341" t="s">
        <v>3744</v>
      </c>
      <c r="K1341" t="s">
        <v>3745</v>
      </c>
      <c r="L1341" s="28" t="s">
        <v>3746</v>
      </c>
      <c r="M1341" t="s">
        <v>23</v>
      </c>
      <c r="N1341"/>
      <c r="O1341"/>
      <c r="P1341"/>
      <c r="Q1341"/>
      <c r="R1341"/>
      <c r="S1341"/>
    </row>
    <row r="1342" spans="1:19" x14ac:dyDescent="0.25">
      <c r="A1342" t="s">
        <v>193</v>
      </c>
      <c r="C1342" s="27" t="s">
        <v>34749</v>
      </c>
      <c r="D1342" s="28" t="s">
        <v>34867</v>
      </c>
      <c r="J1342" t="s">
        <v>3747</v>
      </c>
      <c r="K1342" t="s">
        <v>3748</v>
      </c>
      <c r="L1342" s="28" t="s">
        <v>3749</v>
      </c>
      <c r="M1342" t="s">
        <v>23</v>
      </c>
      <c r="N1342"/>
      <c r="O1342"/>
      <c r="P1342"/>
      <c r="Q1342"/>
      <c r="R1342"/>
      <c r="S1342"/>
    </row>
    <row r="1343" spans="1:19" x14ac:dyDescent="0.25">
      <c r="A1343" t="s">
        <v>193</v>
      </c>
      <c r="C1343" s="27" t="s">
        <v>34749</v>
      </c>
      <c r="D1343" s="28" t="s">
        <v>34867</v>
      </c>
      <c r="J1343" t="s">
        <v>3750</v>
      </c>
      <c r="K1343" t="s">
        <v>3751</v>
      </c>
      <c r="L1343" s="28" t="s">
        <v>3752</v>
      </c>
      <c r="M1343" t="s">
        <v>23</v>
      </c>
      <c r="N1343"/>
      <c r="O1343"/>
      <c r="P1343"/>
      <c r="Q1343"/>
      <c r="R1343"/>
      <c r="S1343"/>
    </row>
    <row r="1344" spans="1:19" x14ac:dyDescent="0.25">
      <c r="A1344" t="s">
        <v>193</v>
      </c>
      <c r="C1344" s="27" t="s">
        <v>34749</v>
      </c>
      <c r="D1344" s="28" t="s">
        <v>34867</v>
      </c>
      <c r="J1344" t="s">
        <v>3753</v>
      </c>
      <c r="K1344" t="s">
        <v>3754</v>
      </c>
      <c r="L1344" s="28" t="s">
        <v>3755</v>
      </c>
      <c r="M1344" t="s">
        <v>23</v>
      </c>
      <c r="N1344"/>
      <c r="O1344"/>
      <c r="P1344"/>
      <c r="Q1344"/>
      <c r="R1344"/>
      <c r="S1344"/>
    </row>
    <row r="1345" spans="1:19" x14ac:dyDescent="0.25">
      <c r="A1345" t="s">
        <v>193</v>
      </c>
      <c r="C1345" s="27" t="s">
        <v>34749</v>
      </c>
      <c r="D1345" s="28" t="s">
        <v>34867</v>
      </c>
      <c r="J1345" t="s">
        <v>3756</v>
      </c>
      <c r="K1345" t="s">
        <v>3757</v>
      </c>
      <c r="L1345" s="28" t="s">
        <v>3758</v>
      </c>
      <c r="M1345" t="s">
        <v>23</v>
      </c>
      <c r="N1345"/>
      <c r="O1345"/>
      <c r="P1345"/>
      <c r="Q1345"/>
      <c r="R1345"/>
      <c r="S1345"/>
    </row>
    <row r="1346" spans="1:19" x14ac:dyDescent="0.25">
      <c r="A1346" t="s">
        <v>193</v>
      </c>
      <c r="C1346" s="27" t="s">
        <v>34749</v>
      </c>
      <c r="D1346" s="28" t="s">
        <v>34867</v>
      </c>
      <c r="J1346" t="s">
        <v>3759</v>
      </c>
      <c r="K1346" t="s">
        <v>3760</v>
      </c>
      <c r="L1346" s="28" t="s">
        <v>3761</v>
      </c>
      <c r="M1346" t="s">
        <v>23</v>
      </c>
      <c r="N1346"/>
      <c r="O1346"/>
      <c r="P1346"/>
      <c r="Q1346"/>
      <c r="R1346"/>
      <c r="S1346"/>
    </row>
    <row r="1347" spans="1:19" x14ac:dyDescent="0.25">
      <c r="A1347" t="s">
        <v>193</v>
      </c>
      <c r="C1347" s="27" t="s">
        <v>34749</v>
      </c>
      <c r="D1347" s="28" t="s">
        <v>34867</v>
      </c>
      <c r="J1347" t="s">
        <v>3762</v>
      </c>
      <c r="K1347" t="s">
        <v>3763</v>
      </c>
      <c r="L1347" s="28" t="s">
        <v>3764</v>
      </c>
      <c r="M1347" t="s">
        <v>23</v>
      </c>
      <c r="N1347"/>
      <c r="O1347"/>
      <c r="P1347"/>
      <c r="Q1347"/>
      <c r="R1347"/>
      <c r="S1347"/>
    </row>
    <row r="1348" spans="1:19" x14ac:dyDescent="0.25">
      <c r="A1348" s="28" t="s">
        <v>14843</v>
      </c>
      <c r="J1348" t="s">
        <v>3765</v>
      </c>
      <c r="K1348" t="s">
        <v>3766</v>
      </c>
      <c r="M1348" t="s">
        <v>47</v>
      </c>
      <c r="N1348"/>
      <c r="O1348"/>
      <c r="P1348"/>
      <c r="Q1348"/>
      <c r="R1348"/>
      <c r="S1348"/>
    </row>
    <row r="1349" spans="1:19" x14ac:dyDescent="0.25">
      <c r="A1349" s="28" t="s">
        <v>14843</v>
      </c>
      <c r="J1349" t="s">
        <v>3767</v>
      </c>
      <c r="K1349" t="s">
        <v>3768</v>
      </c>
      <c r="M1349" t="s">
        <v>2820</v>
      </c>
      <c r="N1349"/>
      <c r="O1349"/>
      <c r="P1349"/>
      <c r="Q1349"/>
      <c r="R1349"/>
      <c r="S1349"/>
    </row>
    <row r="1350" spans="1:19" x14ac:dyDescent="0.25">
      <c r="A1350" s="28" t="s">
        <v>14843</v>
      </c>
      <c r="J1350" t="s">
        <v>3769</v>
      </c>
      <c r="K1350" t="s">
        <v>3770</v>
      </c>
      <c r="M1350" t="s">
        <v>2820</v>
      </c>
      <c r="N1350"/>
      <c r="O1350"/>
      <c r="P1350"/>
      <c r="Q1350"/>
      <c r="R1350"/>
      <c r="S1350"/>
    </row>
    <row r="1351" spans="1:19" x14ac:dyDescent="0.25">
      <c r="A1351" t="s">
        <v>193</v>
      </c>
      <c r="C1351" s="27" t="s">
        <v>34749</v>
      </c>
      <c r="D1351" s="28" t="s">
        <v>34867</v>
      </c>
      <c r="J1351" t="s">
        <v>3771</v>
      </c>
      <c r="K1351" t="s">
        <v>3772</v>
      </c>
      <c r="L1351" s="28" t="s">
        <v>3773</v>
      </c>
      <c r="M1351" t="s">
        <v>23</v>
      </c>
      <c r="N1351"/>
      <c r="O1351"/>
      <c r="P1351"/>
      <c r="Q1351"/>
      <c r="R1351"/>
      <c r="S1351"/>
    </row>
    <row r="1352" spans="1:19" x14ac:dyDescent="0.25">
      <c r="A1352" t="s">
        <v>193</v>
      </c>
      <c r="C1352" s="27" t="s">
        <v>34749</v>
      </c>
      <c r="D1352" s="28" t="s">
        <v>34867</v>
      </c>
      <c r="J1352" t="s">
        <v>3774</v>
      </c>
      <c r="K1352" t="s">
        <v>3775</v>
      </c>
      <c r="L1352" s="28" t="s">
        <v>3776</v>
      </c>
      <c r="M1352" t="s">
        <v>23</v>
      </c>
      <c r="N1352"/>
      <c r="O1352"/>
      <c r="P1352"/>
      <c r="Q1352"/>
      <c r="R1352"/>
      <c r="S1352"/>
    </row>
    <row r="1353" spans="1:19" x14ac:dyDescent="0.25">
      <c r="A1353" t="s">
        <v>193</v>
      </c>
      <c r="C1353" s="27" t="s">
        <v>34749</v>
      </c>
      <c r="D1353" s="28" t="s">
        <v>34867</v>
      </c>
      <c r="J1353" t="s">
        <v>3777</v>
      </c>
      <c r="K1353" t="s">
        <v>3778</v>
      </c>
      <c r="L1353" s="28" t="s">
        <v>3779</v>
      </c>
      <c r="M1353" t="s">
        <v>23</v>
      </c>
      <c r="N1353"/>
      <c r="O1353"/>
      <c r="P1353"/>
      <c r="Q1353"/>
      <c r="R1353"/>
      <c r="S1353"/>
    </row>
    <row r="1354" spans="1:19" x14ac:dyDescent="0.25">
      <c r="A1354" t="s">
        <v>193</v>
      </c>
      <c r="C1354" s="27" t="s">
        <v>34749</v>
      </c>
      <c r="D1354" s="28" t="s">
        <v>34867</v>
      </c>
      <c r="J1354" t="s">
        <v>3780</v>
      </c>
      <c r="K1354" t="s">
        <v>3781</v>
      </c>
      <c r="L1354" s="28" t="s">
        <v>3782</v>
      </c>
      <c r="M1354" t="s">
        <v>23</v>
      </c>
      <c r="N1354"/>
      <c r="O1354"/>
      <c r="P1354"/>
      <c r="Q1354"/>
      <c r="R1354"/>
      <c r="S1354"/>
    </row>
    <row r="1355" spans="1:19" x14ac:dyDescent="0.25">
      <c r="A1355" t="s">
        <v>193</v>
      </c>
      <c r="C1355" s="27" t="s">
        <v>34749</v>
      </c>
      <c r="D1355" s="28" t="s">
        <v>34867</v>
      </c>
      <c r="J1355" t="s">
        <v>3783</v>
      </c>
      <c r="K1355" t="s">
        <v>3784</v>
      </c>
      <c r="L1355" s="28" t="s">
        <v>3785</v>
      </c>
      <c r="M1355" t="s">
        <v>23</v>
      </c>
      <c r="N1355"/>
      <c r="O1355"/>
      <c r="P1355"/>
      <c r="Q1355"/>
      <c r="R1355"/>
      <c r="S1355"/>
    </row>
    <row r="1356" spans="1:19" x14ac:dyDescent="0.25">
      <c r="A1356" t="s">
        <v>193</v>
      </c>
      <c r="C1356" s="27" t="s">
        <v>34749</v>
      </c>
      <c r="D1356" s="28" t="s">
        <v>34867</v>
      </c>
      <c r="J1356" t="s">
        <v>3786</v>
      </c>
      <c r="K1356" t="s">
        <v>3787</v>
      </c>
      <c r="L1356" s="28" t="s">
        <v>3788</v>
      </c>
      <c r="M1356" t="s">
        <v>23</v>
      </c>
      <c r="N1356"/>
      <c r="O1356"/>
      <c r="P1356"/>
      <c r="Q1356"/>
      <c r="R1356"/>
      <c r="S1356"/>
    </row>
    <row r="1357" spans="1:19" x14ac:dyDescent="0.25">
      <c r="A1357" t="s">
        <v>193</v>
      </c>
      <c r="C1357" s="27" t="s">
        <v>34749</v>
      </c>
      <c r="D1357" s="28" t="s">
        <v>34867</v>
      </c>
      <c r="J1357" t="s">
        <v>3789</v>
      </c>
      <c r="K1357" t="s">
        <v>3790</v>
      </c>
      <c r="L1357" s="28" t="s">
        <v>3791</v>
      </c>
      <c r="M1357" t="s">
        <v>23</v>
      </c>
      <c r="N1357"/>
      <c r="O1357"/>
      <c r="P1357"/>
      <c r="Q1357"/>
      <c r="R1357"/>
      <c r="S1357"/>
    </row>
    <row r="1358" spans="1:19" x14ac:dyDescent="0.25">
      <c r="A1358" t="s">
        <v>193</v>
      </c>
      <c r="C1358" s="27" t="s">
        <v>34749</v>
      </c>
      <c r="D1358" s="28" t="s">
        <v>34867</v>
      </c>
      <c r="J1358" t="s">
        <v>3792</v>
      </c>
      <c r="K1358" t="s">
        <v>3793</v>
      </c>
      <c r="L1358" s="28" t="s">
        <v>3794</v>
      </c>
      <c r="M1358" t="s">
        <v>23</v>
      </c>
      <c r="N1358"/>
      <c r="O1358"/>
      <c r="P1358"/>
      <c r="Q1358"/>
      <c r="R1358"/>
      <c r="S1358"/>
    </row>
    <row r="1359" spans="1:19" x14ac:dyDescent="0.25">
      <c r="A1359" t="s">
        <v>193</v>
      </c>
      <c r="C1359" s="27" t="s">
        <v>34749</v>
      </c>
      <c r="D1359" s="28" t="s">
        <v>34867</v>
      </c>
      <c r="J1359" t="s">
        <v>3795</v>
      </c>
      <c r="K1359" t="s">
        <v>3796</v>
      </c>
      <c r="L1359" s="28" t="s">
        <v>3797</v>
      </c>
      <c r="M1359" t="s">
        <v>23</v>
      </c>
      <c r="N1359"/>
      <c r="O1359"/>
      <c r="P1359"/>
      <c r="Q1359"/>
      <c r="R1359"/>
      <c r="S1359"/>
    </row>
    <row r="1360" spans="1:19" x14ac:dyDescent="0.25">
      <c r="A1360" s="28" t="s">
        <v>14843</v>
      </c>
      <c r="J1360" t="s">
        <v>3798</v>
      </c>
      <c r="K1360" t="s">
        <v>3799</v>
      </c>
      <c r="M1360" t="s">
        <v>2820</v>
      </c>
      <c r="N1360"/>
      <c r="O1360"/>
      <c r="P1360"/>
      <c r="Q1360"/>
      <c r="R1360"/>
      <c r="S1360"/>
    </row>
    <row r="1361" spans="1:19" x14ac:dyDescent="0.25">
      <c r="A1361" t="s">
        <v>193</v>
      </c>
      <c r="C1361" s="27" t="s">
        <v>34749</v>
      </c>
      <c r="D1361" s="28" t="s">
        <v>34867</v>
      </c>
      <c r="J1361" t="s">
        <v>3800</v>
      </c>
      <c r="K1361" t="s">
        <v>3801</v>
      </c>
      <c r="L1361" s="28" t="s">
        <v>3802</v>
      </c>
      <c r="M1361" t="s">
        <v>23</v>
      </c>
      <c r="N1361"/>
      <c r="O1361"/>
      <c r="P1361"/>
      <c r="Q1361"/>
      <c r="R1361"/>
      <c r="S1361"/>
    </row>
    <row r="1362" spans="1:19" x14ac:dyDescent="0.25">
      <c r="A1362" s="28" t="s">
        <v>14843</v>
      </c>
      <c r="J1362" t="s">
        <v>3803</v>
      </c>
      <c r="K1362" t="s">
        <v>3804</v>
      </c>
      <c r="M1362" t="s">
        <v>47</v>
      </c>
      <c r="N1362"/>
      <c r="O1362"/>
      <c r="P1362"/>
      <c r="Q1362"/>
      <c r="R1362"/>
      <c r="S1362"/>
    </row>
    <row r="1363" spans="1:19" x14ac:dyDescent="0.25">
      <c r="A1363" t="s">
        <v>193</v>
      </c>
      <c r="C1363" s="27" t="s">
        <v>34749</v>
      </c>
      <c r="D1363" s="28" t="s">
        <v>34867</v>
      </c>
      <c r="J1363" t="s">
        <v>3805</v>
      </c>
      <c r="K1363" t="s">
        <v>3806</v>
      </c>
      <c r="L1363" s="28" t="s">
        <v>3807</v>
      </c>
      <c r="M1363" t="s">
        <v>23</v>
      </c>
      <c r="N1363"/>
      <c r="O1363"/>
      <c r="P1363"/>
      <c r="Q1363"/>
      <c r="R1363"/>
      <c r="S1363"/>
    </row>
    <row r="1364" spans="1:19" x14ac:dyDescent="0.25">
      <c r="A1364" t="s">
        <v>193</v>
      </c>
      <c r="C1364" s="27" t="s">
        <v>34749</v>
      </c>
      <c r="D1364" s="28" t="s">
        <v>34867</v>
      </c>
      <c r="I1364" t="str">
        <f>CONCATENATE(LEFT(K1364,SEARCH(" (",K1364))," | ", RIGHT(LEFT(K1364,LEN(K1364)-1),LEN(K1364)-2-FIND(" (",K1364)))</f>
        <v>carboxymethylcellulose  | CMC</v>
      </c>
      <c r="J1364" t="s">
        <v>3808</v>
      </c>
      <c r="K1364" t="s">
        <v>3809</v>
      </c>
      <c r="L1364" s="28" t="s">
        <v>3810</v>
      </c>
      <c r="M1364" t="s">
        <v>23</v>
      </c>
      <c r="N1364"/>
      <c r="O1364"/>
      <c r="P1364"/>
      <c r="Q1364"/>
      <c r="R1364"/>
      <c r="S1364"/>
    </row>
    <row r="1365" spans="1:19" x14ac:dyDescent="0.25">
      <c r="A1365" t="s">
        <v>193</v>
      </c>
      <c r="C1365" s="27" t="s">
        <v>34749</v>
      </c>
      <c r="D1365" s="28" t="s">
        <v>34867</v>
      </c>
      <c r="J1365" t="s">
        <v>3811</v>
      </c>
      <c r="K1365" t="s">
        <v>3812</v>
      </c>
      <c r="L1365" s="28" t="s">
        <v>3813</v>
      </c>
      <c r="M1365" t="s">
        <v>23</v>
      </c>
      <c r="N1365"/>
      <c r="O1365"/>
      <c r="P1365"/>
      <c r="Q1365"/>
      <c r="R1365"/>
      <c r="S1365"/>
    </row>
    <row r="1366" spans="1:19" x14ac:dyDescent="0.25">
      <c r="A1366" t="s">
        <v>193</v>
      </c>
      <c r="C1366" s="27" t="s">
        <v>34749</v>
      </c>
      <c r="D1366" s="28" t="s">
        <v>34867</v>
      </c>
      <c r="J1366" t="s">
        <v>3814</v>
      </c>
      <c r="K1366" t="s">
        <v>632</v>
      </c>
      <c r="L1366" s="28" t="s">
        <v>3815</v>
      </c>
      <c r="M1366" t="s">
        <v>23</v>
      </c>
      <c r="N1366"/>
      <c r="O1366"/>
      <c r="P1366"/>
      <c r="Q1366"/>
      <c r="R1366"/>
      <c r="S1366"/>
    </row>
    <row r="1367" spans="1:19" x14ac:dyDescent="0.25">
      <c r="A1367" t="s">
        <v>193</v>
      </c>
      <c r="C1367" s="27" t="s">
        <v>34749</v>
      </c>
      <c r="D1367" s="28" t="s">
        <v>34867</v>
      </c>
      <c r="J1367" t="s">
        <v>3816</v>
      </c>
      <c r="K1367" t="s">
        <v>3817</v>
      </c>
      <c r="L1367" s="28" t="s">
        <v>3818</v>
      </c>
      <c r="M1367" t="s">
        <v>23</v>
      </c>
      <c r="N1367"/>
      <c r="O1367"/>
      <c r="P1367"/>
      <c r="Q1367"/>
      <c r="R1367"/>
      <c r="S1367"/>
    </row>
    <row r="1368" spans="1:19" x14ac:dyDescent="0.25">
      <c r="A1368" s="27" t="s">
        <v>193</v>
      </c>
      <c r="C1368" s="27" t="s">
        <v>34749</v>
      </c>
      <c r="D1368" s="28" t="s">
        <v>34867</v>
      </c>
      <c r="J1368" t="s">
        <v>3819</v>
      </c>
      <c r="K1368" t="s">
        <v>3820</v>
      </c>
      <c r="M1368" t="s">
        <v>23</v>
      </c>
      <c r="N1368"/>
      <c r="O1368"/>
      <c r="P1368"/>
      <c r="Q1368"/>
      <c r="R1368"/>
      <c r="S1368"/>
    </row>
    <row r="1369" spans="1:19" x14ac:dyDescent="0.25">
      <c r="A1369" t="s">
        <v>193</v>
      </c>
      <c r="C1369" s="27" t="s">
        <v>34749</v>
      </c>
      <c r="D1369" s="28" t="s">
        <v>34867</v>
      </c>
      <c r="J1369" t="s">
        <v>3821</v>
      </c>
      <c r="K1369" t="s">
        <v>3822</v>
      </c>
      <c r="L1369" s="28" t="s">
        <v>3823</v>
      </c>
      <c r="M1369" t="s">
        <v>23</v>
      </c>
      <c r="N1369"/>
      <c r="O1369"/>
      <c r="P1369"/>
      <c r="Q1369"/>
      <c r="R1369"/>
      <c r="S1369"/>
    </row>
    <row r="1370" spans="1:19" x14ac:dyDescent="0.25">
      <c r="A1370" t="s">
        <v>193</v>
      </c>
      <c r="C1370" s="27" t="s">
        <v>34749</v>
      </c>
      <c r="D1370" s="28" t="s">
        <v>34867</v>
      </c>
      <c r="E1370" s="3"/>
      <c r="F1370" s="3"/>
      <c r="J1370" t="s">
        <v>3824</v>
      </c>
      <c r="K1370" t="s">
        <v>3825</v>
      </c>
      <c r="L1370" s="28" t="s">
        <v>3826</v>
      </c>
      <c r="M1370" t="s">
        <v>23</v>
      </c>
      <c r="N1370"/>
      <c r="O1370"/>
      <c r="P1370"/>
      <c r="Q1370"/>
      <c r="R1370"/>
      <c r="S1370"/>
    </row>
    <row r="1371" spans="1:19" x14ac:dyDescent="0.25">
      <c r="A1371" s="27" t="s">
        <v>193</v>
      </c>
      <c r="C1371" s="27" t="s">
        <v>34749</v>
      </c>
      <c r="D1371" s="28" t="s">
        <v>34867</v>
      </c>
      <c r="J1371" t="s">
        <v>3827</v>
      </c>
      <c r="K1371" t="s">
        <v>3828</v>
      </c>
      <c r="M1371" t="s">
        <v>23</v>
      </c>
      <c r="N1371"/>
      <c r="O1371"/>
      <c r="P1371"/>
      <c r="Q1371"/>
      <c r="R1371"/>
      <c r="S1371"/>
    </row>
    <row r="1372" spans="1:19" x14ac:dyDescent="0.25">
      <c r="A1372" s="28" t="s">
        <v>14843</v>
      </c>
      <c r="J1372" t="s">
        <v>3829</v>
      </c>
      <c r="K1372" t="s">
        <v>3830</v>
      </c>
      <c r="M1372" t="s">
        <v>47</v>
      </c>
      <c r="N1372"/>
      <c r="O1372"/>
      <c r="P1372"/>
      <c r="Q1372"/>
      <c r="R1372"/>
      <c r="S1372"/>
    </row>
    <row r="1373" spans="1:19" x14ac:dyDescent="0.25">
      <c r="A1373" s="28" t="s">
        <v>14843</v>
      </c>
      <c r="J1373" t="s">
        <v>3831</v>
      </c>
      <c r="K1373" t="s">
        <v>3832</v>
      </c>
      <c r="M1373" t="s">
        <v>666</v>
      </c>
      <c r="N1373"/>
      <c r="O1373"/>
      <c r="P1373"/>
      <c r="Q1373"/>
      <c r="R1373"/>
      <c r="S1373"/>
    </row>
    <row r="1374" spans="1:19" x14ac:dyDescent="0.25">
      <c r="A1374" t="s">
        <v>193</v>
      </c>
      <c r="C1374" s="27" t="s">
        <v>34749</v>
      </c>
      <c r="D1374" s="28" t="s">
        <v>34867</v>
      </c>
      <c r="J1374" t="s">
        <v>3833</v>
      </c>
      <c r="K1374" t="s">
        <v>3834</v>
      </c>
      <c r="L1374" s="28" t="s">
        <v>3835</v>
      </c>
      <c r="M1374" t="s">
        <v>23</v>
      </c>
      <c r="N1374"/>
      <c r="O1374"/>
      <c r="P1374"/>
      <c r="Q1374"/>
      <c r="R1374"/>
      <c r="S1374"/>
    </row>
    <row r="1375" spans="1:19" x14ac:dyDescent="0.25">
      <c r="A1375" t="s">
        <v>193</v>
      </c>
      <c r="C1375" s="27" t="s">
        <v>34749</v>
      </c>
      <c r="D1375" s="28" t="s">
        <v>34867</v>
      </c>
      <c r="J1375" t="s">
        <v>3836</v>
      </c>
      <c r="K1375" t="s">
        <v>3837</v>
      </c>
      <c r="L1375" s="28" t="s">
        <v>3838</v>
      </c>
      <c r="M1375" t="s">
        <v>23</v>
      </c>
      <c r="N1375"/>
      <c r="O1375"/>
      <c r="P1375"/>
      <c r="Q1375"/>
      <c r="R1375"/>
      <c r="S1375"/>
    </row>
    <row r="1376" spans="1:19" x14ac:dyDescent="0.25">
      <c r="A1376" s="28" t="s">
        <v>14843</v>
      </c>
      <c r="J1376" t="s">
        <v>3839</v>
      </c>
      <c r="K1376" t="s">
        <v>3840</v>
      </c>
      <c r="M1376" t="s">
        <v>666</v>
      </c>
      <c r="N1376"/>
      <c r="O1376"/>
      <c r="P1376"/>
      <c r="Q1376"/>
      <c r="R1376"/>
      <c r="S1376"/>
    </row>
    <row r="1377" spans="1:19" x14ac:dyDescent="0.25">
      <c r="A1377" s="28" t="s">
        <v>14843</v>
      </c>
      <c r="I1377" t="str">
        <f>CONCATENATE(LEFT(K1377,SEARCH(" (",K1377))," | ", RIGHT(LEFT(K1377,LEN(K1377)-1),LEN(K1377)-2-FIND(" (",K1377)))</f>
        <v>Cyanobacterie  | blauwalg</v>
      </c>
      <c r="J1377" t="s">
        <v>3841</v>
      </c>
      <c r="K1377" t="s">
        <v>3842</v>
      </c>
      <c r="M1377" t="s">
        <v>666</v>
      </c>
      <c r="N1377"/>
      <c r="O1377"/>
      <c r="P1377"/>
      <c r="Q1377"/>
      <c r="R1377"/>
      <c r="S1377"/>
    </row>
    <row r="1378" spans="1:19" x14ac:dyDescent="0.25">
      <c r="A1378" s="28" t="s">
        <v>14843</v>
      </c>
      <c r="J1378" t="s">
        <v>3843</v>
      </c>
      <c r="K1378" t="s">
        <v>3844</v>
      </c>
      <c r="M1378" t="s">
        <v>666</v>
      </c>
      <c r="N1378"/>
      <c r="O1378"/>
      <c r="P1378"/>
      <c r="Q1378"/>
      <c r="R1378"/>
      <c r="S1378"/>
    </row>
    <row r="1379" spans="1:19" x14ac:dyDescent="0.25">
      <c r="A1379" s="28" t="s">
        <v>14843</v>
      </c>
      <c r="J1379" t="s">
        <v>3845</v>
      </c>
      <c r="K1379" t="s">
        <v>3846</v>
      </c>
      <c r="M1379" t="s">
        <v>666</v>
      </c>
      <c r="N1379"/>
      <c r="O1379"/>
      <c r="P1379"/>
      <c r="Q1379"/>
      <c r="R1379"/>
      <c r="S1379"/>
    </row>
    <row r="1380" spans="1:19" x14ac:dyDescent="0.25">
      <c r="A1380" s="28" t="s">
        <v>14843</v>
      </c>
      <c r="J1380" t="s">
        <v>3847</v>
      </c>
      <c r="K1380" t="s">
        <v>3848</v>
      </c>
      <c r="M1380" t="s">
        <v>47</v>
      </c>
      <c r="N1380"/>
      <c r="O1380"/>
      <c r="P1380"/>
      <c r="Q1380"/>
      <c r="R1380"/>
      <c r="S1380"/>
    </row>
    <row r="1381" spans="1:19" x14ac:dyDescent="0.25">
      <c r="A1381" s="28" t="s">
        <v>14843</v>
      </c>
      <c r="J1381" t="s">
        <v>3849</v>
      </c>
      <c r="K1381" t="s">
        <v>3850</v>
      </c>
      <c r="M1381" t="s">
        <v>47</v>
      </c>
      <c r="N1381"/>
      <c r="O1381"/>
      <c r="P1381"/>
      <c r="Q1381"/>
      <c r="R1381"/>
      <c r="S1381"/>
    </row>
    <row r="1382" spans="1:19" x14ac:dyDescent="0.25">
      <c r="A1382" s="28" t="s">
        <v>14843</v>
      </c>
      <c r="J1382" t="s">
        <v>3851</v>
      </c>
      <c r="K1382" t="s">
        <v>3852</v>
      </c>
      <c r="M1382" t="s">
        <v>47</v>
      </c>
      <c r="N1382"/>
      <c r="O1382"/>
      <c r="P1382"/>
      <c r="Q1382"/>
      <c r="R1382"/>
      <c r="S1382"/>
    </row>
    <row r="1383" spans="1:19" x14ac:dyDescent="0.25">
      <c r="A1383" s="28" t="s">
        <v>14843</v>
      </c>
      <c r="J1383" t="s">
        <v>3853</v>
      </c>
      <c r="K1383" t="s">
        <v>3854</v>
      </c>
      <c r="M1383" t="s">
        <v>47</v>
      </c>
      <c r="N1383"/>
      <c r="O1383"/>
      <c r="P1383"/>
      <c r="Q1383"/>
      <c r="R1383"/>
      <c r="S1383"/>
    </row>
    <row r="1384" spans="1:19" x14ac:dyDescent="0.25">
      <c r="A1384" t="s">
        <v>193</v>
      </c>
      <c r="C1384" s="27" t="s">
        <v>34749</v>
      </c>
      <c r="D1384" s="28" t="s">
        <v>34867</v>
      </c>
      <c r="J1384" t="s">
        <v>3855</v>
      </c>
      <c r="K1384" t="s">
        <v>3856</v>
      </c>
      <c r="L1384" s="28" t="s">
        <v>3857</v>
      </c>
      <c r="M1384" t="s">
        <v>23</v>
      </c>
      <c r="N1384"/>
      <c r="O1384"/>
      <c r="P1384"/>
      <c r="Q1384"/>
      <c r="R1384"/>
      <c r="S1384"/>
    </row>
    <row r="1385" spans="1:19" x14ac:dyDescent="0.25">
      <c r="A1385" t="s">
        <v>193</v>
      </c>
      <c r="C1385" s="27" t="s">
        <v>34749</v>
      </c>
      <c r="D1385" s="28" t="s">
        <v>34867</v>
      </c>
      <c r="J1385" t="s">
        <v>3858</v>
      </c>
      <c r="K1385" t="s">
        <v>3859</v>
      </c>
      <c r="L1385" s="28" t="s">
        <v>3860</v>
      </c>
      <c r="M1385" t="s">
        <v>23</v>
      </c>
      <c r="N1385"/>
      <c r="O1385"/>
      <c r="P1385"/>
      <c r="Q1385"/>
      <c r="R1385"/>
      <c r="S1385"/>
    </row>
    <row r="1386" spans="1:19" x14ac:dyDescent="0.25">
      <c r="A1386" t="s">
        <v>193</v>
      </c>
      <c r="C1386" s="27" t="s">
        <v>34749</v>
      </c>
      <c r="D1386" s="28" t="s">
        <v>34867</v>
      </c>
      <c r="J1386" t="s">
        <v>3861</v>
      </c>
      <c r="K1386" t="s">
        <v>3862</v>
      </c>
      <c r="L1386" s="28" t="s">
        <v>3863</v>
      </c>
      <c r="M1386" t="s">
        <v>23</v>
      </c>
      <c r="N1386"/>
      <c r="O1386"/>
      <c r="P1386"/>
      <c r="Q1386"/>
      <c r="R1386"/>
      <c r="S1386"/>
    </row>
    <row r="1387" spans="1:19" x14ac:dyDescent="0.25">
      <c r="A1387" t="s">
        <v>193</v>
      </c>
      <c r="C1387" s="27" t="s">
        <v>34749</v>
      </c>
      <c r="D1387" s="28" t="s">
        <v>34867</v>
      </c>
      <c r="J1387" t="s">
        <v>3864</v>
      </c>
      <c r="K1387" t="s">
        <v>3865</v>
      </c>
      <c r="L1387" s="28" t="s">
        <v>3866</v>
      </c>
      <c r="M1387" t="s">
        <v>23</v>
      </c>
      <c r="N1387"/>
      <c r="O1387"/>
      <c r="P1387"/>
      <c r="Q1387"/>
      <c r="R1387"/>
      <c r="S1387"/>
    </row>
    <row r="1388" spans="1:19" x14ac:dyDescent="0.25">
      <c r="A1388" t="s">
        <v>193</v>
      </c>
      <c r="C1388" s="27" t="s">
        <v>34749</v>
      </c>
      <c r="D1388" s="28" t="s">
        <v>34867</v>
      </c>
      <c r="J1388" t="s">
        <v>3867</v>
      </c>
      <c r="K1388" t="s">
        <v>3868</v>
      </c>
      <c r="L1388" s="28" t="s">
        <v>3869</v>
      </c>
      <c r="M1388" t="s">
        <v>23</v>
      </c>
      <c r="N1388"/>
      <c r="O1388"/>
      <c r="P1388"/>
      <c r="Q1388"/>
      <c r="R1388"/>
      <c r="S1388"/>
    </row>
    <row r="1389" spans="1:19" x14ac:dyDescent="0.25">
      <c r="A1389" t="s">
        <v>193</v>
      </c>
      <c r="C1389" s="27" t="s">
        <v>34749</v>
      </c>
      <c r="D1389" s="28" t="s">
        <v>34867</v>
      </c>
      <c r="J1389" t="s">
        <v>3870</v>
      </c>
      <c r="K1389" t="s">
        <v>3871</v>
      </c>
      <c r="L1389" s="28" t="s">
        <v>3872</v>
      </c>
      <c r="M1389" t="s">
        <v>23</v>
      </c>
      <c r="N1389"/>
      <c r="O1389"/>
      <c r="P1389"/>
      <c r="Q1389"/>
      <c r="R1389"/>
      <c r="S1389"/>
    </row>
    <row r="1390" spans="1:19" x14ac:dyDescent="0.25">
      <c r="A1390" t="s">
        <v>193</v>
      </c>
      <c r="C1390" s="27" t="s">
        <v>34749</v>
      </c>
      <c r="D1390" s="28" t="s">
        <v>34867</v>
      </c>
      <c r="J1390" t="s">
        <v>3873</v>
      </c>
      <c r="K1390" t="s">
        <v>3874</v>
      </c>
      <c r="L1390" s="28" t="s">
        <v>3875</v>
      </c>
      <c r="M1390" t="s">
        <v>23</v>
      </c>
      <c r="N1390"/>
      <c r="O1390"/>
      <c r="P1390"/>
      <c r="Q1390"/>
      <c r="R1390"/>
      <c r="S1390"/>
    </row>
    <row r="1391" spans="1:19" x14ac:dyDescent="0.25">
      <c r="A1391" t="s">
        <v>193</v>
      </c>
      <c r="C1391" s="27" t="s">
        <v>34749</v>
      </c>
      <c r="D1391" s="28" t="s">
        <v>34867</v>
      </c>
      <c r="J1391" t="s">
        <v>3876</v>
      </c>
      <c r="K1391" t="s">
        <v>3877</v>
      </c>
      <c r="L1391" s="28" t="s">
        <v>3878</v>
      </c>
      <c r="M1391" t="s">
        <v>23</v>
      </c>
      <c r="N1391"/>
      <c r="O1391"/>
      <c r="P1391"/>
      <c r="Q1391"/>
      <c r="R1391"/>
      <c r="S1391"/>
    </row>
    <row r="1392" spans="1:19" x14ac:dyDescent="0.25">
      <c r="A1392" t="s">
        <v>193</v>
      </c>
      <c r="C1392" s="27" t="s">
        <v>34749</v>
      </c>
      <c r="D1392" s="28" t="s">
        <v>34867</v>
      </c>
      <c r="J1392" t="s">
        <v>3879</v>
      </c>
      <c r="K1392" t="s">
        <v>3880</v>
      </c>
      <c r="L1392" s="28" t="s">
        <v>3881</v>
      </c>
      <c r="M1392" t="s">
        <v>23</v>
      </c>
      <c r="N1392"/>
      <c r="O1392"/>
      <c r="P1392"/>
      <c r="Q1392"/>
      <c r="R1392"/>
      <c r="S1392"/>
    </row>
    <row r="1393" spans="1:19" x14ac:dyDescent="0.25">
      <c r="A1393" t="s">
        <v>193</v>
      </c>
      <c r="C1393" s="27" t="s">
        <v>34749</v>
      </c>
      <c r="D1393" s="28" t="s">
        <v>34867</v>
      </c>
      <c r="J1393" t="s">
        <v>3882</v>
      </c>
      <c r="K1393" t="s">
        <v>3883</v>
      </c>
      <c r="L1393" s="28" t="s">
        <v>3884</v>
      </c>
      <c r="M1393" t="s">
        <v>23</v>
      </c>
      <c r="N1393"/>
      <c r="O1393"/>
      <c r="P1393"/>
      <c r="Q1393"/>
      <c r="R1393"/>
      <c r="S1393"/>
    </row>
    <row r="1394" spans="1:19" x14ac:dyDescent="0.25">
      <c r="A1394" t="s">
        <v>193</v>
      </c>
      <c r="C1394" s="27" t="s">
        <v>34749</v>
      </c>
      <c r="D1394" s="28" t="s">
        <v>34867</v>
      </c>
      <c r="J1394" t="s">
        <v>3885</v>
      </c>
      <c r="K1394" t="s">
        <v>3886</v>
      </c>
      <c r="L1394" s="28" t="s">
        <v>3887</v>
      </c>
      <c r="M1394" t="s">
        <v>23</v>
      </c>
      <c r="N1394"/>
      <c r="O1394"/>
      <c r="P1394"/>
      <c r="Q1394"/>
      <c r="R1394"/>
      <c r="S1394"/>
    </row>
    <row r="1395" spans="1:19" x14ac:dyDescent="0.25">
      <c r="A1395" t="s">
        <v>193</v>
      </c>
      <c r="C1395" s="27" t="s">
        <v>34749</v>
      </c>
      <c r="D1395" s="28" t="s">
        <v>34867</v>
      </c>
      <c r="J1395" t="s">
        <v>3888</v>
      </c>
      <c r="K1395" t="s">
        <v>3889</v>
      </c>
      <c r="L1395" s="28" t="s">
        <v>3890</v>
      </c>
      <c r="M1395" t="s">
        <v>23</v>
      </c>
      <c r="N1395"/>
      <c r="O1395"/>
      <c r="P1395"/>
      <c r="Q1395"/>
      <c r="R1395"/>
      <c r="S1395"/>
    </row>
    <row r="1396" spans="1:19" x14ac:dyDescent="0.25">
      <c r="A1396" t="s">
        <v>193</v>
      </c>
      <c r="C1396" s="27" t="s">
        <v>34749</v>
      </c>
      <c r="D1396" s="28" t="s">
        <v>34867</v>
      </c>
      <c r="J1396" t="s">
        <v>3891</v>
      </c>
      <c r="K1396" t="s">
        <v>3892</v>
      </c>
      <c r="L1396" s="28" t="s">
        <v>3893</v>
      </c>
      <c r="M1396" t="s">
        <v>23</v>
      </c>
      <c r="N1396"/>
      <c r="O1396"/>
      <c r="P1396"/>
      <c r="Q1396"/>
      <c r="R1396"/>
      <c r="S1396"/>
    </row>
    <row r="1397" spans="1:19" x14ac:dyDescent="0.25">
      <c r="A1397" t="s">
        <v>193</v>
      </c>
      <c r="C1397" s="27" t="s">
        <v>34749</v>
      </c>
      <c r="D1397" s="28" t="s">
        <v>34867</v>
      </c>
      <c r="J1397" t="s">
        <v>3894</v>
      </c>
      <c r="K1397" t="s">
        <v>3895</v>
      </c>
      <c r="L1397" s="28" t="s">
        <v>3896</v>
      </c>
      <c r="M1397" t="s">
        <v>23</v>
      </c>
      <c r="N1397"/>
      <c r="O1397"/>
      <c r="P1397"/>
      <c r="Q1397"/>
      <c r="R1397"/>
      <c r="S1397"/>
    </row>
    <row r="1398" spans="1:19" x14ac:dyDescent="0.25">
      <c r="A1398" t="s">
        <v>193</v>
      </c>
      <c r="C1398" s="27" t="s">
        <v>34749</v>
      </c>
      <c r="D1398" s="28" t="s">
        <v>34867</v>
      </c>
      <c r="J1398" t="s">
        <v>3897</v>
      </c>
      <c r="K1398" t="s">
        <v>3898</v>
      </c>
      <c r="L1398" s="28" t="s">
        <v>3899</v>
      </c>
      <c r="M1398" t="s">
        <v>23</v>
      </c>
      <c r="N1398"/>
      <c r="O1398"/>
      <c r="P1398"/>
      <c r="Q1398"/>
      <c r="R1398"/>
      <c r="S1398"/>
    </row>
    <row r="1399" spans="1:19" x14ac:dyDescent="0.25">
      <c r="A1399" s="28" t="s">
        <v>14843</v>
      </c>
      <c r="J1399" t="s">
        <v>3900</v>
      </c>
      <c r="K1399" t="s">
        <v>3901</v>
      </c>
      <c r="M1399" t="s">
        <v>47</v>
      </c>
      <c r="N1399"/>
      <c r="O1399"/>
      <c r="P1399"/>
      <c r="Q1399"/>
      <c r="R1399"/>
      <c r="S1399"/>
    </row>
    <row r="1400" spans="1:19" x14ac:dyDescent="0.25">
      <c r="A1400" t="s">
        <v>193</v>
      </c>
      <c r="C1400" s="27" t="s">
        <v>34749</v>
      </c>
      <c r="D1400" s="28" t="s">
        <v>34867</v>
      </c>
      <c r="J1400" t="s">
        <v>3902</v>
      </c>
      <c r="K1400" t="s">
        <v>3903</v>
      </c>
      <c r="L1400" s="28" t="s">
        <v>3904</v>
      </c>
      <c r="M1400" t="s">
        <v>23</v>
      </c>
      <c r="N1400"/>
      <c r="O1400"/>
      <c r="P1400"/>
      <c r="Q1400"/>
      <c r="R1400"/>
      <c r="S1400"/>
    </row>
    <row r="1401" spans="1:19" x14ac:dyDescent="0.25">
      <c r="A1401" t="s">
        <v>193</v>
      </c>
      <c r="C1401" s="27" t="s">
        <v>34749</v>
      </c>
      <c r="D1401" s="28" t="s">
        <v>34867</v>
      </c>
      <c r="J1401" t="s">
        <v>3905</v>
      </c>
      <c r="K1401" t="s">
        <v>3906</v>
      </c>
      <c r="L1401" s="28" t="s">
        <v>3907</v>
      </c>
      <c r="M1401" t="s">
        <v>23</v>
      </c>
      <c r="N1401"/>
      <c r="O1401"/>
      <c r="P1401"/>
      <c r="Q1401"/>
      <c r="R1401"/>
      <c r="S1401"/>
    </row>
    <row r="1402" spans="1:19" x14ac:dyDescent="0.25">
      <c r="A1402" t="s">
        <v>193</v>
      </c>
      <c r="C1402" s="27" t="s">
        <v>34749</v>
      </c>
      <c r="D1402" s="28" t="s">
        <v>34867</v>
      </c>
      <c r="J1402" t="s">
        <v>3908</v>
      </c>
      <c r="K1402" t="s">
        <v>3909</v>
      </c>
      <c r="L1402" s="28" t="s">
        <v>3910</v>
      </c>
      <c r="M1402" t="s">
        <v>23</v>
      </c>
      <c r="N1402"/>
      <c r="O1402"/>
      <c r="P1402"/>
      <c r="Q1402"/>
      <c r="R1402"/>
      <c r="S1402"/>
    </row>
    <row r="1403" spans="1:19" x14ac:dyDescent="0.25">
      <c r="A1403" t="s">
        <v>193</v>
      </c>
      <c r="C1403" s="27" t="s">
        <v>34749</v>
      </c>
      <c r="D1403" s="28" t="s">
        <v>34867</v>
      </c>
      <c r="J1403" t="s">
        <v>3911</v>
      </c>
      <c r="K1403" t="s">
        <v>3912</v>
      </c>
      <c r="L1403" s="28" t="s">
        <v>3913</v>
      </c>
      <c r="M1403" t="s">
        <v>23</v>
      </c>
      <c r="N1403"/>
      <c r="O1403"/>
      <c r="P1403"/>
      <c r="Q1403"/>
      <c r="R1403"/>
      <c r="S1403"/>
    </row>
    <row r="1404" spans="1:19" x14ac:dyDescent="0.25">
      <c r="A1404" t="s">
        <v>193</v>
      </c>
      <c r="C1404" s="27" t="s">
        <v>34749</v>
      </c>
      <c r="D1404" s="28" t="s">
        <v>34867</v>
      </c>
      <c r="J1404" t="s">
        <v>3914</v>
      </c>
      <c r="K1404" t="s">
        <v>3915</v>
      </c>
      <c r="L1404" s="28" t="s">
        <v>3916</v>
      </c>
      <c r="M1404" t="s">
        <v>23</v>
      </c>
      <c r="N1404"/>
      <c r="O1404"/>
      <c r="P1404"/>
      <c r="Q1404"/>
      <c r="R1404"/>
      <c r="S1404"/>
    </row>
    <row r="1405" spans="1:19" x14ac:dyDescent="0.25">
      <c r="A1405" t="s">
        <v>193</v>
      </c>
      <c r="C1405" s="27" t="s">
        <v>34749</v>
      </c>
      <c r="D1405" s="28" t="s">
        <v>34867</v>
      </c>
      <c r="J1405" t="s">
        <v>3917</v>
      </c>
      <c r="K1405" t="s">
        <v>3918</v>
      </c>
      <c r="L1405" s="28" t="s">
        <v>3919</v>
      </c>
      <c r="M1405" t="s">
        <v>23</v>
      </c>
      <c r="N1405"/>
      <c r="O1405"/>
      <c r="P1405"/>
      <c r="Q1405"/>
      <c r="R1405"/>
      <c r="S1405"/>
    </row>
    <row r="1406" spans="1:19" x14ac:dyDescent="0.25">
      <c r="A1406" t="s">
        <v>193</v>
      </c>
      <c r="C1406" s="27" t="s">
        <v>34749</v>
      </c>
      <c r="D1406" s="28" t="s">
        <v>34867</v>
      </c>
      <c r="J1406" t="s">
        <v>3920</v>
      </c>
      <c r="K1406" t="s">
        <v>3921</v>
      </c>
      <c r="L1406" s="28" t="s">
        <v>3922</v>
      </c>
      <c r="M1406" t="s">
        <v>23</v>
      </c>
      <c r="N1406"/>
      <c r="O1406"/>
      <c r="P1406"/>
      <c r="Q1406"/>
      <c r="R1406"/>
      <c r="S1406"/>
    </row>
    <row r="1407" spans="1:19" x14ac:dyDescent="0.25">
      <c r="A1407" t="s">
        <v>193</v>
      </c>
      <c r="C1407" s="27" t="s">
        <v>34749</v>
      </c>
      <c r="D1407" s="28" t="s">
        <v>34867</v>
      </c>
      <c r="J1407" t="s">
        <v>3923</v>
      </c>
      <c r="K1407" t="s">
        <v>3924</v>
      </c>
      <c r="L1407" s="28" t="s">
        <v>3925</v>
      </c>
      <c r="M1407" t="s">
        <v>23</v>
      </c>
      <c r="N1407"/>
      <c r="O1407"/>
      <c r="P1407"/>
      <c r="Q1407"/>
      <c r="R1407"/>
      <c r="S1407"/>
    </row>
    <row r="1408" spans="1:19" x14ac:dyDescent="0.25">
      <c r="A1408" t="s">
        <v>193</v>
      </c>
      <c r="C1408" s="27" t="s">
        <v>34749</v>
      </c>
      <c r="D1408" s="28" t="s">
        <v>34867</v>
      </c>
      <c r="J1408" t="s">
        <v>3926</v>
      </c>
      <c r="K1408" t="s">
        <v>3927</v>
      </c>
      <c r="L1408" s="28" t="s">
        <v>3928</v>
      </c>
      <c r="M1408" t="s">
        <v>23</v>
      </c>
      <c r="N1408"/>
      <c r="O1408"/>
      <c r="P1408"/>
      <c r="Q1408"/>
      <c r="R1408"/>
      <c r="S1408"/>
    </row>
    <row r="1409" spans="1:19" x14ac:dyDescent="0.25">
      <c r="A1409" t="s">
        <v>193</v>
      </c>
      <c r="C1409" s="27" t="s">
        <v>34749</v>
      </c>
      <c r="D1409" s="28" t="s">
        <v>34867</v>
      </c>
      <c r="J1409" t="s">
        <v>3929</v>
      </c>
      <c r="K1409" t="s">
        <v>3930</v>
      </c>
      <c r="L1409" s="28" t="s">
        <v>3931</v>
      </c>
      <c r="M1409" t="s">
        <v>23</v>
      </c>
      <c r="N1409"/>
      <c r="O1409"/>
      <c r="P1409"/>
      <c r="Q1409"/>
      <c r="R1409"/>
      <c r="S1409"/>
    </row>
    <row r="1410" spans="1:19" x14ac:dyDescent="0.25">
      <c r="A1410" t="s">
        <v>193</v>
      </c>
      <c r="C1410" s="27" t="s">
        <v>34749</v>
      </c>
      <c r="D1410" s="28" t="s">
        <v>34867</v>
      </c>
      <c r="J1410" t="s">
        <v>3932</v>
      </c>
      <c r="K1410" t="s">
        <v>3933</v>
      </c>
      <c r="L1410" s="28" t="s">
        <v>3934</v>
      </c>
      <c r="M1410" t="s">
        <v>23</v>
      </c>
      <c r="N1410"/>
      <c r="O1410"/>
      <c r="P1410"/>
      <c r="Q1410"/>
      <c r="R1410"/>
      <c r="S1410"/>
    </row>
    <row r="1411" spans="1:19" x14ac:dyDescent="0.25">
      <c r="A1411" t="s">
        <v>193</v>
      </c>
      <c r="C1411" s="27" t="s">
        <v>34749</v>
      </c>
      <c r="D1411" s="28" t="s">
        <v>34867</v>
      </c>
      <c r="J1411" t="s">
        <v>3935</v>
      </c>
      <c r="K1411" t="s">
        <v>3936</v>
      </c>
      <c r="L1411" s="28" t="s">
        <v>3937</v>
      </c>
      <c r="M1411" t="s">
        <v>23</v>
      </c>
      <c r="N1411"/>
      <c r="O1411"/>
      <c r="P1411"/>
      <c r="Q1411"/>
      <c r="R1411"/>
      <c r="S1411"/>
    </row>
    <row r="1412" spans="1:19" x14ac:dyDescent="0.25">
      <c r="A1412" t="s">
        <v>193</v>
      </c>
      <c r="C1412" s="27" t="s">
        <v>34749</v>
      </c>
      <c r="D1412" s="28" t="s">
        <v>34867</v>
      </c>
      <c r="E1412" s="3"/>
      <c r="F1412" s="3"/>
      <c r="J1412" t="s">
        <v>3938</v>
      </c>
      <c r="K1412" t="s">
        <v>3939</v>
      </c>
      <c r="L1412" s="28" t="s">
        <v>3940</v>
      </c>
      <c r="M1412" t="s">
        <v>23</v>
      </c>
      <c r="N1412"/>
      <c r="O1412"/>
      <c r="P1412"/>
      <c r="Q1412"/>
      <c r="R1412"/>
      <c r="S1412"/>
    </row>
    <row r="1413" spans="1:19" x14ac:dyDescent="0.25">
      <c r="A1413" t="s">
        <v>193</v>
      </c>
      <c r="C1413" s="27" t="s">
        <v>34749</v>
      </c>
      <c r="D1413" s="28" t="s">
        <v>34867</v>
      </c>
      <c r="J1413" t="s">
        <v>3941</v>
      </c>
      <c r="K1413" t="s">
        <v>3942</v>
      </c>
      <c r="L1413" s="28" t="s">
        <v>3943</v>
      </c>
      <c r="M1413" t="s">
        <v>23</v>
      </c>
      <c r="N1413"/>
      <c r="O1413"/>
      <c r="P1413"/>
      <c r="Q1413"/>
      <c r="R1413"/>
      <c r="S1413"/>
    </row>
    <row r="1414" spans="1:19" x14ac:dyDescent="0.25">
      <c r="A1414" t="s">
        <v>193</v>
      </c>
      <c r="C1414" s="27" t="s">
        <v>34749</v>
      </c>
      <c r="D1414" s="28" t="s">
        <v>34867</v>
      </c>
      <c r="J1414" t="s">
        <v>3944</v>
      </c>
      <c r="K1414" t="s">
        <v>3945</v>
      </c>
      <c r="L1414" s="28" t="s">
        <v>3946</v>
      </c>
      <c r="M1414" t="s">
        <v>23</v>
      </c>
      <c r="N1414"/>
      <c r="O1414"/>
      <c r="P1414"/>
      <c r="Q1414"/>
      <c r="R1414"/>
      <c r="S1414"/>
    </row>
    <row r="1415" spans="1:19" x14ac:dyDescent="0.25">
      <c r="A1415" t="s">
        <v>193</v>
      </c>
      <c r="C1415" s="27" t="s">
        <v>34749</v>
      </c>
      <c r="D1415" s="28" t="s">
        <v>34867</v>
      </c>
      <c r="J1415" t="s">
        <v>3947</v>
      </c>
      <c r="K1415" t="s">
        <v>3948</v>
      </c>
      <c r="L1415" s="28" t="s">
        <v>3949</v>
      </c>
      <c r="M1415" t="s">
        <v>23</v>
      </c>
      <c r="N1415"/>
      <c r="O1415"/>
      <c r="P1415"/>
      <c r="Q1415"/>
      <c r="R1415"/>
      <c r="S1415"/>
    </row>
    <row r="1416" spans="1:19" x14ac:dyDescent="0.25">
      <c r="A1416" t="s">
        <v>193</v>
      </c>
      <c r="C1416" s="27" t="s">
        <v>34749</v>
      </c>
      <c r="D1416" s="28" t="s">
        <v>34867</v>
      </c>
      <c r="J1416" t="s">
        <v>3950</v>
      </c>
      <c r="K1416" t="s">
        <v>3951</v>
      </c>
      <c r="L1416" s="28" t="s">
        <v>3952</v>
      </c>
      <c r="M1416" t="s">
        <v>23</v>
      </c>
      <c r="N1416"/>
      <c r="O1416"/>
      <c r="P1416"/>
      <c r="Q1416"/>
      <c r="R1416"/>
      <c r="S1416"/>
    </row>
    <row r="1417" spans="1:19" x14ac:dyDescent="0.25">
      <c r="A1417" t="s">
        <v>193</v>
      </c>
      <c r="C1417" s="27" t="s">
        <v>34749</v>
      </c>
      <c r="D1417" s="28" t="s">
        <v>34867</v>
      </c>
      <c r="J1417" t="s">
        <v>3953</v>
      </c>
      <c r="K1417" t="s">
        <v>3954</v>
      </c>
      <c r="L1417" s="28" t="s">
        <v>3955</v>
      </c>
      <c r="M1417" t="s">
        <v>23</v>
      </c>
      <c r="N1417"/>
      <c r="O1417"/>
      <c r="P1417"/>
      <c r="Q1417"/>
      <c r="R1417"/>
      <c r="S1417"/>
    </row>
    <row r="1418" spans="1:19" x14ac:dyDescent="0.25">
      <c r="A1418" t="s">
        <v>193</v>
      </c>
      <c r="C1418" s="27" t="s">
        <v>34749</v>
      </c>
      <c r="D1418" s="28" t="s">
        <v>34867</v>
      </c>
      <c r="J1418" t="s">
        <v>3956</v>
      </c>
      <c r="K1418" t="s">
        <v>3957</v>
      </c>
      <c r="L1418" s="28" t="s">
        <v>3958</v>
      </c>
      <c r="M1418" t="s">
        <v>23</v>
      </c>
      <c r="N1418"/>
      <c r="O1418"/>
      <c r="P1418"/>
      <c r="Q1418"/>
      <c r="R1418"/>
      <c r="S1418"/>
    </row>
    <row r="1419" spans="1:19" x14ac:dyDescent="0.25">
      <c r="A1419" t="s">
        <v>193</v>
      </c>
      <c r="C1419" s="27" t="s">
        <v>34749</v>
      </c>
      <c r="D1419" s="28" t="s">
        <v>34867</v>
      </c>
      <c r="J1419" t="s">
        <v>3959</v>
      </c>
      <c r="K1419" t="s">
        <v>3960</v>
      </c>
      <c r="L1419" s="28" t="s">
        <v>3961</v>
      </c>
      <c r="M1419" t="s">
        <v>23</v>
      </c>
      <c r="N1419"/>
      <c r="O1419"/>
      <c r="P1419"/>
      <c r="Q1419"/>
      <c r="R1419"/>
      <c r="S1419"/>
    </row>
    <row r="1420" spans="1:19" x14ac:dyDescent="0.25">
      <c r="A1420" t="s">
        <v>193</v>
      </c>
      <c r="C1420" s="27" t="s">
        <v>34749</v>
      </c>
      <c r="D1420" s="28" t="s">
        <v>34867</v>
      </c>
      <c r="J1420" t="s">
        <v>3962</v>
      </c>
      <c r="K1420" t="s">
        <v>3963</v>
      </c>
      <c r="L1420" s="28" t="s">
        <v>3964</v>
      </c>
      <c r="M1420" t="s">
        <v>23</v>
      </c>
      <c r="N1420"/>
      <c r="O1420"/>
      <c r="P1420"/>
      <c r="Q1420"/>
      <c r="R1420"/>
      <c r="S1420"/>
    </row>
    <row r="1421" spans="1:19" x14ac:dyDescent="0.25">
      <c r="A1421" t="s">
        <v>193</v>
      </c>
      <c r="C1421" s="27" t="s">
        <v>34749</v>
      </c>
      <c r="D1421" s="28" t="s">
        <v>34867</v>
      </c>
      <c r="J1421" t="s">
        <v>3965</v>
      </c>
      <c r="K1421" t="s">
        <v>3966</v>
      </c>
      <c r="L1421" s="28" t="s">
        <v>3967</v>
      </c>
      <c r="M1421" t="s">
        <v>23</v>
      </c>
      <c r="N1421"/>
      <c r="O1421"/>
      <c r="P1421"/>
      <c r="Q1421"/>
      <c r="R1421"/>
      <c r="S1421"/>
    </row>
    <row r="1422" spans="1:19" x14ac:dyDescent="0.25">
      <c r="A1422" t="s">
        <v>193</v>
      </c>
      <c r="C1422" s="27" t="s">
        <v>34749</v>
      </c>
      <c r="D1422" s="28" t="s">
        <v>34867</v>
      </c>
      <c r="J1422" t="s">
        <v>3968</v>
      </c>
      <c r="K1422" t="s">
        <v>3969</v>
      </c>
      <c r="L1422" s="28" t="s">
        <v>3970</v>
      </c>
      <c r="M1422" t="s">
        <v>23</v>
      </c>
      <c r="N1422"/>
      <c r="O1422"/>
      <c r="P1422"/>
      <c r="Q1422"/>
      <c r="R1422"/>
      <c r="S1422"/>
    </row>
    <row r="1423" spans="1:19" x14ac:dyDescent="0.25">
      <c r="A1423" t="s">
        <v>193</v>
      </c>
      <c r="C1423" s="27" t="s">
        <v>34749</v>
      </c>
      <c r="D1423" s="28" t="s">
        <v>34867</v>
      </c>
      <c r="J1423" t="s">
        <v>3971</v>
      </c>
      <c r="K1423" t="s">
        <v>3972</v>
      </c>
      <c r="L1423" s="28" t="s">
        <v>3973</v>
      </c>
      <c r="M1423" t="s">
        <v>23</v>
      </c>
      <c r="N1423"/>
      <c r="O1423"/>
      <c r="P1423"/>
      <c r="Q1423"/>
      <c r="R1423"/>
      <c r="S1423"/>
    </row>
    <row r="1424" spans="1:19" x14ac:dyDescent="0.25">
      <c r="A1424" t="s">
        <v>193</v>
      </c>
      <c r="C1424" s="27" t="s">
        <v>34749</v>
      </c>
      <c r="D1424" s="28" t="s">
        <v>34867</v>
      </c>
      <c r="J1424" t="s">
        <v>3974</v>
      </c>
      <c r="K1424" t="s">
        <v>3975</v>
      </c>
      <c r="L1424" s="28" t="s">
        <v>3976</v>
      </c>
      <c r="M1424" t="s">
        <v>23</v>
      </c>
      <c r="N1424"/>
      <c r="O1424"/>
      <c r="P1424"/>
      <c r="Q1424"/>
      <c r="R1424"/>
      <c r="S1424"/>
    </row>
    <row r="1425" spans="1:19" x14ac:dyDescent="0.25">
      <c r="A1425" t="s">
        <v>193</v>
      </c>
      <c r="C1425" s="27" t="s">
        <v>34749</v>
      </c>
      <c r="D1425" s="28" t="s">
        <v>34867</v>
      </c>
      <c r="J1425" t="s">
        <v>3977</v>
      </c>
      <c r="K1425" t="s">
        <v>3978</v>
      </c>
      <c r="L1425" s="28" t="s">
        <v>3979</v>
      </c>
      <c r="M1425" t="s">
        <v>23</v>
      </c>
      <c r="N1425"/>
      <c r="O1425"/>
      <c r="P1425"/>
      <c r="Q1425"/>
      <c r="R1425"/>
      <c r="S1425"/>
    </row>
    <row r="1426" spans="1:19" x14ac:dyDescent="0.25">
      <c r="A1426" t="s">
        <v>193</v>
      </c>
      <c r="C1426" s="27" t="s">
        <v>34749</v>
      </c>
      <c r="D1426" s="28" t="s">
        <v>34867</v>
      </c>
      <c r="J1426" t="s">
        <v>3980</v>
      </c>
      <c r="K1426" t="s">
        <v>3981</v>
      </c>
      <c r="L1426" s="28" t="s">
        <v>3982</v>
      </c>
      <c r="M1426" t="s">
        <v>23</v>
      </c>
      <c r="N1426"/>
      <c r="O1426"/>
      <c r="P1426"/>
      <c r="Q1426"/>
      <c r="R1426"/>
      <c r="S1426"/>
    </row>
    <row r="1427" spans="1:19" x14ac:dyDescent="0.25">
      <c r="A1427" t="s">
        <v>193</v>
      </c>
      <c r="C1427" s="27" t="s">
        <v>34749</v>
      </c>
      <c r="D1427" s="28" t="s">
        <v>34867</v>
      </c>
      <c r="J1427" t="s">
        <v>3983</v>
      </c>
      <c r="K1427" t="s">
        <v>3984</v>
      </c>
      <c r="L1427" s="28" t="s">
        <v>3985</v>
      </c>
      <c r="M1427" t="s">
        <v>23</v>
      </c>
      <c r="N1427"/>
      <c r="O1427"/>
      <c r="P1427"/>
      <c r="Q1427"/>
      <c r="R1427"/>
      <c r="S1427"/>
    </row>
    <row r="1428" spans="1:19" x14ac:dyDescent="0.25">
      <c r="A1428" t="s">
        <v>193</v>
      </c>
      <c r="C1428" s="27" t="s">
        <v>34749</v>
      </c>
      <c r="D1428" s="28" t="s">
        <v>34867</v>
      </c>
      <c r="J1428" t="s">
        <v>3986</v>
      </c>
      <c r="K1428" t="s">
        <v>3987</v>
      </c>
      <c r="L1428" s="28" t="s">
        <v>3988</v>
      </c>
      <c r="M1428" t="s">
        <v>23</v>
      </c>
      <c r="N1428"/>
      <c r="O1428"/>
      <c r="P1428"/>
      <c r="Q1428"/>
      <c r="R1428"/>
      <c r="S1428"/>
    </row>
    <row r="1429" spans="1:19" x14ac:dyDescent="0.25">
      <c r="A1429" t="s">
        <v>193</v>
      </c>
      <c r="C1429" s="27" t="s">
        <v>34749</v>
      </c>
      <c r="D1429" s="28" t="s">
        <v>34867</v>
      </c>
      <c r="J1429" t="s">
        <v>3989</v>
      </c>
      <c r="K1429" t="s">
        <v>3990</v>
      </c>
      <c r="L1429" s="28" t="s">
        <v>3991</v>
      </c>
      <c r="M1429" t="s">
        <v>23</v>
      </c>
      <c r="N1429"/>
      <c r="O1429"/>
      <c r="P1429"/>
      <c r="Q1429"/>
      <c r="R1429"/>
      <c r="S1429"/>
    </row>
    <row r="1430" spans="1:19" x14ac:dyDescent="0.25">
      <c r="A1430" t="s">
        <v>193</v>
      </c>
      <c r="C1430" s="27" t="s">
        <v>34749</v>
      </c>
      <c r="D1430" s="28" t="s">
        <v>34867</v>
      </c>
      <c r="J1430" t="s">
        <v>3992</v>
      </c>
      <c r="K1430" t="s">
        <v>3993</v>
      </c>
      <c r="L1430" s="28" t="s">
        <v>3994</v>
      </c>
      <c r="M1430" t="s">
        <v>23</v>
      </c>
      <c r="N1430"/>
      <c r="O1430"/>
      <c r="P1430"/>
      <c r="Q1430"/>
      <c r="R1430"/>
      <c r="S1430"/>
    </row>
    <row r="1431" spans="1:19" x14ac:dyDescent="0.25">
      <c r="A1431" t="s">
        <v>193</v>
      </c>
      <c r="C1431" s="27" t="s">
        <v>34749</v>
      </c>
      <c r="D1431" s="28" t="s">
        <v>34867</v>
      </c>
      <c r="J1431" t="s">
        <v>3995</v>
      </c>
      <c r="K1431" t="s">
        <v>3996</v>
      </c>
      <c r="L1431" s="28" t="s">
        <v>3997</v>
      </c>
      <c r="M1431" t="s">
        <v>23</v>
      </c>
      <c r="N1431"/>
      <c r="O1431"/>
      <c r="P1431"/>
      <c r="Q1431"/>
      <c r="R1431"/>
      <c r="S1431"/>
    </row>
    <row r="1432" spans="1:19" x14ac:dyDescent="0.25">
      <c r="A1432" t="s">
        <v>193</v>
      </c>
      <c r="C1432" s="27" t="s">
        <v>34749</v>
      </c>
      <c r="D1432" s="28" t="s">
        <v>34867</v>
      </c>
      <c r="J1432" t="s">
        <v>3998</v>
      </c>
      <c r="K1432" t="s">
        <v>3999</v>
      </c>
      <c r="L1432" s="28" t="s">
        <v>4000</v>
      </c>
      <c r="M1432" t="s">
        <v>23</v>
      </c>
      <c r="N1432"/>
      <c r="O1432"/>
      <c r="P1432"/>
      <c r="Q1432"/>
      <c r="R1432"/>
      <c r="S1432"/>
    </row>
    <row r="1433" spans="1:19" x14ac:dyDescent="0.25">
      <c r="A1433" t="s">
        <v>193</v>
      </c>
      <c r="C1433" s="27" t="s">
        <v>34749</v>
      </c>
      <c r="D1433" s="28" t="s">
        <v>34867</v>
      </c>
      <c r="J1433" t="s">
        <v>4001</v>
      </c>
      <c r="K1433" t="s">
        <v>4002</v>
      </c>
      <c r="L1433" s="28" t="s">
        <v>4003</v>
      </c>
      <c r="M1433" t="s">
        <v>23</v>
      </c>
      <c r="N1433"/>
      <c r="O1433"/>
      <c r="P1433"/>
      <c r="Q1433"/>
      <c r="R1433"/>
      <c r="S1433"/>
    </row>
    <row r="1434" spans="1:19" x14ac:dyDescent="0.25">
      <c r="A1434" t="s">
        <v>193</v>
      </c>
      <c r="C1434" s="27" t="s">
        <v>34749</v>
      </c>
      <c r="D1434" s="28" t="s">
        <v>34867</v>
      </c>
      <c r="J1434" t="s">
        <v>4004</v>
      </c>
      <c r="K1434" t="s">
        <v>4005</v>
      </c>
      <c r="L1434" s="28" t="s">
        <v>4006</v>
      </c>
      <c r="M1434" t="s">
        <v>23</v>
      </c>
      <c r="N1434"/>
      <c r="O1434"/>
      <c r="P1434"/>
      <c r="Q1434"/>
      <c r="R1434"/>
      <c r="S1434"/>
    </row>
    <row r="1435" spans="1:19" x14ac:dyDescent="0.25">
      <c r="A1435" t="s">
        <v>193</v>
      </c>
      <c r="C1435" s="27" t="s">
        <v>34749</v>
      </c>
      <c r="D1435" s="28" t="s">
        <v>34867</v>
      </c>
      <c r="J1435" t="s">
        <v>4007</v>
      </c>
      <c r="K1435" t="s">
        <v>4008</v>
      </c>
      <c r="L1435" s="28" t="s">
        <v>4009</v>
      </c>
      <c r="M1435" t="s">
        <v>23</v>
      </c>
      <c r="N1435"/>
      <c r="O1435"/>
      <c r="P1435"/>
      <c r="Q1435"/>
      <c r="R1435"/>
      <c r="S1435"/>
    </row>
    <row r="1436" spans="1:19" x14ac:dyDescent="0.25">
      <c r="A1436" t="s">
        <v>193</v>
      </c>
      <c r="C1436" s="27" t="s">
        <v>34749</v>
      </c>
      <c r="D1436" s="28" t="s">
        <v>34867</v>
      </c>
      <c r="J1436" t="s">
        <v>4010</v>
      </c>
      <c r="K1436" t="s">
        <v>4011</v>
      </c>
      <c r="L1436" s="28" t="s">
        <v>4012</v>
      </c>
      <c r="M1436" t="s">
        <v>23</v>
      </c>
      <c r="N1436"/>
      <c r="O1436"/>
      <c r="P1436"/>
      <c r="Q1436"/>
      <c r="R1436"/>
      <c r="S1436"/>
    </row>
    <row r="1437" spans="1:19" x14ac:dyDescent="0.25">
      <c r="A1437" t="s">
        <v>193</v>
      </c>
      <c r="C1437" s="27" t="s">
        <v>34749</v>
      </c>
      <c r="D1437" s="28" t="s">
        <v>34867</v>
      </c>
      <c r="J1437" t="s">
        <v>4013</v>
      </c>
      <c r="K1437" t="s">
        <v>4014</v>
      </c>
      <c r="L1437" s="28" t="s">
        <v>4015</v>
      </c>
      <c r="M1437" t="s">
        <v>23</v>
      </c>
      <c r="N1437"/>
      <c r="O1437"/>
      <c r="P1437"/>
      <c r="Q1437"/>
      <c r="R1437"/>
      <c r="S1437"/>
    </row>
    <row r="1438" spans="1:19" x14ac:dyDescent="0.25">
      <c r="A1438" t="s">
        <v>193</v>
      </c>
      <c r="C1438" s="27" t="s">
        <v>34749</v>
      </c>
      <c r="D1438" s="28" t="s">
        <v>34867</v>
      </c>
      <c r="J1438" t="s">
        <v>4016</v>
      </c>
      <c r="K1438" t="s">
        <v>4017</v>
      </c>
      <c r="L1438" s="28" t="s">
        <v>4018</v>
      </c>
      <c r="M1438" t="s">
        <v>23</v>
      </c>
      <c r="N1438"/>
      <c r="O1438"/>
      <c r="P1438"/>
      <c r="Q1438"/>
      <c r="R1438"/>
      <c r="S1438"/>
    </row>
    <row r="1439" spans="1:19" x14ac:dyDescent="0.25">
      <c r="A1439" t="s">
        <v>193</v>
      </c>
      <c r="C1439" s="27" t="s">
        <v>34749</v>
      </c>
      <c r="D1439" s="28" t="s">
        <v>34867</v>
      </c>
      <c r="J1439" t="s">
        <v>4019</v>
      </c>
      <c r="K1439" t="s">
        <v>4020</v>
      </c>
      <c r="L1439" s="28" t="s">
        <v>4021</v>
      </c>
      <c r="M1439" t="s">
        <v>23</v>
      </c>
      <c r="N1439"/>
      <c r="O1439"/>
      <c r="P1439"/>
      <c r="Q1439"/>
      <c r="R1439"/>
      <c r="S1439"/>
    </row>
    <row r="1440" spans="1:19" x14ac:dyDescent="0.25">
      <c r="A1440" t="s">
        <v>193</v>
      </c>
      <c r="C1440" s="27" t="s">
        <v>34749</v>
      </c>
      <c r="D1440" s="28" t="s">
        <v>34867</v>
      </c>
      <c r="J1440" t="s">
        <v>4022</v>
      </c>
      <c r="K1440" t="s">
        <v>4023</v>
      </c>
      <c r="L1440" s="28" t="s">
        <v>4024</v>
      </c>
      <c r="M1440" t="s">
        <v>23</v>
      </c>
      <c r="N1440"/>
      <c r="O1440"/>
      <c r="P1440"/>
      <c r="Q1440"/>
      <c r="R1440"/>
      <c r="S1440"/>
    </row>
    <row r="1441" spans="1:19" x14ac:dyDescent="0.25">
      <c r="A1441" t="s">
        <v>193</v>
      </c>
      <c r="C1441" s="27" t="s">
        <v>34749</v>
      </c>
      <c r="D1441" s="28" t="s">
        <v>34867</v>
      </c>
      <c r="J1441" t="s">
        <v>4025</v>
      </c>
      <c r="K1441" t="s">
        <v>4026</v>
      </c>
      <c r="L1441" s="28" t="s">
        <v>4027</v>
      </c>
      <c r="M1441" t="s">
        <v>23</v>
      </c>
      <c r="N1441"/>
      <c r="O1441"/>
      <c r="P1441"/>
      <c r="Q1441"/>
      <c r="R1441"/>
      <c r="S1441"/>
    </row>
    <row r="1442" spans="1:19" x14ac:dyDescent="0.25">
      <c r="A1442" t="s">
        <v>193</v>
      </c>
      <c r="C1442" s="27" t="s">
        <v>34749</v>
      </c>
      <c r="D1442" s="28" t="s">
        <v>34867</v>
      </c>
      <c r="J1442" t="s">
        <v>4028</v>
      </c>
      <c r="K1442" t="s">
        <v>4029</v>
      </c>
      <c r="L1442" s="28" t="s">
        <v>4030</v>
      </c>
      <c r="M1442" t="s">
        <v>23</v>
      </c>
      <c r="N1442"/>
      <c r="O1442"/>
      <c r="P1442"/>
      <c r="Q1442"/>
      <c r="R1442"/>
      <c r="S1442"/>
    </row>
    <row r="1443" spans="1:19" x14ac:dyDescent="0.25">
      <c r="A1443" t="s">
        <v>193</v>
      </c>
      <c r="C1443" s="27" t="s">
        <v>34749</v>
      </c>
      <c r="D1443" s="28" t="s">
        <v>34867</v>
      </c>
      <c r="J1443" t="s">
        <v>4031</v>
      </c>
      <c r="K1443" t="s">
        <v>4032</v>
      </c>
      <c r="L1443" s="28" t="s">
        <v>4033</v>
      </c>
      <c r="M1443" t="s">
        <v>23</v>
      </c>
      <c r="N1443"/>
      <c r="O1443"/>
      <c r="P1443"/>
      <c r="Q1443"/>
      <c r="R1443"/>
      <c r="S1443"/>
    </row>
    <row r="1444" spans="1:19" x14ac:dyDescent="0.25">
      <c r="A1444" t="s">
        <v>193</v>
      </c>
      <c r="C1444" s="27" t="s">
        <v>34749</v>
      </c>
      <c r="D1444" s="28" t="s">
        <v>34867</v>
      </c>
      <c r="J1444" t="s">
        <v>4034</v>
      </c>
      <c r="K1444" t="s">
        <v>4035</v>
      </c>
      <c r="L1444" s="28" t="s">
        <v>4036</v>
      </c>
      <c r="M1444" t="s">
        <v>23</v>
      </c>
      <c r="N1444"/>
      <c r="O1444"/>
      <c r="P1444"/>
      <c r="Q1444"/>
      <c r="R1444"/>
      <c r="S1444"/>
    </row>
    <row r="1445" spans="1:19" x14ac:dyDescent="0.25">
      <c r="A1445" t="s">
        <v>193</v>
      </c>
      <c r="C1445" s="27" t="s">
        <v>34749</v>
      </c>
      <c r="D1445" s="28" t="s">
        <v>34867</v>
      </c>
      <c r="J1445" t="s">
        <v>4037</v>
      </c>
      <c r="K1445" t="s">
        <v>4038</v>
      </c>
      <c r="L1445" s="28" t="s">
        <v>4039</v>
      </c>
      <c r="M1445" t="s">
        <v>23</v>
      </c>
      <c r="N1445"/>
      <c r="O1445"/>
      <c r="P1445"/>
      <c r="Q1445"/>
      <c r="R1445"/>
      <c r="S1445"/>
    </row>
    <row r="1446" spans="1:19" x14ac:dyDescent="0.25">
      <c r="A1446" t="s">
        <v>193</v>
      </c>
      <c r="C1446" s="27" t="s">
        <v>34749</v>
      </c>
      <c r="D1446" s="28" t="s">
        <v>34867</v>
      </c>
      <c r="J1446" t="s">
        <v>4040</v>
      </c>
      <c r="K1446" t="s">
        <v>4041</v>
      </c>
      <c r="L1446" s="28" t="s">
        <v>4042</v>
      </c>
      <c r="M1446" t="s">
        <v>23</v>
      </c>
      <c r="N1446"/>
      <c r="O1446"/>
      <c r="P1446"/>
      <c r="Q1446"/>
      <c r="R1446"/>
      <c r="S1446"/>
    </row>
    <row r="1447" spans="1:19" x14ac:dyDescent="0.25">
      <c r="A1447" t="s">
        <v>193</v>
      </c>
      <c r="C1447" s="27" t="s">
        <v>34749</v>
      </c>
      <c r="D1447" s="28" t="s">
        <v>34867</v>
      </c>
      <c r="J1447" t="s">
        <v>4043</v>
      </c>
      <c r="K1447" t="s">
        <v>4044</v>
      </c>
      <c r="L1447" s="28" t="s">
        <v>4045</v>
      </c>
      <c r="M1447" t="s">
        <v>23</v>
      </c>
      <c r="N1447"/>
      <c r="O1447"/>
      <c r="P1447"/>
      <c r="Q1447"/>
      <c r="R1447"/>
      <c r="S1447"/>
    </row>
    <row r="1448" spans="1:19" x14ac:dyDescent="0.25">
      <c r="A1448" t="s">
        <v>193</v>
      </c>
      <c r="C1448" s="27" t="s">
        <v>34749</v>
      </c>
      <c r="D1448" s="28" t="s">
        <v>34867</v>
      </c>
      <c r="J1448" t="s">
        <v>4046</v>
      </c>
      <c r="K1448" t="s">
        <v>4047</v>
      </c>
      <c r="L1448" s="28" t="s">
        <v>4048</v>
      </c>
      <c r="M1448" t="s">
        <v>23</v>
      </c>
      <c r="N1448"/>
      <c r="O1448"/>
      <c r="P1448"/>
      <c r="Q1448"/>
      <c r="R1448"/>
      <c r="S1448"/>
    </row>
    <row r="1449" spans="1:19" x14ac:dyDescent="0.25">
      <c r="A1449" t="s">
        <v>193</v>
      </c>
      <c r="C1449" s="27" t="s">
        <v>34749</v>
      </c>
      <c r="D1449" s="28" t="s">
        <v>34867</v>
      </c>
      <c r="J1449" t="s">
        <v>4049</v>
      </c>
      <c r="K1449" t="s">
        <v>4050</v>
      </c>
      <c r="L1449" s="28" t="s">
        <v>4051</v>
      </c>
      <c r="M1449" t="s">
        <v>23</v>
      </c>
      <c r="N1449"/>
      <c r="O1449"/>
      <c r="P1449"/>
      <c r="Q1449"/>
      <c r="R1449"/>
      <c r="S1449"/>
    </row>
    <row r="1450" spans="1:19" x14ac:dyDescent="0.25">
      <c r="A1450" t="s">
        <v>193</v>
      </c>
      <c r="C1450" s="27" t="s">
        <v>34749</v>
      </c>
      <c r="D1450" s="28" t="s">
        <v>34867</v>
      </c>
      <c r="J1450" t="s">
        <v>4052</v>
      </c>
      <c r="K1450" t="s">
        <v>4053</v>
      </c>
      <c r="L1450" s="28" t="s">
        <v>4054</v>
      </c>
      <c r="M1450" t="s">
        <v>23</v>
      </c>
      <c r="N1450"/>
      <c r="O1450"/>
      <c r="P1450"/>
      <c r="Q1450"/>
      <c r="R1450"/>
      <c r="S1450"/>
    </row>
    <row r="1451" spans="1:19" x14ac:dyDescent="0.25">
      <c r="A1451" t="s">
        <v>193</v>
      </c>
      <c r="C1451" s="27" t="s">
        <v>34749</v>
      </c>
      <c r="D1451" s="28" t="s">
        <v>34867</v>
      </c>
      <c r="J1451" t="s">
        <v>4055</v>
      </c>
      <c r="K1451" t="s">
        <v>4056</v>
      </c>
      <c r="L1451" s="28" t="s">
        <v>4057</v>
      </c>
      <c r="M1451" t="s">
        <v>23</v>
      </c>
      <c r="N1451"/>
      <c r="O1451"/>
      <c r="P1451"/>
      <c r="Q1451"/>
      <c r="R1451"/>
      <c r="S1451"/>
    </row>
    <row r="1452" spans="1:19" x14ac:dyDescent="0.25">
      <c r="A1452" t="s">
        <v>193</v>
      </c>
      <c r="C1452" s="27" t="s">
        <v>34749</v>
      </c>
      <c r="D1452" s="28" t="s">
        <v>34867</v>
      </c>
      <c r="J1452" t="s">
        <v>4058</v>
      </c>
      <c r="K1452" t="s">
        <v>4059</v>
      </c>
      <c r="L1452" s="28" t="s">
        <v>4060</v>
      </c>
      <c r="M1452" t="s">
        <v>23</v>
      </c>
      <c r="N1452"/>
      <c r="O1452"/>
      <c r="P1452"/>
      <c r="Q1452"/>
      <c r="R1452"/>
      <c r="S1452"/>
    </row>
    <row r="1453" spans="1:19" x14ac:dyDescent="0.25">
      <c r="A1453" t="s">
        <v>193</v>
      </c>
      <c r="C1453" s="27" t="s">
        <v>34749</v>
      </c>
      <c r="D1453" s="28" t="s">
        <v>34867</v>
      </c>
      <c r="J1453" t="s">
        <v>4061</v>
      </c>
      <c r="K1453" t="s">
        <v>4062</v>
      </c>
      <c r="L1453" s="28" t="s">
        <v>4063</v>
      </c>
      <c r="M1453" t="s">
        <v>23</v>
      </c>
      <c r="N1453"/>
      <c r="O1453"/>
      <c r="P1453"/>
      <c r="Q1453"/>
      <c r="R1453"/>
      <c r="S1453"/>
    </row>
    <row r="1454" spans="1:19" x14ac:dyDescent="0.25">
      <c r="A1454" t="s">
        <v>193</v>
      </c>
      <c r="C1454" s="27" t="s">
        <v>34749</v>
      </c>
      <c r="D1454" s="28" t="s">
        <v>34867</v>
      </c>
      <c r="J1454" t="s">
        <v>4064</v>
      </c>
      <c r="K1454" t="s">
        <v>4065</v>
      </c>
      <c r="L1454" s="28" t="s">
        <v>4066</v>
      </c>
      <c r="M1454" t="s">
        <v>23</v>
      </c>
      <c r="N1454"/>
      <c r="O1454"/>
      <c r="P1454"/>
      <c r="Q1454"/>
      <c r="R1454"/>
      <c r="S1454"/>
    </row>
    <row r="1455" spans="1:19" x14ac:dyDescent="0.25">
      <c r="A1455" t="s">
        <v>193</v>
      </c>
      <c r="C1455" s="27" t="s">
        <v>34749</v>
      </c>
      <c r="D1455" s="28" t="s">
        <v>34867</v>
      </c>
      <c r="J1455" t="s">
        <v>4067</v>
      </c>
      <c r="K1455" t="s">
        <v>4068</v>
      </c>
      <c r="L1455" s="28" t="s">
        <v>4069</v>
      </c>
      <c r="M1455" t="s">
        <v>23</v>
      </c>
      <c r="N1455"/>
      <c r="O1455"/>
      <c r="P1455"/>
      <c r="Q1455"/>
      <c r="R1455"/>
      <c r="S1455"/>
    </row>
    <row r="1456" spans="1:19" x14ac:dyDescent="0.25">
      <c r="A1456" t="s">
        <v>193</v>
      </c>
      <c r="C1456" s="27" t="s">
        <v>34749</v>
      </c>
      <c r="D1456" s="28" t="s">
        <v>34867</v>
      </c>
      <c r="J1456" t="s">
        <v>4070</v>
      </c>
      <c r="K1456" t="s">
        <v>4071</v>
      </c>
      <c r="L1456" s="28" t="s">
        <v>4072</v>
      </c>
      <c r="M1456" t="s">
        <v>23</v>
      </c>
      <c r="N1456"/>
      <c r="O1456"/>
      <c r="P1456"/>
      <c r="Q1456"/>
      <c r="R1456"/>
      <c r="S1456"/>
    </row>
    <row r="1457" spans="1:19" x14ac:dyDescent="0.25">
      <c r="A1457" t="s">
        <v>193</v>
      </c>
      <c r="C1457" s="27" t="s">
        <v>34749</v>
      </c>
      <c r="D1457" s="28" t="s">
        <v>34867</v>
      </c>
      <c r="J1457" t="s">
        <v>4073</v>
      </c>
      <c r="K1457" t="s">
        <v>4074</v>
      </c>
      <c r="L1457" s="28" t="s">
        <v>4075</v>
      </c>
      <c r="M1457" t="s">
        <v>23</v>
      </c>
      <c r="N1457"/>
      <c r="O1457"/>
      <c r="P1457"/>
      <c r="Q1457"/>
      <c r="R1457"/>
      <c r="S1457"/>
    </row>
    <row r="1458" spans="1:19" x14ac:dyDescent="0.25">
      <c r="A1458" t="s">
        <v>193</v>
      </c>
      <c r="C1458" s="27" t="s">
        <v>34749</v>
      </c>
      <c r="D1458" s="28" t="s">
        <v>34867</v>
      </c>
      <c r="J1458" t="s">
        <v>4076</v>
      </c>
      <c r="K1458" t="s">
        <v>4077</v>
      </c>
      <c r="L1458" s="28" t="s">
        <v>4078</v>
      </c>
      <c r="M1458" t="s">
        <v>23</v>
      </c>
      <c r="N1458"/>
      <c r="O1458"/>
      <c r="P1458"/>
      <c r="Q1458"/>
      <c r="R1458"/>
      <c r="S1458"/>
    </row>
    <row r="1459" spans="1:19" x14ac:dyDescent="0.25">
      <c r="A1459" t="s">
        <v>193</v>
      </c>
      <c r="C1459" s="27" t="s">
        <v>34749</v>
      </c>
      <c r="D1459" s="28" t="s">
        <v>34867</v>
      </c>
      <c r="J1459" t="s">
        <v>4079</v>
      </c>
      <c r="K1459" t="s">
        <v>4080</v>
      </c>
      <c r="L1459" s="28" t="s">
        <v>4081</v>
      </c>
      <c r="M1459" t="s">
        <v>23</v>
      </c>
      <c r="N1459"/>
      <c r="O1459"/>
      <c r="P1459"/>
      <c r="Q1459"/>
      <c r="R1459"/>
      <c r="S1459"/>
    </row>
    <row r="1460" spans="1:19" x14ac:dyDescent="0.25">
      <c r="A1460" t="s">
        <v>193</v>
      </c>
      <c r="C1460" s="27" t="s">
        <v>34749</v>
      </c>
      <c r="D1460" s="28" t="s">
        <v>34867</v>
      </c>
      <c r="J1460" t="s">
        <v>4082</v>
      </c>
      <c r="K1460" t="s">
        <v>4083</v>
      </c>
      <c r="L1460" s="28" t="s">
        <v>4084</v>
      </c>
      <c r="M1460" t="s">
        <v>23</v>
      </c>
      <c r="N1460"/>
      <c r="O1460"/>
      <c r="P1460"/>
      <c r="Q1460"/>
      <c r="R1460"/>
      <c r="S1460"/>
    </row>
    <row r="1461" spans="1:19" x14ac:dyDescent="0.25">
      <c r="A1461" t="s">
        <v>193</v>
      </c>
      <c r="C1461" s="27" t="s">
        <v>34749</v>
      </c>
      <c r="D1461" s="28" t="s">
        <v>34867</v>
      </c>
      <c r="J1461" t="s">
        <v>4085</v>
      </c>
      <c r="K1461" t="s">
        <v>4086</v>
      </c>
      <c r="L1461" s="28" t="s">
        <v>4087</v>
      </c>
      <c r="M1461" t="s">
        <v>23</v>
      </c>
      <c r="N1461"/>
      <c r="O1461"/>
      <c r="P1461"/>
      <c r="Q1461"/>
      <c r="R1461"/>
      <c r="S1461"/>
    </row>
    <row r="1462" spans="1:19" x14ac:dyDescent="0.25">
      <c r="A1462" t="s">
        <v>193</v>
      </c>
      <c r="C1462" s="27" t="s">
        <v>34749</v>
      </c>
      <c r="D1462" s="28" t="s">
        <v>34867</v>
      </c>
      <c r="J1462" t="s">
        <v>4088</v>
      </c>
      <c r="K1462" t="s">
        <v>4089</v>
      </c>
      <c r="L1462" s="28" t="s">
        <v>4090</v>
      </c>
      <c r="M1462" t="s">
        <v>23</v>
      </c>
      <c r="N1462"/>
      <c r="O1462"/>
      <c r="P1462"/>
      <c r="Q1462"/>
      <c r="R1462"/>
      <c r="S1462"/>
    </row>
    <row r="1463" spans="1:19" x14ac:dyDescent="0.25">
      <c r="A1463" t="s">
        <v>193</v>
      </c>
      <c r="C1463" s="27" t="s">
        <v>34749</v>
      </c>
      <c r="D1463" s="28" t="s">
        <v>34867</v>
      </c>
      <c r="J1463" t="s">
        <v>4091</v>
      </c>
      <c r="K1463" t="s">
        <v>4092</v>
      </c>
      <c r="L1463" s="28" t="s">
        <v>4093</v>
      </c>
      <c r="M1463" t="s">
        <v>23</v>
      </c>
      <c r="N1463"/>
      <c r="O1463"/>
      <c r="P1463"/>
      <c r="Q1463"/>
      <c r="R1463"/>
      <c r="S1463"/>
    </row>
    <row r="1464" spans="1:19" x14ac:dyDescent="0.25">
      <c r="A1464" t="s">
        <v>193</v>
      </c>
      <c r="C1464" s="27" t="s">
        <v>34749</v>
      </c>
      <c r="D1464" s="28" t="s">
        <v>34867</v>
      </c>
      <c r="J1464" t="s">
        <v>4094</v>
      </c>
      <c r="K1464" t="s">
        <v>4095</v>
      </c>
      <c r="L1464" s="28" t="s">
        <v>4096</v>
      </c>
      <c r="M1464" t="s">
        <v>23</v>
      </c>
      <c r="N1464"/>
      <c r="O1464"/>
      <c r="P1464"/>
      <c r="Q1464"/>
      <c r="R1464"/>
      <c r="S1464"/>
    </row>
    <row r="1465" spans="1:19" x14ac:dyDescent="0.25">
      <c r="A1465" s="28" t="s">
        <v>14843</v>
      </c>
      <c r="J1465" t="s">
        <v>4097</v>
      </c>
      <c r="K1465" t="s">
        <v>4098</v>
      </c>
      <c r="M1465" t="s">
        <v>47</v>
      </c>
      <c r="N1465"/>
      <c r="O1465"/>
      <c r="P1465"/>
      <c r="Q1465"/>
      <c r="R1465"/>
      <c r="S1465"/>
    </row>
    <row r="1466" spans="1:19" x14ac:dyDescent="0.25">
      <c r="A1466" t="s">
        <v>193</v>
      </c>
      <c r="C1466" s="27" t="s">
        <v>34749</v>
      </c>
      <c r="D1466" s="28" t="s">
        <v>34867</v>
      </c>
      <c r="I1466" t="str">
        <f>CONCATENATE(LEFT(K1466,SEARCH(" (",K1466))," | ", RIGHT(LEFT(K1466,LEN(K1466)-1),LEN(K1466)-2-FIND(" (",K1466)))</f>
        <v>deuterium oxide  | zwaar water</v>
      </c>
      <c r="J1466" t="s">
        <v>4099</v>
      </c>
      <c r="K1466" t="s">
        <v>4100</v>
      </c>
      <c r="L1466" s="28" t="s">
        <v>4101</v>
      </c>
      <c r="M1466" t="s">
        <v>23</v>
      </c>
      <c r="N1466"/>
      <c r="O1466"/>
      <c r="P1466"/>
      <c r="Q1466"/>
      <c r="R1466"/>
      <c r="S1466"/>
    </row>
    <row r="1467" spans="1:19" x14ac:dyDescent="0.25">
      <c r="A1467" t="s">
        <v>193</v>
      </c>
      <c r="C1467" s="27" t="s">
        <v>34749</v>
      </c>
      <c r="D1467" s="28" t="s">
        <v>34867</v>
      </c>
      <c r="J1467" t="s">
        <v>4102</v>
      </c>
      <c r="K1467" t="s">
        <v>4103</v>
      </c>
      <c r="L1467" s="28" t="s">
        <v>4104</v>
      </c>
      <c r="M1467" t="s">
        <v>23</v>
      </c>
      <c r="N1467"/>
      <c r="O1467"/>
      <c r="P1467"/>
      <c r="Q1467"/>
      <c r="R1467"/>
      <c r="S1467"/>
    </row>
    <row r="1468" spans="1:19" x14ac:dyDescent="0.25">
      <c r="A1468" t="s">
        <v>193</v>
      </c>
      <c r="C1468" s="27" t="s">
        <v>34749</v>
      </c>
      <c r="D1468" s="28" t="s">
        <v>34867</v>
      </c>
      <c r="J1468" t="s">
        <v>4105</v>
      </c>
      <c r="K1468" t="s">
        <v>4106</v>
      </c>
      <c r="L1468" s="28" t="s">
        <v>4107</v>
      </c>
      <c r="M1468" t="s">
        <v>23</v>
      </c>
      <c r="N1468"/>
      <c r="O1468"/>
      <c r="P1468"/>
      <c r="Q1468"/>
      <c r="R1468"/>
      <c r="S1468"/>
    </row>
    <row r="1469" spans="1:19" x14ac:dyDescent="0.25">
      <c r="A1469" t="s">
        <v>193</v>
      </c>
      <c r="C1469" s="27" t="s">
        <v>34749</v>
      </c>
      <c r="D1469" s="28" t="s">
        <v>34867</v>
      </c>
      <c r="J1469" t="s">
        <v>4108</v>
      </c>
      <c r="K1469" t="s">
        <v>4109</v>
      </c>
      <c r="L1469" s="28" t="s">
        <v>4110</v>
      </c>
      <c r="M1469" t="s">
        <v>23</v>
      </c>
      <c r="N1469"/>
      <c r="O1469"/>
      <c r="P1469"/>
      <c r="Q1469"/>
      <c r="R1469"/>
      <c r="S1469"/>
    </row>
    <row r="1470" spans="1:19" x14ac:dyDescent="0.25">
      <c r="A1470" t="s">
        <v>193</v>
      </c>
      <c r="C1470" s="27" t="s">
        <v>34749</v>
      </c>
      <c r="D1470" s="28" t="s">
        <v>34867</v>
      </c>
      <c r="J1470" t="s">
        <v>4111</v>
      </c>
      <c r="K1470" t="s">
        <v>4112</v>
      </c>
      <c r="L1470" s="28" t="s">
        <v>4113</v>
      </c>
      <c r="M1470" t="s">
        <v>23</v>
      </c>
      <c r="N1470"/>
      <c r="O1470"/>
      <c r="P1470"/>
      <c r="Q1470"/>
      <c r="R1470"/>
      <c r="S1470"/>
    </row>
    <row r="1471" spans="1:19" x14ac:dyDescent="0.25">
      <c r="A1471" t="s">
        <v>193</v>
      </c>
      <c r="C1471" s="27" t="s">
        <v>34749</v>
      </c>
      <c r="D1471" s="28" t="s">
        <v>34867</v>
      </c>
      <c r="J1471" t="s">
        <v>4114</v>
      </c>
      <c r="K1471" t="s">
        <v>4115</v>
      </c>
      <c r="L1471" s="28" t="s">
        <v>4116</v>
      </c>
      <c r="M1471" t="s">
        <v>23</v>
      </c>
      <c r="N1471"/>
      <c r="O1471"/>
      <c r="P1471"/>
      <c r="Q1471"/>
      <c r="R1471"/>
      <c r="S1471"/>
    </row>
    <row r="1472" spans="1:19" x14ac:dyDescent="0.25">
      <c r="A1472" t="s">
        <v>193</v>
      </c>
      <c r="C1472" s="27" t="s">
        <v>34749</v>
      </c>
      <c r="D1472" s="28" t="s">
        <v>34867</v>
      </c>
      <c r="J1472" t="s">
        <v>4117</v>
      </c>
      <c r="K1472" t="s">
        <v>4118</v>
      </c>
      <c r="L1472" s="28" t="s">
        <v>4119</v>
      </c>
      <c r="M1472" t="s">
        <v>23</v>
      </c>
      <c r="N1472"/>
      <c r="O1472"/>
      <c r="P1472"/>
      <c r="Q1472"/>
      <c r="R1472"/>
      <c r="S1472"/>
    </row>
    <row r="1473" spans="1:19" x14ac:dyDescent="0.25">
      <c r="A1473" t="s">
        <v>193</v>
      </c>
      <c r="C1473" s="27" t="s">
        <v>34749</v>
      </c>
      <c r="D1473" s="28" t="s">
        <v>34867</v>
      </c>
      <c r="J1473" t="s">
        <v>4120</v>
      </c>
      <c r="K1473" t="s">
        <v>4121</v>
      </c>
      <c r="L1473" s="28" t="s">
        <v>4122</v>
      </c>
      <c r="M1473" t="s">
        <v>23</v>
      </c>
      <c r="N1473"/>
      <c r="O1473"/>
      <c r="P1473"/>
      <c r="Q1473"/>
      <c r="R1473"/>
      <c r="S1473"/>
    </row>
    <row r="1474" spans="1:19" x14ac:dyDescent="0.25">
      <c r="A1474" t="s">
        <v>193</v>
      </c>
      <c r="C1474" s="27" t="s">
        <v>34749</v>
      </c>
      <c r="D1474" s="28" t="s">
        <v>34867</v>
      </c>
      <c r="J1474" t="s">
        <v>4123</v>
      </c>
      <c r="K1474" t="s">
        <v>4124</v>
      </c>
      <c r="L1474" s="28" t="s">
        <v>4125</v>
      </c>
      <c r="M1474" t="s">
        <v>23</v>
      </c>
      <c r="N1474"/>
      <c r="O1474"/>
      <c r="P1474"/>
      <c r="Q1474"/>
      <c r="R1474"/>
      <c r="S1474"/>
    </row>
    <row r="1475" spans="1:19" x14ac:dyDescent="0.25">
      <c r="A1475" t="s">
        <v>193</v>
      </c>
      <c r="C1475" s="27" t="s">
        <v>34749</v>
      </c>
      <c r="D1475" s="28" t="s">
        <v>34867</v>
      </c>
      <c r="J1475" t="s">
        <v>4126</v>
      </c>
      <c r="K1475" t="s">
        <v>4127</v>
      </c>
      <c r="L1475" s="28" t="s">
        <v>4128</v>
      </c>
      <c r="M1475" t="s">
        <v>23</v>
      </c>
      <c r="N1475"/>
      <c r="O1475"/>
      <c r="P1475"/>
      <c r="Q1475"/>
      <c r="R1475"/>
      <c r="S1475"/>
    </row>
    <row r="1476" spans="1:19" x14ac:dyDescent="0.25">
      <c r="A1476" t="s">
        <v>193</v>
      </c>
      <c r="C1476" s="27" t="s">
        <v>34749</v>
      </c>
      <c r="D1476" s="28" t="s">
        <v>34867</v>
      </c>
      <c r="J1476" t="s">
        <v>4129</v>
      </c>
      <c r="K1476" t="s">
        <v>4130</v>
      </c>
      <c r="L1476" s="28" t="s">
        <v>4131</v>
      </c>
      <c r="M1476" t="s">
        <v>23</v>
      </c>
      <c r="N1476"/>
      <c r="O1476"/>
      <c r="P1476"/>
      <c r="Q1476"/>
      <c r="R1476"/>
      <c r="S1476"/>
    </row>
    <row r="1477" spans="1:19" x14ac:dyDescent="0.25">
      <c r="A1477" t="s">
        <v>193</v>
      </c>
      <c r="C1477" s="27" t="s">
        <v>34749</v>
      </c>
      <c r="D1477" s="28" t="s">
        <v>34867</v>
      </c>
      <c r="J1477" t="s">
        <v>4132</v>
      </c>
      <c r="K1477" t="s">
        <v>4133</v>
      </c>
      <c r="L1477" s="28" t="s">
        <v>4134</v>
      </c>
      <c r="M1477" t="s">
        <v>23</v>
      </c>
      <c r="N1477"/>
      <c r="O1477"/>
      <c r="P1477"/>
      <c r="Q1477"/>
      <c r="R1477"/>
      <c r="S1477"/>
    </row>
    <row r="1478" spans="1:19" x14ac:dyDescent="0.25">
      <c r="A1478" t="s">
        <v>193</v>
      </c>
      <c r="C1478" s="27" t="s">
        <v>34749</v>
      </c>
      <c r="D1478" s="28" t="s">
        <v>34867</v>
      </c>
      <c r="J1478" t="s">
        <v>4135</v>
      </c>
      <c r="K1478" t="s">
        <v>4136</v>
      </c>
      <c r="L1478" s="28" t="s">
        <v>4137</v>
      </c>
      <c r="M1478" t="s">
        <v>23</v>
      </c>
      <c r="N1478"/>
      <c r="O1478"/>
      <c r="P1478"/>
      <c r="Q1478"/>
      <c r="R1478"/>
      <c r="S1478"/>
    </row>
    <row r="1479" spans="1:19" x14ac:dyDescent="0.25">
      <c r="A1479" t="s">
        <v>193</v>
      </c>
      <c r="C1479" s="27" t="s">
        <v>34749</v>
      </c>
      <c r="D1479" s="28" t="s">
        <v>34867</v>
      </c>
      <c r="J1479" t="s">
        <v>4138</v>
      </c>
      <c r="K1479" t="s">
        <v>4139</v>
      </c>
      <c r="L1479" s="28" t="s">
        <v>4140</v>
      </c>
      <c r="M1479" t="s">
        <v>23</v>
      </c>
      <c r="N1479"/>
      <c r="O1479"/>
      <c r="P1479"/>
      <c r="Q1479"/>
      <c r="R1479"/>
      <c r="S1479"/>
    </row>
    <row r="1480" spans="1:19" x14ac:dyDescent="0.25">
      <c r="A1480" t="s">
        <v>193</v>
      </c>
      <c r="C1480" s="27" t="s">
        <v>34749</v>
      </c>
      <c r="D1480" s="28" t="s">
        <v>34867</v>
      </c>
      <c r="J1480" t="s">
        <v>4141</v>
      </c>
      <c r="K1480" t="s">
        <v>4142</v>
      </c>
      <c r="L1480" s="28" t="s">
        <v>4143</v>
      </c>
      <c r="M1480" t="s">
        <v>23</v>
      </c>
      <c r="N1480"/>
      <c r="O1480"/>
      <c r="P1480"/>
      <c r="Q1480"/>
      <c r="R1480"/>
      <c r="S1480"/>
    </row>
    <row r="1481" spans="1:19" x14ac:dyDescent="0.25">
      <c r="A1481" t="s">
        <v>193</v>
      </c>
      <c r="C1481" s="27" t="s">
        <v>34749</v>
      </c>
      <c r="D1481" s="28" t="s">
        <v>34867</v>
      </c>
      <c r="J1481" t="s">
        <v>4144</v>
      </c>
      <c r="K1481" t="s">
        <v>4145</v>
      </c>
      <c r="L1481" s="28" t="s">
        <v>4146</v>
      </c>
      <c r="M1481" t="s">
        <v>23</v>
      </c>
      <c r="N1481"/>
      <c r="O1481"/>
      <c r="P1481"/>
      <c r="Q1481"/>
      <c r="R1481"/>
      <c r="S1481"/>
    </row>
    <row r="1482" spans="1:19" x14ac:dyDescent="0.25">
      <c r="A1482" t="s">
        <v>193</v>
      </c>
      <c r="C1482" s="27" t="s">
        <v>34749</v>
      </c>
      <c r="D1482" s="28" t="s">
        <v>34867</v>
      </c>
      <c r="J1482" t="s">
        <v>4147</v>
      </c>
      <c r="K1482" t="s">
        <v>4148</v>
      </c>
      <c r="L1482" s="28" t="s">
        <v>4149</v>
      </c>
      <c r="M1482" t="s">
        <v>23</v>
      </c>
      <c r="N1482"/>
      <c r="O1482"/>
      <c r="P1482"/>
      <c r="Q1482"/>
      <c r="R1482"/>
      <c r="S1482"/>
    </row>
    <row r="1483" spans="1:19" x14ac:dyDescent="0.25">
      <c r="A1483" t="s">
        <v>193</v>
      </c>
      <c r="C1483" s="27" t="s">
        <v>34749</v>
      </c>
      <c r="D1483" s="28" t="s">
        <v>34867</v>
      </c>
      <c r="J1483" t="s">
        <v>4150</v>
      </c>
      <c r="K1483" t="s">
        <v>4151</v>
      </c>
      <c r="L1483" s="28" t="s">
        <v>4152</v>
      </c>
      <c r="M1483" t="s">
        <v>23</v>
      </c>
      <c r="N1483"/>
      <c r="O1483"/>
      <c r="P1483"/>
      <c r="Q1483"/>
      <c r="R1483"/>
      <c r="S1483"/>
    </row>
    <row r="1484" spans="1:19" x14ac:dyDescent="0.25">
      <c r="A1484" t="s">
        <v>193</v>
      </c>
      <c r="C1484" s="27" t="s">
        <v>34749</v>
      </c>
      <c r="D1484" s="28" t="s">
        <v>34867</v>
      </c>
      <c r="J1484" t="s">
        <v>4153</v>
      </c>
      <c r="K1484" t="s">
        <v>4154</v>
      </c>
      <c r="L1484" s="28" t="s">
        <v>4155</v>
      </c>
      <c r="M1484" t="s">
        <v>23</v>
      </c>
      <c r="N1484"/>
      <c r="O1484"/>
      <c r="P1484"/>
      <c r="Q1484"/>
      <c r="R1484"/>
      <c r="S1484"/>
    </row>
    <row r="1485" spans="1:19" x14ac:dyDescent="0.25">
      <c r="A1485" t="s">
        <v>193</v>
      </c>
      <c r="C1485" s="27" t="s">
        <v>34749</v>
      </c>
      <c r="D1485" s="28" t="s">
        <v>34867</v>
      </c>
      <c r="J1485" t="s">
        <v>4156</v>
      </c>
      <c r="K1485" t="s">
        <v>4157</v>
      </c>
      <c r="L1485" s="28" t="s">
        <v>4158</v>
      </c>
      <c r="M1485" t="s">
        <v>23</v>
      </c>
      <c r="N1485"/>
      <c r="O1485"/>
      <c r="P1485"/>
      <c r="Q1485"/>
      <c r="R1485"/>
      <c r="S1485"/>
    </row>
    <row r="1486" spans="1:19" x14ac:dyDescent="0.25">
      <c r="A1486" t="s">
        <v>193</v>
      </c>
      <c r="C1486" s="27" t="s">
        <v>34749</v>
      </c>
      <c r="D1486" s="28" t="s">
        <v>34867</v>
      </c>
      <c r="J1486" t="s">
        <v>4159</v>
      </c>
      <c r="K1486" t="s">
        <v>4160</v>
      </c>
      <c r="L1486" s="28" t="s">
        <v>4161</v>
      </c>
      <c r="M1486" t="s">
        <v>23</v>
      </c>
      <c r="N1486"/>
      <c r="O1486"/>
      <c r="P1486"/>
      <c r="Q1486"/>
      <c r="R1486"/>
      <c r="S1486"/>
    </row>
    <row r="1487" spans="1:19" x14ac:dyDescent="0.25">
      <c r="A1487" t="s">
        <v>193</v>
      </c>
      <c r="C1487" s="27" t="s">
        <v>34749</v>
      </c>
      <c r="D1487" s="28" t="s">
        <v>34867</v>
      </c>
      <c r="J1487" t="s">
        <v>4162</v>
      </c>
      <c r="K1487" t="s">
        <v>4163</v>
      </c>
      <c r="L1487" s="28" t="s">
        <v>4164</v>
      </c>
      <c r="M1487" t="s">
        <v>23</v>
      </c>
      <c r="N1487"/>
      <c r="O1487"/>
      <c r="P1487"/>
      <c r="Q1487"/>
      <c r="R1487"/>
      <c r="S1487"/>
    </row>
    <row r="1488" spans="1:19" x14ac:dyDescent="0.25">
      <c r="A1488" t="s">
        <v>193</v>
      </c>
      <c r="C1488" s="27" t="s">
        <v>34749</v>
      </c>
      <c r="D1488" s="28" t="s">
        <v>34867</v>
      </c>
      <c r="J1488" t="s">
        <v>4165</v>
      </c>
      <c r="K1488" t="s">
        <v>4166</v>
      </c>
      <c r="L1488" s="28" t="s">
        <v>4167</v>
      </c>
      <c r="M1488" t="s">
        <v>23</v>
      </c>
      <c r="N1488"/>
      <c r="O1488"/>
      <c r="P1488"/>
      <c r="Q1488"/>
      <c r="R1488"/>
      <c r="S1488"/>
    </row>
    <row r="1489" spans="1:19" x14ac:dyDescent="0.25">
      <c r="A1489" t="s">
        <v>193</v>
      </c>
      <c r="C1489" s="27" t="s">
        <v>34749</v>
      </c>
      <c r="D1489" s="28" t="s">
        <v>34867</v>
      </c>
      <c r="J1489" t="s">
        <v>4168</v>
      </c>
      <c r="K1489" t="s">
        <v>4169</v>
      </c>
      <c r="L1489" s="28" t="s">
        <v>4170</v>
      </c>
      <c r="M1489" t="s">
        <v>23</v>
      </c>
      <c r="N1489"/>
      <c r="O1489"/>
      <c r="P1489"/>
      <c r="Q1489"/>
      <c r="R1489"/>
      <c r="S1489"/>
    </row>
    <row r="1490" spans="1:19" x14ac:dyDescent="0.25">
      <c r="A1490" t="s">
        <v>193</v>
      </c>
      <c r="C1490" s="27" t="s">
        <v>34749</v>
      </c>
      <c r="D1490" s="28" t="s">
        <v>34867</v>
      </c>
      <c r="J1490" t="s">
        <v>4171</v>
      </c>
      <c r="K1490" t="s">
        <v>4172</v>
      </c>
      <c r="L1490" s="28" t="s">
        <v>4173</v>
      </c>
      <c r="M1490" t="s">
        <v>23</v>
      </c>
      <c r="N1490"/>
      <c r="O1490"/>
      <c r="P1490"/>
      <c r="Q1490"/>
      <c r="R1490"/>
      <c r="S1490"/>
    </row>
    <row r="1491" spans="1:19" x14ac:dyDescent="0.25">
      <c r="A1491" t="s">
        <v>193</v>
      </c>
      <c r="C1491" s="27" t="s">
        <v>34749</v>
      </c>
      <c r="D1491" s="28" t="s">
        <v>34867</v>
      </c>
      <c r="J1491" t="s">
        <v>4174</v>
      </c>
      <c r="K1491" t="s">
        <v>4175</v>
      </c>
      <c r="L1491" s="28" t="s">
        <v>4176</v>
      </c>
      <c r="M1491" t="s">
        <v>23</v>
      </c>
      <c r="N1491"/>
      <c r="O1491"/>
      <c r="P1491"/>
      <c r="Q1491"/>
      <c r="R1491"/>
      <c r="S1491"/>
    </row>
    <row r="1492" spans="1:19" x14ac:dyDescent="0.25">
      <c r="A1492" t="s">
        <v>193</v>
      </c>
      <c r="C1492" s="27" t="s">
        <v>34749</v>
      </c>
      <c r="D1492" s="28" t="s">
        <v>34867</v>
      </c>
      <c r="J1492" t="s">
        <v>4177</v>
      </c>
      <c r="K1492" t="s">
        <v>4178</v>
      </c>
      <c r="L1492" s="28" t="s">
        <v>4179</v>
      </c>
      <c r="M1492" t="s">
        <v>23</v>
      </c>
      <c r="N1492"/>
      <c r="O1492"/>
      <c r="P1492"/>
      <c r="Q1492"/>
      <c r="R1492"/>
      <c r="S1492"/>
    </row>
    <row r="1493" spans="1:19" x14ac:dyDescent="0.25">
      <c r="A1493" t="s">
        <v>193</v>
      </c>
      <c r="C1493" s="27" t="s">
        <v>34749</v>
      </c>
      <c r="D1493" s="28" t="s">
        <v>34867</v>
      </c>
      <c r="J1493" t="s">
        <v>4180</v>
      </c>
      <c r="K1493" t="s">
        <v>4181</v>
      </c>
      <c r="L1493" s="28" t="s">
        <v>4182</v>
      </c>
      <c r="M1493" t="s">
        <v>23</v>
      </c>
      <c r="N1493"/>
      <c r="O1493"/>
      <c r="P1493"/>
      <c r="Q1493"/>
      <c r="R1493"/>
      <c r="S1493"/>
    </row>
    <row r="1494" spans="1:19" x14ac:dyDescent="0.25">
      <c r="A1494" t="s">
        <v>193</v>
      </c>
      <c r="C1494" s="27" t="s">
        <v>34749</v>
      </c>
      <c r="D1494" s="28" t="s">
        <v>34867</v>
      </c>
      <c r="J1494" t="s">
        <v>4183</v>
      </c>
      <c r="K1494" t="s">
        <v>4184</v>
      </c>
      <c r="L1494" s="28" t="s">
        <v>4185</v>
      </c>
      <c r="M1494" t="s">
        <v>23</v>
      </c>
      <c r="N1494"/>
      <c r="O1494"/>
      <c r="P1494"/>
      <c r="Q1494"/>
      <c r="R1494"/>
      <c r="S1494"/>
    </row>
    <row r="1495" spans="1:19" x14ac:dyDescent="0.25">
      <c r="A1495" t="s">
        <v>193</v>
      </c>
      <c r="C1495" s="27" t="s">
        <v>34749</v>
      </c>
      <c r="D1495" s="28" t="s">
        <v>34867</v>
      </c>
      <c r="J1495" t="s">
        <v>4186</v>
      </c>
      <c r="K1495" t="s">
        <v>4187</v>
      </c>
      <c r="L1495" s="28" t="s">
        <v>4188</v>
      </c>
      <c r="M1495" t="s">
        <v>23</v>
      </c>
      <c r="N1495"/>
      <c r="O1495"/>
      <c r="P1495"/>
      <c r="Q1495"/>
      <c r="R1495"/>
      <c r="S1495"/>
    </row>
    <row r="1496" spans="1:19" x14ac:dyDescent="0.25">
      <c r="A1496" t="s">
        <v>193</v>
      </c>
      <c r="C1496" s="27" t="s">
        <v>34749</v>
      </c>
      <c r="D1496" s="28" t="s">
        <v>34867</v>
      </c>
      <c r="J1496" t="s">
        <v>4189</v>
      </c>
      <c r="K1496" t="s">
        <v>4190</v>
      </c>
      <c r="L1496" s="28" t="s">
        <v>4191</v>
      </c>
      <c r="M1496" t="s">
        <v>23</v>
      </c>
      <c r="N1496"/>
      <c r="O1496"/>
      <c r="P1496"/>
      <c r="Q1496"/>
      <c r="R1496"/>
      <c r="S1496"/>
    </row>
    <row r="1497" spans="1:19" x14ac:dyDescent="0.25">
      <c r="A1497" t="s">
        <v>193</v>
      </c>
      <c r="C1497" s="27" t="s">
        <v>34749</v>
      </c>
      <c r="D1497" s="28" t="s">
        <v>34867</v>
      </c>
      <c r="J1497" t="s">
        <v>4192</v>
      </c>
      <c r="K1497" t="s">
        <v>4193</v>
      </c>
      <c r="L1497" s="28" t="s">
        <v>4194</v>
      </c>
      <c r="M1497" t="s">
        <v>23</v>
      </c>
      <c r="N1497"/>
      <c r="O1497"/>
      <c r="P1497"/>
      <c r="Q1497"/>
      <c r="R1497"/>
      <c r="S1497"/>
    </row>
    <row r="1498" spans="1:19" x14ac:dyDescent="0.25">
      <c r="A1498" t="s">
        <v>193</v>
      </c>
      <c r="C1498" s="27" t="s">
        <v>34749</v>
      </c>
      <c r="D1498" s="28" t="s">
        <v>34867</v>
      </c>
      <c r="J1498" t="s">
        <v>4195</v>
      </c>
      <c r="K1498" t="s">
        <v>4196</v>
      </c>
      <c r="L1498" s="28" t="s">
        <v>4197</v>
      </c>
      <c r="M1498" t="s">
        <v>23</v>
      </c>
      <c r="N1498"/>
      <c r="O1498"/>
      <c r="P1498"/>
      <c r="Q1498"/>
      <c r="R1498"/>
      <c r="S1498"/>
    </row>
    <row r="1499" spans="1:19" x14ac:dyDescent="0.25">
      <c r="A1499" t="s">
        <v>193</v>
      </c>
      <c r="C1499" s="27" t="s">
        <v>34749</v>
      </c>
      <c r="D1499" s="28" t="s">
        <v>34867</v>
      </c>
      <c r="J1499" t="s">
        <v>4198</v>
      </c>
      <c r="K1499" t="s">
        <v>4199</v>
      </c>
      <c r="L1499" s="28" t="s">
        <v>4200</v>
      </c>
      <c r="M1499" t="s">
        <v>23</v>
      </c>
      <c r="N1499"/>
      <c r="O1499"/>
      <c r="P1499"/>
      <c r="Q1499"/>
      <c r="R1499"/>
      <c r="S1499"/>
    </row>
    <row r="1500" spans="1:19" x14ac:dyDescent="0.25">
      <c r="A1500" t="s">
        <v>193</v>
      </c>
      <c r="C1500" s="27" t="s">
        <v>34749</v>
      </c>
      <c r="D1500" s="28" t="s">
        <v>34867</v>
      </c>
      <c r="J1500" t="s">
        <v>4201</v>
      </c>
      <c r="K1500" t="s">
        <v>4202</v>
      </c>
      <c r="L1500" s="28" t="s">
        <v>4203</v>
      </c>
      <c r="M1500" t="s">
        <v>23</v>
      </c>
      <c r="N1500"/>
      <c r="O1500"/>
      <c r="P1500"/>
      <c r="Q1500"/>
      <c r="R1500"/>
      <c r="S1500"/>
    </row>
    <row r="1501" spans="1:19" x14ac:dyDescent="0.25">
      <c r="A1501" t="s">
        <v>193</v>
      </c>
      <c r="C1501" s="27" t="s">
        <v>34749</v>
      </c>
      <c r="D1501" s="28" t="s">
        <v>34867</v>
      </c>
      <c r="J1501" t="s">
        <v>4204</v>
      </c>
      <c r="K1501" t="s">
        <v>4205</v>
      </c>
      <c r="L1501" s="28" t="s">
        <v>4206</v>
      </c>
      <c r="M1501" t="s">
        <v>23</v>
      </c>
      <c r="N1501"/>
      <c r="O1501"/>
      <c r="P1501"/>
      <c r="Q1501"/>
      <c r="R1501"/>
      <c r="S1501"/>
    </row>
    <row r="1502" spans="1:19" x14ac:dyDescent="0.25">
      <c r="A1502" t="s">
        <v>193</v>
      </c>
      <c r="C1502" s="27" t="s">
        <v>34749</v>
      </c>
      <c r="D1502" s="28" t="s">
        <v>34867</v>
      </c>
      <c r="J1502" t="s">
        <v>4207</v>
      </c>
      <c r="K1502" t="s">
        <v>4208</v>
      </c>
      <c r="L1502" s="28" t="s">
        <v>4209</v>
      </c>
      <c r="M1502" t="s">
        <v>23</v>
      </c>
      <c r="N1502"/>
      <c r="O1502"/>
      <c r="P1502"/>
      <c r="Q1502"/>
      <c r="R1502"/>
      <c r="S1502"/>
    </row>
    <row r="1503" spans="1:19" x14ac:dyDescent="0.25">
      <c r="A1503" t="s">
        <v>193</v>
      </c>
      <c r="C1503" s="27" t="s">
        <v>34749</v>
      </c>
      <c r="D1503" s="28" t="s">
        <v>34867</v>
      </c>
      <c r="J1503" t="s">
        <v>4210</v>
      </c>
      <c r="K1503" t="s">
        <v>4211</v>
      </c>
      <c r="L1503" s="28" t="s">
        <v>4212</v>
      </c>
      <c r="M1503" t="s">
        <v>23</v>
      </c>
      <c r="N1503"/>
      <c r="O1503"/>
      <c r="P1503"/>
      <c r="Q1503"/>
      <c r="R1503"/>
      <c r="S1503"/>
    </row>
    <row r="1504" spans="1:19" x14ac:dyDescent="0.25">
      <c r="A1504" t="s">
        <v>193</v>
      </c>
      <c r="C1504" s="27" t="s">
        <v>34749</v>
      </c>
      <c r="D1504" s="28" t="s">
        <v>34867</v>
      </c>
      <c r="J1504" t="s">
        <v>4213</v>
      </c>
      <c r="K1504" t="s">
        <v>4214</v>
      </c>
      <c r="L1504" s="28" t="s">
        <v>4215</v>
      </c>
      <c r="M1504" t="s">
        <v>23</v>
      </c>
      <c r="N1504"/>
      <c r="O1504"/>
      <c r="P1504"/>
      <c r="Q1504"/>
      <c r="R1504"/>
      <c r="S1504"/>
    </row>
    <row r="1505" spans="1:19" x14ac:dyDescent="0.25">
      <c r="A1505" t="s">
        <v>193</v>
      </c>
      <c r="C1505" s="27" t="s">
        <v>34749</v>
      </c>
      <c r="D1505" s="28" t="s">
        <v>34867</v>
      </c>
      <c r="J1505" t="s">
        <v>4216</v>
      </c>
      <c r="K1505" t="s">
        <v>4217</v>
      </c>
      <c r="L1505" s="28" t="s">
        <v>4218</v>
      </c>
      <c r="M1505" t="s">
        <v>23</v>
      </c>
      <c r="N1505"/>
      <c r="O1505"/>
      <c r="P1505"/>
      <c r="Q1505"/>
      <c r="R1505"/>
      <c r="S1505"/>
    </row>
    <row r="1506" spans="1:19" x14ac:dyDescent="0.25">
      <c r="A1506" t="s">
        <v>193</v>
      </c>
      <c r="C1506" s="27" t="s">
        <v>34749</v>
      </c>
      <c r="D1506" s="28" t="s">
        <v>34867</v>
      </c>
      <c r="J1506" t="s">
        <v>4219</v>
      </c>
      <c r="K1506" t="s">
        <v>4220</v>
      </c>
      <c r="L1506" s="28" t="s">
        <v>4221</v>
      </c>
      <c r="M1506" t="s">
        <v>23</v>
      </c>
      <c r="N1506"/>
      <c r="O1506"/>
      <c r="P1506"/>
      <c r="Q1506"/>
      <c r="R1506"/>
      <c r="S1506"/>
    </row>
    <row r="1507" spans="1:19" x14ac:dyDescent="0.25">
      <c r="A1507" t="s">
        <v>193</v>
      </c>
      <c r="C1507" s="27" t="s">
        <v>34749</v>
      </c>
      <c r="D1507" s="28" t="s">
        <v>34867</v>
      </c>
      <c r="J1507" t="s">
        <v>4222</v>
      </c>
      <c r="K1507" t="s">
        <v>4223</v>
      </c>
      <c r="L1507" s="28" t="s">
        <v>4224</v>
      </c>
      <c r="M1507" t="s">
        <v>23</v>
      </c>
      <c r="N1507"/>
      <c r="O1507"/>
      <c r="P1507"/>
      <c r="Q1507"/>
      <c r="R1507"/>
      <c r="S1507"/>
    </row>
    <row r="1508" spans="1:19" x14ac:dyDescent="0.25">
      <c r="A1508" t="s">
        <v>193</v>
      </c>
      <c r="C1508" s="27" t="s">
        <v>34749</v>
      </c>
      <c r="D1508" s="28" t="s">
        <v>34867</v>
      </c>
      <c r="J1508" t="s">
        <v>4225</v>
      </c>
      <c r="K1508" t="s">
        <v>4226</v>
      </c>
      <c r="L1508" s="28" t="s">
        <v>4227</v>
      </c>
      <c r="M1508" t="s">
        <v>23</v>
      </c>
      <c r="N1508"/>
      <c r="O1508"/>
      <c r="P1508"/>
      <c r="Q1508"/>
      <c r="R1508"/>
      <c r="S1508"/>
    </row>
    <row r="1509" spans="1:19" x14ac:dyDescent="0.25">
      <c r="A1509" t="s">
        <v>193</v>
      </c>
      <c r="C1509" s="27" t="s">
        <v>34749</v>
      </c>
      <c r="D1509" s="28" t="s">
        <v>34867</v>
      </c>
      <c r="J1509" t="s">
        <v>4228</v>
      </c>
      <c r="K1509" t="s">
        <v>4229</v>
      </c>
      <c r="L1509" s="28" t="s">
        <v>4230</v>
      </c>
      <c r="M1509" t="s">
        <v>23</v>
      </c>
      <c r="N1509"/>
      <c r="O1509"/>
      <c r="P1509"/>
      <c r="Q1509"/>
      <c r="R1509"/>
      <c r="S1509"/>
    </row>
    <row r="1510" spans="1:19" x14ac:dyDescent="0.25">
      <c r="A1510" t="s">
        <v>193</v>
      </c>
      <c r="C1510" s="27" t="s">
        <v>34749</v>
      </c>
      <c r="D1510" s="28" t="s">
        <v>34867</v>
      </c>
      <c r="J1510" t="s">
        <v>4231</v>
      </c>
      <c r="K1510" t="s">
        <v>4232</v>
      </c>
      <c r="L1510" s="28" t="s">
        <v>4233</v>
      </c>
      <c r="M1510" t="s">
        <v>23</v>
      </c>
      <c r="N1510"/>
      <c r="O1510"/>
      <c r="P1510"/>
      <c r="Q1510"/>
      <c r="R1510"/>
      <c r="S1510"/>
    </row>
    <row r="1511" spans="1:19" x14ac:dyDescent="0.25">
      <c r="A1511" t="s">
        <v>193</v>
      </c>
      <c r="C1511" s="27" t="s">
        <v>34749</v>
      </c>
      <c r="D1511" s="28" t="s">
        <v>34867</v>
      </c>
      <c r="J1511" t="s">
        <v>4234</v>
      </c>
      <c r="K1511" t="s">
        <v>4235</v>
      </c>
      <c r="L1511" s="28" t="s">
        <v>4236</v>
      </c>
      <c r="M1511" t="s">
        <v>23</v>
      </c>
      <c r="N1511"/>
      <c r="O1511"/>
      <c r="P1511"/>
      <c r="Q1511"/>
      <c r="R1511"/>
      <c r="S1511"/>
    </row>
    <row r="1512" spans="1:19" x14ac:dyDescent="0.25">
      <c r="A1512" t="s">
        <v>193</v>
      </c>
      <c r="C1512" s="27" t="s">
        <v>34749</v>
      </c>
      <c r="D1512" s="28" t="s">
        <v>34867</v>
      </c>
      <c r="J1512" t="s">
        <v>4237</v>
      </c>
      <c r="K1512" t="s">
        <v>4238</v>
      </c>
      <c r="L1512" s="28" t="s">
        <v>4239</v>
      </c>
      <c r="M1512" t="s">
        <v>23</v>
      </c>
      <c r="N1512"/>
      <c r="O1512"/>
      <c r="P1512"/>
      <c r="Q1512"/>
      <c r="R1512"/>
      <c r="S1512"/>
    </row>
    <row r="1513" spans="1:19" x14ac:dyDescent="0.25">
      <c r="A1513" t="s">
        <v>193</v>
      </c>
      <c r="C1513" s="27" t="s">
        <v>34749</v>
      </c>
      <c r="D1513" s="28" t="s">
        <v>34867</v>
      </c>
      <c r="J1513" t="s">
        <v>4240</v>
      </c>
      <c r="K1513" t="s">
        <v>4241</v>
      </c>
      <c r="L1513" s="28" t="s">
        <v>4242</v>
      </c>
      <c r="M1513" t="s">
        <v>23</v>
      </c>
      <c r="N1513"/>
      <c r="O1513"/>
      <c r="P1513"/>
      <c r="Q1513"/>
      <c r="R1513"/>
      <c r="S1513"/>
    </row>
    <row r="1514" spans="1:19" x14ac:dyDescent="0.25">
      <c r="A1514" t="s">
        <v>193</v>
      </c>
      <c r="C1514" s="27" t="s">
        <v>34749</v>
      </c>
      <c r="D1514" s="28" t="s">
        <v>34867</v>
      </c>
      <c r="J1514" t="s">
        <v>4243</v>
      </c>
      <c r="K1514" t="s">
        <v>4244</v>
      </c>
      <c r="L1514" s="28" t="s">
        <v>4245</v>
      </c>
      <c r="M1514" t="s">
        <v>23</v>
      </c>
      <c r="N1514"/>
      <c r="O1514"/>
      <c r="P1514"/>
      <c r="Q1514"/>
      <c r="R1514"/>
      <c r="S1514"/>
    </row>
    <row r="1515" spans="1:19" x14ac:dyDescent="0.25">
      <c r="A1515" t="s">
        <v>193</v>
      </c>
      <c r="C1515" s="27" t="s">
        <v>34749</v>
      </c>
      <c r="D1515" s="28" t="s">
        <v>34867</v>
      </c>
      <c r="J1515" t="s">
        <v>4246</v>
      </c>
      <c r="K1515" t="s">
        <v>4247</v>
      </c>
      <c r="L1515" s="28" t="s">
        <v>4248</v>
      </c>
      <c r="M1515" t="s">
        <v>23</v>
      </c>
      <c r="N1515"/>
      <c r="O1515"/>
      <c r="P1515"/>
      <c r="Q1515"/>
      <c r="R1515"/>
      <c r="S1515"/>
    </row>
    <row r="1516" spans="1:19" x14ac:dyDescent="0.25">
      <c r="A1516" t="s">
        <v>193</v>
      </c>
      <c r="C1516" s="27" t="s">
        <v>34749</v>
      </c>
      <c r="D1516" s="28" t="s">
        <v>34867</v>
      </c>
      <c r="J1516" t="s">
        <v>4249</v>
      </c>
      <c r="K1516" t="s">
        <v>4250</v>
      </c>
      <c r="L1516" s="28" t="s">
        <v>4251</v>
      </c>
      <c r="M1516" t="s">
        <v>23</v>
      </c>
      <c r="N1516"/>
      <c r="O1516"/>
      <c r="P1516"/>
      <c r="Q1516"/>
      <c r="R1516"/>
      <c r="S1516"/>
    </row>
    <row r="1517" spans="1:19" x14ac:dyDescent="0.25">
      <c r="A1517" t="s">
        <v>193</v>
      </c>
      <c r="C1517" s="27" t="s">
        <v>34749</v>
      </c>
      <c r="D1517" s="28" t="s">
        <v>34867</v>
      </c>
      <c r="J1517" t="s">
        <v>4252</v>
      </c>
      <c r="K1517" t="s">
        <v>4253</v>
      </c>
      <c r="L1517" s="28" t="s">
        <v>4254</v>
      </c>
      <c r="M1517" t="s">
        <v>23</v>
      </c>
      <c r="N1517"/>
      <c r="O1517"/>
      <c r="P1517"/>
      <c r="Q1517"/>
      <c r="R1517"/>
      <c r="S1517"/>
    </row>
    <row r="1518" spans="1:19" x14ac:dyDescent="0.25">
      <c r="A1518" t="s">
        <v>193</v>
      </c>
      <c r="C1518" s="27" t="s">
        <v>34749</v>
      </c>
      <c r="D1518" s="28" t="s">
        <v>34867</v>
      </c>
      <c r="J1518" t="s">
        <v>4255</v>
      </c>
      <c r="K1518" t="s">
        <v>4256</v>
      </c>
      <c r="L1518" s="28" t="s">
        <v>4257</v>
      </c>
      <c r="M1518" t="s">
        <v>23</v>
      </c>
      <c r="N1518"/>
      <c r="O1518"/>
      <c r="P1518"/>
      <c r="Q1518"/>
      <c r="R1518"/>
      <c r="S1518"/>
    </row>
    <row r="1519" spans="1:19" x14ac:dyDescent="0.25">
      <c r="A1519" t="s">
        <v>193</v>
      </c>
      <c r="C1519" s="27" t="s">
        <v>34749</v>
      </c>
      <c r="D1519" s="28" t="s">
        <v>34867</v>
      </c>
      <c r="J1519" t="s">
        <v>4258</v>
      </c>
      <c r="K1519" t="s">
        <v>4259</v>
      </c>
      <c r="L1519" s="28" t="s">
        <v>4260</v>
      </c>
      <c r="M1519" t="s">
        <v>23</v>
      </c>
      <c r="N1519"/>
      <c r="O1519"/>
      <c r="P1519"/>
      <c r="Q1519"/>
      <c r="R1519"/>
      <c r="S1519"/>
    </row>
    <row r="1520" spans="1:19" x14ac:dyDescent="0.25">
      <c r="A1520" t="s">
        <v>193</v>
      </c>
      <c r="C1520" s="27" t="s">
        <v>34749</v>
      </c>
      <c r="D1520" s="28" t="s">
        <v>34867</v>
      </c>
      <c r="J1520" t="s">
        <v>4261</v>
      </c>
      <c r="K1520" t="s">
        <v>4262</v>
      </c>
      <c r="L1520" s="28" t="s">
        <v>4263</v>
      </c>
      <c r="M1520" t="s">
        <v>23</v>
      </c>
      <c r="N1520"/>
      <c r="O1520"/>
      <c r="P1520"/>
      <c r="Q1520"/>
      <c r="R1520"/>
      <c r="S1520"/>
    </row>
    <row r="1521" spans="1:19" x14ac:dyDescent="0.25">
      <c r="A1521" t="s">
        <v>193</v>
      </c>
      <c r="C1521" s="27" t="s">
        <v>34749</v>
      </c>
      <c r="D1521" s="28" t="s">
        <v>34867</v>
      </c>
      <c r="J1521" t="s">
        <v>4264</v>
      </c>
      <c r="K1521" t="s">
        <v>4265</v>
      </c>
      <c r="L1521" s="28" t="s">
        <v>4266</v>
      </c>
      <c r="M1521" t="s">
        <v>23</v>
      </c>
      <c r="N1521"/>
      <c r="O1521"/>
      <c r="P1521"/>
      <c r="Q1521"/>
      <c r="R1521"/>
      <c r="S1521"/>
    </row>
    <row r="1522" spans="1:19" x14ac:dyDescent="0.25">
      <c r="A1522" t="s">
        <v>193</v>
      </c>
      <c r="C1522" s="27" t="s">
        <v>34749</v>
      </c>
      <c r="D1522" s="28" t="s">
        <v>34867</v>
      </c>
      <c r="J1522" t="s">
        <v>4267</v>
      </c>
      <c r="K1522" t="s">
        <v>4268</v>
      </c>
      <c r="L1522" s="28" t="s">
        <v>4269</v>
      </c>
      <c r="M1522" t="s">
        <v>23</v>
      </c>
      <c r="N1522"/>
      <c r="O1522"/>
      <c r="P1522"/>
      <c r="Q1522"/>
      <c r="R1522"/>
      <c r="S1522"/>
    </row>
    <row r="1523" spans="1:19" x14ac:dyDescent="0.25">
      <c r="A1523" t="s">
        <v>193</v>
      </c>
      <c r="C1523" s="27" t="s">
        <v>34749</v>
      </c>
      <c r="D1523" s="28" t="s">
        <v>34867</v>
      </c>
      <c r="J1523" t="s">
        <v>4270</v>
      </c>
      <c r="K1523" t="s">
        <v>4271</v>
      </c>
      <c r="L1523" s="28" t="s">
        <v>4272</v>
      </c>
      <c r="M1523" t="s">
        <v>23</v>
      </c>
      <c r="N1523"/>
      <c r="O1523"/>
      <c r="P1523"/>
      <c r="Q1523"/>
      <c r="R1523"/>
      <c r="S1523"/>
    </row>
    <row r="1524" spans="1:19" x14ac:dyDescent="0.25">
      <c r="A1524" t="s">
        <v>193</v>
      </c>
      <c r="C1524" s="27" t="s">
        <v>34749</v>
      </c>
      <c r="D1524" s="28" t="s">
        <v>34867</v>
      </c>
      <c r="J1524" t="s">
        <v>4273</v>
      </c>
      <c r="K1524" t="s">
        <v>4274</v>
      </c>
      <c r="L1524" s="28" t="s">
        <v>4275</v>
      </c>
      <c r="M1524" t="s">
        <v>23</v>
      </c>
      <c r="N1524"/>
      <c r="O1524"/>
      <c r="P1524"/>
      <c r="Q1524"/>
      <c r="R1524"/>
      <c r="S1524"/>
    </row>
    <row r="1525" spans="1:19" x14ac:dyDescent="0.25">
      <c r="A1525" t="s">
        <v>193</v>
      </c>
      <c r="C1525" s="27" t="s">
        <v>34749</v>
      </c>
      <c r="D1525" s="28" t="s">
        <v>34867</v>
      </c>
      <c r="J1525" t="s">
        <v>4276</v>
      </c>
      <c r="K1525" t="s">
        <v>4277</v>
      </c>
      <c r="L1525" s="28" t="s">
        <v>4278</v>
      </c>
      <c r="M1525" t="s">
        <v>23</v>
      </c>
      <c r="N1525"/>
      <c r="O1525"/>
      <c r="P1525"/>
      <c r="Q1525"/>
      <c r="R1525"/>
      <c r="S1525"/>
    </row>
    <row r="1526" spans="1:19" x14ac:dyDescent="0.25">
      <c r="A1526" t="s">
        <v>193</v>
      </c>
      <c r="C1526" s="27" t="s">
        <v>34749</v>
      </c>
      <c r="D1526" s="28" t="s">
        <v>34867</v>
      </c>
      <c r="J1526" t="s">
        <v>4279</v>
      </c>
      <c r="K1526" t="s">
        <v>4280</v>
      </c>
      <c r="L1526" s="28" t="s">
        <v>4281</v>
      </c>
      <c r="M1526" t="s">
        <v>23</v>
      </c>
      <c r="N1526"/>
      <c r="O1526"/>
      <c r="P1526"/>
      <c r="Q1526"/>
      <c r="R1526"/>
      <c r="S1526"/>
    </row>
    <row r="1527" spans="1:19" x14ac:dyDescent="0.25">
      <c r="A1527" t="s">
        <v>193</v>
      </c>
      <c r="C1527" s="27" t="s">
        <v>34749</v>
      </c>
      <c r="D1527" s="28" t="s">
        <v>34867</v>
      </c>
      <c r="J1527" t="s">
        <v>4282</v>
      </c>
      <c r="K1527" t="s">
        <v>4283</v>
      </c>
      <c r="L1527" s="28" t="s">
        <v>4284</v>
      </c>
      <c r="M1527" t="s">
        <v>23</v>
      </c>
      <c r="N1527"/>
      <c r="O1527"/>
      <c r="P1527"/>
      <c r="Q1527"/>
      <c r="R1527"/>
      <c r="S1527"/>
    </row>
    <row r="1528" spans="1:19" x14ac:dyDescent="0.25">
      <c r="A1528" t="s">
        <v>193</v>
      </c>
      <c r="C1528" s="27" t="s">
        <v>34749</v>
      </c>
      <c r="D1528" s="28" t="s">
        <v>34867</v>
      </c>
      <c r="J1528" t="s">
        <v>4285</v>
      </c>
      <c r="K1528" t="s">
        <v>4286</v>
      </c>
      <c r="L1528" s="28" t="s">
        <v>4287</v>
      </c>
      <c r="M1528" t="s">
        <v>23</v>
      </c>
      <c r="N1528"/>
      <c r="O1528"/>
      <c r="P1528"/>
      <c r="Q1528"/>
      <c r="R1528"/>
      <c r="S1528"/>
    </row>
    <row r="1529" spans="1:19" x14ac:dyDescent="0.25">
      <c r="A1529" t="s">
        <v>193</v>
      </c>
      <c r="C1529" s="27" t="s">
        <v>34749</v>
      </c>
      <c r="D1529" s="28" t="s">
        <v>34867</v>
      </c>
      <c r="J1529" t="s">
        <v>4288</v>
      </c>
      <c r="K1529" t="s">
        <v>4289</v>
      </c>
      <c r="L1529" s="28" t="s">
        <v>4290</v>
      </c>
      <c r="M1529" t="s">
        <v>23</v>
      </c>
      <c r="N1529"/>
      <c r="O1529"/>
      <c r="P1529"/>
      <c r="Q1529"/>
      <c r="R1529"/>
      <c r="S1529"/>
    </row>
    <row r="1530" spans="1:19" x14ac:dyDescent="0.25">
      <c r="A1530" t="s">
        <v>193</v>
      </c>
      <c r="C1530" s="27" t="s">
        <v>34749</v>
      </c>
      <c r="D1530" s="28" t="s">
        <v>34867</v>
      </c>
      <c r="J1530" t="s">
        <v>4291</v>
      </c>
      <c r="K1530" t="s">
        <v>4292</v>
      </c>
      <c r="L1530" s="28" t="s">
        <v>4293</v>
      </c>
      <c r="M1530" t="s">
        <v>23</v>
      </c>
      <c r="N1530"/>
      <c r="O1530"/>
      <c r="P1530"/>
      <c r="Q1530"/>
      <c r="R1530"/>
      <c r="S1530"/>
    </row>
    <row r="1531" spans="1:19" x14ac:dyDescent="0.25">
      <c r="A1531" t="s">
        <v>193</v>
      </c>
      <c r="C1531" s="27" t="s">
        <v>34749</v>
      </c>
      <c r="D1531" s="28" t="s">
        <v>34867</v>
      </c>
      <c r="J1531" t="s">
        <v>4294</v>
      </c>
      <c r="K1531" t="s">
        <v>4295</v>
      </c>
      <c r="L1531" s="28" t="s">
        <v>4296</v>
      </c>
      <c r="M1531" t="s">
        <v>23</v>
      </c>
      <c r="N1531"/>
      <c r="O1531"/>
      <c r="P1531"/>
      <c r="Q1531"/>
      <c r="R1531"/>
      <c r="S1531"/>
    </row>
    <row r="1532" spans="1:19" x14ac:dyDescent="0.25">
      <c r="A1532" t="s">
        <v>193</v>
      </c>
      <c r="C1532" s="27" t="s">
        <v>34749</v>
      </c>
      <c r="D1532" s="28" t="s">
        <v>34867</v>
      </c>
      <c r="J1532" t="s">
        <v>4297</v>
      </c>
      <c r="K1532" t="s">
        <v>4298</v>
      </c>
      <c r="L1532" s="28" t="s">
        <v>4299</v>
      </c>
      <c r="M1532" t="s">
        <v>23</v>
      </c>
      <c r="N1532"/>
      <c r="O1532"/>
      <c r="P1532"/>
      <c r="Q1532"/>
      <c r="R1532"/>
      <c r="S1532"/>
    </row>
    <row r="1533" spans="1:19" x14ac:dyDescent="0.25">
      <c r="A1533" t="s">
        <v>193</v>
      </c>
      <c r="C1533" s="27" t="s">
        <v>34749</v>
      </c>
      <c r="D1533" s="28" t="s">
        <v>34867</v>
      </c>
      <c r="J1533" t="s">
        <v>4300</v>
      </c>
      <c r="K1533" t="s">
        <v>4301</v>
      </c>
      <c r="L1533" s="28" t="s">
        <v>4302</v>
      </c>
      <c r="M1533" t="s">
        <v>23</v>
      </c>
      <c r="N1533"/>
      <c r="O1533"/>
      <c r="P1533"/>
      <c r="Q1533"/>
      <c r="R1533"/>
      <c r="S1533"/>
    </row>
    <row r="1534" spans="1:19" x14ac:dyDescent="0.25">
      <c r="A1534" t="s">
        <v>193</v>
      </c>
      <c r="C1534" s="27" t="s">
        <v>34749</v>
      </c>
      <c r="D1534" s="28" t="s">
        <v>34867</v>
      </c>
      <c r="J1534" t="s">
        <v>4303</v>
      </c>
      <c r="K1534" t="s">
        <v>4304</v>
      </c>
      <c r="L1534" s="28" t="s">
        <v>4305</v>
      </c>
      <c r="M1534" t="s">
        <v>23</v>
      </c>
      <c r="N1534"/>
      <c r="O1534"/>
      <c r="P1534"/>
      <c r="Q1534"/>
      <c r="R1534"/>
      <c r="S1534"/>
    </row>
    <row r="1535" spans="1:19" x14ac:dyDescent="0.25">
      <c r="A1535" t="s">
        <v>193</v>
      </c>
      <c r="C1535" s="27" t="s">
        <v>34749</v>
      </c>
      <c r="D1535" s="28" t="s">
        <v>34867</v>
      </c>
      <c r="J1535" t="s">
        <v>4306</v>
      </c>
      <c r="K1535" t="s">
        <v>4307</v>
      </c>
      <c r="L1535" s="28" t="s">
        <v>4308</v>
      </c>
      <c r="M1535" t="s">
        <v>23</v>
      </c>
      <c r="N1535"/>
      <c r="O1535"/>
      <c r="P1535"/>
      <c r="Q1535"/>
      <c r="R1535"/>
      <c r="S1535"/>
    </row>
    <row r="1536" spans="1:19" x14ac:dyDescent="0.25">
      <c r="A1536" t="s">
        <v>193</v>
      </c>
      <c r="C1536" s="27" t="s">
        <v>34749</v>
      </c>
      <c r="D1536" s="28" t="s">
        <v>34867</v>
      </c>
      <c r="J1536" t="s">
        <v>4309</v>
      </c>
      <c r="K1536" t="s">
        <v>4310</v>
      </c>
      <c r="L1536" s="28" t="s">
        <v>4311</v>
      </c>
      <c r="M1536" t="s">
        <v>23</v>
      </c>
      <c r="N1536"/>
      <c r="O1536"/>
      <c r="P1536"/>
      <c r="Q1536"/>
      <c r="R1536"/>
      <c r="S1536"/>
    </row>
    <row r="1537" spans="1:19" x14ac:dyDescent="0.25">
      <c r="A1537" t="s">
        <v>193</v>
      </c>
      <c r="C1537" s="27" t="s">
        <v>34749</v>
      </c>
      <c r="D1537" s="28" t="s">
        <v>34867</v>
      </c>
      <c r="J1537" t="s">
        <v>4312</v>
      </c>
      <c r="K1537" t="s">
        <v>4313</v>
      </c>
      <c r="L1537" s="28" t="s">
        <v>4314</v>
      </c>
      <c r="M1537" t="s">
        <v>23</v>
      </c>
      <c r="N1537"/>
      <c r="O1537"/>
      <c r="P1537"/>
      <c r="Q1537"/>
      <c r="R1537"/>
      <c r="S1537"/>
    </row>
    <row r="1538" spans="1:19" x14ac:dyDescent="0.25">
      <c r="A1538" t="s">
        <v>193</v>
      </c>
      <c r="C1538" s="27" t="s">
        <v>34749</v>
      </c>
      <c r="D1538" s="28" t="s">
        <v>34867</v>
      </c>
      <c r="J1538" t="s">
        <v>4315</v>
      </c>
      <c r="K1538" t="s">
        <v>4316</v>
      </c>
      <c r="L1538" s="28" t="s">
        <v>4317</v>
      </c>
      <c r="M1538" t="s">
        <v>23</v>
      </c>
      <c r="N1538"/>
      <c r="O1538"/>
      <c r="P1538"/>
      <c r="Q1538"/>
      <c r="R1538"/>
      <c r="S1538"/>
    </row>
    <row r="1539" spans="1:19" x14ac:dyDescent="0.25">
      <c r="A1539" t="s">
        <v>193</v>
      </c>
      <c r="C1539" s="27" t="s">
        <v>34749</v>
      </c>
      <c r="D1539" s="28" t="s">
        <v>34867</v>
      </c>
      <c r="J1539" t="s">
        <v>4318</v>
      </c>
      <c r="K1539" t="s">
        <v>4319</v>
      </c>
      <c r="L1539" s="28" t="s">
        <v>4320</v>
      </c>
      <c r="M1539" t="s">
        <v>23</v>
      </c>
      <c r="N1539"/>
      <c r="O1539"/>
      <c r="P1539"/>
      <c r="Q1539"/>
      <c r="R1539"/>
      <c r="S1539"/>
    </row>
    <row r="1540" spans="1:19" x14ac:dyDescent="0.25">
      <c r="A1540" t="s">
        <v>193</v>
      </c>
      <c r="C1540" s="27" t="s">
        <v>34749</v>
      </c>
      <c r="D1540" s="28" t="s">
        <v>34867</v>
      </c>
      <c r="J1540" t="s">
        <v>4321</v>
      </c>
      <c r="K1540" t="s">
        <v>4322</v>
      </c>
      <c r="L1540" s="28" t="s">
        <v>4323</v>
      </c>
      <c r="M1540" t="s">
        <v>23</v>
      </c>
      <c r="N1540"/>
      <c r="O1540"/>
      <c r="P1540"/>
      <c r="Q1540"/>
      <c r="R1540"/>
      <c r="S1540"/>
    </row>
    <row r="1541" spans="1:19" x14ac:dyDescent="0.25">
      <c r="A1541" t="s">
        <v>193</v>
      </c>
      <c r="C1541" s="27" t="s">
        <v>34749</v>
      </c>
      <c r="D1541" s="28" t="s">
        <v>34867</v>
      </c>
      <c r="J1541" t="s">
        <v>4324</v>
      </c>
      <c r="K1541" t="s">
        <v>4325</v>
      </c>
      <c r="L1541" s="28" t="s">
        <v>4326</v>
      </c>
      <c r="M1541" t="s">
        <v>23</v>
      </c>
      <c r="N1541"/>
      <c r="O1541"/>
      <c r="P1541"/>
      <c r="Q1541"/>
      <c r="R1541"/>
      <c r="S1541"/>
    </row>
    <row r="1542" spans="1:19" x14ac:dyDescent="0.25">
      <c r="A1542" t="s">
        <v>193</v>
      </c>
      <c r="C1542" s="27" t="s">
        <v>34749</v>
      </c>
      <c r="D1542" s="28" t="s">
        <v>34867</v>
      </c>
      <c r="J1542" t="s">
        <v>4327</v>
      </c>
      <c r="K1542" t="s">
        <v>4328</v>
      </c>
      <c r="L1542" s="28" t="s">
        <v>4329</v>
      </c>
      <c r="M1542" t="s">
        <v>23</v>
      </c>
      <c r="N1542"/>
      <c r="O1542"/>
      <c r="P1542"/>
      <c r="Q1542"/>
      <c r="R1542"/>
      <c r="S1542"/>
    </row>
    <row r="1543" spans="1:19" x14ac:dyDescent="0.25">
      <c r="A1543" t="s">
        <v>193</v>
      </c>
      <c r="C1543" s="27" t="s">
        <v>34749</v>
      </c>
      <c r="D1543" s="28" t="s">
        <v>34867</v>
      </c>
      <c r="J1543" t="s">
        <v>4330</v>
      </c>
      <c r="K1543" t="s">
        <v>4331</v>
      </c>
      <c r="L1543" s="28" t="s">
        <v>4332</v>
      </c>
      <c r="M1543" t="s">
        <v>23</v>
      </c>
      <c r="N1543"/>
      <c r="O1543"/>
      <c r="P1543"/>
      <c r="Q1543"/>
      <c r="R1543"/>
      <c r="S1543"/>
    </row>
    <row r="1544" spans="1:19" x14ac:dyDescent="0.25">
      <c r="A1544" t="s">
        <v>193</v>
      </c>
      <c r="C1544" s="27" t="s">
        <v>34749</v>
      </c>
      <c r="D1544" s="28" t="s">
        <v>34867</v>
      </c>
      <c r="J1544" t="s">
        <v>4333</v>
      </c>
      <c r="K1544" t="s">
        <v>4334</v>
      </c>
      <c r="L1544" s="28" t="s">
        <v>4335</v>
      </c>
      <c r="M1544" t="s">
        <v>23</v>
      </c>
      <c r="N1544"/>
      <c r="O1544"/>
      <c r="P1544"/>
      <c r="Q1544"/>
      <c r="R1544"/>
      <c r="S1544"/>
    </row>
    <row r="1545" spans="1:19" x14ac:dyDescent="0.25">
      <c r="A1545" s="28" t="s">
        <v>14843</v>
      </c>
      <c r="J1545" t="s">
        <v>4336</v>
      </c>
      <c r="K1545" t="s">
        <v>4337</v>
      </c>
      <c r="M1545" t="s">
        <v>47</v>
      </c>
      <c r="N1545"/>
      <c r="O1545"/>
      <c r="P1545"/>
      <c r="Q1545"/>
      <c r="R1545"/>
      <c r="S1545"/>
    </row>
    <row r="1546" spans="1:19" x14ac:dyDescent="0.25">
      <c r="A1546" t="s">
        <v>193</v>
      </c>
      <c r="C1546" s="27" t="s">
        <v>34749</v>
      </c>
      <c r="D1546" s="28" t="s">
        <v>34867</v>
      </c>
      <c r="J1546" t="s">
        <v>4338</v>
      </c>
      <c r="K1546" t="s">
        <v>4339</v>
      </c>
      <c r="L1546" s="28" t="s">
        <v>4340</v>
      </c>
      <c r="M1546" t="s">
        <v>23</v>
      </c>
      <c r="N1546"/>
      <c r="O1546"/>
      <c r="P1546"/>
      <c r="Q1546"/>
      <c r="R1546"/>
      <c r="S1546"/>
    </row>
    <row r="1547" spans="1:19" x14ac:dyDescent="0.25">
      <c r="A1547" s="28" t="s">
        <v>14843</v>
      </c>
      <c r="J1547" t="s">
        <v>4341</v>
      </c>
      <c r="K1547" t="s">
        <v>4342</v>
      </c>
      <c r="M1547" t="s">
        <v>666</v>
      </c>
      <c r="N1547"/>
      <c r="O1547"/>
      <c r="P1547"/>
      <c r="Q1547"/>
      <c r="R1547"/>
      <c r="S1547"/>
    </row>
    <row r="1548" spans="1:19" x14ac:dyDescent="0.25">
      <c r="A1548" t="s">
        <v>193</v>
      </c>
      <c r="C1548" s="27" t="s">
        <v>34749</v>
      </c>
      <c r="D1548" s="28" t="s">
        <v>34867</v>
      </c>
      <c r="E1548" s="3"/>
      <c r="F1548" s="3"/>
      <c r="J1548" t="s">
        <v>4343</v>
      </c>
      <c r="K1548" t="s">
        <v>4344</v>
      </c>
      <c r="L1548" s="28" t="s">
        <v>4345</v>
      </c>
      <c r="M1548" t="s">
        <v>23</v>
      </c>
      <c r="N1548"/>
      <c r="O1548"/>
      <c r="P1548"/>
      <c r="Q1548"/>
      <c r="R1548"/>
      <c r="S1548"/>
    </row>
    <row r="1549" spans="1:19" x14ac:dyDescent="0.25">
      <c r="A1549" t="s">
        <v>193</v>
      </c>
      <c r="C1549" s="27" t="s">
        <v>34749</v>
      </c>
      <c r="D1549" s="28" t="s">
        <v>34867</v>
      </c>
      <c r="I1549" t="str">
        <f>CONCATENATE(LEFT(K1549,SEARCH(" (",K1549))," | ", RIGHT(LEFT(K1549,LEN(K1549)-1),LEN(K1549)-2-FIND(" (",K1549)))</f>
        <v>bis(2-ethylhexyl)ftalaat  | DEHP</v>
      </c>
      <c r="J1549" t="s">
        <v>4346</v>
      </c>
      <c r="K1549" t="s">
        <v>4347</v>
      </c>
      <c r="L1549" s="28" t="s">
        <v>4348</v>
      </c>
      <c r="M1549" t="s">
        <v>23</v>
      </c>
      <c r="N1549"/>
      <c r="O1549"/>
      <c r="P1549"/>
      <c r="Q1549"/>
      <c r="R1549"/>
      <c r="S1549"/>
    </row>
    <row r="1550" spans="1:19" x14ac:dyDescent="0.25">
      <c r="A1550" s="28" t="s">
        <v>14843</v>
      </c>
      <c r="J1550" t="s">
        <v>4349</v>
      </c>
      <c r="K1550" t="s">
        <v>4350</v>
      </c>
      <c r="M1550" t="s">
        <v>47</v>
      </c>
      <c r="N1550"/>
      <c r="O1550"/>
      <c r="P1550"/>
      <c r="Q1550"/>
      <c r="R1550"/>
      <c r="S1550"/>
    </row>
    <row r="1551" spans="1:19" x14ac:dyDescent="0.25">
      <c r="A1551" s="28" t="s">
        <v>14843</v>
      </c>
      <c r="J1551" t="s">
        <v>4351</v>
      </c>
      <c r="K1551" t="s">
        <v>4352</v>
      </c>
      <c r="M1551" t="s">
        <v>47</v>
      </c>
      <c r="N1551"/>
      <c r="O1551"/>
      <c r="P1551"/>
      <c r="Q1551"/>
      <c r="R1551"/>
      <c r="S1551"/>
    </row>
    <row r="1552" spans="1:19" x14ac:dyDescent="0.25">
      <c r="A1552" s="28" t="s">
        <v>14843</v>
      </c>
      <c r="J1552" t="s">
        <v>4353</v>
      </c>
      <c r="K1552" t="s">
        <v>4354</v>
      </c>
      <c r="M1552" t="s">
        <v>2779</v>
      </c>
      <c r="N1552"/>
      <c r="O1552"/>
      <c r="P1552"/>
      <c r="Q1552"/>
      <c r="R1552"/>
      <c r="S1552"/>
    </row>
    <row r="1553" spans="1:19" x14ac:dyDescent="0.25">
      <c r="A1553" s="28" t="s">
        <v>14843</v>
      </c>
      <c r="J1553" t="s">
        <v>4355</v>
      </c>
      <c r="K1553" t="s">
        <v>4356</v>
      </c>
      <c r="M1553" t="s">
        <v>2779</v>
      </c>
      <c r="N1553"/>
      <c r="O1553"/>
      <c r="P1553"/>
      <c r="Q1553"/>
      <c r="R1553"/>
      <c r="S1553"/>
    </row>
    <row r="1554" spans="1:19" x14ac:dyDescent="0.25">
      <c r="A1554" t="s">
        <v>193</v>
      </c>
      <c r="C1554" s="27" t="s">
        <v>34749</v>
      </c>
      <c r="D1554" s="28" t="s">
        <v>34867</v>
      </c>
      <c r="J1554" t="s">
        <v>4357</v>
      </c>
      <c r="K1554" t="s">
        <v>4358</v>
      </c>
      <c r="L1554" s="28" t="s">
        <v>4359</v>
      </c>
      <c r="M1554" t="s">
        <v>23</v>
      </c>
      <c r="N1554"/>
      <c r="O1554"/>
      <c r="P1554"/>
      <c r="Q1554"/>
      <c r="R1554"/>
      <c r="S1554"/>
    </row>
    <row r="1555" spans="1:19" x14ac:dyDescent="0.25">
      <c r="A1555" t="s">
        <v>193</v>
      </c>
      <c r="C1555" s="27" t="s">
        <v>34749</v>
      </c>
      <c r="D1555" s="28" t="s">
        <v>34867</v>
      </c>
      <c r="J1555" t="s">
        <v>4360</v>
      </c>
      <c r="K1555" t="s">
        <v>4361</v>
      </c>
      <c r="L1555" s="28" t="s">
        <v>4362</v>
      </c>
      <c r="M1555" t="s">
        <v>23</v>
      </c>
      <c r="N1555"/>
      <c r="O1555"/>
      <c r="P1555"/>
      <c r="Q1555"/>
      <c r="R1555"/>
      <c r="S1555"/>
    </row>
    <row r="1556" spans="1:19" x14ac:dyDescent="0.25">
      <c r="A1556" s="27" t="s">
        <v>193</v>
      </c>
      <c r="C1556" s="27" t="s">
        <v>34749</v>
      </c>
      <c r="D1556" s="28" t="s">
        <v>34867</v>
      </c>
      <c r="J1556" t="s">
        <v>4363</v>
      </c>
      <c r="K1556" t="s">
        <v>4364</v>
      </c>
      <c r="M1556" t="s">
        <v>23</v>
      </c>
      <c r="N1556"/>
      <c r="O1556"/>
      <c r="P1556"/>
      <c r="Q1556"/>
      <c r="R1556"/>
      <c r="S1556"/>
    </row>
    <row r="1557" spans="1:19" x14ac:dyDescent="0.25">
      <c r="A1557" t="s">
        <v>193</v>
      </c>
      <c r="C1557" s="27" t="s">
        <v>34749</v>
      </c>
      <c r="D1557" s="28" t="s">
        <v>34867</v>
      </c>
      <c r="I1557" t="str">
        <f>CONCATENATE(LEFT(K1557,SEARCH(" (",K1557))," | ", RIGHT(LEFT(K1557,LEN(K1557)-1),LEN(K1557)-2-FIND(" (",K1557)))</f>
        <v>diglycidyl resorcinol ether  | DGRE</v>
      </c>
      <c r="J1557" t="s">
        <v>4365</v>
      </c>
      <c r="K1557" t="s">
        <v>4366</v>
      </c>
      <c r="L1557" s="28" t="s">
        <v>4367</v>
      </c>
      <c r="M1557" t="s">
        <v>23</v>
      </c>
      <c r="N1557"/>
      <c r="O1557"/>
      <c r="P1557"/>
      <c r="Q1557"/>
      <c r="R1557"/>
      <c r="S1557"/>
    </row>
    <row r="1558" spans="1:19" x14ac:dyDescent="0.25">
      <c r="A1558" t="s">
        <v>193</v>
      </c>
      <c r="C1558" s="27" t="s">
        <v>34749</v>
      </c>
      <c r="D1558" s="28" t="s">
        <v>34867</v>
      </c>
      <c r="J1558" t="s">
        <v>4368</v>
      </c>
      <c r="K1558" t="s">
        <v>4369</v>
      </c>
      <c r="L1558" s="28" t="s">
        <v>4370</v>
      </c>
      <c r="M1558" t="s">
        <v>23</v>
      </c>
      <c r="N1558"/>
      <c r="O1558"/>
      <c r="P1558"/>
      <c r="Q1558"/>
      <c r="R1558"/>
      <c r="S1558"/>
    </row>
    <row r="1559" spans="1:19" x14ac:dyDescent="0.25">
      <c r="A1559" t="s">
        <v>193</v>
      </c>
      <c r="C1559" s="27" t="s">
        <v>34749</v>
      </c>
      <c r="D1559" s="28" t="s">
        <v>34867</v>
      </c>
      <c r="J1559" t="s">
        <v>4371</v>
      </c>
      <c r="K1559" t="s">
        <v>4372</v>
      </c>
      <c r="L1559" s="28" t="s">
        <v>4373</v>
      </c>
      <c r="M1559" t="s">
        <v>23</v>
      </c>
      <c r="N1559"/>
      <c r="O1559"/>
      <c r="P1559"/>
      <c r="Q1559"/>
      <c r="R1559"/>
      <c r="S1559"/>
    </row>
    <row r="1560" spans="1:19" x14ac:dyDescent="0.25">
      <c r="A1560" t="s">
        <v>193</v>
      </c>
      <c r="C1560" s="27" t="s">
        <v>34749</v>
      </c>
      <c r="D1560" s="28" t="s">
        <v>34867</v>
      </c>
      <c r="J1560" t="s">
        <v>4374</v>
      </c>
      <c r="K1560" t="s">
        <v>4375</v>
      </c>
      <c r="L1560" s="28" t="s">
        <v>4376</v>
      </c>
      <c r="M1560" t="s">
        <v>23</v>
      </c>
      <c r="N1560"/>
      <c r="O1560"/>
      <c r="P1560"/>
      <c r="Q1560"/>
      <c r="R1560"/>
      <c r="S1560"/>
    </row>
    <row r="1561" spans="1:19" x14ac:dyDescent="0.25">
      <c r="A1561" t="s">
        <v>193</v>
      </c>
      <c r="C1561" s="27" t="s">
        <v>34749</v>
      </c>
      <c r="D1561" s="28" t="s">
        <v>34867</v>
      </c>
      <c r="J1561" t="s">
        <v>4377</v>
      </c>
      <c r="K1561" t="s">
        <v>4378</v>
      </c>
      <c r="L1561" s="28" t="s">
        <v>4379</v>
      </c>
      <c r="M1561" t="s">
        <v>23</v>
      </c>
      <c r="N1561"/>
      <c r="O1561"/>
      <c r="P1561"/>
      <c r="Q1561"/>
      <c r="R1561"/>
      <c r="S1561"/>
    </row>
    <row r="1562" spans="1:19" x14ac:dyDescent="0.25">
      <c r="A1562" t="s">
        <v>193</v>
      </c>
      <c r="C1562" s="27" t="s">
        <v>34749</v>
      </c>
      <c r="D1562" s="28" t="s">
        <v>34867</v>
      </c>
      <c r="J1562" t="s">
        <v>4380</v>
      </c>
      <c r="K1562" t="s">
        <v>4381</v>
      </c>
      <c r="L1562" s="28" t="s">
        <v>4382</v>
      </c>
      <c r="M1562" t="s">
        <v>23</v>
      </c>
      <c r="N1562"/>
      <c r="O1562"/>
      <c r="P1562"/>
      <c r="Q1562"/>
      <c r="R1562"/>
      <c r="S1562"/>
    </row>
    <row r="1563" spans="1:19" x14ac:dyDescent="0.25">
      <c r="A1563" s="28" t="s">
        <v>14843</v>
      </c>
      <c r="J1563" t="s">
        <v>4383</v>
      </c>
      <c r="K1563" t="s">
        <v>4384</v>
      </c>
      <c r="M1563" t="s">
        <v>666</v>
      </c>
      <c r="N1563"/>
      <c r="O1563"/>
      <c r="P1563"/>
      <c r="Q1563"/>
      <c r="R1563"/>
      <c r="S1563"/>
    </row>
    <row r="1564" spans="1:19" x14ac:dyDescent="0.25">
      <c r="A1564" s="28" t="s">
        <v>14843</v>
      </c>
      <c r="I1564" t="str">
        <f>CONCATENATE(LEFT(K1564,SEARCH(" (",K1564))," | ", RIGHT(LEFT(K1564,LEN(K1564)-1),LEN(K1564)-2-FIND(" (",K1564)))</f>
        <v>Dichtheid  | soortelijke massa</v>
      </c>
      <c r="J1564" t="s">
        <v>4385</v>
      </c>
      <c r="K1564" t="s">
        <v>4386</v>
      </c>
      <c r="M1564" t="s">
        <v>47</v>
      </c>
      <c r="N1564"/>
      <c r="O1564"/>
      <c r="P1564"/>
      <c r="Q1564"/>
      <c r="R1564"/>
      <c r="S1564"/>
    </row>
    <row r="1565" spans="1:19" x14ac:dyDescent="0.25">
      <c r="A1565" s="28" t="s">
        <v>14843</v>
      </c>
      <c r="J1565" t="s">
        <v>4387</v>
      </c>
      <c r="K1565" t="s">
        <v>4388</v>
      </c>
      <c r="M1565" t="s">
        <v>47</v>
      </c>
      <c r="N1565"/>
      <c r="O1565"/>
      <c r="P1565"/>
      <c r="Q1565"/>
      <c r="R1565"/>
      <c r="S1565"/>
    </row>
    <row r="1566" spans="1:19" x14ac:dyDescent="0.25">
      <c r="A1566" s="28" t="s">
        <v>14843</v>
      </c>
      <c r="J1566" t="s">
        <v>4389</v>
      </c>
      <c r="K1566" t="s">
        <v>4390</v>
      </c>
      <c r="M1566" t="s">
        <v>666</v>
      </c>
      <c r="N1566"/>
      <c r="O1566"/>
      <c r="P1566"/>
      <c r="Q1566"/>
      <c r="R1566"/>
      <c r="S1566"/>
    </row>
    <row r="1567" spans="1:19" x14ac:dyDescent="0.25">
      <c r="A1567" t="s">
        <v>193</v>
      </c>
      <c r="C1567" s="27" t="s">
        <v>34749</v>
      </c>
      <c r="D1567" s="28" t="s">
        <v>34867</v>
      </c>
      <c r="J1567" t="s">
        <v>4391</v>
      </c>
      <c r="K1567" t="s">
        <v>4392</v>
      </c>
      <c r="L1567" s="28" t="s">
        <v>4393</v>
      </c>
      <c r="M1567" t="s">
        <v>23</v>
      </c>
      <c r="N1567"/>
      <c r="O1567"/>
      <c r="P1567"/>
      <c r="Q1567"/>
      <c r="R1567"/>
      <c r="S1567"/>
    </row>
    <row r="1568" spans="1:19" x14ac:dyDescent="0.25">
      <c r="A1568" t="s">
        <v>193</v>
      </c>
      <c r="C1568" s="27" t="s">
        <v>34749</v>
      </c>
      <c r="D1568" s="28" t="s">
        <v>34867</v>
      </c>
      <c r="J1568" t="s">
        <v>4394</v>
      </c>
      <c r="K1568" t="s">
        <v>4395</v>
      </c>
      <c r="L1568" s="28" t="s">
        <v>4396</v>
      </c>
      <c r="M1568" t="s">
        <v>23</v>
      </c>
      <c r="N1568"/>
      <c r="O1568"/>
      <c r="P1568"/>
      <c r="Q1568"/>
      <c r="R1568"/>
      <c r="S1568"/>
    </row>
    <row r="1569" spans="1:19" x14ac:dyDescent="0.25">
      <c r="A1569" t="s">
        <v>193</v>
      </c>
      <c r="C1569" s="27" t="s">
        <v>34749</v>
      </c>
      <c r="D1569" s="28" t="s">
        <v>34867</v>
      </c>
      <c r="J1569" t="s">
        <v>4397</v>
      </c>
      <c r="K1569" t="s">
        <v>4398</v>
      </c>
      <c r="L1569" s="28" t="s">
        <v>4399</v>
      </c>
      <c r="M1569" t="s">
        <v>23</v>
      </c>
      <c r="N1569"/>
      <c r="O1569"/>
      <c r="P1569"/>
      <c r="Q1569"/>
      <c r="R1569"/>
      <c r="S1569"/>
    </row>
    <row r="1570" spans="1:19" x14ac:dyDescent="0.25">
      <c r="A1570" t="s">
        <v>193</v>
      </c>
      <c r="C1570" s="27" t="s">
        <v>34749</v>
      </c>
      <c r="D1570" s="28" t="s">
        <v>34867</v>
      </c>
      <c r="J1570" t="s">
        <v>4400</v>
      </c>
      <c r="K1570" t="s">
        <v>4401</v>
      </c>
      <c r="L1570" s="28" t="s">
        <v>4402</v>
      </c>
      <c r="M1570" t="s">
        <v>23</v>
      </c>
      <c r="N1570"/>
      <c r="O1570"/>
      <c r="P1570"/>
      <c r="Q1570"/>
      <c r="R1570"/>
      <c r="S1570"/>
    </row>
    <row r="1571" spans="1:19" x14ac:dyDescent="0.25">
      <c r="A1571" t="s">
        <v>193</v>
      </c>
      <c r="C1571" s="27" t="s">
        <v>34749</v>
      </c>
      <c r="D1571" s="28" t="s">
        <v>34867</v>
      </c>
      <c r="J1571" t="s">
        <v>4403</v>
      </c>
      <c r="K1571" t="s">
        <v>4404</v>
      </c>
      <c r="L1571" s="28" t="s">
        <v>4405</v>
      </c>
      <c r="M1571" t="s">
        <v>23</v>
      </c>
      <c r="N1571"/>
      <c r="O1571"/>
      <c r="P1571"/>
      <c r="Q1571"/>
      <c r="R1571"/>
      <c r="S1571"/>
    </row>
    <row r="1572" spans="1:19" x14ac:dyDescent="0.25">
      <c r="A1572" t="s">
        <v>193</v>
      </c>
      <c r="C1572" s="27" t="s">
        <v>34749</v>
      </c>
      <c r="D1572" s="28" t="s">
        <v>34867</v>
      </c>
      <c r="J1572" t="s">
        <v>4406</v>
      </c>
      <c r="K1572" t="s">
        <v>4407</v>
      </c>
      <c r="L1572" s="28" t="s">
        <v>4408</v>
      </c>
      <c r="M1572" t="s">
        <v>23</v>
      </c>
      <c r="N1572"/>
      <c r="O1572"/>
      <c r="P1572"/>
      <c r="Q1572"/>
      <c r="R1572"/>
      <c r="S1572"/>
    </row>
    <row r="1573" spans="1:19" x14ac:dyDescent="0.25">
      <c r="A1573" t="s">
        <v>193</v>
      </c>
      <c r="C1573" s="27" t="s">
        <v>34749</v>
      </c>
      <c r="D1573" s="28" t="s">
        <v>34867</v>
      </c>
      <c r="J1573" t="s">
        <v>4409</v>
      </c>
      <c r="K1573" t="s">
        <v>4410</v>
      </c>
      <c r="L1573" s="28" t="s">
        <v>4411</v>
      </c>
      <c r="M1573" t="s">
        <v>23</v>
      </c>
      <c r="N1573"/>
      <c r="O1573"/>
      <c r="P1573"/>
      <c r="Q1573"/>
      <c r="R1573"/>
      <c r="S1573"/>
    </row>
    <row r="1574" spans="1:19" x14ac:dyDescent="0.25">
      <c r="A1574" s="28" t="s">
        <v>14843</v>
      </c>
      <c r="J1574" t="s">
        <v>4412</v>
      </c>
      <c r="K1574" t="s">
        <v>4413</v>
      </c>
      <c r="M1574" t="s">
        <v>2820</v>
      </c>
      <c r="N1574"/>
      <c r="O1574"/>
      <c r="P1574"/>
      <c r="Q1574"/>
      <c r="R1574"/>
      <c r="S1574"/>
    </row>
    <row r="1575" spans="1:19" x14ac:dyDescent="0.25">
      <c r="A1575" s="28" t="s">
        <v>14843</v>
      </c>
      <c r="J1575" t="s">
        <v>4414</v>
      </c>
      <c r="K1575" t="s">
        <v>4415</v>
      </c>
      <c r="M1575" t="s">
        <v>47</v>
      </c>
      <c r="N1575"/>
      <c r="O1575"/>
      <c r="P1575"/>
      <c r="Q1575"/>
      <c r="R1575"/>
      <c r="S1575"/>
    </row>
    <row r="1576" spans="1:19" x14ac:dyDescent="0.25">
      <c r="A1576" s="28" t="s">
        <v>14843</v>
      </c>
      <c r="J1576" t="s">
        <v>4416</v>
      </c>
      <c r="K1576" t="s">
        <v>4417</v>
      </c>
      <c r="M1576" t="s">
        <v>47</v>
      </c>
      <c r="N1576"/>
      <c r="O1576"/>
      <c r="P1576"/>
      <c r="Q1576"/>
      <c r="R1576"/>
      <c r="S1576"/>
    </row>
    <row r="1577" spans="1:19" x14ac:dyDescent="0.25">
      <c r="A1577" t="s">
        <v>193</v>
      </c>
      <c r="C1577" s="27" t="s">
        <v>34749</v>
      </c>
      <c r="D1577" s="28" t="s">
        <v>34867</v>
      </c>
      <c r="J1577" t="s">
        <v>4418</v>
      </c>
      <c r="K1577" t="s">
        <v>4419</v>
      </c>
      <c r="L1577" s="28" t="s">
        <v>4420</v>
      </c>
      <c r="M1577" t="s">
        <v>23</v>
      </c>
      <c r="N1577"/>
      <c r="O1577"/>
      <c r="P1577"/>
      <c r="Q1577"/>
      <c r="R1577"/>
      <c r="S1577"/>
    </row>
    <row r="1578" spans="1:19" x14ac:dyDescent="0.25">
      <c r="A1578" t="s">
        <v>193</v>
      </c>
      <c r="C1578" s="27" t="s">
        <v>34749</v>
      </c>
      <c r="D1578" s="28" t="s">
        <v>34867</v>
      </c>
      <c r="J1578" t="s">
        <v>4421</v>
      </c>
      <c r="K1578" t="s">
        <v>4422</v>
      </c>
      <c r="L1578" s="28" t="s">
        <v>4423</v>
      </c>
      <c r="M1578" t="s">
        <v>23</v>
      </c>
      <c r="N1578"/>
      <c r="O1578"/>
      <c r="P1578"/>
      <c r="Q1578"/>
      <c r="R1578"/>
      <c r="S1578"/>
    </row>
    <row r="1579" spans="1:19" x14ac:dyDescent="0.25">
      <c r="A1579" t="s">
        <v>193</v>
      </c>
      <c r="C1579" s="27" t="s">
        <v>34749</v>
      </c>
      <c r="D1579" s="28" t="s">
        <v>34867</v>
      </c>
      <c r="J1579" t="s">
        <v>4424</v>
      </c>
      <c r="K1579" t="s">
        <v>4425</v>
      </c>
      <c r="L1579" s="28" t="s">
        <v>4426</v>
      </c>
      <c r="M1579" t="s">
        <v>23</v>
      </c>
      <c r="N1579"/>
      <c r="O1579"/>
      <c r="P1579"/>
      <c r="Q1579"/>
      <c r="R1579"/>
      <c r="S1579"/>
    </row>
    <row r="1580" spans="1:19" x14ac:dyDescent="0.25">
      <c r="A1580" t="s">
        <v>193</v>
      </c>
      <c r="C1580" s="27" t="s">
        <v>34749</v>
      </c>
      <c r="D1580" s="28" t="s">
        <v>34867</v>
      </c>
      <c r="J1580" t="s">
        <v>4427</v>
      </c>
      <c r="K1580" t="s">
        <v>4428</v>
      </c>
      <c r="L1580" s="28" t="s">
        <v>4429</v>
      </c>
      <c r="M1580" t="s">
        <v>23</v>
      </c>
      <c r="N1580"/>
      <c r="O1580"/>
      <c r="P1580"/>
      <c r="Q1580"/>
      <c r="R1580"/>
      <c r="S1580"/>
    </row>
    <row r="1581" spans="1:19" x14ac:dyDescent="0.25">
      <c r="A1581" s="28" t="s">
        <v>14843</v>
      </c>
      <c r="J1581" t="s">
        <v>4430</v>
      </c>
      <c r="K1581" t="s">
        <v>4431</v>
      </c>
      <c r="M1581" t="s">
        <v>666</v>
      </c>
      <c r="N1581"/>
      <c r="O1581"/>
      <c r="P1581"/>
      <c r="Q1581"/>
      <c r="R1581"/>
      <c r="S1581"/>
    </row>
    <row r="1582" spans="1:19" x14ac:dyDescent="0.25">
      <c r="A1582" s="28" t="s">
        <v>14843</v>
      </c>
      <c r="J1582" t="s">
        <v>4432</v>
      </c>
      <c r="K1582" t="s">
        <v>4433</v>
      </c>
      <c r="M1582" t="s">
        <v>47</v>
      </c>
      <c r="N1582"/>
      <c r="O1582"/>
      <c r="P1582"/>
      <c r="Q1582"/>
      <c r="R1582"/>
      <c r="S1582"/>
    </row>
    <row r="1583" spans="1:19" x14ac:dyDescent="0.25">
      <c r="A1583" s="28" t="s">
        <v>14843</v>
      </c>
      <c r="J1583" t="s">
        <v>4434</v>
      </c>
      <c r="K1583" t="s">
        <v>4435</v>
      </c>
      <c r="M1583" t="s">
        <v>47</v>
      </c>
      <c r="N1583"/>
      <c r="O1583"/>
      <c r="P1583"/>
      <c r="Q1583"/>
      <c r="R1583"/>
      <c r="S1583"/>
    </row>
    <row r="1584" spans="1:19" x14ac:dyDescent="0.25">
      <c r="A1584" s="28" t="s">
        <v>14843</v>
      </c>
      <c r="J1584" t="s">
        <v>4436</v>
      </c>
      <c r="K1584" t="s">
        <v>4437</v>
      </c>
      <c r="M1584" t="s">
        <v>666</v>
      </c>
      <c r="N1584"/>
      <c r="O1584"/>
      <c r="P1584"/>
      <c r="Q1584"/>
      <c r="R1584"/>
      <c r="S1584"/>
    </row>
    <row r="1585" spans="1:19" x14ac:dyDescent="0.25">
      <c r="A1585" s="28" t="s">
        <v>14843</v>
      </c>
      <c r="J1585" t="s">
        <v>4438</v>
      </c>
      <c r="K1585" t="s">
        <v>4439</v>
      </c>
      <c r="M1585" t="s">
        <v>47</v>
      </c>
      <c r="N1585"/>
      <c r="O1585"/>
      <c r="P1585"/>
      <c r="Q1585"/>
      <c r="R1585"/>
      <c r="S1585"/>
    </row>
    <row r="1586" spans="1:19" x14ac:dyDescent="0.25">
      <c r="A1586" s="28" t="s">
        <v>14843</v>
      </c>
      <c r="J1586" t="s">
        <v>4440</v>
      </c>
      <c r="K1586" t="s">
        <v>4441</v>
      </c>
      <c r="M1586" t="s">
        <v>2820</v>
      </c>
      <c r="N1586"/>
      <c r="O1586"/>
      <c r="P1586"/>
      <c r="Q1586"/>
      <c r="R1586"/>
      <c r="S1586"/>
    </row>
    <row r="1587" spans="1:19" x14ac:dyDescent="0.25">
      <c r="A1587" s="28" t="s">
        <v>14843</v>
      </c>
      <c r="J1587" t="s">
        <v>4442</v>
      </c>
      <c r="K1587" t="s">
        <v>4443</v>
      </c>
      <c r="M1587" t="s">
        <v>47</v>
      </c>
      <c r="N1587"/>
      <c r="O1587"/>
      <c r="P1587"/>
      <c r="Q1587"/>
      <c r="R1587"/>
      <c r="S1587"/>
    </row>
    <row r="1588" spans="1:19" x14ac:dyDescent="0.25">
      <c r="A1588" s="28" t="s">
        <v>14843</v>
      </c>
      <c r="J1588" t="s">
        <v>4444</v>
      </c>
      <c r="K1588" t="s">
        <v>4445</v>
      </c>
      <c r="M1588" t="s">
        <v>47</v>
      </c>
      <c r="N1588"/>
      <c r="O1588"/>
      <c r="P1588"/>
      <c r="Q1588"/>
      <c r="R1588"/>
      <c r="S1588"/>
    </row>
    <row r="1589" spans="1:19" x14ac:dyDescent="0.25">
      <c r="A1589" s="28" t="s">
        <v>14843</v>
      </c>
      <c r="J1589" t="s">
        <v>4446</v>
      </c>
      <c r="K1589" t="s">
        <v>4447</v>
      </c>
      <c r="M1589" t="s">
        <v>666</v>
      </c>
      <c r="N1589"/>
      <c r="O1589"/>
      <c r="P1589"/>
      <c r="Q1589"/>
      <c r="R1589"/>
      <c r="S1589"/>
    </row>
    <row r="1590" spans="1:19" x14ac:dyDescent="0.25">
      <c r="A1590" s="28" t="s">
        <v>14843</v>
      </c>
      <c r="J1590" t="s">
        <v>4448</v>
      </c>
      <c r="K1590" t="s">
        <v>4449</v>
      </c>
      <c r="M1590" t="s">
        <v>47</v>
      </c>
      <c r="N1590"/>
      <c r="O1590"/>
      <c r="P1590"/>
      <c r="Q1590"/>
      <c r="R1590"/>
      <c r="S1590"/>
    </row>
    <row r="1591" spans="1:19" x14ac:dyDescent="0.25">
      <c r="A1591" t="s">
        <v>193</v>
      </c>
      <c r="C1591" s="27" t="s">
        <v>34749</v>
      </c>
      <c r="D1591" s="28" t="s">
        <v>34867</v>
      </c>
      <c r="I1591" t="str">
        <f>CONCATENATE(LEFT(K1591,SEARCH(" (",K1591))," | ", RIGHT(LEFT(K1591,LEN(K1591)-1),LEN(K1591)-2-FIND(" (",K1591)))</f>
        <v>di-ethyleentriaminepentaazijnzuur  | DTPA</v>
      </c>
      <c r="J1591" t="s">
        <v>4450</v>
      </c>
      <c r="K1591" t="s">
        <v>4451</v>
      </c>
      <c r="L1591" s="28" t="s">
        <v>4452</v>
      </c>
      <c r="M1591" t="s">
        <v>23</v>
      </c>
      <c r="N1591"/>
      <c r="O1591"/>
      <c r="P1591"/>
      <c r="Q1591"/>
      <c r="R1591"/>
      <c r="S1591"/>
    </row>
    <row r="1592" spans="1:19" x14ac:dyDescent="0.25">
      <c r="A1592" t="s">
        <v>193</v>
      </c>
      <c r="C1592" s="27" t="s">
        <v>34749</v>
      </c>
      <c r="D1592" s="28" t="s">
        <v>34867</v>
      </c>
      <c r="I1592" t="str">
        <f>CONCATENATE(LEFT(K1592,SEARCH(" (",K1592))," | ", RIGHT(LEFT(K1592,LEN(K1592)-1),LEN(K1592)-2-FIND(" (",K1592)))</f>
        <v>diethyleentriamine penta(methyleen fosfonzuur)  | DTPMP</v>
      </c>
      <c r="J1592" t="s">
        <v>4453</v>
      </c>
      <c r="K1592" t="s">
        <v>4454</v>
      </c>
      <c r="L1592" s="28" t="s">
        <v>4455</v>
      </c>
      <c r="M1592" t="s">
        <v>23</v>
      </c>
      <c r="N1592"/>
      <c r="O1592"/>
      <c r="P1592"/>
      <c r="Q1592"/>
      <c r="R1592"/>
      <c r="S1592"/>
    </row>
    <row r="1593" spans="1:19" x14ac:dyDescent="0.25">
      <c r="A1593" s="28" t="s">
        <v>14843</v>
      </c>
      <c r="J1593" t="s">
        <v>4456</v>
      </c>
      <c r="K1593" t="s">
        <v>4457</v>
      </c>
      <c r="M1593" t="s">
        <v>47</v>
      </c>
      <c r="N1593"/>
      <c r="O1593"/>
      <c r="P1593"/>
      <c r="Q1593"/>
      <c r="R1593"/>
      <c r="S1593"/>
    </row>
    <row r="1594" spans="1:19" x14ac:dyDescent="0.25">
      <c r="A1594" t="s">
        <v>193</v>
      </c>
      <c r="C1594" s="27" t="s">
        <v>34749</v>
      </c>
      <c r="D1594" s="28" t="s">
        <v>34867</v>
      </c>
      <c r="J1594" t="s">
        <v>4458</v>
      </c>
      <c r="K1594" t="s">
        <v>4459</v>
      </c>
      <c r="L1594" s="28" t="s">
        <v>4460</v>
      </c>
      <c r="M1594" t="s">
        <v>23</v>
      </c>
      <c r="N1594"/>
      <c r="O1594"/>
      <c r="P1594"/>
      <c r="Q1594"/>
      <c r="R1594"/>
      <c r="S1594"/>
    </row>
    <row r="1595" spans="1:19" x14ac:dyDescent="0.25">
      <c r="A1595" t="s">
        <v>193</v>
      </c>
      <c r="C1595" s="27" t="s">
        <v>34749</v>
      </c>
      <c r="D1595" s="28" t="s">
        <v>34867</v>
      </c>
      <c r="J1595" t="s">
        <v>4461</v>
      </c>
      <c r="K1595" t="s">
        <v>4462</v>
      </c>
      <c r="L1595" s="28" t="s">
        <v>4463</v>
      </c>
      <c r="M1595" t="s">
        <v>23</v>
      </c>
      <c r="N1595"/>
      <c r="O1595"/>
      <c r="P1595"/>
      <c r="Q1595"/>
      <c r="R1595"/>
      <c r="S1595"/>
    </row>
    <row r="1596" spans="1:19" x14ac:dyDescent="0.25">
      <c r="A1596" t="s">
        <v>193</v>
      </c>
      <c r="C1596" s="27" t="s">
        <v>34749</v>
      </c>
      <c r="D1596" s="28" t="s">
        <v>34867</v>
      </c>
      <c r="J1596" t="s">
        <v>4464</v>
      </c>
      <c r="K1596" t="s">
        <v>4465</v>
      </c>
      <c r="L1596" s="28" t="s">
        <v>4466</v>
      </c>
      <c r="M1596" t="s">
        <v>23</v>
      </c>
      <c r="N1596"/>
      <c r="O1596"/>
      <c r="P1596"/>
      <c r="Q1596"/>
      <c r="R1596"/>
      <c r="S1596"/>
    </row>
    <row r="1597" spans="1:19" x14ac:dyDescent="0.25">
      <c r="A1597" t="s">
        <v>193</v>
      </c>
      <c r="C1597" s="27" t="s">
        <v>34749</v>
      </c>
      <c r="D1597" s="28" t="s">
        <v>34867</v>
      </c>
      <c r="J1597" t="s">
        <v>4467</v>
      </c>
      <c r="K1597" t="s">
        <v>4468</v>
      </c>
      <c r="L1597" s="28" t="s">
        <v>4469</v>
      </c>
      <c r="M1597" t="s">
        <v>23</v>
      </c>
      <c r="N1597"/>
      <c r="O1597"/>
      <c r="P1597"/>
      <c r="Q1597"/>
      <c r="R1597"/>
      <c r="S1597"/>
    </row>
    <row r="1598" spans="1:19" x14ac:dyDescent="0.25">
      <c r="A1598" t="s">
        <v>193</v>
      </c>
      <c r="C1598" s="27" t="s">
        <v>34749</v>
      </c>
      <c r="D1598" s="28" t="s">
        <v>34867</v>
      </c>
      <c r="J1598" t="s">
        <v>4470</v>
      </c>
      <c r="K1598" t="s">
        <v>4471</v>
      </c>
      <c r="L1598" s="28" t="s">
        <v>4472</v>
      </c>
      <c r="M1598" t="s">
        <v>23</v>
      </c>
      <c r="N1598"/>
      <c r="O1598"/>
      <c r="P1598"/>
      <c r="Q1598"/>
      <c r="R1598"/>
      <c r="S1598"/>
    </row>
    <row r="1599" spans="1:19" x14ac:dyDescent="0.25">
      <c r="A1599" t="s">
        <v>193</v>
      </c>
      <c r="C1599" s="27" t="s">
        <v>34749</v>
      </c>
      <c r="D1599" s="28" t="s">
        <v>34867</v>
      </c>
      <c r="J1599" t="s">
        <v>4473</v>
      </c>
      <c r="K1599" t="s">
        <v>4474</v>
      </c>
      <c r="L1599" s="28" t="s">
        <v>4475</v>
      </c>
      <c r="M1599" t="s">
        <v>23</v>
      </c>
      <c r="N1599"/>
      <c r="O1599"/>
      <c r="P1599"/>
      <c r="Q1599"/>
      <c r="R1599"/>
      <c r="S1599"/>
    </row>
    <row r="1600" spans="1:19" x14ac:dyDescent="0.25">
      <c r="A1600" t="s">
        <v>193</v>
      </c>
      <c r="C1600" s="27" t="s">
        <v>34749</v>
      </c>
      <c r="D1600" s="28" t="s">
        <v>34867</v>
      </c>
      <c r="J1600" t="s">
        <v>4476</v>
      </c>
      <c r="K1600" t="s">
        <v>4477</v>
      </c>
      <c r="L1600" s="28" t="s">
        <v>4478</v>
      </c>
      <c r="M1600" t="s">
        <v>23</v>
      </c>
      <c r="N1600"/>
      <c r="O1600"/>
      <c r="P1600"/>
      <c r="Q1600"/>
      <c r="R1600"/>
      <c r="S1600"/>
    </row>
    <row r="1601" spans="1:19" x14ac:dyDescent="0.25">
      <c r="A1601" t="s">
        <v>193</v>
      </c>
      <c r="C1601" s="27" t="s">
        <v>34749</v>
      </c>
      <c r="D1601" s="28" t="s">
        <v>34867</v>
      </c>
      <c r="J1601" t="s">
        <v>4479</v>
      </c>
      <c r="K1601" t="s">
        <v>4480</v>
      </c>
      <c r="L1601" s="28" t="s">
        <v>4481</v>
      </c>
      <c r="M1601" t="s">
        <v>23</v>
      </c>
      <c r="N1601"/>
      <c r="O1601"/>
      <c r="P1601"/>
      <c r="Q1601"/>
      <c r="R1601"/>
      <c r="S1601"/>
    </row>
    <row r="1602" spans="1:19" x14ac:dyDescent="0.25">
      <c r="A1602" t="s">
        <v>193</v>
      </c>
      <c r="C1602" s="27" t="s">
        <v>34749</v>
      </c>
      <c r="D1602" s="28" t="s">
        <v>34867</v>
      </c>
      <c r="J1602" t="s">
        <v>4482</v>
      </c>
      <c r="K1602" t="s">
        <v>4483</v>
      </c>
      <c r="L1602" s="28" t="s">
        <v>4484</v>
      </c>
      <c r="M1602" t="s">
        <v>23</v>
      </c>
      <c r="N1602"/>
      <c r="O1602"/>
      <c r="P1602"/>
      <c r="Q1602"/>
      <c r="R1602"/>
      <c r="S1602"/>
    </row>
    <row r="1603" spans="1:19" x14ac:dyDescent="0.25">
      <c r="A1603" t="s">
        <v>193</v>
      </c>
      <c r="C1603" s="27" t="s">
        <v>34749</v>
      </c>
      <c r="D1603" s="28" t="s">
        <v>34867</v>
      </c>
      <c r="J1603" t="s">
        <v>4485</v>
      </c>
      <c r="K1603" t="s">
        <v>4486</v>
      </c>
      <c r="L1603" s="28" t="s">
        <v>4487</v>
      </c>
      <c r="M1603" t="s">
        <v>23</v>
      </c>
      <c r="N1603"/>
      <c r="O1603"/>
      <c r="P1603"/>
      <c r="Q1603"/>
      <c r="R1603"/>
      <c r="S1603"/>
    </row>
    <row r="1604" spans="1:19" x14ac:dyDescent="0.25">
      <c r="A1604" t="s">
        <v>193</v>
      </c>
      <c r="C1604" s="27" t="s">
        <v>34749</v>
      </c>
      <c r="D1604" s="28" t="s">
        <v>34867</v>
      </c>
      <c r="J1604" t="s">
        <v>4488</v>
      </c>
      <c r="K1604" t="s">
        <v>4489</v>
      </c>
      <c r="L1604" s="28" t="s">
        <v>4490</v>
      </c>
      <c r="M1604" t="s">
        <v>23</v>
      </c>
      <c r="N1604"/>
      <c r="O1604"/>
      <c r="P1604"/>
      <c r="Q1604"/>
      <c r="R1604"/>
      <c r="S1604"/>
    </row>
    <row r="1605" spans="1:19" x14ac:dyDescent="0.25">
      <c r="A1605" t="s">
        <v>193</v>
      </c>
      <c r="C1605" s="27" t="s">
        <v>34749</v>
      </c>
      <c r="D1605" s="28" t="s">
        <v>34867</v>
      </c>
      <c r="J1605" t="s">
        <v>4491</v>
      </c>
      <c r="K1605" t="s">
        <v>4492</v>
      </c>
      <c r="L1605" s="28" t="s">
        <v>4493</v>
      </c>
      <c r="M1605" t="s">
        <v>23</v>
      </c>
      <c r="N1605"/>
      <c r="O1605"/>
      <c r="P1605"/>
      <c r="Q1605"/>
      <c r="R1605"/>
      <c r="S1605"/>
    </row>
    <row r="1606" spans="1:19" x14ac:dyDescent="0.25">
      <c r="A1606" t="s">
        <v>193</v>
      </c>
      <c r="C1606" s="27" t="s">
        <v>34749</v>
      </c>
      <c r="D1606" s="28" t="s">
        <v>34867</v>
      </c>
      <c r="J1606" t="s">
        <v>4494</v>
      </c>
      <c r="K1606" t="s">
        <v>4495</v>
      </c>
      <c r="L1606" s="28" t="s">
        <v>4496</v>
      </c>
      <c r="M1606" t="s">
        <v>23</v>
      </c>
      <c r="N1606"/>
      <c r="O1606"/>
      <c r="P1606"/>
      <c r="Q1606"/>
      <c r="R1606"/>
      <c r="S1606"/>
    </row>
    <row r="1607" spans="1:19" x14ac:dyDescent="0.25">
      <c r="A1607" t="s">
        <v>193</v>
      </c>
      <c r="C1607" s="27" t="s">
        <v>34749</v>
      </c>
      <c r="D1607" s="28" t="s">
        <v>34867</v>
      </c>
      <c r="J1607" t="s">
        <v>4497</v>
      </c>
      <c r="K1607" t="s">
        <v>4498</v>
      </c>
      <c r="L1607" s="28" t="s">
        <v>4499</v>
      </c>
      <c r="M1607" t="s">
        <v>23</v>
      </c>
      <c r="N1607"/>
      <c r="O1607"/>
      <c r="P1607"/>
      <c r="Q1607"/>
      <c r="R1607"/>
      <c r="S1607"/>
    </row>
    <row r="1608" spans="1:19" x14ac:dyDescent="0.25">
      <c r="A1608" t="s">
        <v>193</v>
      </c>
      <c r="C1608" s="27" t="s">
        <v>34749</v>
      </c>
      <c r="D1608" s="28" t="s">
        <v>34867</v>
      </c>
      <c r="J1608" t="s">
        <v>4500</v>
      </c>
      <c r="K1608" t="s">
        <v>4501</v>
      </c>
      <c r="L1608" s="28" t="s">
        <v>4502</v>
      </c>
      <c r="M1608" t="s">
        <v>23</v>
      </c>
      <c r="N1608"/>
      <c r="O1608"/>
      <c r="P1608"/>
      <c r="Q1608"/>
      <c r="R1608"/>
      <c r="S1608"/>
    </row>
    <row r="1609" spans="1:19" x14ac:dyDescent="0.25">
      <c r="A1609" t="s">
        <v>193</v>
      </c>
      <c r="C1609" s="27" t="s">
        <v>34749</v>
      </c>
      <c r="D1609" s="28" t="s">
        <v>34867</v>
      </c>
      <c r="J1609" t="s">
        <v>4503</v>
      </c>
      <c r="K1609" t="s">
        <v>4504</v>
      </c>
      <c r="L1609" s="28" t="s">
        <v>4505</v>
      </c>
      <c r="M1609" t="s">
        <v>23</v>
      </c>
      <c r="N1609"/>
      <c r="O1609"/>
      <c r="P1609"/>
      <c r="Q1609"/>
      <c r="R1609"/>
      <c r="S1609"/>
    </row>
    <row r="1610" spans="1:19" x14ac:dyDescent="0.25">
      <c r="A1610" s="27" t="s">
        <v>193</v>
      </c>
      <c r="C1610" s="27" t="s">
        <v>34749</v>
      </c>
      <c r="D1610" s="28" t="s">
        <v>34867</v>
      </c>
      <c r="J1610" t="s">
        <v>4506</v>
      </c>
      <c r="K1610" t="s">
        <v>4507</v>
      </c>
      <c r="M1610" t="s">
        <v>23</v>
      </c>
      <c r="N1610"/>
      <c r="O1610"/>
      <c r="P1610"/>
      <c r="Q1610"/>
      <c r="R1610"/>
      <c r="S1610"/>
    </row>
    <row r="1611" spans="1:19" x14ac:dyDescent="0.25">
      <c r="A1611" t="s">
        <v>193</v>
      </c>
      <c r="C1611" s="27" t="s">
        <v>34749</v>
      </c>
      <c r="D1611" s="28" t="s">
        <v>34867</v>
      </c>
      <c r="J1611" t="s">
        <v>4508</v>
      </c>
      <c r="K1611" t="s">
        <v>4509</v>
      </c>
      <c r="L1611" s="28" t="s">
        <v>4510</v>
      </c>
      <c r="M1611" t="s">
        <v>23</v>
      </c>
      <c r="N1611"/>
      <c r="O1611"/>
      <c r="P1611"/>
      <c r="Q1611"/>
      <c r="R1611"/>
      <c r="S1611"/>
    </row>
    <row r="1612" spans="1:19" x14ac:dyDescent="0.25">
      <c r="A1612" t="s">
        <v>193</v>
      </c>
      <c r="C1612" s="27" t="s">
        <v>34749</v>
      </c>
      <c r="D1612" s="28" t="s">
        <v>34867</v>
      </c>
      <c r="J1612" t="s">
        <v>4511</v>
      </c>
      <c r="K1612" t="s">
        <v>4512</v>
      </c>
      <c r="L1612" s="28" t="s">
        <v>4513</v>
      </c>
      <c r="M1612" t="s">
        <v>23</v>
      </c>
      <c r="N1612"/>
      <c r="O1612"/>
      <c r="P1612"/>
      <c r="Q1612"/>
      <c r="R1612"/>
      <c r="S1612"/>
    </row>
    <row r="1613" spans="1:19" x14ac:dyDescent="0.25">
      <c r="A1613" t="s">
        <v>193</v>
      </c>
      <c r="C1613" s="27" t="s">
        <v>34749</v>
      </c>
      <c r="D1613" s="28" t="s">
        <v>34867</v>
      </c>
      <c r="J1613" t="s">
        <v>4514</v>
      </c>
      <c r="K1613" t="s">
        <v>4515</v>
      </c>
      <c r="L1613" s="28" t="s">
        <v>4516</v>
      </c>
      <c r="M1613" t="s">
        <v>23</v>
      </c>
      <c r="N1613"/>
      <c r="O1613"/>
      <c r="P1613"/>
      <c r="Q1613"/>
      <c r="R1613"/>
      <c r="S1613"/>
    </row>
    <row r="1614" spans="1:19" x14ac:dyDescent="0.25">
      <c r="A1614" t="s">
        <v>193</v>
      </c>
      <c r="C1614" s="27" t="s">
        <v>34749</v>
      </c>
      <c r="D1614" s="28" t="s">
        <v>34867</v>
      </c>
      <c r="J1614" t="s">
        <v>4517</v>
      </c>
      <c r="K1614" t="s">
        <v>4518</v>
      </c>
      <c r="L1614" s="28" t="s">
        <v>4519</v>
      </c>
      <c r="M1614" t="s">
        <v>23</v>
      </c>
      <c r="N1614"/>
      <c r="O1614"/>
      <c r="P1614"/>
      <c r="Q1614"/>
      <c r="R1614"/>
      <c r="S1614"/>
    </row>
    <row r="1615" spans="1:19" x14ac:dyDescent="0.25">
      <c r="A1615" t="s">
        <v>193</v>
      </c>
      <c r="C1615" s="27" t="s">
        <v>34749</v>
      </c>
      <c r="D1615" s="28" t="s">
        <v>34867</v>
      </c>
      <c r="J1615" t="s">
        <v>4520</v>
      </c>
      <c r="K1615" t="s">
        <v>4521</v>
      </c>
      <c r="L1615" s="28" t="s">
        <v>4522</v>
      </c>
      <c r="M1615" t="s">
        <v>23</v>
      </c>
      <c r="N1615"/>
      <c r="O1615"/>
      <c r="P1615"/>
      <c r="Q1615"/>
      <c r="R1615"/>
      <c r="S1615"/>
    </row>
    <row r="1616" spans="1:19" x14ac:dyDescent="0.25">
      <c r="A1616" t="s">
        <v>193</v>
      </c>
      <c r="C1616" s="27" t="s">
        <v>34749</v>
      </c>
      <c r="D1616" s="28" t="s">
        <v>34867</v>
      </c>
      <c r="J1616" t="s">
        <v>4523</v>
      </c>
      <c r="K1616" t="s">
        <v>4524</v>
      </c>
      <c r="L1616" s="28" t="s">
        <v>4525</v>
      </c>
      <c r="M1616" t="s">
        <v>23</v>
      </c>
      <c r="N1616"/>
      <c r="O1616"/>
      <c r="P1616"/>
      <c r="Q1616"/>
      <c r="R1616"/>
      <c r="S1616"/>
    </row>
    <row r="1617" spans="1:19" x14ac:dyDescent="0.25">
      <c r="A1617" t="s">
        <v>193</v>
      </c>
      <c r="C1617" s="27" t="s">
        <v>34749</v>
      </c>
      <c r="D1617" s="28" t="s">
        <v>34867</v>
      </c>
      <c r="J1617" t="s">
        <v>4526</v>
      </c>
      <c r="K1617" t="s">
        <v>4527</v>
      </c>
      <c r="L1617" s="28" t="s">
        <v>4528</v>
      </c>
      <c r="M1617" t="s">
        <v>23</v>
      </c>
      <c r="N1617"/>
      <c r="O1617"/>
      <c r="P1617"/>
      <c r="Q1617"/>
      <c r="R1617"/>
      <c r="S1617"/>
    </row>
    <row r="1618" spans="1:19" x14ac:dyDescent="0.25">
      <c r="A1618" t="s">
        <v>193</v>
      </c>
      <c r="C1618" s="27" t="s">
        <v>34749</v>
      </c>
      <c r="D1618" s="28" t="s">
        <v>34867</v>
      </c>
      <c r="J1618" t="s">
        <v>4529</v>
      </c>
      <c r="K1618" t="s">
        <v>4530</v>
      </c>
      <c r="L1618" s="28" t="s">
        <v>4531</v>
      </c>
      <c r="M1618" t="s">
        <v>23</v>
      </c>
      <c r="N1618"/>
      <c r="O1618"/>
      <c r="P1618"/>
      <c r="Q1618"/>
      <c r="R1618"/>
      <c r="S1618"/>
    </row>
    <row r="1619" spans="1:19" x14ac:dyDescent="0.25">
      <c r="A1619" t="s">
        <v>193</v>
      </c>
      <c r="C1619" s="27" t="s">
        <v>34749</v>
      </c>
      <c r="D1619" s="28" t="s">
        <v>34867</v>
      </c>
      <c r="J1619" t="s">
        <v>4532</v>
      </c>
      <c r="K1619" t="s">
        <v>4533</v>
      </c>
      <c r="L1619" s="28" t="s">
        <v>4534</v>
      </c>
      <c r="M1619" t="s">
        <v>23</v>
      </c>
      <c r="N1619"/>
      <c r="O1619"/>
      <c r="P1619"/>
      <c r="Q1619"/>
      <c r="R1619"/>
      <c r="S1619"/>
    </row>
    <row r="1620" spans="1:19" x14ac:dyDescent="0.25">
      <c r="A1620" t="s">
        <v>193</v>
      </c>
      <c r="C1620" s="27" t="s">
        <v>34749</v>
      </c>
      <c r="D1620" s="28" t="s">
        <v>34867</v>
      </c>
      <c r="J1620" t="s">
        <v>4535</v>
      </c>
      <c r="K1620" t="s">
        <v>4536</v>
      </c>
      <c r="L1620" s="28" t="s">
        <v>4537</v>
      </c>
      <c r="M1620" t="s">
        <v>23</v>
      </c>
      <c r="N1620"/>
      <c r="O1620"/>
      <c r="P1620"/>
      <c r="Q1620"/>
      <c r="R1620"/>
      <c r="S1620"/>
    </row>
    <row r="1621" spans="1:19" x14ac:dyDescent="0.25">
      <c r="A1621" t="s">
        <v>193</v>
      </c>
      <c r="C1621" s="27" t="s">
        <v>34749</v>
      </c>
      <c r="D1621" s="28" t="s">
        <v>34867</v>
      </c>
      <c r="J1621" t="s">
        <v>4538</v>
      </c>
      <c r="K1621" t="s">
        <v>4539</v>
      </c>
      <c r="L1621" s="28" t="s">
        <v>4540</v>
      </c>
      <c r="M1621" t="s">
        <v>23</v>
      </c>
      <c r="N1621"/>
      <c r="O1621"/>
      <c r="P1621"/>
      <c r="Q1621"/>
      <c r="R1621"/>
      <c r="S1621"/>
    </row>
    <row r="1622" spans="1:19" x14ac:dyDescent="0.25">
      <c r="A1622" t="s">
        <v>193</v>
      </c>
      <c r="C1622" s="27" t="s">
        <v>34749</v>
      </c>
      <c r="D1622" s="28" t="s">
        <v>34867</v>
      </c>
      <c r="J1622" t="s">
        <v>4541</v>
      </c>
      <c r="K1622" t="s">
        <v>4542</v>
      </c>
      <c r="L1622" s="28" t="s">
        <v>4543</v>
      </c>
      <c r="M1622" t="s">
        <v>23</v>
      </c>
      <c r="N1622"/>
      <c r="O1622"/>
      <c r="P1622"/>
      <c r="Q1622"/>
      <c r="R1622"/>
      <c r="S1622"/>
    </row>
    <row r="1623" spans="1:19" x14ac:dyDescent="0.25">
      <c r="A1623" t="s">
        <v>193</v>
      </c>
      <c r="C1623" s="27" t="s">
        <v>34749</v>
      </c>
      <c r="D1623" s="28" t="s">
        <v>34867</v>
      </c>
      <c r="J1623" t="s">
        <v>4544</v>
      </c>
      <c r="K1623" t="s">
        <v>4545</v>
      </c>
      <c r="L1623" s="28" t="s">
        <v>4546</v>
      </c>
      <c r="M1623" t="s">
        <v>23</v>
      </c>
      <c r="N1623"/>
      <c r="O1623"/>
      <c r="P1623"/>
      <c r="Q1623"/>
      <c r="R1623"/>
      <c r="S1623"/>
    </row>
    <row r="1624" spans="1:19" x14ac:dyDescent="0.25">
      <c r="A1624" t="s">
        <v>193</v>
      </c>
      <c r="C1624" s="27" t="s">
        <v>34749</v>
      </c>
      <c r="D1624" s="28" t="s">
        <v>34867</v>
      </c>
      <c r="J1624" t="s">
        <v>4547</v>
      </c>
      <c r="K1624" t="s">
        <v>4548</v>
      </c>
      <c r="L1624" s="28" t="s">
        <v>4549</v>
      </c>
      <c r="M1624" t="s">
        <v>23</v>
      </c>
      <c r="N1624"/>
      <c r="O1624"/>
      <c r="P1624"/>
      <c r="Q1624"/>
      <c r="R1624"/>
      <c r="S1624"/>
    </row>
    <row r="1625" spans="1:19" x14ac:dyDescent="0.25">
      <c r="A1625" t="s">
        <v>193</v>
      </c>
      <c r="C1625" s="27" t="s">
        <v>34749</v>
      </c>
      <c r="D1625" s="28" t="s">
        <v>34867</v>
      </c>
      <c r="J1625" t="s">
        <v>4550</v>
      </c>
      <c r="K1625" t="s">
        <v>4551</v>
      </c>
      <c r="L1625" s="28" t="s">
        <v>4552</v>
      </c>
      <c r="M1625" t="s">
        <v>23</v>
      </c>
      <c r="N1625"/>
      <c r="O1625"/>
      <c r="P1625"/>
      <c r="Q1625"/>
      <c r="R1625"/>
      <c r="S1625"/>
    </row>
    <row r="1626" spans="1:19" x14ac:dyDescent="0.25">
      <c r="A1626" t="s">
        <v>193</v>
      </c>
      <c r="C1626" s="27" t="s">
        <v>34749</v>
      </c>
      <c r="D1626" s="28" t="s">
        <v>34867</v>
      </c>
      <c r="J1626" t="s">
        <v>4553</v>
      </c>
      <c r="K1626" t="s">
        <v>4554</v>
      </c>
      <c r="L1626" s="28" t="s">
        <v>4555</v>
      </c>
      <c r="M1626" t="s">
        <v>23</v>
      </c>
      <c r="N1626"/>
      <c r="O1626"/>
      <c r="P1626"/>
      <c r="Q1626"/>
      <c r="R1626"/>
      <c r="S1626"/>
    </row>
    <row r="1627" spans="1:19" x14ac:dyDescent="0.25">
      <c r="A1627" t="s">
        <v>193</v>
      </c>
      <c r="C1627" s="27" t="s">
        <v>34749</v>
      </c>
      <c r="D1627" s="28" t="s">
        <v>34867</v>
      </c>
      <c r="J1627" t="s">
        <v>4556</v>
      </c>
      <c r="K1627" t="s">
        <v>4557</v>
      </c>
      <c r="L1627" s="28" t="s">
        <v>4558</v>
      </c>
      <c r="M1627" t="s">
        <v>23</v>
      </c>
      <c r="N1627"/>
      <c r="O1627"/>
      <c r="P1627"/>
      <c r="Q1627"/>
      <c r="R1627"/>
      <c r="S1627"/>
    </row>
    <row r="1628" spans="1:19" x14ac:dyDescent="0.25">
      <c r="A1628" t="s">
        <v>193</v>
      </c>
      <c r="C1628" s="27" t="s">
        <v>34749</v>
      </c>
      <c r="D1628" s="28" t="s">
        <v>34867</v>
      </c>
      <c r="J1628" t="s">
        <v>4559</v>
      </c>
      <c r="K1628" t="s">
        <v>4560</v>
      </c>
      <c r="L1628" s="28" t="s">
        <v>4561</v>
      </c>
      <c r="M1628" t="s">
        <v>23</v>
      </c>
      <c r="N1628"/>
      <c r="O1628"/>
      <c r="P1628"/>
      <c r="Q1628"/>
      <c r="R1628"/>
      <c r="S1628"/>
    </row>
    <row r="1629" spans="1:19" x14ac:dyDescent="0.25">
      <c r="A1629" t="s">
        <v>193</v>
      </c>
      <c r="C1629" s="27" t="s">
        <v>34749</v>
      </c>
      <c r="D1629" s="28" t="s">
        <v>34867</v>
      </c>
      <c r="J1629" t="s">
        <v>4562</v>
      </c>
      <c r="K1629" t="s">
        <v>4563</v>
      </c>
      <c r="L1629" s="28" t="s">
        <v>4564</v>
      </c>
      <c r="M1629" t="s">
        <v>23</v>
      </c>
      <c r="N1629"/>
      <c r="O1629"/>
      <c r="P1629"/>
      <c r="Q1629"/>
      <c r="R1629"/>
      <c r="S1629"/>
    </row>
    <row r="1630" spans="1:19" x14ac:dyDescent="0.25">
      <c r="A1630" t="s">
        <v>193</v>
      </c>
      <c r="C1630" s="27" t="s">
        <v>34749</v>
      </c>
      <c r="D1630" s="28" t="s">
        <v>34867</v>
      </c>
      <c r="J1630" t="s">
        <v>4565</v>
      </c>
      <c r="K1630" t="s">
        <v>4566</v>
      </c>
      <c r="L1630" s="28" t="s">
        <v>4567</v>
      </c>
      <c r="M1630" t="s">
        <v>23</v>
      </c>
      <c r="N1630"/>
      <c r="O1630"/>
      <c r="P1630"/>
      <c r="Q1630"/>
      <c r="R1630"/>
      <c r="S1630"/>
    </row>
    <row r="1631" spans="1:19" x14ac:dyDescent="0.25">
      <c r="A1631" t="s">
        <v>193</v>
      </c>
      <c r="C1631" s="27" t="s">
        <v>34749</v>
      </c>
      <c r="D1631" s="28" t="s">
        <v>34867</v>
      </c>
      <c r="J1631" t="s">
        <v>4568</v>
      </c>
      <c r="K1631" t="s">
        <v>4569</v>
      </c>
      <c r="L1631" s="28" t="s">
        <v>4570</v>
      </c>
      <c r="M1631" t="s">
        <v>23</v>
      </c>
      <c r="N1631"/>
      <c r="O1631"/>
      <c r="P1631"/>
      <c r="Q1631"/>
      <c r="R1631"/>
      <c r="S1631"/>
    </row>
    <row r="1632" spans="1:19" x14ac:dyDescent="0.25">
      <c r="A1632" t="s">
        <v>193</v>
      </c>
      <c r="C1632" s="27" t="s">
        <v>34749</v>
      </c>
      <c r="D1632" s="28" t="s">
        <v>34867</v>
      </c>
      <c r="J1632" t="s">
        <v>4571</v>
      </c>
      <c r="K1632" t="s">
        <v>4572</v>
      </c>
      <c r="L1632" s="28" t="s">
        <v>4573</v>
      </c>
      <c r="M1632" t="s">
        <v>23</v>
      </c>
      <c r="N1632"/>
      <c r="O1632"/>
      <c r="P1632"/>
      <c r="Q1632"/>
      <c r="R1632"/>
      <c r="S1632"/>
    </row>
    <row r="1633" spans="1:19" x14ac:dyDescent="0.25">
      <c r="A1633" t="s">
        <v>193</v>
      </c>
      <c r="C1633" s="27" t="s">
        <v>34749</v>
      </c>
      <c r="D1633" s="28" t="s">
        <v>34867</v>
      </c>
      <c r="J1633" t="s">
        <v>4574</v>
      </c>
      <c r="K1633" t="s">
        <v>4575</v>
      </c>
      <c r="L1633" s="28" t="s">
        <v>4576</v>
      </c>
      <c r="M1633" t="s">
        <v>23</v>
      </c>
      <c r="N1633"/>
      <c r="O1633"/>
      <c r="P1633"/>
      <c r="Q1633"/>
      <c r="R1633"/>
      <c r="S1633"/>
    </row>
    <row r="1634" spans="1:19" x14ac:dyDescent="0.25">
      <c r="A1634" t="s">
        <v>193</v>
      </c>
      <c r="C1634" s="27" t="s">
        <v>34749</v>
      </c>
      <c r="D1634" s="28" t="s">
        <v>34867</v>
      </c>
      <c r="J1634" t="s">
        <v>4577</v>
      </c>
      <c r="K1634" t="s">
        <v>4578</v>
      </c>
      <c r="L1634" s="28" t="s">
        <v>4579</v>
      </c>
      <c r="M1634" t="s">
        <v>23</v>
      </c>
      <c r="N1634"/>
      <c r="O1634"/>
      <c r="P1634"/>
      <c r="Q1634"/>
      <c r="R1634"/>
      <c r="S1634"/>
    </row>
    <row r="1635" spans="1:19" x14ac:dyDescent="0.25">
      <c r="A1635" t="s">
        <v>193</v>
      </c>
      <c r="C1635" s="27" t="s">
        <v>34749</v>
      </c>
      <c r="D1635" s="28" t="s">
        <v>34867</v>
      </c>
      <c r="J1635" t="s">
        <v>4580</v>
      </c>
      <c r="K1635" t="s">
        <v>4581</v>
      </c>
      <c r="L1635" s="28" t="s">
        <v>4582</v>
      </c>
      <c r="M1635" t="s">
        <v>23</v>
      </c>
      <c r="N1635"/>
      <c r="O1635"/>
      <c r="P1635"/>
      <c r="Q1635"/>
      <c r="R1635"/>
      <c r="S1635"/>
    </row>
    <row r="1636" spans="1:19" x14ac:dyDescent="0.25">
      <c r="A1636" t="s">
        <v>193</v>
      </c>
      <c r="C1636" s="27" t="s">
        <v>34749</v>
      </c>
      <c r="D1636" s="28" t="s">
        <v>34867</v>
      </c>
      <c r="J1636" t="s">
        <v>4583</v>
      </c>
      <c r="K1636" t="s">
        <v>4584</v>
      </c>
      <c r="L1636" s="28" t="s">
        <v>4585</v>
      </c>
      <c r="M1636" t="s">
        <v>23</v>
      </c>
      <c r="N1636"/>
      <c r="O1636"/>
      <c r="P1636"/>
      <c r="Q1636"/>
      <c r="R1636"/>
      <c r="S1636"/>
    </row>
    <row r="1637" spans="1:19" x14ac:dyDescent="0.25">
      <c r="A1637" t="s">
        <v>193</v>
      </c>
      <c r="C1637" s="27" t="s">
        <v>34749</v>
      </c>
      <c r="D1637" s="28" t="s">
        <v>34867</v>
      </c>
      <c r="J1637" t="s">
        <v>4586</v>
      </c>
      <c r="K1637" t="s">
        <v>4587</v>
      </c>
      <c r="L1637" s="28" t="s">
        <v>4588</v>
      </c>
      <c r="M1637" t="s">
        <v>23</v>
      </c>
      <c r="N1637"/>
      <c r="O1637"/>
      <c r="P1637"/>
      <c r="Q1637"/>
      <c r="R1637"/>
      <c r="S1637"/>
    </row>
    <row r="1638" spans="1:19" x14ac:dyDescent="0.25">
      <c r="A1638" t="s">
        <v>193</v>
      </c>
      <c r="C1638" s="27" t="s">
        <v>34749</v>
      </c>
      <c r="D1638" s="28" t="s">
        <v>34867</v>
      </c>
      <c r="J1638" t="s">
        <v>4589</v>
      </c>
      <c r="K1638" t="s">
        <v>4590</v>
      </c>
      <c r="L1638" s="28" t="s">
        <v>4591</v>
      </c>
      <c r="M1638" t="s">
        <v>23</v>
      </c>
      <c r="N1638"/>
      <c r="O1638"/>
      <c r="P1638"/>
      <c r="Q1638"/>
      <c r="R1638"/>
      <c r="S1638"/>
    </row>
    <row r="1639" spans="1:19" x14ac:dyDescent="0.25">
      <c r="A1639" t="s">
        <v>193</v>
      </c>
      <c r="C1639" s="27" t="s">
        <v>34749</v>
      </c>
      <c r="D1639" s="28" t="s">
        <v>34867</v>
      </c>
      <c r="J1639" t="s">
        <v>4592</v>
      </c>
      <c r="K1639" t="s">
        <v>4593</v>
      </c>
      <c r="L1639" s="28" t="s">
        <v>4594</v>
      </c>
      <c r="M1639" t="s">
        <v>23</v>
      </c>
      <c r="N1639"/>
      <c r="O1639"/>
      <c r="P1639"/>
      <c r="Q1639"/>
      <c r="R1639"/>
      <c r="S1639"/>
    </row>
    <row r="1640" spans="1:19" x14ac:dyDescent="0.25">
      <c r="A1640" t="s">
        <v>193</v>
      </c>
      <c r="C1640" s="27" t="s">
        <v>34749</v>
      </c>
      <c r="D1640" s="28" t="s">
        <v>34867</v>
      </c>
      <c r="J1640" t="s">
        <v>4595</v>
      </c>
      <c r="K1640" t="s">
        <v>4596</v>
      </c>
      <c r="L1640" s="28" t="s">
        <v>4597</v>
      </c>
      <c r="M1640" t="s">
        <v>23</v>
      </c>
      <c r="N1640"/>
      <c r="O1640"/>
      <c r="P1640"/>
      <c r="Q1640"/>
      <c r="R1640"/>
      <c r="S1640"/>
    </row>
    <row r="1641" spans="1:19" x14ac:dyDescent="0.25">
      <c r="A1641" t="s">
        <v>193</v>
      </c>
      <c r="C1641" s="27" t="s">
        <v>34749</v>
      </c>
      <c r="D1641" s="28" t="s">
        <v>34867</v>
      </c>
      <c r="J1641" t="s">
        <v>4598</v>
      </c>
      <c r="K1641" t="s">
        <v>4599</v>
      </c>
      <c r="L1641" s="28" t="s">
        <v>4600</v>
      </c>
      <c r="M1641" t="s">
        <v>23</v>
      </c>
      <c r="N1641"/>
      <c r="O1641"/>
      <c r="P1641"/>
      <c r="Q1641"/>
      <c r="R1641"/>
      <c r="S1641"/>
    </row>
    <row r="1642" spans="1:19" x14ac:dyDescent="0.25">
      <c r="A1642" t="s">
        <v>193</v>
      </c>
      <c r="C1642" s="27" t="s">
        <v>34749</v>
      </c>
      <c r="D1642" s="28" t="s">
        <v>34867</v>
      </c>
      <c r="J1642" t="s">
        <v>4601</v>
      </c>
      <c r="K1642" t="s">
        <v>4602</v>
      </c>
      <c r="L1642" s="28" t="s">
        <v>4603</v>
      </c>
      <c r="M1642" t="s">
        <v>23</v>
      </c>
      <c r="N1642"/>
      <c r="O1642"/>
      <c r="P1642"/>
      <c r="Q1642"/>
      <c r="R1642"/>
      <c r="S1642"/>
    </row>
    <row r="1643" spans="1:19" x14ac:dyDescent="0.25">
      <c r="A1643" t="s">
        <v>193</v>
      </c>
      <c r="C1643" s="27" t="s">
        <v>34749</v>
      </c>
      <c r="D1643" s="28" t="s">
        <v>34867</v>
      </c>
      <c r="J1643" t="s">
        <v>4604</v>
      </c>
      <c r="K1643" t="s">
        <v>4605</v>
      </c>
      <c r="L1643" s="28" t="s">
        <v>4606</v>
      </c>
      <c r="M1643" t="s">
        <v>23</v>
      </c>
      <c r="N1643"/>
      <c r="O1643"/>
      <c r="P1643"/>
      <c r="Q1643"/>
      <c r="R1643"/>
      <c r="S1643"/>
    </row>
    <row r="1644" spans="1:19" x14ac:dyDescent="0.25">
      <c r="A1644" t="s">
        <v>193</v>
      </c>
      <c r="C1644" s="27" t="s">
        <v>34749</v>
      </c>
      <c r="D1644" s="28" t="s">
        <v>34867</v>
      </c>
      <c r="J1644" t="s">
        <v>4607</v>
      </c>
      <c r="K1644" t="s">
        <v>4608</v>
      </c>
      <c r="L1644" s="28" t="s">
        <v>4609</v>
      </c>
      <c r="M1644" t="s">
        <v>23</v>
      </c>
      <c r="N1644"/>
      <c r="O1644"/>
      <c r="P1644"/>
      <c r="Q1644"/>
      <c r="R1644"/>
      <c r="S1644"/>
    </row>
    <row r="1645" spans="1:19" x14ac:dyDescent="0.25">
      <c r="A1645" t="s">
        <v>193</v>
      </c>
      <c r="C1645" s="27" t="s">
        <v>34749</v>
      </c>
      <c r="D1645" s="28" t="s">
        <v>34867</v>
      </c>
      <c r="J1645" t="s">
        <v>4610</v>
      </c>
      <c r="K1645" t="s">
        <v>4611</v>
      </c>
      <c r="L1645" s="28" t="s">
        <v>4612</v>
      </c>
      <c r="M1645" t="s">
        <v>23</v>
      </c>
      <c r="N1645"/>
      <c r="O1645"/>
      <c r="P1645"/>
      <c r="Q1645"/>
      <c r="R1645"/>
      <c r="S1645"/>
    </row>
    <row r="1646" spans="1:19" x14ac:dyDescent="0.25">
      <c r="A1646" t="s">
        <v>193</v>
      </c>
      <c r="C1646" s="27" t="s">
        <v>34749</v>
      </c>
      <c r="D1646" s="28" t="s">
        <v>34867</v>
      </c>
      <c r="J1646" t="s">
        <v>4613</v>
      </c>
      <c r="K1646" t="s">
        <v>4614</v>
      </c>
      <c r="L1646" s="28" t="s">
        <v>4615</v>
      </c>
      <c r="M1646" t="s">
        <v>23</v>
      </c>
      <c r="N1646"/>
      <c r="O1646"/>
      <c r="P1646"/>
      <c r="Q1646"/>
      <c r="R1646"/>
      <c r="S1646"/>
    </row>
    <row r="1647" spans="1:19" x14ac:dyDescent="0.25">
      <c r="A1647" t="s">
        <v>193</v>
      </c>
      <c r="C1647" s="27" t="s">
        <v>34749</v>
      </c>
      <c r="D1647" s="28" t="s">
        <v>34867</v>
      </c>
      <c r="J1647" t="s">
        <v>4616</v>
      </c>
      <c r="K1647" t="s">
        <v>4617</v>
      </c>
      <c r="L1647" s="28" t="s">
        <v>4618</v>
      </c>
      <c r="M1647" t="s">
        <v>23</v>
      </c>
      <c r="N1647"/>
      <c r="O1647"/>
      <c r="P1647"/>
      <c r="Q1647"/>
      <c r="R1647"/>
      <c r="S1647"/>
    </row>
    <row r="1648" spans="1:19" x14ac:dyDescent="0.25">
      <c r="A1648" t="s">
        <v>193</v>
      </c>
      <c r="C1648" s="27" t="s">
        <v>34749</v>
      </c>
      <c r="D1648" s="28" t="s">
        <v>34867</v>
      </c>
      <c r="J1648" t="s">
        <v>4619</v>
      </c>
      <c r="K1648" t="s">
        <v>4620</v>
      </c>
      <c r="L1648" s="28" t="s">
        <v>4621</v>
      </c>
      <c r="M1648" t="s">
        <v>23</v>
      </c>
      <c r="N1648"/>
      <c r="O1648"/>
      <c r="P1648"/>
      <c r="Q1648"/>
      <c r="R1648"/>
      <c r="S1648"/>
    </row>
    <row r="1649" spans="1:19" x14ac:dyDescent="0.25">
      <c r="A1649" t="s">
        <v>193</v>
      </c>
      <c r="C1649" s="27" t="s">
        <v>34749</v>
      </c>
      <c r="D1649" s="28" t="s">
        <v>34867</v>
      </c>
      <c r="J1649" t="s">
        <v>4622</v>
      </c>
      <c r="K1649" t="s">
        <v>4623</v>
      </c>
      <c r="L1649" s="28" t="s">
        <v>4624</v>
      </c>
      <c r="M1649" t="s">
        <v>23</v>
      </c>
      <c r="N1649"/>
      <c r="O1649"/>
      <c r="P1649"/>
      <c r="Q1649"/>
      <c r="R1649"/>
      <c r="S1649"/>
    </row>
    <row r="1650" spans="1:19" x14ac:dyDescent="0.25">
      <c r="A1650" t="s">
        <v>193</v>
      </c>
      <c r="C1650" s="27" t="s">
        <v>34749</v>
      </c>
      <c r="D1650" s="28" t="s">
        <v>34867</v>
      </c>
      <c r="J1650" t="s">
        <v>4625</v>
      </c>
      <c r="K1650" t="s">
        <v>4626</v>
      </c>
      <c r="L1650" s="28" t="s">
        <v>4627</v>
      </c>
      <c r="M1650" t="s">
        <v>23</v>
      </c>
      <c r="N1650"/>
      <c r="O1650"/>
      <c r="P1650"/>
      <c r="Q1650"/>
      <c r="R1650"/>
      <c r="S1650"/>
    </row>
    <row r="1651" spans="1:19" x14ac:dyDescent="0.25">
      <c r="A1651" t="s">
        <v>193</v>
      </c>
      <c r="C1651" s="27" t="s">
        <v>34749</v>
      </c>
      <c r="D1651" s="28" t="s">
        <v>34867</v>
      </c>
      <c r="J1651" t="s">
        <v>4628</v>
      </c>
      <c r="K1651" t="s">
        <v>4629</v>
      </c>
      <c r="L1651" s="28" t="s">
        <v>4630</v>
      </c>
      <c r="M1651" t="s">
        <v>23</v>
      </c>
      <c r="N1651"/>
      <c r="O1651"/>
      <c r="P1651"/>
      <c r="Q1651"/>
      <c r="R1651"/>
      <c r="S1651"/>
    </row>
    <row r="1652" spans="1:19" x14ac:dyDescent="0.25">
      <c r="A1652" t="s">
        <v>193</v>
      </c>
      <c r="C1652" s="27" t="s">
        <v>34749</v>
      </c>
      <c r="D1652" s="28" t="s">
        <v>34867</v>
      </c>
      <c r="J1652" t="s">
        <v>4631</v>
      </c>
      <c r="K1652" t="s">
        <v>4632</v>
      </c>
      <c r="L1652" s="28" t="s">
        <v>4633</v>
      </c>
      <c r="M1652" t="s">
        <v>23</v>
      </c>
      <c r="N1652"/>
      <c r="O1652"/>
      <c r="P1652"/>
      <c r="Q1652"/>
      <c r="R1652"/>
      <c r="S1652"/>
    </row>
    <row r="1653" spans="1:19" x14ac:dyDescent="0.25">
      <c r="A1653" t="s">
        <v>193</v>
      </c>
      <c r="C1653" s="27" t="s">
        <v>34749</v>
      </c>
      <c r="D1653" s="28" t="s">
        <v>34867</v>
      </c>
      <c r="J1653" t="s">
        <v>4634</v>
      </c>
      <c r="K1653" t="s">
        <v>4635</v>
      </c>
      <c r="L1653" s="28" t="s">
        <v>4636</v>
      </c>
      <c r="M1653" t="s">
        <v>23</v>
      </c>
      <c r="N1653"/>
      <c r="O1653"/>
      <c r="P1653"/>
      <c r="Q1653"/>
      <c r="R1653"/>
      <c r="S1653"/>
    </row>
    <row r="1654" spans="1:19" x14ac:dyDescent="0.25">
      <c r="A1654" t="s">
        <v>193</v>
      </c>
      <c r="C1654" s="27" t="s">
        <v>34749</v>
      </c>
      <c r="D1654" s="28" t="s">
        <v>34867</v>
      </c>
      <c r="J1654" t="s">
        <v>4637</v>
      </c>
      <c r="K1654" t="s">
        <v>4638</v>
      </c>
      <c r="L1654" s="28" t="s">
        <v>4639</v>
      </c>
      <c r="M1654" t="s">
        <v>23</v>
      </c>
      <c r="N1654"/>
      <c r="O1654"/>
      <c r="P1654"/>
      <c r="Q1654"/>
      <c r="R1654"/>
      <c r="S1654"/>
    </row>
    <row r="1655" spans="1:19" x14ac:dyDescent="0.25">
      <c r="A1655" t="s">
        <v>193</v>
      </c>
      <c r="C1655" s="27" t="s">
        <v>34749</v>
      </c>
      <c r="D1655" s="28" t="s">
        <v>34867</v>
      </c>
      <c r="J1655" t="s">
        <v>4640</v>
      </c>
      <c r="K1655" t="s">
        <v>4641</v>
      </c>
      <c r="L1655" s="28" t="s">
        <v>4642</v>
      </c>
      <c r="M1655" t="s">
        <v>23</v>
      </c>
      <c r="N1655"/>
      <c r="O1655"/>
      <c r="P1655"/>
      <c r="Q1655"/>
      <c r="R1655"/>
      <c r="S1655"/>
    </row>
    <row r="1656" spans="1:19" x14ac:dyDescent="0.25">
      <c r="A1656" t="s">
        <v>193</v>
      </c>
      <c r="C1656" s="27" t="s">
        <v>34749</v>
      </c>
      <c r="D1656" s="28" t="s">
        <v>34867</v>
      </c>
      <c r="J1656" t="s">
        <v>4643</v>
      </c>
      <c r="K1656" t="s">
        <v>4644</v>
      </c>
      <c r="L1656" s="28" t="s">
        <v>4645</v>
      </c>
      <c r="M1656" t="s">
        <v>23</v>
      </c>
      <c r="N1656"/>
      <c r="O1656"/>
      <c r="P1656"/>
      <c r="Q1656"/>
      <c r="R1656"/>
      <c r="S1656"/>
    </row>
    <row r="1657" spans="1:19" x14ac:dyDescent="0.25">
      <c r="A1657" t="s">
        <v>193</v>
      </c>
      <c r="C1657" s="27" t="s">
        <v>34749</v>
      </c>
      <c r="D1657" s="28" t="s">
        <v>34867</v>
      </c>
      <c r="J1657" t="s">
        <v>4646</v>
      </c>
      <c r="K1657" t="s">
        <v>4647</v>
      </c>
      <c r="L1657" s="28" t="s">
        <v>4648</v>
      </c>
      <c r="M1657" t="s">
        <v>23</v>
      </c>
      <c r="N1657"/>
      <c r="O1657"/>
      <c r="P1657"/>
      <c r="Q1657"/>
      <c r="R1657"/>
      <c r="S1657"/>
    </row>
    <row r="1658" spans="1:19" x14ac:dyDescent="0.25">
      <c r="A1658" t="s">
        <v>193</v>
      </c>
      <c r="C1658" s="27" t="s">
        <v>34749</v>
      </c>
      <c r="D1658" s="28" t="s">
        <v>34867</v>
      </c>
      <c r="J1658" t="s">
        <v>4649</v>
      </c>
      <c r="K1658" t="s">
        <v>4650</v>
      </c>
      <c r="L1658" s="28" t="s">
        <v>4651</v>
      </c>
      <c r="M1658" t="s">
        <v>23</v>
      </c>
      <c r="N1658"/>
      <c r="O1658"/>
      <c r="P1658"/>
      <c r="Q1658"/>
      <c r="R1658"/>
      <c r="S1658"/>
    </row>
    <row r="1659" spans="1:19" x14ac:dyDescent="0.25">
      <c r="A1659" t="s">
        <v>193</v>
      </c>
      <c r="C1659" s="27" t="s">
        <v>34749</v>
      </c>
      <c r="D1659" s="28" t="s">
        <v>34867</v>
      </c>
      <c r="J1659" t="s">
        <v>4652</v>
      </c>
      <c r="K1659" t="s">
        <v>4653</v>
      </c>
      <c r="L1659" s="28" t="s">
        <v>4654</v>
      </c>
      <c r="M1659" t="s">
        <v>23</v>
      </c>
      <c r="N1659"/>
      <c r="O1659"/>
      <c r="P1659"/>
      <c r="Q1659"/>
      <c r="R1659"/>
      <c r="S1659"/>
    </row>
    <row r="1660" spans="1:19" x14ac:dyDescent="0.25">
      <c r="A1660" t="s">
        <v>193</v>
      </c>
      <c r="C1660" s="27" t="s">
        <v>34749</v>
      </c>
      <c r="D1660" s="28" t="s">
        <v>34867</v>
      </c>
      <c r="J1660" t="s">
        <v>4655</v>
      </c>
      <c r="K1660" t="s">
        <v>4656</v>
      </c>
      <c r="L1660" s="28" t="s">
        <v>4657</v>
      </c>
      <c r="M1660" t="s">
        <v>23</v>
      </c>
      <c r="N1660"/>
      <c r="O1660"/>
      <c r="P1660"/>
      <c r="Q1660"/>
      <c r="R1660"/>
      <c r="S1660"/>
    </row>
    <row r="1661" spans="1:19" x14ac:dyDescent="0.25">
      <c r="A1661" t="s">
        <v>193</v>
      </c>
      <c r="C1661" s="27" t="s">
        <v>34749</v>
      </c>
      <c r="D1661" s="28" t="s">
        <v>34867</v>
      </c>
      <c r="J1661" t="s">
        <v>4658</v>
      </c>
      <c r="K1661" t="s">
        <v>4659</v>
      </c>
      <c r="L1661" s="28" t="s">
        <v>4660</v>
      </c>
      <c r="M1661" t="s">
        <v>23</v>
      </c>
      <c r="N1661"/>
      <c r="O1661"/>
      <c r="P1661"/>
      <c r="Q1661"/>
      <c r="R1661"/>
      <c r="S1661"/>
    </row>
    <row r="1662" spans="1:19" x14ac:dyDescent="0.25">
      <c r="A1662" t="s">
        <v>193</v>
      </c>
      <c r="C1662" s="27" t="s">
        <v>34749</v>
      </c>
      <c r="D1662" s="28" t="s">
        <v>34867</v>
      </c>
      <c r="J1662" t="s">
        <v>4661</v>
      </c>
      <c r="K1662" t="s">
        <v>4662</v>
      </c>
      <c r="L1662" s="28" t="s">
        <v>4663</v>
      </c>
      <c r="M1662" t="s">
        <v>23</v>
      </c>
      <c r="N1662"/>
      <c r="O1662"/>
      <c r="P1662"/>
      <c r="Q1662"/>
      <c r="R1662"/>
      <c r="S1662"/>
    </row>
    <row r="1663" spans="1:19" x14ac:dyDescent="0.25">
      <c r="A1663" t="s">
        <v>193</v>
      </c>
      <c r="C1663" s="27" t="s">
        <v>34749</v>
      </c>
      <c r="D1663" s="28" t="s">
        <v>34867</v>
      </c>
      <c r="J1663" t="s">
        <v>4664</v>
      </c>
      <c r="K1663" t="s">
        <v>4665</v>
      </c>
      <c r="L1663" s="28" t="s">
        <v>4666</v>
      </c>
      <c r="M1663" t="s">
        <v>23</v>
      </c>
      <c r="N1663"/>
      <c r="O1663"/>
      <c r="P1663"/>
      <c r="Q1663"/>
      <c r="R1663"/>
      <c r="S1663"/>
    </row>
    <row r="1664" spans="1:19" x14ac:dyDescent="0.25">
      <c r="A1664" t="s">
        <v>193</v>
      </c>
      <c r="C1664" s="27" t="s">
        <v>34749</v>
      </c>
      <c r="D1664" s="28" t="s">
        <v>34867</v>
      </c>
      <c r="J1664" t="s">
        <v>4667</v>
      </c>
      <c r="K1664" t="s">
        <v>4668</v>
      </c>
      <c r="L1664" s="28" t="s">
        <v>4669</v>
      </c>
      <c r="M1664" t="s">
        <v>23</v>
      </c>
      <c r="N1664"/>
      <c r="O1664"/>
      <c r="P1664"/>
      <c r="Q1664"/>
      <c r="R1664"/>
      <c r="S1664"/>
    </row>
    <row r="1665" spans="1:19" x14ac:dyDescent="0.25">
      <c r="A1665" t="s">
        <v>193</v>
      </c>
      <c r="C1665" s="27" t="s">
        <v>34749</v>
      </c>
      <c r="D1665" s="28" t="s">
        <v>34867</v>
      </c>
      <c r="J1665" t="s">
        <v>4670</v>
      </c>
      <c r="K1665" t="s">
        <v>4671</v>
      </c>
      <c r="L1665" s="28" t="s">
        <v>4672</v>
      </c>
      <c r="M1665" t="s">
        <v>23</v>
      </c>
      <c r="N1665"/>
      <c r="O1665"/>
      <c r="P1665"/>
      <c r="Q1665"/>
      <c r="R1665"/>
      <c r="S1665"/>
    </row>
    <row r="1666" spans="1:19" x14ac:dyDescent="0.25">
      <c r="A1666" t="s">
        <v>193</v>
      </c>
      <c r="C1666" s="27" t="s">
        <v>34749</v>
      </c>
      <c r="D1666" s="28" t="s">
        <v>34867</v>
      </c>
      <c r="J1666" t="s">
        <v>4673</v>
      </c>
      <c r="K1666" t="s">
        <v>4674</v>
      </c>
      <c r="L1666" s="28" t="s">
        <v>4675</v>
      </c>
      <c r="M1666" t="s">
        <v>23</v>
      </c>
      <c r="N1666"/>
      <c r="O1666"/>
      <c r="P1666"/>
      <c r="Q1666"/>
      <c r="R1666"/>
      <c r="S1666"/>
    </row>
    <row r="1667" spans="1:19" x14ac:dyDescent="0.25">
      <c r="A1667" t="s">
        <v>193</v>
      </c>
      <c r="C1667" s="27" t="s">
        <v>34749</v>
      </c>
      <c r="D1667" s="28" t="s">
        <v>34867</v>
      </c>
      <c r="J1667" t="s">
        <v>4676</v>
      </c>
      <c r="K1667" t="s">
        <v>4677</v>
      </c>
      <c r="L1667" s="28" t="s">
        <v>4678</v>
      </c>
      <c r="M1667" t="s">
        <v>23</v>
      </c>
      <c r="N1667"/>
      <c r="O1667"/>
      <c r="P1667"/>
      <c r="Q1667"/>
      <c r="R1667"/>
      <c r="S1667"/>
    </row>
    <row r="1668" spans="1:19" x14ac:dyDescent="0.25">
      <c r="A1668" t="s">
        <v>193</v>
      </c>
      <c r="C1668" s="27" t="s">
        <v>34749</v>
      </c>
      <c r="D1668" s="28" t="s">
        <v>34867</v>
      </c>
      <c r="J1668" t="s">
        <v>4679</v>
      </c>
      <c r="K1668" t="s">
        <v>4680</v>
      </c>
      <c r="L1668" s="28" t="s">
        <v>4681</v>
      </c>
      <c r="M1668" t="s">
        <v>23</v>
      </c>
      <c r="N1668"/>
      <c r="O1668"/>
      <c r="P1668"/>
      <c r="Q1668"/>
      <c r="R1668"/>
      <c r="S1668"/>
    </row>
    <row r="1669" spans="1:19" x14ac:dyDescent="0.25">
      <c r="A1669" t="s">
        <v>193</v>
      </c>
      <c r="C1669" s="27" t="s">
        <v>34749</v>
      </c>
      <c r="D1669" s="28" t="s">
        <v>34867</v>
      </c>
      <c r="J1669" t="s">
        <v>4682</v>
      </c>
      <c r="K1669" t="s">
        <v>4683</v>
      </c>
      <c r="L1669" s="28" t="s">
        <v>4684</v>
      </c>
      <c r="M1669" t="s">
        <v>23</v>
      </c>
      <c r="N1669"/>
      <c r="O1669"/>
      <c r="P1669"/>
      <c r="Q1669"/>
      <c r="R1669"/>
      <c r="S1669"/>
    </row>
    <row r="1670" spans="1:19" x14ac:dyDescent="0.25">
      <c r="A1670" t="s">
        <v>193</v>
      </c>
      <c r="C1670" s="27" t="s">
        <v>34749</v>
      </c>
      <c r="D1670" s="28" t="s">
        <v>34867</v>
      </c>
      <c r="J1670" t="s">
        <v>4685</v>
      </c>
      <c r="K1670" t="s">
        <v>4686</v>
      </c>
      <c r="L1670" s="28" t="s">
        <v>4687</v>
      </c>
      <c r="M1670" t="s">
        <v>23</v>
      </c>
      <c r="N1670"/>
      <c r="O1670"/>
      <c r="P1670"/>
      <c r="Q1670"/>
      <c r="R1670"/>
      <c r="S1670"/>
    </row>
    <row r="1671" spans="1:19" x14ac:dyDescent="0.25">
      <c r="A1671" t="s">
        <v>193</v>
      </c>
      <c r="C1671" s="27" t="s">
        <v>34749</v>
      </c>
      <c r="D1671" s="28" t="s">
        <v>34867</v>
      </c>
      <c r="J1671" t="s">
        <v>4688</v>
      </c>
      <c r="K1671" t="s">
        <v>4689</v>
      </c>
      <c r="L1671" s="28" t="s">
        <v>4690</v>
      </c>
      <c r="M1671" t="s">
        <v>23</v>
      </c>
      <c r="N1671"/>
      <c r="O1671"/>
      <c r="P1671"/>
      <c r="Q1671"/>
      <c r="R1671"/>
      <c r="S1671"/>
    </row>
    <row r="1672" spans="1:19" x14ac:dyDescent="0.25">
      <c r="A1672" t="s">
        <v>193</v>
      </c>
      <c r="C1672" s="27" t="s">
        <v>34749</v>
      </c>
      <c r="D1672" s="28" t="s">
        <v>34867</v>
      </c>
      <c r="J1672" t="s">
        <v>4691</v>
      </c>
      <c r="K1672" t="s">
        <v>4692</v>
      </c>
      <c r="L1672" s="28" t="s">
        <v>4693</v>
      </c>
      <c r="M1672" t="s">
        <v>23</v>
      </c>
      <c r="N1672"/>
      <c r="O1672"/>
      <c r="P1672"/>
      <c r="Q1672"/>
      <c r="R1672"/>
      <c r="S1672"/>
    </row>
    <row r="1673" spans="1:19" x14ac:dyDescent="0.25">
      <c r="A1673" t="s">
        <v>193</v>
      </c>
      <c r="C1673" s="27" t="s">
        <v>34749</v>
      </c>
      <c r="D1673" s="28" t="s">
        <v>34867</v>
      </c>
      <c r="J1673" t="s">
        <v>4694</v>
      </c>
      <c r="K1673" t="s">
        <v>4695</v>
      </c>
      <c r="L1673" s="28" t="s">
        <v>4696</v>
      </c>
      <c r="M1673" t="s">
        <v>23</v>
      </c>
      <c r="N1673"/>
      <c r="O1673"/>
      <c r="P1673"/>
      <c r="Q1673"/>
      <c r="R1673"/>
      <c r="S1673"/>
    </row>
    <row r="1674" spans="1:19" x14ac:dyDescent="0.25">
      <c r="A1674" t="s">
        <v>193</v>
      </c>
      <c r="C1674" s="27" t="s">
        <v>34749</v>
      </c>
      <c r="D1674" s="28" t="s">
        <v>34867</v>
      </c>
      <c r="J1674" t="s">
        <v>4697</v>
      </c>
      <c r="K1674" t="s">
        <v>4698</v>
      </c>
      <c r="L1674" s="28" t="s">
        <v>4699</v>
      </c>
      <c r="M1674" t="s">
        <v>23</v>
      </c>
      <c r="N1674"/>
      <c r="O1674"/>
      <c r="P1674"/>
      <c r="Q1674"/>
      <c r="R1674"/>
      <c r="S1674"/>
    </row>
    <row r="1675" spans="1:19" x14ac:dyDescent="0.25">
      <c r="A1675" t="s">
        <v>193</v>
      </c>
      <c r="C1675" s="27" t="s">
        <v>34749</v>
      </c>
      <c r="D1675" s="28" t="s">
        <v>34867</v>
      </c>
      <c r="J1675" t="s">
        <v>4700</v>
      </c>
      <c r="K1675" t="s">
        <v>4701</v>
      </c>
      <c r="L1675" s="28" t="s">
        <v>4702</v>
      </c>
      <c r="M1675" t="s">
        <v>23</v>
      </c>
      <c r="N1675"/>
      <c r="O1675"/>
      <c r="P1675"/>
      <c r="Q1675"/>
      <c r="R1675"/>
      <c r="S1675"/>
    </row>
    <row r="1676" spans="1:19" x14ac:dyDescent="0.25">
      <c r="A1676" t="s">
        <v>193</v>
      </c>
      <c r="C1676" s="27" t="s">
        <v>34749</v>
      </c>
      <c r="D1676" s="28" t="s">
        <v>34867</v>
      </c>
      <c r="J1676" t="s">
        <v>4703</v>
      </c>
      <c r="K1676" t="s">
        <v>4704</v>
      </c>
      <c r="L1676" s="28" t="s">
        <v>4705</v>
      </c>
      <c r="M1676" t="s">
        <v>23</v>
      </c>
      <c r="N1676"/>
      <c r="O1676"/>
      <c r="P1676"/>
      <c r="Q1676"/>
      <c r="R1676"/>
      <c r="S1676"/>
    </row>
    <row r="1677" spans="1:19" x14ac:dyDescent="0.25">
      <c r="A1677" t="s">
        <v>193</v>
      </c>
      <c r="C1677" s="27" t="s">
        <v>34749</v>
      </c>
      <c r="D1677" s="28" t="s">
        <v>34867</v>
      </c>
      <c r="E1677" s="3"/>
      <c r="F1677" s="3"/>
      <c r="J1677" t="s">
        <v>4706</v>
      </c>
      <c r="K1677" t="s">
        <v>4707</v>
      </c>
      <c r="L1677" s="28" t="s">
        <v>4708</v>
      </c>
      <c r="M1677" t="s">
        <v>23</v>
      </c>
      <c r="N1677"/>
      <c r="O1677"/>
      <c r="P1677"/>
      <c r="Q1677"/>
      <c r="R1677"/>
      <c r="S1677"/>
    </row>
    <row r="1678" spans="1:19" x14ac:dyDescent="0.25">
      <c r="A1678" t="s">
        <v>193</v>
      </c>
      <c r="C1678" s="27" t="s">
        <v>34749</v>
      </c>
      <c r="D1678" s="28" t="s">
        <v>34867</v>
      </c>
      <c r="J1678" t="s">
        <v>4709</v>
      </c>
      <c r="K1678" t="s">
        <v>4710</v>
      </c>
      <c r="L1678" s="28" t="s">
        <v>4711</v>
      </c>
      <c r="M1678" t="s">
        <v>23</v>
      </c>
      <c r="N1678"/>
      <c r="O1678"/>
      <c r="P1678"/>
      <c r="Q1678"/>
      <c r="R1678"/>
      <c r="S1678"/>
    </row>
    <row r="1679" spans="1:19" x14ac:dyDescent="0.25">
      <c r="A1679" t="s">
        <v>193</v>
      </c>
      <c r="C1679" s="27" t="s">
        <v>34749</v>
      </c>
      <c r="D1679" s="28" t="s">
        <v>34867</v>
      </c>
      <c r="J1679" t="s">
        <v>4712</v>
      </c>
      <c r="K1679" t="s">
        <v>4713</v>
      </c>
      <c r="L1679" s="28" t="s">
        <v>4714</v>
      </c>
      <c r="M1679" t="s">
        <v>23</v>
      </c>
      <c r="N1679"/>
      <c r="O1679"/>
      <c r="P1679"/>
      <c r="Q1679"/>
      <c r="R1679"/>
      <c r="S1679"/>
    </row>
    <row r="1680" spans="1:19" x14ac:dyDescent="0.25">
      <c r="A1680" t="s">
        <v>193</v>
      </c>
      <c r="C1680" s="27" t="s">
        <v>34749</v>
      </c>
      <c r="D1680" s="28" t="s">
        <v>34867</v>
      </c>
      <c r="J1680" t="s">
        <v>4715</v>
      </c>
      <c r="K1680" t="s">
        <v>4716</v>
      </c>
      <c r="L1680" s="28" t="s">
        <v>4717</v>
      </c>
      <c r="M1680" t="s">
        <v>23</v>
      </c>
      <c r="N1680"/>
      <c r="O1680"/>
      <c r="P1680"/>
      <c r="Q1680"/>
      <c r="R1680"/>
      <c r="S1680"/>
    </row>
    <row r="1681" spans="1:19" x14ac:dyDescent="0.25">
      <c r="A1681" t="s">
        <v>193</v>
      </c>
      <c r="C1681" s="27" t="s">
        <v>34749</v>
      </c>
      <c r="D1681" s="28" t="s">
        <v>34867</v>
      </c>
      <c r="J1681" t="s">
        <v>4718</v>
      </c>
      <c r="K1681" t="s">
        <v>4719</v>
      </c>
      <c r="L1681" s="28" t="s">
        <v>4720</v>
      </c>
      <c r="M1681" t="s">
        <v>23</v>
      </c>
      <c r="N1681"/>
      <c r="O1681"/>
      <c r="P1681"/>
      <c r="Q1681"/>
      <c r="R1681"/>
      <c r="S1681"/>
    </row>
    <row r="1682" spans="1:19" x14ac:dyDescent="0.25">
      <c r="A1682" t="s">
        <v>193</v>
      </c>
      <c r="C1682" s="27" t="s">
        <v>34749</v>
      </c>
      <c r="D1682" s="28" t="s">
        <v>34867</v>
      </c>
      <c r="J1682" t="s">
        <v>4721</v>
      </c>
      <c r="K1682" t="s">
        <v>4722</v>
      </c>
      <c r="L1682" s="28" t="s">
        <v>4723</v>
      </c>
      <c r="M1682" t="s">
        <v>23</v>
      </c>
      <c r="N1682"/>
      <c r="O1682"/>
      <c r="P1682"/>
      <c r="Q1682"/>
      <c r="R1682"/>
      <c r="S1682"/>
    </row>
    <row r="1683" spans="1:19" x14ac:dyDescent="0.25">
      <c r="A1683" t="s">
        <v>169</v>
      </c>
      <c r="J1683" t="s">
        <v>4724</v>
      </c>
      <c r="K1683" t="s">
        <v>4725</v>
      </c>
      <c r="M1683" t="s">
        <v>47</v>
      </c>
      <c r="N1683"/>
      <c r="O1683"/>
      <c r="P1683"/>
      <c r="Q1683"/>
      <c r="R1683"/>
      <c r="S1683"/>
    </row>
    <row r="1684" spans="1:19" x14ac:dyDescent="0.25">
      <c r="A1684" t="s">
        <v>193</v>
      </c>
      <c r="C1684" s="27" t="s">
        <v>34749</v>
      </c>
      <c r="D1684" s="28" t="s">
        <v>34867</v>
      </c>
      <c r="E1684" s="3"/>
      <c r="F1684" s="3"/>
      <c r="J1684" t="s">
        <v>4726</v>
      </c>
      <c r="K1684" t="s">
        <v>4727</v>
      </c>
      <c r="L1684" s="28" t="s">
        <v>4728</v>
      </c>
      <c r="M1684" t="s">
        <v>23</v>
      </c>
      <c r="N1684"/>
      <c r="O1684"/>
      <c r="P1684"/>
      <c r="Q1684"/>
      <c r="R1684"/>
      <c r="S1684"/>
    </row>
    <row r="1685" spans="1:19" x14ac:dyDescent="0.25">
      <c r="A1685" t="s">
        <v>193</v>
      </c>
      <c r="C1685" s="27" t="s">
        <v>34749</v>
      </c>
      <c r="D1685" s="28" t="s">
        <v>34867</v>
      </c>
      <c r="J1685" t="s">
        <v>4729</v>
      </c>
      <c r="K1685" t="s">
        <v>4730</v>
      </c>
      <c r="L1685" s="28" t="s">
        <v>4731</v>
      </c>
      <c r="M1685" t="s">
        <v>23</v>
      </c>
      <c r="N1685"/>
      <c r="O1685"/>
      <c r="P1685"/>
      <c r="Q1685"/>
      <c r="R1685"/>
      <c r="S1685"/>
    </row>
    <row r="1686" spans="1:19" x14ac:dyDescent="0.25">
      <c r="A1686" s="28" t="s">
        <v>14843</v>
      </c>
      <c r="E1686" s="3"/>
      <c r="F1686" s="3"/>
      <c r="J1686" t="s">
        <v>4732</v>
      </c>
      <c r="K1686" t="s">
        <v>4733</v>
      </c>
      <c r="M1686" t="s">
        <v>2820</v>
      </c>
      <c r="N1686"/>
      <c r="O1686"/>
      <c r="P1686"/>
      <c r="Q1686"/>
      <c r="R1686"/>
      <c r="S1686"/>
    </row>
    <row r="1687" spans="1:19" x14ac:dyDescent="0.25">
      <c r="A1687" t="s">
        <v>193</v>
      </c>
      <c r="C1687" s="27" t="s">
        <v>34749</v>
      </c>
      <c r="D1687" s="28" t="s">
        <v>34867</v>
      </c>
      <c r="I1687" t="str">
        <f>CONCATENATE(LEFT(K1687,SEARCH(" (",K1687))," | ", RIGHT(LEFT(K1687,LEN(K1687)-1),LEN(K1687)-2-FIND(" (",K1687)))</f>
        <v>ethyleendiaminetetraethaanzuur  | EDTA</v>
      </c>
      <c r="J1687" t="s">
        <v>4734</v>
      </c>
      <c r="K1687" t="s">
        <v>4735</v>
      </c>
      <c r="L1687" s="28" t="s">
        <v>4736</v>
      </c>
      <c r="M1687" t="s">
        <v>23</v>
      </c>
      <c r="N1687"/>
      <c r="O1687"/>
      <c r="P1687"/>
      <c r="Q1687"/>
      <c r="R1687"/>
      <c r="S1687"/>
    </row>
    <row r="1688" spans="1:19" x14ac:dyDescent="0.25">
      <c r="A1688" t="s">
        <v>193</v>
      </c>
      <c r="C1688" s="27" t="s">
        <v>34749</v>
      </c>
      <c r="D1688" s="28" t="s">
        <v>34867</v>
      </c>
      <c r="I1688" t="str">
        <f>CONCATENATE(LEFT(K1688,SEARCH(" (",K1688))," | ", RIGHT(LEFT(K1688,LEN(K1688)-1),LEN(K1688)-2-FIND(" (",K1688)))</f>
        <v>ethyleendiamine tetra(methyleen fosfonzuur)  | EDTMP</v>
      </c>
      <c r="J1688" t="s">
        <v>4737</v>
      </c>
      <c r="K1688" t="s">
        <v>4738</v>
      </c>
      <c r="L1688" s="28" t="s">
        <v>4739</v>
      </c>
      <c r="M1688" t="s">
        <v>23</v>
      </c>
      <c r="N1688"/>
      <c r="O1688"/>
      <c r="P1688"/>
      <c r="Q1688"/>
      <c r="R1688"/>
      <c r="S1688"/>
    </row>
    <row r="1689" spans="1:19" x14ac:dyDescent="0.25">
      <c r="A1689" s="28" t="s">
        <v>14843</v>
      </c>
      <c r="J1689" t="s">
        <v>4740</v>
      </c>
      <c r="K1689" t="s">
        <v>4741</v>
      </c>
      <c r="M1689" t="s">
        <v>47</v>
      </c>
      <c r="N1689"/>
      <c r="O1689"/>
      <c r="P1689"/>
      <c r="Q1689"/>
      <c r="R1689"/>
      <c r="S1689"/>
    </row>
    <row r="1690" spans="1:19" x14ac:dyDescent="0.25">
      <c r="A1690" s="28" t="s">
        <v>14843</v>
      </c>
      <c r="J1690" t="s">
        <v>4742</v>
      </c>
      <c r="K1690" t="s">
        <v>4743</v>
      </c>
      <c r="M1690" t="s">
        <v>47</v>
      </c>
      <c r="N1690"/>
      <c r="O1690"/>
      <c r="P1690"/>
      <c r="Q1690"/>
      <c r="R1690"/>
      <c r="S1690"/>
    </row>
    <row r="1691" spans="1:19" x14ac:dyDescent="0.25">
      <c r="A1691" s="28" t="s">
        <v>14843</v>
      </c>
      <c r="J1691" t="s">
        <v>4744</v>
      </c>
      <c r="K1691" t="s">
        <v>4745</v>
      </c>
      <c r="M1691" t="s">
        <v>47</v>
      </c>
      <c r="N1691"/>
      <c r="O1691"/>
      <c r="P1691"/>
      <c r="Q1691"/>
      <c r="R1691"/>
      <c r="S1691"/>
    </row>
    <row r="1692" spans="1:19" x14ac:dyDescent="0.25">
      <c r="A1692" s="28" t="s">
        <v>14843</v>
      </c>
      <c r="J1692" t="s">
        <v>4746</v>
      </c>
      <c r="K1692" t="s">
        <v>4747</v>
      </c>
      <c r="M1692" t="s">
        <v>666</v>
      </c>
      <c r="N1692"/>
      <c r="O1692"/>
      <c r="P1692"/>
      <c r="Q1692"/>
      <c r="R1692"/>
      <c r="S1692"/>
    </row>
    <row r="1693" spans="1:19" x14ac:dyDescent="0.25">
      <c r="A1693" s="28" t="s">
        <v>14843</v>
      </c>
      <c r="J1693" t="s">
        <v>4748</v>
      </c>
      <c r="K1693" t="s">
        <v>4749</v>
      </c>
      <c r="M1693" t="s">
        <v>47</v>
      </c>
      <c r="N1693"/>
      <c r="O1693"/>
      <c r="P1693"/>
      <c r="Q1693"/>
      <c r="R1693"/>
      <c r="S1693"/>
    </row>
    <row r="1694" spans="1:19" x14ac:dyDescent="0.25">
      <c r="A1694" t="s">
        <v>193</v>
      </c>
      <c r="C1694" s="27" t="s">
        <v>34749</v>
      </c>
      <c r="D1694" s="28" t="s">
        <v>34867</v>
      </c>
      <c r="J1694" t="s">
        <v>4750</v>
      </c>
      <c r="K1694" t="s">
        <v>4751</v>
      </c>
      <c r="L1694" s="28" t="s">
        <v>4752</v>
      </c>
      <c r="M1694" t="s">
        <v>23</v>
      </c>
      <c r="N1694"/>
      <c r="O1694"/>
      <c r="P1694"/>
      <c r="Q1694"/>
      <c r="R1694"/>
      <c r="S1694"/>
    </row>
    <row r="1695" spans="1:19" x14ac:dyDescent="0.25">
      <c r="A1695" t="s">
        <v>193</v>
      </c>
      <c r="C1695" s="27" t="s">
        <v>34749</v>
      </c>
      <c r="D1695" s="28" t="s">
        <v>34867</v>
      </c>
      <c r="J1695" t="s">
        <v>4753</v>
      </c>
      <c r="K1695" t="s">
        <v>4754</v>
      </c>
      <c r="L1695" s="28" t="s">
        <v>4755</v>
      </c>
      <c r="M1695" t="s">
        <v>23</v>
      </c>
      <c r="N1695"/>
      <c r="O1695"/>
      <c r="P1695"/>
      <c r="Q1695"/>
      <c r="R1695"/>
      <c r="S1695"/>
    </row>
    <row r="1696" spans="1:19" x14ac:dyDescent="0.25">
      <c r="A1696" s="28" t="s">
        <v>14843</v>
      </c>
      <c r="J1696" t="s">
        <v>4756</v>
      </c>
      <c r="K1696" t="s">
        <v>4757</v>
      </c>
      <c r="M1696" t="s">
        <v>666</v>
      </c>
      <c r="N1696"/>
      <c r="O1696"/>
      <c r="P1696"/>
      <c r="Q1696"/>
      <c r="R1696"/>
      <c r="S1696"/>
    </row>
    <row r="1697" spans="1:19" x14ac:dyDescent="0.25">
      <c r="A1697" s="28" t="s">
        <v>14843</v>
      </c>
      <c r="J1697" t="s">
        <v>4758</v>
      </c>
      <c r="K1697" t="s">
        <v>4759</v>
      </c>
      <c r="M1697" t="s">
        <v>47</v>
      </c>
      <c r="N1697"/>
      <c r="O1697"/>
      <c r="P1697"/>
      <c r="Q1697"/>
      <c r="R1697"/>
      <c r="S1697"/>
    </row>
    <row r="1698" spans="1:19" x14ac:dyDescent="0.25">
      <c r="A1698" t="s">
        <v>193</v>
      </c>
      <c r="C1698" s="27" t="s">
        <v>34749</v>
      </c>
      <c r="D1698" s="28" t="s">
        <v>34867</v>
      </c>
      <c r="J1698" t="s">
        <v>4760</v>
      </c>
      <c r="K1698" t="s">
        <v>4761</v>
      </c>
      <c r="L1698" s="28" t="s">
        <v>4762</v>
      </c>
      <c r="M1698" t="s">
        <v>23</v>
      </c>
      <c r="N1698"/>
      <c r="O1698"/>
      <c r="P1698"/>
      <c r="Q1698"/>
      <c r="R1698"/>
      <c r="S1698"/>
    </row>
    <row r="1699" spans="1:19" x14ac:dyDescent="0.25">
      <c r="A1699" s="28" t="s">
        <v>14843</v>
      </c>
      <c r="J1699" t="s">
        <v>4763</v>
      </c>
      <c r="K1699" t="s">
        <v>4764</v>
      </c>
      <c r="M1699" t="s">
        <v>2820</v>
      </c>
      <c r="N1699"/>
      <c r="O1699"/>
      <c r="P1699"/>
      <c r="Q1699"/>
      <c r="R1699"/>
      <c r="S1699"/>
    </row>
    <row r="1700" spans="1:19" x14ac:dyDescent="0.25">
      <c r="A1700" s="28" t="s">
        <v>14843</v>
      </c>
      <c r="J1700" t="s">
        <v>4765</v>
      </c>
      <c r="K1700" t="s">
        <v>4766</v>
      </c>
      <c r="M1700" t="s">
        <v>47</v>
      </c>
      <c r="N1700"/>
      <c r="O1700"/>
      <c r="P1700"/>
      <c r="Q1700"/>
      <c r="R1700"/>
      <c r="S1700"/>
    </row>
    <row r="1701" spans="1:19" x14ac:dyDescent="0.25">
      <c r="A1701" s="28" t="s">
        <v>14843</v>
      </c>
      <c r="J1701" t="s">
        <v>4767</v>
      </c>
      <c r="K1701" t="s">
        <v>4768</v>
      </c>
      <c r="M1701" t="s">
        <v>47</v>
      </c>
      <c r="N1701"/>
      <c r="O1701"/>
      <c r="P1701"/>
      <c r="Q1701"/>
      <c r="R1701"/>
      <c r="S1701"/>
    </row>
    <row r="1702" spans="1:19" x14ac:dyDescent="0.25">
      <c r="A1702" s="28" t="s">
        <v>14843</v>
      </c>
      <c r="J1702" t="s">
        <v>4769</v>
      </c>
      <c r="K1702" t="s">
        <v>4770</v>
      </c>
      <c r="M1702" t="s">
        <v>47</v>
      </c>
      <c r="N1702"/>
      <c r="O1702"/>
      <c r="P1702"/>
      <c r="Q1702"/>
      <c r="R1702"/>
      <c r="S1702"/>
    </row>
    <row r="1703" spans="1:19" x14ac:dyDescent="0.25">
      <c r="A1703" s="28" t="s">
        <v>14843</v>
      </c>
      <c r="J1703" t="s">
        <v>4771</v>
      </c>
      <c r="K1703" t="s">
        <v>4772</v>
      </c>
      <c r="M1703" t="s">
        <v>47</v>
      </c>
      <c r="N1703"/>
      <c r="O1703"/>
      <c r="P1703"/>
      <c r="Q1703"/>
      <c r="R1703"/>
      <c r="S1703"/>
    </row>
    <row r="1704" spans="1:19" x14ac:dyDescent="0.25">
      <c r="A1704" s="28" t="s">
        <v>14843</v>
      </c>
      <c r="J1704" t="s">
        <v>4773</v>
      </c>
      <c r="K1704" t="s">
        <v>4774</v>
      </c>
      <c r="M1704" t="s">
        <v>2779</v>
      </c>
      <c r="N1704"/>
      <c r="O1704"/>
      <c r="P1704"/>
      <c r="Q1704"/>
      <c r="R1704"/>
      <c r="S1704"/>
    </row>
    <row r="1705" spans="1:19" x14ac:dyDescent="0.25">
      <c r="A1705" s="28" t="s">
        <v>14843</v>
      </c>
      <c r="J1705" t="s">
        <v>4775</v>
      </c>
      <c r="K1705" t="s">
        <v>4776</v>
      </c>
      <c r="M1705" t="s">
        <v>2779</v>
      </c>
      <c r="N1705"/>
      <c r="O1705"/>
      <c r="P1705"/>
      <c r="Q1705"/>
      <c r="R1705"/>
      <c r="S1705"/>
    </row>
    <row r="1706" spans="1:19" x14ac:dyDescent="0.25">
      <c r="A1706" s="28" t="s">
        <v>14843</v>
      </c>
      <c r="J1706" t="s">
        <v>4777</v>
      </c>
      <c r="K1706" t="s">
        <v>4778</v>
      </c>
      <c r="M1706" t="s">
        <v>2779</v>
      </c>
      <c r="N1706"/>
      <c r="O1706"/>
      <c r="P1706"/>
      <c r="Q1706"/>
      <c r="R1706"/>
      <c r="S1706"/>
    </row>
    <row r="1707" spans="1:19" x14ac:dyDescent="0.25">
      <c r="A1707" t="s">
        <v>193</v>
      </c>
      <c r="C1707" s="27" t="s">
        <v>34749</v>
      </c>
      <c r="D1707" s="28" t="s">
        <v>34867</v>
      </c>
      <c r="J1707" t="s">
        <v>4779</v>
      </c>
      <c r="K1707" t="s">
        <v>4780</v>
      </c>
      <c r="L1707" s="28" t="s">
        <v>4781</v>
      </c>
      <c r="M1707" t="s">
        <v>23</v>
      </c>
      <c r="N1707"/>
      <c r="O1707"/>
      <c r="P1707"/>
      <c r="Q1707"/>
      <c r="R1707"/>
      <c r="S1707"/>
    </row>
    <row r="1708" spans="1:19" x14ac:dyDescent="0.25">
      <c r="A1708" t="s">
        <v>193</v>
      </c>
      <c r="C1708" s="27" t="s">
        <v>34749</v>
      </c>
      <c r="D1708" s="28" t="s">
        <v>34867</v>
      </c>
      <c r="J1708" t="s">
        <v>4782</v>
      </c>
      <c r="K1708" t="s">
        <v>4783</v>
      </c>
      <c r="L1708" s="28" t="s">
        <v>4784</v>
      </c>
      <c r="M1708" t="s">
        <v>23</v>
      </c>
      <c r="N1708"/>
      <c r="O1708"/>
      <c r="P1708"/>
      <c r="Q1708"/>
      <c r="R1708"/>
      <c r="S1708"/>
    </row>
    <row r="1709" spans="1:19" x14ac:dyDescent="0.25">
      <c r="A1709" t="s">
        <v>193</v>
      </c>
      <c r="C1709" s="27" t="s">
        <v>34749</v>
      </c>
      <c r="D1709" s="28" t="s">
        <v>34867</v>
      </c>
      <c r="J1709" t="s">
        <v>4785</v>
      </c>
      <c r="K1709" t="s">
        <v>4786</v>
      </c>
      <c r="L1709" s="28" t="s">
        <v>4787</v>
      </c>
      <c r="M1709" t="s">
        <v>23</v>
      </c>
      <c r="N1709"/>
      <c r="O1709"/>
      <c r="P1709"/>
      <c r="Q1709"/>
      <c r="R1709"/>
      <c r="S1709"/>
    </row>
    <row r="1710" spans="1:19" x14ac:dyDescent="0.25">
      <c r="A1710" t="s">
        <v>193</v>
      </c>
      <c r="C1710" s="27" t="s">
        <v>34749</v>
      </c>
      <c r="D1710" s="28" t="s">
        <v>34867</v>
      </c>
      <c r="J1710" t="s">
        <v>4788</v>
      </c>
      <c r="K1710" t="s">
        <v>4789</v>
      </c>
      <c r="L1710" s="28" t="s">
        <v>4790</v>
      </c>
      <c r="M1710" t="s">
        <v>23</v>
      </c>
      <c r="N1710"/>
      <c r="O1710"/>
      <c r="P1710"/>
      <c r="Q1710"/>
      <c r="R1710"/>
      <c r="S1710"/>
    </row>
    <row r="1711" spans="1:19" x14ac:dyDescent="0.25">
      <c r="A1711" t="s">
        <v>193</v>
      </c>
      <c r="C1711" s="27" t="s">
        <v>34749</v>
      </c>
      <c r="D1711" s="28" t="s">
        <v>34867</v>
      </c>
      <c r="J1711" t="s">
        <v>4791</v>
      </c>
      <c r="K1711" t="s">
        <v>4792</v>
      </c>
      <c r="L1711" s="28" t="s">
        <v>4793</v>
      </c>
      <c r="M1711" t="s">
        <v>23</v>
      </c>
      <c r="N1711"/>
      <c r="O1711"/>
      <c r="P1711"/>
      <c r="Q1711"/>
      <c r="R1711"/>
      <c r="S1711"/>
    </row>
    <row r="1712" spans="1:19" x14ac:dyDescent="0.25">
      <c r="A1712" t="s">
        <v>193</v>
      </c>
      <c r="C1712" s="27" t="s">
        <v>34749</v>
      </c>
      <c r="D1712" s="28" t="s">
        <v>34867</v>
      </c>
      <c r="J1712" t="s">
        <v>4794</v>
      </c>
      <c r="K1712" t="s">
        <v>4795</v>
      </c>
      <c r="L1712" s="28" t="s">
        <v>4796</v>
      </c>
      <c r="M1712" t="s">
        <v>23</v>
      </c>
      <c r="N1712"/>
      <c r="O1712"/>
      <c r="P1712"/>
      <c r="Q1712"/>
      <c r="R1712"/>
      <c r="S1712"/>
    </row>
    <row r="1713" spans="1:19" x14ac:dyDescent="0.25">
      <c r="A1713" t="s">
        <v>193</v>
      </c>
      <c r="C1713" s="27" t="s">
        <v>34749</v>
      </c>
      <c r="D1713" s="28" t="s">
        <v>34867</v>
      </c>
      <c r="J1713" t="s">
        <v>4797</v>
      </c>
      <c r="K1713" t="s">
        <v>4798</v>
      </c>
      <c r="L1713" s="28" t="s">
        <v>4799</v>
      </c>
      <c r="M1713" t="s">
        <v>23</v>
      </c>
      <c r="N1713"/>
      <c r="O1713"/>
      <c r="P1713"/>
      <c r="Q1713"/>
      <c r="R1713"/>
      <c r="S1713"/>
    </row>
    <row r="1714" spans="1:19" x14ac:dyDescent="0.25">
      <c r="A1714" t="s">
        <v>193</v>
      </c>
      <c r="C1714" s="27" t="s">
        <v>34749</v>
      </c>
      <c r="D1714" s="28" t="s">
        <v>34867</v>
      </c>
      <c r="J1714" t="s">
        <v>4800</v>
      </c>
      <c r="K1714" t="s">
        <v>4801</v>
      </c>
      <c r="L1714" s="28" t="s">
        <v>4802</v>
      </c>
      <c r="M1714" t="s">
        <v>23</v>
      </c>
      <c r="N1714"/>
      <c r="O1714"/>
      <c r="P1714"/>
      <c r="Q1714"/>
      <c r="R1714"/>
      <c r="S1714"/>
    </row>
    <row r="1715" spans="1:19" x14ac:dyDescent="0.25">
      <c r="A1715" s="28" t="s">
        <v>14843</v>
      </c>
      <c r="J1715" t="s">
        <v>4803</v>
      </c>
      <c r="K1715" t="s">
        <v>4804</v>
      </c>
      <c r="M1715" t="s">
        <v>666</v>
      </c>
      <c r="N1715"/>
      <c r="O1715"/>
      <c r="P1715"/>
      <c r="Q1715"/>
      <c r="R1715"/>
      <c r="S1715"/>
    </row>
    <row r="1716" spans="1:19" x14ac:dyDescent="0.25">
      <c r="A1716" s="27" t="s">
        <v>193</v>
      </c>
      <c r="C1716" s="27" t="s">
        <v>34749</v>
      </c>
      <c r="D1716" s="28" t="s">
        <v>34867</v>
      </c>
      <c r="J1716" t="s">
        <v>4805</v>
      </c>
      <c r="K1716" t="s">
        <v>4806</v>
      </c>
      <c r="M1716" t="s">
        <v>23</v>
      </c>
      <c r="N1716"/>
      <c r="O1716"/>
      <c r="P1716"/>
      <c r="Q1716"/>
      <c r="R1716"/>
      <c r="S1716"/>
    </row>
    <row r="1717" spans="1:19" x14ac:dyDescent="0.25">
      <c r="A1717" s="27" t="s">
        <v>193</v>
      </c>
      <c r="C1717" s="27" t="s">
        <v>34749</v>
      </c>
      <c r="D1717" s="28" t="s">
        <v>34867</v>
      </c>
      <c r="J1717" t="s">
        <v>4807</v>
      </c>
      <c r="K1717" t="s">
        <v>4808</v>
      </c>
      <c r="M1717" t="s">
        <v>23</v>
      </c>
      <c r="N1717"/>
      <c r="O1717"/>
      <c r="P1717"/>
      <c r="Q1717"/>
      <c r="R1717"/>
      <c r="S1717"/>
    </row>
    <row r="1718" spans="1:19" x14ac:dyDescent="0.25">
      <c r="A1718" s="28" t="s">
        <v>14843</v>
      </c>
      <c r="J1718" t="s">
        <v>4809</v>
      </c>
      <c r="K1718" t="s">
        <v>4810</v>
      </c>
      <c r="M1718" t="s">
        <v>2779</v>
      </c>
      <c r="N1718"/>
      <c r="O1718"/>
      <c r="P1718"/>
      <c r="Q1718"/>
      <c r="R1718"/>
      <c r="S1718"/>
    </row>
    <row r="1719" spans="1:19" x14ac:dyDescent="0.25">
      <c r="A1719" s="28" t="s">
        <v>14843</v>
      </c>
      <c r="J1719" t="s">
        <v>4811</v>
      </c>
      <c r="K1719" t="s">
        <v>4812</v>
      </c>
      <c r="M1719" t="s">
        <v>2779</v>
      </c>
      <c r="N1719"/>
      <c r="O1719"/>
      <c r="P1719"/>
      <c r="Q1719"/>
      <c r="R1719"/>
      <c r="S1719"/>
    </row>
    <row r="1720" spans="1:19" x14ac:dyDescent="0.25">
      <c r="A1720" s="28" t="s">
        <v>14843</v>
      </c>
      <c r="I1720" t="str">
        <f>CONCATENATE(LEFT(K1720,SEARCH(" (",K1720))," | ", RIGHT(LEFT(K1720,LEN(K1720)-1),LEN(K1720)-2-FIND(" (",K1720)))</f>
        <v>Flab  | Floating Algae Beds</v>
      </c>
      <c r="J1720" t="s">
        <v>4813</v>
      </c>
      <c r="K1720" t="s">
        <v>4814</v>
      </c>
      <c r="M1720" t="s">
        <v>666</v>
      </c>
      <c r="N1720"/>
      <c r="O1720"/>
      <c r="P1720"/>
      <c r="Q1720"/>
      <c r="R1720"/>
      <c r="S1720"/>
    </row>
    <row r="1721" spans="1:19" x14ac:dyDescent="0.25">
      <c r="A1721" s="28" t="s">
        <v>14843</v>
      </c>
      <c r="J1721" t="s">
        <v>4815</v>
      </c>
      <c r="K1721" t="s">
        <v>4816</v>
      </c>
      <c r="M1721" t="s">
        <v>666</v>
      </c>
      <c r="N1721"/>
      <c r="O1721"/>
      <c r="P1721"/>
      <c r="Q1721"/>
      <c r="R1721"/>
      <c r="S1721"/>
    </row>
    <row r="1722" spans="1:19" x14ac:dyDescent="0.25">
      <c r="A1722" s="28" t="s">
        <v>14843</v>
      </c>
      <c r="J1722" t="s">
        <v>4817</v>
      </c>
      <c r="K1722" t="s">
        <v>4818</v>
      </c>
      <c r="M1722" t="s">
        <v>47</v>
      </c>
      <c r="N1722"/>
      <c r="O1722"/>
      <c r="P1722"/>
      <c r="Q1722"/>
      <c r="R1722"/>
      <c r="S1722"/>
    </row>
    <row r="1723" spans="1:19" x14ac:dyDescent="0.25">
      <c r="A1723" s="28" t="s">
        <v>14843</v>
      </c>
      <c r="J1723" t="s">
        <v>4819</v>
      </c>
      <c r="K1723" t="s">
        <v>4820</v>
      </c>
      <c r="M1723" t="s">
        <v>47</v>
      </c>
      <c r="N1723"/>
      <c r="O1723"/>
      <c r="P1723"/>
      <c r="Q1723"/>
      <c r="R1723"/>
      <c r="S1723"/>
    </row>
    <row r="1724" spans="1:19" x14ac:dyDescent="0.25">
      <c r="A1724" t="s">
        <v>193</v>
      </c>
      <c r="C1724" s="27" t="s">
        <v>34749</v>
      </c>
      <c r="D1724" s="28" t="s">
        <v>34867</v>
      </c>
      <c r="J1724" t="s">
        <v>4821</v>
      </c>
      <c r="K1724" t="s">
        <v>4822</v>
      </c>
      <c r="L1724" s="28" t="s">
        <v>4823</v>
      </c>
      <c r="M1724" t="s">
        <v>23</v>
      </c>
      <c r="N1724"/>
      <c r="O1724"/>
      <c r="P1724"/>
      <c r="Q1724"/>
      <c r="R1724"/>
      <c r="S1724"/>
    </row>
    <row r="1725" spans="1:19" x14ac:dyDescent="0.25">
      <c r="A1725" t="s">
        <v>193</v>
      </c>
      <c r="C1725" s="27" t="s">
        <v>34749</v>
      </c>
      <c r="D1725" s="28" t="s">
        <v>34867</v>
      </c>
      <c r="J1725" t="s">
        <v>4824</v>
      </c>
      <c r="K1725" t="s">
        <v>4825</v>
      </c>
      <c r="L1725" s="28" t="s">
        <v>4826</v>
      </c>
      <c r="M1725" t="s">
        <v>23</v>
      </c>
      <c r="N1725"/>
      <c r="O1725"/>
      <c r="P1725"/>
      <c r="Q1725"/>
      <c r="R1725"/>
      <c r="S1725"/>
    </row>
    <row r="1726" spans="1:19" x14ac:dyDescent="0.25">
      <c r="A1726" s="27" t="s">
        <v>193</v>
      </c>
      <c r="C1726" s="27" t="s">
        <v>34749</v>
      </c>
      <c r="D1726" s="28" t="s">
        <v>34867</v>
      </c>
      <c r="J1726" t="s">
        <v>4827</v>
      </c>
      <c r="K1726" t="s">
        <v>4828</v>
      </c>
      <c r="M1726" t="s">
        <v>23</v>
      </c>
      <c r="N1726"/>
      <c r="O1726"/>
      <c r="P1726"/>
      <c r="Q1726"/>
      <c r="R1726"/>
      <c r="S1726"/>
    </row>
    <row r="1727" spans="1:19" x14ac:dyDescent="0.25">
      <c r="A1727" s="28" t="s">
        <v>14843</v>
      </c>
      <c r="J1727" t="s">
        <v>4829</v>
      </c>
      <c r="K1727" t="s">
        <v>4830</v>
      </c>
      <c r="M1727" t="s">
        <v>47</v>
      </c>
      <c r="N1727"/>
      <c r="O1727"/>
      <c r="P1727"/>
      <c r="Q1727"/>
      <c r="R1727"/>
      <c r="S1727"/>
    </row>
    <row r="1728" spans="1:19" x14ac:dyDescent="0.25">
      <c r="A1728" s="28" t="s">
        <v>14843</v>
      </c>
      <c r="J1728" t="s">
        <v>4831</v>
      </c>
      <c r="K1728" t="s">
        <v>4832</v>
      </c>
      <c r="M1728" t="s">
        <v>666</v>
      </c>
      <c r="N1728"/>
      <c r="O1728"/>
      <c r="P1728"/>
      <c r="Q1728"/>
      <c r="R1728"/>
      <c r="S1728"/>
    </row>
    <row r="1729" spans="1:19" x14ac:dyDescent="0.25">
      <c r="A1729" s="28" t="s">
        <v>14843</v>
      </c>
      <c r="J1729" t="s">
        <v>4833</v>
      </c>
      <c r="K1729" t="s">
        <v>4834</v>
      </c>
      <c r="M1729" t="s">
        <v>666</v>
      </c>
      <c r="N1729"/>
      <c r="O1729"/>
      <c r="P1729"/>
      <c r="Q1729"/>
      <c r="R1729"/>
      <c r="S1729"/>
    </row>
    <row r="1730" spans="1:19" x14ac:dyDescent="0.25">
      <c r="A1730" s="28" t="s">
        <v>14843</v>
      </c>
      <c r="J1730" t="s">
        <v>4835</v>
      </c>
      <c r="K1730" t="s">
        <v>4836</v>
      </c>
      <c r="M1730" t="s">
        <v>666</v>
      </c>
      <c r="N1730"/>
      <c r="O1730"/>
      <c r="P1730"/>
      <c r="Q1730"/>
      <c r="R1730"/>
      <c r="S1730"/>
    </row>
    <row r="1731" spans="1:19" x14ac:dyDescent="0.25">
      <c r="A1731" s="28" t="s">
        <v>14843</v>
      </c>
      <c r="J1731" t="s">
        <v>4837</v>
      </c>
      <c r="K1731" t="s">
        <v>4838</v>
      </c>
      <c r="M1731" t="s">
        <v>666</v>
      </c>
      <c r="N1731"/>
      <c r="O1731"/>
      <c r="P1731"/>
      <c r="Q1731"/>
      <c r="R1731"/>
      <c r="S1731"/>
    </row>
    <row r="1732" spans="1:19" x14ac:dyDescent="0.25">
      <c r="A1732" s="28" t="s">
        <v>14843</v>
      </c>
      <c r="J1732" t="s">
        <v>4839</v>
      </c>
      <c r="K1732" t="s">
        <v>4840</v>
      </c>
      <c r="M1732" t="s">
        <v>666</v>
      </c>
      <c r="N1732"/>
      <c r="O1732"/>
      <c r="P1732"/>
      <c r="Q1732"/>
      <c r="R1732"/>
      <c r="S1732"/>
    </row>
    <row r="1733" spans="1:19" x14ac:dyDescent="0.25">
      <c r="A1733" s="28" t="s">
        <v>14843</v>
      </c>
      <c r="J1733" t="s">
        <v>4841</v>
      </c>
      <c r="K1733" t="s">
        <v>4842</v>
      </c>
      <c r="M1733" t="s">
        <v>666</v>
      </c>
      <c r="N1733"/>
      <c r="O1733"/>
      <c r="P1733"/>
      <c r="Q1733"/>
      <c r="R1733"/>
      <c r="S1733"/>
    </row>
    <row r="1734" spans="1:19" x14ac:dyDescent="0.25">
      <c r="A1734" s="28" t="s">
        <v>14843</v>
      </c>
      <c r="J1734" t="s">
        <v>4843</v>
      </c>
      <c r="K1734" t="s">
        <v>4844</v>
      </c>
      <c r="M1734" t="s">
        <v>2820</v>
      </c>
      <c r="N1734"/>
      <c r="O1734"/>
      <c r="P1734"/>
      <c r="Q1734"/>
      <c r="R1734"/>
      <c r="S1734"/>
    </row>
    <row r="1735" spans="1:19" x14ac:dyDescent="0.25">
      <c r="A1735" s="28" t="s">
        <v>14843</v>
      </c>
      <c r="J1735" t="s">
        <v>4845</v>
      </c>
      <c r="K1735" t="s">
        <v>4846</v>
      </c>
      <c r="M1735" t="s">
        <v>2820</v>
      </c>
      <c r="N1735"/>
      <c r="O1735"/>
      <c r="P1735"/>
      <c r="Q1735"/>
      <c r="R1735"/>
      <c r="S1735"/>
    </row>
    <row r="1736" spans="1:19" x14ac:dyDescent="0.25">
      <c r="A1736" s="28" t="s">
        <v>14843</v>
      </c>
      <c r="J1736" t="s">
        <v>4847</v>
      </c>
      <c r="K1736" t="s">
        <v>4848</v>
      </c>
      <c r="M1736" t="s">
        <v>2820</v>
      </c>
      <c r="N1736"/>
      <c r="O1736"/>
      <c r="P1736"/>
      <c r="Q1736"/>
      <c r="R1736"/>
      <c r="S1736"/>
    </row>
    <row r="1737" spans="1:19" x14ac:dyDescent="0.25">
      <c r="A1737" s="28" t="s">
        <v>14843</v>
      </c>
      <c r="C1737"/>
      <c r="E1737"/>
      <c r="F1737"/>
      <c r="G1737"/>
      <c r="H1737"/>
      <c r="I1737"/>
      <c r="J1737" t="s">
        <v>4849</v>
      </c>
      <c r="K1737" t="s">
        <v>4850</v>
      </c>
      <c r="M1737" t="s">
        <v>666</v>
      </c>
      <c r="N1737"/>
      <c r="O1737"/>
      <c r="P1737"/>
      <c r="Q1737"/>
      <c r="R1737"/>
      <c r="S1737"/>
    </row>
    <row r="1738" spans="1:19" x14ac:dyDescent="0.25">
      <c r="A1738" s="28" t="s">
        <v>14843</v>
      </c>
      <c r="C1738"/>
      <c r="E1738"/>
      <c r="F1738"/>
      <c r="G1738"/>
      <c r="H1738"/>
      <c r="I1738"/>
      <c r="J1738" t="s">
        <v>4851</v>
      </c>
      <c r="K1738" t="s">
        <v>4852</v>
      </c>
      <c r="M1738" t="s">
        <v>2820</v>
      </c>
      <c r="N1738"/>
      <c r="O1738"/>
      <c r="P1738"/>
      <c r="Q1738"/>
      <c r="R1738"/>
      <c r="S1738"/>
    </row>
    <row r="1739" spans="1:19" x14ac:dyDescent="0.25">
      <c r="A1739" s="28" t="s">
        <v>14843</v>
      </c>
      <c r="C1739"/>
      <c r="E1739"/>
      <c r="F1739"/>
      <c r="G1739"/>
      <c r="H1739"/>
      <c r="I1739"/>
      <c r="J1739" t="s">
        <v>4853</v>
      </c>
      <c r="K1739" t="s">
        <v>4854</v>
      </c>
      <c r="M1739" t="s">
        <v>2820</v>
      </c>
      <c r="N1739"/>
      <c r="O1739"/>
      <c r="P1739"/>
      <c r="Q1739"/>
      <c r="R1739"/>
      <c r="S1739"/>
    </row>
    <row r="1740" spans="1:19" x14ac:dyDescent="0.25">
      <c r="A1740" s="28" t="s">
        <v>14843</v>
      </c>
      <c r="C1740"/>
      <c r="E1740"/>
      <c r="F1740"/>
      <c r="G1740"/>
      <c r="H1740"/>
      <c r="I1740"/>
      <c r="J1740" t="s">
        <v>4855</v>
      </c>
      <c r="K1740" t="s">
        <v>4856</v>
      </c>
      <c r="M1740" t="s">
        <v>666</v>
      </c>
      <c r="N1740"/>
      <c r="O1740"/>
      <c r="P1740"/>
      <c r="Q1740"/>
      <c r="R1740"/>
      <c r="S1740"/>
    </row>
    <row r="1741" spans="1:19" x14ac:dyDescent="0.25">
      <c r="A1741" s="28" t="s">
        <v>14843</v>
      </c>
      <c r="C1741"/>
      <c r="E1741"/>
      <c r="F1741"/>
      <c r="G1741"/>
      <c r="H1741"/>
      <c r="I1741"/>
      <c r="J1741" t="s">
        <v>4857</v>
      </c>
      <c r="K1741" t="s">
        <v>4858</v>
      </c>
      <c r="M1741" t="s">
        <v>666</v>
      </c>
      <c r="N1741"/>
      <c r="O1741"/>
      <c r="P1741"/>
      <c r="Q1741"/>
      <c r="R1741"/>
      <c r="S1741"/>
    </row>
    <row r="1742" spans="1:19" x14ac:dyDescent="0.25">
      <c r="A1742" s="28" t="s">
        <v>14843</v>
      </c>
      <c r="C1742"/>
      <c r="E1742"/>
      <c r="F1742"/>
      <c r="G1742"/>
      <c r="H1742"/>
      <c r="I1742"/>
      <c r="J1742" t="s">
        <v>4859</v>
      </c>
      <c r="K1742" t="s">
        <v>4860</v>
      </c>
      <c r="M1742" t="s">
        <v>666</v>
      </c>
      <c r="N1742"/>
      <c r="O1742"/>
      <c r="P1742"/>
      <c r="Q1742"/>
      <c r="R1742"/>
      <c r="S1742"/>
    </row>
    <row r="1743" spans="1:19" x14ac:dyDescent="0.25">
      <c r="A1743" s="28" t="s">
        <v>14843</v>
      </c>
      <c r="C1743"/>
      <c r="E1743"/>
      <c r="F1743"/>
      <c r="G1743"/>
      <c r="H1743"/>
      <c r="I1743"/>
      <c r="J1743" t="s">
        <v>4861</v>
      </c>
      <c r="K1743" t="s">
        <v>4862</v>
      </c>
      <c r="M1743" t="s">
        <v>666</v>
      </c>
      <c r="N1743"/>
      <c r="O1743"/>
      <c r="P1743"/>
      <c r="Q1743"/>
      <c r="R1743"/>
      <c r="S1743"/>
    </row>
    <row r="1744" spans="1:19" x14ac:dyDescent="0.25">
      <c r="A1744" s="28" t="s">
        <v>14843</v>
      </c>
      <c r="C1744"/>
      <c r="E1744"/>
      <c r="F1744"/>
      <c r="G1744"/>
      <c r="H1744"/>
      <c r="I1744"/>
      <c r="J1744" t="s">
        <v>4863</v>
      </c>
      <c r="K1744" t="s">
        <v>4864</v>
      </c>
      <c r="M1744" t="s">
        <v>666</v>
      </c>
      <c r="N1744"/>
      <c r="O1744"/>
      <c r="P1744"/>
      <c r="Q1744"/>
      <c r="R1744"/>
      <c r="S1744"/>
    </row>
    <row r="1745" spans="1:19" x14ac:dyDescent="0.25">
      <c r="A1745" s="28" t="s">
        <v>14843</v>
      </c>
      <c r="C1745"/>
      <c r="E1745"/>
      <c r="F1745"/>
      <c r="G1745"/>
      <c r="H1745"/>
      <c r="I1745"/>
      <c r="J1745" t="s">
        <v>4865</v>
      </c>
      <c r="K1745" t="s">
        <v>4866</v>
      </c>
      <c r="M1745" t="s">
        <v>666</v>
      </c>
      <c r="N1745"/>
      <c r="O1745"/>
      <c r="P1745"/>
      <c r="Q1745"/>
      <c r="R1745"/>
      <c r="S1745"/>
    </row>
    <row r="1746" spans="1:19" x14ac:dyDescent="0.25">
      <c r="A1746" s="28" t="s">
        <v>14843</v>
      </c>
      <c r="C1746"/>
      <c r="E1746"/>
      <c r="F1746"/>
      <c r="G1746"/>
      <c r="H1746"/>
      <c r="I1746"/>
      <c r="J1746" t="s">
        <v>4867</v>
      </c>
      <c r="K1746" t="s">
        <v>4868</v>
      </c>
      <c r="M1746" t="s">
        <v>666</v>
      </c>
      <c r="N1746"/>
      <c r="O1746"/>
      <c r="P1746"/>
      <c r="Q1746"/>
      <c r="R1746"/>
      <c r="S1746"/>
    </row>
    <row r="1747" spans="1:19" x14ac:dyDescent="0.25">
      <c r="A1747" s="28" t="s">
        <v>14843</v>
      </c>
      <c r="C1747"/>
      <c r="E1747"/>
      <c r="F1747"/>
      <c r="G1747"/>
      <c r="H1747"/>
      <c r="I1747"/>
      <c r="J1747" t="s">
        <v>4869</v>
      </c>
      <c r="K1747" t="s">
        <v>4870</v>
      </c>
      <c r="M1747" t="s">
        <v>666</v>
      </c>
      <c r="N1747"/>
      <c r="O1747"/>
      <c r="P1747"/>
      <c r="Q1747"/>
      <c r="R1747"/>
      <c r="S1747"/>
    </row>
    <row r="1748" spans="1:19" x14ac:dyDescent="0.25">
      <c r="A1748" s="28" t="s">
        <v>14843</v>
      </c>
      <c r="C1748"/>
      <c r="E1748"/>
      <c r="F1748"/>
      <c r="G1748"/>
      <c r="H1748"/>
      <c r="I1748"/>
      <c r="J1748" t="s">
        <v>4871</v>
      </c>
      <c r="K1748" t="s">
        <v>4872</v>
      </c>
      <c r="M1748" t="s">
        <v>666</v>
      </c>
      <c r="N1748"/>
      <c r="O1748"/>
      <c r="P1748"/>
      <c r="Q1748"/>
      <c r="R1748"/>
      <c r="S1748"/>
    </row>
    <row r="1749" spans="1:19" x14ac:dyDescent="0.25">
      <c r="A1749" s="28" t="s">
        <v>14843</v>
      </c>
      <c r="C1749"/>
      <c r="E1749"/>
      <c r="F1749"/>
      <c r="G1749"/>
      <c r="H1749"/>
      <c r="I1749"/>
      <c r="J1749" t="s">
        <v>4873</v>
      </c>
      <c r="K1749" t="s">
        <v>4874</v>
      </c>
      <c r="M1749" t="s">
        <v>666</v>
      </c>
      <c r="N1749"/>
      <c r="O1749"/>
      <c r="P1749"/>
      <c r="Q1749"/>
      <c r="R1749"/>
      <c r="S1749"/>
    </row>
    <row r="1750" spans="1:19" x14ac:dyDescent="0.25">
      <c r="A1750" s="28" t="s">
        <v>14843</v>
      </c>
      <c r="C1750"/>
      <c r="E1750"/>
      <c r="F1750"/>
      <c r="G1750"/>
      <c r="H1750"/>
      <c r="I1750"/>
      <c r="J1750" t="s">
        <v>4875</v>
      </c>
      <c r="K1750" t="s">
        <v>4876</v>
      </c>
      <c r="M1750" t="s">
        <v>666</v>
      </c>
      <c r="N1750"/>
      <c r="O1750"/>
      <c r="P1750"/>
      <c r="Q1750"/>
      <c r="R1750"/>
      <c r="S1750"/>
    </row>
    <row r="1751" spans="1:19" x14ac:dyDescent="0.25">
      <c r="A1751" s="28" t="s">
        <v>14843</v>
      </c>
      <c r="C1751"/>
      <c r="E1751"/>
      <c r="F1751"/>
      <c r="G1751"/>
      <c r="H1751"/>
      <c r="I1751"/>
      <c r="J1751" t="s">
        <v>4877</v>
      </c>
      <c r="K1751" t="s">
        <v>4878</v>
      </c>
      <c r="M1751" t="s">
        <v>666</v>
      </c>
      <c r="N1751"/>
      <c r="O1751"/>
      <c r="P1751"/>
      <c r="Q1751"/>
      <c r="R1751"/>
      <c r="S1751"/>
    </row>
    <row r="1752" spans="1:19" x14ac:dyDescent="0.25">
      <c r="A1752" s="28" t="s">
        <v>14843</v>
      </c>
      <c r="C1752"/>
      <c r="E1752"/>
      <c r="F1752"/>
      <c r="G1752"/>
      <c r="H1752"/>
      <c r="I1752"/>
      <c r="J1752" t="s">
        <v>4879</v>
      </c>
      <c r="K1752" t="s">
        <v>4880</v>
      </c>
      <c r="M1752" t="s">
        <v>666</v>
      </c>
      <c r="N1752"/>
      <c r="O1752"/>
      <c r="P1752"/>
      <c r="Q1752"/>
      <c r="R1752"/>
      <c r="S1752"/>
    </row>
    <row r="1753" spans="1:19" x14ac:dyDescent="0.25">
      <c r="A1753" s="28" t="s">
        <v>14843</v>
      </c>
      <c r="C1753"/>
      <c r="E1753"/>
      <c r="F1753"/>
      <c r="G1753"/>
      <c r="H1753"/>
      <c r="I1753"/>
      <c r="J1753" t="s">
        <v>4881</v>
      </c>
      <c r="K1753" t="s">
        <v>4882</v>
      </c>
      <c r="M1753" t="s">
        <v>666</v>
      </c>
      <c r="N1753"/>
      <c r="O1753"/>
      <c r="P1753"/>
      <c r="Q1753"/>
      <c r="R1753"/>
      <c r="S1753"/>
    </row>
    <row r="1754" spans="1:19" x14ac:dyDescent="0.25">
      <c r="A1754" s="28" t="s">
        <v>14843</v>
      </c>
      <c r="C1754"/>
      <c r="E1754"/>
      <c r="F1754"/>
      <c r="G1754"/>
      <c r="H1754"/>
      <c r="I1754"/>
      <c r="J1754" t="s">
        <v>4883</v>
      </c>
      <c r="K1754" t="s">
        <v>4884</v>
      </c>
      <c r="M1754" t="s">
        <v>666</v>
      </c>
      <c r="N1754"/>
      <c r="O1754"/>
      <c r="P1754"/>
      <c r="Q1754"/>
      <c r="R1754"/>
      <c r="S1754"/>
    </row>
    <row r="1755" spans="1:19" x14ac:dyDescent="0.25">
      <c r="A1755" s="28" t="s">
        <v>14843</v>
      </c>
      <c r="C1755"/>
      <c r="E1755"/>
      <c r="F1755"/>
      <c r="G1755"/>
      <c r="H1755"/>
      <c r="I1755"/>
      <c r="J1755" t="s">
        <v>4885</v>
      </c>
      <c r="K1755" t="s">
        <v>4886</v>
      </c>
      <c r="M1755" t="s">
        <v>666</v>
      </c>
      <c r="N1755"/>
      <c r="O1755"/>
      <c r="P1755"/>
      <c r="Q1755"/>
      <c r="R1755"/>
      <c r="S1755"/>
    </row>
    <row r="1756" spans="1:19" x14ac:dyDescent="0.25">
      <c r="A1756" s="28" t="s">
        <v>14843</v>
      </c>
      <c r="C1756"/>
      <c r="E1756"/>
      <c r="F1756"/>
      <c r="G1756"/>
      <c r="H1756"/>
      <c r="I1756"/>
      <c r="J1756" t="s">
        <v>4887</v>
      </c>
      <c r="K1756" t="s">
        <v>4888</v>
      </c>
      <c r="M1756" t="s">
        <v>666</v>
      </c>
      <c r="N1756"/>
      <c r="O1756"/>
      <c r="P1756"/>
      <c r="Q1756"/>
      <c r="R1756"/>
      <c r="S1756"/>
    </row>
    <row r="1757" spans="1:19" x14ac:dyDescent="0.25">
      <c r="A1757" s="28" t="s">
        <v>14843</v>
      </c>
      <c r="C1757"/>
      <c r="E1757"/>
      <c r="F1757"/>
      <c r="G1757"/>
      <c r="H1757"/>
      <c r="I1757"/>
      <c r="J1757" t="s">
        <v>4889</v>
      </c>
      <c r="K1757" t="s">
        <v>4890</v>
      </c>
      <c r="M1757" t="s">
        <v>666</v>
      </c>
      <c r="N1757"/>
      <c r="O1757"/>
      <c r="P1757"/>
      <c r="Q1757"/>
      <c r="R1757"/>
      <c r="S1757"/>
    </row>
    <row r="1758" spans="1:19" x14ac:dyDescent="0.25">
      <c r="A1758" s="28" t="s">
        <v>14843</v>
      </c>
      <c r="C1758"/>
      <c r="E1758"/>
      <c r="F1758"/>
      <c r="G1758"/>
      <c r="H1758"/>
      <c r="I1758"/>
      <c r="J1758" t="s">
        <v>4891</v>
      </c>
      <c r="K1758" t="s">
        <v>4892</v>
      </c>
      <c r="M1758" t="s">
        <v>666</v>
      </c>
      <c r="N1758"/>
      <c r="O1758"/>
      <c r="P1758"/>
      <c r="Q1758"/>
      <c r="R1758"/>
      <c r="S1758"/>
    </row>
    <row r="1759" spans="1:19" x14ac:dyDescent="0.25">
      <c r="A1759" s="28" t="s">
        <v>14843</v>
      </c>
      <c r="C1759"/>
      <c r="E1759"/>
      <c r="F1759"/>
      <c r="G1759"/>
      <c r="H1759"/>
      <c r="I1759"/>
      <c r="J1759" t="s">
        <v>4893</v>
      </c>
      <c r="K1759" t="s">
        <v>4894</v>
      </c>
      <c r="M1759" t="s">
        <v>666</v>
      </c>
      <c r="N1759"/>
      <c r="O1759"/>
      <c r="P1759"/>
      <c r="Q1759"/>
      <c r="R1759"/>
      <c r="S1759"/>
    </row>
    <row r="1760" spans="1:19" x14ac:dyDescent="0.25">
      <c r="A1760" s="28" t="s">
        <v>14843</v>
      </c>
      <c r="C1760"/>
      <c r="E1760"/>
      <c r="F1760"/>
      <c r="G1760"/>
      <c r="H1760"/>
      <c r="I1760"/>
      <c r="J1760" t="s">
        <v>4895</v>
      </c>
      <c r="K1760" t="s">
        <v>4896</v>
      </c>
      <c r="M1760" t="s">
        <v>666</v>
      </c>
      <c r="N1760"/>
      <c r="O1760"/>
      <c r="P1760"/>
      <c r="Q1760"/>
      <c r="R1760"/>
      <c r="S1760"/>
    </row>
    <row r="1761" spans="1:19" x14ac:dyDescent="0.25">
      <c r="A1761" s="28" t="s">
        <v>14843</v>
      </c>
      <c r="C1761"/>
      <c r="E1761"/>
      <c r="F1761"/>
      <c r="G1761"/>
      <c r="H1761"/>
      <c r="I1761"/>
      <c r="J1761" t="s">
        <v>4897</v>
      </c>
      <c r="K1761" t="s">
        <v>4898</v>
      </c>
      <c r="M1761" t="s">
        <v>666</v>
      </c>
      <c r="N1761"/>
      <c r="O1761"/>
      <c r="P1761"/>
      <c r="Q1761"/>
      <c r="R1761"/>
      <c r="S1761"/>
    </row>
    <row r="1762" spans="1:19" x14ac:dyDescent="0.25">
      <c r="A1762" s="28" t="s">
        <v>14843</v>
      </c>
      <c r="C1762"/>
      <c r="E1762"/>
      <c r="F1762"/>
      <c r="G1762"/>
      <c r="H1762"/>
      <c r="I1762"/>
      <c r="J1762" t="s">
        <v>4899</v>
      </c>
      <c r="K1762" t="s">
        <v>4900</v>
      </c>
      <c r="M1762" t="s">
        <v>666</v>
      </c>
      <c r="N1762"/>
      <c r="O1762"/>
      <c r="P1762"/>
      <c r="Q1762"/>
      <c r="R1762"/>
      <c r="S1762"/>
    </row>
    <row r="1763" spans="1:19" x14ac:dyDescent="0.25">
      <c r="A1763" s="28" t="s">
        <v>14843</v>
      </c>
      <c r="C1763"/>
      <c r="E1763"/>
      <c r="F1763"/>
      <c r="G1763"/>
      <c r="H1763"/>
      <c r="I1763"/>
      <c r="J1763" t="s">
        <v>4901</v>
      </c>
      <c r="K1763" t="s">
        <v>4902</v>
      </c>
      <c r="M1763" t="s">
        <v>666</v>
      </c>
      <c r="N1763"/>
      <c r="O1763"/>
      <c r="P1763"/>
      <c r="Q1763"/>
      <c r="R1763"/>
      <c r="S1763"/>
    </row>
    <row r="1764" spans="1:19" x14ac:dyDescent="0.25">
      <c r="A1764" s="28" t="s">
        <v>14843</v>
      </c>
      <c r="C1764"/>
      <c r="E1764"/>
      <c r="F1764"/>
      <c r="G1764"/>
      <c r="H1764"/>
      <c r="I1764"/>
      <c r="J1764" t="s">
        <v>4903</v>
      </c>
      <c r="K1764" t="s">
        <v>4904</v>
      </c>
      <c r="M1764" t="s">
        <v>666</v>
      </c>
      <c r="N1764"/>
      <c r="O1764"/>
      <c r="P1764"/>
      <c r="Q1764"/>
      <c r="R1764"/>
      <c r="S1764"/>
    </row>
    <row r="1765" spans="1:19" x14ac:dyDescent="0.25">
      <c r="A1765" s="28" t="s">
        <v>14843</v>
      </c>
      <c r="C1765"/>
      <c r="E1765"/>
      <c r="F1765"/>
      <c r="G1765"/>
      <c r="H1765"/>
      <c r="I1765"/>
      <c r="J1765" t="s">
        <v>4905</v>
      </c>
      <c r="K1765" t="s">
        <v>4906</v>
      </c>
      <c r="M1765" t="s">
        <v>666</v>
      </c>
      <c r="N1765"/>
      <c r="O1765"/>
      <c r="P1765"/>
      <c r="Q1765"/>
      <c r="R1765"/>
      <c r="S1765"/>
    </row>
    <row r="1766" spans="1:19" x14ac:dyDescent="0.25">
      <c r="A1766" s="28" t="s">
        <v>14843</v>
      </c>
      <c r="C1766"/>
      <c r="E1766"/>
      <c r="F1766"/>
      <c r="G1766"/>
      <c r="H1766"/>
      <c r="I1766"/>
      <c r="J1766" t="s">
        <v>4907</v>
      </c>
      <c r="K1766" t="s">
        <v>4908</v>
      </c>
      <c r="M1766" t="s">
        <v>666</v>
      </c>
      <c r="N1766"/>
      <c r="O1766"/>
      <c r="P1766"/>
      <c r="Q1766"/>
      <c r="R1766"/>
      <c r="S1766"/>
    </row>
    <row r="1767" spans="1:19" x14ac:dyDescent="0.25">
      <c r="A1767" s="28" t="s">
        <v>14843</v>
      </c>
      <c r="C1767"/>
      <c r="E1767"/>
      <c r="F1767"/>
      <c r="G1767"/>
      <c r="H1767"/>
      <c r="I1767"/>
      <c r="J1767" t="s">
        <v>4909</v>
      </c>
      <c r="K1767" t="s">
        <v>4910</v>
      </c>
      <c r="M1767" t="s">
        <v>666</v>
      </c>
      <c r="N1767"/>
      <c r="O1767"/>
      <c r="P1767"/>
      <c r="Q1767"/>
      <c r="R1767"/>
      <c r="S1767"/>
    </row>
    <row r="1768" spans="1:19" x14ac:dyDescent="0.25">
      <c r="A1768" s="28" t="s">
        <v>14843</v>
      </c>
      <c r="C1768"/>
      <c r="E1768"/>
      <c r="F1768"/>
      <c r="G1768"/>
      <c r="H1768"/>
      <c r="I1768"/>
      <c r="J1768" t="s">
        <v>4911</v>
      </c>
      <c r="K1768" t="s">
        <v>4912</v>
      </c>
      <c r="M1768" t="s">
        <v>666</v>
      </c>
      <c r="N1768"/>
      <c r="O1768"/>
      <c r="P1768"/>
      <c r="Q1768"/>
      <c r="R1768"/>
      <c r="S1768"/>
    </row>
    <row r="1769" spans="1:19" x14ac:dyDescent="0.25">
      <c r="A1769" s="28" t="s">
        <v>14843</v>
      </c>
      <c r="C1769"/>
      <c r="E1769"/>
      <c r="F1769"/>
      <c r="G1769"/>
      <c r="H1769"/>
      <c r="I1769"/>
      <c r="J1769" t="s">
        <v>4913</v>
      </c>
      <c r="K1769" t="s">
        <v>4914</v>
      </c>
      <c r="M1769" t="s">
        <v>666</v>
      </c>
      <c r="N1769"/>
      <c r="O1769"/>
      <c r="P1769"/>
      <c r="Q1769"/>
      <c r="R1769"/>
      <c r="S1769"/>
    </row>
    <row r="1770" spans="1:19" x14ac:dyDescent="0.25">
      <c r="A1770" s="28" t="s">
        <v>14843</v>
      </c>
      <c r="C1770"/>
      <c r="E1770"/>
      <c r="F1770"/>
      <c r="G1770"/>
      <c r="H1770"/>
      <c r="I1770"/>
      <c r="J1770" t="s">
        <v>4915</v>
      </c>
      <c r="K1770" t="s">
        <v>4916</v>
      </c>
      <c r="M1770" t="s">
        <v>666</v>
      </c>
      <c r="N1770"/>
      <c r="O1770"/>
      <c r="P1770"/>
      <c r="Q1770"/>
      <c r="R1770"/>
      <c r="S1770"/>
    </row>
    <row r="1771" spans="1:19" x14ac:dyDescent="0.25">
      <c r="A1771" s="28" t="s">
        <v>14843</v>
      </c>
      <c r="C1771"/>
      <c r="E1771"/>
      <c r="F1771"/>
      <c r="G1771"/>
      <c r="H1771"/>
      <c r="I1771"/>
      <c r="J1771" t="s">
        <v>4917</v>
      </c>
      <c r="K1771" t="s">
        <v>4918</v>
      </c>
      <c r="M1771" t="s">
        <v>666</v>
      </c>
      <c r="N1771"/>
      <c r="O1771"/>
      <c r="P1771"/>
      <c r="Q1771"/>
      <c r="R1771"/>
      <c r="S1771"/>
    </row>
    <row r="1772" spans="1:19" x14ac:dyDescent="0.25">
      <c r="A1772" s="28" t="s">
        <v>14843</v>
      </c>
      <c r="C1772"/>
      <c r="E1772"/>
      <c r="F1772"/>
      <c r="G1772"/>
      <c r="H1772"/>
      <c r="I1772"/>
      <c r="J1772" t="s">
        <v>4919</v>
      </c>
      <c r="K1772" t="s">
        <v>4920</v>
      </c>
      <c r="M1772" t="s">
        <v>666</v>
      </c>
      <c r="N1772"/>
      <c r="O1772"/>
      <c r="P1772"/>
      <c r="Q1772"/>
      <c r="R1772"/>
      <c r="S1772"/>
    </row>
    <row r="1773" spans="1:19" x14ac:dyDescent="0.25">
      <c r="A1773" s="28" t="s">
        <v>14843</v>
      </c>
      <c r="C1773"/>
      <c r="E1773"/>
      <c r="F1773"/>
      <c r="G1773"/>
      <c r="H1773"/>
      <c r="I1773"/>
      <c r="J1773" t="s">
        <v>4921</v>
      </c>
      <c r="K1773" t="s">
        <v>4922</v>
      </c>
      <c r="M1773" t="s">
        <v>666</v>
      </c>
      <c r="N1773"/>
      <c r="O1773"/>
      <c r="P1773"/>
      <c r="Q1773"/>
      <c r="R1773"/>
      <c r="S1773"/>
    </row>
    <row r="1774" spans="1:19" x14ac:dyDescent="0.25">
      <c r="A1774" s="28" t="s">
        <v>14843</v>
      </c>
      <c r="C1774"/>
      <c r="E1774"/>
      <c r="F1774"/>
      <c r="G1774"/>
      <c r="H1774"/>
      <c r="I1774"/>
      <c r="J1774" t="s">
        <v>4923</v>
      </c>
      <c r="K1774" t="s">
        <v>4924</v>
      </c>
      <c r="M1774" t="s">
        <v>666</v>
      </c>
      <c r="N1774"/>
      <c r="O1774"/>
      <c r="P1774"/>
      <c r="Q1774"/>
      <c r="R1774"/>
      <c r="S1774"/>
    </row>
    <row r="1775" spans="1:19" x14ac:dyDescent="0.25">
      <c r="A1775" s="28" t="s">
        <v>14843</v>
      </c>
      <c r="C1775"/>
      <c r="E1775"/>
      <c r="F1775"/>
      <c r="G1775"/>
      <c r="H1775"/>
      <c r="I1775"/>
      <c r="J1775" t="s">
        <v>4925</v>
      </c>
      <c r="K1775" t="s">
        <v>4926</v>
      </c>
      <c r="M1775" t="s">
        <v>666</v>
      </c>
      <c r="N1775"/>
      <c r="O1775"/>
      <c r="P1775"/>
      <c r="Q1775"/>
      <c r="R1775"/>
      <c r="S1775"/>
    </row>
    <row r="1776" spans="1:19" x14ac:dyDescent="0.25">
      <c r="A1776" s="28" t="s">
        <v>14843</v>
      </c>
      <c r="C1776"/>
      <c r="E1776"/>
      <c r="F1776"/>
      <c r="G1776"/>
      <c r="H1776"/>
      <c r="I1776"/>
      <c r="J1776" t="s">
        <v>4927</v>
      </c>
      <c r="K1776" t="s">
        <v>4928</v>
      </c>
      <c r="M1776" t="s">
        <v>666</v>
      </c>
      <c r="N1776"/>
      <c r="O1776"/>
      <c r="P1776"/>
      <c r="Q1776"/>
      <c r="R1776"/>
      <c r="S1776"/>
    </row>
    <row r="1777" spans="1:19" x14ac:dyDescent="0.25">
      <c r="A1777" s="28" t="s">
        <v>14843</v>
      </c>
      <c r="C1777"/>
      <c r="E1777"/>
      <c r="F1777"/>
      <c r="G1777"/>
      <c r="H1777"/>
      <c r="I1777"/>
      <c r="J1777" t="s">
        <v>4929</v>
      </c>
      <c r="K1777" t="s">
        <v>4930</v>
      </c>
      <c r="M1777" t="s">
        <v>666</v>
      </c>
      <c r="N1777"/>
      <c r="O1777"/>
      <c r="P1777"/>
      <c r="Q1777"/>
      <c r="R1777"/>
      <c r="S1777"/>
    </row>
    <row r="1778" spans="1:19" x14ac:dyDescent="0.25">
      <c r="A1778" s="28" t="s">
        <v>14843</v>
      </c>
      <c r="C1778"/>
      <c r="E1778"/>
      <c r="F1778"/>
      <c r="G1778"/>
      <c r="H1778"/>
      <c r="I1778"/>
      <c r="J1778" t="s">
        <v>4931</v>
      </c>
      <c r="K1778" t="s">
        <v>4932</v>
      </c>
      <c r="M1778" t="s">
        <v>666</v>
      </c>
      <c r="N1778"/>
      <c r="O1778"/>
      <c r="P1778"/>
      <c r="Q1778"/>
      <c r="R1778"/>
      <c r="S1778"/>
    </row>
    <row r="1779" spans="1:19" x14ac:dyDescent="0.25">
      <c r="A1779" s="28" t="s">
        <v>14843</v>
      </c>
      <c r="C1779"/>
      <c r="E1779"/>
      <c r="F1779"/>
      <c r="G1779"/>
      <c r="H1779"/>
      <c r="I1779"/>
      <c r="J1779" t="s">
        <v>4933</v>
      </c>
      <c r="K1779" t="s">
        <v>4934</v>
      </c>
      <c r="M1779" t="s">
        <v>666</v>
      </c>
      <c r="N1779"/>
      <c r="O1779"/>
      <c r="P1779"/>
      <c r="Q1779"/>
      <c r="R1779"/>
      <c r="S1779"/>
    </row>
    <row r="1780" spans="1:19" x14ac:dyDescent="0.25">
      <c r="A1780" s="28" t="s">
        <v>14843</v>
      </c>
      <c r="C1780"/>
      <c r="E1780"/>
      <c r="F1780"/>
      <c r="G1780"/>
      <c r="H1780"/>
      <c r="I1780"/>
      <c r="J1780" t="s">
        <v>4935</v>
      </c>
      <c r="K1780" t="s">
        <v>4936</v>
      </c>
      <c r="M1780" t="s">
        <v>666</v>
      </c>
      <c r="N1780"/>
      <c r="O1780"/>
      <c r="P1780"/>
      <c r="Q1780"/>
      <c r="R1780"/>
      <c r="S1780"/>
    </row>
    <row r="1781" spans="1:19" x14ac:dyDescent="0.25">
      <c r="A1781" s="28" t="s">
        <v>14843</v>
      </c>
      <c r="C1781"/>
      <c r="E1781"/>
      <c r="F1781"/>
      <c r="G1781"/>
      <c r="H1781"/>
      <c r="I1781"/>
      <c r="J1781" t="s">
        <v>4937</v>
      </c>
      <c r="K1781" t="s">
        <v>4938</v>
      </c>
      <c r="M1781" t="s">
        <v>666</v>
      </c>
      <c r="N1781"/>
      <c r="O1781"/>
      <c r="P1781"/>
      <c r="Q1781"/>
      <c r="R1781"/>
      <c r="S1781"/>
    </row>
    <row r="1782" spans="1:19" x14ac:dyDescent="0.25">
      <c r="A1782" s="28" t="s">
        <v>14843</v>
      </c>
      <c r="C1782"/>
      <c r="E1782"/>
      <c r="F1782"/>
      <c r="G1782"/>
      <c r="H1782"/>
      <c r="I1782"/>
      <c r="J1782" t="s">
        <v>4939</v>
      </c>
      <c r="K1782" t="s">
        <v>4940</v>
      </c>
      <c r="M1782" t="s">
        <v>666</v>
      </c>
      <c r="N1782"/>
      <c r="O1782"/>
      <c r="P1782"/>
      <c r="Q1782"/>
      <c r="R1782"/>
      <c r="S1782"/>
    </row>
    <row r="1783" spans="1:19" x14ac:dyDescent="0.25">
      <c r="A1783" s="28" t="s">
        <v>14843</v>
      </c>
      <c r="C1783"/>
      <c r="E1783"/>
      <c r="F1783"/>
      <c r="G1783"/>
      <c r="H1783"/>
      <c r="I1783"/>
      <c r="J1783" t="s">
        <v>4941</v>
      </c>
      <c r="K1783" t="s">
        <v>4942</v>
      </c>
      <c r="M1783" t="s">
        <v>666</v>
      </c>
      <c r="N1783"/>
      <c r="O1783"/>
      <c r="P1783"/>
      <c r="Q1783"/>
      <c r="R1783"/>
      <c r="S1783"/>
    </row>
    <row r="1784" spans="1:19" x14ac:dyDescent="0.25">
      <c r="A1784" s="28" t="s">
        <v>14843</v>
      </c>
      <c r="C1784"/>
      <c r="E1784"/>
      <c r="F1784"/>
      <c r="G1784"/>
      <c r="H1784"/>
      <c r="I1784"/>
      <c r="J1784" t="s">
        <v>4943</v>
      </c>
      <c r="K1784" t="s">
        <v>4944</v>
      </c>
      <c r="M1784" t="s">
        <v>666</v>
      </c>
      <c r="N1784"/>
      <c r="O1784"/>
      <c r="P1784"/>
      <c r="Q1784"/>
      <c r="R1784"/>
      <c r="S1784"/>
    </row>
    <row r="1785" spans="1:19" x14ac:dyDescent="0.25">
      <c r="A1785" s="28" t="s">
        <v>14843</v>
      </c>
      <c r="J1785" t="s">
        <v>4945</v>
      </c>
      <c r="K1785" t="s">
        <v>4946</v>
      </c>
      <c r="M1785" t="s">
        <v>666</v>
      </c>
      <c r="N1785"/>
      <c r="O1785"/>
      <c r="P1785"/>
      <c r="Q1785"/>
      <c r="R1785"/>
      <c r="S1785"/>
    </row>
    <row r="1786" spans="1:19" x14ac:dyDescent="0.25">
      <c r="A1786" s="28" t="s">
        <v>14843</v>
      </c>
      <c r="J1786" t="s">
        <v>4947</v>
      </c>
      <c r="K1786" t="s">
        <v>4948</v>
      </c>
      <c r="M1786" t="s">
        <v>666</v>
      </c>
      <c r="N1786"/>
      <c r="O1786"/>
      <c r="P1786"/>
      <c r="Q1786"/>
      <c r="R1786"/>
      <c r="S1786"/>
    </row>
    <row r="1787" spans="1:19" x14ac:dyDescent="0.25">
      <c r="A1787" s="28" t="s">
        <v>14843</v>
      </c>
      <c r="J1787" t="s">
        <v>4949</v>
      </c>
      <c r="K1787" t="s">
        <v>4950</v>
      </c>
      <c r="M1787" t="s">
        <v>666</v>
      </c>
      <c r="N1787"/>
      <c r="O1787"/>
      <c r="P1787"/>
      <c r="Q1787"/>
      <c r="R1787"/>
      <c r="S1787"/>
    </row>
    <row r="1788" spans="1:19" x14ac:dyDescent="0.25">
      <c r="A1788" s="28" t="s">
        <v>14843</v>
      </c>
      <c r="J1788" t="s">
        <v>4951</v>
      </c>
      <c r="K1788" t="s">
        <v>4952</v>
      </c>
      <c r="M1788" t="s">
        <v>666</v>
      </c>
      <c r="N1788"/>
      <c r="O1788"/>
      <c r="P1788"/>
      <c r="Q1788"/>
      <c r="R1788"/>
      <c r="S1788"/>
    </row>
    <row r="1789" spans="1:19" x14ac:dyDescent="0.25">
      <c r="A1789" s="28" t="s">
        <v>14843</v>
      </c>
      <c r="J1789" t="s">
        <v>4953</v>
      </c>
      <c r="K1789" t="s">
        <v>4954</v>
      </c>
      <c r="M1789" t="s">
        <v>666</v>
      </c>
      <c r="N1789"/>
      <c r="O1789"/>
      <c r="P1789"/>
      <c r="Q1789"/>
      <c r="R1789"/>
      <c r="S1789"/>
    </row>
    <row r="1790" spans="1:19" x14ac:dyDescent="0.25">
      <c r="A1790" s="28" t="s">
        <v>14843</v>
      </c>
      <c r="J1790" t="s">
        <v>4955</v>
      </c>
      <c r="K1790" t="s">
        <v>4956</v>
      </c>
      <c r="M1790" t="s">
        <v>666</v>
      </c>
      <c r="N1790"/>
      <c r="O1790"/>
      <c r="P1790"/>
      <c r="Q1790"/>
      <c r="R1790"/>
      <c r="S1790"/>
    </row>
    <row r="1791" spans="1:19" x14ac:dyDescent="0.25">
      <c r="A1791" t="s">
        <v>193</v>
      </c>
      <c r="C1791" s="27" t="s">
        <v>34749</v>
      </c>
      <c r="D1791" s="28" t="s">
        <v>34867</v>
      </c>
      <c r="J1791" t="s">
        <v>4957</v>
      </c>
      <c r="K1791" t="s">
        <v>4958</v>
      </c>
      <c r="L1791" s="28" t="s">
        <v>4959</v>
      </c>
      <c r="M1791" t="s">
        <v>23</v>
      </c>
      <c r="N1791"/>
      <c r="O1791"/>
      <c r="P1791"/>
      <c r="Q1791"/>
      <c r="R1791"/>
      <c r="S1791"/>
    </row>
    <row r="1792" spans="1:19" x14ac:dyDescent="0.25">
      <c r="A1792" t="s">
        <v>193</v>
      </c>
      <c r="C1792" s="27" t="s">
        <v>34749</v>
      </c>
      <c r="D1792" s="28" t="s">
        <v>34867</v>
      </c>
      <c r="J1792" t="s">
        <v>4960</v>
      </c>
      <c r="K1792" t="s">
        <v>4961</v>
      </c>
      <c r="L1792" s="28" t="s">
        <v>4962</v>
      </c>
      <c r="M1792" t="s">
        <v>23</v>
      </c>
      <c r="N1792"/>
      <c r="O1792"/>
      <c r="P1792"/>
      <c r="Q1792"/>
      <c r="R1792"/>
      <c r="S1792"/>
    </row>
    <row r="1793" spans="1:19" x14ac:dyDescent="0.25">
      <c r="A1793" t="s">
        <v>193</v>
      </c>
      <c r="C1793" s="27" t="s">
        <v>34749</v>
      </c>
      <c r="D1793" s="28" t="s">
        <v>34867</v>
      </c>
      <c r="J1793" t="s">
        <v>4963</v>
      </c>
      <c r="K1793" t="s">
        <v>4964</v>
      </c>
      <c r="L1793" s="28" t="s">
        <v>4965</v>
      </c>
      <c r="M1793" t="s">
        <v>23</v>
      </c>
      <c r="N1793"/>
      <c r="O1793"/>
      <c r="P1793"/>
      <c r="Q1793"/>
      <c r="R1793"/>
      <c r="S1793"/>
    </row>
    <row r="1794" spans="1:19" x14ac:dyDescent="0.25">
      <c r="A1794" t="s">
        <v>193</v>
      </c>
      <c r="C1794" s="27" t="s">
        <v>34749</v>
      </c>
      <c r="D1794" s="28" t="s">
        <v>34867</v>
      </c>
      <c r="J1794" t="s">
        <v>4966</v>
      </c>
      <c r="K1794" t="s">
        <v>4967</v>
      </c>
      <c r="L1794" s="28" t="s">
        <v>4968</v>
      </c>
      <c r="M1794" t="s">
        <v>23</v>
      </c>
      <c r="N1794"/>
      <c r="O1794"/>
      <c r="P1794"/>
      <c r="Q1794"/>
      <c r="R1794"/>
      <c r="S1794"/>
    </row>
    <row r="1795" spans="1:19" x14ac:dyDescent="0.25">
      <c r="A1795" t="s">
        <v>193</v>
      </c>
      <c r="C1795" s="27" t="s">
        <v>34749</v>
      </c>
      <c r="D1795" s="28" t="s">
        <v>34867</v>
      </c>
      <c r="J1795" t="s">
        <v>4969</v>
      </c>
      <c r="K1795" t="s">
        <v>4970</v>
      </c>
      <c r="L1795" s="28" t="s">
        <v>4971</v>
      </c>
      <c r="M1795" t="s">
        <v>23</v>
      </c>
      <c r="N1795"/>
      <c r="O1795"/>
      <c r="P1795"/>
      <c r="Q1795"/>
      <c r="R1795"/>
      <c r="S1795"/>
    </row>
    <row r="1796" spans="1:19" x14ac:dyDescent="0.25">
      <c r="A1796" t="s">
        <v>193</v>
      </c>
      <c r="C1796" s="27" t="s">
        <v>34749</v>
      </c>
      <c r="D1796" s="28" t="s">
        <v>34867</v>
      </c>
      <c r="J1796" t="s">
        <v>4972</v>
      </c>
      <c r="K1796" t="s">
        <v>4973</v>
      </c>
      <c r="L1796" s="28" t="s">
        <v>4974</v>
      </c>
      <c r="M1796" t="s">
        <v>23</v>
      </c>
      <c r="N1796"/>
      <c r="O1796"/>
      <c r="P1796"/>
      <c r="Q1796"/>
      <c r="R1796"/>
      <c r="S1796"/>
    </row>
    <row r="1797" spans="1:19" x14ac:dyDescent="0.25">
      <c r="A1797" t="s">
        <v>193</v>
      </c>
      <c r="C1797" s="27" t="s">
        <v>34749</v>
      </c>
      <c r="D1797" s="28" t="s">
        <v>34867</v>
      </c>
      <c r="J1797" t="s">
        <v>4975</v>
      </c>
      <c r="K1797" t="s">
        <v>4976</v>
      </c>
      <c r="L1797" s="28" t="s">
        <v>4977</v>
      </c>
      <c r="M1797" t="s">
        <v>23</v>
      </c>
      <c r="N1797"/>
      <c r="O1797"/>
      <c r="P1797"/>
      <c r="Q1797"/>
      <c r="R1797"/>
      <c r="S1797"/>
    </row>
    <row r="1798" spans="1:19" x14ac:dyDescent="0.25">
      <c r="A1798" t="s">
        <v>193</v>
      </c>
      <c r="C1798" s="27" t="s">
        <v>34749</v>
      </c>
      <c r="D1798" s="28" t="s">
        <v>34867</v>
      </c>
      <c r="J1798" t="s">
        <v>4978</v>
      </c>
      <c r="K1798" t="s">
        <v>4979</v>
      </c>
      <c r="L1798" s="28" t="s">
        <v>4980</v>
      </c>
      <c r="M1798" t="s">
        <v>23</v>
      </c>
      <c r="N1798"/>
      <c r="O1798"/>
      <c r="P1798"/>
      <c r="Q1798"/>
      <c r="R1798"/>
      <c r="S1798"/>
    </row>
    <row r="1799" spans="1:19" x14ac:dyDescent="0.25">
      <c r="A1799" t="s">
        <v>193</v>
      </c>
      <c r="C1799" s="27" t="s">
        <v>34749</v>
      </c>
      <c r="D1799" s="28" t="s">
        <v>34867</v>
      </c>
      <c r="J1799" t="s">
        <v>4981</v>
      </c>
      <c r="K1799" t="s">
        <v>4982</v>
      </c>
      <c r="L1799" s="28" t="s">
        <v>4983</v>
      </c>
      <c r="M1799" t="s">
        <v>23</v>
      </c>
      <c r="N1799"/>
      <c r="O1799"/>
      <c r="P1799"/>
      <c r="Q1799"/>
      <c r="R1799"/>
      <c r="S1799"/>
    </row>
    <row r="1800" spans="1:19" x14ac:dyDescent="0.25">
      <c r="A1800" t="s">
        <v>193</v>
      </c>
      <c r="C1800" s="27" t="s">
        <v>34749</v>
      </c>
      <c r="D1800" s="28" t="s">
        <v>34867</v>
      </c>
      <c r="J1800" t="s">
        <v>4984</v>
      </c>
      <c r="K1800" t="s">
        <v>4985</v>
      </c>
      <c r="L1800" s="28" t="s">
        <v>4986</v>
      </c>
      <c r="M1800" t="s">
        <v>23</v>
      </c>
      <c r="N1800"/>
      <c r="O1800"/>
      <c r="P1800"/>
      <c r="Q1800"/>
      <c r="R1800"/>
      <c r="S1800"/>
    </row>
    <row r="1801" spans="1:19" x14ac:dyDescent="0.25">
      <c r="A1801" t="s">
        <v>193</v>
      </c>
      <c r="C1801" s="27" t="s">
        <v>34749</v>
      </c>
      <c r="D1801" s="28" t="s">
        <v>34867</v>
      </c>
      <c r="J1801" t="s">
        <v>4987</v>
      </c>
      <c r="K1801" t="s">
        <v>4988</v>
      </c>
      <c r="L1801" s="28" t="s">
        <v>4989</v>
      </c>
      <c r="M1801" t="s">
        <v>23</v>
      </c>
      <c r="N1801"/>
      <c r="O1801"/>
      <c r="P1801"/>
      <c r="Q1801"/>
      <c r="R1801"/>
      <c r="S1801"/>
    </row>
    <row r="1802" spans="1:19" x14ac:dyDescent="0.25">
      <c r="A1802" t="s">
        <v>193</v>
      </c>
      <c r="C1802" s="27" t="s">
        <v>34749</v>
      </c>
      <c r="D1802" s="28" t="s">
        <v>34867</v>
      </c>
      <c r="J1802" t="s">
        <v>4990</v>
      </c>
      <c r="K1802" t="s">
        <v>4991</v>
      </c>
      <c r="L1802" s="28" t="s">
        <v>4992</v>
      </c>
      <c r="M1802" t="s">
        <v>23</v>
      </c>
      <c r="N1802"/>
      <c r="O1802"/>
      <c r="P1802"/>
      <c r="Q1802"/>
      <c r="R1802"/>
      <c r="S1802"/>
    </row>
    <row r="1803" spans="1:19" x14ac:dyDescent="0.25">
      <c r="A1803" s="27" t="s">
        <v>193</v>
      </c>
      <c r="J1803" t="s">
        <v>4993</v>
      </c>
      <c r="K1803" t="s">
        <v>4994</v>
      </c>
      <c r="M1803" t="s">
        <v>23</v>
      </c>
      <c r="N1803"/>
      <c r="O1803"/>
      <c r="P1803"/>
      <c r="Q1803"/>
      <c r="R1803"/>
      <c r="S1803"/>
    </row>
    <row r="1804" spans="1:19" x14ac:dyDescent="0.25">
      <c r="A1804" s="28" t="s">
        <v>14843</v>
      </c>
      <c r="J1804" t="s">
        <v>4995</v>
      </c>
      <c r="K1804" t="s">
        <v>4996</v>
      </c>
      <c r="M1804" t="s">
        <v>47</v>
      </c>
      <c r="N1804"/>
      <c r="O1804"/>
      <c r="P1804"/>
      <c r="Q1804"/>
      <c r="R1804"/>
      <c r="S1804"/>
    </row>
    <row r="1805" spans="1:19" x14ac:dyDescent="0.25">
      <c r="A1805" t="s">
        <v>193</v>
      </c>
      <c r="C1805" s="27" t="s">
        <v>34749</v>
      </c>
      <c r="D1805" s="28" t="s">
        <v>34867</v>
      </c>
      <c r="J1805" t="s">
        <v>4997</v>
      </c>
      <c r="K1805" t="s">
        <v>4998</v>
      </c>
      <c r="L1805" s="28" t="s">
        <v>4999</v>
      </c>
      <c r="M1805" t="s">
        <v>23</v>
      </c>
      <c r="N1805"/>
      <c r="O1805"/>
      <c r="P1805"/>
      <c r="Q1805"/>
      <c r="R1805"/>
      <c r="S1805"/>
    </row>
    <row r="1806" spans="1:19" x14ac:dyDescent="0.25">
      <c r="A1806" t="s">
        <v>193</v>
      </c>
      <c r="C1806" s="27" t="s">
        <v>34749</v>
      </c>
      <c r="D1806" s="28" t="s">
        <v>34867</v>
      </c>
      <c r="J1806" t="s">
        <v>5000</v>
      </c>
      <c r="K1806" t="s">
        <v>5001</v>
      </c>
      <c r="L1806" s="28" t="s">
        <v>5002</v>
      </c>
      <c r="M1806" t="s">
        <v>23</v>
      </c>
      <c r="N1806"/>
      <c r="O1806"/>
      <c r="P1806"/>
      <c r="Q1806"/>
      <c r="R1806"/>
      <c r="S1806"/>
    </row>
    <row r="1807" spans="1:19" x14ac:dyDescent="0.25">
      <c r="A1807" t="s">
        <v>193</v>
      </c>
      <c r="C1807" s="27" t="s">
        <v>34749</v>
      </c>
      <c r="D1807" s="28" t="s">
        <v>34867</v>
      </c>
      <c r="J1807" t="s">
        <v>5003</v>
      </c>
      <c r="K1807" t="s">
        <v>5004</v>
      </c>
      <c r="L1807" s="28" t="s">
        <v>5005</v>
      </c>
      <c r="M1807" t="s">
        <v>23</v>
      </c>
      <c r="N1807"/>
      <c r="O1807"/>
      <c r="P1807"/>
      <c r="Q1807"/>
      <c r="R1807"/>
      <c r="S1807"/>
    </row>
    <row r="1808" spans="1:19" x14ac:dyDescent="0.25">
      <c r="A1808" t="s">
        <v>193</v>
      </c>
      <c r="C1808" s="27" t="s">
        <v>34749</v>
      </c>
      <c r="D1808" s="28" t="s">
        <v>34867</v>
      </c>
      <c r="J1808" t="s">
        <v>5006</v>
      </c>
      <c r="K1808" t="s">
        <v>5007</v>
      </c>
      <c r="L1808" s="28" t="s">
        <v>5008</v>
      </c>
      <c r="M1808" t="s">
        <v>23</v>
      </c>
      <c r="N1808"/>
      <c r="O1808"/>
      <c r="P1808"/>
      <c r="Q1808"/>
      <c r="R1808"/>
      <c r="S1808"/>
    </row>
    <row r="1809" spans="1:19" x14ac:dyDescent="0.25">
      <c r="A1809" t="s">
        <v>193</v>
      </c>
      <c r="C1809" s="27" t="s">
        <v>34749</v>
      </c>
      <c r="D1809" s="28" t="s">
        <v>34867</v>
      </c>
      <c r="J1809" t="s">
        <v>5009</v>
      </c>
      <c r="K1809" t="s">
        <v>5010</v>
      </c>
      <c r="L1809" s="28" t="s">
        <v>5011</v>
      </c>
      <c r="M1809" t="s">
        <v>23</v>
      </c>
      <c r="N1809"/>
      <c r="O1809"/>
      <c r="P1809"/>
      <c r="Q1809"/>
      <c r="R1809"/>
      <c r="S1809"/>
    </row>
    <row r="1810" spans="1:19" x14ac:dyDescent="0.25">
      <c r="A1810" s="28" t="s">
        <v>14843</v>
      </c>
      <c r="J1810" t="s">
        <v>5012</v>
      </c>
      <c r="K1810" t="s">
        <v>5013</v>
      </c>
      <c r="M1810" t="s">
        <v>2820</v>
      </c>
      <c r="N1810"/>
      <c r="O1810"/>
      <c r="P1810"/>
      <c r="Q1810"/>
      <c r="R1810"/>
      <c r="S1810"/>
    </row>
    <row r="1811" spans="1:19" x14ac:dyDescent="0.25">
      <c r="A1811" s="28" t="s">
        <v>14843</v>
      </c>
      <c r="J1811" t="s">
        <v>5014</v>
      </c>
      <c r="K1811" t="s">
        <v>5015</v>
      </c>
      <c r="M1811" t="s">
        <v>47</v>
      </c>
      <c r="N1811"/>
      <c r="O1811"/>
      <c r="P1811"/>
      <c r="Q1811"/>
      <c r="R1811"/>
      <c r="S1811"/>
    </row>
    <row r="1812" spans="1:19" x14ac:dyDescent="0.25">
      <c r="A1812" s="28" t="s">
        <v>14843</v>
      </c>
      <c r="J1812" t="s">
        <v>5016</v>
      </c>
      <c r="K1812" t="s">
        <v>5017</v>
      </c>
      <c r="M1812" t="s">
        <v>2820</v>
      </c>
      <c r="N1812"/>
      <c r="O1812"/>
      <c r="P1812"/>
      <c r="Q1812"/>
      <c r="R1812"/>
      <c r="S1812"/>
    </row>
    <row r="1813" spans="1:19" x14ac:dyDescent="0.25">
      <c r="A1813" s="28" t="s">
        <v>14843</v>
      </c>
      <c r="J1813" t="s">
        <v>5018</v>
      </c>
      <c r="K1813" t="s">
        <v>5019</v>
      </c>
      <c r="M1813" t="s">
        <v>2820</v>
      </c>
      <c r="N1813"/>
      <c r="O1813"/>
      <c r="P1813"/>
      <c r="Q1813"/>
      <c r="R1813"/>
      <c r="S1813"/>
    </row>
    <row r="1814" spans="1:19" x14ac:dyDescent="0.25">
      <c r="A1814" s="28" t="s">
        <v>14843</v>
      </c>
      <c r="J1814" t="s">
        <v>5020</v>
      </c>
      <c r="K1814" t="s">
        <v>5021</v>
      </c>
      <c r="M1814" t="s">
        <v>2820</v>
      </c>
      <c r="N1814"/>
      <c r="O1814"/>
      <c r="P1814"/>
      <c r="Q1814"/>
      <c r="R1814"/>
      <c r="S1814"/>
    </row>
    <row r="1815" spans="1:19" x14ac:dyDescent="0.25">
      <c r="A1815" s="28" t="s">
        <v>14843</v>
      </c>
      <c r="J1815" t="s">
        <v>5022</v>
      </c>
      <c r="K1815" t="s">
        <v>5023</v>
      </c>
      <c r="M1815" t="s">
        <v>47</v>
      </c>
      <c r="N1815"/>
      <c r="O1815"/>
      <c r="P1815"/>
      <c r="Q1815"/>
      <c r="R1815"/>
      <c r="S1815"/>
    </row>
    <row r="1816" spans="1:19" x14ac:dyDescent="0.25">
      <c r="A1816" s="28" t="s">
        <v>14843</v>
      </c>
      <c r="J1816" t="s">
        <v>5024</v>
      </c>
      <c r="K1816" t="s">
        <v>5025</v>
      </c>
      <c r="M1816" t="s">
        <v>666</v>
      </c>
      <c r="N1816"/>
      <c r="O1816"/>
      <c r="P1816"/>
      <c r="Q1816"/>
      <c r="R1816"/>
      <c r="S1816"/>
    </row>
    <row r="1817" spans="1:19" x14ac:dyDescent="0.25">
      <c r="A1817" s="28" t="s">
        <v>14843</v>
      </c>
      <c r="J1817" t="s">
        <v>5026</v>
      </c>
      <c r="K1817" t="s">
        <v>5027</v>
      </c>
      <c r="M1817" t="s">
        <v>2820</v>
      </c>
      <c r="N1817"/>
      <c r="O1817"/>
      <c r="P1817"/>
      <c r="Q1817"/>
      <c r="R1817"/>
      <c r="S1817"/>
    </row>
    <row r="1818" spans="1:19" x14ac:dyDescent="0.25">
      <c r="A1818" s="28" t="s">
        <v>14843</v>
      </c>
      <c r="J1818" t="s">
        <v>5028</v>
      </c>
      <c r="K1818" t="s">
        <v>5029</v>
      </c>
      <c r="M1818" t="s">
        <v>47</v>
      </c>
      <c r="N1818"/>
      <c r="O1818"/>
      <c r="P1818"/>
      <c r="Q1818"/>
      <c r="R1818"/>
      <c r="S1818"/>
    </row>
    <row r="1819" spans="1:19" x14ac:dyDescent="0.25">
      <c r="A1819" s="28" t="s">
        <v>14843</v>
      </c>
      <c r="J1819" t="s">
        <v>5030</v>
      </c>
      <c r="K1819" t="s">
        <v>5031</v>
      </c>
      <c r="M1819" t="s">
        <v>47</v>
      </c>
      <c r="N1819"/>
      <c r="O1819"/>
      <c r="P1819"/>
      <c r="Q1819"/>
      <c r="R1819"/>
      <c r="S1819"/>
    </row>
    <row r="1820" spans="1:19" x14ac:dyDescent="0.25">
      <c r="A1820" s="28" t="s">
        <v>14843</v>
      </c>
      <c r="J1820" t="s">
        <v>5032</v>
      </c>
      <c r="K1820" t="s">
        <v>5033</v>
      </c>
      <c r="M1820" t="s">
        <v>47</v>
      </c>
      <c r="N1820"/>
      <c r="O1820"/>
      <c r="P1820"/>
      <c r="Q1820"/>
      <c r="R1820"/>
      <c r="S1820"/>
    </row>
    <row r="1821" spans="1:19" x14ac:dyDescent="0.25">
      <c r="A1821" s="28" t="s">
        <v>14843</v>
      </c>
      <c r="J1821" t="s">
        <v>5034</v>
      </c>
      <c r="K1821" t="s">
        <v>5035</v>
      </c>
      <c r="M1821" t="s">
        <v>47</v>
      </c>
      <c r="N1821"/>
      <c r="O1821"/>
      <c r="P1821"/>
      <c r="Q1821"/>
      <c r="R1821"/>
      <c r="S1821"/>
    </row>
    <row r="1822" spans="1:19" x14ac:dyDescent="0.25">
      <c r="A1822" s="28" t="s">
        <v>14843</v>
      </c>
      <c r="J1822" t="s">
        <v>5036</v>
      </c>
      <c r="K1822" t="s">
        <v>5037</v>
      </c>
      <c r="M1822" t="s">
        <v>666</v>
      </c>
      <c r="N1822"/>
      <c r="O1822"/>
      <c r="P1822"/>
      <c r="Q1822"/>
      <c r="R1822"/>
      <c r="S1822"/>
    </row>
    <row r="1823" spans="1:19" x14ac:dyDescent="0.25">
      <c r="A1823" s="28" t="s">
        <v>14843</v>
      </c>
      <c r="J1823" t="s">
        <v>5038</v>
      </c>
      <c r="K1823" t="s">
        <v>5039</v>
      </c>
      <c r="M1823" t="s">
        <v>47</v>
      </c>
      <c r="N1823"/>
      <c r="O1823"/>
      <c r="P1823"/>
      <c r="Q1823"/>
      <c r="R1823"/>
      <c r="S1823"/>
    </row>
    <row r="1824" spans="1:19" x14ac:dyDescent="0.25">
      <c r="A1824" s="28" t="s">
        <v>14843</v>
      </c>
      <c r="J1824" t="s">
        <v>5040</v>
      </c>
      <c r="K1824" t="s">
        <v>5041</v>
      </c>
      <c r="M1824" t="s">
        <v>666</v>
      </c>
      <c r="N1824"/>
      <c r="O1824"/>
      <c r="P1824"/>
      <c r="Q1824"/>
      <c r="R1824"/>
      <c r="S1824"/>
    </row>
    <row r="1825" spans="1:19" x14ac:dyDescent="0.25">
      <c r="A1825" s="28" t="s">
        <v>14843</v>
      </c>
      <c r="J1825" t="s">
        <v>5042</v>
      </c>
      <c r="K1825" t="s">
        <v>5043</v>
      </c>
      <c r="M1825" t="s">
        <v>2820</v>
      </c>
      <c r="N1825"/>
      <c r="O1825"/>
      <c r="P1825"/>
      <c r="Q1825"/>
      <c r="R1825"/>
      <c r="S1825"/>
    </row>
    <row r="1826" spans="1:19" x14ac:dyDescent="0.25">
      <c r="A1826" s="28" t="s">
        <v>14843</v>
      </c>
      <c r="J1826" t="s">
        <v>5044</v>
      </c>
      <c r="K1826" t="s">
        <v>5045</v>
      </c>
      <c r="M1826" t="s">
        <v>2820</v>
      </c>
      <c r="N1826"/>
      <c r="O1826"/>
      <c r="P1826"/>
      <c r="Q1826"/>
      <c r="R1826"/>
      <c r="S1826"/>
    </row>
    <row r="1827" spans="1:19" x14ac:dyDescent="0.25">
      <c r="A1827" s="28" t="s">
        <v>14843</v>
      </c>
      <c r="J1827" t="s">
        <v>5046</v>
      </c>
      <c r="K1827" t="s">
        <v>5047</v>
      </c>
      <c r="M1827" t="s">
        <v>2820</v>
      </c>
      <c r="N1827"/>
      <c r="O1827"/>
      <c r="P1827"/>
      <c r="Q1827"/>
      <c r="R1827"/>
      <c r="S1827"/>
    </row>
    <row r="1828" spans="1:19" x14ac:dyDescent="0.25">
      <c r="A1828" s="28" t="s">
        <v>14843</v>
      </c>
      <c r="J1828" t="s">
        <v>5048</v>
      </c>
      <c r="K1828" t="s">
        <v>5049</v>
      </c>
      <c r="M1828" t="s">
        <v>2820</v>
      </c>
      <c r="N1828"/>
      <c r="O1828"/>
      <c r="P1828"/>
      <c r="Q1828"/>
      <c r="R1828"/>
      <c r="S1828"/>
    </row>
    <row r="1829" spans="1:19" x14ac:dyDescent="0.25">
      <c r="A1829" s="28" t="s">
        <v>14843</v>
      </c>
      <c r="J1829" t="s">
        <v>5050</v>
      </c>
      <c r="K1829" t="s">
        <v>5051</v>
      </c>
      <c r="M1829" t="s">
        <v>2820</v>
      </c>
      <c r="N1829"/>
      <c r="O1829"/>
      <c r="P1829"/>
      <c r="Q1829"/>
      <c r="R1829"/>
      <c r="S1829"/>
    </row>
    <row r="1830" spans="1:19" x14ac:dyDescent="0.25">
      <c r="A1830" s="28" t="s">
        <v>14843</v>
      </c>
      <c r="J1830" t="s">
        <v>5052</v>
      </c>
      <c r="K1830" t="s">
        <v>5053</v>
      </c>
      <c r="M1830" t="s">
        <v>666</v>
      </c>
      <c r="N1830"/>
      <c r="O1830"/>
      <c r="P1830"/>
      <c r="Q1830"/>
      <c r="R1830"/>
      <c r="S1830"/>
    </row>
    <row r="1831" spans="1:19" x14ac:dyDescent="0.25">
      <c r="A1831" s="28" t="s">
        <v>14843</v>
      </c>
      <c r="J1831" t="s">
        <v>5056</v>
      </c>
      <c r="K1831" t="s">
        <v>5057</v>
      </c>
      <c r="M1831" t="s">
        <v>2820</v>
      </c>
      <c r="N1831"/>
      <c r="O1831"/>
      <c r="P1831"/>
      <c r="Q1831"/>
      <c r="R1831"/>
      <c r="S1831"/>
    </row>
    <row r="1832" spans="1:19" x14ac:dyDescent="0.25">
      <c r="A1832" s="28" t="s">
        <v>14843</v>
      </c>
      <c r="J1832" t="s">
        <v>5058</v>
      </c>
      <c r="K1832" t="s">
        <v>5059</v>
      </c>
      <c r="M1832" t="s">
        <v>2820</v>
      </c>
      <c r="N1832"/>
      <c r="O1832"/>
      <c r="P1832"/>
      <c r="Q1832"/>
      <c r="R1832"/>
      <c r="S1832"/>
    </row>
    <row r="1833" spans="1:19" x14ac:dyDescent="0.25">
      <c r="A1833" s="28" t="s">
        <v>14843</v>
      </c>
      <c r="J1833" t="s">
        <v>5060</v>
      </c>
      <c r="K1833" t="s">
        <v>5061</v>
      </c>
      <c r="M1833" t="s">
        <v>2820</v>
      </c>
      <c r="N1833"/>
      <c r="O1833"/>
      <c r="P1833"/>
      <c r="Q1833"/>
      <c r="R1833"/>
      <c r="S1833"/>
    </row>
    <row r="1834" spans="1:19" x14ac:dyDescent="0.25">
      <c r="A1834" s="28" t="s">
        <v>14843</v>
      </c>
      <c r="J1834" t="s">
        <v>5062</v>
      </c>
      <c r="K1834" t="s">
        <v>5063</v>
      </c>
      <c r="M1834" t="s">
        <v>2820</v>
      </c>
      <c r="N1834"/>
      <c r="O1834"/>
      <c r="P1834"/>
      <c r="Q1834"/>
      <c r="R1834"/>
      <c r="S1834"/>
    </row>
    <row r="1835" spans="1:19" x14ac:dyDescent="0.25">
      <c r="A1835" s="28" t="s">
        <v>14843</v>
      </c>
      <c r="J1835" t="s">
        <v>5064</v>
      </c>
      <c r="K1835" t="s">
        <v>5065</v>
      </c>
      <c r="M1835" t="s">
        <v>2820</v>
      </c>
      <c r="N1835"/>
      <c r="O1835"/>
      <c r="P1835"/>
      <c r="Q1835"/>
      <c r="R1835"/>
      <c r="S1835"/>
    </row>
    <row r="1836" spans="1:19" x14ac:dyDescent="0.25">
      <c r="A1836" s="28" t="s">
        <v>14843</v>
      </c>
      <c r="J1836" t="s">
        <v>5066</v>
      </c>
      <c r="K1836" t="s">
        <v>5067</v>
      </c>
      <c r="M1836" t="s">
        <v>2820</v>
      </c>
      <c r="N1836"/>
      <c r="O1836"/>
      <c r="P1836"/>
      <c r="Q1836"/>
      <c r="R1836"/>
      <c r="S1836"/>
    </row>
    <row r="1837" spans="1:19" x14ac:dyDescent="0.25">
      <c r="A1837" s="28" t="s">
        <v>14843</v>
      </c>
      <c r="J1837" t="s">
        <v>5068</v>
      </c>
      <c r="K1837" t="s">
        <v>5069</v>
      </c>
      <c r="M1837" t="s">
        <v>2820</v>
      </c>
      <c r="N1837"/>
      <c r="O1837"/>
      <c r="P1837"/>
      <c r="Q1837"/>
      <c r="R1837"/>
      <c r="S1837"/>
    </row>
    <row r="1838" spans="1:19" x14ac:dyDescent="0.25">
      <c r="A1838" s="28" t="s">
        <v>14843</v>
      </c>
      <c r="J1838" t="s">
        <v>5070</v>
      </c>
      <c r="K1838" t="s">
        <v>5071</v>
      </c>
      <c r="M1838" t="s">
        <v>2820</v>
      </c>
      <c r="N1838"/>
      <c r="O1838"/>
      <c r="P1838"/>
      <c r="Q1838"/>
      <c r="R1838"/>
      <c r="S1838"/>
    </row>
    <row r="1839" spans="1:19" x14ac:dyDescent="0.25">
      <c r="A1839" s="28" t="s">
        <v>14843</v>
      </c>
      <c r="J1839" t="s">
        <v>5072</v>
      </c>
      <c r="K1839" t="s">
        <v>5073</v>
      </c>
      <c r="M1839" t="s">
        <v>2820</v>
      </c>
      <c r="N1839"/>
      <c r="O1839"/>
      <c r="P1839"/>
      <c r="Q1839"/>
      <c r="R1839"/>
      <c r="S1839"/>
    </row>
    <row r="1840" spans="1:19" x14ac:dyDescent="0.25">
      <c r="A1840" s="28" t="s">
        <v>14843</v>
      </c>
      <c r="J1840" t="s">
        <v>5074</v>
      </c>
      <c r="K1840" t="s">
        <v>5075</v>
      </c>
      <c r="M1840" t="s">
        <v>2820</v>
      </c>
      <c r="N1840"/>
      <c r="O1840"/>
      <c r="P1840"/>
      <c r="Q1840"/>
      <c r="R1840"/>
      <c r="S1840"/>
    </row>
    <row r="1841" spans="1:19" x14ac:dyDescent="0.25">
      <c r="A1841" s="28" t="s">
        <v>14843</v>
      </c>
      <c r="J1841" t="s">
        <v>5076</v>
      </c>
      <c r="K1841" t="s">
        <v>5077</v>
      </c>
      <c r="M1841" t="s">
        <v>2820</v>
      </c>
      <c r="N1841"/>
      <c r="O1841"/>
      <c r="P1841"/>
      <c r="Q1841"/>
      <c r="R1841"/>
      <c r="S1841"/>
    </row>
    <row r="1842" spans="1:19" x14ac:dyDescent="0.25">
      <c r="A1842" s="28" t="s">
        <v>14843</v>
      </c>
      <c r="J1842" t="s">
        <v>5078</v>
      </c>
      <c r="K1842" t="s">
        <v>5079</v>
      </c>
      <c r="M1842" t="s">
        <v>2820</v>
      </c>
      <c r="N1842"/>
      <c r="O1842"/>
      <c r="P1842"/>
      <c r="Q1842"/>
      <c r="R1842"/>
      <c r="S1842"/>
    </row>
    <row r="1843" spans="1:19" x14ac:dyDescent="0.25">
      <c r="A1843" s="28" t="s">
        <v>14843</v>
      </c>
      <c r="J1843" t="s">
        <v>5080</v>
      </c>
      <c r="K1843" t="s">
        <v>5081</v>
      </c>
      <c r="M1843" t="s">
        <v>2820</v>
      </c>
      <c r="N1843"/>
      <c r="O1843"/>
      <c r="P1843"/>
      <c r="Q1843"/>
      <c r="R1843"/>
      <c r="S1843"/>
    </row>
    <row r="1844" spans="1:19" x14ac:dyDescent="0.25">
      <c r="A1844" s="28" t="s">
        <v>14843</v>
      </c>
      <c r="J1844" t="s">
        <v>5082</v>
      </c>
      <c r="K1844" t="s">
        <v>5083</v>
      </c>
      <c r="M1844" t="s">
        <v>2820</v>
      </c>
      <c r="N1844"/>
      <c r="O1844"/>
      <c r="P1844"/>
      <c r="Q1844"/>
      <c r="R1844"/>
      <c r="S1844"/>
    </row>
    <row r="1845" spans="1:19" x14ac:dyDescent="0.25">
      <c r="A1845" t="s">
        <v>193</v>
      </c>
      <c r="C1845" s="27" t="s">
        <v>34749</v>
      </c>
      <c r="D1845" s="28" t="s">
        <v>34867</v>
      </c>
      <c r="J1845" t="s">
        <v>5084</v>
      </c>
      <c r="K1845" t="s">
        <v>5085</v>
      </c>
      <c r="L1845" s="28" t="s">
        <v>5086</v>
      </c>
      <c r="M1845" t="s">
        <v>23</v>
      </c>
      <c r="N1845"/>
      <c r="O1845"/>
      <c r="P1845"/>
      <c r="Q1845"/>
      <c r="R1845"/>
      <c r="S1845"/>
    </row>
    <row r="1846" spans="1:19" x14ac:dyDescent="0.25">
      <c r="A1846" t="s">
        <v>193</v>
      </c>
      <c r="C1846" s="27" t="s">
        <v>34749</v>
      </c>
      <c r="D1846" s="28" t="s">
        <v>34867</v>
      </c>
      <c r="J1846" t="s">
        <v>5087</v>
      </c>
      <c r="K1846" t="s">
        <v>5088</v>
      </c>
      <c r="L1846" s="28" t="s">
        <v>5089</v>
      </c>
      <c r="M1846" t="s">
        <v>23</v>
      </c>
      <c r="N1846"/>
      <c r="O1846"/>
      <c r="P1846"/>
      <c r="Q1846"/>
      <c r="R1846"/>
      <c r="S1846"/>
    </row>
    <row r="1847" spans="1:19" x14ac:dyDescent="0.25">
      <c r="A1847" t="s">
        <v>193</v>
      </c>
      <c r="C1847" s="27" t="s">
        <v>34749</v>
      </c>
      <c r="D1847" s="28" t="s">
        <v>34867</v>
      </c>
      <c r="J1847" t="s">
        <v>5090</v>
      </c>
      <c r="K1847" t="s">
        <v>5091</v>
      </c>
      <c r="L1847" s="28" t="s">
        <v>5092</v>
      </c>
      <c r="M1847" t="s">
        <v>23</v>
      </c>
      <c r="N1847"/>
      <c r="O1847"/>
      <c r="P1847"/>
      <c r="Q1847"/>
      <c r="R1847"/>
      <c r="S1847"/>
    </row>
    <row r="1848" spans="1:19" x14ac:dyDescent="0.25">
      <c r="A1848" t="s">
        <v>193</v>
      </c>
      <c r="C1848" s="27" t="s">
        <v>34749</v>
      </c>
      <c r="D1848" s="28" t="s">
        <v>34867</v>
      </c>
      <c r="J1848" t="s">
        <v>5093</v>
      </c>
      <c r="K1848" t="s">
        <v>5094</v>
      </c>
      <c r="L1848" s="28" t="s">
        <v>5095</v>
      </c>
      <c r="M1848" t="s">
        <v>23</v>
      </c>
      <c r="N1848"/>
      <c r="O1848"/>
      <c r="P1848"/>
      <c r="Q1848"/>
      <c r="R1848"/>
      <c r="S1848"/>
    </row>
    <row r="1849" spans="1:19" x14ac:dyDescent="0.25">
      <c r="A1849" t="s">
        <v>193</v>
      </c>
      <c r="C1849" s="27" t="s">
        <v>34749</v>
      </c>
      <c r="D1849" s="28" t="s">
        <v>34867</v>
      </c>
      <c r="J1849" t="s">
        <v>5096</v>
      </c>
      <c r="K1849" t="s">
        <v>5097</v>
      </c>
      <c r="L1849" s="28" t="s">
        <v>5098</v>
      </c>
      <c r="M1849" t="s">
        <v>23</v>
      </c>
      <c r="N1849"/>
      <c r="O1849"/>
      <c r="P1849"/>
      <c r="Q1849"/>
      <c r="R1849"/>
      <c r="S1849"/>
    </row>
    <row r="1850" spans="1:19" x14ac:dyDescent="0.25">
      <c r="A1850" t="s">
        <v>193</v>
      </c>
      <c r="C1850" s="27" t="s">
        <v>34749</v>
      </c>
      <c r="D1850" s="28" t="s">
        <v>34867</v>
      </c>
      <c r="J1850" t="s">
        <v>5099</v>
      </c>
      <c r="K1850" t="s">
        <v>5100</v>
      </c>
      <c r="L1850" s="28" t="s">
        <v>5101</v>
      </c>
      <c r="M1850" t="s">
        <v>23</v>
      </c>
      <c r="N1850"/>
      <c r="O1850"/>
      <c r="P1850"/>
      <c r="Q1850"/>
      <c r="R1850"/>
      <c r="S1850"/>
    </row>
    <row r="1851" spans="1:19" x14ac:dyDescent="0.25">
      <c r="A1851" s="28" t="s">
        <v>14843</v>
      </c>
      <c r="J1851" t="s">
        <v>5102</v>
      </c>
      <c r="K1851" t="s">
        <v>5103</v>
      </c>
      <c r="M1851" t="s">
        <v>47</v>
      </c>
      <c r="N1851"/>
      <c r="O1851"/>
      <c r="P1851"/>
      <c r="Q1851"/>
      <c r="R1851"/>
      <c r="S1851"/>
    </row>
    <row r="1852" spans="1:19" x14ac:dyDescent="0.25">
      <c r="A1852" s="28" t="s">
        <v>14843</v>
      </c>
      <c r="J1852" t="s">
        <v>5104</v>
      </c>
      <c r="K1852" t="s">
        <v>5105</v>
      </c>
      <c r="M1852" t="s">
        <v>47</v>
      </c>
      <c r="N1852"/>
      <c r="O1852"/>
      <c r="P1852"/>
      <c r="Q1852"/>
      <c r="R1852"/>
      <c r="S1852"/>
    </row>
    <row r="1853" spans="1:19" x14ac:dyDescent="0.25">
      <c r="A1853" s="28" t="s">
        <v>14843</v>
      </c>
      <c r="J1853" t="s">
        <v>5106</v>
      </c>
      <c r="K1853" t="s">
        <v>5107</v>
      </c>
      <c r="M1853" t="s">
        <v>47</v>
      </c>
      <c r="N1853"/>
      <c r="O1853"/>
      <c r="P1853"/>
      <c r="Q1853"/>
      <c r="R1853"/>
      <c r="S1853"/>
    </row>
    <row r="1854" spans="1:19" x14ac:dyDescent="0.25">
      <c r="A1854" t="s">
        <v>193</v>
      </c>
      <c r="C1854" s="27" t="s">
        <v>34749</v>
      </c>
      <c r="D1854" s="28" t="s">
        <v>34867</v>
      </c>
      <c r="J1854" t="s">
        <v>5108</v>
      </c>
      <c r="K1854" t="s">
        <v>5109</v>
      </c>
      <c r="L1854" s="28" t="s">
        <v>5110</v>
      </c>
      <c r="M1854" t="s">
        <v>23</v>
      </c>
      <c r="N1854"/>
      <c r="O1854"/>
      <c r="P1854"/>
      <c r="Q1854"/>
      <c r="R1854"/>
      <c r="S1854"/>
    </row>
    <row r="1855" spans="1:19" x14ac:dyDescent="0.25">
      <c r="A1855" t="s">
        <v>193</v>
      </c>
      <c r="C1855" s="27" t="s">
        <v>34749</v>
      </c>
      <c r="D1855" s="28" t="s">
        <v>34867</v>
      </c>
      <c r="J1855" t="s">
        <v>5111</v>
      </c>
      <c r="K1855" t="s">
        <v>5112</v>
      </c>
      <c r="L1855" s="28" t="s">
        <v>5113</v>
      </c>
      <c r="M1855" t="s">
        <v>23</v>
      </c>
      <c r="N1855"/>
      <c r="O1855"/>
      <c r="P1855"/>
      <c r="Q1855"/>
      <c r="R1855"/>
      <c r="S1855"/>
    </row>
    <row r="1856" spans="1:19" x14ac:dyDescent="0.25">
      <c r="A1856" t="s">
        <v>193</v>
      </c>
      <c r="C1856" s="27" t="s">
        <v>34749</v>
      </c>
      <c r="D1856" s="28" t="s">
        <v>34867</v>
      </c>
      <c r="J1856" t="s">
        <v>5114</v>
      </c>
      <c r="K1856" t="s">
        <v>5115</v>
      </c>
      <c r="L1856" s="28" t="s">
        <v>5116</v>
      </c>
      <c r="M1856" t="s">
        <v>23</v>
      </c>
      <c r="N1856"/>
      <c r="O1856"/>
      <c r="P1856"/>
      <c r="Q1856"/>
      <c r="R1856"/>
      <c r="S1856"/>
    </row>
    <row r="1857" spans="1:19" x14ac:dyDescent="0.25">
      <c r="A1857" t="s">
        <v>193</v>
      </c>
      <c r="C1857" s="27" t="s">
        <v>34749</v>
      </c>
      <c r="D1857" s="28" t="s">
        <v>34867</v>
      </c>
      <c r="J1857" t="s">
        <v>5117</v>
      </c>
      <c r="K1857" t="s">
        <v>5118</v>
      </c>
      <c r="L1857" s="28" t="s">
        <v>5119</v>
      </c>
      <c r="M1857" t="s">
        <v>23</v>
      </c>
      <c r="N1857"/>
      <c r="O1857"/>
      <c r="P1857"/>
      <c r="Q1857"/>
      <c r="R1857"/>
      <c r="S1857"/>
    </row>
    <row r="1858" spans="1:19" x14ac:dyDescent="0.25">
      <c r="A1858" s="28" t="s">
        <v>14843</v>
      </c>
      <c r="J1858" t="s">
        <v>5120</v>
      </c>
      <c r="K1858" t="s">
        <v>5121</v>
      </c>
      <c r="M1858" t="s">
        <v>2820</v>
      </c>
      <c r="N1858"/>
      <c r="O1858"/>
      <c r="P1858"/>
      <c r="Q1858"/>
      <c r="R1858"/>
      <c r="S1858"/>
    </row>
    <row r="1859" spans="1:19" x14ac:dyDescent="0.25">
      <c r="A1859" t="s">
        <v>193</v>
      </c>
      <c r="C1859" s="27" t="s">
        <v>34749</v>
      </c>
      <c r="D1859" s="28" t="s">
        <v>34867</v>
      </c>
      <c r="J1859" t="s">
        <v>5122</v>
      </c>
      <c r="K1859" t="s">
        <v>5123</v>
      </c>
      <c r="L1859" s="28" t="s">
        <v>5124</v>
      </c>
      <c r="M1859" t="s">
        <v>23</v>
      </c>
      <c r="N1859"/>
      <c r="O1859"/>
      <c r="P1859"/>
      <c r="Q1859"/>
      <c r="R1859"/>
      <c r="S1859"/>
    </row>
    <row r="1860" spans="1:19" x14ac:dyDescent="0.25">
      <c r="A1860" t="s">
        <v>193</v>
      </c>
      <c r="C1860" s="27" t="s">
        <v>34749</v>
      </c>
      <c r="D1860" s="28" t="s">
        <v>34867</v>
      </c>
      <c r="J1860" t="s">
        <v>5125</v>
      </c>
      <c r="K1860" t="s">
        <v>5126</v>
      </c>
      <c r="L1860" s="28" t="s">
        <v>5127</v>
      </c>
      <c r="M1860" t="s">
        <v>23</v>
      </c>
      <c r="N1860"/>
      <c r="O1860"/>
      <c r="P1860"/>
      <c r="Q1860"/>
      <c r="R1860"/>
      <c r="S1860"/>
    </row>
    <row r="1861" spans="1:19" x14ac:dyDescent="0.25">
      <c r="A1861" t="s">
        <v>193</v>
      </c>
      <c r="C1861" s="27" t="s">
        <v>34749</v>
      </c>
      <c r="D1861" s="28" t="s">
        <v>34867</v>
      </c>
      <c r="J1861" t="s">
        <v>5128</v>
      </c>
      <c r="K1861" t="s">
        <v>5129</v>
      </c>
      <c r="L1861" s="28" t="s">
        <v>5130</v>
      </c>
      <c r="M1861" t="s">
        <v>23</v>
      </c>
      <c r="N1861"/>
      <c r="O1861"/>
      <c r="P1861"/>
      <c r="Q1861"/>
      <c r="R1861"/>
      <c r="S1861"/>
    </row>
    <row r="1862" spans="1:19" x14ac:dyDescent="0.25">
      <c r="A1862" t="s">
        <v>193</v>
      </c>
      <c r="C1862" s="27" t="s">
        <v>34749</v>
      </c>
      <c r="D1862" s="28" t="s">
        <v>34867</v>
      </c>
      <c r="I1862" t="str">
        <f>CONCATENATE(LEFT(K1862,SEARCH(" (",K1862))," | ", RIGHT(LEFT(K1862,LEN(K1862)-1),LEN(K1862)-2-FIND(" (",K1862)))</f>
        <v>hexachloorcyclopentadieen  | HCCPD</v>
      </c>
      <c r="J1862" t="s">
        <v>5131</v>
      </c>
      <c r="K1862" t="s">
        <v>5132</v>
      </c>
      <c r="L1862" s="28" t="s">
        <v>5133</v>
      </c>
      <c r="M1862" t="s">
        <v>23</v>
      </c>
      <c r="N1862"/>
      <c r="O1862"/>
      <c r="P1862"/>
      <c r="Q1862"/>
      <c r="R1862"/>
      <c r="S1862"/>
    </row>
    <row r="1863" spans="1:19" x14ac:dyDescent="0.25">
      <c r="A1863" t="s">
        <v>193</v>
      </c>
      <c r="C1863" s="27" t="s">
        <v>34749</v>
      </c>
      <c r="D1863" s="28" t="s">
        <v>34867</v>
      </c>
      <c r="J1863" t="s">
        <v>5134</v>
      </c>
      <c r="K1863" t="s">
        <v>5135</v>
      </c>
      <c r="L1863" s="28" t="s">
        <v>5136</v>
      </c>
      <c r="M1863" t="s">
        <v>23</v>
      </c>
      <c r="N1863"/>
      <c r="O1863"/>
      <c r="P1863"/>
      <c r="Q1863"/>
      <c r="R1863"/>
      <c r="S1863"/>
    </row>
    <row r="1864" spans="1:19" x14ac:dyDescent="0.25">
      <c r="A1864" t="s">
        <v>193</v>
      </c>
      <c r="C1864" s="27" t="s">
        <v>34749</v>
      </c>
      <c r="D1864" s="28" t="s">
        <v>34867</v>
      </c>
      <c r="J1864" t="s">
        <v>5137</v>
      </c>
      <c r="K1864" t="s">
        <v>5138</v>
      </c>
      <c r="L1864" s="28" t="s">
        <v>5139</v>
      </c>
      <c r="M1864" t="s">
        <v>23</v>
      </c>
      <c r="N1864"/>
      <c r="O1864"/>
      <c r="P1864"/>
      <c r="Q1864"/>
      <c r="R1864"/>
      <c r="S1864"/>
    </row>
    <row r="1865" spans="1:19" x14ac:dyDescent="0.25">
      <c r="A1865" t="s">
        <v>193</v>
      </c>
      <c r="C1865" s="27" t="s">
        <v>34749</v>
      </c>
      <c r="D1865" s="28" t="s">
        <v>34867</v>
      </c>
      <c r="J1865" t="s">
        <v>5140</v>
      </c>
      <c r="K1865" t="s">
        <v>5141</v>
      </c>
      <c r="L1865" s="28" t="s">
        <v>5142</v>
      </c>
      <c r="M1865" t="s">
        <v>23</v>
      </c>
      <c r="N1865"/>
      <c r="O1865"/>
      <c r="P1865"/>
      <c r="Q1865"/>
      <c r="R1865"/>
      <c r="S1865"/>
    </row>
    <row r="1866" spans="1:19" x14ac:dyDescent="0.25">
      <c r="A1866" t="s">
        <v>193</v>
      </c>
      <c r="C1866" s="27" t="s">
        <v>34749</v>
      </c>
      <c r="D1866" s="28" t="s">
        <v>34867</v>
      </c>
      <c r="J1866" t="s">
        <v>5143</v>
      </c>
      <c r="K1866" t="s">
        <v>5144</v>
      </c>
      <c r="L1866" s="28" t="s">
        <v>5145</v>
      </c>
      <c r="M1866" t="s">
        <v>23</v>
      </c>
      <c r="N1866"/>
      <c r="O1866"/>
      <c r="P1866"/>
      <c r="Q1866"/>
      <c r="R1866"/>
      <c r="S1866"/>
    </row>
    <row r="1867" spans="1:19" x14ac:dyDescent="0.25">
      <c r="A1867" t="s">
        <v>193</v>
      </c>
      <c r="C1867" s="27" t="s">
        <v>34749</v>
      </c>
      <c r="D1867" s="28" t="s">
        <v>34867</v>
      </c>
      <c r="J1867" t="s">
        <v>5146</v>
      </c>
      <c r="K1867" t="s">
        <v>5147</v>
      </c>
      <c r="L1867" s="28" t="s">
        <v>5148</v>
      </c>
      <c r="M1867" t="s">
        <v>23</v>
      </c>
      <c r="N1867"/>
      <c r="O1867"/>
      <c r="P1867"/>
      <c r="Q1867"/>
      <c r="R1867"/>
      <c r="S1867"/>
    </row>
    <row r="1868" spans="1:19" x14ac:dyDescent="0.25">
      <c r="A1868" t="s">
        <v>193</v>
      </c>
      <c r="C1868" s="27" t="s">
        <v>34749</v>
      </c>
      <c r="D1868" s="28" t="s">
        <v>34867</v>
      </c>
      <c r="J1868" t="s">
        <v>5149</v>
      </c>
      <c r="K1868" t="s">
        <v>5150</v>
      </c>
      <c r="L1868" s="28" t="s">
        <v>5151</v>
      </c>
      <c r="M1868" t="s">
        <v>23</v>
      </c>
      <c r="N1868"/>
      <c r="O1868"/>
      <c r="P1868"/>
      <c r="Q1868"/>
      <c r="R1868"/>
      <c r="S1868"/>
    </row>
    <row r="1869" spans="1:19" x14ac:dyDescent="0.25">
      <c r="A1869" t="s">
        <v>193</v>
      </c>
      <c r="C1869" s="27" t="s">
        <v>34749</v>
      </c>
      <c r="D1869" s="28" t="s">
        <v>34867</v>
      </c>
      <c r="J1869" t="s">
        <v>5152</v>
      </c>
      <c r="K1869" t="s">
        <v>5153</v>
      </c>
      <c r="L1869" s="28" t="s">
        <v>5154</v>
      </c>
      <c r="M1869" t="s">
        <v>23</v>
      </c>
      <c r="N1869"/>
      <c r="O1869"/>
      <c r="P1869"/>
      <c r="Q1869"/>
      <c r="R1869"/>
      <c r="S1869"/>
    </row>
    <row r="1870" spans="1:19" x14ac:dyDescent="0.25">
      <c r="A1870" t="s">
        <v>193</v>
      </c>
      <c r="C1870" s="27" t="s">
        <v>34749</v>
      </c>
      <c r="D1870" s="28" t="s">
        <v>34867</v>
      </c>
      <c r="J1870" t="s">
        <v>5155</v>
      </c>
      <c r="K1870" t="s">
        <v>5156</v>
      </c>
      <c r="L1870" s="28" t="s">
        <v>5157</v>
      </c>
      <c r="M1870" t="s">
        <v>23</v>
      </c>
      <c r="N1870"/>
      <c r="O1870"/>
      <c r="P1870"/>
      <c r="Q1870"/>
      <c r="R1870"/>
      <c r="S1870"/>
    </row>
    <row r="1871" spans="1:19" x14ac:dyDescent="0.25">
      <c r="A1871" t="s">
        <v>193</v>
      </c>
      <c r="C1871" s="27" t="s">
        <v>34749</v>
      </c>
      <c r="D1871" s="28" t="s">
        <v>34867</v>
      </c>
      <c r="J1871" t="s">
        <v>5158</v>
      </c>
      <c r="K1871" t="s">
        <v>5159</v>
      </c>
      <c r="L1871" s="28" t="s">
        <v>5160</v>
      </c>
      <c r="M1871" t="s">
        <v>23</v>
      </c>
      <c r="N1871"/>
      <c r="O1871"/>
      <c r="P1871"/>
      <c r="Q1871"/>
      <c r="R1871"/>
      <c r="S1871"/>
    </row>
    <row r="1872" spans="1:19" x14ac:dyDescent="0.25">
      <c r="A1872" t="s">
        <v>193</v>
      </c>
      <c r="C1872" s="27" t="s">
        <v>34749</v>
      </c>
      <c r="D1872" s="28" t="s">
        <v>34867</v>
      </c>
      <c r="J1872" t="s">
        <v>5161</v>
      </c>
      <c r="K1872" t="s">
        <v>5162</v>
      </c>
      <c r="L1872" s="28" t="s">
        <v>5163</v>
      </c>
      <c r="M1872" t="s">
        <v>23</v>
      </c>
      <c r="N1872"/>
      <c r="O1872"/>
      <c r="P1872"/>
      <c r="Q1872"/>
      <c r="R1872"/>
      <c r="S1872"/>
    </row>
    <row r="1873" spans="1:19" x14ac:dyDescent="0.25">
      <c r="A1873" t="s">
        <v>193</v>
      </c>
      <c r="C1873" s="27" t="s">
        <v>34749</v>
      </c>
      <c r="D1873" s="28" t="s">
        <v>34867</v>
      </c>
      <c r="J1873" t="s">
        <v>5164</v>
      </c>
      <c r="K1873" t="s">
        <v>5165</v>
      </c>
      <c r="L1873" s="28" t="s">
        <v>5166</v>
      </c>
      <c r="M1873" t="s">
        <v>23</v>
      </c>
      <c r="N1873"/>
      <c r="O1873"/>
      <c r="P1873"/>
      <c r="Q1873"/>
      <c r="R1873"/>
      <c r="S1873"/>
    </row>
    <row r="1874" spans="1:19" x14ac:dyDescent="0.25">
      <c r="A1874" t="s">
        <v>193</v>
      </c>
      <c r="C1874" s="27" t="s">
        <v>34749</v>
      </c>
      <c r="D1874" s="28" t="s">
        <v>34867</v>
      </c>
      <c r="J1874" t="s">
        <v>5167</v>
      </c>
      <c r="K1874" t="s">
        <v>5168</v>
      </c>
      <c r="L1874" s="28" t="s">
        <v>5169</v>
      </c>
      <c r="M1874" t="s">
        <v>23</v>
      </c>
      <c r="N1874"/>
      <c r="O1874"/>
      <c r="P1874"/>
      <c r="Q1874"/>
      <c r="R1874"/>
      <c r="S1874"/>
    </row>
    <row r="1875" spans="1:19" x14ac:dyDescent="0.25">
      <c r="A1875" t="s">
        <v>193</v>
      </c>
      <c r="C1875" s="27" t="s">
        <v>34749</v>
      </c>
      <c r="D1875" s="28" t="s">
        <v>34867</v>
      </c>
      <c r="J1875" t="s">
        <v>5170</v>
      </c>
      <c r="K1875" t="s">
        <v>5171</v>
      </c>
      <c r="L1875" s="28" t="s">
        <v>5172</v>
      </c>
      <c r="M1875" t="s">
        <v>23</v>
      </c>
      <c r="N1875"/>
      <c r="O1875"/>
      <c r="P1875"/>
      <c r="Q1875"/>
      <c r="R1875"/>
      <c r="S1875"/>
    </row>
    <row r="1876" spans="1:19" x14ac:dyDescent="0.25">
      <c r="A1876" t="s">
        <v>193</v>
      </c>
      <c r="C1876" s="27" t="s">
        <v>34749</v>
      </c>
      <c r="D1876" s="28" t="s">
        <v>34867</v>
      </c>
      <c r="J1876" t="s">
        <v>5173</v>
      </c>
      <c r="K1876" t="s">
        <v>5174</v>
      </c>
      <c r="L1876" s="28" t="s">
        <v>5175</v>
      </c>
      <c r="M1876" t="s">
        <v>23</v>
      </c>
      <c r="N1876"/>
      <c r="O1876"/>
      <c r="P1876"/>
      <c r="Q1876"/>
      <c r="R1876"/>
      <c r="S1876"/>
    </row>
    <row r="1877" spans="1:19" x14ac:dyDescent="0.25">
      <c r="A1877" t="s">
        <v>193</v>
      </c>
      <c r="C1877" s="27" t="s">
        <v>34749</v>
      </c>
      <c r="D1877" s="28" t="s">
        <v>34867</v>
      </c>
      <c r="J1877" t="s">
        <v>5176</v>
      </c>
      <c r="K1877" t="s">
        <v>5177</v>
      </c>
      <c r="L1877" s="28" t="s">
        <v>5178</v>
      </c>
      <c r="M1877" t="s">
        <v>23</v>
      </c>
      <c r="N1877"/>
      <c r="O1877"/>
      <c r="P1877"/>
      <c r="Q1877"/>
      <c r="R1877"/>
      <c r="S1877"/>
    </row>
    <row r="1878" spans="1:19" x14ac:dyDescent="0.25">
      <c r="A1878" t="s">
        <v>193</v>
      </c>
      <c r="C1878" s="27" t="s">
        <v>34749</v>
      </c>
      <c r="D1878" s="28" t="s">
        <v>34867</v>
      </c>
      <c r="J1878" t="s">
        <v>5179</v>
      </c>
      <c r="K1878" t="s">
        <v>5180</v>
      </c>
      <c r="L1878" s="28" t="s">
        <v>5181</v>
      </c>
      <c r="M1878" t="s">
        <v>23</v>
      </c>
      <c r="N1878"/>
      <c r="O1878"/>
      <c r="P1878"/>
      <c r="Q1878"/>
      <c r="R1878"/>
      <c r="S1878"/>
    </row>
    <row r="1879" spans="1:19" x14ac:dyDescent="0.25">
      <c r="A1879" t="s">
        <v>193</v>
      </c>
      <c r="C1879" s="27" t="s">
        <v>34749</v>
      </c>
      <c r="D1879" s="28" t="s">
        <v>34867</v>
      </c>
      <c r="J1879" t="s">
        <v>5182</v>
      </c>
      <c r="K1879" t="s">
        <v>5183</v>
      </c>
      <c r="L1879" s="28" t="s">
        <v>5184</v>
      </c>
      <c r="M1879" t="s">
        <v>23</v>
      </c>
      <c r="N1879"/>
      <c r="O1879"/>
      <c r="P1879"/>
      <c r="Q1879"/>
      <c r="R1879"/>
      <c r="S1879"/>
    </row>
    <row r="1880" spans="1:19" x14ac:dyDescent="0.25">
      <c r="A1880" t="s">
        <v>193</v>
      </c>
      <c r="C1880" s="27" t="s">
        <v>34749</v>
      </c>
      <c r="D1880" s="28" t="s">
        <v>34867</v>
      </c>
      <c r="J1880" t="s">
        <v>5185</v>
      </c>
      <c r="K1880" t="s">
        <v>5186</v>
      </c>
      <c r="L1880" s="28" t="s">
        <v>5187</v>
      </c>
      <c r="M1880" t="s">
        <v>23</v>
      </c>
      <c r="N1880"/>
      <c r="O1880"/>
      <c r="P1880"/>
      <c r="Q1880"/>
      <c r="R1880"/>
      <c r="S1880"/>
    </row>
    <row r="1881" spans="1:19" x14ac:dyDescent="0.25">
      <c r="A1881" t="s">
        <v>193</v>
      </c>
      <c r="C1881" s="27" t="s">
        <v>34749</v>
      </c>
      <c r="D1881" s="28" t="s">
        <v>34867</v>
      </c>
      <c r="J1881" t="s">
        <v>5188</v>
      </c>
      <c r="K1881" t="s">
        <v>5189</v>
      </c>
      <c r="L1881" s="28" t="s">
        <v>5190</v>
      </c>
      <c r="M1881" t="s">
        <v>23</v>
      </c>
      <c r="N1881"/>
      <c r="O1881"/>
      <c r="P1881"/>
      <c r="Q1881"/>
      <c r="R1881"/>
      <c r="S1881"/>
    </row>
    <row r="1882" spans="1:19" x14ac:dyDescent="0.25">
      <c r="A1882" t="s">
        <v>193</v>
      </c>
      <c r="C1882" s="27" t="s">
        <v>34749</v>
      </c>
      <c r="D1882" s="28" t="s">
        <v>34867</v>
      </c>
      <c r="J1882" t="s">
        <v>5191</v>
      </c>
      <c r="K1882" t="s">
        <v>5192</v>
      </c>
      <c r="L1882" s="28" t="s">
        <v>5193</v>
      </c>
      <c r="M1882" t="s">
        <v>23</v>
      </c>
      <c r="N1882"/>
      <c r="O1882"/>
      <c r="P1882"/>
      <c r="Q1882"/>
      <c r="R1882"/>
      <c r="S1882"/>
    </row>
    <row r="1883" spans="1:19" x14ac:dyDescent="0.25">
      <c r="A1883" t="s">
        <v>193</v>
      </c>
      <c r="C1883" s="27" t="s">
        <v>34749</v>
      </c>
      <c r="D1883" s="28" t="s">
        <v>34867</v>
      </c>
      <c r="J1883" t="s">
        <v>5194</v>
      </c>
      <c r="K1883" t="s">
        <v>5195</v>
      </c>
      <c r="L1883" s="28" t="s">
        <v>5196</v>
      </c>
      <c r="M1883" t="s">
        <v>23</v>
      </c>
      <c r="N1883"/>
      <c r="O1883"/>
      <c r="P1883"/>
      <c r="Q1883"/>
      <c r="R1883"/>
      <c r="S1883"/>
    </row>
    <row r="1884" spans="1:19" x14ac:dyDescent="0.25">
      <c r="A1884" t="s">
        <v>193</v>
      </c>
      <c r="C1884" s="27" t="s">
        <v>34749</v>
      </c>
      <c r="D1884" s="28" t="s">
        <v>34867</v>
      </c>
      <c r="J1884" t="s">
        <v>5197</v>
      </c>
      <c r="K1884" t="s">
        <v>5198</v>
      </c>
      <c r="L1884" s="28" t="s">
        <v>5199</v>
      </c>
      <c r="M1884" t="s">
        <v>23</v>
      </c>
      <c r="N1884"/>
      <c r="O1884"/>
      <c r="P1884"/>
      <c r="Q1884"/>
      <c r="R1884"/>
      <c r="S1884"/>
    </row>
    <row r="1885" spans="1:19" x14ac:dyDescent="0.25">
      <c r="A1885" t="s">
        <v>193</v>
      </c>
      <c r="C1885" s="27" t="s">
        <v>34749</v>
      </c>
      <c r="D1885" s="28" t="s">
        <v>34867</v>
      </c>
      <c r="J1885" t="s">
        <v>5200</v>
      </c>
      <c r="K1885" t="s">
        <v>5201</v>
      </c>
      <c r="L1885" s="28" t="s">
        <v>5202</v>
      </c>
      <c r="M1885" t="s">
        <v>23</v>
      </c>
      <c r="N1885"/>
      <c r="O1885"/>
      <c r="P1885"/>
      <c r="Q1885"/>
      <c r="R1885"/>
      <c r="S1885"/>
    </row>
    <row r="1886" spans="1:19" x14ac:dyDescent="0.25">
      <c r="A1886" t="s">
        <v>193</v>
      </c>
      <c r="C1886" s="27" t="s">
        <v>34749</v>
      </c>
      <c r="D1886" s="28" t="s">
        <v>34867</v>
      </c>
      <c r="J1886" t="s">
        <v>5203</v>
      </c>
      <c r="K1886" t="s">
        <v>5204</v>
      </c>
      <c r="L1886" s="28" t="s">
        <v>5205</v>
      </c>
      <c r="M1886" t="s">
        <v>23</v>
      </c>
      <c r="N1886"/>
      <c r="O1886"/>
      <c r="P1886"/>
      <c r="Q1886"/>
      <c r="R1886"/>
      <c r="S1886"/>
    </row>
    <row r="1887" spans="1:19" x14ac:dyDescent="0.25">
      <c r="A1887" t="s">
        <v>193</v>
      </c>
      <c r="C1887" s="27" t="s">
        <v>34749</v>
      </c>
      <c r="D1887" s="28" t="s">
        <v>34867</v>
      </c>
      <c r="J1887" t="s">
        <v>5206</v>
      </c>
      <c r="K1887" t="s">
        <v>5207</v>
      </c>
      <c r="L1887" s="28" t="s">
        <v>5208</v>
      </c>
      <c r="M1887" t="s">
        <v>23</v>
      </c>
      <c r="N1887"/>
      <c r="O1887"/>
      <c r="P1887"/>
      <c r="Q1887"/>
      <c r="R1887"/>
      <c r="S1887"/>
    </row>
    <row r="1888" spans="1:19" x14ac:dyDescent="0.25">
      <c r="A1888" t="s">
        <v>193</v>
      </c>
      <c r="C1888" s="27" t="s">
        <v>34749</v>
      </c>
      <c r="D1888" s="28" t="s">
        <v>34867</v>
      </c>
      <c r="J1888" t="s">
        <v>5209</v>
      </c>
      <c r="K1888" t="s">
        <v>5210</v>
      </c>
      <c r="L1888" s="28" t="s">
        <v>5211</v>
      </c>
      <c r="M1888" t="s">
        <v>23</v>
      </c>
      <c r="N1888"/>
      <c r="O1888"/>
      <c r="P1888"/>
      <c r="Q1888"/>
      <c r="R1888"/>
      <c r="S1888"/>
    </row>
    <row r="1889" spans="1:19" x14ac:dyDescent="0.25">
      <c r="A1889" t="s">
        <v>193</v>
      </c>
      <c r="C1889" s="27" t="s">
        <v>34749</v>
      </c>
      <c r="D1889" s="28" t="s">
        <v>34867</v>
      </c>
      <c r="J1889" t="s">
        <v>5212</v>
      </c>
      <c r="K1889" t="s">
        <v>5213</v>
      </c>
      <c r="L1889" s="28" t="s">
        <v>5214</v>
      </c>
      <c r="M1889" t="s">
        <v>23</v>
      </c>
      <c r="N1889"/>
      <c r="O1889"/>
      <c r="P1889"/>
      <c r="Q1889"/>
      <c r="R1889"/>
      <c r="S1889"/>
    </row>
    <row r="1890" spans="1:19" x14ac:dyDescent="0.25">
      <c r="A1890" t="s">
        <v>193</v>
      </c>
      <c r="C1890" s="27" t="s">
        <v>34749</v>
      </c>
      <c r="D1890" s="28" t="s">
        <v>34867</v>
      </c>
      <c r="J1890" t="s">
        <v>5215</v>
      </c>
      <c r="K1890" t="s">
        <v>5216</v>
      </c>
      <c r="L1890" s="28" t="s">
        <v>5217</v>
      </c>
      <c r="M1890" t="s">
        <v>23</v>
      </c>
      <c r="N1890"/>
      <c r="O1890"/>
      <c r="P1890"/>
      <c r="Q1890"/>
      <c r="R1890"/>
      <c r="S1890"/>
    </row>
    <row r="1891" spans="1:19" x14ac:dyDescent="0.25">
      <c r="A1891" t="s">
        <v>193</v>
      </c>
      <c r="C1891" s="27" t="s">
        <v>34749</v>
      </c>
      <c r="D1891" s="28" t="s">
        <v>34867</v>
      </c>
      <c r="J1891" t="s">
        <v>5218</v>
      </c>
      <c r="K1891" t="s">
        <v>5219</v>
      </c>
      <c r="L1891" s="28" t="s">
        <v>5220</v>
      </c>
      <c r="M1891" t="s">
        <v>23</v>
      </c>
      <c r="N1891"/>
      <c r="O1891"/>
      <c r="P1891"/>
      <c r="Q1891"/>
      <c r="R1891"/>
      <c r="S1891"/>
    </row>
    <row r="1892" spans="1:19" x14ac:dyDescent="0.25">
      <c r="A1892" s="28" t="s">
        <v>14843</v>
      </c>
      <c r="J1892" t="s">
        <v>5221</v>
      </c>
      <c r="K1892" t="s">
        <v>5222</v>
      </c>
      <c r="M1892" t="s">
        <v>2820</v>
      </c>
      <c r="N1892"/>
      <c r="O1892"/>
      <c r="P1892"/>
      <c r="Q1892"/>
      <c r="R1892"/>
      <c r="S1892"/>
    </row>
    <row r="1893" spans="1:19" x14ac:dyDescent="0.25">
      <c r="A1893" t="s">
        <v>193</v>
      </c>
      <c r="C1893" s="27" t="s">
        <v>34749</v>
      </c>
      <c r="D1893" s="28" t="s">
        <v>34867</v>
      </c>
      <c r="J1893" t="s">
        <v>5223</v>
      </c>
      <c r="K1893" t="s">
        <v>5224</v>
      </c>
      <c r="L1893" s="28" t="s">
        <v>5225</v>
      </c>
      <c r="M1893" t="s">
        <v>23</v>
      </c>
      <c r="N1893"/>
      <c r="O1893"/>
      <c r="P1893"/>
      <c r="Q1893"/>
      <c r="R1893"/>
      <c r="S1893"/>
    </row>
    <row r="1894" spans="1:19" x14ac:dyDescent="0.25">
      <c r="A1894" s="28" t="s">
        <v>14843</v>
      </c>
      <c r="J1894" t="s">
        <v>5226</v>
      </c>
      <c r="K1894" t="s">
        <v>5227</v>
      </c>
      <c r="M1894" t="s">
        <v>47</v>
      </c>
      <c r="N1894"/>
      <c r="O1894"/>
      <c r="P1894"/>
      <c r="Q1894"/>
      <c r="R1894"/>
      <c r="S1894"/>
    </row>
    <row r="1895" spans="1:19" x14ac:dyDescent="0.25">
      <c r="A1895" s="28" t="s">
        <v>14843</v>
      </c>
      <c r="J1895" t="s">
        <v>5228</v>
      </c>
      <c r="K1895" t="s">
        <v>5229</v>
      </c>
      <c r="M1895" t="s">
        <v>666</v>
      </c>
      <c r="N1895"/>
      <c r="O1895"/>
      <c r="P1895"/>
      <c r="Q1895"/>
      <c r="R1895"/>
      <c r="S1895"/>
    </row>
    <row r="1896" spans="1:19" x14ac:dyDescent="0.25">
      <c r="A1896" s="28" t="s">
        <v>14843</v>
      </c>
      <c r="J1896" t="s">
        <v>5230</v>
      </c>
      <c r="K1896" t="s">
        <v>5231</v>
      </c>
      <c r="M1896" t="s">
        <v>666</v>
      </c>
      <c r="N1896"/>
      <c r="O1896"/>
      <c r="P1896"/>
      <c r="Q1896"/>
      <c r="R1896"/>
      <c r="S1896"/>
    </row>
    <row r="1897" spans="1:19" x14ac:dyDescent="0.25">
      <c r="A1897" s="28" t="s">
        <v>14843</v>
      </c>
      <c r="J1897" t="s">
        <v>5232</v>
      </c>
      <c r="K1897" t="s">
        <v>5233</v>
      </c>
      <c r="M1897" t="s">
        <v>2820</v>
      </c>
      <c r="N1897"/>
      <c r="O1897"/>
      <c r="P1897"/>
      <c r="Q1897"/>
      <c r="R1897"/>
      <c r="S1897"/>
    </row>
    <row r="1898" spans="1:19" x14ac:dyDescent="0.25">
      <c r="A1898" t="s">
        <v>193</v>
      </c>
      <c r="C1898" s="27" t="s">
        <v>34749</v>
      </c>
      <c r="D1898" s="28" t="s">
        <v>34867</v>
      </c>
      <c r="J1898" t="s">
        <v>5234</v>
      </c>
      <c r="K1898" t="s">
        <v>5235</v>
      </c>
      <c r="L1898" s="28" t="s">
        <v>5236</v>
      </c>
      <c r="M1898" t="s">
        <v>23</v>
      </c>
      <c r="N1898"/>
      <c r="O1898"/>
      <c r="P1898"/>
      <c r="Q1898"/>
      <c r="R1898"/>
      <c r="S1898"/>
    </row>
    <row r="1899" spans="1:19" x14ac:dyDescent="0.25">
      <c r="A1899" t="s">
        <v>193</v>
      </c>
      <c r="C1899" s="27" t="s">
        <v>34749</v>
      </c>
      <c r="D1899" s="28" t="s">
        <v>34867</v>
      </c>
      <c r="J1899" t="s">
        <v>5237</v>
      </c>
      <c r="K1899" t="s">
        <v>471</v>
      </c>
      <c r="L1899" s="28" t="s">
        <v>5238</v>
      </c>
      <c r="M1899" t="s">
        <v>23</v>
      </c>
      <c r="N1899"/>
      <c r="O1899"/>
      <c r="P1899"/>
      <c r="Q1899"/>
      <c r="R1899"/>
      <c r="S1899"/>
    </row>
    <row r="1900" spans="1:19" x14ac:dyDescent="0.25">
      <c r="A1900" t="s">
        <v>193</v>
      </c>
      <c r="C1900" s="27" t="s">
        <v>34749</v>
      </c>
      <c r="D1900" s="28" t="s">
        <v>34867</v>
      </c>
      <c r="J1900" t="s">
        <v>5239</v>
      </c>
      <c r="K1900" t="s">
        <v>5240</v>
      </c>
      <c r="L1900" s="28" t="s">
        <v>5241</v>
      </c>
      <c r="M1900" t="s">
        <v>23</v>
      </c>
      <c r="N1900"/>
      <c r="O1900"/>
      <c r="P1900"/>
      <c r="Q1900"/>
      <c r="R1900"/>
      <c r="S1900"/>
    </row>
    <row r="1901" spans="1:19" x14ac:dyDescent="0.25">
      <c r="A1901" t="s">
        <v>193</v>
      </c>
      <c r="C1901" s="27" t="s">
        <v>34749</v>
      </c>
      <c r="D1901" s="28" t="s">
        <v>34867</v>
      </c>
      <c r="J1901" t="s">
        <v>5242</v>
      </c>
      <c r="K1901" t="s">
        <v>5243</v>
      </c>
      <c r="L1901" s="28" t="s">
        <v>5244</v>
      </c>
      <c r="M1901" t="s">
        <v>23</v>
      </c>
      <c r="N1901"/>
      <c r="O1901"/>
      <c r="P1901"/>
      <c r="Q1901"/>
      <c r="R1901"/>
      <c r="S1901"/>
    </row>
    <row r="1902" spans="1:19" x14ac:dyDescent="0.25">
      <c r="A1902" s="28" t="s">
        <v>14843</v>
      </c>
      <c r="J1902" t="s">
        <v>5245</v>
      </c>
      <c r="K1902" t="s">
        <v>5246</v>
      </c>
      <c r="M1902" t="s">
        <v>47</v>
      </c>
      <c r="N1902"/>
      <c r="O1902"/>
      <c r="P1902"/>
      <c r="Q1902"/>
      <c r="R1902"/>
      <c r="S1902"/>
    </row>
    <row r="1903" spans="1:19" x14ac:dyDescent="0.25">
      <c r="A1903" t="s">
        <v>193</v>
      </c>
      <c r="C1903" s="27" t="s">
        <v>34749</v>
      </c>
      <c r="D1903" s="28" t="s">
        <v>34867</v>
      </c>
      <c r="I1903" t="str">
        <f>CONCATENATE(LEFT(K1903,SEARCH(" (",K1903))," | ", RIGHT(LEFT(K1903,LEN(K1903)-1),LEN(K1903)-2-FIND(" (",K1903)))</f>
        <v>hexahydrohexamethylcyclopentabenzopyran  | HHCB</v>
      </c>
      <c r="J1903" t="s">
        <v>5247</v>
      </c>
      <c r="K1903" t="s">
        <v>5248</v>
      </c>
      <c r="L1903" s="28" t="s">
        <v>5249</v>
      </c>
      <c r="M1903" t="s">
        <v>23</v>
      </c>
      <c r="N1903"/>
      <c r="O1903"/>
      <c r="P1903"/>
      <c r="Q1903"/>
      <c r="R1903"/>
      <c r="S1903"/>
    </row>
    <row r="1904" spans="1:19" x14ac:dyDescent="0.25">
      <c r="A1904" s="28" t="s">
        <v>14843</v>
      </c>
      <c r="J1904" t="s">
        <v>5250</v>
      </c>
      <c r="K1904" t="s">
        <v>5251</v>
      </c>
      <c r="M1904" t="s">
        <v>47</v>
      </c>
      <c r="N1904"/>
      <c r="O1904"/>
      <c r="P1904"/>
      <c r="Q1904"/>
      <c r="R1904"/>
      <c r="S1904"/>
    </row>
    <row r="1905" spans="1:19" x14ac:dyDescent="0.25">
      <c r="A1905" s="28" t="s">
        <v>14843</v>
      </c>
      <c r="J1905" t="s">
        <v>5252</v>
      </c>
      <c r="K1905" t="s">
        <v>5253</v>
      </c>
      <c r="M1905" t="s">
        <v>2820</v>
      </c>
      <c r="N1905"/>
      <c r="O1905"/>
      <c r="P1905"/>
      <c r="Q1905"/>
      <c r="R1905"/>
      <c r="S1905"/>
    </row>
    <row r="1906" spans="1:19" x14ac:dyDescent="0.25">
      <c r="A1906" s="28" t="s">
        <v>14843</v>
      </c>
      <c r="J1906" t="s">
        <v>5254</v>
      </c>
      <c r="K1906" t="s">
        <v>5255</v>
      </c>
      <c r="M1906" t="s">
        <v>2820</v>
      </c>
      <c r="N1906"/>
      <c r="O1906"/>
      <c r="P1906"/>
      <c r="Q1906"/>
      <c r="R1906"/>
      <c r="S1906"/>
    </row>
    <row r="1907" spans="1:19" x14ac:dyDescent="0.25">
      <c r="A1907" s="28" t="s">
        <v>14843</v>
      </c>
      <c r="J1907" t="s">
        <v>5256</v>
      </c>
      <c r="K1907" t="s">
        <v>5257</v>
      </c>
      <c r="M1907" t="s">
        <v>2820</v>
      </c>
      <c r="N1907"/>
      <c r="O1907"/>
      <c r="P1907"/>
      <c r="Q1907"/>
      <c r="R1907"/>
      <c r="S1907"/>
    </row>
    <row r="1908" spans="1:19" x14ac:dyDescent="0.25">
      <c r="A1908" s="28" t="s">
        <v>14843</v>
      </c>
      <c r="J1908" t="s">
        <v>5258</v>
      </c>
      <c r="K1908" t="s">
        <v>5259</v>
      </c>
      <c r="M1908" t="s">
        <v>2820</v>
      </c>
      <c r="N1908"/>
      <c r="O1908"/>
      <c r="P1908"/>
      <c r="Q1908"/>
      <c r="R1908"/>
      <c r="S1908"/>
    </row>
    <row r="1909" spans="1:19" x14ac:dyDescent="0.25">
      <c r="A1909" s="28" t="s">
        <v>14843</v>
      </c>
      <c r="J1909" t="s">
        <v>5260</v>
      </c>
      <c r="K1909" t="s">
        <v>5261</v>
      </c>
      <c r="M1909" t="s">
        <v>2820</v>
      </c>
      <c r="N1909"/>
      <c r="O1909"/>
      <c r="P1909"/>
      <c r="Q1909"/>
      <c r="R1909"/>
      <c r="S1909"/>
    </row>
    <row r="1910" spans="1:19" x14ac:dyDescent="0.25">
      <c r="A1910" t="s">
        <v>193</v>
      </c>
      <c r="C1910" s="27" t="s">
        <v>34749</v>
      </c>
      <c r="D1910" s="28" t="s">
        <v>34867</v>
      </c>
      <c r="J1910" t="s">
        <v>5262</v>
      </c>
      <c r="K1910" t="s">
        <v>5263</v>
      </c>
      <c r="L1910" s="28" t="s">
        <v>5264</v>
      </c>
      <c r="M1910" t="s">
        <v>23</v>
      </c>
      <c r="N1910"/>
      <c r="O1910"/>
      <c r="P1910"/>
      <c r="Q1910"/>
      <c r="R1910"/>
      <c r="S1910"/>
    </row>
    <row r="1911" spans="1:19" x14ac:dyDescent="0.25">
      <c r="A1911" t="s">
        <v>193</v>
      </c>
      <c r="C1911" s="27" t="s">
        <v>34749</v>
      </c>
      <c r="D1911" s="28" t="s">
        <v>34867</v>
      </c>
      <c r="J1911" t="s">
        <v>5265</v>
      </c>
      <c r="K1911" t="s">
        <v>5266</v>
      </c>
      <c r="L1911" s="28" t="s">
        <v>5267</v>
      </c>
      <c r="M1911" t="s">
        <v>23</v>
      </c>
      <c r="N1911"/>
      <c r="O1911"/>
      <c r="P1911"/>
      <c r="Q1911"/>
      <c r="R1911"/>
      <c r="S1911"/>
    </row>
    <row r="1912" spans="1:19" x14ac:dyDescent="0.25">
      <c r="A1912" s="28" t="s">
        <v>14843</v>
      </c>
      <c r="J1912" t="s">
        <v>5268</v>
      </c>
      <c r="K1912" t="s">
        <v>5269</v>
      </c>
      <c r="M1912" t="s">
        <v>47</v>
      </c>
      <c r="N1912"/>
      <c r="O1912"/>
      <c r="P1912"/>
      <c r="Q1912"/>
      <c r="R1912"/>
      <c r="S1912"/>
    </row>
    <row r="1913" spans="1:19" x14ac:dyDescent="0.25">
      <c r="A1913" s="28" t="s">
        <v>14843</v>
      </c>
      <c r="J1913" t="s">
        <v>5270</v>
      </c>
      <c r="K1913" t="s">
        <v>5271</v>
      </c>
      <c r="M1913" t="s">
        <v>47</v>
      </c>
      <c r="N1913"/>
      <c r="O1913"/>
      <c r="P1913"/>
      <c r="Q1913"/>
      <c r="R1913"/>
      <c r="S1913"/>
    </row>
    <row r="1914" spans="1:19" x14ac:dyDescent="0.25">
      <c r="A1914" s="28" t="s">
        <v>14843</v>
      </c>
      <c r="J1914" t="s">
        <v>5272</v>
      </c>
      <c r="K1914" t="s">
        <v>5273</v>
      </c>
      <c r="M1914" t="s">
        <v>47</v>
      </c>
      <c r="N1914"/>
      <c r="O1914"/>
      <c r="P1914"/>
      <c r="Q1914"/>
      <c r="R1914"/>
      <c r="S1914"/>
    </row>
    <row r="1915" spans="1:19" x14ac:dyDescent="0.25">
      <c r="A1915" s="28" t="s">
        <v>14843</v>
      </c>
      <c r="J1915" t="s">
        <v>5274</v>
      </c>
      <c r="K1915" t="s">
        <v>5275</v>
      </c>
      <c r="M1915" t="s">
        <v>47</v>
      </c>
      <c r="N1915"/>
      <c r="O1915"/>
      <c r="P1915"/>
      <c r="Q1915"/>
      <c r="R1915"/>
      <c r="S1915"/>
    </row>
    <row r="1916" spans="1:19" x14ac:dyDescent="0.25">
      <c r="A1916" t="s">
        <v>193</v>
      </c>
      <c r="C1916" s="27" t="s">
        <v>34749</v>
      </c>
      <c r="D1916" s="28" t="s">
        <v>34867</v>
      </c>
      <c r="J1916" t="s">
        <v>5276</v>
      </c>
      <c r="K1916" t="s">
        <v>5277</v>
      </c>
      <c r="L1916" s="28" t="s">
        <v>5278</v>
      </c>
      <c r="M1916" t="s">
        <v>23</v>
      </c>
      <c r="N1916"/>
      <c r="O1916"/>
      <c r="P1916"/>
      <c r="Q1916"/>
      <c r="R1916"/>
      <c r="S1916"/>
    </row>
    <row r="1917" spans="1:19" x14ac:dyDescent="0.25">
      <c r="A1917" s="28" t="s">
        <v>14843</v>
      </c>
      <c r="J1917" t="s">
        <v>5279</v>
      </c>
      <c r="K1917" t="s">
        <v>5280</v>
      </c>
      <c r="M1917" t="s">
        <v>47</v>
      </c>
      <c r="N1917"/>
      <c r="O1917"/>
      <c r="P1917"/>
      <c r="Q1917"/>
      <c r="R1917"/>
      <c r="S1917"/>
    </row>
    <row r="1918" spans="1:19" x14ac:dyDescent="0.25">
      <c r="A1918" t="s">
        <v>193</v>
      </c>
      <c r="C1918" s="27" t="s">
        <v>34749</v>
      </c>
      <c r="D1918" s="28" t="s">
        <v>34867</v>
      </c>
      <c r="J1918" t="s">
        <v>5281</v>
      </c>
      <c r="K1918" t="s">
        <v>5282</v>
      </c>
      <c r="L1918" s="28" t="s">
        <v>5283</v>
      </c>
      <c r="M1918" t="s">
        <v>23</v>
      </c>
      <c r="N1918"/>
      <c r="O1918"/>
      <c r="P1918"/>
      <c r="Q1918"/>
      <c r="R1918"/>
      <c r="S1918"/>
    </row>
    <row r="1919" spans="1:19" x14ac:dyDescent="0.25">
      <c r="A1919" s="27" t="s">
        <v>193</v>
      </c>
      <c r="C1919" s="27" t="s">
        <v>34749</v>
      </c>
      <c r="D1919" s="28" t="s">
        <v>34867</v>
      </c>
      <c r="J1919" t="s">
        <v>5284</v>
      </c>
      <c r="K1919" t="s">
        <v>5285</v>
      </c>
      <c r="M1919" t="s">
        <v>666</v>
      </c>
      <c r="N1919"/>
      <c r="O1919"/>
      <c r="P1919"/>
      <c r="Q1919"/>
      <c r="R1919"/>
      <c r="S1919"/>
    </row>
    <row r="1920" spans="1:19" x14ac:dyDescent="0.25">
      <c r="A1920" s="27" t="s">
        <v>193</v>
      </c>
      <c r="C1920" s="27" t="s">
        <v>34749</v>
      </c>
      <c r="D1920" s="28" t="s">
        <v>34867</v>
      </c>
      <c r="J1920" t="s">
        <v>5286</v>
      </c>
      <c r="K1920" t="s">
        <v>5287</v>
      </c>
      <c r="M1920" t="s">
        <v>666</v>
      </c>
      <c r="N1920"/>
      <c r="O1920"/>
      <c r="P1920"/>
      <c r="Q1920"/>
      <c r="R1920"/>
      <c r="S1920"/>
    </row>
    <row r="1921" spans="1:19" x14ac:dyDescent="0.25">
      <c r="A1921" s="28" t="s">
        <v>14843</v>
      </c>
      <c r="J1921" t="s">
        <v>5288</v>
      </c>
      <c r="K1921" t="s">
        <v>5289</v>
      </c>
      <c r="M1921" t="s">
        <v>666</v>
      </c>
      <c r="N1921"/>
      <c r="O1921"/>
      <c r="P1921"/>
      <c r="Q1921"/>
      <c r="R1921"/>
      <c r="S1921"/>
    </row>
    <row r="1922" spans="1:19" x14ac:dyDescent="0.25">
      <c r="A1922" t="s">
        <v>193</v>
      </c>
      <c r="C1922" s="27" t="s">
        <v>34749</v>
      </c>
      <c r="D1922" s="28" t="s">
        <v>34867</v>
      </c>
      <c r="J1922" t="s">
        <v>5290</v>
      </c>
      <c r="K1922" t="s">
        <v>5291</v>
      </c>
      <c r="L1922" s="28" t="s">
        <v>5292</v>
      </c>
      <c r="M1922" t="s">
        <v>23</v>
      </c>
      <c r="N1922"/>
      <c r="O1922"/>
      <c r="P1922"/>
      <c r="Q1922"/>
      <c r="R1922"/>
      <c r="S1922"/>
    </row>
    <row r="1923" spans="1:19" x14ac:dyDescent="0.25">
      <c r="A1923" t="s">
        <v>193</v>
      </c>
      <c r="C1923" s="27" t="s">
        <v>34749</v>
      </c>
      <c r="D1923" s="28" t="s">
        <v>34867</v>
      </c>
      <c r="J1923" t="s">
        <v>5293</v>
      </c>
      <c r="K1923" t="s">
        <v>5294</v>
      </c>
      <c r="L1923" s="28" t="s">
        <v>5295</v>
      </c>
      <c r="M1923" t="s">
        <v>23</v>
      </c>
      <c r="N1923"/>
      <c r="O1923"/>
      <c r="P1923"/>
      <c r="Q1923"/>
      <c r="R1923"/>
      <c r="S1923"/>
    </row>
    <row r="1924" spans="1:19" x14ac:dyDescent="0.25">
      <c r="A1924" s="28" t="s">
        <v>14843</v>
      </c>
      <c r="J1924" t="s">
        <v>5296</v>
      </c>
      <c r="K1924" t="s">
        <v>5297</v>
      </c>
      <c r="M1924" t="s">
        <v>47</v>
      </c>
      <c r="N1924"/>
      <c r="O1924"/>
      <c r="P1924"/>
      <c r="Q1924"/>
      <c r="R1924"/>
      <c r="S1924"/>
    </row>
    <row r="1925" spans="1:19" x14ac:dyDescent="0.25">
      <c r="A1925" s="28" t="s">
        <v>14843</v>
      </c>
      <c r="J1925" t="s">
        <v>5298</v>
      </c>
      <c r="K1925" t="s">
        <v>5299</v>
      </c>
      <c r="M1925" t="s">
        <v>47</v>
      </c>
      <c r="N1925"/>
      <c r="O1925"/>
      <c r="P1925"/>
      <c r="Q1925"/>
      <c r="R1925"/>
      <c r="S1925"/>
    </row>
    <row r="1926" spans="1:19" x14ac:dyDescent="0.25">
      <c r="A1926" t="s">
        <v>193</v>
      </c>
      <c r="C1926" s="27" t="s">
        <v>34749</v>
      </c>
      <c r="D1926" s="28" t="s">
        <v>34867</v>
      </c>
      <c r="J1926" t="s">
        <v>5300</v>
      </c>
      <c r="K1926" t="s">
        <v>5301</v>
      </c>
      <c r="L1926" s="28" t="s">
        <v>5302</v>
      </c>
      <c r="M1926" t="s">
        <v>23</v>
      </c>
      <c r="N1926"/>
      <c r="O1926"/>
      <c r="P1926"/>
      <c r="Q1926"/>
      <c r="R1926"/>
      <c r="S1926"/>
    </row>
    <row r="1927" spans="1:19" x14ac:dyDescent="0.25">
      <c r="A1927" t="s">
        <v>193</v>
      </c>
      <c r="C1927" s="27" t="s">
        <v>34749</v>
      </c>
      <c r="D1927" s="28" t="s">
        <v>34867</v>
      </c>
      <c r="J1927" t="s">
        <v>5303</v>
      </c>
      <c r="K1927" t="s">
        <v>5304</v>
      </c>
      <c r="L1927" s="28" t="s">
        <v>5305</v>
      </c>
      <c r="M1927" t="s">
        <v>23</v>
      </c>
      <c r="N1927"/>
      <c r="O1927"/>
      <c r="P1927"/>
      <c r="Q1927"/>
      <c r="R1927"/>
      <c r="S1927"/>
    </row>
    <row r="1928" spans="1:19" x14ac:dyDescent="0.25">
      <c r="A1928" t="s">
        <v>193</v>
      </c>
      <c r="C1928" s="27" t="s">
        <v>34749</v>
      </c>
      <c r="D1928" s="28" t="s">
        <v>34867</v>
      </c>
      <c r="J1928" t="s">
        <v>5306</v>
      </c>
      <c r="K1928" t="s">
        <v>5307</v>
      </c>
      <c r="L1928" s="28" t="s">
        <v>5308</v>
      </c>
      <c r="M1928" t="s">
        <v>23</v>
      </c>
      <c r="N1928"/>
      <c r="O1928"/>
      <c r="P1928"/>
      <c r="Q1928"/>
      <c r="R1928"/>
      <c r="S1928"/>
    </row>
    <row r="1929" spans="1:19" x14ac:dyDescent="0.25">
      <c r="A1929" t="s">
        <v>193</v>
      </c>
      <c r="C1929" s="27" t="s">
        <v>34749</v>
      </c>
      <c r="D1929" s="28" t="s">
        <v>34867</v>
      </c>
      <c r="J1929" t="s">
        <v>5309</v>
      </c>
      <c r="K1929" t="s">
        <v>5310</v>
      </c>
      <c r="L1929" s="28" t="s">
        <v>5311</v>
      </c>
      <c r="M1929" t="s">
        <v>23</v>
      </c>
      <c r="N1929"/>
      <c r="O1929"/>
      <c r="P1929"/>
      <c r="Q1929"/>
      <c r="R1929"/>
      <c r="S1929"/>
    </row>
    <row r="1930" spans="1:19" x14ac:dyDescent="0.25">
      <c r="A1930" t="s">
        <v>193</v>
      </c>
      <c r="C1930" s="27" t="s">
        <v>34749</v>
      </c>
      <c r="D1930" s="28" t="s">
        <v>34867</v>
      </c>
      <c r="J1930" t="s">
        <v>5312</v>
      </c>
      <c r="K1930" t="s">
        <v>5313</v>
      </c>
      <c r="L1930" s="28" t="s">
        <v>5314</v>
      </c>
      <c r="M1930" t="s">
        <v>23</v>
      </c>
      <c r="N1930"/>
      <c r="O1930"/>
      <c r="P1930"/>
      <c r="Q1930"/>
      <c r="R1930"/>
      <c r="S1930"/>
    </row>
    <row r="1931" spans="1:19" x14ac:dyDescent="0.25">
      <c r="A1931" t="s">
        <v>193</v>
      </c>
      <c r="C1931" s="27" t="s">
        <v>34749</v>
      </c>
      <c r="D1931" s="28" t="s">
        <v>34867</v>
      </c>
      <c r="J1931" t="s">
        <v>5315</v>
      </c>
      <c r="K1931" t="s">
        <v>5316</v>
      </c>
      <c r="L1931" s="28" t="s">
        <v>5317</v>
      </c>
      <c r="M1931" t="s">
        <v>23</v>
      </c>
      <c r="N1931"/>
      <c r="O1931"/>
      <c r="P1931"/>
      <c r="Q1931"/>
      <c r="R1931"/>
      <c r="S1931"/>
    </row>
    <row r="1932" spans="1:19" x14ac:dyDescent="0.25">
      <c r="A1932" t="s">
        <v>193</v>
      </c>
      <c r="C1932" s="27" t="s">
        <v>34749</v>
      </c>
      <c r="D1932" s="28" t="s">
        <v>34867</v>
      </c>
      <c r="J1932" t="s">
        <v>5318</v>
      </c>
      <c r="K1932" t="s">
        <v>5319</v>
      </c>
      <c r="L1932" s="28" t="s">
        <v>5320</v>
      </c>
      <c r="M1932" t="s">
        <v>23</v>
      </c>
      <c r="N1932"/>
      <c r="O1932"/>
      <c r="P1932"/>
      <c r="Q1932"/>
      <c r="R1932"/>
      <c r="S1932"/>
    </row>
    <row r="1933" spans="1:19" x14ac:dyDescent="0.25">
      <c r="A1933" t="s">
        <v>193</v>
      </c>
      <c r="C1933" s="27" t="s">
        <v>34749</v>
      </c>
      <c r="D1933" s="28" t="s">
        <v>34867</v>
      </c>
      <c r="J1933" t="s">
        <v>5321</v>
      </c>
      <c r="K1933" t="s">
        <v>5322</v>
      </c>
      <c r="L1933" s="28" t="s">
        <v>5323</v>
      </c>
      <c r="M1933" t="s">
        <v>23</v>
      </c>
      <c r="N1933"/>
      <c r="O1933"/>
      <c r="P1933"/>
      <c r="Q1933"/>
      <c r="R1933"/>
      <c r="S1933"/>
    </row>
    <row r="1934" spans="1:19" x14ac:dyDescent="0.25">
      <c r="A1934" t="s">
        <v>193</v>
      </c>
      <c r="C1934" s="27" t="s">
        <v>34749</v>
      </c>
      <c r="D1934" s="28" t="s">
        <v>34867</v>
      </c>
      <c r="J1934" t="s">
        <v>5324</v>
      </c>
      <c r="K1934" t="s">
        <v>5325</v>
      </c>
      <c r="L1934" s="28" t="s">
        <v>5326</v>
      </c>
      <c r="M1934" t="s">
        <v>23</v>
      </c>
      <c r="N1934"/>
      <c r="O1934"/>
      <c r="P1934"/>
      <c r="Q1934"/>
      <c r="R1934"/>
      <c r="S1934"/>
    </row>
    <row r="1935" spans="1:19" x14ac:dyDescent="0.25">
      <c r="A1935" t="s">
        <v>193</v>
      </c>
      <c r="C1935" s="27" t="s">
        <v>34749</v>
      </c>
      <c r="D1935" s="28" t="s">
        <v>34867</v>
      </c>
      <c r="J1935" t="s">
        <v>5327</v>
      </c>
      <c r="K1935" t="s">
        <v>5328</v>
      </c>
      <c r="L1935" s="28" t="s">
        <v>5329</v>
      </c>
      <c r="M1935" t="s">
        <v>23</v>
      </c>
      <c r="N1935"/>
      <c r="O1935"/>
      <c r="P1935"/>
      <c r="Q1935"/>
      <c r="R1935"/>
      <c r="S1935"/>
    </row>
    <row r="1936" spans="1:19" x14ac:dyDescent="0.25">
      <c r="A1936" t="s">
        <v>193</v>
      </c>
      <c r="C1936" s="27" t="s">
        <v>34749</v>
      </c>
      <c r="D1936" s="28" t="s">
        <v>34867</v>
      </c>
      <c r="J1936" t="s">
        <v>5330</v>
      </c>
      <c r="K1936" t="s">
        <v>5331</v>
      </c>
      <c r="L1936" s="28" t="s">
        <v>5332</v>
      </c>
      <c r="M1936" t="s">
        <v>23</v>
      </c>
      <c r="N1936"/>
      <c r="O1936"/>
      <c r="P1936"/>
      <c r="Q1936"/>
      <c r="R1936"/>
      <c r="S1936"/>
    </row>
    <row r="1937" spans="1:19" x14ac:dyDescent="0.25">
      <c r="A1937" t="s">
        <v>193</v>
      </c>
      <c r="C1937" s="27" t="s">
        <v>34749</v>
      </c>
      <c r="D1937" s="28" t="s">
        <v>34867</v>
      </c>
      <c r="J1937" t="s">
        <v>5333</v>
      </c>
      <c r="K1937" t="s">
        <v>5334</v>
      </c>
      <c r="L1937" s="28" t="s">
        <v>5335</v>
      </c>
      <c r="M1937" t="s">
        <v>23</v>
      </c>
      <c r="N1937"/>
      <c r="O1937"/>
      <c r="P1937"/>
      <c r="Q1937"/>
      <c r="R1937"/>
      <c r="S1937"/>
    </row>
    <row r="1938" spans="1:19" x14ac:dyDescent="0.25">
      <c r="A1938" t="s">
        <v>193</v>
      </c>
      <c r="C1938" s="27" t="s">
        <v>34749</v>
      </c>
      <c r="D1938" s="28" t="s">
        <v>34867</v>
      </c>
      <c r="J1938" t="s">
        <v>5336</v>
      </c>
      <c r="K1938" t="s">
        <v>5337</v>
      </c>
      <c r="L1938" s="28" t="s">
        <v>5338</v>
      </c>
      <c r="M1938" t="s">
        <v>23</v>
      </c>
      <c r="N1938"/>
      <c r="O1938"/>
      <c r="P1938"/>
      <c r="Q1938"/>
      <c r="R1938"/>
      <c r="S1938"/>
    </row>
    <row r="1939" spans="1:19" x14ac:dyDescent="0.25">
      <c r="A1939" t="s">
        <v>193</v>
      </c>
      <c r="C1939" s="27" t="s">
        <v>34749</v>
      </c>
      <c r="D1939" s="28" t="s">
        <v>34867</v>
      </c>
      <c r="J1939" t="s">
        <v>5339</v>
      </c>
      <c r="K1939" t="s">
        <v>5340</v>
      </c>
      <c r="L1939" s="28" t="s">
        <v>5341</v>
      </c>
      <c r="M1939" t="s">
        <v>23</v>
      </c>
      <c r="N1939"/>
      <c r="O1939"/>
      <c r="P1939"/>
      <c r="Q1939"/>
      <c r="R1939"/>
      <c r="S1939"/>
    </row>
    <row r="1940" spans="1:19" x14ac:dyDescent="0.25">
      <c r="A1940" t="s">
        <v>193</v>
      </c>
      <c r="C1940" s="27" t="s">
        <v>34749</v>
      </c>
      <c r="D1940" s="28" t="s">
        <v>34867</v>
      </c>
      <c r="J1940" t="s">
        <v>5342</v>
      </c>
      <c r="K1940" t="s">
        <v>5343</v>
      </c>
      <c r="L1940" s="28" t="s">
        <v>5344</v>
      </c>
      <c r="M1940" t="s">
        <v>23</v>
      </c>
      <c r="N1940"/>
      <c r="O1940"/>
      <c r="P1940"/>
      <c r="Q1940"/>
      <c r="R1940"/>
      <c r="S1940"/>
    </row>
    <row r="1941" spans="1:19" x14ac:dyDescent="0.25">
      <c r="A1941" t="s">
        <v>193</v>
      </c>
      <c r="C1941" s="27" t="s">
        <v>34749</v>
      </c>
      <c r="D1941" s="28" t="s">
        <v>34867</v>
      </c>
      <c r="J1941" t="s">
        <v>5345</v>
      </c>
      <c r="K1941" t="s">
        <v>5346</v>
      </c>
      <c r="L1941" s="28" t="s">
        <v>5347</v>
      </c>
      <c r="M1941" t="s">
        <v>23</v>
      </c>
      <c r="N1941"/>
      <c r="O1941"/>
      <c r="P1941"/>
      <c r="Q1941"/>
      <c r="R1941"/>
      <c r="S1941"/>
    </row>
    <row r="1942" spans="1:19" x14ac:dyDescent="0.25">
      <c r="A1942" t="s">
        <v>193</v>
      </c>
      <c r="C1942" s="27" t="s">
        <v>34749</v>
      </c>
      <c r="D1942" s="28" t="s">
        <v>34867</v>
      </c>
      <c r="J1942" t="s">
        <v>5348</v>
      </c>
      <c r="K1942" t="s">
        <v>5349</v>
      </c>
      <c r="L1942" s="28" t="s">
        <v>5350</v>
      </c>
      <c r="M1942" t="s">
        <v>23</v>
      </c>
      <c r="N1942"/>
      <c r="O1942"/>
      <c r="P1942"/>
      <c r="Q1942"/>
      <c r="R1942"/>
      <c r="S1942"/>
    </row>
    <row r="1943" spans="1:19" x14ac:dyDescent="0.25">
      <c r="A1943" t="s">
        <v>193</v>
      </c>
      <c r="C1943" s="27" t="s">
        <v>34749</v>
      </c>
      <c r="D1943" s="28" t="s">
        <v>34867</v>
      </c>
      <c r="J1943" t="s">
        <v>5351</v>
      </c>
      <c r="K1943" t="s">
        <v>5352</v>
      </c>
      <c r="L1943" s="28" t="s">
        <v>5353</v>
      </c>
      <c r="M1943" t="s">
        <v>23</v>
      </c>
      <c r="N1943"/>
      <c r="O1943"/>
      <c r="P1943"/>
      <c r="Q1943"/>
      <c r="R1943"/>
      <c r="S1943"/>
    </row>
    <row r="1944" spans="1:19" x14ac:dyDescent="0.25">
      <c r="A1944" t="s">
        <v>193</v>
      </c>
      <c r="C1944" s="27" t="s">
        <v>34749</v>
      </c>
      <c r="D1944" s="28" t="s">
        <v>34867</v>
      </c>
      <c r="J1944" t="s">
        <v>5354</v>
      </c>
      <c r="K1944" t="s">
        <v>5355</v>
      </c>
      <c r="L1944" s="28" t="s">
        <v>5356</v>
      </c>
      <c r="M1944" t="s">
        <v>23</v>
      </c>
      <c r="N1944"/>
      <c r="O1944"/>
      <c r="P1944"/>
      <c r="Q1944"/>
      <c r="R1944"/>
      <c r="S1944"/>
    </row>
    <row r="1945" spans="1:19" x14ac:dyDescent="0.25">
      <c r="A1945" s="28" t="s">
        <v>14843</v>
      </c>
      <c r="J1945" t="s">
        <v>5357</v>
      </c>
      <c r="K1945" t="s">
        <v>5358</v>
      </c>
      <c r="M1945" t="s">
        <v>47</v>
      </c>
      <c r="N1945"/>
      <c r="O1945"/>
      <c r="P1945"/>
      <c r="Q1945"/>
      <c r="R1945"/>
      <c r="S1945"/>
    </row>
    <row r="1946" spans="1:19" x14ac:dyDescent="0.25">
      <c r="A1946" t="s">
        <v>193</v>
      </c>
      <c r="C1946" s="27" t="s">
        <v>34749</v>
      </c>
      <c r="D1946" s="28" t="s">
        <v>34867</v>
      </c>
      <c r="J1946" t="s">
        <v>5359</v>
      </c>
      <c r="K1946" t="s">
        <v>5360</v>
      </c>
      <c r="L1946" s="28" t="s">
        <v>5361</v>
      </c>
      <c r="M1946" t="s">
        <v>23</v>
      </c>
      <c r="N1946"/>
      <c r="O1946"/>
      <c r="P1946"/>
      <c r="Q1946"/>
      <c r="R1946"/>
      <c r="S1946"/>
    </row>
    <row r="1947" spans="1:19" x14ac:dyDescent="0.25">
      <c r="A1947" t="s">
        <v>193</v>
      </c>
      <c r="C1947" s="27" t="s">
        <v>34749</v>
      </c>
      <c r="D1947" s="28" t="s">
        <v>34867</v>
      </c>
      <c r="J1947" t="s">
        <v>5362</v>
      </c>
      <c r="K1947" t="s">
        <v>5363</v>
      </c>
      <c r="L1947" s="28" t="s">
        <v>5364</v>
      </c>
      <c r="M1947" t="s">
        <v>23</v>
      </c>
      <c r="N1947"/>
      <c r="O1947"/>
      <c r="P1947"/>
      <c r="Q1947"/>
      <c r="R1947"/>
      <c r="S1947"/>
    </row>
    <row r="1948" spans="1:19" x14ac:dyDescent="0.25">
      <c r="A1948" t="s">
        <v>193</v>
      </c>
      <c r="C1948" s="27" t="s">
        <v>34749</v>
      </c>
      <c r="D1948" s="28" t="s">
        <v>34867</v>
      </c>
      <c r="J1948" t="s">
        <v>5365</v>
      </c>
      <c r="K1948" t="s">
        <v>5366</v>
      </c>
      <c r="L1948" s="28" t="s">
        <v>5367</v>
      </c>
      <c r="M1948" t="s">
        <v>23</v>
      </c>
      <c r="N1948"/>
      <c r="O1948"/>
      <c r="P1948"/>
      <c r="Q1948"/>
      <c r="R1948"/>
      <c r="S1948"/>
    </row>
    <row r="1949" spans="1:19" x14ac:dyDescent="0.25">
      <c r="A1949" t="s">
        <v>193</v>
      </c>
      <c r="C1949" s="27" t="s">
        <v>34749</v>
      </c>
      <c r="D1949" s="28" t="s">
        <v>34867</v>
      </c>
      <c r="J1949" t="s">
        <v>5368</v>
      </c>
      <c r="K1949" t="s">
        <v>5369</v>
      </c>
      <c r="L1949" s="28" t="s">
        <v>5370</v>
      </c>
      <c r="M1949" t="s">
        <v>23</v>
      </c>
      <c r="N1949"/>
      <c r="O1949"/>
      <c r="P1949"/>
      <c r="Q1949"/>
      <c r="R1949"/>
      <c r="S1949"/>
    </row>
    <row r="1950" spans="1:19" x14ac:dyDescent="0.25">
      <c r="A1950" t="s">
        <v>193</v>
      </c>
      <c r="C1950" s="27" t="s">
        <v>34749</v>
      </c>
      <c r="D1950" s="28" t="s">
        <v>34867</v>
      </c>
      <c r="J1950" t="s">
        <v>5371</v>
      </c>
      <c r="K1950" t="s">
        <v>5372</v>
      </c>
      <c r="L1950" s="28" t="s">
        <v>5373</v>
      </c>
      <c r="M1950" t="s">
        <v>23</v>
      </c>
      <c r="N1950"/>
      <c r="O1950"/>
      <c r="P1950"/>
      <c r="Q1950"/>
      <c r="R1950"/>
      <c r="S1950"/>
    </row>
    <row r="1951" spans="1:19" x14ac:dyDescent="0.25">
      <c r="A1951" t="s">
        <v>193</v>
      </c>
      <c r="C1951" s="27" t="s">
        <v>34749</v>
      </c>
      <c r="D1951" s="28" t="s">
        <v>34867</v>
      </c>
      <c r="J1951" t="s">
        <v>5374</v>
      </c>
      <c r="K1951" t="s">
        <v>5375</v>
      </c>
      <c r="L1951" s="28" t="s">
        <v>5376</v>
      </c>
      <c r="M1951" t="s">
        <v>23</v>
      </c>
      <c r="N1951"/>
      <c r="O1951"/>
      <c r="P1951"/>
      <c r="Q1951"/>
      <c r="R1951"/>
      <c r="S1951"/>
    </row>
    <row r="1952" spans="1:19" x14ac:dyDescent="0.25">
      <c r="A1952" s="28" t="s">
        <v>14843</v>
      </c>
      <c r="J1952" t="s">
        <v>5377</v>
      </c>
      <c r="K1952" t="s">
        <v>5378</v>
      </c>
      <c r="M1952" t="s">
        <v>2779</v>
      </c>
      <c r="N1952"/>
      <c r="O1952"/>
      <c r="P1952"/>
      <c r="Q1952"/>
      <c r="R1952"/>
      <c r="S1952"/>
    </row>
    <row r="1953" spans="1:19" x14ac:dyDescent="0.25">
      <c r="A1953" s="28" t="s">
        <v>14843</v>
      </c>
      <c r="J1953" t="s">
        <v>5379</v>
      </c>
      <c r="K1953" t="s">
        <v>5380</v>
      </c>
      <c r="M1953" t="s">
        <v>666</v>
      </c>
      <c r="N1953"/>
      <c r="O1953"/>
      <c r="P1953"/>
      <c r="Q1953"/>
      <c r="R1953"/>
      <c r="S1953"/>
    </row>
    <row r="1954" spans="1:19" x14ac:dyDescent="0.25">
      <c r="A1954" s="27" t="s">
        <v>193</v>
      </c>
      <c r="C1954" s="27" t="s">
        <v>34749</v>
      </c>
      <c r="D1954" s="28" t="s">
        <v>34867</v>
      </c>
      <c r="J1954" t="s">
        <v>5381</v>
      </c>
      <c r="K1954" t="s">
        <v>5382</v>
      </c>
      <c r="M1954" t="s">
        <v>666</v>
      </c>
      <c r="N1954"/>
      <c r="O1954"/>
      <c r="P1954"/>
      <c r="Q1954"/>
      <c r="R1954"/>
      <c r="S1954"/>
    </row>
    <row r="1955" spans="1:19" x14ac:dyDescent="0.25">
      <c r="A1955" s="28" t="s">
        <v>14843</v>
      </c>
      <c r="J1955" t="s">
        <v>5383</v>
      </c>
      <c r="K1955" t="s">
        <v>5384</v>
      </c>
      <c r="M1955" t="s">
        <v>2820</v>
      </c>
      <c r="N1955"/>
      <c r="O1955"/>
      <c r="P1955"/>
      <c r="Q1955"/>
      <c r="R1955"/>
      <c r="S1955"/>
    </row>
    <row r="1956" spans="1:19" x14ac:dyDescent="0.25">
      <c r="A1956" s="28" t="s">
        <v>14843</v>
      </c>
      <c r="J1956" t="s">
        <v>5385</v>
      </c>
      <c r="K1956" t="s">
        <v>5386</v>
      </c>
      <c r="M1956" t="s">
        <v>2820</v>
      </c>
      <c r="N1956"/>
      <c r="O1956"/>
      <c r="P1956"/>
      <c r="Q1956"/>
      <c r="R1956"/>
      <c r="S1956"/>
    </row>
    <row r="1957" spans="1:19" x14ac:dyDescent="0.25">
      <c r="A1957" s="28" t="s">
        <v>14843</v>
      </c>
      <c r="J1957" t="s">
        <v>5387</v>
      </c>
      <c r="K1957" t="s">
        <v>5388</v>
      </c>
      <c r="M1957" t="s">
        <v>47</v>
      </c>
      <c r="N1957"/>
      <c r="O1957"/>
      <c r="P1957"/>
      <c r="Q1957"/>
      <c r="R1957"/>
      <c r="S1957"/>
    </row>
    <row r="1958" spans="1:19" x14ac:dyDescent="0.25">
      <c r="A1958" s="28" t="s">
        <v>14843</v>
      </c>
      <c r="J1958" t="s">
        <v>5389</v>
      </c>
      <c r="K1958" t="s">
        <v>5390</v>
      </c>
      <c r="M1958" t="s">
        <v>47</v>
      </c>
      <c r="N1958"/>
      <c r="O1958"/>
      <c r="P1958"/>
      <c r="Q1958"/>
      <c r="R1958"/>
      <c r="S1958"/>
    </row>
    <row r="1959" spans="1:19" x14ac:dyDescent="0.25">
      <c r="A1959" s="28" t="s">
        <v>14843</v>
      </c>
      <c r="J1959" t="s">
        <v>5391</v>
      </c>
      <c r="K1959" t="s">
        <v>5392</v>
      </c>
      <c r="M1959" t="s">
        <v>2820</v>
      </c>
      <c r="N1959"/>
      <c r="O1959"/>
      <c r="P1959"/>
      <c r="Q1959"/>
      <c r="R1959"/>
      <c r="S1959"/>
    </row>
    <row r="1960" spans="1:19" x14ac:dyDescent="0.25">
      <c r="A1960" s="28" t="s">
        <v>14843</v>
      </c>
      <c r="J1960" t="s">
        <v>5393</v>
      </c>
      <c r="K1960" t="s">
        <v>5394</v>
      </c>
      <c r="M1960" t="s">
        <v>2820</v>
      </c>
      <c r="N1960"/>
      <c r="O1960"/>
      <c r="P1960"/>
      <c r="Q1960"/>
      <c r="R1960"/>
      <c r="S1960"/>
    </row>
    <row r="1961" spans="1:19" x14ac:dyDescent="0.25">
      <c r="A1961" s="28" t="s">
        <v>14843</v>
      </c>
      <c r="J1961" t="s">
        <v>5395</v>
      </c>
      <c r="K1961" t="s">
        <v>5396</v>
      </c>
      <c r="M1961" t="s">
        <v>2820</v>
      </c>
      <c r="N1961"/>
      <c r="O1961"/>
      <c r="P1961"/>
      <c r="Q1961"/>
      <c r="R1961"/>
      <c r="S1961"/>
    </row>
    <row r="1962" spans="1:19" x14ac:dyDescent="0.25">
      <c r="A1962" s="28" t="s">
        <v>14843</v>
      </c>
      <c r="J1962" t="s">
        <v>5397</v>
      </c>
      <c r="K1962" t="s">
        <v>5398</v>
      </c>
      <c r="M1962" t="s">
        <v>2779</v>
      </c>
      <c r="N1962"/>
      <c r="O1962"/>
      <c r="P1962"/>
      <c r="Q1962"/>
      <c r="R1962"/>
      <c r="S1962"/>
    </row>
    <row r="1963" spans="1:19" x14ac:dyDescent="0.25">
      <c r="A1963" s="28" t="s">
        <v>14843</v>
      </c>
      <c r="J1963" t="s">
        <v>5399</v>
      </c>
      <c r="K1963" t="s">
        <v>5400</v>
      </c>
      <c r="M1963" t="s">
        <v>2779</v>
      </c>
      <c r="N1963"/>
      <c r="O1963"/>
      <c r="P1963"/>
      <c r="Q1963"/>
      <c r="R1963"/>
      <c r="S1963"/>
    </row>
    <row r="1964" spans="1:19" x14ac:dyDescent="0.25">
      <c r="A1964" s="28" t="s">
        <v>14843</v>
      </c>
      <c r="J1964" t="s">
        <v>5401</v>
      </c>
      <c r="K1964" t="s">
        <v>5402</v>
      </c>
      <c r="M1964" t="s">
        <v>2779</v>
      </c>
      <c r="N1964"/>
      <c r="O1964"/>
      <c r="P1964"/>
      <c r="Q1964"/>
      <c r="R1964"/>
      <c r="S1964"/>
    </row>
    <row r="1965" spans="1:19" x14ac:dyDescent="0.25">
      <c r="A1965" s="28" t="s">
        <v>14843</v>
      </c>
      <c r="J1965" t="s">
        <v>5403</v>
      </c>
      <c r="K1965" t="s">
        <v>5404</v>
      </c>
      <c r="M1965" t="s">
        <v>47</v>
      </c>
      <c r="N1965"/>
      <c r="O1965"/>
      <c r="P1965"/>
      <c r="Q1965"/>
      <c r="R1965"/>
      <c r="S1965"/>
    </row>
    <row r="1966" spans="1:19" x14ac:dyDescent="0.25">
      <c r="A1966" s="28" t="s">
        <v>14843</v>
      </c>
      <c r="J1966" t="s">
        <v>5405</v>
      </c>
      <c r="K1966" t="s">
        <v>5406</v>
      </c>
      <c r="M1966" t="s">
        <v>47</v>
      </c>
      <c r="N1966"/>
      <c r="O1966"/>
      <c r="P1966"/>
      <c r="Q1966"/>
      <c r="R1966"/>
      <c r="S1966"/>
    </row>
    <row r="1967" spans="1:19" x14ac:dyDescent="0.25">
      <c r="A1967" s="28" t="s">
        <v>14843</v>
      </c>
      <c r="J1967" t="s">
        <v>5407</v>
      </c>
      <c r="K1967" t="s">
        <v>5408</v>
      </c>
      <c r="M1967" t="s">
        <v>47</v>
      </c>
      <c r="N1967"/>
      <c r="O1967"/>
      <c r="P1967"/>
      <c r="Q1967"/>
      <c r="R1967"/>
      <c r="S1967"/>
    </row>
    <row r="1968" spans="1:19" x14ac:dyDescent="0.25">
      <c r="A1968" s="28" t="s">
        <v>14843</v>
      </c>
      <c r="J1968" t="s">
        <v>5409</v>
      </c>
      <c r="K1968" t="s">
        <v>5410</v>
      </c>
      <c r="M1968" t="s">
        <v>47</v>
      </c>
      <c r="N1968"/>
      <c r="O1968"/>
      <c r="P1968"/>
      <c r="Q1968"/>
      <c r="R1968"/>
      <c r="S1968"/>
    </row>
    <row r="1969" spans="1:19" x14ac:dyDescent="0.25">
      <c r="A1969" s="28" t="s">
        <v>14843</v>
      </c>
      <c r="J1969" t="s">
        <v>5411</v>
      </c>
      <c r="K1969" t="s">
        <v>5412</v>
      </c>
      <c r="M1969" t="s">
        <v>2820</v>
      </c>
      <c r="N1969"/>
      <c r="O1969"/>
      <c r="P1969"/>
      <c r="Q1969"/>
      <c r="R1969"/>
      <c r="S1969"/>
    </row>
    <row r="1970" spans="1:19" x14ac:dyDescent="0.25">
      <c r="A1970" t="s">
        <v>193</v>
      </c>
      <c r="C1970" s="27" t="s">
        <v>34749</v>
      </c>
      <c r="D1970" s="28" t="s">
        <v>34867</v>
      </c>
      <c r="J1970" t="s">
        <v>5413</v>
      </c>
      <c r="K1970" t="s">
        <v>5414</v>
      </c>
      <c r="L1970" s="28" t="s">
        <v>5415</v>
      </c>
      <c r="M1970" t="s">
        <v>23</v>
      </c>
      <c r="N1970"/>
      <c r="O1970"/>
      <c r="P1970"/>
      <c r="Q1970"/>
      <c r="R1970"/>
      <c r="S1970"/>
    </row>
    <row r="1971" spans="1:19" x14ac:dyDescent="0.25">
      <c r="A1971" t="s">
        <v>193</v>
      </c>
      <c r="C1971" s="27" t="s">
        <v>34749</v>
      </c>
      <c r="D1971" s="28" t="s">
        <v>34867</v>
      </c>
      <c r="J1971" t="s">
        <v>5416</v>
      </c>
      <c r="K1971" t="s">
        <v>5417</v>
      </c>
      <c r="L1971" s="28" t="s">
        <v>5418</v>
      </c>
      <c r="M1971" t="s">
        <v>23</v>
      </c>
      <c r="N1971"/>
      <c r="O1971"/>
      <c r="P1971"/>
      <c r="Q1971"/>
      <c r="R1971"/>
      <c r="S1971"/>
    </row>
    <row r="1972" spans="1:19" x14ac:dyDescent="0.25">
      <c r="A1972" t="s">
        <v>193</v>
      </c>
      <c r="C1972" s="27" t="s">
        <v>34749</v>
      </c>
      <c r="D1972" s="28" t="s">
        <v>34867</v>
      </c>
      <c r="J1972" t="s">
        <v>5419</v>
      </c>
      <c r="K1972" t="s">
        <v>5420</v>
      </c>
      <c r="L1972" s="28" t="s">
        <v>5421</v>
      </c>
      <c r="M1972" t="s">
        <v>23</v>
      </c>
      <c r="N1972"/>
      <c r="O1972"/>
      <c r="P1972"/>
      <c r="Q1972"/>
      <c r="R1972"/>
      <c r="S1972"/>
    </row>
    <row r="1973" spans="1:19" x14ac:dyDescent="0.25">
      <c r="A1973" t="s">
        <v>193</v>
      </c>
      <c r="C1973" s="27" t="s">
        <v>34749</v>
      </c>
      <c r="D1973" s="28" t="s">
        <v>34867</v>
      </c>
      <c r="J1973" t="s">
        <v>5422</v>
      </c>
      <c r="K1973" t="s">
        <v>5423</v>
      </c>
      <c r="L1973" s="28" t="s">
        <v>5424</v>
      </c>
      <c r="M1973" t="s">
        <v>23</v>
      </c>
      <c r="N1973"/>
      <c r="O1973"/>
      <c r="P1973"/>
      <c r="Q1973"/>
      <c r="R1973"/>
      <c r="S1973"/>
    </row>
    <row r="1974" spans="1:19" x14ac:dyDescent="0.25">
      <c r="A1974" t="s">
        <v>193</v>
      </c>
      <c r="C1974" s="27" t="s">
        <v>34749</v>
      </c>
      <c r="D1974" s="28" t="s">
        <v>34867</v>
      </c>
      <c r="J1974" t="s">
        <v>5425</v>
      </c>
      <c r="K1974" t="s">
        <v>5426</v>
      </c>
      <c r="L1974" s="28" t="s">
        <v>5427</v>
      </c>
      <c r="M1974" t="s">
        <v>23</v>
      </c>
      <c r="N1974"/>
      <c r="O1974"/>
      <c r="P1974"/>
      <c r="Q1974"/>
      <c r="R1974"/>
      <c r="S1974"/>
    </row>
    <row r="1975" spans="1:19" x14ac:dyDescent="0.25">
      <c r="A1975" t="s">
        <v>193</v>
      </c>
      <c r="C1975" s="27" t="s">
        <v>34749</v>
      </c>
      <c r="D1975" s="28" t="s">
        <v>34867</v>
      </c>
      <c r="J1975" t="s">
        <v>5428</v>
      </c>
      <c r="K1975" t="s">
        <v>5429</v>
      </c>
      <c r="L1975" s="28" t="s">
        <v>5430</v>
      </c>
      <c r="M1975" t="s">
        <v>23</v>
      </c>
      <c r="N1975"/>
      <c r="O1975"/>
      <c r="P1975"/>
      <c r="Q1975"/>
      <c r="R1975"/>
      <c r="S1975"/>
    </row>
    <row r="1976" spans="1:19" x14ac:dyDescent="0.25">
      <c r="A1976" t="s">
        <v>193</v>
      </c>
      <c r="C1976" s="27" t="s">
        <v>34749</v>
      </c>
      <c r="D1976" s="28" t="s">
        <v>34867</v>
      </c>
      <c r="J1976" t="s">
        <v>5431</v>
      </c>
      <c r="K1976" t="s">
        <v>5432</v>
      </c>
      <c r="L1976" s="28" t="s">
        <v>5433</v>
      </c>
      <c r="M1976" t="s">
        <v>23</v>
      </c>
      <c r="N1976"/>
      <c r="O1976"/>
      <c r="P1976"/>
      <c r="Q1976"/>
      <c r="R1976"/>
      <c r="S1976"/>
    </row>
    <row r="1977" spans="1:19" x14ac:dyDescent="0.25">
      <c r="A1977" t="s">
        <v>193</v>
      </c>
      <c r="C1977" s="27" t="s">
        <v>34749</v>
      </c>
      <c r="D1977" s="28" t="s">
        <v>34867</v>
      </c>
      <c r="J1977" t="s">
        <v>5434</v>
      </c>
      <c r="K1977" t="s">
        <v>5435</v>
      </c>
      <c r="L1977" s="28" t="s">
        <v>5436</v>
      </c>
      <c r="M1977" t="s">
        <v>23</v>
      </c>
      <c r="N1977"/>
      <c r="O1977"/>
      <c r="P1977"/>
      <c r="Q1977"/>
      <c r="R1977"/>
      <c r="S1977"/>
    </row>
    <row r="1978" spans="1:19" x14ac:dyDescent="0.25">
      <c r="A1978" t="s">
        <v>193</v>
      </c>
      <c r="C1978" s="27" t="s">
        <v>34749</v>
      </c>
      <c r="D1978" s="28" t="s">
        <v>34867</v>
      </c>
      <c r="J1978" t="s">
        <v>5437</v>
      </c>
      <c r="K1978" t="s">
        <v>5438</v>
      </c>
      <c r="L1978" s="28" t="s">
        <v>5439</v>
      </c>
      <c r="M1978" t="s">
        <v>23</v>
      </c>
      <c r="N1978"/>
      <c r="O1978"/>
      <c r="P1978"/>
      <c r="Q1978"/>
      <c r="R1978"/>
      <c r="S1978"/>
    </row>
    <row r="1979" spans="1:19" x14ac:dyDescent="0.25">
      <c r="A1979" t="s">
        <v>193</v>
      </c>
      <c r="C1979" s="27" t="s">
        <v>34749</v>
      </c>
      <c r="D1979" s="28" t="s">
        <v>34867</v>
      </c>
      <c r="J1979" t="s">
        <v>5440</v>
      </c>
      <c r="K1979" t="s">
        <v>5441</v>
      </c>
      <c r="L1979" s="28" t="s">
        <v>5442</v>
      </c>
      <c r="M1979" t="s">
        <v>23</v>
      </c>
      <c r="N1979"/>
      <c r="O1979"/>
      <c r="P1979"/>
      <c r="Q1979"/>
      <c r="R1979"/>
      <c r="S1979"/>
    </row>
    <row r="1980" spans="1:19" x14ac:dyDescent="0.25">
      <c r="A1980" t="s">
        <v>193</v>
      </c>
      <c r="C1980" s="27" t="s">
        <v>34749</v>
      </c>
      <c r="D1980" s="28" t="s">
        <v>34867</v>
      </c>
      <c r="J1980" t="s">
        <v>5443</v>
      </c>
      <c r="K1980" t="s">
        <v>5444</v>
      </c>
      <c r="L1980" s="28" t="s">
        <v>5445</v>
      </c>
      <c r="M1980" t="s">
        <v>23</v>
      </c>
      <c r="N1980"/>
      <c r="O1980"/>
      <c r="P1980"/>
      <c r="Q1980"/>
      <c r="R1980"/>
      <c r="S1980"/>
    </row>
    <row r="1981" spans="1:19" x14ac:dyDescent="0.25">
      <c r="A1981" t="s">
        <v>193</v>
      </c>
      <c r="C1981" s="27" t="s">
        <v>34749</v>
      </c>
      <c r="D1981" s="28" t="s">
        <v>34867</v>
      </c>
      <c r="J1981" t="s">
        <v>5446</v>
      </c>
      <c r="K1981" t="s">
        <v>5447</v>
      </c>
      <c r="L1981" s="28" t="s">
        <v>5448</v>
      </c>
      <c r="M1981" t="s">
        <v>23</v>
      </c>
      <c r="N1981"/>
      <c r="O1981"/>
      <c r="P1981"/>
      <c r="Q1981"/>
      <c r="R1981"/>
      <c r="S1981"/>
    </row>
    <row r="1982" spans="1:19" x14ac:dyDescent="0.25">
      <c r="A1982" t="s">
        <v>193</v>
      </c>
      <c r="C1982" s="27" t="s">
        <v>34749</v>
      </c>
      <c r="D1982" s="28" t="s">
        <v>34867</v>
      </c>
      <c r="J1982" t="s">
        <v>5449</v>
      </c>
      <c r="K1982" t="s">
        <v>5450</v>
      </c>
      <c r="L1982" s="28" t="s">
        <v>5451</v>
      </c>
      <c r="M1982" t="s">
        <v>23</v>
      </c>
      <c r="N1982"/>
      <c r="O1982"/>
      <c r="P1982"/>
      <c r="Q1982"/>
      <c r="R1982"/>
      <c r="S1982"/>
    </row>
    <row r="1983" spans="1:19" x14ac:dyDescent="0.25">
      <c r="A1983" t="s">
        <v>193</v>
      </c>
      <c r="C1983" s="27" t="s">
        <v>34749</v>
      </c>
      <c r="D1983" s="28" t="s">
        <v>34867</v>
      </c>
      <c r="J1983" t="s">
        <v>5452</v>
      </c>
      <c r="K1983" t="s">
        <v>5453</v>
      </c>
      <c r="L1983" s="28" t="s">
        <v>5454</v>
      </c>
      <c r="M1983" t="s">
        <v>23</v>
      </c>
      <c r="N1983"/>
      <c r="O1983"/>
      <c r="P1983"/>
      <c r="Q1983"/>
      <c r="R1983"/>
      <c r="S1983"/>
    </row>
    <row r="1984" spans="1:19" x14ac:dyDescent="0.25">
      <c r="A1984" s="28" t="s">
        <v>14843</v>
      </c>
      <c r="J1984" t="s">
        <v>5455</v>
      </c>
      <c r="K1984" t="s">
        <v>5456</v>
      </c>
      <c r="M1984" t="s">
        <v>2820</v>
      </c>
      <c r="N1984"/>
      <c r="O1984"/>
      <c r="P1984"/>
      <c r="Q1984"/>
      <c r="R1984"/>
      <c r="S1984"/>
    </row>
    <row r="1985" spans="1:19" x14ac:dyDescent="0.25">
      <c r="A1985" s="28" t="s">
        <v>14843</v>
      </c>
      <c r="J1985" t="s">
        <v>5457</v>
      </c>
      <c r="K1985" t="s">
        <v>5458</v>
      </c>
      <c r="M1985" t="s">
        <v>47</v>
      </c>
      <c r="N1985"/>
      <c r="O1985"/>
      <c r="P1985"/>
      <c r="Q1985"/>
      <c r="R1985"/>
      <c r="S1985"/>
    </row>
    <row r="1986" spans="1:19" x14ac:dyDescent="0.25">
      <c r="A1986" s="28" t="s">
        <v>14843</v>
      </c>
      <c r="J1986" t="s">
        <v>5459</v>
      </c>
      <c r="K1986" t="s">
        <v>5460</v>
      </c>
      <c r="M1986" t="s">
        <v>47</v>
      </c>
      <c r="N1986"/>
      <c r="O1986"/>
      <c r="P1986"/>
      <c r="Q1986"/>
      <c r="R1986"/>
      <c r="S1986"/>
    </row>
    <row r="1987" spans="1:19" x14ac:dyDescent="0.25">
      <c r="A1987" s="28" t="s">
        <v>14843</v>
      </c>
      <c r="J1987" t="s">
        <v>5461</v>
      </c>
      <c r="K1987" t="s">
        <v>5462</v>
      </c>
      <c r="M1987" t="s">
        <v>666</v>
      </c>
      <c r="N1987"/>
      <c r="O1987"/>
      <c r="P1987"/>
      <c r="Q1987"/>
      <c r="R1987"/>
      <c r="S1987"/>
    </row>
    <row r="1988" spans="1:19" x14ac:dyDescent="0.25">
      <c r="A1988" s="28" t="s">
        <v>14843</v>
      </c>
      <c r="J1988" t="s">
        <v>5463</v>
      </c>
      <c r="K1988" t="s">
        <v>5464</v>
      </c>
      <c r="M1988" t="s">
        <v>666</v>
      </c>
      <c r="N1988"/>
      <c r="O1988"/>
      <c r="P1988"/>
      <c r="Q1988"/>
      <c r="R1988"/>
      <c r="S1988"/>
    </row>
    <row r="1989" spans="1:19" x14ac:dyDescent="0.25">
      <c r="A1989" s="28" t="s">
        <v>14843</v>
      </c>
      <c r="J1989" t="s">
        <v>5465</v>
      </c>
      <c r="K1989" t="s">
        <v>5466</v>
      </c>
      <c r="M1989" t="s">
        <v>2820</v>
      </c>
      <c r="N1989"/>
      <c r="O1989"/>
      <c r="P1989"/>
      <c r="Q1989"/>
      <c r="R1989"/>
      <c r="S1989"/>
    </row>
    <row r="1990" spans="1:19" x14ac:dyDescent="0.25">
      <c r="A1990" t="s">
        <v>193</v>
      </c>
      <c r="C1990" s="27" t="s">
        <v>34749</v>
      </c>
      <c r="D1990" s="28" t="s">
        <v>34867</v>
      </c>
      <c r="J1990" t="s">
        <v>5467</v>
      </c>
      <c r="K1990" t="s">
        <v>5468</v>
      </c>
      <c r="L1990" s="28" t="s">
        <v>5469</v>
      </c>
      <c r="M1990" t="s">
        <v>23</v>
      </c>
      <c r="N1990"/>
      <c r="O1990"/>
      <c r="P1990"/>
      <c r="Q1990"/>
      <c r="R1990"/>
      <c r="S1990"/>
    </row>
    <row r="1991" spans="1:19" x14ac:dyDescent="0.25">
      <c r="A1991" t="s">
        <v>193</v>
      </c>
      <c r="C1991" s="27" t="s">
        <v>34749</v>
      </c>
      <c r="D1991" s="28" t="s">
        <v>34867</v>
      </c>
      <c r="E1991" s="3"/>
      <c r="F1991" s="3"/>
      <c r="J1991" t="s">
        <v>5470</v>
      </c>
      <c r="K1991" t="s">
        <v>5471</v>
      </c>
      <c r="L1991" s="28" t="s">
        <v>5472</v>
      </c>
      <c r="M1991" t="s">
        <v>23</v>
      </c>
      <c r="N1991"/>
      <c r="O1991"/>
      <c r="P1991"/>
      <c r="Q1991"/>
      <c r="R1991"/>
      <c r="S1991"/>
    </row>
    <row r="1992" spans="1:19" x14ac:dyDescent="0.25">
      <c r="A1992" s="28" t="s">
        <v>14843</v>
      </c>
      <c r="C1992"/>
      <c r="E1992"/>
      <c r="F1992"/>
      <c r="G1992"/>
      <c r="H1992"/>
      <c r="I1992"/>
      <c r="J1992" t="s">
        <v>5473</v>
      </c>
      <c r="K1992" t="s">
        <v>5474</v>
      </c>
      <c r="M1992" t="s">
        <v>666</v>
      </c>
      <c r="N1992"/>
      <c r="O1992"/>
      <c r="P1992"/>
      <c r="Q1992"/>
      <c r="R1992"/>
      <c r="S1992"/>
    </row>
    <row r="1993" spans="1:19" x14ac:dyDescent="0.25">
      <c r="A1993" s="28" t="s">
        <v>14843</v>
      </c>
      <c r="C1993"/>
      <c r="E1993"/>
      <c r="F1993"/>
      <c r="G1993"/>
      <c r="H1993"/>
      <c r="I1993"/>
      <c r="J1993" t="s">
        <v>5475</v>
      </c>
      <c r="K1993" t="s">
        <v>5476</v>
      </c>
      <c r="M1993" t="s">
        <v>666</v>
      </c>
      <c r="N1993"/>
      <c r="O1993"/>
      <c r="P1993"/>
      <c r="Q1993"/>
      <c r="R1993"/>
      <c r="S1993"/>
    </row>
    <row r="1994" spans="1:19" x14ac:dyDescent="0.25">
      <c r="A1994" s="28" t="s">
        <v>14843</v>
      </c>
      <c r="C1994"/>
      <c r="E1994"/>
      <c r="F1994"/>
      <c r="G1994"/>
      <c r="H1994"/>
      <c r="I1994"/>
      <c r="J1994" t="s">
        <v>5477</v>
      </c>
      <c r="K1994" t="s">
        <v>5478</v>
      </c>
      <c r="M1994" t="s">
        <v>47</v>
      </c>
      <c r="N1994"/>
      <c r="O1994"/>
      <c r="P1994"/>
      <c r="Q1994"/>
      <c r="R1994"/>
      <c r="S1994"/>
    </row>
    <row r="1995" spans="1:19" x14ac:dyDescent="0.25">
      <c r="A1995" s="28" t="s">
        <v>14843</v>
      </c>
      <c r="C1995"/>
      <c r="E1995"/>
      <c r="F1995"/>
      <c r="G1995"/>
      <c r="H1995"/>
      <c r="I1995"/>
      <c r="J1995" t="s">
        <v>5479</v>
      </c>
      <c r="K1995" t="s">
        <v>5480</v>
      </c>
      <c r="M1995" t="s">
        <v>47</v>
      </c>
      <c r="N1995"/>
      <c r="O1995"/>
      <c r="P1995"/>
      <c r="Q1995"/>
      <c r="R1995"/>
      <c r="S1995"/>
    </row>
    <row r="1996" spans="1:19" x14ac:dyDescent="0.25">
      <c r="A1996" s="28" t="s">
        <v>14843</v>
      </c>
      <c r="C1996"/>
      <c r="E1996"/>
      <c r="F1996"/>
      <c r="G1996"/>
      <c r="H1996"/>
      <c r="I1996"/>
      <c r="J1996" t="s">
        <v>5481</v>
      </c>
      <c r="K1996" t="s">
        <v>5482</v>
      </c>
      <c r="M1996" t="s">
        <v>2820</v>
      </c>
      <c r="N1996"/>
      <c r="O1996"/>
      <c r="P1996"/>
      <c r="Q1996"/>
      <c r="R1996"/>
      <c r="S1996"/>
    </row>
    <row r="1997" spans="1:19" x14ac:dyDescent="0.25">
      <c r="A1997" s="28" t="s">
        <v>14843</v>
      </c>
      <c r="C1997"/>
      <c r="E1997"/>
      <c r="F1997"/>
      <c r="G1997"/>
      <c r="H1997"/>
      <c r="I1997"/>
      <c r="J1997" t="s">
        <v>5483</v>
      </c>
      <c r="K1997" t="s">
        <v>5484</v>
      </c>
      <c r="M1997" t="s">
        <v>2820</v>
      </c>
      <c r="N1997"/>
      <c r="O1997"/>
      <c r="P1997"/>
      <c r="Q1997"/>
      <c r="R1997"/>
      <c r="S1997"/>
    </row>
    <row r="1998" spans="1:19" x14ac:dyDescent="0.25">
      <c r="A1998" s="28" t="s">
        <v>14843</v>
      </c>
      <c r="C1998"/>
      <c r="E1998"/>
      <c r="F1998"/>
      <c r="G1998"/>
      <c r="H1998"/>
      <c r="I1998"/>
      <c r="J1998" t="s">
        <v>5485</v>
      </c>
      <c r="K1998" t="s">
        <v>5486</v>
      </c>
      <c r="M1998" t="s">
        <v>666</v>
      </c>
      <c r="N1998"/>
      <c r="O1998"/>
      <c r="P1998"/>
      <c r="Q1998"/>
      <c r="R1998"/>
      <c r="S1998"/>
    </row>
    <row r="1999" spans="1:19" x14ac:dyDescent="0.25">
      <c r="A1999" s="28" t="s">
        <v>14843</v>
      </c>
      <c r="C1999"/>
      <c r="E1999"/>
      <c r="F1999"/>
      <c r="G1999"/>
      <c r="H1999"/>
      <c r="I1999"/>
      <c r="J1999" t="s">
        <v>5487</v>
      </c>
      <c r="K1999" t="s">
        <v>5488</v>
      </c>
      <c r="M1999" t="s">
        <v>666</v>
      </c>
      <c r="N1999"/>
      <c r="O1999"/>
      <c r="P1999"/>
      <c r="Q1999"/>
      <c r="R1999"/>
      <c r="S1999"/>
    </row>
    <row r="2000" spans="1:19" x14ac:dyDescent="0.25">
      <c r="A2000" s="28" t="s">
        <v>14843</v>
      </c>
      <c r="C2000"/>
      <c r="E2000"/>
      <c r="F2000"/>
      <c r="G2000"/>
      <c r="H2000"/>
      <c r="I2000"/>
      <c r="J2000" t="s">
        <v>5489</v>
      </c>
      <c r="K2000" t="s">
        <v>5490</v>
      </c>
      <c r="M2000" t="s">
        <v>666</v>
      </c>
      <c r="N2000"/>
      <c r="O2000"/>
      <c r="P2000"/>
      <c r="Q2000"/>
      <c r="R2000"/>
      <c r="S2000"/>
    </row>
    <row r="2001" spans="1:19" x14ac:dyDescent="0.25">
      <c r="A2001" s="28" t="s">
        <v>14843</v>
      </c>
      <c r="C2001"/>
      <c r="E2001"/>
      <c r="F2001"/>
      <c r="G2001"/>
      <c r="H2001"/>
      <c r="I2001"/>
      <c r="J2001" t="s">
        <v>5491</v>
      </c>
      <c r="K2001" t="s">
        <v>5492</v>
      </c>
      <c r="M2001" t="s">
        <v>666</v>
      </c>
      <c r="N2001"/>
      <c r="O2001"/>
      <c r="P2001"/>
      <c r="Q2001"/>
      <c r="R2001"/>
      <c r="S2001"/>
    </row>
    <row r="2002" spans="1:19" x14ac:dyDescent="0.25">
      <c r="A2002" s="28" t="s">
        <v>14843</v>
      </c>
      <c r="C2002"/>
      <c r="E2002"/>
      <c r="F2002"/>
      <c r="G2002"/>
      <c r="H2002"/>
      <c r="I2002"/>
      <c r="J2002" t="s">
        <v>5493</v>
      </c>
      <c r="K2002" t="s">
        <v>5494</v>
      </c>
      <c r="M2002" t="s">
        <v>666</v>
      </c>
      <c r="N2002"/>
      <c r="O2002"/>
      <c r="P2002"/>
      <c r="Q2002"/>
      <c r="R2002"/>
      <c r="S2002"/>
    </row>
    <row r="2003" spans="1:19" x14ac:dyDescent="0.25">
      <c r="A2003" s="28" t="s">
        <v>14843</v>
      </c>
      <c r="C2003"/>
      <c r="E2003"/>
      <c r="F2003"/>
      <c r="G2003"/>
      <c r="H2003"/>
      <c r="I2003"/>
      <c r="J2003" t="s">
        <v>5495</v>
      </c>
      <c r="K2003" t="s">
        <v>5496</v>
      </c>
      <c r="M2003" t="s">
        <v>666</v>
      </c>
      <c r="N2003"/>
      <c r="O2003"/>
      <c r="P2003"/>
      <c r="Q2003"/>
      <c r="R2003"/>
      <c r="S2003"/>
    </row>
    <row r="2004" spans="1:19" x14ac:dyDescent="0.25">
      <c r="A2004" s="28" t="s">
        <v>14843</v>
      </c>
      <c r="C2004"/>
      <c r="E2004"/>
      <c r="F2004"/>
      <c r="G2004"/>
      <c r="H2004"/>
      <c r="I2004"/>
      <c r="J2004" t="s">
        <v>5497</v>
      </c>
      <c r="K2004" t="s">
        <v>5498</v>
      </c>
      <c r="M2004" t="s">
        <v>666</v>
      </c>
      <c r="N2004"/>
      <c r="O2004"/>
      <c r="P2004"/>
      <c r="Q2004"/>
      <c r="R2004"/>
      <c r="S2004"/>
    </row>
    <row r="2005" spans="1:19" x14ac:dyDescent="0.25">
      <c r="A2005" s="28" t="s">
        <v>14843</v>
      </c>
      <c r="C2005"/>
      <c r="E2005"/>
      <c r="F2005"/>
      <c r="G2005"/>
      <c r="H2005"/>
      <c r="I2005"/>
      <c r="J2005" t="s">
        <v>5499</v>
      </c>
      <c r="K2005" t="s">
        <v>5500</v>
      </c>
      <c r="M2005" t="s">
        <v>666</v>
      </c>
      <c r="N2005"/>
      <c r="O2005"/>
      <c r="P2005"/>
      <c r="Q2005"/>
      <c r="R2005"/>
      <c r="S2005"/>
    </row>
    <row r="2006" spans="1:19" x14ac:dyDescent="0.25">
      <c r="A2006" s="28" t="s">
        <v>14843</v>
      </c>
      <c r="C2006"/>
      <c r="E2006"/>
      <c r="F2006"/>
      <c r="G2006"/>
      <c r="H2006"/>
      <c r="I2006"/>
      <c r="J2006" t="s">
        <v>5501</v>
      </c>
      <c r="K2006" t="s">
        <v>5502</v>
      </c>
      <c r="M2006" t="s">
        <v>666</v>
      </c>
      <c r="N2006"/>
      <c r="O2006"/>
      <c r="P2006"/>
      <c r="Q2006"/>
      <c r="R2006"/>
      <c r="S2006"/>
    </row>
    <row r="2007" spans="1:19" x14ac:dyDescent="0.25">
      <c r="A2007" s="28" t="s">
        <v>14843</v>
      </c>
      <c r="C2007"/>
      <c r="E2007"/>
      <c r="F2007"/>
      <c r="G2007"/>
      <c r="H2007"/>
      <c r="I2007"/>
      <c r="J2007" t="s">
        <v>5503</v>
      </c>
      <c r="K2007" t="s">
        <v>5504</v>
      </c>
      <c r="M2007" t="s">
        <v>666</v>
      </c>
      <c r="N2007"/>
      <c r="O2007"/>
      <c r="P2007"/>
      <c r="Q2007"/>
      <c r="R2007"/>
      <c r="S2007"/>
    </row>
    <row r="2008" spans="1:19" x14ac:dyDescent="0.25">
      <c r="A2008" s="28" t="s">
        <v>14843</v>
      </c>
      <c r="J2008" t="s">
        <v>5505</v>
      </c>
      <c r="K2008" t="s">
        <v>5506</v>
      </c>
      <c r="M2008" t="s">
        <v>666</v>
      </c>
      <c r="N2008"/>
      <c r="O2008"/>
      <c r="P2008"/>
      <c r="Q2008"/>
      <c r="R2008"/>
      <c r="S2008"/>
    </row>
    <row r="2009" spans="1:19" x14ac:dyDescent="0.25">
      <c r="A2009" s="28" t="s">
        <v>14843</v>
      </c>
      <c r="J2009" t="s">
        <v>5507</v>
      </c>
      <c r="K2009" t="s">
        <v>5508</v>
      </c>
      <c r="M2009" t="s">
        <v>666</v>
      </c>
      <c r="N2009"/>
      <c r="O2009"/>
      <c r="P2009"/>
      <c r="Q2009"/>
      <c r="R2009"/>
      <c r="S2009"/>
    </row>
    <row r="2010" spans="1:19" x14ac:dyDescent="0.25">
      <c r="A2010" t="s">
        <v>193</v>
      </c>
      <c r="C2010" s="27" t="s">
        <v>34749</v>
      </c>
      <c r="D2010" s="28" t="s">
        <v>34867</v>
      </c>
      <c r="J2010" t="s">
        <v>5509</v>
      </c>
      <c r="K2010" t="s">
        <v>5510</v>
      </c>
      <c r="L2010" s="28" t="s">
        <v>5511</v>
      </c>
      <c r="M2010" t="s">
        <v>23</v>
      </c>
      <c r="N2010"/>
      <c r="O2010"/>
      <c r="P2010"/>
      <c r="Q2010"/>
      <c r="R2010"/>
      <c r="S2010"/>
    </row>
    <row r="2011" spans="1:19" x14ac:dyDescent="0.25">
      <c r="A2011" s="28" t="s">
        <v>14843</v>
      </c>
      <c r="J2011" t="s">
        <v>5512</v>
      </c>
      <c r="K2011" t="s">
        <v>5513</v>
      </c>
      <c r="M2011" t="s">
        <v>47</v>
      </c>
      <c r="N2011"/>
      <c r="O2011"/>
      <c r="P2011"/>
      <c r="Q2011"/>
      <c r="R2011"/>
      <c r="S2011"/>
    </row>
    <row r="2012" spans="1:19" x14ac:dyDescent="0.25">
      <c r="A2012" s="28" t="s">
        <v>14843</v>
      </c>
      <c r="J2012" t="s">
        <v>5514</v>
      </c>
      <c r="K2012" t="s">
        <v>5515</v>
      </c>
      <c r="M2012" t="s">
        <v>2820</v>
      </c>
      <c r="N2012"/>
      <c r="O2012"/>
      <c r="P2012"/>
      <c r="Q2012"/>
      <c r="R2012"/>
      <c r="S2012"/>
    </row>
    <row r="2013" spans="1:19" x14ac:dyDescent="0.25">
      <c r="A2013" s="28" t="s">
        <v>14843</v>
      </c>
      <c r="J2013" t="s">
        <v>5516</v>
      </c>
      <c r="K2013" t="s">
        <v>5517</v>
      </c>
      <c r="M2013" t="s">
        <v>2820</v>
      </c>
      <c r="N2013"/>
      <c r="O2013"/>
      <c r="P2013"/>
      <c r="Q2013"/>
      <c r="R2013"/>
      <c r="S2013"/>
    </row>
    <row r="2014" spans="1:19" x14ac:dyDescent="0.25">
      <c r="A2014" s="28" t="s">
        <v>14843</v>
      </c>
      <c r="J2014" t="s">
        <v>5518</v>
      </c>
      <c r="K2014" t="s">
        <v>5519</v>
      </c>
      <c r="M2014" t="s">
        <v>47</v>
      </c>
      <c r="N2014"/>
      <c r="O2014"/>
      <c r="P2014"/>
      <c r="Q2014"/>
      <c r="R2014"/>
      <c r="S2014"/>
    </row>
    <row r="2015" spans="1:19" x14ac:dyDescent="0.25">
      <c r="A2015" s="27" t="s">
        <v>193</v>
      </c>
      <c r="C2015" s="27" t="s">
        <v>34749</v>
      </c>
      <c r="D2015" s="28" t="s">
        <v>34867</v>
      </c>
      <c r="J2015" t="s">
        <v>5520</v>
      </c>
      <c r="K2015" t="s">
        <v>5521</v>
      </c>
      <c r="M2015" t="s">
        <v>47</v>
      </c>
      <c r="N2015"/>
      <c r="O2015"/>
      <c r="P2015"/>
      <c r="Q2015"/>
      <c r="R2015"/>
      <c r="S2015"/>
    </row>
    <row r="2016" spans="1:19" x14ac:dyDescent="0.25">
      <c r="A2016" s="28" t="s">
        <v>14843</v>
      </c>
      <c r="J2016" t="s">
        <v>5522</v>
      </c>
      <c r="K2016" t="s">
        <v>5523</v>
      </c>
      <c r="M2016" t="s">
        <v>666</v>
      </c>
      <c r="N2016"/>
      <c r="O2016"/>
      <c r="P2016"/>
      <c r="Q2016"/>
      <c r="R2016"/>
      <c r="S2016"/>
    </row>
    <row r="2017" spans="1:19" x14ac:dyDescent="0.25">
      <c r="A2017" s="28" t="s">
        <v>14843</v>
      </c>
      <c r="J2017" t="s">
        <v>5524</v>
      </c>
      <c r="K2017" t="s">
        <v>5525</v>
      </c>
      <c r="M2017" t="s">
        <v>666</v>
      </c>
      <c r="N2017"/>
      <c r="O2017"/>
      <c r="P2017"/>
      <c r="Q2017"/>
      <c r="R2017"/>
      <c r="S2017"/>
    </row>
    <row r="2018" spans="1:19" x14ac:dyDescent="0.25">
      <c r="A2018" s="28" t="s">
        <v>14843</v>
      </c>
      <c r="J2018" t="s">
        <v>5526</v>
      </c>
      <c r="K2018" t="s">
        <v>5527</v>
      </c>
      <c r="M2018" t="s">
        <v>666</v>
      </c>
      <c r="N2018"/>
      <c r="O2018"/>
      <c r="P2018"/>
      <c r="Q2018"/>
      <c r="R2018"/>
      <c r="S2018"/>
    </row>
    <row r="2019" spans="1:19" x14ac:dyDescent="0.25">
      <c r="A2019" s="28" t="s">
        <v>14843</v>
      </c>
      <c r="J2019" t="s">
        <v>5528</v>
      </c>
      <c r="K2019" t="s">
        <v>5529</v>
      </c>
      <c r="M2019" t="s">
        <v>666</v>
      </c>
      <c r="N2019"/>
      <c r="O2019"/>
      <c r="P2019"/>
      <c r="Q2019"/>
      <c r="R2019"/>
      <c r="S2019"/>
    </row>
    <row r="2020" spans="1:19" x14ac:dyDescent="0.25">
      <c r="A2020" s="28" t="s">
        <v>14843</v>
      </c>
      <c r="J2020" t="s">
        <v>5530</v>
      </c>
      <c r="K2020" t="s">
        <v>5531</v>
      </c>
      <c r="M2020" t="s">
        <v>47</v>
      </c>
      <c r="N2020"/>
      <c r="O2020"/>
      <c r="P2020"/>
      <c r="Q2020"/>
      <c r="R2020"/>
      <c r="S2020"/>
    </row>
    <row r="2021" spans="1:19" x14ac:dyDescent="0.25">
      <c r="A2021" s="28" t="s">
        <v>14843</v>
      </c>
      <c r="J2021" t="s">
        <v>5532</v>
      </c>
      <c r="K2021" t="s">
        <v>5533</v>
      </c>
      <c r="M2021" t="s">
        <v>47</v>
      </c>
      <c r="N2021"/>
      <c r="O2021"/>
      <c r="P2021"/>
      <c r="Q2021"/>
      <c r="R2021"/>
      <c r="S2021"/>
    </row>
    <row r="2022" spans="1:19" x14ac:dyDescent="0.25">
      <c r="A2022" s="28" t="s">
        <v>14843</v>
      </c>
      <c r="J2022" t="s">
        <v>5534</v>
      </c>
      <c r="K2022" t="s">
        <v>5535</v>
      </c>
      <c r="M2022" t="s">
        <v>2820</v>
      </c>
      <c r="N2022"/>
      <c r="O2022"/>
      <c r="P2022"/>
      <c r="Q2022"/>
      <c r="R2022"/>
      <c r="S2022"/>
    </row>
    <row r="2023" spans="1:19" x14ac:dyDescent="0.25">
      <c r="A2023" s="28" t="s">
        <v>14843</v>
      </c>
      <c r="J2023" t="s">
        <v>5536</v>
      </c>
      <c r="K2023" t="s">
        <v>5537</v>
      </c>
      <c r="M2023" t="s">
        <v>2820</v>
      </c>
      <c r="N2023"/>
      <c r="O2023"/>
      <c r="P2023"/>
      <c r="Q2023"/>
      <c r="R2023"/>
      <c r="S2023"/>
    </row>
    <row r="2024" spans="1:19" x14ac:dyDescent="0.25">
      <c r="A2024" s="28" t="s">
        <v>14843</v>
      </c>
      <c r="J2024" t="s">
        <v>5538</v>
      </c>
      <c r="K2024" t="s">
        <v>5539</v>
      </c>
      <c r="M2024" t="s">
        <v>47</v>
      </c>
      <c r="N2024"/>
      <c r="O2024"/>
      <c r="P2024"/>
      <c r="Q2024"/>
      <c r="R2024"/>
      <c r="S2024"/>
    </row>
    <row r="2025" spans="1:19" x14ac:dyDescent="0.25">
      <c r="A2025" s="28" t="s">
        <v>14843</v>
      </c>
      <c r="J2025" t="s">
        <v>5540</v>
      </c>
      <c r="K2025" t="s">
        <v>5541</v>
      </c>
      <c r="M2025" t="s">
        <v>47</v>
      </c>
      <c r="N2025"/>
      <c r="O2025"/>
      <c r="P2025"/>
      <c r="Q2025"/>
      <c r="R2025"/>
      <c r="S2025"/>
    </row>
    <row r="2026" spans="1:19" x14ac:dyDescent="0.25">
      <c r="A2026" s="28" t="s">
        <v>14843</v>
      </c>
      <c r="J2026" t="s">
        <v>5542</v>
      </c>
      <c r="K2026" t="s">
        <v>5543</v>
      </c>
      <c r="M2026" t="s">
        <v>47</v>
      </c>
      <c r="N2026"/>
      <c r="O2026"/>
      <c r="P2026"/>
      <c r="Q2026"/>
      <c r="R2026"/>
      <c r="S2026"/>
    </row>
    <row r="2027" spans="1:19" x14ac:dyDescent="0.25">
      <c r="A2027" s="28" t="s">
        <v>14843</v>
      </c>
      <c r="J2027" t="s">
        <v>5544</v>
      </c>
      <c r="K2027" t="s">
        <v>5545</v>
      </c>
      <c r="M2027" t="s">
        <v>47</v>
      </c>
      <c r="N2027"/>
      <c r="O2027"/>
      <c r="P2027"/>
      <c r="Q2027"/>
      <c r="R2027"/>
      <c r="S2027"/>
    </row>
    <row r="2028" spans="1:19" x14ac:dyDescent="0.25">
      <c r="A2028" s="28" t="s">
        <v>14843</v>
      </c>
      <c r="J2028" t="s">
        <v>5546</v>
      </c>
      <c r="K2028" t="s">
        <v>5547</v>
      </c>
      <c r="M2028" t="s">
        <v>2779</v>
      </c>
      <c r="N2028"/>
      <c r="O2028"/>
      <c r="P2028"/>
      <c r="Q2028"/>
      <c r="R2028"/>
      <c r="S2028"/>
    </row>
    <row r="2029" spans="1:19" x14ac:dyDescent="0.25">
      <c r="A2029" s="28" t="s">
        <v>14843</v>
      </c>
      <c r="J2029" t="s">
        <v>5548</v>
      </c>
      <c r="K2029" t="s">
        <v>5549</v>
      </c>
      <c r="M2029" t="s">
        <v>47</v>
      </c>
      <c r="N2029"/>
      <c r="O2029"/>
      <c r="P2029"/>
      <c r="Q2029"/>
      <c r="R2029"/>
      <c r="S2029"/>
    </row>
    <row r="2030" spans="1:19" x14ac:dyDescent="0.25">
      <c r="A2030" s="28" t="s">
        <v>14843</v>
      </c>
      <c r="J2030" t="s">
        <v>5550</v>
      </c>
      <c r="K2030" t="s">
        <v>5551</v>
      </c>
      <c r="M2030" t="s">
        <v>47</v>
      </c>
      <c r="N2030"/>
      <c r="O2030"/>
      <c r="P2030"/>
      <c r="Q2030"/>
      <c r="R2030"/>
      <c r="S2030"/>
    </row>
    <row r="2031" spans="1:19" x14ac:dyDescent="0.25">
      <c r="A2031" s="28" t="s">
        <v>14843</v>
      </c>
      <c r="J2031" t="s">
        <v>5552</v>
      </c>
      <c r="K2031" t="s">
        <v>5553</v>
      </c>
      <c r="M2031" t="s">
        <v>47</v>
      </c>
      <c r="N2031"/>
      <c r="O2031"/>
      <c r="P2031"/>
      <c r="Q2031"/>
      <c r="R2031"/>
      <c r="S2031"/>
    </row>
    <row r="2032" spans="1:19" x14ac:dyDescent="0.25">
      <c r="A2032" t="s">
        <v>193</v>
      </c>
      <c r="C2032" s="27" t="s">
        <v>34749</v>
      </c>
      <c r="D2032" s="28" t="s">
        <v>34867</v>
      </c>
      <c r="J2032" t="s">
        <v>5554</v>
      </c>
      <c r="K2032" t="s">
        <v>5555</v>
      </c>
      <c r="L2032" s="28" t="s">
        <v>5556</v>
      </c>
      <c r="M2032" t="s">
        <v>23</v>
      </c>
      <c r="N2032"/>
      <c r="O2032"/>
      <c r="P2032"/>
      <c r="Q2032"/>
      <c r="R2032"/>
      <c r="S2032"/>
    </row>
    <row r="2033" spans="1:19" x14ac:dyDescent="0.25">
      <c r="A2033" t="s">
        <v>193</v>
      </c>
      <c r="C2033" s="27" t="s">
        <v>34749</v>
      </c>
      <c r="D2033" s="28" t="s">
        <v>34867</v>
      </c>
      <c r="J2033" t="s">
        <v>5557</v>
      </c>
      <c r="K2033" t="s">
        <v>5558</v>
      </c>
      <c r="L2033" s="28" t="s">
        <v>5559</v>
      </c>
      <c r="M2033" t="s">
        <v>23</v>
      </c>
      <c r="N2033"/>
      <c r="O2033"/>
      <c r="P2033"/>
      <c r="Q2033"/>
      <c r="R2033"/>
      <c r="S2033"/>
    </row>
    <row r="2034" spans="1:19" x14ac:dyDescent="0.25">
      <c r="A2034" t="s">
        <v>193</v>
      </c>
      <c r="C2034" s="27" t="s">
        <v>34749</v>
      </c>
      <c r="D2034" s="28" t="s">
        <v>34867</v>
      </c>
      <c r="J2034" t="s">
        <v>5560</v>
      </c>
      <c r="K2034" t="s">
        <v>5561</v>
      </c>
      <c r="L2034" s="28" t="s">
        <v>5562</v>
      </c>
      <c r="M2034" t="s">
        <v>23</v>
      </c>
      <c r="N2034"/>
      <c r="O2034"/>
      <c r="P2034"/>
      <c r="Q2034"/>
      <c r="R2034"/>
      <c r="S2034"/>
    </row>
    <row r="2035" spans="1:19" x14ac:dyDescent="0.25">
      <c r="A2035" t="s">
        <v>193</v>
      </c>
      <c r="C2035" s="27" t="s">
        <v>34749</v>
      </c>
      <c r="D2035" s="28" t="s">
        <v>34867</v>
      </c>
      <c r="J2035" t="s">
        <v>5563</v>
      </c>
      <c r="K2035" t="s">
        <v>5564</v>
      </c>
      <c r="L2035" s="28" t="s">
        <v>5565</v>
      </c>
      <c r="M2035" t="s">
        <v>23</v>
      </c>
      <c r="N2035"/>
      <c r="O2035"/>
      <c r="P2035"/>
      <c r="Q2035"/>
      <c r="R2035"/>
      <c r="S2035"/>
    </row>
    <row r="2036" spans="1:19" x14ac:dyDescent="0.25">
      <c r="A2036" t="s">
        <v>193</v>
      </c>
      <c r="C2036" s="27" t="s">
        <v>34749</v>
      </c>
      <c r="D2036" s="28" t="s">
        <v>34867</v>
      </c>
      <c r="J2036" t="s">
        <v>5566</v>
      </c>
      <c r="K2036" t="s">
        <v>5567</v>
      </c>
      <c r="L2036" s="28" t="s">
        <v>5568</v>
      </c>
      <c r="M2036" t="s">
        <v>23</v>
      </c>
      <c r="N2036"/>
      <c r="O2036"/>
      <c r="P2036"/>
      <c r="Q2036"/>
      <c r="R2036"/>
      <c r="S2036"/>
    </row>
    <row r="2037" spans="1:19" x14ac:dyDescent="0.25">
      <c r="A2037" t="s">
        <v>193</v>
      </c>
      <c r="C2037" s="27" t="s">
        <v>34749</v>
      </c>
      <c r="D2037" s="28" t="s">
        <v>34867</v>
      </c>
      <c r="J2037" t="s">
        <v>5569</v>
      </c>
      <c r="K2037" t="s">
        <v>5570</v>
      </c>
      <c r="L2037" s="28" t="s">
        <v>5571</v>
      </c>
      <c r="M2037" t="s">
        <v>23</v>
      </c>
      <c r="N2037"/>
      <c r="O2037"/>
      <c r="P2037"/>
      <c r="Q2037"/>
      <c r="R2037"/>
      <c r="S2037"/>
    </row>
    <row r="2038" spans="1:19" x14ac:dyDescent="0.25">
      <c r="A2038" t="s">
        <v>193</v>
      </c>
      <c r="C2038" s="27" t="s">
        <v>34749</v>
      </c>
      <c r="D2038" s="28" t="s">
        <v>34867</v>
      </c>
      <c r="J2038" t="s">
        <v>5572</v>
      </c>
      <c r="K2038" t="s">
        <v>5573</v>
      </c>
      <c r="L2038" s="28" t="s">
        <v>5574</v>
      </c>
      <c r="M2038" t="s">
        <v>23</v>
      </c>
      <c r="N2038"/>
      <c r="O2038"/>
      <c r="P2038"/>
      <c r="Q2038"/>
      <c r="R2038"/>
      <c r="S2038"/>
    </row>
    <row r="2039" spans="1:19" x14ac:dyDescent="0.25">
      <c r="A2039" t="s">
        <v>193</v>
      </c>
      <c r="C2039" s="27" t="s">
        <v>34749</v>
      </c>
      <c r="D2039" s="28" t="s">
        <v>34867</v>
      </c>
      <c r="J2039" t="s">
        <v>5575</v>
      </c>
      <c r="K2039" t="s">
        <v>5576</v>
      </c>
      <c r="L2039" s="28" t="s">
        <v>5577</v>
      </c>
      <c r="M2039" t="s">
        <v>23</v>
      </c>
      <c r="N2039"/>
      <c r="O2039"/>
      <c r="P2039"/>
      <c r="Q2039"/>
      <c r="R2039"/>
      <c r="S2039"/>
    </row>
    <row r="2040" spans="1:19" x14ac:dyDescent="0.25">
      <c r="A2040" t="s">
        <v>193</v>
      </c>
      <c r="C2040" s="27" t="s">
        <v>34749</v>
      </c>
      <c r="D2040" s="28" t="s">
        <v>34867</v>
      </c>
      <c r="J2040" t="s">
        <v>5578</v>
      </c>
      <c r="K2040" t="s">
        <v>5579</v>
      </c>
      <c r="L2040" s="28" t="s">
        <v>5580</v>
      </c>
      <c r="M2040" t="s">
        <v>23</v>
      </c>
      <c r="N2040"/>
      <c r="O2040"/>
      <c r="P2040"/>
      <c r="Q2040"/>
      <c r="R2040"/>
      <c r="S2040"/>
    </row>
    <row r="2041" spans="1:19" x14ac:dyDescent="0.25">
      <c r="A2041" t="s">
        <v>193</v>
      </c>
      <c r="C2041" s="27" t="s">
        <v>34749</v>
      </c>
      <c r="D2041" s="28" t="s">
        <v>34867</v>
      </c>
      <c r="J2041" t="s">
        <v>5581</v>
      </c>
      <c r="K2041" t="s">
        <v>5582</v>
      </c>
      <c r="L2041" s="28" t="s">
        <v>5583</v>
      </c>
      <c r="M2041" t="s">
        <v>23</v>
      </c>
      <c r="N2041"/>
      <c r="O2041"/>
      <c r="P2041"/>
      <c r="Q2041"/>
      <c r="R2041"/>
      <c r="S2041"/>
    </row>
    <row r="2042" spans="1:19" x14ac:dyDescent="0.25">
      <c r="A2042" s="28" t="s">
        <v>14843</v>
      </c>
      <c r="J2042" t="s">
        <v>5584</v>
      </c>
      <c r="K2042" t="s">
        <v>5585</v>
      </c>
      <c r="M2042" t="s">
        <v>47</v>
      </c>
      <c r="N2042"/>
      <c r="O2042"/>
      <c r="P2042"/>
      <c r="Q2042"/>
      <c r="R2042"/>
      <c r="S2042"/>
    </row>
    <row r="2043" spans="1:19" x14ac:dyDescent="0.25">
      <c r="A2043" s="28" t="s">
        <v>14843</v>
      </c>
      <c r="J2043" t="s">
        <v>5586</v>
      </c>
      <c r="K2043" t="s">
        <v>5587</v>
      </c>
      <c r="M2043" t="s">
        <v>2820</v>
      </c>
      <c r="N2043"/>
      <c r="O2043"/>
      <c r="P2043"/>
      <c r="Q2043"/>
      <c r="R2043"/>
      <c r="S2043"/>
    </row>
    <row r="2044" spans="1:19" x14ac:dyDescent="0.25">
      <c r="A2044" s="28" t="s">
        <v>14843</v>
      </c>
      <c r="J2044" t="s">
        <v>5588</v>
      </c>
      <c r="K2044" t="s">
        <v>5589</v>
      </c>
      <c r="M2044" t="s">
        <v>666</v>
      </c>
      <c r="N2044"/>
      <c r="O2044"/>
      <c r="P2044"/>
      <c r="Q2044"/>
      <c r="R2044"/>
      <c r="S2044"/>
    </row>
    <row r="2045" spans="1:19" x14ac:dyDescent="0.25">
      <c r="A2045" s="28" t="s">
        <v>14843</v>
      </c>
      <c r="J2045" t="s">
        <v>5590</v>
      </c>
      <c r="K2045" t="s">
        <v>5591</v>
      </c>
      <c r="M2045" t="s">
        <v>666</v>
      </c>
      <c r="N2045"/>
      <c r="O2045"/>
      <c r="P2045"/>
      <c r="Q2045"/>
      <c r="R2045"/>
      <c r="S2045"/>
    </row>
    <row r="2046" spans="1:19" x14ac:dyDescent="0.25">
      <c r="A2046" s="28" t="s">
        <v>14843</v>
      </c>
      <c r="J2046" t="s">
        <v>5592</v>
      </c>
      <c r="K2046" t="s">
        <v>5593</v>
      </c>
      <c r="M2046" t="s">
        <v>2820</v>
      </c>
      <c r="N2046"/>
      <c r="O2046"/>
      <c r="P2046"/>
      <c r="Q2046"/>
      <c r="R2046"/>
      <c r="S2046"/>
    </row>
    <row r="2047" spans="1:19" x14ac:dyDescent="0.25">
      <c r="A2047" s="28" t="s">
        <v>14843</v>
      </c>
      <c r="J2047" t="s">
        <v>5594</v>
      </c>
      <c r="K2047" t="s">
        <v>5595</v>
      </c>
      <c r="M2047" t="s">
        <v>2820</v>
      </c>
      <c r="N2047"/>
      <c r="O2047"/>
      <c r="P2047"/>
      <c r="Q2047"/>
      <c r="R2047"/>
      <c r="S2047"/>
    </row>
    <row r="2048" spans="1:19" x14ac:dyDescent="0.25">
      <c r="A2048" s="28" t="s">
        <v>14843</v>
      </c>
      <c r="J2048" t="s">
        <v>5596</v>
      </c>
      <c r="K2048" t="s">
        <v>5597</v>
      </c>
      <c r="M2048" t="s">
        <v>2820</v>
      </c>
      <c r="N2048"/>
      <c r="O2048"/>
      <c r="P2048"/>
      <c r="Q2048"/>
      <c r="R2048"/>
      <c r="S2048"/>
    </row>
    <row r="2049" spans="1:19" x14ac:dyDescent="0.25">
      <c r="A2049" s="28" t="s">
        <v>14843</v>
      </c>
      <c r="J2049" t="s">
        <v>5598</v>
      </c>
      <c r="K2049" t="s">
        <v>5599</v>
      </c>
      <c r="M2049" t="s">
        <v>666</v>
      </c>
      <c r="N2049"/>
      <c r="O2049"/>
      <c r="P2049"/>
      <c r="Q2049"/>
      <c r="R2049"/>
      <c r="S2049"/>
    </row>
    <row r="2050" spans="1:19" x14ac:dyDescent="0.25">
      <c r="A2050" s="28" t="s">
        <v>14843</v>
      </c>
      <c r="J2050" t="s">
        <v>5600</v>
      </c>
      <c r="K2050" t="s">
        <v>5601</v>
      </c>
      <c r="M2050" t="s">
        <v>2820</v>
      </c>
      <c r="N2050"/>
      <c r="O2050"/>
      <c r="P2050"/>
      <c r="Q2050"/>
      <c r="R2050"/>
      <c r="S2050"/>
    </row>
    <row r="2051" spans="1:19" x14ac:dyDescent="0.25">
      <c r="A2051" s="28" t="s">
        <v>14843</v>
      </c>
      <c r="J2051" t="s">
        <v>5602</v>
      </c>
      <c r="K2051" t="s">
        <v>5603</v>
      </c>
      <c r="M2051" t="s">
        <v>2820</v>
      </c>
      <c r="N2051"/>
      <c r="O2051"/>
      <c r="P2051"/>
      <c r="Q2051"/>
      <c r="R2051"/>
      <c r="S2051"/>
    </row>
    <row r="2052" spans="1:19" x14ac:dyDescent="0.25">
      <c r="A2052" s="28" t="s">
        <v>14843</v>
      </c>
      <c r="J2052" t="s">
        <v>5604</v>
      </c>
      <c r="K2052" t="s">
        <v>5605</v>
      </c>
      <c r="M2052" t="s">
        <v>2820</v>
      </c>
      <c r="N2052"/>
      <c r="O2052"/>
      <c r="P2052"/>
      <c r="Q2052"/>
      <c r="R2052"/>
      <c r="S2052"/>
    </row>
    <row r="2053" spans="1:19" x14ac:dyDescent="0.25">
      <c r="A2053" s="28" t="s">
        <v>14843</v>
      </c>
      <c r="J2053" t="s">
        <v>5606</v>
      </c>
      <c r="K2053" t="s">
        <v>5607</v>
      </c>
      <c r="M2053" t="s">
        <v>666</v>
      </c>
      <c r="N2053"/>
      <c r="O2053"/>
      <c r="P2053"/>
      <c r="Q2053"/>
      <c r="R2053"/>
      <c r="S2053"/>
    </row>
    <row r="2054" spans="1:19" x14ac:dyDescent="0.25">
      <c r="A2054" s="28" t="s">
        <v>14843</v>
      </c>
      <c r="J2054" t="s">
        <v>5608</v>
      </c>
      <c r="K2054" t="s">
        <v>5609</v>
      </c>
      <c r="M2054" t="s">
        <v>666</v>
      </c>
      <c r="N2054"/>
      <c r="O2054"/>
      <c r="P2054"/>
      <c r="Q2054"/>
      <c r="R2054"/>
      <c r="S2054"/>
    </row>
    <row r="2055" spans="1:19" x14ac:dyDescent="0.25">
      <c r="A2055" s="28" t="s">
        <v>14843</v>
      </c>
      <c r="J2055" t="s">
        <v>5610</v>
      </c>
      <c r="K2055" t="s">
        <v>5611</v>
      </c>
      <c r="M2055" t="s">
        <v>666</v>
      </c>
      <c r="N2055"/>
      <c r="O2055"/>
      <c r="P2055"/>
      <c r="Q2055"/>
      <c r="R2055"/>
      <c r="S2055"/>
    </row>
    <row r="2056" spans="1:19" x14ac:dyDescent="0.25">
      <c r="A2056" s="28" t="s">
        <v>14843</v>
      </c>
      <c r="C2056"/>
      <c r="E2056"/>
      <c r="F2056"/>
      <c r="G2056"/>
      <c r="H2056"/>
      <c r="I2056"/>
      <c r="J2056" t="s">
        <v>5612</v>
      </c>
      <c r="K2056" t="s">
        <v>5613</v>
      </c>
      <c r="M2056" t="s">
        <v>666</v>
      </c>
      <c r="N2056"/>
      <c r="O2056"/>
      <c r="P2056"/>
      <c r="Q2056"/>
      <c r="R2056"/>
      <c r="S2056"/>
    </row>
    <row r="2057" spans="1:19" x14ac:dyDescent="0.25">
      <c r="A2057" s="28" t="s">
        <v>14843</v>
      </c>
      <c r="C2057"/>
      <c r="E2057"/>
      <c r="F2057"/>
      <c r="G2057"/>
      <c r="H2057"/>
      <c r="I2057"/>
      <c r="J2057" t="s">
        <v>5614</v>
      </c>
      <c r="K2057" t="s">
        <v>5615</v>
      </c>
      <c r="M2057" t="s">
        <v>666</v>
      </c>
      <c r="N2057"/>
      <c r="O2057"/>
      <c r="P2057"/>
      <c r="Q2057"/>
      <c r="R2057"/>
      <c r="S2057"/>
    </row>
    <row r="2058" spans="1:19" x14ac:dyDescent="0.25">
      <c r="A2058" s="28" t="s">
        <v>14843</v>
      </c>
      <c r="C2058"/>
      <c r="E2058"/>
      <c r="F2058"/>
      <c r="G2058"/>
      <c r="H2058"/>
      <c r="I2058"/>
      <c r="J2058" t="s">
        <v>5616</v>
      </c>
      <c r="K2058" t="s">
        <v>5617</v>
      </c>
      <c r="M2058" t="s">
        <v>666</v>
      </c>
      <c r="N2058"/>
      <c r="O2058"/>
      <c r="P2058"/>
      <c r="Q2058"/>
      <c r="R2058"/>
      <c r="S2058"/>
    </row>
    <row r="2059" spans="1:19" x14ac:dyDescent="0.25">
      <c r="A2059" s="28" t="s">
        <v>14843</v>
      </c>
      <c r="C2059"/>
      <c r="E2059"/>
      <c r="F2059"/>
      <c r="G2059"/>
      <c r="H2059"/>
      <c r="I2059"/>
      <c r="J2059" t="s">
        <v>5618</v>
      </c>
      <c r="K2059" t="s">
        <v>5619</v>
      </c>
      <c r="M2059" t="s">
        <v>666</v>
      </c>
      <c r="N2059"/>
      <c r="O2059"/>
      <c r="P2059"/>
      <c r="Q2059"/>
      <c r="R2059"/>
      <c r="S2059"/>
    </row>
    <row r="2060" spans="1:19" x14ac:dyDescent="0.25">
      <c r="A2060" s="28" t="s">
        <v>14843</v>
      </c>
      <c r="C2060"/>
      <c r="E2060"/>
      <c r="F2060"/>
      <c r="G2060"/>
      <c r="H2060"/>
      <c r="I2060"/>
      <c r="J2060" t="s">
        <v>5620</v>
      </c>
      <c r="K2060" t="s">
        <v>5621</v>
      </c>
      <c r="M2060" t="s">
        <v>666</v>
      </c>
      <c r="N2060"/>
      <c r="O2060"/>
      <c r="P2060"/>
      <c r="Q2060"/>
      <c r="R2060"/>
      <c r="S2060"/>
    </row>
    <row r="2061" spans="1:19" x14ac:dyDescent="0.25">
      <c r="A2061" s="28" t="s">
        <v>14843</v>
      </c>
      <c r="C2061"/>
      <c r="E2061"/>
      <c r="F2061"/>
      <c r="G2061"/>
      <c r="H2061"/>
      <c r="I2061"/>
      <c r="J2061" t="s">
        <v>5622</v>
      </c>
      <c r="K2061" t="s">
        <v>5623</v>
      </c>
      <c r="M2061" t="s">
        <v>666</v>
      </c>
      <c r="N2061"/>
      <c r="O2061"/>
      <c r="P2061"/>
      <c r="Q2061"/>
      <c r="R2061"/>
      <c r="S2061"/>
    </row>
    <row r="2062" spans="1:19" x14ac:dyDescent="0.25">
      <c r="A2062" s="28" t="s">
        <v>14843</v>
      </c>
      <c r="C2062"/>
      <c r="E2062"/>
      <c r="F2062"/>
      <c r="G2062"/>
      <c r="H2062"/>
      <c r="I2062"/>
      <c r="J2062" t="s">
        <v>5624</v>
      </c>
      <c r="K2062" t="s">
        <v>5625</v>
      </c>
      <c r="M2062" t="s">
        <v>666</v>
      </c>
      <c r="N2062"/>
      <c r="O2062"/>
      <c r="P2062"/>
      <c r="Q2062"/>
      <c r="R2062"/>
      <c r="S2062"/>
    </row>
    <row r="2063" spans="1:19" x14ac:dyDescent="0.25">
      <c r="A2063" s="28" t="s">
        <v>14843</v>
      </c>
      <c r="C2063"/>
      <c r="E2063"/>
      <c r="F2063"/>
      <c r="G2063"/>
      <c r="H2063"/>
      <c r="I2063"/>
      <c r="J2063" t="s">
        <v>5626</v>
      </c>
      <c r="K2063" t="s">
        <v>5627</v>
      </c>
      <c r="M2063" t="s">
        <v>666</v>
      </c>
      <c r="N2063"/>
      <c r="O2063"/>
      <c r="P2063"/>
      <c r="Q2063"/>
      <c r="R2063"/>
      <c r="S2063"/>
    </row>
    <row r="2064" spans="1:19" x14ac:dyDescent="0.25">
      <c r="A2064" s="28" t="s">
        <v>14843</v>
      </c>
      <c r="C2064"/>
      <c r="E2064"/>
      <c r="F2064"/>
      <c r="G2064"/>
      <c r="H2064"/>
      <c r="I2064"/>
      <c r="J2064" t="s">
        <v>5628</v>
      </c>
      <c r="K2064" t="s">
        <v>5629</v>
      </c>
      <c r="M2064" t="s">
        <v>666</v>
      </c>
      <c r="N2064"/>
      <c r="O2064"/>
      <c r="P2064"/>
      <c r="Q2064"/>
      <c r="R2064"/>
      <c r="S2064"/>
    </row>
    <row r="2065" spans="1:19" x14ac:dyDescent="0.25">
      <c r="A2065" s="28" t="s">
        <v>14843</v>
      </c>
      <c r="C2065"/>
      <c r="E2065"/>
      <c r="F2065"/>
      <c r="G2065"/>
      <c r="H2065"/>
      <c r="I2065"/>
      <c r="J2065" t="s">
        <v>5630</v>
      </c>
      <c r="K2065" t="s">
        <v>5631</v>
      </c>
      <c r="M2065" t="s">
        <v>666</v>
      </c>
      <c r="N2065"/>
      <c r="O2065"/>
      <c r="P2065"/>
      <c r="Q2065"/>
      <c r="R2065"/>
      <c r="S2065"/>
    </row>
    <row r="2066" spans="1:19" x14ac:dyDescent="0.25">
      <c r="A2066" s="28" t="s">
        <v>14843</v>
      </c>
      <c r="C2066"/>
      <c r="E2066"/>
      <c r="F2066"/>
      <c r="G2066"/>
      <c r="H2066"/>
      <c r="I2066"/>
      <c r="J2066" t="s">
        <v>5632</v>
      </c>
      <c r="K2066" t="s">
        <v>5633</v>
      </c>
      <c r="M2066" t="s">
        <v>666</v>
      </c>
      <c r="N2066"/>
      <c r="O2066"/>
      <c r="P2066"/>
      <c r="Q2066"/>
      <c r="R2066"/>
      <c r="S2066"/>
    </row>
    <row r="2067" spans="1:19" x14ac:dyDescent="0.25">
      <c r="A2067" s="28" t="s">
        <v>14843</v>
      </c>
      <c r="C2067"/>
      <c r="E2067"/>
      <c r="F2067"/>
      <c r="G2067"/>
      <c r="H2067"/>
      <c r="I2067"/>
      <c r="J2067" t="s">
        <v>5634</v>
      </c>
      <c r="K2067" t="s">
        <v>5635</v>
      </c>
      <c r="M2067" t="s">
        <v>666</v>
      </c>
      <c r="N2067"/>
      <c r="O2067"/>
      <c r="P2067"/>
      <c r="Q2067"/>
      <c r="R2067"/>
      <c r="S2067"/>
    </row>
    <row r="2068" spans="1:19" x14ac:dyDescent="0.25">
      <c r="A2068" s="28" t="s">
        <v>14843</v>
      </c>
      <c r="C2068"/>
      <c r="E2068"/>
      <c r="F2068"/>
      <c r="G2068"/>
      <c r="H2068"/>
      <c r="I2068"/>
      <c r="J2068" t="s">
        <v>5636</v>
      </c>
      <c r="K2068" t="s">
        <v>5637</v>
      </c>
      <c r="M2068" t="s">
        <v>666</v>
      </c>
      <c r="N2068"/>
      <c r="O2068"/>
      <c r="P2068"/>
      <c r="Q2068"/>
      <c r="R2068"/>
      <c r="S2068"/>
    </row>
    <row r="2069" spans="1:19" x14ac:dyDescent="0.25">
      <c r="A2069" s="28" t="s">
        <v>14843</v>
      </c>
      <c r="C2069"/>
      <c r="E2069"/>
      <c r="F2069"/>
      <c r="G2069"/>
      <c r="H2069"/>
      <c r="I2069"/>
      <c r="J2069" t="s">
        <v>5638</v>
      </c>
      <c r="K2069" t="s">
        <v>5639</v>
      </c>
      <c r="M2069" t="s">
        <v>666</v>
      </c>
      <c r="N2069"/>
      <c r="O2069"/>
      <c r="P2069"/>
      <c r="Q2069"/>
      <c r="R2069"/>
      <c r="S2069"/>
    </row>
    <row r="2070" spans="1:19" x14ac:dyDescent="0.25">
      <c r="A2070" s="28" t="s">
        <v>14843</v>
      </c>
      <c r="C2070"/>
      <c r="E2070"/>
      <c r="F2070"/>
      <c r="G2070"/>
      <c r="H2070"/>
      <c r="I2070"/>
      <c r="J2070" t="s">
        <v>5640</v>
      </c>
      <c r="K2070" t="s">
        <v>5641</v>
      </c>
      <c r="M2070" t="s">
        <v>666</v>
      </c>
      <c r="N2070"/>
      <c r="O2070"/>
      <c r="P2070"/>
      <c r="Q2070"/>
      <c r="R2070"/>
      <c r="S2070"/>
    </row>
    <row r="2071" spans="1:19" x14ac:dyDescent="0.25">
      <c r="A2071" s="28" t="s">
        <v>14843</v>
      </c>
      <c r="C2071"/>
      <c r="E2071"/>
      <c r="F2071"/>
      <c r="G2071"/>
      <c r="H2071"/>
      <c r="I2071"/>
      <c r="J2071" t="s">
        <v>5642</v>
      </c>
      <c r="K2071" t="s">
        <v>5643</v>
      </c>
      <c r="M2071" t="s">
        <v>666</v>
      </c>
      <c r="N2071"/>
      <c r="O2071"/>
      <c r="P2071"/>
      <c r="Q2071"/>
      <c r="R2071"/>
      <c r="S2071"/>
    </row>
    <row r="2072" spans="1:19" x14ac:dyDescent="0.25">
      <c r="A2072" s="28" t="s">
        <v>14843</v>
      </c>
      <c r="J2072" t="s">
        <v>5644</v>
      </c>
      <c r="K2072" t="s">
        <v>5645</v>
      </c>
      <c r="M2072" t="s">
        <v>666</v>
      </c>
      <c r="N2072"/>
      <c r="O2072"/>
      <c r="P2072"/>
      <c r="Q2072"/>
      <c r="R2072"/>
      <c r="S2072"/>
    </row>
    <row r="2073" spans="1:19" x14ac:dyDescent="0.25">
      <c r="A2073" s="28" t="s">
        <v>14843</v>
      </c>
      <c r="J2073" t="s">
        <v>5646</v>
      </c>
      <c r="K2073" t="s">
        <v>5647</v>
      </c>
      <c r="M2073" t="s">
        <v>666</v>
      </c>
      <c r="N2073"/>
      <c r="O2073"/>
      <c r="P2073"/>
      <c r="Q2073"/>
      <c r="R2073"/>
      <c r="S2073"/>
    </row>
    <row r="2074" spans="1:19" x14ac:dyDescent="0.25">
      <c r="A2074" s="28" t="s">
        <v>14843</v>
      </c>
      <c r="J2074" t="s">
        <v>5648</v>
      </c>
      <c r="K2074" t="s">
        <v>5649</v>
      </c>
      <c r="M2074" t="s">
        <v>666</v>
      </c>
      <c r="N2074"/>
      <c r="O2074"/>
      <c r="P2074"/>
      <c r="Q2074"/>
      <c r="R2074"/>
      <c r="S2074"/>
    </row>
    <row r="2075" spans="1:19" x14ac:dyDescent="0.25">
      <c r="A2075" s="28" t="s">
        <v>14843</v>
      </c>
      <c r="J2075" t="s">
        <v>5650</v>
      </c>
      <c r="K2075" t="s">
        <v>5651</v>
      </c>
      <c r="M2075" t="s">
        <v>666</v>
      </c>
      <c r="N2075"/>
      <c r="O2075"/>
      <c r="P2075"/>
      <c r="Q2075"/>
      <c r="R2075"/>
      <c r="S2075"/>
    </row>
    <row r="2076" spans="1:19" x14ac:dyDescent="0.25">
      <c r="A2076" s="28" t="s">
        <v>14843</v>
      </c>
      <c r="J2076" t="s">
        <v>5652</v>
      </c>
      <c r="K2076" t="s">
        <v>5653</v>
      </c>
      <c r="M2076" t="s">
        <v>666</v>
      </c>
      <c r="N2076"/>
      <c r="O2076"/>
      <c r="P2076"/>
      <c r="Q2076"/>
      <c r="R2076"/>
      <c r="S2076"/>
    </row>
    <row r="2077" spans="1:19" x14ac:dyDescent="0.25">
      <c r="A2077" s="28" t="s">
        <v>14843</v>
      </c>
      <c r="J2077" t="s">
        <v>5654</v>
      </c>
      <c r="K2077" t="s">
        <v>5655</v>
      </c>
      <c r="M2077" t="s">
        <v>47</v>
      </c>
      <c r="N2077"/>
      <c r="O2077"/>
      <c r="P2077"/>
      <c r="Q2077"/>
      <c r="R2077"/>
      <c r="S2077"/>
    </row>
    <row r="2078" spans="1:19" x14ac:dyDescent="0.25">
      <c r="A2078" s="28" t="s">
        <v>14843</v>
      </c>
      <c r="J2078" t="s">
        <v>5656</v>
      </c>
      <c r="K2078" t="s">
        <v>5657</v>
      </c>
      <c r="M2078" t="s">
        <v>47</v>
      </c>
      <c r="N2078"/>
      <c r="O2078"/>
      <c r="P2078"/>
      <c r="Q2078"/>
      <c r="R2078"/>
      <c r="S2078"/>
    </row>
    <row r="2079" spans="1:19" x14ac:dyDescent="0.25">
      <c r="A2079" s="28" t="s">
        <v>14843</v>
      </c>
      <c r="J2079" t="s">
        <v>5658</v>
      </c>
      <c r="K2079" t="s">
        <v>5659</v>
      </c>
      <c r="M2079" t="s">
        <v>47</v>
      </c>
      <c r="N2079"/>
      <c r="O2079"/>
      <c r="P2079"/>
      <c r="Q2079"/>
      <c r="R2079"/>
      <c r="S2079"/>
    </row>
    <row r="2080" spans="1:19" x14ac:dyDescent="0.25">
      <c r="A2080" s="28" t="s">
        <v>14843</v>
      </c>
      <c r="J2080" t="s">
        <v>5660</v>
      </c>
      <c r="K2080" t="s">
        <v>5661</v>
      </c>
      <c r="M2080" t="s">
        <v>47</v>
      </c>
      <c r="N2080"/>
      <c r="O2080"/>
      <c r="P2080"/>
      <c r="Q2080"/>
      <c r="R2080"/>
      <c r="S2080"/>
    </row>
    <row r="2081" spans="1:19" x14ac:dyDescent="0.25">
      <c r="A2081" t="s">
        <v>193</v>
      </c>
      <c r="C2081" s="27" t="s">
        <v>34749</v>
      </c>
      <c r="D2081" s="28" t="s">
        <v>34867</v>
      </c>
      <c r="J2081" t="s">
        <v>5662</v>
      </c>
      <c r="K2081" t="s">
        <v>5663</v>
      </c>
      <c r="L2081" s="28" t="s">
        <v>5664</v>
      </c>
      <c r="M2081" t="s">
        <v>23</v>
      </c>
      <c r="N2081"/>
      <c r="O2081"/>
      <c r="P2081"/>
      <c r="Q2081"/>
      <c r="R2081"/>
      <c r="S2081"/>
    </row>
    <row r="2082" spans="1:19" x14ac:dyDescent="0.25">
      <c r="A2082" t="s">
        <v>193</v>
      </c>
      <c r="C2082" s="27" t="s">
        <v>34749</v>
      </c>
      <c r="D2082" s="28" t="s">
        <v>34867</v>
      </c>
      <c r="J2082" t="s">
        <v>5665</v>
      </c>
      <c r="K2082" t="s">
        <v>5666</v>
      </c>
      <c r="L2082" s="28" t="s">
        <v>5667</v>
      </c>
      <c r="M2082" t="s">
        <v>23</v>
      </c>
      <c r="N2082"/>
      <c r="O2082"/>
      <c r="P2082"/>
      <c r="Q2082"/>
      <c r="R2082"/>
      <c r="S2082"/>
    </row>
    <row r="2083" spans="1:19" x14ac:dyDescent="0.25">
      <c r="A2083" t="s">
        <v>193</v>
      </c>
      <c r="C2083" s="27" t="s">
        <v>34749</v>
      </c>
      <c r="D2083" s="28" t="s">
        <v>34867</v>
      </c>
      <c r="J2083" t="s">
        <v>5668</v>
      </c>
      <c r="K2083" t="s">
        <v>5669</v>
      </c>
      <c r="L2083" s="28" t="s">
        <v>5670</v>
      </c>
      <c r="M2083" t="s">
        <v>23</v>
      </c>
      <c r="N2083"/>
      <c r="O2083"/>
      <c r="P2083"/>
      <c r="Q2083"/>
      <c r="R2083"/>
      <c r="S2083"/>
    </row>
    <row r="2084" spans="1:19" x14ac:dyDescent="0.25">
      <c r="A2084" t="s">
        <v>193</v>
      </c>
      <c r="C2084" s="27" t="s">
        <v>34749</v>
      </c>
      <c r="D2084" s="28" t="s">
        <v>34867</v>
      </c>
      <c r="J2084" t="s">
        <v>5671</v>
      </c>
      <c r="K2084" t="s">
        <v>5672</v>
      </c>
      <c r="L2084" s="28" t="s">
        <v>5673</v>
      </c>
      <c r="M2084" t="s">
        <v>23</v>
      </c>
      <c r="N2084"/>
      <c r="O2084"/>
      <c r="P2084"/>
      <c r="Q2084"/>
      <c r="R2084"/>
      <c r="S2084"/>
    </row>
    <row r="2085" spans="1:19" x14ac:dyDescent="0.25">
      <c r="A2085" t="s">
        <v>193</v>
      </c>
      <c r="C2085" s="27" t="s">
        <v>34749</v>
      </c>
      <c r="D2085" s="28" t="s">
        <v>34867</v>
      </c>
      <c r="J2085" t="s">
        <v>5674</v>
      </c>
      <c r="K2085" t="s">
        <v>5675</v>
      </c>
      <c r="L2085" s="28" t="s">
        <v>5676</v>
      </c>
      <c r="M2085" t="s">
        <v>23</v>
      </c>
      <c r="N2085"/>
      <c r="O2085"/>
      <c r="P2085"/>
      <c r="Q2085"/>
      <c r="R2085"/>
      <c r="S2085"/>
    </row>
    <row r="2086" spans="1:19" x14ac:dyDescent="0.25">
      <c r="A2086" t="s">
        <v>193</v>
      </c>
      <c r="C2086" s="27" t="s">
        <v>34749</v>
      </c>
      <c r="D2086" s="28" t="s">
        <v>34867</v>
      </c>
      <c r="J2086" t="s">
        <v>5677</v>
      </c>
      <c r="K2086" t="s">
        <v>5678</v>
      </c>
      <c r="L2086" s="28" t="s">
        <v>5679</v>
      </c>
      <c r="M2086" t="s">
        <v>23</v>
      </c>
      <c r="N2086"/>
      <c r="O2086"/>
      <c r="P2086"/>
      <c r="Q2086"/>
      <c r="R2086"/>
      <c r="S2086"/>
    </row>
    <row r="2087" spans="1:19" x14ac:dyDescent="0.25">
      <c r="A2087" t="s">
        <v>193</v>
      </c>
      <c r="C2087" s="27" t="s">
        <v>34749</v>
      </c>
      <c r="D2087" s="28" t="s">
        <v>34867</v>
      </c>
      <c r="J2087" t="s">
        <v>5680</v>
      </c>
      <c r="K2087" t="s">
        <v>5681</v>
      </c>
      <c r="L2087" s="28" t="s">
        <v>5682</v>
      </c>
      <c r="M2087" t="s">
        <v>23</v>
      </c>
      <c r="N2087"/>
      <c r="O2087"/>
      <c r="P2087"/>
      <c r="Q2087"/>
      <c r="R2087"/>
      <c r="S2087"/>
    </row>
    <row r="2088" spans="1:19" x14ac:dyDescent="0.25">
      <c r="A2088" t="s">
        <v>193</v>
      </c>
      <c r="C2088" s="27" t="s">
        <v>34749</v>
      </c>
      <c r="D2088" s="28" t="s">
        <v>34867</v>
      </c>
      <c r="J2088" t="s">
        <v>5683</v>
      </c>
      <c r="K2088" t="s">
        <v>5684</v>
      </c>
      <c r="L2088" s="28" t="s">
        <v>5685</v>
      </c>
      <c r="M2088" t="s">
        <v>23</v>
      </c>
      <c r="N2088"/>
      <c r="O2088"/>
      <c r="P2088"/>
      <c r="Q2088"/>
      <c r="R2088"/>
      <c r="S2088"/>
    </row>
    <row r="2089" spans="1:19" x14ac:dyDescent="0.25">
      <c r="A2089" t="s">
        <v>193</v>
      </c>
      <c r="C2089" s="27" t="s">
        <v>34749</v>
      </c>
      <c r="D2089" s="28" t="s">
        <v>34867</v>
      </c>
      <c r="J2089" t="s">
        <v>5686</v>
      </c>
      <c r="K2089" t="s">
        <v>5687</v>
      </c>
      <c r="L2089" s="28" t="s">
        <v>5688</v>
      </c>
      <c r="M2089" t="s">
        <v>23</v>
      </c>
      <c r="N2089"/>
      <c r="O2089"/>
      <c r="P2089"/>
      <c r="Q2089"/>
      <c r="R2089"/>
      <c r="S2089"/>
    </row>
    <row r="2090" spans="1:19" x14ac:dyDescent="0.25">
      <c r="A2090" t="s">
        <v>193</v>
      </c>
      <c r="C2090" s="27" t="s">
        <v>34749</v>
      </c>
      <c r="D2090" s="28" t="s">
        <v>34867</v>
      </c>
      <c r="J2090" t="s">
        <v>5689</v>
      </c>
      <c r="K2090" t="s">
        <v>5690</v>
      </c>
      <c r="L2090" s="28" t="s">
        <v>5691</v>
      </c>
      <c r="M2090" t="s">
        <v>23</v>
      </c>
      <c r="N2090"/>
      <c r="O2090"/>
      <c r="P2090"/>
      <c r="Q2090"/>
      <c r="R2090"/>
      <c r="S2090"/>
    </row>
    <row r="2091" spans="1:19" x14ac:dyDescent="0.25">
      <c r="A2091" s="27" t="s">
        <v>193</v>
      </c>
      <c r="C2091" s="27" t="s">
        <v>34749</v>
      </c>
      <c r="D2091" s="28" t="s">
        <v>34867</v>
      </c>
      <c r="J2091" t="s">
        <v>5692</v>
      </c>
      <c r="K2091" t="s">
        <v>5693</v>
      </c>
      <c r="M2091" t="s">
        <v>23</v>
      </c>
      <c r="N2091"/>
      <c r="O2091"/>
      <c r="P2091"/>
      <c r="Q2091"/>
      <c r="R2091"/>
      <c r="S2091"/>
    </row>
    <row r="2092" spans="1:19" x14ac:dyDescent="0.25">
      <c r="A2092" t="s">
        <v>193</v>
      </c>
      <c r="C2092" s="27" t="s">
        <v>34749</v>
      </c>
      <c r="D2092" s="28" t="s">
        <v>34867</v>
      </c>
      <c r="J2092" t="s">
        <v>5694</v>
      </c>
      <c r="K2092" t="s">
        <v>5695</v>
      </c>
      <c r="L2092" s="28" t="s">
        <v>5696</v>
      </c>
      <c r="M2092" t="s">
        <v>23</v>
      </c>
      <c r="N2092"/>
      <c r="O2092"/>
      <c r="P2092"/>
      <c r="Q2092"/>
      <c r="R2092"/>
      <c r="S2092"/>
    </row>
    <row r="2093" spans="1:19" x14ac:dyDescent="0.25">
      <c r="A2093" t="s">
        <v>193</v>
      </c>
      <c r="C2093" s="27" t="s">
        <v>34749</v>
      </c>
      <c r="D2093" s="28" t="s">
        <v>34867</v>
      </c>
      <c r="J2093" t="s">
        <v>5697</v>
      </c>
      <c r="K2093" t="s">
        <v>5698</v>
      </c>
      <c r="L2093" s="28" t="s">
        <v>5699</v>
      </c>
      <c r="M2093" t="s">
        <v>23</v>
      </c>
      <c r="N2093"/>
      <c r="O2093"/>
      <c r="P2093"/>
      <c r="Q2093"/>
      <c r="R2093"/>
      <c r="S2093"/>
    </row>
    <row r="2094" spans="1:19" x14ac:dyDescent="0.25">
      <c r="A2094" t="s">
        <v>193</v>
      </c>
      <c r="C2094" s="27" t="s">
        <v>34749</v>
      </c>
      <c r="D2094" s="28" t="s">
        <v>34867</v>
      </c>
      <c r="J2094" t="s">
        <v>5700</v>
      </c>
      <c r="K2094" t="s">
        <v>5701</v>
      </c>
      <c r="L2094" s="28" t="s">
        <v>5702</v>
      </c>
      <c r="M2094" t="s">
        <v>23</v>
      </c>
      <c r="N2094"/>
      <c r="O2094"/>
      <c r="P2094"/>
      <c r="Q2094"/>
      <c r="R2094"/>
      <c r="S2094"/>
    </row>
    <row r="2095" spans="1:19" x14ac:dyDescent="0.25">
      <c r="A2095" t="s">
        <v>193</v>
      </c>
      <c r="C2095" s="27" t="s">
        <v>34749</v>
      </c>
      <c r="D2095" s="28" t="s">
        <v>34867</v>
      </c>
      <c r="J2095" t="s">
        <v>5703</v>
      </c>
      <c r="K2095" t="s">
        <v>5704</v>
      </c>
      <c r="L2095" s="28" t="s">
        <v>5705</v>
      </c>
      <c r="M2095" t="s">
        <v>23</v>
      </c>
      <c r="N2095"/>
      <c r="O2095"/>
      <c r="P2095"/>
      <c r="Q2095"/>
      <c r="R2095"/>
      <c r="S2095"/>
    </row>
    <row r="2096" spans="1:19" x14ac:dyDescent="0.25">
      <c r="A2096" t="s">
        <v>193</v>
      </c>
      <c r="C2096" s="27" t="s">
        <v>34749</v>
      </c>
      <c r="D2096" s="28" t="s">
        <v>34867</v>
      </c>
      <c r="J2096" t="s">
        <v>5706</v>
      </c>
      <c r="K2096" t="s">
        <v>5707</v>
      </c>
      <c r="L2096" s="28" t="s">
        <v>5708</v>
      </c>
      <c r="M2096" t="s">
        <v>23</v>
      </c>
      <c r="N2096"/>
      <c r="O2096"/>
      <c r="P2096"/>
      <c r="Q2096"/>
      <c r="R2096"/>
      <c r="S2096"/>
    </row>
    <row r="2097" spans="1:19" x14ac:dyDescent="0.25">
      <c r="A2097" t="s">
        <v>193</v>
      </c>
      <c r="C2097" s="27" t="s">
        <v>34749</v>
      </c>
      <c r="D2097" s="28" t="s">
        <v>34867</v>
      </c>
      <c r="J2097" t="s">
        <v>5709</v>
      </c>
      <c r="K2097" t="s">
        <v>5710</v>
      </c>
      <c r="L2097" s="28" t="s">
        <v>5711</v>
      </c>
      <c r="M2097" t="s">
        <v>23</v>
      </c>
      <c r="N2097"/>
      <c r="O2097"/>
      <c r="P2097"/>
      <c r="Q2097"/>
      <c r="R2097"/>
      <c r="S2097"/>
    </row>
    <row r="2098" spans="1:19" x14ac:dyDescent="0.25">
      <c r="A2098" s="28" t="s">
        <v>14843</v>
      </c>
      <c r="J2098" t="s">
        <v>5712</v>
      </c>
      <c r="K2098" t="s">
        <v>5713</v>
      </c>
      <c r="M2098" t="s">
        <v>2820</v>
      </c>
      <c r="N2098"/>
      <c r="O2098"/>
      <c r="P2098"/>
      <c r="Q2098"/>
      <c r="R2098"/>
      <c r="S2098"/>
    </row>
    <row r="2099" spans="1:19" x14ac:dyDescent="0.25">
      <c r="A2099" t="s">
        <v>193</v>
      </c>
      <c r="C2099" s="27" t="s">
        <v>34749</v>
      </c>
      <c r="D2099" s="28" t="s">
        <v>34867</v>
      </c>
      <c r="I2099" t="str">
        <f>CONCATENATE(LEFT(K2099,SEARCH(" (",K2099))," | ", RIGHT(LEFT(K2099,LEN(K2099)-1),LEN(K2099)-2-FIND(" (",K2099)))</f>
        <v>monoethylhexylftalaat  | MEHP</v>
      </c>
      <c r="J2099" t="s">
        <v>5714</v>
      </c>
      <c r="K2099" t="s">
        <v>5715</v>
      </c>
      <c r="L2099" s="28" t="s">
        <v>5716</v>
      </c>
      <c r="M2099" t="s">
        <v>23</v>
      </c>
      <c r="N2099"/>
      <c r="O2099"/>
      <c r="P2099"/>
      <c r="Q2099"/>
      <c r="R2099"/>
      <c r="S2099"/>
    </row>
    <row r="2100" spans="1:19" x14ac:dyDescent="0.25">
      <c r="A2100" s="28" t="s">
        <v>14843</v>
      </c>
      <c r="J2100" t="s">
        <v>5717</v>
      </c>
      <c r="K2100" t="s">
        <v>5718</v>
      </c>
      <c r="M2100" t="s">
        <v>2820</v>
      </c>
      <c r="N2100"/>
      <c r="O2100"/>
      <c r="P2100"/>
      <c r="Q2100"/>
      <c r="R2100"/>
      <c r="S2100"/>
    </row>
    <row r="2101" spans="1:19" x14ac:dyDescent="0.25">
      <c r="A2101" s="28" t="s">
        <v>14843</v>
      </c>
      <c r="J2101" t="s">
        <v>5719</v>
      </c>
      <c r="K2101" t="s">
        <v>5720</v>
      </c>
      <c r="M2101" t="s">
        <v>666</v>
      </c>
      <c r="N2101"/>
      <c r="O2101"/>
      <c r="P2101"/>
      <c r="Q2101"/>
      <c r="R2101"/>
      <c r="S2101"/>
    </row>
    <row r="2102" spans="1:19" x14ac:dyDescent="0.25">
      <c r="A2102" s="28" t="s">
        <v>14843</v>
      </c>
      <c r="J2102" t="s">
        <v>5721</v>
      </c>
      <c r="K2102" t="s">
        <v>5722</v>
      </c>
      <c r="M2102" t="s">
        <v>2820</v>
      </c>
      <c r="N2102"/>
      <c r="O2102"/>
      <c r="P2102"/>
      <c r="Q2102"/>
      <c r="R2102"/>
      <c r="S2102"/>
    </row>
    <row r="2103" spans="1:19" x14ac:dyDescent="0.25">
      <c r="A2103" s="28" t="s">
        <v>14843</v>
      </c>
      <c r="J2103" t="s">
        <v>5723</v>
      </c>
      <c r="K2103" t="s">
        <v>5724</v>
      </c>
      <c r="M2103" t="s">
        <v>666</v>
      </c>
      <c r="N2103"/>
      <c r="O2103"/>
      <c r="P2103"/>
      <c r="Q2103"/>
      <c r="R2103"/>
      <c r="S2103"/>
    </row>
    <row r="2104" spans="1:19" x14ac:dyDescent="0.25">
      <c r="A2104" s="27" t="s">
        <v>193</v>
      </c>
      <c r="C2104" s="27" t="s">
        <v>34749</v>
      </c>
      <c r="D2104" s="28" t="s">
        <v>34867</v>
      </c>
      <c r="J2104" t="s">
        <v>5725</v>
      </c>
      <c r="K2104" t="s">
        <v>5726</v>
      </c>
      <c r="M2104" t="s">
        <v>23</v>
      </c>
      <c r="N2104"/>
      <c r="O2104"/>
      <c r="P2104"/>
      <c r="Q2104"/>
      <c r="R2104"/>
      <c r="S2104"/>
    </row>
    <row r="2105" spans="1:19" x14ac:dyDescent="0.25">
      <c r="A2105" s="28" t="s">
        <v>14843</v>
      </c>
      <c r="J2105" t="s">
        <v>5727</v>
      </c>
      <c r="K2105" t="s">
        <v>5728</v>
      </c>
      <c r="M2105" t="s">
        <v>47</v>
      </c>
      <c r="N2105"/>
      <c r="O2105"/>
      <c r="P2105"/>
      <c r="Q2105"/>
      <c r="R2105"/>
      <c r="S2105"/>
    </row>
    <row r="2106" spans="1:19" x14ac:dyDescent="0.25">
      <c r="A2106" t="s">
        <v>193</v>
      </c>
      <c r="C2106" s="27" t="s">
        <v>34749</v>
      </c>
      <c r="D2106" s="28" t="s">
        <v>34867</v>
      </c>
      <c r="J2106" t="s">
        <v>5729</v>
      </c>
      <c r="K2106" t="s">
        <v>5730</v>
      </c>
      <c r="L2106" s="28" t="s">
        <v>5731</v>
      </c>
      <c r="M2106" t="s">
        <v>23</v>
      </c>
      <c r="N2106"/>
      <c r="O2106"/>
      <c r="P2106"/>
      <c r="Q2106"/>
      <c r="R2106"/>
      <c r="S2106"/>
    </row>
    <row r="2107" spans="1:19" x14ac:dyDescent="0.25">
      <c r="A2107" s="28" t="s">
        <v>14843</v>
      </c>
      <c r="J2107" t="s">
        <v>5732</v>
      </c>
      <c r="K2107" t="s">
        <v>5733</v>
      </c>
      <c r="M2107" t="s">
        <v>2779</v>
      </c>
      <c r="N2107"/>
      <c r="O2107"/>
      <c r="P2107"/>
      <c r="Q2107"/>
      <c r="R2107"/>
      <c r="S2107"/>
    </row>
    <row r="2108" spans="1:19" x14ac:dyDescent="0.25">
      <c r="A2108" s="28" t="s">
        <v>14843</v>
      </c>
      <c r="J2108" t="s">
        <v>5734</v>
      </c>
      <c r="K2108" t="s">
        <v>5735</v>
      </c>
      <c r="M2108" t="s">
        <v>666</v>
      </c>
      <c r="N2108"/>
      <c r="O2108"/>
      <c r="P2108"/>
      <c r="Q2108"/>
      <c r="R2108"/>
      <c r="S2108"/>
    </row>
    <row r="2109" spans="1:19" x14ac:dyDescent="0.25">
      <c r="A2109" s="28" t="s">
        <v>14843</v>
      </c>
      <c r="J2109" t="s">
        <v>5736</v>
      </c>
      <c r="K2109" t="s">
        <v>5737</v>
      </c>
      <c r="M2109" t="s">
        <v>666</v>
      </c>
      <c r="N2109"/>
      <c r="O2109"/>
      <c r="P2109"/>
      <c r="Q2109"/>
      <c r="R2109"/>
      <c r="S2109"/>
    </row>
    <row r="2110" spans="1:19" x14ac:dyDescent="0.25">
      <c r="A2110" s="28" t="s">
        <v>14843</v>
      </c>
      <c r="J2110" t="s">
        <v>5738</v>
      </c>
      <c r="K2110" t="s">
        <v>5739</v>
      </c>
      <c r="M2110" t="s">
        <v>2820</v>
      </c>
      <c r="N2110"/>
      <c r="O2110"/>
      <c r="P2110"/>
      <c r="Q2110"/>
      <c r="R2110"/>
      <c r="S2110"/>
    </row>
    <row r="2111" spans="1:19" x14ac:dyDescent="0.25">
      <c r="A2111" s="28" t="s">
        <v>14843</v>
      </c>
      <c r="J2111" t="s">
        <v>5740</v>
      </c>
      <c r="K2111" t="s">
        <v>5741</v>
      </c>
      <c r="M2111" t="s">
        <v>47</v>
      </c>
      <c r="N2111"/>
      <c r="O2111"/>
      <c r="P2111"/>
      <c r="Q2111"/>
      <c r="R2111"/>
      <c r="S2111"/>
    </row>
    <row r="2112" spans="1:19" x14ac:dyDescent="0.25">
      <c r="A2112" s="28" t="s">
        <v>14843</v>
      </c>
      <c r="J2112" t="s">
        <v>5742</v>
      </c>
      <c r="K2112" t="s">
        <v>5743</v>
      </c>
      <c r="M2112" t="s">
        <v>47</v>
      </c>
      <c r="N2112"/>
      <c r="O2112"/>
      <c r="P2112"/>
      <c r="Q2112"/>
      <c r="R2112"/>
      <c r="S2112"/>
    </row>
    <row r="2113" spans="1:19" x14ac:dyDescent="0.25">
      <c r="A2113" s="28" t="s">
        <v>14843</v>
      </c>
      <c r="J2113" t="s">
        <v>5744</v>
      </c>
      <c r="K2113" t="s">
        <v>5745</v>
      </c>
      <c r="M2113" t="s">
        <v>47</v>
      </c>
      <c r="N2113"/>
      <c r="O2113"/>
      <c r="P2113"/>
      <c r="Q2113"/>
      <c r="R2113"/>
      <c r="S2113"/>
    </row>
    <row r="2114" spans="1:19" x14ac:dyDescent="0.25">
      <c r="A2114" s="28" t="s">
        <v>14843</v>
      </c>
      <c r="J2114" t="s">
        <v>5746</v>
      </c>
      <c r="K2114" t="s">
        <v>5747</v>
      </c>
      <c r="M2114" t="s">
        <v>47</v>
      </c>
      <c r="N2114"/>
      <c r="O2114"/>
      <c r="P2114"/>
      <c r="Q2114"/>
      <c r="R2114"/>
      <c r="S2114"/>
    </row>
    <row r="2115" spans="1:19" x14ac:dyDescent="0.25">
      <c r="A2115" s="28" t="s">
        <v>14843</v>
      </c>
      <c r="J2115" t="s">
        <v>5748</v>
      </c>
      <c r="K2115" t="s">
        <v>5749</v>
      </c>
      <c r="M2115" t="s">
        <v>2779</v>
      </c>
      <c r="N2115"/>
      <c r="O2115"/>
      <c r="P2115"/>
      <c r="Q2115"/>
      <c r="R2115"/>
      <c r="S2115"/>
    </row>
    <row r="2116" spans="1:19" x14ac:dyDescent="0.25">
      <c r="A2116" s="28" t="s">
        <v>14843</v>
      </c>
      <c r="J2116" t="s">
        <v>5750</v>
      </c>
      <c r="K2116" t="s">
        <v>5751</v>
      </c>
      <c r="M2116" t="s">
        <v>2779</v>
      </c>
      <c r="N2116"/>
      <c r="O2116"/>
      <c r="P2116"/>
      <c r="Q2116"/>
      <c r="R2116"/>
      <c r="S2116"/>
    </row>
    <row r="2117" spans="1:19" x14ac:dyDescent="0.25">
      <c r="A2117" s="28" t="s">
        <v>14843</v>
      </c>
      <c r="J2117" t="s">
        <v>5752</v>
      </c>
      <c r="K2117" t="s">
        <v>5753</v>
      </c>
      <c r="M2117" t="s">
        <v>2779</v>
      </c>
      <c r="N2117"/>
      <c r="O2117"/>
      <c r="P2117"/>
      <c r="Q2117"/>
      <c r="R2117"/>
      <c r="S2117"/>
    </row>
    <row r="2118" spans="1:19" x14ac:dyDescent="0.25">
      <c r="A2118" s="28" t="s">
        <v>14843</v>
      </c>
      <c r="J2118" t="s">
        <v>5754</v>
      </c>
      <c r="K2118" t="s">
        <v>5755</v>
      </c>
      <c r="M2118" t="s">
        <v>47</v>
      </c>
      <c r="N2118"/>
      <c r="O2118"/>
      <c r="P2118"/>
      <c r="Q2118"/>
      <c r="R2118"/>
      <c r="S2118"/>
    </row>
    <row r="2119" spans="1:19" x14ac:dyDescent="0.25">
      <c r="A2119" s="28" t="s">
        <v>14843</v>
      </c>
      <c r="J2119" t="s">
        <v>5756</v>
      </c>
      <c r="K2119" t="s">
        <v>5757</v>
      </c>
      <c r="M2119" t="s">
        <v>666</v>
      </c>
      <c r="N2119"/>
      <c r="O2119"/>
      <c r="P2119"/>
      <c r="Q2119"/>
      <c r="R2119"/>
      <c r="S2119"/>
    </row>
    <row r="2120" spans="1:19" x14ac:dyDescent="0.25">
      <c r="A2120" s="28" t="s">
        <v>14843</v>
      </c>
      <c r="J2120" t="s">
        <v>5758</v>
      </c>
      <c r="K2120" t="s">
        <v>5759</v>
      </c>
      <c r="M2120" t="s">
        <v>666</v>
      </c>
      <c r="N2120"/>
      <c r="O2120"/>
      <c r="P2120"/>
      <c r="Q2120"/>
      <c r="R2120"/>
      <c r="S2120"/>
    </row>
    <row r="2121" spans="1:19" x14ac:dyDescent="0.25">
      <c r="A2121" t="s">
        <v>193</v>
      </c>
      <c r="C2121" s="27" t="s">
        <v>34749</v>
      </c>
      <c r="D2121" s="28" t="s">
        <v>34867</v>
      </c>
      <c r="J2121" t="s">
        <v>5760</v>
      </c>
      <c r="K2121" t="s">
        <v>5761</v>
      </c>
      <c r="L2121" s="28" t="s">
        <v>5762</v>
      </c>
      <c r="M2121" t="s">
        <v>23</v>
      </c>
      <c r="N2121"/>
      <c r="O2121"/>
      <c r="P2121"/>
      <c r="Q2121"/>
      <c r="R2121"/>
      <c r="S2121"/>
    </row>
    <row r="2122" spans="1:19" x14ac:dyDescent="0.25">
      <c r="A2122" t="s">
        <v>193</v>
      </c>
      <c r="C2122" s="27" t="s">
        <v>34749</v>
      </c>
      <c r="D2122" s="28" t="s">
        <v>34867</v>
      </c>
      <c r="J2122" t="s">
        <v>5763</v>
      </c>
      <c r="K2122" t="s">
        <v>5764</v>
      </c>
      <c r="L2122" s="28" t="s">
        <v>5765</v>
      </c>
      <c r="M2122" t="s">
        <v>23</v>
      </c>
      <c r="N2122"/>
      <c r="O2122"/>
      <c r="P2122"/>
      <c r="Q2122"/>
      <c r="R2122"/>
      <c r="S2122"/>
    </row>
    <row r="2123" spans="1:19" x14ac:dyDescent="0.25">
      <c r="A2123" t="s">
        <v>193</v>
      </c>
      <c r="C2123" s="27" t="s">
        <v>34749</v>
      </c>
      <c r="D2123" s="28" t="s">
        <v>34867</v>
      </c>
      <c r="J2123" t="s">
        <v>5766</v>
      </c>
      <c r="K2123" t="s">
        <v>5767</v>
      </c>
      <c r="L2123" s="28" t="s">
        <v>5768</v>
      </c>
      <c r="M2123" t="s">
        <v>23</v>
      </c>
      <c r="N2123"/>
      <c r="O2123"/>
      <c r="P2123"/>
      <c r="Q2123"/>
      <c r="R2123"/>
      <c r="S2123"/>
    </row>
    <row r="2124" spans="1:19" x14ac:dyDescent="0.25">
      <c r="A2124" t="s">
        <v>193</v>
      </c>
      <c r="C2124" s="27" t="s">
        <v>34749</v>
      </c>
      <c r="D2124" s="28" t="s">
        <v>34867</v>
      </c>
      <c r="J2124" t="s">
        <v>5769</v>
      </c>
      <c r="K2124" t="s">
        <v>5770</v>
      </c>
      <c r="L2124" s="28" t="s">
        <v>5771</v>
      </c>
      <c r="M2124" t="s">
        <v>23</v>
      </c>
      <c r="N2124"/>
      <c r="O2124"/>
      <c r="P2124"/>
      <c r="Q2124"/>
      <c r="R2124"/>
      <c r="S2124"/>
    </row>
    <row r="2125" spans="1:19" x14ac:dyDescent="0.25">
      <c r="A2125" t="s">
        <v>193</v>
      </c>
      <c r="C2125" s="27" t="s">
        <v>34749</v>
      </c>
      <c r="D2125" s="28" t="s">
        <v>34867</v>
      </c>
      <c r="J2125" t="s">
        <v>5772</v>
      </c>
      <c r="K2125" t="s">
        <v>5773</v>
      </c>
      <c r="L2125" s="28" t="s">
        <v>5774</v>
      </c>
      <c r="M2125" t="s">
        <v>23</v>
      </c>
      <c r="N2125"/>
      <c r="O2125"/>
      <c r="P2125"/>
      <c r="Q2125"/>
      <c r="R2125"/>
      <c r="S2125"/>
    </row>
    <row r="2126" spans="1:19" x14ac:dyDescent="0.25">
      <c r="A2126" t="s">
        <v>193</v>
      </c>
      <c r="C2126" s="27" t="s">
        <v>34749</v>
      </c>
      <c r="D2126" s="28" t="s">
        <v>34867</v>
      </c>
      <c r="J2126" t="s">
        <v>5775</v>
      </c>
      <c r="K2126" t="s">
        <v>5776</v>
      </c>
      <c r="L2126" s="28" t="s">
        <v>5777</v>
      </c>
      <c r="M2126" t="s">
        <v>23</v>
      </c>
      <c r="N2126"/>
      <c r="O2126"/>
      <c r="P2126"/>
      <c r="Q2126"/>
      <c r="R2126"/>
      <c r="S2126"/>
    </row>
    <row r="2127" spans="1:19" x14ac:dyDescent="0.25">
      <c r="A2127" t="s">
        <v>193</v>
      </c>
      <c r="C2127" s="27" t="s">
        <v>34749</v>
      </c>
      <c r="D2127" s="28" t="s">
        <v>34867</v>
      </c>
      <c r="J2127" t="s">
        <v>5778</v>
      </c>
      <c r="K2127" t="s">
        <v>5779</v>
      </c>
      <c r="L2127" s="28" t="s">
        <v>5780</v>
      </c>
      <c r="M2127" t="s">
        <v>23</v>
      </c>
      <c r="N2127"/>
      <c r="O2127"/>
      <c r="P2127"/>
      <c r="Q2127"/>
      <c r="R2127"/>
      <c r="S2127"/>
    </row>
    <row r="2128" spans="1:19" x14ac:dyDescent="0.25">
      <c r="A2128" t="s">
        <v>193</v>
      </c>
      <c r="C2128" s="27" t="s">
        <v>34749</v>
      </c>
      <c r="D2128" s="28" t="s">
        <v>34867</v>
      </c>
      <c r="J2128" t="s">
        <v>5781</v>
      </c>
      <c r="K2128" t="s">
        <v>5782</v>
      </c>
      <c r="L2128" s="28" t="s">
        <v>5783</v>
      </c>
      <c r="M2128" t="s">
        <v>23</v>
      </c>
      <c r="N2128"/>
      <c r="O2128"/>
      <c r="P2128"/>
      <c r="Q2128"/>
      <c r="R2128"/>
      <c r="S2128"/>
    </row>
    <row r="2129" spans="1:19" x14ac:dyDescent="0.25">
      <c r="A2129" t="s">
        <v>193</v>
      </c>
      <c r="C2129" s="27" t="s">
        <v>34749</v>
      </c>
      <c r="D2129" s="28" t="s">
        <v>34867</v>
      </c>
      <c r="J2129" t="s">
        <v>5784</v>
      </c>
      <c r="K2129" t="s">
        <v>5785</v>
      </c>
      <c r="L2129" s="28" t="s">
        <v>5786</v>
      </c>
      <c r="M2129" t="s">
        <v>23</v>
      </c>
      <c r="N2129"/>
      <c r="O2129"/>
      <c r="P2129"/>
      <c r="Q2129"/>
      <c r="R2129"/>
      <c r="S2129"/>
    </row>
    <row r="2130" spans="1:19" x14ac:dyDescent="0.25">
      <c r="A2130" t="s">
        <v>193</v>
      </c>
      <c r="C2130" s="27" t="s">
        <v>34749</v>
      </c>
      <c r="D2130" s="28" t="s">
        <v>34867</v>
      </c>
      <c r="J2130" t="s">
        <v>5787</v>
      </c>
      <c r="K2130" t="s">
        <v>5788</v>
      </c>
      <c r="L2130" s="28" t="s">
        <v>5789</v>
      </c>
      <c r="M2130" t="s">
        <v>23</v>
      </c>
      <c r="N2130"/>
      <c r="O2130"/>
      <c r="P2130"/>
      <c r="Q2130"/>
      <c r="R2130"/>
      <c r="S2130"/>
    </row>
    <row r="2131" spans="1:19" x14ac:dyDescent="0.25">
      <c r="A2131" t="s">
        <v>193</v>
      </c>
      <c r="C2131" s="27" t="s">
        <v>34749</v>
      </c>
      <c r="D2131" s="28" t="s">
        <v>34867</v>
      </c>
      <c r="J2131" t="s">
        <v>5790</v>
      </c>
      <c r="K2131" t="s">
        <v>5791</v>
      </c>
      <c r="L2131" s="28" t="s">
        <v>5792</v>
      </c>
      <c r="M2131" t="s">
        <v>23</v>
      </c>
      <c r="N2131"/>
      <c r="O2131"/>
      <c r="P2131"/>
      <c r="Q2131"/>
      <c r="R2131"/>
      <c r="S2131"/>
    </row>
    <row r="2132" spans="1:19" x14ac:dyDescent="0.25">
      <c r="A2132" t="s">
        <v>193</v>
      </c>
      <c r="C2132" s="27" t="s">
        <v>34749</v>
      </c>
      <c r="D2132" s="28" t="s">
        <v>34867</v>
      </c>
      <c r="J2132" t="s">
        <v>5793</v>
      </c>
      <c r="K2132" t="s">
        <v>5794</v>
      </c>
      <c r="L2132" s="28" t="s">
        <v>5795</v>
      </c>
      <c r="M2132" t="s">
        <v>23</v>
      </c>
      <c r="N2132"/>
      <c r="O2132"/>
      <c r="P2132"/>
      <c r="Q2132"/>
      <c r="R2132"/>
      <c r="S2132"/>
    </row>
    <row r="2133" spans="1:19" x14ac:dyDescent="0.25">
      <c r="A2133" t="s">
        <v>193</v>
      </c>
      <c r="C2133" s="27" t="s">
        <v>34749</v>
      </c>
      <c r="D2133" s="28" t="s">
        <v>34867</v>
      </c>
      <c r="J2133" t="s">
        <v>5796</v>
      </c>
      <c r="K2133" t="s">
        <v>5797</v>
      </c>
      <c r="L2133" s="28" t="s">
        <v>5798</v>
      </c>
      <c r="M2133" t="s">
        <v>23</v>
      </c>
      <c r="N2133"/>
      <c r="O2133"/>
      <c r="P2133"/>
      <c r="Q2133"/>
      <c r="R2133"/>
      <c r="S2133"/>
    </row>
    <row r="2134" spans="1:19" x14ac:dyDescent="0.25">
      <c r="A2134" t="s">
        <v>193</v>
      </c>
      <c r="C2134" s="27" t="s">
        <v>34749</v>
      </c>
      <c r="D2134" s="28" t="s">
        <v>34867</v>
      </c>
      <c r="J2134" t="s">
        <v>5799</v>
      </c>
      <c r="K2134" t="s">
        <v>5800</v>
      </c>
      <c r="L2134" s="28" t="s">
        <v>5801</v>
      </c>
      <c r="M2134" t="s">
        <v>23</v>
      </c>
      <c r="N2134"/>
      <c r="O2134"/>
      <c r="P2134"/>
      <c r="Q2134"/>
      <c r="R2134"/>
      <c r="S2134"/>
    </row>
    <row r="2135" spans="1:19" x14ac:dyDescent="0.25">
      <c r="A2135" t="s">
        <v>193</v>
      </c>
      <c r="C2135" s="27" t="s">
        <v>34749</v>
      </c>
      <c r="D2135" s="28" t="s">
        <v>34867</v>
      </c>
      <c r="J2135" t="s">
        <v>5802</v>
      </c>
      <c r="K2135" t="s">
        <v>5803</v>
      </c>
      <c r="L2135" s="28" t="s">
        <v>5804</v>
      </c>
      <c r="M2135" t="s">
        <v>23</v>
      </c>
      <c r="N2135"/>
      <c r="O2135"/>
      <c r="P2135"/>
      <c r="Q2135"/>
      <c r="R2135"/>
      <c r="S2135"/>
    </row>
    <row r="2136" spans="1:19" x14ac:dyDescent="0.25">
      <c r="A2136" t="s">
        <v>193</v>
      </c>
      <c r="C2136" s="27" t="s">
        <v>34749</v>
      </c>
      <c r="D2136" s="28" t="s">
        <v>34867</v>
      </c>
      <c r="J2136" t="s">
        <v>5805</v>
      </c>
      <c r="K2136" t="s">
        <v>5806</v>
      </c>
      <c r="L2136" s="28" t="s">
        <v>5807</v>
      </c>
      <c r="M2136" t="s">
        <v>23</v>
      </c>
      <c r="N2136"/>
      <c r="O2136"/>
      <c r="P2136"/>
      <c r="Q2136"/>
      <c r="R2136"/>
      <c r="S2136"/>
    </row>
    <row r="2137" spans="1:19" x14ac:dyDescent="0.25">
      <c r="A2137" t="s">
        <v>193</v>
      </c>
      <c r="C2137" s="27" t="s">
        <v>34749</v>
      </c>
      <c r="D2137" s="28" t="s">
        <v>34867</v>
      </c>
      <c r="I2137" t="str">
        <f>CONCATENATE(LEFT(K2137,SEARCH(" (",K2137))," | ", RIGHT(LEFT(K2137,LEN(K2137)-1),LEN(K2137)-2-FIND(" (",K2137)))</f>
        <v>distikstofoxide  | lachgas</v>
      </c>
      <c r="J2137" t="s">
        <v>5808</v>
      </c>
      <c r="K2137" t="s">
        <v>5809</v>
      </c>
      <c r="L2137" s="28" t="s">
        <v>5810</v>
      </c>
      <c r="M2137" t="s">
        <v>23</v>
      </c>
      <c r="N2137"/>
      <c r="O2137"/>
      <c r="P2137"/>
      <c r="Q2137"/>
      <c r="R2137"/>
      <c r="S2137"/>
    </row>
    <row r="2138" spans="1:19" x14ac:dyDescent="0.25">
      <c r="A2138" t="s">
        <v>193</v>
      </c>
      <c r="C2138" s="27" t="s">
        <v>34749</v>
      </c>
      <c r="D2138" s="28" t="s">
        <v>34867</v>
      </c>
      <c r="J2138" t="s">
        <v>5811</v>
      </c>
      <c r="K2138" t="s">
        <v>5812</v>
      </c>
      <c r="L2138" s="28" t="s">
        <v>5813</v>
      </c>
      <c r="M2138" t="s">
        <v>23</v>
      </c>
      <c r="N2138"/>
      <c r="O2138"/>
      <c r="P2138"/>
      <c r="Q2138"/>
      <c r="R2138"/>
      <c r="S2138"/>
    </row>
    <row r="2139" spans="1:19" x14ac:dyDescent="0.25">
      <c r="A2139" t="s">
        <v>193</v>
      </c>
      <c r="C2139" s="27" t="s">
        <v>34749</v>
      </c>
      <c r="D2139" s="28" t="s">
        <v>34867</v>
      </c>
      <c r="J2139" t="s">
        <v>5814</v>
      </c>
      <c r="K2139" t="s">
        <v>5815</v>
      </c>
      <c r="L2139" s="28" t="s">
        <v>5816</v>
      </c>
      <c r="M2139" t="s">
        <v>23</v>
      </c>
      <c r="N2139"/>
      <c r="O2139"/>
      <c r="P2139"/>
      <c r="Q2139"/>
      <c r="R2139"/>
      <c r="S2139"/>
    </row>
    <row r="2140" spans="1:19" x14ac:dyDescent="0.25">
      <c r="A2140" t="s">
        <v>193</v>
      </c>
      <c r="C2140" s="27" t="s">
        <v>34749</v>
      </c>
      <c r="D2140" s="28" t="s">
        <v>34867</v>
      </c>
      <c r="J2140" t="s">
        <v>5817</v>
      </c>
      <c r="K2140" t="s">
        <v>5818</v>
      </c>
      <c r="L2140" s="28" t="s">
        <v>5819</v>
      </c>
      <c r="M2140" t="s">
        <v>23</v>
      </c>
      <c r="N2140"/>
      <c r="O2140"/>
      <c r="P2140"/>
      <c r="Q2140"/>
      <c r="R2140"/>
      <c r="S2140"/>
    </row>
    <row r="2141" spans="1:19" x14ac:dyDescent="0.25">
      <c r="A2141" t="s">
        <v>193</v>
      </c>
      <c r="C2141" s="27" t="s">
        <v>34749</v>
      </c>
      <c r="D2141" s="28" t="s">
        <v>34867</v>
      </c>
      <c r="J2141" t="s">
        <v>5820</v>
      </c>
      <c r="K2141" t="s">
        <v>5821</v>
      </c>
      <c r="L2141" s="28" t="s">
        <v>5822</v>
      </c>
      <c r="M2141" t="s">
        <v>23</v>
      </c>
      <c r="N2141"/>
      <c r="O2141"/>
      <c r="P2141"/>
      <c r="Q2141"/>
      <c r="R2141"/>
      <c r="S2141"/>
    </row>
    <row r="2142" spans="1:19" x14ac:dyDescent="0.25">
      <c r="A2142" t="s">
        <v>193</v>
      </c>
      <c r="C2142" s="27" t="s">
        <v>34749</v>
      </c>
      <c r="D2142" s="28" t="s">
        <v>34867</v>
      </c>
      <c r="J2142" t="s">
        <v>5823</v>
      </c>
      <c r="K2142" t="s">
        <v>5824</v>
      </c>
      <c r="L2142" s="28" t="s">
        <v>5825</v>
      </c>
      <c r="M2142" t="s">
        <v>23</v>
      </c>
      <c r="N2142"/>
      <c r="O2142"/>
      <c r="P2142"/>
      <c r="Q2142"/>
      <c r="R2142"/>
      <c r="S2142"/>
    </row>
    <row r="2143" spans="1:19" x14ac:dyDescent="0.25">
      <c r="A2143" t="s">
        <v>193</v>
      </c>
      <c r="C2143" s="27" t="s">
        <v>34749</v>
      </c>
      <c r="D2143" s="28" t="s">
        <v>34867</v>
      </c>
      <c r="J2143" t="s">
        <v>5826</v>
      </c>
      <c r="K2143" t="s">
        <v>5827</v>
      </c>
      <c r="L2143" s="28" t="s">
        <v>5828</v>
      </c>
      <c r="M2143" t="s">
        <v>23</v>
      </c>
      <c r="N2143"/>
      <c r="O2143"/>
      <c r="P2143"/>
      <c r="Q2143"/>
      <c r="R2143"/>
      <c r="S2143"/>
    </row>
    <row r="2144" spans="1:19" x14ac:dyDescent="0.25">
      <c r="A2144" t="s">
        <v>193</v>
      </c>
      <c r="C2144" s="27" t="s">
        <v>34749</v>
      </c>
      <c r="D2144" s="28" t="s">
        <v>34867</v>
      </c>
      <c r="J2144" t="s">
        <v>5829</v>
      </c>
      <c r="K2144" t="s">
        <v>5830</v>
      </c>
      <c r="L2144" s="28" t="s">
        <v>5831</v>
      </c>
      <c r="M2144" t="s">
        <v>23</v>
      </c>
      <c r="N2144"/>
      <c r="O2144"/>
      <c r="P2144"/>
      <c r="Q2144"/>
      <c r="R2144"/>
      <c r="S2144"/>
    </row>
    <row r="2145" spans="1:19" x14ac:dyDescent="0.25">
      <c r="A2145" s="28" t="s">
        <v>14843</v>
      </c>
      <c r="J2145" t="s">
        <v>5832</v>
      </c>
      <c r="K2145" t="s">
        <v>5833</v>
      </c>
      <c r="M2145" t="s">
        <v>666</v>
      </c>
      <c r="N2145"/>
      <c r="O2145"/>
      <c r="P2145"/>
      <c r="Q2145"/>
      <c r="R2145"/>
      <c r="S2145"/>
    </row>
    <row r="2146" spans="1:19" x14ac:dyDescent="0.25">
      <c r="A2146" s="28" t="s">
        <v>14843</v>
      </c>
      <c r="J2146" t="s">
        <v>5834</v>
      </c>
      <c r="K2146" t="s">
        <v>5835</v>
      </c>
      <c r="M2146" t="s">
        <v>47</v>
      </c>
      <c r="N2146"/>
      <c r="O2146"/>
      <c r="P2146"/>
      <c r="Q2146"/>
      <c r="R2146"/>
      <c r="S2146"/>
    </row>
    <row r="2147" spans="1:19" x14ac:dyDescent="0.25">
      <c r="A2147" s="28" t="s">
        <v>14843</v>
      </c>
      <c r="J2147" t="s">
        <v>5836</v>
      </c>
      <c r="K2147" t="s">
        <v>5837</v>
      </c>
      <c r="M2147" t="s">
        <v>47</v>
      </c>
      <c r="N2147"/>
      <c r="O2147"/>
      <c r="P2147"/>
      <c r="Q2147"/>
      <c r="R2147"/>
      <c r="S2147"/>
    </row>
    <row r="2148" spans="1:19" x14ac:dyDescent="0.25">
      <c r="A2148" s="28" t="s">
        <v>14843</v>
      </c>
      <c r="J2148" t="s">
        <v>5838</v>
      </c>
      <c r="K2148" t="s">
        <v>5839</v>
      </c>
      <c r="M2148" t="s">
        <v>47</v>
      </c>
      <c r="N2148"/>
      <c r="O2148"/>
      <c r="P2148"/>
      <c r="Q2148"/>
      <c r="R2148"/>
      <c r="S2148"/>
    </row>
    <row r="2149" spans="1:19" x14ac:dyDescent="0.25">
      <c r="A2149" s="28" t="s">
        <v>14843</v>
      </c>
      <c r="J2149" t="s">
        <v>5840</v>
      </c>
      <c r="K2149" t="s">
        <v>5841</v>
      </c>
      <c r="M2149" t="s">
        <v>2820</v>
      </c>
      <c r="N2149"/>
      <c r="O2149"/>
      <c r="P2149"/>
      <c r="Q2149"/>
      <c r="R2149"/>
      <c r="S2149"/>
    </row>
    <row r="2150" spans="1:19" x14ac:dyDescent="0.25">
      <c r="A2150" s="28" t="s">
        <v>14843</v>
      </c>
      <c r="J2150" t="s">
        <v>5842</v>
      </c>
      <c r="K2150" t="s">
        <v>5843</v>
      </c>
      <c r="M2150" t="s">
        <v>47</v>
      </c>
      <c r="N2150"/>
      <c r="O2150"/>
      <c r="P2150"/>
      <c r="Q2150"/>
      <c r="R2150"/>
      <c r="S2150"/>
    </row>
    <row r="2151" spans="1:19" x14ac:dyDescent="0.25">
      <c r="A2151" t="s">
        <v>193</v>
      </c>
      <c r="C2151" s="27" t="s">
        <v>34749</v>
      </c>
      <c r="D2151" s="28" t="s">
        <v>34867</v>
      </c>
      <c r="J2151" t="s">
        <v>5844</v>
      </c>
      <c r="K2151" t="s">
        <v>5845</v>
      </c>
      <c r="L2151" s="28" t="s">
        <v>5846</v>
      </c>
      <c r="M2151" t="s">
        <v>23</v>
      </c>
      <c r="N2151"/>
      <c r="O2151"/>
      <c r="P2151"/>
      <c r="Q2151"/>
      <c r="R2151"/>
      <c r="S2151"/>
    </row>
    <row r="2152" spans="1:19" x14ac:dyDescent="0.25">
      <c r="A2152" s="28" t="s">
        <v>14843</v>
      </c>
      <c r="J2152" t="s">
        <v>5847</v>
      </c>
      <c r="K2152" t="s">
        <v>5848</v>
      </c>
      <c r="M2152" t="s">
        <v>47</v>
      </c>
      <c r="N2152"/>
      <c r="O2152"/>
      <c r="P2152"/>
      <c r="Q2152"/>
      <c r="R2152"/>
      <c r="S2152"/>
    </row>
    <row r="2153" spans="1:19" x14ac:dyDescent="0.25">
      <c r="A2153" t="s">
        <v>193</v>
      </c>
      <c r="C2153" s="27" t="s">
        <v>34749</v>
      </c>
      <c r="D2153" s="28" t="s">
        <v>34867</v>
      </c>
      <c r="J2153" t="s">
        <v>5849</v>
      </c>
      <c r="K2153" t="s">
        <v>5850</v>
      </c>
      <c r="L2153" s="28" t="s">
        <v>5851</v>
      </c>
      <c r="M2153" t="s">
        <v>23</v>
      </c>
      <c r="N2153"/>
      <c r="O2153"/>
      <c r="P2153"/>
      <c r="Q2153"/>
      <c r="R2153"/>
      <c r="S2153"/>
    </row>
    <row r="2154" spans="1:19" x14ac:dyDescent="0.25">
      <c r="A2154" t="s">
        <v>193</v>
      </c>
      <c r="C2154" s="27" t="s">
        <v>34749</v>
      </c>
      <c r="D2154" s="28" t="s">
        <v>34867</v>
      </c>
      <c r="J2154" t="s">
        <v>5852</v>
      </c>
      <c r="K2154" t="s">
        <v>5853</v>
      </c>
      <c r="L2154" s="28" t="s">
        <v>5854</v>
      </c>
      <c r="M2154" t="s">
        <v>23</v>
      </c>
      <c r="N2154"/>
      <c r="O2154"/>
      <c r="P2154"/>
      <c r="Q2154"/>
      <c r="R2154"/>
      <c r="S2154"/>
    </row>
    <row r="2155" spans="1:19" x14ac:dyDescent="0.25">
      <c r="A2155" t="s">
        <v>193</v>
      </c>
      <c r="C2155" s="27" t="s">
        <v>34749</v>
      </c>
      <c r="D2155" s="28" t="s">
        <v>34867</v>
      </c>
      <c r="J2155" t="s">
        <v>5855</v>
      </c>
      <c r="K2155" t="s">
        <v>5856</v>
      </c>
      <c r="L2155" s="28" t="s">
        <v>5857</v>
      </c>
      <c r="M2155" t="s">
        <v>23</v>
      </c>
      <c r="N2155"/>
      <c r="O2155"/>
      <c r="P2155"/>
      <c r="Q2155"/>
      <c r="R2155"/>
      <c r="S2155"/>
    </row>
    <row r="2156" spans="1:19" x14ac:dyDescent="0.25">
      <c r="A2156" t="s">
        <v>193</v>
      </c>
      <c r="C2156" s="27" t="s">
        <v>34749</v>
      </c>
      <c r="D2156" s="28" t="s">
        <v>34867</v>
      </c>
      <c r="J2156" t="s">
        <v>5858</v>
      </c>
      <c r="K2156" t="s">
        <v>5859</v>
      </c>
      <c r="L2156" s="28" t="s">
        <v>5860</v>
      </c>
      <c r="M2156" t="s">
        <v>23</v>
      </c>
      <c r="N2156"/>
      <c r="O2156"/>
      <c r="P2156"/>
      <c r="Q2156"/>
      <c r="R2156"/>
      <c r="S2156"/>
    </row>
    <row r="2157" spans="1:19" x14ac:dyDescent="0.25">
      <c r="A2157" s="28" t="s">
        <v>14843</v>
      </c>
      <c r="J2157" t="s">
        <v>5861</v>
      </c>
      <c r="K2157" t="s">
        <v>5862</v>
      </c>
      <c r="M2157" t="s">
        <v>47</v>
      </c>
      <c r="N2157"/>
      <c r="O2157"/>
      <c r="P2157"/>
      <c r="Q2157"/>
      <c r="R2157"/>
      <c r="S2157"/>
    </row>
    <row r="2158" spans="1:19" x14ac:dyDescent="0.25">
      <c r="A2158" s="28" t="s">
        <v>14843</v>
      </c>
      <c r="J2158" t="s">
        <v>5863</v>
      </c>
      <c r="K2158" t="s">
        <v>5864</v>
      </c>
      <c r="M2158" t="s">
        <v>47</v>
      </c>
      <c r="N2158"/>
      <c r="O2158"/>
      <c r="P2158"/>
      <c r="Q2158"/>
      <c r="R2158"/>
      <c r="S2158"/>
    </row>
    <row r="2159" spans="1:19" x14ac:dyDescent="0.25">
      <c r="A2159" s="28" t="s">
        <v>14843</v>
      </c>
      <c r="J2159" t="s">
        <v>5865</v>
      </c>
      <c r="K2159" t="s">
        <v>5866</v>
      </c>
      <c r="M2159" t="s">
        <v>47</v>
      </c>
      <c r="N2159"/>
      <c r="O2159"/>
      <c r="P2159"/>
      <c r="Q2159"/>
      <c r="R2159"/>
      <c r="S2159"/>
    </row>
    <row r="2160" spans="1:19" x14ac:dyDescent="0.25">
      <c r="A2160" s="27" t="s">
        <v>193</v>
      </c>
      <c r="C2160" s="27" t="s">
        <v>34749</v>
      </c>
      <c r="D2160" s="28" t="s">
        <v>34867</v>
      </c>
      <c r="J2160" t="s">
        <v>5867</v>
      </c>
      <c r="K2160" t="s">
        <v>5868</v>
      </c>
      <c r="M2160" t="s">
        <v>23</v>
      </c>
      <c r="N2160"/>
      <c r="O2160"/>
      <c r="P2160"/>
      <c r="Q2160"/>
      <c r="R2160"/>
      <c r="S2160"/>
    </row>
    <row r="2161" spans="1:19" x14ac:dyDescent="0.25">
      <c r="A2161" t="s">
        <v>193</v>
      </c>
      <c r="C2161" s="27" t="s">
        <v>34749</v>
      </c>
      <c r="D2161" s="28" t="s">
        <v>34867</v>
      </c>
      <c r="J2161" t="s">
        <v>5869</v>
      </c>
      <c r="K2161" t="s">
        <v>5870</v>
      </c>
      <c r="L2161" s="28" t="s">
        <v>5871</v>
      </c>
      <c r="M2161" t="s">
        <v>23</v>
      </c>
      <c r="N2161"/>
      <c r="O2161"/>
      <c r="P2161"/>
      <c r="Q2161"/>
      <c r="R2161"/>
      <c r="S2161"/>
    </row>
    <row r="2162" spans="1:19" x14ac:dyDescent="0.25">
      <c r="A2162" t="s">
        <v>193</v>
      </c>
      <c r="C2162" s="27" t="s">
        <v>34749</v>
      </c>
      <c r="D2162" s="28" t="s">
        <v>34867</v>
      </c>
      <c r="J2162" t="s">
        <v>5872</v>
      </c>
      <c r="K2162" t="s">
        <v>5873</v>
      </c>
      <c r="L2162" s="28" t="s">
        <v>5874</v>
      </c>
      <c r="M2162" t="s">
        <v>23</v>
      </c>
      <c r="N2162"/>
      <c r="O2162"/>
      <c r="P2162"/>
      <c r="Q2162"/>
      <c r="R2162"/>
      <c r="S2162"/>
    </row>
    <row r="2163" spans="1:19" x14ac:dyDescent="0.25">
      <c r="A2163" t="s">
        <v>193</v>
      </c>
      <c r="C2163" s="27" t="s">
        <v>34749</v>
      </c>
      <c r="D2163" s="28" t="s">
        <v>34867</v>
      </c>
      <c r="J2163" t="s">
        <v>5875</v>
      </c>
      <c r="K2163" t="s">
        <v>5876</v>
      </c>
      <c r="L2163" s="28" t="s">
        <v>5877</v>
      </c>
      <c r="M2163" t="s">
        <v>23</v>
      </c>
      <c r="N2163"/>
      <c r="O2163"/>
      <c r="P2163"/>
      <c r="Q2163"/>
      <c r="R2163"/>
      <c r="S2163"/>
    </row>
    <row r="2164" spans="1:19" x14ac:dyDescent="0.25">
      <c r="A2164" t="s">
        <v>193</v>
      </c>
      <c r="C2164" s="27" t="s">
        <v>34749</v>
      </c>
      <c r="D2164" s="28" t="s">
        <v>34867</v>
      </c>
      <c r="J2164" t="s">
        <v>5878</v>
      </c>
      <c r="K2164" t="s">
        <v>5879</v>
      </c>
      <c r="L2164" s="28" t="s">
        <v>5880</v>
      </c>
      <c r="M2164" t="s">
        <v>23</v>
      </c>
      <c r="N2164"/>
      <c r="O2164"/>
      <c r="P2164"/>
      <c r="Q2164"/>
      <c r="R2164"/>
      <c r="S2164"/>
    </row>
    <row r="2165" spans="1:19" x14ac:dyDescent="0.25">
      <c r="A2165" t="s">
        <v>193</v>
      </c>
      <c r="C2165" s="27" t="s">
        <v>34749</v>
      </c>
      <c r="D2165" s="28" t="s">
        <v>34867</v>
      </c>
      <c r="J2165" t="s">
        <v>5881</v>
      </c>
      <c r="K2165" t="s">
        <v>5882</v>
      </c>
      <c r="L2165" s="28" t="s">
        <v>5883</v>
      </c>
      <c r="M2165" t="s">
        <v>23</v>
      </c>
      <c r="N2165"/>
      <c r="O2165"/>
      <c r="P2165"/>
      <c r="Q2165"/>
      <c r="R2165"/>
      <c r="S2165"/>
    </row>
    <row r="2166" spans="1:19" x14ac:dyDescent="0.25">
      <c r="A2166" t="s">
        <v>193</v>
      </c>
      <c r="C2166" s="27" t="s">
        <v>34749</v>
      </c>
      <c r="D2166" s="28" t="s">
        <v>34867</v>
      </c>
      <c r="J2166" t="s">
        <v>5884</v>
      </c>
      <c r="K2166" t="s">
        <v>5885</v>
      </c>
      <c r="L2166" s="28" t="s">
        <v>5886</v>
      </c>
      <c r="M2166" t="s">
        <v>23</v>
      </c>
      <c r="N2166"/>
      <c r="O2166"/>
      <c r="P2166"/>
      <c r="Q2166"/>
      <c r="R2166"/>
      <c r="S2166"/>
    </row>
    <row r="2167" spans="1:19" x14ac:dyDescent="0.25">
      <c r="A2167" t="s">
        <v>193</v>
      </c>
      <c r="C2167" s="27" t="s">
        <v>34749</v>
      </c>
      <c r="D2167" s="28" t="s">
        <v>34867</v>
      </c>
      <c r="J2167" t="s">
        <v>5887</v>
      </c>
      <c r="K2167" t="s">
        <v>5888</v>
      </c>
      <c r="L2167" s="28" t="s">
        <v>5889</v>
      </c>
      <c r="M2167" t="s">
        <v>23</v>
      </c>
      <c r="N2167"/>
      <c r="O2167"/>
      <c r="P2167"/>
      <c r="Q2167"/>
      <c r="R2167"/>
      <c r="S2167"/>
    </row>
    <row r="2168" spans="1:19" x14ac:dyDescent="0.25">
      <c r="A2168" t="s">
        <v>193</v>
      </c>
      <c r="C2168" s="27" t="s">
        <v>34749</v>
      </c>
      <c r="D2168" s="28" t="s">
        <v>34867</v>
      </c>
      <c r="J2168" t="s">
        <v>5890</v>
      </c>
      <c r="K2168" t="s">
        <v>5891</v>
      </c>
      <c r="L2168" s="28" t="s">
        <v>5892</v>
      </c>
      <c r="M2168" t="s">
        <v>23</v>
      </c>
      <c r="N2168"/>
      <c r="O2168"/>
      <c r="P2168"/>
      <c r="Q2168"/>
      <c r="R2168"/>
      <c r="S2168"/>
    </row>
    <row r="2169" spans="1:19" x14ac:dyDescent="0.25">
      <c r="A2169" t="s">
        <v>193</v>
      </c>
      <c r="C2169" s="27" t="s">
        <v>34749</v>
      </c>
      <c r="D2169" s="28" t="s">
        <v>34867</v>
      </c>
      <c r="J2169" t="s">
        <v>5893</v>
      </c>
      <c r="K2169" t="s">
        <v>5894</v>
      </c>
      <c r="L2169" s="28" t="s">
        <v>5895</v>
      </c>
      <c r="M2169" t="s">
        <v>23</v>
      </c>
      <c r="N2169"/>
      <c r="O2169"/>
      <c r="P2169"/>
      <c r="Q2169"/>
      <c r="R2169"/>
      <c r="S2169"/>
    </row>
    <row r="2170" spans="1:19" x14ac:dyDescent="0.25">
      <c r="A2170" t="s">
        <v>193</v>
      </c>
      <c r="C2170" s="27" t="s">
        <v>34749</v>
      </c>
      <c r="D2170" s="28" t="s">
        <v>34867</v>
      </c>
      <c r="J2170" t="s">
        <v>5896</v>
      </c>
      <c r="K2170" t="s">
        <v>5897</v>
      </c>
      <c r="L2170" s="28" t="s">
        <v>5898</v>
      </c>
      <c r="M2170" t="s">
        <v>23</v>
      </c>
      <c r="N2170"/>
      <c r="O2170"/>
      <c r="P2170"/>
      <c r="Q2170"/>
      <c r="R2170"/>
      <c r="S2170"/>
    </row>
    <row r="2171" spans="1:19" x14ac:dyDescent="0.25">
      <c r="A2171" t="s">
        <v>193</v>
      </c>
      <c r="C2171" s="27" t="s">
        <v>34749</v>
      </c>
      <c r="D2171" s="28" t="s">
        <v>34867</v>
      </c>
      <c r="J2171" t="s">
        <v>5899</v>
      </c>
      <c r="K2171" t="s">
        <v>5900</v>
      </c>
      <c r="L2171" s="28" t="s">
        <v>5901</v>
      </c>
      <c r="M2171" t="s">
        <v>23</v>
      </c>
      <c r="N2171"/>
      <c r="O2171"/>
      <c r="P2171"/>
      <c r="Q2171"/>
      <c r="R2171"/>
      <c r="S2171"/>
    </row>
    <row r="2172" spans="1:19" x14ac:dyDescent="0.25">
      <c r="A2172" t="s">
        <v>193</v>
      </c>
      <c r="C2172" s="27" t="s">
        <v>34749</v>
      </c>
      <c r="D2172" s="28" t="s">
        <v>34867</v>
      </c>
      <c r="J2172" t="s">
        <v>5902</v>
      </c>
      <c r="K2172" t="s">
        <v>5903</v>
      </c>
      <c r="L2172" s="28" t="s">
        <v>5904</v>
      </c>
      <c r="M2172" t="s">
        <v>23</v>
      </c>
      <c r="N2172"/>
      <c r="O2172"/>
      <c r="P2172"/>
      <c r="Q2172"/>
      <c r="R2172"/>
      <c r="S2172"/>
    </row>
    <row r="2173" spans="1:19" x14ac:dyDescent="0.25">
      <c r="A2173" t="s">
        <v>193</v>
      </c>
      <c r="C2173" s="27" t="s">
        <v>34749</v>
      </c>
      <c r="D2173" s="28" t="s">
        <v>34867</v>
      </c>
      <c r="J2173" t="s">
        <v>5905</v>
      </c>
      <c r="K2173" t="s">
        <v>5906</v>
      </c>
      <c r="L2173" s="28" t="s">
        <v>5907</v>
      </c>
      <c r="M2173" t="s">
        <v>23</v>
      </c>
      <c r="N2173"/>
      <c r="O2173"/>
      <c r="P2173"/>
      <c r="Q2173"/>
      <c r="R2173"/>
      <c r="S2173"/>
    </row>
    <row r="2174" spans="1:19" x14ac:dyDescent="0.25">
      <c r="A2174" t="s">
        <v>193</v>
      </c>
      <c r="C2174" s="27" t="s">
        <v>34749</v>
      </c>
      <c r="D2174" s="28" t="s">
        <v>34867</v>
      </c>
      <c r="J2174" t="s">
        <v>5908</v>
      </c>
      <c r="K2174" t="s">
        <v>5909</v>
      </c>
      <c r="L2174" s="28" t="s">
        <v>5910</v>
      </c>
      <c r="M2174" t="s">
        <v>23</v>
      </c>
      <c r="N2174"/>
      <c r="O2174"/>
      <c r="P2174"/>
      <c r="Q2174"/>
      <c r="R2174"/>
      <c r="S2174"/>
    </row>
    <row r="2175" spans="1:19" x14ac:dyDescent="0.25">
      <c r="A2175" t="s">
        <v>193</v>
      </c>
      <c r="C2175" s="27" t="s">
        <v>34749</v>
      </c>
      <c r="D2175" s="28" t="s">
        <v>34867</v>
      </c>
      <c r="J2175" t="s">
        <v>5911</v>
      </c>
      <c r="K2175" t="s">
        <v>5912</v>
      </c>
      <c r="L2175" s="28" t="s">
        <v>5913</v>
      </c>
      <c r="M2175" t="s">
        <v>23</v>
      </c>
      <c r="N2175"/>
      <c r="O2175"/>
      <c r="P2175"/>
      <c r="Q2175"/>
      <c r="R2175"/>
      <c r="S2175"/>
    </row>
    <row r="2176" spans="1:19" x14ac:dyDescent="0.25">
      <c r="A2176" s="28" t="s">
        <v>14843</v>
      </c>
      <c r="J2176" t="s">
        <v>5914</v>
      </c>
      <c r="K2176" t="s">
        <v>5915</v>
      </c>
      <c r="M2176" t="s">
        <v>47</v>
      </c>
      <c r="N2176"/>
      <c r="O2176"/>
      <c r="P2176"/>
      <c r="Q2176"/>
      <c r="R2176"/>
      <c r="S2176"/>
    </row>
    <row r="2177" spans="1:19" x14ac:dyDescent="0.25">
      <c r="A2177" s="28" t="s">
        <v>14843</v>
      </c>
      <c r="J2177" t="s">
        <v>5916</v>
      </c>
      <c r="K2177" t="s">
        <v>5917</v>
      </c>
      <c r="M2177" t="s">
        <v>47</v>
      </c>
      <c r="N2177"/>
      <c r="O2177"/>
      <c r="P2177"/>
      <c r="Q2177"/>
      <c r="R2177"/>
      <c r="S2177"/>
    </row>
    <row r="2178" spans="1:19" x14ac:dyDescent="0.25">
      <c r="A2178" t="s">
        <v>193</v>
      </c>
      <c r="C2178" s="27" t="s">
        <v>34749</v>
      </c>
      <c r="D2178" s="28" t="s">
        <v>34867</v>
      </c>
      <c r="J2178" t="s">
        <v>5918</v>
      </c>
      <c r="K2178" t="s">
        <v>5919</v>
      </c>
      <c r="L2178" s="28" t="s">
        <v>5920</v>
      </c>
      <c r="M2178" t="s">
        <v>23</v>
      </c>
      <c r="N2178"/>
      <c r="O2178"/>
      <c r="P2178"/>
      <c r="Q2178"/>
      <c r="R2178"/>
      <c r="S2178"/>
    </row>
    <row r="2179" spans="1:19" x14ac:dyDescent="0.25">
      <c r="A2179" t="s">
        <v>193</v>
      </c>
      <c r="C2179" s="27" t="s">
        <v>34749</v>
      </c>
      <c r="D2179" s="28" t="s">
        <v>34867</v>
      </c>
      <c r="J2179" t="s">
        <v>5921</v>
      </c>
      <c r="K2179" t="s">
        <v>5922</v>
      </c>
      <c r="L2179" s="28" t="s">
        <v>5923</v>
      </c>
      <c r="M2179" t="s">
        <v>23</v>
      </c>
      <c r="N2179"/>
      <c r="O2179"/>
      <c r="P2179"/>
      <c r="Q2179"/>
      <c r="R2179"/>
      <c r="S2179"/>
    </row>
    <row r="2180" spans="1:19" x14ac:dyDescent="0.25">
      <c r="A2180" t="s">
        <v>193</v>
      </c>
      <c r="C2180" s="27" t="s">
        <v>34749</v>
      </c>
      <c r="D2180" s="28" t="s">
        <v>34867</v>
      </c>
      <c r="J2180" t="s">
        <v>5924</v>
      </c>
      <c r="K2180" t="s">
        <v>5925</v>
      </c>
      <c r="L2180" s="28" t="s">
        <v>5926</v>
      </c>
      <c r="M2180" t="s">
        <v>23</v>
      </c>
      <c r="N2180"/>
      <c r="O2180"/>
      <c r="P2180"/>
      <c r="Q2180"/>
      <c r="R2180"/>
      <c r="S2180"/>
    </row>
    <row r="2181" spans="1:19" x14ac:dyDescent="0.25">
      <c r="A2181" s="27" t="s">
        <v>193</v>
      </c>
      <c r="C2181" s="27" t="s">
        <v>34749</v>
      </c>
      <c r="D2181" s="28" t="s">
        <v>34867</v>
      </c>
      <c r="J2181" t="s">
        <v>5927</v>
      </c>
      <c r="K2181" t="s">
        <v>5928</v>
      </c>
      <c r="M2181" t="s">
        <v>23</v>
      </c>
      <c r="N2181"/>
      <c r="O2181"/>
      <c r="P2181"/>
      <c r="Q2181"/>
      <c r="R2181"/>
      <c r="S2181"/>
    </row>
    <row r="2182" spans="1:19" x14ac:dyDescent="0.25">
      <c r="A2182" s="28" t="s">
        <v>14843</v>
      </c>
      <c r="J2182" t="s">
        <v>5929</v>
      </c>
      <c r="K2182" t="s">
        <v>5930</v>
      </c>
      <c r="M2182" t="s">
        <v>47</v>
      </c>
      <c r="N2182"/>
      <c r="O2182"/>
      <c r="P2182"/>
      <c r="Q2182"/>
      <c r="R2182"/>
      <c r="S2182"/>
    </row>
    <row r="2183" spans="1:19" x14ac:dyDescent="0.25">
      <c r="A2183" t="s">
        <v>193</v>
      </c>
      <c r="C2183" s="27" t="s">
        <v>34749</v>
      </c>
      <c r="D2183" s="28" t="s">
        <v>34867</v>
      </c>
      <c r="J2183" t="s">
        <v>5931</v>
      </c>
      <c r="K2183" t="s">
        <v>5932</v>
      </c>
      <c r="L2183" s="28" t="s">
        <v>5933</v>
      </c>
      <c r="M2183" t="s">
        <v>23</v>
      </c>
      <c r="N2183"/>
      <c r="O2183"/>
      <c r="P2183"/>
      <c r="Q2183"/>
      <c r="R2183"/>
      <c r="S2183"/>
    </row>
    <row r="2184" spans="1:19" x14ac:dyDescent="0.25">
      <c r="A2184" t="s">
        <v>193</v>
      </c>
      <c r="C2184" s="27" t="s">
        <v>34749</v>
      </c>
      <c r="D2184" s="28" t="s">
        <v>34867</v>
      </c>
      <c r="J2184" t="s">
        <v>5934</v>
      </c>
      <c r="K2184" t="s">
        <v>5935</v>
      </c>
      <c r="L2184" s="28" t="s">
        <v>5936</v>
      </c>
      <c r="M2184" t="s">
        <v>23</v>
      </c>
      <c r="N2184"/>
      <c r="O2184"/>
      <c r="P2184"/>
      <c r="Q2184"/>
      <c r="R2184"/>
      <c r="S2184"/>
    </row>
    <row r="2185" spans="1:19" x14ac:dyDescent="0.25">
      <c r="A2185" t="s">
        <v>193</v>
      </c>
      <c r="C2185" s="27" t="s">
        <v>34749</v>
      </c>
      <c r="D2185" s="28" t="s">
        <v>34867</v>
      </c>
      <c r="J2185" t="s">
        <v>5937</v>
      </c>
      <c r="K2185" t="s">
        <v>5938</v>
      </c>
      <c r="L2185" s="28" t="s">
        <v>5939</v>
      </c>
      <c r="M2185" t="s">
        <v>23</v>
      </c>
      <c r="N2185"/>
      <c r="O2185"/>
      <c r="P2185"/>
      <c r="Q2185"/>
      <c r="R2185"/>
      <c r="S2185"/>
    </row>
    <row r="2186" spans="1:19" x14ac:dyDescent="0.25">
      <c r="A2186" t="s">
        <v>193</v>
      </c>
      <c r="C2186" s="27" t="s">
        <v>34749</v>
      </c>
      <c r="D2186" s="28" t="s">
        <v>34867</v>
      </c>
      <c r="J2186" t="s">
        <v>5940</v>
      </c>
      <c r="K2186" t="s">
        <v>5941</v>
      </c>
      <c r="L2186" s="28" t="s">
        <v>5942</v>
      </c>
      <c r="M2186" t="s">
        <v>23</v>
      </c>
      <c r="N2186"/>
      <c r="O2186"/>
      <c r="P2186"/>
      <c r="Q2186"/>
      <c r="R2186"/>
      <c r="S2186"/>
    </row>
    <row r="2187" spans="1:19" x14ac:dyDescent="0.25">
      <c r="A2187" t="s">
        <v>193</v>
      </c>
      <c r="C2187" s="27" t="s">
        <v>34749</v>
      </c>
      <c r="D2187" s="28" t="s">
        <v>34867</v>
      </c>
      <c r="J2187" t="s">
        <v>5943</v>
      </c>
      <c r="K2187" t="s">
        <v>5944</v>
      </c>
      <c r="L2187" s="28" t="s">
        <v>5945</v>
      </c>
      <c r="M2187" t="s">
        <v>23</v>
      </c>
      <c r="N2187"/>
      <c r="O2187"/>
      <c r="P2187"/>
      <c r="Q2187"/>
      <c r="R2187"/>
      <c r="S2187"/>
    </row>
    <row r="2188" spans="1:19" x14ac:dyDescent="0.25">
      <c r="A2188" t="s">
        <v>193</v>
      </c>
      <c r="C2188" s="27" t="s">
        <v>34749</v>
      </c>
      <c r="D2188" s="28" t="s">
        <v>34867</v>
      </c>
      <c r="J2188" t="s">
        <v>5946</v>
      </c>
      <c r="K2188" t="s">
        <v>5947</v>
      </c>
      <c r="L2188" s="28" t="s">
        <v>5948</v>
      </c>
      <c r="M2188" t="s">
        <v>23</v>
      </c>
      <c r="N2188"/>
      <c r="O2188"/>
      <c r="P2188"/>
      <c r="Q2188"/>
      <c r="R2188"/>
      <c r="S2188"/>
    </row>
    <row r="2189" spans="1:19" x14ac:dyDescent="0.25">
      <c r="A2189" t="s">
        <v>193</v>
      </c>
      <c r="C2189" s="27" t="s">
        <v>34749</v>
      </c>
      <c r="D2189" s="28" t="s">
        <v>34867</v>
      </c>
      <c r="J2189" t="s">
        <v>5949</v>
      </c>
      <c r="K2189" t="s">
        <v>5950</v>
      </c>
      <c r="L2189" s="28" t="s">
        <v>5951</v>
      </c>
      <c r="M2189" t="s">
        <v>23</v>
      </c>
      <c r="N2189"/>
      <c r="O2189"/>
      <c r="P2189"/>
      <c r="Q2189"/>
      <c r="R2189"/>
      <c r="S2189"/>
    </row>
    <row r="2190" spans="1:19" x14ac:dyDescent="0.25">
      <c r="A2190" t="s">
        <v>193</v>
      </c>
      <c r="C2190" s="27" t="s">
        <v>34749</v>
      </c>
      <c r="D2190" s="28" t="s">
        <v>34867</v>
      </c>
      <c r="I2190" t="str">
        <f>CONCATENATE(LEFT(K2190,SEARCH(" (",K2190))," | ", RIGHT(LEFT(K2190,LEN(K2190)-1),LEN(K2190)-2-FIND(" (",K2190)))</f>
        <v>nitrilotriazijnzuur  | NTA</v>
      </c>
      <c r="J2190" t="s">
        <v>5952</v>
      </c>
      <c r="K2190" t="s">
        <v>5953</v>
      </c>
      <c r="L2190" s="28" t="s">
        <v>5954</v>
      </c>
      <c r="M2190" t="s">
        <v>23</v>
      </c>
      <c r="N2190"/>
      <c r="O2190"/>
      <c r="P2190"/>
      <c r="Q2190"/>
      <c r="R2190"/>
      <c r="S2190"/>
    </row>
    <row r="2191" spans="1:19" x14ac:dyDescent="0.25">
      <c r="A2191" t="s">
        <v>193</v>
      </c>
      <c r="C2191" s="27" t="s">
        <v>34749</v>
      </c>
      <c r="D2191" s="28" t="s">
        <v>34867</v>
      </c>
      <c r="J2191" t="s">
        <v>5955</v>
      </c>
      <c r="K2191" t="s">
        <v>5956</v>
      </c>
      <c r="L2191" s="28" t="s">
        <v>5957</v>
      </c>
      <c r="M2191" t="s">
        <v>23</v>
      </c>
      <c r="N2191"/>
      <c r="O2191"/>
      <c r="P2191"/>
      <c r="Q2191"/>
      <c r="R2191"/>
      <c r="S2191"/>
    </row>
    <row r="2192" spans="1:19" x14ac:dyDescent="0.25">
      <c r="A2192" s="28" t="s">
        <v>14843</v>
      </c>
      <c r="J2192" t="s">
        <v>5958</v>
      </c>
      <c r="K2192" t="s">
        <v>5959</v>
      </c>
      <c r="M2192" t="s">
        <v>666</v>
      </c>
      <c r="N2192"/>
      <c r="O2192"/>
      <c r="P2192"/>
      <c r="Q2192"/>
      <c r="R2192"/>
      <c r="S2192"/>
    </row>
    <row r="2193" spans="1:19" x14ac:dyDescent="0.25">
      <c r="A2193" s="28" t="s">
        <v>14843</v>
      </c>
      <c r="J2193" t="s">
        <v>5960</v>
      </c>
      <c r="K2193" t="s">
        <v>5961</v>
      </c>
      <c r="M2193" t="s">
        <v>666</v>
      </c>
      <c r="N2193"/>
      <c r="O2193"/>
      <c r="P2193"/>
      <c r="Q2193"/>
      <c r="R2193"/>
      <c r="S2193"/>
    </row>
    <row r="2194" spans="1:19" x14ac:dyDescent="0.25">
      <c r="A2194" s="28" t="s">
        <v>14843</v>
      </c>
      <c r="J2194" t="s">
        <v>5962</v>
      </c>
      <c r="K2194" t="s">
        <v>5963</v>
      </c>
      <c r="M2194" t="s">
        <v>2820</v>
      </c>
      <c r="N2194"/>
      <c r="O2194"/>
      <c r="P2194"/>
      <c r="Q2194"/>
      <c r="R2194"/>
      <c r="S2194"/>
    </row>
    <row r="2195" spans="1:19" x14ac:dyDescent="0.25">
      <c r="A2195" t="s">
        <v>193</v>
      </c>
      <c r="C2195" s="27" t="s">
        <v>34749</v>
      </c>
      <c r="D2195" s="28" t="s">
        <v>34867</v>
      </c>
      <c r="J2195" t="s">
        <v>5964</v>
      </c>
      <c r="K2195" t="s">
        <v>5965</v>
      </c>
      <c r="L2195" s="28" t="s">
        <v>5966</v>
      </c>
      <c r="M2195" t="s">
        <v>23</v>
      </c>
      <c r="N2195"/>
      <c r="O2195"/>
      <c r="P2195"/>
      <c r="Q2195"/>
      <c r="R2195"/>
      <c r="S2195"/>
    </row>
    <row r="2196" spans="1:19" x14ac:dyDescent="0.25">
      <c r="A2196" t="s">
        <v>193</v>
      </c>
      <c r="C2196" s="27" t="s">
        <v>34749</v>
      </c>
      <c r="D2196" s="28" t="s">
        <v>34867</v>
      </c>
      <c r="J2196" t="s">
        <v>5967</v>
      </c>
      <c r="K2196" t="s">
        <v>5968</v>
      </c>
      <c r="L2196" s="28" t="s">
        <v>5969</v>
      </c>
      <c r="M2196" t="s">
        <v>23</v>
      </c>
      <c r="N2196"/>
      <c r="O2196"/>
      <c r="P2196"/>
      <c r="Q2196"/>
      <c r="R2196"/>
      <c r="S2196"/>
    </row>
    <row r="2197" spans="1:19" x14ac:dyDescent="0.25">
      <c r="A2197" t="s">
        <v>193</v>
      </c>
      <c r="C2197" s="27" t="s">
        <v>34749</v>
      </c>
      <c r="D2197" s="28" t="s">
        <v>34867</v>
      </c>
      <c r="J2197" t="s">
        <v>5970</v>
      </c>
      <c r="K2197" t="s">
        <v>5971</v>
      </c>
      <c r="L2197" s="28" t="s">
        <v>5972</v>
      </c>
      <c r="M2197" t="s">
        <v>23</v>
      </c>
      <c r="N2197"/>
      <c r="O2197"/>
      <c r="P2197"/>
      <c r="Q2197"/>
      <c r="R2197"/>
      <c r="S2197"/>
    </row>
    <row r="2198" spans="1:19" x14ac:dyDescent="0.25">
      <c r="A2198" t="s">
        <v>193</v>
      </c>
      <c r="C2198" s="27" t="s">
        <v>34749</v>
      </c>
      <c r="D2198" s="28" t="s">
        <v>34867</v>
      </c>
      <c r="J2198" t="s">
        <v>5973</v>
      </c>
      <c r="K2198" t="s">
        <v>5974</v>
      </c>
      <c r="L2198" s="28" t="s">
        <v>5975</v>
      </c>
      <c r="M2198" t="s">
        <v>23</v>
      </c>
      <c r="N2198"/>
      <c r="O2198"/>
      <c r="P2198"/>
      <c r="Q2198"/>
      <c r="R2198"/>
      <c r="S2198"/>
    </row>
    <row r="2199" spans="1:19" x14ac:dyDescent="0.25">
      <c r="A2199" t="s">
        <v>193</v>
      </c>
      <c r="C2199" s="27" t="s">
        <v>34749</v>
      </c>
      <c r="D2199" s="28" t="s">
        <v>34867</v>
      </c>
      <c r="J2199" t="s">
        <v>5976</v>
      </c>
      <c r="K2199" t="s">
        <v>5977</v>
      </c>
      <c r="L2199" s="28" t="s">
        <v>5978</v>
      </c>
      <c r="M2199" t="s">
        <v>23</v>
      </c>
      <c r="N2199"/>
      <c r="O2199"/>
      <c r="P2199"/>
      <c r="Q2199"/>
      <c r="R2199"/>
      <c r="S2199"/>
    </row>
    <row r="2200" spans="1:19" x14ac:dyDescent="0.25">
      <c r="A2200" t="s">
        <v>193</v>
      </c>
      <c r="C2200" s="27" t="s">
        <v>34749</v>
      </c>
      <c r="D2200" s="28" t="s">
        <v>34867</v>
      </c>
      <c r="J2200" t="s">
        <v>5979</v>
      </c>
      <c r="K2200" t="s">
        <v>5980</v>
      </c>
      <c r="L2200" s="28" t="s">
        <v>5981</v>
      </c>
      <c r="M2200" t="s">
        <v>23</v>
      </c>
      <c r="N2200"/>
      <c r="O2200"/>
      <c r="P2200"/>
      <c r="Q2200"/>
      <c r="R2200"/>
      <c r="S2200"/>
    </row>
    <row r="2201" spans="1:19" x14ac:dyDescent="0.25">
      <c r="A2201" t="s">
        <v>193</v>
      </c>
      <c r="C2201" s="27" t="s">
        <v>34749</v>
      </c>
      <c r="D2201" s="28" t="s">
        <v>34867</v>
      </c>
      <c r="J2201" t="s">
        <v>5982</v>
      </c>
      <c r="K2201" t="s">
        <v>5983</v>
      </c>
      <c r="L2201" s="28" t="s">
        <v>5984</v>
      </c>
      <c r="M2201" t="s">
        <v>23</v>
      </c>
      <c r="N2201"/>
      <c r="O2201"/>
      <c r="P2201"/>
      <c r="Q2201"/>
      <c r="R2201"/>
      <c r="S2201"/>
    </row>
    <row r="2202" spans="1:19" x14ac:dyDescent="0.25">
      <c r="A2202" t="s">
        <v>193</v>
      </c>
      <c r="C2202" s="27" t="s">
        <v>34749</v>
      </c>
      <c r="D2202" s="28" t="s">
        <v>34867</v>
      </c>
      <c r="J2202" t="s">
        <v>5985</v>
      </c>
      <c r="K2202" t="s">
        <v>5986</v>
      </c>
      <c r="L2202" s="28" t="s">
        <v>5987</v>
      </c>
      <c r="M2202" t="s">
        <v>23</v>
      </c>
      <c r="N2202"/>
      <c r="O2202"/>
      <c r="P2202"/>
      <c r="Q2202"/>
      <c r="R2202"/>
      <c r="S2202"/>
    </row>
    <row r="2203" spans="1:19" x14ac:dyDescent="0.25">
      <c r="A2203" t="s">
        <v>193</v>
      </c>
      <c r="C2203" s="27" t="s">
        <v>34749</v>
      </c>
      <c r="D2203" s="28" t="s">
        <v>34867</v>
      </c>
      <c r="J2203" t="s">
        <v>5988</v>
      </c>
      <c r="K2203" t="s">
        <v>5989</v>
      </c>
      <c r="L2203" s="28" t="s">
        <v>5990</v>
      </c>
      <c r="M2203" t="s">
        <v>23</v>
      </c>
      <c r="N2203"/>
      <c r="O2203"/>
      <c r="P2203"/>
      <c r="Q2203"/>
      <c r="R2203"/>
      <c r="S2203"/>
    </row>
    <row r="2204" spans="1:19" x14ac:dyDescent="0.25">
      <c r="A2204" t="s">
        <v>193</v>
      </c>
      <c r="C2204" s="27" t="s">
        <v>34749</v>
      </c>
      <c r="D2204" s="28" t="s">
        <v>34867</v>
      </c>
      <c r="J2204" t="s">
        <v>5991</v>
      </c>
      <c r="K2204" t="s">
        <v>5992</v>
      </c>
      <c r="L2204" s="28" t="s">
        <v>5993</v>
      </c>
      <c r="M2204" t="s">
        <v>23</v>
      </c>
      <c r="N2204"/>
      <c r="O2204"/>
      <c r="P2204"/>
      <c r="Q2204"/>
      <c r="R2204"/>
      <c r="S2204"/>
    </row>
    <row r="2205" spans="1:19" x14ac:dyDescent="0.25">
      <c r="A2205" t="s">
        <v>193</v>
      </c>
      <c r="C2205" s="27" t="s">
        <v>34749</v>
      </c>
      <c r="D2205" s="28" t="s">
        <v>34867</v>
      </c>
      <c r="J2205" t="s">
        <v>5994</v>
      </c>
      <c r="K2205" t="s">
        <v>5995</v>
      </c>
      <c r="L2205" s="28" t="s">
        <v>5996</v>
      </c>
      <c r="M2205" t="s">
        <v>23</v>
      </c>
      <c r="N2205"/>
      <c r="O2205"/>
      <c r="P2205"/>
      <c r="Q2205"/>
      <c r="R2205"/>
      <c r="S2205"/>
    </row>
    <row r="2206" spans="1:19" x14ac:dyDescent="0.25">
      <c r="A2206" t="s">
        <v>193</v>
      </c>
      <c r="C2206" s="27" t="s">
        <v>34749</v>
      </c>
      <c r="D2206" s="28" t="s">
        <v>34867</v>
      </c>
      <c r="J2206" t="s">
        <v>5997</v>
      </c>
      <c r="K2206" t="s">
        <v>5998</v>
      </c>
      <c r="L2206" s="28" t="s">
        <v>5999</v>
      </c>
      <c r="M2206" t="s">
        <v>23</v>
      </c>
      <c r="N2206"/>
      <c r="O2206"/>
      <c r="P2206"/>
      <c r="Q2206"/>
      <c r="R2206"/>
      <c r="S2206"/>
    </row>
    <row r="2207" spans="1:19" x14ac:dyDescent="0.25">
      <c r="A2207" t="s">
        <v>193</v>
      </c>
      <c r="C2207" s="27" t="s">
        <v>34749</v>
      </c>
      <c r="D2207" s="28" t="s">
        <v>34867</v>
      </c>
      <c r="J2207" t="s">
        <v>6000</v>
      </c>
      <c r="K2207" t="s">
        <v>6001</v>
      </c>
      <c r="L2207" s="28" t="s">
        <v>6002</v>
      </c>
      <c r="M2207" t="s">
        <v>23</v>
      </c>
      <c r="N2207"/>
      <c r="O2207"/>
      <c r="P2207"/>
      <c r="Q2207"/>
      <c r="R2207"/>
      <c r="S2207"/>
    </row>
    <row r="2208" spans="1:19" x14ac:dyDescent="0.25">
      <c r="A2208" t="s">
        <v>193</v>
      </c>
      <c r="C2208" s="27" t="s">
        <v>34749</v>
      </c>
      <c r="D2208" s="28" t="s">
        <v>34867</v>
      </c>
      <c r="J2208" t="s">
        <v>6003</v>
      </c>
      <c r="K2208" t="s">
        <v>6004</v>
      </c>
      <c r="L2208" s="28" t="s">
        <v>6005</v>
      </c>
      <c r="M2208" t="s">
        <v>23</v>
      </c>
      <c r="N2208"/>
      <c r="O2208"/>
      <c r="P2208"/>
      <c r="Q2208"/>
      <c r="R2208"/>
      <c r="S2208"/>
    </row>
    <row r="2209" spans="1:19" x14ac:dyDescent="0.25">
      <c r="A2209" t="s">
        <v>193</v>
      </c>
      <c r="C2209" s="27" t="s">
        <v>34749</v>
      </c>
      <c r="D2209" s="28" t="s">
        <v>34867</v>
      </c>
      <c r="J2209" t="s">
        <v>6006</v>
      </c>
      <c r="K2209" t="s">
        <v>6007</v>
      </c>
      <c r="L2209" s="28" t="s">
        <v>6008</v>
      </c>
      <c r="M2209" t="s">
        <v>23</v>
      </c>
      <c r="N2209"/>
      <c r="O2209"/>
      <c r="P2209"/>
      <c r="Q2209"/>
      <c r="R2209"/>
      <c r="S2209"/>
    </row>
    <row r="2210" spans="1:19" x14ac:dyDescent="0.25">
      <c r="A2210" t="s">
        <v>193</v>
      </c>
      <c r="C2210" s="27" t="s">
        <v>34749</v>
      </c>
      <c r="D2210" s="28" t="s">
        <v>34867</v>
      </c>
      <c r="J2210" t="s">
        <v>6009</v>
      </c>
      <c r="K2210" t="s">
        <v>6010</v>
      </c>
      <c r="L2210" s="28" t="s">
        <v>6011</v>
      </c>
      <c r="M2210" t="s">
        <v>23</v>
      </c>
      <c r="N2210"/>
      <c r="O2210"/>
      <c r="P2210"/>
      <c r="Q2210"/>
      <c r="R2210"/>
      <c r="S2210"/>
    </row>
    <row r="2211" spans="1:19" x14ac:dyDescent="0.25">
      <c r="A2211" t="s">
        <v>193</v>
      </c>
      <c r="C2211" s="27" t="s">
        <v>34749</v>
      </c>
      <c r="D2211" s="28" t="s">
        <v>34867</v>
      </c>
      <c r="J2211" t="s">
        <v>6012</v>
      </c>
      <c r="K2211" t="s">
        <v>6013</v>
      </c>
      <c r="L2211" s="28" t="s">
        <v>6014</v>
      </c>
      <c r="M2211" t="s">
        <v>23</v>
      </c>
      <c r="N2211"/>
      <c r="O2211"/>
      <c r="P2211"/>
      <c r="Q2211"/>
      <c r="R2211"/>
      <c r="S2211"/>
    </row>
    <row r="2212" spans="1:19" x14ac:dyDescent="0.25">
      <c r="A2212" t="s">
        <v>193</v>
      </c>
      <c r="C2212" s="27" t="s">
        <v>34749</v>
      </c>
      <c r="D2212" s="28" t="s">
        <v>34867</v>
      </c>
      <c r="J2212" t="s">
        <v>6015</v>
      </c>
      <c r="K2212" t="s">
        <v>6016</v>
      </c>
      <c r="L2212" s="28" t="s">
        <v>6017</v>
      </c>
      <c r="M2212" t="s">
        <v>23</v>
      </c>
      <c r="N2212"/>
      <c r="O2212"/>
      <c r="P2212"/>
      <c r="Q2212"/>
      <c r="R2212"/>
      <c r="S2212"/>
    </row>
    <row r="2213" spans="1:19" x14ac:dyDescent="0.25">
      <c r="A2213" t="s">
        <v>193</v>
      </c>
      <c r="C2213" s="27" t="s">
        <v>34749</v>
      </c>
      <c r="D2213" s="28" t="s">
        <v>34867</v>
      </c>
      <c r="J2213" t="s">
        <v>6018</v>
      </c>
      <c r="K2213" t="s">
        <v>6019</v>
      </c>
      <c r="L2213" s="28" t="s">
        <v>6020</v>
      </c>
      <c r="M2213" t="s">
        <v>23</v>
      </c>
      <c r="N2213"/>
      <c r="O2213"/>
      <c r="P2213"/>
      <c r="Q2213"/>
      <c r="R2213"/>
      <c r="S2213"/>
    </row>
    <row r="2214" spans="1:19" x14ac:dyDescent="0.25">
      <c r="A2214" t="s">
        <v>193</v>
      </c>
      <c r="C2214" s="27" t="s">
        <v>34749</v>
      </c>
      <c r="D2214" s="28" t="s">
        <v>34867</v>
      </c>
      <c r="E2214" s="3"/>
      <c r="F2214" s="3"/>
      <c r="J2214" t="s">
        <v>6021</v>
      </c>
      <c r="K2214" t="s">
        <v>6022</v>
      </c>
      <c r="L2214" s="28" t="s">
        <v>6023</v>
      </c>
      <c r="M2214" t="s">
        <v>23</v>
      </c>
      <c r="N2214"/>
      <c r="O2214"/>
      <c r="P2214"/>
      <c r="Q2214"/>
      <c r="R2214"/>
      <c r="S2214"/>
    </row>
    <row r="2215" spans="1:19" x14ac:dyDescent="0.25">
      <c r="A2215" t="s">
        <v>193</v>
      </c>
      <c r="C2215" s="27" t="s">
        <v>34749</v>
      </c>
      <c r="D2215" s="28" t="s">
        <v>34867</v>
      </c>
      <c r="J2215" t="s">
        <v>6024</v>
      </c>
      <c r="K2215" t="s">
        <v>6025</v>
      </c>
      <c r="L2215" s="28" t="s">
        <v>6026</v>
      </c>
      <c r="M2215" t="s">
        <v>23</v>
      </c>
      <c r="N2215"/>
      <c r="O2215"/>
      <c r="P2215"/>
      <c r="Q2215"/>
      <c r="R2215"/>
      <c r="S2215"/>
    </row>
    <row r="2216" spans="1:19" x14ac:dyDescent="0.25">
      <c r="A2216" t="s">
        <v>193</v>
      </c>
      <c r="C2216" s="27" t="s">
        <v>34749</v>
      </c>
      <c r="D2216" s="28" t="s">
        <v>34867</v>
      </c>
      <c r="J2216" t="s">
        <v>6027</v>
      </c>
      <c r="K2216" t="s">
        <v>6028</v>
      </c>
      <c r="L2216" s="28" t="s">
        <v>6029</v>
      </c>
      <c r="M2216" t="s">
        <v>23</v>
      </c>
      <c r="N2216"/>
      <c r="O2216"/>
      <c r="P2216"/>
      <c r="Q2216"/>
      <c r="R2216"/>
      <c r="S2216"/>
    </row>
    <row r="2217" spans="1:19" x14ac:dyDescent="0.25">
      <c r="A2217" t="s">
        <v>193</v>
      </c>
      <c r="C2217" s="27" t="s">
        <v>34749</v>
      </c>
      <c r="D2217" s="28" t="s">
        <v>34867</v>
      </c>
      <c r="J2217" t="s">
        <v>6030</v>
      </c>
      <c r="K2217" t="s">
        <v>6031</v>
      </c>
      <c r="L2217" s="28" t="s">
        <v>6032</v>
      </c>
      <c r="M2217" t="s">
        <v>23</v>
      </c>
      <c r="N2217"/>
      <c r="O2217"/>
      <c r="P2217"/>
      <c r="Q2217"/>
      <c r="R2217"/>
      <c r="S2217"/>
    </row>
    <row r="2218" spans="1:19" x14ac:dyDescent="0.25">
      <c r="A2218" t="s">
        <v>193</v>
      </c>
      <c r="C2218" s="27" t="s">
        <v>34749</v>
      </c>
      <c r="D2218" s="28" t="s">
        <v>34867</v>
      </c>
      <c r="J2218" t="s">
        <v>6033</v>
      </c>
      <c r="K2218" t="s">
        <v>6034</v>
      </c>
      <c r="L2218" s="28" t="s">
        <v>6035</v>
      </c>
      <c r="M2218" t="s">
        <v>23</v>
      </c>
      <c r="N2218"/>
      <c r="O2218"/>
      <c r="P2218"/>
      <c r="Q2218"/>
      <c r="R2218"/>
      <c r="S2218"/>
    </row>
    <row r="2219" spans="1:19" x14ac:dyDescent="0.25">
      <c r="A2219" t="s">
        <v>193</v>
      </c>
      <c r="C2219" s="27" t="s">
        <v>34749</v>
      </c>
      <c r="D2219" s="28" t="s">
        <v>34867</v>
      </c>
      <c r="J2219" t="s">
        <v>6036</v>
      </c>
      <c r="K2219" t="s">
        <v>6037</v>
      </c>
      <c r="L2219" s="28" t="s">
        <v>6038</v>
      </c>
      <c r="M2219" t="s">
        <v>23</v>
      </c>
      <c r="N2219"/>
      <c r="O2219"/>
      <c r="P2219"/>
      <c r="Q2219"/>
      <c r="R2219"/>
      <c r="S2219"/>
    </row>
    <row r="2220" spans="1:19" x14ac:dyDescent="0.25">
      <c r="A2220" t="s">
        <v>193</v>
      </c>
      <c r="C2220" s="27" t="s">
        <v>34749</v>
      </c>
      <c r="D2220" s="28" t="s">
        <v>34867</v>
      </c>
      <c r="J2220" t="s">
        <v>6039</v>
      </c>
      <c r="K2220" t="s">
        <v>6040</v>
      </c>
      <c r="L2220" s="28" t="s">
        <v>6041</v>
      </c>
      <c r="M2220" t="s">
        <v>23</v>
      </c>
      <c r="N2220"/>
      <c r="O2220"/>
      <c r="P2220"/>
      <c r="Q2220"/>
      <c r="R2220"/>
      <c r="S2220"/>
    </row>
    <row r="2221" spans="1:19" x14ac:dyDescent="0.25">
      <c r="A2221" t="s">
        <v>193</v>
      </c>
      <c r="C2221" s="27" t="s">
        <v>34749</v>
      </c>
      <c r="D2221" s="28" t="s">
        <v>34867</v>
      </c>
      <c r="J2221" t="s">
        <v>6042</v>
      </c>
      <c r="K2221" t="s">
        <v>6043</v>
      </c>
      <c r="L2221" s="28" t="s">
        <v>6044</v>
      </c>
      <c r="M2221" t="s">
        <v>23</v>
      </c>
      <c r="N2221"/>
      <c r="O2221"/>
      <c r="P2221"/>
      <c r="Q2221"/>
      <c r="R2221"/>
      <c r="S2221"/>
    </row>
    <row r="2222" spans="1:19" x14ac:dyDescent="0.25">
      <c r="A2222" t="s">
        <v>193</v>
      </c>
      <c r="C2222" s="27" t="s">
        <v>34749</v>
      </c>
      <c r="D2222" s="28" t="s">
        <v>34867</v>
      </c>
      <c r="J2222" t="s">
        <v>6045</v>
      </c>
      <c r="K2222" t="s">
        <v>6046</v>
      </c>
      <c r="L2222" s="28" t="s">
        <v>6047</v>
      </c>
      <c r="M2222" t="s">
        <v>23</v>
      </c>
      <c r="N2222"/>
      <c r="O2222"/>
      <c r="P2222"/>
      <c r="Q2222"/>
      <c r="R2222"/>
      <c r="S2222"/>
    </row>
    <row r="2223" spans="1:19" x14ac:dyDescent="0.25">
      <c r="A2223" t="s">
        <v>193</v>
      </c>
      <c r="C2223" s="27" t="s">
        <v>34749</v>
      </c>
      <c r="D2223" s="28" t="s">
        <v>34867</v>
      </c>
      <c r="J2223" t="s">
        <v>6048</v>
      </c>
      <c r="K2223" t="s">
        <v>6049</v>
      </c>
      <c r="L2223" s="28" t="s">
        <v>6050</v>
      </c>
      <c r="M2223" t="s">
        <v>23</v>
      </c>
      <c r="N2223"/>
      <c r="O2223"/>
      <c r="P2223"/>
      <c r="Q2223"/>
      <c r="R2223"/>
      <c r="S2223"/>
    </row>
    <row r="2224" spans="1:19" x14ac:dyDescent="0.25">
      <c r="A2224" t="s">
        <v>193</v>
      </c>
      <c r="C2224" s="27" t="s">
        <v>34749</v>
      </c>
      <c r="D2224" s="28" t="s">
        <v>34867</v>
      </c>
      <c r="J2224" t="s">
        <v>6051</v>
      </c>
      <c r="K2224" t="s">
        <v>6052</v>
      </c>
      <c r="L2224" s="28" t="s">
        <v>6053</v>
      </c>
      <c r="M2224" t="s">
        <v>23</v>
      </c>
      <c r="N2224"/>
      <c r="O2224"/>
      <c r="P2224"/>
      <c r="Q2224"/>
      <c r="R2224"/>
      <c r="S2224"/>
    </row>
    <row r="2225" spans="1:19" x14ac:dyDescent="0.25">
      <c r="A2225" t="s">
        <v>193</v>
      </c>
      <c r="C2225" s="27" t="s">
        <v>34749</v>
      </c>
      <c r="D2225" s="28" t="s">
        <v>34867</v>
      </c>
      <c r="J2225" t="s">
        <v>6054</v>
      </c>
      <c r="K2225" t="s">
        <v>6055</v>
      </c>
      <c r="L2225" s="28" t="s">
        <v>6056</v>
      </c>
      <c r="M2225" t="s">
        <v>23</v>
      </c>
      <c r="N2225"/>
      <c r="O2225"/>
      <c r="P2225"/>
      <c r="Q2225"/>
      <c r="R2225"/>
      <c r="S2225"/>
    </row>
    <row r="2226" spans="1:19" x14ac:dyDescent="0.25">
      <c r="A2226" t="s">
        <v>193</v>
      </c>
      <c r="C2226" s="27" t="s">
        <v>34749</v>
      </c>
      <c r="D2226" s="28" t="s">
        <v>34867</v>
      </c>
      <c r="J2226" t="s">
        <v>6057</v>
      </c>
      <c r="K2226" t="s">
        <v>6058</v>
      </c>
      <c r="L2226" s="28" t="s">
        <v>6059</v>
      </c>
      <c r="M2226" t="s">
        <v>23</v>
      </c>
      <c r="N2226"/>
      <c r="O2226"/>
      <c r="P2226"/>
      <c r="Q2226"/>
      <c r="R2226"/>
      <c r="S2226"/>
    </row>
    <row r="2227" spans="1:19" x14ac:dyDescent="0.25">
      <c r="A2227" t="s">
        <v>193</v>
      </c>
      <c r="C2227" s="27" t="s">
        <v>34749</v>
      </c>
      <c r="D2227" s="28" t="s">
        <v>34867</v>
      </c>
      <c r="J2227" t="s">
        <v>6060</v>
      </c>
      <c r="K2227" t="s">
        <v>6061</v>
      </c>
      <c r="L2227" s="28" t="s">
        <v>6062</v>
      </c>
      <c r="M2227" t="s">
        <v>23</v>
      </c>
      <c r="N2227"/>
      <c r="O2227"/>
      <c r="P2227"/>
      <c r="Q2227"/>
      <c r="R2227"/>
      <c r="S2227"/>
    </row>
    <row r="2228" spans="1:19" x14ac:dyDescent="0.25">
      <c r="A2228" t="s">
        <v>193</v>
      </c>
      <c r="C2228" s="27" t="s">
        <v>34749</v>
      </c>
      <c r="D2228" s="28" t="s">
        <v>34867</v>
      </c>
      <c r="J2228" t="s">
        <v>6065</v>
      </c>
      <c r="K2228" t="s">
        <v>6066</v>
      </c>
      <c r="L2228" s="28" t="s">
        <v>6067</v>
      </c>
      <c r="M2228" t="s">
        <v>23</v>
      </c>
      <c r="N2228"/>
      <c r="O2228"/>
      <c r="P2228"/>
      <c r="Q2228"/>
      <c r="R2228"/>
      <c r="S2228"/>
    </row>
    <row r="2229" spans="1:19" x14ac:dyDescent="0.25">
      <c r="A2229" t="s">
        <v>193</v>
      </c>
      <c r="C2229" s="27" t="s">
        <v>34749</v>
      </c>
      <c r="D2229" s="28" t="s">
        <v>34867</v>
      </c>
      <c r="J2229" t="s">
        <v>6068</v>
      </c>
      <c r="K2229" t="s">
        <v>6069</v>
      </c>
      <c r="L2229" s="28" t="s">
        <v>6070</v>
      </c>
      <c r="M2229" t="s">
        <v>23</v>
      </c>
      <c r="N2229"/>
      <c r="O2229"/>
      <c r="P2229"/>
      <c r="Q2229"/>
      <c r="R2229"/>
      <c r="S2229"/>
    </row>
    <row r="2230" spans="1:19" x14ac:dyDescent="0.25">
      <c r="A2230" t="s">
        <v>193</v>
      </c>
      <c r="C2230" s="27" t="s">
        <v>34749</v>
      </c>
      <c r="D2230" s="28" t="s">
        <v>34867</v>
      </c>
      <c r="J2230" t="s">
        <v>6071</v>
      </c>
      <c r="K2230" t="s">
        <v>6072</v>
      </c>
      <c r="L2230" s="28" t="s">
        <v>6073</v>
      </c>
      <c r="M2230" t="s">
        <v>23</v>
      </c>
      <c r="N2230"/>
      <c r="O2230"/>
      <c r="P2230"/>
      <c r="Q2230"/>
      <c r="R2230"/>
      <c r="S2230"/>
    </row>
    <row r="2231" spans="1:19" x14ac:dyDescent="0.25">
      <c r="A2231" t="s">
        <v>193</v>
      </c>
      <c r="C2231" s="27" t="s">
        <v>34749</v>
      </c>
      <c r="D2231" s="28" t="s">
        <v>34867</v>
      </c>
      <c r="J2231" t="s">
        <v>6074</v>
      </c>
      <c r="K2231" t="s">
        <v>6075</v>
      </c>
      <c r="L2231" s="28" t="s">
        <v>6076</v>
      </c>
      <c r="M2231" t="s">
        <v>23</v>
      </c>
      <c r="N2231"/>
      <c r="O2231"/>
      <c r="P2231"/>
      <c r="Q2231"/>
      <c r="R2231"/>
      <c r="S2231"/>
    </row>
    <row r="2232" spans="1:19" x14ac:dyDescent="0.25">
      <c r="A2232" t="s">
        <v>193</v>
      </c>
      <c r="C2232" s="27" t="s">
        <v>34749</v>
      </c>
      <c r="D2232" s="28" t="s">
        <v>34867</v>
      </c>
      <c r="J2232" t="s">
        <v>6077</v>
      </c>
      <c r="K2232" t="s">
        <v>6078</v>
      </c>
      <c r="L2232" s="28" t="s">
        <v>6079</v>
      </c>
      <c r="M2232" t="s">
        <v>23</v>
      </c>
      <c r="N2232"/>
      <c r="O2232"/>
      <c r="P2232"/>
      <c r="Q2232"/>
      <c r="R2232"/>
      <c r="S2232"/>
    </row>
    <row r="2233" spans="1:19" x14ac:dyDescent="0.25">
      <c r="A2233" t="s">
        <v>193</v>
      </c>
      <c r="C2233" s="27" t="s">
        <v>34749</v>
      </c>
      <c r="D2233" s="28" t="s">
        <v>34867</v>
      </c>
      <c r="J2233" t="s">
        <v>6080</v>
      </c>
      <c r="K2233" t="s">
        <v>6081</v>
      </c>
      <c r="L2233" s="28" t="s">
        <v>6082</v>
      </c>
      <c r="M2233" t="s">
        <v>23</v>
      </c>
      <c r="N2233"/>
      <c r="O2233"/>
      <c r="P2233"/>
      <c r="Q2233"/>
      <c r="R2233"/>
      <c r="S2233"/>
    </row>
    <row r="2234" spans="1:19" x14ac:dyDescent="0.25">
      <c r="A2234" t="s">
        <v>193</v>
      </c>
      <c r="C2234" s="27" t="s">
        <v>34749</v>
      </c>
      <c r="D2234" s="28" t="s">
        <v>34867</v>
      </c>
      <c r="J2234" t="s">
        <v>6083</v>
      </c>
      <c r="K2234" t="s">
        <v>6084</v>
      </c>
      <c r="L2234" s="28" t="s">
        <v>6085</v>
      </c>
      <c r="M2234" t="s">
        <v>23</v>
      </c>
      <c r="N2234"/>
      <c r="O2234"/>
      <c r="P2234"/>
      <c r="Q2234"/>
      <c r="R2234"/>
      <c r="S2234"/>
    </row>
    <row r="2235" spans="1:19" x14ac:dyDescent="0.25">
      <c r="A2235" t="s">
        <v>193</v>
      </c>
      <c r="C2235" s="27" t="s">
        <v>34749</v>
      </c>
      <c r="D2235" s="28" t="s">
        <v>34867</v>
      </c>
      <c r="J2235" t="s">
        <v>6086</v>
      </c>
      <c r="K2235" t="s">
        <v>6087</v>
      </c>
      <c r="L2235" s="28" t="s">
        <v>6088</v>
      </c>
      <c r="M2235" t="s">
        <v>23</v>
      </c>
      <c r="N2235"/>
      <c r="O2235"/>
      <c r="P2235"/>
      <c r="Q2235"/>
      <c r="R2235"/>
      <c r="S2235"/>
    </row>
    <row r="2236" spans="1:19" x14ac:dyDescent="0.25">
      <c r="A2236" t="s">
        <v>193</v>
      </c>
      <c r="C2236" s="27" t="s">
        <v>34749</v>
      </c>
      <c r="D2236" s="28" t="s">
        <v>34867</v>
      </c>
      <c r="J2236" t="s">
        <v>6089</v>
      </c>
      <c r="K2236" t="s">
        <v>6090</v>
      </c>
      <c r="L2236" s="28" t="s">
        <v>6091</v>
      </c>
      <c r="M2236" t="s">
        <v>23</v>
      </c>
      <c r="N2236"/>
      <c r="O2236"/>
      <c r="P2236"/>
      <c r="Q2236"/>
      <c r="R2236"/>
      <c r="S2236"/>
    </row>
    <row r="2237" spans="1:19" x14ac:dyDescent="0.25">
      <c r="A2237" t="s">
        <v>193</v>
      </c>
      <c r="C2237" s="27" t="s">
        <v>34749</v>
      </c>
      <c r="D2237" s="28" t="s">
        <v>34867</v>
      </c>
      <c r="J2237" t="s">
        <v>6092</v>
      </c>
      <c r="K2237" t="s">
        <v>6093</v>
      </c>
      <c r="L2237" s="28" t="s">
        <v>6094</v>
      </c>
      <c r="M2237" t="s">
        <v>23</v>
      </c>
      <c r="N2237"/>
      <c r="O2237"/>
      <c r="P2237"/>
      <c r="Q2237"/>
      <c r="R2237"/>
      <c r="S2237"/>
    </row>
    <row r="2238" spans="1:19" x14ac:dyDescent="0.25">
      <c r="A2238" t="s">
        <v>193</v>
      </c>
      <c r="C2238" s="27" t="s">
        <v>34749</v>
      </c>
      <c r="D2238" s="28" t="s">
        <v>34867</v>
      </c>
      <c r="J2238" t="s">
        <v>6095</v>
      </c>
      <c r="K2238" t="s">
        <v>6096</v>
      </c>
      <c r="L2238" s="28" t="s">
        <v>6097</v>
      </c>
      <c r="M2238" t="s">
        <v>23</v>
      </c>
      <c r="N2238"/>
      <c r="O2238"/>
      <c r="P2238"/>
      <c r="Q2238"/>
      <c r="R2238"/>
      <c r="S2238"/>
    </row>
    <row r="2239" spans="1:19" x14ac:dyDescent="0.25">
      <c r="A2239" t="s">
        <v>193</v>
      </c>
      <c r="C2239" s="27" t="s">
        <v>34749</v>
      </c>
      <c r="D2239" s="28" t="s">
        <v>34867</v>
      </c>
      <c r="J2239" t="s">
        <v>6100</v>
      </c>
      <c r="K2239" t="s">
        <v>6101</v>
      </c>
      <c r="L2239" s="28" t="s">
        <v>6102</v>
      </c>
      <c r="M2239" t="s">
        <v>23</v>
      </c>
      <c r="N2239"/>
      <c r="O2239"/>
      <c r="P2239"/>
      <c r="Q2239"/>
      <c r="R2239"/>
      <c r="S2239"/>
    </row>
    <row r="2240" spans="1:19" x14ac:dyDescent="0.25">
      <c r="A2240" t="s">
        <v>193</v>
      </c>
      <c r="C2240" s="27" t="s">
        <v>34749</v>
      </c>
      <c r="D2240" s="28" t="s">
        <v>34867</v>
      </c>
      <c r="J2240" t="s">
        <v>6103</v>
      </c>
      <c r="K2240" t="s">
        <v>6104</v>
      </c>
      <c r="L2240" s="28" t="s">
        <v>6105</v>
      </c>
      <c r="M2240" t="s">
        <v>23</v>
      </c>
      <c r="N2240"/>
      <c r="O2240"/>
      <c r="P2240"/>
      <c r="Q2240"/>
      <c r="R2240"/>
      <c r="S2240"/>
    </row>
    <row r="2241" spans="1:19" x14ac:dyDescent="0.25">
      <c r="A2241" t="s">
        <v>193</v>
      </c>
      <c r="C2241" s="27" t="s">
        <v>34749</v>
      </c>
      <c r="D2241" s="28" t="s">
        <v>34867</v>
      </c>
      <c r="J2241" t="s">
        <v>6106</v>
      </c>
      <c r="K2241" t="s">
        <v>6107</v>
      </c>
      <c r="L2241" s="28" t="s">
        <v>6108</v>
      </c>
      <c r="M2241" t="s">
        <v>23</v>
      </c>
      <c r="N2241"/>
      <c r="O2241"/>
      <c r="P2241"/>
      <c r="Q2241"/>
      <c r="R2241"/>
      <c r="S2241"/>
    </row>
    <row r="2242" spans="1:19" x14ac:dyDescent="0.25">
      <c r="A2242" t="s">
        <v>193</v>
      </c>
      <c r="C2242" s="27" t="s">
        <v>34749</v>
      </c>
      <c r="D2242" s="28" t="s">
        <v>34867</v>
      </c>
      <c r="J2242" t="s">
        <v>6111</v>
      </c>
      <c r="K2242" t="s">
        <v>6112</v>
      </c>
      <c r="L2242" s="28" t="s">
        <v>6113</v>
      </c>
      <c r="M2242" t="s">
        <v>23</v>
      </c>
      <c r="N2242"/>
      <c r="O2242"/>
      <c r="P2242"/>
      <c r="Q2242"/>
      <c r="R2242"/>
      <c r="S2242"/>
    </row>
    <row r="2243" spans="1:19" x14ac:dyDescent="0.25">
      <c r="A2243" s="28" t="s">
        <v>14843</v>
      </c>
      <c r="J2243" t="s">
        <v>6114</v>
      </c>
      <c r="K2243" t="s">
        <v>6115</v>
      </c>
      <c r="M2243" t="s">
        <v>2820</v>
      </c>
      <c r="N2243"/>
      <c r="O2243"/>
      <c r="P2243"/>
      <c r="Q2243"/>
      <c r="R2243"/>
      <c r="S2243"/>
    </row>
    <row r="2244" spans="1:19" x14ac:dyDescent="0.25">
      <c r="A2244" s="28" t="s">
        <v>14843</v>
      </c>
      <c r="J2244" t="s">
        <v>6116</v>
      </c>
      <c r="K2244" t="s">
        <v>6117</v>
      </c>
      <c r="M2244" t="s">
        <v>666</v>
      </c>
      <c r="N2244"/>
      <c r="O2244"/>
      <c r="P2244"/>
      <c r="Q2244"/>
      <c r="R2244"/>
      <c r="S2244"/>
    </row>
    <row r="2245" spans="1:19" x14ac:dyDescent="0.25">
      <c r="A2245" s="28" t="s">
        <v>14843</v>
      </c>
      <c r="C2245"/>
      <c r="E2245"/>
      <c r="F2245"/>
      <c r="G2245"/>
      <c r="H2245"/>
      <c r="I2245"/>
      <c r="J2245" t="s">
        <v>6118</v>
      </c>
      <c r="K2245" t="s">
        <v>6119</v>
      </c>
      <c r="M2245" t="s">
        <v>666</v>
      </c>
      <c r="N2245"/>
      <c r="O2245"/>
      <c r="P2245"/>
      <c r="Q2245"/>
      <c r="R2245"/>
      <c r="S2245"/>
    </row>
    <row r="2246" spans="1:19" x14ac:dyDescent="0.25">
      <c r="A2246" s="28" t="s">
        <v>14843</v>
      </c>
      <c r="C2246"/>
      <c r="E2246"/>
      <c r="F2246"/>
      <c r="G2246"/>
      <c r="H2246"/>
      <c r="I2246"/>
      <c r="J2246" t="s">
        <v>6120</v>
      </c>
      <c r="K2246" t="s">
        <v>6121</v>
      </c>
      <c r="M2246" t="s">
        <v>2820</v>
      </c>
      <c r="N2246"/>
      <c r="O2246"/>
      <c r="P2246"/>
      <c r="Q2246"/>
      <c r="R2246"/>
      <c r="S2246"/>
    </row>
    <row r="2247" spans="1:19" x14ac:dyDescent="0.25">
      <c r="A2247" s="28" t="s">
        <v>14843</v>
      </c>
      <c r="C2247"/>
      <c r="E2247"/>
      <c r="F2247"/>
      <c r="G2247"/>
      <c r="H2247"/>
      <c r="I2247"/>
      <c r="J2247" t="s">
        <v>6122</v>
      </c>
      <c r="K2247" t="s">
        <v>6123</v>
      </c>
      <c r="M2247" t="s">
        <v>2820</v>
      </c>
      <c r="N2247"/>
      <c r="O2247"/>
      <c r="P2247"/>
      <c r="Q2247"/>
      <c r="R2247"/>
      <c r="S2247"/>
    </row>
    <row r="2248" spans="1:19" x14ac:dyDescent="0.25">
      <c r="A2248" s="28" t="s">
        <v>14843</v>
      </c>
      <c r="C2248"/>
      <c r="E2248"/>
      <c r="F2248"/>
      <c r="G2248"/>
      <c r="H2248"/>
      <c r="I2248"/>
      <c r="J2248" t="s">
        <v>6124</v>
      </c>
      <c r="K2248" t="s">
        <v>6125</v>
      </c>
      <c r="M2248" t="s">
        <v>666</v>
      </c>
      <c r="N2248"/>
      <c r="O2248"/>
      <c r="P2248"/>
      <c r="Q2248"/>
      <c r="R2248"/>
      <c r="S2248"/>
    </row>
    <row r="2249" spans="1:19" x14ac:dyDescent="0.25">
      <c r="A2249" s="28" t="s">
        <v>14843</v>
      </c>
      <c r="C2249"/>
      <c r="E2249"/>
      <c r="F2249"/>
      <c r="G2249"/>
      <c r="H2249"/>
      <c r="I2249"/>
      <c r="J2249" t="s">
        <v>6126</v>
      </c>
      <c r="K2249" t="s">
        <v>6127</v>
      </c>
      <c r="M2249" t="s">
        <v>2820</v>
      </c>
      <c r="N2249"/>
      <c r="O2249"/>
      <c r="P2249"/>
      <c r="Q2249"/>
      <c r="R2249"/>
      <c r="S2249"/>
    </row>
    <row r="2250" spans="1:19" x14ac:dyDescent="0.25">
      <c r="A2250" s="28" t="s">
        <v>14843</v>
      </c>
      <c r="C2250"/>
      <c r="E2250"/>
      <c r="F2250"/>
      <c r="G2250"/>
      <c r="H2250"/>
      <c r="I2250"/>
      <c r="J2250" t="s">
        <v>6128</v>
      </c>
      <c r="K2250" t="s">
        <v>6129</v>
      </c>
      <c r="M2250" t="s">
        <v>47</v>
      </c>
      <c r="N2250"/>
      <c r="O2250"/>
      <c r="P2250"/>
      <c r="Q2250"/>
      <c r="R2250"/>
      <c r="S2250"/>
    </row>
    <row r="2251" spans="1:19" x14ac:dyDescent="0.25">
      <c r="A2251" s="28" t="s">
        <v>14843</v>
      </c>
      <c r="C2251"/>
      <c r="E2251"/>
      <c r="F2251"/>
      <c r="G2251"/>
      <c r="H2251"/>
      <c r="I2251"/>
      <c r="J2251" t="s">
        <v>6130</v>
      </c>
      <c r="K2251" t="s">
        <v>6131</v>
      </c>
      <c r="M2251" t="s">
        <v>47</v>
      </c>
      <c r="N2251"/>
      <c r="O2251"/>
      <c r="P2251"/>
      <c r="Q2251"/>
      <c r="R2251"/>
      <c r="S2251"/>
    </row>
    <row r="2252" spans="1:19" x14ac:dyDescent="0.25">
      <c r="A2252" s="28" t="s">
        <v>14843</v>
      </c>
      <c r="C2252"/>
      <c r="E2252"/>
      <c r="F2252"/>
      <c r="G2252"/>
      <c r="H2252"/>
      <c r="I2252"/>
      <c r="J2252" t="s">
        <v>6132</v>
      </c>
      <c r="K2252" t="s">
        <v>6133</v>
      </c>
      <c r="M2252" t="s">
        <v>47</v>
      </c>
      <c r="N2252"/>
      <c r="O2252"/>
      <c r="P2252"/>
      <c r="Q2252"/>
      <c r="R2252"/>
      <c r="S2252"/>
    </row>
    <row r="2253" spans="1:19" x14ac:dyDescent="0.25">
      <c r="A2253" s="28" t="s">
        <v>14843</v>
      </c>
      <c r="C2253"/>
      <c r="E2253"/>
      <c r="F2253"/>
      <c r="G2253"/>
      <c r="H2253"/>
      <c r="I2253"/>
      <c r="J2253" t="s">
        <v>6134</v>
      </c>
      <c r="K2253" t="s">
        <v>6135</v>
      </c>
      <c r="M2253" t="s">
        <v>47</v>
      </c>
      <c r="N2253"/>
      <c r="O2253"/>
      <c r="P2253"/>
      <c r="Q2253"/>
      <c r="R2253"/>
      <c r="S2253"/>
    </row>
    <row r="2254" spans="1:19" x14ac:dyDescent="0.25">
      <c r="A2254" s="28" t="s">
        <v>14843</v>
      </c>
      <c r="C2254"/>
      <c r="E2254"/>
      <c r="F2254"/>
      <c r="G2254"/>
      <c r="H2254"/>
      <c r="I2254"/>
      <c r="J2254" t="s">
        <v>6136</v>
      </c>
      <c r="K2254" t="s">
        <v>6137</v>
      </c>
      <c r="M2254" t="s">
        <v>47</v>
      </c>
      <c r="N2254"/>
      <c r="O2254"/>
      <c r="P2254"/>
      <c r="Q2254"/>
      <c r="R2254"/>
      <c r="S2254"/>
    </row>
    <row r="2255" spans="1:19" x14ac:dyDescent="0.25">
      <c r="A2255" s="28" t="s">
        <v>14843</v>
      </c>
      <c r="C2255"/>
      <c r="E2255"/>
      <c r="F2255"/>
      <c r="G2255"/>
      <c r="H2255"/>
      <c r="I2255"/>
      <c r="J2255" t="s">
        <v>6138</v>
      </c>
      <c r="K2255" t="s">
        <v>6139</v>
      </c>
      <c r="M2255" t="s">
        <v>47</v>
      </c>
      <c r="N2255"/>
      <c r="O2255"/>
      <c r="P2255"/>
      <c r="Q2255"/>
      <c r="R2255"/>
      <c r="S2255"/>
    </row>
    <row r="2256" spans="1:19" x14ac:dyDescent="0.25">
      <c r="A2256" s="28" t="s">
        <v>14843</v>
      </c>
      <c r="C2256"/>
      <c r="E2256"/>
      <c r="F2256"/>
      <c r="G2256"/>
      <c r="H2256"/>
      <c r="I2256"/>
      <c r="J2256" t="s">
        <v>6140</v>
      </c>
      <c r="K2256" t="s">
        <v>6141</v>
      </c>
      <c r="M2256" t="s">
        <v>47</v>
      </c>
      <c r="N2256"/>
      <c r="O2256"/>
      <c r="P2256"/>
      <c r="Q2256"/>
      <c r="R2256"/>
      <c r="S2256"/>
    </row>
    <row r="2257" spans="1:19" x14ac:dyDescent="0.25">
      <c r="A2257" s="28" t="s">
        <v>14843</v>
      </c>
      <c r="C2257"/>
      <c r="E2257"/>
      <c r="F2257"/>
      <c r="G2257"/>
      <c r="H2257"/>
      <c r="I2257"/>
      <c r="J2257" t="s">
        <v>6142</v>
      </c>
      <c r="K2257" t="s">
        <v>6143</v>
      </c>
      <c r="M2257" t="s">
        <v>666</v>
      </c>
      <c r="N2257"/>
      <c r="O2257"/>
      <c r="P2257"/>
      <c r="Q2257"/>
      <c r="R2257"/>
      <c r="S2257"/>
    </row>
    <row r="2258" spans="1:19" x14ac:dyDescent="0.25">
      <c r="A2258" s="28" t="s">
        <v>14843</v>
      </c>
      <c r="C2258"/>
      <c r="E2258"/>
      <c r="F2258"/>
      <c r="G2258"/>
      <c r="H2258"/>
      <c r="I2258"/>
      <c r="J2258" t="s">
        <v>6144</v>
      </c>
      <c r="K2258" t="s">
        <v>6145</v>
      </c>
      <c r="M2258" t="s">
        <v>666</v>
      </c>
      <c r="N2258"/>
      <c r="O2258"/>
      <c r="P2258"/>
      <c r="Q2258"/>
      <c r="R2258"/>
      <c r="S2258"/>
    </row>
    <row r="2259" spans="1:19" x14ac:dyDescent="0.25">
      <c r="A2259" s="28" t="s">
        <v>14843</v>
      </c>
      <c r="C2259"/>
      <c r="E2259"/>
      <c r="F2259"/>
      <c r="G2259"/>
      <c r="H2259"/>
      <c r="I2259"/>
      <c r="J2259" t="s">
        <v>6146</v>
      </c>
      <c r="K2259" t="s">
        <v>6147</v>
      </c>
      <c r="M2259" t="s">
        <v>666</v>
      </c>
      <c r="N2259"/>
      <c r="O2259"/>
      <c r="P2259"/>
      <c r="Q2259"/>
      <c r="R2259"/>
      <c r="S2259"/>
    </row>
    <row r="2260" spans="1:19" x14ac:dyDescent="0.25">
      <c r="A2260" s="28" t="s">
        <v>14843</v>
      </c>
      <c r="C2260"/>
      <c r="E2260"/>
      <c r="F2260"/>
      <c r="G2260"/>
      <c r="H2260"/>
      <c r="I2260"/>
      <c r="J2260" t="s">
        <v>6148</v>
      </c>
      <c r="K2260" t="s">
        <v>6149</v>
      </c>
      <c r="M2260" t="s">
        <v>666</v>
      </c>
      <c r="N2260"/>
      <c r="O2260"/>
      <c r="P2260"/>
      <c r="Q2260"/>
      <c r="R2260"/>
      <c r="S2260"/>
    </row>
    <row r="2261" spans="1:19" x14ac:dyDescent="0.25">
      <c r="A2261" s="28" t="s">
        <v>14843</v>
      </c>
      <c r="C2261"/>
      <c r="E2261"/>
      <c r="F2261"/>
      <c r="G2261"/>
      <c r="H2261"/>
      <c r="I2261"/>
      <c r="J2261" t="s">
        <v>6150</v>
      </c>
      <c r="K2261" t="s">
        <v>6151</v>
      </c>
      <c r="M2261" t="s">
        <v>666</v>
      </c>
      <c r="N2261"/>
      <c r="O2261"/>
      <c r="P2261"/>
      <c r="Q2261"/>
      <c r="R2261"/>
      <c r="S2261"/>
    </row>
    <row r="2262" spans="1:19" x14ac:dyDescent="0.25">
      <c r="A2262" s="28" t="s">
        <v>14843</v>
      </c>
      <c r="C2262"/>
      <c r="E2262"/>
      <c r="F2262"/>
      <c r="G2262"/>
      <c r="H2262"/>
      <c r="I2262"/>
      <c r="J2262" t="s">
        <v>6152</v>
      </c>
      <c r="K2262" t="s">
        <v>6153</v>
      </c>
      <c r="M2262" t="s">
        <v>666</v>
      </c>
      <c r="N2262"/>
      <c r="O2262"/>
      <c r="P2262"/>
      <c r="Q2262"/>
      <c r="R2262"/>
      <c r="S2262"/>
    </row>
    <row r="2263" spans="1:19" x14ac:dyDescent="0.25">
      <c r="A2263" s="28" t="s">
        <v>14843</v>
      </c>
      <c r="C2263"/>
      <c r="E2263"/>
      <c r="F2263"/>
      <c r="G2263"/>
      <c r="H2263"/>
      <c r="I2263"/>
      <c r="J2263" t="s">
        <v>6154</v>
      </c>
      <c r="K2263" t="s">
        <v>6155</v>
      </c>
      <c r="M2263" t="s">
        <v>666</v>
      </c>
      <c r="N2263"/>
      <c r="O2263"/>
      <c r="P2263"/>
      <c r="Q2263"/>
      <c r="R2263"/>
      <c r="S2263"/>
    </row>
    <row r="2264" spans="1:19" x14ac:dyDescent="0.25">
      <c r="A2264" s="28" t="s">
        <v>14843</v>
      </c>
      <c r="C2264"/>
      <c r="E2264"/>
      <c r="F2264"/>
      <c r="G2264"/>
      <c r="H2264"/>
      <c r="I2264"/>
      <c r="J2264" t="s">
        <v>6156</v>
      </c>
      <c r="K2264" t="s">
        <v>6157</v>
      </c>
      <c r="M2264" t="s">
        <v>666</v>
      </c>
      <c r="N2264"/>
      <c r="O2264"/>
      <c r="P2264"/>
      <c r="Q2264"/>
      <c r="R2264"/>
      <c r="S2264"/>
    </row>
    <row r="2265" spans="1:19" x14ac:dyDescent="0.25">
      <c r="A2265" s="28" t="s">
        <v>14843</v>
      </c>
      <c r="C2265"/>
      <c r="E2265"/>
      <c r="F2265"/>
      <c r="G2265"/>
      <c r="H2265"/>
      <c r="I2265"/>
      <c r="J2265" t="s">
        <v>6158</v>
      </c>
      <c r="K2265" t="s">
        <v>6159</v>
      </c>
      <c r="M2265" t="s">
        <v>666</v>
      </c>
      <c r="N2265"/>
      <c r="O2265"/>
      <c r="P2265"/>
      <c r="Q2265"/>
      <c r="R2265"/>
      <c r="S2265"/>
    </row>
    <row r="2266" spans="1:19" x14ac:dyDescent="0.25">
      <c r="A2266" s="28" t="s">
        <v>14843</v>
      </c>
      <c r="C2266"/>
      <c r="E2266"/>
      <c r="F2266"/>
      <c r="G2266"/>
      <c r="H2266"/>
      <c r="I2266"/>
      <c r="J2266" t="s">
        <v>6160</v>
      </c>
      <c r="K2266" t="s">
        <v>6161</v>
      </c>
      <c r="M2266" t="s">
        <v>666</v>
      </c>
      <c r="N2266"/>
      <c r="O2266"/>
      <c r="P2266"/>
      <c r="Q2266"/>
      <c r="R2266"/>
      <c r="S2266"/>
    </row>
    <row r="2267" spans="1:19" x14ac:dyDescent="0.25">
      <c r="A2267" s="28" t="s">
        <v>14843</v>
      </c>
      <c r="C2267"/>
      <c r="E2267"/>
      <c r="F2267"/>
      <c r="G2267"/>
      <c r="H2267"/>
      <c r="I2267"/>
      <c r="J2267" t="s">
        <v>6162</v>
      </c>
      <c r="K2267" t="s">
        <v>6163</v>
      </c>
      <c r="M2267" t="s">
        <v>666</v>
      </c>
      <c r="N2267"/>
      <c r="O2267"/>
      <c r="P2267"/>
      <c r="Q2267"/>
      <c r="R2267"/>
      <c r="S2267"/>
    </row>
    <row r="2268" spans="1:19" x14ac:dyDescent="0.25">
      <c r="A2268" s="28" t="s">
        <v>14843</v>
      </c>
      <c r="C2268"/>
      <c r="E2268"/>
      <c r="F2268"/>
      <c r="G2268"/>
      <c r="H2268"/>
      <c r="I2268"/>
      <c r="J2268" t="s">
        <v>6164</v>
      </c>
      <c r="K2268" t="s">
        <v>6165</v>
      </c>
      <c r="M2268" t="s">
        <v>666</v>
      </c>
      <c r="N2268"/>
      <c r="O2268"/>
      <c r="P2268"/>
      <c r="Q2268"/>
      <c r="R2268"/>
      <c r="S2268"/>
    </row>
    <row r="2269" spans="1:19" x14ac:dyDescent="0.25">
      <c r="A2269" s="28" t="s">
        <v>14843</v>
      </c>
      <c r="C2269"/>
      <c r="E2269"/>
      <c r="F2269"/>
      <c r="G2269"/>
      <c r="H2269"/>
      <c r="I2269"/>
      <c r="J2269" t="s">
        <v>6166</v>
      </c>
      <c r="K2269" t="s">
        <v>6167</v>
      </c>
      <c r="M2269" t="s">
        <v>666</v>
      </c>
      <c r="N2269"/>
      <c r="O2269"/>
      <c r="P2269"/>
      <c r="Q2269"/>
      <c r="R2269"/>
      <c r="S2269"/>
    </row>
    <row r="2270" spans="1:19" x14ac:dyDescent="0.25">
      <c r="A2270" s="28" t="s">
        <v>14843</v>
      </c>
      <c r="C2270"/>
      <c r="E2270"/>
      <c r="F2270"/>
      <c r="G2270"/>
      <c r="H2270"/>
      <c r="I2270"/>
      <c r="J2270" t="s">
        <v>6168</v>
      </c>
      <c r="K2270" t="s">
        <v>6169</v>
      </c>
      <c r="M2270" t="s">
        <v>666</v>
      </c>
      <c r="N2270"/>
      <c r="O2270"/>
      <c r="P2270"/>
      <c r="Q2270"/>
      <c r="R2270"/>
      <c r="S2270"/>
    </row>
    <row r="2271" spans="1:19" x14ac:dyDescent="0.25">
      <c r="A2271" s="28" t="s">
        <v>14843</v>
      </c>
      <c r="C2271"/>
      <c r="E2271"/>
      <c r="F2271"/>
      <c r="G2271"/>
      <c r="H2271"/>
      <c r="I2271"/>
      <c r="J2271" t="s">
        <v>6170</v>
      </c>
      <c r="K2271" t="s">
        <v>6171</v>
      </c>
      <c r="M2271" t="s">
        <v>666</v>
      </c>
      <c r="N2271"/>
      <c r="O2271"/>
      <c r="P2271"/>
      <c r="Q2271"/>
      <c r="R2271"/>
      <c r="S2271"/>
    </row>
    <row r="2272" spans="1:19" x14ac:dyDescent="0.25">
      <c r="A2272" s="28" t="s">
        <v>14843</v>
      </c>
      <c r="C2272"/>
      <c r="E2272"/>
      <c r="F2272"/>
      <c r="G2272"/>
      <c r="H2272"/>
      <c r="I2272"/>
      <c r="J2272" t="s">
        <v>6172</v>
      </c>
      <c r="K2272" t="s">
        <v>6173</v>
      </c>
      <c r="M2272" t="s">
        <v>666</v>
      </c>
      <c r="N2272"/>
      <c r="O2272"/>
      <c r="P2272"/>
      <c r="Q2272"/>
      <c r="R2272"/>
      <c r="S2272"/>
    </row>
    <row r="2273" spans="1:19" x14ac:dyDescent="0.25">
      <c r="A2273" s="28" t="s">
        <v>14843</v>
      </c>
      <c r="C2273"/>
      <c r="E2273"/>
      <c r="F2273"/>
      <c r="G2273"/>
      <c r="H2273"/>
      <c r="I2273"/>
      <c r="J2273" t="s">
        <v>6174</v>
      </c>
      <c r="K2273" t="s">
        <v>6175</v>
      </c>
      <c r="M2273" t="s">
        <v>666</v>
      </c>
      <c r="N2273"/>
      <c r="O2273"/>
      <c r="P2273"/>
      <c r="Q2273"/>
      <c r="R2273"/>
      <c r="S2273"/>
    </row>
    <row r="2274" spans="1:19" x14ac:dyDescent="0.25">
      <c r="A2274" s="28" t="s">
        <v>14843</v>
      </c>
      <c r="C2274"/>
      <c r="E2274"/>
      <c r="F2274"/>
      <c r="G2274"/>
      <c r="H2274"/>
      <c r="I2274"/>
      <c r="J2274" t="s">
        <v>6176</v>
      </c>
      <c r="K2274" t="s">
        <v>6177</v>
      </c>
      <c r="M2274" t="s">
        <v>666</v>
      </c>
      <c r="N2274"/>
      <c r="O2274"/>
      <c r="P2274"/>
      <c r="Q2274"/>
      <c r="R2274"/>
      <c r="S2274"/>
    </row>
    <row r="2275" spans="1:19" x14ac:dyDescent="0.25">
      <c r="A2275" s="28" t="s">
        <v>14843</v>
      </c>
      <c r="C2275"/>
      <c r="E2275"/>
      <c r="F2275"/>
      <c r="G2275"/>
      <c r="H2275"/>
      <c r="I2275"/>
      <c r="J2275" t="s">
        <v>6178</v>
      </c>
      <c r="K2275" t="s">
        <v>6179</v>
      </c>
      <c r="M2275" t="s">
        <v>666</v>
      </c>
      <c r="N2275"/>
      <c r="O2275"/>
      <c r="P2275"/>
      <c r="Q2275"/>
      <c r="R2275"/>
      <c r="S2275"/>
    </row>
    <row r="2276" spans="1:19" x14ac:dyDescent="0.25">
      <c r="A2276" s="28" t="s">
        <v>14843</v>
      </c>
      <c r="C2276"/>
      <c r="E2276"/>
      <c r="F2276"/>
      <c r="G2276"/>
      <c r="H2276"/>
      <c r="I2276"/>
      <c r="J2276" t="s">
        <v>6180</v>
      </c>
      <c r="K2276" t="s">
        <v>6181</v>
      </c>
      <c r="M2276" t="s">
        <v>666</v>
      </c>
      <c r="N2276"/>
      <c r="O2276"/>
      <c r="P2276"/>
      <c r="Q2276"/>
      <c r="R2276"/>
      <c r="S2276"/>
    </row>
    <row r="2277" spans="1:19" x14ac:dyDescent="0.25">
      <c r="A2277" s="28" t="s">
        <v>14843</v>
      </c>
      <c r="J2277" t="s">
        <v>6182</v>
      </c>
      <c r="K2277" t="s">
        <v>6183</v>
      </c>
      <c r="M2277" t="s">
        <v>666</v>
      </c>
      <c r="N2277"/>
      <c r="O2277"/>
      <c r="P2277"/>
      <c r="Q2277"/>
      <c r="R2277"/>
      <c r="S2277"/>
    </row>
    <row r="2278" spans="1:19" x14ac:dyDescent="0.25">
      <c r="A2278" s="28" t="s">
        <v>14843</v>
      </c>
      <c r="J2278" t="s">
        <v>6184</v>
      </c>
      <c r="K2278" t="s">
        <v>6185</v>
      </c>
      <c r="M2278" t="s">
        <v>666</v>
      </c>
      <c r="N2278"/>
      <c r="O2278"/>
      <c r="P2278"/>
      <c r="Q2278"/>
      <c r="R2278"/>
      <c r="S2278"/>
    </row>
    <row r="2279" spans="1:19" x14ac:dyDescent="0.25">
      <c r="A2279" s="28" t="s">
        <v>14843</v>
      </c>
      <c r="J2279" t="s">
        <v>6186</v>
      </c>
      <c r="K2279" t="s">
        <v>6187</v>
      </c>
      <c r="M2279" t="s">
        <v>666</v>
      </c>
      <c r="N2279"/>
      <c r="O2279"/>
      <c r="P2279"/>
      <c r="Q2279"/>
      <c r="R2279"/>
      <c r="S2279"/>
    </row>
    <row r="2280" spans="1:19" x14ac:dyDescent="0.25">
      <c r="A2280" s="28" t="s">
        <v>14843</v>
      </c>
      <c r="J2280" t="s">
        <v>6188</v>
      </c>
      <c r="K2280" t="s">
        <v>6189</v>
      </c>
      <c r="M2280" t="s">
        <v>666</v>
      </c>
      <c r="N2280"/>
      <c r="O2280"/>
      <c r="P2280"/>
      <c r="Q2280"/>
      <c r="R2280"/>
      <c r="S2280"/>
    </row>
    <row r="2281" spans="1:19" x14ac:dyDescent="0.25">
      <c r="A2281" s="28" t="s">
        <v>14843</v>
      </c>
      <c r="J2281" t="s">
        <v>6190</v>
      </c>
      <c r="K2281" t="s">
        <v>6191</v>
      </c>
      <c r="M2281" t="s">
        <v>666</v>
      </c>
      <c r="N2281"/>
      <c r="O2281"/>
      <c r="P2281"/>
      <c r="Q2281"/>
      <c r="R2281"/>
      <c r="S2281"/>
    </row>
    <row r="2282" spans="1:19" x14ac:dyDescent="0.25">
      <c r="A2282" s="28" t="s">
        <v>14843</v>
      </c>
      <c r="J2282" t="s">
        <v>6192</v>
      </c>
      <c r="K2282" t="s">
        <v>6193</v>
      </c>
      <c r="M2282" t="s">
        <v>666</v>
      </c>
      <c r="N2282"/>
      <c r="O2282"/>
      <c r="P2282"/>
      <c r="Q2282"/>
      <c r="R2282"/>
      <c r="S2282"/>
    </row>
    <row r="2283" spans="1:19" x14ac:dyDescent="0.25">
      <c r="A2283" s="28" t="s">
        <v>14843</v>
      </c>
      <c r="J2283" t="s">
        <v>6194</v>
      </c>
      <c r="K2283" t="s">
        <v>6195</v>
      </c>
      <c r="M2283" t="s">
        <v>666</v>
      </c>
      <c r="N2283"/>
      <c r="O2283"/>
      <c r="P2283"/>
      <c r="Q2283"/>
      <c r="R2283"/>
      <c r="S2283"/>
    </row>
    <row r="2284" spans="1:19" x14ac:dyDescent="0.25">
      <c r="A2284" s="28" t="s">
        <v>14843</v>
      </c>
      <c r="J2284" t="s">
        <v>6196</v>
      </c>
      <c r="K2284" t="s">
        <v>6197</v>
      </c>
      <c r="M2284" t="s">
        <v>666</v>
      </c>
      <c r="N2284"/>
      <c r="O2284"/>
      <c r="P2284"/>
      <c r="Q2284"/>
      <c r="R2284"/>
      <c r="S2284"/>
    </row>
    <row r="2285" spans="1:19" x14ac:dyDescent="0.25">
      <c r="A2285" s="28" t="s">
        <v>14843</v>
      </c>
      <c r="J2285" t="s">
        <v>6198</v>
      </c>
      <c r="K2285" t="s">
        <v>6199</v>
      </c>
      <c r="M2285" t="s">
        <v>666</v>
      </c>
      <c r="N2285"/>
      <c r="O2285"/>
      <c r="P2285"/>
      <c r="Q2285"/>
      <c r="R2285"/>
      <c r="S2285"/>
    </row>
    <row r="2286" spans="1:19" x14ac:dyDescent="0.25">
      <c r="A2286" s="28" t="s">
        <v>14843</v>
      </c>
      <c r="J2286" t="s">
        <v>6200</v>
      </c>
      <c r="K2286" t="s">
        <v>6201</v>
      </c>
      <c r="M2286" t="s">
        <v>666</v>
      </c>
      <c r="N2286"/>
      <c r="O2286"/>
      <c r="P2286"/>
      <c r="Q2286"/>
      <c r="R2286"/>
      <c r="S2286"/>
    </row>
    <row r="2287" spans="1:19" x14ac:dyDescent="0.25">
      <c r="A2287" s="28" t="s">
        <v>14843</v>
      </c>
      <c r="J2287" t="s">
        <v>6202</v>
      </c>
      <c r="K2287" t="s">
        <v>6203</v>
      </c>
      <c r="M2287" t="s">
        <v>666</v>
      </c>
      <c r="N2287"/>
      <c r="O2287"/>
      <c r="P2287"/>
      <c r="Q2287"/>
      <c r="R2287"/>
      <c r="S2287"/>
    </row>
    <row r="2288" spans="1:19" x14ac:dyDescent="0.25">
      <c r="A2288" s="28" t="s">
        <v>14843</v>
      </c>
      <c r="J2288" t="s">
        <v>6204</v>
      </c>
      <c r="K2288" t="s">
        <v>6205</v>
      </c>
      <c r="M2288" t="s">
        <v>666</v>
      </c>
      <c r="N2288"/>
      <c r="O2288"/>
      <c r="P2288"/>
      <c r="Q2288"/>
      <c r="R2288"/>
      <c r="S2288"/>
    </row>
    <row r="2289" spans="1:19" x14ac:dyDescent="0.25">
      <c r="A2289" s="28" t="s">
        <v>14843</v>
      </c>
      <c r="J2289" t="s">
        <v>6206</v>
      </c>
      <c r="K2289" t="s">
        <v>6207</v>
      </c>
      <c r="M2289" t="s">
        <v>666</v>
      </c>
      <c r="N2289"/>
      <c r="O2289"/>
      <c r="P2289"/>
      <c r="Q2289"/>
      <c r="R2289"/>
      <c r="S2289"/>
    </row>
    <row r="2290" spans="1:19" x14ac:dyDescent="0.25">
      <c r="A2290" s="28" t="s">
        <v>14843</v>
      </c>
      <c r="J2290" t="s">
        <v>6208</v>
      </c>
      <c r="K2290" t="s">
        <v>6209</v>
      </c>
      <c r="M2290" t="s">
        <v>666</v>
      </c>
      <c r="N2290"/>
      <c r="O2290"/>
      <c r="P2290"/>
      <c r="Q2290"/>
      <c r="R2290"/>
      <c r="S2290"/>
    </row>
    <row r="2291" spans="1:19" x14ac:dyDescent="0.25">
      <c r="A2291" s="28" t="s">
        <v>14843</v>
      </c>
      <c r="J2291" t="s">
        <v>6210</v>
      </c>
      <c r="K2291" t="s">
        <v>6211</v>
      </c>
      <c r="M2291" t="s">
        <v>666</v>
      </c>
      <c r="N2291"/>
      <c r="O2291"/>
      <c r="P2291"/>
      <c r="Q2291"/>
      <c r="R2291"/>
      <c r="S2291"/>
    </row>
    <row r="2292" spans="1:19" x14ac:dyDescent="0.25">
      <c r="A2292" s="28" t="s">
        <v>14843</v>
      </c>
      <c r="J2292" t="s">
        <v>6212</v>
      </c>
      <c r="K2292" t="s">
        <v>6213</v>
      </c>
      <c r="M2292" t="s">
        <v>666</v>
      </c>
      <c r="N2292"/>
      <c r="O2292"/>
      <c r="P2292"/>
      <c r="Q2292"/>
      <c r="R2292"/>
      <c r="S2292"/>
    </row>
    <row r="2293" spans="1:19" x14ac:dyDescent="0.25">
      <c r="A2293" s="28" t="s">
        <v>14843</v>
      </c>
      <c r="C2293"/>
      <c r="E2293"/>
      <c r="F2293"/>
      <c r="G2293"/>
      <c r="H2293"/>
      <c r="I2293"/>
      <c r="J2293" t="s">
        <v>6214</v>
      </c>
      <c r="K2293" t="s">
        <v>6215</v>
      </c>
      <c r="M2293" t="s">
        <v>666</v>
      </c>
      <c r="N2293"/>
      <c r="O2293"/>
      <c r="P2293"/>
      <c r="Q2293"/>
      <c r="R2293"/>
      <c r="S2293"/>
    </row>
    <row r="2294" spans="1:19" x14ac:dyDescent="0.25">
      <c r="A2294" s="28" t="s">
        <v>14843</v>
      </c>
      <c r="C2294"/>
      <c r="E2294"/>
      <c r="F2294"/>
      <c r="G2294"/>
      <c r="H2294"/>
      <c r="I2294"/>
      <c r="J2294" t="s">
        <v>6216</v>
      </c>
      <c r="K2294" t="s">
        <v>6217</v>
      </c>
      <c r="M2294" t="s">
        <v>666</v>
      </c>
      <c r="N2294"/>
      <c r="O2294"/>
      <c r="P2294"/>
      <c r="Q2294"/>
      <c r="R2294"/>
      <c r="S2294"/>
    </row>
    <row r="2295" spans="1:19" x14ac:dyDescent="0.25">
      <c r="A2295" s="28" t="s">
        <v>14843</v>
      </c>
      <c r="C2295"/>
      <c r="E2295"/>
      <c r="F2295"/>
      <c r="G2295"/>
      <c r="H2295"/>
      <c r="I2295"/>
      <c r="J2295" t="s">
        <v>6218</v>
      </c>
      <c r="K2295" t="s">
        <v>6219</v>
      </c>
      <c r="M2295" t="s">
        <v>666</v>
      </c>
      <c r="N2295"/>
      <c r="O2295"/>
      <c r="P2295"/>
      <c r="Q2295"/>
      <c r="R2295"/>
      <c r="S2295"/>
    </row>
    <row r="2296" spans="1:19" x14ac:dyDescent="0.25">
      <c r="A2296" s="28" t="s">
        <v>14843</v>
      </c>
      <c r="C2296"/>
      <c r="E2296"/>
      <c r="F2296"/>
      <c r="G2296"/>
      <c r="H2296"/>
      <c r="I2296"/>
      <c r="J2296" t="s">
        <v>6220</v>
      </c>
      <c r="K2296" t="s">
        <v>6221</v>
      </c>
      <c r="M2296" t="s">
        <v>666</v>
      </c>
      <c r="N2296"/>
      <c r="O2296"/>
      <c r="P2296"/>
      <c r="Q2296"/>
      <c r="R2296"/>
      <c r="S2296"/>
    </row>
    <row r="2297" spans="1:19" x14ac:dyDescent="0.25">
      <c r="A2297" s="28" t="s">
        <v>14843</v>
      </c>
      <c r="C2297"/>
      <c r="E2297"/>
      <c r="F2297"/>
      <c r="G2297"/>
      <c r="H2297"/>
      <c r="I2297"/>
      <c r="J2297" t="s">
        <v>6222</v>
      </c>
      <c r="K2297" t="s">
        <v>6223</v>
      </c>
      <c r="M2297" t="s">
        <v>666</v>
      </c>
      <c r="N2297"/>
      <c r="O2297"/>
      <c r="P2297"/>
      <c r="Q2297"/>
      <c r="R2297"/>
      <c r="S2297"/>
    </row>
    <row r="2298" spans="1:19" x14ac:dyDescent="0.25">
      <c r="A2298" s="28" t="s">
        <v>14843</v>
      </c>
      <c r="C2298"/>
      <c r="E2298"/>
      <c r="F2298"/>
      <c r="G2298"/>
      <c r="H2298"/>
      <c r="I2298"/>
      <c r="J2298" t="s">
        <v>6224</v>
      </c>
      <c r="K2298" t="s">
        <v>6225</v>
      </c>
      <c r="M2298" t="s">
        <v>666</v>
      </c>
      <c r="N2298"/>
      <c r="O2298"/>
      <c r="P2298"/>
      <c r="Q2298"/>
      <c r="R2298"/>
      <c r="S2298"/>
    </row>
    <row r="2299" spans="1:19" x14ac:dyDescent="0.25">
      <c r="A2299" s="28" t="s">
        <v>14843</v>
      </c>
      <c r="C2299"/>
      <c r="E2299"/>
      <c r="F2299"/>
      <c r="G2299"/>
      <c r="H2299"/>
      <c r="I2299"/>
      <c r="J2299" t="s">
        <v>6226</v>
      </c>
      <c r="K2299" t="s">
        <v>6227</v>
      </c>
      <c r="M2299" t="s">
        <v>666</v>
      </c>
      <c r="N2299"/>
      <c r="O2299"/>
      <c r="P2299"/>
      <c r="Q2299"/>
      <c r="R2299"/>
      <c r="S2299"/>
    </row>
    <row r="2300" spans="1:19" x14ac:dyDescent="0.25">
      <c r="A2300" s="28" t="s">
        <v>14843</v>
      </c>
      <c r="C2300"/>
      <c r="E2300"/>
      <c r="F2300"/>
      <c r="G2300"/>
      <c r="H2300"/>
      <c r="I2300"/>
      <c r="J2300" t="s">
        <v>6228</v>
      </c>
      <c r="K2300" t="s">
        <v>6229</v>
      </c>
      <c r="M2300" t="s">
        <v>666</v>
      </c>
      <c r="N2300"/>
      <c r="O2300"/>
      <c r="P2300"/>
      <c r="Q2300"/>
      <c r="R2300"/>
      <c r="S2300"/>
    </row>
    <row r="2301" spans="1:19" x14ac:dyDescent="0.25">
      <c r="A2301" s="28" t="s">
        <v>14843</v>
      </c>
      <c r="C2301"/>
      <c r="E2301"/>
      <c r="F2301"/>
      <c r="G2301"/>
      <c r="H2301"/>
      <c r="I2301"/>
      <c r="J2301" t="s">
        <v>6230</v>
      </c>
      <c r="K2301" t="s">
        <v>6231</v>
      </c>
      <c r="M2301" t="s">
        <v>666</v>
      </c>
      <c r="N2301"/>
      <c r="O2301"/>
      <c r="P2301"/>
      <c r="Q2301"/>
      <c r="R2301"/>
      <c r="S2301"/>
    </row>
    <row r="2302" spans="1:19" x14ac:dyDescent="0.25">
      <c r="A2302" s="28" t="s">
        <v>14843</v>
      </c>
      <c r="C2302"/>
      <c r="E2302"/>
      <c r="F2302"/>
      <c r="G2302"/>
      <c r="H2302"/>
      <c r="I2302"/>
      <c r="J2302" t="s">
        <v>6232</v>
      </c>
      <c r="K2302" t="s">
        <v>6233</v>
      </c>
      <c r="M2302" t="s">
        <v>666</v>
      </c>
      <c r="N2302"/>
      <c r="O2302"/>
      <c r="P2302"/>
      <c r="Q2302"/>
      <c r="R2302"/>
      <c r="S2302"/>
    </row>
    <row r="2303" spans="1:19" x14ac:dyDescent="0.25">
      <c r="A2303" s="28" t="s">
        <v>14843</v>
      </c>
      <c r="C2303"/>
      <c r="E2303"/>
      <c r="F2303"/>
      <c r="G2303"/>
      <c r="H2303"/>
      <c r="I2303"/>
      <c r="J2303" t="s">
        <v>6234</v>
      </c>
      <c r="K2303" t="s">
        <v>6235</v>
      </c>
      <c r="M2303" t="s">
        <v>666</v>
      </c>
      <c r="N2303"/>
      <c r="O2303"/>
      <c r="P2303"/>
      <c r="Q2303"/>
      <c r="R2303"/>
      <c r="S2303"/>
    </row>
    <row r="2304" spans="1:19" x14ac:dyDescent="0.25">
      <c r="A2304" s="28" t="s">
        <v>14843</v>
      </c>
      <c r="C2304"/>
      <c r="E2304"/>
      <c r="F2304"/>
      <c r="G2304"/>
      <c r="H2304"/>
      <c r="I2304"/>
      <c r="J2304" t="s">
        <v>6236</v>
      </c>
      <c r="K2304" t="s">
        <v>6237</v>
      </c>
      <c r="M2304" t="s">
        <v>666</v>
      </c>
      <c r="N2304"/>
      <c r="O2304"/>
      <c r="P2304"/>
      <c r="Q2304"/>
      <c r="R2304"/>
      <c r="S2304"/>
    </row>
    <row r="2305" spans="1:19" x14ac:dyDescent="0.25">
      <c r="A2305" s="28" t="s">
        <v>14843</v>
      </c>
      <c r="C2305"/>
      <c r="E2305"/>
      <c r="F2305"/>
      <c r="G2305"/>
      <c r="H2305"/>
      <c r="I2305"/>
      <c r="J2305" t="s">
        <v>6238</v>
      </c>
      <c r="K2305" t="s">
        <v>6239</v>
      </c>
      <c r="M2305" t="s">
        <v>666</v>
      </c>
      <c r="N2305"/>
      <c r="O2305"/>
      <c r="P2305"/>
      <c r="Q2305"/>
      <c r="R2305"/>
      <c r="S2305"/>
    </row>
    <row r="2306" spans="1:19" x14ac:dyDescent="0.25">
      <c r="A2306" s="28" t="s">
        <v>14843</v>
      </c>
      <c r="C2306"/>
      <c r="E2306"/>
      <c r="F2306"/>
      <c r="G2306"/>
      <c r="H2306"/>
      <c r="I2306"/>
      <c r="J2306" t="s">
        <v>6240</v>
      </c>
      <c r="K2306" t="s">
        <v>6241</v>
      </c>
      <c r="M2306" t="s">
        <v>666</v>
      </c>
      <c r="N2306"/>
      <c r="O2306"/>
      <c r="P2306"/>
      <c r="Q2306"/>
      <c r="R2306"/>
      <c r="S2306"/>
    </row>
    <row r="2307" spans="1:19" x14ac:dyDescent="0.25">
      <c r="A2307" s="28" t="s">
        <v>14843</v>
      </c>
      <c r="C2307"/>
      <c r="E2307"/>
      <c r="F2307"/>
      <c r="G2307"/>
      <c r="H2307"/>
      <c r="I2307"/>
      <c r="J2307" t="s">
        <v>6242</v>
      </c>
      <c r="K2307" t="s">
        <v>6243</v>
      </c>
      <c r="M2307" t="s">
        <v>666</v>
      </c>
      <c r="N2307"/>
      <c r="O2307"/>
      <c r="P2307"/>
      <c r="Q2307"/>
      <c r="R2307"/>
      <c r="S2307"/>
    </row>
    <row r="2308" spans="1:19" x14ac:dyDescent="0.25">
      <c r="A2308" s="28" t="s">
        <v>14843</v>
      </c>
      <c r="C2308"/>
      <c r="E2308"/>
      <c r="F2308"/>
      <c r="G2308"/>
      <c r="H2308"/>
      <c r="I2308"/>
      <c r="J2308" t="s">
        <v>6244</v>
      </c>
      <c r="K2308" t="s">
        <v>6245</v>
      </c>
      <c r="M2308" t="s">
        <v>666</v>
      </c>
      <c r="N2308"/>
      <c r="O2308"/>
      <c r="P2308"/>
      <c r="Q2308"/>
      <c r="R2308"/>
      <c r="S2308"/>
    </row>
    <row r="2309" spans="1:19" x14ac:dyDescent="0.25">
      <c r="A2309" s="28" t="s">
        <v>14843</v>
      </c>
      <c r="C2309"/>
      <c r="E2309"/>
      <c r="F2309"/>
      <c r="G2309"/>
      <c r="H2309"/>
      <c r="I2309"/>
      <c r="J2309" t="s">
        <v>6246</v>
      </c>
      <c r="K2309" t="s">
        <v>6247</v>
      </c>
      <c r="M2309" t="s">
        <v>666</v>
      </c>
      <c r="N2309"/>
      <c r="O2309"/>
      <c r="P2309"/>
      <c r="Q2309"/>
      <c r="R2309"/>
      <c r="S2309"/>
    </row>
    <row r="2310" spans="1:19" x14ac:dyDescent="0.25">
      <c r="A2310" s="28" t="s">
        <v>14843</v>
      </c>
      <c r="C2310"/>
      <c r="E2310"/>
      <c r="F2310"/>
      <c r="G2310"/>
      <c r="H2310"/>
      <c r="I2310"/>
      <c r="J2310" t="s">
        <v>6248</v>
      </c>
      <c r="K2310" t="s">
        <v>6249</v>
      </c>
      <c r="M2310" t="s">
        <v>666</v>
      </c>
      <c r="N2310"/>
      <c r="O2310"/>
      <c r="P2310"/>
      <c r="Q2310"/>
      <c r="R2310"/>
      <c r="S2310"/>
    </row>
    <row r="2311" spans="1:19" x14ac:dyDescent="0.25">
      <c r="A2311" s="28" t="s">
        <v>14843</v>
      </c>
      <c r="C2311"/>
      <c r="E2311"/>
      <c r="F2311"/>
      <c r="G2311"/>
      <c r="H2311"/>
      <c r="I2311"/>
      <c r="J2311" t="s">
        <v>6250</v>
      </c>
      <c r="K2311" t="s">
        <v>6251</v>
      </c>
      <c r="M2311" t="s">
        <v>666</v>
      </c>
      <c r="N2311"/>
      <c r="O2311"/>
      <c r="P2311"/>
      <c r="Q2311"/>
      <c r="R2311"/>
      <c r="S2311"/>
    </row>
    <row r="2312" spans="1:19" x14ac:dyDescent="0.25">
      <c r="A2312" s="28" t="s">
        <v>14843</v>
      </c>
      <c r="C2312"/>
      <c r="E2312"/>
      <c r="F2312"/>
      <c r="G2312"/>
      <c r="H2312"/>
      <c r="I2312"/>
      <c r="J2312" t="s">
        <v>6252</v>
      </c>
      <c r="K2312" t="s">
        <v>6253</v>
      </c>
      <c r="M2312" t="s">
        <v>666</v>
      </c>
      <c r="N2312"/>
      <c r="O2312"/>
      <c r="P2312"/>
      <c r="Q2312"/>
      <c r="R2312"/>
      <c r="S2312"/>
    </row>
    <row r="2313" spans="1:19" x14ac:dyDescent="0.25">
      <c r="A2313" s="28" t="s">
        <v>14843</v>
      </c>
      <c r="C2313"/>
      <c r="E2313"/>
      <c r="F2313"/>
      <c r="G2313"/>
      <c r="H2313"/>
      <c r="I2313"/>
      <c r="J2313" t="s">
        <v>6254</v>
      </c>
      <c r="K2313" t="s">
        <v>6255</v>
      </c>
      <c r="M2313" t="s">
        <v>666</v>
      </c>
      <c r="N2313"/>
      <c r="O2313"/>
      <c r="P2313"/>
      <c r="Q2313"/>
      <c r="R2313"/>
      <c r="S2313"/>
    </row>
    <row r="2314" spans="1:19" x14ac:dyDescent="0.25">
      <c r="A2314" s="28" t="s">
        <v>14843</v>
      </c>
      <c r="C2314"/>
      <c r="E2314"/>
      <c r="F2314"/>
      <c r="G2314"/>
      <c r="H2314"/>
      <c r="I2314"/>
      <c r="J2314" t="s">
        <v>6256</v>
      </c>
      <c r="K2314" t="s">
        <v>6257</v>
      </c>
      <c r="M2314" t="s">
        <v>666</v>
      </c>
      <c r="N2314"/>
      <c r="O2314"/>
      <c r="P2314"/>
      <c r="Q2314"/>
      <c r="R2314"/>
      <c r="S2314"/>
    </row>
    <row r="2315" spans="1:19" x14ac:dyDescent="0.25">
      <c r="A2315" s="28" t="s">
        <v>14843</v>
      </c>
      <c r="C2315"/>
      <c r="E2315"/>
      <c r="F2315"/>
      <c r="G2315"/>
      <c r="H2315"/>
      <c r="I2315"/>
      <c r="J2315" t="s">
        <v>6258</v>
      </c>
      <c r="K2315" t="s">
        <v>6259</v>
      </c>
      <c r="M2315" t="s">
        <v>666</v>
      </c>
      <c r="N2315"/>
      <c r="O2315"/>
      <c r="P2315"/>
      <c r="Q2315"/>
      <c r="R2315"/>
      <c r="S2315"/>
    </row>
    <row r="2316" spans="1:19" x14ac:dyDescent="0.25">
      <c r="A2316" s="28" t="s">
        <v>14843</v>
      </c>
      <c r="C2316"/>
      <c r="E2316"/>
      <c r="F2316"/>
      <c r="G2316"/>
      <c r="H2316"/>
      <c r="I2316"/>
      <c r="J2316" t="s">
        <v>6260</v>
      </c>
      <c r="K2316" t="s">
        <v>6261</v>
      </c>
      <c r="M2316" t="s">
        <v>666</v>
      </c>
      <c r="N2316"/>
      <c r="O2316"/>
      <c r="P2316"/>
      <c r="Q2316"/>
      <c r="R2316"/>
      <c r="S2316"/>
    </row>
    <row r="2317" spans="1:19" x14ac:dyDescent="0.25">
      <c r="A2317" s="28" t="s">
        <v>14843</v>
      </c>
      <c r="C2317"/>
      <c r="E2317"/>
      <c r="F2317"/>
      <c r="G2317"/>
      <c r="H2317"/>
      <c r="I2317"/>
      <c r="J2317" t="s">
        <v>6262</v>
      </c>
      <c r="K2317" t="s">
        <v>6263</v>
      </c>
      <c r="M2317" t="s">
        <v>666</v>
      </c>
      <c r="N2317"/>
      <c r="O2317"/>
      <c r="P2317"/>
      <c r="Q2317"/>
      <c r="R2317"/>
      <c r="S2317"/>
    </row>
    <row r="2318" spans="1:19" x14ac:dyDescent="0.25">
      <c r="A2318" s="28" t="s">
        <v>14843</v>
      </c>
      <c r="C2318"/>
      <c r="E2318"/>
      <c r="F2318"/>
      <c r="G2318"/>
      <c r="H2318"/>
      <c r="I2318"/>
      <c r="J2318" t="s">
        <v>6264</v>
      </c>
      <c r="K2318" t="s">
        <v>6265</v>
      </c>
      <c r="M2318" t="s">
        <v>666</v>
      </c>
      <c r="N2318"/>
      <c r="O2318"/>
      <c r="P2318"/>
      <c r="Q2318"/>
      <c r="R2318"/>
      <c r="S2318"/>
    </row>
    <row r="2319" spans="1:19" x14ac:dyDescent="0.25">
      <c r="A2319" s="28" t="s">
        <v>14843</v>
      </c>
      <c r="C2319"/>
      <c r="E2319"/>
      <c r="F2319"/>
      <c r="G2319"/>
      <c r="H2319"/>
      <c r="I2319"/>
      <c r="J2319" t="s">
        <v>6266</v>
      </c>
      <c r="K2319" t="s">
        <v>6267</v>
      </c>
      <c r="M2319" t="s">
        <v>666</v>
      </c>
      <c r="N2319"/>
      <c r="O2319"/>
      <c r="P2319"/>
      <c r="Q2319"/>
      <c r="R2319"/>
      <c r="S2319"/>
    </row>
    <row r="2320" spans="1:19" x14ac:dyDescent="0.25">
      <c r="A2320" s="28" t="s">
        <v>14843</v>
      </c>
      <c r="C2320"/>
      <c r="E2320"/>
      <c r="F2320"/>
      <c r="G2320"/>
      <c r="H2320"/>
      <c r="I2320"/>
      <c r="J2320" t="s">
        <v>6268</v>
      </c>
      <c r="K2320" t="s">
        <v>6269</v>
      </c>
      <c r="M2320" t="s">
        <v>666</v>
      </c>
      <c r="N2320"/>
      <c r="O2320"/>
      <c r="P2320"/>
      <c r="Q2320"/>
      <c r="R2320"/>
      <c r="S2320"/>
    </row>
    <row r="2321" spans="1:19" x14ac:dyDescent="0.25">
      <c r="A2321" s="28" t="s">
        <v>14843</v>
      </c>
      <c r="C2321"/>
      <c r="E2321"/>
      <c r="F2321"/>
      <c r="G2321"/>
      <c r="H2321"/>
      <c r="I2321"/>
      <c r="J2321" t="s">
        <v>6270</v>
      </c>
      <c r="K2321" t="s">
        <v>6271</v>
      </c>
      <c r="M2321" t="s">
        <v>666</v>
      </c>
      <c r="N2321"/>
      <c r="O2321"/>
      <c r="P2321"/>
      <c r="Q2321"/>
      <c r="R2321"/>
      <c r="S2321"/>
    </row>
    <row r="2322" spans="1:19" x14ac:dyDescent="0.25">
      <c r="A2322" s="28" t="s">
        <v>14843</v>
      </c>
      <c r="C2322"/>
      <c r="E2322"/>
      <c r="F2322"/>
      <c r="G2322"/>
      <c r="H2322"/>
      <c r="I2322"/>
      <c r="J2322" t="s">
        <v>6272</v>
      </c>
      <c r="K2322" t="s">
        <v>6273</v>
      </c>
      <c r="M2322" t="s">
        <v>666</v>
      </c>
      <c r="N2322"/>
      <c r="O2322"/>
      <c r="P2322"/>
      <c r="Q2322"/>
      <c r="R2322"/>
      <c r="S2322"/>
    </row>
    <row r="2323" spans="1:19" x14ac:dyDescent="0.25">
      <c r="A2323" s="28" t="s">
        <v>14843</v>
      </c>
      <c r="C2323"/>
      <c r="E2323"/>
      <c r="F2323"/>
      <c r="G2323"/>
      <c r="H2323"/>
      <c r="I2323"/>
      <c r="J2323" t="s">
        <v>6274</v>
      </c>
      <c r="K2323" t="s">
        <v>6275</v>
      </c>
      <c r="M2323" t="s">
        <v>666</v>
      </c>
      <c r="N2323"/>
      <c r="O2323"/>
      <c r="P2323"/>
      <c r="Q2323"/>
      <c r="R2323"/>
      <c r="S2323"/>
    </row>
    <row r="2324" spans="1:19" x14ac:dyDescent="0.25">
      <c r="A2324" s="28" t="s">
        <v>14843</v>
      </c>
      <c r="C2324"/>
      <c r="E2324"/>
      <c r="F2324"/>
      <c r="G2324"/>
      <c r="H2324"/>
      <c r="I2324"/>
      <c r="J2324" t="s">
        <v>6276</v>
      </c>
      <c r="K2324" t="s">
        <v>6277</v>
      </c>
      <c r="M2324" t="s">
        <v>666</v>
      </c>
      <c r="N2324"/>
      <c r="O2324"/>
      <c r="P2324"/>
      <c r="Q2324"/>
      <c r="R2324"/>
      <c r="S2324"/>
    </row>
    <row r="2325" spans="1:19" x14ac:dyDescent="0.25">
      <c r="A2325" s="28" t="s">
        <v>14843</v>
      </c>
      <c r="C2325"/>
      <c r="E2325"/>
      <c r="F2325"/>
      <c r="G2325"/>
      <c r="H2325"/>
      <c r="I2325"/>
      <c r="J2325" t="s">
        <v>6278</v>
      </c>
      <c r="K2325" t="s">
        <v>6279</v>
      </c>
      <c r="M2325" t="s">
        <v>666</v>
      </c>
      <c r="N2325"/>
      <c r="O2325"/>
      <c r="P2325"/>
      <c r="Q2325"/>
      <c r="R2325"/>
      <c r="S2325"/>
    </row>
    <row r="2326" spans="1:19" x14ac:dyDescent="0.25">
      <c r="A2326" s="28" t="s">
        <v>14843</v>
      </c>
      <c r="C2326"/>
      <c r="E2326"/>
      <c r="F2326"/>
      <c r="G2326"/>
      <c r="H2326"/>
      <c r="I2326"/>
      <c r="J2326" t="s">
        <v>6280</v>
      </c>
      <c r="K2326" t="s">
        <v>6281</v>
      </c>
      <c r="M2326" t="s">
        <v>666</v>
      </c>
      <c r="N2326"/>
      <c r="O2326"/>
      <c r="P2326"/>
      <c r="Q2326"/>
      <c r="R2326"/>
      <c r="S2326"/>
    </row>
    <row r="2327" spans="1:19" x14ac:dyDescent="0.25">
      <c r="A2327" s="28" t="s">
        <v>14843</v>
      </c>
      <c r="C2327"/>
      <c r="E2327"/>
      <c r="F2327"/>
      <c r="G2327"/>
      <c r="H2327"/>
      <c r="I2327"/>
      <c r="J2327" t="s">
        <v>6282</v>
      </c>
      <c r="K2327" t="s">
        <v>6283</v>
      </c>
      <c r="M2327" t="s">
        <v>666</v>
      </c>
      <c r="N2327"/>
      <c r="O2327"/>
      <c r="P2327"/>
      <c r="Q2327"/>
      <c r="R2327"/>
      <c r="S2327"/>
    </row>
    <row r="2328" spans="1:19" x14ac:dyDescent="0.25">
      <c r="A2328" s="28" t="s">
        <v>14843</v>
      </c>
      <c r="C2328"/>
      <c r="E2328"/>
      <c r="F2328"/>
      <c r="G2328"/>
      <c r="H2328"/>
      <c r="I2328"/>
      <c r="J2328" t="s">
        <v>6284</v>
      </c>
      <c r="K2328" t="s">
        <v>6285</v>
      </c>
      <c r="M2328" t="s">
        <v>666</v>
      </c>
      <c r="N2328"/>
      <c r="O2328"/>
      <c r="P2328"/>
      <c r="Q2328"/>
      <c r="R2328"/>
      <c r="S2328"/>
    </row>
    <row r="2329" spans="1:19" x14ac:dyDescent="0.25">
      <c r="A2329" s="28" t="s">
        <v>14843</v>
      </c>
      <c r="C2329"/>
      <c r="E2329"/>
      <c r="F2329"/>
      <c r="G2329"/>
      <c r="H2329"/>
      <c r="I2329"/>
      <c r="J2329" t="s">
        <v>6286</v>
      </c>
      <c r="K2329" t="s">
        <v>6287</v>
      </c>
      <c r="M2329" t="s">
        <v>666</v>
      </c>
      <c r="N2329"/>
      <c r="O2329"/>
      <c r="P2329"/>
      <c r="Q2329"/>
      <c r="R2329"/>
      <c r="S2329"/>
    </row>
    <row r="2330" spans="1:19" x14ac:dyDescent="0.25">
      <c r="A2330" s="28" t="s">
        <v>14843</v>
      </c>
      <c r="C2330"/>
      <c r="E2330"/>
      <c r="F2330"/>
      <c r="G2330"/>
      <c r="H2330"/>
      <c r="I2330"/>
      <c r="J2330" t="s">
        <v>6288</v>
      </c>
      <c r="K2330" t="s">
        <v>6289</v>
      </c>
      <c r="M2330" t="s">
        <v>666</v>
      </c>
      <c r="N2330"/>
      <c r="O2330"/>
      <c r="P2330"/>
      <c r="Q2330"/>
      <c r="R2330"/>
      <c r="S2330"/>
    </row>
    <row r="2331" spans="1:19" x14ac:dyDescent="0.25">
      <c r="A2331" s="28" t="s">
        <v>14843</v>
      </c>
      <c r="C2331"/>
      <c r="E2331"/>
      <c r="F2331"/>
      <c r="G2331"/>
      <c r="H2331"/>
      <c r="I2331"/>
      <c r="J2331" t="s">
        <v>6290</v>
      </c>
      <c r="K2331" t="s">
        <v>6291</v>
      </c>
      <c r="M2331" t="s">
        <v>666</v>
      </c>
      <c r="N2331"/>
      <c r="O2331"/>
      <c r="P2331"/>
      <c r="Q2331"/>
      <c r="R2331"/>
      <c r="S2331"/>
    </row>
    <row r="2332" spans="1:19" x14ac:dyDescent="0.25">
      <c r="A2332" s="28" t="s">
        <v>14843</v>
      </c>
      <c r="C2332"/>
      <c r="E2332"/>
      <c r="F2332"/>
      <c r="G2332"/>
      <c r="H2332"/>
      <c r="I2332"/>
      <c r="J2332" t="s">
        <v>6292</v>
      </c>
      <c r="K2332" t="s">
        <v>6293</v>
      </c>
      <c r="M2332" t="s">
        <v>666</v>
      </c>
      <c r="N2332"/>
      <c r="O2332"/>
      <c r="P2332"/>
      <c r="Q2332"/>
      <c r="R2332"/>
      <c r="S2332"/>
    </row>
    <row r="2333" spans="1:19" x14ac:dyDescent="0.25">
      <c r="A2333" s="28" t="s">
        <v>14843</v>
      </c>
      <c r="C2333"/>
      <c r="E2333"/>
      <c r="F2333"/>
      <c r="G2333"/>
      <c r="H2333"/>
      <c r="I2333"/>
      <c r="J2333" t="s">
        <v>6294</v>
      </c>
      <c r="K2333" t="s">
        <v>6295</v>
      </c>
      <c r="M2333" t="s">
        <v>666</v>
      </c>
      <c r="N2333"/>
      <c r="O2333"/>
      <c r="P2333"/>
      <c r="Q2333"/>
      <c r="R2333"/>
      <c r="S2333"/>
    </row>
    <row r="2334" spans="1:19" x14ac:dyDescent="0.25">
      <c r="A2334" s="28" t="s">
        <v>14843</v>
      </c>
      <c r="C2334"/>
      <c r="E2334"/>
      <c r="F2334"/>
      <c r="G2334"/>
      <c r="H2334"/>
      <c r="I2334"/>
      <c r="J2334" t="s">
        <v>6296</v>
      </c>
      <c r="K2334" t="s">
        <v>6297</v>
      </c>
      <c r="M2334" t="s">
        <v>666</v>
      </c>
      <c r="N2334"/>
      <c r="O2334"/>
      <c r="P2334"/>
      <c r="Q2334"/>
      <c r="R2334"/>
      <c r="S2334"/>
    </row>
    <row r="2335" spans="1:19" x14ac:dyDescent="0.25">
      <c r="A2335" s="28" t="s">
        <v>14843</v>
      </c>
      <c r="C2335"/>
      <c r="E2335"/>
      <c r="F2335"/>
      <c r="G2335"/>
      <c r="H2335"/>
      <c r="I2335"/>
      <c r="J2335" t="s">
        <v>6298</v>
      </c>
      <c r="K2335" t="s">
        <v>6299</v>
      </c>
      <c r="M2335" t="s">
        <v>666</v>
      </c>
      <c r="N2335"/>
      <c r="O2335"/>
      <c r="P2335"/>
      <c r="Q2335"/>
      <c r="R2335"/>
      <c r="S2335"/>
    </row>
    <row r="2336" spans="1:19" x14ac:dyDescent="0.25">
      <c r="A2336" s="28" t="s">
        <v>14843</v>
      </c>
      <c r="C2336"/>
      <c r="E2336"/>
      <c r="F2336"/>
      <c r="G2336"/>
      <c r="H2336"/>
      <c r="I2336"/>
      <c r="J2336" t="s">
        <v>6300</v>
      </c>
      <c r="K2336" t="s">
        <v>6301</v>
      </c>
      <c r="M2336" t="s">
        <v>666</v>
      </c>
      <c r="N2336"/>
      <c r="O2336"/>
      <c r="P2336"/>
      <c r="Q2336"/>
      <c r="R2336"/>
      <c r="S2336"/>
    </row>
    <row r="2337" spans="1:19" x14ac:dyDescent="0.25">
      <c r="A2337" s="28" t="s">
        <v>14843</v>
      </c>
      <c r="C2337"/>
      <c r="E2337"/>
      <c r="F2337"/>
      <c r="G2337"/>
      <c r="H2337"/>
      <c r="I2337"/>
      <c r="J2337" t="s">
        <v>6302</v>
      </c>
      <c r="K2337" t="s">
        <v>6303</v>
      </c>
      <c r="M2337" t="s">
        <v>666</v>
      </c>
      <c r="N2337"/>
      <c r="O2337"/>
      <c r="P2337"/>
      <c r="Q2337"/>
      <c r="R2337"/>
      <c r="S2337"/>
    </row>
    <row r="2338" spans="1:19" x14ac:dyDescent="0.25">
      <c r="A2338" s="28" t="s">
        <v>14843</v>
      </c>
      <c r="C2338"/>
      <c r="E2338"/>
      <c r="F2338"/>
      <c r="G2338"/>
      <c r="H2338"/>
      <c r="I2338"/>
      <c r="J2338" t="s">
        <v>6304</v>
      </c>
      <c r="K2338" t="s">
        <v>6305</v>
      </c>
      <c r="M2338" t="s">
        <v>666</v>
      </c>
      <c r="N2338"/>
      <c r="O2338"/>
      <c r="P2338"/>
      <c r="Q2338"/>
      <c r="R2338"/>
      <c r="S2338"/>
    </row>
    <row r="2339" spans="1:19" x14ac:dyDescent="0.25">
      <c r="A2339" s="28" t="s">
        <v>14843</v>
      </c>
      <c r="C2339"/>
      <c r="E2339"/>
      <c r="F2339"/>
      <c r="G2339"/>
      <c r="H2339"/>
      <c r="I2339"/>
      <c r="J2339" t="s">
        <v>6306</v>
      </c>
      <c r="K2339" t="s">
        <v>6307</v>
      </c>
      <c r="M2339" t="s">
        <v>666</v>
      </c>
      <c r="N2339"/>
      <c r="O2339"/>
      <c r="P2339"/>
      <c r="Q2339"/>
      <c r="R2339"/>
      <c r="S2339"/>
    </row>
    <row r="2340" spans="1:19" x14ac:dyDescent="0.25">
      <c r="A2340" s="28" t="s">
        <v>14843</v>
      </c>
      <c r="C2340"/>
      <c r="E2340"/>
      <c r="F2340"/>
      <c r="G2340"/>
      <c r="H2340"/>
      <c r="I2340"/>
      <c r="J2340" t="s">
        <v>6308</v>
      </c>
      <c r="K2340" t="s">
        <v>6309</v>
      </c>
      <c r="M2340" t="s">
        <v>666</v>
      </c>
      <c r="N2340"/>
      <c r="O2340"/>
      <c r="P2340"/>
      <c r="Q2340"/>
      <c r="R2340"/>
      <c r="S2340"/>
    </row>
    <row r="2341" spans="1:19" x14ac:dyDescent="0.25">
      <c r="A2341" s="28" t="s">
        <v>14843</v>
      </c>
      <c r="C2341"/>
      <c r="E2341"/>
      <c r="F2341"/>
      <c r="G2341"/>
      <c r="H2341"/>
      <c r="I2341"/>
      <c r="J2341" t="s">
        <v>6310</v>
      </c>
      <c r="K2341" t="s">
        <v>6311</v>
      </c>
      <c r="M2341" t="s">
        <v>666</v>
      </c>
      <c r="N2341"/>
      <c r="O2341"/>
      <c r="P2341"/>
      <c r="Q2341"/>
      <c r="R2341"/>
      <c r="S2341"/>
    </row>
    <row r="2342" spans="1:19" x14ac:dyDescent="0.25">
      <c r="A2342" s="28" t="s">
        <v>14843</v>
      </c>
      <c r="C2342"/>
      <c r="E2342"/>
      <c r="F2342"/>
      <c r="G2342"/>
      <c r="H2342"/>
      <c r="I2342"/>
      <c r="J2342" t="s">
        <v>6312</v>
      </c>
      <c r="K2342" t="s">
        <v>6313</v>
      </c>
      <c r="M2342" t="s">
        <v>666</v>
      </c>
      <c r="N2342"/>
      <c r="O2342"/>
      <c r="P2342"/>
      <c r="Q2342"/>
      <c r="R2342"/>
      <c r="S2342"/>
    </row>
    <row r="2343" spans="1:19" x14ac:dyDescent="0.25">
      <c r="A2343" s="28" t="s">
        <v>14843</v>
      </c>
      <c r="C2343"/>
      <c r="E2343"/>
      <c r="F2343"/>
      <c r="G2343"/>
      <c r="H2343"/>
      <c r="I2343"/>
      <c r="J2343" t="s">
        <v>6314</v>
      </c>
      <c r="K2343" t="s">
        <v>6315</v>
      </c>
      <c r="M2343" t="s">
        <v>666</v>
      </c>
      <c r="N2343"/>
      <c r="O2343"/>
      <c r="P2343"/>
      <c r="Q2343"/>
      <c r="R2343"/>
      <c r="S2343"/>
    </row>
    <row r="2344" spans="1:19" x14ac:dyDescent="0.25">
      <c r="A2344" s="28" t="s">
        <v>14843</v>
      </c>
      <c r="C2344"/>
      <c r="E2344"/>
      <c r="F2344"/>
      <c r="G2344"/>
      <c r="H2344"/>
      <c r="I2344"/>
      <c r="J2344" t="s">
        <v>6316</v>
      </c>
      <c r="K2344" t="s">
        <v>6317</v>
      </c>
      <c r="M2344" t="s">
        <v>666</v>
      </c>
      <c r="N2344"/>
      <c r="O2344"/>
      <c r="P2344"/>
      <c r="Q2344"/>
      <c r="R2344"/>
      <c r="S2344"/>
    </row>
    <row r="2345" spans="1:19" x14ac:dyDescent="0.25">
      <c r="A2345" s="28" t="s">
        <v>14843</v>
      </c>
      <c r="C2345"/>
      <c r="E2345"/>
      <c r="F2345"/>
      <c r="G2345"/>
      <c r="H2345"/>
      <c r="I2345"/>
      <c r="J2345" t="s">
        <v>6318</v>
      </c>
      <c r="K2345" t="s">
        <v>6319</v>
      </c>
      <c r="M2345" t="s">
        <v>666</v>
      </c>
      <c r="N2345"/>
      <c r="O2345"/>
      <c r="P2345"/>
      <c r="Q2345"/>
      <c r="R2345"/>
      <c r="S2345"/>
    </row>
    <row r="2346" spans="1:19" x14ac:dyDescent="0.25">
      <c r="A2346" s="28" t="s">
        <v>14843</v>
      </c>
      <c r="C2346"/>
      <c r="E2346"/>
      <c r="F2346"/>
      <c r="G2346"/>
      <c r="H2346"/>
      <c r="I2346"/>
      <c r="J2346" t="s">
        <v>6320</v>
      </c>
      <c r="K2346" t="s">
        <v>6321</v>
      </c>
      <c r="M2346" t="s">
        <v>666</v>
      </c>
      <c r="N2346"/>
      <c r="O2346"/>
      <c r="P2346"/>
      <c r="Q2346"/>
      <c r="R2346"/>
      <c r="S2346"/>
    </row>
    <row r="2347" spans="1:19" x14ac:dyDescent="0.25">
      <c r="A2347" s="28" t="s">
        <v>14843</v>
      </c>
      <c r="C2347"/>
      <c r="E2347"/>
      <c r="F2347"/>
      <c r="G2347"/>
      <c r="H2347"/>
      <c r="I2347"/>
      <c r="J2347" t="s">
        <v>6322</v>
      </c>
      <c r="K2347" t="s">
        <v>6323</v>
      </c>
      <c r="M2347" t="s">
        <v>666</v>
      </c>
      <c r="N2347"/>
      <c r="O2347"/>
      <c r="P2347"/>
      <c r="Q2347"/>
      <c r="R2347"/>
      <c r="S2347"/>
    </row>
    <row r="2348" spans="1:19" x14ac:dyDescent="0.25">
      <c r="A2348" s="28" t="s">
        <v>14843</v>
      </c>
      <c r="C2348"/>
      <c r="E2348"/>
      <c r="F2348"/>
      <c r="G2348"/>
      <c r="H2348"/>
      <c r="I2348"/>
      <c r="J2348" t="s">
        <v>6324</v>
      </c>
      <c r="K2348" t="s">
        <v>6325</v>
      </c>
      <c r="M2348" t="s">
        <v>666</v>
      </c>
      <c r="N2348"/>
      <c r="O2348"/>
      <c r="P2348"/>
      <c r="Q2348"/>
      <c r="R2348"/>
      <c r="S2348"/>
    </row>
    <row r="2349" spans="1:19" x14ac:dyDescent="0.25">
      <c r="A2349" s="28" t="s">
        <v>14843</v>
      </c>
      <c r="C2349"/>
      <c r="E2349"/>
      <c r="F2349"/>
      <c r="G2349"/>
      <c r="H2349"/>
      <c r="I2349"/>
      <c r="J2349" t="s">
        <v>6326</v>
      </c>
      <c r="K2349" t="s">
        <v>6327</v>
      </c>
      <c r="M2349" t="s">
        <v>666</v>
      </c>
      <c r="N2349"/>
      <c r="O2349"/>
      <c r="P2349"/>
      <c r="Q2349"/>
      <c r="R2349"/>
      <c r="S2349"/>
    </row>
    <row r="2350" spans="1:19" x14ac:dyDescent="0.25">
      <c r="A2350" s="28" t="s">
        <v>14843</v>
      </c>
      <c r="C2350"/>
      <c r="E2350"/>
      <c r="F2350"/>
      <c r="G2350"/>
      <c r="H2350"/>
      <c r="I2350"/>
      <c r="J2350" t="s">
        <v>6328</v>
      </c>
      <c r="K2350" t="s">
        <v>6329</v>
      </c>
      <c r="M2350" t="s">
        <v>666</v>
      </c>
      <c r="N2350"/>
      <c r="O2350"/>
      <c r="P2350"/>
      <c r="Q2350"/>
      <c r="R2350"/>
      <c r="S2350"/>
    </row>
    <row r="2351" spans="1:19" x14ac:dyDescent="0.25">
      <c r="A2351" s="28" t="s">
        <v>14843</v>
      </c>
      <c r="C2351"/>
      <c r="E2351"/>
      <c r="F2351"/>
      <c r="G2351"/>
      <c r="H2351"/>
      <c r="I2351"/>
      <c r="J2351" t="s">
        <v>6330</v>
      </c>
      <c r="K2351" t="s">
        <v>6331</v>
      </c>
      <c r="M2351" t="s">
        <v>666</v>
      </c>
      <c r="N2351"/>
      <c r="O2351"/>
      <c r="P2351"/>
      <c r="Q2351"/>
      <c r="R2351"/>
      <c r="S2351"/>
    </row>
    <row r="2352" spans="1:19" x14ac:dyDescent="0.25">
      <c r="A2352" s="28" t="s">
        <v>14843</v>
      </c>
      <c r="C2352"/>
      <c r="E2352"/>
      <c r="F2352"/>
      <c r="G2352"/>
      <c r="H2352"/>
      <c r="I2352"/>
      <c r="J2352" t="s">
        <v>6332</v>
      </c>
      <c r="K2352" t="s">
        <v>6333</v>
      </c>
      <c r="M2352" t="s">
        <v>666</v>
      </c>
      <c r="N2352"/>
      <c r="O2352"/>
      <c r="P2352"/>
      <c r="Q2352"/>
      <c r="R2352"/>
      <c r="S2352"/>
    </row>
    <row r="2353" spans="1:19" x14ac:dyDescent="0.25">
      <c r="A2353" s="28" t="s">
        <v>14843</v>
      </c>
      <c r="C2353"/>
      <c r="E2353"/>
      <c r="F2353"/>
      <c r="G2353"/>
      <c r="H2353"/>
      <c r="I2353"/>
      <c r="J2353" t="s">
        <v>6334</v>
      </c>
      <c r="K2353" t="s">
        <v>6335</v>
      </c>
      <c r="M2353" t="s">
        <v>666</v>
      </c>
      <c r="N2353"/>
      <c r="O2353"/>
      <c r="P2353"/>
      <c r="Q2353"/>
      <c r="R2353"/>
      <c r="S2353"/>
    </row>
    <row r="2354" spans="1:19" x14ac:dyDescent="0.25">
      <c r="A2354" s="28" t="s">
        <v>14843</v>
      </c>
      <c r="C2354"/>
      <c r="E2354"/>
      <c r="F2354"/>
      <c r="G2354"/>
      <c r="H2354"/>
      <c r="I2354"/>
      <c r="J2354" t="s">
        <v>6336</v>
      </c>
      <c r="K2354" t="s">
        <v>6337</v>
      </c>
      <c r="M2354" t="s">
        <v>666</v>
      </c>
      <c r="N2354"/>
      <c r="O2354"/>
      <c r="P2354"/>
      <c r="Q2354"/>
      <c r="R2354"/>
      <c r="S2354"/>
    </row>
    <row r="2355" spans="1:19" x14ac:dyDescent="0.25">
      <c r="A2355" s="28" t="s">
        <v>14843</v>
      </c>
      <c r="C2355"/>
      <c r="E2355"/>
      <c r="F2355"/>
      <c r="G2355"/>
      <c r="H2355"/>
      <c r="I2355"/>
      <c r="J2355" t="s">
        <v>6338</v>
      </c>
      <c r="K2355" t="s">
        <v>6339</v>
      </c>
      <c r="M2355" t="s">
        <v>666</v>
      </c>
      <c r="N2355"/>
      <c r="O2355"/>
      <c r="P2355"/>
      <c r="Q2355"/>
      <c r="R2355"/>
      <c r="S2355"/>
    </row>
    <row r="2356" spans="1:19" x14ac:dyDescent="0.25">
      <c r="A2356" s="28" t="s">
        <v>14843</v>
      </c>
      <c r="C2356"/>
      <c r="E2356"/>
      <c r="F2356"/>
      <c r="G2356"/>
      <c r="H2356"/>
      <c r="I2356"/>
      <c r="J2356" t="s">
        <v>6340</v>
      </c>
      <c r="K2356" t="s">
        <v>6341</v>
      </c>
      <c r="M2356" t="s">
        <v>666</v>
      </c>
      <c r="N2356"/>
      <c r="O2356"/>
      <c r="P2356"/>
      <c r="Q2356"/>
      <c r="R2356"/>
      <c r="S2356"/>
    </row>
    <row r="2357" spans="1:19" x14ac:dyDescent="0.25">
      <c r="A2357" s="28" t="s">
        <v>14843</v>
      </c>
      <c r="C2357"/>
      <c r="E2357"/>
      <c r="F2357"/>
      <c r="G2357"/>
      <c r="H2357"/>
      <c r="I2357"/>
      <c r="J2357" t="s">
        <v>6342</v>
      </c>
      <c r="K2357" t="s">
        <v>6343</v>
      </c>
      <c r="M2357" t="s">
        <v>666</v>
      </c>
      <c r="N2357"/>
      <c r="O2357"/>
      <c r="P2357"/>
      <c r="Q2357"/>
      <c r="R2357"/>
      <c r="S2357"/>
    </row>
    <row r="2358" spans="1:19" x14ac:dyDescent="0.25">
      <c r="A2358" s="28" t="s">
        <v>14843</v>
      </c>
      <c r="C2358"/>
      <c r="E2358"/>
      <c r="F2358"/>
      <c r="G2358"/>
      <c r="H2358"/>
      <c r="I2358"/>
      <c r="J2358" t="s">
        <v>6344</v>
      </c>
      <c r="K2358" t="s">
        <v>6345</v>
      </c>
      <c r="M2358" t="s">
        <v>666</v>
      </c>
      <c r="N2358"/>
      <c r="O2358"/>
      <c r="P2358"/>
      <c r="Q2358"/>
      <c r="R2358"/>
      <c r="S2358"/>
    </row>
    <row r="2359" spans="1:19" x14ac:dyDescent="0.25">
      <c r="A2359" s="28" t="s">
        <v>14843</v>
      </c>
      <c r="C2359"/>
      <c r="E2359"/>
      <c r="F2359"/>
      <c r="G2359"/>
      <c r="H2359"/>
      <c r="I2359"/>
      <c r="J2359" t="s">
        <v>6346</v>
      </c>
      <c r="K2359" t="s">
        <v>6347</v>
      </c>
      <c r="M2359" t="s">
        <v>666</v>
      </c>
      <c r="N2359"/>
      <c r="O2359"/>
      <c r="P2359"/>
      <c r="Q2359"/>
      <c r="R2359"/>
      <c r="S2359"/>
    </row>
    <row r="2360" spans="1:19" x14ac:dyDescent="0.25">
      <c r="A2360" s="28" t="s">
        <v>14843</v>
      </c>
      <c r="C2360"/>
      <c r="E2360"/>
      <c r="F2360"/>
      <c r="G2360"/>
      <c r="H2360"/>
      <c r="I2360"/>
      <c r="J2360" t="s">
        <v>6348</v>
      </c>
      <c r="K2360" t="s">
        <v>6349</v>
      </c>
      <c r="M2360" t="s">
        <v>666</v>
      </c>
      <c r="N2360"/>
      <c r="O2360"/>
      <c r="P2360"/>
      <c r="Q2360"/>
      <c r="R2360"/>
      <c r="S2360"/>
    </row>
    <row r="2361" spans="1:19" x14ac:dyDescent="0.25">
      <c r="A2361" s="28" t="s">
        <v>14843</v>
      </c>
      <c r="C2361"/>
      <c r="E2361"/>
      <c r="F2361"/>
      <c r="G2361"/>
      <c r="H2361"/>
      <c r="I2361"/>
      <c r="J2361" t="s">
        <v>6350</v>
      </c>
      <c r="K2361" t="s">
        <v>6351</v>
      </c>
      <c r="M2361" t="s">
        <v>666</v>
      </c>
      <c r="N2361"/>
      <c r="O2361"/>
      <c r="P2361"/>
      <c r="Q2361"/>
      <c r="R2361"/>
      <c r="S2361"/>
    </row>
    <row r="2362" spans="1:19" x14ac:dyDescent="0.25">
      <c r="A2362" s="28" t="s">
        <v>14843</v>
      </c>
      <c r="C2362"/>
      <c r="E2362"/>
      <c r="F2362"/>
      <c r="G2362"/>
      <c r="H2362"/>
      <c r="I2362"/>
      <c r="J2362" t="s">
        <v>6352</v>
      </c>
      <c r="K2362" t="s">
        <v>6353</v>
      </c>
      <c r="M2362" t="s">
        <v>666</v>
      </c>
      <c r="N2362"/>
      <c r="O2362"/>
      <c r="P2362"/>
      <c r="Q2362"/>
      <c r="R2362"/>
      <c r="S2362"/>
    </row>
    <row r="2363" spans="1:19" x14ac:dyDescent="0.25">
      <c r="A2363" s="28" t="s">
        <v>14843</v>
      </c>
      <c r="C2363"/>
      <c r="E2363"/>
      <c r="F2363"/>
      <c r="G2363"/>
      <c r="H2363"/>
      <c r="I2363"/>
      <c r="J2363" t="s">
        <v>6354</v>
      </c>
      <c r="K2363" t="s">
        <v>6355</v>
      </c>
      <c r="M2363" t="s">
        <v>666</v>
      </c>
      <c r="N2363"/>
      <c r="O2363"/>
      <c r="P2363"/>
      <c r="Q2363"/>
      <c r="R2363"/>
      <c r="S2363"/>
    </row>
    <row r="2364" spans="1:19" x14ac:dyDescent="0.25">
      <c r="A2364" s="28" t="s">
        <v>14843</v>
      </c>
      <c r="C2364"/>
      <c r="E2364"/>
      <c r="F2364"/>
      <c r="G2364"/>
      <c r="H2364"/>
      <c r="I2364"/>
      <c r="J2364" t="s">
        <v>6356</v>
      </c>
      <c r="K2364" t="s">
        <v>6357</v>
      </c>
      <c r="M2364" t="s">
        <v>666</v>
      </c>
      <c r="N2364"/>
      <c r="O2364"/>
      <c r="P2364"/>
      <c r="Q2364"/>
      <c r="R2364"/>
      <c r="S2364"/>
    </row>
    <row r="2365" spans="1:19" x14ac:dyDescent="0.25">
      <c r="A2365" s="28" t="s">
        <v>14843</v>
      </c>
      <c r="C2365"/>
      <c r="E2365"/>
      <c r="F2365"/>
      <c r="G2365"/>
      <c r="H2365"/>
      <c r="I2365"/>
      <c r="J2365" t="s">
        <v>6358</v>
      </c>
      <c r="K2365" t="s">
        <v>6359</v>
      </c>
      <c r="M2365" t="s">
        <v>666</v>
      </c>
      <c r="N2365"/>
      <c r="O2365"/>
      <c r="P2365"/>
      <c r="Q2365"/>
      <c r="R2365"/>
      <c r="S2365"/>
    </row>
    <row r="2366" spans="1:19" x14ac:dyDescent="0.25">
      <c r="A2366" s="28" t="s">
        <v>14843</v>
      </c>
      <c r="C2366"/>
      <c r="E2366"/>
      <c r="F2366"/>
      <c r="G2366"/>
      <c r="H2366"/>
      <c r="I2366"/>
      <c r="J2366" t="s">
        <v>6360</v>
      </c>
      <c r="K2366" t="s">
        <v>6361</v>
      </c>
      <c r="M2366" t="s">
        <v>666</v>
      </c>
      <c r="N2366"/>
      <c r="O2366"/>
      <c r="P2366"/>
      <c r="Q2366"/>
      <c r="R2366"/>
      <c r="S2366"/>
    </row>
    <row r="2367" spans="1:19" x14ac:dyDescent="0.25">
      <c r="A2367" s="28" t="s">
        <v>14843</v>
      </c>
      <c r="C2367"/>
      <c r="E2367"/>
      <c r="F2367"/>
      <c r="G2367"/>
      <c r="H2367"/>
      <c r="I2367"/>
      <c r="J2367" t="s">
        <v>6362</v>
      </c>
      <c r="K2367" t="s">
        <v>6363</v>
      </c>
      <c r="M2367" t="s">
        <v>666</v>
      </c>
      <c r="N2367"/>
      <c r="O2367"/>
      <c r="P2367"/>
      <c r="Q2367"/>
      <c r="R2367"/>
      <c r="S2367"/>
    </row>
    <row r="2368" spans="1:19" x14ac:dyDescent="0.25">
      <c r="A2368" s="28" t="s">
        <v>14843</v>
      </c>
      <c r="C2368"/>
      <c r="E2368"/>
      <c r="F2368"/>
      <c r="G2368"/>
      <c r="H2368"/>
      <c r="I2368"/>
      <c r="J2368" t="s">
        <v>6364</v>
      </c>
      <c r="K2368" t="s">
        <v>6365</v>
      </c>
      <c r="M2368" t="s">
        <v>666</v>
      </c>
      <c r="N2368"/>
      <c r="O2368"/>
      <c r="P2368"/>
      <c r="Q2368"/>
      <c r="R2368"/>
      <c r="S2368"/>
    </row>
    <row r="2369" spans="1:19" x14ac:dyDescent="0.25">
      <c r="A2369" s="28" t="s">
        <v>14843</v>
      </c>
      <c r="C2369"/>
      <c r="E2369"/>
      <c r="F2369"/>
      <c r="G2369"/>
      <c r="H2369"/>
      <c r="I2369"/>
      <c r="J2369" t="s">
        <v>6366</v>
      </c>
      <c r="K2369" t="s">
        <v>6367</v>
      </c>
      <c r="M2369" t="s">
        <v>666</v>
      </c>
      <c r="N2369"/>
      <c r="O2369"/>
      <c r="P2369"/>
      <c r="Q2369"/>
      <c r="R2369"/>
      <c r="S2369"/>
    </row>
    <row r="2370" spans="1:19" x14ac:dyDescent="0.25">
      <c r="A2370" s="28" t="s">
        <v>14843</v>
      </c>
      <c r="C2370"/>
      <c r="E2370"/>
      <c r="F2370"/>
      <c r="G2370"/>
      <c r="H2370"/>
      <c r="I2370"/>
      <c r="J2370" t="s">
        <v>6368</v>
      </c>
      <c r="K2370" t="s">
        <v>6369</v>
      </c>
      <c r="M2370" t="s">
        <v>666</v>
      </c>
      <c r="N2370"/>
      <c r="O2370"/>
      <c r="P2370"/>
      <c r="Q2370"/>
      <c r="R2370"/>
      <c r="S2370"/>
    </row>
    <row r="2371" spans="1:19" x14ac:dyDescent="0.25">
      <c r="A2371" s="28" t="s">
        <v>14843</v>
      </c>
      <c r="C2371"/>
      <c r="E2371"/>
      <c r="F2371"/>
      <c r="G2371"/>
      <c r="H2371"/>
      <c r="I2371"/>
      <c r="J2371" t="s">
        <v>6370</v>
      </c>
      <c r="K2371" t="s">
        <v>6371</v>
      </c>
      <c r="M2371" t="s">
        <v>666</v>
      </c>
      <c r="N2371"/>
      <c r="O2371"/>
      <c r="P2371"/>
      <c r="Q2371"/>
      <c r="R2371"/>
      <c r="S2371"/>
    </row>
    <row r="2372" spans="1:19" x14ac:dyDescent="0.25">
      <c r="A2372" s="28" t="s">
        <v>14843</v>
      </c>
      <c r="C2372"/>
      <c r="E2372"/>
      <c r="F2372"/>
      <c r="G2372"/>
      <c r="H2372"/>
      <c r="I2372"/>
      <c r="J2372" t="s">
        <v>6372</v>
      </c>
      <c r="K2372" t="s">
        <v>6373</v>
      </c>
      <c r="M2372" t="s">
        <v>666</v>
      </c>
      <c r="N2372"/>
      <c r="O2372"/>
      <c r="P2372"/>
      <c r="Q2372"/>
      <c r="R2372"/>
      <c r="S2372"/>
    </row>
    <row r="2373" spans="1:19" x14ac:dyDescent="0.25">
      <c r="A2373" s="28" t="s">
        <v>14843</v>
      </c>
      <c r="C2373"/>
      <c r="E2373"/>
      <c r="F2373"/>
      <c r="J2373" t="s">
        <v>6374</v>
      </c>
      <c r="K2373" t="s">
        <v>6375</v>
      </c>
      <c r="M2373" t="s">
        <v>666</v>
      </c>
      <c r="N2373"/>
      <c r="O2373"/>
      <c r="P2373"/>
      <c r="Q2373"/>
      <c r="R2373"/>
      <c r="S2373"/>
    </row>
    <row r="2374" spans="1:19" x14ac:dyDescent="0.25">
      <c r="A2374" s="28" t="s">
        <v>14843</v>
      </c>
      <c r="C2374"/>
      <c r="E2374"/>
      <c r="F2374"/>
      <c r="J2374" t="s">
        <v>6376</v>
      </c>
      <c r="K2374" t="s">
        <v>6377</v>
      </c>
      <c r="M2374" t="s">
        <v>666</v>
      </c>
      <c r="N2374"/>
      <c r="O2374"/>
      <c r="P2374"/>
      <c r="Q2374"/>
      <c r="R2374"/>
      <c r="S2374"/>
    </row>
    <row r="2375" spans="1:19" x14ac:dyDescent="0.25">
      <c r="A2375" s="28" t="s">
        <v>14843</v>
      </c>
      <c r="C2375"/>
      <c r="E2375"/>
      <c r="F2375"/>
      <c r="J2375" t="s">
        <v>6378</v>
      </c>
      <c r="K2375" t="s">
        <v>6379</v>
      </c>
      <c r="M2375" t="s">
        <v>666</v>
      </c>
      <c r="N2375"/>
      <c r="O2375"/>
      <c r="P2375"/>
      <c r="Q2375"/>
      <c r="R2375"/>
      <c r="S2375"/>
    </row>
    <row r="2376" spans="1:19" x14ac:dyDescent="0.25">
      <c r="A2376" s="28" t="s">
        <v>14843</v>
      </c>
      <c r="C2376"/>
      <c r="E2376"/>
      <c r="F2376"/>
      <c r="J2376" t="s">
        <v>6380</v>
      </c>
      <c r="K2376" t="s">
        <v>6381</v>
      </c>
      <c r="M2376" t="s">
        <v>666</v>
      </c>
      <c r="N2376"/>
      <c r="O2376"/>
      <c r="P2376"/>
      <c r="Q2376"/>
      <c r="R2376"/>
      <c r="S2376"/>
    </row>
    <row r="2377" spans="1:19" x14ac:dyDescent="0.25">
      <c r="A2377" s="28" t="s">
        <v>14843</v>
      </c>
      <c r="C2377"/>
      <c r="E2377"/>
      <c r="F2377"/>
      <c r="J2377" t="s">
        <v>6382</v>
      </c>
      <c r="K2377" t="s">
        <v>6383</v>
      </c>
      <c r="M2377" t="s">
        <v>666</v>
      </c>
      <c r="N2377"/>
      <c r="O2377"/>
      <c r="P2377"/>
      <c r="Q2377"/>
      <c r="R2377"/>
      <c r="S2377"/>
    </row>
    <row r="2378" spans="1:19" x14ac:dyDescent="0.25">
      <c r="A2378" s="28" t="s">
        <v>14843</v>
      </c>
      <c r="C2378"/>
      <c r="E2378"/>
      <c r="F2378"/>
      <c r="J2378" t="s">
        <v>6384</v>
      </c>
      <c r="K2378" t="s">
        <v>6385</v>
      </c>
      <c r="M2378" t="s">
        <v>666</v>
      </c>
      <c r="N2378"/>
      <c r="O2378"/>
      <c r="P2378"/>
      <c r="Q2378"/>
      <c r="R2378"/>
      <c r="S2378"/>
    </row>
    <row r="2379" spans="1:19" x14ac:dyDescent="0.25">
      <c r="A2379" s="28" t="s">
        <v>14843</v>
      </c>
      <c r="C2379"/>
      <c r="E2379"/>
      <c r="F2379"/>
      <c r="J2379" t="s">
        <v>6386</v>
      </c>
      <c r="K2379" t="s">
        <v>6387</v>
      </c>
      <c r="M2379" t="s">
        <v>666</v>
      </c>
      <c r="N2379"/>
      <c r="O2379"/>
      <c r="P2379"/>
      <c r="Q2379"/>
      <c r="R2379"/>
      <c r="S2379"/>
    </row>
    <row r="2380" spans="1:19" x14ac:dyDescent="0.25">
      <c r="A2380" s="28" t="s">
        <v>14843</v>
      </c>
      <c r="C2380"/>
      <c r="E2380"/>
      <c r="F2380"/>
      <c r="J2380" t="s">
        <v>6388</v>
      </c>
      <c r="K2380" t="s">
        <v>6389</v>
      </c>
      <c r="M2380" t="s">
        <v>666</v>
      </c>
      <c r="N2380"/>
      <c r="O2380"/>
      <c r="P2380"/>
      <c r="Q2380"/>
      <c r="R2380"/>
      <c r="S2380"/>
    </row>
    <row r="2381" spans="1:19" x14ac:dyDescent="0.25">
      <c r="A2381" s="28" t="s">
        <v>14843</v>
      </c>
      <c r="C2381"/>
      <c r="E2381"/>
      <c r="F2381"/>
      <c r="J2381" t="s">
        <v>6390</v>
      </c>
      <c r="K2381" t="s">
        <v>6391</v>
      </c>
      <c r="M2381" t="s">
        <v>666</v>
      </c>
      <c r="N2381"/>
      <c r="O2381"/>
      <c r="P2381"/>
      <c r="Q2381"/>
      <c r="R2381"/>
      <c r="S2381"/>
    </row>
    <row r="2382" spans="1:19" x14ac:dyDescent="0.25">
      <c r="A2382" s="28" t="s">
        <v>14843</v>
      </c>
      <c r="C2382"/>
      <c r="E2382"/>
      <c r="F2382"/>
      <c r="J2382" t="s">
        <v>6392</v>
      </c>
      <c r="K2382" t="s">
        <v>6393</v>
      </c>
      <c r="M2382" t="s">
        <v>666</v>
      </c>
      <c r="N2382"/>
      <c r="O2382"/>
      <c r="P2382"/>
      <c r="Q2382"/>
      <c r="R2382"/>
      <c r="S2382"/>
    </row>
    <row r="2383" spans="1:19" x14ac:dyDescent="0.25">
      <c r="A2383" s="28" t="s">
        <v>14843</v>
      </c>
      <c r="C2383"/>
      <c r="E2383"/>
      <c r="F2383"/>
      <c r="J2383" t="s">
        <v>6394</v>
      </c>
      <c r="K2383" t="s">
        <v>6395</v>
      </c>
      <c r="M2383" t="s">
        <v>666</v>
      </c>
      <c r="N2383"/>
      <c r="O2383"/>
      <c r="P2383"/>
      <c r="Q2383"/>
      <c r="R2383"/>
      <c r="S2383"/>
    </row>
    <row r="2384" spans="1:19" x14ac:dyDescent="0.25">
      <c r="A2384" s="28" t="s">
        <v>14843</v>
      </c>
      <c r="C2384"/>
      <c r="E2384"/>
      <c r="F2384"/>
      <c r="J2384" t="s">
        <v>6396</v>
      </c>
      <c r="K2384" t="s">
        <v>6397</v>
      </c>
      <c r="M2384" t="s">
        <v>666</v>
      </c>
      <c r="N2384"/>
      <c r="O2384"/>
      <c r="P2384"/>
      <c r="Q2384"/>
      <c r="R2384"/>
      <c r="S2384"/>
    </row>
    <row r="2385" spans="1:19" x14ac:dyDescent="0.25">
      <c r="A2385" s="28" t="s">
        <v>14843</v>
      </c>
      <c r="C2385"/>
      <c r="E2385"/>
      <c r="F2385"/>
      <c r="J2385" t="s">
        <v>6398</v>
      </c>
      <c r="K2385" t="s">
        <v>6399</v>
      </c>
      <c r="M2385" t="s">
        <v>666</v>
      </c>
      <c r="N2385"/>
      <c r="O2385"/>
      <c r="P2385"/>
      <c r="Q2385"/>
      <c r="R2385"/>
      <c r="S2385"/>
    </row>
    <row r="2386" spans="1:19" x14ac:dyDescent="0.25">
      <c r="A2386" s="28" t="s">
        <v>14843</v>
      </c>
      <c r="C2386"/>
      <c r="E2386"/>
      <c r="F2386"/>
      <c r="J2386" t="s">
        <v>6400</v>
      </c>
      <c r="K2386" t="s">
        <v>6401</v>
      </c>
      <c r="M2386" t="s">
        <v>666</v>
      </c>
      <c r="N2386"/>
      <c r="O2386"/>
      <c r="P2386"/>
      <c r="Q2386"/>
      <c r="R2386"/>
      <c r="S2386"/>
    </row>
    <row r="2387" spans="1:19" x14ac:dyDescent="0.25">
      <c r="A2387" s="28" t="s">
        <v>14843</v>
      </c>
      <c r="C2387"/>
      <c r="E2387"/>
      <c r="F2387"/>
      <c r="J2387" t="s">
        <v>6402</v>
      </c>
      <c r="K2387" t="s">
        <v>6403</v>
      </c>
      <c r="M2387" t="s">
        <v>666</v>
      </c>
      <c r="N2387"/>
      <c r="O2387"/>
      <c r="P2387"/>
      <c r="Q2387"/>
      <c r="R2387"/>
      <c r="S2387"/>
    </row>
    <row r="2388" spans="1:19" x14ac:dyDescent="0.25">
      <c r="A2388" t="s">
        <v>193</v>
      </c>
      <c r="C2388" s="27" t="s">
        <v>34749</v>
      </c>
      <c r="D2388" s="28" t="s">
        <v>34867</v>
      </c>
      <c r="J2388" t="s">
        <v>6407</v>
      </c>
      <c r="K2388" t="s">
        <v>6408</v>
      </c>
      <c r="L2388" s="28" t="s">
        <v>6409</v>
      </c>
      <c r="M2388" t="s">
        <v>23</v>
      </c>
      <c r="N2388"/>
      <c r="O2388"/>
      <c r="P2388"/>
      <c r="Q2388"/>
      <c r="R2388"/>
      <c r="S2388"/>
    </row>
    <row r="2389" spans="1:19" x14ac:dyDescent="0.25">
      <c r="A2389" s="28" t="s">
        <v>14843</v>
      </c>
      <c r="J2389" t="s">
        <v>6410</v>
      </c>
      <c r="K2389" t="s">
        <v>6411</v>
      </c>
      <c r="M2389" t="s">
        <v>47</v>
      </c>
      <c r="N2389"/>
      <c r="O2389"/>
      <c r="P2389"/>
      <c r="Q2389"/>
      <c r="R2389"/>
      <c r="S2389"/>
    </row>
    <row r="2390" spans="1:19" x14ac:dyDescent="0.25">
      <c r="A2390" s="28" t="s">
        <v>14843</v>
      </c>
      <c r="J2390" t="s">
        <v>6412</v>
      </c>
      <c r="K2390" t="s">
        <v>6413</v>
      </c>
      <c r="M2390" t="s">
        <v>47</v>
      </c>
      <c r="N2390"/>
      <c r="O2390"/>
      <c r="P2390"/>
      <c r="Q2390"/>
      <c r="R2390"/>
      <c r="S2390"/>
    </row>
    <row r="2391" spans="1:19" x14ac:dyDescent="0.25">
      <c r="A2391" s="28" t="s">
        <v>14843</v>
      </c>
      <c r="J2391" t="s">
        <v>6414</v>
      </c>
      <c r="K2391" t="s">
        <v>6415</v>
      </c>
      <c r="M2391" t="s">
        <v>47</v>
      </c>
      <c r="N2391"/>
      <c r="O2391"/>
      <c r="P2391"/>
      <c r="Q2391"/>
      <c r="R2391"/>
      <c r="S2391"/>
    </row>
    <row r="2392" spans="1:19" x14ac:dyDescent="0.25">
      <c r="A2392" s="28" t="s">
        <v>14843</v>
      </c>
      <c r="J2392" t="s">
        <v>6416</v>
      </c>
      <c r="K2392" t="s">
        <v>6417</v>
      </c>
      <c r="M2392" t="s">
        <v>47</v>
      </c>
      <c r="N2392"/>
      <c r="O2392"/>
      <c r="P2392"/>
      <c r="Q2392"/>
      <c r="R2392"/>
      <c r="S2392"/>
    </row>
    <row r="2393" spans="1:19" x14ac:dyDescent="0.25">
      <c r="A2393" s="28" t="s">
        <v>14843</v>
      </c>
      <c r="J2393" t="s">
        <v>6418</v>
      </c>
      <c r="K2393" t="s">
        <v>6419</v>
      </c>
      <c r="M2393" t="s">
        <v>2820</v>
      </c>
      <c r="N2393"/>
      <c r="O2393"/>
      <c r="P2393"/>
      <c r="Q2393"/>
      <c r="R2393"/>
      <c r="S2393"/>
    </row>
    <row r="2394" spans="1:19" x14ac:dyDescent="0.25">
      <c r="A2394" s="28" t="s">
        <v>14843</v>
      </c>
      <c r="J2394" t="s">
        <v>6420</v>
      </c>
      <c r="K2394" t="s">
        <v>6421</v>
      </c>
      <c r="M2394" t="s">
        <v>2820</v>
      </c>
      <c r="N2394"/>
      <c r="O2394"/>
      <c r="P2394"/>
      <c r="Q2394"/>
      <c r="R2394"/>
      <c r="S2394"/>
    </row>
    <row r="2395" spans="1:19" x14ac:dyDescent="0.25">
      <c r="A2395" s="28" t="s">
        <v>14843</v>
      </c>
      <c r="J2395" t="s">
        <v>6422</v>
      </c>
      <c r="K2395" t="s">
        <v>6423</v>
      </c>
      <c r="M2395" t="s">
        <v>2820</v>
      </c>
      <c r="N2395"/>
      <c r="O2395"/>
      <c r="P2395"/>
      <c r="Q2395"/>
      <c r="R2395"/>
      <c r="S2395"/>
    </row>
    <row r="2396" spans="1:19" x14ac:dyDescent="0.25">
      <c r="A2396" t="s">
        <v>193</v>
      </c>
      <c r="C2396" s="27" t="s">
        <v>34749</v>
      </c>
      <c r="D2396" s="28" t="s">
        <v>34867</v>
      </c>
      <c r="J2396" t="s">
        <v>6424</v>
      </c>
      <c r="K2396" t="s">
        <v>6425</v>
      </c>
      <c r="L2396" s="28" t="s">
        <v>6426</v>
      </c>
      <c r="M2396" t="s">
        <v>23</v>
      </c>
      <c r="N2396"/>
      <c r="O2396"/>
      <c r="P2396"/>
      <c r="Q2396"/>
      <c r="R2396"/>
      <c r="S2396"/>
    </row>
    <row r="2397" spans="1:19" x14ac:dyDescent="0.25">
      <c r="A2397" t="s">
        <v>193</v>
      </c>
      <c r="C2397" s="27" t="s">
        <v>34749</v>
      </c>
      <c r="D2397" s="28" t="s">
        <v>34867</v>
      </c>
      <c r="J2397" t="s">
        <v>6427</v>
      </c>
      <c r="K2397" t="s">
        <v>6428</v>
      </c>
      <c r="L2397" s="28" t="s">
        <v>6429</v>
      </c>
      <c r="M2397" t="s">
        <v>23</v>
      </c>
      <c r="N2397"/>
      <c r="O2397"/>
      <c r="P2397"/>
      <c r="Q2397"/>
      <c r="R2397"/>
      <c r="S2397"/>
    </row>
    <row r="2398" spans="1:19" x14ac:dyDescent="0.25">
      <c r="A2398" t="s">
        <v>193</v>
      </c>
      <c r="C2398" s="27" t="s">
        <v>34749</v>
      </c>
      <c r="D2398" s="28" t="s">
        <v>34867</v>
      </c>
      <c r="J2398" t="s">
        <v>6430</v>
      </c>
      <c r="K2398" t="s">
        <v>6431</v>
      </c>
      <c r="L2398" s="28" t="s">
        <v>6432</v>
      </c>
      <c r="M2398" t="s">
        <v>23</v>
      </c>
      <c r="N2398"/>
      <c r="O2398"/>
      <c r="P2398"/>
      <c r="Q2398"/>
      <c r="R2398"/>
      <c r="S2398"/>
    </row>
    <row r="2399" spans="1:19" x14ac:dyDescent="0.25">
      <c r="A2399" t="s">
        <v>193</v>
      </c>
      <c r="C2399" s="27" t="s">
        <v>34749</v>
      </c>
      <c r="D2399" s="28" t="s">
        <v>34867</v>
      </c>
      <c r="J2399" t="s">
        <v>6433</v>
      </c>
      <c r="K2399" t="s">
        <v>6434</v>
      </c>
      <c r="L2399" s="28" t="s">
        <v>6435</v>
      </c>
      <c r="M2399" t="s">
        <v>23</v>
      </c>
      <c r="N2399"/>
      <c r="O2399"/>
      <c r="P2399"/>
      <c r="Q2399"/>
      <c r="R2399"/>
      <c r="S2399"/>
    </row>
    <row r="2400" spans="1:19" x14ac:dyDescent="0.25">
      <c r="A2400" t="s">
        <v>193</v>
      </c>
      <c r="C2400" s="27" t="s">
        <v>34749</v>
      </c>
      <c r="D2400" s="28" t="s">
        <v>34867</v>
      </c>
      <c r="J2400" t="s">
        <v>6436</v>
      </c>
      <c r="K2400" t="s">
        <v>6437</v>
      </c>
      <c r="L2400" s="28" t="s">
        <v>6438</v>
      </c>
      <c r="M2400" t="s">
        <v>23</v>
      </c>
      <c r="N2400"/>
      <c r="O2400"/>
      <c r="P2400"/>
      <c r="Q2400"/>
      <c r="R2400"/>
      <c r="S2400"/>
    </row>
    <row r="2401" spans="1:19" x14ac:dyDescent="0.25">
      <c r="A2401" t="s">
        <v>193</v>
      </c>
      <c r="C2401" s="27" t="s">
        <v>34749</v>
      </c>
      <c r="D2401" s="28" t="s">
        <v>34867</v>
      </c>
      <c r="J2401" t="s">
        <v>6439</v>
      </c>
      <c r="K2401" t="s">
        <v>6440</v>
      </c>
      <c r="L2401" s="28" t="s">
        <v>6441</v>
      </c>
      <c r="M2401" t="s">
        <v>23</v>
      </c>
      <c r="N2401"/>
      <c r="O2401"/>
      <c r="P2401"/>
      <c r="Q2401"/>
      <c r="R2401"/>
      <c r="S2401"/>
    </row>
    <row r="2402" spans="1:19" x14ac:dyDescent="0.25">
      <c r="A2402" t="s">
        <v>193</v>
      </c>
      <c r="C2402" s="27" t="s">
        <v>34749</v>
      </c>
      <c r="D2402" s="28" t="s">
        <v>34867</v>
      </c>
      <c r="J2402" t="s">
        <v>6442</v>
      </c>
      <c r="K2402" t="s">
        <v>6443</v>
      </c>
      <c r="L2402" s="28" t="s">
        <v>6444</v>
      </c>
      <c r="M2402" t="s">
        <v>23</v>
      </c>
      <c r="N2402"/>
      <c r="O2402"/>
      <c r="P2402"/>
      <c r="Q2402"/>
      <c r="R2402"/>
      <c r="S2402"/>
    </row>
    <row r="2403" spans="1:19" x14ac:dyDescent="0.25">
      <c r="A2403" t="s">
        <v>193</v>
      </c>
      <c r="C2403" s="27" t="s">
        <v>34749</v>
      </c>
      <c r="D2403" s="28" t="s">
        <v>34867</v>
      </c>
      <c r="J2403" t="s">
        <v>6445</v>
      </c>
      <c r="K2403" t="s">
        <v>6446</v>
      </c>
      <c r="L2403" s="28" t="s">
        <v>6447</v>
      </c>
      <c r="M2403" t="s">
        <v>23</v>
      </c>
      <c r="N2403"/>
      <c r="O2403"/>
      <c r="P2403"/>
      <c r="Q2403"/>
      <c r="R2403"/>
      <c r="S2403"/>
    </row>
    <row r="2404" spans="1:19" x14ac:dyDescent="0.25">
      <c r="A2404" t="s">
        <v>193</v>
      </c>
      <c r="C2404" s="27" t="s">
        <v>34749</v>
      </c>
      <c r="D2404" s="28" t="s">
        <v>34867</v>
      </c>
      <c r="J2404" t="s">
        <v>6448</v>
      </c>
      <c r="K2404" t="s">
        <v>6449</v>
      </c>
      <c r="L2404" s="28" t="s">
        <v>6450</v>
      </c>
      <c r="M2404" t="s">
        <v>23</v>
      </c>
      <c r="N2404"/>
      <c r="O2404"/>
      <c r="P2404"/>
      <c r="Q2404"/>
      <c r="R2404"/>
      <c r="S2404"/>
    </row>
    <row r="2405" spans="1:19" x14ac:dyDescent="0.25">
      <c r="A2405" t="s">
        <v>193</v>
      </c>
      <c r="C2405" s="27" t="s">
        <v>34749</v>
      </c>
      <c r="D2405" s="28" t="s">
        <v>34867</v>
      </c>
      <c r="J2405" t="s">
        <v>6451</v>
      </c>
      <c r="K2405" t="s">
        <v>6452</v>
      </c>
      <c r="L2405" s="28" t="s">
        <v>6453</v>
      </c>
      <c r="M2405" t="s">
        <v>23</v>
      </c>
      <c r="N2405"/>
      <c r="O2405"/>
      <c r="P2405"/>
      <c r="Q2405"/>
      <c r="R2405"/>
      <c r="S2405"/>
    </row>
    <row r="2406" spans="1:19" x14ac:dyDescent="0.25">
      <c r="A2406" t="s">
        <v>193</v>
      </c>
      <c r="C2406" s="27" t="s">
        <v>34749</v>
      </c>
      <c r="D2406" s="28" t="s">
        <v>34867</v>
      </c>
      <c r="J2406" t="s">
        <v>6454</v>
      </c>
      <c r="K2406" t="s">
        <v>6455</v>
      </c>
      <c r="L2406" s="28" t="s">
        <v>6456</v>
      </c>
      <c r="M2406" t="s">
        <v>23</v>
      </c>
      <c r="N2406"/>
      <c r="O2406"/>
      <c r="P2406"/>
      <c r="Q2406"/>
      <c r="R2406"/>
      <c r="S2406"/>
    </row>
    <row r="2407" spans="1:19" x14ac:dyDescent="0.25">
      <c r="A2407" t="s">
        <v>193</v>
      </c>
      <c r="C2407" s="27" t="s">
        <v>34749</v>
      </c>
      <c r="D2407" s="28" t="s">
        <v>34867</v>
      </c>
      <c r="J2407" t="s">
        <v>6457</v>
      </c>
      <c r="K2407" t="s">
        <v>6458</v>
      </c>
      <c r="L2407" s="28" t="s">
        <v>6459</v>
      </c>
      <c r="M2407" t="s">
        <v>23</v>
      </c>
      <c r="N2407"/>
      <c r="O2407"/>
      <c r="P2407"/>
      <c r="Q2407"/>
      <c r="R2407"/>
      <c r="S2407"/>
    </row>
    <row r="2408" spans="1:19" x14ac:dyDescent="0.25">
      <c r="A2408" t="s">
        <v>193</v>
      </c>
      <c r="C2408" s="27" t="s">
        <v>34749</v>
      </c>
      <c r="D2408" s="28" t="s">
        <v>34867</v>
      </c>
      <c r="J2408" t="s">
        <v>6460</v>
      </c>
      <c r="K2408" t="s">
        <v>6461</v>
      </c>
      <c r="L2408" s="28" t="s">
        <v>6462</v>
      </c>
      <c r="M2408" t="s">
        <v>23</v>
      </c>
      <c r="N2408"/>
      <c r="O2408"/>
      <c r="P2408"/>
      <c r="Q2408"/>
      <c r="R2408"/>
      <c r="S2408"/>
    </row>
    <row r="2409" spans="1:19" x14ac:dyDescent="0.25">
      <c r="A2409" t="s">
        <v>193</v>
      </c>
      <c r="C2409" s="27" t="s">
        <v>34749</v>
      </c>
      <c r="D2409" s="28" t="s">
        <v>34867</v>
      </c>
      <c r="J2409" t="s">
        <v>6463</v>
      </c>
      <c r="K2409" t="s">
        <v>6464</v>
      </c>
      <c r="L2409" s="28" t="s">
        <v>6465</v>
      </c>
      <c r="M2409" t="s">
        <v>23</v>
      </c>
      <c r="N2409"/>
      <c r="O2409"/>
      <c r="P2409"/>
      <c r="Q2409"/>
      <c r="R2409"/>
      <c r="S2409"/>
    </row>
    <row r="2410" spans="1:19" x14ac:dyDescent="0.25">
      <c r="A2410" t="s">
        <v>193</v>
      </c>
      <c r="C2410" s="27" t="s">
        <v>34749</v>
      </c>
      <c r="D2410" s="28" t="s">
        <v>34867</v>
      </c>
      <c r="J2410" t="s">
        <v>6466</v>
      </c>
      <c r="K2410" t="s">
        <v>6467</v>
      </c>
      <c r="L2410" s="28" t="s">
        <v>6468</v>
      </c>
      <c r="M2410" t="s">
        <v>23</v>
      </c>
      <c r="N2410"/>
      <c r="O2410"/>
      <c r="P2410"/>
      <c r="Q2410"/>
      <c r="R2410"/>
      <c r="S2410"/>
    </row>
    <row r="2411" spans="1:19" x14ac:dyDescent="0.25">
      <c r="A2411" t="s">
        <v>193</v>
      </c>
      <c r="C2411" s="27" t="s">
        <v>34749</v>
      </c>
      <c r="D2411" s="28" t="s">
        <v>34867</v>
      </c>
      <c r="J2411" t="s">
        <v>6469</v>
      </c>
      <c r="K2411" t="s">
        <v>6470</v>
      </c>
      <c r="L2411" s="28" t="s">
        <v>6471</v>
      </c>
      <c r="M2411" t="s">
        <v>23</v>
      </c>
      <c r="N2411"/>
      <c r="O2411"/>
      <c r="P2411"/>
      <c r="Q2411"/>
      <c r="R2411"/>
      <c r="S2411"/>
    </row>
    <row r="2412" spans="1:19" x14ac:dyDescent="0.25">
      <c r="A2412" t="s">
        <v>193</v>
      </c>
      <c r="C2412" s="27" t="s">
        <v>34749</v>
      </c>
      <c r="D2412" s="28" t="s">
        <v>34867</v>
      </c>
      <c r="J2412" t="s">
        <v>6472</v>
      </c>
      <c r="K2412" t="s">
        <v>6473</v>
      </c>
      <c r="L2412" s="28" t="s">
        <v>6474</v>
      </c>
      <c r="M2412" t="s">
        <v>23</v>
      </c>
      <c r="N2412"/>
      <c r="O2412"/>
      <c r="P2412"/>
      <c r="Q2412"/>
      <c r="R2412"/>
      <c r="S2412"/>
    </row>
    <row r="2413" spans="1:19" x14ac:dyDescent="0.25">
      <c r="A2413" t="s">
        <v>193</v>
      </c>
      <c r="C2413" s="27" t="s">
        <v>34749</v>
      </c>
      <c r="D2413" s="28" t="s">
        <v>34867</v>
      </c>
      <c r="J2413" t="s">
        <v>6475</v>
      </c>
      <c r="K2413" t="s">
        <v>6476</v>
      </c>
      <c r="L2413" s="28" t="s">
        <v>6477</v>
      </c>
      <c r="M2413" t="s">
        <v>23</v>
      </c>
      <c r="N2413"/>
      <c r="O2413"/>
      <c r="P2413"/>
      <c r="Q2413"/>
      <c r="R2413"/>
      <c r="S2413"/>
    </row>
    <row r="2414" spans="1:19" x14ac:dyDescent="0.25">
      <c r="A2414" t="s">
        <v>193</v>
      </c>
      <c r="C2414" s="27" t="s">
        <v>34749</v>
      </c>
      <c r="D2414" s="28" t="s">
        <v>34867</v>
      </c>
      <c r="J2414" t="s">
        <v>6478</v>
      </c>
      <c r="K2414" t="s">
        <v>6479</v>
      </c>
      <c r="L2414" s="28" t="s">
        <v>6480</v>
      </c>
      <c r="M2414" t="s">
        <v>23</v>
      </c>
      <c r="N2414"/>
      <c r="O2414"/>
      <c r="P2414"/>
      <c r="Q2414"/>
      <c r="R2414"/>
      <c r="S2414"/>
    </row>
    <row r="2415" spans="1:19" x14ac:dyDescent="0.25">
      <c r="A2415" t="s">
        <v>193</v>
      </c>
      <c r="C2415" s="27" t="s">
        <v>34749</v>
      </c>
      <c r="D2415" s="28" t="s">
        <v>34867</v>
      </c>
      <c r="J2415" t="s">
        <v>6481</v>
      </c>
      <c r="K2415" t="s">
        <v>6482</v>
      </c>
      <c r="L2415" s="28" t="s">
        <v>6483</v>
      </c>
      <c r="M2415" t="s">
        <v>23</v>
      </c>
      <c r="N2415"/>
      <c r="O2415"/>
      <c r="P2415"/>
      <c r="Q2415"/>
      <c r="R2415"/>
      <c r="S2415"/>
    </row>
    <row r="2416" spans="1:19" x14ac:dyDescent="0.25">
      <c r="A2416" t="s">
        <v>193</v>
      </c>
      <c r="C2416" s="27" t="s">
        <v>34749</v>
      </c>
      <c r="D2416" s="28" t="s">
        <v>34867</v>
      </c>
      <c r="J2416" t="s">
        <v>6484</v>
      </c>
      <c r="K2416" t="s">
        <v>6485</v>
      </c>
      <c r="L2416" s="28" t="s">
        <v>6486</v>
      </c>
      <c r="M2416" t="s">
        <v>23</v>
      </c>
      <c r="N2416"/>
      <c r="O2416"/>
      <c r="P2416"/>
      <c r="Q2416"/>
      <c r="R2416"/>
      <c r="S2416"/>
    </row>
    <row r="2417" spans="1:19" x14ac:dyDescent="0.25">
      <c r="A2417" t="s">
        <v>193</v>
      </c>
      <c r="C2417" s="27" t="s">
        <v>34749</v>
      </c>
      <c r="D2417" s="28" t="s">
        <v>34867</v>
      </c>
      <c r="J2417" t="s">
        <v>6487</v>
      </c>
      <c r="K2417" t="s">
        <v>6488</v>
      </c>
      <c r="L2417" s="28" t="s">
        <v>6489</v>
      </c>
      <c r="M2417" t="s">
        <v>23</v>
      </c>
      <c r="N2417"/>
      <c r="O2417"/>
      <c r="P2417"/>
      <c r="Q2417"/>
      <c r="R2417"/>
      <c r="S2417"/>
    </row>
    <row r="2418" spans="1:19" x14ac:dyDescent="0.25">
      <c r="A2418" t="s">
        <v>193</v>
      </c>
      <c r="C2418" s="27" t="s">
        <v>34749</v>
      </c>
      <c r="D2418" s="28" t="s">
        <v>34867</v>
      </c>
      <c r="J2418" t="s">
        <v>6490</v>
      </c>
      <c r="K2418" t="s">
        <v>6491</v>
      </c>
      <c r="L2418" s="28" t="s">
        <v>6492</v>
      </c>
      <c r="M2418" t="s">
        <v>23</v>
      </c>
      <c r="N2418"/>
      <c r="O2418"/>
      <c r="P2418"/>
      <c r="Q2418"/>
      <c r="R2418"/>
      <c r="S2418"/>
    </row>
    <row r="2419" spans="1:19" x14ac:dyDescent="0.25">
      <c r="A2419" t="s">
        <v>193</v>
      </c>
      <c r="C2419" s="27" t="s">
        <v>34749</v>
      </c>
      <c r="D2419" s="28" t="s">
        <v>34867</v>
      </c>
      <c r="J2419" t="s">
        <v>6493</v>
      </c>
      <c r="K2419" t="s">
        <v>6494</v>
      </c>
      <c r="L2419" s="28" t="s">
        <v>6495</v>
      </c>
      <c r="M2419" t="s">
        <v>23</v>
      </c>
      <c r="N2419"/>
      <c r="O2419"/>
      <c r="P2419"/>
      <c r="Q2419"/>
      <c r="R2419"/>
      <c r="S2419"/>
    </row>
    <row r="2420" spans="1:19" x14ac:dyDescent="0.25">
      <c r="A2420" t="s">
        <v>193</v>
      </c>
      <c r="C2420" s="27" t="s">
        <v>34749</v>
      </c>
      <c r="D2420" s="28" t="s">
        <v>34867</v>
      </c>
      <c r="J2420" t="s">
        <v>6496</v>
      </c>
      <c r="K2420" t="s">
        <v>6497</v>
      </c>
      <c r="L2420" s="28" t="s">
        <v>6498</v>
      </c>
      <c r="M2420" t="s">
        <v>23</v>
      </c>
      <c r="N2420"/>
      <c r="O2420"/>
      <c r="P2420"/>
      <c r="Q2420"/>
      <c r="R2420"/>
      <c r="S2420"/>
    </row>
    <row r="2421" spans="1:19" x14ac:dyDescent="0.25">
      <c r="A2421" t="s">
        <v>193</v>
      </c>
      <c r="C2421" s="27" t="s">
        <v>34749</v>
      </c>
      <c r="D2421" s="28" t="s">
        <v>34867</v>
      </c>
      <c r="J2421" t="s">
        <v>6499</v>
      </c>
      <c r="K2421" t="s">
        <v>6500</v>
      </c>
      <c r="L2421" s="28" t="s">
        <v>6501</v>
      </c>
      <c r="M2421" t="s">
        <v>23</v>
      </c>
      <c r="N2421"/>
      <c r="O2421"/>
      <c r="P2421"/>
      <c r="Q2421"/>
      <c r="R2421"/>
      <c r="S2421"/>
    </row>
    <row r="2422" spans="1:19" x14ac:dyDescent="0.25">
      <c r="A2422" t="s">
        <v>193</v>
      </c>
      <c r="C2422" s="27" t="s">
        <v>34749</v>
      </c>
      <c r="D2422" s="28" t="s">
        <v>34867</v>
      </c>
      <c r="J2422" t="s">
        <v>6502</v>
      </c>
      <c r="K2422" t="s">
        <v>6503</v>
      </c>
      <c r="L2422" s="28" t="s">
        <v>6504</v>
      </c>
      <c r="M2422" t="s">
        <v>23</v>
      </c>
      <c r="N2422"/>
      <c r="O2422"/>
      <c r="P2422"/>
      <c r="Q2422"/>
      <c r="R2422"/>
      <c r="S2422"/>
    </row>
    <row r="2423" spans="1:19" x14ac:dyDescent="0.25">
      <c r="A2423" t="s">
        <v>193</v>
      </c>
      <c r="C2423" s="27" t="s">
        <v>34749</v>
      </c>
      <c r="D2423" s="28" t="s">
        <v>34867</v>
      </c>
      <c r="J2423" t="s">
        <v>6505</v>
      </c>
      <c r="K2423" t="s">
        <v>6506</v>
      </c>
      <c r="L2423" s="28" t="s">
        <v>6507</v>
      </c>
      <c r="M2423" t="s">
        <v>23</v>
      </c>
      <c r="N2423"/>
      <c r="O2423"/>
      <c r="P2423"/>
      <c r="Q2423"/>
      <c r="R2423"/>
      <c r="S2423"/>
    </row>
    <row r="2424" spans="1:19" x14ac:dyDescent="0.25">
      <c r="A2424" t="s">
        <v>193</v>
      </c>
      <c r="C2424" s="27" t="s">
        <v>34749</v>
      </c>
      <c r="D2424" s="28" t="s">
        <v>34867</v>
      </c>
      <c r="J2424" t="s">
        <v>6508</v>
      </c>
      <c r="K2424" t="s">
        <v>6509</v>
      </c>
      <c r="L2424" s="28" t="s">
        <v>6510</v>
      </c>
      <c r="M2424" t="s">
        <v>23</v>
      </c>
      <c r="N2424"/>
      <c r="O2424"/>
      <c r="P2424"/>
      <c r="Q2424"/>
      <c r="R2424"/>
      <c r="S2424"/>
    </row>
    <row r="2425" spans="1:19" x14ac:dyDescent="0.25">
      <c r="A2425" t="s">
        <v>193</v>
      </c>
      <c r="C2425" s="27" t="s">
        <v>34749</v>
      </c>
      <c r="D2425" s="28" t="s">
        <v>34867</v>
      </c>
      <c r="J2425" t="s">
        <v>6511</v>
      </c>
      <c r="K2425" t="s">
        <v>6512</v>
      </c>
      <c r="L2425" s="28" t="s">
        <v>6513</v>
      </c>
      <c r="M2425" t="s">
        <v>23</v>
      </c>
      <c r="N2425"/>
      <c r="O2425"/>
      <c r="P2425"/>
      <c r="Q2425"/>
      <c r="R2425"/>
      <c r="S2425"/>
    </row>
    <row r="2426" spans="1:19" x14ac:dyDescent="0.25">
      <c r="A2426" t="s">
        <v>193</v>
      </c>
      <c r="C2426" s="27" t="s">
        <v>34749</v>
      </c>
      <c r="D2426" s="28" t="s">
        <v>34867</v>
      </c>
      <c r="J2426" t="s">
        <v>6514</v>
      </c>
      <c r="K2426" t="s">
        <v>6515</v>
      </c>
      <c r="L2426" s="28" t="s">
        <v>6516</v>
      </c>
      <c r="M2426" t="s">
        <v>23</v>
      </c>
      <c r="N2426"/>
      <c r="O2426"/>
      <c r="P2426"/>
      <c r="Q2426"/>
      <c r="R2426"/>
      <c r="S2426"/>
    </row>
    <row r="2427" spans="1:19" x14ac:dyDescent="0.25">
      <c r="A2427" t="s">
        <v>193</v>
      </c>
      <c r="C2427" s="27" t="s">
        <v>34749</v>
      </c>
      <c r="D2427" s="28" t="s">
        <v>34867</v>
      </c>
      <c r="J2427" t="s">
        <v>6517</v>
      </c>
      <c r="K2427" t="s">
        <v>6518</v>
      </c>
      <c r="L2427" s="28" t="s">
        <v>6519</v>
      </c>
      <c r="M2427" t="s">
        <v>23</v>
      </c>
      <c r="N2427"/>
      <c r="O2427"/>
      <c r="P2427"/>
      <c r="Q2427"/>
      <c r="R2427"/>
      <c r="S2427"/>
    </row>
    <row r="2428" spans="1:19" x14ac:dyDescent="0.25">
      <c r="A2428" t="s">
        <v>193</v>
      </c>
      <c r="C2428" s="27" t="s">
        <v>34749</v>
      </c>
      <c r="D2428" s="28" t="s">
        <v>34867</v>
      </c>
      <c r="J2428" t="s">
        <v>6520</v>
      </c>
      <c r="K2428" t="s">
        <v>6521</v>
      </c>
      <c r="L2428" s="28" t="s">
        <v>6522</v>
      </c>
      <c r="M2428" t="s">
        <v>23</v>
      </c>
      <c r="N2428"/>
      <c r="O2428"/>
      <c r="P2428"/>
      <c r="Q2428"/>
      <c r="R2428"/>
      <c r="S2428"/>
    </row>
    <row r="2429" spans="1:19" x14ac:dyDescent="0.25">
      <c r="A2429" t="s">
        <v>193</v>
      </c>
      <c r="C2429" s="27" t="s">
        <v>34749</v>
      </c>
      <c r="D2429" s="28" t="s">
        <v>34867</v>
      </c>
      <c r="J2429" t="s">
        <v>6523</v>
      </c>
      <c r="K2429" t="s">
        <v>6524</v>
      </c>
      <c r="L2429" s="28" t="s">
        <v>6525</v>
      </c>
      <c r="M2429" t="s">
        <v>23</v>
      </c>
      <c r="N2429"/>
      <c r="O2429"/>
      <c r="P2429"/>
      <c r="Q2429"/>
      <c r="R2429"/>
      <c r="S2429"/>
    </row>
    <row r="2430" spans="1:19" x14ac:dyDescent="0.25">
      <c r="A2430" t="s">
        <v>193</v>
      </c>
      <c r="C2430" s="27" t="s">
        <v>34749</v>
      </c>
      <c r="D2430" s="28" t="s">
        <v>34867</v>
      </c>
      <c r="J2430" t="s">
        <v>6526</v>
      </c>
      <c r="K2430" t="s">
        <v>6527</v>
      </c>
      <c r="L2430" s="28" t="s">
        <v>6528</v>
      </c>
      <c r="M2430" t="s">
        <v>23</v>
      </c>
      <c r="N2430"/>
      <c r="O2430"/>
      <c r="P2430"/>
      <c r="Q2430"/>
      <c r="R2430"/>
      <c r="S2430"/>
    </row>
    <row r="2431" spans="1:19" x14ac:dyDescent="0.25">
      <c r="A2431" t="s">
        <v>193</v>
      </c>
      <c r="C2431" s="27" t="s">
        <v>34749</v>
      </c>
      <c r="D2431" s="28" t="s">
        <v>34867</v>
      </c>
      <c r="J2431" t="s">
        <v>6529</v>
      </c>
      <c r="K2431" t="s">
        <v>6530</v>
      </c>
      <c r="L2431" s="28" t="s">
        <v>6531</v>
      </c>
      <c r="M2431" t="s">
        <v>23</v>
      </c>
      <c r="N2431"/>
      <c r="O2431"/>
      <c r="P2431"/>
      <c r="Q2431"/>
      <c r="R2431"/>
      <c r="S2431"/>
    </row>
    <row r="2432" spans="1:19" x14ac:dyDescent="0.25">
      <c r="A2432" t="s">
        <v>193</v>
      </c>
      <c r="C2432" s="27" t="s">
        <v>34749</v>
      </c>
      <c r="D2432" s="28" t="s">
        <v>34867</v>
      </c>
      <c r="J2432" t="s">
        <v>6532</v>
      </c>
      <c r="K2432" t="s">
        <v>6533</v>
      </c>
      <c r="L2432" s="28" t="s">
        <v>6534</v>
      </c>
      <c r="M2432" t="s">
        <v>23</v>
      </c>
      <c r="N2432"/>
      <c r="O2432"/>
      <c r="P2432"/>
      <c r="Q2432"/>
      <c r="R2432"/>
      <c r="S2432"/>
    </row>
    <row r="2433" spans="1:19" x14ac:dyDescent="0.25">
      <c r="A2433" t="s">
        <v>193</v>
      </c>
      <c r="C2433" s="27" t="s">
        <v>34749</v>
      </c>
      <c r="D2433" s="28" t="s">
        <v>34867</v>
      </c>
      <c r="J2433" t="s">
        <v>6535</v>
      </c>
      <c r="K2433" t="s">
        <v>6536</v>
      </c>
      <c r="L2433" s="28" t="s">
        <v>6537</v>
      </c>
      <c r="M2433" t="s">
        <v>23</v>
      </c>
      <c r="N2433"/>
      <c r="O2433"/>
      <c r="P2433"/>
      <c r="Q2433"/>
      <c r="R2433"/>
      <c r="S2433"/>
    </row>
    <row r="2434" spans="1:19" x14ac:dyDescent="0.25">
      <c r="A2434" t="s">
        <v>193</v>
      </c>
      <c r="C2434" s="27" t="s">
        <v>34749</v>
      </c>
      <c r="D2434" s="28" t="s">
        <v>34867</v>
      </c>
      <c r="J2434" t="s">
        <v>6538</v>
      </c>
      <c r="K2434" t="s">
        <v>6539</v>
      </c>
      <c r="L2434" s="28" t="s">
        <v>6540</v>
      </c>
      <c r="M2434" t="s">
        <v>23</v>
      </c>
      <c r="N2434"/>
      <c r="O2434"/>
      <c r="P2434"/>
      <c r="Q2434"/>
      <c r="R2434"/>
      <c r="S2434"/>
    </row>
    <row r="2435" spans="1:19" x14ac:dyDescent="0.25">
      <c r="A2435" t="s">
        <v>193</v>
      </c>
      <c r="C2435" s="27" t="s">
        <v>34749</v>
      </c>
      <c r="D2435" s="28" t="s">
        <v>34867</v>
      </c>
      <c r="J2435" t="s">
        <v>6541</v>
      </c>
      <c r="K2435" t="s">
        <v>6542</v>
      </c>
      <c r="L2435" s="28" t="s">
        <v>6543</v>
      </c>
      <c r="M2435" t="s">
        <v>23</v>
      </c>
      <c r="N2435"/>
      <c r="O2435"/>
      <c r="P2435"/>
      <c r="Q2435"/>
      <c r="R2435"/>
      <c r="S2435"/>
    </row>
    <row r="2436" spans="1:19" x14ac:dyDescent="0.25">
      <c r="A2436" t="s">
        <v>193</v>
      </c>
      <c r="C2436" s="27" t="s">
        <v>34749</v>
      </c>
      <c r="D2436" s="28" t="s">
        <v>34867</v>
      </c>
      <c r="J2436" t="s">
        <v>6544</v>
      </c>
      <c r="K2436" t="s">
        <v>6545</v>
      </c>
      <c r="L2436" s="28" t="s">
        <v>6546</v>
      </c>
      <c r="M2436" t="s">
        <v>23</v>
      </c>
      <c r="N2436"/>
      <c r="O2436"/>
      <c r="P2436"/>
      <c r="Q2436"/>
      <c r="R2436"/>
      <c r="S2436"/>
    </row>
    <row r="2437" spans="1:19" x14ac:dyDescent="0.25">
      <c r="A2437" t="s">
        <v>193</v>
      </c>
      <c r="C2437" s="27" t="s">
        <v>34749</v>
      </c>
      <c r="D2437" s="28" t="s">
        <v>34867</v>
      </c>
      <c r="J2437" t="s">
        <v>6547</v>
      </c>
      <c r="K2437" t="s">
        <v>6548</v>
      </c>
      <c r="L2437" s="28" t="s">
        <v>6549</v>
      </c>
      <c r="M2437" t="s">
        <v>23</v>
      </c>
      <c r="N2437"/>
      <c r="O2437"/>
      <c r="P2437"/>
      <c r="Q2437"/>
      <c r="R2437"/>
      <c r="S2437"/>
    </row>
    <row r="2438" spans="1:19" x14ac:dyDescent="0.25">
      <c r="A2438" t="s">
        <v>193</v>
      </c>
      <c r="C2438" s="27" t="s">
        <v>34749</v>
      </c>
      <c r="D2438" s="28" t="s">
        <v>34867</v>
      </c>
      <c r="J2438" t="s">
        <v>6550</v>
      </c>
      <c r="K2438" t="s">
        <v>6551</v>
      </c>
      <c r="L2438" s="28" t="s">
        <v>6552</v>
      </c>
      <c r="M2438" t="s">
        <v>23</v>
      </c>
      <c r="N2438"/>
      <c r="O2438"/>
      <c r="P2438"/>
      <c r="Q2438"/>
      <c r="R2438"/>
      <c r="S2438"/>
    </row>
    <row r="2439" spans="1:19" x14ac:dyDescent="0.25">
      <c r="A2439" t="s">
        <v>193</v>
      </c>
      <c r="C2439" s="27" t="s">
        <v>34749</v>
      </c>
      <c r="D2439" s="28" t="s">
        <v>34867</v>
      </c>
      <c r="J2439" t="s">
        <v>6553</v>
      </c>
      <c r="K2439" t="s">
        <v>6554</v>
      </c>
      <c r="L2439" s="28" t="s">
        <v>6555</v>
      </c>
      <c r="M2439" t="s">
        <v>23</v>
      </c>
      <c r="N2439"/>
      <c r="O2439"/>
      <c r="P2439"/>
      <c r="Q2439"/>
      <c r="R2439"/>
      <c r="S2439"/>
    </row>
    <row r="2440" spans="1:19" x14ac:dyDescent="0.25">
      <c r="A2440" t="s">
        <v>193</v>
      </c>
      <c r="C2440" s="27" t="s">
        <v>34749</v>
      </c>
      <c r="D2440" s="28" t="s">
        <v>34867</v>
      </c>
      <c r="J2440" t="s">
        <v>6556</v>
      </c>
      <c r="K2440" t="s">
        <v>6557</v>
      </c>
      <c r="L2440" s="28" t="s">
        <v>6558</v>
      </c>
      <c r="M2440" t="s">
        <v>23</v>
      </c>
      <c r="N2440"/>
      <c r="O2440"/>
      <c r="P2440"/>
      <c r="Q2440"/>
      <c r="R2440"/>
      <c r="S2440"/>
    </row>
    <row r="2441" spans="1:19" x14ac:dyDescent="0.25">
      <c r="A2441" t="s">
        <v>193</v>
      </c>
      <c r="C2441" s="27" t="s">
        <v>34749</v>
      </c>
      <c r="D2441" s="28" t="s">
        <v>34867</v>
      </c>
      <c r="J2441" t="s">
        <v>6559</v>
      </c>
      <c r="K2441" t="s">
        <v>6560</v>
      </c>
      <c r="L2441" s="28" t="s">
        <v>6561</v>
      </c>
      <c r="M2441" t="s">
        <v>23</v>
      </c>
      <c r="N2441"/>
      <c r="O2441"/>
      <c r="P2441"/>
      <c r="Q2441"/>
      <c r="R2441"/>
      <c r="S2441"/>
    </row>
    <row r="2442" spans="1:19" x14ac:dyDescent="0.25">
      <c r="A2442" t="s">
        <v>193</v>
      </c>
      <c r="C2442" s="27" t="s">
        <v>34749</v>
      </c>
      <c r="D2442" s="28" t="s">
        <v>34867</v>
      </c>
      <c r="J2442" t="s">
        <v>6562</v>
      </c>
      <c r="K2442" t="s">
        <v>6563</v>
      </c>
      <c r="L2442" s="28" t="s">
        <v>6564</v>
      </c>
      <c r="M2442" t="s">
        <v>23</v>
      </c>
      <c r="N2442"/>
      <c r="O2442"/>
      <c r="P2442"/>
      <c r="Q2442"/>
      <c r="R2442"/>
      <c r="S2442"/>
    </row>
    <row r="2443" spans="1:19" x14ac:dyDescent="0.25">
      <c r="A2443" t="s">
        <v>193</v>
      </c>
      <c r="C2443" s="27" t="s">
        <v>34749</v>
      </c>
      <c r="D2443" s="28" t="s">
        <v>34867</v>
      </c>
      <c r="J2443" t="s">
        <v>6565</v>
      </c>
      <c r="K2443" t="s">
        <v>6566</v>
      </c>
      <c r="L2443" s="28" t="s">
        <v>6567</v>
      </c>
      <c r="M2443" t="s">
        <v>23</v>
      </c>
      <c r="N2443"/>
      <c r="O2443"/>
      <c r="P2443"/>
      <c r="Q2443"/>
      <c r="R2443"/>
      <c r="S2443"/>
    </row>
    <row r="2444" spans="1:19" x14ac:dyDescent="0.25">
      <c r="A2444" t="s">
        <v>193</v>
      </c>
      <c r="C2444" s="27" t="s">
        <v>34749</v>
      </c>
      <c r="D2444" s="28" t="s">
        <v>34867</v>
      </c>
      <c r="J2444" t="s">
        <v>6568</v>
      </c>
      <c r="K2444" t="s">
        <v>6569</v>
      </c>
      <c r="L2444" s="28" t="s">
        <v>6570</v>
      </c>
      <c r="M2444" t="s">
        <v>23</v>
      </c>
      <c r="N2444"/>
      <c r="O2444"/>
      <c r="P2444"/>
      <c r="Q2444"/>
      <c r="R2444"/>
      <c r="S2444"/>
    </row>
    <row r="2445" spans="1:19" x14ac:dyDescent="0.25">
      <c r="A2445" t="s">
        <v>193</v>
      </c>
      <c r="C2445" s="27" t="s">
        <v>34749</v>
      </c>
      <c r="D2445" s="28" t="s">
        <v>34867</v>
      </c>
      <c r="J2445" t="s">
        <v>6571</v>
      </c>
      <c r="K2445" t="s">
        <v>6572</v>
      </c>
      <c r="L2445" s="28" t="s">
        <v>6573</v>
      </c>
      <c r="M2445" t="s">
        <v>23</v>
      </c>
      <c r="N2445"/>
      <c r="O2445"/>
      <c r="P2445"/>
      <c r="Q2445"/>
      <c r="R2445"/>
      <c r="S2445"/>
    </row>
    <row r="2446" spans="1:19" x14ac:dyDescent="0.25">
      <c r="A2446" t="s">
        <v>193</v>
      </c>
      <c r="C2446" s="27" t="s">
        <v>34749</v>
      </c>
      <c r="D2446" s="28" t="s">
        <v>34867</v>
      </c>
      <c r="J2446" t="s">
        <v>6574</v>
      </c>
      <c r="K2446" t="s">
        <v>6575</v>
      </c>
      <c r="L2446" s="28" t="s">
        <v>6576</v>
      </c>
      <c r="M2446" t="s">
        <v>23</v>
      </c>
      <c r="N2446"/>
      <c r="O2446"/>
      <c r="P2446"/>
      <c r="Q2446"/>
      <c r="R2446"/>
      <c r="S2446"/>
    </row>
    <row r="2447" spans="1:19" x14ac:dyDescent="0.25">
      <c r="A2447" t="s">
        <v>193</v>
      </c>
      <c r="C2447" s="27" t="s">
        <v>34749</v>
      </c>
      <c r="D2447" s="28" t="s">
        <v>34867</v>
      </c>
      <c r="J2447" t="s">
        <v>6577</v>
      </c>
      <c r="K2447" t="s">
        <v>6578</v>
      </c>
      <c r="L2447" s="28" t="s">
        <v>6579</v>
      </c>
      <c r="M2447" t="s">
        <v>23</v>
      </c>
      <c r="N2447"/>
      <c r="O2447"/>
      <c r="P2447"/>
      <c r="Q2447"/>
      <c r="R2447"/>
      <c r="S2447"/>
    </row>
    <row r="2448" spans="1:19" x14ac:dyDescent="0.25">
      <c r="A2448" t="s">
        <v>193</v>
      </c>
      <c r="C2448" s="27" t="s">
        <v>34749</v>
      </c>
      <c r="D2448" s="28" t="s">
        <v>34867</v>
      </c>
      <c r="J2448" t="s">
        <v>6580</v>
      </c>
      <c r="K2448" t="s">
        <v>6581</v>
      </c>
      <c r="L2448" s="28" t="s">
        <v>6582</v>
      </c>
      <c r="M2448" t="s">
        <v>23</v>
      </c>
      <c r="N2448"/>
      <c r="O2448"/>
      <c r="P2448"/>
      <c r="Q2448"/>
      <c r="R2448"/>
      <c r="S2448"/>
    </row>
    <row r="2449" spans="1:19" x14ac:dyDescent="0.25">
      <c r="A2449" t="s">
        <v>193</v>
      </c>
      <c r="C2449" s="27" t="s">
        <v>34749</v>
      </c>
      <c r="D2449" s="28" t="s">
        <v>34867</v>
      </c>
      <c r="J2449" t="s">
        <v>6583</v>
      </c>
      <c r="K2449" t="s">
        <v>6584</v>
      </c>
      <c r="L2449" s="28" t="s">
        <v>6585</v>
      </c>
      <c r="M2449" t="s">
        <v>23</v>
      </c>
      <c r="N2449"/>
      <c r="O2449"/>
      <c r="P2449"/>
      <c r="Q2449"/>
      <c r="R2449"/>
      <c r="S2449"/>
    </row>
    <row r="2450" spans="1:19" x14ac:dyDescent="0.25">
      <c r="A2450" t="s">
        <v>193</v>
      </c>
      <c r="C2450" s="27" t="s">
        <v>34749</v>
      </c>
      <c r="D2450" s="28" t="s">
        <v>34867</v>
      </c>
      <c r="J2450" t="s">
        <v>6586</v>
      </c>
      <c r="K2450" t="s">
        <v>6587</v>
      </c>
      <c r="L2450" s="28" t="s">
        <v>6588</v>
      </c>
      <c r="M2450" t="s">
        <v>23</v>
      </c>
      <c r="N2450"/>
      <c r="O2450"/>
      <c r="P2450"/>
      <c r="Q2450"/>
      <c r="R2450"/>
      <c r="S2450"/>
    </row>
    <row r="2451" spans="1:19" x14ac:dyDescent="0.25">
      <c r="A2451" t="s">
        <v>193</v>
      </c>
      <c r="C2451" s="27" t="s">
        <v>34749</v>
      </c>
      <c r="D2451" s="28" t="s">
        <v>34867</v>
      </c>
      <c r="J2451" t="s">
        <v>6589</v>
      </c>
      <c r="K2451" t="s">
        <v>6590</v>
      </c>
      <c r="L2451" s="28" t="s">
        <v>6591</v>
      </c>
      <c r="M2451" t="s">
        <v>23</v>
      </c>
      <c r="N2451"/>
      <c r="O2451"/>
      <c r="P2451"/>
      <c r="Q2451"/>
      <c r="R2451"/>
      <c r="S2451"/>
    </row>
    <row r="2452" spans="1:19" x14ac:dyDescent="0.25">
      <c r="A2452" t="s">
        <v>193</v>
      </c>
      <c r="C2452" s="27" t="s">
        <v>34749</v>
      </c>
      <c r="D2452" s="28" t="s">
        <v>34867</v>
      </c>
      <c r="J2452" t="s">
        <v>6592</v>
      </c>
      <c r="K2452" t="s">
        <v>6593</v>
      </c>
      <c r="L2452" s="28" t="s">
        <v>6594</v>
      </c>
      <c r="M2452" t="s">
        <v>23</v>
      </c>
      <c r="N2452"/>
      <c r="O2452"/>
      <c r="P2452"/>
      <c r="Q2452"/>
      <c r="R2452"/>
      <c r="S2452"/>
    </row>
    <row r="2453" spans="1:19" x14ac:dyDescent="0.25">
      <c r="A2453" t="s">
        <v>193</v>
      </c>
      <c r="C2453" s="27" t="s">
        <v>34749</v>
      </c>
      <c r="D2453" s="28" t="s">
        <v>34867</v>
      </c>
      <c r="J2453" t="s">
        <v>6595</v>
      </c>
      <c r="K2453" t="s">
        <v>6596</v>
      </c>
      <c r="L2453" s="28" t="s">
        <v>6597</v>
      </c>
      <c r="M2453" t="s">
        <v>23</v>
      </c>
      <c r="N2453"/>
      <c r="O2453"/>
      <c r="P2453"/>
      <c r="Q2453"/>
      <c r="R2453"/>
      <c r="S2453"/>
    </row>
    <row r="2454" spans="1:19" x14ac:dyDescent="0.25">
      <c r="A2454" t="s">
        <v>193</v>
      </c>
      <c r="C2454" s="27" t="s">
        <v>34749</v>
      </c>
      <c r="D2454" s="28" t="s">
        <v>34867</v>
      </c>
      <c r="J2454" t="s">
        <v>6598</v>
      </c>
      <c r="K2454" t="s">
        <v>6599</v>
      </c>
      <c r="L2454" s="28" t="s">
        <v>6600</v>
      </c>
      <c r="M2454" t="s">
        <v>23</v>
      </c>
      <c r="N2454"/>
      <c r="O2454"/>
      <c r="P2454"/>
      <c r="Q2454"/>
      <c r="R2454"/>
      <c r="S2454"/>
    </row>
    <row r="2455" spans="1:19" x14ac:dyDescent="0.25">
      <c r="A2455" t="s">
        <v>193</v>
      </c>
      <c r="C2455" s="27" t="s">
        <v>34749</v>
      </c>
      <c r="D2455" s="28" t="s">
        <v>34867</v>
      </c>
      <c r="J2455" t="s">
        <v>6601</v>
      </c>
      <c r="K2455" t="s">
        <v>6602</v>
      </c>
      <c r="L2455" s="28" t="s">
        <v>6603</v>
      </c>
      <c r="M2455" t="s">
        <v>23</v>
      </c>
      <c r="N2455"/>
      <c r="O2455"/>
      <c r="P2455"/>
      <c r="Q2455"/>
      <c r="R2455"/>
      <c r="S2455"/>
    </row>
    <row r="2456" spans="1:19" x14ac:dyDescent="0.25">
      <c r="A2456" t="s">
        <v>193</v>
      </c>
      <c r="C2456" s="27" t="s">
        <v>34749</v>
      </c>
      <c r="D2456" s="28" t="s">
        <v>34867</v>
      </c>
      <c r="J2456" t="s">
        <v>6604</v>
      </c>
      <c r="K2456" t="s">
        <v>6605</v>
      </c>
      <c r="L2456" s="28" t="s">
        <v>6606</v>
      </c>
      <c r="M2456" t="s">
        <v>23</v>
      </c>
      <c r="N2456"/>
      <c r="O2456"/>
      <c r="P2456"/>
      <c r="Q2456"/>
      <c r="R2456"/>
      <c r="S2456"/>
    </row>
    <row r="2457" spans="1:19" x14ac:dyDescent="0.25">
      <c r="A2457" t="s">
        <v>193</v>
      </c>
      <c r="C2457" s="27" t="s">
        <v>34749</v>
      </c>
      <c r="D2457" s="28" t="s">
        <v>34867</v>
      </c>
      <c r="J2457" t="s">
        <v>6607</v>
      </c>
      <c r="K2457" t="s">
        <v>6608</v>
      </c>
      <c r="L2457" s="28" t="s">
        <v>6609</v>
      </c>
      <c r="M2457" t="s">
        <v>23</v>
      </c>
      <c r="N2457"/>
      <c r="O2457"/>
      <c r="P2457"/>
      <c r="Q2457"/>
      <c r="R2457"/>
      <c r="S2457"/>
    </row>
    <row r="2458" spans="1:19" x14ac:dyDescent="0.25">
      <c r="A2458" t="s">
        <v>193</v>
      </c>
      <c r="C2458" s="27" t="s">
        <v>34749</v>
      </c>
      <c r="D2458" s="28" t="s">
        <v>34867</v>
      </c>
      <c r="J2458" t="s">
        <v>6610</v>
      </c>
      <c r="K2458" t="s">
        <v>6611</v>
      </c>
      <c r="L2458" s="28" t="s">
        <v>6612</v>
      </c>
      <c r="M2458" t="s">
        <v>23</v>
      </c>
      <c r="N2458"/>
      <c r="O2458"/>
      <c r="P2458"/>
      <c r="Q2458"/>
      <c r="R2458"/>
      <c r="S2458"/>
    </row>
    <row r="2459" spans="1:19" x14ac:dyDescent="0.25">
      <c r="A2459" t="s">
        <v>193</v>
      </c>
      <c r="C2459" s="27" t="s">
        <v>34749</v>
      </c>
      <c r="D2459" s="28" t="s">
        <v>34867</v>
      </c>
      <c r="J2459" t="s">
        <v>6613</v>
      </c>
      <c r="K2459" t="s">
        <v>6614</v>
      </c>
      <c r="L2459" s="28" t="s">
        <v>6615</v>
      </c>
      <c r="M2459" t="s">
        <v>23</v>
      </c>
      <c r="N2459"/>
      <c r="O2459"/>
      <c r="P2459"/>
      <c r="Q2459"/>
      <c r="R2459"/>
      <c r="S2459"/>
    </row>
    <row r="2460" spans="1:19" x14ac:dyDescent="0.25">
      <c r="A2460" t="s">
        <v>193</v>
      </c>
      <c r="C2460" s="27" t="s">
        <v>34749</v>
      </c>
      <c r="D2460" s="28" t="s">
        <v>34867</v>
      </c>
      <c r="J2460" t="s">
        <v>6616</v>
      </c>
      <c r="K2460" t="s">
        <v>6617</v>
      </c>
      <c r="L2460" s="28" t="s">
        <v>6618</v>
      </c>
      <c r="M2460" t="s">
        <v>23</v>
      </c>
      <c r="N2460"/>
      <c r="O2460"/>
      <c r="P2460"/>
      <c r="Q2460"/>
      <c r="R2460"/>
      <c r="S2460"/>
    </row>
    <row r="2461" spans="1:19" x14ac:dyDescent="0.25">
      <c r="A2461" t="s">
        <v>193</v>
      </c>
      <c r="C2461" s="27" t="s">
        <v>34749</v>
      </c>
      <c r="D2461" s="28" t="s">
        <v>34867</v>
      </c>
      <c r="J2461" t="s">
        <v>6619</v>
      </c>
      <c r="K2461" t="s">
        <v>6620</v>
      </c>
      <c r="L2461" s="28" t="s">
        <v>6621</v>
      </c>
      <c r="M2461" t="s">
        <v>23</v>
      </c>
      <c r="N2461"/>
      <c r="O2461"/>
      <c r="P2461"/>
      <c r="Q2461"/>
      <c r="R2461"/>
      <c r="S2461"/>
    </row>
    <row r="2462" spans="1:19" x14ac:dyDescent="0.25">
      <c r="A2462" t="s">
        <v>193</v>
      </c>
      <c r="C2462" s="27" t="s">
        <v>34749</v>
      </c>
      <c r="D2462" s="28" t="s">
        <v>34867</v>
      </c>
      <c r="J2462" t="s">
        <v>6622</v>
      </c>
      <c r="K2462" t="s">
        <v>6623</v>
      </c>
      <c r="L2462" s="28" t="s">
        <v>6624</v>
      </c>
      <c r="M2462" t="s">
        <v>23</v>
      </c>
      <c r="N2462"/>
      <c r="O2462"/>
      <c r="P2462"/>
      <c r="Q2462"/>
      <c r="R2462"/>
      <c r="S2462"/>
    </row>
    <row r="2463" spans="1:19" x14ac:dyDescent="0.25">
      <c r="A2463" t="s">
        <v>193</v>
      </c>
      <c r="C2463" s="27" t="s">
        <v>34749</v>
      </c>
      <c r="D2463" s="28" t="s">
        <v>34867</v>
      </c>
      <c r="J2463" t="s">
        <v>6625</v>
      </c>
      <c r="K2463" t="s">
        <v>6626</v>
      </c>
      <c r="L2463" s="28" t="s">
        <v>6627</v>
      </c>
      <c r="M2463" t="s">
        <v>23</v>
      </c>
      <c r="N2463"/>
      <c r="O2463"/>
      <c r="P2463"/>
      <c r="Q2463"/>
      <c r="R2463"/>
      <c r="S2463"/>
    </row>
    <row r="2464" spans="1:19" x14ac:dyDescent="0.25">
      <c r="A2464" t="s">
        <v>193</v>
      </c>
      <c r="C2464" s="27" t="s">
        <v>34749</v>
      </c>
      <c r="D2464" s="28" t="s">
        <v>34867</v>
      </c>
      <c r="J2464" t="s">
        <v>6628</v>
      </c>
      <c r="K2464" t="s">
        <v>6629</v>
      </c>
      <c r="L2464" s="28" t="s">
        <v>6630</v>
      </c>
      <c r="M2464" t="s">
        <v>23</v>
      </c>
      <c r="N2464"/>
      <c r="O2464"/>
      <c r="P2464"/>
      <c r="Q2464"/>
      <c r="R2464"/>
      <c r="S2464"/>
    </row>
    <row r="2465" spans="1:19" x14ac:dyDescent="0.25">
      <c r="A2465" t="s">
        <v>193</v>
      </c>
      <c r="C2465" s="27" t="s">
        <v>34749</v>
      </c>
      <c r="D2465" s="28" t="s">
        <v>34867</v>
      </c>
      <c r="J2465" t="s">
        <v>6631</v>
      </c>
      <c r="K2465" t="s">
        <v>6632</v>
      </c>
      <c r="L2465" s="28" t="s">
        <v>6633</v>
      </c>
      <c r="M2465" t="s">
        <v>23</v>
      </c>
      <c r="N2465"/>
      <c r="O2465"/>
      <c r="P2465"/>
      <c r="Q2465"/>
      <c r="R2465"/>
      <c r="S2465"/>
    </row>
    <row r="2466" spans="1:19" x14ac:dyDescent="0.25">
      <c r="A2466" t="s">
        <v>193</v>
      </c>
      <c r="C2466" s="27" t="s">
        <v>34749</v>
      </c>
      <c r="D2466" s="28" t="s">
        <v>34867</v>
      </c>
      <c r="J2466" t="s">
        <v>6634</v>
      </c>
      <c r="K2466" t="s">
        <v>6635</v>
      </c>
      <c r="L2466" s="28" t="s">
        <v>6636</v>
      </c>
      <c r="M2466" t="s">
        <v>23</v>
      </c>
      <c r="N2466"/>
      <c r="O2466"/>
      <c r="P2466"/>
      <c r="Q2466"/>
      <c r="R2466"/>
      <c r="S2466"/>
    </row>
    <row r="2467" spans="1:19" x14ac:dyDescent="0.25">
      <c r="A2467" t="s">
        <v>193</v>
      </c>
      <c r="C2467" s="27" t="s">
        <v>34749</v>
      </c>
      <c r="D2467" s="28" t="s">
        <v>34867</v>
      </c>
      <c r="J2467" t="s">
        <v>6637</v>
      </c>
      <c r="K2467" t="s">
        <v>6638</v>
      </c>
      <c r="L2467" s="28" t="s">
        <v>6639</v>
      </c>
      <c r="M2467" t="s">
        <v>23</v>
      </c>
      <c r="N2467"/>
      <c r="O2467"/>
      <c r="P2467"/>
      <c r="Q2467"/>
      <c r="R2467"/>
      <c r="S2467"/>
    </row>
    <row r="2468" spans="1:19" x14ac:dyDescent="0.25">
      <c r="A2468" t="s">
        <v>193</v>
      </c>
      <c r="C2468" s="27" t="s">
        <v>34749</v>
      </c>
      <c r="D2468" s="28" t="s">
        <v>34867</v>
      </c>
      <c r="J2468" t="s">
        <v>6640</v>
      </c>
      <c r="K2468" t="s">
        <v>6641</v>
      </c>
      <c r="L2468" s="28" t="s">
        <v>6642</v>
      </c>
      <c r="M2468" t="s">
        <v>23</v>
      </c>
      <c r="N2468"/>
      <c r="O2468"/>
      <c r="P2468"/>
      <c r="Q2468"/>
      <c r="R2468"/>
      <c r="S2468"/>
    </row>
    <row r="2469" spans="1:19" x14ac:dyDescent="0.25">
      <c r="A2469" t="s">
        <v>193</v>
      </c>
      <c r="C2469" s="27" t="s">
        <v>34749</v>
      </c>
      <c r="D2469" s="28" t="s">
        <v>34867</v>
      </c>
      <c r="J2469" t="s">
        <v>6643</v>
      </c>
      <c r="K2469" t="s">
        <v>6644</v>
      </c>
      <c r="L2469" s="28" t="s">
        <v>6645</v>
      </c>
      <c r="M2469" t="s">
        <v>23</v>
      </c>
      <c r="N2469"/>
      <c r="O2469"/>
      <c r="P2469"/>
      <c r="Q2469"/>
      <c r="R2469"/>
      <c r="S2469"/>
    </row>
    <row r="2470" spans="1:19" x14ac:dyDescent="0.25">
      <c r="A2470" t="s">
        <v>193</v>
      </c>
      <c r="C2470" s="27" t="s">
        <v>34749</v>
      </c>
      <c r="D2470" s="28" t="s">
        <v>34867</v>
      </c>
      <c r="J2470" t="s">
        <v>6646</v>
      </c>
      <c r="K2470" t="s">
        <v>6647</v>
      </c>
      <c r="L2470" s="28" t="s">
        <v>6648</v>
      </c>
      <c r="M2470" t="s">
        <v>23</v>
      </c>
      <c r="N2470"/>
      <c r="O2470"/>
      <c r="P2470"/>
      <c r="Q2470"/>
      <c r="R2470"/>
      <c r="S2470"/>
    </row>
    <row r="2471" spans="1:19" x14ac:dyDescent="0.25">
      <c r="A2471" t="s">
        <v>193</v>
      </c>
      <c r="C2471" s="27" t="s">
        <v>34749</v>
      </c>
      <c r="D2471" s="28" t="s">
        <v>34867</v>
      </c>
      <c r="J2471" t="s">
        <v>6649</v>
      </c>
      <c r="K2471" t="s">
        <v>6650</v>
      </c>
      <c r="L2471" s="28" t="s">
        <v>6651</v>
      </c>
      <c r="M2471" t="s">
        <v>23</v>
      </c>
      <c r="N2471"/>
      <c r="O2471"/>
      <c r="P2471"/>
      <c r="Q2471"/>
      <c r="R2471"/>
      <c r="S2471"/>
    </row>
    <row r="2472" spans="1:19" x14ac:dyDescent="0.25">
      <c r="A2472" t="s">
        <v>193</v>
      </c>
      <c r="C2472" s="27" t="s">
        <v>34749</v>
      </c>
      <c r="D2472" s="28" t="s">
        <v>34867</v>
      </c>
      <c r="J2472" t="s">
        <v>6652</v>
      </c>
      <c r="K2472" t="s">
        <v>6653</v>
      </c>
      <c r="L2472" s="28" t="s">
        <v>6654</v>
      </c>
      <c r="M2472" t="s">
        <v>23</v>
      </c>
      <c r="N2472"/>
      <c r="O2472"/>
      <c r="P2472"/>
      <c r="Q2472"/>
      <c r="R2472"/>
      <c r="S2472"/>
    </row>
    <row r="2473" spans="1:19" x14ac:dyDescent="0.25">
      <c r="A2473" t="s">
        <v>193</v>
      </c>
      <c r="C2473" s="27" t="s">
        <v>34749</v>
      </c>
      <c r="D2473" s="28" t="s">
        <v>34867</v>
      </c>
      <c r="J2473" t="s">
        <v>6655</v>
      </c>
      <c r="K2473" t="s">
        <v>6656</v>
      </c>
      <c r="L2473" s="28" t="s">
        <v>6657</v>
      </c>
      <c r="M2473" t="s">
        <v>23</v>
      </c>
      <c r="N2473"/>
      <c r="O2473"/>
      <c r="P2473"/>
      <c r="Q2473"/>
      <c r="R2473"/>
      <c r="S2473"/>
    </row>
    <row r="2474" spans="1:19" x14ac:dyDescent="0.25">
      <c r="A2474" t="s">
        <v>193</v>
      </c>
      <c r="C2474" s="27" t="s">
        <v>34749</v>
      </c>
      <c r="D2474" s="28" t="s">
        <v>34867</v>
      </c>
      <c r="J2474" t="s">
        <v>6658</v>
      </c>
      <c r="K2474" t="s">
        <v>6659</v>
      </c>
      <c r="L2474" s="28" t="s">
        <v>6660</v>
      </c>
      <c r="M2474" t="s">
        <v>23</v>
      </c>
      <c r="N2474"/>
      <c r="O2474"/>
      <c r="P2474"/>
      <c r="Q2474"/>
      <c r="R2474"/>
      <c r="S2474"/>
    </row>
    <row r="2475" spans="1:19" x14ac:dyDescent="0.25">
      <c r="A2475" t="s">
        <v>193</v>
      </c>
      <c r="C2475" s="27" t="s">
        <v>34749</v>
      </c>
      <c r="D2475" s="28" t="s">
        <v>34867</v>
      </c>
      <c r="J2475" t="s">
        <v>6661</v>
      </c>
      <c r="K2475" t="s">
        <v>6662</v>
      </c>
      <c r="L2475" s="28" t="s">
        <v>6663</v>
      </c>
      <c r="M2475" t="s">
        <v>23</v>
      </c>
      <c r="N2475"/>
      <c r="O2475"/>
      <c r="P2475"/>
      <c r="Q2475"/>
      <c r="R2475"/>
      <c r="S2475"/>
    </row>
    <row r="2476" spans="1:19" x14ac:dyDescent="0.25">
      <c r="A2476" t="s">
        <v>193</v>
      </c>
      <c r="C2476" s="27" t="s">
        <v>34749</v>
      </c>
      <c r="D2476" s="28" t="s">
        <v>34867</v>
      </c>
      <c r="J2476" t="s">
        <v>6664</v>
      </c>
      <c r="K2476" t="s">
        <v>6665</v>
      </c>
      <c r="L2476" s="28" t="s">
        <v>6666</v>
      </c>
      <c r="M2476" t="s">
        <v>23</v>
      </c>
      <c r="N2476"/>
      <c r="O2476"/>
      <c r="P2476"/>
      <c r="Q2476"/>
      <c r="R2476"/>
      <c r="S2476"/>
    </row>
    <row r="2477" spans="1:19" x14ac:dyDescent="0.25">
      <c r="A2477" t="s">
        <v>193</v>
      </c>
      <c r="C2477" s="27" t="s">
        <v>34749</v>
      </c>
      <c r="D2477" s="28" t="s">
        <v>34867</v>
      </c>
      <c r="J2477" t="s">
        <v>6667</v>
      </c>
      <c r="K2477" t="s">
        <v>6668</v>
      </c>
      <c r="L2477" s="28" t="s">
        <v>6669</v>
      </c>
      <c r="M2477" t="s">
        <v>23</v>
      </c>
      <c r="N2477"/>
      <c r="O2477"/>
      <c r="P2477"/>
      <c r="Q2477"/>
      <c r="R2477"/>
      <c r="S2477"/>
    </row>
    <row r="2478" spans="1:19" x14ac:dyDescent="0.25">
      <c r="A2478" t="s">
        <v>193</v>
      </c>
      <c r="C2478" s="27" t="s">
        <v>34749</v>
      </c>
      <c r="D2478" s="28" t="s">
        <v>34867</v>
      </c>
      <c r="J2478" t="s">
        <v>6670</v>
      </c>
      <c r="K2478" t="s">
        <v>6671</v>
      </c>
      <c r="L2478" s="28" t="s">
        <v>6672</v>
      </c>
      <c r="M2478" t="s">
        <v>23</v>
      </c>
      <c r="N2478"/>
      <c r="O2478"/>
      <c r="P2478"/>
      <c r="Q2478"/>
      <c r="R2478"/>
      <c r="S2478"/>
    </row>
    <row r="2479" spans="1:19" x14ac:dyDescent="0.25">
      <c r="A2479" t="s">
        <v>193</v>
      </c>
      <c r="C2479" s="27" t="s">
        <v>34749</v>
      </c>
      <c r="D2479" s="28" t="s">
        <v>34867</v>
      </c>
      <c r="J2479" t="s">
        <v>6673</v>
      </c>
      <c r="K2479" t="s">
        <v>6674</v>
      </c>
      <c r="L2479" s="28" t="s">
        <v>6675</v>
      </c>
      <c r="M2479" t="s">
        <v>23</v>
      </c>
      <c r="N2479"/>
      <c r="O2479"/>
      <c r="P2479"/>
      <c r="Q2479"/>
      <c r="R2479"/>
      <c r="S2479"/>
    </row>
    <row r="2480" spans="1:19" x14ac:dyDescent="0.25">
      <c r="A2480" t="s">
        <v>193</v>
      </c>
      <c r="C2480" s="27" t="s">
        <v>34749</v>
      </c>
      <c r="D2480" s="28" t="s">
        <v>34867</v>
      </c>
      <c r="J2480" t="s">
        <v>6676</v>
      </c>
      <c r="K2480" t="s">
        <v>6677</v>
      </c>
      <c r="L2480" s="28" t="s">
        <v>6678</v>
      </c>
      <c r="M2480" t="s">
        <v>23</v>
      </c>
      <c r="N2480"/>
      <c r="O2480"/>
      <c r="P2480"/>
      <c r="Q2480"/>
      <c r="R2480"/>
      <c r="S2480"/>
    </row>
    <row r="2481" spans="1:19" x14ac:dyDescent="0.25">
      <c r="A2481" t="s">
        <v>193</v>
      </c>
      <c r="C2481" s="27" t="s">
        <v>34749</v>
      </c>
      <c r="D2481" s="28" t="s">
        <v>34867</v>
      </c>
      <c r="J2481" t="s">
        <v>6679</v>
      </c>
      <c r="K2481" t="s">
        <v>6680</v>
      </c>
      <c r="L2481" s="28" t="s">
        <v>6681</v>
      </c>
      <c r="M2481" t="s">
        <v>23</v>
      </c>
      <c r="N2481"/>
      <c r="O2481"/>
      <c r="P2481"/>
      <c r="Q2481"/>
      <c r="R2481"/>
      <c r="S2481"/>
    </row>
    <row r="2482" spans="1:19" x14ac:dyDescent="0.25">
      <c r="A2482" t="s">
        <v>193</v>
      </c>
      <c r="C2482" s="27" t="s">
        <v>34749</v>
      </c>
      <c r="D2482" s="28" t="s">
        <v>34867</v>
      </c>
      <c r="J2482" t="s">
        <v>6682</v>
      </c>
      <c r="K2482" t="s">
        <v>6683</v>
      </c>
      <c r="L2482" s="28" t="s">
        <v>6684</v>
      </c>
      <c r="M2482" t="s">
        <v>23</v>
      </c>
      <c r="N2482"/>
      <c r="O2482"/>
      <c r="P2482"/>
      <c r="Q2482"/>
      <c r="R2482"/>
      <c r="S2482"/>
    </row>
    <row r="2483" spans="1:19" x14ac:dyDescent="0.25">
      <c r="A2483" t="s">
        <v>193</v>
      </c>
      <c r="C2483" s="27" t="s">
        <v>34749</v>
      </c>
      <c r="D2483" s="28" t="s">
        <v>34867</v>
      </c>
      <c r="J2483" t="s">
        <v>6685</v>
      </c>
      <c r="K2483" t="s">
        <v>6686</v>
      </c>
      <c r="L2483" s="28" t="s">
        <v>6687</v>
      </c>
      <c r="M2483" t="s">
        <v>23</v>
      </c>
      <c r="N2483"/>
      <c r="O2483"/>
      <c r="P2483"/>
      <c r="Q2483"/>
      <c r="R2483"/>
      <c r="S2483"/>
    </row>
    <row r="2484" spans="1:19" x14ac:dyDescent="0.25">
      <c r="A2484" t="s">
        <v>193</v>
      </c>
      <c r="C2484" s="27" t="s">
        <v>34749</v>
      </c>
      <c r="D2484" s="28" t="s">
        <v>34867</v>
      </c>
      <c r="J2484" t="s">
        <v>6688</v>
      </c>
      <c r="K2484" t="s">
        <v>6689</v>
      </c>
      <c r="L2484" s="28" t="s">
        <v>6690</v>
      </c>
      <c r="M2484" t="s">
        <v>23</v>
      </c>
      <c r="N2484"/>
      <c r="O2484"/>
      <c r="P2484"/>
      <c r="Q2484"/>
      <c r="R2484"/>
      <c r="S2484"/>
    </row>
    <row r="2485" spans="1:19" x14ac:dyDescent="0.25">
      <c r="A2485" t="s">
        <v>193</v>
      </c>
      <c r="C2485" s="27" t="s">
        <v>34749</v>
      </c>
      <c r="D2485" s="28" t="s">
        <v>34867</v>
      </c>
      <c r="J2485" t="s">
        <v>6691</v>
      </c>
      <c r="K2485" t="s">
        <v>6692</v>
      </c>
      <c r="L2485" s="28" t="s">
        <v>6693</v>
      </c>
      <c r="M2485" t="s">
        <v>23</v>
      </c>
      <c r="N2485"/>
      <c r="O2485"/>
      <c r="P2485"/>
      <c r="Q2485"/>
      <c r="R2485"/>
      <c r="S2485"/>
    </row>
    <row r="2486" spans="1:19" x14ac:dyDescent="0.25">
      <c r="A2486" t="s">
        <v>193</v>
      </c>
      <c r="C2486" s="27" t="s">
        <v>34749</v>
      </c>
      <c r="D2486" s="28" t="s">
        <v>34867</v>
      </c>
      <c r="J2486" t="s">
        <v>6694</v>
      </c>
      <c r="K2486" t="s">
        <v>6695</v>
      </c>
      <c r="L2486" s="28" t="s">
        <v>6696</v>
      </c>
      <c r="M2486" t="s">
        <v>23</v>
      </c>
      <c r="N2486"/>
      <c r="O2486"/>
      <c r="P2486"/>
      <c r="Q2486"/>
      <c r="R2486"/>
      <c r="S2486"/>
    </row>
    <row r="2487" spans="1:19" x14ac:dyDescent="0.25">
      <c r="A2487" t="s">
        <v>193</v>
      </c>
      <c r="C2487" s="27" t="s">
        <v>34749</v>
      </c>
      <c r="D2487" s="28" t="s">
        <v>34867</v>
      </c>
      <c r="J2487" t="s">
        <v>6697</v>
      </c>
      <c r="K2487" t="s">
        <v>6698</v>
      </c>
      <c r="L2487" s="28" t="s">
        <v>6699</v>
      </c>
      <c r="M2487" t="s">
        <v>23</v>
      </c>
      <c r="N2487"/>
      <c r="O2487"/>
      <c r="P2487"/>
      <c r="Q2487"/>
      <c r="R2487"/>
      <c r="S2487"/>
    </row>
    <row r="2488" spans="1:19" x14ac:dyDescent="0.25">
      <c r="A2488" t="s">
        <v>193</v>
      </c>
      <c r="C2488" s="27" t="s">
        <v>34749</v>
      </c>
      <c r="D2488" s="28" t="s">
        <v>34867</v>
      </c>
      <c r="J2488" t="s">
        <v>6700</v>
      </c>
      <c r="K2488" t="s">
        <v>6701</v>
      </c>
      <c r="L2488" s="28" t="s">
        <v>6702</v>
      </c>
      <c r="M2488" t="s">
        <v>23</v>
      </c>
      <c r="N2488"/>
      <c r="O2488"/>
      <c r="P2488"/>
      <c r="Q2488"/>
      <c r="R2488"/>
      <c r="S2488"/>
    </row>
    <row r="2489" spans="1:19" x14ac:dyDescent="0.25">
      <c r="A2489" t="s">
        <v>193</v>
      </c>
      <c r="C2489" s="27" t="s">
        <v>34749</v>
      </c>
      <c r="D2489" s="28" t="s">
        <v>34867</v>
      </c>
      <c r="J2489" t="s">
        <v>6703</v>
      </c>
      <c r="K2489" t="s">
        <v>6704</v>
      </c>
      <c r="L2489" s="28" t="s">
        <v>6705</v>
      </c>
      <c r="M2489" t="s">
        <v>23</v>
      </c>
      <c r="N2489"/>
      <c r="O2489"/>
      <c r="P2489"/>
      <c r="Q2489"/>
      <c r="R2489"/>
      <c r="S2489"/>
    </row>
    <row r="2490" spans="1:19" x14ac:dyDescent="0.25">
      <c r="A2490" t="s">
        <v>193</v>
      </c>
      <c r="C2490" s="27" t="s">
        <v>34749</v>
      </c>
      <c r="D2490" s="28" t="s">
        <v>34867</v>
      </c>
      <c r="J2490" t="s">
        <v>6706</v>
      </c>
      <c r="K2490" t="s">
        <v>6707</v>
      </c>
      <c r="L2490" s="28" t="s">
        <v>6708</v>
      </c>
      <c r="M2490" t="s">
        <v>23</v>
      </c>
      <c r="N2490"/>
      <c r="O2490"/>
      <c r="P2490"/>
      <c r="Q2490"/>
      <c r="R2490"/>
      <c r="S2490"/>
    </row>
    <row r="2491" spans="1:19" x14ac:dyDescent="0.25">
      <c r="A2491" t="s">
        <v>193</v>
      </c>
      <c r="C2491" s="27" t="s">
        <v>34749</v>
      </c>
      <c r="D2491" s="28" t="s">
        <v>34867</v>
      </c>
      <c r="J2491" t="s">
        <v>6709</v>
      </c>
      <c r="K2491" t="s">
        <v>6710</v>
      </c>
      <c r="L2491" s="28" t="s">
        <v>6711</v>
      </c>
      <c r="M2491" t="s">
        <v>23</v>
      </c>
      <c r="N2491"/>
      <c r="O2491"/>
      <c r="P2491"/>
      <c r="Q2491"/>
      <c r="R2491"/>
      <c r="S2491"/>
    </row>
    <row r="2492" spans="1:19" x14ac:dyDescent="0.25">
      <c r="A2492" t="s">
        <v>193</v>
      </c>
      <c r="C2492" s="27" t="s">
        <v>34749</v>
      </c>
      <c r="D2492" s="28" t="s">
        <v>34867</v>
      </c>
      <c r="J2492" t="s">
        <v>6712</v>
      </c>
      <c r="K2492" t="s">
        <v>6713</v>
      </c>
      <c r="L2492" s="28" t="s">
        <v>6714</v>
      </c>
      <c r="M2492" t="s">
        <v>23</v>
      </c>
      <c r="N2492"/>
      <c r="O2492"/>
      <c r="P2492"/>
      <c r="Q2492"/>
      <c r="R2492"/>
      <c r="S2492"/>
    </row>
    <row r="2493" spans="1:19" x14ac:dyDescent="0.25">
      <c r="A2493" t="s">
        <v>193</v>
      </c>
      <c r="C2493" s="27" t="s">
        <v>34749</v>
      </c>
      <c r="D2493" s="28" t="s">
        <v>34867</v>
      </c>
      <c r="J2493" t="s">
        <v>6715</v>
      </c>
      <c r="K2493" t="s">
        <v>6716</v>
      </c>
      <c r="L2493" s="28" t="s">
        <v>6717</v>
      </c>
      <c r="M2493" t="s">
        <v>23</v>
      </c>
      <c r="N2493"/>
      <c r="O2493"/>
      <c r="P2493"/>
      <c r="Q2493"/>
      <c r="R2493"/>
      <c r="S2493"/>
    </row>
    <row r="2494" spans="1:19" x14ac:dyDescent="0.25">
      <c r="A2494" t="s">
        <v>193</v>
      </c>
      <c r="C2494" s="27" t="s">
        <v>34749</v>
      </c>
      <c r="D2494" s="28" t="s">
        <v>34867</v>
      </c>
      <c r="J2494" t="s">
        <v>6718</v>
      </c>
      <c r="K2494" t="s">
        <v>6719</v>
      </c>
      <c r="L2494" s="28" t="s">
        <v>6720</v>
      </c>
      <c r="M2494" t="s">
        <v>23</v>
      </c>
      <c r="N2494"/>
      <c r="O2494"/>
      <c r="P2494"/>
      <c r="Q2494"/>
      <c r="R2494"/>
      <c r="S2494"/>
    </row>
    <row r="2495" spans="1:19" x14ac:dyDescent="0.25">
      <c r="A2495" t="s">
        <v>193</v>
      </c>
      <c r="C2495" s="27" t="s">
        <v>34749</v>
      </c>
      <c r="D2495" s="28" t="s">
        <v>34867</v>
      </c>
      <c r="J2495" t="s">
        <v>6721</v>
      </c>
      <c r="K2495" t="s">
        <v>6722</v>
      </c>
      <c r="L2495" s="28" t="s">
        <v>6723</v>
      </c>
      <c r="M2495" t="s">
        <v>23</v>
      </c>
      <c r="N2495"/>
      <c r="O2495"/>
      <c r="P2495"/>
      <c r="Q2495"/>
      <c r="R2495"/>
      <c r="S2495"/>
    </row>
    <row r="2496" spans="1:19" x14ac:dyDescent="0.25">
      <c r="A2496" t="s">
        <v>193</v>
      </c>
      <c r="C2496" s="27" t="s">
        <v>34749</v>
      </c>
      <c r="D2496" s="28" t="s">
        <v>34867</v>
      </c>
      <c r="J2496" t="s">
        <v>6724</v>
      </c>
      <c r="K2496" t="s">
        <v>6725</v>
      </c>
      <c r="L2496" s="28" t="s">
        <v>6726</v>
      </c>
      <c r="M2496" t="s">
        <v>23</v>
      </c>
      <c r="N2496"/>
      <c r="O2496"/>
      <c r="P2496"/>
      <c r="Q2496"/>
      <c r="R2496"/>
      <c r="S2496"/>
    </row>
    <row r="2497" spans="1:19" x14ac:dyDescent="0.25">
      <c r="A2497" t="s">
        <v>193</v>
      </c>
      <c r="C2497" s="27" t="s">
        <v>34749</v>
      </c>
      <c r="D2497" s="28" t="s">
        <v>34867</v>
      </c>
      <c r="J2497" t="s">
        <v>6727</v>
      </c>
      <c r="K2497" t="s">
        <v>6728</v>
      </c>
      <c r="L2497" s="28" t="s">
        <v>6729</v>
      </c>
      <c r="M2497" t="s">
        <v>23</v>
      </c>
      <c r="N2497"/>
      <c r="O2497"/>
      <c r="P2497"/>
      <c r="Q2497"/>
      <c r="R2497"/>
      <c r="S2497"/>
    </row>
    <row r="2498" spans="1:19" x14ac:dyDescent="0.25">
      <c r="A2498" t="s">
        <v>193</v>
      </c>
      <c r="C2498" s="27" t="s">
        <v>34749</v>
      </c>
      <c r="D2498" s="28" t="s">
        <v>34867</v>
      </c>
      <c r="J2498" t="s">
        <v>6730</v>
      </c>
      <c r="K2498" t="s">
        <v>6731</v>
      </c>
      <c r="L2498" s="28" t="s">
        <v>6732</v>
      </c>
      <c r="M2498" t="s">
        <v>23</v>
      </c>
      <c r="N2498"/>
      <c r="O2498"/>
      <c r="P2498"/>
      <c r="Q2498"/>
      <c r="R2498"/>
      <c r="S2498"/>
    </row>
    <row r="2499" spans="1:19" x14ac:dyDescent="0.25">
      <c r="A2499" t="s">
        <v>193</v>
      </c>
      <c r="C2499" s="27" t="s">
        <v>34749</v>
      </c>
      <c r="D2499" s="28" t="s">
        <v>34867</v>
      </c>
      <c r="J2499" t="s">
        <v>6733</v>
      </c>
      <c r="K2499" t="s">
        <v>6734</v>
      </c>
      <c r="L2499" s="28" t="s">
        <v>6735</v>
      </c>
      <c r="M2499" t="s">
        <v>23</v>
      </c>
      <c r="N2499"/>
      <c r="O2499"/>
      <c r="P2499"/>
      <c r="Q2499"/>
      <c r="R2499"/>
      <c r="S2499"/>
    </row>
    <row r="2500" spans="1:19" x14ac:dyDescent="0.25">
      <c r="A2500" t="s">
        <v>193</v>
      </c>
      <c r="C2500" s="27" t="s">
        <v>34749</v>
      </c>
      <c r="D2500" s="28" t="s">
        <v>34867</v>
      </c>
      <c r="J2500" t="s">
        <v>6736</v>
      </c>
      <c r="K2500" t="s">
        <v>6737</v>
      </c>
      <c r="L2500" s="28" t="s">
        <v>6738</v>
      </c>
      <c r="M2500" t="s">
        <v>23</v>
      </c>
      <c r="N2500"/>
      <c r="O2500"/>
      <c r="P2500"/>
      <c r="Q2500"/>
      <c r="R2500"/>
      <c r="S2500"/>
    </row>
    <row r="2501" spans="1:19" x14ac:dyDescent="0.25">
      <c r="A2501" t="s">
        <v>193</v>
      </c>
      <c r="C2501" s="27" t="s">
        <v>34749</v>
      </c>
      <c r="D2501" s="28" t="s">
        <v>34867</v>
      </c>
      <c r="J2501" t="s">
        <v>6739</v>
      </c>
      <c r="K2501" t="s">
        <v>6740</v>
      </c>
      <c r="L2501" s="28" t="s">
        <v>6741</v>
      </c>
      <c r="M2501" t="s">
        <v>23</v>
      </c>
      <c r="N2501"/>
      <c r="O2501"/>
      <c r="P2501"/>
      <c r="Q2501"/>
      <c r="R2501"/>
      <c r="S2501"/>
    </row>
    <row r="2502" spans="1:19" x14ac:dyDescent="0.25">
      <c r="A2502" t="s">
        <v>193</v>
      </c>
      <c r="C2502" s="27" t="s">
        <v>34749</v>
      </c>
      <c r="D2502" s="28" t="s">
        <v>34867</v>
      </c>
      <c r="J2502" t="s">
        <v>6742</v>
      </c>
      <c r="K2502" t="s">
        <v>6743</v>
      </c>
      <c r="L2502" s="28" t="s">
        <v>6744</v>
      </c>
      <c r="M2502" t="s">
        <v>23</v>
      </c>
      <c r="N2502"/>
      <c r="O2502"/>
      <c r="P2502"/>
      <c r="Q2502"/>
      <c r="R2502"/>
      <c r="S2502"/>
    </row>
    <row r="2503" spans="1:19" x14ac:dyDescent="0.25">
      <c r="A2503" t="s">
        <v>193</v>
      </c>
      <c r="C2503" s="27" t="s">
        <v>34749</v>
      </c>
      <c r="D2503" s="28" t="s">
        <v>34867</v>
      </c>
      <c r="J2503" t="s">
        <v>6745</v>
      </c>
      <c r="K2503" t="s">
        <v>6746</v>
      </c>
      <c r="L2503" s="28" t="s">
        <v>6747</v>
      </c>
      <c r="M2503" t="s">
        <v>23</v>
      </c>
      <c r="N2503"/>
      <c r="O2503"/>
      <c r="P2503"/>
      <c r="Q2503"/>
      <c r="R2503"/>
      <c r="S2503"/>
    </row>
    <row r="2504" spans="1:19" x14ac:dyDescent="0.25">
      <c r="A2504" t="s">
        <v>193</v>
      </c>
      <c r="C2504" s="27" t="s">
        <v>34749</v>
      </c>
      <c r="D2504" s="28" t="s">
        <v>34867</v>
      </c>
      <c r="J2504" t="s">
        <v>6748</v>
      </c>
      <c r="K2504" t="s">
        <v>6749</v>
      </c>
      <c r="L2504" s="28" t="s">
        <v>6750</v>
      </c>
      <c r="M2504" t="s">
        <v>23</v>
      </c>
      <c r="N2504"/>
      <c r="O2504"/>
      <c r="P2504"/>
      <c r="Q2504"/>
      <c r="R2504"/>
      <c r="S2504"/>
    </row>
    <row r="2505" spans="1:19" x14ac:dyDescent="0.25">
      <c r="A2505" t="s">
        <v>193</v>
      </c>
      <c r="C2505" s="27" t="s">
        <v>34749</v>
      </c>
      <c r="D2505" s="28" t="s">
        <v>34867</v>
      </c>
      <c r="J2505" t="s">
        <v>6751</v>
      </c>
      <c r="K2505" t="s">
        <v>6752</v>
      </c>
      <c r="L2505" s="28" t="s">
        <v>6753</v>
      </c>
      <c r="M2505" t="s">
        <v>23</v>
      </c>
      <c r="N2505"/>
      <c r="O2505"/>
      <c r="P2505"/>
      <c r="Q2505"/>
      <c r="R2505"/>
      <c r="S2505"/>
    </row>
    <row r="2506" spans="1:19" x14ac:dyDescent="0.25">
      <c r="A2506" t="s">
        <v>193</v>
      </c>
      <c r="C2506" s="27" t="s">
        <v>34749</v>
      </c>
      <c r="D2506" s="28" t="s">
        <v>34867</v>
      </c>
      <c r="J2506" t="s">
        <v>6754</v>
      </c>
      <c r="K2506" t="s">
        <v>6755</v>
      </c>
      <c r="L2506" s="28" t="s">
        <v>6756</v>
      </c>
      <c r="M2506" t="s">
        <v>23</v>
      </c>
      <c r="N2506"/>
      <c r="O2506"/>
      <c r="P2506"/>
      <c r="Q2506"/>
      <c r="R2506"/>
      <c r="S2506"/>
    </row>
    <row r="2507" spans="1:19" x14ac:dyDescent="0.25">
      <c r="A2507" t="s">
        <v>193</v>
      </c>
      <c r="C2507" s="27" t="s">
        <v>34749</v>
      </c>
      <c r="D2507" s="28" t="s">
        <v>34867</v>
      </c>
      <c r="J2507" t="s">
        <v>6757</v>
      </c>
      <c r="K2507" t="s">
        <v>6758</v>
      </c>
      <c r="L2507" s="28" t="s">
        <v>6759</v>
      </c>
      <c r="M2507" t="s">
        <v>23</v>
      </c>
      <c r="N2507"/>
      <c r="O2507"/>
      <c r="P2507"/>
      <c r="Q2507"/>
      <c r="R2507"/>
      <c r="S2507"/>
    </row>
    <row r="2508" spans="1:19" x14ac:dyDescent="0.25">
      <c r="A2508" t="s">
        <v>193</v>
      </c>
      <c r="C2508" s="27" t="s">
        <v>34749</v>
      </c>
      <c r="D2508" s="28" t="s">
        <v>34867</v>
      </c>
      <c r="J2508" t="s">
        <v>6760</v>
      </c>
      <c r="K2508" t="s">
        <v>6761</v>
      </c>
      <c r="L2508" s="28" t="s">
        <v>6762</v>
      </c>
      <c r="M2508" t="s">
        <v>23</v>
      </c>
      <c r="N2508"/>
      <c r="O2508"/>
      <c r="P2508"/>
      <c r="Q2508"/>
      <c r="R2508"/>
      <c r="S2508"/>
    </row>
    <row r="2509" spans="1:19" x14ac:dyDescent="0.25">
      <c r="A2509" t="s">
        <v>193</v>
      </c>
      <c r="C2509" s="27" t="s">
        <v>34749</v>
      </c>
      <c r="D2509" s="28" t="s">
        <v>34867</v>
      </c>
      <c r="J2509" t="s">
        <v>6763</v>
      </c>
      <c r="K2509" t="s">
        <v>6764</v>
      </c>
      <c r="L2509" s="28" t="s">
        <v>6765</v>
      </c>
      <c r="M2509" t="s">
        <v>23</v>
      </c>
      <c r="N2509"/>
      <c r="O2509"/>
      <c r="P2509"/>
      <c r="Q2509"/>
      <c r="R2509"/>
      <c r="S2509"/>
    </row>
    <row r="2510" spans="1:19" x14ac:dyDescent="0.25">
      <c r="A2510" t="s">
        <v>193</v>
      </c>
      <c r="C2510" s="27" t="s">
        <v>34749</v>
      </c>
      <c r="D2510" s="28" t="s">
        <v>34867</v>
      </c>
      <c r="J2510" t="s">
        <v>6766</v>
      </c>
      <c r="K2510" t="s">
        <v>6767</v>
      </c>
      <c r="L2510" s="28" t="s">
        <v>6768</v>
      </c>
      <c r="M2510" t="s">
        <v>23</v>
      </c>
      <c r="N2510"/>
      <c r="O2510"/>
      <c r="P2510"/>
      <c r="Q2510"/>
      <c r="R2510"/>
      <c r="S2510"/>
    </row>
    <row r="2511" spans="1:19" x14ac:dyDescent="0.25">
      <c r="A2511" t="s">
        <v>193</v>
      </c>
      <c r="C2511" s="27" t="s">
        <v>34749</v>
      </c>
      <c r="D2511" s="28" t="s">
        <v>34867</v>
      </c>
      <c r="J2511" t="s">
        <v>6769</v>
      </c>
      <c r="K2511" t="s">
        <v>6770</v>
      </c>
      <c r="L2511" s="28" t="s">
        <v>6771</v>
      </c>
      <c r="M2511" t="s">
        <v>23</v>
      </c>
      <c r="N2511"/>
      <c r="O2511"/>
      <c r="P2511"/>
      <c r="Q2511"/>
      <c r="R2511"/>
      <c r="S2511"/>
    </row>
    <row r="2512" spans="1:19" x14ac:dyDescent="0.25">
      <c r="A2512" t="s">
        <v>193</v>
      </c>
      <c r="C2512" s="27" t="s">
        <v>34749</v>
      </c>
      <c r="D2512" s="28" t="s">
        <v>34867</v>
      </c>
      <c r="J2512" t="s">
        <v>6772</v>
      </c>
      <c r="K2512" t="s">
        <v>6773</v>
      </c>
      <c r="L2512" s="28" t="s">
        <v>6774</v>
      </c>
      <c r="M2512" t="s">
        <v>23</v>
      </c>
      <c r="N2512"/>
      <c r="O2512"/>
      <c r="P2512"/>
      <c r="Q2512"/>
      <c r="R2512"/>
      <c r="S2512"/>
    </row>
    <row r="2513" spans="1:19" x14ac:dyDescent="0.25">
      <c r="A2513" t="s">
        <v>193</v>
      </c>
      <c r="C2513" s="27" t="s">
        <v>34749</v>
      </c>
      <c r="D2513" s="28" t="s">
        <v>34867</v>
      </c>
      <c r="J2513" t="s">
        <v>6775</v>
      </c>
      <c r="K2513" t="s">
        <v>6776</v>
      </c>
      <c r="L2513" s="28" t="s">
        <v>6777</v>
      </c>
      <c r="M2513" t="s">
        <v>23</v>
      </c>
      <c r="N2513"/>
      <c r="O2513"/>
      <c r="P2513"/>
      <c r="Q2513"/>
      <c r="R2513"/>
      <c r="S2513"/>
    </row>
    <row r="2514" spans="1:19" x14ac:dyDescent="0.25">
      <c r="A2514" t="s">
        <v>193</v>
      </c>
      <c r="C2514" s="27" t="s">
        <v>34749</v>
      </c>
      <c r="D2514" s="28" t="s">
        <v>34867</v>
      </c>
      <c r="J2514" t="s">
        <v>6778</v>
      </c>
      <c r="K2514" t="s">
        <v>6779</v>
      </c>
      <c r="L2514" s="28" t="s">
        <v>6780</v>
      </c>
      <c r="M2514" t="s">
        <v>23</v>
      </c>
      <c r="N2514"/>
      <c r="O2514"/>
      <c r="P2514"/>
      <c r="Q2514"/>
      <c r="R2514"/>
      <c r="S2514"/>
    </row>
    <row r="2515" spans="1:19" x14ac:dyDescent="0.25">
      <c r="A2515" t="s">
        <v>193</v>
      </c>
      <c r="C2515" s="27" t="s">
        <v>34749</v>
      </c>
      <c r="D2515" s="28" t="s">
        <v>34867</v>
      </c>
      <c r="J2515" t="s">
        <v>6781</v>
      </c>
      <c r="K2515" t="s">
        <v>6782</v>
      </c>
      <c r="L2515" s="28" t="s">
        <v>6783</v>
      </c>
      <c r="M2515" t="s">
        <v>23</v>
      </c>
      <c r="N2515"/>
      <c r="O2515"/>
      <c r="P2515"/>
      <c r="Q2515"/>
      <c r="R2515"/>
      <c r="S2515"/>
    </row>
    <row r="2516" spans="1:19" x14ac:dyDescent="0.25">
      <c r="A2516" t="s">
        <v>193</v>
      </c>
      <c r="C2516" s="27" t="s">
        <v>34749</v>
      </c>
      <c r="D2516" s="28" t="s">
        <v>34867</v>
      </c>
      <c r="J2516" t="s">
        <v>6784</v>
      </c>
      <c r="K2516" t="s">
        <v>6785</v>
      </c>
      <c r="L2516" s="28" t="s">
        <v>6786</v>
      </c>
      <c r="M2516" t="s">
        <v>23</v>
      </c>
      <c r="N2516"/>
      <c r="O2516"/>
      <c r="P2516"/>
      <c r="Q2516"/>
      <c r="R2516"/>
      <c r="S2516"/>
    </row>
    <row r="2517" spans="1:19" x14ac:dyDescent="0.25">
      <c r="A2517" t="s">
        <v>193</v>
      </c>
      <c r="C2517" s="27" t="s">
        <v>34749</v>
      </c>
      <c r="D2517" s="28" t="s">
        <v>34867</v>
      </c>
      <c r="J2517" t="s">
        <v>6787</v>
      </c>
      <c r="K2517" t="s">
        <v>6788</v>
      </c>
      <c r="L2517" s="28" t="s">
        <v>6789</v>
      </c>
      <c r="M2517" t="s">
        <v>23</v>
      </c>
      <c r="N2517"/>
      <c r="O2517"/>
      <c r="P2517"/>
      <c r="Q2517"/>
      <c r="R2517"/>
      <c r="S2517"/>
    </row>
    <row r="2518" spans="1:19" x14ac:dyDescent="0.25">
      <c r="A2518" t="s">
        <v>193</v>
      </c>
      <c r="C2518" s="27" t="s">
        <v>34749</v>
      </c>
      <c r="D2518" s="28" t="s">
        <v>34867</v>
      </c>
      <c r="J2518" t="s">
        <v>6790</v>
      </c>
      <c r="K2518" t="s">
        <v>6791</v>
      </c>
      <c r="L2518" s="28" t="s">
        <v>6792</v>
      </c>
      <c r="M2518" t="s">
        <v>23</v>
      </c>
      <c r="N2518"/>
      <c r="O2518"/>
      <c r="P2518"/>
      <c r="Q2518"/>
      <c r="R2518"/>
      <c r="S2518"/>
    </row>
    <row r="2519" spans="1:19" x14ac:dyDescent="0.25">
      <c r="A2519" t="s">
        <v>193</v>
      </c>
      <c r="C2519" s="27" t="s">
        <v>34749</v>
      </c>
      <c r="D2519" s="28" t="s">
        <v>34867</v>
      </c>
      <c r="J2519" t="s">
        <v>6793</v>
      </c>
      <c r="K2519" t="s">
        <v>6794</v>
      </c>
      <c r="L2519" s="28" t="s">
        <v>6795</v>
      </c>
      <c r="M2519" t="s">
        <v>23</v>
      </c>
      <c r="N2519"/>
      <c r="O2519"/>
      <c r="P2519"/>
      <c r="Q2519"/>
      <c r="R2519"/>
      <c r="S2519"/>
    </row>
    <row r="2520" spans="1:19" x14ac:dyDescent="0.25">
      <c r="A2520" t="s">
        <v>193</v>
      </c>
      <c r="C2520" s="27" t="s">
        <v>34749</v>
      </c>
      <c r="D2520" s="28" t="s">
        <v>34867</v>
      </c>
      <c r="J2520" t="s">
        <v>6796</v>
      </c>
      <c r="K2520" t="s">
        <v>6797</v>
      </c>
      <c r="L2520" s="28" t="s">
        <v>6798</v>
      </c>
      <c r="M2520" t="s">
        <v>23</v>
      </c>
      <c r="N2520"/>
      <c r="O2520"/>
      <c r="P2520"/>
      <c r="Q2520"/>
      <c r="R2520"/>
      <c r="S2520"/>
    </row>
    <row r="2521" spans="1:19" x14ac:dyDescent="0.25">
      <c r="A2521" t="s">
        <v>193</v>
      </c>
      <c r="C2521" s="27" t="s">
        <v>34749</v>
      </c>
      <c r="D2521" s="28" t="s">
        <v>34867</v>
      </c>
      <c r="J2521" t="s">
        <v>6799</v>
      </c>
      <c r="K2521" t="s">
        <v>6800</v>
      </c>
      <c r="L2521" s="28" t="s">
        <v>6801</v>
      </c>
      <c r="M2521" t="s">
        <v>23</v>
      </c>
      <c r="N2521"/>
      <c r="O2521"/>
      <c r="P2521"/>
      <c r="Q2521"/>
      <c r="R2521"/>
      <c r="S2521"/>
    </row>
    <row r="2522" spans="1:19" x14ac:dyDescent="0.25">
      <c r="A2522" t="s">
        <v>193</v>
      </c>
      <c r="C2522" s="27" t="s">
        <v>34749</v>
      </c>
      <c r="D2522" s="28" t="s">
        <v>34867</v>
      </c>
      <c r="J2522" t="s">
        <v>6802</v>
      </c>
      <c r="K2522" t="s">
        <v>6803</v>
      </c>
      <c r="L2522" s="28" t="s">
        <v>6804</v>
      </c>
      <c r="M2522" t="s">
        <v>23</v>
      </c>
      <c r="N2522"/>
      <c r="O2522"/>
      <c r="P2522"/>
      <c r="Q2522"/>
      <c r="R2522"/>
      <c r="S2522"/>
    </row>
    <row r="2523" spans="1:19" x14ac:dyDescent="0.25">
      <c r="A2523" t="s">
        <v>193</v>
      </c>
      <c r="C2523" s="27" t="s">
        <v>34749</v>
      </c>
      <c r="D2523" s="28" t="s">
        <v>34867</v>
      </c>
      <c r="J2523" t="s">
        <v>6805</v>
      </c>
      <c r="K2523" t="s">
        <v>6806</v>
      </c>
      <c r="L2523" s="28" t="s">
        <v>6807</v>
      </c>
      <c r="M2523" t="s">
        <v>23</v>
      </c>
      <c r="N2523"/>
      <c r="O2523"/>
      <c r="P2523"/>
      <c r="Q2523"/>
      <c r="R2523"/>
      <c r="S2523"/>
    </row>
    <row r="2524" spans="1:19" x14ac:dyDescent="0.25">
      <c r="A2524" t="s">
        <v>193</v>
      </c>
      <c r="C2524" s="27" t="s">
        <v>34749</v>
      </c>
      <c r="D2524" s="28" t="s">
        <v>34867</v>
      </c>
      <c r="J2524" t="s">
        <v>6808</v>
      </c>
      <c r="K2524" t="s">
        <v>6809</v>
      </c>
      <c r="L2524" s="28" t="s">
        <v>6810</v>
      </c>
      <c r="M2524" t="s">
        <v>23</v>
      </c>
      <c r="N2524"/>
      <c r="O2524"/>
      <c r="P2524"/>
      <c r="Q2524"/>
      <c r="R2524"/>
      <c r="S2524"/>
    </row>
    <row r="2525" spans="1:19" x14ac:dyDescent="0.25">
      <c r="A2525" t="s">
        <v>193</v>
      </c>
      <c r="C2525" s="27" t="s">
        <v>34749</v>
      </c>
      <c r="D2525" s="28" t="s">
        <v>34867</v>
      </c>
      <c r="J2525" t="s">
        <v>6811</v>
      </c>
      <c r="K2525" t="s">
        <v>6812</v>
      </c>
      <c r="L2525" s="28" t="s">
        <v>6813</v>
      </c>
      <c r="M2525" t="s">
        <v>23</v>
      </c>
      <c r="N2525"/>
      <c r="O2525"/>
      <c r="P2525"/>
      <c r="Q2525"/>
      <c r="R2525"/>
      <c r="S2525"/>
    </row>
    <row r="2526" spans="1:19" x14ac:dyDescent="0.25">
      <c r="A2526" t="s">
        <v>193</v>
      </c>
      <c r="C2526" s="27" t="s">
        <v>34749</v>
      </c>
      <c r="D2526" s="28" t="s">
        <v>34867</v>
      </c>
      <c r="J2526" t="s">
        <v>6814</v>
      </c>
      <c r="K2526" t="s">
        <v>6815</v>
      </c>
      <c r="L2526" s="28" t="s">
        <v>6816</v>
      </c>
      <c r="M2526" t="s">
        <v>23</v>
      </c>
      <c r="N2526"/>
      <c r="O2526"/>
      <c r="P2526"/>
      <c r="Q2526"/>
      <c r="R2526"/>
      <c r="S2526"/>
    </row>
    <row r="2527" spans="1:19" x14ac:dyDescent="0.25">
      <c r="A2527" t="s">
        <v>193</v>
      </c>
      <c r="C2527" s="27" t="s">
        <v>34749</v>
      </c>
      <c r="D2527" s="28" t="s">
        <v>34867</v>
      </c>
      <c r="J2527" t="s">
        <v>6817</v>
      </c>
      <c r="K2527" t="s">
        <v>6818</v>
      </c>
      <c r="L2527" s="28" t="s">
        <v>6819</v>
      </c>
      <c r="M2527" t="s">
        <v>23</v>
      </c>
      <c r="N2527"/>
      <c r="O2527"/>
      <c r="P2527"/>
      <c r="Q2527"/>
      <c r="R2527"/>
      <c r="S2527"/>
    </row>
    <row r="2528" spans="1:19" x14ac:dyDescent="0.25">
      <c r="A2528" t="s">
        <v>193</v>
      </c>
      <c r="C2528" s="27" t="s">
        <v>34749</v>
      </c>
      <c r="D2528" s="28" t="s">
        <v>34867</v>
      </c>
      <c r="J2528" t="s">
        <v>6820</v>
      </c>
      <c r="K2528" t="s">
        <v>6821</v>
      </c>
      <c r="L2528" s="28" t="s">
        <v>6822</v>
      </c>
      <c r="M2528" t="s">
        <v>23</v>
      </c>
      <c r="N2528"/>
      <c r="O2528"/>
      <c r="P2528"/>
      <c r="Q2528"/>
      <c r="R2528"/>
      <c r="S2528"/>
    </row>
    <row r="2529" spans="1:19" x14ac:dyDescent="0.25">
      <c r="A2529" t="s">
        <v>193</v>
      </c>
      <c r="C2529" s="27" t="s">
        <v>34749</v>
      </c>
      <c r="D2529" s="28" t="s">
        <v>34867</v>
      </c>
      <c r="J2529" t="s">
        <v>6823</v>
      </c>
      <c r="K2529" t="s">
        <v>6824</v>
      </c>
      <c r="L2529" s="28" t="s">
        <v>6825</v>
      </c>
      <c r="M2529" t="s">
        <v>23</v>
      </c>
      <c r="N2529"/>
      <c r="O2529"/>
      <c r="P2529"/>
      <c r="Q2529"/>
      <c r="R2529"/>
      <c r="S2529"/>
    </row>
    <row r="2530" spans="1:19" x14ac:dyDescent="0.25">
      <c r="A2530" t="s">
        <v>193</v>
      </c>
      <c r="C2530" s="27" t="s">
        <v>34749</v>
      </c>
      <c r="D2530" s="28" t="s">
        <v>34867</v>
      </c>
      <c r="J2530" t="s">
        <v>6826</v>
      </c>
      <c r="K2530" t="s">
        <v>6827</v>
      </c>
      <c r="L2530" s="28" t="s">
        <v>6828</v>
      </c>
      <c r="M2530" t="s">
        <v>23</v>
      </c>
      <c r="N2530"/>
      <c r="O2530"/>
      <c r="P2530"/>
      <c r="Q2530"/>
      <c r="R2530"/>
      <c r="S2530"/>
    </row>
    <row r="2531" spans="1:19" x14ac:dyDescent="0.25">
      <c r="A2531" t="s">
        <v>193</v>
      </c>
      <c r="C2531" s="27" t="s">
        <v>34749</v>
      </c>
      <c r="D2531" s="28" t="s">
        <v>34867</v>
      </c>
      <c r="J2531" t="s">
        <v>6829</v>
      </c>
      <c r="K2531" t="s">
        <v>6830</v>
      </c>
      <c r="L2531" s="28" t="s">
        <v>6831</v>
      </c>
      <c r="M2531" t="s">
        <v>23</v>
      </c>
      <c r="N2531"/>
      <c r="O2531"/>
      <c r="P2531"/>
      <c r="Q2531"/>
      <c r="R2531"/>
      <c r="S2531"/>
    </row>
    <row r="2532" spans="1:19" x14ac:dyDescent="0.25">
      <c r="A2532" t="s">
        <v>193</v>
      </c>
      <c r="C2532" s="27" t="s">
        <v>34749</v>
      </c>
      <c r="D2532" s="28" t="s">
        <v>34867</v>
      </c>
      <c r="J2532" t="s">
        <v>6832</v>
      </c>
      <c r="K2532" t="s">
        <v>6833</v>
      </c>
      <c r="L2532" s="28" t="s">
        <v>6834</v>
      </c>
      <c r="M2532" t="s">
        <v>23</v>
      </c>
      <c r="N2532"/>
      <c r="O2532"/>
      <c r="P2532"/>
      <c r="Q2532"/>
      <c r="R2532"/>
      <c r="S2532"/>
    </row>
    <row r="2533" spans="1:19" x14ac:dyDescent="0.25">
      <c r="A2533" t="s">
        <v>193</v>
      </c>
      <c r="C2533" s="27" t="s">
        <v>34749</v>
      </c>
      <c r="D2533" s="28" t="s">
        <v>34867</v>
      </c>
      <c r="J2533" t="s">
        <v>6835</v>
      </c>
      <c r="K2533" t="s">
        <v>6836</v>
      </c>
      <c r="L2533" s="28" t="s">
        <v>6837</v>
      </c>
      <c r="M2533" t="s">
        <v>23</v>
      </c>
      <c r="N2533"/>
      <c r="O2533"/>
      <c r="P2533"/>
      <c r="Q2533"/>
      <c r="R2533"/>
      <c r="S2533"/>
    </row>
    <row r="2534" spans="1:19" x14ac:dyDescent="0.25">
      <c r="A2534" t="s">
        <v>193</v>
      </c>
      <c r="C2534" s="27" t="s">
        <v>34749</v>
      </c>
      <c r="D2534" s="28" t="s">
        <v>34867</v>
      </c>
      <c r="J2534" t="s">
        <v>6838</v>
      </c>
      <c r="K2534" t="s">
        <v>6839</v>
      </c>
      <c r="L2534" s="28" t="s">
        <v>6840</v>
      </c>
      <c r="M2534" t="s">
        <v>23</v>
      </c>
      <c r="N2534"/>
      <c r="O2534"/>
      <c r="P2534"/>
      <c r="Q2534"/>
      <c r="R2534"/>
      <c r="S2534"/>
    </row>
    <row r="2535" spans="1:19" x14ac:dyDescent="0.25">
      <c r="A2535" t="s">
        <v>193</v>
      </c>
      <c r="C2535" s="27" t="s">
        <v>34749</v>
      </c>
      <c r="D2535" s="28" t="s">
        <v>34867</v>
      </c>
      <c r="J2535" t="s">
        <v>6841</v>
      </c>
      <c r="K2535" t="s">
        <v>6842</v>
      </c>
      <c r="L2535" s="28" t="s">
        <v>6843</v>
      </c>
      <c r="M2535" t="s">
        <v>23</v>
      </c>
      <c r="N2535"/>
      <c r="O2535"/>
      <c r="P2535"/>
      <c r="Q2535"/>
      <c r="R2535"/>
      <c r="S2535"/>
    </row>
    <row r="2536" spans="1:19" x14ac:dyDescent="0.25">
      <c r="A2536" t="s">
        <v>193</v>
      </c>
      <c r="C2536" s="27" t="s">
        <v>34749</v>
      </c>
      <c r="D2536" s="28" t="s">
        <v>34867</v>
      </c>
      <c r="J2536" t="s">
        <v>6844</v>
      </c>
      <c r="K2536" t="s">
        <v>6845</v>
      </c>
      <c r="L2536" s="28" t="s">
        <v>6846</v>
      </c>
      <c r="M2536" t="s">
        <v>23</v>
      </c>
      <c r="N2536"/>
      <c r="O2536"/>
      <c r="P2536"/>
      <c r="Q2536"/>
      <c r="R2536"/>
      <c r="S2536"/>
    </row>
    <row r="2537" spans="1:19" x14ac:dyDescent="0.25">
      <c r="A2537" t="s">
        <v>193</v>
      </c>
      <c r="C2537" s="27" t="s">
        <v>34749</v>
      </c>
      <c r="D2537" s="28" t="s">
        <v>34867</v>
      </c>
      <c r="J2537" t="s">
        <v>6847</v>
      </c>
      <c r="K2537" t="s">
        <v>6848</v>
      </c>
      <c r="L2537" s="28" t="s">
        <v>6849</v>
      </c>
      <c r="M2537" t="s">
        <v>23</v>
      </c>
      <c r="N2537"/>
      <c r="O2537"/>
      <c r="P2537"/>
      <c r="Q2537"/>
      <c r="R2537"/>
      <c r="S2537"/>
    </row>
    <row r="2538" spans="1:19" x14ac:dyDescent="0.25">
      <c r="A2538" t="s">
        <v>193</v>
      </c>
      <c r="C2538" s="27" t="s">
        <v>34749</v>
      </c>
      <c r="D2538" s="28" t="s">
        <v>34867</v>
      </c>
      <c r="J2538" t="s">
        <v>6850</v>
      </c>
      <c r="K2538" t="s">
        <v>6851</v>
      </c>
      <c r="L2538" s="28" t="s">
        <v>6852</v>
      </c>
      <c r="M2538" t="s">
        <v>23</v>
      </c>
      <c r="N2538"/>
      <c r="O2538"/>
      <c r="P2538"/>
      <c r="Q2538"/>
      <c r="R2538"/>
      <c r="S2538"/>
    </row>
    <row r="2539" spans="1:19" x14ac:dyDescent="0.25">
      <c r="A2539" t="s">
        <v>193</v>
      </c>
      <c r="C2539" s="27" t="s">
        <v>34749</v>
      </c>
      <c r="D2539" s="28" t="s">
        <v>34867</v>
      </c>
      <c r="J2539" t="s">
        <v>6853</v>
      </c>
      <c r="K2539" t="s">
        <v>6854</v>
      </c>
      <c r="L2539" s="28" t="s">
        <v>6855</v>
      </c>
      <c r="M2539" t="s">
        <v>23</v>
      </c>
      <c r="N2539"/>
      <c r="O2539"/>
      <c r="P2539"/>
      <c r="Q2539"/>
      <c r="R2539"/>
      <c r="S2539"/>
    </row>
    <row r="2540" spans="1:19" x14ac:dyDescent="0.25">
      <c r="A2540" t="s">
        <v>193</v>
      </c>
      <c r="C2540" s="27" t="s">
        <v>34749</v>
      </c>
      <c r="D2540" s="28" t="s">
        <v>34867</v>
      </c>
      <c r="J2540" t="s">
        <v>6856</v>
      </c>
      <c r="K2540" t="s">
        <v>6857</v>
      </c>
      <c r="L2540" s="28" t="s">
        <v>6858</v>
      </c>
      <c r="M2540" t="s">
        <v>23</v>
      </c>
      <c r="N2540"/>
      <c r="O2540"/>
      <c r="P2540"/>
      <c r="Q2540"/>
      <c r="R2540"/>
      <c r="S2540"/>
    </row>
    <row r="2541" spans="1:19" x14ac:dyDescent="0.25">
      <c r="A2541" t="s">
        <v>193</v>
      </c>
      <c r="C2541" s="27" t="s">
        <v>34749</v>
      </c>
      <c r="D2541" s="28" t="s">
        <v>34867</v>
      </c>
      <c r="J2541" t="s">
        <v>6859</v>
      </c>
      <c r="K2541" t="s">
        <v>6860</v>
      </c>
      <c r="L2541" s="28" t="s">
        <v>6861</v>
      </c>
      <c r="M2541" t="s">
        <v>23</v>
      </c>
      <c r="N2541"/>
      <c r="O2541"/>
      <c r="P2541"/>
      <c r="Q2541"/>
      <c r="R2541"/>
      <c r="S2541"/>
    </row>
    <row r="2542" spans="1:19" x14ac:dyDescent="0.25">
      <c r="A2542" t="s">
        <v>193</v>
      </c>
      <c r="C2542" s="27" t="s">
        <v>34749</v>
      </c>
      <c r="D2542" s="28" t="s">
        <v>34867</v>
      </c>
      <c r="J2542" t="s">
        <v>6862</v>
      </c>
      <c r="K2542" t="s">
        <v>6863</v>
      </c>
      <c r="L2542" s="28" t="s">
        <v>6864</v>
      </c>
      <c r="M2542" t="s">
        <v>23</v>
      </c>
      <c r="N2542"/>
      <c r="O2542"/>
      <c r="P2542"/>
      <c r="Q2542"/>
      <c r="R2542"/>
      <c r="S2542"/>
    </row>
    <row r="2543" spans="1:19" x14ac:dyDescent="0.25">
      <c r="A2543" t="s">
        <v>193</v>
      </c>
      <c r="C2543" s="27" t="s">
        <v>34749</v>
      </c>
      <c r="D2543" s="28" t="s">
        <v>34867</v>
      </c>
      <c r="J2543" t="s">
        <v>6865</v>
      </c>
      <c r="K2543" t="s">
        <v>6866</v>
      </c>
      <c r="L2543" s="28" t="s">
        <v>6867</v>
      </c>
      <c r="M2543" t="s">
        <v>23</v>
      </c>
      <c r="N2543"/>
      <c r="O2543"/>
      <c r="P2543"/>
      <c r="Q2543"/>
      <c r="R2543"/>
      <c r="S2543"/>
    </row>
    <row r="2544" spans="1:19" x14ac:dyDescent="0.25">
      <c r="A2544" t="s">
        <v>193</v>
      </c>
      <c r="C2544" s="27" t="s">
        <v>34749</v>
      </c>
      <c r="D2544" s="28" t="s">
        <v>34867</v>
      </c>
      <c r="J2544" t="s">
        <v>6868</v>
      </c>
      <c r="K2544" t="s">
        <v>6869</v>
      </c>
      <c r="L2544" s="28" t="s">
        <v>6870</v>
      </c>
      <c r="M2544" t="s">
        <v>23</v>
      </c>
      <c r="N2544"/>
      <c r="O2544"/>
      <c r="P2544"/>
      <c r="Q2544"/>
      <c r="R2544"/>
      <c r="S2544"/>
    </row>
    <row r="2545" spans="1:19" x14ac:dyDescent="0.25">
      <c r="A2545" t="s">
        <v>193</v>
      </c>
      <c r="C2545" s="27" t="s">
        <v>34749</v>
      </c>
      <c r="D2545" s="28" t="s">
        <v>34867</v>
      </c>
      <c r="J2545" t="s">
        <v>6871</v>
      </c>
      <c r="K2545" t="s">
        <v>6872</v>
      </c>
      <c r="L2545" s="28" t="s">
        <v>6873</v>
      </c>
      <c r="M2545" t="s">
        <v>23</v>
      </c>
      <c r="N2545"/>
      <c r="O2545"/>
      <c r="P2545"/>
      <c r="Q2545"/>
      <c r="R2545"/>
      <c r="S2545"/>
    </row>
    <row r="2546" spans="1:19" x14ac:dyDescent="0.25">
      <c r="A2546" t="s">
        <v>193</v>
      </c>
      <c r="C2546" s="27" t="s">
        <v>34749</v>
      </c>
      <c r="D2546" s="28" t="s">
        <v>34867</v>
      </c>
      <c r="J2546" t="s">
        <v>6874</v>
      </c>
      <c r="K2546" t="s">
        <v>6875</v>
      </c>
      <c r="L2546" s="28" t="s">
        <v>6876</v>
      </c>
      <c r="M2546" t="s">
        <v>23</v>
      </c>
      <c r="N2546"/>
      <c r="O2546"/>
      <c r="P2546"/>
      <c r="Q2546"/>
      <c r="R2546"/>
      <c r="S2546"/>
    </row>
    <row r="2547" spans="1:19" x14ac:dyDescent="0.25">
      <c r="A2547" t="s">
        <v>193</v>
      </c>
      <c r="C2547" s="27" t="s">
        <v>34749</v>
      </c>
      <c r="D2547" s="28" t="s">
        <v>34867</v>
      </c>
      <c r="J2547" t="s">
        <v>6877</v>
      </c>
      <c r="K2547" t="s">
        <v>6878</v>
      </c>
      <c r="L2547" s="28" t="s">
        <v>6879</v>
      </c>
      <c r="M2547" t="s">
        <v>23</v>
      </c>
      <c r="N2547"/>
      <c r="O2547"/>
      <c r="P2547"/>
      <c r="Q2547"/>
      <c r="R2547"/>
      <c r="S2547"/>
    </row>
    <row r="2548" spans="1:19" x14ac:dyDescent="0.25">
      <c r="A2548" t="s">
        <v>193</v>
      </c>
      <c r="C2548" s="27" t="s">
        <v>34749</v>
      </c>
      <c r="D2548" s="28" t="s">
        <v>34867</v>
      </c>
      <c r="J2548" t="s">
        <v>6880</v>
      </c>
      <c r="K2548" t="s">
        <v>6881</v>
      </c>
      <c r="L2548" s="28" t="s">
        <v>6882</v>
      </c>
      <c r="M2548" t="s">
        <v>23</v>
      </c>
      <c r="N2548"/>
      <c r="O2548"/>
      <c r="P2548"/>
      <c r="Q2548"/>
      <c r="R2548"/>
      <c r="S2548"/>
    </row>
    <row r="2549" spans="1:19" x14ac:dyDescent="0.25">
      <c r="A2549" t="s">
        <v>193</v>
      </c>
      <c r="C2549" s="27" t="s">
        <v>34749</v>
      </c>
      <c r="D2549" s="28" t="s">
        <v>34867</v>
      </c>
      <c r="J2549" t="s">
        <v>6883</v>
      </c>
      <c r="K2549" t="s">
        <v>6884</v>
      </c>
      <c r="L2549" s="28" t="s">
        <v>6885</v>
      </c>
      <c r="M2549" t="s">
        <v>23</v>
      </c>
      <c r="N2549"/>
      <c r="O2549"/>
      <c r="P2549"/>
      <c r="Q2549"/>
      <c r="R2549"/>
      <c r="S2549"/>
    </row>
    <row r="2550" spans="1:19" x14ac:dyDescent="0.25">
      <c r="A2550" t="s">
        <v>193</v>
      </c>
      <c r="C2550" s="27" t="s">
        <v>34749</v>
      </c>
      <c r="D2550" s="28" t="s">
        <v>34867</v>
      </c>
      <c r="J2550" t="s">
        <v>6886</v>
      </c>
      <c r="K2550" t="s">
        <v>6887</v>
      </c>
      <c r="L2550" s="28" t="s">
        <v>6888</v>
      </c>
      <c r="M2550" t="s">
        <v>23</v>
      </c>
      <c r="N2550"/>
      <c r="O2550"/>
      <c r="P2550"/>
      <c r="Q2550"/>
      <c r="R2550"/>
      <c r="S2550"/>
    </row>
    <row r="2551" spans="1:19" x14ac:dyDescent="0.25">
      <c r="A2551" s="28" t="s">
        <v>14843</v>
      </c>
      <c r="J2551" t="s">
        <v>6889</v>
      </c>
      <c r="K2551" t="s">
        <v>6890</v>
      </c>
      <c r="M2551" t="s">
        <v>23</v>
      </c>
      <c r="N2551"/>
      <c r="O2551"/>
      <c r="P2551"/>
      <c r="Q2551"/>
      <c r="R2551"/>
      <c r="S2551"/>
    </row>
    <row r="2552" spans="1:19" x14ac:dyDescent="0.25">
      <c r="A2552" s="28" t="s">
        <v>14843</v>
      </c>
      <c r="J2552" t="s">
        <v>6891</v>
      </c>
      <c r="K2552" t="s">
        <v>6892</v>
      </c>
      <c r="M2552" t="s">
        <v>2820</v>
      </c>
      <c r="N2552"/>
      <c r="O2552"/>
      <c r="P2552"/>
      <c r="Q2552"/>
      <c r="R2552"/>
      <c r="S2552"/>
    </row>
    <row r="2553" spans="1:19" x14ac:dyDescent="0.25">
      <c r="A2553" t="s">
        <v>193</v>
      </c>
      <c r="C2553" s="27" t="s">
        <v>34749</v>
      </c>
      <c r="D2553" s="28" t="s">
        <v>34867</v>
      </c>
      <c r="J2553" t="s">
        <v>6893</v>
      </c>
      <c r="K2553" t="s">
        <v>6894</v>
      </c>
      <c r="L2553" s="28" t="s">
        <v>6895</v>
      </c>
      <c r="M2553" t="s">
        <v>23</v>
      </c>
      <c r="N2553"/>
      <c r="O2553"/>
      <c r="P2553"/>
      <c r="Q2553"/>
      <c r="R2553"/>
      <c r="S2553"/>
    </row>
    <row r="2554" spans="1:19" x14ac:dyDescent="0.25">
      <c r="A2554" t="s">
        <v>193</v>
      </c>
      <c r="C2554" s="27" t="s">
        <v>34749</v>
      </c>
      <c r="D2554" s="28" t="s">
        <v>34867</v>
      </c>
      <c r="J2554" t="s">
        <v>6896</v>
      </c>
      <c r="K2554" t="s">
        <v>6897</v>
      </c>
      <c r="L2554" s="28" t="s">
        <v>6898</v>
      </c>
      <c r="M2554" t="s">
        <v>23</v>
      </c>
      <c r="N2554"/>
      <c r="O2554"/>
      <c r="P2554"/>
      <c r="Q2554"/>
      <c r="R2554"/>
      <c r="S2554"/>
    </row>
    <row r="2555" spans="1:19" x14ac:dyDescent="0.25">
      <c r="A2555" t="s">
        <v>193</v>
      </c>
      <c r="C2555" s="27" t="s">
        <v>34749</v>
      </c>
      <c r="D2555" s="28" t="s">
        <v>34867</v>
      </c>
      <c r="J2555" t="s">
        <v>6899</v>
      </c>
      <c r="K2555" t="s">
        <v>6900</v>
      </c>
      <c r="L2555" s="28" t="s">
        <v>6901</v>
      </c>
      <c r="M2555" t="s">
        <v>23</v>
      </c>
      <c r="N2555"/>
      <c r="O2555"/>
      <c r="P2555"/>
      <c r="Q2555"/>
      <c r="R2555"/>
      <c r="S2555"/>
    </row>
    <row r="2556" spans="1:19" x14ac:dyDescent="0.25">
      <c r="A2556" t="s">
        <v>193</v>
      </c>
      <c r="C2556" s="27" t="s">
        <v>34749</v>
      </c>
      <c r="D2556" s="28" t="s">
        <v>34867</v>
      </c>
      <c r="J2556" t="s">
        <v>6902</v>
      </c>
      <c r="K2556" t="s">
        <v>6903</v>
      </c>
      <c r="L2556" s="28" t="s">
        <v>6904</v>
      </c>
      <c r="M2556" t="s">
        <v>23</v>
      </c>
      <c r="N2556"/>
      <c r="O2556"/>
      <c r="P2556"/>
      <c r="Q2556"/>
      <c r="R2556"/>
      <c r="S2556"/>
    </row>
    <row r="2557" spans="1:19" x14ac:dyDescent="0.25">
      <c r="A2557" t="s">
        <v>193</v>
      </c>
      <c r="C2557" s="27" t="s">
        <v>34749</v>
      </c>
      <c r="D2557" s="28" t="s">
        <v>34867</v>
      </c>
      <c r="J2557" t="s">
        <v>6905</v>
      </c>
      <c r="K2557" t="s">
        <v>6906</v>
      </c>
      <c r="L2557" s="28" t="s">
        <v>6907</v>
      </c>
      <c r="M2557" t="s">
        <v>23</v>
      </c>
      <c r="N2557"/>
      <c r="O2557"/>
      <c r="P2557"/>
      <c r="Q2557"/>
      <c r="R2557"/>
      <c r="S2557"/>
    </row>
    <row r="2558" spans="1:19" x14ac:dyDescent="0.25">
      <c r="A2558" t="s">
        <v>193</v>
      </c>
      <c r="C2558" s="27" t="s">
        <v>34749</v>
      </c>
      <c r="D2558" s="28" t="s">
        <v>34867</v>
      </c>
      <c r="J2558" t="s">
        <v>6908</v>
      </c>
      <c r="K2558" t="s">
        <v>6909</v>
      </c>
      <c r="L2558" s="28" t="s">
        <v>6910</v>
      </c>
      <c r="M2558" t="s">
        <v>23</v>
      </c>
      <c r="N2558"/>
      <c r="O2558"/>
      <c r="P2558"/>
      <c r="Q2558"/>
      <c r="R2558"/>
      <c r="S2558"/>
    </row>
    <row r="2559" spans="1:19" x14ac:dyDescent="0.25">
      <c r="A2559" t="s">
        <v>193</v>
      </c>
      <c r="C2559" s="27" t="s">
        <v>34749</v>
      </c>
      <c r="D2559" s="28" t="s">
        <v>34867</v>
      </c>
      <c r="J2559" t="s">
        <v>6911</v>
      </c>
      <c r="K2559" t="s">
        <v>6912</v>
      </c>
      <c r="L2559" s="28" t="s">
        <v>6913</v>
      </c>
      <c r="M2559" t="s">
        <v>23</v>
      </c>
      <c r="N2559"/>
      <c r="O2559"/>
      <c r="P2559"/>
      <c r="Q2559"/>
      <c r="R2559"/>
      <c r="S2559"/>
    </row>
    <row r="2560" spans="1:19" x14ac:dyDescent="0.25">
      <c r="A2560" t="s">
        <v>193</v>
      </c>
      <c r="C2560" s="27" t="s">
        <v>34749</v>
      </c>
      <c r="D2560" s="28" t="s">
        <v>34867</v>
      </c>
      <c r="J2560" t="s">
        <v>6914</v>
      </c>
      <c r="K2560" t="s">
        <v>6915</v>
      </c>
      <c r="L2560" s="28" t="s">
        <v>6916</v>
      </c>
      <c r="M2560" t="s">
        <v>23</v>
      </c>
      <c r="N2560"/>
      <c r="O2560"/>
      <c r="P2560"/>
      <c r="Q2560"/>
      <c r="R2560"/>
      <c r="S2560"/>
    </row>
    <row r="2561" spans="1:19" x14ac:dyDescent="0.25">
      <c r="A2561" t="s">
        <v>193</v>
      </c>
      <c r="C2561" s="27" t="s">
        <v>34749</v>
      </c>
      <c r="D2561" s="28" t="s">
        <v>34867</v>
      </c>
      <c r="J2561" t="s">
        <v>6917</v>
      </c>
      <c r="K2561" t="s">
        <v>6918</v>
      </c>
      <c r="L2561" s="28" t="s">
        <v>6919</v>
      </c>
      <c r="M2561" t="s">
        <v>23</v>
      </c>
      <c r="N2561"/>
      <c r="O2561"/>
      <c r="P2561"/>
      <c r="Q2561"/>
      <c r="R2561"/>
      <c r="S2561"/>
    </row>
    <row r="2562" spans="1:19" x14ac:dyDescent="0.25">
      <c r="A2562" t="s">
        <v>193</v>
      </c>
      <c r="C2562" s="27" t="s">
        <v>34749</v>
      </c>
      <c r="D2562" s="28" t="s">
        <v>34867</v>
      </c>
      <c r="J2562" t="s">
        <v>6920</v>
      </c>
      <c r="K2562" t="s">
        <v>6921</v>
      </c>
      <c r="L2562" s="28" t="s">
        <v>6922</v>
      </c>
      <c r="M2562" t="s">
        <v>23</v>
      </c>
      <c r="N2562"/>
      <c r="O2562"/>
      <c r="P2562"/>
      <c r="Q2562"/>
      <c r="R2562"/>
      <c r="S2562"/>
    </row>
    <row r="2563" spans="1:19" x14ac:dyDescent="0.25">
      <c r="A2563" t="s">
        <v>193</v>
      </c>
      <c r="C2563" s="27" t="s">
        <v>34749</v>
      </c>
      <c r="D2563" s="28" t="s">
        <v>34867</v>
      </c>
      <c r="J2563" t="s">
        <v>6923</v>
      </c>
      <c r="K2563" t="s">
        <v>6924</v>
      </c>
      <c r="L2563" s="28" t="s">
        <v>6925</v>
      </c>
      <c r="M2563" t="s">
        <v>23</v>
      </c>
      <c r="N2563"/>
      <c r="O2563"/>
      <c r="P2563"/>
      <c r="Q2563"/>
      <c r="R2563"/>
      <c r="S2563"/>
    </row>
    <row r="2564" spans="1:19" x14ac:dyDescent="0.25">
      <c r="A2564" t="s">
        <v>193</v>
      </c>
      <c r="C2564" s="27" t="s">
        <v>34749</v>
      </c>
      <c r="D2564" s="28" t="s">
        <v>34867</v>
      </c>
      <c r="J2564" t="s">
        <v>6926</v>
      </c>
      <c r="K2564" t="s">
        <v>6927</v>
      </c>
      <c r="L2564" s="28" t="s">
        <v>6928</v>
      </c>
      <c r="M2564" t="s">
        <v>23</v>
      </c>
      <c r="N2564"/>
      <c r="O2564"/>
      <c r="P2564"/>
      <c r="Q2564"/>
      <c r="R2564"/>
      <c r="S2564"/>
    </row>
    <row r="2565" spans="1:19" x14ac:dyDescent="0.25">
      <c r="A2565" t="s">
        <v>193</v>
      </c>
      <c r="C2565" s="27" t="s">
        <v>34749</v>
      </c>
      <c r="D2565" s="28" t="s">
        <v>34867</v>
      </c>
      <c r="J2565" t="s">
        <v>6929</v>
      </c>
      <c r="K2565" t="s">
        <v>6930</v>
      </c>
      <c r="L2565" s="28" t="s">
        <v>6931</v>
      </c>
      <c r="M2565" t="s">
        <v>23</v>
      </c>
      <c r="N2565"/>
      <c r="O2565"/>
      <c r="P2565"/>
      <c r="Q2565"/>
      <c r="R2565"/>
      <c r="S2565"/>
    </row>
    <row r="2566" spans="1:19" x14ac:dyDescent="0.25">
      <c r="A2566" t="s">
        <v>193</v>
      </c>
      <c r="C2566" s="27" t="s">
        <v>34749</v>
      </c>
      <c r="D2566" s="28" t="s">
        <v>34867</v>
      </c>
      <c r="J2566" t="s">
        <v>6932</v>
      </c>
      <c r="K2566" t="s">
        <v>6933</v>
      </c>
      <c r="L2566" s="28" t="s">
        <v>6934</v>
      </c>
      <c r="M2566" t="s">
        <v>23</v>
      </c>
      <c r="N2566"/>
      <c r="O2566"/>
      <c r="P2566"/>
      <c r="Q2566"/>
      <c r="R2566"/>
      <c r="S2566"/>
    </row>
    <row r="2567" spans="1:19" x14ac:dyDescent="0.25">
      <c r="A2567" t="s">
        <v>193</v>
      </c>
      <c r="C2567" s="27" t="s">
        <v>34749</v>
      </c>
      <c r="D2567" s="28" t="s">
        <v>34867</v>
      </c>
      <c r="J2567" t="s">
        <v>6935</v>
      </c>
      <c r="K2567" t="s">
        <v>6936</v>
      </c>
      <c r="L2567" s="28" t="s">
        <v>6937</v>
      </c>
      <c r="M2567" t="s">
        <v>23</v>
      </c>
      <c r="N2567"/>
      <c r="O2567"/>
      <c r="P2567"/>
      <c r="Q2567"/>
      <c r="R2567"/>
      <c r="S2567"/>
    </row>
    <row r="2568" spans="1:19" x14ac:dyDescent="0.25">
      <c r="A2568" t="s">
        <v>193</v>
      </c>
      <c r="C2568" s="27" t="s">
        <v>34749</v>
      </c>
      <c r="D2568" s="28" t="s">
        <v>34867</v>
      </c>
      <c r="J2568" t="s">
        <v>6938</v>
      </c>
      <c r="K2568" t="s">
        <v>6939</v>
      </c>
      <c r="L2568" s="28" t="s">
        <v>6940</v>
      </c>
      <c r="M2568" t="s">
        <v>23</v>
      </c>
      <c r="N2568"/>
      <c r="O2568"/>
      <c r="P2568"/>
      <c r="Q2568"/>
      <c r="R2568"/>
      <c r="S2568"/>
    </row>
    <row r="2569" spans="1:19" x14ac:dyDescent="0.25">
      <c r="A2569" t="s">
        <v>193</v>
      </c>
      <c r="C2569" s="27" t="s">
        <v>34749</v>
      </c>
      <c r="D2569" s="28" t="s">
        <v>34867</v>
      </c>
      <c r="J2569" t="s">
        <v>6941</v>
      </c>
      <c r="K2569" t="s">
        <v>6942</v>
      </c>
      <c r="L2569" s="28" t="s">
        <v>6943</v>
      </c>
      <c r="M2569" t="s">
        <v>23</v>
      </c>
      <c r="N2569"/>
      <c r="O2569"/>
      <c r="P2569"/>
      <c r="Q2569"/>
      <c r="R2569"/>
      <c r="S2569"/>
    </row>
    <row r="2570" spans="1:19" x14ac:dyDescent="0.25">
      <c r="A2570" t="s">
        <v>193</v>
      </c>
      <c r="C2570" s="27" t="s">
        <v>34749</v>
      </c>
      <c r="D2570" s="28" t="s">
        <v>34867</v>
      </c>
      <c r="J2570" t="s">
        <v>6944</v>
      </c>
      <c r="K2570" t="s">
        <v>6945</v>
      </c>
      <c r="L2570" s="28" t="s">
        <v>6946</v>
      </c>
      <c r="M2570" t="s">
        <v>23</v>
      </c>
      <c r="N2570"/>
      <c r="O2570"/>
      <c r="P2570"/>
      <c r="Q2570"/>
      <c r="R2570"/>
      <c r="S2570"/>
    </row>
    <row r="2571" spans="1:19" x14ac:dyDescent="0.25">
      <c r="A2571" t="s">
        <v>193</v>
      </c>
      <c r="C2571" s="27" t="s">
        <v>34749</v>
      </c>
      <c r="D2571" s="28" t="s">
        <v>34867</v>
      </c>
      <c r="J2571" t="s">
        <v>6947</v>
      </c>
      <c r="K2571" t="s">
        <v>6948</v>
      </c>
      <c r="L2571" s="28" t="s">
        <v>6949</v>
      </c>
      <c r="M2571" t="s">
        <v>23</v>
      </c>
      <c r="N2571"/>
      <c r="O2571"/>
      <c r="P2571"/>
      <c r="Q2571"/>
      <c r="R2571"/>
      <c r="S2571"/>
    </row>
    <row r="2572" spans="1:19" x14ac:dyDescent="0.25">
      <c r="A2572" t="s">
        <v>193</v>
      </c>
      <c r="C2572" s="27" t="s">
        <v>34749</v>
      </c>
      <c r="D2572" s="28" t="s">
        <v>34867</v>
      </c>
      <c r="J2572" t="s">
        <v>6950</v>
      </c>
      <c r="K2572" t="s">
        <v>6951</v>
      </c>
      <c r="L2572" s="28" t="s">
        <v>6952</v>
      </c>
      <c r="M2572" t="s">
        <v>23</v>
      </c>
      <c r="N2572"/>
      <c r="O2572"/>
      <c r="P2572"/>
      <c r="Q2572"/>
      <c r="R2572"/>
      <c r="S2572"/>
    </row>
    <row r="2573" spans="1:19" x14ac:dyDescent="0.25">
      <c r="A2573" t="s">
        <v>193</v>
      </c>
      <c r="C2573" s="27" t="s">
        <v>34749</v>
      </c>
      <c r="D2573" s="28" t="s">
        <v>34867</v>
      </c>
      <c r="J2573" t="s">
        <v>6953</v>
      </c>
      <c r="K2573" t="s">
        <v>6954</v>
      </c>
      <c r="L2573" s="28" t="s">
        <v>6955</v>
      </c>
      <c r="M2573" t="s">
        <v>23</v>
      </c>
      <c r="N2573"/>
      <c r="O2573"/>
      <c r="P2573"/>
      <c r="Q2573"/>
      <c r="R2573"/>
      <c r="S2573"/>
    </row>
    <row r="2574" spans="1:19" x14ac:dyDescent="0.25">
      <c r="A2574" t="s">
        <v>193</v>
      </c>
      <c r="C2574" s="27" t="s">
        <v>34749</v>
      </c>
      <c r="D2574" s="28" t="s">
        <v>34867</v>
      </c>
      <c r="J2574" t="s">
        <v>6956</v>
      </c>
      <c r="K2574" t="s">
        <v>6957</v>
      </c>
      <c r="L2574" s="28" t="s">
        <v>6958</v>
      </c>
      <c r="M2574" t="s">
        <v>23</v>
      </c>
      <c r="N2574"/>
      <c r="O2574"/>
      <c r="P2574"/>
      <c r="Q2574"/>
      <c r="R2574"/>
      <c r="S2574"/>
    </row>
    <row r="2575" spans="1:19" x14ac:dyDescent="0.25">
      <c r="A2575" t="s">
        <v>193</v>
      </c>
      <c r="C2575" s="27" t="s">
        <v>34749</v>
      </c>
      <c r="D2575" s="28" t="s">
        <v>34867</v>
      </c>
      <c r="J2575" t="s">
        <v>6959</v>
      </c>
      <c r="K2575" t="s">
        <v>6960</v>
      </c>
      <c r="L2575" s="28" t="s">
        <v>6961</v>
      </c>
      <c r="M2575" t="s">
        <v>23</v>
      </c>
      <c r="N2575"/>
      <c r="O2575"/>
      <c r="P2575"/>
      <c r="Q2575"/>
      <c r="R2575"/>
      <c r="S2575"/>
    </row>
    <row r="2576" spans="1:19" x14ac:dyDescent="0.25">
      <c r="A2576" t="s">
        <v>193</v>
      </c>
      <c r="C2576" s="27" t="s">
        <v>34749</v>
      </c>
      <c r="D2576" s="28" t="s">
        <v>34867</v>
      </c>
      <c r="J2576" t="s">
        <v>6962</v>
      </c>
      <c r="K2576" t="s">
        <v>6963</v>
      </c>
      <c r="L2576" s="28" t="s">
        <v>6964</v>
      </c>
      <c r="M2576" t="s">
        <v>23</v>
      </c>
      <c r="N2576"/>
      <c r="O2576"/>
      <c r="P2576"/>
      <c r="Q2576"/>
      <c r="R2576"/>
      <c r="S2576"/>
    </row>
    <row r="2577" spans="1:19" x14ac:dyDescent="0.25">
      <c r="A2577" t="s">
        <v>193</v>
      </c>
      <c r="C2577" s="27" t="s">
        <v>34749</v>
      </c>
      <c r="D2577" s="28" t="s">
        <v>34867</v>
      </c>
      <c r="J2577" t="s">
        <v>6965</v>
      </c>
      <c r="K2577" t="s">
        <v>6966</v>
      </c>
      <c r="L2577" s="28" t="s">
        <v>6967</v>
      </c>
      <c r="M2577" t="s">
        <v>23</v>
      </c>
      <c r="N2577"/>
      <c r="O2577"/>
      <c r="P2577"/>
      <c r="Q2577"/>
      <c r="R2577"/>
      <c r="S2577"/>
    </row>
    <row r="2578" spans="1:19" x14ac:dyDescent="0.25">
      <c r="A2578" t="s">
        <v>193</v>
      </c>
      <c r="C2578" s="27" t="s">
        <v>34749</v>
      </c>
      <c r="D2578" s="28" t="s">
        <v>34867</v>
      </c>
      <c r="J2578" t="s">
        <v>6968</v>
      </c>
      <c r="K2578" t="s">
        <v>6969</v>
      </c>
      <c r="L2578" s="28" t="s">
        <v>6970</v>
      </c>
      <c r="M2578" t="s">
        <v>23</v>
      </c>
      <c r="N2578"/>
      <c r="O2578"/>
      <c r="P2578"/>
      <c r="Q2578"/>
      <c r="R2578"/>
      <c r="S2578"/>
    </row>
    <row r="2579" spans="1:19" x14ac:dyDescent="0.25">
      <c r="A2579" t="s">
        <v>193</v>
      </c>
      <c r="C2579" s="27" t="s">
        <v>34749</v>
      </c>
      <c r="D2579" s="28" t="s">
        <v>34867</v>
      </c>
      <c r="J2579" t="s">
        <v>6971</v>
      </c>
      <c r="K2579" t="s">
        <v>6972</v>
      </c>
      <c r="L2579" s="28" t="s">
        <v>6973</v>
      </c>
      <c r="M2579" t="s">
        <v>23</v>
      </c>
      <c r="N2579"/>
      <c r="O2579"/>
      <c r="P2579"/>
      <c r="Q2579"/>
      <c r="R2579"/>
      <c r="S2579"/>
    </row>
    <row r="2580" spans="1:19" x14ac:dyDescent="0.25">
      <c r="A2580" s="28" t="s">
        <v>14843</v>
      </c>
      <c r="J2580" t="s">
        <v>6974</v>
      </c>
      <c r="K2580" t="s">
        <v>6975</v>
      </c>
      <c r="M2580" t="s">
        <v>47</v>
      </c>
      <c r="N2580"/>
      <c r="O2580"/>
      <c r="P2580"/>
      <c r="Q2580"/>
      <c r="R2580"/>
      <c r="S2580"/>
    </row>
    <row r="2581" spans="1:19" x14ac:dyDescent="0.25">
      <c r="A2581" t="s">
        <v>193</v>
      </c>
      <c r="C2581" s="27" t="s">
        <v>34749</v>
      </c>
      <c r="D2581" s="28" t="s">
        <v>34867</v>
      </c>
      <c r="J2581" t="s">
        <v>6976</v>
      </c>
      <c r="K2581" t="s">
        <v>6977</v>
      </c>
      <c r="L2581" s="28" t="s">
        <v>6978</v>
      </c>
      <c r="M2581" t="s">
        <v>23</v>
      </c>
      <c r="N2581"/>
      <c r="O2581"/>
      <c r="P2581"/>
      <c r="Q2581"/>
      <c r="R2581"/>
      <c r="S2581"/>
    </row>
    <row r="2582" spans="1:19" x14ac:dyDescent="0.25">
      <c r="A2582" t="s">
        <v>193</v>
      </c>
      <c r="C2582" s="27" t="s">
        <v>34749</v>
      </c>
      <c r="D2582" s="28" t="s">
        <v>34867</v>
      </c>
      <c r="J2582" t="s">
        <v>6979</v>
      </c>
      <c r="K2582" t="s">
        <v>6980</v>
      </c>
      <c r="L2582" s="28" t="s">
        <v>6981</v>
      </c>
      <c r="M2582" t="s">
        <v>23</v>
      </c>
      <c r="N2582"/>
      <c r="O2582"/>
      <c r="P2582"/>
      <c r="Q2582"/>
      <c r="R2582"/>
      <c r="S2582"/>
    </row>
    <row r="2583" spans="1:19" x14ac:dyDescent="0.25">
      <c r="A2583" s="28" t="s">
        <v>14843</v>
      </c>
      <c r="J2583" t="s">
        <v>6982</v>
      </c>
      <c r="K2583" t="s">
        <v>6983</v>
      </c>
      <c r="M2583" t="s">
        <v>666</v>
      </c>
      <c r="N2583"/>
      <c r="O2583"/>
      <c r="P2583"/>
      <c r="Q2583"/>
      <c r="R2583"/>
      <c r="S2583"/>
    </row>
    <row r="2584" spans="1:19" x14ac:dyDescent="0.25">
      <c r="A2584" s="28" t="s">
        <v>14843</v>
      </c>
      <c r="J2584" t="s">
        <v>6984</v>
      </c>
      <c r="K2584" t="s">
        <v>6985</v>
      </c>
      <c r="M2584" t="s">
        <v>47</v>
      </c>
      <c r="N2584"/>
      <c r="O2584"/>
      <c r="P2584"/>
      <c r="Q2584"/>
      <c r="R2584"/>
      <c r="S2584"/>
    </row>
    <row r="2585" spans="1:19" x14ac:dyDescent="0.25">
      <c r="A2585" s="28" t="s">
        <v>14843</v>
      </c>
      <c r="J2585" t="s">
        <v>6986</v>
      </c>
      <c r="K2585" t="s">
        <v>6987</v>
      </c>
      <c r="M2585" t="s">
        <v>666</v>
      </c>
      <c r="N2585"/>
      <c r="O2585"/>
      <c r="P2585"/>
      <c r="Q2585"/>
      <c r="R2585"/>
      <c r="S2585"/>
    </row>
    <row r="2586" spans="1:19" x14ac:dyDescent="0.25">
      <c r="A2586" s="28" t="s">
        <v>14843</v>
      </c>
      <c r="J2586" t="s">
        <v>6990</v>
      </c>
      <c r="K2586" t="s">
        <v>6991</v>
      </c>
      <c r="M2586" t="s">
        <v>666</v>
      </c>
      <c r="N2586"/>
      <c r="O2586"/>
      <c r="P2586"/>
      <c r="Q2586"/>
      <c r="R2586"/>
      <c r="S2586"/>
    </row>
    <row r="2587" spans="1:19" x14ac:dyDescent="0.25">
      <c r="A2587" s="28" t="s">
        <v>14843</v>
      </c>
      <c r="J2587" t="s">
        <v>6992</v>
      </c>
      <c r="K2587" t="s">
        <v>6993</v>
      </c>
      <c r="M2587" t="s">
        <v>2820</v>
      </c>
      <c r="N2587"/>
      <c r="O2587"/>
      <c r="P2587"/>
      <c r="Q2587"/>
      <c r="R2587"/>
      <c r="S2587"/>
    </row>
    <row r="2588" spans="1:19" x14ac:dyDescent="0.25">
      <c r="A2588" t="s">
        <v>193</v>
      </c>
      <c r="C2588" s="27" t="s">
        <v>34749</v>
      </c>
      <c r="D2588" s="28" t="s">
        <v>34867</v>
      </c>
      <c r="J2588" t="s">
        <v>6996</v>
      </c>
      <c r="K2588" t="s">
        <v>6997</v>
      </c>
      <c r="L2588" s="28" t="s">
        <v>6998</v>
      </c>
      <c r="M2588" t="s">
        <v>23</v>
      </c>
      <c r="N2588"/>
      <c r="O2588"/>
      <c r="P2588"/>
      <c r="Q2588"/>
      <c r="R2588"/>
      <c r="S2588"/>
    </row>
    <row r="2589" spans="1:19" x14ac:dyDescent="0.25">
      <c r="A2589" s="28" t="s">
        <v>14843</v>
      </c>
      <c r="J2589" t="s">
        <v>6999</v>
      </c>
      <c r="K2589" t="s">
        <v>7000</v>
      </c>
      <c r="M2589" t="s">
        <v>666</v>
      </c>
      <c r="N2589"/>
      <c r="O2589"/>
      <c r="P2589"/>
      <c r="Q2589"/>
      <c r="R2589"/>
      <c r="S2589"/>
    </row>
    <row r="2590" spans="1:19" x14ac:dyDescent="0.25">
      <c r="A2590" s="28" t="s">
        <v>14843</v>
      </c>
      <c r="J2590" t="s">
        <v>7001</v>
      </c>
      <c r="K2590" t="s">
        <v>7002</v>
      </c>
      <c r="M2590" t="s">
        <v>666</v>
      </c>
      <c r="N2590"/>
      <c r="O2590"/>
      <c r="P2590"/>
      <c r="Q2590"/>
      <c r="R2590"/>
      <c r="S2590"/>
    </row>
    <row r="2591" spans="1:19" x14ac:dyDescent="0.25">
      <c r="A2591" s="28" t="s">
        <v>14843</v>
      </c>
      <c r="J2591" t="s">
        <v>7003</v>
      </c>
      <c r="K2591" t="s">
        <v>7004</v>
      </c>
      <c r="M2591" t="s">
        <v>47</v>
      </c>
      <c r="N2591"/>
      <c r="O2591"/>
      <c r="P2591"/>
      <c r="Q2591"/>
      <c r="R2591"/>
      <c r="S2591"/>
    </row>
    <row r="2592" spans="1:19" x14ac:dyDescent="0.25">
      <c r="A2592" t="s">
        <v>193</v>
      </c>
      <c r="C2592" s="27" t="s">
        <v>34749</v>
      </c>
      <c r="D2592" s="28" t="s">
        <v>34867</v>
      </c>
      <c r="J2592" t="s">
        <v>7005</v>
      </c>
      <c r="K2592" t="s">
        <v>7006</v>
      </c>
      <c r="L2592" s="28" t="s">
        <v>7007</v>
      </c>
      <c r="M2592" t="s">
        <v>23</v>
      </c>
      <c r="N2592"/>
      <c r="O2592"/>
      <c r="P2592"/>
      <c r="Q2592"/>
      <c r="R2592"/>
      <c r="S2592"/>
    </row>
    <row r="2593" spans="1:19" x14ac:dyDescent="0.25">
      <c r="A2593" t="s">
        <v>193</v>
      </c>
      <c r="C2593" s="27" t="s">
        <v>34749</v>
      </c>
      <c r="D2593" s="28" t="s">
        <v>34867</v>
      </c>
      <c r="J2593" t="s">
        <v>7008</v>
      </c>
      <c r="K2593" t="s">
        <v>7009</v>
      </c>
      <c r="L2593" s="28" t="s">
        <v>7010</v>
      </c>
      <c r="M2593" t="s">
        <v>23</v>
      </c>
      <c r="N2593"/>
      <c r="O2593"/>
      <c r="P2593"/>
      <c r="Q2593"/>
      <c r="R2593"/>
      <c r="S2593"/>
    </row>
    <row r="2594" spans="1:19" x14ac:dyDescent="0.25">
      <c r="A2594" t="s">
        <v>193</v>
      </c>
      <c r="C2594" s="27" t="s">
        <v>34749</v>
      </c>
      <c r="D2594" s="28" t="s">
        <v>34867</v>
      </c>
      <c r="J2594" t="s">
        <v>7011</v>
      </c>
      <c r="K2594" t="s">
        <v>7012</v>
      </c>
      <c r="L2594" s="28" t="s">
        <v>7013</v>
      </c>
      <c r="M2594" t="s">
        <v>23</v>
      </c>
      <c r="N2594"/>
      <c r="O2594"/>
      <c r="P2594"/>
      <c r="Q2594"/>
      <c r="R2594"/>
      <c r="S2594"/>
    </row>
    <row r="2595" spans="1:19" x14ac:dyDescent="0.25">
      <c r="A2595" t="s">
        <v>193</v>
      </c>
      <c r="C2595" s="27" t="s">
        <v>34749</v>
      </c>
      <c r="D2595" s="28" t="s">
        <v>34867</v>
      </c>
      <c r="J2595" t="s">
        <v>7014</v>
      </c>
      <c r="K2595" t="s">
        <v>7015</v>
      </c>
      <c r="L2595" s="28" t="s">
        <v>7016</v>
      </c>
      <c r="M2595" t="s">
        <v>23</v>
      </c>
      <c r="N2595"/>
      <c r="O2595"/>
      <c r="P2595"/>
      <c r="Q2595"/>
      <c r="R2595"/>
      <c r="S2595"/>
    </row>
    <row r="2596" spans="1:19" x14ac:dyDescent="0.25">
      <c r="A2596" t="s">
        <v>193</v>
      </c>
      <c r="C2596" s="27" t="s">
        <v>34749</v>
      </c>
      <c r="D2596" s="28" t="s">
        <v>34867</v>
      </c>
      <c r="J2596" t="s">
        <v>7017</v>
      </c>
      <c r="K2596" t="s">
        <v>7018</v>
      </c>
      <c r="L2596" s="28" t="s">
        <v>7019</v>
      </c>
      <c r="M2596" t="s">
        <v>23</v>
      </c>
      <c r="N2596"/>
      <c r="O2596"/>
      <c r="P2596"/>
      <c r="Q2596"/>
      <c r="R2596"/>
      <c r="S2596"/>
    </row>
    <row r="2597" spans="1:19" x14ac:dyDescent="0.25">
      <c r="A2597" t="s">
        <v>193</v>
      </c>
      <c r="C2597" s="27" t="s">
        <v>34749</v>
      </c>
      <c r="D2597" s="28" t="s">
        <v>34867</v>
      </c>
      <c r="J2597" t="s">
        <v>7020</v>
      </c>
      <c r="K2597" t="s">
        <v>7021</v>
      </c>
      <c r="L2597" s="28" t="s">
        <v>7022</v>
      </c>
      <c r="M2597" t="s">
        <v>23</v>
      </c>
      <c r="N2597"/>
      <c r="O2597"/>
      <c r="P2597"/>
      <c r="Q2597"/>
      <c r="R2597"/>
      <c r="S2597"/>
    </row>
    <row r="2598" spans="1:19" x14ac:dyDescent="0.25">
      <c r="A2598" t="s">
        <v>193</v>
      </c>
      <c r="C2598" s="27" t="s">
        <v>34749</v>
      </c>
      <c r="D2598" s="28" t="s">
        <v>34867</v>
      </c>
      <c r="J2598" t="s">
        <v>7023</v>
      </c>
      <c r="K2598" t="s">
        <v>7024</v>
      </c>
      <c r="L2598" s="28" t="s">
        <v>7025</v>
      </c>
      <c r="M2598" t="s">
        <v>23</v>
      </c>
      <c r="N2598"/>
      <c r="O2598"/>
      <c r="P2598"/>
      <c r="Q2598"/>
      <c r="R2598"/>
      <c r="S2598"/>
    </row>
    <row r="2599" spans="1:19" x14ac:dyDescent="0.25">
      <c r="A2599" t="s">
        <v>193</v>
      </c>
      <c r="C2599" s="27" t="s">
        <v>34749</v>
      </c>
      <c r="D2599" s="28" t="s">
        <v>34867</v>
      </c>
      <c r="J2599" t="s">
        <v>7026</v>
      </c>
      <c r="K2599" t="s">
        <v>7027</v>
      </c>
      <c r="L2599" s="28" t="s">
        <v>7028</v>
      </c>
      <c r="M2599" t="s">
        <v>23</v>
      </c>
      <c r="N2599"/>
      <c r="O2599"/>
      <c r="P2599"/>
      <c r="Q2599"/>
      <c r="R2599"/>
      <c r="S2599"/>
    </row>
    <row r="2600" spans="1:19" x14ac:dyDescent="0.25">
      <c r="A2600" t="s">
        <v>193</v>
      </c>
      <c r="C2600" s="27" t="s">
        <v>34749</v>
      </c>
      <c r="D2600" s="28" t="s">
        <v>34867</v>
      </c>
      <c r="J2600" t="s">
        <v>7029</v>
      </c>
      <c r="K2600" t="s">
        <v>7030</v>
      </c>
      <c r="L2600" s="28" t="s">
        <v>7031</v>
      </c>
      <c r="M2600" t="s">
        <v>23</v>
      </c>
      <c r="N2600"/>
      <c r="O2600"/>
      <c r="P2600"/>
      <c r="Q2600"/>
      <c r="R2600"/>
      <c r="S2600"/>
    </row>
    <row r="2601" spans="1:19" x14ac:dyDescent="0.25">
      <c r="A2601" t="s">
        <v>193</v>
      </c>
      <c r="C2601" s="27" t="s">
        <v>34749</v>
      </c>
      <c r="D2601" s="28" t="s">
        <v>34867</v>
      </c>
      <c r="J2601" t="s">
        <v>7032</v>
      </c>
      <c r="K2601" t="s">
        <v>7033</v>
      </c>
      <c r="L2601" s="28" t="s">
        <v>7034</v>
      </c>
      <c r="M2601" t="s">
        <v>23</v>
      </c>
      <c r="N2601"/>
      <c r="O2601"/>
      <c r="P2601"/>
      <c r="Q2601"/>
      <c r="R2601"/>
      <c r="S2601"/>
    </row>
    <row r="2602" spans="1:19" x14ac:dyDescent="0.25">
      <c r="A2602" t="s">
        <v>193</v>
      </c>
      <c r="C2602" s="27" t="s">
        <v>34749</v>
      </c>
      <c r="D2602" s="28" t="s">
        <v>34867</v>
      </c>
      <c r="J2602" t="s">
        <v>7035</v>
      </c>
      <c r="K2602" t="s">
        <v>7036</v>
      </c>
      <c r="L2602" s="28" t="s">
        <v>7037</v>
      </c>
      <c r="M2602" t="s">
        <v>23</v>
      </c>
      <c r="N2602"/>
      <c r="O2602"/>
      <c r="P2602"/>
      <c r="Q2602"/>
      <c r="R2602"/>
      <c r="S2602"/>
    </row>
    <row r="2603" spans="1:19" x14ac:dyDescent="0.25">
      <c r="A2603" t="s">
        <v>193</v>
      </c>
      <c r="C2603" s="27" t="s">
        <v>34749</v>
      </c>
      <c r="D2603" s="28" t="s">
        <v>34867</v>
      </c>
      <c r="J2603" t="s">
        <v>7038</v>
      </c>
      <c r="K2603" t="s">
        <v>7039</v>
      </c>
      <c r="L2603" s="28" t="s">
        <v>7040</v>
      </c>
      <c r="M2603" t="s">
        <v>23</v>
      </c>
      <c r="N2603"/>
      <c r="O2603"/>
      <c r="P2603"/>
      <c r="Q2603"/>
      <c r="R2603"/>
      <c r="S2603"/>
    </row>
    <row r="2604" spans="1:19" x14ac:dyDescent="0.25">
      <c r="A2604" t="s">
        <v>193</v>
      </c>
      <c r="C2604" s="27" t="s">
        <v>34749</v>
      </c>
      <c r="D2604" s="28" t="s">
        <v>34867</v>
      </c>
      <c r="J2604" t="s">
        <v>7041</v>
      </c>
      <c r="K2604" t="s">
        <v>7042</v>
      </c>
      <c r="L2604" s="28" t="s">
        <v>7043</v>
      </c>
      <c r="M2604" t="s">
        <v>23</v>
      </c>
      <c r="N2604"/>
      <c r="O2604"/>
      <c r="P2604"/>
      <c r="Q2604"/>
      <c r="R2604"/>
      <c r="S2604"/>
    </row>
    <row r="2605" spans="1:19" x14ac:dyDescent="0.25">
      <c r="A2605" t="s">
        <v>193</v>
      </c>
      <c r="C2605" s="27" t="s">
        <v>34749</v>
      </c>
      <c r="D2605" s="28" t="s">
        <v>34867</v>
      </c>
      <c r="J2605" t="s">
        <v>7044</v>
      </c>
      <c r="K2605" t="s">
        <v>7045</v>
      </c>
      <c r="L2605" s="28" t="s">
        <v>7046</v>
      </c>
      <c r="M2605" t="s">
        <v>23</v>
      </c>
      <c r="N2605"/>
      <c r="O2605"/>
      <c r="P2605"/>
      <c r="Q2605"/>
      <c r="R2605"/>
      <c r="S2605"/>
    </row>
    <row r="2606" spans="1:19" x14ac:dyDescent="0.25">
      <c r="A2606" t="s">
        <v>193</v>
      </c>
      <c r="C2606" s="27" t="s">
        <v>34749</v>
      </c>
      <c r="D2606" s="28" t="s">
        <v>34867</v>
      </c>
      <c r="J2606" t="s">
        <v>7047</v>
      </c>
      <c r="K2606" t="s">
        <v>7048</v>
      </c>
      <c r="L2606" s="28" t="s">
        <v>7049</v>
      </c>
      <c r="M2606" t="s">
        <v>23</v>
      </c>
      <c r="N2606"/>
      <c r="O2606"/>
      <c r="P2606"/>
      <c r="Q2606"/>
      <c r="R2606"/>
      <c r="S2606"/>
    </row>
    <row r="2607" spans="1:19" x14ac:dyDescent="0.25">
      <c r="A2607" t="s">
        <v>193</v>
      </c>
      <c r="C2607" s="27" t="s">
        <v>34749</v>
      </c>
      <c r="D2607" s="28" t="s">
        <v>34867</v>
      </c>
      <c r="J2607" t="s">
        <v>7050</v>
      </c>
      <c r="K2607" t="s">
        <v>7051</v>
      </c>
      <c r="L2607" s="28" t="s">
        <v>7052</v>
      </c>
      <c r="M2607" t="s">
        <v>23</v>
      </c>
      <c r="N2607"/>
      <c r="O2607"/>
      <c r="P2607"/>
      <c r="Q2607"/>
      <c r="R2607"/>
      <c r="S2607"/>
    </row>
    <row r="2608" spans="1:19" x14ac:dyDescent="0.25">
      <c r="A2608" t="s">
        <v>193</v>
      </c>
      <c r="C2608" s="27" t="s">
        <v>34749</v>
      </c>
      <c r="D2608" s="28" t="s">
        <v>34867</v>
      </c>
      <c r="J2608" t="s">
        <v>7053</v>
      </c>
      <c r="K2608" t="s">
        <v>7054</v>
      </c>
      <c r="L2608" s="28" t="s">
        <v>7055</v>
      </c>
      <c r="M2608" t="s">
        <v>23</v>
      </c>
      <c r="N2608"/>
      <c r="O2608"/>
      <c r="P2608"/>
      <c r="Q2608"/>
      <c r="R2608"/>
      <c r="S2608"/>
    </row>
    <row r="2609" spans="1:19" x14ac:dyDescent="0.25">
      <c r="A2609" t="s">
        <v>193</v>
      </c>
      <c r="C2609" s="27" t="s">
        <v>34749</v>
      </c>
      <c r="D2609" s="28" t="s">
        <v>34867</v>
      </c>
      <c r="J2609" t="s">
        <v>7056</v>
      </c>
      <c r="K2609" t="s">
        <v>7057</v>
      </c>
      <c r="L2609" s="28" t="s">
        <v>7058</v>
      </c>
      <c r="M2609" t="s">
        <v>23</v>
      </c>
      <c r="N2609"/>
      <c r="O2609"/>
      <c r="P2609"/>
      <c r="Q2609"/>
      <c r="R2609"/>
      <c r="S2609"/>
    </row>
    <row r="2610" spans="1:19" x14ac:dyDescent="0.25">
      <c r="A2610" t="s">
        <v>193</v>
      </c>
      <c r="C2610" s="27" t="s">
        <v>34749</v>
      </c>
      <c r="D2610" s="28" t="s">
        <v>34867</v>
      </c>
      <c r="I2610" t="str">
        <f>CONCATENATE(LEFT(K2610,SEARCH(" (",K2610))," | ", RIGHT(LEFT(K2610,LEN(K2610)-1),LEN(K2610)-2-FIND(" (",K2610)))</f>
        <v>pentaerythritoltetranitraat  | PETN</v>
      </c>
      <c r="J2610" t="s">
        <v>7059</v>
      </c>
      <c r="K2610" t="s">
        <v>7060</v>
      </c>
      <c r="L2610" s="28" t="s">
        <v>7061</v>
      </c>
      <c r="M2610" t="s">
        <v>23</v>
      </c>
      <c r="N2610"/>
      <c r="O2610"/>
      <c r="P2610"/>
      <c r="Q2610"/>
      <c r="R2610"/>
      <c r="S2610"/>
    </row>
    <row r="2611" spans="1:19" x14ac:dyDescent="0.25">
      <c r="A2611" t="s">
        <v>193</v>
      </c>
      <c r="C2611" s="27" t="s">
        <v>34749</v>
      </c>
      <c r="D2611" s="28" t="s">
        <v>34867</v>
      </c>
      <c r="J2611" t="s">
        <v>7062</v>
      </c>
      <c r="K2611" t="s">
        <v>7063</v>
      </c>
      <c r="L2611" s="28" t="s">
        <v>7064</v>
      </c>
      <c r="M2611" t="s">
        <v>23</v>
      </c>
      <c r="N2611"/>
      <c r="O2611"/>
      <c r="P2611"/>
      <c r="Q2611"/>
      <c r="R2611"/>
      <c r="S2611"/>
    </row>
    <row r="2612" spans="1:19" x14ac:dyDescent="0.25">
      <c r="A2612" t="s">
        <v>193</v>
      </c>
      <c r="C2612" s="27" t="s">
        <v>34749</v>
      </c>
      <c r="D2612" s="28" t="s">
        <v>34867</v>
      </c>
      <c r="J2612" t="s">
        <v>7065</v>
      </c>
      <c r="K2612" t="s">
        <v>7066</v>
      </c>
      <c r="L2612" s="28" t="s">
        <v>7067</v>
      </c>
      <c r="M2612" t="s">
        <v>23</v>
      </c>
      <c r="N2612"/>
      <c r="O2612"/>
      <c r="P2612"/>
      <c r="Q2612"/>
      <c r="R2612"/>
      <c r="S2612"/>
    </row>
    <row r="2613" spans="1:19" x14ac:dyDescent="0.25">
      <c r="A2613" t="s">
        <v>193</v>
      </c>
      <c r="C2613" s="27" t="s">
        <v>34749</v>
      </c>
      <c r="D2613" s="28" t="s">
        <v>34867</v>
      </c>
      <c r="J2613" t="s">
        <v>7068</v>
      </c>
      <c r="K2613" t="s">
        <v>7069</v>
      </c>
      <c r="L2613" s="28" t="s">
        <v>7070</v>
      </c>
      <c r="M2613" t="s">
        <v>23</v>
      </c>
      <c r="N2613"/>
      <c r="O2613"/>
      <c r="P2613"/>
      <c r="Q2613"/>
      <c r="R2613"/>
      <c r="S2613"/>
    </row>
    <row r="2614" spans="1:19" x14ac:dyDescent="0.25">
      <c r="A2614" s="28" t="s">
        <v>14843</v>
      </c>
      <c r="J2614" t="s">
        <v>7075</v>
      </c>
      <c r="K2614" t="s">
        <v>7076</v>
      </c>
      <c r="M2614" t="s">
        <v>47</v>
      </c>
      <c r="N2614"/>
      <c r="O2614"/>
      <c r="P2614"/>
      <c r="Q2614"/>
      <c r="R2614"/>
      <c r="S2614"/>
    </row>
    <row r="2615" spans="1:19" x14ac:dyDescent="0.25">
      <c r="A2615" s="28" t="s">
        <v>14843</v>
      </c>
      <c r="J2615" t="s">
        <v>7077</v>
      </c>
      <c r="K2615" t="s">
        <v>7078</v>
      </c>
      <c r="M2615" t="s">
        <v>47</v>
      </c>
      <c r="N2615"/>
      <c r="O2615"/>
      <c r="P2615"/>
      <c r="Q2615"/>
      <c r="R2615"/>
      <c r="S2615"/>
    </row>
    <row r="2616" spans="1:19" x14ac:dyDescent="0.25">
      <c r="A2616" t="s">
        <v>193</v>
      </c>
      <c r="C2616" s="27" t="s">
        <v>34749</v>
      </c>
      <c r="D2616" s="28" t="s">
        <v>34867</v>
      </c>
      <c r="J2616" t="s">
        <v>7079</v>
      </c>
      <c r="K2616" t="s">
        <v>7080</v>
      </c>
      <c r="L2616" s="28" t="s">
        <v>7081</v>
      </c>
      <c r="M2616" t="s">
        <v>23</v>
      </c>
      <c r="N2616"/>
      <c r="O2616"/>
      <c r="P2616"/>
      <c r="Q2616"/>
      <c r="R2616"/>
      <c r="S2616"/>
    </row>
    <row r="2617" spans="1:19" x14ac:dyDescent="0.25">
      <c r="A2617" t="s">
        <v>193</v>
      </c>
      <c r="C2617" s="27" t="s">
        <v>34749</v>
      </c>
      <c r="D2617" s="28" t="s">
        <v>34867</v>
      </c>
      <c r="J2617" t="s">
        <v>7082</v>
      </c>
      <c r="K2617" t="s">
        <v>7083</v>
      </c>
      <c r="L2617" s="28" t="s">
        <v>7084</v>
      </c>
      <c r="M2617" t="s">
        <v>23</v>
      </c>
      <c r="N2617"/>
      <c r="O2617"/>
      <c r="P2617"/>
      <c r="Q2617"/>
      <c r="R2617"/>
      <c r="S2617"/>
    </row>
    <row r="2618" spans="1:19" x14ac:dyDescent="0.25">
      <c r="A2618" t="s">
        <v>193</v>
      </c>
      <c r="C2618" s="27" t="s">
        <v>34749</v>
      </c>
      <c r="D2618" s="28" t="s">
        <v>34867</v>
      </c>
      <c r="J2618" t="s">
        <v>7085</v>
      </c>
      <c r="K2618" t="s">
        <v>7086</v>
      </c>
      <c r="L2618" s="28" t="s">
        <v>7087</v>
      </c>
      <c r="M2618" t="s">
        <v>23</v>
      </c>
      <c r="N2618"/>
      <c r="O2618"/>
      <c r="P2618"/>
      <c r="Q2618"/>
      <c r="R2618"/>
      <c r="S2618"/>
    </row>
    <row r="2619" spans="1:19" x14ac:dyDescent="0.25">
      <c r="A2619" t="s">
        <v>193</v>
      </c>
      <c r="C2619" s="27" t="s">
        <v>34749</v>
      </c>
      <c r="D2619" s="28" t="s">
        <v>34867</v>
      </c>
      <c r="J2619" t="s">
        <v>7088</v>
      </c>
      <c r="K2619" t="s">
        <v>7089</v>
      </c>
      <c r="L2619" s="28" t="s">
        <v>7090</v>
      </c>
      <c r="M2619" t="s">
        <v>23</v>
      </c>
      <c r="N2619"/>
      <c r="O2619"/>
      <c r="P2619"/>
      <c r="Q2619"/>
      <c r="R2619"/>
      <c r="S2619"/>
    </row>
    <row r="2620" spans="1:19" x14ac:dyDescent="0.25">
      <c r="A2620" t="s">
        <v>193</v>
      </c>
      <c r="C2620" s="27" t="s">
        <v>34749</v>
      </c>
      <c r="D2620" s="28" t="s">
        <v>34867</v>
      </c>
      <c r="J2620" t="s">
        <v>7091</v>
      </c>
      <c r="K2620" t="s">
        <v>7092</v>
      </c>
      <c r="L2620" s="28" t="s">
        <v>7093</v>
      </c>
      <c r="M2620" t="s">
        <v>23</v>
      </c>
      <c r="N2620"/>
      <c r="O2620"/>
      <c r="P2620"/>
      <c r="Q2620"/>
      <c r="R2620"/>
      <c r="S2620"/>
    </row>
    <row r="2621" spans="1:19" x14ac:dyDescent="0.25">
      <c r="A2621" t="s">
        <v>193</v>
      </c>
      <c r="C2621" s="27" t="s">
        <v>34749</v>
      </c>
      <c r="D2621" s="28" t="s">
        <v>34867</v>
      </c>
      <c r="J2621" t="s">
        <v>7096</v>
      </c>
      <c r="K2621" t="s">
        <v>7097</v>
      </c>
      <c r="L2621" s="28" t="s">
        <v>7098</v>
      </c>
      <c r="M2621" t="s">
        <v>23</v>
      </c>
      <c r="N2621"/>
      <c r="O2621"/>
      <c r="P2621"/>
      <c r="Q2621"/>
      <c r="R2621"/>
      <c r="S2621"/>
    </row>
    <row r="2622" spans="1:19" x14ac:dyDescent="0.25">
      <c r="A2622" s="28" t="s">
        <v>14843</v>
      </c>
      <c r="J2622" t="s">
        <v>7099</v>
      </c>
      <c r="K2622" t="s">
        <v>7100</v>
      </c>
      <c r="M2622" t="s">
        <v>47</v>
      </c>
      <c r="N2622"/>
      <c r="O2622"/>
      <c r="P2622"/>
      <c r="Q2622"/>
      <c r="R2622"/>
      <c r="S2622"/>
    </row>
    <row r="2623" spans="1:19" x14ac:dyDescent="0.25">
      <c r="A2623" t="s">
        <v>193</v>
      </c>
      <c r="C2623" s="27" t="s">
        <v>34749</v>
      </c>
      <c r="D2623" s="28" t="s">
        <v>34867</v>
      </c>
      <c r="J2623" t="s">
        <v>7101</v>
      </c>
      <c r="K2623" t="s">
        <v>7102</v>
      </c>
      <c r="L2623" s="28" t="s">
        <v>7103</v>
      </c>
      <c r="M2623" t="s">
        <v>23</v>
      </c>
      <c r="N2623"/>
      <c r="O2623"/>
      <c r="P2623"/>
      <c r="Q2623"/>
      <c r="R2623"/>
      <c r="S2623"/>
    </row>
    <row r="2624" spans="1:19" x14ac:dyDescent="0.25">
      <c r="A2624" s="28" t="s">
        <v>14843</v>
      </c>
      <c r="J2624" t="s">
        <v>7104</v>
      </c>
      <c r="K2624" t="s">
        <v>7105</v>
      </c>
      <c r="M2624" t="s">
        <v>666</v>
      </c>
      <c r="N2624"/>
      <c r="O2624"/>
      <c r="P2624"/>
      <c r="Q2624"/>
      <c r="R2624"/>
      <c r="S2624"/>
    </row>
    <row r="2625" spans="1:19" x14ac:dyDescent="0.25">
      <c r="A2625" t="s">
        <v>193</v>
      </c>
      <c r="C2625" s="27" t="s">
        <v>34749</v>
      </c>
      <c r="D2625" s="28" t="s">
        <v>34867</v>
      </c>
      <c r="I2625" t="str">
        <f>CONCATENATE(LEFT(K2625,SEARCH(" (",K2625))," | ", RIGHT(LEFT(K2625,LEN(K2625)-1),LEN(K2625)-2-FIND(" (",K2625)))</f>
        <v>hexahydro-1,3,5-trinitro-1,3,5-triazin  | RDX</v>
      </c>
      <c r="J2625" t="s">
        <v>7106</v>
      </c>
      <c r="K2625" t="s">
        <v>7107</v>
      </c>
      <c r="L2625" s="28" t="s">
        <v>7108</v>
      </c>
      <c r="M2625" t="s">
        <v>23</v>
      </c>
      <c r="N2625"/>
      <c r="O2625"/>
      <c r="P2625"/>
      <c r="Q2625"/>
      <c r="R2625"/>
      <c r="S2625"/>
    </row>
    <row r="2626" spans="1:19" x14ac:dyDescent="0.25">
      <c r="A2626" s="28" t="s">
        <v>14843</v>
      </c>
      <c r="J2626" t="s">
        <v>7109</v>
      </c>
      <c r="K2626" t="s">
        <v>7110</v>
      </c>
      <c r="M2626" t="s">
        <v>47</v>
      </c>
      <c r="N2626"/>
      <c r="O2626"/>
      <c r="P2626"/>
      <c r="Q2626"/>
      <c r="R2626"/>
      <c r="S2626"/>
    </row>
    <row r="2627" spans="1:19" x14ac:dyDescent="0.25">
      <c r="A2627" s="28" t="s">
        <v>14843</v>
      </c>
      <c r="J2627" t="s">
        <v>7111</v>
      </c>
      <c r="K2627" t="s">
        <v>7112</v>
      </c>
      <c r="M2627" t="s">
        <v>47</v>
      </c>
      <c r="N2627"/>
      <c r="O2627"/>
      <c r="P2627"/>
      <c r="Q2627"/>
      <c r="R2627"/>
      <c r="S2627"/>
    </row>
    <row r="2628" spans="1:19" x14ac:dyDescent="0.25">
      <c r="A2628" s="28" t="s">
        <v>14843</v>
      </c>
      <c r="J2628" t="s">
        <v>7113</v>
      </c>
      <c r="K2628" t="s">
        <v>7114</v>
      </c>
      <c r="M2628" t="s">
        <v>47</v>
      </c>
      <c r="N2628"/>
      <c r="O2628"/>
      <c r="P2628"/>
      <c r="Q2628"/>
      <c r="R2628"/>
      <c r="S2628"/>
    </row>
    <row r="2629" spans="1:19" x14ac:dyDescent="0.25">
      <c r="A2629" s="28" t="s">
        <v>14843</v>
      </c>
      <c r="J2629" t="s">
        <v>7115</v>
      </c>
      <c r="K2629" t="s">
        <v>7116</v>
      </c>
      <c r="M2629" t="s">
        <v>666</v>
      </c>
      <c r="N2629"/>
      <c r="O2629"/>
      <c r="P2629"/>
      <c r="Q2629"/>
      <c r="R2629"/>
      <c r="S2629"/>
    </row>
    <row r="2630" spans="1:19" x14ac:dyDescent="0.25">
      <c r="A2630" s="27" t="s">
        <v>193</v>
      </c>
      <c r="J2630" t="s">
        <v>7117</v>
      </c>
      <c r="K2630" t="s">
        <v>7118</v>
      </c>
      <c r="M2630" t="s">
        <v>23</v>
      </c>
      <c r="N2630"/>
      <c r="O2630"/>
      <c r="P2630"/>
      <c r="Q2630"/>
      <c r="R2630"/>
      <c r="S2630"/>
    </row>
    <row r="2631" spans="1:19" x14ac:dyDescent="0.25">
      <c r="A2631" s="28" t="s">
        <v>14843</v>
      </c>
      <c r="J2631" t="s">
        <v>7119</v>
      </c>
      <c r="K2631" t="s">
        <v>7120</v>
      </c>
      <c r="M2631" t="s">
        <v>2820</v>
      </c>
      <c r="N2631"/>
      <c r="O2631"/>
      <c r="P2631"/>
      <c r="Q2631"/>
      <c r="R2631"/>
      <c r="S2631"/>
    </row>
    <row r="2632" spans="1:19" x14ac:dyDescent="0.25">
      <c r="A2632" s="28" t="s">
        <v>14843</v>
      </c>
      <c r="J2632" t="s">
        <v>7121</v>
      </c>
      <c r="K2632" t="s">
        <v>7122</v>
      </c>
      <c r="M2632" t="s">
        <v>47</v>
      </c>
      <c r="N2632"/>
      <c r="O2632"/>
      <c r="P2632"/>
      <c r="Q2632"/>
      <c r="R2632"/>
      <c r="S2632"/>
    </row>
    <row r="2633" spans="1:19" x14ac:dyDescent="0.25">
      <c r="A2633" s="28" t="s">
        <v>14843</v>
      </c>
      <c r="J2633" t="s">
        <v>7123</v>
      </c>
      <c r="K2633" t="s">
        <v>7124</v>
      </c>
      <c r="M2633" t="s">
        <v>47</v>
      </c>
      <c r="N2633"/>
      <c r="O2633"/>
      <c r="P2633"/>
      <c r="Q2633"/>
      <c r="R2633"/>
      <c r="S2633"/>
    </row>
    <row r="2634" spans="1:19" x14ac:dyDescent="0.25">
      <c r="A2634" s="28" t="s">
        <v>14843</v>
      </c>
      <c r="J2634" t="s">
        <v>7125</v>
      </c>
      <c r="K2634" t="s">
        <v>7126</v>
      </c>
      <c r="M2634" t="s">
        <v>47</v>
      </c>
      <c r="N2634"/>
      <c r="O2634"/>
      <c r="P2634"/>
      <c r="Q2634"/>
      <c r="R2634"/>
      <c r="S2634"/>
    </row>
    <row r="2635" spans="1:19" x14ac:dyDescent="0.25">
      <c r="A2635" t="s">
        <v>193</v>
      </c>
      <c r="C2635" s="27" t="s">
        <v>34749</v>
      </c>
      <c r="D2635" s="28" t="s">
        <v>34867</v>
      </c>
      <c r="J2635" t="s">
        <v>7127</v>
      </c>
      <c r="K2635" t="s">
        <v>7128</v>
      </c>
      <c r="L2635" s="28" t="s">
        <v>7129</v>
      </c>
      <c r="M2635" t="s">
        <v>23</v>
      </c>
      <c r="N2635"/>
      <c r="O2635"/>
      <c r="P2635"/>
      <c r="Q2635"/>
      <c r="R2635"/>
      <c r="S2635"/>
    </row>
    <row r="2636" spans="1:19" x14ac:dyDescent="0.25">
      <c r="A2636" t="s">
        <v>193</v>
      </c>
      <c r="C2636" s="27" t="s">
        <v>34749</v>
      </c>
      <c r="D2636" s="28" t="s">
        <v>34867</v>
      </c>
      <c r="J2636" t="s">
        <v>7130</v>
      </c>
      <c r="K2636" t="s">
        <v>7131</v>
      </c>
      <c r="L2636" s="28" t="s">
        <v>7132</v>
      </c>
      <c r="M2636" t="s">
        <v>23</v>
      </c>
      <c r="N2636"/>
      <c r="O2636"/>
      <c r="P2636"/>
      <c r="Q2636"/>
      <c r="R2636"/>
      <c r="S2636"/>
    </row>
    <row r="2637" spans="1:19" x14ac:dyDescent="0.25">
      <c r="A2637" t="s">
        <v>193</v>
      </c>
      <c r="C2637" s="27" t="s">
        <v>34749</v>
      </c>
      <c r="D2637" s="28" t="s">
        <v>34867</v>
      </c>
      <c r="J2637" t="s">
        <v>7133</v>
      </c>
      <c r="K2637" t="s">
        <v>7134</v>
      </c>
      <c r="L2637" s="28" t="s">
        <v>7135</v>
      </c>
      <c r="M2637" t="s">
        <v>23</v>
      </c>
      <c r="N2637"/>
      <c r="O2637"/>
      <c r="P2637"/>
      <c r="Q2637"/>
      <c r="R2637"/>
      <c r="S2637"/>
    </row>
    <row r="2638" spans="1:19" x14ac:dyDescent="0.25">
      <c r="A2638" t="s">
        <v>193</v>
      </c>
      <c r="C2638" s="27" t="s">
        <v>34749</v>
      </c>
      <c r="D2638" s="28" t="s">
        <v>34867</v>
      </c>
      <c r="J2638" t="s">
        <v>7136</v>
      </c>
      <c r="K2638" t="s">
        <v>7137</v>
      </c>
      <c r="L2638" s="28" t="s">
        <v>7138</v>
      </c>
      <c r="M2638" t="s">
        <v>23</v>
      </c>
      <c r="N2638"/>
      <c r="O2638"/>
      <c r="P2638"/>
      <c r="Q2638"/>
      <c r="R2638"/>
      <c r="S2638"/>
    </row>
    <row r="2639" spans="1:19" x14ac:dyDescent="0.25">
      <c r="A2639" t="s">
        <v>193</v>
      </c>
      <c r="C2639" s="27" t="s">
        <v>34749</v>
      </c>
      <c r="D2639" s="28" t="s">
        <v>34867</v>
      </c>
      <c r="J2639" t="s">
        <v>7139</v>
      </c>
      <c r="K2639" t="s">
        <v>7140</v>
      </c>
      <c r="L2639" s="28" t="s">
        <v>7141</v>
      </c>
      <c r="M2639" t="s">
        <v>23</v>
      </c>
      <c r="N2639"/>
      <c r="O2639"/>
      <c r="P2639"/>
      <c r="Q2639"/>
      <c r="R2639"/>
      <c r="S2639"/>
    </row>
    <row r="2640" spans="1:19" x14ac:dyDescent="0.25">
      <c r="A2640" t="s">
        <v>193</v>
      </c>
      <c r="C2640" s="27" t="s">
        <v>34749</v>
      </c>
      <c r="D2640" s="28" t="s">
        <v>34867</v>
      </c>
      <c r="J2640" t="s">
        <v>7142</v>
      </c>
      <c r="K2640" t="s">
        <v>7143</v>
      </c>
      <c r="L2640" s="28" t="s">
        <v>7144</v>
      </c>
      <c r="M2640" t="s">
        <v>23</v>
      </c>
      <c r="N2640"/>
      <c r="O2640"/>
      <c r="P2640"/>
      <c r="Q2640"/>
      <c r="R2640"/>
      <c r="S2640"/>
    </row>
    <row r="2641" spans="1:19" x14ac:dyDescent="0.25">
      <c r="A2641" t="s">
        <v>193</v>
      </c>
      <c r="C2641" s="27" t="s">
        <v>34749</v>
      </c>
      <c r="D2641" s="28" t="s">
        <v>34867</v>
      </c>
      <c r="J2641" t="s">
        <v>7145</v>
      </c>
      <c r="K2641" t="s">
        <v>7146</v>
      </c>
      <c r="L2641" s="28" t="s">
        <v>7147</v>
      </c>
      <c r="M2641" t="s">
        <v>23</v>
      </c>
      <c r="N2641"/>
      <c r="O2641"/>
      <c r="P2641"/>
      <c r="Q2641"/>
      <c r="R2641"/>
      <c r="S2641"/>
    </row>
    <row r="2642" spans="1:19" x14ac:dyDescent="0.25">
      <c r="A2642" t="s">
        <v>193</v>
      </c>
      <c r="C2642" s="27" t="s">
        <v>34749</v>
      </c>
      <c r="D2642" s="28" t="s">
        <v>34867</v>
      </c>
      <c r="J2642" t="s">
        <v>7148</v>
      </c>
      <c r="K2642" t="s">
        <v>7149</v>
      </c>
      <c r="L2642" s="28" t="s">
        <v>7150</v>
      </c>
      <c r="M2642" t="s">
        <v>23</v>
      </c>
      <c r="N2642"/>
      <c r="O2642"/>
      <c r="P2642"/>
      <c r="Q2642"/>
      <c r="R2642"/>
      <c r="S2642"/>
    </row>
    <row r="2643" spans="1:19" x14ac:dyDescent="0.25">
      <c r="A2643" t="s">
        <v>193</v>
      </c>
      <c r="C2643" s="27" t="s">
        <v>34749</v>
      </c>
      <c r="D2643" s="28" t="s">
        <v>34867</v>
      </c>
      <c r="J2643" t="s">
        <v>7151</v>
      </c>
      <c r="K2643" t="s">
        <v>7152</v>
      </c>
      <c r="L2643" s="28" t="s">
        <v>7153</v>
      </c>
      <c r="M2643" t="s">
        <v>23</v>
      </c>
      <c r="N2643"/>
      <c r="O2643"/>
      <c r="P2643"/>
      <c r="Q2643"/>
      <c r="R2643"/>
      <c r="S2643"/>
    </row>
    <row r="2644" spans="1:19" x14ac:dyDescent="0.25">
      <c r="A2644" s="28" t="s">
        <v>14843</v>
      </c>
      <c r="J2644" t="s">
        <v>7154</v>
      </c>
      <c r="K2644" t="s">
        <v>7155</v>
      </c>
      <c r="M2644" t="s">
        <v>47</v>
      </c>
      <c r="N2644"/>
      <c r="O2644"/>
      <c r="P2644"/>
      <c r="Q2644"/>
      <c r="R2644"/>
      <c r="S2644"/>
    </row>
    <row r="2645" spans="1:19" x14ac:dyDescent="0.25">
      <c r="A2645" s="28" t="s">
        <v>14843</v>
      </c>
      <c r="J2645" t="s">
        <v>7156</v>
      </c>
      <c r="K2645" t="s">
        <v>7157</v>
      </c>
      <c r="M2645" t="s">
        <v>47</v>
      </c>
      <c r="N2645"/>
      <c r="O2645"/>
      <c r="P2645"/>
      <c r="Q2645"/>
      <c r="R2645"/>
      <c r="S2645"/>
    </row>
    <row r="2646" spans="1:19" x14ac:dyDescent="0.25">
      <c r="A2646" s="27" t="s">
        <v>193</v>
      </c>
      <c r="J2646" t="s">
        <v>7158</v>
      </c>
      <c r="K2646" t="s">
        <v>7159</v>
      </c>
      <c r="M2646" t="s">
        <v>23</v>
      </c>
      <c r="N2646"/>
      <c r="O2646"/>
      <c r="P2646"/>
      <c r="Q2646"/>
      <c r="R2646"/>
      <c r="S2646"/>
    </row>
    <row r="2647" spans="1:19" x14ac:dyDescent="0.25">
      <c r="A2647" t="s">
        <v>193</v>
      </c>
      <c r="C2647" s="27" t="s">
        <v>34749</v>
      </c>
      <c r="D2647" s="28" t="s">
        <v>34867</v>
      </c>
      <c r="J2647" t="s">
        <v>7160</v>
      </c>
      <c r="K2647" t="s">
        <v>7161</v>
      </c>
      <c r="L2647" s="28" t="s">
        <v>7162</v>
      </c>
      <c r="M2647" t="s">
        <v>23</v>
      </c>
      <c r="N2647"/>
      <c r="O2647"/>
      <c r="P2647"/>
      <c r="Q2647"/>
      <c r="R2647"/>
      <c r="S2647"/>
    </row>
    <row r="2648" spans="1:19" x14ac:dyDescent="0.25">
      <c r="A2648" s="28" t="s">
        <v>14843</v>
      </c>
      <c r="J2648" t="s">
        <v>7165</v>
      </c>
      <c r="K2648" t="s">
        <v>7166</v>
      </c>
      <c r="M2648" t="s">
        <v>47</v>
      </c>
      <c r="N2648"/>
      <c r="O2648"/>
      <c r="P2648"/>
      <c r="Q2648"/>
      <c r="R2648"/>
      <c r="S2648"/>
    </row>
    <row r="2649" spans="1:19" x14ac:dyDescent="0.25">
      <c r="A2649" s="28" t="s">
        <v>14843</v>
      </c>
      <c r="J2649" t="s">
        <v>7167</v>
      </c>
      <c r="K2649" t="s">
        <v>7168</v>
      </c>
      <c r="M2649" t="s">
        <v>2820</v>
      </c>
      <c r="N2649"/>
      <c r="O2649"/>
      <c r="P2649"/>
      <c r="Q2649"/>
      <c r="R2649"/>
      <c r="S2649"/>
    </row>
    <row r="2650" spans="1:19" x14ac:dyDescent="0.25">
      <c r="A2650" s="28" t="s">
        <v>14843</v>
      </c>
      <c r="J2650" t="s">
        <v>7169</v>
      </c>
      <c r="K2650" t="s">
        <v>7170</v>
      </c>
      <c r="M2650" t="s">
        <v>666</v>
      </c>
      <c r="N2650"/>
      <c r="O2650"/>
      <c r="P2650"/>
      <c r="Q2650"/>
      <c r="R2650"/>
      <c r="S2650"/>
    </row>
    <row r="2651" spans="1:19" x14ac:dyDescent="0.25">
      <c r="A2651" s="28" t="s">
        <v>14843</v>
      </c>
      <c r="J2651" t="s">
        <v>7171</v>
      </c>
      <c r="K2651" t="s">
        <v>7172</v>
      </c>
      <c r="M2651" t="s">
        <v>666</v>
      </c>
      <c r="N2651"/>
      <c r="O2651"/>
      <c r="P2651"/>
      <c r="Q2651"/>
      <c r="R2651"/>
      <c r="S2651"/>
    </row>
    <row r="2652" spans="1:19" x14ac:dyDescent="0.25">
      <c r="A2652" s="28" t="s">
        <v>14843</v>
      </c>
      <c r="J2652" t="s">
        <v>7173</v>
      </c>
      <c r="K2652" t="s">
        <v>7174</v>
      </c>
      <c r="M2652" t="s">
        <v>666</v>
      </c>
      <c r="N2652"/>
      <c r="O2652"/>
      <c r="P2652"/>
      <c r="Q2652"/>
      <c r="R2652"/>
      <c r="S2652"/>
    </row>
    <row r="2653" spans="1:19" x14ac:dyDescent="0.25">
      <c r="A2653" s="28" t="s">
        <v>14843</v>
      </c>
      <c r="J2653" t="s">
        <v>7175</v>
      </c>
      <c r="K2653" t="s">
        <v>7176</v>
      </c>
      <c r="M2653" t="s">
        <v>666</v>
      </c>
      <c r="N2653"/>
      <c r="O2653"/>
      <c r="P2653"/>
      <c r="Q2653"/>
      <c r="R2653"/>
      <c r="S2653"/>
    </row>
    <row r="2654" spans="1:19" x14ac:dyDescent="0.25">
      <c r="A2654" s="28" t="s">
        <v>14843</v>
      </c>
      <c r="J2654" t="s">
        <v>7177</v>
      </c>
      <c r="K2654" t="s">
        <v>7178</v>
      </c>
      <c r="M2654" t="s">
        <v>2779</v>
      </c>
      <c r="N2654"/>
      <c r="O2654"/>
      <c r="P2654"/>
      <c r="Q2654"/>
      <c r="R2654"/>
      <c r="S2654"/>
    </row>
    <row r="2655" spans="1:19" x14ac:dyDescent="0.25">
      <c r="A2655" s="28" t="s">
        <v>14843</v>
      </c>
      <c r="J2655" t="s">
        <v>7179</v>
      </c>
      <c r="K2655" t="s">
        <v>7180</v>
      </c>
      <c r="M2655" t="s">
        <v>2779</v>
      </c>
      <c r="N2655"/>
      <c r="O2655"/>
      <c r="P2655"/>
      <c r="Q2655"/>
      <c r="R2655"/>
      <c r="S2655"/>
    </row>
    <row r="2656" spans="1:19" x14ac:dyDescent="0.25">
      <c r="A2656" s="28" t="s">
        <v>14843</v>
      </c>
      <c r="J2656" t="s">
        <v>7181</v>
      </c>
      <c r="K2656" t="s">
        <v>7182</v>
      </c>
      <c r="M2656" t="s">
        <v>2779</v>
      </c>
      <c r="N2656"/>
      <c r="O2656"/>
      <c r="P2656"/>
      <c r="Q2656"/>
      <c r="R2656"/>
      <c r="S2656"/>
    </row>
    <row r="2657" spans="1:19" x14ac:dyDescent="0.25">
      <c r="A2657" s="28" t="s">
        <v>14843</v>
      </c>
      <c r="J2657" t="s">
        <v>7183</v>
      </c>
      <c r="K2657" t="s">
        <v>7184</v>
      </c>
      <c r="M2657" t="s">
        <v>666</v>
      </c>
      <c r="N2657"/>
      <c r="O2657"/>
      <c r="P2657"/>
      <c r="Q2657"/>
      <c r="R2657"/>
      <c r="S2657"/>
    </row>
    <row r="2658" spans="1:19" x14ac:dyDescent="0.25">
      <c r="A2658" s="28" t="s">
        <v>14843</v>
      </c>
      <c r="J2658" t="s">
        <v>7185</v>
      </c>
      <c r="K2658" t="s">
        <v>7186</v>
      </c>
      <c r="M2658" t="s">
        <v>47</v>
      </c>
      <c r="N2658"/>
      <c r="O2658"/>
      <c r="P2658"/>
      <c r="Q2658"/>
      <c r="R2658"/>
      <c r="S2658"/>
    </row>
    <row r="2659" spans="1:19" x14ac:dyDescent="0.25">
      <c r="A2659" s="28" t="s">
        <v>14843</v>
      </c>
      <c r="J2659" t="s">
        <v>7187</v>
      </c>
      <c r="K2659" t="s">
        <v>7188</v>
      </c>
      <c r="M2659" t="s">
        <v>2820</v>
      </c>
      <c r="N2659"/>
      <c r="O2659"/>
      <c r="P2659"/>
      <c r="Q2659"/>
      <c r="R2659"/>
      <c r="S2659"/>
    </row>
    <row r="2660" spans="1:19" x14ac:dyDescent="0.25">
      <c r="A2660" t="s">
        <v>193</v>
      </c>
      <c r="C2660" s="27" t="s">
        <v>34749</v>
      </c>
      <c r="D2660" s="28" t="s">
        <v>34867</v>
      </c>
      <c r="J2660" t="s">
        <v>7189</v>
      </c>
      <c r="K2660" t="s">
        <v>7190</v>
      </c>
      <c r="L2660" s="28" t="s">
        <v>7191</v>
      </c>
      <c r="M2660" t="s">
        <v>23</v>
      </c>
      <c r="N2660"/>
      <c r="O2660"/>
      <c r="P2660"/>
      <c r="Q2660"/>
      <c r="R2660"/>
      <c r="S2660"/>
    </row>
    <row r="2661" spans="1:19" x14ac:dyDescent="0.25">
      <c r="A2661" s="28" t="s">
        <v>14843</v>
      </c>
      <c r="J2661" t="s">
        <v>7192</v>
      </c>
      <c r="K2661" t="s">
        <v>7193</v>
      </c>
      <c r="M2661" t="s">
        <v>47</v>
      </c>
      <c r="N2661"/>
      <c r="O2661"/>
      <c r="P2661"/>
      <c r="Q2661"/>
      <c r="R2661"/>
      <c r="S2661"/>
    </row>
    <row r="2662" spans="1:19" x14ac:dyDescent="0.25">
      <c r="A2662" s="28" t="s">
        <v>14843</v>
      </c>
      <c r="J2662" t="s">
        <v>7194</v>
      </c>
      <c r="K2662" t="s">
        <v>7195</v>
      </c>
      <c r="M2662" t="s">
        <v>666</v>
      </c>
      <c r="N2662"/>
      <c r="O2662"/>
      <c r="P2662"/>
      <c r="Q2662"/>
      <c r="R2662"/>
      <c r="S2662"/>
    </row>
    <row r="2663" spans="1:19" x14ac:dyDescent="0.25">
      <c r="A2663" s="28" t="s">
        <v>14843</v>
      </c>
      <c r="J2663" t="s">
        <v>7196</v>
      </c>
      <c r="K2663" t="s">
        <v>7197</v>
      </c>
      <c r="M2663" t="s">
        <v>666</v>
      </c>
      <c r="N2663"/>
      <c r="O2663"/>
      <c r="P2663"/>
      <c r="Q2663"/>
      <c r="R2663"/>
      <c r="S2663"/>
    </row>
    <row r="2664" spans="1:19" x14ac:dyDescent="0.25">
      <c r="A2664" s="28" t="s">
        <v>14843</v>
      </c>
      <c r="J2664" t="s">
        <v>7198</v>
      </c>
      <c r="K2664" t="s">
        <v>7199</v>
      </c>
      <c r="M2664" t="s">
        <v>47</v>
      </c>
      <c r="N2664"/>
      <c r="O2664"/>
      <c r="P2664"/>
      <c r="Q2664"/>
      <c r="R2664"/>
      <c r="S2664"/>
    </row>
    <row r="2665" spans="1:19" x14ac:dyDescent="0.25">
      <c r="A2665" s="28" t="s">
        <v>14843</v>
      </c>
      <c r="J2665" t="s">
        <v>7200</v>
      </c>
      <c r="K2665" t="s">
        <v>7201</v>
      </c>
      <c r="M2665" t="s">
        <v>47</v>
      </c>
      <c r="N2665"/>
      <c r="O2665"/>
      <c r="P2665"/>
      <c r="Q2665"/>
      <c r="R2665"/>
      <c r="S2665"/>
    </row>
    <row r="2666" spans="1:19" x14ac:dyDescent="0.25">
      <c r="A2666" s="28" t="s">
        <v>14843</v>
      </c>
      <c r="J2666" t="s">
        <v>7202</v>
      </c>
      <c r="K2666" t="s">
        <v>7203</v>
      </c>
      <c r="M2666" t="s">
        <v>47</v>
      </c>
      <c r="N2666"/>
      <c r="O2666"/>
      <c r="P2666"/>
      <c r="Q2666"/>
      <c r="R2666"/>
      <c r="S2666"/>
    </row>
    <row r="2667" spans="1:19" x14ac:dyDescent="0.25">
      <c r="A2667" s="28" t="s">
        <v>14843</v>
      </c>
      <c r="J2667" t="s">
        <v>7204</v>
      </c>
      <c r="K2667" t="s">
        <v>7205</v>
      </c>
      <c r="M2667" t="s">
        <v>47</v>
      </c>
      <c r="N2667"/>
      <c r="O2667"/>
      <c r="P2667"/>
      <c r="Q2667"/>
      <c r="R2667"/>
      <c r="S2667"/>
    </row>
    <row r="2668" spans="1:19" x14ac:dyDescent="0.25">
      <c r="A2668" s="28" t="s">
        <v>14843</v>
      </c>
      <c r="J2668" t="s">
        <v>7206</v>
      </c>
      <c r="K2668" t="s">
        <v>7207</v>
      </c>
      <c r="M2668" t="s">
        <v>47</v>
      </c>
      <c r="N2668"/>
      <c r="O2668"/>
      <c r="P2668"/>
      <c r="Q2668"/>
      <c r="R2668"/>
      <c r="S2668"/>
    </row>
    <row r="2669" spans="1:19" x14ac:dyDescent="0.25">
      <c r="A2669" s="28" t="s">
        <v>14843</v>
      </c>
      <c r="J2669" t="s">
        <v>7208</v>
      </c>
      <c r="K2669" t="s">
        <v>7209</v>
      </c>
      <c r="M2669" t="s">
        <v>666</v>
      </c>
      <c r="N2669"/>
      <c r="O2669"/>
      <c r="P2669"/>
      <c r="Q2669"/>
      <c r="R2669"/>
      <c r="S2669"/>
    </row>
    <row r="2670" spans="1:19" x14ac:dyDescent="0.25">
      <c r="A2670" s="28" t="s">
        <v>14843</v>
      </c>
      <c r="J2670" t="s">
        <v>7210</v>
      </c>
      <c r="K2670" t="s">
        <v>7211</v>
      </c>
      <c r="M2670" t="s">
        <v>47</v>
      </c>
      <c r="N2670"/>
      <c r="O2670"/>
      <c r="P2670"/>
      <c r="Q2670"/>
      <c r="R2670"/>
      <c r="S2670"/>
    </row>
    <row r="2671" spans="1:19" x14ac:dyDescent="0.25">
      <c r="A2671" t="s">
        <v>193</v>
      </c>
      <c r="C2671" s="27" t="s">
        <v>34749</v>
      </c>
      <c r="D2671" s="28" t="s">
        <v>34867</v>
      </c>
      <c r="J2671" t="s">
        <v>7212</v>
      </c>
      <c r="K2671" t="s">
        <v>7213</v>
      </c>
      <c r="L2671" s="28" t="s">
        <v>7214</v>
      </c>
      <c r="M2671" t="s">
        <v>23</v>
      </c>
      <c r="N2671"/>
      <c r="O2671"/>
      <c r="P2671"/>
      <c r="Q2671"/>
      <c r="R2671"/>
      <c r="S2671"/>
    </row>
    <row r="2672" spans="1:19" x14ac:dyDescent="0.25">
      <c r="A2672" t="s">
        <v>193</v>
      </c>
      <c r="C2672" s="27" t="s">
        <v>34749</v>
      </c>
      <c r="D2672" s="28" t="s">
        <v>34867</v>
      </c>
      <c r="J2672" t="s">
        <v>7215</v>
      </c>
      <c r="K2672" t="s">
        <v>7216</v>
      </c>
      <c r="L2672" s="28" t="s">
        <v>7217</v>
      </c>
      <c r="M2672" t="s">
        <v>23</v>
      </c>
      <c r="N2672"/>
      <c r="O2672"/>
      <c r="P2672"/>
      <c r="Q2672"/>
      <c r="R2672"/>
      <c r="S2672"/>
    </row>
    <row r="2673" spans="1:19" x14ac:dyDescent="0.25">
      <c r="A2673" s="28" t="s">
        <v>14843</v>
      </c>
      <c r="J2673" t="s">
        <v>7218</v>
      </c>
      <c r="K2673" t="s">
        <v>7219</v>
      </c>
      <c r="M2673" t="s">
        <v>2779</v>
      </c>
      <c r="N2673"/>
      <c r="O2673"/>
      <c r="P2673"/>
      <c r="Q2673"/>
      <c r="R2673"/>
      <c r="S2673"/>
    </row>
    <row r="2674" spans="1:19" x14ac:dyDescent="0.25">
      <c r="A2674" s="28" t="s">
        <v>14843</v>
      </c>
      <c r="J2674" t="s">
        <v>7220</v>
      </c>
      <c r="K2674" t="s">
        <v>7221</v>
      </c>
      <c r="M2674" t="s">
        <v>47</v>
      </c>
      <c r="N2674"/>
      <c r="O2674"/>
      <c r="P2674"/>
      <c r="Q2674"/>
      <c r="R2674"/>
      <c r="S2674"/>
    </row>
    <row r="2675" spans="1:19" x14ac:dyDescent="0.25">
      <c r="A2675" s="28" t="s">
        <v>14843</v>
      </c>
      <c r="J2675" t="s">
        <v>7222</v>
      </c>
      <c r="K2675" t="s">
        <v>7223</v>
      </c>
      <c r="M2675" t="s">
        <v>47</v>
      </c>
      <c r="N2675"/>
      <c r="O2675"/>
      <c r="P2675"/>
      <c r="Q2675"/>
      <c r="R2675"/>
      <c r="S2675"/>
    </row>
    <row r="2676" spans="1:19" x14ac:dyDescent="0.25">
      <c r="A2676" s="28" t="s">
        <v>14843</v>
      </c>
      <c r="J2676" t="s">
        <v>7224</v>
      </c>
      <c r="K2676" t="s">
        <v>7225</v>
      </c>
      <c r="M2676" t="s">
        <v>47</v>
      </c>
      <c r="N2676"/>
      <c r="O2676"/>
      <c r="P2676"/>
      <c r="Q2676"/>
      <c r="R2676"/>
      <c r="S2676"/>
    </row>
    <row r="2677" spans="1:19" x14ac:dyDescent="0.25">
      <c r="A2677" s="28" t="s">
        <v>14843</v>
      </c>
      <c r="J2677" t="s">
        <v>7226</v>
      </c>
      <c r="K2677" t="s">
        <v>7227</v>
      </c>
      <c r="M2677" t="s">
        <v>47</v>
      </c>
      <c r="N2677"/>
      <c r="O2677"/>
      <c r="P2677"/>
      <c r="Q2677"/>
      <c r="R2677"/>
      <c r="S2677"/>
    </row>
    <row r="2678" spans="1:19" x14ac:dyDescent="0.25">
      <c r="A2678" s="28" t="s">
        <v>14843</v>
      </c>
      <c r="J2678" t="s">
        <v>7228</v>
      </c>
      <c r="K2678" t="s">
        <v>7229</v>
      </c>
      <c r="M2678" t="s">
        <v>47</v>
      </c>
      <c r="N2678"/>
      <c r="O2678"/>
      <c r="P2678"/>
      <c r="Q2678"/>
      <c r="R2678"/>
      <c r="S2678"/>
    </row>
    <row r="2679" spans="1:19" x14ac:dyDescent="0.25">
      <c r="A2679" s="28" t="s">
        <v>14843</v>
      </c>
      <c r="J2679" t="s">
        <v>7230</v>
      </c>
      <c r="K2679" t="s">
        <v>7231</v>
      </c>
      <c r="M2679" t="s">
        <v>47</v>
      </c>
      <c r="N2679"/>
      <c r="O2679"/>
      <c r="P2679"/>
      <c r="Q2679"/>
      <c r="R2679"/>
      <c r="S2679"/>
    </row>
    <row r="2680" spans="1:19" x14ac:dyDescent="0.25">
      <c r="A2680" s="28" t="s">
        <v>14843</v>
      </c>
      <c r="J2680" t="s">
        <v>7232</v>
      </c>
      <c r="K2680" t="s">
        <v>7233</v>
      </c>
      <c r="M2680" t="s">
        <v>47</v>
      </c>
      <c r="N2680"/>
      <c r="O2680"/>
      <c r="P2680"/>
      <c r="Q2680"/>
      <c r="R2680"/>
      <c r="S2680"/>
    </row>
    <row r="2681" spans="1:19" x14ac:dyDescent="0.25">
      <c r="A2681" s="28" t="s">
        <v>14843</v>
      </c>
      <c r="E2681" s="3"/>
      <c r="F2681" s="3"/>
      <c r="J2681" t="s">
        <v>7234</v>
      </c>
      <c r="K2681" t="s">
        <v>7235</v>
      </c>
      <c r="M2681" t="s">
        <v>47</v>
      </c>
      <c r="N2681"/>
      <c r="O2681"/>
      <c r="P2681"/>
      <c r="Q2681"/>
      <c r="R2681"/>
      <c r="S2681"/>
    </row>
    <row r="2682" spans="1:19" x14ac:dyDescent="0.25">
      <c r="A2682" s="28" t="s">
        <v>14843</v>
      </c>
      <c r="J2682" t="s">
        <v>7236</v>
      </c>
      <c r="K2682" t="s">
        <v>7237</v>
      </c>
      <c r="M2682" t="s">
        <v>47</v>
      </c>
      <c r="N2682"/>
      <c r="O2682"/>
      <c r="P2682"/>
      <c r="Q2682"/>
      <c r="R2682"/>
      <c r="S2682"/>
    </row>
    <row r="2683" spans="1:19" x14ac:dyDescent="0.25">
      <c r="A2683" s="28" t="s">
        <v>14843</v>
      </c>
      <c r="J2683" t="s">
        <v>7238</v>
      </c>
      <c r="K2683" t="s">
        <v>7239</v>
      </c>
      <c r="M2683" t="s">
        <v>47</v>
      </c>
      <c r="N2683"/>
      <c r="O2683"/>
      <c r="P2683"/>
      <c r="Q2683"/>
      <c r="R2683"/>
      <c r="S2683"/>
    </row>
    <row r="2684" spans="1:19" x14ac:dyDescent="0.25">
      <c r="A2684" s="28" t="s">
        <v>14843</v>
      </c>
      <c r="J2684" t="s">
        <v>7240</v>
      </c>
      <c r="K2684" t="s">
        <v>7241</v>
      </c>
      <c r="M2684" t="s">
        <v>47</v>
      </c>
      <c r="N2684"/>
      <c r="O2684"/>
      <c r="P2684"/>
      <c r="Q2684"/>
      <c r="R2684"/>
      <c r="S2684"/>
    </row>
    <row r="2685" spans="1:19" x14ac:dyDescent="0.25">
      <c r="A2685" s="28" t="s">
        <v>14843</v>
      </c>
      <c r="J2685" t="s">
        <v>7242</v>
      </c>
      <c r="K2685" t="s">
        <v>7243</v>
      </c>
      <c r="M2685" t="s">
        <v>47</v>
      </c>
      <c r="N2685"/>
      <c r="O2685"/>
      <c r="P2685"/>
      <c r="Q2685"/>
      <c r="R2685"/>
      <c r="S2685"/>
    </row>
    <row r="2686" spans="1:19" x14ac:dyDescent="0.25">
      <c r="A2686" s="28" t="s">
        <v>14843</v>
      </c>
      <c r="C2686"/>
      <c r="E2686"/>
      <c r="F2686"/>
      <c r="G2686"/>
      <c r="H2686"/>
      <c r="I2686"/>
      <c r="J2686" t="s">
        <v>7244</v>
      </c>
      <c r="K2686" t="s">
        <v>7245</v>
      </c>
      <c r="M2686" t="s">
        <v>47</v>
      </c>
      <c r="N2686"/>
      <c r="O2686"/>
      <c r="P2686"/>
      <c r="Q2686"/>
      <c r="R2686"/>
      <c r="S2686"/>
    </row>
    <row r="2687" spans="1:19" x14ac:dyDescent="0.25">
      <c r="A2687" s="28" t="s">
        <v>14843</v>
      </c>
      <c r="C2687"/>
      <c r="E2687"/>
      <c r="F2687"/>
      <c r="G2687"/>
      <c r="H2687"/>
      <c r="I2687"/>
      <c r="J2687" t="s">
        <v>7246</v>
      </c>
      <c r="K2687" t="s">
        <v>7247</v>
      </c>
      <c r="M2687" t="s">
        <v>47</v>
      </c>
      <c r="N2687"/>
      <c r="O2687"/>
      <c r="P2687"/>
      <c r="Q2687"/>
      <c r="R2687"/>
      <c r="S2687"/>
    </row>
    <row r="2688" spans="1:19" x14ac:dyDescent="0.25">
      <c r="A2688" s="28" t="s">
        <v>14843</v>
      </c>
      <c r="C2688"/>
      <c r="E2688"/>
      <c r="F2688"/>
      <c r="G2688"/>
      <c r="H2688"/>
      <c r="I2688"/>
      <c r="J2688" t="s">
        <v>7248</v>
      </c>
      <c r="K2688" t="s">
        <v>7249</v>
      </c>
      <c r="M2688" t="s">
        <v>666</v>
      </c>
      <c r="N2688"/>
      <c r="O2688"/>
      <c r="P2688"/>
      <c r="Q2688"/>
      <c r="R2688"/>
      <c r="S2688"/>
    </row>
    <row r="2689" spans="1:19" x14ac:dyDescent="0.25">
      <c r="A2689" s="28" t="s">
        <v>14843</v>
      </c>
      <c r="C2689"/>
      <c r="E2689"/>
      <c r="F2689"/>
      <c r="G2689"/>
      <c r="H2689"/>
      <c r="I2689"/>
      <c r="J2689" t="s">
        <v>7250</v>
      </c>
      <c r="K2689" t="s">
        <v>7251</v>
      </c>
      <c r="M2689" t="s">
        <v>2820</v>
      </c>
      <c r="N2689"/>
      <c r="O2689"/>
      <c r="P2689"/>
      <c r="Q2689"/>
      <c r="R2689"/>
      <c r="S2689"/>
    </row>
    <row r="2690" spans="1:19" x14ac:dyDescent="0.25">
      <c r="A2690" s="28" t="s">
        <v>14843</v>
      </c>
      <c r="C2690"/>
      <c r="E2690"/>
      <c r="F2690"/>
      <c r="G2690"/>
      <c r="H2690"/>
      <c r="I2690"/>
      <c r="J2690" t="s">
        <v>7252</v>
      </c>
      <c r="K2690" t="s">
        <v>7253</v>
      </c>
      <c r="M2690" t="s">
        <v>666</v>
      </c>
      <c r="N2690"/>
      <c r="O2690"/>
      <c r="P2690"/>
      <c r="Q2690"/>
      <c r="R2690"/>
      <c r="S2690"/>
    </row>
    <row r="2691" spans="1:19" x14ac:dyDescent="0.25">
      <c r="A2691" s="28" t="s">
        <v>14843</v>
      </c>
      <c r="C2691"/>
      <c r="E2691"/>
      <c r="F2691"/>
      <c r="G2691"/>
      <c r="H2691"/>
      <c r="I2691"/>
      <c r="J2691" t="s">
        <v>7254</v>
      </c>
      <c r="K2691" t="s">
        <v>7255</v>
      </c>
      <c r="M2691" t="s">
        <v>666</v>
      </c>
      <c r="N2691"/>
      <c r="O2691"/>
      <c r="P2691"/>
      <c r="Q2691"/>
      <c r="R2691"/>
      <c r="S2691"/>
    </row>
    <row r="2692" spans="1:19" x14ac:dyDescent="0.25">
      <c r="A2692" s="28" t="s">
        <v>14843</v>
      </c>
      <c r="C2692"/>
      <c r="E2692"/>
      <c r="F2692"/>
      <c r="G2692"/>
      <c r="H2692"/>
      <c r="I2692"/>
      <c r="J2692" t="s">
        <v>7256</v>
      </c>
      <c r="K2692" t="s">
        <v>7257</v>
      </c>
      <c r="M2692" t="s">
        <v>666</v>
      </c>
      <c r="N2692"/>
      <c r="O2692"/>
      <c r="P2692"/>
      <c r="Q2692"/>
      <c r="R2692"/>
      <c r="S2692"/>
    </row>
    <row r="2693" spans="1:19" x14ac:dyDescent="0.25">
      <c r="A2693" s="28" t="s">
        <v>14843</v>
      </c>
      <c r="C2693"/>
      <c r="E2693"/>
      <c r="F2693"/>
      <c r="G2693"/>
      <c r="H2693"/>
      <c r="I2693"/>
      <c r="J2693" t="s">
        <v>7258</v>
      </c>
      <c r="K2693" t="s">
        <v>7259</v>
      </c>
      <c r="M2693" t="s">
        <v>666</v>
      </c>
      <c r="N2693"/>
      <c r="O2693"/>
      <c r="P2693"/>
      <c r="Q2693"/>
      <c r="R2693"/>
      <c r="S2693"/>
    </row>
    <row r="2694" spans="1:19" x14ac:dyDescent="0.25">
      <c r="A2694" s="28" t="s">
        <v>14843</v>
      </c>
      <c r="C2694"/>
      <c r="E2694"/>
      <c r="F2694"/>
      <c r="G2694"/>
      <c r="H2694"/>
      <c r="I2694"/>
      <c r="J2694" t="s">
        <v>7260</v>
      </c>
      <c r="K2694" t="s">
        <v>7261</v>
      </c>
      <c r="M2694" t="s">
        <v>47</v>
      </c>
      <c r="N2694"/>
      <c r="O2694"/>
      <c r="P2694"/>
      <c r="Q2694"/>
      <c r="R2694"/>
      <c r="S2694"/>
    </row>
    <row r="2695" spans="1:19" x14ac:dyDescent="0.25">
      <c r="A2695" s="28" t="s">
        <v>14843</v>
      </c>
      <c r="C2695"/>
      <c r="E2695"/>
      <c r="F2695"/>
      <c r="G2695"/>
      <c r="H2695"/>
      <c r="I2695"/>
      <c r="J2695" t="s">
        <v>7262</v>
      </c>
      <c r="K2695" t="s">
        <v>7263</v>
      </c>
      <c r="M2695" t="s">
        <v>47</v>
      </c>
      <c r="N2695"/>
      <c r="O2695"/>
      <c r="P2695"/>
      <c r="Q2695"/>
      <c r="R2695"/>
      <c r="S2695"/>
    </row>
    <row r="2696" spans="1:19" x14ac:dyDescent="0.25">
      <c r="A2696" s="28" t="s">
        <v>14843</v>
      </c>
      <c r="C2696"/>
      <c r="E2696"/>
      <c r="F2696"/>
      <c r="G2696"/>
      <c r="H2696"/>
      <c r="I2696"/>
      <c r="J2696" t="s">
        <v>7264</v>
      </c>
      <c r="K2696" t="s">
        <v>7265</v>
      </c>
      <c r="M2696" t="s">
        <v>2820</v>
      </c>
      <c r="N2696"/>
      <c r="O2696"/>
      <c r="P2696"/>
      <c r="Q2696"/>
      <c r="R2696"/>
      <c r="S2696"/>
    </row>
    <row r="2697" spans="1:19" x14ac:dyDescent="0.25">
      <c r="A2697" s="28" t="s">
        <v>14843</v>
      </c>
      <c r="C2697"/>
      <c r="E2697"/>
      <c r="F2697"/>
      <c r="G2697"/>
      <c r="H2697"/>
      <c r="I2697"/>
      <c r="J2697" t="s">
        <v>7266</v>
      </c>
      <c r="K2697" t="s">
        <v>7267</v>
      </c>
      <c r="M2697" t="s">
        <v>47</v>
      </c>
      <c r="N2697"/>
      <c r="O2697"/>
      <c r="P2697"/>
      <c r="Q2697"/>
      <c r="R2697"/>
      <c r="S2697"/>
    </row>
    <row r="2698" spans="1:19" x14ac:dyDescent="0.25">
      <c r="A2698" s="28" t="s">
        <v>14843</v>
      </c>
      <c r="C2698"/>
      <c r="E2698"/>
      <c r="F2698"/>
      <c r="G2698"/>
      <c r="H2698"/>
      <c r="I2698"/>
      <c r="J2698" t="s">
        <v>7268</v>
      </c>
      <c r="K2698" t="s">
        <v>7269</v>
      </c>
      <c r="M2698" t="s">
        <v>2820</v>
      </c>
      <c r="N2698"/>
      <c r="O2698"/>
      <c r="P2698"/>
      <c r="Q2698"/>
      <c r="R2698"/>
      <c r="S2698"/>
    </row>
    <row r="2699" spans="1:19" x14ac:dyDescent="0.25">
      <c r="A2699" s="28" t="s">
        <v>14843</v>
      </c>
      <c r="C2699"/>
      <c r="E2699"/>
      <c r="F2699"/>
      <c r="G2699"/>
      <c r="H2699"/>
      <c r="I2699"/>
      <c r="J2699" t="s">
        <v>7270</v>
      </c>
      <c r="K2699" t="s">
        <v>7271</v>
      </c>
      <c r="M2699" t="s">
        <v>2820</v>
      </c>
      <c r="N2699"/>
      <c r="O2699"/>
      <c r="P2699"/>
      <c r="Q2699"/>
      <c r="R2699"/>
      <c r="S2699"/>
    </row>
    <row r="2700" spans="1:19" x14ac:dyDescent="0.25">
      <c r="A2700" s="28" t="s">
        <v>14843</v>
      </c>
      <c r="C2700"/>
      <c r="E2700"/>
      <c r="F2700"/>
      <c r="G2700"/>
      <c r="H2700"/>
      <c r="I2700"/>
      <c r="J2700" t="s">
        <v>7272</v>
      </c>
      <c r="K2700" t="s">
        <v>7273</v>
      </c>
      <c r="M2700" t="s">
        <v>2820</v>
      </c>
      <c r="N2700"/>
      <c r="O2700"/>
      <c r="P2700"/>
      <c r="Q2700"/>
      <c r="R2700"/>
      <c r="S2700"/>
    </row>
    <row r="2701" spans="1:19" x14ac:dyDescent="0.25">
      <c r="A2701" s="28" t="s">
        <v>14843</v>
      </c>
      <c r="C2701"/>
      <c r="E2701"/>
      <c r="F2701"/>
      <c r="G2701"/>
      <c r="H2701"/>
      <c r="I2701"/>
      <c r="J2701" t="s">
        <v>7274</v>
      </c>
      <c r="K2701" t="s">
        <v>7275</v>
      </c>
      <c r="M2701" t="s">
        <v>2820</v>
      </c>
      <c r="N2701"/>
      <c r="O2701"/>
      <c r="P2701"/>
      <c r="Q2701"/>
      <c r="R2701"/>
      <c r="S2701"/>
    </row>
    <row r="2702" spans="1:19" x14ac:dyDescent="0.25">
      <c r="A2702" s="28" t="s">
        <v>14843</v>
      </c>
      <c r="J2702" t="s">
        <v>7276</v>
      </c>
      <c r="K2702" t="s">
        <v>7277</v>
      </c>
      <c r="M2702" t="s">
        <v>2820</v>
      </c>
      <c r="N2702"/>
      <c r="O2702"/>
      <c r="P2702"/>
      <c r="Q2702"/>
      <c r="R2702"/>
      <c r="S2702"/>
    </row>
    <row r="2703" spans="1:19" x14ac:dyDescent="0.25">
      <c r="A2703" s="28" t="s">
        <v>14843</v>
      </c>
      <c r="J2703" t="s">
        <v>7278</v>
      </c>
      <c r="K2703" t="s">
        <v>7279</v>
      </c>
      <c r="M2703" t="s">
        <v>47</v>
      </c>
      <c r="N2703"/>
      <c r="O2703"/>
      <c r="P2703"/>
      <c r="Q2703"/>
      <c r="R2703"/>
      <c r="S2703"/>
    </row>
    <row r="2704" spans="1:19" x14ac:dyDescent="0.25">
      <c r="A2704" s="28" t="s">
        <v>14843</v>
      </c>
      <c r="J2704" t="s">
        <v>7280</v>
      </c>
      <c r="K2704" t="s">
        <v>7281</v>
      </c>
      <c r="M2704" t="s">
        <v>47</v>
      </c>
      <c r="N2704"/>
      <c r="O2704"/>
      <c r="P2704"/>
      <c r="Q2704"/>
      <c r="R2704"/>
      <c r="S2704"/>
    </row>
    <row r="2705" spans="1:19" x14ac:dyDescent="0.25">
      <c r="A2705" s="28" t="s">
        <v>14843</v>
      </c>
      <c r="J2705" t="s">
        <v>7282</v>
      </c>
      <c r="K2705" t="s">
        <v>7283</v>
      </c>
      <c r="M2705" t="s">
        <v>2820</v>
      </c>
      <c r="N2705"/>
      <c r="O2705"/>
      <c r="P2705"/>
      <c r="Q2705"/>
      <c r="R2705"/>
      <c r="S2705"/>
    </row>
    <row r="2706" spans="1:19" x14ac:dyDescent="0.25">
      <c r="A2706" s="28" t="s">
        <v>14843</v>
      </c>
      <c r="J2706" t="s">
        <v>7284</v>
      </c>
      <c r="K2706" t="s">
        <v>7285</v>
      </c>
      <c r="M2706" t="s">
        <v>2820</v>
      </c>
      <c r="N2706"/>
      <c r="O2706"/>
      <c r="P2706"/>
      <c r="Q2706"/>
      <c r="R2706"/>
      <c r="S2706"/>
    </row>
    <row r="2707" spans="1:19" x14ac:dyDescent="0.25">
      <c r="A2707" s="28" t="s">
        <v>14843</v>
      </c>
      <c r="J2707" t="s">
        <v>7286</v>
      </c>
      <c r="K2707" t="s">
        <v>7287</v>
      </c>
      <c r="M2707" t="s">
        <v>666</v>
      </c>
      <c r="N2707"/>
      <c r="O2707"/>
      <c r="P2707"/>
      <c r="Q2707"/>
      <c r="R2707"/>
      <c r="S2707"/>
    </row>
    <row r="2708" spans="1:19" x14ac:dyDescent="0.25">
      <c r="A2708" s="28" t="s">
        <v>14843</v>
      </c>
      <c r="J2708" t="s">
        <v>7288</v>
      </c>
      <c r="K2708" t="s">
        <v>7289</v>
      </c>
      <c r="M2708" t="s">
        <v>47</v>
      </c>
      <c r="N2708"/>
      <c r="O2708"/>
      <c r="P2708"/>
      <c r="Q2708"/>
      <c r="R2708"/>
      <c r="S2708"/>
    </row>
    <row r="2709" spans="1:19" x14ac:dyDescent="0.25">
      <c r="A2709" s="28" t="s">
        <v>14843</v>
      </c>
      <c r="J2709" t="s">
        <v>7290</v>
      </c>
      <c r="K2709" t="s">
        <v>7291</v>
      </c>
      <c r="M2709" t="s">
        <v>47</v>
      </c>
      <c r="N2709"/>
      <c r="O2709"/>
      <c r="P2709"/>
      <c r="Q2709"/>
      <c r="R2709"/>
      <c r="S2709"/>
    </row>
    <row r="2710" spans="1:19" x14ac:dyDescent="0.25">
      <c r="A2710" s="28" t="s">
        <v>14843</v>
      </c>
      <c r="J2710" t="s">
        <v>7292</v>
      </c>
      <c r="K2710" t="s">
        <v>7293</v>
      </c>
      <c r="M2710" t="s">
        <v>2820</v>
      </c>
      <c r="N2710"/>
      <c r="O2710"/>
      <c r="P2710"/>
      <c r="Q2710"/>
      <c r="R2710"/>
      <c r="S2710"/>
    </row>
    <row r="2711" spans="1:19" x14ac:dyDescent="0.25">
      <c r="A2711" s="28" t="s">
        <v>14843</v>
      </c>
      <c r="J2711" t="s">
        <v>7294</v>
      </c>
      <c r="K2711" t="s">
        <v>7295</v>
      </c>
      <c r="M2711" t="s">
        <v>666</v>
      </c>
      <c r="N2711"/>
      <c r="O2711"/>
      <c r="P2711"/>
      <c r="Q2711"/>
      <c r="R2711"/>
      <c r="S2711"/>
    </row>
    <row r="2712" spans="1:19" x14ac:dyDescent="0.25">
      <c r="A2712" s="28" t="s">
        <v>14843</v>
      </c>
      <c r="J2712" t="s">
        <v>7296</v>
      </c>
      <c r="K2712" t="s">
        <v>7297</v>
      </c>
      <c r="M2712" t="s">
        <v>666</v>
      </c>
      <c r="N2712"/>
      <c r="O2712"/>
      <c r="P2712"/>
      <c r="Q2712"/>
      <c r="R2712"/>
      <c r="S2712"/>
    </row>
    <row r="2713" spans="1:19" x14ac:dyDescent="0.25">
      <c r="A2713" s="28" t="s">
        <v>14843</v>
      </c>
      <c r="J2713" t="s">
        <v>7298</v>
      </c>
      <c r="K2713" t="s">
        <v>7299</v>
      </c>
      <c r="M2713" t="s">
        <v>2820</v>
      </c>
      <c r="N2713"/>
      <c r="O2713"/>
      <c r="P2713"/>
      <c r="Q2713"/>
      <c r="R2713"/>
      <c r="S2713"/>
    </row>
    <row r="2714" spans="1:19" x14ac:dyDescent="0.25">
      <c r="A2714" s="28" t="s">
        <v>14843</v>
      </c>
      <c r="J2714" t="s">
        <v>7300</v>
      </c>
      <c r="K2714" t="s">
        <v>7301</v>
      </c>
      <c r="M2714" t="s">
        <v>666</v>
      </c>
      <c r="N2714"/>
      <c r="O2714"/>
      <c r="P2714"/>
      <c r="Q2714"/>
      <c r="R2714"/>
      <c r="S2714"/>
    </row>
    <row r="2715" spans="1:19" x14ac:dyDescent="0.25">
      <c r="A2715" t="s">
        <v>193</v>
      </c>
      <c r="C2715" s="27" t="s">
        <v>34749</v>
      </c>
      <c r="D2715" s="28" t="s">
        <v>34867</v>
      </c>
      <c r="J2715" t="s">
        <v>7302</v>
      </c>
      <c r="K2715" t="s">
        <v>7303</v>
      </c>
      <c r="L2715" s="28" t="s">
        <v>7304</v>
      </c>
      <c r="M2715" t="s">
        <v>23</v>
      </c>
      <c r="N2715"/>
      <c r="O2715"/>
      <c r="P2715"/>
      <c r="Q2715"/>
      <c r="R2715"/>
      <c r="S2715"/>
    </row>
    <row r="2716" spans="1:19" x14ac:dyDescent="0.25">
      <c r="A2716" t="s">
        <v>193</v>
      </c>
      <c r="C2716" s="27" t="s">
        <v>34749</v>
      </c>
      <c r="D2716" s="28" t="s">
        <v>34867</v>
      </c>
      <c r="J2716" t="s">
        <v>7305</v>
      </c>
      <c r="K2716" t="s">
        <v>7306</v>
      </c>
      <c r="L2716" s="28" t="s">
        <v>7307</v>
      </c>
      <c r="M2716" t="s">
        <v>23</v>
      </c>
      <c r="N2716"/>
      <c r="O2716"/>
      <c r="P2716"/>
      <c r="Q2716"/>
      <c r="R2716"/>
      <c r="S2716"/>
    </row>
    <row r="2717" spans="1:19" x14ac:dyDescent="0.25">
      <c r="A2717" t="s">
        <v>193</v>
      </c>
      <c r="C2717" s="27" t="s">
        <v>34749</v>
      </c>
      <c r="D2717" s="28" t="s">
        <v>34867</v>
      </c>
      <c r="J2717" t="s">
        <v>7308</v>
      </c>
      <c r="K2717" t="s">
        <v>7309</v>
      </c>
      <c r="L2717" s="28" t="s">
        <v>7310</v>
      </c>
      <c r="M2717" t="s">
        <v>23</v>
      </c>
      <c r="N2717"/>
      <c r="O2717"/>
      <c r="P2717"/>
      <c r="Q2717"/>
      <c r="R2717"/>
      <c r="S2717"/>
    </row>
    <row r="2718" spans="1:19" x14ac:dyDescent="0.25">
      <c r="A2718" t="s">
        <v>193</v>
      </c>
      <c r="C2718" s="27" t="s">
        <v>34749</v>
      </c>
      <c r="D2718" s="28" t="s">
        <v>34867</v>
      </c>
      <c r="J2718" t="s">
        <v>7311</v>
      </c>
      <c r="K2718" t="s">
        <v>7312</v>
      </c>
      <c r="L2718" s="28" t="s">
        <v>7313</v>
      </c>
      <c r="M2718" t="s">
        <v>23</v>
      </c>
      <c r="N2718"/>
      <c r="O2718"/>
      <c r="P2718"/>
      <c r="Q2718"/>
      <c r="R2718"/>
      <c r="S2718"/>
    </row>
    <row r="2719" spans="1:19" x14ac:dyDescent="0.25">
      <c r="A2719" t="s">
        <v>193</v>
      </c>
      <c r="C2719" s="27" t="s">
        <v>34749</v>
      </c>
      <c r="D2719" s="28" t="s">
        <v>34867</v>
      </c>
      <c r="J2719" t="s">
        <v>7314</v>
      </c>
      <c r="K2719" t="s">
        <v>7315</v>
      </c>
      <c r="L2719" s="28" t="s">
        <v>7316</v>
      </c>
      <c r="M2719" t="s">
        <v>23</v>
      </c>
      <c r="N2719"/>
      <c r="O2719"/>
      <c r="P2719"/>
      <c r="Q2719"/>
      <c r="R2719"/>
      <c r="S2719"/>
    </row>
    <row r="2720" spans="1:19" x14ac:dyDescent="0.25">
      <c r="A2720" t="s">
        <v>193</v>
      </c>
      <c r="C2720" s="27" t="s">
        <v>34749</v>
      </c>
      <c r="D2720" s="28" t="s">
        <v>34867</v>
      </c>
      <c r="J2720" t="s">
        <v>7317</v>
      </c>
      <c r="K2720" t="s">
        <v>7318</v>
      </c>
      <c r="L2720" s="28" t="s">
        <v>7319</v>
      </c>
      <c r="M2720" t="s">
        <v>23</v>
      </c>
      <c r="N2720"/>
      <c r="O2720"/>
      <c r="P2720"/>
      <c r="Q2720"/>
      <c r="R2720"/>
      <c r="S2720"/>
    </row>
    <row r="2721" spans="1:19" x14ac:dyDescent="0.25">
      <c r="A2721" t="s">
        <v>193</v>
      </c>
      <c r="C2721" s="27" t="s">
        <v>34749</v>
      </c>
      <c r="D2721" s="28" t="s">
        <v>34867</v>
      </c>
      <c r="J2721" t="s">
        <v>7320</v>
      </c>
      <c r="K2721" t="s">
        <v>7321</v>
      </c>
      <c r="L2721" s="28" t="s">
        <v>7322</v>
      </c>
      <c r="M2721" t="s">
        <v>23</v>
      </c>
      <c r="N2721"/>
      <c r="O2721"/>
      <c r="P2721"/>
      <c r="Q2721"/>
      <c r="R2721"/>
      <c r="S2721"/>
    </row>
    <row r="2722" spans="1:19" x14ac:dyDescent="0.25">
      <c r="A2722" t="s">
        <v>193</v>
      </c>
      <c r="C2722" s="27" t="s">
        <v>34749</v>
      </c>
      <c r="D2722" s="28" t="s">
        <v>34867</v>
      </c>
      <c r="J2722" t="s">
        <v>7323</v>
      </c>
      <c r="K2722" t="s">
        <v>7324</v>
      </c>
      <c r="L2722" s="28" t="s">
        <v>7325</v>
      </c>
      <c r="M2722" t="s">
        <v>23</v>
      </c>
      <c r="N2722"/>
      <c r="O2722"/>
      <c r="P2722"/>
      <c r="Q2722"/>
      <c r="R2722"/>
      <c r="S2722"/>
    </row>
    <row r="2723" spans="1:19" x14ac:dyDescent="0.25">
      <c r="A2723" t="s">
        <v>193</v>
      </c>
      <c r="C2723" s="27" t="s">
        <v>34749</v>
      </c>
      <c r="D2723" s="28" t="s">
        <v>34867</v>
      </c>
      <c r="J2723" t="s">
        <v>7326</v>
      </c>
      <c r="K2723" t="s">
        <v>7327</v>
      </c>
      <c r="L2723" s="28" t="s">
        <v>7328</v>
      </c>
      <c r="M2723" t="s">
        <v>23</v>
      </c>
      <c r="N2723"/>
      <c r="O2723"/>
      <c r="P2723"/>
      <c r="Q2723"/>
      <c r="R2723"/>
      <c r="S2723"/>
    </row>
    <row r="2724" spans="1:19" x14ac:dyDescent="0.25">
      <c r="A2724" t="s">
        <v>193</v>
      </c>
      <c r="C2724" s="27" t="s">
        <v>34749</v>
      </c>
      <c r="D2724" s="28" t="s">
        <v>34867</v>
      </c>
      <c r="J2724" t="s">
        <v>7329</v>
      </c>
      <c r="K2724" t="s">
        <v>7330</v>
      </c>
      <c r="L2724" s="28" t="s">
        <v>7331</v>
      </c>
      <c r="M2724" t="s">
        <v>23</v>
      </c>
      <c r="N2724"/>
      <c r="O2724"/>
      <c r="P2724"/>
      <c r="Q2724"/>
      <c r="R2724"/>
      <c r="S2724"/>
    </row>
    <row r="2725" spans="1:19" x14ac:dyDescent="0.25">
      <c r="A2725" t="s">
        <v>193</v>
      </c>
      <c r="C2725" s="27" t="s">
        <v>34749</v>
      </c>
      <c r="D2725" s="28" t="s">
        <v>34867</v>
      </c>
      <c r="J2725" t="s">
        <v>7332</v>
      </c>
      <c r="K2725" t="s">
        <v>7333</v>
      </c>
      <c r="L2725" s="28" t="s">
        <v>7334</v>
      </c>
      <c r="M2725" t="s">
        <v>23</v>
      </c>
      <c r="N2725"/>
      <c r="O2725"/>
      <c r="P2725"/>
      <c r="Q2725"/>
      <c r="R2725"/>
      <c r="S2725"/>
    </row>
    <row r="2726" spans="1:19" x14ac:dyDescent="0.25">
      <c r="A2726" t="s">
        <v>193</v>
      </c>
      <c r="C2726" s="27" t="s">
        <v>34749</v>
      </c>
      <c r="D2726" s="28" t="s">
        <v>34867</v>
      </c>
      <c r="J2726" t="s">
        <v>7335</v>
      </c>
      <c r="K2726" t="s">
        <v>7336</v>
      </c>
      <c r="L2726" s="28" t="s">
        <v>7337</v>
      </c>
      <c r="M2726" t="s">
        <v>23</v>
      </c>
      <c r="N2726"/>
      <c r="O2726"/>
      <c r="P2726"/>
      <c r="Q2726"/>
      <c r="R2726"/>
      <c r="S2726"/>
    </row>
    <row r="2727" spans="1:19" x14ac:dyDescent="0.25">
      <c r="A2727" t="s">
        <v>193</v>
      </c>
      <c r="C2727" s="27" t="s">
        <v>34749</v>
      </c>
      <c r="D2727" s="28" t="s">
        <v>34867</v>
      </c>
      <c r="J2727" t="s">
        <v>7338</v>
      </c>
      <c r="K2727" t="s">
        <v>7339</v>
      </c>
      <c r="L2727" s="28" t="s">
        <v>7340</v>
      </c>
      <c r="M2727" t="s">
        <v>23</v>
      </c>
      <c r="N2727"/>
      <c r="O2727"/>
      <c r="P2727"/>
      <c r="Q2727"/>
      <c r="R2727"/>
      <c r="S2727"/>
    </row>
    <row r="2728" spans="1:19" x14ac:dyDescent="0.25">
      <c r="A2728" t="s">
        <v>193</v>
      </c>
      <c r="C2728" s="27" t="s">
        <v>34749</v>
      </c>
      <c r="D2728" s="28" t="s">
        <v>34867</v>
      </c>
      <c r="J2728" t="s">
        <v>7341</v>
      </c>
      <c r="K2728" t="s">
        <v>7342</v>
      </c>
      <c r="L2728" s="28" t="s">
        <v>7343</v>
      </c>
      <c r="M2728" t="s">
        <v>23</v>
      </c>
      <c r="N2728"/>
      <c r="O2728"/>
      <c r="P2728"/>
      <c r="Q2728"/>
      <c r="R2728"/>
      <c r="S2728"/>
    </row>
    <row r="2729" spans="1:19" x14ac:dyDescent="0.25">
      <c r="A2729" s="27" t="s">
        <v>193</v>
      </c>
      <c r="J2729" t="s">
        <v>7344</v>
      </c>
      <c r="K2729" t="s">
        <v>7345</v>
      </c>
      <c r="M2729" t="s">
        <v>23</v>
      </c>
      <c r="N2729"/>
      <c r="O2729"/>
      <c r="P2729"/>
      <c r="Q2729"/>
      <c r="R2729"/>
      <c r="S2729"/>
    </row>
    <row r="2730" spans="1:19" x14ac:dyDescent="0.25">
      <c r="A2730" s="28" t="s">
        <v>14843</v>
      </c>
      <c r="J2730" t="s">
        <v>7348</v>
      </c>
      <c r="K2730" t="s">
        <v>7349</v>
      </c>
      <c r="M2730" t="s">
        <v>47</v>
      </c>
      <c r="N2730"/>
      <c r="O2730"/>
      <c r="P2730"/>
      <c r="Q2730"/>
      <c r="R2730"/>
      <c r="S2730"/>
    </row>
    <row r="2731" spans="1:19" x14ac:dyDescent="0.25">
      <c r="A2731" t="s">
        <v>193</v>
      </c>
      <c r="C2731" s="27" t="s">
        <v>34749</v>
      </c>
      <c r="D2731" s="28" t="s">
        <v>34867</v>
      </c>
      <c r="J2731" t="s">
        <v>7350</v>
      </c>
      <c r="K2731" t="s">
        <v>7351</v>
      </c>
      <c r="L2731" s="28" t="s">
        <v>7352</v>
      </c>
      <c r="M2731" t="s">
        <v>23</v>
      </c>
      <c r="N2731"/>
      <c r="O2731"/>
      <c r="P2731"/>
      <c r="Q2731"/>
      <c r="R2731"/>
      <c r="S2731"/>
    </row>
    <row r="2732" spans="1:19" x14ac:dyDescent="0.25">
      <c r="A2732" t="s">
        <v>193</v>
      </c>
      <c r="C2732" s="27" t="s">
        <v>34749</v>
      </c>
      <c r="D2732" s="28" t="s">
        <v>34867</v>
      </c>
      <c r="J2732" t="s">
        <v>7353</v>
      </c>
      <c r="K2732" t="s">
        <v>7354</v>
      </c>
      <c r="L2732" s="28" t="s">
        <v>7355</v>
      </c>
      <c r="M2732" t="s">
        <v>23</v>
      </c>
      <c r="N2732"/>
      <c r="O2732"/>
      <c r="P2732"/>
      <c r="Q2732"/>
      <c r="R2732"/>
      <c r="S2732"/>
    </row>
    <row r="2733" spans="1:19" x14ac:dyDescent="0.25">
      <c r="A2733" t="s">
        <v>193</v>
      </c>
      <c r="C2733" s="27" t="s">
        <v>34749</v>
      </c>
      <c r="D2733" s="28" t="s">
        <v>34867</v>
      </c>
      <c r="J2733" t="s">
        <v>7356</v>
      </c>
      <c r="K2733" t="s">
        <v>7357</v>
      </c>
      <c r="L2733" s="28" t="s">
        <v>7358</v>
      </c>
      <c r="M2733" t="s">
        <v>23</v>
      </c>
      <c r="N2733"/>
      <c r="O2733"/>
      <c r="P2733"/>
      <c r="Q2733"/>
      <c r="R2733"/>
      <c r="S2733"/>
    </row>
    <row r="2734" spans="1:19" x14ac:dyDescent="0.25">
      <c r="A2734" t="s">
        <v>193</v>
      </c>
      <c r="C2734" s="27" t="s">
        <v>34749</v>
      </c>
      <c r="D2734" s="28" t="s">
        <v>34867</v>
      </c>
      <c r="J2734" t="s">
        <v>7359</v>
      </c>
      <c r="K2734" t="s">
        <v>7360</v>
      </c>
      <c r="L2734" s="28" t="s">
        <v>7361</v>
      </c>
      <c r="M2734" t="s">
        <v>23</v>
      </c>
      <c r="N2734"/>
      <c r="O2734"/>
      <c r="P2734"/>
      <c r="Q2734"/>
      <c r="R2734"/>
      <c r="S2734"/>
    </row>
    <row r="2735" spans="1:19" x14ac:dyDescent="0.25">
      <c r="A2735" t="s">
        <v>193</v>
      </c>
      <c r="C2735" s="27" t="s">
        <v>34749</v>
      </c>
      <c r="D2735" s="28" t="s">
        <v>34867</v>
      </c>
      <c r="J2735" t="s">
        <v>7362</v>
      </c>
      <c r="K2735" t="s">
        <v>7363</v>
      </c>
      <c r="L2735" s="28" t="s">
        <v>7364</v>
      </c>
      <c r="M2735" t="s">
        <v>23</v>
      </c>
      <c r="N2735"/>
      <c r="O2735"/>
      <c r="P2735"/>
      <c r="Q2735"/>
      <c r="R2735"/>
      <c r="S2735"/>
    </row>
    <row r="2736" spans="1:19" x14ac:dyDescent="0.25">
      <c r="A2736" t="s">
        <v>193</v>
      </c>
      <c r="C2736" s="27" t="s">
        <v>34749</v>
      </c>
      <c r="D2736" s="28" t="s">
        <v>34867</v>
      </c>
      <c r="J2736" t="s">
        <v>7365</v>
      </c>
      <c r="K2736" t="s">
        <v>7366</v>
      </c>
      <c r="L2736" s="28" t="s">
        <v>7367</v>
      </c>
      <c r="M2736" t="s">
        <v>23</v>
      </c>
      <c r="N2736"/>
      <c r="O2736"/>
      <c r="P2736"/>
      <c r="Q2736"/>
      <c r="R2736"/>
      <c r="S2736"/>
    </row>
    <row r="2737" spans="1:19" x14ac:dyDescent="0.25">
      <c r="A2737" t="s">
        <v>193</v>
      </c>
      <c r="C2737" s="27" t="s">
        <v>34749</v>
      </c>
      <c r="D2737" s="28" t="s">
        <v>34867</v>
      </c>
      <c r="J2737" t="s">
        <v>7368</v>
      </c>
      <c r="K2737" t="s">
        <v>7369</v>
      </c>
      <c r="L2737" s="28" t="s">
        <v>7370</v>
      </c>
      <c r="M2737" t="s">
        <v>23</v>
      </c>
      <c r="N2737"/>
      <c r="O2737"/>
      <c r="P2737"/>
      <c r="Q2737"/>
      <c r="R2737"/>
      <c r="S2737"/>
    </row>
    <row r="2738" spans="1:19" x14ac:dyDescent="0.25">
      <c r="A2738" t="s">
        <v>193</v>
      </c>
      <c r="C2738" s="27" t="s">
        <v>34749</v>
      </c>
      <c r="D2738" s="28" t="s">
        <v>34867</v>
      </c>
      <c r="J2738" t="s">
        <v>7371</v>
      </c>
      <c r="K2738" t="s">
        <v>7372</v>
      </c>
      <c r="L2738" s="28" t="s">
        <v>7373</v>
      </c>
      <c r="M2738" t="s">
        <v>23</v>
      </c>
      <c r="N2738"/>
      <c r="O2738"/>
      <c r="P2738"/>
      <c r="Q2738"/>
      <c r="R2738"/>
      <c r="S2738"/>
    </row>
    <row r="2739" spans="1:19" x14ac:dyDescent="0.25">
      <c r="A2739" t="s">
        <v>193</v>
      </c>
      <c r="C2739" s="27" t="s">
        <v>34749</v>
      </c>
      <c r="D2739" s="28" t="s">
        <v>34867</v>
      </c>
      <c r="J2739" t="s">
        <v>7374</v>
      </c>
      <c r="K2739" t="s">
        <v>7375</v>
      </c>
      <c r="L2739" s="28" t="s">
        <v>7376</v>
      </c>
      <c r="M2739" t="s">
        <v>23</v>
      </c>
      <c r="N2739"/>
      <c r="O2739"/>
      <c r="P2739"/>
      <c r="Q2739"/>
      <c r="R2739"/>
      <c r="S2739"/>
    </row>
    <row r="2740" spans="1:19" x14ac:dyDescent="0.25">
      <c r="A2740" t="s">
        <v>193</v>
      </c>
      <c r="C2740" s="27" t="s">
        <v>34749</v>
      </c>
      <c r="D2740" s="28" t="s">
        <v>34867</v>
      </c>
      <c r="J2740" t="s">
        <v>7377</v>
      </c>
      <c r="K2740" t="s">
        <v>7378</v>
      </c>
      <c r="L2740" s="28" t="s">
        <v>7379</v>
      </c>
      <c r="M2740" t="s">
        <v>23</v>
      </c>
      <c r="N2740"/>
      <c r="O2740"/>
      <c r="P2740"/>
      <c r="Q2740"/>
      <c r="R2740"/>
      <c r="S2740"/>
    </row>
    <row r="2741" spans="1:19" x14ac:dyDescent="0.25">
      <c r="A2741" t="s">
        <v>193</v>
      </c>
      <c r="C2741" s="27" t="s">
        <v>34749</v>
      </c>
      <c r="D2741" s="28" t="s">
        <v>34867</v>
      </c>
      <c r="J2741" t="s">
        <v>7380</v>
      </c>
      <c r="K2741" t="s">
        <v>7381</v>
      </c>
      <c r="L2741" s="28" t="s">
        <v>7382</v>
      </c>
      <c r="M2741" t="s">
        <v>23</v>
      </c>
      <c r="N2741"/>
      <c r="O2741"/>
      <c r="P2741"/>
      <c r="Q2741"/>
      <c r="R2741"/>
      <c r="S2741"/>
    </row>
    <row r="2742" spans="1:19" x14ac:dyDescent="0.25">
      <c r="A2742" t="s">
        <v>193</v>
      </c>
      <c r="C2742" s="27" t="s">
        <v>34749</v>
      </c>
      <c r="D2742" s="28" t="s">
        <v>34867</v>
      </c>
      <c r="J2742" t="s">
        <v>7383</v>
      </c>
      <c r="K2742" t="s">
        <v>7384</v>
      </c>
      <c r="L2742" s="28" t="s">
        <v>7385</v>
      </c>
      <c r="M2742" t="s">
        <v>23</v>
      </c>
      <c r="N2742"/>
      <c r="O2742"/>
      <c r="P2742"/>
      <c r="Q2742"/>
      <c r="R2742"/>
      <c r="S2742"/>
    </row>
    <row r="2743" spans="1:19" x14ac:dyDescent="0.25">
      <c r="A2743" t="s">
        <v>193</v>
      </c>
      <c r="C2743" s="27" t="s">
        <v>34749</v>
      </c>
      <c r="D2743" s="28" t="s">
        <v>34867</v>
      </c>
      <c r="I2743" t="str">
        <f>CONCATENATE(LEFT(K2743,SEARCH(" (",K2743))," | ", RIGHT(LEFT(K2743,LEN(K2743)-1),LEN(K2743)-2-FIND(" (",K2743)))</f>
        <v>tetrachloormethaan  | tetra</v>
      </c>
      <c r="J2743" t="s">
        <v>7386</v>
      </c>
      <c r="K2743" t="s">
        <v>7387</v>
      </c>
      <c r="L2743" s="28" t="s">
        <v>7388</v>
      </c>
      <c r="M2743" t="s">
        <v>23</v>
      </c>
      <c r="N2743"/>
      <c r="O2743"/>
      <c r="P2743"/>
      <c r="Q2743"/>
      <c r="R2743"/>
      <c r="S2743"/>
    </row>
    <row r="2744" spans="1:19" x14ac:dyDescent="0.25">
      <c r="A2744" t="s">
        <v>193</v>
      </c>
      <c r="C2744" s="27" t="s">
        <v>34749</v>
      </c>
      <c r="D2744" s="28" t="s">
        <v>34867</v>
      </c>
      <c r="J2744" t="s">
        <v>7389</v>
      </c>
      <c r="K2744" t="s">
        <v>7390</v>
      </c>
      <c r="L2744" s="28" t="s">
        <v>7391</v>
      </c>
      <c r="M2744" t="s">
        <v>23</v>
      </c>
      <c r="N2744"/>
      <c r="O2744"/>
      <c r="P2744"/>
      <c r="Q2744"/>
      <c r="R2744"/>
      <c r="S2744"/>
    </row>
    <row r="2745" spans="1:19" x14ac:dyDescent="0.25">
      <c r="A2745" t="s">
        <v>193</v>
      </c>
      <c r="C2745" s="27" t="s">
        <v>34749</v>
      </c>
      <c r="D2745" s="28" t="s">
        <v>34867</v>
      </c>
      <c r="J2745" t="s">
        <v>7392</v>
      </c>
      <c r="K2745" t="s">
        <v>7393</v>
      </c>
      <c r="L2745" s="28" t="s">
        <v>7394</v>
      </c>
      <c r="M2745" t="s">
        <v>23</v>
      </c>
      <c r="N2745"/>
      <c r="O2745"/>
      <c r="P2745"/>
      <c r="Q2745"/>
      <c r="R2745"/>
      <c r="S2745"/>
    </row>
    <row r="2746" spans="1:19" x14ac:dyDescent="0.25">
      <c r="A2746" t="s">
        <v>193</v>
      </c>
      <c r="C2746" s="27" t="s">
        <v>34749</v>
      </c>
      <c r="D2746" s="28" t="s">
        <v>34867</v>
      </c>
      <c r="I2746" t="str">
        <f>CONCATENATE(LEFT(K2746,SEARCH(" (",K2746))," | ", RIGHT(LEFT(K2746,LEN(K2746)-1),LEN(K2746)-2-FIND(" (",K2746)))</f>
        <v>tetrachlooretheen  | per</v>
      </c>
      <c r="J2746" t="s">
        <v>7395</v>
      </c>
      <c r="K2746" t="s">
        <v>7396</v>
      </c>
      <c r="L2746" s="28" t="s">
        <v>7397</v>
      </c>
      <c r="M2746" t="s">
        <v>23</v>
      </c>
      <c r="N2746"/>
      <c r="O2746"/>
      <c r="P2746"/>
      <c r="Q2746"/>
      <c r="R2746"/>
      <c r="S2746"/>
    </row>
    <row r="2747" spans="1:19" x14ac:dyDescent="0.25">
      <c r="A2747" t="s">
        <v>193</v>
      </c>
      <c r="C2747" s="27" t="s">
        <v>34749</v>
      </c>
      <c r="D2747" s="28" t="s">
        <v>34867</v>
      </c>
      <c r="J2747" t="s">
        <v>7398</v>
      </c>
      <c r="K2747" t="s">
        <v>7399</v>
      </c>
      <c r="L2747" s="28" t="s">
        <v>7400</v>
      </c>
      <c r="M2747" t="s">
        <v>23</v>
      </c>
      <c r="N2747"/>
      <c r="O2747"/>
      <c r="P2747"/>
      <c r="Q2747"/>
      <c r="R2747"/>
      <c r="S2747"/>
    </row>
    <row r="2748" spans="1:19" x14ac:dyDescent="0.25">
      <c r="A2748" t="s">
        <v>193</v>
      </c>
      <c r="C2748" s="27" t="s">
        <v>34749</v>
      </c>
      <c r="D2748" s="28" t="s">
        <v>34867</v>
      </c>
      <c r="J2748" t="s">
        <v>7401</v>
      </c>
      <c r="K2748" t="s">
        <v>7402</v>
      </c>
      <c r="L2748" s="28" t="s">
        <v>7403</v>
      </c>
      <c r="M2748" t="s">
        <v>23</v>
      </c>
      <c r="N2748"/>
      <c r="O2748"/>
      <c r="P2748"/>
      <c r="Q2748"/>
      <c r="R2748"/>
      <c r="S2748"/>
    </row>
    <row r="2749" spans="1:19" x14ac:dyDescent="0.25">
      <c r="A2749" t="s">
        <v>193</v>
      </c>
      <c r="C2749" s="27" t="s">
        <v>34749</v>
      </c>
      <c r="D2749" s="28" t="s">
        <v>34867</v>
      </c>
      <c r="J2749" t="s">
        <v>7404</v>
      </c>
      <c r="K2749" t="s">
        <v>7405</v>
      </c>
      <c r="L2749" s="28" t="s">
        <v>7406</v>
      </c>
      <c r="M2749" t="s">
        <v>23</v>
      </c>
      <c r="N2749"/>
      <c r="O2749"/>
      <c r="P2749"/>
      <c r="Q2749"/>
      <c r="R2749"/>
      <c r="S2749"/>
    </row>
    <row r="2750" spans="1:19" x14ac:dyDescent="0.25">
      <c r="A2750" t="s">
        <v>193</v>
      </c>
      <c r="C2750" s="27" t="s">
        <v>34749</v>
      </c>
      <c r="D2750" s="28" t="s">
        <v>34867</v>
      </c>
      <c r="J2750" t="s">
        <v>7407</v>
      </c>
      <c r="K2750" t="s">
        <v>7408</v>
      </c>
      <c r="L2750" s="28" t="s">
        <v>7409</v>
      </c>
      <c r="M2750" t="s">
        <v>23</v>
      </c>
      <c r="N2750"/>
      <c r="O2750"/>
      <c r="P2750"/>
      <c r="Q2750"/>
      <c r="R2750"/>
      <c r="S2750"/>
    </row>
    <row r="2751" spans="1:19" x14ac:dyDescent="0.25">
      <c r="A2751" t="s">
        <v>193</v>
      </c>
      <c r="C2751" s="27" t="s">
        <v>34749</v>
      </c>
      <c r="D2751" s="28" t="s">
        <v>34867</v>
      </c>
      <c r="J2751" t="s">
        <v>7410</v>
      </c>
      <c r="K2751" t="s">
        <v>7411</v>
      </c>
      <c r="L2751" s="28" t="s">
        <v>7412</v>
      </c>
      <c r="M2751" t="s">
        <v>23</v>
      </c>
      <c r="N2751"/>
      <c r="O2751"/>
      <c r="P2751"/>
      <c r="Q2751"/>
      <c r="R2751"/>
      <c r="S2751"/>
    </row>
    <row r="2752" spans="1:19" x14ac:dyDescent="0.25">
      <c r="A2752" t="s">
        <v>193</v>
      </c>
      <c r="C2752" s="27" t="s">
        <v>34749</v>
      </c>
      <c r="D2752" s="28" t="s">
        <v>34867</v>
      </c>
      <c r="J2752" t="s">
        <v>7413</v>
      </c>
      <c r="K2752" t="s">
        <v>7414</v>
      </c>
      <c r="L2752" s="28" t="s">
        <v>7415</v>
      </c>
      <c r="M2752" t="s">
        <v>23</v>
      </c>
      <c r="N2752"/>
      <c r="O2752"/>
      <c r="P2752"/>
      <c r="Q2752"/>
      <c r="R2752"/>
      <c r="S2752"/>
    </row>
    <row r="2753" spans="1:19" x14ac:dyDescent="0.25">
      <c r="A2753" t="s">
        <v>193</v>
      </c>
      <c r="C2753" s="27" t="s">
        <v>34749</v>
      </c>
      <c r="D2753" s="28" t="s">
        <v>34867</v>
      </c>
      <c r="J2753" t="s">
        <v>7416</v>
      </c>
      <c r="K2753" t="s">
        <v>7417</v>
      </c>
      <c r="L2753" s="28" t="s">
        <v>7418</v>
      </c>
      <c r="M2753" t="s">
        <v>23</v>
      </c>
      <c r="N2753"/>
      <c r="O2753"/>
      <c r="P2753"/>
      <c r="Q2753"/>
      <c r="R2753"/>
      <c r="S2753"/>
    </row>
    <row r="2754" spans="1:19" x14ac:dyDescent="0.25">
      <c r="A2754" t="s">
        <v>193</v>
      </c>
      <c r="C2754" s="27" t="s">
        <v>34749</v>
      </c>
      <c r="D2754" s="28" t="s">
        <v>34867</v>
      </c>
      <c r="J2754" t="s">
        <v>7419</v>
      </c>
      <c r="K2754" t="s">
        <v>7420</v>
      </c>
      <c r="L2754" s="28" t="s">
        <v>7421</v>
      </c>
      <c r="M2754" t="s">
        <v>23</v>
      </c>
      <c r="N2754"/>
      <c r="O2754"/>
      <c r="P2754"/>
      <c r="Q2754"/>
      <c r="R2754"/>
      <c r="S2754"/>
    </row>
    <row r="2755" spans="1:19" x14ac:dyDescent="0.25">
      <c r="A2755" t="s">
        <v>193</v>
      </c>
      <c r="C2755" s="27" t="s">
        <v>34749</v>
      </c>
      <c r="D2755" s="28" t="s">
        <v>34867</v>
      </c>
      <c r="J2755" t="s">
        <v>7422</v>
      </c>
      <c r="K2755" t="s">
        <v>7423</v>
      </c>
      <c r="L2755" s="28" t="s">
        <v>7424</v>
      </c>
      <c r="M2755" t="s">
        <v>23</v>
      </c>
      <c r="N2755"/>
      <c r="O2755"/>
      <c r="P2755"/>
      <c r="Q2755"/>
      <c r="R2755"/>
      <c r="S2755"/>
    </row>
    <row r="2756" spans="1:19" x14ac:dyDescent="0.25">
      <c r="A2756" t="s">
        <v>193</v>
      </c>
      <c r="C2756" s="27" t="s">
        <v>34749</v>
      </c>
      <c r="D2756" s="28" t="s">
        <v>34867</v>
      </c>
      <c r="J2756" t="s">
        <v>7425</v>
      </c>
      <c r="K2756" t="s">
        <v>7426</v>
      </c>
      <c r="L2756" s="28" t="s">
        <v>7427</v>
      </c>
      <c r="M2756" t="s">
        <v>23</v>
      </c>
      <c r="N2756"/>
      <c r="O2756"/>
      <c r="P2756"/>
      <c r="Q2756"/>
      <c r="R2756"/>
      <c r="S2756"/>
    </row>
    <row r="2757" spans="1:19" x14ac:dyDescent="0.25">
      <c r="A2757" t="s">
        <v>193</v>
      </c>
      <c r="C2757" s="27" t="s">
        <v>34749</v>
      </c>
      <c r="D2757" s="28" t="s">
        <v>34867</v>
      </c>
      <c r="J2757" t="s">
        <v>7428</v>
      </c>
      <c r="K2757" t="s">
        <v>7429</v>
      </c>
      <c r="L2757" s="28" t="s">
        <v>7430</v>
      </c>
      <c r="M2757" t="s">
        <v>23</v>
      </c>
      <c r="N2757"/>
      <c r="O2757"/>
      <c r="P2757"/>
      <c r="Q2757"/>
      <c r="R2757"/>
      <c r="S2757"/>
    </row>
    <row r="2758" spans="1:19" x14ac:dyDescent="0.25">
      <c r="A2758" t="s">
        <v>193</v>
      </c>
      <c r="C2758" s="27" t="s">
        <v>34749</v>
      </c>
      <c r="D2758" s="28" t="s">
        <v>34867</v>
      </c>
      <c r="J2758" t="s">
        <v>7431</v>
      </c>
      <c r="K2758" t="s">
        <v>7432</v>
      </c>
      <c r="L2758" s="28" t="s">
        <v>7433</v>
      </c>
      <c r="M2758" t="s">
        <v>23</v>
      </c>
      <c r="N2758"/>
      <c r="O2758"/>
      <c r="P2758"/>
      <c r="Q2758"/>
      <c r="R2758"/>
      <c r="S2758"/>
    </row>
    <row r="2759" spans="1:19" x14ac:dyDescent="0.25">
      <c r="A2759" t="s">
        <v>193</v>
      </c>
      <c r="C2759" s="27" t="s">
        <v>34749</v>
      </c>
      <c r="D2759" s="28" t="s">
        <v>34867</v>
      </c>
      <c r="J2759" t="s">
        <v>7434</v>
      </c>
      <c r="K2759" t="s">
        <v>7435</v>
      </c>
      <c r="L2759" s="28" t="s">
        <v>7436</v>
      </c>
      <c r="M2759" t="s">
        <v>23</v>
      </c>
      <c r="N2759"/>
      <c r="O2759"/>
      <c r="P2759"/>
      <c r="Q2759"/>
      <c r="R2759"/>
      <c r="S2759"/>
    </row>
    <row r="2760" spans="1:19" x14ac:dyDescent="0.25">
      <c r="A2760" t="s">
        <v>193</v>
      </c>
      <c r="C2760" s="27" t="s">
        <v>34749</v>
      </c>
      <c r="D2760" s="28" t="s">
        <v>34867</v>
      </c>
      <c r="J2760" t="s">
        <v>7437</v>
      </c>
      <c r="K2760" t="s">
        <v>7438</v>
      </c>
      <c r="L2760" s="28" t="s">
        <v>7439</v>
      </c>
      <c r="M2760" t="s">
        <v>23</v>
      </c>
      <c r="N2760"/>
      <c r="O2760"/>
      <c r="P2760"/>
      <c r="Q2760"/>
      <c r="R2760"/>
      <c r="S2760"/>
    </row>
    <row r="2761" spans="1:19" x14ac:dyDescent="0.25">
      <c r="A2761" t="s">
        <v>193</v>
      </c>
      <c r="C2761" s="27" t="s">
        <v>34749</v>
      </c>
      <c r="D2761" s="28" t="s">
        <v>34867</v>
      </c>
      <c r="J2761" t="s">
        <v>7440</v>
      </c>
      <c r="K2761" t="s">
        <v>7441</v>
      </c>
      <c r="L2761" s="28" t="s">
        <v>7442</v>
      </c>
      <c r="M2761" t="s">
        <v>23</v>
      </c>
      <c r="N2761"/>
      <c r="O2761"/>
      <c r="P2761"/>
      <c r="Q2761"/>
      <c r="R2761"/>
      <c r="S2761"/>
    </row>
    <row r="2762" spans="1:19" x14ac:dyDescent="0.25">
      <c r="A2762" s="28" t="s">
        <v>14843</v>
      </c>
      <c r="J2762" t="s">
        <v>7443</v>
      </c>
      <c r="K2762" t="s">
        <v>7444</v>
      </c>
      <c r="M2762" t="s">
        <v>47</v>
      </c>
      <c r="N2762"/>
      <c r="O2762"/>
      <c r="P2762"/>
      <c r="Q2762"/>
      <c r="R2762"/>
      <c r="S2762"/>
    </row>
    <row r="2763" spans="1:19" x14ac:dyDescent="0.25">
      <c r="A2763" s="28" t="s">
        <v>14843</v>
      </c>
      <c r="J2763" t="s">
        <v>7445</v>
      </c>
      <c r="K2763" t="s">
        <v>7446</v>
      </c>
      <c r="M2763" t="s">
        <v>47</v>
      </c>
      <c r="N2763"/>
      <c r="O2763"/>
      <c r="P2763"/>
      <c r="Q2763"/>
      <c r="R2763"/>
      <c r="S2763"/>
    </row>
    <row r="2764" spans="1:19" x14ac:dyDescent="0.25">
      <c r="A2764" s="28" t="s">
        <v>14843</v>
      </c>
      <c r="J2764" t="s">
        <v>7447</v>
      </c>
      <c r="K2764" t="s">
        <v>7448</v>
      </c>
      <c r="M2764" t="s">
        <v>47</v>
      </c>
      <c r="N2764"/>
      <c r="O2764"/>
      <c r="P2764"/>
      <c r="Q2764"/>
      <c r="R2764"/>
      <c r="S2764"/>
    </row>
    <row r="2765" spans="1:19" x14ac:dyDescent="0.25">
      <c r="A2765" t="s">
        <v>193</v>
      </c>
      <c r="C2765" s="27" t="s">
        <v>34749</v>
      </c>
      <c r="D2765" s="28" t="s">
        <v>34867</v>
      </c>
      <c r="J2765" t="s">
        <v>7449</v>
      </c>
      <c r="K2765" t="s">
        <v>7450</v>
      </c>
      <c r="L2765" s="28" t="s">
        <v>7451</v>
      </c>
      <c r="M2765" t="s">
        <v>23</v>
      </c>
      <c r="N2765"/>
      <c r="O2765"/>
      <c r="P2765"/>
      <c r="Q2765"/>
      <c r="R2765"/>
      <c r="S2765"/>
    </row>
    <row r="2766" spans="1:19" x14ac:dyDescent="0.25">
      <c r="A2766" t="s">
        <v>193</v>
      </c>
      <c r="C2766" s="27" t="s">
        <v>34749</v>
      </c>
      <c r="D2766" s="28" t="s">
        <v>34867</v>
      </c>
      <c r="J2766" t="s">
        <v>7452</v>
      </c>
      <c r="K2766" t="s">
        <v>7453</v>
      </c>
      <c r="L2766" s="28" t="s">
        <v>7454</v>
      </c>
      <c r="M2766" t="s">
        <v>23</v>
      </c>
      <c r="N2766"/>
      <c r="O2766"/>
      <c r="P2766"/>
      <c r="Q2766"/>
      <c r="R2766"/>
      <c r="S2766"/>
    </row>
    <row r="2767" spans="1:19" x14ac:dyDescent="0.25">
      <c r="A2767" t="s">
        <v>193</v>
      </c>
      <c r="C2767" s="27" t="s">
        <v>34749</v>
      </c>
      <c r="D2767" s="28" t="s">
        <v>34867</v>
      </c>
      <c r="J2767" t="s">
        <v>7455</v>
      </c>
      <c r="K2767" t="s">
        <v>7456</v>
      </c>
      <c r="L2767" s="28" t="s">
        <v>7457</v>
      </c>
      <c r="M2767" t="s">
        <v>23</v>
      </c>
      <c r="N2767"/>
      <c r="O2767"/>
      <c r="P2767"/>
      <c r="Q2767"/>
      <c r="R2767"/>
      <c r="S2767"/>
    </row>
    <row r="2768" spans="1:19" x14ac:dyDescent="0.25">
      <c r="A2768" t="s">
        <v>193</v>
      </c>
      <c r="C2768" s="27" t="s">
        <v>34749</v>
      </c>
      <c r="D2768" s="28" t="s">
        <v>34867</v>
      </c>
      <c r="J2768" t="s">
        <v>7458</v>
      </c>
      <c r="K2768" t="s">
        <v>7459</v>
      </c>
      <c r="L2768" s="28" t="s">
        <v>7460</v>
      </c>
      <c r="M2768" t="s">
        <v>23</v>
      </c>
      <c r="N2768"/>
      <c r="O2768"/>
      <c r="P2768"/>
      <c r="Q2768"/>
      <c r="R2768"/>
      <c r="S2768"/>
    </row>
    <row r="2769" spans="1:19" x14ac:dyDescent="0.25">
      <c r="A2769" t="s">
        <v>193</v>
      </c>
      <c r="C2769" s="27" t="s">
        <v>34749</v>
      </c>
      <c r="D2769" s="28" t="s">
        <v>34867</v>
      </c>
      <c r="J2769" t="s">
        <v>7461</v>
      </c>
      <c r="K2769" t="s">
        <v>7462</v>
      </c>
      <c r="L2769" s="28" t="s">
        <v>7463</v>
      </c>
      <c r="M2769" t="s">
        <v>23</v>
      </c>
      <c r="N2769"/>
      <c r="O2769"/>
      <c r="P2769"/>
      <c r="Q2769"/>
      <c r="R2769"/>
      <c r="S2769"/>
    </row>
    <row r="2770" spans="1:19" x14ac:dyDescent="0.25">
      <c r="A2770" t="s">
        <v>193</v>
      </c>
      <c r="C2770" s="27" t="s">
        <v>34749</v>
      </c>
      <c r="D2770" s="28" t="s">
        <v>34867</v>
      </c>
      <c r="J2770" t="s">
        <v>7464</v>
      </c>
      <c r="K2770" t="s">
        <v>7465</v>
      </c>
      <c r="L2770" s="28" t="s">
        <v>7466</v>
      </c>
      <c r="M2770" t="s">
        <v>23</v>
      </c>
      <c r="N2770"/>
      <c r="O2770"/>
      <c r="P2770"/>
      <c r="Q2770"/>
      <c r="R2770"/>
      <c r="S2770"/>
    </row>
    <row r="2771" spans="1:19" x14ac:dyDescent="0.25">
      <c r="A2771" t="s">
        <v>193</v>
      </c>
      <c r="C2771" s="27" t="s">
        <v>34749</v>
      </c>
      <c r="D2771" s="28" t="s">
        <v>34867</v>
      </c>
      <c r="I2771" t="str">
        <f>CONCATENATE(LEFT(K2771,SEARCH(" (",K2771))," | ", RIGHT(LEFT(K2771,LEN(K2771)-1),LEN(K2771)-2-FIND(" (",K2771)))</f>
        <v>trimethyleenglycol  | 1,3-propyleenglycol</v>
      </c>
      <c r="J2771" t="s">
        <v>7467</v>
      </c>
      <c r="K2771" t="s">
        <v>7468</v>
      </c>
      <c r="L2771" s="28" t="s">
        <v>7469</v>
      </c>
      <c r="M2771" t="s">
        <v>23</v>
      </c>
      <c r="N2771"/>
      <c r="O2771"/>
      <c r="P2771"/>
      <c r="Q2771"/>
      <c r="R2771"/>
      <c r="S2771"/>
    </row>
    <row r="2772" spans="1:19" x14ac:dyDescent="0.25">
      <c r="A2772" t="s">
        <v>193</v>
      </c>
      <c r="C2772" s="27" t="s">
        <v>34749</v>
      </c>
      <c r="D2772" s="28" t="s">
        <v>34867</v>
      </c>
      <c r="J2772" t="s">
        <v>7470</v>
      </c>
      <c r="K2772" t="s">
        <v>7471</v>
      </c>
      <c r="L2772" s="28" t="s">
        <v>7472</v>
      </c>
      <c r="M2772" t="s">
        <v>23</v>
      </c>
      <c r="N2772"/>
      <c r="O2772"/>
      <c r="P2772"/>
      <c r="Q2772"/>
      <c r="R2772"/>
      <c r="S2772"/>
    </row>
    <row r="2773" spans="1:19" x14ac:dyDescent="0.25">
      <c r="A2773" t="s">
        <v>193</v>
      </c>
      <c r="C2773" s="27" t="s">
        <v>34749</v>
      </c>
      <c r="D2773" s="28" t="s">
        <v>34867</v>
      </c>
      <c r="J2773" t="s">
        <v>7473</v>
      </c>
      <c r="K2773" t="s">
        <v>7474</v>
      </c>
      <c r="L2773" s="28" t="s">
        <v>7475</v>
      </c>
      <c r="M2773" t="s">
        <v>23</v>
      </c>
      <c r="N2773"/>
      <c r="O2773"/>
      <c r="P2773"/>
      <c r="Q2773"/>
      <c r="R2773"/>
      <c r="S2773"/>
    </row>
    <row r="2774" spans="1:19" x14ac:dyDescent="0.25">
      <c r="A2774" t="s">
        <v>193</v>
      </c>
      <c r="C2774" s="27" t="s">
        <v>34749</v>
      </c>
      <c r="D2774" s="28" t="s">
        <v>34867</v>
      </c>
      <c r="J2774" t="s">
        <v>7476</v>
      </c>
      <c r="K2774" t="s">
        <v>7477</v>
      </c>
      <c r="L2774" s="28" t="s">
        <v>7478</v>
      </c>
      <c r="M2774" t="s">
        <v>23</v>
      </c>
      <c r="N2774"/>
      <c r="O2774"/>
      <c r="P2774"/>
      <c r="Q2774"/>
      <c r="R2774"/>
      <c r="S2774"/>
    </row>
    <row r="2775" spans="1:19" x14ac:dyDescent="0.25">
      <c r="A2775" t="s">
        <v>193</v>
      </c>
      <c r="C2775" s="27" t="s">
        <v>34749</v>
      </c>
      <c r="D2775" s="28" t="s">
        <v>34867</v>
      </c>
      <c r="J2775" t="s">
        <v>7479</v>
      </c>
      <c r="K2775" t="s">
        <v>7480</v>
      </c>
      <c r="L2775" s="28" t="s">
        <v>7481</v>
      </c>
      <c r="M2775" t="s">
        <v>23</v>
      </c>
      <c r="N2775"/>
      <c r="O2775"/>
      <c r="P2775"/>
      <c r="Q2775"/>
      <c r="R2775"/>
      <c r="S2775"/>
    </row>
    <row r="2776" spans="1:19" x14ac:dyDescent="0.25">
      <c r="A2776" t="s">
        <v>193</v>
      </c>
      <c r="C2776" s="27" t="s">
        <v>34749</v>
      </c>
      <c r="D2776" s="28" t="s">
        <v>34867</v>
      </c>
      <c r="J2776" t="s">
        <v>7482</v>
      </c>
      <c r="K2776" t="s">
        <v>7483</v>
      </c>
      <c r="L2776" s="28" t="s">
        <v>7484</v>
      </c>
      <c r="M2776" t="s">
        <v>23</v>
      </c>
      <c r="N2776"/>
      <c r="O2776"/>
      <c r="P2776"/>
      <c r="Q2776"/>
      <c r="R2776"/>
      <c r="S2776"/>
    </row>
    <row r="2777" spans="1:19" x14ac:dyDescent="0.25">
      <c r="A2777" t="s">
        <v>193</v>
      </c>
      <c r="C2777" s="27" t="s">
        <v>34749</v>
      </c>
      <c r="D2777" s="28" t="s">
        <v>34867</v>
      </c>
      <c r="J2777" t="s">
        <v>7485</v>
      </c>
      <c r="K2777" t="s">
        <v>7486</v>
      </c>
      <c r="L2777" s="28" t="s">
        <v>7487</v>
      </c>
      <c r="M2777" t="s">
        <v>23</v>
      </c>
      <c r="N2777"/>
      <c r="O2777"/>
      <c r="P2777"/>
      <c r="Q2777"/>
      <c r="R2777"/>
      <c r="S2777"/>
    </row>
    <row r="2778" spans="1:19" x14ac:dyDescent="0.25">
      <c r="A2778" t="s">
        <v>193</v>
      </c>
      <c r="C2778" s="27" t="s">
        <v>34749</v>
      </c>
      <c r="D2778" s="28" t="s">
        <v>34867</v>
      </c>
      <c r="J2778" t="s">
        <v>7488</v>
      </c>
      <c r="K2778" t="s">
        <v>7489</v>
      </c>
      <c r="L2778" s="28" t="s">
        <v>7490</v>
      </c>
      <c r="M2778" t="s">
        <v>23</v>
      </c>
      <c r="N2778"/>
      <c r="O2778"/>
      <c r="P2778"/>
      <c r="Q2778"/>
      <c r="R2778"/>
      <c r="S2778"/>
    </row>
    <row r="2779" spans="1:19" x14ac:dyDescent="0.25">
      <c r="A2779" t="s">
        <v>193</v>
      </c>
      <c r="C2779" s="27" t="s">
        <v>34749</v>
      </c>
      <c r="D2779" s="28" t="s">
        <v>34867</v>
      </c>
      <c r="J2779" t="s">
        <v>7491</v>
      </c>
      <c r="K2779" t="s">
        <v>7492</v>
      </c>
      <c r="L2779" s="28" t="s">
        <v>7493</v>
      </c>
      <c r="M2779" t="s">
        <v>23</v>
      </c>
      <c r="N2779"/>
      <c r="O2779"/>
      <c r="P2779"/>
      <c r="Q2779"/>
      <c r="R2779"/>
      <c r="S2779"/>
    </row>
    <row r="2780" spans="1:19" x14ac:dyDescent="0.25">
      <c r="A2780" t="s">
        <v>193</v>
      </c>
      <c r="C2780" s="27" t="s">
        <v>34749</v>
      </c>
      <c r="D2780" s="28" t="s">
        <v>34867</v>
      </c>
      <c r="J2780" t="s">
        <v>7494</v>
      </c>
      <c r="K2780" t="s">
        <v>7495</v>
      </c>
      <c r="L2780" s="28" t="s">
        <v>7496</v>
      </c>
      <c r="M2780" t="s">
        <v>23</v>
      </c>
      <c r="N2780"/>
      <c r="O2780"/>
      <c r="P2780"/>
      <c r="Q2780"/>
      <c r="R2780"/>
      <c r="S2780"/>
    </row>
    <row r="2781" spans="1:19" x14ac:dyDescent="0.25">
      <c r="A2781" t="s">
        <v>193</v>
      </c>
      <c r="C2781" s="27" t="s">
        <v>34749</v>
      </c>
      <c r="D2781" s="28" t="s">
        <v>34867</v>
      </c>
      <c r="J2781" t="s">
        <v>7497</v>
      </c>
      <c r="K2781" t="s">
        <v>7498</v>
      </c>
      <c r="L2781" s="28" t="s">
        <v>7499</v>
      </c>
      <c r="M2781" t="s">
        <v>23</v>
      </c>
      <c r="N2781"/>
      <c r="O2781"/>
      <c r="P2781"/>
      <c r="Q2781"/>
      <c r="R2781"/>
      <c r="S2781"/>
    </row>
    <row r="2782" spans="1:19" x14ac:dyDescent="0.25">
      <c r="A2782" t="s">
        <v>193</v>
      </c>
      <c r="C2782" s="27" t="s">
        <v>34749</v>
      </c>
      <c r="D2782" s="28" t="s">
        <v>34867</v>
      </c>
      <c r="J2782" t="s">
        <v>7500</v>
      </c>
      <c r="K2782" t="s">
        <v>7501</v>
      </c>
      <c r="L2782" s="28" t="s">
        <v>7502</v>
      </c>
      <c r="M2782" t="s">
        <v>23</v>
      </c>
      <c r="N2782"/>
      <c r="O2782"/>
      <c r="P2782"/>
      <c r="Q2782"/>
      <c r="R2782"/>
      <c r="S2782"/>
    </row>
    <row r="2783" spans="1:19" x14ac:dyDescent="0.25">
      <c r="A2783" t="s">
        <v>193</v>
      </c>
      <c r="C2783" s="27" t="s">
        <v>34749</v>
      </c>
      <c r="D2783" s="28" t="s">
        <v>34867</v>
      </c>
      <c r="J2783" t="s">
        <v>7503</v>
      </c>
      <c r="K2783" t="s">
        <v>7504</v>
      </c>
      <c r="L2783" s="28" t="s">
        <v>7505</v>
      </c>
      <c r="M2783" t="s">
        <v>23</v>
      </c>
      <c r="N2783"/>
      <c r="O2783"/>
      <c r="P2783"/>
      <c r="Q2783"/>
      <c r="R2783"/>
      <c r="S2783"/>
    </row>
    <row r="2784" spans="1:19" x14ac:dyDescent="0.25">
      <c r="A2784" t="s">
        <v>193</v>
      </c>
      <c r="C2784" s="27" t="s">
        <v>34749</v>
      </c>
      <c r="D2784" s="28" t="s">
        <v>34867</v>
      </c>
      <c r="J2784" t="s">
        <v>7506</v>
      </c>
      <c r="K2784" t="s">
        <v>7507</v>
      </c>
      <c r="L2784" s="28" t="s">
        <v>7508</v>
      </c>
      <c r="M2784" t="s">
        <v>23</v>
      </c>
      <c r="N2784"/>
      <c r="O2784"/>
      <c r="P2784"/>
      <c r="Q2784"/>
      <c r="R2784"/>
      <c r="S2784"/>
    </row>
    <row r="2785" spans="1:19" x14ac:dyDescent="0.25">
      <c r="A2785" t="s">
        <v>193</v>
      </c>
      <c r="C2785" s="27" t="s">
        <v>34749</v>
      </c>
      <c r="D2785" s="28" t="s">
        <v>34867</v>
      </c>
      <c r="J2785" t="s">
        <v>7509</v>
      </c>
      <c r="K2785" t="s">
        <v>7510</v>
      </c>
      <c r="L2785" s="28" t="s">
        <v>7511</v>
      </c>
      <c r="M2785" t="s">
        <v>23</v>
      </c>
      <c r="N2785"/>
      <c r="O2785"/>
      <c r="P2785"/>
      <c r="Q2785"/>
      <c r="R2785"/>
      <c r="S2785"/>
    </row>
    <row r="2786" spans="1:19" x14ac:dyDescent="0.25">
      <c r="A2786" t="s">
        <v>193</v>
      </c>
      <c r="C2786" s="27" t="s">
        <v>34749</v>
      </c>
      <c r="D2786" s="28" t="s">
        <v>34867</v>
      </c>
      <c r="J2786" t="s">
        <v>7512</v>
      </c>
      <c r="K2786" t="s">
        <v>7513</v>
      </c>
      <c r="L2786" s="28" t="s">
        <v>7514</v>
      </c>
      <c r="M2786" t="s">
        <v>23</v>
      </c>
      <c r="N2786"/>
      <c r="O2786"/>
      <c r="P2786"/>
      <c r="Q2786"/>
      <c r="R2786"/>
      <c r="S2786"/>
    </row>
    <row r="2787" spans="1:19" x14ac:dyDescent="0.25">
      <c r="A2787" t="s">
        <v>193</v>
      </c>
      <c r="C2787" s="27" t="s">
        <v>34749</v>
      </c>
      <c r="D2787" s="28" t="s">
        <v>34867</v>
      </c>
      <c r="J2787" t="s">
        <v>7515</v>
      </c>
      <c r="K2787" t="s">
        <v>7516</v>
      </c>
      <c r="L2787" s="28" t="s">
        <v>7517</v>
      </c>
      <c r="M2787" t="s">
        <v>23</v>
      </c>
      <c r="N2787"/>
      <c r="O2787"/>
      <c r="P2787"/>
      <c r="Q2787"/>
      <c r="R2787"/>
      <c r="S2787"/>
    </row>
    <row r="2788" spans="1:19" x14ac:dyDescent="0.25">
      <c r="A2788" t="s">
        <v>193</v>
      </c>
      <c r="C2788" s="27" t="s">
        <v>34749</v>
      </c>
      <c r="D2788" s="28" t="s">
        <v>34867</v>
      </c>
      <c r="J2788" t="s">
        <v>7518</v>
      </c>
      <c r="K2788" t="s">
        <v>7519</v>
      </c>
      <c r="L2788" s="28" t="s">
        <v>7520</v>
      </c>
      <c r="M2788" t="s">
        <v>23</v>
      </c>
      <c r="N2788"/>
      <c r="O2788"/>
      <c r="P2788"/>
      <c r="Q2788"/>
      <c r="R2788"/>
      <c r="S2788"/>
    </row>
    <row r="2789" spans="1:19" x14ac:dyDescent="0.25">
      <c r="A2789" t="s">
        <v>193</v>
      </c>
      <c r="C2789" s="27" t="s">
        <v>34749</v>
      </c>
      <c r="D2789" s="28" t="s">
        <v>34867</v>
      </c>
      <c r="J2789" t="s">
        <v>7521</v>
      </c>
      <c r="K2789" t="s">
        <v>7522</v>
      </c>
      <c r="L2789" s="28" t="s">
        <v>7523</v>
      </c>
      <c r="M2789" t="s">
        <v>23</v>
      </c>
      <c r="N2789"/>
      <c r="O2789"/>
      <c r="P2789"/>
      <c r="Q2789"/>
      <c r="R2789"/>
      <c r="S2789"/>
    </row>
    <row r="2790" spans="1:19" x14ac:dyDescent="0.25">
      <c r="A2790" t="s">
        <v>193</v>
      </c>
      <c r="C2790" s="27" t="s">
        <v>34749</v>
      </c>
      <c r="D2790" s="28" t="s">
        <v>34867</v>
      </c>
      <c r="J2790" t="s">
        <v>7524</v>
      </c>
      <c r="K2790" t="s">
        <v>7525</v>
      </c>
      <c r="L2790" s="28" t="s">
        <v>7526</v>
      </c>
      <c r="M2790" t="s">
        <v>23</v>
      </c>
      <c r="N2790"/>
      <c r="O2790"/>
      <c r="P2790"/>
      <c r="Q2790"/>
      <c r="R2790"/>
      <c r="S2790"/>
    </row>
    <row r="2791" spans="1:19" x14ac:dyDescent="0.25">
      <c r="A2791" t="s">
        <v>193</v>
      </c>
      <c r="C2791" s="27" t="s">
        <v>34749</v>
      </c>
      <c r="D2791" s="28" t="s">
        <v>34867</v>
      </c>
      <c r="J2791" t="s">
        <v>7527</v>
      </c>
      <c r="K2791" t="s">
        <v>7528</v>
      </c>
      <c r="L2791" s="28" t="s">
        <v>7529</v>
      </c>
      <c r="M2791" t="s">
        <v>23</v>
      </c>
      <c r="N2791"/>
      <c r="O2791"/>
      <c r="P2791"/>
      <c r="Q2791"/>
      <c r="R2791"/>
      <c r="S2791"/>
    </row>
    <row r="2792" spans="1:19" x14ac:dyDescent="0.25">
      <c r="A2792" t="s">
        <v>193</v>
      </c>
      <c r="C2792" s="27" t="s">
        <v>34749</v>
      </c>
      <c r="D2792" s="28" t="s">
        <v>34867</v>
      </c>
      <c r="J2792" t="s">
        <v>7530</v>
      </c>
      <c r="K2792" t="s">
        <v>7531</v>
      </c>
      <c r="L2792" s="28" t="s">
        <v>7532</v>
      </c>
      <c r="M2792" t="s">
        <v>23</v>
      </c>
      <c r="N2792"/>
      <c r="O2792"/>
      <c r="P2792"/>
      <c r="Q2792"/>
      <c r="R2792"/>
      <c r="S2792"/>
    </row>
    <row r="2793" spans="1:19" x14ac:dyDescent="0.25">
      <c r="A2793" t="s">
        <v>193</v>
      </c>
      <c r="C2793" s="27" t="s">
        <v>34749</v>
      </c>
      <c r="D2793" s="28" t="s">
        <v>34867</v>
      </c>
      <c r="J2793" t="s">
        <v>7533</v>
      </c>
      <c r="K2793" t="s">
        <v>7534</v>
      </c>
      <c r="L2793" s="28" t="s">
        <v>7535</v>
      </c>
      <c r="M2793" t="s">
        <v>23</v>
      </c>
      <c r="N2793"/>
      <c r="O2793"/>
      <c r="P2793"/>
      <c r="Q2793"/>
      <c r="R2793"/>
      <c r="S2793"/>
    </row>
    <row r="2794" spans="1:19" x14ac:dyDescent="0.25">
      <c r="A2794" t="s">
        <v>193</v>
      </c>
      <c r="C2794" s="27" t="s">
        <v>34749</v>
      </c>
      <c r="D2794" s="28" t="s">
        <v>34867</v>
      </c>
      <c r="J2794" t="s">
        <v>7536</v>
      </c>
      <c r="K2794" t="s">
        <v>7537</v>
      </c>
      <c r="L2794" s="28" t="s">
        <v>7538</v>
      </c>
      <c r="M2794" t="s">
        <v>23</v>
      </c>
      <c r="N2794"/>
      <c r="O2794"/>
      <c r="P2794"/>
      <c r="Q2794"/>
      <c r="R2794"/>
      <c r="S2794"/>
    </row>
    <row r="2795" spans="1:19" x14ac:dyDescent="0.25">
      <c r="A2795" t="s">
        <v>193</v>
      </c>
      <c r="C2795" s="27" t="s">
        <v>34749</v>
      </c>
      <c r="D2795" s="28" t="s">
        <v>34867</v>
      </c>
      <c r="I2795" t="str">
        <f>CONCATENATE(LEFT(K2795,SEARCH(" (",K2795))," | ", RIGHT(LEFT(K2795,LEN(K2795)-1),LEN(K2795)-2-FIND(" (",K2795)))</f>
        <v>trichlooretheen  | tri</v>
      </c>
      <c r="J2795" t="s">
        <v>7539</v>
      </c>
      <c r="K2795" t="s">
        <v>7540</v>
      </c>
      <c r="L2795" s="28" t="s">
        <v>7541</v>
      </c>
      <c r="M2795" t="s">
        <v>23</v>
      </c>
      <c r="N2795"/>
      <c r="O2795"/>
      <c r="P2795"/>
      <c r="Q2795"/>
      <c r="R2795"/>
      <c r="S2795"/>
    </row>
    <row r="2796" spans="1:19" x14ac:dyDescent="0.25">
      <c r="A2796" t="s">
        <v>193</v>
      </c>
      <c r="C2796" s="27" t="s">
        <v>34749</v>
      </c>
      <c r="D2796" s="28" t="s">
        <v>34867</v>
      </c>
      <c r="J2796" t="s">
        <v>7542</v>
      </c>
      <c r="K2796" t="s">
        <v>7543</v>
      </c>
      <c r="L2796" s="28" t="s">
        <v>7544</v>
      </c>
      <c r="M2796" t="s">
        <v>23</v>
      </c>
      <c r="N2796"/>
      <c r="O2796"/>
      <c r="P2796"/>
      <c r="Q2796"/>
      <c r="R2796"/>
      <c r="S2796"/>
    </row>
    <row r="2797" spans="1:19" x14ac:dyDescent="0.25">
      <c r="A2797" t="s">
        <v>193</v>
      </c>
      <c r="C2797" s="27" t="s">
        <v>34749</v>
      </c>
      <c r="D2797" s="28" t="s">
        <v>34867</v>
      </c>
      <c r="J2797" t="s">
        <v>7545</v>
      </c>
      <c r="K2797" t="s">
        <v>7546</v>
      </c>
      <c r="L2797" s="28" t="s">
        <v>7547</v>
      </c>
      <c r="M2797" t="s">
        <v>23</v>
      </c>
      <c r="N2797"/>
      <c r="O2797"/>
      <c r="P2797"/>
      <c r="Q2797"/>
      <c r="R2797"/>
      <c r="S2797"/>
    </row>
    <row r="2798" spans="1:19" x14ac:dyDescent="0.25">
      <c r="A2798" t="s">
        <v>193</v>
      </c>
      <c r="C2798" s="27" t="s">
        <v>34749</v>
      </c>
      <c r="D2798" s="28" t="s">
        <v>34867</v>
      </c>
      <c r="J2798" t="s">
        <v>7548</v>
      </c>
      <c r="K2798" t="s">
        <v>7549</v>
      </c>
      <c r="L2798" s="28" t="s">
        <v>7550</v>
      </c>
      <c r="M2798" t="s">
        <v>23</v>
      </c>
      <c r="N2798"/>
      <c r="O2798"/>
      <c r="P2798"/>
      <c r="Q2798"/>
      <c r="R2798"/>
      <c r="S2798"/>
    </row>
    <row r="2799" spans="1:19" x14ac:dyDescent="0.25">
      <c r="A2799" t="s">
        <v>193</v>
      </c>
      <c r="C2799" s="27" t="s">
        <v>34749</v>
      </c>
      <c r="D2799" s="28" t="s">
        <v>34867</v>
      </c>
      <c r="J2799" t="s">
        <v>7551</v>
      </c>
      <c r="K2799" t="s">
        <v>7552</v>
      </c>
      <c r="L2799" s="28" t="s">
        <v>7553</v>
      </c>
      <c r="M2799" t="s">
        <v>23</v>
      </c>
      <c r="N2799"/>
      <c r="O2799"/>
      <c r="P2799"/>
      <c r="Q2799"/>
      <c r="R2799"/>
      <c r="S2799"/>
    </row>
    <row r="2800" spans="1:19" x14ac:dyDescent="0.25">
      <c r="A2800" t="s">
        <v>193</v>
      </c>
      <c r="C2800" s="27" t="s">
        <v>34749</v>
      </c>
      <c r="D2800" s="28" t="s">
        <v>34867</v>
      </c>
      <c r="J2800" t="s">
        <v>7554</v>
      </c>
      <c r="K2800" t="s">
        <v>7555</v>
      </c>
      <c r="L2800" s="28" t="s">
        <v>7556</v>
      </c>
      <c r="M2800" t="s">
        <v>23</v>
      </c>
      <c r="N2800"/>
      <c r="O2800"/>
      <c r="P2800"/>
      <c r="Q2800"/>
      <c r="R2800"/>
      <c r="S2800"/>
    </row>
    <row r="2801" spans="1:19" x14ac:dyDescent="0.25">
      <c r="A2801" t="s">
        <v>193</v>
      </c>
      <c r="C2801" s="27" t="s">
        <v>34749</v>
      </c>
      <c r="D2801" s="28" t="s">
        <v>34867</v>
      </c>
      <c r="J2801" t="s">
        <v>7557</v>
      </c>
      <c r="K2801" t="s">
        <v>7558</v>
      </c>
      <c r="L2801" s="28" t="s">
        <v>7559</v>
      </c>
      <c r="M2801" t="s">
        <v>23</v>
      </c>
      <c r="N2801"/>
      <c r="O2801"/>
      <c r="P2801"/>
      <c r="Q2801"/>
      <c r="R2801"/>
      <c r="S2801"/>
    </row>
    <row r="2802" spans="1:19" x14ac:dyDescent="0.25">
      <c r="A2802" s="28" t="s">
        <v>14843</v>
      </c>
      <c r="J2802" t="s">
        <v>7560</v>
      </c>
      <c r="K2802" t="s">
        <v>7561</v>
      </c>
      <c r="M2802" t="s">
        <v>47</v>
      </c>
      <c r="N2802"/>
      <c r="O2802"/>
      <c r="P2802"/>
      <c r="Q2802"/>
      <c r="R2802"/>
      <c r="S2802"/>
    </row>
    <row r="2803" spans="1:19" x14ac:dyDescent="0.25">
      <c r="A2803" s="28" t="s">
        <v>14843</v>
      </c>
      <c r="J2803" t="s">
        <v>7562</v>
      </c>
      <c r="K2803" t="s">
        <v>7563</v>
      </c>
      <c r="M2803" t="s">
        <v>47</v>
      </c>
      <c r="N2803"/>
      <c r="O2803"/>
      <c r="P2803"/>
      <c r="Q2803"/>
      <c r="R2803"/>
      <c r="S2803"/>
    </row>
    <row r="2804" spans="1:19" x14ac:dyDescent="0.25">
      <c r="A2804" t="s">
        <v>193</v>
      </c>
      <c r="C2804" s="27" t="s">
        <v>34749</v>
      </c>
      <c r="D2804" s="28" t="s">
        <v>34867</v>
      </c>
      <c r="J2804" t="s">
        <v>7564</v>
      </c>
      <c r="K2804" t="s">
        <v>7565</v>
      </c>
      <c r="L2804" s="28" t="s">
        <v>7566</v>
      </c>
      <c r="M2804" t="s">
        <v>23</v>
      </c>
      <c r="N2804"/>
      <c r="O2804"/>
      <c r="P2804"/>
      <c r="Q2804"/>
      <c r="R2804"/>
      <c r="S2804"/>
    </row>
    <row r="2805" spans="1:19" x14ac:dyDescent="0.25">
      <c r="A2805" s="28" t="s">
        <v>14843</v>
      </c>
      <c r="J2805" t="s">
        <v>7567</v>
      </c>
      <c r="K2805" t="s">
        <v>7568</v>
      </c>
      <c r="M2805" t="s">
        <v>47</v>
      </c>
      <c r="N2805"/>
      <c r="O2805"/>
      <c r="P2805"/>
      <c r="Q2805"/>
      <c r="R2805"/>
      <c r="S2805"/>
    </row>
    <row r="2806" spans="1:19" x14ac:dyDescent="0.25">
      <c r="A2806" t="s">
        <v>193</v>
      </c>
      <c r="C2806" s="27" t="s">
        <v>34749</v>
      </c>
      <c r="D2806" s="28" t="s">
        <v>34867</v>
      </c>
      <c r="J2806" t="s">
        <v>7569</v>
      </c>
      <c r="K2806" t="s">
        <v>7570</v>
      </c>
      <c r="L2806" s="28" t="s">
        <v>7571</v>
      </c>
      <c r="M2806" t="s">
        <v>23</v>
      </c>
      <c r="N2806"/>
      <c r="O2806"/>
      <c r="P2806"/>
      <c r="Q2806"/>
      <c r="R2806"/>
      <c r="S2806"/>
    </row>
    <row r="2807" spans="1:19" x14ac:dyDescent="0.25">
      <c r="A2807" t="s">
        <v>193</v>
      </c>
      <c r="C2807" s="27" t="s">
        <v>34749</v>
      </c>
      <c r="D2807" s="28" t="s">
        <v>34867</v>
      </c>
      <c r="J2807" t="s">
        <v>7572</v>
      </c>
      <c r="K2807" t="s">
        <v>7573</v>
      </c>
      <c r="L2807" s="28" t="s">
        <v>7574</v>
      </c>
      <c r="M2807" t="s">
        <v>23</v>
      </c>
      <c r="N2807"/>
      <c r="O2807"/>
      <c r="P2807"/>
      <c r="Q2807"/>
      <c r="R2807"/>
      <c r="S2807"/>
    </row>
    <row r="2808" spans="1:19" x14ac:dyDescent="0.25">
      <c r="A2808" t="s">
        <v>193</v>
      </c>
      <c r="C2808" s="27" t="s">
        <v>34749</v>
      </c>
      <c r="D2808" s="28" t="s">
        <v>34867</v>
      </c>
      <c r="J2808" t="s">
        <v>7575</v>
      </c>
      <c r="K2808" t="s">
        <v>7576</v>
      </c>
      <c r="L2808" s="28" t="s">
        <v>7577</v>
      </c>
      <c r="M2808" t="s">
        <v>23</v>
      </c>
      <c r="N2808"/>
      <c r="O2808"/>
      <c r="P2808"/>
      <c r="Q2808"/>
      <c r="R2808"/>
      <c r="S2808"/>
    </row>
    <row r="2809" spans="1:19" x14ac:dyDescent="0.25">
      <c r="A2809" t="s">
        <v>193</v>
      </c>
      <c r="C2809" s="27" t="s">
        <v>34749</v>
      </c>
      <c r="D2809" s="28" t="s">
        <v>34867</v>
      </c>
      <c r="J2809" t="s">
        <v>7578</v>
      </c>
      <c r="K2809" t="s">
        <v>7579</v>
      </c>
      <c r="L2809" s="28" t="s">
        <v>7580</v>
      </c>
      <c r="M2809" t="s">
        <v>23</v>
      </c>
      <c r="N2809"/>
      <c r="O2809"/>
      <c r="P2809"/>
      <c r="Q2809"/>
      <c r="R2809"/>
      <c r="S2809"/>
    </row>
    <row r="2810" spans="1:19" x14ac:dyDescent="0.25">
      <c r="A2810" t="s">
        <v>193</v>
      </c>
      <c r="C2810" s="27" t="s">
        <v>34749</v>
      </c>
      <c r="D2810" s="28" t="s">
        <v>34867</v>
      </c>
      <c r="J2810" t="s">
        <v>7581</v>
      </c>
      <c r="K2810" t="s">
        <v>7582</v>
      </c>
      <c r="L2810" s="28" t="s">
        <v>7583</v>
      </c>
      <c r="M2810" t="s">
        <v>23</v>
      </c>
      <c r="N2810"/>
      <c r="O2810"/>
      <c r="P2810"/>
      <c r="Q2810"/>
      <c r="R2810"/>
      <c r="S2810"/>
    </row>
    <row r="2811" spans="1:19" x14ac:dyDescent="0.25">
      <c r="A2811" t="s">
        <v>193</v>
      </c>
      <c r="C2811" s="27" t="s">
        <v>34749</v>
      </c>
      <c r="D2811" s="28" t="s">
        <v>34867</v>
      </c>
      <c r="J2811" t="s">
        <v>7584</v>
      </c>
      <c r="K2811" t="s">
        <v>7585</v>
      </c>
      <c r="L2811" s="28" t="s">
        <v>7586</v>
      </c>
      <c r="M2811" t="s">
        <v>23</v>
      </c>
      <c r="N2811"/>
      <c r="O2811"/>
      <c r="P2811"/>
      <c r="Q2811"/>
      <c r="R2811"/>
      <c r="S2811"/>
    </row>
    <row r="2812" spans="1:19" x14ac:dyDescent="0.25">
      <c r="A2812" s="28" t="s">
        <v>14843</v>
      </c>
      <c r="J2812" t="s">
        <v>7587</v>
      </c>
      <c r="K2812" t="s">
        <v>7588</v>
      </c>
      <c r="M2812" t="s">
        <v>666</v>
      </c>
      <c r="N2812"/>
      <c r="O2812"/>
      <c r="P2812"/>
      <c r="Q2812"/>
      <c r="R2812"/>
      <c r="S2812"/>
    </row>
    <row r="2813" spans="1:19" x14ac:dyDescent="0.25">
      <c r="A2813" s="28" t="s">
        <v>14843</v>
      </c>
      <c r="J2813" t="s">
        <v>7591</v>
      </c>
      <c r="K2813" t="s">
        <v>7592</v>
      </c>
      <c r="M2813" t="s">
        <v>47</v>
      </c>
      <c r="N2813"/>
      <c r="O2813"/>
      <c r="P2813"/>
      <c r="Q2813"/>
      <c r="R2813"/>
      <c r="S2813"/>
    </row>
    <row r="2814" spans="1:19" x14ac:dyDescent="0.25">
      <c r="A2814" t="s">
        <v>193</v>
      </c>
      <c r="C2814" s="27" t="s">
        <v>34749</v>
      </c>
      <c r="D2814" s="28" t="s">
        <v>34867</v>
      </c>
      <c r="J2814" t="s">
        <v>7593</v>
      </c>
      <c r="K2814" t="s">
        <v>7594</v>
      </c>
      <c r="L2814" s="28" t="s">
        <v>7595</v>
      </c>
      <c r="M2814" t="s">
        <v>23</v>
      </c>
      <c r="N2814"/>
      <c r="O2814"/>
      <c r="P2814"/>
      <c r="Q2814"/>
      <c r="R2814"/>
      <c r="S2814"/>
    </row>
    <row r="2815" spans="1:19" x14ac:dyDescent="0.25">
      <c r="A2815" t="s">
        <v>193</v>
      </c>
      <c r="C2815" s="27" t="s">
        <v>34749</v>
      </c>
      <c r="D2815" s="28" t="s">
        <v>34867</v>
      </c>
      <c r="I2815" t="str">
        <f>CONCATENATE(LEFT(K2815,SEARCH(" (",K2815))," | ", RIGHT(LEFT(K2815,LEN(K2815)-1),LEN(K2815)-2-FIND(" (",K2815)))</f>
        <v>2,4,6-trinitrotolueen  | TNT</v>
      </c>
      <c r="J2815" t="s">
        <v>7596</v>
      </c>
      <c r="K2815" t="s">
        <v>7597</v>
      </c>
      <c r="L2815" s="28" t="s">
        <v>7598</v>
      </c>
      <c r="M2815" t="s">
        <v>23</v>
      </c>
      <c r="N2815"/>
      <c r="O2815"/>
      <c r="P2815"/>
      <c r="Q2815"/>
      <c r="R2815"/>
      <c r="S2815"/>
    </row>
    <row r="2816" spans="1:19" x14ac:dyDescent="0.25">
      <c r="A2816" s="27" t="s">
        <v>193</v>
      </c>
      <c r="J2816" t="s">
        <v>7599</v>
      </c>
      <c r="K2816" t="s">
        <v>7600</v>
      </c>
      <c r="M2816" t="s">
        <v>47</v>
      </c>
      <c r="N2816"/>
      <c r="O2816"/>
      <c r="P2816"/>
      <c r="Q2816"/>
      <c r="R2816"/>
      <c r="S2816"/>
    </row>
    <row r="2817" spans="1:19" x14ac:dyDescent="0.25">
      <c r="A2817" s="27" t="s">
        <v>193</v>
      </c>
      <c r="J2817" t="s">
        <v>7601</v>
      </c>
      <c r="K2817" t="s">
        <v>7602</v>
      </c>
      <c r="M2817" t="s">
        <v>23</v>
      </c>
      <c r="N2817"/>
      <c r="O2817"/>
      <c r="P2817"/>
      <c r="Q2817"/>
      <c r="R2817"/>
      <c r="S2817"/>
    </row>
    <row r="2818" spans="1:19" x14ac:dyDescent="0.25">
      <c r="A2818" s="27" t="s">
        <v>193</v>
      </c>
      <c r="J2818" t="s">
        <v>7603</v>
      </c>
      <c r="K2818" t="s">
        <v>7604</v>
      </c>
      <c r="M2818" t="s">
        <v>23</v>
      </c>
      <c r="N2818"/>
      <c r="O2818"/>
      <c r="P2818"/>
      <c r="Q2818"/>
      <c r="R2818"/>
      <c r="S2818"/>
    </row>
    <row r="2819" spans="1:19" x14ac:dyDescent="0.25">
      <c r="A2819" s="28" t="s">
        <v>14843</v>
      </c>
      <c r="J2819" t="s">
        <v>7605</v>
      </c>
      <c r="K2819" t="s">
        <v>7606</v>
      </c>
      <c r="M2819" t="s">
        <v>2820</v>
      </c>
      <c r="N2819"/>
      <c r="O2819"/>
      <c r="P2819"/>
      <c r="Q2819"/>
      <c r="R2819"/>
      <c r="S2819"/>
    </row>
    <row r="2820" spans="1:19" x14ac:dyDescent="0.25">
      <c r="A2820" t="s">
        <v>193</v>
      </c>
      <c r="C2820" s="27" t="s">
        <v>34749</v>
      </c>
      <c r="D2820" s="28" t="s">
        <v>34867</v>
      </c>
      <c r="J2820" t="s">
        <v>7607</v>
      </c>
      <c r="K2820" t="s">
        <v>7608</v>
      </c>
      <c r="L2820" s="28" t="s">
        <v>7609</v>
      </c>
      <c r="M2820" t="s">
        <v>23</v>
      </c>
      <c r="N2820"/>
      <c r="O2820"/>
      <c r="P2820"/>
      <c r="Q2820"/>
      <c r="R2820"/>
      <c r="S2820"/>
    </row>
    <row r="2821" spans="1:19" x14ac:dyDescent="0.25">
      <c r="A2821" t="s">
        <v>193</v>
      </c>
      <c r="C2821" s="27" t="s">
        <v>34749</v>
      </c>
      <c r="D2821" s="28" t="s">
        <v>34867</v>
      </c>
      <c r="J2821" t="s">
        <v>7610</v>
      </c>
      <c r="K2821" t="s">
        <v>7611</v>
      </c>
      <c r="L2821" s="28" t="s">
        <v>7612</v>
      </c>
      <c r="M2821" t="s">
        <v>23</v>
      </c>
      <c r="N2821"/>
      <c r="O2821"/>
      <c r="P2821"/>
      <c r="Q2821"/>
      <c r="R2821"/>
      <c r="S2821"/>
    </row>
    <row r="2822" spans="1:19" x14ac:dyDescent="0.25">
      <c r="A2822" s="28" t="s">
        <v>14843</v>
      </c>
      <c r="J2822" t="s">
        <v>7613</v>
      </c>
      <c r="K2822" t="s">
        <v>7614</v>
      </c>
      <c r="M2822" t="s">
        <v>47</v>
      </c>
      <c r="N2822"/>
      <c r="O2822"/>
      <c r="P2822"/>
      <c r="Q2822"/>
      <c r="R2822"/>
      <c r="S2822"/>
    </row>
    <row r="2823" spans="1:19" x14ac:dyDescent="0.25">
      <c r="A2823" s="28" t="s">
        <v>14843</v>
      </c>
      <c r="J2823" t="s">
        <v>7619</v>
      </c>
      <c r="K2823" t="s">
        <v>7620</v>
      </c>
      <c r="M2823" t="s">
        <v>47</v>
      </c>
      <c r="N2823"/>
      <c r="O2823"/>
      <c r="P2823"/>
      <c r="Q2823"/>
      <c r="R2823"/>
      <c r="S2823"/>
    </row>
    <row r="2824" spans="1:19" x14ac:dyDescent="0.25">
      <c r="A2824" s="28" t="s">
        <v>14843</v>
      </c>
      <c r="J2824" t="s">
        <v>7621</v>
      </c>
      <c r="K2824" t="s">
        <v>7622</v>
      </c>
      <c r="M2824" t="s">
        <v>2820</v>
      </c>
      <c r="N2824"/>
      <c r="O2824"/>
      <c r="P2824"/>
      <c r="Q2824"/>
      <c r="R2824"/>
      <c r="S2824"/>
    </row>
    <row r="2825" spans="1:19" x14ac:dyDescent="0.25">
      <c r="A2825" s="28" t="s">
        <v>14843</v>
      </c>
      <c r="J2825" t="s">
        <v>7623</v>
      </c>
      <c r="K2825" t="s">
        <v>7624</v>
      </c>
      <c r="M2825" t="s">
        <v>2820</v>
      </c>
      <c r="N2825"/>
      <c r="O2825"/>
      <c r="P2825"/>
      <c r="Q2825"/>
      <c r="R2825"/>
      <c r="S2825"/>
    </row>
    <row r="2826" spans="1:19" x14ac:dyDescent="0.25">
      <c r="A2826" t="s">
        <v>193</v>
      </c>
      <c r="C2826" s="27" t="s">
        <v>34749</v>
      </c>
      <c r="D2826" s="28" t="s">
        <v>34867</v>
      </c>
      <c r="J2826" t="s">
        <v>7625</v>
      </c>
      <c r="K2826" t="s">
        <v>7626</v>
      </c>
      <c r="L2826" s="28" t="s">
        <v>7627</v>
      </c>
      <c r="M2826" t="s">
        <v>23</v>
      </c>
      <c r="N2826"/>
      <c r="O2826"/>
      <c r="P2826"/>
      <c r="Q2826"/>
      <c r="R2826"/>
      <c r="S2826"/>
    </row>
    <row r="2827" spans="1:19" x14ac:dyDescent="0.25">
      <c r="A2827" s="28" t="s">
        <v>14843</v>
      </c>
      <c r="J2827" t="s">
        <v>7630</v>
      </c>
      <c r="K2827" t="s">
        <v>7631</v>
      </c>
      <c r="M2827" t="s">
        <v>47</v>
      </c>
      <c r="N2827"/>
      <c r="O2827"/>
      <c r="P2827"/>
      <c r="Q2827"/>
      <c r="R2827"/>
      <c r="S2827"/>
    </row>
    <row r="2828" spans="1:19" x14ac:dyDescent="0.25">
      <c r="A2828" s="28" t="s">
        <v>14843</v>
      </c>
      <c r="J2828" t="s">
        <v>7632</v>
      </c>
      <c r="K2828" t="s">
        <v>7633</v>
      </c>
      <c r="M2828" t="s">
        <v>47</v>
      </c>
      <c r="N2828"/>
      <c r="O2828"/>
      <c r="P2828"/>
      <c r="Q2828"/>
      <c r="R2828"/>
      <c r="S2828"/>
    </row>
    <row r="2829" spans="1:19" x14ac:dyDescent="0.25">
      <c r="A2829" t="s">
        <v>193</v>
      </c>
      <c r="C2829" s="27" t="s">
        <v>34749</v>
      </c>
      <c r="D2829" s="28" t="s">
        <v>34867</v>
      </c>
      <c r="J2829" t="s">
        <v>7634</v>
      </c>
      <c r="K2829" t="s">
        <v>7635</v>
      </c>
      <c r="L2829" s="28" t="s">
        <v>7636</v>
      </c>
      <c r="M2829" t="s">
        <v>23</v>
      </c>
      <c r="N2829"/>
      <c r="O2829"/>
      <c r="P2829"/>
      <c r="Q2829"/>
      <c r="R2829"/>
      <c r="S2829"/>
    </row>
    <row r="2830" spans="1:19" x14ac:dyDescent="0.25">
      <c r="A2830" t="s">
        <v>193</v>
      </c>
      <c r="C2830" s="27" t="s">
        <v>34749</v>
      </c>
      <c r="D2830" s="28" t="s">
        <v>34867</v>
      </c>
      <c r="J2830" t="s">
        <v>7637</v>
      </c>
      <c r="K2830" t="s">
        <v>7638</v>
      </c>
      <c r="L2830" s="28" t="s">
        <v>7639</v>
      </c>
      <c r="M2830" t="s">
        <v>23</v>
      </c>
      <c r="N2830"/>
      <c r="O2830"/>
      <c r="P2830"/>
      <c r="Q2830"/>
      <c r="R2830"/>
      <c r="S2830"/>
    </row>
    <row r="2831" spans="1:19" x14ac:dyDescent="0.25">
      <c r="A2831" t="s">
        <v>193</v>
      </c>
      <c r="C2831" s="27" t="s">
        <v>34749</v>
      </c>
      <c r="D2831" s="28" t="s">
        <v>34867</v>
      </c>
      <c r="J2831" t="s">
        <v>7640</v>
      </c>
      <c r="K2831" t="s">
        <v>7641</v>
      </c>
      <c r="L2831" s="28" t="s">
        <v>7642</v>
      </c>
      <c r="M2831" t="s">
        <v>23</v>
      </c>
      <c r="N2831"/>
      <c r="O2831"/>
      <c r="P2831"/>
      <c r="Q2831"/>
      <c r="R2831"/>
      <c r="S2831"/>
    </row>
    <row r="2832" spans="1:19" x14ac:dyDescent="0.25">
      <c r="A2832" t="s">
        <v>193</v>
      </c>
      <c r="C2832" s="27" t="s">
        <v>34749</v>
      </c>
      <c r="D2832" s="28" t="s">
        <v>34867</v>
      </c>
      <c r="J2832" t="s">
        <v>7643</v>
      </c>
      <c r="K2832" t="s">
        <v>7644</v>
      </c>
      <c r="L2832" s="28" t="s">
        <v>7645</v>
      </c>
      <c r="M2832" t="s">
        <v>23</v>
      </c>
      <c r="N2832"/>
      <c r="O2832"/>
      <c r="P2832"/>
      <c r="Q2832"/>
      <c r="R2832"/>
      <c r="S2832"/>
    </row>
    <row r="2833" spans="1:19" x14ac:dyDescent="0.25">
      <c r="A2833" t="s">
        <v>193</v>
      </c>
      <c r="C2833" s="27" t="s">
        <v>34749</v>
      </c>
      <c r="D2833" s="28" t="s">
        <v>34867</v>
      </c>
      <c r="J2833" t="s">
        <v>7646</v>
      </c>
      <c r="K2833" t="s">
        <v>7647</v>
      </c>
      <c r="L2833" s="28" t="s">
        <v>7648</v>
      </c>
      <c r="M2833" t="s">
        <v>23</v>
      </c>
      <c r="N2833"/>
      <c r="O2833"/>
      <c r="P2833"/>
      <c r="Q2833"/>
      <c r="R2833"/>
      <c r="S2833"/>
    </row>
    <row r="2834" spans="1:19" x14ac:dyDescent="0.25">
      <c r="A2834" t="s">
        <v>193</v>
      </c>
      <c r="C2834" s="27" t="s">
        <v>34749</v>
      </c>
      <c r="D2834" s="28" t="s">
        <v>34867</v>
      </c>
      <c r="J2834" t="s">
        <v>7649</v>
      </c>
      <c r="K2834" t="s">
        <v>7650</v>
      </c>
      <c r="L2834" s="28" t="s">
        <v>7651</v>
      </c>
      <c r="M2834" t="s">
        <v>23</v>
      </c>
      <c r="N2834"/>
      <c r="O2834"/>
      <c r="P2834"/>
      <c r="Q2834"/>
      <c r="R2834"/>
      <c r="S2834"/>
    </row>
    <row r="2835" spans="1:19" x14ac:dyDescent="0.25">
      <c r="A2835" t="s">
        <v>193</v>
      </c>
      <c r="C2835" s="27" t="s">
        <v>34749</v>
      </c>
      <c r="D2835" s="28" t="s">
        <v>34867</v>
      </c>
      <c r="J2835" t="s">
        <v>7652</v>
      </c>
      <c r="K2835" t="s">
        <v>7653</v>
      </c>
      <c r="L2835" s="28" t="s">
        <v>7654</v>
      </c>
      <c r="M2835" t="s">
        <v>23</v>
      </c>
      <c r="N2835"/>
      <c r="O2835"/>
      <c r="P2835"/>
      <c r="Q2835"/>
      <c r="R2835"/>
      <c r="S2835"/>
    </row>
    <row r="2836" spans="1:19" x14ac:dyDescent="0.25">
      <c r="A2836" t="s">
        <v>193</v>
      </c>
      <c r="C2836" s="27" t="s">
        <v>34749</v>
      </c>
      <c r="D2836" s="28" t="s">
        <v>34867</v>
      </c>
      <c r="J2836" t="s">
        <v>7655</v>
      </c>
      <c r="K2836" t="s">
        <v>7656</v>
      </c>
      <c r="L2836" s="28" t="s">
        <v>7657</v>
      </c>
      <c r="M2836" t="s">
        <v>23</v>
      </c>
      <c r="N2836"/>
      <c r="O2836"/>
      <c r="P2836"/>
      <c r="Q2836"/>
      <c r="R2836"/>
      <c r="S2836"/>
    </row>
    <row r="2837" spans="1:19" x14ac:dyDescent="0.25">
      <c r="A2837" t="s">
        <v>193</v>
      </c>
      <c r="C2837" s="27" t="s">
        <v>34749</v>
      </c>
      <c r="D2837" s="28" t="s">
        <v>34867</v>
      </c>
      <c r="J2837" t="s">
        <v>7658</v>
      </c>
      <c r="K2837" t="s">
        <v>7659</v>
      </c>
      <c r="L2837" s="28" t="s">
        <v>7660</v>
      </c>
      <c r="M2837" t="s">
        <v>23</v>
      </c>
      <c r="N2837"/>
      <c r="O2837"/>
      <c r="P2837"/>
      <c r="Q2837"/>
      <c r="R2837"/>
      <c r="S2837"/>
    </row>
    <row r="2838" spans="1:19" x14ac:dyDescent="0.25">
      <c r="A2838" t="s">
        <v>193</v>
      </c>
      <c r="C2838" s="27" t="s">
        <v>34749</v>
      </c>
      <c r="D2838" s="28" t="s">
        <v>34867</v>
      </c>
      <c r="J2838" t="s">
        <v>7661</v>
      </c>
      <c r="K2838" t="s">
        <v>7662</v>
      </c>
      <c r="L2838" s="28" t="s">
        <v>7663</v>
      </c>
      <c r="M2838" t="s">
        <v>23</v>
      </c>
      <c r="N2838"/>
      <c r="O2838"/>
      <c r="P2838"/>
      <c r="Q2838"/>
      <c r="R2838"/>
      <c r="S2838"/>
    </row>
    <row r="2839" spans="1:19" x14ac:dyDescent="0.25">
      <c r="A2839" t="s">
        <v>193</v>
      </c>
      <c r="C2839" s="27" t="s">
        <v>34749</v>
      </c>
      <c r="D2839" s="28" t="s">
        <v>34867</v>
      </c>
      <c r="J2839" t="s">
        <v>7664</v>
      </c>
      <c r="K2839" t="s">
        <v>7665</v>
      </c>
      <c r="L2839" s="28" t="s">
        <v>7666</v>
      </c>
      <c r="M2839" t="s">
        <v>23</v>
      </c>
      <c r="N2839"/>
      <c r="O2839"/>
      <c r="P2839"/>
      <c r="Q2839"/>
      <c r="R2839"/>
      <c r="S2839"/>
    </row>
    <row r="2840" spans="1:19" x14ac:dyDescent="0.25">
      <c r="A2840" t="s">
        <v>193</v>
      </c>
      <c r="C2840" s="27" t="s">
        <v>34749</v>
      </c>
      <c r="D2840" s="28" t="s">
        <v>34867</v>
      </c>
      <c r="J2840" t="s">
        <v>7667</v>
      </c>
      <c r="K2840" t="s">
        <v>7668</v>
      </c>
      <c r="L2840" s="28" t="s">
        <v>7669</v>
      </c>
      <c r="M2840" t="s">
        <v>23</v>
      </c>
      <c r="N2840"/>
      <c r="O2840"/>
      <c r="P2840"/>
      <c r="Q2840"/>
      <c r="R2840"/>
      <c r="S2840"/>
    </row>
    <row r="2841" spans="1:19" x14ac:dyDescent="0.25">
      <c r="A2841" t="s">
        <v>193</v>
      </c>
      <c r="C2841" s="27" t="s">
        <v>34749</v>
      </c>
      <c r="D2841" s="28" t="s">
        <v>34867</v>
      </c>
      <c r="J2841" t="s">
        <v>7670</v>
      </c>
      <c r="K2841" t="s">
        <v>7671</v>
      </c>
      <c r="L2841" s="28" t="s">
        <v>7672</v>
      </c>
      <c r="M2841" t="s">
        <v>23</v>
      </c>
      <c r="N2841"/>
      <c r="O2841"/>
      <c r="P2841"/>
      <c r="Q2841"/>
      <c r="R2841"/>
      <c r="S2841"/>
    </row>
    <row r="2842" spans="1:19" x14ac:dyDescent="0.25">
      <c r="A2842" t="s">
        <v>193</v>
      </c>
      <c r="C2842" s="27" t="s">
        <v>34749</v>
      </c>
      <c r="D2842" s="28" t="s">
        <v>34867</v>
      </c>
      <c r="J2842" t="s">
        <v>7673</v>
      </c>
      <c r="K2842" t="s">
        <v>7674</v>
      </c>
      <c r="L2842" s="28" t="s">
        <v>7675</v>
      </c>
      <c r="M2842" t="s">
        <v>23</v>
      </c>
      <c r="N2842"/>
      <c r="O2842"/>
      <c r="P2842"/>
      <c r="Q2842"/>
      <c r="R2842"/>
      <c r="S2842"/>
    </row>
    <row r="2843" spans="1:19" x14ac:dyDescent="0.25">
      <c r="A2843" t="s">
        <v>193</v>
      </c>
      <c r="C2843" s="27" t="s">
        <v>34749</v>
      </c>
      <c r="D2843" s="28" t="s">
        <v>34867</v>
      </c>
      <c r="J2843" t="s">
        <v>7676</v>
      </c>
      <c r="K2843" t="s">
        <v>7677</v>
      </c>
      <c r="L2843" s="28" t="s">
        <v>7678</v>
      </c>
      <c r="M2843" t="s">
        <v>23</v>
      </c>
      <c r="N2843"/>
      <c r="O2843"/>
      <c r="P2843"/>
      <c r="Q2843"/>
      <c r="R2843"/>
      <c r="S2843"/>
    </row>
    <row r="2844" spans="1:19" x14ac:dyDescent="0.25">
      <c r="A2844" t="s">
        <v>193</v>
      </c>
      <c r="C2844" s="27" t="s">
        <v>34749</v>
      </c>
      <c r="D2844" s="28" t="s">
        <v>34867</v>
      </c>
      <c r="J2844" t="s">
        <v>7679</v>
      </c>
      <c r="K2844" t="s">
        <v>7680</v>
      </c>
      <c r="L2844" s="28" t="s">
        <v>7681</v>
      </c>
      <c r="M2844" t="s">
        <v>23</v>
      </c>
      <c r="N2844"/>
      <c r="O2844"/>
      <c r="P2844"/>
      <c r="Q2844"/>
      <c r="R2844"/>
      <c r="S2844"/>
    </row>
    <row r="2845" spans="1:19" x14ac:dyDescent="0.25">
      <c r="A2845" t="s">
        <v>193</v>
      </c>
      <c r="C2845" s="27" t="s">
        <v>34749</v>
      </c>
      <c r="D2845" s="28" t="s">
        <v>34867</v>
      </c>
      <c r="J2845" t="s">
        <v>7682</v>
      </c>
      <c r="K2845" t="s">
        <v>7683</v>
      </c>
      <c r="L2845" s="28" t="s">
        <v>7684</v>
      </c>
      <c r="M2845" t="s">
        <v>23</v>
      </c>
      <c r="N2845"/>
      <c r="O2845"/>
      <c r="P2845"/>
      <c r="Q2845"/>
      <c r="R2845"/>
      <c r="S2845"/>
    </row>
    <row r="2846" spans="1:19" x14ac:dyDescent="0.25">
      <c r="A2846" t="s">
        <v>193</v>
      </c>
      <c r="C2846" s="27" t="s">
        <v>34749</v>
      </c>
      <c r="D2846" s="28" t="s">
        <v>34867</v>
      </c>
      <c r="J2846" t="s">
        <v>7685</v>
      </c>
      <c r="K2846" t="s">
        <v>7686</v>
      </c>
      <c r="L2846" s="28" t="s">
        <v>7687</v>
      </c>
      <c r="M2846" t="s">
        <v>23</v>
      </c>
      <c r="N2846"/>
      <c r="O2846"/>
      <c r="P2846"/>
      <c r="Q2846"/>
      <c r="R2846"/>
      <c r="S2846"/>
    </row>
    <row r="2847" spans="1:19" x14ac:dyDescent="0.25">
      <c r="A2847" t="s">
        <v>193</v>
      </c>
      <c r="C2847" s="27" t="s">
        <v>34749</v>
      </c>
      <c r="D2847" s="28" t="s">
        <v>34867</v>
      </c>
      <c r="J2847" t="s">
        <v>7688</v>
      </c>
      <c r="K2847" t="s">
        <v>7689</v>
      </c>
      <c r="L2847" s="28" t="s">
        <v>7690</v>
      </c>
      <c r="M2847" t="s">
        <v>23</v>
      </c>
      <c r="N2847"/>
      <c r="O2847"/>
      <c r="P2847"/>
      <c r="Q2847"/>
      <c r="R2847"/>
      <c r="S2847"/>
    </row>
    <row r="2848" spans="1:19" x14ac:dyDescent="0.25">
      <c r="A2848" t="s">
        <v>193</v>
      </c>
      <c r="C2848" s="27" t="s">
        <v>34749</v>
      </c>
      <c r="D2848" s="28" t="s">
        <v>34867</v>
      </c>
      <c r="J2848" t="s">
        <v>7691</v>
      </c>
      <c r="K2848" t="s">
        <v>7692</v>
      </c>
      <c r="L2848" s="28" t="s">
        <v>7693</v>
      </c>
      <c r="M2848" t="s">
        <v>23</v>
      </c>
      <c r="N2848"/>
      <c r="O2848"/>
      <c r="P2848"/>
      <c r="Q2848"/>
      <c r="R2848"/>
      <c r="S2848"/>
    </row>
    <row r="2849" spans="1:19" x14ac:dyDescent="0.25">
      <c r="A2849" t="s">
        <v>193</v>
      </c>
      <c r="C2849" s="27" t="s">
        <v>34749</v>
      </c>
      <c r="D2849" s="28" t="s">
        <v>34867</v>
      </c>
      <c r="J2849" t="s">
        <v>7694</v>
      </c>
      <c r="K2849" t="s">
        <v>7695</v>
      </c>
      <c r="L2849" s="28" t="s">
        <v>7696</v>
      </c>
      <c r="M2849" t="s">
        <v>23</v>
      </c>
      <c r="N2849"/>
      <c r="O2849"/>
      <c r="P2849"/>
      <c r="Q2849"/>
      <c r="R2849"/>
      <c r="S2849"/>
    </row>
    <row r="2850" spans="1:19" x14ac:dyDescent="0.25">
      <c r="A2850" t="s">
        <v>193</v>
      </c>
      <c r="C2850" s="27" t="s">
        <v>34749</v>
      </c>
      <c r="D2850" s="28" t="s">
        <v>34867</v>
      </c>
      <c r="J2850" t="s">
        <v>7697</v>
      </c>
      <c r="K2850" t="s">
        <v>7698</v>
      </c>
      <c r="L2850" s="28" t="s">
        <v>7699</v>
      </c>
      <c r="M2850" t="s">
        <v>23</v>
      </c>
      <c r="N2850"/>
      <c r="O2850"/>
      <c r="P2850"/>
      <c r="Q2850"/>
      <c r="R2850"/>
      <c r="S2850"/>
    </row>
    <row r="2851" spans="1:19" x14ac:dyDescent="0.25">
      <c r="A2851" s="27" t="s">
        <v>193</v>
      </c>
      <c r="C2851" s="27" t="s">
        <v>34749</v>
      </c>
      <c r="D2851" s="28" t="s">
        <v>34867</v>
      </c>
      <c r="J2851" t="s">
        <v>7700</v>
      </c>
      <c r="K2851" t="s">
        <v>7701</v>
      </c>
      <c r="M2851" t="s">
        <v>23</v>
      </c>
      <c r="N2851"/>
      <c r="O2851"/>
      <c r="P2851"/>
      <c r="Q2851"/>
      <c r="R2851"/>
      <c r="S2851"/>
    </row>
    <row r="2852" spans="1:19" x14ac:dyDescent="0.25">
      <c r="A2852" t="s">
        <v>193</v>
      </c>
      <c r="C2852" s="27" t="s">
        <v>34749</v>
      </c>
      <c r="D2852" s="28" t="s">
        <v>34867</v>
      </c>
      <c r="J2852" t="s">
        <v>7702</v>
      </c>
      <c r="K2852" t="s">
        <v>7703</v>
      </c>
      <c r="L2852" s="28" t="s">
        <v>7704</v>
      </c>
      <c r="M2852" t="s">
        <v>23</v>
      </c>
      <c r="N2852"/>
      <c r="O2852"/>
      <c r="P2852"/>
      <c r="Q2852"/>
      <c r="R2852"/>
      <c r="S2852"/>
    </row>
    <row r="2853" spans="1:19" x14ac:dyDescent="0.25">
      <c r="A2853" t="s">
        <v>193</v>
      </c>
      <c r="C2853" s="27" t="s">
        <v>34749</v>
      </c>
      <c r="D2853" s="28" t="s">
        <v>34867</v>
      </c>
      <c r="J2853" t="s">
        <v>7705</v>
      </c>
      <c r="K2853" t="s">
        <v>7706</v>
      </c>
      <c r="L2853" s="28" t="s">
        <v>7707</v>
      </c>
      <c r="M2853" t="s">
        <v>23</v>
      </c>
      <c r="N2853"/>
      <c r="O2853"/>
      <c r="P2853"/>
      <c r="Q2853"/>
      <c r="R2853"/>
      <c r="S2853"/>
    </row>
    <row r="2854" spans="1:19" x14ac:dyDescent="0.25">
      <c r="A2854" t="s">
        <v>193</v>
      </c>
      <c r="C2854" s="27" t="s">
        <v>34749</v>
      </c>
      <c r="D2854" s="28" t="s">
        <v>34867</v>
      </c>
      <c r="J2854" t="s">
        <v>7708</v>
      </c>
      <c r="K2854" t="s">
        <v>7709</v>
      </c>
      <c r="L2854" s="28" t="s">
        <v>7710</v>
      </c>
      <c r="M2854" t="s">
        <v>23</v>
      </c>
      <c r="N2854"/>
      <c r="O2854"/>
      <c r="P2854"/>
      <c r="Q2854"/>
      <c r="R2854"/>
      <c r="S2854"/>
    </row>
    <row r="2855" spans="1:19" x14ac:dyDescent="0.25">
      <c r="A2855" t="s">
        <v>193</v>
      </c>
      <c r="C2855" s="27" t="s">
        <v>34749</v>
      </c>
      <c r="D2855" s="28" t="s">
        <v>34867</v>
      </c>
      <c r="J2855" t="s">
        <v>7711</v>
      </c>
      <c r="K2855" t="s">
        <v>7712</v>
      </c>
      <c r="L2855" s="28" t="s">
        <v>7713</v>
      </c>
      <c r="M2855" t="s">
        <v>23</v>
      </c>
      <c r="N2855"/>
      <c r="O2855"/>
      <c r="P2855"/>
      <c r="Q2855"/>
      <c r="R2855"/>
      <c r="S2855"/>
    </row>
    <row r="2856" spans="1:19" x14ac:dyDescent="0.25">
      <c r="A2856" t="s">
        <v>193</v>
      </c>
      <c r="C2856" s="27" t="s">
        <v>34749</v>
      </c>
      <c r="D2856" s="28" t="s">
        <v>34867</v>
      </c>
      <c r="J2856" t="s">
        <v>7714</v>
      </c>
      <c r="K2856" t="s">
        <v>7715</v>
      </c>
      <c r="L2856" s="28" t="s">
        <v>7716</v>
      </c>
      <c r="M2856" t="s">
        <v>23</v>
      </c>
      <c r="N2856"/>
      <c r="O2856"/>
      <c r="P2856"/>
      <c r="Q2856"/>
      <c r="R2856"/>
      <c r="S2856"/>
    </row>
    <row r="2857" spans="1:19" x14ac:dyDescent="0.25">
      <c r="A2857" t="s">
        <v>193</v>
      </c>
      <c r="C2857" s="27" t="s">
        <v>34749</v>
      </c>
      <c r="D2857" s="28" t="s">
        <v>34867</v>
      </c>
      <c r="J2857" t="s">
        <v>7717</v>
      </c>
      <c r="K2857" t="s">
        <v>7718</v>
      </c>
      <c r="L2857" s="28" t="s">
        <v>7719</v>
      </c>
      <c r="M2857" t="s">
        <v>23</v>
      </c>
      <c r="N2857"/>
      <c r="O2857"/>
      <c r="P2857"/>
      <c r="Q2857"/>
      <c r="R2857"/>
      <c r="S2857"/>
    </row>
    <row r="2858" spans="1:19" x14ac:dyDescent="0.25">
      <c r="A2858" t="s">
        <v>193</v>
      </c>
      <c r="C2858" s="27" t="s">
        <v>34749</v>
      </c>
      <c r="D2858" s="28" t="s">
        <v>34867</v>
      </c>
      <c r="J2858" t="s">
        <v>7720</v>
      </c>
      <c r="K2858" t="s">
        <v>7721</v>
      </c>
      <c r="L2858" s="28" t="s">
        <v>7722</v>
      </c>
      <c r="M2858" t="s">
        <v>23</v>
      </c>
      <c r="N2858"/>
      <c r="O2858"/>
      <c r="P2858"/>
      <c r="Q2858"/>
      <c r="R2858"/>
      <c r="S2858"/>
    </row>
    <row r="2859" spans="1:19" x14ac:dyDescent="0.25">
      <c r="A2859" t="s">
        <v>193</v>
      </c>
      <c r="C2859" s="27" t="s">
        <v>34749</v>
      </c>
      <c r="D2859" s="28" t="s">
        <v>34867</v>
      </c>
      <c r="J2859" t="s">
        <v>7723</v>
      </c>
      <c r="K2859" t="s">
        <v>7724</v>
      </c>
      <c r="L2859" s="28" t="s">
        <v>7725</v>
      </c>
      <c r="M2859" t="s">
        <v>23</v>
      </c>
      <c r="N2859"/>
      <c r="O2859"/>
      <c r="P2859"/>
      <c r="Q2859"/>
      <c r="R2859"/>
      <c r="S2859"/>
    </row>
    <row r="2860" spans="1:19" x14ac:dyDescent="0.25">
      <c r="A2860" t="s">
        <v>193</v>
      </c>
      <c r="C2860" s="27" t="s">
        <v>34749</v>
      </c>
      <c r="D2860" s="28" t="s">
        <v>34867</v>
      </c>
      <c r="J2860" t="s">
        <v>7726</v>
      </c>
      <c r="K2860" t="s">
        <v>7727</v>
      </c>
      <c r="L2860" s="28" t="s">
        <v>7728</v>
      </c>
      <c r="M2860" t="s">
        <v>23</v>
      </c>
      <c r="N2860"/>
      <c r="O2860"/>
      <c r="P2860"/>
      <c r="Q2860"/>
      <c r="R2860"/>
      <c r="S2860"/>
    </row>
    <row r="2861" spans="1:19" x14ac:dyDescent="0.25">
      <c r="A2861" t="s">
        <v>193</v>
      </c>
      <c r="C2861" s="27" t="s">
        <v>34749</v>
      </c>
      <c r="D2861" s="28" t="s">
        <v>34867</v>
      </c>
      <c r="J2861" t="s">
        <v>390</v>
      </c>
      <c r="K2861" t="s">
        <v>7729</v>
      </c>
      <c r="L2861" s="28" t="s">
        <v>392</v>
      </c>
      <c r="M2861" t="s">
        <v>23</v>
      </c>
      <c r="N2861"/>
      <c r="O2861"/>
      <c r="P2861"/>
      <c r="Q2861"/>
      <c r="R2861"/>
      <c r="S2861"/>
    </row>
    <row r="2862" spans="1:19" x14ac:dyDescent="0.25">
      <c r="A2862" t="s">
        <v>193</v>
      </c>
      <c r="C2862" s="27" t="s">
        <v>34749</v>
      </c>
      <c r="D2862" s="28" t="s">
        <v>34867</v>
      </c>
      <c r="J2862" t="s">
        <v>7730</v>
      </c>
      <c r="K2862" t="s">
        <v>7731</v>
      </c>
      <c r="L2862" s="28" t="s">
        <v>7732</v>
      </c>
      <c r="M2862" t="s">
        <v>23</v>
      </c>
      <c r="N2862"/>
      <c r="O2862"/>
      <c r="P2862"/>
      <c r="Q2862"/>
      <c r="R2862"/>
      <c r="S2862"/>
    </row>
    <row r="2863" spans="1:19" x14ac:dyDescent="0.25">
      <c r="A2863" t="s">
        <v>193</v>
      </c>
      <c r="C2863" s="27" t="s">
        <v>34749</v>
      </c>
      <c r="D2863" s="28" t="s">
        <v>34867</v>
      </c>
      <c r="J2863" t="s">
        <v>7733</v>
      </c>
      <c r="K2863" t="s">
        <v>7734</v>
      </c>
      <c r="L2863" s="28" t="s">
        <v>7735</v>
      </c>
      <c r="M2863" t="s">
        <v>23</v>
      </c>
      <c r="N2863"/>
      <c r="O2863"/>
      <c r="P2863"/>
      <c r="Q2863"/>
      <c r="R2863"/>
      <c r="S2863"/>
    </row>
    <row r="2864" spans="1:19" x14ac:dyDescent="0.25">
      <c r="A2864" t="s">
        <v>193</v>
      </c>
      <c r="C2864" s="27" t="s">
        <v>34749</v>
      </c>
      <c r="D2864" s="28" t="s">
        <v>34867</v>
      </c>
      <c r="J2864" t="s">
        <v>7736</v>
      </c>
      <c r="K2864" t="s">
        <v>7737</v>
      </c>
      <c r="L2864" s="28" t="s">
        <v>7738</v>
      </c>
      <c r="M2864" t="s">
        <v>23</v>
      </c>
      <c r="N2864"/>
      <c r="O2864"/>
      <c r="P2864"/>
      <c r="Q2864"/>
      <c r="R2864"/>
      <c r="S2864"/>
    </row>
    <row r="2865" spans="1:19" x14ac:dyDescent="0.25">
      <c r="A2865" t="s">
        <v>193</v>
      </c>
      <c r="C2865" s="27" t="s">
        <v>34749</v>
      </c>
      <c r="D2865" s="28" t="s">
        <v>34867</v>
      </c>
      <c r="J2865" t="s">
        <v>7739</v>
      </c>
      <c r="K2865" t="s">
        <v>7740</v>
      </c>
      <c r="L2865" s="28" t="s">
        <v>7741</v>
      </c>
      <c r="M2865" t="s">
        <v>23</v>
      </c>
      <c r="N2865"/>
      <c r="O2865"/>
      <c r="P2865"/>
      <c r="Q2865"/>
      <c r="R2865"/>
      <c r="S2865"/>
    </row>
    <row r="2866" spans="1:19" x14ac:dyDescent="0.25">
      <c r="A2866" t="s">
        <v>193</v>
      </c>
      <c r="C2866" s="27" t="s">
        <v>34749</v>
      </c>
      <c r="D2866" s="28" t="s">
        <v>34867</v>
      </c>
      <c r="J2866" t="s">
        <v>7742</v>
      </c>
      <c r="K2866" t="s">
        <v>7743</v>
      </c>
      <c r="L2866" s="28" t="s">
        <v>7744</v>
      </c>
      <c r="M2866" t="s">
        <v>23</v>
      </c>
      <c r="N2866"/>
      <c r="O2866"/>
      <c r="P2866"/>
      <c r="Q2866"/>
      <c r="R2866"/>
      <c r="S2866"/>
    </row>
    <row r="2867" spans="1:19" x14ac:dyDescent="0.25">
      <c r="A2867" t="s">
        <v>193</v>
      </c>
      <c r="C2867" s="27" t="s">
        <v>34749</v>
      </c>
      <c r="D2867" s="28" t="s">
        <v>34867</v>
      </c>
      <c r="J2867" t="s">
        <v>7745</v>
      </c>
      <c r="K2867" t="s">
        <v>7746</v>
      </c>
      <c r="L2867" s="28" t="s">
        <v>7747</v>
      </c>
      <c r="M2867" t="s">
        <v>23</v>
      </c>
      <c r="N2867"/>
      <c r="O2867"/>
      <c r="P2867"/>
      <c r="Q2867"/>
      <c r="R2867"/>
      <c r="S2867"/>
    </row>
    <row r="2868" spans="1:19" x14ac:dyDescent="0.25">
      <c r="A2868" t="s">
        <v>193</v>
      </c>
      <c r="C2868" s="27" t="s">
        <v>34749</v>
      </c>
      <c r="D2868" s="28" t="s">
        <v>34867</v>
      </c>
      <c r="J2868" t="s">
        <v>7748</v>
      </c>
      <c r="K2868" t="s">
        <v>7749</v>
      </c>
      <c r="L2868" s="28" t="s">
        <v>7750</v>
      </c>
      <c r="M2868" t="s">
        <v>23</v>
      </c>
      <c r="N2868"/>
      <c r="O2868"/>
      <c r="P2868"/>
      <c r="Q2868"/>
      <c r="R2868"/>
      <c r="S2868"/>
    </row>
    <row r="2869" spans="1:19" x14ac:dyDescent="0.25">
      <c r="A2869" t="s">
        <v>193</v>
      </c>
      <c r="C2869" s="27" t="s">
        <v>34749</v>
      </c>
      <c r="D2869" s="28" t="s">
        <v>34867</v>
      </c>
      <c r="J2869" t="s">
        <v>7751</v>
      </c>
      <c r="K2869" t="s">
        <v>7752</v>
      </c>
      <c r="L2869" s="28" t="s">
        <v>7753</v>
      </c>
      <c r="M2869" t="s">
        <v>23</v>
      </c>
      <c r="N2869"/>
      <c r="O2869"/>
      <c r="P2869"/>
      <c r="Q2869"/>
      <c r="R2869"/>
      <c r="S2869"/>
    </row>
    <row r="2870" spans="1:19" x14ac:dyDescent="0.25">
      <c r="A2870" t="s">
        <v>193</v>
      </c>
      <c r="C2870" s="27" t="s">
        <v>34749</v>
      </c>
      <c r="D2870" s="28" t="s">
        <v>34867</v>
      </c>
      <c r="J2870" t="s">
        <v>7754</v>
      </c>
      <c r="K2870" t="s">
        <v>7755</v>
      </c>
      <c r="L2870" s="28" t="s">
        <v>7756</v>
      </c>
      <c r="M2870" t="s">
        <v>23</v>
      </c>
      <c r="N2870"/>
      <c r="O2870"/>
      <c r="P2870"/>
      <c r="Q2870"/>
      <c r="R2870"/>
      <c r="S2870"/>
    </row>
    <row r="2871" spans="1:19" x14ac:dyDescent="0.25">
      <c r="A2871" t="s">
        <v>193</v>
      </c>
      <c r="C2871" s="27" t="s">
        <v>34749</v>
      </c>
      <c r="D2871" s="28" t="s">
        <v>34867</v>
      </c>
      <c r="J2871" t="s">
        <v>7757</v>
      </c>
      <c r="K2871" t="s">
        <v>7758</v>
      </c>
      <c r="L2871" s="28" t="s">
        <v>7759</v>
      </c>
      <c r="M2871" t="s">
        <v>23</v>
      </c>
      <c r="N2871"/>
      <c r="O2871"/>
      <c r="P2871"/>
      <c r="Q2871"/>
      <c r="R2871"/>
      <c r="S2871"/>
    </row>
    <row r="2872" spans="1:19" x14ac:dyDescent="0.25">
      <c r="A2872" t="s">
        <v>193</v>
      </c>
      <c r="C2872" s="27" t="s">
        <v>34749</v>
      </c>
      <c r="D2872" s="28" t="s">
        <v>34867</v>
      </c>
      <c r="J2872" t="s">
        <v>7760</v>
      </c>
      <c r="K2872" t="s">
        <v>7761</v>
      </c>
      <c r="L2872" s="28" t="s">
        <v>7762</v>
      </c>
      <c r="M2872" t="s">
        <v>23</v>
      </c>
      <c r="N2872"/>
      <c r="O2872"/>
      <c r="P2872"/>
      <c r="Q2872"/>
      <c r="R2872"/>
      <c r="S2872"/>
    </row>
    <row r="2873" spans="1:19" x14ac:dyDescent="0.25">
      <c r="A2873" t="s">
        <v>193</v>
      </c>
      <c r="C2873" s="27" t="s">
        <v>34749</v>
      </c>
      <c r="D2873" s="28" t="s">
        <v>34867</v>
      </c>
      <c r="J2873" t="s">
        <v>7763</v>
      </c>
      <c r="K2873" t="s">
        <v>7764</v>
      </c>
      <c r="L2873" s="28" t="s">
        <v>7765</v>
      </c>
      <c r="M2873" t="s">
        <v>23</v>
      </c>
      <c r="N2873"/>
      <c r="O2873"/>
      <c r="P2873"/>
      <c r="Q2873"/>
      <c r="R2873"/>
      <c r="S2873"/>
    </row>
    <row r="2874" spans="1:19" x14ac:dyDescent="0.25">
      <c r="A2874" t="s">
        <v>193</v>
      </c>
      <c r="C2874" s="27" t="s">
        <v>34749</v>
      </c>
      <c r="D2874" s="28" t="s">
        <v>34867</v>
      </c>
      <c r="J2874" t="s">
        <v>7766</v>
      </c>
      <c r="K2874" t="s">
        <v>7767</v>
      </c>
      <c r="L2874" s="28" t="s">
        <v>7768</v>
      </c>
      <c r="M2874" t="s">
        <v>23</v>
      </c>
      <c r="N2874"/>
      <c r="O2874"/>
      <c r="P2874"/>
      <c r="Q2874"/>
      <c r="R2874"/>
      <c r="S2874"/>
    </row>
    <row r="2875" spans="1:19" x14ac:dyDescent="0.25">
      <c r="A2875" t="s">
        <v>193</v>
      </c>
      <c r="C2875" s="27" t="s">
        <v>34749</v>
      </c>
      <c r="D2875" s="28" t="s">
        <v>34867</v>
      </c>
      <c r="J2875" t="s">
        <v>7769</v>
      </c>
      <c r="K2875" t="s">
        <v>7770</v>
      </c>
      <c r="L2875" s="28" t="s">
        <v>7771</v>
      </c>
      <c r="M2875" t="s">
        <v>23</v>
      </c>
      <c r="N2875"/>
      <c r="O2875"/>
      <c r="P2875"/>
      <c r="Q2875"/>
      <c r="R2875"/>
      <c r="S2875"/>
    </row>
    <row r="2876" spans="1:19" x14ac:dyDescent="0.25">
      <c r="A2876" s="28" t="s">
        <v>14843</v>
      </c>
      <c r="J2876" t="s">
        <v>7772</v>
      </c>
      <c r="K2876" t="s">
        <v>7773</v>
      </c>
      <c r="M2876" t="s">
        <v>47</v>
      </c>
      <c r="N2876"/>
      <c r="O2876"/>
      <c r="P2876"/>
      <c r="Q2876"/>
      <c r="R2876"/>
      <c r="S2876"/>
    </row>
    <row r="2877" spans="1:19" x14ac:dyDescent="0.25">
      <c r="A2877" s="28" t="s">
        <v>14843</v>
      </c>
      <c r="J2877" t="s">
        <v>7774</v>
      </c>
      <c r="K2877" t="s">
        <v>7775</v>
      </c>
      <c r="M2877" t="s">
        <v>47</v>
      </c>
      <c r="N2877"/>
      <c r="O2877"/>
      <c r="P2877"/>
      <c r="Q2877"/>
      <c r="R2877"/>
      <c r="S2877"/>
    </row>
    <row r="2878" spans="1:19" x14ac:dyDescent="0.25">
      <c r="A2878" t="s">
        <v>193</v>
      </c>
      <c r="C2878" s="27" t="s">
        <v>34749</v>
      </c>
      <c r="D2878" s="28" t="s">
        <v>34867</v>
      </c>
      <c r="J2878" t="s">
        <v>7776</v>
      </c>
      <c r="K2878" t="s">
        <v>7777</v>
      </c>
      <c r="L2878" s="28" t="s">
        <v>7778</v>
      </c>
      <c r="M2878" t="s">
        <v>23</v>
      </c>
      <c r="N2878"/>
      <c r="O2878"/>
      <c r="P2878"/>
      <c r="Q2878"/>
      <c r="R2878"/>
      <c r="S2878"/>
    </row>
    <row r="2879" spans="1:19" x14ac:dyDescent="0.25">
      <c r="A2879" t="s">
        <v>193</v>
      </c>
      <c r="C2879" s="27" t="s">
        <v>34749</v>
      </c>
      <c r="D2879" s="28" t="s">
        <v>34867</v>
      </c>
      <c r="J2879" t="s">
        <v>7779</v>
      </c>
      <c r="K2879" t="s">
        <v>7780</v>
      </c>
      <c r="L2879" s="28" t="s">
        <v>7781</v>
      </c>
      <c r="M2879" t="s">
        <v>23</v>
      </c>
      <c r="N2879"/>
      <c r="O2879"/>
      <c r="P2879"/>
      <c r="Q2879"/>
      <c r="R2879"/>
      <c r="S2879"/>
    </row>
    <row r="2880" spans="1:19" x14ac:dyDescent="0.25">
      <c r="A2880" t="s">
        <v>193</v>
      </c>
      <c r="C2880" s="27" t="s">
        <v>34749</v>
      </c>
      <c r="D2880" s="28" t="s">
        <v>34867</v>
      </c>
      <c r="J2880" t="s">
        <v>7782</v>
      </c>
      <c r="K2880" t="s">
        <v>7783</v>
      </c>
      <c r="L2880" s="28" t="s">
        <v>7784</v>
      </c>
      <c r="M2880" t="s">
        <v>23</v>
      </c>
      <c r="N2880"/>
      <c r="O2880"/>
      <c r="P2880"/>
      <c r="Q2880"/>
      <c r="R2880"/>
      <c r="S2880"/>
    </row>
    <row r="2881" spans="1:19" x14ac:dyDescent="0.25">
      <c r="A2881" t="s">
        <v>193</v>
      </c>
      <c r="C2881" s="27" t="s">
        <v>34749</v>
      </c>
      <c r="D2881" s="28" t="s">
        <v>34867</v>
      </c>
      <c r="J2881" t="s">
        <v>7785</v>
      </c>
      <c r="K2881" t="s">
        <v>7786</v>
      </c>
      <c r="L2881" s="28" t="s">
        <v>7787</v>
      </c>
      <c r="M2881" t="s">
        <v>23</v>
      </c>
      <c r="N2881"/>
      <c r="O2881"/>
      <c r="P2881"/>
      <c r="Q2881"/>
      <c r="R2881"/>
      <c r="S2881"/>
    </row>
    <row r="2882" spans="1:19" x14ac:dyDescent="0.25">
      <c r="A2882" t="s">
        <v>193</v>
      </c>
      <c r="C2882" s="27" t="s">
        <v>34749</v>
      </c>
      <c r="D2882" s="28" t="s">
        <v>34867</v>
      </c>
      <c r="J2882" t="s">
        <v>7788</v>
      </c>
      <c r="K2882" t="s">
        <v>7789</v>
      </c>
      <c r="L2882" s="28" t="s">
        <v>7790</v>
      </c>
      <c r="M2882" t="s">
        <v>23</v>
      </c>
      <c r="N2882"/>
      <c r="O2882"/>
      <c r="P2882"/>
      <c r="Q2882"/>
      <c r="R2882"/>
      <c r="S2882"/>
    </row>
    <row r="2883" spans="1:19" x14ac:dyDescent="0.25">
      <c r="A2883" t="s">
        <v>193</v>
      </c>
      <c r="C2883" s="27" t="s">
        <v>34749</v>
      </c>
      <c r="D2883" s="28" t="s">
        <v>34867</v>
      </c>
      <c r="J2883" t="s">
        <v>7791</v>
      </c>
      <c r="K2883" t="s">
        <v>7792</v>
      </c>
      <c r="L2883" s="28" t="s">
        <v>545</v>
      </c>
      <c r="M2883" t="s">
        <v>23</v>
      </c>
      <c r="N2883"/>
      <c r="O2883"/>
      <c r="P2883"/>
      <c r="Q2883"/>
      <c r="R2883"/>
      <c r="S2883"/>
    </row>
    <row r="2884" spans="1:19" x14ac:dyDescent="0.25">
      <c r="A2884" t="s">
        <v>193</v>
      </c>
      <c r="C2884" s="27" t="s">
        <v>34749</v>
      </c>
      <c r="D2884" s="28" t="s">
        <v>34867</v>
      </c>
      <c r="J2884" t="s">
        <v>7793</v>
      </c>
      <c r="K2884" t="s">
        <v>7794</v>
      </c>
      <c r="L2884" s="28" t="s">
        <v>7795</v>
      </c>
      <c r="M2884" t="s">
        <v>23</v>
      </c>
      <c r="N2884"/>
      <c r="O2884"/>
      <c r="P2884"/>
      <c r="Q2884"/>
      <c r="R2884"/>
      <c r="S2884"/>
    </row>
    <row r="2885" spans="1:19" x14ac:dyDescent="0.25">
      <c r="A2885" s="28" t="s">
        <v>14843</v>
      </c>
      <c r="J2885" t="s">
        <v>7796</v>
      </c>
      <c r="K2885" t="s">
        <v>7797</v>
      </c>
      <c r="M2885" t="s">
        <v>47</v>
      </c>
      <c r="N2885"/>
      <c r="O2885"/>
      <c r="P2885"/>
      <c r="Q2885"/>
      <c r="R2885"/>
      <c r="S2885"/>
    </row>
    <row r="2886" spans="1:19" x14ac:dyDescent="0.25">
      <c r="A2886" t="s">
        <v>193</v>
      </c>
      <c r="C2886" s="27" t="s">
        <v>34749</v>
      </c>
      <c r="D2886" s="28" t="s">
        <v>34867</v>
      </c>
      <c r="J2886" t="s">
        <v>7798</v>
      </c>
      <c r="K2886" t="s">
        <v>7799</v>
      </c>
      <c r="L2886" s="28" t="s">
        <v>7800</v>
      </c>
      <c r="M2886" t="s">
        <v>23</v>
      </c>
      <c r="N2886"/>
      <c r="O2886"/>
      <c r="P2886"/>
      <c r="Q2886"/>
      <c r="R2886"/>
      <c r="S2886"/>
    </row>
    <row r="2887" spans="1:19" x14ac:dyDescent="0.25">
      <c r="A2887" t="s">
        <v>193</v>
      </c>
      <c r="C2887" s="27" t="s">
        <v>34749</v>
      </c>
      <c r="D2887" s="28" t="s">
        <v>34867</v>
      </c>
      <c r="J2887" t="s">
        <v>7801</v>
      </c>
      <c r="K2887" t="s">
        <v>7802</v>
      </c>
      <c r="L2887" s="28" t="s">
        <v>7803</v>
      </c>
      <c r="M2887" t="s">
        <v>23</v>
      </c>
      <c r="N2887"/>
      <c r="O2887"/>
      <c r="P2887"/>
      <c r="Q2887"/>
      <c r="R2887"/>
      <c r="S2887"/>
    </row>
    <row r="2888" spans="1:19" x14ac:dyDescent="0.25">
      <c r="A2888" t="s">
        <v>193</v>
      </c>
      <c r="C2888" s="27" t="s">
        <v>34749</v>
      </c>
      <c r="D2888" s="28" t="s">
        <v>34867</v>
      </c>
      <c r="J2888" t="s">
        <v>7804</v>
      </c>
      <c r="K2888" t="s">
        <v>7805</v>
      </c>
      <c r="L2888" s="28" t="s">
        <v>7806</v>
      </c>
      <c r="M2888" t="s">
        <v>23</v>
      </c>
      <c r="N2888"/>
      <c r="O2888"/>
      <c r="P2888"/>
      <c r="Q2888"/>
      <c r="R2888"/>
      <c r="S2888"/>
    </row>
    <row r="2889" spans="1:19" x14ac:dyDescent="0.25">
      <c r="A2889" t="s">
        <v>193</v>
      </c>
      <c r="C2889" s="27" t="s">
        <v>34749</v>
      </c>
      <c r="D2889" s="28" t="s">
        <v>34867</v>
      </c>
      <c r="J2889" t="s">
        <v>7807</v>
      </c>
      <c r="K2889" t="s">
        <v>7808</v>
      </c>
      <c r="L2889" s="28" t="s">
        <v>7809</v>
      </c>
      <c r="M2889" t="s">
        <v>23</v>
      </c>
      <c r="N2889"/>
      <c r="O2889"/>
      <c r="P2889"/>
      <c r="Q2889"/>
      <c r="R2889"/>
      <c r="S2889"/>
    </row>
    <row r="2890" spans="1:19" x14ac:dyDescent="0.25">
      <c r="A2890" t="s">
        <v>193</v>
      </c>
      <c r="C2890" s="27" t="s">
        <v>34749</v>
      </c>
      <c r="D2890" s="28" t="s">
        <v>34867</v>
      </c>
      <c r="J2890" t="s">
        <v>7810</v>
      </c>
      <c r="K2890" t="s">
        <v>7811</v>
      </c>
      <c r="L2890" s="28" t="s">
        <v>7812</v>
      </c>
      <c r="M2890" t="s">
        <v>23</v>
      </c>
      <c r="N2890"/>
      <c r="O2890"/>
      <c r="P2890"/>
      <c r="Q2890"/>
      <c r="R2890"/>
      <c r="S2890"/>
    </row>
    <row r="2891" spans="1:19" x14ac:dyDescent="0.25">
      <c r="A2891" t="s">
        <v>193</v>
      </c>
      <c r="C2891" s="27" t="s">
        <v>34749</v>
      </c>
      <c r="D2891" s="28" t="s">
        <v>34867</v>
      </c>
      <c r="J2891" t="s">
        <v>7813</v>
      </c>
      <c r="K2891" t="s">
        <v>7814</v>
      </c>
      <c r="L2891" s="28" t="s">
        <v>7815</v>
      </c>
      <c r="M2891" t="s">
        <v>23</v>
      </c>
      <c r="N2891"/>
      <c r="O2891"/>
      <c r="P2891"/>
      <c r="Q2891"/>
      <c r="R2891"/>
      <c r="S2891"/>
    </row>
    <row r="2892" spans="1:19" x14ac:dyDescent="0.25">
      <c r="A2892" t="s">
        <v>193</v>
      </c>
      <c r="C2892" s="27" t="s">
        <v>34749</v>
      </c>
      <c r="D2892" s="28" t="s">
        <v>34867</v>
      </c>
      <c r="J2892" t="s">
        <v>7816</v>
      </c>
      <c r="K2892" t="s">
        <v>7817</v>
      </c>
      <c r="L2892" s="28" t="s">
        <v>7818</v>
      </c>
      <c r="M2892" t="s">
        <v>23</v>
      </c>
      <c r="N2892"/>
      <c r="O2892"/>
      <c r="P2892"/>
      <c r="Q2892"/>
      <c r="R2892"/>
      <c r="S2892"/>
    </row>
    <row r="2893" spans="1:19" x14ac:dyDescent="0.25">
      <c r="A2893" t="s">
        <v>193</v>
      </c>
      <c r="C2893" s="27" t="s">
        <v>34749</v>
      </c>
      <c r="D2893" s="28" t="s">
        <v>34867</v>
      </c>
      <c r="J2893" t="s">
        <v>7819</v>
      </c>
      <c r="K2893" t="s">
        <v>7820</v>
      </c>
      <c r="L2893" s="28" t="s">
        <v>7821</v>
      </c>
      <c r="M2893" t="s">
        <v>23</v>
      </c>
      <c r="N2893"/>
      <c r="O2893"/>
      <c r="P2893"/>
      <c r="Q2893"/>
      <c r="R2893"/>
      <c r="S2893"/>
    </row>
    <row r="2894" spans="1:19" x14ac:dyDescent="0.25">
      <c r="A2894" s="28" t="s">
        <v>14843</v>
      </c>
      <c r="J2894" t="s">
        <v>7822</v>
      </c>
      <c r="K2894" t="s">
        <v>7823</v>
      </c>
      <c r="M2894" t="s">
        <v>47</v>
      </c>
      <c r="N2894"/>
      <c r="O2894"/>
      <c r="P2894"/>
      <c r="Q2894"/>
      <c r="R2894"/>
      <c r="S2894"/>
    </row>
    <row r="2895" spans="1:19" x14ac:dyDescent="0.25">
      <c r="A2895" s="28" t="s">
        <v>14843</v>
      </c>
      <c r="J2895" t="s">
        <v>7824</v>
      </c>
      <c r="K2895" t="s">
        <v>7825</v>
      </c>
      <c r="M2895" t="s">
        <v>47</v>
      </c>
      <c r="N2895"/>
      <c r="O2895"/>
      <c r="P2895"/>
      <c r="Q2895"/>
      <c r="R2895"/>
      <c r="S2895"/>
    </row>
    <row r="2896" spans="1:19" x14ac:dyDescent="0.25">
      <c r="A2896" s="28" t="s">
        <v>14843</v>
      </c>
      <c r="J2896" t="s">
        <v>7826</v>
      </c>
      <c r="K2896" t="s">
        <v>7827</v>
      </c>
      <c r="M2896" t="s">
        <v>47</v>
      </c>
      <c r="N2896"/>
      <c r="O2896"/>
      <c r="P2896"/>
      <c r="Q2896"/>
      <c r="R2896"/>
      <c r="S2896"/>
    </row>
    <row r="2897" spans="1:19" x14ac:dyDescent="0.25">
      <c r="A2897" s="28" t="s">
        <v>14843</v>
      </c>
      <c r="J2897" t="s">
        <v>7828</v>
      </c>
      <c r="K2897" t="s">
        <v>7829</v>
      </c>
      <c r="M2897" t="s">
        <v>47</v>
      </c>
      <c r="N2897"/>
      <c r="O2897"/>
      <c r="P2897"/>
      <c r="Q2897"/>
      <c r="R2897"/>
      <c r="S2897"/>
    </row>
    <row r="2898" spans="1:19" x14ac:dyDescent="0.25">
      <c r="A2898" t="s">
        <v>193</v>
      </c>
      <c r="C2898" s="27" t="s">
        <v>34749</v>
      </c>
      <c r="D2898" s="28" t="s">
        <v>34867</v>
      </c>
      <c r="J2898" t="s">
        <v>7830</v>
      </c>
      <c r="K2898" t="s">
        <v>7831</v>
      </c>
      <c r="L2898" s="28" t="s">
        <v>7832</v>
      </c>
      <c r="M2898" t="s">
        <v>23</v>
      </c>
      <c r="N2898"/>
      <c r="O2898"/>
      <c r="P2898"/>
      <c r="Q2898"/>
      <c r="R2898"/>
      <c r="S2898"/>
    </row>
    <row r="2899" spans="1:19" x14ac:dyDescent="0.25">
      <c r="A2899" t="s">
        <v>193</v>
      </c>
      <c r="C2899" s="27" t="s">
        <v>34749</v>
      </c>
      <c r="D2899" s="28" t="s">
        <v>34867</v>
      </c>
      <c r="J2899" t="s">
        <v>7833</v>
      </c>
      <c r="K2899" t="s">
        <v>7834</v>
      </c>
      <c r="L2899" s="28" t="s">
        <v>7835</v>
      </c>
      <c r="M2899" t="s">
        <v>23</v>
      </c>
      <c r="N2899"/>
      <c r="O2899"/>
      <c r="P2899"/>
      <c r="Q2899"/>
      <c r="R2899"/>
      <c r="S2899"/>
    </row>
    <row r="2900" spans="1:19" x14ac:dyDescent="0.25">
      <c r="A2900" t="s">
        <v>193</v>
      </c>
      <c r="C2900" s="27" t="s">
        <v>34749</v>
      </c>
      <c r="D2900" s="28" t="s">
        <v>34867</v>
      </c>
      <c r="J2900" t="s">
        <v>7836</v>
      </c>
      <c r="K2900" t="s">
        <v>7837</v>
      </c>
      <c r="L2900" s="28" t="s">
        <v>7838</v>
      </c>
      <c r="M2900" t="s">
        <v>23</v>
      </c>
      <c r="N2900"/>
      <c r="O2900"/>
      <c r="P2900"/>
      <c r="Q2900"/>
      <c r="R2900"/>
      <c r="S2900"/>
    </row>
    <row r="2901" spans="1:19" x14ac:dyDescent="0.25">
      <c r="A2901" t="s">
        <v>193</v>
      </c>
      <c r="C2901" s="27" t="s">
        <v>34749</v>
      </c>
      <c r="D2901" s="28" t="s">
        <v>34867</v>
      </c>
      <c r="J2901" t="s">
        <v>7839</v>
      </c>
      <c r="K2901" t="s">
        <v>7840</v>
      </c>
      <c r="L2901" s="28" t="s">
        <v>7841</v>
      </c>
      <c r="M2901" t="s">
        <v>23</v>
      </c>
      <c r="N2901"/>
      <c r="O2901"/>
      <c r="P2901"/>
      <c r="Q2901"/>
      <c r="R2901"/>
      <c r="S2901"/>
    </row>
    <row r="2902" spans="1:19" x14ac:dyDescent="0.25">
      <c r="A2902" s="28" t="s">
        <v>14843</v>
      </c>
      <c r="J2902" t="s">
        <v>7842</v>
      </c>
      <c r="K2902" t="s">
        <v>7843</v>
      </c>
      <c r="M2902" t="s">
        <v>47</v>
      </c>
      <c r="N2902"/>
      <c r="O2902"/>
      <c r="P2902"/>
      <c r="Q2902"/>
      <c r="R2902"/>
      <c r="S2902"/>
    </row>
    <row r="2903" spans="1:19" x14ac:dyDescent="0.25">
      <c r="A2903" s="28" t="s">
        <v>14843</v>
      </c>
      <c r="J2903" t="s">
        <v>7844</v>
      </c>
      <c r="K2903" t="s">
        <v>7845</v>
      </c>
      <c r="M2903" t="s">
        <v>47</v>
      </c>
      <c r="N2903"/>
      <c r="O2903"/>
      <c r="P2903"/>
      <c r="Q2903"/>
      <c r="R2903"/>
      <c r="S2903"/>
    </row>
    <row r="2904" spans="1:19" x14ac:dyDescent="0.25">
      <c r="A2904" s="28" t="s">
        <v>14843</v>
      </c>
      <c r="J2904" t="s">
        <v>7846</v>
      </c>
      <c r="K2904" t="s">
        <v>7847</v>
      </c>
      <c r="M2904" t="s">
        <v>47</v>
      </c>
      <c r="N2904"/>
      <c r="O2904"/>
      <c r="P2904"/>
      <c r="Q2904"/>
      <c r="R2904"/>
      <c r="S2904"/>
    </row>
    <row r="2905" spans="1:19" x14ac:dyDescent="0.25">
      <c r="A2905" s="28" t="s">
        <v>14843</v>
      </c>
      <c r="J2905" t="s">
        <v>7848</v>
      </c>
      <c r="K2905" t="s">
        <v>7849</v>
      </c>
      <c r="M2905" t="s">
        <v>47</v>
      </c>
      <c r="N2905"/>
      <c r="O2905"/>
      <c r="P2905"/>
      <c r="Q2905"/>
      <c r="R2905"/>
      <c r="S2905"/>
    </row>
    <row r="2906" spans="1:19" x14ac:dyDescent="0.25">
      <c r="A2906" s="28" t="s">
        <v>14843</v>
      </c>
      <c r="J2906" t="s">
        <v>7850</v>
      </c>
      <c r="K2906" t="s">
        <v>7851</v>
      </c>
      <c r="M2906" t="s">
        <v>47</v>
      </c>
      <c r="N2906"/>
      <c r="O2906"/>
      <c r="P2906"/>
      <c r="Q2906"/>
      <c r="R2906"/>
      <c r="S2906"/>
    </row>
    <row r="2907" spans="1:19" x14ac:dyDescent="0.25">
      <c r="A2907" s="28" t="s">
        <v>14843</v>
      </c>
      <c r="J2907" t="s">
        <v>7852</v>
      </c>
      <c r="K2907" t="s">
        <v>7853</v>
      </c>
      <c r="M2907" t="s">
        <v>47</v>
      </c>
      <c r="N2907"/>
      <c r="O2907"/>
      <c r="P2907"/>
      <c r="Q2907"/>
      <c r="R2907"/>
      <c r="S2907"/>
    </row>
    <row r="2908" spans="1:19" x14ac:dyDescent="0.25">
      <c r="A2908" s="28" t="s">
        <v>14843</v>
      </c>
      <c r="J2908" t="s">
        <v>7854</v>
      </c>
      <c r="K2908" t="s">
        <v>7855</v>
      </c>
      <c r="M2908" t="s">
        <v>47</v>
      </c>
      <c r="N2908"/>
      <c r="O2908"/>
      <c r="P2908"/>
      <c r="Q2908"/>
      <c r="R2908"/>
      <c r="S2908"/>
    </row>
    <row r="2909" spans="1:19" x14ac:dyDescent="0.25">
      <c r="A2909" s="28" t="s">
        <v>14843</v>
      </c>
      <c r="J2909" t="s">
        <v>7856</v>
      </c>
      <c r="K2909" t="s">
        <v>7857</v>
      </c>
      <c r="M2909" t="s">
        <v>47</v>
      </c>
      <c r="N2909"/>
      <c r="O2909"/>
      <c r="P2909"/>
      <c r="Q2909"/>
      <c r="R2909"/>
      <c r="S2909"/>
    </row>
    <row r="2910" spans="1:19" x14ac:dyDescent="0.25">
      <c r="A2910" s="28" t="s">
        <v>14843</v>
      </c>
      <c r="J2910" t="s">
        <v>7858</v>
      </c>
      <c r="K2910" t="s">
        <v>7859</v>
      </c>
      <c r="M2910" t="s">
        <v>47</v>
      </c>
      <c r="N2910"/>
      <c r="O2910"/>
      <c r="P2910"/>
      <c r="Q2910"/>
      <c r="R2910"/>
      <c r="S2910"/>
    </row>
    <row r="2911" spans="1:19" x14ac:dyDescent="0.25">
      <c r="A2911" s="28" t="s">
        <v>14843</v>
      </c>
      <c r="J2911" t="s">
        <v>7860</v>
      </c>
      <c r="K2911" t="s">
        <v>7861</v>
      </c>
      <c r="M2911" t="s">
        <v>47</v>
      </c>
      <c r="N2911"/>
      <c r="O2911"/>
      <c r="P2911"/>
      <c r="Q2911"/>
      <c r="R2911"/>
      <c r="S2911"/>
    </row>
    <row r="2912" spans="1:19" x14ac:dyDescent="0.25">
      <c r="A2912" t="s">
        <v>193</v>
      </c>
      <c r="C2912" s="27" t="s">
        <v>34749</v>
      </c>
      <c r="D2912" s="28" t="s">
        <v>34867</v>
      </c>
      <c r="J2912" t="s">
        <v>7862</v>
      </c>
      <c r="K2912" t="s">
        <v>7863</v>
      </c>
      <c r="L2912" s="28" t="s">
        <v>7864</v>
      </c>
      <c r="M2912" t="s">
        <v>23</v>
      </c>
      <c r="N2912"/>
      <c r="O2912"/>
      <c r="P2912"/>
      <c r="Q2912"/>
      <c r="R2912"/>
      <c r="S2912"/>
    </row>
    <row r="2913" spans="1:19" x14ac:dyDescent="0.25">
      <c r="A2913" t="s">
        <v>193</v>
      </c>
      <c r="C2913" s="27" t="s">
        <v>34749</v>
      </c>
      <c r="D2913" s="28" t="s">
        <v>34867</v>
      </c>
      <c r="J2913" t="s">
        <v>7865</v>
      </c>
      <c r="K2913" t="s">
        <v>7866</v>
      </c>
      <c r="L2913" s="28" t="s">
        <v>7867</v>
      </c>
      <c r="M2913" t="s">
        <v>23</v>
      </c>
      <c r="N2913"/>
      <c r="O2913"/>
      <c r="P2913"/>
      <c r="Q2913"/>
      <c r="R2913"/>
      <c r="S2913"/>
    </row>
    <row r="2914" spans="1:19" x14ac:dyDescent="0.25">
      <c r="A2914" t="s">
        <v>193</v>
      </c>
      <c r="C2914" s="27" t="s">
        <v>34749</v>
      </c>
      <c r="D2914" s="28" t="s">
        <v>34867</v>
      </c>
      <c r="J2914" t="s">
        <v>7868</v>
      </c>
      <c r="K2914" t="s">
        <v>7869</v>
      </c>
      <c r="L2914" s="28" t="s">
        <v>7870</v>
      </c>
      <c r="M2914" t="s">
        <v>23</v>
      </c>
      <c r="N2914"/>
      <c r="O2914"/>
      <c r="P2914"/>
      <c r="Q2914"/>
      <c r="R2914"/>
      <c r="S2914"/>
    </row>
    <row r="2915" spans="1:19" x14ac:dyDescent="0.25">
      <c r="A2915" t="s">
        <v>193</v>
      </c>
      <c r="C2915" s="27" t="s">
        <v>34749</v>
      </c>
      <c r="D2915" s="28" t="s">
        <v>34867</v>
      </c>
      <c r="J2915" t="s">
        <v>7871</v>
      </c>
      <c r="K2915" t="s">
        <v>7872</v>
      </c>
      <c r="L2915" s="28" t="s">
        <v>7873</v>
      </c>
      <c r="M2915" t="s">
        <v>23</v>
      </c>
      <c r="N2915"/>
      <c r="O2915"/>
      <c r="P2915"/>
      <c r="Q2915"/>
      <c r="R2915"/>
      <c r="S2915"/>
    </row>
    <row r="2916" spans="1:19" x14ac:dyDescent="0.25">
      <c r="A2916" t="s">
        <v>193</v>
      </c>
      <c r="C2916" s="27" t="s">
        <v>34749</v>
      </c>
      <c r="D2916" s="28" t="s">
        <v>34867</v>
      </c>
      <c r="J2916" t="s">
        <v>7874</v>
      </c>
      <c r="K2916" t="s">
        <v>7875</v>
      </c>
      <c r="L2916" s="28" t="s">
        <v>7876</v>
      </c>
      <c r="M2916" t="s">
        <v>23</v>
      </c>
      <c r="N2916"/>
      <c r="O2916"/>
      <c r="P2916"/>
      <c r="Q2916"/>
      <c r="R2916"/>
      <c r="S2916"/>
    </row>
    <row r="2917" spans="1:19" x14ac:dyDescent="0.25">
      <c r="A2917" t="s">
        <v>193</v>
      </c>
      <c r="C2917" s="27" t="s">
        <v>34749</v>
      </c>
      <c r="D2917" s="28" t="s">
        <v>34867</v>
      </c>
      <c r="J2917" t="s">
        <v>7877</v>
      </c>
      <c r="K2917" t="s">
        <v>7878</v>
      </c>
      <c r="L2917" s="28" t="s">
        <v>7879</v>
      </c>
      <c r="M2917" t="s">
        <v>23</v>
      </c>
      <c r="N2917"/>
      <c r="O2917"/>
      <c r="P2917"/>
      <c r="Q2917"/>
      <c r="R2917"/>
      <c r="S2917"/>
    </row>
    <row r="2918" spans="1:19" x14ac:dyDescent="0.25">
      <c r="A2918" t="s">
        <v>193</v>
      </c>
      <c r="C2918" s="27" t="s">
        <v>34749</v>
      </c>
      <c r="D2918" s="28" t="s">
        <v>34867</v>
      </c>
      <c r="J2918" t="s">
        <v>7880</v>
      </c>
      <c r="K2918" t="s">
        <v>7881</v>
      </c>
      <c r="L2918" s="28" t="s">
        <v>553</v>
      </c>
      <c r="M2918" t="s">
        <v>23</v>
      </c>
      <c r="N2918"/>
      <c r="O2918"/>
      <c r="P2918"/>
      <c r="Q2918"/>
      <c r="R2918"/>
      <c r="S2918"/>
    </row>
    <row r="2919" spans="1:19" x14ac:dyDescent="0.25">
      <c r="A2919" s="28" t="s">
        <v>14843</v>
      </c>
      <c r="J2919" t="s">
        <v>7882</v>
      </c>
      <c r="K2919" t="s">
        <v>7883</v>
      </c>
      <c r="M2919" t="s">
        <v>47</v>
      </c>
      <c r="N2919"/>
      <c r="O2919"/>
      <c r="P2919"/>
      <c r="Q2919"/>
      <c r="R2919"/>
      <c r="S2919"/>
    </row>
    <row r="2920" spans="1:19" x14ac:dyDescent="0.25">
      <c r="A2920" t="s">
        <v>193</v>
      </c>
      <c r="C2920" s="27" t="s">
        <v>34749</v>
      </c>
      <c r="D2920" s="28" t="s">
        <v>34867</v>
      </c>
      <c r="J2920" t="s">
        <v>7884</v>
      </c>
      <c r="K2920" t="s">
        <v>7885</v>
      </c>
      <c r="L2920" s="28" t="s">
        <v>7886</v>
      </c>
      <c r="M2920" t="s">
        <v>23</v>
      </c>
      <c r="N2920"/>
      <c r="O2920"/>
      <c r="P2920"/>
      <c r="Q2920"/>
      <c r="R2920"/>
      <c r="S2920"/>
    </row>
    <row r="2921" spans="1:19" x14ac:dyDescent="0.25">
      <c r="A2921" s="28" t="s">
        <v>14843</v>
      </c>
      <c r="J2921" t="s">
        <v>7887</v>
      </c>
      <c r="K2921" t="s">
        <v>7888</v>
      </c>
      <c r="M2921" t="s">
        <v>47</v>
      </c>
      <c r="N2921"/>
      <c r="O2921"/>
      <c r="P2921"/>
      <c r="Q2921"/>
      <c r="R2921"/>
      <c r="S2921"/>
    </row>
    <row r="2922" spans="1:19" x14ac:dyDescent="0.25">
      <c r="A2922" s="28" t="s">
        <v>14843</v>
      </c>
      <c r="J2922" t="s">
        <v>7889</v>
      </c>
      <c r="K2922" t="s">
        <v>7890</v>
      </c>
      <c r="M2922" t="s">
        <v>2820</v>
      </c>
      <c r="N2922"/>
      <c r="O2922"/>
      <c r="P2922"/>
      <c r="Q2922"/>
      <c r="R2922"/>
      <c r="S2922"/>
    </row>
    <row r="2923" spans="1:19" x14ac:dyDescent="0.25">
      <c r="A2923" s="28" t="s">
        <v>14843</v>
      </c>
      <c r="J2923" t="s">
        <v>7891</v>
      </c>
      <c r="K2923" t="s">
        <v>7892</v>
      </c>
      <c r="M2923" t="s">
        <v>666</v>
      </c>
      <c r="N2923"/>
      <c r="O2923"/>
      <c r="P2923"/>
      <c r="Q2923"/>
      <c r="R2923"/>
      <c r="S2923"/>
    </row>
    <row r="2924" spans="1:19" x14ac:dyDescent="0.25">
      <c r="A2924" s="28" t="s">
        <v>14843</v>
      </c>
      <c r="J2924" t="s">
        <v>7893</v>
      </c>
      <c r="K2924" t="s">
        <v>7894</v>
      </c>
      <c r="M2924" t="s">
        <v>2779</v>
      </c>
      <c r="N2924"/>
      <c r="O2924"/>
      <c r="P2924"/>
      <c r="Q2924"/>
      <c r="R2924"/>
      <c r="S2924"/>
    </row>
    <row r="2925" spans="1:19" x14ac:dyDescent="0.25">
      <c r="A2925" s="28" t="s">
        <v>14843</v>
      </c>
      <c r="J2925" t="s">
        <v>7895</v>
      </c>
      <c r="K2925" t="s">
        <v>7896</v>
      </c>
      <c r="M2925" t="s">
        <v>47</v>
      </c>
      <c r="N2925"/>
      <c r="O2925"/>
      <c r="P2925"/>
      <c r="Q2925"/>
      <c r="R2925"/>
      <c r="S2925"/>
    </row>
    <row r="2926" spans="1:19" x14ac:dyDescent="0.25">
      <c r="A2926" s="28" t="s">
        <v>14843</v>
      </c>
      <c r="J2926" t="s">
        <v>7897</v>
      </c>
      <c r="K2926" t="s">
        <v>7898</v>
      </c>
      <c r="M2926" t="s">
        <v>47</v>
      </c>
      <c r="N2926"/>
      <c r="O2926"/>
      <c r="P2926"/>
      <c r="Q2926"/>
      <c r="R2926"/>
      <c r="S2926"/>
    </row>
    <row r="2927" spans="1:19" x14ac:dyDescent="0.25">
      <c r="A2927" s="28" t="s">
        <v>14843</v>
      </c>
      <c r="J2927" t="s">
        <v>7899</v>
      </c>
      <c r="K2927" t="s">
        <v>7900</v>
      </c>
      <c r="M2927" t="s">
        <v>2779</v>
      </c>
      <c r="N2927"/>
      <c r="O2927"/>
      <c r="P2927"/>
      <c r="Q2927"/>
      <c r="R2927"/>
      <c r="S2927"/>
    </row>
    <row r="2928" spans="1:19" x14ac:dyDescent="0.25">
      <c r="A2928" s="28" t="s">
        <v>14843</v>
      </c>
      <c r="J2928" t="s">
        <v>7901</v>
      </c>
      <c r="K2928" t="s">
        <v>7902</v>
      </c>
      <c r="M2928" t="s">
        <v>2779</v>
      </c>
      <c r="N2928"/>
      <c r="O2928"/>
      <c r="P2928"/>
      <c r="Q2928"/>
      <c r="R2928"/>
      <c r="S2928"/>
    </row>
    <row r="2929" spans="1:19" x14ac:dyDescent="0.25">
      <c r="A2929" s="28" t="s">
        <v>14843</v>
      </c>
      <c r="J2929" t="s">
        <v>7903</v>
      </c>
      <c r="K2929" t="s">
        <v>7904</v>
      </c>
      <c r="M2929" t="s">
        <v>47</v>
      </c>
      <c r="N2929"/>
      <c r="O2929"/>
      <c r="P2929"/>
      <c r="Q2929"/>
      <c r="R2929"/>
      <c r="S2929"/>
    </row>
    <row r="2930" spans="1:19" x14ac:dyDescent="0.25">
      <c r="A2930" s="28" t="s">
        <v>14843</v>
      </c>
      <c r="J2930" t="s">
        <v>7905</v>
      </c>
      <c r="K2930" t="s">
        <v>7906</v>
      </c>
      <c r="M2930" t="s">
        <v>47</v>
      </c>
      <c r="N2930"/>
      <c r="O2930"/>
      <c r="P2930"/>
      <c r="Q2930"/>
      <c r="R2930"/>
      <c r="S2930"/>
    </row>
    <row r="2931" spans="1:19" x14ac:dyDescent="0.25">
      <c r="A2931" s="28" t="s">
        <v>14843</v>
      </c>
      <c r="J2931" t="s">
        <v>7907</v>
      </c>
      <c r="K2931" t="s">
        <v>7908</v>
      </c>
      <c r="M2931" t="s">
        <v>47</v>
      </c>
      <c r="N2931"/>
      <c r="O2931"/>
      <c r="P2931"/>
      <c r="Q2931"/>
      <c r="R2931"/>
      <c r="S2931"/>
    </row>
    <row r="2932" spans="1:19" x14ac:dyDescent="0.25">
      <c r="A2932" s="28" t="s">
        <v>14843</v>
      </c>
      <c r="J2932" t="s">
        <v>7909</v>
      </c>
      <c r="K2932" t="s">
        <v>7910</v>
      </c>
      <c r="M2932" t="s">
        <v>666</v>
      </c>
      <c r="N2932"/>
      <c r="O2932"/>
      <c r="P2932"/>
      <c r="Q2932"/>
      <c r="R2932"/>
      <c r="S2932"/>
    </row>
    <row r="2933" spans="1:19" x14ac:dyDescent="0.25">
      <c r="A2933" s="28" t="s">
        <v>14843</v>
      </c>
      <c r="J2933" t="s">
        <v>7911</v>
      </c>
      <c r="K2933" t="s">
        <v>7912</v>
      </c>
      <c r="M2933" t="s">
        <v>47</v>
      </c>
      <c r="N2933"/>
      <c r="O2933"/>
      <c r="P2933"/>
      <c r="Q2933"/>
      <c r="R2933"/>
      <c r="S2933"/>
    </row>
    <row r="2934" spans="1:19" x14ac:dyDescent="0.25">
      <c r="A2934" s="28" t="s">
        <v>14843</v>
      </c>
      <c r="J2934" t="s">
        <v>7913</v>
      </c>
      <c r="K2934" t="s">
        <v>7914</v>
      </c>
      <c r="M2934" t="s">
        <v>47</v>
      </c>
      <c r="N2934"/>
      <c r="O2934"/>
      <c r="P2934"/>
      <c r="Q2934"/>
      <c r="R2934"/>
      <c r="S2934"/>
    </row>
    <row r="2935" spans="1:19" x14ac:dyDescent="0.25">
      <c r="A2935" s="28" t="s">
        <v>14843</v>
      </c>
      <c r="J2935" t="s">
        <v>7915</v>
      </c>
      <c r="K2935" t="s">
        <v>7916</v>
      </c>
      <c r="M2935" t="s">
        <v>47</v>
      </c>
      <c r="N2935"/>
      <c r="O2935"/>
      <c r="P2935"/>
      <c r="Q2935"/>
      <c r="R2935"/>
      <c r="S2935"/>
    </row>
    <row r="2936" spans="1:19" x14ac:dyDescent="0.25">
      <c r="A2936" s="28" t="s">
        <v>14843</v>
      </c>
      <c r="J2936" t="s">
        <v>7917</v>
      </c>
      <c r="K2936" t="s">
        <v>7918</v>
      </c>
      <c r="M2936" t="s">
        <v>2820</v>
      </c>
      <c r="N2936"/>
      <c r="O2936"/>
      <c r="P2936"/>
      <c r="Q2936"/>
      <c r="R2936"/>
      <c r="S2936"/>
    </row>
    <row r="2937" spans="1:19" x14ac:dyDescent="0.25">
      <c r="A2937" s="28" t="s">
        <v>14843</v>
      </c>
      <c r="J2937" t="s">
        <v>7919</v>
      </c>
      <c r="K2937" t="s">
        <v>7920</v>
      </c>
      <c r="M2937" t="s">
        <v>666</v>
      </c>
      <c r="N2937"/>
      <c r="O2937"/>
      <c r="P2937"/>
      <c r="Q2937"/>
      <c r="R2937"/>
      <c r="S2937"/>
    </row>
    <row r="2938" spans="1:19" x14ac:dyDescent="0.25">
      <c r="A2938" s="28" t="s">
        <v>14843</v>
      </c>
      <c r="C2938"/>
      <c r="E2938"/>
      <c r="F2938"/>
      <c r="G2938"/>
      <c r="H2938"/>
      <c r="I2938"/>
      <c r="J2938" t="s">
        <v>7921</v>
      </c>
      <c r="K2938" t="s">
        <v>7922</v>
      </c>
      <c r="M2938" t="s">
        <v>2820</v>
      </c>
      <c r="N2938"/>
      <c r="O2938"/>
      <c r="P2938"/>
      <c r="Q2938"/>
      <c r="R2938"/>
      <c r="S2938"/>
    </row>
    <row r="2939" spans="1:19" x14ac:dyDescent="0.25">
      <c r="A2939" s="28" t="s">
        <v>14843</v>
      </c>
      <c r="C2939"/>
      <c r="E2939"/>
      <c r="F2939"/>
      <c r="G2939"/>
      <c r="H2939"/>
      <c r="I2939"/>
      <c r="J2939" t="s">
        <v>7923</v>
      </c>
      <c r="K2939" t="s">
        <v>7924</v>
      </c>
      <c r="M2939" t="s">
        <v>47</v>
      </c>
      <c r="N2939"/>
      <c r="O2939"/>
      <c r="P2939"/>
      <c r="Q2939"/>
      <c r="R2939"/>
      <c r="S2939"/>
    </row>
    <row r="2940" spans="1:19" x14ac:dyDescent="0.25">
      <c r="A2940" s="28" t="s">
        <v>14843</v>
      </c>
      <c r="C2940"/>
      <c r="E2940"/>
      <c r="F2940"/>
      <c r="G2940"/>
      <c r="H2940"/>
      <c r="I2940"/>
      <c r="J2940" t="s">
        <v>7925</v>
      </c>
      <c r="K2940" t="s">
        <v>7926</v>
      </c>
      <c r="M2940" t="s">
        <v>2820</v>
      </c>
      <c r="N2940"/>
      <c r="O2940"/>
      <c r="P2940"/>
      <c r="Q2940"/>
      <c r="R2940"/>
      <c r="S2940"/>
    </row>
    <row r="2941" spans="1:19" x14ac:dyDescent="0.25">
      <c r="A2941" s="28" t="s">
        <v>14843</v>
      </c>
      <c r="C2941"/>
      <c r="E2941"/>
      <c r="F2941"/>
      <c r="G2941"/>
      <c r="H2941"/>
      <c r="I2941"/>
      <c r="J2941" t="s">
        <v>7927</v>
      </c>
      <c r="K2941" t="s">
        <v>7928</v>
      </c>
      <c r="M2941" t="s">
        <v>666</v>
      </c>
      <c r="N2941"/>
      <c r="O2941"/>
      <c r="P2941"/>
      <c r="Q2941"/>
      <c r="R2941"/>
      <c r="S2941"/>
    </row>
    <row r="2942" spans="1:19" x14ac:dyDescent="0.25">
      <c r="A2942" s="28" t="s">
        <v>14843</v>
      </c>
      <c r="C2942"/>
      <c r="E2942"/>
      <c r="F2942"/>
      <c r="G2942"/>
      <c r="H2942"/>
      <c r="I2942"/>
      <c r="J2942" t="s">
        <v>7929</v>
      </c>
      <c r="K2942" t="s">
        <v>7930</v>
      </c>
      <c r="M2942" t="s">
        <v>47</v>
      </c>
      <c r="N2942"/>
      <c r="O2942"/>
      <c r="P2942"/>
      <c r="Q2942"/>
      <c r="R2942"/>
      <c r="S2942"/>
    </row>
    <row r="2943" spans="1:19" x14ac:dyDescent="0.25">
      <c r="A2943" s="28" t="s">
        <v>14843</v>
      </c>
      <c r="C2943"/>
      <c r="E2943"/>
      <c r="F2943"/>
      <c r="G2943"/>
      <c r="H2943"/>
      <c r="I2943"/>
      <c r="J2943" t="s">
        <v>7931</v>
      </c>
      <c r="K2943" t="s">
        <v>7932</v>
      </c>
      <c r="M2943" t="s">
        <v>2820</v>
      </c>
      <c r="N2943"/>
      <c r="O2943"/>
      <c r="P2943"/>
      <c r="Q2943"/>
      <c r="R2943"/>
      <c r="S2943"/>
    </row>
    <row r="2944" spans="1:19" x14ac:dyDescent="0.25">
      <c r="A2944" s="28" t="s">
        <v>14843</v>
      </c>
      <c r="C2944"/>
      <c r="E2944"/>
      <c r="F2944"/>
      <c r="G2944"/>
      <c r="H2944"/>
      <c r="I2944"/>
      <c r="J2944" t="s">
        <v>7933</v>
      </c>
      <c r="K2944" t="s">
        <v>7934</v>
      </c>
      <c r="M2944" t="s">
        <v>2820</v>
      </c>
      <c r="N2944"/>
      <c r="O2944"/>
      <c r="P2944"/>
      <c r="Q2944"/>
      <c r="R2944"/>
      <c r="S2944"/>
    </row>
    <row r="2945" spans="1:19" x14ac:dyDescent="0.25">
      <c r="A2945" s="28" t="s">
        <v>14843</v>
      </c>
      <c r="C2945"/>
      <c r="E2945"/>
      <c r="F2945"/>
      <c r="G2945"/>
      <c r="H2945"/>
      <c r="I2945"/>
      <c r="J2945" t="s">
        <v>7935</v>
      </c>
      <c r="K2945" t="s">
        <v>7936</v>
      </c>
      <c r="M2945" t="s">
        <v>2820</v>
      </c>
      <c r="N2945"/>
      <c r="O2945"/>
      <c r="P2945"/>
      <c r="Q2945"/>
      <c r="R2945"/>
      <c r="S2945"/>
    </row>
    <row r="2946" spans="1:19" x14ac:dyDescent="0.25">
      <c r="A2946" s="28" t="s">
        <v>14843</v>
      </c>
      <c r="C2946"/>
      <c r="E2946"/>
      <c r="F2946"/>
      <c r="G2946"/>
      <c r="H2946"/>
      <c r="I2946"/>
      <c r="J2946" t="s">
        <v>7937</v>
      </c>
      <c r="K2946" t="s">
        <v>7938</v>
      </c>
      <c r="M2946" t="s">
        <v>666</v>
      </c>
      <c r="N2946"/>
      <c r="O2946"/>
      <c r="P2946"/>
      <c r="Q2946"/>
      <c r="R2946"/>
      <c r="S2946"/>
    </row>
    <row r="2947" spans="1:19" x14ac:dyDescent="0.25">
      <c r="A2947" s="28" t="s">
        <v>14843</v>
      </c>
      <c r="C2947"/>
      <c r="E2947"/>
      <c r="F2947"/>
      <c r="G2947"/>
      <c r="H2947"/>
      <c r="I2947"/>
      <c r="J2947" t="s">
        <v>7939</v>
      </c>
      <c r="K2947" t="s">
        <v>7940</v>
      </c>
      <c r="M2947" t="s">
        <v>666</v>
      </c>
      <c r="N2947"/>
      <c r="O2947"/>
      <c r="P2947"/>
      <c r="Q2947"/>
      <c r="R2947"/>
      <c r="S2947"/>
    </row>
    <row r="2948" spans="1:19" x14ac:dyDescent="0.25">
      <c r="A2948" s="28" t="s">
        <v>14843</v>
      </c>
      <c r="C2948"/>
      <c r="E2948"/>
      <c r="F2948"/>
      <c r="G2948"/>
      <c r="H2948"/>
      <c r="I2948"/>
      <c r="J2948" t="s">
        <v>7941</v>
      </c>
      <c r="K2948" t="s">
        <v>7942</v>
      </c>
      <c r="M2948" t="s">
        <v>666</v>
      </c>
      <c r="N2948"/>
      <c r="O2948"/>
      <c r="P2948"/>
      <c r="Q2948"/>
      <c r="R2948"/>
      <c r="S2948"/>
    </row>
    <row r="2949" spans="1:19" x14ac:dyDescent="0.25">
      <c r="A2949" s="28" t="s">
        <v>14843</v>
      </c>
      <c r="C2949"/>
      <c r="E2949"/>
      <c r="F2949"/>
      <c r="G2949"/>
      <c r="H2949"/>
      <c r="I2949"/>
      <c r="J2949" t="s">
        <v>7943</v>
      </c>
      <c r="K2949" t="s">
        <v>7944</v>
      </c>
      <c r="M2949" t="s">
        <v>666</v>
      </c>
      <c r="N2949"/>
      <c r="O2949"/>
      <c r="P2949"/>
      <c r="Q2949"/>
      <c r="R2949"/>
      <c r="S2949"/>
    </row>
    <row r="2950" spans="1:19" x14ac:dyDescent="0.25">
      <c r="A2950" s="28" t="s">
        <v>14843</v>
      </c>
      <c r="C2950"/>
      <c r="E2950"/>
      <c r="F2950"/>
      <c r="G2950"/>
      <c r="H2950"/>
      <c r="I2950"/>
      <c r="J2950" t="s">
        <v>7945</v>
      </c>
      <c r="K2950" t="s">
        <v>7946</v>
      </c>
      <c r="M2950" t="s">
        <v>666</v>
      </c>
      <c r="N2950"/>
      <c r="O2950"/>
      <c r="P2950"/>
      <c r="Q2950"/>
      <c r="R2950"/>
      <c r="S2950"/>
    </row>
    <row r="2951" spans="1:19" x14ac:dyDescent="0.25">
      <c r="A2951" s="28" t="s">
        <v>14843</v>
      </c>
      <c r="C2951"/>
      <c r="E2951"/>
      <c r="F2951"/>
      <c r="G2951"/>
      <c r="H2951"/>
      <c r="I2951"/>
      <c r="J2951" t="s">
        <v>7947</v>
      </c>
      <c r="K2951" t="s">
        <v>7948</v>
      </c>
      <c r="M2951" t="s">
        <v>666</v>
      </c>
      <c r="N2951"/>
      <c r="O2951"/>
      <c r="P2951"/>
      <c r="Q2951"/>
      <c r="R2951"/>
      <c r="S2951"/>
    </row>
    <row r="2952" spans="1:19" x14ac:dyDescent="0.25">
      <c r="A2952" s="28" t="s">
        <v>14843</v>
      </c>
      <c r="C2952"/>
      <c r="E2952"/>
      <c r="F2952"/>
      <c r="G2952"/>
      <c r="H2952"/>
      <c r="I2952"/>
      <c r="J2952" t="s">
        <v>7949</v>
      </c>
      <c r="K2952" t="s">
        <v>7950</v>
      </c>
      <c r="M2952" t="s">
        <v>666</v>
      </c>
      <c r="N2952"/>
      <c r="O2952"/>
      <c r="P2952"/>
      <c r="Q2952"/>
      <c r="R2952"/>
      <c r="S2952"/>
    </row>
    <row r="2953" spans="1:19" x14ac:dyDescent="0.25">
      <c r="A2953" s="28" t="s">
        <v>14843</v>
      </c>
      <c r="C2953"/>
      <c r="E2953"/>
      <c r="F2953"/>
      <c r="G2953"/>
      <c r="H2953"/>
      <c r="I2953"/>
      <c r="J2953" t="s">
        <v>7951</v>
      </c>
      <c r="K2953" t="s">
        <v>7952</v>
      </c>
      <c r="M2953" t="s">
        <v>666</v>
      </c>
      <c r="N2953"/>
      <c r="O2953"/>
      <c r="P2953"/>
      <c r="Q2953"/>
      <c r="R2953"/>
      <c r="S2953"/>
    </row>
    <row r="2954" spans="1:19" x14ac:dyDescent="0.25">
      <c r="A2954" s="28" t="s">
        <v>14843</v>
      </c>
      <c r="C2954"/>
      <c r="E2954"/>
      <c r="F2954"/>
      <c r="G2954"/>
      <c r="H2954"/>
      <c r="I2954"/>
      <c r="J2954" t="s">
        <v>7953</v>
      </c>
      <c r="K2954" t="s">
        <v>7954</v>
      </c>
      <c r="M2954" t="s">
        <v>666</v>
      </c>
      <c r="N2954"/>
      <c r="O2954"/>
      <c r="P2954"/>
      <c r="Q2954"/>
      <c r="R2954"/>
      <c r="S2954"/>
    </row>
    <row r="2955" spans="1:19" x14ac:dyDescent="0.25">
      <c r="A2955" s="28" t="s">
        <v>14843</v>
      </c>
      <c r="C2955"/>
      <c r="E2955"/>
      <c r="F2955"/>
      <c r="G2955"/>
      <c r="H2955"/>
      <c r="I2955"/>
      <c r="J2955" t="s">
        <v>7955</v>
      </c>
      <c r="K2955" t="s">
        <v>7956</v>
      </c>
      <c r="M2955" t="s">
        <v>666</v>
      </c>
      <c r="N2955"/>
      <c r="O2955"/>
      <c r="P2955"/>
      <c r="Q2955"/>
      <c r="R2955"/>
      <c r="S2955"/>
    </row>
    <row r="2956" spans="1:19" x14ac:dyDescent="0.25">
      <c r="A2956" s="28" t="s">
        <v>14843</v>
      </c>
      <c r="C2956"/>
      <c r="E2956"/>
      <c r="F2956"/>
      <c r="G2956"/>
      <c r="H2956"/>
      <c r="I2956"/>
      <c r="J2956" t="s">
        <v>7957</v>
      </c>
      <c r="K2956" t="s">
        <v>7958</v>
      </c>
      <c r="M2956" t="s">
        <v>666</v>
      </c>
      <c r="N2956"/>
      <c r="O2956"/>
      <c r="P2956"/>
      <c r="Q2956"/>
      <c r="R2956"/>
      <c r="S2956"/>
    </row>
    <row r="2957" spans="1:19" x14ac:dyDescent="0.25">
      <c r="A2957" s="28" t="s">
        <v>14843</v>
      </c>
      <c r="C2957"/>
      <c r="E2957"/>
      <c r="F2957"/>
      <c r="G2957"/>
      <c r="H2957"/>
      <c r="I2957"/>
      <c r="J2957" t="s">
        <v>7959</v>
      </c>
      <c r="K2957" t="s">
        <v>7960</v>
      </c>
      <c r="M2957" t="s">
        <v>666</v>
      </c>
      <c r="N2957"/>
      <c r="O2957"/>
      <c r="P2957"/>
      <c r="Q2957"/>
      <c r="R2957"/>
      <c r="S2957"/>
    </row>
    <row r="2958" spans="1:19" x14ac:dyDescent="0.25">
      <c r="A2958" s="28" t="s">
        <v>14843</v>
      </c>
      <c r="C2958"/>
      <c r="E2958"/>
      <c r="F2958"/>
      <c r="G2958"/>
      <c r="H2958"/>
      <c r="I2958"/>
      <c r="J2958" t="s">
        <v>7961</v>
      </c>
      <c r="K2958" t="s">
        <v>7962</v>
      </c>
      <c r="M2958" t="s">
        <v>666</v>
      </c>
      <c r="N2958"/>
      <c r="O2958"/>
      <c r="P2958"/>
      <c r="Q2958"/>
      <c r="R2958"/>
      <c r="S2958"/>
    </row>
    <row r="2959" spans="1:19" x14ac:dyDescent="0.25">
      <c r="A2959" s="28" t="s">
        <v>14843</v>
      </c>
      <c r="C2959"/>
      <c r="E2959"/>
      <c r="F2959"/>
      <c r="G2959"/>
      <c r="H2959"/>
      <c r="I2959"/>
      <c r="J2959" t="s">
        <v>7963</v>
      </c>
      <c r="K2959" t="s">
        <v>7964</v>
      </c>
      <c r="M2959" t="s">
        <v>666</v>
      </c>
      <c r="N2959"/>
      <c r="O2959"/>
      <c r="P2959"/>
      <c r="Q2959"/>
      <c r="R2959"/>
      <c r="S2959"/>
    </row>
    <row r="2960" spans="1:19" x14ac:dyDescent="0.25">
      <c r="A2960" s="28" t="s">
        <v>14843</v>
      </c>
      <c r="C2960"/>
      <c r="E2960"/>
      <c r="F2960"/>
      <c r="G2960"/>
      <c r="H2960"/>
      <c r="I2960"/>
      <c r="J2960" t="s">
        <v>7965</v>
      </c>
      <c r="K2960" t="s">
        <v>7966</v>
      </c>
      <c r="M2960" t="s">
        <v>666</v>
      </c>
      <c r="N2960"/>
      <c r="O2960"/>
      <c r="P2960"/>
      <c r="Q2960"/>
      <c r="R2960"/>
      <c r="S2960"/>
    </row>
    <row r="2961" spans="1:19" x14ac:dyDescent="0.25">
      <c r="A2961" s="28" t="s">
        <v>14843</v>
      </c>
      <c r="C2961"/>
      <c r="E2961"/>
      <c r="F2961"/>
      <c r="G2961"/>
      <c r="H2961"/>
      <c r="I2961"/>
      <c r="J2961" t="s">
        <v>7967</v>
      </c>
      <c r="K2961" t="s">
        <v>7968</v>
      </c>
      <c r="M2961" t="s">
        <v>666</v>
      </c>
      <c r="N2961"/>
      <c r="O2961"/>
      <c r="P2961"/>
      <c r="Q2961"/>
      <c r="R2961"/>
      <c r="S2961"/>
    </row>
    <row r="2962" spans="1:19" x14ac:dyDescent="0.25">
      <c r="A2962" s="28" t="s">
        <v>14843</v>
      </c>
      <c r="C2962"/>
      <c r="E2962"/>
      <c r="F2962"/>
      <c r="G2962"/>
      <c r="H2962"/>
      <c r="I2962"/>
      <c r="J2962" t="s">
        <v>7969</v>
      </c>
      <c r="K2962" t="s">
        <v>7970</v>
      </c>
      <c r="M2962" t="s">
        <v>666</v>
      </c>
      <c r="N2962"/>
      <c r="O2962"/>
      <c r="P2962"/>
      <c r="Q2962"/>
      <c r="R2962"/>
      <c r="S2962"/>
    </row>
    <row r="2963" spans="1:19" x14ac:dyDescent="0.25">
      <c r="A2963" s="28" t="s">
        <v>14843</v>
      </c>
      <c r="C2963"/>
      <c r="E2963"/>
      <c r="F2963"/>
      <c r="G2963"/>
      <c r="H2963"/>
      <c r="I2963"/>
      <c r="J2963" t="s">
        <v>7971</v>
      </c>
      <c r="K2963" t="s">
        <v>7972</v>
      </c>
      <c r="M2963" t="s">
        <v>666</v>
      </c>
      <c r="N2963"/>
      <c r="O2963"/>
      <c r="P2963"/>
      <c r="Q2963"/>
      <c r="R2963"/>
      <c r="S2963"/>
    </row>
    <row r="2964" spans="1:19" x14ac:dyDescent="0.25">
      <c r="A2964" s="28" t="s">
        <v>14843</v>
      </c>
      <c r="C2964"/>
      <c r="E2964"/>
      <c r="F2964"/>
      <c r="G2964"/>
      <c r="H2964"/>
      <c r="I2964"/>
      <c r="J2964" t="s">
        <v>7973</v>
      </c>
      <c r="K2964" t="s">
        <v>7974</v>
      </c>
      <c r="M2964" t="s">
        <v>666</v>
      </c>
      <c r="N2964"/>
      <c r="O2964"/>
      <c r="P2964"/>
      <c r="Q2964"/>
      <c r="R2964"/>
      <c r="S2964"/>
    </row>
    <row r="2965" spans="1:19" x14ac:dyDescent="0.25">
      <c r="A2965" s="28" t="s">
        <v>14843</v>
      </c>
      <c r="C2965"/>
      <c r="E2965"/>
      <c r="F2965"/>
      <c r="G2965"/>
      <c r="H2965"/>
      <c r="I2965"/>
      <c r="J2965" t="s">
        <v>7975</v>
      </c>
      <c r="K2965" t="s">
        <v>7976</v>
      </c>
      <c r="M2965" t="s">
        <v>666</v>
      </c>
      <c r="N2965"/>
      <c r="O2965"/>
      <c r="P2965"/>
      <c r="Q2965"/>
      <c r="R2965"/>
      <c r="S2965"/>
    </row>
    <row r="2966" spans="1:19" x14ac:dyDescent="0.25">
      <c r="A2966" s="28" t="s">
        <v>14843</v>
      </c>
      <c r="C2966"/>
      <c r="E2966"/>
      <c r="F2966"/>
      <c r="G2966"/>
      <c r="H2966"/>
      <c r="I2966"/>
      <c r="J2966" t="s">
        <v>7977</v>
      </c>
      <c r="K2966" t="s">
        <v>7978</v>
      </c>
      <c r="M2966" t="s">
        <v>666</v>
      </c>
      <c r="N2966"/>
      <c r="O2966"/>
      <c r="P2966"/>
      <c r="Q2966"/>
      <c r="R2966"/>
      <c r="S2966"/>
    </row>
    <row r="2967" spans="1:19" x14ac:dyDescent="0.25">
      <c r="A2967" s="28" t="s">
        <v>14843</v>
      </c>
      <c r="C2967"/>
      <c r="E2967"/>
      <c r="F2967"/>
      <c r="G2967"/>
      <c r="H2967"/>
      <c r="I2967"/>
      <c r="J2967" t="s">
        <v>7979</v>
      </c>
      <c r="K2967" t="s">
        <v>7980</v>
      </c>
      <c r="M2967" t="s">
        <v>666</v>
      </c>
      <c r="N2967"/>
      <c r="O2967"/>
      <c r="P2967"/>
      <c r="Q2967"/>
      <c r="R2967"/>
      <c r="S2967"/>
    </row>
    <row r="2968" spans="1:19" x14ac:dyDescent="0.25">
      <c r="A2968" s="28" t="s">
        <v>14843</v>
      </c>
      <c r="C2968"/>
      <c r="E2968"/>
      <c r="F2968"/>
      <c r="G2968"/>
      <c r="H2968"/>
      <c r="I2968"/>
      <c r="J2968" t="s">
        <v>7981</v>
      </c>
      <c r="K2968" t="s">
        <v>7982</v>
      </c>
      <c r="M2968" t="s">
        <v>666</v>
      </c>
      <c r="N2968"/>
      <c r="O2968"/>
      <c r="P2968"/>
      <c r="Q2968"/>
      <c r="R2968"/>
      <c r="S2968"/>
    </row>
    <row r="2969" spans="1:19" x14ac:dyDescent="0.25">
      <c r="A2969" s="28" t="s">
        <v>14843</v>
      </c>
      <c r="C2969"/>
      <c r="E2969"/>
      <c r="F2969"/>
      <c r="G2969"/>
      <c r="H2969"/>
      <c r="I2969"/>
      <c r="J2969" t="s">
        <v>7983</v>
      </c>
      <c r="K2969" t="s">
        <v>7984</v>
      </c>
      <c r="M2969" t="s">
        <v>2820</v>
      </c>
      <c r="N2969"/>
      <c r="O2969"/>
      <c r="P2969"/>
      <c r="Q2969"/>
      <c r="R2969"/>
      <c r="S2969"/>
    </row>
    <row r="2970" spans="1:19" x14ac:dyDescent="0.25">
      <c r="A2970" s="28" t="s">
        <v>14843</v>
      </c>
      <c r="J2970" t="s">
        <v>7985</v>
      </c>
      <c r="K2970" t="s">
        <v>7986</v>
      </c>
      <c r="M2970" t="s">
        <v>666</v>
      </c>
      <c r="N2970"/>
      <c r="O2970"/>
      <c r="P2970"/>
      <c r="Q2970"/>
      <c r="R2970"/>
      <c r="S2970"/>
    </row>
    <row r="2971" spans="1:19" x14ac:dyDescent="0.25">
      <c r="A2971" s="28" t="s">
        <v>14843</v>
      </c>
      <c r="J2971" t="s">
        <v>7987</v>
      </c>
      <c r="K2971" t="s">
        <v>7988</v>
      </c>
      <c r="M2971" t="s">
        <v>2820</v>
      </c>
      <c r="N2971"/>
      <c r="O2971"/>
      <c r="P2971"/>
      <c r="Q2971"/>
      <c r="R2971"/>
      <c r="S2971"/>
    </row>
    <row r="2972" spans="1:19" x14ac:dyDescent="0.25">
      <c r="A2972" s="28" t="s">
        <v>14843</v>
      </c>
      <c r="J2972" t="s">
        <v>7989</v>
      </c>
      <c r="K2972" t="s">
        <v>7990</v>
      </c>
      <c r="M2972" t="s">
        <v>2820</v>
      </c>
      <c r="N2972"/>
      <c r="O2972"/>
      <c r="P2972"/>
      <c r="Q2972"/>
      <c r="R2972"/>
      <c r="S2972"/>
    </row>
    <row r="2973" spans="1:19" x14ac:dyDescent="0.25">
      <c r="A2973" s="28" t="s">
        <v>14843</v>
      </c>
      <c r="J2973" t="s">
        <v>7991</v>
      </c>
      <c r="K2973" t="s">
        <v>7992</v>
      </c>
      <c r="M2973" t="s">
        <v>666</v>
      </c>
      <c r="N2973"/>
      <c r="O2973"/>
      <c r="P2973"/>
      <c r="Q2973"/>
      <c r="R2973"/>
      <c r="S2973"/>
    </row>
    <row r="2974" spans="1:19" x14ac:dyDescent="0.25">
      <c r="A2974" s="28" t="s">
        <v>14843</v>
      </c>
      <c r="J2974" t="s">
        <v>7993</v>
      </c>
      <c r="K2974" t="s">
        <v>7994</v>
      </c>
      <c r="M2974" t="s">
        <v>47</v>
      </c>
      <c r="N2974"/>
      <c r="O2974"/>
      <c r="P2974"/>
      <c r="Q2974"/>
      <c r="R2974"/>
      <c r="S2974"/>
    </row>
    <row r="2975" spans="1:19" x14ac:dyDescent="0.25">
      <c r="A2975" s="28" t="s">
        <v>14843</v>
      </c>
      <c r="J2975" t="s">
        <v>7995</v>
      </c>
      <c r="K2975" t="s">
        <v>7996</v>
      </c>
      <c r="M2975" t="s">
        <v>47</v>
      </c>
      <c r="N2975"/>
      <c r="O2975"/>
      <c r="P2975"/>
      <c r="Q2975"/>
      <c r="R2975"/>
      <c r="S2975"/>
    </row>
    <row r="2976" spans="1:19" x14ac:dyDescent="0.25">
      <c r="A2976" s="28" t="s">
        <v>14843</v>
      </c>
      <c r="J2976" t="s">
        <v>7997</v>
      </c>
      <c r="K2976" t="s">
        <v>7998</v>
      </c>
      <c r="M2976" t="s">
        <v>2779</v>
      </c>
      <c r="N2976"/>
      <c r="O2976"/>
      <c r="P2976"/>
      <c r="Q2976"/>
      <c r="R2976"/>
      <c r="S2976"/>
    </row>
    <row r="2977" spans="1:19" x14ac:dyDescent="0.25">
      <c r="A2977" s="28" t="s">
        <v>14843</v>
      </c>
      <c r="J2977" t="s">
        <v>7999</v>
      </c>
      <c r="K2977" t="s">
        <v>8000</v>
      </c>
      <c r="M2977" t="s">
        <v>47</v>
      </c>
      <c r="N2977"/>
      <c r="O2977"/>
      <c r="P2977"/>
      <c r="Q2977"/>
      <c r="R2977"/>
      <c r="S2977"/>
    </row>
    <row r="2978" spans="1:19" x14ac:dyDescent="0.25">
      <c r="A2978" s="28" t="s">
        <v>14843</v>
      </c>
      <c r="J2978" t="s">
        <v>8001</v>
      </c>
      <c r="K2978" t="s">
        <v>8002</v>
      </c>
      <c r="M2978" t="s">
        <v>47</v>
      </c>
      <c r="N2978"/>
      <c r="O2978"/>
      <c r="P2978"/>
      <c r="Q2978"/>
      <c r="R2978"/>
      <c r="S2978"/>
    </row>
    <row r="2979" spans="1:19" x14ac:dyDescent="0.25">
      <c r="A2979" s="28" t="s">
        <v>14843</v>
      </c>
      <c r="J2979" t="s">
        <v>8003</v>
      </c>
      <c r="K2979" t="s">
        <v>8004</v>
      </c>
      <c r="M2979" t="s">
        <v>666</v>
      </c>
      <c r="N2979"/>
      <c r="O2979"/>
      <c r="P2979"/>
      <c r="Q2979"/>
      <c r="R2979"/>
      <c r="S2979"/>
    </row>
    <row r="2980" spans="1:19" x14ac:dyDescent="0.25">
      <c r="A2980" t="s">
        <v>193</v>
      </c>
      <c r="C2980" s="27" t="s">
        <v>34749</v>
      </c>
      <c r="D2980" s="28" t="s">
        <v>34867</v>
      </c>
      <c r="J2980" t="s">
        <v>8005</v>
      </c>
      <c r="K2980" t="s">
        <v>8006</v>
      </c>
      <c r="L2980" s="28" t="s">
        <v>8007</v>
      </c>
      <c r="M2980" t="s">
        <v>23</v>
      </c>
      <c r="N2980"/>
      <c r="O2980"/>
      <c r="P2980"/>
      <c r="Q2980"/>
      <c r="R2980"/>
      <c r="S2980"/>
    </row>
    <row r="2981" spans="1:19" x14ac:dyDescent="0.25">
      <c r="A2981" s="28" t="s">
        <v>14843</v>
      </c>
      <c r="J2981" t="s">
        <v>8008</v>
      </c>
      <c r="K2981" t="s">
        <v>8009</v>
      </c>
      <c r="M2981" t="s">
        <v>47</v>
      </c>
      <c r="N2981"/>
      <c r="O2981"/>
      <c r="P2981"/>
      <c r="Q2981"/>
      <c r="R2981"/>
      <c r="S2981"/>
    </row>
    <row r="2982" spans="1:19" x14ac:dyDescent="0.25">
      <c r="A2982" s="28" t="s">
        <v>14843</v>
      </c>
      <c r="J2982" t="s">
        <v>8010</v>
      </c>
      <c r="K2982" t="s">
        <v>8011</v>
      </c>
      <c r="M2982" t="s">
        <v>2820</v>
      </c>
      <c r="N2982"/>
      <c r="O2982"/>
      <c r="P2982"/>
      <c r="Q2982"/>
      <c r="R2982"/>
      <c r="S2982"/>
    </row>
    <row r="2983" spans="1:19" x14ac:dyDescent="0.25">
      <c r="A2983" s="28" t="s">
        <v>14843</v>
      </c>
      <c r="J2983" t="s">
        <v>8012</v>
      </c>
      <c r="K2983" t="s">
        <v>8013</v>
      </c>
      <c r="M2983" t="s">
        <v>47</v>
      </c>
      <c r="N2983"/>
      <c r="O2983"/>
      <c r="P2983"/>
      <c r="Q2983"/>
      <c r="R2983"/>
      <c r="S2983"/>
    </row>
    <row r="2984" spans="1:19" x14ac:dyDescent="0.25">
      <c r="A2984" s="27" t="s">
        <v>12929</v>
      </c>
      <c r="J2984" t="s">
        <v>8014</v>
      </c>
      <c r="K2984" t="s">
        <v>8015</v>
      </c>
      <c r="M2984" t="s">
        <v>47</v>
      </c>
      <c r="N2984"/>
      <c r="O2984"/>
      <c r="P2984"/>
      <c r="Q2984"/>
      <c r="R2984"/>
      <c r="S2984"/>
    </row>
    <row r="2985" spans="1:19" x14ac:dyDescent="0.25">
      <c r="A2985" s="27" t="s">
        <v>12929</v>
      </c>
      <c r="J2985" t="s">
        <v>8016</v>
      </c>
      <c r="K2985" t="s">
        <v>8017</v>
      </c>
      <c r="M2985" t="s">
        <v>47</v>
      </c>
      <c r="N2985"/>
      <c r="O2985"/>
      <c r="P2985"/>
      <c r="Q2985"/>
      <c r="R2985"/>
      <c r="S2985"/>
    </row>
    <row r="2986" spans="1:19" x14ac:dyDescent="0.25">
      <c r="A2986" s="27" t="s">
        <v>34846</v>
      </c>
      <c r="J2986" t="s">
        <v>8018</v>
      </c>
      <c r="K2986" t="s">
        <v>8019</v>
      </c>
      <c r="M2986" t="s">
        <v>47</v>
      </c>
      <c r="N2986"/>
      <c r="O2986"/>
      <c r="P2986"/>
      <c r="Q2986"/>
      <c r="R2986"/>
      <c r="S2986"/>
    </row>
    <row r="2987" spans="1:19" x14ac:dyDescent="0.25">
      <c r="A2987" s="27" t="s">
        <v>12929</v>
      </c>
      <c r="J2987" t="s">
        <v>8020</v>
      </c>
      <c r="K2987" t="s">
        <v>8021</v>
      </c>
      <c r="M2987" t="s">
        <v>47</v>
      </c>
      <c r="N2987"/>
      <c r="O2987"/>
      <c r="P2987"/>
      <c r="Q2987"/>
      <c r="R2987"/>
      <c r="S2987"/>
    </row>
    <row r="2988" spans="1:19" x14ac:dyDescent="0.25">
      <c r="A2988" s="27" t="s">
        <v>12929</v>
      </c>
      <c r="J2988" t="s">
        <v>8022</v>
      </c>
      <c r="K2988" t="s">
        <v>8023</v>
      </c>
      <c r="M2988" t="s">
        <v>47</v>
      </c>
      <c r="N2988"/>
      <c r="O2988"/>
      <c r="P2988"/>
      <c r="Q2988"/>
      <c r="R2988"/>
      <c r="S2988"/>
    </row>
    <row r="2989" spans="1:19" x14ac:dyDescent="0.25">
      <c r="A2989" s="28" t="s">
        <v>14843</v>
      </c>
      <c r="J2989" t="s">
        <v>8024</v>
      </c>
      <c r="K2989" t="s">
        <v>8025</v>
      </c>
      <c r="M2989" t="s">
        <v>666</v>
      </c>
      <c r="N2989"/>
      <c r="O2989"/>
      <c r="P2989"/>
      <c r="Q2989"/>
      <c r="R2989"/>
      <c r="S2989"/>
    </row>
    <row r="2990" spans="1:19" x14ac:dyDescent="0.25">
      <c r="A2990" s="28" t="s">
        <v>14843</v>
      </c>
      <c r="J2990" t="s">
        <v>8026</v>
      </c>
      <c r="K2990" t="s">
        <v>8027</v>
      </c>
      <c r="M2990" t="s">
        <v>666</v>
      </c>
      <c r="N2990"/>
      <c r="O2990"/>
      <c r="P2990"/>
      <c r="Q2990"/>
      <c r="R2990"/>
      <c r="S2990"/>
    </row>
    <row r="2991" spans="1:19" x14ac:dyDescent="0.25">
      <c r="A2991" s="28" t="s">
        <v>14843</v>
      </c>
      <c r="J2991" t="s">
        <v>8028</v>
      </c>
      <c r="K2991" t="s">
        <v>8029</v>
      </c>
      <c r="M2991" t="s">
        <v>47</v>
      </c>
      <c r="N2991"/>
      <c r="O2991"/>
      <c r="P2991"/>
      <c r="Q2991"/>
      <c r="R2991"/>
      <c r="S2991"/>
    </row>
    <row r="2992" spans="1:19" x14ac:dyDescent="0.25">
      <c r="A2992" s="28" t="s">
        <v>14843</v>
      </c>
      <c r="J2992" t="s">
        <v>8030</v>
      </c>
      <c r="K2992" t="s">
        <v>8031</v>
      </c>
      <c r="M2992" t="s">
        <v>2820</v>
      </c>
      <c r="N2992"/>
      <c r="O2992"/>
      <c r="P2992"/>
      <c r="Q2992"/>
      <c r="R2992"/>
      <c r="S2992"/>
    </row>
    <row r="2993" spans="1:19" x14ac:dyDescent="0.25">
      <c r="A2993" s="28" t="s">
        <v>14843</v>
      </c>
      <c r="J2993" t="s">
        <v>8032</v>
      </c>
      <c r="K2993" t="s">
        <v>8033</v>
      </c>
      <c r="M2993" t="s">
        <v>47</v>
      </c>
      <c r="N2993"/>
      <c r="O2993"/>
      <c r="P2993"/>
      <c r="Q2993"/>
      <c r="R2993"/>
      <c r="S2993"/>
    </row>
    <row r="2994" spans="1:19" x14ac:dyDescent="0.25">
      <c r="A2994" s="28" t="s">
        <v>14843</v>
      </c>
      <c r="J2994" t="s">
        <v>8034</v>
      </c>
      <c r="K2994" t="s">
        <v>8035</v>
      </c>
      <c r="M2994" t="s">
        <v>47</v>
      </c>
      <c r="N2994"/>
      <c r="O2994"/>
      <c r="P2994"/>
      <c r="Q2994"/>
      <c r="R2994"/>
      <c r="S2994"/>
    </row>
    <row r="2995" spans="1:19" x14ac:dyDescent="0.25">
      <c r="A2995" s="28" t="s">
        <v>14843</v>
      </c>
      <c r="J2995" t="s">
        <v>8036</v>
      </c>
      <c r="K2995" t="s">
        <v>8037</v>
      </c>
      <c r="M2995" t="s">
        <v>47</v>
      </c>
      <c r="N2995"/>
      <c r="O2995"/>
      <c r="P2995"/>
      <c r="Q2995"/>
      <c r="R2995"/>
      <c r="S2995"/>
    </row>
    <row r="2996" spans="1:19" x14ac:dyDescent="0.25">
      <c r="A2996" s="28" t="s">
        <v>14843</v>
      </c>
      <c r="J2996" t="s">
        <v>8038</v>
      </c>
      <c r="K2996" t="s">
        <v>8039</v>
      </c>
      <c r="M2996" t="s">
        <v>47</v>
      </c>
      <c r="N2996"/>
      <c r="O2996"/>
      <c r="P2996"/>
      <c r="Q2996"/>
      <c r="R2996"/>
      <c r="S2996"/>
    </row>
    <row r="2997" spans="1:19" x14ac:dyDescent="0.25">
      <c r="A2997" s="28" t="s">
        <v>14843</v>
      </c>
      <c r="J2997" t="s">
        <v>8040</v>
      </c>
      <c r="K2997" t="s">
        <v>8041</v>
      </c>
      <c r="M2997" t="s">
        <v>47</v>
      </c>
      <c r="N2997"/>
      <c r="O2997"/>
      <c r="P2997"/>
      <c r="Q2997"/>
      <c r="R2997"/>
      <c r="S2997"/>
    </row>
    <row r="2998" spans="1:19" x14ac:dyDescent="0.25">
      <c r="A2998" s="28" t="s">
        <v>14843</v>
      </c>
      <c r="J2998" t="s">
        <v>8042</v>
      </c>
      <c r="K2998" t="s">
        <v>8043</v>
      </c>
      <c r="M2998" t="s">
        <v>666</v>
      </c>
      <c r="N2998"/>
      <c r="O2998"/>
      <c r="P2998"/>
      <c r="Q2998"/>
      <c r="R2998"/>
      <c r="S2998"/>
    </row>
    <row r="2999" spans="1:19" x14ac:dyDescent="0.25">
      <c r="A2999" t="s">
        <v>193</v>
      </c>
      <c r="C2999" s="27" t="s">
        <v>34749</v>
      </c>
      <c r="D2999" s="28" t="s">
        <v>34867</v>
      </c>
      <c r="J2999" t="s">
        <v>8044</v>
      </c>
      <c r="K2999" t="s">
        <v>8045</v>
      </c>
      <c r="L2999" s="28" t="s">
        <v>8046</v>
      </c>
      <c r="M2999" t="s">
        <v>23</v>
      </c>
      <c r="N2999"/>
      <c r="O2999"/>
      <c r="P2999"/>
      <c r="Q2999"/>
      <c r="R2999"/>
      <c r="S2999"/>
    </row>
    <row r="3000" spans="1:19" x14ac:dyDescent="0.25">
      <c r="A3000" s="28" t="s">
        <v>14843</v>
      </c>
      <c r="J3000" t="s">
        <v>8047</v>
      </c>
      <c r="K3000" t="s">
        <v>8048</v>
      </c>
      <c r="M3000" t="s">
        <v>47</v>
      </c>
      <c r="N3000"/>
      <c r="O3000"/>
      <c r="P3000"/>
      <c r="Q3000"/>
      <c r="R3000"/>
      <c r="S3000"/>
    </row>
    <row r="3001" spans="1:19" x14ac:dyDescent="0.25">
      <c r="A3001" t="s">
        <v>193</v>
      </c>
      <c r="C3001" s="27" t="s">
        <v>34749</v>
      </c>
      <c r="D3001" s="28" t="s">
        <v>34867</v>
      </c>
      <c r="J3001" t="s">
        <v>8049</v>
      </c>
      <c r="K3001" t="s">
        <v>8050</v>
      </c>
      <c r="L3001" s="28" t="s">
        <v>8051</v>
      </c>
      <c r="M3001" t="s">
        <v>23</v>
      </c>
      <c r="N3001"/>
      <c r="O3001"/>
      <c r="P3001"/>
      <c r="Q3001"/>
      <c r="R3001"/>
      <c r="S3001"/>
    </row>
    <row r="3002" spans="1:19" x14ac:dyDescent="0.25">
      <c r="A3002" t="s">
        <v>193</v>
      </c>
      <c r="C3002" s="27" t="s">
        <v>34749</v>
      </c>
      <c r="D3002" s="28" t="s">
        <v>34867</v>
      </c>
      <c r="J3002" t="s">
        <v>8052</v>
      </c>
      <c r="K3002" t="s">
        <v>8053</v>
      </c>
      <c r="L3002" s="28" t="s">
        <v>8054</v>
      </c>
      <c r="M3002" t="s">
        <v>23</v>
      </c>
      <c r="N3002"/>
      <c r="O3002"/>
      <c r="P3002"/>
      <c r="Q3002"/>
      <c r="R3002"/>
      <c r="S3002"/>
    </row>
    <row r="3003" spans="1:19" x14ac:dyDescent="0.25">
      <c r="A3003" s="28" t="s">
        <v>14843</v>
      </c>
      <c r="J3003" t="s">
        <v>8055</v>
      </c>
      <c r="K3003" t="s">
        <v>8056</v>
      </c>
      <c r="M3003" t="s">
        <v>47</v>
      </c>
      <c r="N3003"/>
      <c r="O3003"/>
      <c r="P3003"/>
      <c r="Q3003"/>
      <c r="R3003"/>
      <c r="S3003"/>
    </row>
    <row r="3004" spans="1:19" x14ac:dyDescent="0.25">
      <c r="A3004" t="s">
        <v>193</v>
      </c>
      <c r="C3004" s="27" t="s">
        <v>34749</v>
      </c>
      <c r="D3004" s="28" t="s">
        <v>34867</v>
      </c>
      <c r="J3004" t="s">
        <v>8057</v>
      </c>
      <c r="K3004" t="s">
        <v>8058</v>
      </c>
      <c r="L3004" s="28" t="s">
        <v>8059</v>
      </c>
      <c r="M3004" t="s">
        <v>23</v>
      </c>
      <c r="N3004"/>
      <c r="O3004"/>
      <c r="P3004"/>
      <c r="Q3004"/>
      <c r="R3004"/>
      <c r="S3004"/>
    </row>
    <row r="3005" spans="1:19" x14ac:dyDescent="0.25">
      <c r="A3005" s="28" t="s">
        <v>14843</v>
      </c>
      <c r="J3005" t="s">
        <v>8060</v>
      </c>
      <c r="K3005" t="s">
        <v>8061</v>
      </c>
      <c r="M3005" t="s">
        <v>666</v>
      </c>
      <c r="N3005"/>
      <c r="O3005"/>
      <c r="P3005"/>
      <c r="Q3005"/>
      <c r="R3005"/>
      <c r="S3005"/>
    </row>
    <row r="3006" spans="1:19" x14ac:dyDescent="0.25">
      <c r="A3006" s="28" t="s">
        <v>14843</v>
      </c>
      <c r="J3006" t="s">
        <v>8062</v>
      </c>
      <c r="K3006" t="s">
        <v>8063</v>
      </c>
      <c r="M3006" t="s">
        <v>2820</v>
      </c>
      <c r="N3006"/>
      <c r="O3006"/>
      <c r="P3006"/>
      <c r="Q3006"/>
      <c r="R3006"/>
      <c r="S3006"/>
    </row>
    <row r="3007" spans="1:19" x14ac:dyDescent="0.25">
      <c r="A3007" s="28" t="s">
        <v>14843</v>
      </c>
      <c r="J3007" t="s">
        <v>8064</v>
      </c>
      <c r="K3007" t="s">
        <v>8065</v>
      </c>
      <c r="M3007" t="s">
        <v>2820</v>
      </c>
      <c r="N3007"/>
      <c r="O3007"/>
      <c r="P3007"/>
      <c r="Q3007"/>
      <c r="R3007"/>
      <c r="S3007"/>
    </row>
    <row r="3008" spans="1:19" x14ac:dyDescent="0.25">
      <c r="A3008" s="28" t="s">
        <v>14843</v>
      </c>
      <c r="J3008" t="s">
        <v>8068</v>
      </c>
      <c r="K3008" t="s">
        <v>8069</v>
      </c>
      <c r="M3008" t="s">
        <v>666</v>
      </c>
      <c r="N3008"/>
      <c r="O3008"/>
      <c r="P3008"/>
      <c r="Q3008"/>
      <c r="R3008"/>
      <c r="S3008"/>
    </row>
    <row r="3009" spans="1:19" x14ac:dyDescent="0.25">
      <c r="A3009" s="28" t="s">
        <v>14843</v>
      </c>
      <c r="J3009" t="s">
        <v>8070</v>
      </c>
      <c r="K3009" t="s">
        <v>8071</v>
      </c>
      <c r="M3009" t="s">
        <v>2820</v>
      </c>
      <c r="N3009"/>
      <c r="O3009"/>
      <c r="P3009"/>
      <c r="Q3009"/>
      <c r="R3009"/>
      <c r="S3009"/>
    </row>
    <row r="3010" spans="1:19" x14ac:dyDescent="0.25">
      <c r="A3010" s="28" t="s">
        <v>14843</v>
      </c>
      <c r="J3010" t="s">
        <v>8072</v>
      </c>
      <c r="K3010" t="s">
        <v>8073</v>
      </c>
      <c r="M3010" t="s">
        <v>2820</v>
      </c>
      <c r="N3010"/>
      <c r="O3010"/>
      <c r="P3010"/>
      <c r="Q3010"/>
      <c r="R3010"/>
      <c r="S3010"/>
    </row>
    <row r="3011" spans="1:19" x14ac:dyDescent="0.25">
      <c r="A3011" s="28" t="s">
        <v>14843</v>
      </c>
      <c r="J3011" t="s">
        <v>8074</v>
      </c>
      <c r="K3011" t="s">
        <v>8075</v>
      </c>
      <c r="M3011" t="s">
        <v>666</v>
      </c>
      <c r="N3011"/>
      <c r="O3011"/>
      <c r="P3011"/>
      <c r="Q3011"/>
      <c r="R3011"/>
      <c r="S3011"/>
    </row>
    <row r="3012" spans="1:19" x14ac:dyDescent="0.25">
      <c r="A3012" s="28" t="s">
        <v>14843</v>
      </c>
      <c r="J3012" t="s">
        <v>8076</v>
      </c>
      <c r="K3012" t="s">
        <v>8077</v>
      </c>
      <c r="M3012" t="s">
        <v>2820</v>
      </c>
      <c r="N3012"/>
      <c r="O3012"/>
      <c r="P3012"/>
      <c r="Q3012"/>
      <c r="R3012"/>
      <c r="S3012"/>
    </row>
    <row r="3013" spans="1:19" x14ac:dyDescent="0.25">
      <c r="A3013" t="s">
        <v>193</v>
      </c>
      <c r="C3013" s="27" t="s">
        <v>34749</v>
      </c>
      <c r="D3013" s="28" t="s">
        <v>34867</v>
      </c>
      <c r="J3013" t="s">
        <v>8078</v>
      </c>
      <c r="K3013" t="s">
        <v>8079</v>
      </c>
      <c r="L3013" s="28" t="s">
        <v>8080</v>
      </c>
      <c r="M3013" t="s">
        <v>23</v>
      </c>
      <c r="N3013"/>
      <c r="O3013"/>
      <c r="P3013"/>
      <c r="Q3013"/>
      <c r="R3013"/>
      <c r="S3013"/>
    </row>
    <row r="3014" spans="1:19" x14ac:dyDescent="0.25">
      <c r="A3014" t="s">
        <v>193</v>
      </c>
      <c r="C3014" s="27" t="s">
        <v>34749</v>
      </c>
      <c r="D3014" s="28" t="s">
        <v>34867</v>
      </c>
      <c r="J3014" t="s">
        <v>8081</v>
      </c>
      <c r="K3014" t="s">
        <v>8082</v>
      </c>
      <c r="L3014" s="28" t="s">
        <v>8083</v>
      </c>
      <c r="M3014" t="s">
        <v>23</v>
      </c>
      <c r="N3014"/>
      <c r="O3014"/>
      <c r="P3014"/>
      <c r="Q3014"/>
      <c r="R3014"/>
      <c r="S3014"/>
    </row>
    <row r="3015" spans="1:19" x14ac:dyDescent="0.25">
      <c r="A3015" t="s">
        <v>193</v>
      </c>
      <c r="C3015" s="27" t="s">
        <v>34749</v>
      </c>
      <c r="D3015" s="28" t="s">
        <v>34867</v>
      </c>
      <c r="J3015" t="s">
        <v>8084</v>
      </c>
      <c r="K3015" t="s">
        <v>8085</v>
      </c>
      <c r="L3015" s="28" t="s">
        <v>8086</v>
      </c>
      <c r="M3015" t="s">
        <v>23</v>
      </c>
      <c r="N3015"/>
      <c r="O3015"/>
      <c r="P3015"/>
      <c r="Q3015"/>
      <c r="R3015"/>
      <c r="S3015"/>
    </row>
    <row r="3016" spans="1:19" x14ac:dyDescent="0.25">
      <c r="A3016" t="s">
        <v>193</v>
      </c>
      <c r="C3016" s="27" t="s">
        <v>34749</v>
      </c>
      <c r="D3016" s="28" t="s">
        <v>34867</v>
      </c>
      <c r="J3016" t="s">
        <v>8087</v>
      </c>
      <c r="K3016" t="s">
        <v>8088</v>
      </c>
      <c r="L3016" s="28" t="s">
        <v>8089</v>
      </c>
      <c r="M3016" t="s">
        <v>23</v>
      </c>
      <c r="N3016"/>
      <c r="O3016"/>
      <c r="P3016"/>
      <c r="Q3016"/>
      <c r="R3016"/>
      <c r="S3016"/>
    </row>
    <row r="3017" spans="1:19" x14ac:dyDescent="0.25">
      <c r="A3017" t="s">
        <v>193</v>
      </c>
      <c r="C3017" s="27" t="s">
        <v>34749</v>
      </c>
      <c r="D3017" s="28" t="s">
        <v>34867</v>
      </c>
      <c r="J3017" t="s">
        <v>8090</v>
      </c>
      <c r="K3017" t="s">
        <v>8091</v>
      </c>
      <c r="L3017" s="28" t="s">
        <v>8092</v>
      </c>
      <c r="M3017" t="s">
        <v>23</v>
      </c>
      <c r="N3017"/>
      <c r="O3017"/>
      <c r="P3017"/>
      <c r="Q3017"/>
      <c r="R3017"/>
      <c r="S3017"/>
    </row>
    <row r="3018" spans="1:19" x14ac:dyDescent="0.25">
      <c r="A3018" t="s">
        <v>193</v>
      </c>
      <c r="C3018" s="27" t="s">
        <v>34749</v>
      </c>
      <c r="D3018" s="28" t="s">
        <v>34867</v>
      </c>
      <c r="J3018" t="s">
        <v>8093</v>
      </c>
      <c r="K3018" t="s">
        <v>8094</v>
      </c>
      <c r="L3018" s="28" t="s">
        <v>8095</v>
      </c>
      <c r="M3018" t="s">
        <v>23</v>
      </c>
      <c r="N3018"/>
      <c r="O3018"/>
      <c r="P3018"/>
      <c r="Q3018"/>
      <c r="R3018"/>
      <c r="S3018"/>
    </row>
    <row r="3019" spans="1:19" x14ac:dyDescent="0.25">
      <c r="A3019" t="s">
        <v>193</v>
      </c>
      <c r="C3019" s="27" t="s">
        <v>34749</v>
      </c>
      <c r="D3019" s="28" t="s">
        <v>34867</v>
      </c>
      <c r="J3019" t="s">
        <v>8096</v>
      </c>
      <c r="K3019" t="s">
        <v>8097</v>
      </c>
      <c r="L3019" s="28" t="s">
        <v>8098</v>
      </c>
      <c r="M3019" t="s">
        <v>23</v>
      </c>
      <c r="N3019"/>
      <c r="O3019"/>
      <c r="P3019"/>
      <c r="Q3019"/>
      <c r="R3019"/>
      <c r="S3019"/>
    </row>
    <row r="3020" spans="1:19" x14ac:dyDescent="0.25">
      <c r="A3020" t="s">
        <v>193</v>
      </c>
      <c r="C3020" s="27" t="s">
        <v>34749</v>
      </c>
      <c r="D3020" s="28" t="s">
        <v>34867</v>
      </c>
      <c r="J3020" t="s">
        <v>8099</v>
      </c>
      <c r="K3020" t="s">
        <v>8100</v>
      </c>
      <c r="L3020" s="28" t="s">
        <v>8101</v>
      </c>
      <c r="M3020" t="s">
        <v>23</v>
      </c>
      <c r="N3020"/>
      <c r="O3020"/>
      <c r="P3020"/>
      <c r="Q3020"/>
      <c r="R3020"/>
      <c r="S3020"/>
    </row>
    <row r="3021" spans="1:19" x14ac:dyDescent="0.25">
      <c r="A3021" t="s">
        <v>193</v>
      </c>
      <c r="C3021" s="27" t="s">
        <v>34749</v>
      </c>
      <c r="D3021" s="28" t="s">
        <v>34867</v>
      </c>
      <c r="J3021" t="s">
        <v>8102</v>
      </c>
      <c r="K3021" t="s">
        <v>8103</v>
      </c>
      <c r="L3021" s="28" t="s">
        <v>8104</v>
      </c>
      <c r="M3021" t="s">
        <v>23</v>
      </c>
      <c r="N3021"/>
      <c r="O3021"/>
      <c r="P3021"/>
      <c r="Q3021"/>
      <c r="R3021"/>
      <c r="S3021"/>
    </row>
    <row r="3022" spans="1:19" x14ac:dyDescent="0.25">
      <c r="A3022" t="s">
        <v>193</v>
      </c>
      <c r="C3022" s="27" t="s">
        <v>34749</v>
      </c>
      <c r="D3022" s="28" t="s">
        <v>34867</v>
      </c>
      <c r="J3022" t="s">
        <v>8105</v>
      </c>
      <c r="K3022" t="s">
        <v>8106</v>
      </c>
      <c r="L3022" s="28" t="s">
        <v>8107</v>
      </c>
      <c r="M3022" t="s">
        <v>23</v>
      </c>
      <c r="N3022"/>
      <c r="O3022"/>
      <c r="P3022"/>
      <c r="Q3022"/>
      <c r="R3022"/>
      <c r="S3022"/>
    </row>
    <row r="3023" spans="1:19" x14ac:dyDescent="0.25">
      <c r="A3023" t="s">
        <v>193</v>
      </c>
      <c r="C3023" s="27" t="s">
        <v>34749</v>
      </c>
      <c r="D3023" s="28" t="s">
        <v>34867</v>
      </c>
      <c r="J3023" t="s">
        <v>8108</v>
      </c>
      <c r="K3023" t="s">
        <v>8109</v>
      </c>
      <c r="L3023" s="28" t="s">
        <v>8110</v>
      </c>
      <c r="M3023" t="s">
        <v>23</v>
      </c>
      <c r="N3023"/>
      <c r="O3023"/>
      <c r="P3023"/>
      <c r="Q3023"/>
      <c r="R3023"/>
      <c r="S3023"/>
    </row>
    <row r="3024" spans="1:19" x14ac:dyDescent="0.25">
      <c r="A3024" t="s">
        <v>193</v>
      </c>
      <c r="C3024" s="27" t="s">
        <v>34749</v>
      </c>
      <c r="D3024" s="28" t="s">
        <v>34867</v>
      </c>
      <c r="J3024" t="s">
        <v>8111</v>
      </c>
      <c r="K3024" t="s">
        <v>8112</v>
      </c>
      <c r="L3024" s="28" t="s">
        <v>8113</v>
      </c>
      <c r="M3024" t="s">
        <v>23</v>
      </c>
      <c r="N3024"/>
      <c r="O3024"/>
      <c r="P3024"/>
      <c r="Q3024"/>
      <c r="R3024"/>
      <c r="S3024"/>
    </row>
    <row r="3025" spans="1:19" x14ac:dyDescent="0.25">
      <c r="A3025" t="s">
        <v>193</v>
      </c>
      <c r="C3025" s="27" t="s">
        <v>34749</v>
      </c>
      <c r="D3025" s="28" t="s">
        <v>34867</v>
      </c>
      <c r="J3025" t="s">
        <v>8114</v>
      </c>
      <c r="K3025" t="s">
        <v>8115</v>
      </c>
      <c r="L3025" s="28" t="s">
        <v>8116</v>
      </c>
      <c r="M3025" t="s">
        <v>23</v>
      </c>
      <c r="N3025"/>
      <c r="O3025"/>
      <c r="P3025"/>
      <c r="Q3025"/>
      <c r="R3025"/>
      <c r="S3025"/>
    </row>
    <row r="3026" spans="1:19" x14ac:dyDescent="0.25">
      <c r="A3026" t="s">
        <v>193</v>
      </c>
      <c r="C3026" s="27" t="s">
        <v>34749</v>
      </c>
      <c r="D3026" s="28" t="s">
        <v>34867</v>
      </c>
      <c r="J3026" t="s">
        <v>8117</v>
      </c>
      <c r="K3026" t="s">
        <v>8118</v>
      </c>
      <c r="L3026" s="28" t="s">
        <v>8119</v>
      </c>
      <c r="M3026" t="s">
        <v>23</v>
      </c>
      <c r="N3026"/>
      <c r="O3026"/>
      <c r="P3026"/>
      <c r="Q3026"/>
      <c r="R3026"/>
      <c r="S3026"/>
    </row>
    <row r="3027" spans="1:19" x14ac:dyDescent="0.25">
      <c r="A3027" t="s">
        <v>193</v>
      </c>
      <c r="C3027" s="27" t="s">
        <v>34749</v>
      </c>
      <c r="D3027" s="28" t="s">
        <v>34867</v>
      </c>
      <c r="J3027" t="s">
        <v>8120</v>
      </c>
      <c r="K3027" t="s">
        <v>8121</v>
      </c>
      <c r="L3027" s="28" t="s">
        <v>8122</v>
      </c>
      <c r="M3027" t="s">
        <v>23</v>
      </c>
      <c r="N3027"/>
      <c r="O3027"/>
      <c r="P3027"/>
      <c r="Q3027"/>
      <c r="R3027"/>
      <c r="S3027"/>
    </row>
    <row r="3028" spans="1:19" x14ac:dyDescent="0.25">
      <c r="A3028" t="s">
        <v>193</v>
      </c>
      <c r="C3028" s="27" t="s">
        <v>34749</v>
      </c>
      <c r="D3028" s="28" t="s">
        <v>34867</v>
      </c>
      <c r="J3028" t="s">
        <v>8123</v>
      </c>
      <c r="K3028" t="s">
        <v>8124</v>
      </c>
      <c r="L3028" s="28" t="s">
        <v>8125</v>
      </c>
      <c r="M3028" t="s">
        <v>23</v>
      </c>
      <c r="N3028"/>
      <c r="O3028"/>
      <c r="P3028"/>
      <c r="Q3028"/>
      <c r="R3028"/>
      <c r="S3028"/>
    </row>
    <row r="3029" spans="1:19" x14ac:dyDescent="0.25">
      <c r="A3029" t="s">
        <v>193</v>
      </c>
      <c r="C3029" s="27" t="s">
        <v>34749</v>
      </c>
      <c r="D3029" s="28" t="s">
        <v>34867</v>
      </c>
      <c r="J3029" t="s">
        <v>8126</v>
      </c>
      <c r="K3029" t="s">
        <v>8127</v>
      </c>
      <c r="L3029" s="28" t="s">
        <v>8128</v>
      </c>
      <c r="M3029" t="s">
        <v>23</v>
      </c>
      <c r="N3029"/>
      <c r="O3029"/>
      <c r="P3029"/>
      <c r="Q3029"/>
      <c r="R3029"/>
      <c r="S3029"/>
    </row>
    <row r="3030" spans="1:19" x14ac:dyDescent="0.25">
      <c r="A3030" t="s">
        <v>193</v>
      </c>
      <c r="C3030" s="27" t="s">
        <v>34749</v>
      </c>
      <c r="D3030" s="28" t="s">
        <v>34867</v>
      </c>
      <c r="J3030" t="s">
        <v>8129</v>
      </c>
      <c r="K3030" t="s">
        <v>8130</v>
      </c>
      <c r="L3030" s="28" t="s">
        <v>8131</v>
      </c>
      <c r="M3030" t="s">
        <v>23</v>
      </c>
      <c r="N3030"/>
      <c r="O3030"/>
      <c r="P3030"/>
      <c r="Q3030"/>
      <c r="R3030"/>
      <c r="S3030"/>
    </row>
    <row r="3031" spans="1:19" x14ac:dyDescent="0.25">
      <c r="A3031" t="s">
        <v>193</v>
      </c>
      <c r="C3031" s="27" t="s">
        <v>34749</v>
      </c>
      <c r="D3031" s="28" t="s">
        <v>34867</v>
      </c>
      <c r="J3031" t="s">
        <v>8132</v>
      </c>
      <c r="K3031" t="s">
        <v>8133</v>
      </c>
      <c r="L3031" s="28" t="s">
        <v>8134</v>
      </c>
      <c r="M3031" t="s">
        <v>23</v>
      </c>
      <c r="N3031"/>
      <c r="O3031"/>
      <c r="P3031"/>
      <c r="Q3031"/>
      <c r="R3031"/>
      <c r="S3031"/>
    </row>
    <row r="3032" spans="1:19" x14ac:dyDescent="0.25">
      <c r="A3032" t="s">
        <v>193</v>
      </c>
      <c r="C3032" s="27" t="s">
        <v>34749</v>
      </c>
      <c r="D3032" s="28" t="s">
        <v>34867</v>
      </c>
      <c r="J3032" t="s">
        <v>8135</v>
      </c>
      <c r="K3032" t="s">
        <v>8136</v>
      </c>
      <c r="L3032" s="28" t="s">
        <v>8137</v>
      </c>
      <c r="M3032" t="s">
        <v>23</v>
      </c>
      <c r="N3032"/>
      <c r="O3032"/>
      <c r="P3032"/>
      <c r="Q3032"/>
      <c r="R3032"/>
      <c r="S3032"/>
    </row>
    <row r="3033" spans="1:19" x14ac:dyDescent="0.25">
      <c r="A3033" t="s">
        <v>193</v>
      </c>
      <c r="C3033" s="27" t="s">
        <v>34749</v>
      </c>
      <c r="D3033" s="28" t="s">
        <v>34867</v>
      </c>
      <c r="J3033" t="s">
        <v>8138</v>
      </c>
      <c r="K3033" t="s">
        <v>8139</v>
      </c>
      <c r="L3033" s="28" t="s">
        <v>8140</v>
      </c>
      <c r="M3033" t="s">
        <v>23</v>
      </c>
      <c r="N3033"/>
      <c r="O3033"/>
      <c r="P3033"/>
      <c r="Q3033"/>
      <c r="R3033"/>
      <c r="S3033"/>
    </row>
    <row r="3034" spans="1:19" x14ac:dyDescent="0.25">
      <c r="A3034" t="s">
        <v>193</v>
      </c>
      <c r="C3034" s="27" t="s">
        <v>34749</v>
      </c>
      <c r="D3034" s="28" t="s">
        <v>34867</v>
      </c>
      <c r="J3034" t="s">
        <v>8141</v>
      </c>
      <c r="K3034" t="s">
        <v>8142</v>
      </c>
      <c r="L3034" s="28" t="s">
        <v>8143</v>
      </c>
      <c r="M3034" t="s">
        <v>23</v>
      </c>
      <c r="N3034"/>
      <c r="O3034"/>
      <c r="P3034"/>
      <c r="Q3034"/>
      <c r="R3034"/>
      <c r="S3034"/>
    </row>
    <row r="3035" spans="1:19" x14ac:dyDescent="0.25">
      <c r="A3035" t="s">
        <v>193</v>
      </c>
      <c r="C3035" s="27" t="s">
        <v>34749</v>
      </c>
      <c r="D3035" s="28" t="s">
        <v>34867</v>
      </c>
      <c r="J3035" t="s">
        <v>8144</v>
      </c>
      <c r="K3035" t="s">
        <v>8145</v>
      </c>
      <c r="L3035" s="28" t="s">
        <v>8146</v>
      </c>
      <c r="M3035" t="s">
        <v>23</v>
      </c>
      <c r="N3035"/>
      <c r="O3035"/>
      <c r="P3035"/>
      <c r="Q3035"/>
      <c r="R3035"/>
      <c r="S3035"/>
    </row>
    <row r="3036" spans="1:19" x14ac:dyDescent="0.25">
      <c r="A3036" t="s">
        <v>193</v>
      </c>
      <c r="C3036" s="27" t="s">
        <v>34749</v>
      </c>
      <c r="D3036" s="28" t="s">
        <v>34867</v>
      </c>
      <c r="J3036" t="s">
        <v>8147</v>
      </c>
      <c r="K3036" t="s">
        <v>8148</v>
      </c>
      <c r="L3036" s="28" t="s">
        <v>8149</v>
      </c>
      <c r="M3036" t="s">
        <v>23</v>
      </c>
      <c r="N3036"/>
      <c r="O3036"/>
      <c r="P3036"/>
      <c r="Q3036"/>
      <c r="R3036"/>
      <c r="S3036"/>
    </row>
    <row r="3037" spans="1:19" x14ac:dyDescent="0.25">
      <c r="A3037" t="s">
        <v>193</v>
      </c>
      <c r="C3037" s="27" t="s">
        <v>34749</v>
      </c>
      <c r="D3037" s="28" t="s">
        <v>34867</v>
      </c>
      <c r="J3037" t="s">
        <v>8150</v>
      </c>
      <c r="K3037" t="s">
        <v>8151</v>
      </c>
      <c r="L3037" s="28" t="s">
        <v>8152</v>
      </c>
      <c r="M3037" t="s">
        <v>23</v>
      </c>
      <c r="N3037"/>
      <c r="O3037"/>
      <c r="P3037"/>
      <c r="Q3037"/>
      <c r="R3037"/>
      <c r="S3037"/>
    </row>
    <row r="3038" spans="1:19" x14ac:dyDescent="0.25">
      <c r="A3038" t="s">
        <v>193</v>
      </c>
      <c r="C3038" s="27" t="s">
        <v>34749</v>
      </c>
      <c r="D3038" s="28" t="s">
        <v>34867</v>
      </c>
      <c r="J3038" t="s">
        <v>8153</v>
      </c>
      <c r="K3038" t="s">
        <v>8154</v>
      </c>
      <c r="L3038" s="28" t="s">
        <v>8155</v>
      </c>
      <c r="M3038" t="s">
        <v>23</v>
      </c>
      <c r="N3038"/>
      <c r="O3038"/>
      <c r="P3038"/>
      <c r="Q3038"/>
      <c r="R3038"/>
      <c r="S3038"/>
    </row>
    <row r="3039" spans="1:19" x14ac:dyDescent="0.25">
      <c r="A3039" t="s">
        <v>193</v>
      </c>
      <c r="C3039" s="27" t="s">
        <v>34749</v>
      </c>
      <c r="D3039" s="28" t="s">
        <v>34867</v>
      </c>
      <c r="J3039" t="s">
        <v>8156</v>
      </c>
      <c r="K3039" t="s">
        <v>8157</v>
      </c>
      <c r="L3039" s="28" t="s">
        <v>8158</v>
      </c>
      <c r="M3039" t="s">
        <v>23</v>
      </c>
      <c r="N3039"/>
      <c r="O3039"/>
      <c r="P3039"/>
      <c r="Q3039"/>
      <c r="R3039"/>
      <c r="S3039"/>
    </row>
    <row r="3040" spans="1:19" x14ac:dyDescent="0.25">
      <c r="A3040" t="s">
        <v>193</v>
      </c>
      <c r="C3040" s="27" t="s">
        <v>34749</v>
      </c>
      <c r="D3040" s="28" t="s">
        <v>34867</v>
      </c>
      <c r="J3040" t="s">
        <v>8159</v>
      </c>
      <c r="K3040" t="s">
        <v>8160</v>
      </c>
      <c r="L3040" s="28" t="s">
        <v>8161</v>
      </c>
      <c r="M3040" t="s">
        <v>23</v>
      </c>
      <c r="N3040"/>
      <c r="O3040"/>
      <c r="P3040"/>
      <c r="Q3040"/>
      <c r="R3040"/>
      <c r="S3040"/>
    </row>
    <row r="3041" spans="1:19" x14ac:dyDescent="0.25">
      <c r="A3041" t="s">
        <v>193</v>
      </c>
      <c r="C3041" s="27" t="s">
        <v>34749</v>
      </c>
      <c r="D3041" s="28" t="s">
        <v>34867</v>
      </c>
      <c r="J3041" t="s">
        <v>8162</v>
      </c>
      <c r="K3041" t="s">
        <v>8163</v>
      </c>
      <c r="L3041" s="28" t="s">
        <v>8164</v>
      </c>
      <c r="M3041" t="s">
        <v>23</v>
      </c>
      <c r="N3041"/>
      <c r="O3041"/>
      <c r="P3041"/>
      <c r="Q3041"/>
      <c r="R3041"/>
      <c r="S3041"/>
    </row>
    <row r="3042" spans="1:19" x14ac:dyDescent="0.25">
      <c r="A3042" t="s">
        <v>193</v>
      </c>
      <c r="C3042" s="27" t="s">
        <v>34749</v>
      </c>
      <c r="D3042" s="28" t="s">
        <v>34867</v>
      </c>
      <c r="J3042" t="s">
        <v>8165</v>
      </c>
      <c r="K3042" t="s">
        <v>8166</v>
      </c>
      <c r="L3042" s="28" t="s">
        <v>8167</v>
      </c>
      <c r="M3042" t="s">
        <v>23</v>
      </c>
      <c r="N3042"/>
      <c r="O3042"/>
      <c r="P3042"/>
      <c r="Q3042"/>
      <c r="R3042"/>
      <c r="S3042"/>
    </row>
    <row r="3043" spans="1:19" x14ac:dyDescent="0.25">
      <c r="A3043" t="s">
        <v>193</v>
      </c>
      <c r="C3043" s="27" t="s">
        <v>34749</v>
      </c>
      <c r="D3043" s="28" t="s">
        <v>34867</v>
      </c>
      <c r="J3043" t="s">
        <v>8168</v>
      </c>
      <c r="K3043" t="s">
        <v>8169</v>
      </c>
      <c r="L3043" s="28" t="s">
        <v>8170</v>
      </c>
      <c r="M3043" t="s">
        <v>23</v>
      </c>
      <c r="N3043"/>
      <c r="O3043"/>
      <c r="P3043"/>
      <c r="Q3043"/>
      <c r="R3043"/>
      <c r="S3043"/>
    </row>
    <row r="3044" spans="1:19" x14ac:dyDescent="0.25">
      <c r="A3044" t="s">
        <v>193</v>
      </c>
      <c r="C3044" s="27" t="s">
        <v>34749</v>
      </c>
      <c r="D3044" s="28" t="s">
        <v>34867</v>
      </c>
      <c r="J3044" t="s">
        <v>8171</v>
      </c>
      <c r="K3044" t="s">
        <v>8172</v>
      </c>
      <c r="L3044" s="28" t="s">
        <v>8173</v>
      </c>
      <c r="M3044" t="s">
        <v>23</v>
      </c>
      <c r="N3044"/>
      <c r="O3044"/>
      <c r="P3044"/>
      <c r="Q3044"/>
      <c r="R3044"/>
      <c r="S3044"/>
    </row>
    <row r="3045" spans="1:19" x14ac:dyDescent="0.25">
      <c r="A3045" t="s">
        <v>193</v>
      </c>
      <c r="C3045" s="27" t="s">
        <v>34749</v>
      </c>
      <c r="D3045" s="28" t="s">
        <v>34867</v>
      </c>
      <c r="J3045" t="s">
        <v>8174</v>
      </c>
      <c r="K3045" t="s">
        <v>8175</v>
      </c>
      <c r="L3045" s="28" t="s">
        <v>8176</v>
      </c>
      <c r="M3045" t="s">
        <v>23</v>
      </c>
      <c r="N3045"/>
      <c r="O3045"/>
      <c r="P3045"/>
      <c r="Q3045"/>
      <c r="R3045"/>
      <c r="S3045"/>
    </row>
    <row r="3046" spans="1:19" x14ac:dyDescent="0.25">
      <c r="A3046" t="s">
        <v>193</v>
      </c>
      <c r="C3046" s="27" t="s">
        <v>34749</v>
      </c>
      <c r="D3046" s="28" t="s">
        <v>34867</v>
      </c>
      <c r="J3046" t="s">
        <v>8177</v>
      </c>
      <c r="K3046" t="s">
        <v>8178</v>
      </c>
      <c r="L3046" s="28" t="s">
        <v>8179</v>
      </c>
      <c r="M3046" t="s">
        <v>23</v>
      </c>
      <c r="N3046"/>
      <c r="O3046"/>
      <c r="P3046"/>
      <c r="Q3046"/>
      <c r="R3046"/>
      <c r="S3046"/>
    </row>
    <row r="3047" spans="1:19" x14ac:dyDescent="0.25">
      <c r="A3047" t="s">
        <v>193</v>
      </c>
      <c r="C3047" s="27" t="s">
        <v>34749</v>
      </c>
      <c r="D3047" s="28" t="s">
        <v>34867</v>
      </c>
      <c r="J3047" t="s">
        <v>8180</v>
      </c>
      <c r="K3047" t="s">
        <v>8181</v>
      </c>
      <c r="L3047" s="28" t="s">
        <v>8182</v>
      </c>
      <c r="M3047" t="s">
        <v>23</v>
      </c>
      <c r="N3047"/>
      <c r="O3047"/>
      <c r="P3047"/>
      <c r="Q3047"/>
      <c r="R3047"/>
      <c r="S3047"/>
    </row>
    <row r="3048" spans="1:19" x14ac:dyDescent="0.25">
      <c r="A3048" t="s">
        <v>193</v>
      </c>
      <c r="C3048" s="27" t="s">
        <v>34749</v>
      </c>
      <c r="D3048" s="28" t="s">
        <v>34867</v>
      </c>
      <c r="J3048" t="s">
        <v>8183</v>
      </c>
      <c r="K3048" t="s">
        <v>8184</v>
      </c>
      <c r="L3048" s="28" t="s">
        <v>8185</v>
      </c>
      <c r="M3048" t="s">
        <v>23</v>
      </c>
      <c r="N3048"/>
      <c r="O3048"/>
      <c r="P3048"/>
      <c r="Q3048"/>
      <c r="R3048"/>
      <c r="S3048"/>
    </row>
    <row r="3049" spans="1:19" x14ac:dyDescent="0.25">
      <c r="A3049" t="s">
        <v>193</v>
      </c>
      <c r="C3049" s="27" t="s">
        <v>34749</v>
      </c>
      <c r="D3049" s="28" t="s">
        <v>34867</v>
      </c>
      <c r="J3049" t="s">
        <v>8186</v>
      </c>
      <c r="K3049" t="s">
        <v>8187</v>
      </c>
      <c r="L3049" s="28" t="s">
        <v>8188</v>
      </c>
      <c r="M3049" t="s">
        <v>23</v>
      </c>
      <c r="N3049"/>
      <c r="O3049"/>
      <c r="P3049"/>
      <c r="Q3049"/>
      <c r="R3049"/>
      <c r="S3049"/>
    </row>
    <row r="3050" spans="1:19" x14ac:dyDescent="0.25">
      <c r="A3050" t="s">
        <v>193</v>
      </c>
      <c r="C3050" s="27" t="s">
        <v>34749</v>
      </c>
      <c r="D3050" s="28" t="s">
        <v>34867</v>
      </c>
      <c r="J3050" t="s">
        <v>8189</v>
      </c>
      <c r="K3050" t="s">
        <v>8190</v>
      </c>
      <c r="L3050" s="28" t="s">
        <v>8191</v>
      </c>
      <c r="M3050" t="s">
        <v>23</v>
      </c>
      <c r="N3050"/>
      <c r="O3050"/>
      <c r="P3050"/>
      <c r="Q3050"/>
      <c r="R3050"/>
      <c r="S3050"/>
    </row>
    <row r="3051" spans="1:19" x14ac:dyDescent="0.25">
      <c r="A3051" t="s">
        <v>193</v>
      </c>
      <c r="C3051" s="27" t="s">
        <v>34749</v>
      </c>
      <c r="D3051" s="28" t="s">
        <v>34867</v>
      </c>
      <c r="J3051" t="s">
        <v>8192</v>
      </c>
      <c r="K3051" t="s">
        <v>8193</v>
      </c>
      <c r="L3051" s="28" t="s">
        <v>8194</v>
      </c>
      <c r="M3051" t="s">
        <v>23</v>
      </c>
      <c r="N3051"/>
      <c r="O3051"/>
      <c r="P3051"/>
      <c r="Q3051"/>
      <c r="R3051"/>
      <c r="S3051"/>
    </row>
    <row r="3052" spans="1:19" x14ac:dyDescent="0.25">
      <c r="A3052" t="s">
        <v>193</v>
      </c>
      <c r="C3052" s="27" t="s">
        <v>34749</v>
      </c>
      <c r="D3052" s="28" t="s">
        <v>34867</v>
      </c>
      <c r="J3052" t="s">
        <v>8195</v>
      </c>
      <c r="K3052" t="s">
        <v>8196</v>
      </c>
      <c r="L3052" s="28" t="s">
        <v>8197</v>
      </c>
      <c r="M3052" t="s">
        <v>23</v>
      </c>
      <c r="N3052"/>
      <c r="O3052"/>
      <c r="P3052"/>
      <c r="Q3052"/>
      <c r="R3052"/>
      <c r="S3052"/>
    </row>
    <row r="3053" spans="1:19" x14ac:dyDescent="0.25">
      <c r="A3053" t="s">
        <v>193</v>
      </c>
      <c r="C3053" s="27" t="s">
        <v>34749</v>
      </c>
      <c r="D3053" s="28" t="s">
        <v>34867</v>
      </c>
      <c r="J3053" t="s">
        <v>8198</v>
      </c>
      <c r="K3053" t="s">
        <v>8199</v>
      </c>
      <c r="L3053" s="28" t="s">
        <v>8200</v>
      </c>
      <c r="M3053" t="s">
        <v>23</v>
      </c>
      <c r="N3053"/>
      <c r="O3053"/>
      <c r="P3053"/>
      <c r="Q3053"/>
      <c r="R3053"/>
      <c r="S3053"/>
    </row>
    <row r="3054" spans="1:19" x14ac:dyDescent="0.25">
      <c r="A3054" t="s">
        <v>193</v>
      </c>
      <c r="C3054" s="27" t="s">
        <v>34749</v>
      </c>
      <c r="D3054" s="28" t="s">
        <v>34867</v>
      </c>
      <c r="J3054" t="s">
        <v>8201</v>
      </c>
      <c r="K3054" t="s">
        <v>8202</v>
      </c>
      <c r="L3054" s="28" t="s">
        <v>8203</v>
      </c>
      <c r="M3054" t="s">
        <v>23</v>
      </c>
      <c r="N3054"/>
      <c r="O3054"/>
      <c r="P3054"/>
      <c r="Q3054"/>
      <c r="R3054"/>
      <c r="S3054"/>
    </row>
    <row r="3055" spans="1:19" x14ac:dyDescent="0.25">
      <c r="A3055" t="s">
        <v>193</v>
      </c>
      <c r="C3055" s="27" t="s">
        <v>34749</v>
      </c>
      <c r="D3055" s="28" t="s">
        <v>34867</v>
      </c>
      <c r="J3055" t="s">
        <v>8204</v>
      </c>
      <c r="K3055" t="s">
        <v>8205</v>
      </c>
      <c r="L3055" s="28" t="s">
        <v>8206</v>
      </c>
      <c r="M3055" t="s">
        <v>23</v>
      </c>
      <c r="N3055"/>
      <c r="O3055"/>
      <c r="P3055"/>
      <c r="Q3055"/>
      <c r="R3055"/>
      <c r="S3055"/>
    </row>
    <row r="3056" spans="1:19" x14ac:dyDescent="0.25">
      <c r="A3056" t="s">
        <v>193</v>
      </c>
      <c r="C3056" s="27" t="s">
        <v>34749</v>
      </c>
      <c r="D3056" s="28" t="s">
        <v>34867</v>
      </c>
      <c r="J3056" t="s">
        <v>8207</v>
      </c>
      <c r="K3056" t="s">
        <v>8208</v>
      </c>
      <c r="L3056" s="28" t="s">
        <v>8209</v>
      </c>
      <c r="M3056" t="s">
        <v>23</v>
      </c>
      <c r="N3056"/>
      <c r="O3056"/>
      <c r="P3056"/>
      <c r="Q3056"/>
      <c r="R3056"/>
      <c r="S3056"/>
    </row>
    <row r="3057" spans="1:19" x14ac:dyDescent="0.25">
      <c r="A3057" t="s">
        <v>193</v>
      </c>
      <c r="C3057" s="27" t="s">
        <v>34749</v>
      </c>
      <c r="D3057" s="28" t="s">
        <v>34867</v>
      </c>
      <c r="J3057" t="s">
        <v>8210</v>
      </c>
      <c r="K3057" t="s">
        <v>8211</v>
      </c>
      <c r="L3057" s="28" t="s">
        <v>8212</v>
      </c>
      <c r="M3057" t="s">
        <v>23</v>
      </c>
      <c r="N3057"/>
      <c r="O3057"/>
      <c r="P3057"/>
      <c r="Q3057"/>
      <c r="R3057"/>
      <c r="S3057"/>
    </row>
    <row r="3058" spans="1:19" x14ac:dyDescent="0.25">
      <c r="A3058" t="s">
        <v>193</v>
      </c>
      <c r="C3058" s="27" t="s">
        <v>34749</v>
      </c>
      <c r="D3058" s="28" t="s">
        <v>34867</v>
      </c>
      <c r="J3058" t="s">
        <v>8213</v>
      </c>
      <c r="K3058" t="s">
        <v>8214</v>
      </c>
      <c r="L3058" s="28" t="s">
        <v>8215</v>
      </c>
      <c r="M3058" t="s">
        <v>23</v>
      </c>
      <c r="N3058"/>
      <c r="O3058"/>
      <c r="P3058"/>
      <c r="Q3058"/>
      <c r="R3058"/>
      <c r="S3058"/>
    </row>
    <row r="3059" spans="1:19" x14ac:dyDescent="0.25">
      <c r="A3059" t="s">
        <v>193</v>
      </c>
      <c r="C3059" s="27" t="s">
        <v>34749</v>
      </c>
      <c r="D3059" s="28" t="s">
        <v>34867</v>
      </c>
      <c r="J3059" t="s">
        <v>8216</v>
      </c>
      <c r="K3059" t="s">
        <v>8217</v>
      </c>
      <c r="L3059" s="28" t="s">
        <v>8218</v>
      </c>
      <c r="M3059" t="s">
        <v>23</v>
      </c>
      <c r="N3059"/>
      <c r="O3059"/>
      <c r="P3059"/>
      <c r="Q3059"/>
      <c r="R3059"/>
      <c r="S3059"/>
    </row>
    <row r="3060" spans="1:19" x14ac:dyDescent="0.25">
      <c r="A3060" t="s">
        <v>193</v>
      </c>
      <c r="C3060" s="27" t="s">
        <v>34749</v>
      </c>
      <c r="D3060" s="28" t="s">
        <v>34867</v>
      </c>
      <c r="J3060" t="s">
        <v>8219</v>
      </c>
      <c r="K3060" t="s">
        <v>8220</v>
      </c>
      <c r="L3060" s="28" t="s">
        <v>8221</v>
      </c>
      <c r="M3060" t="s">
        <v>23</v>
      </c>
      <c r="N3060"/>
      <c r="O3060"/>
      <c r="P3060"/>
      <c r="Q3060"/>
      <c r="R3060"/>
      <c r="S3060"/>
    </row>
    <row r="3061" spans="1:19" x14ac:dyDescent="0.25">
      <c r="A3061" t="s">
        <v>193</v>
      </c>
      <c r="C3061" s="27" t="s">
        <v>34749</v>
      </c>
      <c r="D3061" s="28" t="s">
        <v>34867</v>
      </c>
      <c r="J3061" t="s">
        <v>8222</v>
      </c>
      <c r="K3061" t="s">
        <v>8223</v>
      </c>
      <c r="L3061" s="28" t="s">
        <v>8224</v>
      </c>
      <c r="M3061" t="s">
        <v>23</v>
      </c>
      <c r="N3061"/>
      <c r="O3061"/>
      <c r="P3061"/>
      <c r="Q3061"/>
      <c r="R3061"/>
      <c r="S3061"/>
    </row>
    <row r="3062" spans="1:19" x14ac:dyDescent="0.25">
      <c r="A3062" t="s">
        <v>193</v>
      </c>
      <c r="C3062" s="27" t="s">
        <v>34749</v>
      </c>
      <c r="D3062" s="28" t="s">
        <v>34867</v>
      </c>
      <c r="J3062" t="s">
        <v>8225</v>
      </c>
      <c r="K3062" t="s">
        <v>8226</v>
      </c>
      <c r="L3062" s="28" t="s">
        <v>8227</v>
      </c>
      <c r="M3062" t="s">
        <v>23</v>
      </c>
      <c r="N3062"/>
      <c r="O3062"/>
      <c r="P3062"/>
      <c r="Q3062"/>
      <c r="R3062"/>
      <c r="S3062"/>
    </row>
    <row r="3063" spans="1:19" x14ac:dyDescent="0.25">
      <c r="A3063" t="s">
        <v>193</v>
      </c>
      <c r="C3063" s="27" t="s">
        <v>34749</v>
      </c>
      <c r="D3063" s="28" t="s">
        <v>34867</v>
      </c>
      <c r="J3063" t="s">
        <v>8228</v>
      </c>
      <c r="K3063" t="s">
        <v>8229</v>
      </c>
      <c r="L3063" s="28" t="s">
        <v>8230</v>
      </c>
      <c r="M3063" t="s">
        <v>23</v>
      </c>
      <c r="N3063"/>
      <c r="O3063"/>
      <c r="P3063"/>
      <c r="Q3063"/>
      <c r="R3063"/>
      <c r="S3063"/>
    </row>
    <row r="3064" spans="1:19" x14ac:dyDescent="0.25">
      <c r="A3064" t="s">
        <v>193</v>
      </c>
      <c r="C3064" s="27" t="s">
        <v>34749</v>
      </c>
      <c r="D3064" s="28" t="s">
        <v>34867</v>
      </c>
      <c r="J3064" t="s">
        <v>8231</v>
      </c>
      <c r="K3064" t="s">
        <v>8232</v>
      </c>
      <c r="L3064" s="28" t="s">
        <v>8233</v>
      </c>
      <c r="M3064" t="s">
        <v>23</v>
      </c>
      <c r="N3064"/>
      <c r="O3064"/>
      <c r="P3064"/>
      <c r="Q3064"/>
      <c r="R3064"/>
      <c r="S3064"/>
    </row>
    <row r="3065" spans="1:19" x14ac:dyDescent="0.25">
      <c r="A3065" t="s">
        <v>193</v>
      </c>
      <c r="C3065" s="27" t="s">
        <v>34749</v>
      </c>
      <c r="D3065" s="28" t="s">
        <v>34867</v>
      </c>
      <c r="J3065" t="s">
        <v>8234</v>
      </c>
      <c r="K3065" t="s">
        <v>8235</v>
      </c>
      <c r="L3065" s="28" t="s">
        <v>8236</v>
      </c>
      <c r="M3065" t="s">
        <v>23</v>
      </c>
      <c r="N3065"/>
      <c r="O3065"/>
      <c r="P3065"/>
      <c r="Q3065"/>
      <c r="R3065"/>
      <c r="S3065"/>
    </row>
    <row r="3066" spans="1:19" x14ac:dyDescent="0.25">
      <c r="A3066" t="s">
        <v>193</v>
      </c>
      <c r="C3066" s="27" t="s">
        <v>34749</v>
      </c>
      <c r="D3066" s="28" t="s">
        <v>34867</v>
      </c>
      <c r="J3066" t="s">
        <v>8237</v>
      </c>
      <c r="K3066" t="s">
        <v>8238</v>
      </c>
      <c r="L3066" s="28" t="s">
        <v>8239</v>
      </c>
      <c r="M3066" t="s">
        <v>23</v>
      </c>
      <c r="N3066"/>
      <c r="O3066"/>
      <c r="P3066"/>
      <c r="Q3066"/>
      <c r="R3066"/>
      <c r="S3066"/>
    </row>
    <row r="3067" spans="1:19" x14ac:dyDescent="0.25">
      <c r="A3067" t="s">
        <v>193</v>
      </c>
      <c r="C3067" s="27" t="s">
        <v>34749</v>
      </c>
      <c r="D3067" s="28" t="s">
        <v>34867</v>
      </c>
      <c r="J3067" t="s">
        <v>8240</v>
      </c>
      <c r="K3067" t="s">
        <v>8241</v>
      </c>
      <c r="L3067" s="28" t="s">
        <v>8242</v>
      </c>
      <c r="M3067" t="s">
        <v>23</v>
      </c>
      <c r="N3067"/>
      <c r="O3067"/>
      <c r="P3067"/>
      <c r="Q3067"/>
      <c r="R3067"/>
      <c r="S3067"/>
    </row>
    <row r="3068" spans="1:19" x14ac:dyDescent="0.25">
      <c r="A3068" t="s">
        <v>193</v>
      </c>
      <c r="C3068" s="27" t="s">
        <v>34749</v>
      </c>
      <c r="D3068" s="28" t="s">
        <v>34867</v>
      </c>
      <c r="J3068" t="s">
        <v>8243</v>
      </c>
      <c r="K3068" t="s">
        <v>8244</v>
      </c>
      <c r="L3068" s="28" t="s">
        <v>8245</v>
      </c>
      <c r="M3068" t="s">
        <v>23</v>
      </c>
      <c r="N3068"/>
      <c r="O3068"/>
      <c r="P3068"/>
      <c r="Q3068"/>
      <c r="R3068"/>
      <c r="S3068"/>
    </row>
    <row r="3069" spans="1:19" x14ac:dyDescent="0.25">
      <c r="A3069" t="s">
        <v>193</v>
      </c>
      <c r="C3069" s="27" t="s">
        <v>34749</v>
      </c>
      <c r="D3069" s="28" t="s">
        <v>34867</v>
      </c>
      <c r="J3069" t="s">
        <v>8246</v>
      </c>
      <c r="K3069" t="s">
        <v>8247</v>
      </c>
      <c r="L3069" s="28" t="s">
        <v>8248</v>
      </c>
      <c r="M3069" t="s">
        <v>23</v>
      </c>
      <c r="N3069"/>
      <c r="O3069"/>
      <c r="P3069"/>
      <c r="Q3069"/>
      <c r="R3069"/>
      <c r="S3069"/>
    </row>
    <row r="3070" spans="1:19" x14ac:dyDescent="0.25">
      <c r="A3070" t="s">
        <v>193</v>
      </c>
      <c r="C3070" s="27" t="s">
        <v>34749</v>
      </c>
      <c r="D3070" s="28" t="s">
        <v>34867</v>
      </c>
      <c r="J3070" t="s">
        <v>8249</v>
      </c>
      <c r="K3070" t="s">
        <v>8250</v>
      </c>
      <c r="L3070" s="28" t="s">
        <v>8251</v>
      </c>
      <c r="M3070" t="s">
        <v>23</v>
      </c>
      <c r="N3070"/>
      <c r="O3070"/>
      <c r="P3070"/>
      <c r="Q3070"/>
      <c r="R3070"/>
      <c r="S3070"/>
    </row>
    <row r="3071" spans="1:19" x14ac:dyDescent="0.25">
      <c r="A3071" t="s">
        <v>193</v>
      </c>
      <c r="C3071" s="27" t="s">
        <v>34749</v>
      </c>
      <c r="D3071" s="28" t="s">
        <v>34867</v>
      </c>
      <c r="J3071" t="s">
        <v>8252</v>
      </c>
      <c r="K3071" t="s">
        <v>8253</v>
      </c>
      <c r="L3071" s="28" t="s">
        <v>8254</v>
      </c>
      <c r="M3071" t="s">
        <v>23</v>
      </c>
      <c r="N3071"/>
      <c r="O3071"/>
      <c r="P3071"/>
      <c r="Q3071"/>
      <c r="R3071"/>
      <c r="S3071"/>
    </row>
    <row r="3072" spans="1:19" x14ac:dyDescent="0.25">
      <c r="A3072" t="s">
        <v>193</v>
      </c>
      <c r="C3072" s="27" t="s">
        <v>34749</v>
      </c>
      <c r="D3072" s="28" t="s">
        <v>34867</v>
      </c>
      <c r="J3072" t="s">
        <v>8255</v>
      </c>
      <c r="K3072" t="s">
        <v>8256</v>
      </c>
      <c r="L3072" s="28" t="s">
        <v>8257</v>
      </c>
      <c r="M3072" t="s">
        <v>23</v>
      </c>
      <c r="N3072"/>
      <c r="O3072"/>
      <c r="P3072"/>
      <c r="Q3072"/>
      <c r="R3072"/>
      <c r="S3072"/>
    </row>
    <row r="3073" spans="1:19" x14ac:dyDescent="0.25">
      <c r="A3073" t="s">
        <v>193</v>
      </c>
      <c r="C3073" s="27" t="s">
        <v>34749</v>
      </c>
      <c r="D3073" s="28" t="s">
        <v>34867</v>
      </c>
      <c r="J3073" t="s">
        <v>8258</v>
      </c>
      <c r="K3073" t="s">
        <v>8259</v>
      </c>
      <c r="L3073" s="28" t="s">
        <v>8260</v>
      </c>
      <c r="M3073" t="s">
        <v>23</v>
      </c>
      <c r="N3073"/>
      <c r="O3073"/>
      <c r="P3073"/>
      <c r="Q3073"/>
      <c r="R3073"/>
      <c r="S3073"/>
    </row>
    <row r="3074" spans="1:19" x14ac:dyDescent="0.25">
      <c r="A3074" t="s">
        <v>193</v>
      </c>
      <c r="C3074" s="27" t="s">
        <v>34749</v>
      </c>
      <c r="D3074" s="28" t="s">
        <v>34867</v>
      </c>
      <c r="J3074" t="s">
        <v>8261</v>
      </c>
      <c r="K3074" t="s">
        <v>8262</v>
      </c>
      <c r="L3074" s="28" t="s">
        <v>8263</v>
      </c>
      <c r="M3074" t="s">
        <v>23</v>
      </c>
      <c r="N3074"/>
      <c r="O3074"/>
      <c r="P3074"/>
      <c r="Q3074"/>
      <c r="R3074"/>
      <c r="S3074"/>
    </row>
    <row r="3075" spans="1:19" x14ac:dyDescent="0.25">
      <c r="A3075" t="s">
        <v>193</v>
      </c>
      <c r="C3075" s="27" t="s">
        <v>34749</v>
      </c>
      <c r="D3075" s="28" t="s">
        <v>34867</v>
      </c>
      <c r="J3075" t="s">
        <v>8264</v>
      </c>
      <c r="K3075" t="s">
        <v>8265</v>
      </c>
      <c r="L3075" s="28" t="s">
        <v>8266</v>
      </c>
      <c r="M3075" t="s">
        <v>23</v>
      </c>
      <c r="N3075"/>
      <c r="O3075"/>
      <c r="P3075"/>
      <c r="Q3075"/>
      <c r="R3075"/>
      <c r="S3075"/>
    </row>
    <row r="3076" spans="1:19" x14ac:dyDescent="0.25">
      <c r="A3076" t="s">
        <v>193</v>
      </c>
      <c r="C3076" s="27" t="s">
        <v>34749</v>
      </c>
      <c r="D3076" s="28" t="s">
        <v>34867</v>
      </c>
      <c r="J3076" t="s">
        <v>8267</v>
      </c>
      <c r="K3076" t="s">
        <v>8268</v>
      </c>
      <c r="L3076" s="28" t="s">
        <v>8269</v>
      </c>
      <c r="M3076" t="s">
        <v>23</v>
      </c>
      <c r="N3076"/>
      <c r="O3076"/>
      <c r="P3076"/>
      <c r="Q3076"/>
      <c r="R3076"/>
      <c r="S3076"/>
    </row>
    <row r="3077" spans="1:19" x14ac:dyDescent="0.25">
      <c r="A3077" t="s">
        <v>193</v>
      </c>
      <c r="C3077" s="27" t="s">
        <v>34749</v>
      </c>
      <c r="D3077" s="28" t="s">
        <v>34867</v>
      </c>
      <c r="J3077" t="s">
        <v>8270</v>
      </c>
      <c r="K3077" t="s">
        <v>8271</v>
      </c>
      <c r="L3077" s="28" t="s">
        <v>8272</v>
      </c>
      <c r="M3077" t="s">
        <v>23</v>
      </c>
      <c r="N3077"/>
      <c r="O3077"/>
      <c r="P3077"/>
      <c r="Q3077"/>
      <c r="R3077"/>
      <c r="S3077"/>
    </row>
    <row r="3078" spans="1:19" x14ac:dyDescent="0.25">
      <c r="A3078" t="s">
        <v>193</v>
      </c>
      <c r="C3078" s="27" t="s">
        <v>34749</v>
      </c>
      <c r="D3078" s="28" t="s">
        <v>34867</v>
      </c>
      <c r="J3078" t="s">
        <v>8273</v>
      </c>
      <c r="K3078" t="s">
        <v>8274</v>
      </c>
      <c r="L3078" s="28" t="s">
        <v>8275</v>
      </c>
      <c r="M3078" t="s">
        <v>23</v>
      </c>
      <c r="N3078"/>
      <c r="O3078"/>
      <c r="P3078"/>
      <c r="Q3078"/>
      <c r="R3078"/>
      <c r="S3078"/>
    </row>
    <row r="3079" spans="1:19" x14ac:dyDescent="0.25">
      <c r="A3079" t="s">
        <v>193</v>
      </c>
      <c r="C3079" s="27" t="s">
        <v>34749</v>
      </c>
      <c r="D3079" s="28" t="s">
        <v>34867</v>
      </c>
      <c r="J3079" t="s">
        <v>8276</v>
      </c>
      <c r="K3079" t="s">
        <v>8277</v>
      </c>
      <c r="L3079" s="28" t="s">
        <v>8278</v>
      </c>
      <c r="M3079" t="s">
        <v>23</v>
      </c>
      <c r="N3079"/>
      <c r="O3079"/>
      <c r="P3079"/>
      <c r="Q3079"/>
      <c r="R3079"/>
      <c r="S3079"/>
    </row>
    <row r="3080" spans="1:19" x14ac:dyDescent="0.25">
      <c r="A3080" t="s">
        <v>193</v>
      </c>
      <c r="C3080" s="27" t="s">
        <v>34749</v>
      </c>
      <c r="D3080" s="28" t="s">
        <v>34867</v>
      </c>
      <c r="J3080" t="s">
        <v>8279</v>
      </c>
      <c r="K3080" t="s">
        <v>8280</v>
      </c>
      <c r="L3080" s="28" t="s">
        <v>8281</v>
      </c>
      <c r="M3080" t="s">
        <v>23</v>
      </c>
      <c r="N3080"/>
      <c r="O3080"/>
      <c r="P3080"/>
      <c r="Q3080"/>
      <c r="R3080"/>
      <c r="S3080"/>
    </row>
    <row r="3081" spans="1:19" x14ac:dyDescent="0.25">
      <c r="A3081" t="s">
        <v>193</v>
      </c>
      <c r="C3081" s="27" t="s">
        <v>34749</v>
      </c>
      <c r="D3081" s="28" t="s">
        <v>34867</v>
      </c>
      <c r="J3081" t="s">
        <v>8282</v>
      </c>
      <c r="K3081" t="s">
        <v>8283</v>
      </c>
      <c r="L3081" s="28" t="s">
        <v>8284</v>
      </c>
      <c r="M3081" t="s">
        <v>23</v>
      </c>
      <c r="N3081"/>
      <c r="O3081"/>
      <c r="P3081"/>
      <c r="Q3081"/>
      <c r="R3081"/>
      <c r="S3081"/>
    </row>
    <row r="3082" spans="1:19" x14ac:dyDescent="0.25">
      <c r="A3082" t="s">
        <v>193</v>
      </c>
      <c r="C3082" s="27" t="s">
        <v>34749</v>
      </c>
      <c r="D3082" s="28" t="s">
        <v>34867</v>
      </c>
      <c r="J3082" t="s">
        <v>8285</v>
      </c>
      <c r="K3082" t="s">
        <v>8286</v>
      </c>
      <c r="L3082" s="28" t="s">
        <v>8287</v>
      </c>
      <c r="M3082" t="s">
        <v>23</v>
      </c>
      <c r="N3082"/>
      <c r="O3082"/>
      <c r="P3082"/>
      <c r="Q3082"/>
      <c r="R3082"/>
      <c r="S3082"/>
    </row>
    <row r="3083" spans="1:19" x14ac:dyDescent="0.25">
      <c r="A3083" t="s">
        <v>193</v>
      </c>
      <c r="C3083" s="27" t="s">
        <v>34749</v>
      </c>
      <c r="D3083" s="28" t="s">
        <v>34867</v>
      </c>
      <c r="J3083" t="s">
        <v>8288</v>
      </c>
      <c r="K3083" t="s">
        <v>8289</v>
      </c>
      <c r="L3083" s="28" t="s">
        <v>8290</v>
      </c>
      <c r="M3083" t="s">
        <v>23</v>
      </c>
      <c r="N3083"/>
      <c r="O3083"/>
      <c r="P3083"/>
      <c r="Q3083"/>
      <c r="R3083"/>
      <c r="S3083"/>
    </row>
    <row r="3084" spans="1:19" x14ac:dyDescent="0.25">
      <c r="A3084" t="s">
        <v>193</v>
      </c>
      <c r="C3084" s="27" t="s">
        <v>34749</v>
      </c>
      <c r="D3084" s="28" t="s">
        <v>34867</v>
      </c>
      <c r="J3084" t="s">
        <v>8291</v>
      </c>
      <c r="K3084" t="s">
        <v>8292</v>
      </c>
      <c r="L3084" s="28" t="s">
        <v>8293</v>
      </c>
      <c r="M3084" t="s">
        <v>23</v>
      </c>
      <c r="N3084"/>
      <c r="O3084"/>
      <c r="P3084"/>
      <c r="Q3084"/>
      <c r="R3084"/>
      <c r="S3084"/>
    </row>
    <row r="3085" spans="1:19" x14ac:dyDescent="0.25">
      <c r="A3085" t="s">
        <v>193</v>
      </c>
      <c r="C3085" s="27" t="s">
        <v>34749</v>
      </c>
      <c r="D3085" s="28" t="s">
        <v>34867</v>
      </c>
      <c r="J3085" t="s">
        <v>8294</v>
      </c>
      <c r="K3085" t="s">
        <v>8295</v>
      </c>
      <c r="L3085" s="28" t="s">
        <v>8296</v>
      </c>
      <c r="M3085" t="s">
        <v>23</v>
      </c>
      <c r="N3085"/>
      <c r="O3085"/>
      <c r="P3085"/>
      <c r="Q3085"/>
      <c r="R3085"/>
      <c r="S3085"/>
    </row>
    <row r="3086" spans="1:19" x14ac:dyDescent="0.25">
      <c r="A3086" t="s">
        <v>193</v>
      </c>
      <c r="C3086" s="27" t="s">
        <v>34749</v>
      </c>
      <c r="D3086" s="28" t="s">
        <v>34867</v>
      </c>
      <c r="J3086" t="s">
        <v>8297</v>
      </c>
      <c r="K3086" t="s">
        <v>8298</v>
      </c>
      <c r="L3086" s="28" t="s">
        <v>8299</v>
      </c>
      <c r="M3086" t="s">
        <v>23</v>
      </c>
      <c r="N3086"/>
      <c r="O3086"/>
      <c r="P3086"/>
      <c r="Q3086"/>
      <c r="R3086"/>
      <c r="S3086"/>
    </row>
    <row r="3087" spans="1:19" x14ac:dyDescent="0.25">
      <c r="A3087" t="s">
        <v>193</v>
      </c>
      <c r="C3087" s="27" t="s">
        <v>34749</v>
      </c>
      <c r="D3087" s="28" t="s">
        <v>34867</v>
      </c>
      <c r="J3087" t="s">
        <v>8300</v>
      </c>
      <c r="K3087" t="s">
        <v>8301</v>
      </c>
      <c r="L3087" s="28" t="s">
        <v>8302</v>
      </c>
      <c r="M3087" t="s">
        <v>23</v>
      </c>
      <c r="N3087"/>
      <c r="O3087"/>
      <c r="P3087"/>
      <c r="Q3087"/>
      <c r="R3087"/>
      <c r="S3087"/>
    </row>
    <row r="3088" spans="1:19" x14ac:dyDescent="0.25">
      <c r="A3088" t="s">
        <v>193</v>
      </c>
      <c r="C3088" s="27" t="s">
        <v>34749</v>
      </c>
      <c r="D3088" s="28" t="s">
        <v>34867</v>
      </c>
      <c r="J3088" t="s">
        <v>8303</v>
      </c>
      <c r="K3088" t="s">
        <v>8304</v>
      </c>
      <c r="L3088" s="28" t="s">
        <v>8305</v>
      </c>
      <c r="M3088" t="s">
        <v>23</v>
      </c>
      <c r="N3088"/>
      <c r="O3088"/>
      <c r="P3088"/>
      <c r="Q3088"/>
      <c r="R3088"/>
      <c r="S3088"/>
    </row>
    <row r="3089" spans="1:19" x14ac:dyDescent="0.25">
      <c r="A3089" t="s">
        <v>193</v>
      </c>
      <c r="C3089" s="27" t="s">
        <v>34749</v>
      </c>
      <c r="D3089" s="28" t="s">
        <v>34867</v>
      </c>
      <c r="J3089" t="s">
        <v>8306</v>
      </c>
      <c r="K3089" t="s">
        <v>8307</v>
      </c>
      <c r="L3089" s="28" t="s">
        <v>8308</v>
      </c>
      <c r="M3089" t="s">
        <v>23</v>
      </c>
      <c r="N3089"/>
      <c r="O3089"/>
      <c r="P3089"/>
      <c r="Q3089"/>
      <c r="R3089"/>
      <c r="S3089"/>
    </row>
    <row r="3090" spans="1:19" x14ac:dyDescent="0.25">
      <c r="A3090" t="s">
        <v>193</v>
      </c>
      <c r="C3090" s="27" t="s">
        <v>34749</v>
      </c>
      <c r="D3090" s="28" t="s">
        <v>34867</v>
      </c>
      <c r="J3090" t="s">
        <v>8309</v>
      </c>
      <c r="K3090" t="s">
        <v>8310</v>
      </c>
      <c r="L3090" s="28" t="s">
        <v>8311</v>
      </c>
      <c r="M3090" t="s">
        <v>23</v>
      </c>
      <c r="N3090"/>
      <c r="O3090"/>
      <c r="P3090"/>
      <c r="Q3090"/>
      <c r="R3090"/>
      <c r="S3090"/>
    </row>
    <row r="3091" spans="1:19" x14ac:dyDescent="0.25">
      <c r="A3091" t="s">
        <v>193</v>
      </c>
      <c r="C3091" s="27" t="s">
        <v>34749</v>
      </c>
      <c r="D3091" s="28" t="s">
        <v>34867</v>
      </c>
      <c r="J3091" t="s">
        <v>8312</v>
      </c>
      <c r="K3091" t="s">
        <v>8313</v>
      </c>
      <c r="L3091" s="28" t="s">
        <v>8314</v>
      </c>
      <c r="M3091" t="s">
        <v>23</v>
      </c>
      <c r="N3091"/>
      <c r="O3091"/>
      <c r="P3091"/>
      <c r="Q3091"/>
      <c r="R3091"/>
      <c r="S3091"/>
    </row>
    <row r="3092" spans="1:19" x14ac:dyDescent="0.25">
      <c r="A3092" t="s">
        <v>193</v>
      </c>
      <c r="C3092" s="27" t="s">
        <v>34749</v>
      </c>
      <c r="D3092" s="28" t="s">
        <v>34867</v>
      </c>
      <c r="J3092" t="s">
        <v>8315</v>
      </c>
      <c r="K3092" t="s">
        <v>8316</v>
      </c>
      <c r="L3092" s="28" t="s">
        <v>8317</v>
      </c>
      <c r="M3092" t="s">
        <v>23</v>
      </c>
      <c r="N3092"/>
      <c r="O3092"/>
      <c r="P3092"/>
      <c r="Q3092"/>
      <c r="R3092"/>
      <c r="S3092"/>
    </row>
    <row r="3093" spans="1:19" x14ac:dyDescent="0.25">
      <c r="A3093" t="s">
        <v>193</v>
      </c>
      <c r="C3093" s="27" t="s">
        <v>34749</v>
      </c>
      <c r="D3093" s="28" t="s">
        <v>34867</v>
      </c>
      <c r="J3093" t="s">
        <v>8318</v>
      </c>
      <c r="K3093" t="s">
        <v>8319</v>
      </c>
      <c r="L3093" s="28" t="s">
        <v>8320</v>
      </c>
      <c r="M3093" t="s">
        <v>23</v>
      </c>
      <c r="N3093"/>
      <c r="O3093"/>
      <c r="P3093"/>
      <c r="Q3093"/>
      <c r="R3093"/>
      <c r="S3093"/>
    </row>
    <row r="3094" spans="1:19" x14ac:dyDescent="0.25">
      <c r="A3094" t="s">
        <v>193</v>
      </c>
      <c r="C3094" s="27" t="s">
        <v>34749</v>
      </c>
      <c r="D3094" s="28" t="s">
        <v>34867</v>
      </c>
      <c r="J3094" t="s">
        <v>8321</v>
      </c>
      <c r="K3094" t="s">
        <v>8322</v>
      </c>
      <c r="L3094" s="28" t="s">
        <v>8323</v>
      </c>
      <c r="M3094" t="s">
        <v>23</v>
      </c>
      <c r="N3094"/>
      <c r="O3094"/>
      <c r="P3094"/>
      <c r="Q3094"/>
      <c r="R3094"/>
      <c r="S3094"/>
    </row>
    <row r="3095" spans="1:19" x14ac:dyDescent="0.25">
      <c r="A3095" t="s">
        <v>193</v>
      </c>
      <c r="C3095" s="27" t="s">
        <v>34749</v>
      </c>
      <c r="D3095" s="28" t="s">
        <v>34867</v>
      </c>
      <c r="J3095" t="s">
        <v>8324</v>
      </c>
      <c r="K3095" t="s">
        <v>8325</v>
      </c>
      <c r="L3095" s="28" t="s">
        <v>8326</v>
      </c>
      <c r="M3095" t="s">
        <v>23</v>
      </c>
      <c r="N3095"/>
      <c r="O3095"/>
      <c r="P3095"/>
      <c r="Q3095"/>
      <c r="R3095"/>
      <c r="S3095"/>
    </row>
    <row r="3096" spans="1:19" x14ac:dyDescent="0.25">
      <c r="A3096" t="s">
        <v>193</v>
      </c>
      <c r="C3096" s="27" t="s">
        <v>34749</v>
      </c>
      <c r="D3096" s="28" t="s">
        <v>34867</v>
      </c>
      <c r="J3096" t="s">
        <v>8327</v>
      </c>
      <c r="K3096" t="s">
        <v>8328</v>
      </c>
      <c r="L3096" s="28" t="s">
        <v>8329</v>
      </c>
      <c r="M3096" t="s">
        <v>23</v>
      </c>
      <c r="N3096"/>
      <c r="O3096"/>
      <c r="P3096"/>
      <c r="Q3096"/>
      <c r="R3096"/>
      <c r="S3096"/>
    </row>
    <row r="3097" spans="1:19" x14ac:dyDescent="0.25">
      <c r="A3097" t="s">
        <v>193</v>
      </c>
      <c r="C3097" s="27" t="s">
        <v>34749</v>
      </c>
      <c r="D3097" s="28" t="s">
        <v>34867</v>
      </c>
      <c r="J3097" t="s">
        <v>8330</v>
      </c>
      <c r="K3097" t="s">
        <v>8331</v>
      </c>
      <c r="L3097" s="28" t="s">
        <v>8332</v>
      </c>
      <c r="M3097" t="s">
        <v>23</v>
      </c>
      <c r="N3097"/>
      <c r="O3097"/>
      <c r="P3097"/>
      <c r="Q3097"/>
      <c r="R3097"/>
      <c r="S3097"/>
    </row>
    <row r="3098" spans="1:19" x14ac:dyDescent="0.25">
      <c r="A3098" t="s">
        <v>193</v>
      </c>
      <c r="C3098" s="27" t="s">
        <v>34749</v>
      </c>
      <c r="D3098" s="28" t="s">
        <v>34867</v>
      </c>
      <c r="J3098" t="s">
        <v>8333</v>
      </c>
      <c r="K3098" t="s">
        <v>8334</v>
      </c>
      <c r="L3098" s="28" t="s">
        <v>8335</v>
      </c>
      <c r="M3098" t="s">
        <v>23</v>
      </c>
      <c r="N3098"/>
      <c r="O3098"/>
      <c r="P3098"/>
      <c r="Q3098"/>
      <c r="R3098"/>
      <c r="S3098"/>
    </row>
    <row r="3099" spans="1:19" x14ac:dyDescent="0.25">
      <c r="A3099" t="s">
        <v>193</v>
      </c>
      <c r="C3099" s="27" t="s">
        <v>34749</v>
      </c>
      <c r="D3099" s="28" t="s">
        <v>34867</v>
      </c>
      <c r="J3099" t="s">
        <v>8336</v>
      </c>
      <c r="K3099" t="s">
        <v>8337</v>
      </c>
      <c r="L3099" s="28" t="s">
        <v>8338</v>
      </c>
      <c r="M3099" t="s">
        <v>23</v>
      </c>
      <c r="N3099"/>
      <c r="O3099"/>
      <c r="P3099"/>
      <c r="Q3099"/>
      <c r="R3099"/>
      <c r="S3099"/>
    </row>
    <row r="3100" spans="1:19" x14ac:dyDescent="0.25">
      <c r="A3100" t="s">
        <v>193</v>
      </c>
      <c r="C3100" s="27" t="s">
        <v>34749</v>
      </c>
      <c r="D3100" s="28" t="s">
        <v>34867</v>
      </c>
      <c r="J3100" t="s">
        <v>8339</v>
      </c>
      <c r="K3100" t="s">
        <v>8340</v>
      </c>
      <c r="L3100" s="28" t="s">
        <v>8341</v>
      </c>
      <c r="M3100" t="s">
        <v>23</v>
      </c>
      <c r="N3100"/>
      <c r="O3100"/>
      <c r="P3100"/>
      <c r="Q3100"/>
      <c r="R3100"/>
      <c r="S3100"/>
    </row>
    <row r="3101" spans="1:19" x14ac:dyDescent="0.25">
      <c r="A3101" t="s">
        <v>193</v>
      </c>
      <c r="C3101" s="27" t="s">
        <v>34749</v>
      </c>
      <c r="D3101" s="28" t="s">
        <v>34867</v>
      </c>
      <c r="J3101" t="s">
        <v>8342</v>
      </c>
      <c r="K3101" t="s">
        <v>8343</v>
      </c>
      <c r="L3101" s="28" t="s">
        <v>8344</v>
      </c>
      <c r="M3101" t="s">
        <v>23</v>
      </c>
      <c r="N3101"/>
      <c r="O3101"/>
      <c r="P3101"/>
      <c r="Q3101"/>
      <c r="R3101"/>
      <c r="S3101"/>
    </row>
    <row r="3102" spans="1:19" x14ac:dyDescent="0.25">
      <c r="A3102" t="s">
        <v>193</v>
      </c>
      <c r="C3102" s="27" t="s">
        <v>34749</v>
      </c>
      <c r="D3102" s="28" t="s">
        <v>34867</v>
      </c>
      <c r="J3102" t="s">
        <v>8345</v>
      </c>
      <c r="K3102" t="s">
        <v>8346</v>
      </c>
      <c r="L3102" s="28" t="s">
        <v>8347</v>
      </c>
      <c r="M3102" t="s">
        <v>23</v>
      </c>
      <c r="N3102"/>
      <c r="O3102"/>
      <c r="P3102"/>
      <c r="Q3102"/>
      <c r="R3102"/>
      <c r="S3102"/>
    </row>
    <row r="3103" spans="1:19" x14ac:dyDescent="0.25">
      <c r="A3103" t="s">
        <v>193</v>
      </c>
      <c r="C3103" s="27" t="s">
        <v>34749</v>
      </c>
      <c r="D3103" s="28" t="s">
        <v>34867</v>
      </c>
      <c r="J3103" t="s">
        <v>8348</v>
      </c>
      <c r="K3103" t="s">
        <v>8349</v>
      </c>
      <c r="L3103" s="28" t="s">
        <v>8350</v>
      </c>
      <c r="M3103" t="s">
        <v>23</v>
      </c>
      <c r="N3103"/>
      <c r="O3103"/>
      <c r="P3103"/>
      <c r="Q3103"/>
      <c r="R3103"/>
      <c r="S3103"/>
    </row>
    <row r="3104" spans="1:19" x14ac:dyDescent="0.25">
      <c r="A3104" t="s">
        <v>193</v>
      </c>
      <c r="C3104" s="27" t="s">
        <v>34749</v>
      </c>
      <c r="D3104" s="28" t="s">
        <v>34867</v>
      </c>
      <c r="J3104" t="s">
        <v>8351</v>
      </c>
      <c r="K3104" t="s">
        <v>8352</v>
      </c>
      <c r="L3104" s="28" t="s">
        <v>8353</v>
      </c>
      <c r="M3104" t="s">
        <v>23</v>
      </c>
      <c r="N3104"/>
      <c r="O3104"/>
      <c r="P3104"/>
      <c r="Q3104"/>
      <c r="R3104"/>
      <c r="S3104"/>
    </row>
    <row r="3105" spans="1:19" x14ac:dyDescent="0.25">
      <c r="A3105" t="s">
        <v>193</v>
      </c>
      <c r="C3105" s="27" t="s">
        <v>34749</v>
      </c>
      <c r="D3105" s="28" t="s">
        <v>34867</v>
      </c>
      <c r="J3105" t="s">
        <v>8354</v>
      </c>
      <c r="K3105" t="s">
        <v>8355</v>
      </c>
      <c r="L3105" s="28" t="s">
        <v>8356</v>
      </c>
      <c r="M3105" t="s">
        <v>23</v>
      </c>
      <c r="N3105"/>
      <c r="O3105"/>
      <c r="P3105"/>
      <c r="Q3105"/>
      <c r="R3105"/>
      <c r="S3105"/>
    </row>
    <row r="3106" spans="1:19" x14ac:dyDescent="0.25">
      <c r="A3106" t="s">
        <v>193</v>
      </c>
      <c r="C3106" s="27" t="s">
        <v>34749</v>
      </c>
      <c r="D3106" s="28" t="s">
        <v>34867</v>
      </c>
      <c r="J3106" t="s">
        <v>8357</v>
      </c>
      <c r="K3106" t="s">
        <v>8358</v>
      </c>
      <c r="L3106" s="28" t="s">
        <v>8359</v>
      </c>
      <c r="M3106" t="s">
        <v>23</v>
      </c>
      <c r="N3106"/>
      <c r="O3106"/>
      <c r="P3106"/>
      <c r="Q3106"/>
      <c r="R3106"/>
      <c r="S3106"/>
    </row>
    <row r="3107" spans="1:19" x14ac:dyDescent="0.25">
      <c r="A3107" t="s">
        <v>193</v>
      </c>
      <c r="C3107" s="27" t="s">
        <v>34749</v>
      </c>
      <c r="D3107" s="28" t="s">
        <v>34867</v>
      </c>
      <c r="J3107" t="s">
        <v>8360</v>
      </c>
      <c r="K3107" t="s">
        <v>8361</v>
      </c>
      <c r="L3107" s="28" t="s">
        <v>8362</v>
      </c>
      <c r="M3107" t="s">
        <v>23</v>
      </c>
      <c r="N3107"/>
      <c r="O3107"/>
      <c r="P3107"/>
      <c r="Q3107"/>
      <c r="R3107"/>
      <c r="S3107"/>
    </row>
    <row r="3108" spans="1:19" x14ac:dyDescent="0.25">
      <c r="A3108" t="s">
        <v>193</v>
      </c>
      <c r="C3108" s="27" t="s">
        <v>34749</v>
      </c>
      <c r="D3108" s="28" t="s">
        <v>34867</v>
      </c>
      <c r="J3108" t="s">
        <v>8363</v>
      </c>
      <c r="K3108" t="s">
        <v>8364</v>
      </c>
      <c r="L3108" s="28" t="s">
        <v>8365</v>
      </c>
      <c r="M3108" t="s">
        <v>23</v>
      </c>
      <c r="N3108"/>
      <c r="O3108"/>
      <c r="P3108"/>
      <c r="Q3108"/>
      <c r="R3108"/>
      <c r="S3108"/>
    </row>
    <row r="3109" spans="1:19" x14ac:dyDescent="0.25">
      <c r="A3109" t="s">
        <v>193</v>
      </c>
      <c r="C3109" s="27" t="s">
        <v>34749</v>
      </c>
      <c r="D3109" s="28" t="s">
        <v>34867</v>
      </c>
      <c r="J3109" t="s">
        <v>8366</v>
      </c>
      <c r="K3109" t="s">
        <v>8367</v>
      </c>
      <c r="L3109" s="28" t="s">
        <v>8368</v>
      </c>
      <c r="M3109" t="s">
        <v>23</v>
      </c>
      <c r="N3109"/>
      <c r="O3109"/>
      <c r="P3109"/>
      <c r="Q3109"/>
      <c r="R3109"/>
      <c r="S3109"/>
    </row>
    <row r="3110" spans="1:19" x14ac:dyDescent="0.25">
      <c r="A3110" t="s">
        <v>193</v>
      </c>
      <c r="C3110" s="27" t="s">
        <v>34749</v>
      </c>
      <c r="D3110" s="28" t="s">
        <v>34867</v>
      </c>
      <c r="J3110" t="s">
        <v>8369</v>
      </c>
      <c r="K3110" t="s">
        <v>8370</v>
      </c>
      <c r="L3110" s="28" t="s">
        <v>8371</v>
      </c>
      <c r="M3110" t="s">
        <v>23</v>
      </c>
      <c r="N3110"/>
      <c r="O3110"/>
      <c r="P3110"/>
      <c r="Q3110"/>
      <c r="R3110"/>
      <c r="S3110"/>
    </row>
    <row r="3111" spans="1:19" x14ac:dyDescent="0.25">
      <c r="A3111" t="s">
        <v>193</v>
      </c>
      <c r="C3111" s="27" t="s">
        <v>34749</v>
      </c>
      <c r="D3111" s="28" t="s">
        <v>34867</v>
      </c>
      <c r="J3111" t="s">
        <v>8372</v>
      </c>
      <c r="K3111" t="s">
        <v>8373</v>
      </c>
      <c r="L3111" s="28" t="s">
        <v>8374</v>
      </c>
      <c r="M3111" t="s">
        <v>23</v>
      </c>
      <c r="N3111"/>
      <c r="O3111"/>
      <c r="P3111"/>
      <c r="Q3111"/>
      <c r="R3111"/>
      <c r="S3111"/>
    </row>
    <row r="3112" spans="1:19" x14ac:dyDescent="0.25">
      <c r="A3112" t="s">
        <v>193</v>
      </c>
      <c r="C3112" s="27" t="s">
        <v>34749</v>
      </c>
      <c r="D3112" s="28" t="s">
        <v>34867</v>
      </c>
      <c r="J3112" t="s">
        <v>8375</v>
      </c>
      <c r="K3112" t="s">
        <v>8376</v>
      </c>
      <c r="L3112" s="28" t="s">
        <v>8377</v>
      </c>
      <c r="M3112" t="s">
        <v>23</v>
      </c>
      <c r="N3112"/>
      <c r="O3112"/>
      <c r="P3112"/>
      <c r="Q3112"/>
      <c r="R3112"/>
      <c r="S3112"/>
    </row>
    <row r="3113" spans="1:19" x14ac:dyDescent="0.25">
      <c r="A3113" t="s">
        <v>193</v>
      </c>
      <c r="C3113" s="27" t="s">
        <v>34749</v>
      </c>
      <c r="D3113" s="28" t="s">
        <v>34867</v>
      </c>
      <c r="J3113" t="s">
        <v>8378</v>
      </c>
      <c r="K3113" t="s">
        <v>8379</v>
      </c>
      <c r="L3113" s="28" t="s">
        <v>8380</v>
      </c>
      <c r="M3113" t="s">
        <v>23</v>
      </c>
      <c r="N3113"/>
      <c r="O3113"/>
      <c r="P3113"/>
      <c r="Q3113"/>
      <c r="R3113"/>
      <c r="S3113"/>
    </row>
    <row r="3114" spans="1:19" x14ac:dyDescent="0.25">
      <c r="A3114" t="s">
        <v>193</v>
      </c>
      <c r="C3114" s="27" t="s">
        <v>34749</v>
      </c>
      <c r="D3114" s="28" t="s">
        <v>34867</v>
      </c>
      <c r="J3114" t="s">
        <v>8381</v>
      </c>
      <c r="K3114" t="s">
        <v>8382</v>
      </c>
      <c r="L3114" s="28" t="s">
        <v>8383</v>
      </c>
      <c r="M3114" t="s">
        <v>23</v>
      </c>
      <c r="N3114"/>
      <c r="O3114"/>
      <c r="P3114"/>
      <c r="Q3114"/>
      <c r="R3114"/>
      <c r="S3114"/>
    </row>
    <row r="3115" spans="1:19" x14ac:dyDescent="0.25">
      <c r="A3115" t="s">
        <v>193</v>
      </c>
      <c r="C3115" s="27" t="s">
        <v>34749</v>
      </c>
      <c r="D3115" s="28" t="s">
        <v>34867</v>
      </c>
      <c r="J3115" t="s">
        <v>8384</v>
      </c>
      <c r="K3115" t="s">
        <v>8385</v>
      </c>
      <c r="L3115" s="28" t="s">
        <v>8386</v>
      </c>
      <c r="M3115" t="s">
        <v>23</v>
      </c>
      <c r="N3115"/>
      <c r="O3115"/>
      <c r="P3115"/>
      <c r="Q3115"/>
      <c r="R3115"/>
      <c r="S3115"/>
    </row>
    <row r="3116" spans="1:19" x14ac:dyDescent="0.25">
      <c r="A3116" t="s">
        <v>193</v>
      </c>
      <c r="C3116" s="27" t="s">
        <v>34749</v>
      </c>
      <c r="D3116" s="28" t="s">
        <v>34867</v>
      </c>
      <c r="J3116" t="s">
        <v>8387</v>
      </c>
      <c r="K3116" t="s">
        <v>8388</v>
      </c>
      <c r="L3116" s="28" t="s">
        <v>8389</v>
      </c>
      <c r="M3116" t="s">
        <v>23</v>
      </c>
      <c r="N3116"/>
      <c r="O3116"/>
      <c r="P3116"/>
      <c r="Q3116"/>
      <c r="R3116"/>
      <c r="S3116"/>
    </row>
    <row r="3117" spans="1:19" x14ac:dyDescent="0.25">
      <c r="A3117" t="s">
        <v>193</v>
      </c>
      <c r="C3117" s="27" t="s">
        <v>34749</v>
      </c>
      <c r="D3117" s="28" t="s">
        <v>34867</v>
      </c>
      <c r="J3117" t="s">
        <v>8390</v>
      </c>
      <c r="K3117" t="s">
        <v>8391</v>
      </c>
      <c r="L3117" s="28" t="s">
        <v>8392</v>
      </c>
      <c r="M3117" t="s">
        <v>23</v>
      </c>
      <c r="N3117"/>
      <c r="O3117"/>
      <c r="P3117"/>
      <c r="Q3117"/>
      <c r="R3117"/>
      <c r="S3117"/>
    </row>
    <row r="3118" spans="1:19" x14ac:dyDescent="0.25">
      <c r="A3118" t="s">
        <v>193</v>
      </c>
      <c r="C3118" s="27" t="s">
        <v>34749</v>
      </c>
      <c r="D3118" s="28" t="s">
        <v>34867</v>
      </c>
      <c r="J3118" t="s">
        <v>8393</v>
      </c>
      <c r="K3118" t="s">
        <v>8394</v>
      </c>
      <c r="L3118" s="28" t="s">
        <v>8395</v>
      </c>
      <c r="M3118" t="s">
        <v>23</v>
      </c>
      <c r="N3118"/>
      <c r="O3118"/>
      <c r="P3118"/>
      <c r="Q3118"/>
      <c r="R3118"/>
      <c r="S3118"/>
    </row>
    <row r="3119" spans="1:19" x14ac:dyDescent="0.25">
      <c r="A3119" t="s">
        <v>193</v>
      </c>
      <c r="C3119" s="27" t="s">
        <v>34749</v>
      </c>
      <c r="D3119" s="28" t="s">
        <v>34867</v>
      </c>
      <c r="J3119" t="s">
        <v>8396</v>
      </c>
      <c r="K3119" t="s">
        <v>8397</v>
      </c>
      <c r="L3119" s="28" t="s">
        <v>8398</v>
      </c>
      <c r="M3119" t="s">
        <v>23</v>
      </c>
      <c r="N3119"/>
      <c r="O3119"/>
      <c r="P3119"/>
      <c r="Q3119"/>
      <c r="R3119"/>
      <c r="S3119"/>
    </row>
    <row r="3120" spans="1:19" x14ac:dyDescent="0.25">
      <c r="A3120" t="s">
        <v>193</v>
      </c>
      <c r="C3120" s="27" t="s">
        <v>34749</v>
      </c>
      <c r="D3120" s="28" t="s">
        <v>34867</v>
      </c>
      <c r="J3120" t="s">
        <v>8399</v>
      </c>
      <c r="K3120" t="s">
        <v>8400</v>
      </c>
      <c r="L3120" s="28" t="s">
        <v>8401</v>
      </c>
      <c r="M3120" t="s">
        <v>23</v>
      </c>
      <c r="N3120"/>
      <c r="O3120"/>
      <c r="P3120"/>
      <c r="Q3120"/>
      <c r="R3120"/>
      <c r="S3120"/>
    </row>
    <row r="3121" spans="1:19" x14ac:dyDescent="0.25">
      <c r="A3121" t="s">
        <v>193</v>
      </c>
      <c r="C3121" s="27" t="s">
        <v>34749</v>
      </c>
      <c r="D3121" s="28" t="s">
        <v>34867</v>
      </c>
      <c r="J3121" t="s">
        <v>8402</v>
      </c>
      <c r="K3121" t="s">
        <v>8403</v>
      </c>
      <c r="L3121" s="28" t="s">
        <v>8404</v>
      </c>
      <c r="M3121" t="s">
        <v>23</v>
      </c>
      <c r="N3121"/>
      <c r="O3121"/>
      <c r="P3121"/>
      <c r="Q3121"/>
      <c r="R3121"/>
      <c r="S3121"/>
    </row>
    <row r="3122" spans="1:19" x14ac:dyDescent="0.25">
      <c r="A3122" t="s">
        <v>193</v>
      </c>
      <c r="C3122" s="27" t="s">
        <v>34749</v>
      </c>
      <c r="D3122" s="28" t="s">
        <v>34867</v>
      </c>
      <c r="J3122" t="s">
        <v>8405</v>
      </c>
      <c r="K3122" t="s">
        <v>8406</v>
      </c>
      <c r="L3122" s="28" t="s">
        <v>8407</v>
      </c>
      <c r="M3122" t="s">
        <v>23</v>
      </c>
      <c r="N3122"/>
      <c r="O3122"/>
      <c r="P3122"/>
      <c r="Q3122"/>
      <c r="R3122"/>
      <c r="S3122"/>
    </row>
    <row r="3123" spans="1:19" x14ac:dyDescent="0.25">
      <c r="A3123" t="s">
        <v>193</v>
      </c>
      <c r="C3123" s="27" t="s">
        <v>34749</v>
      </c>
      <c r="D3123" s="28" t="s">
        <v>34867</v>
      </c>
      <c r="J3123" t="s">
        <v>8408</v>
      </c>
      <c r="K3123" t="s">
        <v>8409</v>
      </c>
      <c r="L3123" s="28" t="s">
        <v>8410</v>
      </c>
      <c r="M3123" t="s">
        <v>23</v>
      </c>
      <c r="N3123"/>
      <c r="O3123"/>
      <c r="P3123"/>
      <c r="Q3123"/>
      <c r="R3123"/>
      <c r="S3123"/>
    </row>
    <row r="3124" spans="1:19" x14ac:dyDescent="0.25">
      <c r="A3124" t="s">
        <v>193</v>
      </c>
      <c r="C3124" s="27" t="s">
        <v>34749</v>
      </c>
      <c r="D3124" s="28" t="s">
        <v>34867</v>
      </c>
      <c r="J3124" t="s">
        <v>8411</v>
      </c>
      <c r="K3124" t="s">
        <v>8412</v>
      </c>
      <c r="L3124" s="28" t="s">
        <v>8413</v>
      </c>
      <c r="M3124" t="s">
        <v>23</v>
      </c>
      <c r="N3124"/>
      <c r="O3124"/>
      <c r="P3124"/>
      <c r="Q3124"/>
      <c r="R3124"/>
      <c r="S3124"/>
    </row>
    <row r="3125" spans="1:19" x14ac:dyDescent="0.25">
      <c r="A3125" t="s">
        <v>193</v>
      </c>
      <c r="C3125" s="27" t="s">
        <v>34749</v>
      </c>
      <c r="D3125" s="28" t="s">
        <v>34867</v>
      </c>
      <c r="J3125" t="s">
        <v>8414</v>
      </c>
      <c r="K3125" t="s">
        <v>8415</v>
      </c>
      <c r="L3125" s="28" t="s">
        <v>8416</v>
      </c>
      <c r="M3125" t="s">
        <v>23</v>
      </c>
      <c r="N3125"/>
      <c r="O3125"/>
      <c r="P3125"/>
      <c r="Q3125"/>
      <c r="R3125"/>
      <c r="S3125"/>
    </row>
    <row r="3126" spans="1:19" x14ac:dyDescent="0.25">
      <c r="A3126" t="s">
        <v>193</v>
      </c>
      <c r="C3126" s="27" t="s">
        <v>34749</v>
      </c>
      <c r="D3126" s="28" t="s">
        <v>34867</v>
      </c>
      <c r="J3126" t="s">
        <v>8417</v>
      </c>
      <c r="K3126" t="s">
        <v>8418</v>
      </c>
      <c r="L3126" s="28" t="s">
        <v>8419</v>
      </c>
      <c r="M3126" t="s">
        <v>23</v>
      </c>
      <c r="N3126"/>
      <c r="O3126"/>
      <c r="P3126"/>
      <c r="Q3126"/>
      <c r="R3126"/>
      <c r="S3126"/>
    </row>
    <row r="3127" spans="1:19" x14ac:dyDescent="0.25">
      <c r="A3127" t="s">
        <v>193</v>
      </c>
      <c r="C3127" s="27" t="s">
        <v>34749</v>
      </c>
      <c r="D3127" s="28" t="s">
        <v>34867</v>
      </c>
      <c r="J3127" t="s">
        <v>8420</v>
      </c>
      <c r="K3127" t="s">
        <v>8421</v>
      </c>
      <c r="L3127" s="28" t="s">
        <v>8422</v>
      </c>
      <c r="M3127" t="s">
        <v>23</v>
      </c>
      <c r="N3127"/>
      <c r="O3127"/>
      <c r="P3127"/>
      <c r="Q3127"/>
      <c r="R3127"/>
      <c r="S3127"/>
    </row>
    <row r="3128" spans="1:19" x14ac:dyDescent="0.25">
      <c r="A3128" t="s">
        <v>193</v>
      </c>
      <c r="C3128" s="27" t="s">
        <v>34749</v>
      </c>
      <c r="D3128" s="28" t="s">
        <v>34867</v>
      </c>
      <c r="J3128" t="s">
        <v>8423</v>
      </c>
      <c r="K3128" t="s">
        <v>8424</v>
      </c>
      <c r="L3128" s="28" t="s">
        <v>8425</v>
      </c>
      <c r="M3128" t="s">
        <v>23</v>
      </c>
      <c r="N3128"/>
      <c r="O3128"/>
      <c r="P3128"/>
      <c r="Q3128"/>
      <c r="R3128"/>
      <c r="S3128"/>
    </row>
    <row r="3129" spans="1:19" x14ac:dyDescent="0.25">
      <c r="A3129" t="s">
        <v>193</v>
      </c>
      <c r="C3129" s="27" t="s">
        <v>34749</v>
      </c>
      <c r="D3129" s="28" t="s">
        <v>34867</v>
      </c>
      <c r="J3129" t="s">
        <v>8426</v>
      </c>
      <c r="K3129" t="s">
        <v>8427</v>
      </c>
      <c r="L3129" s="28" t="s">
        <v>8428</v>
      </c>
      <c r="M3129" t="s">
        <v>23</v>
      </c>
      <c r="N3129"/>
      <c r="O3129"/>
      <c r="P3129"/>
      <c r="Q3129"/>
      <c r="R3129"/>
      <c r="S3129"/>
    </row>
    <row r="3130" spans="1:19" x14ac:dyDescent="0.25">
      <c r="A3130" t="s">
        <v>193</v>
      </c>
      <c r="C3130" s="27" t="s">
        <v>34749</v>
      </c>
      <c r="D3130" s="28" t="s">
        <v>34867</v>
      </c>
      <c r="J3130" t="s">
        <v>8429</v>
      </c>
      <c r="K3130" t="s">
        <v>8430</v>
      </c>
      <c r="L3130" s="28" t="s">
        <v>8431</v>
      </c>
      <c r="M3130" t="s">
        <v>23</v>
      </c>
      <c r="N3130"/>
      <c r="O3130"/>
      <c r="P3130"/>
      <c r="Q3130"/>
      <c r="R3130"/>
      <c r="S3130"/>
    </row>
    <row r="3131" spans="1:19" x14ac:dyDescent="0.25">
      <c r="A3131" t="s">
        <v>193</v>
      </c>
      <c r="C3131" s="27" t="s">
        <v>34749</v>
      </c>
      <c r="D3131" s="28" t="s">
        <v>34867</v>
      </c>
      <c r="J3131" t="s">
        <v>8432</v>
      </c>
      <c r="K3131" t="s">
        <v>8433</v>
      </c>
      <c r="L3131" s="28" t="s">
        <v>8434</v>
      </c>
      <c r="M3131" t="s">
        <v>23</v>
      </c>
      <c r="N3131"/>
      <c r="O3131"/>
      <c r="P3131"/>
      <c r="Q3131"/>
      <c r="R3131"/>
      <c r="S3131"/>
    </row>
    <row r="3132" spans="1:19" x14ac:dyDescent="0.25">
      <c r="A3132" t="s">
        <v>193</v>
      </c>
      <c r="C3132" s="27" t="s">
        <v>34749</v>
      </c>
      <c r="D3132" s="28" t="s">
        <v>34867</v>
      </c>
      <c r="J3132" t="s">
        <v>8435</v>
      </c>
      <c r="K3132" t="s">
        <v>8436</v>
      </c>
      <c r="L3132" s="28" t="s">
        <v>8437</v>
      </c>
      <c r="M3132" t="s">
        <v>23</v>
      </c>
      <c r="N3132"/>
      <c r="O3132"/>
      <c r="P3132"/>
      <c r="Q3132"/>
      <c r="R3132"/>
      <c r="S3132"/>
    </row>
    <row r="3133" spans="1:19" x14ac:dyDescent="0.25">
      <c r="A3133" t="s">
        <v>193</v>
      </c>
      <c r="C3133" s="27" t="s">
        <v>34749</v>
      </c>
      <c r="D3133" s="28" t="s">
        <v>34867</v>
      </c>
      <c r="J3133" t="s">
        <v>8438</v>
      </c>
      <c r="K3133" t="s">
        <v>8439</v>
      </c>
      <c r="L3133" s="28" t="s">
        <v>8440</v>
      </c>
      <c r="M3133" t="s">
        <v>23</v>
      </c>
      <c r="N3133"/>
      <c r="O3133"/>
      <c r="P3133"/>
      <c r="Q3133"/>
      <c r="R3133"/>
      <c r="S3133"/>
    </row>
    <row r="3134" spans="1:19" x14ac:dyDescent="0.25">
      <c r="A3134" t="s">
        <v>193</v>
      </c>
      <c r="C3134" s="27" t="s">
        <v>34749</v>
      </c>
      <c r="D3134" s="28" t="s">
        <v>34867</v>
      </c>
      <c r="J3134" t="s">
        <v>8441</v>
      </c>
      <c r="K3134" t="s">
        <v>8442</v>
      </c>
      <c r="L3134" s="28" t="s">
        <v>8443</v>
      </c>
      <c r="M3134" t="s">
        <v>23</v>
      </c>
      <c r="N3134"/>
      <c r="O3134"/>
      <c r="P3134"/>
      <c r="Q3134"/>
      <c r="R3134"/>
      <c r="S3134"/>
    </row>
    <row r="3135" spans="1:19" x14ac:dyDescent="0.25">
      <c r="A3135" t="s">
        <v>193</v>
      </c>
      <c r="C3135" s="27" t="s">
        <v>34749</v>
      </c>
      <c r="D3135" s="28" t="s">
        <v>34867</v>
      </c>
      <c r="J3135" t="s">
        <v>8444</v>
      </c>
      <c r="K3135" t="s">
        <v>8445</v>
      </c>
      <c r="L3135" s="28" t="s">
        <v>8446</v>
      </c>
      <c r="M3135" t="s">
        <v>23</v>
      </c>
      <c r="N3135"/>
      <c r="O3135"/>
      <c r="P3135"/>
      <c r="Q3135"/>
      <c r="R3135"/>
      <c r="S3135"/>
    </row>
    <row r="3136" spans="1:19" x14ac:dyDescent="0.25">
      <c r="A3136" t="s">
        <v>193</v>
      </c>
      <c r="C3136" s="27" t="s">
        <v>34749</v>
      </c>
      <c r="D3136" s="28" t="s">
        <v>34867</v>
      </c>
      <c r="J3136" t="s">
        <v>8447</v>
      </c>
      <c r="K3136" t="s">
        <v>8448</v>
      </c>
      <c r="L3136" s="28" t="s">
        <v>8449</v>
      </c>
      <c r="M3136" t="s">
        <v>23</v>
      </c>
      <c r="N3136"/>
      <c r="O3136"/>
      <c r="P3136"/>
      <c r="Q3136"/>
      <c r="R3136"/>
      <c r="S3136"/>
    </row>
    <row r="3137" spans="1:19" x14ac:dyDescent="0.25">
      <c r="A3137" t="s">
        <v>193</v>
      </c>
      <c r="C3137" s="27" t="s">
        <v>34749</v>
      </c>
      <c r="D3137" s="28" t="s">
        <v>34867</v>
      </c>
      <c r="J3137" t="s">
        <v>8450</v>
      </c>
      <c r="K3137" t="s">
        <v>8451</v>
      </c>
      <c r="L3137" s="28" t="s">
        <v>8452</v>
      </c>
      <c r="M3137" t="s">
        <v>23</v>
      </c>
      <c r="N3137"/>
      <c r="O3137"/>
      <c r="P3137"/>
      <c r="Q3137"/>
      <c r="R3137"/>
      <c r="S3137"/>
    </row>
    <row r="3138" spans="1:19" x14ac:dyDescent="0.25">
      <c r="A3138" t="s">
        <v>193</v>
      </c>
      <c r="C3138" s="27" t="s">
        <v>34749</v>
      </c>
      <c r="D3138" s="28" t="s">
        <v>34867</v>
      </c>
      <c r="J3138" t="s">
        <v>8453</v>
      </c>
      <c r="K3138" t="s">
        <v>8454</v>
      </c>
      <c r="L3138" s="28" t="s">
        <v>8455</v>
      </c>
      <c r="M3138" t="s">
        <v>23</v>
      </c>
      <c r="N3138"/>
      <c r="O3138"/>
      <c r="P3138"/>
      <c r="Q3138"/>
      <c r="R3138"/>
      <c r="S3138"/>
    </row>
    <row r="3139" spans="1:19" x14ac:dyDescent="0.25">
      <c r="A3139" t="s">
        <v>193</v>
      </c>
      <c r="C3139" s="27" t="s">
        <v>34749</v>
      </c>
      <c r="D3139" s="28" t="s">
        <v>34867</v>
      </c>
      <c r="J3139" t="s">
        <v>8456</v>
      </c>
      <c r="K3139" t="s">
        <v>8457</v>
      </c>
      <c r="L3139" s="28" t="s">
        <v>8458</v>
      </c>
      <c r="M3139" t="s">
        <v>23</v>
      </c>
      <c r="N3139"/>
      <c r="O3139"/>
      <c r="P3139"/>
      <c r="Q3139"/>
      <c r="R3139"/>
      <c r="S3139"/>
    </row>
    <row r="3140" spans="1:19" x14ac:dyDescent="0.25">
      <c r="A3140" t="s">
        <v>193</v>
      </c>
      <c r="C3140" s="27" t="s">
        <v>34749</v>
      </c>
      <c r="D3140" s="28" t="s">
        <v>34867</v>
      </c>
      <c r="J3140" t="s">
        <v>8459</v>
      </c>
      <c r="K3140" t="s">
        <v>8460</v>
      </c>
      <c r="L3140" s="28" t="s">
        <v>8461</v>
      </c>
      <c r="M3140" t="s">
        <v>23</v>
      </c>
      <c r="N3140"/>
      <c r="O3140"/>
      <c r="P3140"/>
      <c r="Q3140"/>
      <c r="R3140"/>
      <c r="S3140"/>
    </row>
    <row r="3141" spans="1:19" x14ac:dyDescent="0.25">
      <c r="A3141" t="s">
        <v>193</v>
      </c>
      <c r="C3141" s="27" t="s">
        <v>34749</v>
      </c>
      <c r="D3141" s="28" t="s">
        <v>34867</v>
      </c>
      <c r="J3141" t="s">
        <v>8462</v>
      </c>
      <c r="K3141" t="s">
        <v>8463</v>
      </c>
      <c r="L3141" s="28" t="s">
        <v>8464</v>
      </c>
      <c r="M3141" t="s">
        <v>23</v>
      </c>
      <c r="N3141"/>
      <c r="O3141"/>
      <c r="P3141"/>
      <c r="Q3141"/>
      <c r="R3141"/>
      <c r="S3141"/>
    </row>
    <row r="3142" spans="1:19" x14ac:dyDescent="0.25">
      <c r="A3142" t="s">
        <v>193</v>
      </c>
      <c r="C3142" s="27" t="s">
        <v>34749</v>
      </c>
      <c r="D3142" s="28" t="s">
        <v>34867</v>
      </c>
      <c r="J3142" t="s">
        <v>8465</v>
      </c>
      <c r="K3142" t="s">
        <v>8466</v>
      </c>
      <c r="L3142" s="28" t="s">
        <v>8467</v>
      </c>
      <c r="M3142" t="s">
        <v>23</v>
      </c>
      <c r="N3142"/>
      <c r="O3142"/>
      <c r="P3142"/>
      <c r="Q3142"/>
      <c r="R3142"/>
      <c r="S3142"/>
    </row>
    <row r="3143" spans="1:19" x14ac:dyDescent="0.25">
      <c r="A3143" t="s">
        <v>193</v>
      </c>
      <c r="C3143" s="27" t="s">
        <v>34749</v>
      </c>
      <c r="D3143" s="28" t="s">
        <v>34867</v>
      </c>
      <c r="J3143" t="s">
        <v>8468</v>
      </c>
      <c r="K3143" t="s">
        <v>8469</v>
      </c>
      <c r="L3143" s="28" t="s">
        <v>8470</v>
      </c>
      <c r="M3143" t="s">
        <v>23</v>
      </c>
      <c r="N3143"/>
      <c r="O3143"/>
      <c r="P3143"/>
      <c r="Q3143"/>
      <c r="R3143"/>
      <c r="S3143"/>
    </row>
    <row r="3144" spans="1:19" x14ac:dyDescent="0.25">
      <c r="A3144" t="s">
        <v>193</v>
      </c>
      <c r="C3144" s="27" t="s">
        <v>34749</v>
      </c>
      <c r="D3144" s="28" t="s">
        <v>34867</v>
      </c>
      <c r="J3144" t="s">
        <v>8471</v>
      </c>
      <c r="K3144" t="s">
        <v>8472</v>
      </c>
      <c r="L3144" s="28" t="s">
        <v>8473</v>
      </c>
      <c r="M3144" t="s">
        <v>23</v>
      </c>
      <c r="N3144"/>
      <c r="O3144"/>
      <c r="P3144"/>
      <c r="Q3144"/>
      <c r="R3144"/>
      <c r="S3144"/>
    </row>
    <row r="3145" spans="1:19" x14ac:dyDescent="0.25">
      <c r="A3145" t="s">
        <v>193</v>
      </c>
      <c r="C3145" s="27" t="s">
        <v>34749</v>
      </c>
      <c r="D3145" s="28" t="s">
        <v>34867</v>
      </c>
      <c r="J3145" t="s">
        <v>8474</v>
      </c>
      <c r="K3145" t="s">
        <v>8475</v>
      </c>
      <c r="L3145" s="28" t="s">
        <v>8476</v>
      </c>
      <c r="M3145" t="s">
        <v>23</v>
      </c>
      <c r="N3145"/>
      <c r="O3145"/>
      <c r="P3145"/>
      <c r="Q3145"/>
      <c r="R3145"/>
      <c r="S3145"/>
    </row>
    <row r="3146" spans="1:19" x14ac:dyDescent="0.25">
      <c r="A3146" t="s">
        <v>193</v>
      </c>
      <c r="C3146" s="27" t="s">
        <v>34749</v>
      </c>
      <c r="D3146" s="28" t="s">
        <v>34867</v>
      </c>
      <c r="J3146" t="s">
        <v>8477</v>
      </c>
      <c r="K3146" t="s">
        <v>8478</v>
      </c>
      <c r="L3146" s="28" t="s">
        <v>8479</v>
      </c>
      <c r="M3146" t="s">
        <v>23</v>
      </c>
      <c r="N3146"/>
      <c r="O3146"/>
      <c r="P3146"/>
      <c r="Q3146"/>
      <c r="R3146"/>
      <c r="S3146"/>
    </row>
    <row r="3147" spans="1:19" x14ac:dyDescent="0.25">
      <c r="A3147" t="s">
        <v>193</v>
      </c>
      <c r="C3147" s="27" t="s">
        <v>34749</v>
      </c>
      <c r="D3147" s="28" t="s">
        <v>34867</v>
      </c>
      <c r="J3147" t="s">
        <v>8480</v>
      </c>
      <c r="K3147" t="s">
        <v>8481</v>
      </c>
      <c r="L3147" s="28" t="s">
        <v>8482</v>
      </c>
      <c r="M3147" t="s">
        <v>23</v>
      </c>
      <c r="N3147"/>
      <c r="O3147"/>
      <c r="P3147"/>
      <c r="Q3147"/>
      <c r="R3147"/>
      <c r="S3147"/>
    </row>
    <row r="3148" spans="1:19" x14ac:dyDescent="0.25">
      <c r="A3148" t="s">
        <v>193</v>
      </c>
      <c r="C3148" s="27" t="s">
        <v>34749</v>
      </c>
      <c r="D3148" s="28" t="s">
        <v>34867</v>
      </c>
      <c r="J3148" t="s">
        <v>8483</v>
      </c>
      <c r="K3148" t="s">
        <v>8484</v>
      </c>
      <c r="L3148" s="28" t="s">
        <v>8485</v>
      </c>
      <c r="M3148" t="s">
        <v>23</v>
      </c>
      <c r="N3148"/>
      <c r="O3148"/>
      <c r="P3148"/>
      <c r="Q3148"/>
      <c r="R3148"/>
      <c r="S3148"/>
    </row>
    <row r="3149" spans="1:19" x14ac:dyDescent="0.25">
      <c r="A3149" t="s">
        <v>193</v>
      </c>
      <c r="C3149" s="27" t="s">
        <v>34749</v>
      </c>
      <c r="D3149" s="28" t="s">
        <v>34867</v>
      </c>
      <c r="J3149" t="s">
        <v>8486</v>
      </c>
      <c r="K3149" t="s">
        <v>8487</v>
      </c>
      <c r="L3149" s="28" t="s">
        <v>8488</v>
      </c>
      <c r="M3149" t="s">
        <v>23</v>
      </c>
      <c r="N3149"/>
      <c r="O3149"/>
      <c r="P3149"/>
      <c r="Q3149"/>
      <c r="R3149"/>
      <c r="S3149"/>
    </row>
    <row r="3150" spans="1:19" x14ac:dyDescent="0.25">
      <c r="A3150" t="s">
        <v>193</v>
      </c>
      <c r="C3150" s="27" t="s">
        <v>34749</v>
      </c>
      <c r="D3150" s="28" t="s">
        <v>34867</v>
      </c>
      <c r="J3150" t="s">
        <v>8489</v>
      </c>
      <c r="K3150" t="s">
        <v>8490</v>
      </c>
      <c r="L3150" s="28" t="s">
        <v>8491</v>
      </c>
      <c r="M3150" t="s">
        <v>23</v>
      </c>
      <c r="N3150"/>
      <c r="O3150"/>
      <c r="P3150"/>
      <c r="Q3150"/>
      <c r="R3150"/>
      <c r="S3150"/>
    </row>
    <row r="3151" spans="1:19" x14ac:dyDescent="0.25">
      <c r="A3151" t="s">
        <v>193</v>
      </c>
      <c r="C3151" s="27" t="s">
        <v>34749</v>
      </c>
      <c r="D3151" s="28" t="s">
        <v>34867</v>
      </c>
      <c r="J3151" t="s">
        <v>8492</v>
      </c>
      <c r="K3151" t="s">
        <v>8493</v>
      </c>
      <c r="L3151" s="28" t="s">
        <v>8494</v>
      </c>
      <c r="M3151" t="s">
        <v>23</v>
      </c>
      <c r="N3151"/>
      <c r="O3151"/>
      <c r="P3151"/>
      <c r="Q3151"/>
      <c r="R3151"/>
      <c r="S3151"/>
    </row>
    <row r="3152" spans="1:19" x14ac:dyDescent="0.25">
      <c r="A3152" t="s">
        <v>193</v>
      </c>
      <c r="C3152" s="27" t="s">
        <v>34749</v>
      </c>
      <c r="D3152" s="28" t="s">
        <v>34867</v>
      </c>
      <c r="J3152" t="s">
        <v>8495</v>
      </c>
      <c r="K3152" t="s">
        <v>8496</v>
      </c>
      <c r="L3152" s="28" t="s">
        <v>8497</v>
      </c>
      <c r="M3152" t="s">
        <v>23</v>
      </c>
      <c r="N3152"/>
      <c r="O3152"/>
      <c r="P3152"/>
      <c r="Q3152"/>
      <c r="R3152"/>
      <c r="S3152"/>
    </row>
    <row r="3153" spans="1:19" x14ac:dyDescent="0.25">
      <c r="A3153" t="s">
        <v>193</v>
      </c>
      <c r="C3153" s="27" t="s">
        <v>34749</v>
      </c>
      <c r="D3153" s="28" t="s">
        <v>34867</v>
      </c>
      <c r="J3153" t="s">
        <v>8498</v>
      </c>
      <c r="K3153" t="s">
        <v>8499</v>
      </c>
      <c r="L3153" s="28" t="s">
        <v>8500</v>
      </c>
      <c r="M3153" t="s">
        <v>23</v>
      </c>
      <c r="N3153"/>
      <c r="O3153"/>
      <c r="P3153"/>
      <c r="Q3153"/>
      <c r="R3153"/>
      <c r="S3153"/>
    </row>
    <row r="3154" spans="1:19" x14ac:dyDescent="0.25">
      <c r="A3154" t="s">
        <v>193</v>
      </c>
      <c r="C3154" s="27" t="s">
        <v>34749</v>
      </c>
      <c r="D3154" s="28" t="s">
        <v>34867</v>
      </c>
      <c r="J3154" t="s">
        <v>8501</v>
      </c>
      <c r="K3154" t="s">
        <v>8502</v>
      </c>
      <c r="L3154" s="28" t="s">
        <v>8503</v>
      </c>
      <c r="M3154" t="s">
        <v>23</v>
      </c>
      <c r="N3154"/>
      <c r="O3154"/>
      <c r="P3154"/>
      <c r="Q3154"/>
      <c r="R3154"/>
      <c r="S3154"/>
    </row>
    <row r="3155" spans="1:19" x14ac:dyDescent="0.25">
      <c r="A3155" t="s">
        <v>193</v>
      </c>
      <c r="C3155" s="27" t="s">
        <v>34749</v>
      </c>
      <c r="D3155" s="28" t="s">
        <v>34867</v>
      </c>
      <c r="J3155" t="s">
        <v>8504</v>
      </c>
      <c r="K3155" t="s">
        <v>8505</v>
      </c>
      <c r="L3155" s="28" t="s">
        <v>8506</v>
      </c>
      <c r="M3155" t="s">
        <v>23</v>
      </c>
      <c r="N3155"/>
      <c r="O3155"/>
      <c r="P3155"/>
      <c r="Q3155"/>
      <c r="R3155"/>
      <c r="S3155"/>
    </row>
    <row r="3156" spans="1:19" x14ac:dyDescent="0.25">
      <c r="A3156" t="s">
        <v>193</v>
      </c>
      <c r="C3156" s="27" t="s">
        <v>34749</v>
      </c>
      <c r="D3156" s="28" t="s">
        <v>34867</v>
      </c>
      <c r="J3156" t="s">
        <v>8507</v>
      </c>
      <c r="K3156" t="s">
        <v>8508</v>
      </c>
      <c r="L3156" s="28" t="s">
        <v>8509</v>
      </c>
      <c r="M3156" t="s">
        <v>23</v>
      </c>
      <c r="N3156"/>
      <c r="O3156"/>
      <c r="P3156"/>
      <c r="Q3156"/>
      <c r="R3156"/>
      <c r="S3156"/>
    </row>
    <row r="3157" spans="1:19" x14ac:dyDescent="0.25">
      <c r="A3157" t="s">
        <v>193</v>
      </c>
      <c r="C3157" s="27" t="s">
        <v>34749</v>
      </c>
      <c r="D3157" s="28" t="s">
        <v>34867</v>
      </c>
      <c r="J3157" t="s">
        <v>8510</v>
      </c>
      <c r="K3157" t="s">
        <v>8511</v>
      </c>
      <c r="L3157" s="28" t="s">
        <v>8512</v>
      </c>
      <c r="M3157" t="s">
        <v>23</v>
      </c>
      <c r="N3157"/>
      <c r="O3157"/>
      <c r="P3157"/>
      <c r="Q3157"/>
      <c r="R3157"/>
      <c r="S3157"/>
    </row>
    <row r="3158" spans="1:19" x14ac:dyDescent="0.25">
      <c r="A3158" t="s">
        <v>193</v>
      </c>
      <c r="C3158" s="27" t="s">
        <v>34749</v>
      </c>
      <c r="D3158" s="28" t="s">
        <v>34867</v>
      </c>
      <c r="J3158" t="s">
        <v>8513</v>
      </c>
      <c r="K3158" t="s">
        <v>8514</v>
      </c>
      <c r="L3158" s="28" t="s">
        <v>8515</v>
      </c>
      <c r="M3158" t="s">
        <v>23</v>
      </c>
      <c r="N3158"/>
      <c r="O3158"/>
      <c r="P3158"/>
      <c r="Q3158"/>
      <c r="R3158"/>
      <c r="S3158"/>
    </row>
    <row r="3159" spans="1:19" x14ac:dyDescent="0.25">
      <c r="A3159" t="s">
        <v>193</v>
      </c>
      <c r="C3159" s="27" t="s">
        <v>34749</v>
      </c>
      <c r="D3159" s="28" t="s">
        <v>34867</v>
      </c>
      <c r="J3159" t="s">
        <v>8516</v>
      </c>
      <c r="K3159" t="s">
        <v>8517</v>
      </c>
      <c r="L3159" s="28" t="s">
        <v>8518</v>
      </c>
      <c r="M3159" t="s">
        <v>23</v>
      </c>
      <c r="N3159"/>
      <c r="O3159"/>
      <c r="P3159"/>
      <c r="Q3159"/>
      <c r="R3159"/>
      <c r="S3159"/>
    </row>
    <row r="3160" spans="1:19" x14ac:dyDescent="0.25">
      <c r="A3160" t="s">
        <v>193</v>
      </c>
      <c r="C3160" s="27" t="s">
        <v>34749</v>
      </c>
      <c r="D3160" s="28" t="s">
        <v>34867</v>
      </c>
      <c r="J3160" t="s">
        <v>8519</v>
      </c>
      <c r="K3160" t="s">
        <v>8520</v>
      </c>
      <c r="L3160" s="28" t="s">
        <v>8521</v>
      </c>
      <c r="M3160" t="s">
        <v>23</v>
      </c>
      <c r="N3160"/>
      <c r="O3160"/>
      <c r="P3160"/>
      <c r="Q3160"/>
      <c r="R3160"/>
      <c r="S3160"/>
    </row>
    <row r="3161" spans="1:19" x14ac:dyDescent="0.25">
      <c r="A3161" t="s">
        <v>193</v>
      </c>
      <c r="C3161" s="27" t="s">
        <v>34749</v>
      </c>
      <c r="D3161" s="28" t="s">
        <v>34867</v>
      </c>
      <c r="J3161" t="s">
        <v>8522</v>
      </c>
      <c r="K3161" t="s">
        <v>8523</v>
      </c>
      <c r="L3161" s="28" t="s">
        <v>8524</v>
      </c>
      <c r="M3161" t="s">
        <v>23</v>
      </c>
      <c r="N3161"/>
      <c r="O3161"/>
      <c r="P3161"/>
      <c r="Q3161"/>
      <c r="R3161"/>
      <c r="S3161"/>
    </row>
    <row r="3162" spans="1:19" x14ac:dyDescent="0.25">
      <c r="A3162" t="s">
        <v>193</v>
      </c>
      <c r="C3162" s="27" t="s">
        <v>34749</v>
      </c>
      <c r="D3162" s="28" t="s">
        <v>34867</v>
      </c>
      <c r="E3162" s="3"/>
      <c r="F3162" s="3"/>
      <c r="J3162" t="s">
        <v>8525</v>
      </c>
      <c r="K3162" t="s">
        <v>8526</v>
      </c>
      <c r="L3162" s="28" t="s">
        <v>8527</v>
      </c>
      <c r="M3162" t="s">
        <v>23</v>
      </c>
      <c r="N3162"/>
      <c r="O3162"/>
      <c r="P3162"/>
      <c r="Q3162"/>
      <c r="R3162"/>
      <c r="S3162"/>
    </row>
    <row r="3163" spans="1:19" x14ac:dyDescent="0.25">
      <c r="A3163" t="s">
        <v>193</v>
      </c>
      <c r="C3163" s="27" t="s">
        <v>34749</v>
      </c>
      <c r="D3163" s="28" t="s">
        <v>34867</v>
      </c>
      <c r="J3163" t="s">
        <v>8528</v>
      </c>
      <c r="K3163" t="s">
        <v>8529</v>
      </c>
      <c r="L3163" s="28" t="s">
        <v>8530</v>
      </c>
      <c r="M3163" t="s">
        <v>23</v>
      </c>
      <c r="N3163"/>
      <c r="O3163"/>
      <c r="P3163"/>
      <c r="Q3163"/>
      <c r="R3163"/>
      <c r="S3163"/>
    </row>
    <row r="3164" spans="1:19" x14ac:dyDescent="0.25">
      <c r="A3164" t="s">
        <v>193</v>
      </c>
      <c r="C3164" s="27" t="s">
        <v>34749</v>
      </c>
      <c r="D3164" s="28" t="s">
        <v>34867</v>
      </c>
      <c r="J3164" t="s">
        <v>8531</v>
      </c>
      <c r="K3164" t="s">
        <v>8532</v>
      </c>
      <c r="L3164" s="28" t="s">
        <v>8533</v>
      </c>
      <c r="M3164" t="s">
        <v>23</v>
      </c>
      <c r="N3164"/>
      <c r="O3164"/>
      <c r="P3164"/>
      <c r="Q3164"/>
      <c r="R3164"/>
      <c r="S3164"/>
    </row>
    <row r="3165" spans="1:19" x14ac:dyDescent="0.25">
      <c r="A3165" t="s">
        <v>193</v>
      </c>
      <c r="C3165" s="27" t="s">
        <v>34749</v>
      </c>
      <c r="D3165" s="28" t="s">
        <v>34867</v>
      </c>
      <c r="J3165" t="s">
        <v>8534</v>
      </c>
      <c r="K3165" t="s">
        <v>8535</v>
      </c>
      <c r="L3165" s="28" t="s">
        <v>8536</v>
      </c>
      <c r="M3165" t="s">
        <v>23</v>
      </c>
      <c r="N3165"/>
      <c r="O3165"/>
      <c r="P3165"/>
      <c r="Q3165"/>
      <c r="R3165"/>
      <c r="S3165"/>
    </row>
    <row r="3166" spans="1:19" x14ac:dyDescent="0.25">
      <c r="A3166" t="s">
        <v>193</v>
      </c>
      <c r="C3166" s="27" t="s">
        <v>34749</v>
      </c>
      <c r="D3166" s="28" t="s">
        <v>34867</v>
      </c>
      <c r="J3166" t="s">
        <v>8537</v>
      </c>
      <c r="K3166" t="s">
        <v>8538</v>
      </c>
      <c r="L3166" s="28" t="s">
        <v>8539</v>
      </c>
      <c r="M3166" t="s">
        <v>23</v>
      </c>
      <c r="N3166"/>
      <c r="O3166"/>
      <c r="P3166"/>
      <c r="Q3166"/>
      <c r="R3166"/>
      <c r="S3166"/>
    </row>
    <row r="3167" spans="1:19" x14ac:dyDescent="0.25">
      <c r="A3167" t="s">
        <v>193</v>
      </c>
      <c r="C3167" s="27" t="s">
        <v>34749</v>
      </c>
      <c r="D3167" s="28" t="s">
        <v>34867</v>
      </c>
      <c r="J3167" t="s">
        <v>8540</v>
      </c>
      <c r="K3167" t="s">
        <v>8541</v>
      </c>
      <c r="L3167" s="28" t="s">
        <v>8542</v>
      </c>
      <c r="M3167" t="s">
        <v>23</v>
      </c>
      <c r="N3167"/>
      <c r="O3167"/>
      <c r="P3167"/>
      <c r="Q3167"/>
      <c r="R3167"/>
      <c r="S3167"/>
    </row>
    <row r="3168" spans="1:19" x14ac:dyDescent="0.25">
      <c r="A3168" t="s">
        <v>193</v>
      </c>
      <c r="C3168" s="27" t="s">
        <v>34749</v>
      </c>
      <c r="D3168" s="28" t="s">
        <v>34867</v>
      </c>
      <c r="J3168" t="s">
        <v>8543</v>
      </c>
      <c r="K3168" t="s">
        <v>8544</v>
      </c>
      <c r="L3168" s="28" t="s">
        <v>8545</v>
      </c>
      <c r="M3168" t="s">
        <v>23</v>
      </c>
      <c r="N3168"/>
      <c r="O3168"/>
      <c r="P3168"/>
      <c r="Q3168"/>
      <c r="R3168"/>
      <c r="S3168"/>
    </row>
    <row r="3169" spans="1:19" x14ac:dyDescent="0.25">
      <c r="A3169" t="s">
        <v>193</v>
      </c>
      <c r="C3169" s="27" t="s">
        <v>34749</v>
      </c>
      <c r="D3169" s="28" t="s">
        <v>34867</v>
      </c>
      <c r="J3169" t="s">
        <v>8546</v>
      </c>
      <c r="K3169" t="s">
        <v>8547</v>
      </c>
      <c r="L3169" s="28" t="s">
        <v>8548</v>
      </c>
      <c r="M3169" t="s">
        <v>23</v>
      </c>
      <c r="N3169"/>
      <c r="O3169"/>
      <c r="P3169"/>
      <c r="Q3169"/>
      <c r="R3169"/>
      <c r="S3169"/>
    </row>
    <row r="3170" spans="1:19" x14ac:dyDescent="0.25">
      <c r="A3170" t="s">
        <v>193</v>
      </c>
      <c r="C3170" s="27" t="s">
        <v>34749</v>
      </c>
      <c r="D3170" s="28" t="s">
        <v>34867</v>
      </c>
      <c r="J3170" t="s">
        <v>8549</v>
      </c>
      <c r="K3170" t="s">
        <v>8550</v>
      </c>
      <c r="L3170" s="28" t="s">
        <v>8551</v>
      </c>
      <c r="M3170" t="s">
        <v>23</v>
      </c>
      <c r="N3170"/>
      <c r="O3170"/>
      <c r="P3170"/>
      <c r="Q3170"/>
      <c r="R3170"/>
      <c r="S3170"/>
    </row>
    <row r="3171" spans="1:19" x14ac:dyDescent="0.25">
      <c r="A3171" t="s">
        <v>193</v>
      </c>
      <c r="C3171" s="27" t="s">
        <v>34749</v>
      </c>
      <c r="D3171" s="28" t="s">
        <v>34867</v>
      </c>
      <c r="J3171" t="s">
        <v>8552</v>
      </c>
      <c r="K3171" t="s">
        <v>8553</v>
      </c>
      <c r="L3171" s="28" t="s">
        <v>8554</v>
      </c>
      <c r="M3171" t="s">
        <v>23</v>
      </c>
      <c r="N3171"/>
      <c r="O3171"/>
      <c r="P3171"/>
      <c r="Q3171"/>
      <c r="R3171"/>
      <c r="S3171"/>
    </row>
    <row r="3172" spans="1:19" x14ac:dyDescent="0.25">
      <c r="A3172" t="s">
        <v>193</v>
      </c>
      <c r="C3172" s="27" t="s">
        <v>34749</v>
      </c>
      <c r="D3172" s="28" t="s">
        <v>34867</v>
      </c>
      <c r="J3172" t="s">
        <v>8555</v>
      </c>
      <c r="K3172" t="s">
        <v>8556</v>
      </c>
      <c r="L3172" s="28" t="s">
        <v>8557</v>
      </c>
      <c r="M3172" t="s">
        <v>23</v>
      </c>
      <c r="N3172"/>
      <c r="O3172"/>
      <c r="P3172"/>
      <c r="Q3172"/>
      <c r="R3172"/>
      <c r="S3172"/>
    </row>
    <row r="3173" spans="1:19" x14ac:dyDescent="0.25">
      <c r="A3173" t="s">
        <v>193</v>
      </c>
      <c r="C3173" s="27" t="s">
        <v>34749</v>
      </c>
      <c r="D3173" s="28" t="s">
        <v>34867</v>
      </c>
      <c r="J3173" t="s">
        <v>8558</v>
      </c>
      <c r="K3173" t="s">
        <v>8559</v>
      </c>
      <c r="L3173" s="28" t="s">
        <v>8560</v>
      </c>
      <c r="M3173" t="s">
        <v>23</v>
      </c>
      <c r="N3173"/>
      <c r="O3173"/>
      <c r="P3173"/>
      <c r="Q3173"/>
      <c r="R3173"/>
      <c r="S3173"/>
    </row>
    <row r="3174" spans="1:19" x14ac:dyDescent="0.25">
      <c r="A3174" t="s">
        <v>193</v>
      </c>
      <c r="C3174" s="27" t="s">
        <v>34749</v>
      </c>
      <c r="D3174" s="28" t="s">
        <v>34867</v>
      </c>
      <c r="J3174" t="s">
        <v>8561</v>
      </c>
      <c r="K3174" t="s">
        <v>8562</v>
      </c>
      <c r="L3174" s="28" t="s">
        <v>8563</v>
      </c>
      <c r="M3174" t="s">
        <v>23</v>
      </c>
      <c r="N3174"/>
      <c r="O3174"/>
      <c r="P3174"/>
      <c r="Q3174"/>
      <c r="R3174"/>
      <c r="S3174"/>
    </row>
    <row r="3175" spans="1:19" x14ac:dyDescent="0.25">
      <c r="A3175" t="s">
        <v>193</v>
      </c>
      <c r="C3175" s="27" t="s">
        <v>34749</v>
      </c>
      <c r="D3175" s="28" t="s">
        <v>34867</v>
      </c>
      <c r="J3175" t="s">
        <v>8564</v>
      </c>
      <c r="K3175" t="s">
        <v>8565</v>
      </c>
      <c r="L3175" s="28" t="s">
        <v>8566</v>
      </c>
      <c r="M3175" t="s">
        <v>23</v>
      </c>
      <c r="N3175"/>
      <c r="O3175"/>
      <c r="P3175"/>
      <c r="Q3175"/>
      <c r="R3175"/>
      <c r="S3175"/>
    </row>
    <row r="3176" spans="1:19" x14ac:dyDescent="0.25">
      <c r="A3176" t="s">
        <v>193</v>
      </c>
      <c r="C3176" s="27" t="s">
        <v>34749</v>
      </c>
      <c r="D3176" s="28" t="s">
        <v>34867</v>
      </c>
      <c r="J3176" t="s">
        <v>8567</v>
      </c>
      <c r="K3176" t="s">
        <v>8568</v>
      </c>
      <c r="L3176" s="28" t="s">
        <v>8569</v>
      </c>
      <c r="M3176" t="s">
        <v>23</v>
      </c>
      <c r="N3176"/>
      <c r="O3176"/>
      <c r="P3176"/>
      <c r="Q3176"/>
      <c r="R3176"/>
      <c r="S3176"/>
    </row>
    <row r="3177" spans="1:19" x14ac:dyDescent="0.25">
      <c r="A3177" t="s">
        <v>193</v>
      </c>
      <c r="C3177" s="27" t="s">
        <v>34749</v>
      </c>
      <c r="D3177" s="28" t="s">
        <v>34867</v>
      </c>
      <c r="J3177" t="s">
        <v>8570</v>
      </c>
      <c r="K3177" t="s">
        <v>8571</v>
      </c>
      <c r="L3177" s="28" t="s">
        <v>8572</v>
      </c>
      <c r="M3177" t="s">
        <v>23</v>
      </c>
      <c r="N3177"/>
      <c r="O3177"/>
      <c r="P3177"/>
      <c r="Q3177"/>
      <c r="R3177"/>
      <c r="S3177"/>
    </row>
    <row r="3178" spans="1:19" x14ac:dyDescent="0.25">
      <c r="A3178" t="s">
        <v>193</v>
      </c>
      <c r="C3178" s="27" t="s">
        <v>34749</v>
      </c>
      <c r="D3178" s="28" t="s">
        <v>34867</v>
      </c>
      <c r="J3178" t="s">
        <v>8573</v>
      </c>
      <c r="K3178" t="s">
        <v>8574</v>
      </c>
      <c r="L3178" s="28" t="s">
        <v>8575</v>
      </c>
      <c r="M3178" t="s">
        <v>23</v>
      </c>
      <c r="N3178"/>
      <c r="O3178"/>
      <c r="P3178"/>
      <c r="Q3178"/>
      <c r="R3178"/>
      <c r="S3178"/>
    </row>
    <row r="3179" spans="1:19" x14ac:dyDescent="0.25">
      <c r="A3179" t="s">
        <v>193</v>
      </c>
      <c r="C3179" s="27" t="s">
        <v>34749</v>
      </c>
      <c r="D3179" s="28" t="s">
        <v>34867</v>
      </c>
      <c r="J3179" t="s">
        <v>8576</v>
      </c>
      <c r="K3179" t="s">
        <v>8577</v>
      </c>
      <c r="L3179" s="28" t="s">
        <v>8578</v>
      </c>
      <c r="M3179" t="s">
        <v>23</v>
      </c>
      <c r="N3179"/>
      <c r="O3179"/>
      <c r="P3179"/>
      <c r="Q3179"/>
      <c r="R3179"/>
      <c r="S3179"/>
    </row>
    <row r="3180" spans="1:19" x14ac:dyDescent="0.25">
      <c r="A3180" t="s">
        <v>193</v>
      </c>
      <c r="C3180" s="27" t="s">
        <v>34749</v>
      </c>
      <c r="D3180" s="28" t="s">
        <v>34867</v>
      </c>
      <c r="J3180" t="s">
        <v>8579</v>
      </c>
      <c r="K3180" t="s">
        <v>8580</v>
      </c>
      <c r="L3180" s="28" t="s">
        <v>8581</v>
      </c>
      <c r="M3180" t="s">
        <v>23</v>
      </c>
      <c r="N3180"/>
      <c r="O3180"/>
      <c r="P3180"/>
      <c r="Q3180"/>
      <c r="R3180"/>
      <c r="S3180"/>
    </row>
    <row r="3181" spans="1:19" x14ac:dyDescent="0.25">
      <c r="A3181" t="s">
        <v>193</v>
      </c>
      <c r="C3181" s="27" t="s">
        <v>34749</v>
      </c>
      <c r="D3181" s="28" t="s">
        <v>34867</v>
      </c>
      <c r="J3181" t="s">
        <v>8582</v>
      </c>
      <c r="K3181" t="s">
        <v>8583</v>
      </c>
      <c r="L3181" s="28" t="s">
        <v>8584</v>
      </c>
      <c r="M3181" t="s">
        <v>23</v>
      </c>
      <c r="N3181"/>
      <c r="O3181"/>
      <c r="P3181"/>
      <c r="Q3181"/>
      <c r="R3181"/>
      <c r="S3181"/>
    </row>
    <row r="3182" spans="1:19" x14ac:dyDescent="0.25">
      <c r="A3182" t="s">
        <v>193</v>
      </c>
      <c r="C3182" s="27" t="s">
        <v>34749</v>
      </c>
      <c r="D3182" s="28" t="s">
        <v>34867</v>
      </c>
      <c r="J3182" t="s">
        <v>8585</v>
      </c>
      <c r="K3182" t="s">
        <v>8586</v>
      </c>
      <c r="L3182" s="28" t="s">
        <v>8587</v>
      </c>
      <c r="M3182" t="s">
        <v>23</v>
      </c>
      <c r="N3182"/>
      <c r="O3182"/>
      <c r="P3182"/>
      <c r="Q3182"/>
      <c r="R3182"/>
      <c r="S3182"/>
    </row>
    <row r="3183" spans="1:19" x14ac:dyDescent="0.25">
      <c r="A3183" t="s">
        <v>193</v>
      </c>
      <c r="C3183" s="27" t="s">
        <v>34749</v>
      </c>
      <c r="D3183" s="28" t="s">
        <v>34867</v>
      </c>
      <c r="J3183" t="s">
        <v>8588</v>
      </c>
      <c r="K3183" t="s">
        <v>8589</v>
      </c>
      <c r="L3183" s="28" t="s">
        <v>8590</v>
      </c>
      <c r="M3183" t="s">
        <v>23</v>
      </c>
      <c r="N3183"/>
      <c r="O3183"/>
      <c r="P3183"/>
      <c r="Q3183"/>
      <c r="R3183"/>
      <c r="S3183"/>
    </row>
    <row r="3184" spans="1:19" x14ac:dyDescent="0.25">
      <c r="A3184" t="s">
        <v>193</v>
      </c>
      <c r="C3184" s="27" t="s">
        <v>34749</v>
      </c>
      <c r="D3184" s="28" t="s">
        <v>34867</v>
      </c>
      <c r="J3184" t="s">
        <v>8591</v>
      </c>
      <c r="K3184" t="s">
        <v>8592</v>
      </c>
      <c r="L3184" s="28" t="s">
        <v>8593</v>
      </c>
      <c r="M3184" t="s">
        <v>23</v>
      </c>
      <c r="N3184"/>
      <c r="O3184"/>
      <c r="P3184"/>
      <c r="Q3184"/>
      <c r="R3184"/>
      <c r="S3184"/>
    </row>
    <row r="3185" spans="1:19" x14ac:dyDescent="0.25">
      <c r="A3185" t="s">
        <v>193</v>
      </c>
      <c r="C3185" s="27" t="s">
        <v>34749</v>
      </c>
      <c r="D3185" s="28" t="s">
        <v>34867</v>
      </c>
      <c r="J3185" t="s">
        <v>8594</v>
      </c>
      <c r="K3185" t="s">
        <v>8595</v>
      </c>
      <c r="L3185" s="28" t="s">
        <v>8596</v>
      </c>
      <c r="M3185" t="s">
        <v>23</v>
      </c>
      <c r="N3185"/>
      <c r="O3185"/>
      <c r="P3185"/>
      <c r="Q3185"/>
      <c r="R3185"/>
      <c r="S3185"/>
    </row>
    <row r="3186" spans="1:19" x14ac:dyDescent="0.25">
      <c r="A3186" t="s">
        <v>193</v>
      </c>
      <c r="C3186" s="27" t="s">
        <v>34749</v>
      </c>
      <c r="D3186" s="28" t="s">
        <v>34867</v>
      </c>
      <c r="J3186" t="s">
        <v>8597</v>
      </c>
      <c r="K3186" t="s">
        <v>8598</v>
      </c>
      <c r="L3186" s="28" t="s">
        <v>8599</v>
      </c>
      <c r="M3186" t="s">
        <v>23</v>
      </c>
      <c r="N3186"/>
      <c r="O3186"/>
      <c r="P3186"/>
      <c r="Q3186"/>
      <c r="R3186"/>
      <c r="S3186"/>
    </row>
    <row r="3187" spans="1:19" x14ac:dyDescent="0.25">
      <c r="A3187" t="s">
        <v>193</v>
      </c>
      <c r="C3187" s="27" t="s">
        <v>34749</v>
      </c>
      <c r="D3187" s="28" t="s">
        <v>34867</v>
      </c>
      <c r="J3187" t="s">
        <v>8600</v>
      </c>
      <c r="K3187" t="s">
        <v>8601</v>
      </c>
      <c r="L3187" s="28" t="s">
        <v>8602</v>
      </c>
      <c r="M3187" t="s">
        <v>23</v>
      </c>
      <c r="N3187"/>
      <c r="O3187"/>
      <c r="P3187"/>
      <c r="Q3187"/>
      <c r="R3187"/>
      <c r="S3187"/>
    </row>
    <row r="3188" spans="1:19" x14ac:dyDescent="0.25">
      <c r="A3188" t="s">
        <v>193</v>
      </c>
      <c r="C3188" s="27" t="s">
        <v>34749</v>
      </c>
      <c r="D3188" s="28" t="s">
        <v>34867</v>
      </c>
      <c r="E3188" s="3"/>
      <c r="F3188" s="3"/>
      <c r="J3188" t="s">
        <v>8603</v>
      </c>
      <c r="K3188" t="s">
        <v>8604</v>
      </c>
      <c r="L3188" s="28" t="s">
        <v>8605</v>
      </c>
      <c r="M3188" t="s">
        <v>23</v>
      </c>
      <c r="N3188"/>
      <c r="O3188"/>
      <c r="P3188"/>
      <c r="Q3188"/>
      <c r="R3188"/>
      <c r="S3188"/>
    </row>
    <row r="3189" spans="1:19" x14ac:dyDescent="0.25">
      <c r="A3189" t="s">
        <v>193</v>
      </c>
      <c r="C3189" s="27" t="s">
        <v>34749</v>
      </c>
      <c r="D3189" s="28" t="s">
        <v>34867</v>
      </c>
      <c r="J3189" t="s">
        <v>8606</v>
      </c>
      <c r="K3189" t="s">
        <v>8607</v>
      </c>
      <c r="L3189" s="28" t="s">
        <v>8608</v>
      </c>
      <c r="M3189" t="s">
        <v>23</v>
      </c>
      <c r="N3189"/>
      <c r="O3189"/>
      <c r="P3189"/>
      <c r="Q3189"/>
      <c r="R3189"/>
      <c r="S3189"/>
    </row>
    <row r="3190" spans="1:19" x14ac:dyDescent="0.25">
      <c r="A3190" t="s">
        <v>193</v>
      </c>
      <c r="C3190" s="27" t="s">
        <v>34749</v>
      </c>
      <c r="D3190" s="28" t="s">
        <v>34867</v>
      </c>
      <c r="J3190" t="s">
        <v>8609</v>
      </c>
      <c r="K3190" t="s">
        <v>8610</v>
      </c>
      <c r="L3190" s="28" t="s">
        <v>8611</v>
      </c>
      <c r="M3190" t="s">
        <v>23</v>
      </c>
      <c r="N3190"/>
      <c r="O3190"/>
      <c r="P3190"/>
      <c r="Q3190"/>
      <c r="R3190"/>
      <c r="S3190"/>
    </row>
    <row r="3191" spans="1:19" x14ac:dyDescent="0.25">
      <c r="A3191" t="s">
        <v>193</v>
      </c>
      <c r="C3191" s="27" t="s">
        <v>34749</v>
      </c>
      <c r="D3191" s="28" t="s">
        <v>34867</v>
      </c>
      <c r="J3191" t="s">
        <v>8612</v>
      </c>
      <c r="K3191" t="s">
        <v>8613</v>
      </c>
      <c r="L3191" s="28" t="s">
        <v>8614</v>
      </c>
      <c r="M3191" t="s">
        <v>23</v>
      </c>
      <c r="N3191"/>
      <c r="O3191"/>
      <c r="P3191"/>
      <c r="Q3191"/>
      <c r="R3191"/>
      <c r="S3191"/>
    </row>
    <row r="3192" spans="1:19" x14ac:dyDescent="0.25">
      <c r="A3192" t="s">
        <v>193</v>
      </c>
      <c r="C3192" s="27" t="s">
        <v>34749</v>
      </c>
      <c r="D3192" s="28" t="s">
        <v>34867</v>
      </c>
      <c r="J3192" t="s">
        <v>8615</v>
      </c>
      <c r="K3192" t="s">
        <v>8616</v>
      </c>
      <c r="L3192" s="28" t="s">
        <v>8617</v>
      </c>
      <c r="M3192" t="s">
        <v>23</v>
      </c>
      <c r="N3192"/>
      <c r="O3192"/>
      <c r="P3192"/>
      <c r="Q3192"/>
      <c r="R3192"/>
      <c r="S3192"/>
    </row>
    <row r="3193" spans="1:19" x14ac:dyDescent="0.25">
      <c r="A3193" t="s">
        <v>193</v>
      </c>
      <c r="C3193" s="27" t="s">
        <v>34749</v>
      </c>
      <c r="D3193" s="28" t="s">
        <v>34867</v>
      </c>
      <c r="J3193" t="s">
        <v>8618</v>
      </c>
      <c r="K3193" t="s">
        <v>8619</v>
      </c>
      <c r="L3193" s="28" t="s">
        <v>8620</v>
      </c>
      <c r="M3193" t="s">
        <v>23</v>
      </c>
      <c r="N3193"/>
      <c r="O3193"/>
      <c r="P3193"/>
      <c r="Q3193"/>
      <c r="R3193"/>
      <c r="S3193"/>
    </row>
    <row r="3194" spans="1:19" x14ac:dyDescent="0.25">
      <c r="A3194" t="s">
        <v>193</v>
      </c>
      <c r="C3194" s="27" t="s">
        <v>34749</v>
      </c>
      <c r="D3194" s="28" t="s">
        <v>34867</v>
      </c>
      <c r="J3194" t="s">
        <v>8621</v>
      </c>
      <c r="K3194" t="s">
        <v>8622</v>
      </c>
      <c r="L3194" s="28" t="s">
        <v>8623</v>
      </c>
      <c r="M3194" t="s">
        <v>23</v>
      </c>
      <c r="N3194"/>
      <c r="O3194"/>
      <c r="P3194"/>
      <c r="Q3194"/>
      <c r="R3194"/>
      <c r="S3194"/>
    </row>
    <row r="3195" spans="1:19" x14ac:dyDescent="0.25">
      <c r="A3195" t="s">
        <v>193</v>
      </c>
      <c r="C3195" s="27" t="s">
        <v>34749</v>
      </c>
      <c r="D3195" s="28" t="s">
        <v>34867</v>
      </c>
      <c r="J3195" t="s">
        <v>8624</v>
      </c>
      <c r="K3195" t="s">
        <v>8625</v>
      </c>
      <c r="L3195" s="28" t="s">
        <v>8626</v>
      </c>
      <c r="M3195" t="s">
        <v>23</v>
      </c>
      <c r="N3195"/>
      <c r="O3195"/>
      <c r="P3195"/>
      <c r="Q3195"/>
      <c r="R3195"/>
      <c r="S3195"/>
    </row>
    <row r="3196" spans="1:19" x14ac:dyDescent="0.25">
      <c r="A3196" t="s">
        <v>193</v>
      </c>
      <c r="C3196" s="27" t="s">
        <v>34749</v>
      </c>
      <c r="D3196" s="28" t="s">
        <v>34867</v>
      </c>
      <c r="J3196" t="s">
        <v>8627</v>
      </c>
      <c r="K3196" t="s">
        <v>8628</v>
      </c>
      <c r="L3196" s="28" t="s">
        <v>8629</v>
      </c>
      <c r="M3196" t="s">
        <v>23</v>
      </c>
      <c r="N3196"/>
      <c r="O3196"/>
      <c r="P3196"/>
      <c r="Q3196"/>
      <c r="R3196"/>
      <c r="S3196"/>
    </row>
    <row r="3197" spans="1:19" x14ac:dyDescent="0.25">
      <c r="A3197" t="s">
        <v>193</v>
      </c>
      <c r="C3197" s="27" t="s">
        <v>34749</v>
      </c>
      <c r="D3197" s="28" t="s">
        <v>34867</v>
      </c>
      <c r="J3197" t="s">
        <v>8630</v>
      </c>
      <c r="K3197" t="s">
        <v>8631</v>
      </c>
      <c r="L3197" s="28" t="s">
        <v>8632</v>
      </c>
      <c r="M3197" t="s">
        <v>23</v>
      </c>
      <c r="N3197"/>
      <c r="O3197"/>
      <c r="P3197"/>
      <c r="Q3197"/>
      <c r="R3197"/>
      <c r="S3197"/>
    </row>
    <row r="3198" spans="1:19" x14ac:dyDescent="0.25">
      <c r="A3198" t="s">
        <v>193</v>
      </c>
      <c r="C3198" s="27" t="s">
        <v>34749</v>
      </c>
      <c r="D3198" s="28" t="s">
        <v>34867</v>
      </c>
      <c r="J3198" t="s">
        <v>8633</v>
      </c>
      <c r="K3198" t="s">
        <v>8634</v>
      </c>
      <c r="L3198" s="28" t="s">
        <v>8635</v>
      </c>
      <c r="M3198" t="s">
        <v>23</v>
      </c>
      <c r="N3198"/>
      <c r="O3198"/>
      <c r="P3198"/>
      <c r="Q3198"/>
      <c r="R3198"/>
      <c r="S3198"/>
    </row>
    <row r="3199" spans="1:19" x14ac:dyDescent="0.25">
      <c r="A3199" t="s">
        <v>193</v>
      </c>
      <c r="C3199" s="27" t="s">
        <v>34749</v>
      </c>
      <c r="D3199" s="28" t="s">
        <v>34867</v>
      </c>
      <c r="J3199" t="s">
        <v>8636</v>
      </c>
      <c r="K3199" t="s">
        <v>8637</v>
      </c>
      <c r="L3199" s="28" t="s">
        <v>8638</v>
      </c>
      <c r="M3199" t="s">
        <v>23</v>
      </c>
      <c r="N3199"/>
      <c r="O3199"/>
      <c r="P3199"/>
      <c r="Q3199"/>
      <c r="R3199"/>
      <c r="S3199"/>
    </row>
    <row r="3200" spans="1:19" x14ac:dyDescent="0.25">
      <c r="A3200" t="s">
        <v>193</v>
      </c>
      <c r="C3200" s="27" t="s">
        <v>34749</v>
      </c>
      <c r="D3200" s="28" t="s">
        <v>34867</v>
      </c>
      <c r="J3200" t="s">
        <v>8639</v>
      </c>
      <c r="K3200" t="s">
        <v>8640</v>
      </c>
      <c r="L3200" s="28" t="s">
        <v>8641</v>
      </c>
      <c r="M3200" t="s">
        <v>23</v>
      </c>
      <c r="N3200"/>
      <c r="O3200"/>
      <c r="P3200"/>
      <c r="Q3200"/>
      <c r="R3200"/>
      <c r="S3200"/>
    </row>
    <row r="3201" spans="1:19" x14ac:dyDescent="0.25">
      <c r="A3201" t="s">
        <v>193</v>
      </c>
      <c r="C3201" s="27" t="s">
        <v>34749</v>
      </c>
      <c r="D3201" s="28" t="s">
        <v>34867</v>
      </c>
      <c r="J3201" t="s">
        <v>8642</v>
      </c>
      <c r="K3201" t="s">
        <v>8643</v>
      </c>
      <c r="L3201" s="28" t="s">
        <v>8644</v>
      </c>
      <c r="M3201" t="s">
        <v>23</v>
      </c>
      <c r="N3201"/>
      <c r="O3201"/>
      <c r="P3201"/>
      <c r="Q3201"/>
      <c r="R3201"/>
      <c r="S3201"/>
    </row>
    <row r="3202" spans="1:19" x14ac:dyDescent="0.25">
      <c r="A3202" t="s">
        <v>193</v>
      </c>
      <c r="C3202" s="27" t="s">
        <v>34749</v>
      </c>
      <c r="D3202" s="28" t="s">
        <v>34867</v>
      </c>
      <c r="J3202" t="s">
        <v>8645</v>
      </c>
      <c r="K3202" t="s">
        <v>8646</v>
      </c>
      <c r="L3202" s="28" t="s">
        <v>8647</v>
      </c>
      <c r="M3202" t="s">
        <v>23</v>
      </c>
      <c r="N3202"/>
      <c r="O3202"/>
      <c r="P3202"/>
      <c r="Q3202"/>
      <c r="R3202"/>
      <c r="S3202"/>
    </row>
    <row r="3203" spans="1:19" x14ac:dyDescent="0.25">
      <c r="A3203" t="s">
        <v>193</v>
      </c>
      <c r="C3203" s="27" t="s">
        <v>34749</v>
      </c>
      <c r="D3203" s="28" t="s">
        <v>34867</v>
      </c>
      <c r="J3203" t="s">
        <v>8648</v>
      </c>
      <c r="K3203" t="s">
        <v>8649</v>
      </c>
      <c r="L3203" s="28" t="s">
        <v>8650</v>
      </c>
      <c r="M3203" t="s">
        <v>23</v>
      </c>
      <c r="N3203"/>
      <c r="O3203"/>
      <c r="P3203"/>
      <c r="Q3203"/>
      <c r="R3203"/>
      <c r="S3203"/>
    </row>
    <row r="3204" spans="1:19" x14ac:dyDescent="0.25">
      <c r="A3204" t="s">
        <v>193</v>
      </c>
      <c r="C3204" s="27" t="s">
        <v>34749</v>
      </c>
      <c r="D3204" s="28" t="s">
        <v>34867</v>
      </c>
      <c r="J3204" t="s">
        <v>8651</v>
      </c>
      <c r="K3204" t="s">
        <v>8652</v>
      </c>
      <c r="L3204" s="28" t="s">
        <v>8653</v>
      </c>
      <c r="M3204" t="s">
        <v>23</v>
      </c>
      <c r="N3204"/>
      <c r="O3204"/>
      <c r="P3204"/>
      <c r="Q3204"/>
      <c r="R3204"/>
      <c r="S3204"/>
    </row>
    <row r="3205" spans="1:19" x14ac:dyDescent="0.25">
      <c r="A3205" t="s">
        <v>193</v>
      </c>
      <c r="C3205" s="27" t="s">
        <v>34749</v>
      </c>
      <c r="D3205" s="28" t="s">
        <v>34867</v>
      </c>
      <c r="J3205" t="s">
        <v>8654</v>
      </c>
      <c r="K3205" t="s">
        <v>8655</v>
      </c>
      <c r="L3205" s="28" t="s">
        <v>8656</v>
      </c>
      <c r="M3205" t="s">
        <v>23</v>
      </c>
      <c r="N3205"/>
      <c r="O3205"/>
      <c r="P3205"/>
      <c r="Q3205"/>
      <c r="R3205"/>
      <c r="S3205"/>
    </row>
    <row r="3206" spans="1:19" x14ac:dyDescent="0.25">
      <c r="A3206" t="s">
        <v>193</v>
      </c>
      <c r="C3206" s="27" t="s">
        <v>34749</v>
      </c>
      <c r="D3206" s="28" t="s">
        <v>34867</v>
      </c>
      <c r="J3206" t="s">
        <v>8657</v>
      </c>
      <c r="K3206" t="s">
        <v>8658</v>
      </c>
      <c r="L3206" s="28" t="s">
        <v>8659</v>
      </c>
      <c r="M3206" t="s">
        <v>23</v>
      </c>
      <c r="N3206"/>
      <c r="O3206"/>
      <c r="P3206"/>
      <c r="Q3206"/>
      <c r="R3206"/>
      <c r="S3206"/>
    </row>
    <row r="3207" spans="1:19" x14ac:dyDescent="0.25">
      <c r="A3207" t="s">
        <v>193</v>
      </c>
      <c r="C3207" s="27" t="s">
        <v>34749</v>
      </c>
      <c r="D3207" s="28" t="s">
        <v>34867</v>
      </c>
      <c r="J3207" t="s">
        <v>8660</v>
      </c>
      <c r="K3207" t="s">
        <v>8661</v>
      </c>
      <c r="L3207" s="28" t="s">
        <v>8662</v>
      </c>
      <c r="M3207" t="s">
        <v>23</v>
      </c>
      <c r="N3207"/>
      <c r="O3207"/>
      <c r="P3207"/>
      <c r="Q3207"/>
      <c r="R3207"/>
      <c r="S3207"/>
    </row>
    <row r="3208" spans="1:19" x14ac:dyDescent="0.25">
      <c r="A3208" t="s">
        <v>193</v>
      </c>
      <c r="C3208" s="27" t="s">
        <v>34749</v>
      </c>
      <c r="D3208" s="28" t="s">
        <v>34867</v>
      </c>
      <c r="J3208" t="s">
        <v>8663</v>
      </c>
      <c r="K3208" t="s">
        <v>8664</v>
      </c>
      <c r="L3208" s="28" t="s">
        <v>8665</v>
      </c>
      <c r="M3208" t="s">
        <v>23</v>
      </c>
      <c r="N3208"/>
      <c r="O3208"/>
      <c r="P3208"/>
      <c r="Q3208"/>
      <c r="R3208"/>
      <c r="S3208"/>
    </row>
    <row r="3209" spans="1:19" x14ac:dyDescent="0.25">
      <c r="A3209" t="s">
        <v>193</v>
      </c>
      <c r="C3209" s="27" t="s">
        <v>34749</v>
      </c>
      <c r="D3209" s="28" t="s">
        <v>34867</v>
      </c>
      <c r="J3209" t="s">
        <v>8666</v>
      </c>
      <c r="K3209" t="s">
        <v>8667</v>
      </c>
      <c r="L3209" s="28" t="s">
        <v>8668</v>
      </c>
      <c r="M3209" t="s">
        <v>23</v>
      </c>
      <c r="N3209"/>
      <c r="O3209"/>
      <c r="P3209"/>
      <c r="Q3209"/>
      <c r="R3209"/>
      <c r="S3209"/>
    </row>
    <row r="3210" spans="1:19" x14ac:dyDescent="0.25">
      <c r="A3210" t="s">
        <v>193</v>
      </c>
      <c r="C3210" s="27" t="s">
        <v>34749</v>
      </c>
      <c r="D3210" s="28" t="s">
        <v>34867</v>
      </c>
      <c r="J3210" t="s">
        <v>8669</v>
      </c>
      <c r="K3210" t="s">
        <v>8670</v>
      </c>
      <c r="L3210" s="28" t="s">
        <v>8671</v>
      </c>
      <c r="M3210" t="s">
        <v>23</v>
      </c>
      <c r="N3210"/>
      <c r="O3210"/>
      <c r="P3210"/>
      <c r="Q3210"/>
      <c r="R3210"/>
      <c r="S3210"/>
    </row>
    <row r="3211" spans="1:19" x14ac:dyDescent="0.25">
      <c r="A3211" t="s">
        <v>193</v>
      </c>
      <c r="C3211" s="27" t="s">
        <v>34749</v>
      </c>
      <c r="D3211" s="28" t="s">
        <v>34867</v>
      </c>
      <c r="J3211" t="s">
        <v>8672</v>
      </c>
      <c r="K3211" t="s">
        <v>8673</v>
      </c>
      <c r="L3211" s="28" t="s">
        <v>8674</v>
      </c>
      <c r="M3211" t="s">
        <v>23</v>
      </c>
      <c r="N3211"/>
      <c r="O3211"/>
      <c r="P3211"/>
      <c r="Q3211"/>
      <c r="R3211"/>
      <c r="S3211"/>
    </row>
    <row r="3212" spans="1:19" x14ac:dyDescent="0.25">
      <c r="A3212" t="s">
        <v>193</v>
      </c>
      <c r="C3212" s="27" t="s">
        <v>34749</v>
      </c>
      <c r="D3212" s="28" t="s">
        <v>34867</v>
      </c>
      <c r="J3212" t="s">
        <v>8675</v>
      </c>
      <c r="K3212" t="s">
        <v>8676</v>
      </c>
      <c r="L3212" s="28" t="s">
        <v>8677</v>
      </c>
      <c r="M3212" t="s">
        <v>23</v>
      </c>
      <c r="N3212"/>
      <c r="O3212"/>
      <c r="P3212"/>
      <c r="Q3212"/>
      <c r="R3212"/>
      <c r="S3212"/>
    </row>
    <row r="3213" spans="1:19" x14ac:dyDescent="0.25">
      <c r="A3213" t="s">
        <v>193</v>
      </c>
      <c r="C3213" s="27" t="s">
        <v>34749</v>
      </c>
      <c r="D3213" s="28" t="s">
        <v>34867</v>
      </c>
      <c r="J3213" t="s">
        <v>8678</v>
      </c>
      <c r="K3213" t="s">
        <v>8679</v>
      </c>
      <c r="L3213" s="28" t="s">
        <v>8680</v>
      </c>
      <c r="M3213" t="s">
        <v>23</v>
      </c>
      <c r="N3213"/>
      <c r="O3213"/>
      <c r="P3213"/>
      <c r="Q3213"/>
      <c r="R3213"/>
      <c r="S3213"/>
    </row>
    <row r="3214" spans="1:19" x14ac:dyDescent="0.25">
      <c r="A3214" t="s">
        <v>193</v>
      </c>
      <c r="C3214" s="27" t="s">
        <v>34749</v>
      </c>
      <c r="D3214" s="28" t="s">
        <v>34867</v>
      </c>
      <c r="J3214" t="s">
        <v>8681</v>
      </c>
      <c r="K3214" t="s">
        <v>8682</v>
      </c>
      <c r="L3214" s="28" t="s">
        <v>8683</v>
      </c>
      <c r="M3214" t="s">
        <v>23</v>
      </c>
      <c r="N3214"/>
      <c r="O3214"/>
      <c r="P3214"/>
      <c r="Q3214"/>
      <c r="R3214"/>
      <c r="S3214"/>
    </row>
    <row r="3215" spans="1:19" x14ac:dyDescent="0.25">
      <c r="A3215" t="s">
        <v>193</v>
      </c>
      <c r="C3215" s="27" t="s">
        <v>34749</v>
      </c>
      <c r="D3215" s="28" t="s">
        <v>34867</v>
      </c>
      <c r="J3215" t="s">
        <v>8684</v>
      </c>
      <c r="K3215" t="s">
        <v>8685</v>
      </c>
      <c r="L3215" s="28" t="s">
        <v>8686</v>
      </c>
      <c r="M3215" t="s">
        <v>23</v>
      </c>
      <c r="N3215"/>
      <c r="O3215"/>
      <c r="P3215"/>
      <c r="Q3215"/>
      <c r="R3215"/>
      <c r="S3215"/>
    </row>
    <row r="3216" spans="1:19" x14ac:dyDescent="0.25">
      <c r="A3216" t="s">
        <v>193</v>
      </c>
      <c r="C3216" s="27" t="s">
        <v>34749</v>
      </c>
      <c r="D3216" s="28" t="s">
        <v>34867</v>
      </c>
      <c r="J3216" t="s">
        <v>8687</v>
      </c>
      <c r="K3216" t="s">
        <v>8688</v>
      </c>
      <c r="L3216" s="28" t="s">
        <v>8689</v>
      </c>
      <c r="M3216" t="s">
        <v>23</v>
      </c>
      <c r="N3216"/>
      <c r="O3216"/>
      <c r="P3216"/>
      <c r="Q3216"/>
      <c r="R3216"/>
      <c r="S3216"/>
    </row>
    <row r="3217" spans="1:19" x14ac:dyDescent="0.25">
      <c r="A3217" t="s">
        <v>193</v>
      </c>
      <c r="C3217" s="27" t="s">
        <v>34749</v>
      </c>
      <c r="D3217" s="28" t="s">
        <v>34867</v>
      </c>
      <c r="J3217" t="s">
        <v>8690</v>
      </c>
      <c r="K3217" t="s">
        <v>8691</v>
      </c>
      <c r="L3217" s="28" t="s">
        <v>8692</v>
      </c>
      <c r="M3217" t="s">
        <v>23</v>
      </c>
      <c r="N3217"/>
      <c r="O3217"/>
      <c r="P3217"/>
      <c r="Q3217"/>
      <c r="R3217"/>
      <c r="S3217"/>
    </row>
    <row r="3218" spans="1:19" x14ac:dyDescent="0.25">
      <c r="A3218" t="s">
        <v>193</v>
      </c>
      <c r="C3218" s="27" t="s">
        <v>34749</v>
      </c>
      <c r="D3218" s="28" t="s">
        <v>34867</v>
      </c>
      <c r="J3218" t="s">
        <v>8693</v>
      </c>
      <c r="K3218" t="s">
        <v>8694</v>
      </c>
      <c r="L3218" s="28" t="s">
        <v>8695</v>
      </c>
      <c r="M3218" t="s">
        <v>23</v>
      </c>
      <c r="N3218"/>
      <c r="O3218"/>
      <c r="P3218"/>
      <c r="Q3218"/>
      <c r="R3218"/>
      <c r="S3218"/>
    </row>
    <row r="3219" spans="1:19" x14ac:dyDescent="0.25">
      <c r="A3219" t="s">
        <v>193</v>
      </c>
      <c r="C3219" s="27" t="s">
        <v>34749</v>
      </c>
      <c r="D3219" s="28" t="s">
        <v>34867</v>
      </c>
      <c r="J3219" t="s">
        <v>8696</v>
      </c>
      <c r="K3219" t="s">
        <v>8697</v>
      </c>
      <c r="L3219" s="28" t="s">
        <v>8698</v>
      </c>
      <c r="M3219" t="s">
        <v>23</v>
      </c>
      <c r="N3219"/>
      <c r="O3219"/>
      <c r="P3219"/>
      <c r="Q3219"/>
      <c r="R3219"/>
      <c r="S3219"/>
    </row>
    <row r="3220" spans="1:19" x14ac:dyDescent="0.25">
      <c r="A3220" t="s">
        <v>193</v>
      </c>
      <c r="C3220" s="27" t="s">
        <v>34749</v>
      </c>
      <c r="D3220" s="28" t="s">
        <v>34867</v>
      </c>
      <c r="J3220" t="s">
        <v>8699</v>
      </c>
      <c r="K3220" t="s">
        <v>8700</v>
      </c>
      <c r="L3220" s="28" t="s">
        <v>8701</v>
      </c>
      <c r="M3220" t="s">
        <v>23</v>
      </c>
      <c r="N3220"/>
      <c r="O3220"/>
      <c r="P3220"/>
      <c r="Q3220"/>
      <c r="R3220"/>
      <c r="S3220"/>
    </row>
    <row r="3221" spans="1:19" x14ac:dyDescent="0.25">
      <c r="A3221" t="s">
        <v>193</v>
      </c>
      <c r="C3221" s="27" t="s">
        <v>34749</v>
      </c>
      <c r="D3221" s="28" t="s">
        <v>34867</v>
      </c>
      <c r="J3221" t="s">
        <v>8702</v>
      </c>
      <c r="K3221" t="s">
        <v>8703</v>
      </c>
      <c r="L3221" s="28" t="s">
        <v>8704</v>
      </c>
      <c r="M3221" t="s">
        <v>23</v>
      </c>
      <c r="N3221"/>
      <c r="O3221"/>
      <c r="P3221"/>
      <c r="Q3221"/>
      <c r="R3221"/>
      <c r="S3221"/>
    </row>
    <row r="3222" spans="1:19" x14ac:dyDescent="0.25">
      <c r="A3222" t="s">
        <v>193</v>
      </c>
      <c r="C3222" s="27" t="s">
        <v>34749</v>
      </c>
      <c r="D3222" s="28" t="s">
        <v>34867</v>
      </c>
      <c r="J3222" t="s">
        <v>8705</v>
      </c>
      <c r="K3222" t="s">
        <v>8706</v>
      </c>
      <c r="L3222" s="28" t="s">
        <v>8707</v>
      </c>
      <c r="M3222" t="s">
        <v>23</v>
      </c>
      <c r="N3222"/>
      <c r="O3222"/>
      <c r="P3222"/>
      <c r="Q3222"/>
      <c r="R3222"/>
      <c r="S3222"/>
    </row>
    <row r="3223" spans="1:19" x14ac:dyDescent="0.25">
      <c r="A3223" t="s">
        <v>193</v>
      </c>
      <c r="C3223" s="27" t="s">
        <v>34749</v>
      </c>
      <c r="D3223" s="28" t="s">
        <v>34867</v>
      </c>
      <c r="J3223" t="s">
        <v>8708</v>
      </c>
      <c r="K3223" t="s">
        <v>8709</v>
      </c>
      <c r="L3223" s="28" t="s">
        <v>8710</v>
      </c>
      <c r="M3223" t="s">
        <v>23</v>
      </c>
      <c r="N3223"/>
      <c r="O3223"/>
      <c r="P3223"/>
      <c r="Q3223"/>
      <c r="R3223"/>
      <c r="S3223"/>
    </row>
    <row r="3224" spans="1:19" x14ac:dyDescent="0.25">
      <c r="A3224" t="s">
        <v>193</v>
      </c>
      <c r="C3224" s="27" t="s">
        <v>34749</v>
      </c>
      <c r="D3224" s="28" t="s">
        <v>34867</v>
      </c>
      <c r="J3224" t="s">
        <v>8711</v>
      </c>
      <c r="K3224" t="s">
        <v>8712</v>
      </c>
      <c r="L3224" s="28" t="s">
        <v>8713</v>
      </c>
      <c r="M3224" t="s">
        <v>23</v>
      </c>
      <c r="N3224"/>
      <c r="O3224"/>
      <c r="P3224"/>
      <c r="Q3224"/>
      <c r="R3224"/>
      <c r="S3224"/>
    </row>
    <row r="3225" spans="1:19" x14ac:dyDescent="0.25">
      <c r="A3225" t="s">
        <v>193</v>
      </c>
      <c r="C3225" s="27" t="s">
        <v>34749</v>
      </c>
      <c r="D3225" s="28" t="s">
        <v>34867</v>
      </c>
      <c r="J3225" t="s">
        <v>8714</v>
      </c>
      <c r="K3225" t="s">
        <v>8715</v>
      </c>
      <c r="L3225" s="28" t="s">
        <v>8716</v>
      </c>
      <c r="M3225" t="s">
        <v>23</v>
      </c>
      <c r="N3225"/>
      <c r="O3225"/>
      <c r="P3225"/>
      <c r="Q3225"/>
      <c r="R3225"/>
      <c r="S3225"/>
    </row>
    <row r="3226" spans="1:19" x14ac:dyDescent="0.25">
      <c r="A3226" t="s">
        <v>193</v>
      </c>
      <c r="C3226" s="27" t="s">
        <v>34749</v>
      </c>
      <c r="D3226" s="28" t="s">
        <v>34867</v>
      </c>
      <c r="I3226" t="str">
        <f>CONCATENATE(LEFT(K3226,SEARCH(" (",K3226))," | ", RIGHT(LEFT(K3226,LEN(K3226)-1),LEN(K3226)-2-FIND(" (",K3226)))</f>
        <v>gamma-hexachloorcyclohexaan  | lindaan</v>
      </c>
      <c r="J3226" t="s">
        <v>8717</v>
      </c>
      <c r="K3226" t="s">
        <v>8718</v>
      </c>
      <c r="L3226" s="28" t="s">
        <v>8719</v>
      </c>
      <c r="M3226" t="s">
        <v>23</v>
      </c>
      <c r="N3226"/>
      <c r="O3226"/>
      <c r="P3226"/>
      <c r="Q3226"/>
      <c r="R3226"/>
      <c r="S3226"/>
    </row>
    <row r="3227" spans="1:19" x14ac:dyDescent="0.25">
      <c r="A3227" t="s">
        <v>193</v>
      </c>
      <c r="C3227" s="27" t="s">
        <v>34749</v>
      </c>
      <c r="D3227" s="28" t="s">
        <v>34867</v>
      </c>
      <c r="J3227" t="s">
        <v>8720</v>
      </c>
      <c r="K3227" t="s">
        <v>8721</v>
      </c>
      <c r="L3227" s="28" t="s">
        <v>8722</v>
      </c>
      <c r="M3227" t="s">
        <v>23</v>
      </c>
      <c r="N3227"/>
      <c r="O3227"/>
      <c r="P3227"/>
      <c r="Q3227"/>
      <c r="R3227"/>
      <c r="S3227"/>
    </row>
    <row r="3228" spans="1:19" x14ac:dyDescent="0.25">
      <c r="A3228" t="s">
        <v>193</v>
      </c>
      <c r="C3228" s="27" t="s">
        <v>34749</v>
      </c>
      <c r="D3228" s="28" t="s">
        <v>34867</v>
      </c>
      <c r="J3228" t="s">
        <v>8723</v>
      </c>
      <c r="K3228" t="s">
        <v>8724</v>
      </c>
      <c r="L3228" s="28" t="s">
        <v>8725</v>
      </c>
      <c r="M3228" t="s">
        <v>23</v>
      </c>
      <c r="N3228"/>
      <c r="O3228"/>
      <c r="P3228"/>
      <c r="Q3228"/>
      <c r="R3228"/>
      <c r="S3228"/>
    </row>
    <row r="3229" spans="1:19" x14ac:dyDescent="0.25">
      <c r="A3229" t="s">
        <v>193</v>
      </c>
      <c r="C3229" s="27" t="s">
        <v>34749</v>
      </c>
      <c r="D3229" s="28" t="s">
        <v>34867</v>
      </c>
      <c r="J3229" t="s">
        <v>8726</v>
      </c>
      <c r="K3229" t="s">
        <v>8727</v>
      </c>
      <c r="L3229" s="28" t="s">
        <v>8728</v>
      </c>
      <c r="M3229" t="s">
        <v>23</v>
      </c>
      <c r="N3229"/>
      <c r="O3229"/>
      <c r="P3229"/>
      <c r="Q3229"/>
      <c r="R3229"/>
      <c r="S3229"/>
    </row>
    <row r="3230" spans="1:19" x14ac:dyDescent="0.25">
      <c r="A3230" t="s">
        <v>193</v>
      </c>
      <c r="C3230" s="27" t="s">
        <v>34749</v>
      </c>
      <c r="D3230" s="28" t="s">
        <v>34867</v>
      </c>
      <c r="J3230" t="s">
        <v>8729</v>
      </c>
      <c r="K3230" t="s">
        <v>8730</v>
      </c>
      <c r="L3230" s="28" t="s">
        <v>8731</v>
      </c>
      <c r="M3230" t="s">
        <v>23</v>
      </c>
      <c r="N3230"/>
      <c r="O3230"/>
      <c r="P3230"/>
      <c r="Q3230"/>
      <c r="R3230"/>
      <c r="S3230"/>
    </row>
    <row r="3231" spans="1:19" x14ac:dyDescent="0.25">
      <c r="A3231" t="s">
        <v>193</v>
      </c>
      <c r="C3231" s="27" t="s">
        <v>34749</v>
      </c>
      <c r="D3231" s="28" t="s">
        <v>34867</v>
      </c>
      <c r="J3231" t="s">
        <v>8732</v>
      </c>
      <c r="K3231" t="s">
        <v>8733</v>
      </c>
      <c r="L3231" s="28" t="s">
        <v>8734</v>
      </c>
      <c r="M3231" t="s">
        <v>23</v>
      </c>
      <c r="N3231"/>
      <c r="O3231"/>
      <c r="P3231"/>
      <c r="Q3231"/>
      <c r="R3231"/>
      <c r="S3231"/>
    </row>
    <row r="3232" spans="1:19" x14ac:dyDescent="0.25">
      <c r="A3232" t="s">
        <v>193</v>
      </c>
      <c r="C3232" s="27" t="s">
        <v>34749</v>
      </c>
      <c r="D3232" s="28" t="s">
        <v>34867</v>
      </c>
      <c r="J3232" t="s">
        <v>8735</v>
      </c>
      <c r="K3232" t="s">
        <v>8736</v>
      </c>
      <c r="L3232" s="28" t="s">
        <v>8737</v>
      </c>
      <c r="M3232" t="s">
        <v>23</v>
      </c>
      <c r="N3232"/>
      <c r="O3232"/>
      <c r="P3232"/>
      <c r="Q3232"/>
      <c r="R3232"/>
      <c r="S3232"/>
    </row>
    <row r="3233" spans="1:19" x14ac:dyDescent="0.25">
      <c r="A3233" t="s">
        <v>193</v>
      </c>
      <c r="C3233" s="27" t="s">
        <v>34749</v>
      </c>
      <c r="D3233" s="28" t="s">
        <v>34867</v>
      </c>
      <c r="J3233" t="s">
        <v>8738</v>
      </c>
      <c r="K3233" t="s">
        <v>8739</v>
      </c>
      <c r="L3233" s="28" t="s">
        <v>8740</v>
      </c>
      <c r="M3233" t="s">
        <v>23</v>
      </c>
      <c r="N3233"/>
      <c r="O3233"/>
      <c r="P3233"/>
      <c r="Q3233"/>
      <c r="R3233"/>
      <c r="S3233"/>
    </row>
    <row r="3234" spans="1:19" x14ac:dyDescent="0.25">
      <c r="A3234" t="s">
        <v>193</v>
      </c>
      <c r="C3234" s="27" t="s">
        <v>34749</v>
      </c>
      <c r="D3234" s="28" t="s">
        <v>34867</v>
      </c>
      <c r="J3234" t="s">
        <v>8741</v>
      </c>
      <c r="K3234" t="s">
        <v>8742</v>
      </c>
      <c r="L3234" s="28" t="s">
        <v>8743</v>
      </c>
      <c r="M3234" t="s">
        <v>23</v>
      </c>
      <c r="N3234"/>
      <c r="O3234"/>
      <c r="P3234"/>
      <c r="Q3234"/>
      <c r="R3234"/>
      <c r="S3234"/>
    </row>
    <row r="3235" spans="1:19" x14ac:dyDescent="0.25">
      <c r="A3235" t="s">
        <v>193</v>
      </c>
      <c r="C3235" s="27" t="s">
        <v>34749</v>
      </c>
      <c r="D3235" s="28" t="s">
        <v>34867</v>
      </c>
      <c r="J3235" t="s">
        <v>8744</v>
      </c>
      <c r="K3235" t="s">
        <v>8745</v>
      </c>
      <c r="L3235" s="28" t="s">
        <v>8746</v>
      </c>
      <c r="M3235" t="s">
        <v>23</v>
      </c>
      <c r="N3235"/>
      <c r="O3235"/>
      <c r="P3235"/>
      <c r="Q3235"/>
      <c r="R3235"/>
      <c r="S3235"/>
    </row>
    <row r="3236" spans="1:19" x14ac:dyDescent="0.25">
      <c r="A3236" t="s">
        <v>193</v>
      </c>
      <c r="C3236" s="27" t="s">
        <v>34749</v>
      </c>
      <c r="D3236" s="28" t="s">
        <v>34867</v>
      </c>
      <c r="J3236" t="s">
        <v>8747</v>
      </c>
      <c r="K3236" t="s">
        <v>8748</v>
      </c>
      <c r="L3236" s="28" t="s">
        <v>8749</v>
      </c>
      <c r="M3236" t="s">
        <v>23</v>
      </c>
      <c r="N3236"/>
      <c r="O3236"/>
      <c r="P3236"/>
      <c r="Q3236"/>
      <c r="R3236"/>
      <c r="S3236"/>
    </row>
    <row r="3237" spans="1:19" x14ac:dyDescent="0.25">
      <c r="A3237" t="s">
        <v>193</v>
      </c>
      <c r="C3237" s="27" t="s">
        <v>34749</v>
      </c>
      <c r="D3237" s="28" t="s">
        <v>34867</v>
      </c>
      <c r="J3237" t="s">
        <v>8750</v>
      </c>
      <c r="K3237" t="s">
        <v>8751</v>
      </c>
      <c r="L3237" s="28" t="s">
        <v>8752</v>
      </c>
      <c r="M3237" t="s">
        <v>23</v>
      </c>
      <c r="N3237"/>
      <c r="O3237"/>
      <c r="P3237"/>
      <c r="Q3237"/>
      <c r="R3237"/>
      <c r="S3237"/>
    </row>
    <row r="3238" spans="1:19" x14ac:dyDescent="0.25">
      <c r="A3238" t="s">
        <v>193</v>
      </c>
      <c r="C3238" s="27" t="s">
        <v>34749</v>
      </c>
      <c r="D3238" s="28" t="s">
        <v>34867</v>
      </c>
      <c r="J3238" t="s">
        <v>8753</v>
      </c>
      <c r="K3238" t="s">
        <v>8754</v>
      </c>
      <c r="L3238" s="28" t="s">
        <v>8755</v>
      </c>
      <c r="M3238" t="s">
        <v>23</v>
      </c>
      <c r="N3238"/>
      <c r="O3238"/>
      <c r="P3238"/>
      <c r="Q3238"/>
      <c r="R3238"/>
      <c r="S3238"/>
    </row>
    <row r="3239" spans="1:19" x14ac:dyDescent="0.25">
      <c r="A3239" t="s">
        <v>193</v>
      </c>
      <c r="C3239" s="27" t="s">
        <v>34749</v>
      </c>
      <c r="D3239" s="28" t="s">
        <v>34867</v>
      </c>
      <c r="J3239" t="s">
        <v>8756</v>
      </c>
      <c r="K3239" t="s">
        <v>8757</v>
      </c>
      <c r="L3239" s="28" t="s">
        <v>8758</v>
      </c>
      <c r="M3239" t="s">
        <v>23</v>
      </c>
      <c r="N3239"/>
      <c r="O3239"/>
      <c r="P3239"/>
      <c r="Q3239"/>
      <c r="R3239"/>
      <c r="S3239"/>
    </row>
    <row r="3240" spans="1:19" x14ac:dyDescent="0.25">
      <c r="A3240" t="s">
        <v>193</v>
      </c>
      <c r="C3240" s="27" t="s">
        <v>34749</v>
      </c>
      <c r="D3240" s="28" t="s">
        <v>34867</v>
      </c>
      <c r="J3240" t="s">
        <v>8759</v>
      </c>
      <c r="K3240" t="s">
        <v>8760</v>
      </c>
      <c r="L3240" s="28" t="s">
        <v>8761</v>
      </c>
      <c r="M3240" t="s">
        <v>23</v>
      </c>
      <c r="N3240"/>
      <c r="O3240"/>
      <c r="P3240"/>
      <c r="Q3240"/>
      <c r="R3240"/>
      <c r="S3240"/>
    </row>
    <row r="3241" spans="1:19" x14ac:dyDescent="0.25">
      <c r="A3241" t="s">
        <v>193</v>
      </c>
      <c r="C3241" s="27" t="s">
        <v>34749</v>
      </c>
      <c r="D3241" s="28" t="s">
        <v>34867</v>
      </c>
      <c r="J3241" t="s">
        <v>8762</v>
      </c>
      <c r="K3241" t="s">
        <v>8763</v>
      </c>
      <c r="L3241" s="28" t="s">
        <v>8764</v>
      </c>
      <c r="M3241" t="s">
        <v>23</v>
      </c>
      <c r="N3241"/>
      <c r="O3241"/>
      <c r="P3241"/>
      <c r="Q3241"/>
      <c r="R3241"/>
      <c r="S3241"/>
    </row>
    <row r="3242" spans="1:19" x14ac:dyDescent="0.25">
      <c r="A3242" t="s">
        <v>193</v>
      </c>
      <c r="C3242" s="27" t="s">
        <v>34749</v>
      </c>
      <c r="D3242" s="28" t="s">
        <v>34867</v>
      </c>
      <c r="J3242" t="s">
        <v>8765</v>
      </c>
      <c r="K3242" t="s">
        <v>8766</v>
      </c>
      <c r="L3242" s="28" t="s">
        <v>8767</v>
      </c>
      <c r="M3242" t="s">
        <v>23</v>
      </c>
      <c r="N3242"/>
      <c r="O3242"/>
      <c r="P3242"/>
      <c r="Q3242"/>
      <c r="R3242"/>
      <c r="S3242"/>
    </row>
    <row r="3243" spans="1:19" x14ac:dyDescent="0.25">
      <c r="A3243" t="s">
        <v>193</v>
      </c>
      <c r="C3243" s="27" t="s">
        <v>34749</v>
      </c>
      <c r="D3243" s="28" t="s">
        <v>34867</v>
      </c>
      <c r="J3243" t="s">
        <v>8768</v>
      </c>
      <c r="K3243" t="s">
        <v>8769</v>
      </c>
      <c r="L3243" s="28" t="s">
        <v>8770</v>
      </c>
      <c r="M3243" t="s">
        <v>23</v>
      </c>
      <c r="N3243"/>
      <c r="O3243"/>
      <c r="P3243"/>
      <c r="Q3243"/>
      <c r="R3243"/>
      <c r="S3243"/>
    </row>
    <row r="3244" spans="1:19" x14ac:dyDescent="0.25">
      <c r="A3244" t="s">
        <v>193</v>
      </c>
      <c r="C3244" s="27" t="s">
        <v>34749</v>
      </c>
      <c r="D3244" s="28" t="s">
        <v>34867</v>
      </c>
      <c r="J3244" t="s">
        <v>8771</v>
      </c>
      <c r="K3244" t="s">
        <v>8772</v>
      </c>
      <c r="L3244" s="28" t="s">
        <v>8773</v>
      </c>
      <c r="M3244" t="s">
        <v>23</v>
      </c>
      <c r="N3244"/>
      <c r="O3244"/>
      <c r="P3244"/>
      <c r="Q3244"/>
      <c r="R3244"/>
      <c r="S3244"/>
    </row>
    <row r="3245" spans="1:19" x14ac:dyDescent="0.25">
      <c r="A3245" t="s">
        <v>193</v>
      </c>
      <c r="C3245" s="27" t="s">
        <v>34749</v>
      </c>
      <c r="D3245" s="28" t="s">
        <v>34867</v>
      </c>
      <c r="J3245" t="s">
        <v>8774</v>
      </c>
      <c r="K3245" t="s">
        <v>8775</v>
      </c>
      <c r="L3245" s="28" t="s">
        <v>8776</v>
      </c>
      <c r="M3245" t="s">
        <v>23</v>
      </c>
      <c r="N3245"/>
      <c r="O3245"/>
      <c r="P3245"/>
      <c r="Q3245"/>
      <c r="R3245"/>
      <c r="S3245"/>
    </row>
    <row r="3246" spans="1:19" x14ac:dyDescent="0.25">
      <c r="A3246" t="s">
        <v>193</v>
      </c>
      <c r="C3246" s="27" t="s">
        <v>34749</v>
      </c>
      <c r="D3246" s="28" t="s">
        <v>34867</v>
      </c>
      <c r="J3246" t="s">
        <v>8777</v>
      </c>
      <c r="K3246" t="s">
        <v>8778</v>
      </c>
      <c r="L3246" s="28" t="s">
        <v>8779</v>
      </c>
      <c r="M3246" t="s">
        <v>23</v>
      </c>
      <c r="N3246"/>
      <c r="O3246"/>
      <c r="P3246"/>
      <c r="Q3246"/>
      <c r="R3246"/>
      <c r="S3246"/>
    </row>
    <row r="3247" spans="1:19" x14ac:dyDescent="0.25">
      <c r="A3247" t="s">
        <v>193</v>
      </c>
      <c r="C3247" s="27" t="s">
        <v>34749</v>
      </c>
      <c r="D3247" s="28" t="s">
        <v>34867</v>
      </c>
      <c r="J3247" t="s">
        <v>8780</v>
      </c>
      <c r="K3247" t="s">
        <v>8781</v>
      </c>
      <c r="L3247" s="28" t="s">
        <v>8782</v>
      </c>
      <c r="M3247" t="s">
        <v>23</v>
      </c>
      <c r="N3247"/>
      <c r="O3247"/>
      <c r="P3247"/>
      <c r="Q3247"/>
      <c r="R3247"/>
      <c r="S3247"/>
    </row>
    <row r="3248" spans="1:19" x14ac:dyDescent="0.25">
      <c r="A3248" t="s">
        <v>193</v>
      </c>
      <c r="C3248" s="27" t="s">
        <v>34749</v>
      </c>
      <c r="D3248" s="28" t="s">
        <v>34867</v>
      </c>
      <c r="J3248" t="s">
        <v>8783</v>
      </c>
      <c r="K3248" t="s">
        <v>8784</v>
      </c>
      <c r="L3248" s="28" t="s">
        <v>8785</v>
      </c>
      <c r="M3248" t="s">
        <v>23</v>
      </c>
      <c r="N3248"/>
      <c r="O3248"/>
      <c r="P3248"/>
      <c r="Q3248"/>
      <c r="R3248"/>
      <c r="S3248"/>
    </row>
    <row r="3249" spans="1:19" x14ac:dyDescent="0.25">
      <c r="A3249" t="s">
        <v>193</v>
      </c>
      <c r="C3249" s="27" t="s">
        <v>34749</v>
      </c>
      <c r="D3249" s="28" t="s">
        <v>34867</v>
      </c>
      <c r="J3249" t="s">
        <v>8786</v>
      </c>
      <c r="K3249" t="s">
        <v>8787</v>
      </c>
      <c r="L3249" s="28" t="s">
        <v>8788</v>
      </c>
      <c r="M3249" t="s">
        <v>23</v>
      </c>
      <c r="N3249"/>
      <c r="O3249"/>
      <c r="P3249"/>
      <c r="Q3249"/>
      <c r="R3249"/>
      <c r="S3249"/>
    </row>
    <row r="3250" spans="1:19" x14ac:dyDescent="0.25">
      <c r="A3250" t="s">
        <v>193</v>
      </c>
      <c r="C3250" s="27" t="s">
        <v>34749</v>
      </c>
      <c r="D3250" s="28" t="s">
        <v>34867</v>
      </c>
      <c r="J3250" t="s">
        <v>8789</v>
      </c>
      <c r="K3250" t="s">
        <v>8790</v>
      </c>
      <c r="L3250" s="28" t="s">
        <v>8791</v>
      </c>
      <c r="M3250" t="s">
        <v>23</v>
      </c>
      <c r="N3250"/>
      <c r="O3250"/>
      <c r="P3250"/>
      <c r="Q3250"/>
      <c r="R3250"/>
      <c r="S3250"/>
    </row>
    <row r="3251" spans="1:19" x14ac:dyDescent="0.25">
      <c r="A3251" t="s">
        <v>193</v>
      </c>
      <c r="C3251" s="27" t="s">
        <v>34749</v>
      </c>
      <c r="D3251" s="28" t="s">
        <v>34867</v>
      </c>
      <c r="E3251" s="3"/>
      <c r="F3251" s="3"/>
      <c r="J3251" t="s">
        <v>8792</v>
      </c>
      <c r="K3251" t="s">
        <v>8793</v>
      </c>
      <c r="L3251" s="28" t="s">
        <v>8794</v>
      </c>
      <c r="M3251" t="s">
        <v>23</v>
      </c>
      <c r="N3251"/>
      <c r="O3251"/>
      <c r="P3251"/>
      <c r="Q3251"/>
      <c r="R3251"/>
      <c r="S3251"/>
    </row>
    <row r="3252" spans="1:19" x14ac:dyDescent="0.25">
      <c r="A3252" t="s">
        <v>193</v>
      </c>
      <c r="C3252" s="27" t="s">
        <v>34749</v>
      </c>
      <c r="D3252" s="28" t="s">
        <v>34867</v>
      </c>
      <c r="J3252" t="s">
        <v>8795</v>
      </c>
      <c r="K3252" t="s">
        <v>8796</v>
      </c>
      <c r="L3252" s="28" t="s">
        <v>8797</v>
      </c>
      <c r="M3252" t="s">
        <v>23</v>
      </c>
      <c r="N3252"/>
      <c r="O3252"/>
      <c r="P3252"/>
      <c r="Q3252"/>
      <c r="R3252"/>
      <c r="S3252"/>
    </row>
    <row r="3253" spans="1:19" x14ac:dyDescent="0.25">
      <c r="A3253" t="s">
        <v>193</v>
      </c>
      <c r="C3253" s="27" t="s">
        <v>34749</v>
      </c>
      <c r="D3253" s="28" t="s">
        <v>34867</v>
      </c>
      <c r="J3253" t="s">
        <v>8798</v>
      </c>
      <c r="K3253" t="s">
        <v>8799</v>
      </c>
      <c r="L3253" s="28" t="s">
        <v>8800</v>
      </c>
      <c r="M3253" t="s">
        <v>23</v>
      </c>
      <c r="N3253"/>
      <c r="O3253"/>
      <c r="P3253"/>
      <c r="Q3253"/>
      <c r="R3253"/>
      <c r="S3253"/>
    </row>
    <row r="3254" spans="1:19" x14ac:dyDescent="0.25">
      <c r="A3254" t="s">
        <v>193</v>
      </c>
      <c r="C3254" s="27" t="s">
        <v>34749</v>
      </c>
      <c r="D3254" s="28" t="s">
        <v>34867</v>
      </c>
      <c r="E3254" s="3"/>
      <c r="F3254" s="3"/>
      <c r="J3254" t="s">
        <v>8801</v>
      </c>
      <c r="K3254" t="s">
        <v>8802</v>
      </c>
      <c r="L3254" s="28" t="s">
        <v>8803</v>
      </c>
      <c r="M3254" t="s">
        <v>23</v>
      </c>
      <c r="N3254"/>
      <c r="O3254"/>
      <c r="P3254"/>
      <c r="Q3254"/>
      <c r="R3254"/>
      <c r="S3254"/>
    </row>
    <row r="3255" spans="1:19" x14ac:dyDescent="0.25">
      <c r="A3255" t="s">
        <v>193</v>
      </c>
      <c r="C3255" s="27" t="s">
        <v>34749</v>
      </c>
      <c r="D3255" s="28" t="s">
        <v>34867</v>
      </c>
      <c r="J3255" t="s">
        <v>8804</v>
      </c>
      <c r="K3255" t="s">
        <v>8805</v>
      </c>
      <c r="L3255" s="28" t="s">
        <v>8806</v>
      </c>
      <c r="M3255" t="s">
        <v>23</v>
      </c>
      <c r="N3255"/>
      <c r="O3255"/>
      <c r="P3255"/>
      <c r="Q3255"/>
      <c r="R3255"/>
      <c r="S3255"/>
    </row>
    <row r="3256" spans="1:19" x14ac:dyDescent="0.25">
      <c r="A3256" t="s">
        <v>193</v>
      </c>
      <c r="C3256" s="27" t="s">
        <v>34749</v>
      </c>
      <c r="D3256" s="28" t="s">
        <v>34867</v>
      </c>
      <c r="J3256" t="s">
        <v>8807</v>
      </c>
      <c r="K3256" t="s">
        <v>8808</v>
      </c>
      <c r="L3256" s="28" t="s">
        <v>8809</v>
      </c>
      <c r="M3256" t="s">
        <v>23</v>
      </c>
      <c r="N3256"/>
      <c r="O3256"/>
      <c r="P3256"/>
      <c r="Q3256"/>
      <c r="R3256"/>
      <c r="S3256"/>
    </row>
    <row r="3257" spans="1:19" x14ac:dyDescent="0.25">
      <c r="A3257" t="s">
        <v>193</v>
      </c>
      <c r="C3257" s="27" t="s">
        <v>34749</v>
      </c>
      <c r="D3257" s="28" t="s">
        <v>34867</v>
      </c>
      <c r="J3257" t="s">
        <v>8810</v>
      </c>
      <c r="K3257" t="s">
        <v>8811</v>
      </c>
      <c r="L3257" s="28" t="s">
        <v>8812</v>
      </c>
      <c r="M3257" t="s">
        <v>23</v>
      </c>
      <c r="N3257"/>
      <c r="O3257"/>
      <c r="P3257"/>
      <c r="Q3257"/>
      <c r="R3257"/>
      <c r="S3257"/>
    </row>
    <row r="3258" spans="1:19" x14ac:dyDescent="0.25">
      <c r="A3258" t="s">
        <v>193</v>
      </c>
      <c r="C3258" s="27" t="s">
        <v>34749</v>
      </c>
      <c r="D3258" s="28" t="s">
        <v>34867</v>
      </c>
      <c r="J3258" t="s">
        <v>8813</v>
      </c>
      <c r="K3258" t="s">
        <v>8814</v>
      </c>
      <c r="L3258" s="28" t="s">
        <v>8815</v>
      </c>
      <c r="M3258" t="s">
        <v>23</v>
      </c>
      <c r="N3258"/>
      <c r="O3258"/>
      <c r="P3258"/>
      <c r="Q3258"/>
      <c r="R3258"/>
      <c r="S3258"/>
    </row>
    <row r="3259" spans="1:19" x14ac:dyDescent="0.25">
      <c r="A3259" t="s">
        <v>193</v>
      </c>
      <c r="C3259" s="27" t="s">
        <v>34749</v>
      </c>
      <c r="D3259" s="28" t="s">
        <v>34867</v>
      </c>
      <c r="J3259" t="s">
        <v>8816</v>
      </c>
      <c r="K3259" t="s">
        <v>8817</v>
      </c>
      <c r="L3259" s="28" t="s">
        <v>8818</v>
      </c>
      <c r="M3259" t="s">
        <v>23</v>
      </c>
      <c r="N3259"/>
      <c r="O3259"/>
      <c r="P3259"/>
      <c r="Q3259"/>
      <c r="R3259"/>
      <c r="S3259"/>
    </row>
    <row r="3260" spans="1:19" x14ac:dyDescent="0.25">
      <c r="A3260" t="s">
        <v>193</v>
      </c>
      <c r="C3260" s="27" t="s">
        <v>34749</v>
      </c>
      <c r="D3260" s="28" t="s">
        <v>34867</v>
      </c>
      <c r="J3260" t="s">
        <v>8819</v>
      </c>
      <c r="K3260" t="s">
        <v>8820</v>
      </c>
      <c r="L3260" s="28" t="s">
        <v>8821</v>
      </c>
      <c r="M3260" t="s">
        <v>23</v>
      </c>
      <c r="N3260"/>
      <c r="O3260"/>
      <c r="P3260"/>
      <c r="Q3260"/>
      <c r="R3260"/>
      <c r="S3260"/>
    </row>
    <row r="3261" spans="1:19" x14ac:dyDescent="0.25">
      <c r="A3261" t="s">
        <v>193</v>
      </c>
      <c r="C3261" s="27" t="s">
        <v>34749</v>
      </c>
      <c r="D3261" s="28" t="s">
        <v>34867</v>
      </c>
      <c r="J3261" t="s">
        <v>8822</v>
      </c>
      <c r="K3261" t="s">
        <v>8823</v>
      </c>
      <c r="L3261" s="28" t="s">
        <v>8824</v>
      </c>
      <c r="M3261" t="s">
        <v>23</v>
      </c>
      <c r="N3261"/>
      <c r="O3261"/>
      <c r="P3261"/>
      <c r="Q3261"/>
      <c r="R3261"/>
      <c r="S3261"/>
    </row>
    <row r="3262" spans="1:19" x14ac:dyDescent="0.25">
      <c r="A3262" t="s">
        <v>193</v>
      </c>
      <c r="C3262" s="27" t="s">
        <v>34749</v>
      </c>
      <c r="D3262" s="28" t="s">
        <v>34867</v>
      </c>
      <c r="J3262" t="s">
        <v>8825</v>
      </c>
      <c r="K3262" t="s">
        <v>8826</v>
      </c>
      <c r="L3262" s="28" t="s">
        <v>8827</v>
      </c>
      <c r="M3262" t="s">
        <v>23</v>
      </c>
      <c r="N3262"/>
      <c r="O3262"/>
      <c r="P3262"/>
      <c r="Q3262"/>
      <c r="R3262"/>
      <c r="S3262"/>
    </row>
    <row r="3263" spans="1:19" x14ac:dyDescent="0.25">
      <c r="A3263" t="s">
        <v>193</v>
      </c>
      <c r="C3263" s="27" t="s">
        <v>34749</v>
      </c>
      <c r="D3263" s="28" t="s">
        <v>34867</v>
      </c>
      <c r="J3263" t="s">
        <v>8828</v>
      </c>
      <c r="K3263" t="s">
        <v>8829</v>
      </c>
      <c r="L3263" s="28" t="s">
        <v>8830</v>
      </c>
      <c r="M3263" t="s">
        <v>23</v>
      </c>
      <c r="N3263"/>
      <c r="O3263"/>
      <c r="P3263"/>
      <c r="Q3263"/>
      <c r="R3263"/>
      <c r="S3263"/>
    </row>
    <row r="3264" spans="1:19" x14ac:dyDescent="0.25">
      <c r="A3264" t="s">
        <v>193</v>
      </c>
      <c r="C3264" s="27" t="s">
        <v>34749</v>
      </c>
      <c r="D3264" s="28" t="s">
        <v>34867</v>
      </c>
      <c r="J3264" t="s">
        <v>8831</v>
      </c>
      <c r="K3264" t="s">
        <v>8832</v>
      </c>
      <c r="L3264" s="28" t="s">
        <v>8833</v>
      </c>
      <c r="M3264" t="s">
        <v>23</v>
      </c>
      <c r="N3264"/>
      <c r="O3264"/>
      <c r="P3264"/>
      <c r="Q3264"/>
      <c r="R3264"/>
      <c r="S3264"/>
    </row>
    <row r="3265" spans="1:19" x14ac:dyDescent="0.25">
      <c r="A3265" t="s">
        <v>193</v>
      </c>
      <c r="C3265" s="27" t="s">
        <v>34749</v>
      </c>
      <c r="D3265" s="28" t="s">
        <v>34867</v>
      </c>
      <c r="J3265" t="s">
        <v>8834</v>
      </c>
      <c r="K3265" t="s">
        <v>8835</v>
      </c>
      <c r="L3265" s="28" t="s">
        <v>8836</v>
      </c>
      <c r="M3265" t="s">
        <v>23</v>
      </c>
      <c r="N3265"/>
      <c r="O3265"/>
      <c r="P3265"/>
      <c r="Q3265"/>
      <c r="R3265"/>
      <c r="S3265"/>
    </row>
    <row r="3266" spans="1:19" x14ac:dyDescent="0.25">
      <c r="A3266" t="s">
        <v>193</v>
      </c>
      <c r="C3266" s="27" t="s">
        <v>34749</v>
      </c>
      <c r="D3266" s="28" t="s">
        <v>34867</v>
      </c>
      <c r="J3266" t="s">
        <v>8837</v>
      </c>
      <c r="K3266" t="s">
        <v>8838</v>
      </c>
      <c r="L3266" s="28" t="s">
        <v>8839</v>
      </c>
      <c r="M3266" t="s">
        <v>23</v>
      </c>
      <c r="N3266"/>
      <c r="O3266"/>
      <c r="P3266"/>
      <c r="Q3266"/>
      <c r="R3266"/>
      <c r="S3266"/>
    </row>
    <row r="3267" spans="1:19" x14ac:dyDescent="0.25">
      <c r="A3267" t="s">
        <v>193</v>
      </c>
      <c r="C3267" s="27" t="s">
        <v>34749</v>
      </c>
      <c r="D3267" s="28" t="s">
        <v>34867</v>
      </c>
      <c r="J3267" t="s">
        <v>8840</v>
      </c>
      <c r="K3267" t="s">
        <v>8841</v>
      </c>
      <c r="L3267" s="28" t="s">
        <v>8842</v>
      </c>
      <c r="M3267" t="s">
        <v>23</v>
      </c>
      <c r="N3267"/>
      <c r="O3267"/>
      <c r="P3267"/>
      <c r="Q3267"/>
      <c r="R3267"/>
      <c r="S3267"/>
    </row>
    <row r="3268" spans="1:19" x14ac:dyDescent="0.25">
      <c r="A3268" t="s">
        <v>193</v>
      </c>
      <c r="C3268" s="27" t="s">
        <v>34749</v>
      </c>
      <c r="D3268" s="28" t="s">
        <v>34867</v>
      </c>
      <c r="J3268" t="s">
        <v>8843</v>
      </c>
      <c r="K3268" t="s">
        <v>8844</v>
      </c>
      <c r="L3268" s="28" t="s">
        <v>8845</v>
      </c>
      <c r="M3268" t="s">
        <v>23</v>
      </c>
      <c r="N3268"/>
      <c r="O3268"/>
      <c r="P3268"/>
      <c r="Q3268"/>
      <c r="R3268"/>
      <c r="S3268"/>
    </row>
    <row r="3269" spans="1:19" x14ac:dyDescent="0.25">
      <c r="A3269" t="s">
        <v>193</v>
      </c>
      <c r="C3269" s="27" t="s">
        <v>34749</v>
      </c>
      <c r="D3269" s="28" t="s">
        <v>34867</v>
      </c>
      <c r="J3269" t="s">
        <v>8846</v>
      </c>
      <c r="K3269" t="s">
        <v>8847</v>
      </c>
      <c r="L3269" s="28" t="s">
        <v>8848</v>
      </c>
      <c r="M3269" t="s">
        <v>23</v>
      </c>
      <c r="N3269"/>
      <c r="O3269"/>
      <c r="P3269"/>
      <c r="Q3269"/>
      <c r="R3269"/>
      <c r="S3269"/>
    </row>
    <row r="3270" spans="1:19" x14ac:dyDescent="0.25">
      <c r="A3270" t="s">
        <v>193</v>
      </c>
      <c r="C3270" s="27" t="s">
        <v>34749</v>
      </c>
      <c r="D3270" s="28" t="s">
        <v>34867</v>
      </c>
      <c r="J3270" t="s">
        <v>8849</v>
      </c>
      <c r="K3270" t="s">
        <v>8850</v>
      </c>
      <c r="L3270" s="28" t="s">
        <v>8851</v>
      </c>
      <c r="M3270" t="s">
        <v>23</v>
      </c>
      <c r="N3270"/>
      <c r="O3270"/>
      <c r="P3270"/>
      <c r="Q3270"/>
      <c r="R3270"/>
      <c r="S3270"/>
    </row>
    <row r="3271" spans="1:19" x14ac:dyDescent="0.25">
      <c r="A3271" t="s">
        <v>193</v>
      </c>
      <c r="C3271" s="27" t="s">
        <v>34749</v>
      </c>
      <c r="D3271" s="28" t="s">
        <v>34867</v>
      </c>
      <c r="J3271" t="s">
        <v>8852</v>
      </c>
      <c r="K3271" t="s">
        <v>8853</v>
      </c>
      <c r="L3271" s="28" t="s">
        <v>8854</v>
      </c>
      <c r="M3271" t="s">
        <v>23</v>
      </c>
      <c r="N3271"/>
      <c r="O3271"/>
      <c r="P3271"/>
      <c r="Q3271"/>
      <c r="R3271"/>
      <c r="S3271"/>
    </row>
    <row r="3272" spans="1:19" x14ac:dyDescent="0.25">
      <c r="A3272" t="s">
        <v>193</v>
      </c>
      <c r="C3272" s="27" t="s">
        <v>34749</v>
      </c>
      <c r="D3272" s="28" t="s">
        <v>34867</v>
      </c>
      <c r="J3272" t="s">
        <v>8855</v>
      </c>
      <c r="K3272" t="s">
        <v>8856</v>
      </c>
      <c r="L3272" s="28" t="s">
        <v>8857</v>
      </c>
      <c r="M3272" t="s">
        <v>23</v>
      </c>
      <c r="N3272"/>
      <c r="O3272"/>
      <c r="P3272"/>
      <c r="Q3272"/>
      <c r="R3272"/>
      <c r="S3272"/>
    </row>
    <row r="3273" spans="1:19" x14ac:dyDescent="0.25">
      <c r="A3273" t="s">
        <v>193</v>
      </c>
      <c r="C3273" s="27" t="s">
        <v>34749</v>
      </c>
      <c r="D3273" s="28" t="s">
        <v>34867</v>
      </c>
      <c r="J3273" t="s">
        <v>8858</v>
      </c>
      <c r="K3273" t="s">
        <v>8859</v>
      </c>
      <c r="L3273" s="28" t="s">
        <v>8860</v>
      </c>
      <c r="M3273" t="s">
        <v>23</v>
      </c>
      <c r="N3273"/>
      <c r="O3273"/>
      <c r="P3273"/>
      <c r="Q3273"/>
      <c r="R3273"/>
      <c r="S3273"/>
    </row>
    <row r="3274" spans="1:19" x14ac:dyDescent="0.25">
      <c r="A3274" t="s">
        <v>193</v>
      </c>
      <c r="C3274" s="27" t="s">
        <v>34749</v>
      </c>
      <c r="D3274" s="28" t="s">
        <v>34867</v>
      </c>
      <c r="J3274" t="s">
        <v>8861</v>
      </c>
      <c r="K3274" t="s">
        <v>8862</v>
      </c>
      <c r="L3274" s="28" t="s">
        <v>8863</v>
      </c>
      <c r="M3274" t="s">
        <v>23</v>
      </c>
      <c r="N3274"/>
      <c r="O3274"/>
      <c r="P3274"/>
      <c r="Q3274"/>
      <c r="R3274"/>
      <c r="S3274"/>
    </row>
    <row r="3275" spans="1:19" x14ac:dyDescent="0.25">
      <c r="A3275" t="s">
        <v>193</v>
      </c>
      <c r="C3275" s="27" t="s">
        <v>34749</v>
      </c>
      <c r="D3275" s="28" t="s">
        <v>34867</v>
      </c>
      <c r="J3275" t="s">
        <v>8864</v>
      </c>
      <c r="K3275" t="s">
        <v>8865</v>
      </c>
      <c r="L3275" s="28" t="s">
        <v>8866</v>
      </c>
      <c r="M3275" t="s">
        <v>23</v>
      </c>
      <c r="N3275"/>
      <c r="O3275"/>
      <c r="P3275"/>
      <c r="Q3275"/>
      <c r="R3275"/>
      <c r="S3275"/>
    </row>
    <row r="3276" spans="1:19" x14ac:dyDescent="0.25">
      <c r="A3276" t="s">
        <v>193</v>
      </c>
      <c r="C3276" s="27" t="s">
        <v>34749</v>
      </c>
      <c r="D3276" s="28" t="s">
        <v>34867</v>
      </c>
      <c r="J3276" t="s">
        <v>8867</v>
      </c>
      <c r="K3276" t="s">
        <v>8868</v>
      </c>
      <c r="L3276" s="28" t="s">
        <v>8869</v>
      </c>
      <c r="M3276" t="s">
        <v>23</v>
      </c>
      <c r="N3276"/>
      <c r="O3276"/>
      <c r="P3276"/>
      <c r="Q3276"/>
      <c r="R3276"/>
      <c r="S3276"/>
    </row>
    <row r="3277" spans="1:19" x14ac:dyDescent="0.25">
      <c r="A3277" t="s">
        <v>193</v>
      </c>
      <c r="C3277" s="27" t="s">
        <v>34749</v>
      </c>
      <c r="D3277" s="28" t="s">
        <v>34867</v>
      </c>
      <c r="J3277" t="s">
        <v>8870</v>
      </c>
      <c r="K3277" t="s">
        <v>8871</v>
      </c>
      <c r="L3277" s="28" t="s">
        <v>8872</v>
      </c>
      <c r="M3277" t="s">
        <v>23</v>
      </c>
      <c r="N3277"/>
      <c r="O3277"/>
      <c r="P3277"/>
      <c r="Q3277"/>
      <c r="R3277"/>
      <c r="S3277"/>
    </row>
    <row r="3278" spans="1:19" x14ac:dyDescent="0.25">
      <c r="A3278" t="s">
        <v>193</v>
      </c>
      <c r="C3278" s="27" t="s">
        <v>34749</v>
      </c>
      <c r="D3278" s="28" t="s">
        <v>34867</v>
      </c>
      <c r="J3278" t="s">
        <v>8873</v>
      </c>
      <c r="K3278" t="s">
        <v>8874</v>
      </c>
      <c r="L3278" s="28" t="s">
        <v>8875</v>
      </c>
      <c r="M3278" t="s">
        <v>23</v>
      </c>
      <c r="N3278"/>
      <c r="O3278"/>
      <c r="P3278"/>
      <c r="Q3278"/>
      <c r="R3278"/>
      <c r="S3278"/>
    </row>
    <row r="3279" spans="1:19" x14ac:dyDescent="0.25">
      <c r="A3279" t="s">
        <v>193</v>
      </c>
      <c r="C3279" s="27" t="s">
        <v>34749</v>
      </c>
      <c r="D3279" s="28" t="s">
        <v>34867</v>
      </c>
      <c r="J3279" t="s">
        <v>8876</v>
      </c>
      <c r="K3279" t="s">
        <v>8877</v>
      </c>
      <c r="L3279" s="28" t="s">
        <v>8878</v>
      </c>
      <c r="M3279" t="s">
        <v>23</v>
      </c>
      <c r="N3279"/>
      <c r="O3279"/>
      <c r="P3279"/>
      <c r="Q3279"/>
      <c r="R3279"/>
      <c r="S3279"/>
    </row>
    <row r="3280" spans="1:19" x14ac:dyDescent="0.25">
      <c r="A3280" t="s">
        <v>193</v>
      </c>
      <c r="C3280" s="27" t="s">
        <v>34749</v>
      </c>
      <c r="D3280" s="28" t="s">
        <v>34867</v>
      </c>
      <c r="J3280" t="s">
        <v>8879</v>
      </c>
      <c r="K3280" t="s">
        <v>8880</v>
      </c>
      <c r="L3280" s="28" t="s">
        <v>8881</v>
      </c>
      <c r="M3280" t="s">
        <v>23</v>
      </c>
      <c r="N3280"/>
      <c r="O3280"/>
      <c r="P3280"/>
      <c r="Q3280"/>
      <c r="R3280"/>
      <c r="S3280"/>
    </row>
    <row r="3281" spans="1:19" x14ac:dyDescent="0.25">
      <c r="A3281" t="s">
        <v>193</v>
      </c>
      <c r="C3281" s="27" t="s">
        <v>34749</v>
      </c>
      <c r="D3281" s="28" t="s">
        <v>34867</v>
      </c>
      <c r="I3281" t="str">
        <f>CONCATENATE(LEFT(K3281,SEARCH(" (",K3281))," | ", RIGHT(LEFT(K3281,LEN(K3281)-1),LEN(K3281)-2-FIND(" (",K3281)))</f>
        <v>chrysotiel  | witte asbest</v>
      </c>
      <c r="J3281" t="s">
        <v>8882</v>
      </c>
      <c r="K3281" t="s">
        <v>8883</v>
      </c>
      <c r="L3281" s="28" t="s">
        <v>8884</v>
      </c>
      <c r="M3281" t="s">
        <v>23</v>
      </c>
      <c r="N3281"/>
      <c r="O3281"/>
      <c r="P3281"/>
      <c r="Q3281"/>
      <c r="R3281"/>
      <c r="S3281"/>
    </row>
    <row r="3282" spans="1:19" x14ac:dyDescent="0.25">
      <c r="A3282" t="s">
        <v>193</v>
      </c>
      <c r="C3282" s="27" t="s">
        <v>34749</v>
      </c>
      <c r="D3282" s="28" t="s">
        <v>34867</v>
      </c>
      <c r="J3282" t="s">
        <v>8885</v>
      </c>
      <c r="K3282" t="s">
        <v>8886</v>
      </c>
      <c r="L3282" s="28" t="s">
        <v>8887</v>
      </c>
      <c r="M3282" t="s">
        <v>23</v>
      </c>
      <c r="N3282"/>
      <c r="O3282"/>
      <c r="P3282"/>
      <c r="Q3282"/>
      <c r="R3282"/>
      <c r="S3282"/>
    </row>
    <row r="3283" spans="1:19" x14ac:dyDescent="0.25">
      <c r="A3283" t="s">
        <v>193</v>
      </c>
      <c r="C3283" s="27" t="s">
        <v>34749</v>
      </c>
      <c r="D3283" s="28" t="s">
        <v>34867</v>
      </c>
      <c r="J3283" t="s">
        <v>8888</v>
      </c>
      <c r="K3283" t="s">
        <v>8889</v>
      </c>
      <c r="L3283" s="28" t="s">
        <v>8890</v>
      </c>
      <c r="M3283" t="s">
        <v>23</v>
      </c>
      <c r="N3283"/>
      <c r="O3283"/>
      <c r="P3283"/>
      <c r="Q3283"/>
      <c r="R3283"/>
      <c r="S3283"/>
    </row>
    <row r="3284" spans="1:19" x14ac:dyDescent="0.25">
      <c r="A3284" t="s">
        <v>193</v>
      </c>
      <c r="C3284" s="27" t="s">
        <v>34749</v>
      </c>
      <c r="D3284" s="28" t="s">
        <v>34867</v>
      </c>
      <c r="J3284" t="s">
        <v>8891</v>
      </c>
      <c r="K3284" t="s">
        <v>8892</v>
      </c>
      <c r="L3284" s="28" t="s">
        <v>8893</v>
      </c>
      <c r="M3284" t="s">
        <v>23</v>
      </c>
      <c r="N3284"/>
      <c r="O3284"/>
      <c r="P3284"/>
      <c r="Q3284"/>
      <c r="R3284"/>
      <c r="S3284"/>
    </row>
    <row r="3285" spans="1:19" x14ac:dyDescent="0.25">
      <c r="A3285" t="s">
        <v>193</v>
      </c>
      <c r="C3285" s="27" t="s">
        <v>34749</v>
      </c>
      <c r="D3285" s="28" t="s">
        <v>34867</v>
      </c>
      <c r="J3285" t="s">
        <v>8894</v>
      </c>
      <c r="K3285" t="s">
        <v>8895</v>
      </c>
      <c r="L3285" s="28" t="s">
        <v>8896</v>
      </c>
      <c r="M3285" t="s">
        <v>23</v>
      </c>
      <c r="N3285"/>
      <c r="O3285"/>
      <c r="P3285"/>
      <c r="Q3285"/>
      <c r="R3285"/>
      <c r="S3285"/>
    </row>
    <row r="3286" spans="1:19" x14ac:dyDescent="0.25">
      <c r="A3286" t="s">
        <v>193</v>
      </c>
      <c r="C3286" s="27" t="s">
        <v>34749</v>
      </c>
      <c r="D3286" s="28" t="s">
        <v>34867</v>
      </c>
      <c r="J3286" t="s">
        <v>8897</v>
      </c>
      <c r="K3286" t="s">
        <v>8898</v>
      </c>
      <c r="L3286" s="28" t="s">
        <v>8899</v>
      </c>
      <c r="M3286" t="s">
        <v>23</v>
      </c>
      <c r="N3286"/>
      <c r="O3286"/>
      <c r="P3286"/>
      <c r="Q3286"/>
      <c r="R3286"/>
      <c r="S3286"/>
    </row>
    <row r="3287" spans="1:19" x14ac:dyDescent="0.25">
      <c r="A3287" t="s">
        <v>193</v>
      </c>
      <c r="C3287" s="27" t="s">
        <v>34749</v>
      </c>
      <c r="D3287" s="28" t="s">
        <v>34867</v>
      </c>
      <c r="J3287" t="s">
        <v>8900</v>
      </c>
      <c r="K3287" t="s">
        <v>8901</v>
      </c>
      <c r="L3287" s="28" t="s">
        <v>8902</v>
      </c>
      <c r="M3287" t="s">
        <v>23</v>
      </c>
      <c r="N3287"/>
      <c r="O3287"/>
      <c r="P3287"/>
      <c r="Q3287"/>
      <c r="R3287"/>
      <c r="S3287"/>
    </row>
    <row r="3288" spans="1:19" x14ac:dyDescent="0.25">
      <c r="A3288" t="s">
        <v>193</v>
      </c>
      <c r="C3288" s="27" t="s">
        <v>34749</v>
      </c>
      <c r="D3288" s="28" t="s">
        <v>34867</v>
      </c>
      <c r="J3288" t="s">
        <v>8903</v>
      </c>
      <c r="K3288" t="s">
        <v>8904</v>
      </c>
      <c r="L3288" s="28" t="s">
        <v>8905</v>
      </c>
      <c r="M3288" t="s">
        <v>23</v>
      </c>
      <c r="N3288"/>
      <c r="O3288"/>
      <c r="P3288"/>
      <c r="Q3288"/>
      <c r="R3288"/>
      <c r="S3288"/>
    </row>
    <row r="3289" spans="1:19" x14ac:dyDescent="0.25">
      <c r="A3289" t="s">
        <v>193</v>
      </c>
      <c r="C3289" s="27" t="s">
        <v>34749</v>
      </c>
      <c r="D3289" s="28" t="s">
        <v>34867</v>
      </c>
      <c r="J3289" t="s">
        <v>8906</v>
      </c>
      <c r="K3289" t="s">
        <v>8907</v>
      </c>
      <c r="L3289" s="28" t="s">
        <v>8908</v>
      </c>
      <c r="M3289" t="s">
        <v>23</v>
      </c>
      <c r="N3289"/>
      <c r="O3289"/>
      <c r="P3289"/>
      <c r="Q3289"/>
      <c r="R3289"/>
      <c r="S3289"/>
    </row>
    <row r="3290" spans="1:19" x14ac:dyDescent="0.25">
      <c r="A3290" t="s">
        <v>193</v>
      </c>
      <c r="C3290" s="27" t="s">
        <v>34749</v>
      </c>
      <c r="D3290" s="28" t="s">
        <v>34867</v>
      </c>
      <c r="J3290" t="s">
        <v>8909</v>
      </c>
      <c r="K3290" t="s">
        <v>8910</v>
      </c>
      <c r="L3290" s="28" t="s">
        <v>8911</v>
      </c>
      <c r="M3290" t="s">
        <v>23</v>
      </c>
      <c r="N3290"/>
      <c r="O3290"/>
      <c r="P3290"/>
      <c r="Q3290"/>
      <c r="R3290"/>
      <c r="S3290"/>
    </row>
    <row r="3291" spans="1:19" x14ac:dyDescent="0.25">
      <c r="A3291" t="s">
        <v>193</v>
      </c>
      <c r="C3291" s="27" t="s">
        <v>34749</v>
      </c>
      <c r="D3291" s="28" t="s">
        <v>34867</v>
      </c>
      <c r="J3291" t="s">
        <v>8912</v>
      </c>
      <c r="K3291" t="s">
        <v>8913</v>
      </c>
      <c r="L3291" s="28" t="s">
        <v>8914</v>
      </c>
      <c r="M3291" t="s">
        <v>23</v>
      </c>
      <c r="N3291"/>
      <c r="O3291"/>
      <c r="P3291"/>
      <c r="Q3291"/>
      <c r="R3291"/>
      <c r="S3291"/>
    </row>
    <row r="3292" spans="1:19" x14ac:dyDescent="0.25">
      <c r="A3292" t="s">
        <v>193</v>
      </c>
      <c r="C3292" s="27" t="s">
        <v>34749</v>
      </c>
      <c r="D3292" s="28" t="s">
        <v>34867</v>
      </c>
      <c r="J3292" t="s">
        <v>8915</v>
      </c>
      <c r="K3292" t="s">
        <v>8916</v>
      </c>
      <c r="L3292" s="28" t="s">
        <v>8917</v>
      </c>
      <c r="M3292" t="s">
        <v>23</v>
      </c>
      <c r="N3292"/>
      <c r="O3292"/>
      <c r="P3292"/>
      <c r="Q3292"/>
      <c r="R3292"/>
      <c r="S3292"/>
    </row>
    <row r="3293" spans="1:19" x14ac:dyDescent="0.25">
      <c r="A3293" t="s">
        <v>193</v>
      </c>
      <c r="C3293" s="27" t="s">
        <v>34749</v>
      </c>
      <c r="D3293" s="28" t="s">
        <v>34867</v>
      </c>
      <c r="J3293" t="s">
        <v>8918</v>
      </c>
      <c r="K3293" t="s">
        <v>8919</v>
      </c>
      <c r="L3293" s="28" t="s">
        <v>8920</v>
      </c>
      <c r="M3293" t="s">
        <v>23</v>
      </c>
      <c r="N3293"/>
      <c r="O3293"/>
      <c r="P3293"/>
      <c r="Q3293"/>
      <c r="R3293"/>
      <c r="S3293"/>
    </row>
    <row r="3294" spans="1:19" x14ac:dyDescent="0.25">
      <c r="A3294" t="s">
        <v>193</v>
      </c>
      <c r="C3294" s="27" t="s">
        <v>34749</v>
      </c>
      <c r="D3294" s="28" t="s">
        <v>34867</v>
      </c>
      <c r="J3294" t="s">
        <v>8921</v>
      </c>
      <c r="K3294" t="s">
        <v>8922</v>
      </c>
      <c r="L3294" s="28" t="s">
        <v>8923</v>
      </c>
      <c r="M3294" t="s">
        <v>23</v>
      </c>
      <c r="N3294"/>
      <c r="O3294"/>
      <c r="P3294"/>
      <c r="Q3294"/>
      <c r="R3294"/>
      <c r="S3294"/>
    </row>
    <row r="3295" spans="1:19" x14ac:dyDescent="0.25">
      <c r="A3295" t="s">
        <v>193</v>
      </c>
      <c r="C3295" s="27" t="s">
        <v>34749</v>
      </c>
      <c r="D3295" s="28" t="s">
        <v>34867</v>
      </c>
      <c r="J3295" t="s">
        <v>8924</v>
      </c>
      <c r="K3295" t="s">
        <v>8925</v>
      </c>
      <c r="L3295" s="28" t="s">
        <v>8926</v>
      </c>
      <c r="M3295" t="s">
        <v>23</v>
      </c>
      <c r="N3295"/>
      <c r="O3295"/>
      <c r="P3295"/>
      <c r="Q3295"/>
      <c r="R3295"/>
      <c r="S3295"/>
    </row>
    <row r="3296" spans="1:19" x14ac:dyDescent="0.25">
      <c r="A3296" t="s">
        <v>193</v>
      </c>
      <c r="C3296" s="27" t="s">
        <v>34749</v>
      </c>
      <c r="D3296" s="28" t="s">
        <v>34867</v>
      </c>
      <c r="J3296" t="s">
        <v>8927</v>
      </c>
      <c r="K3296" t="s">
        <v>8928</v>
      </c>
      <c r="L3296" s="28" t="s">
        <v>8929</v>
      </c>
      <c r="M3296" t="s">
        <v>23</v>
      </c>
      <c r="N3296"/>
      <c r="O3296"/>
      <c r="P3296"/>
      <c r="Q3296"/>
      <c r="R3296"/>
      <c r="S3296"/>
    </row>
    <row r="3297" spans="1:19" x14ac:dyDescent="0.25">
      <c r="A3297" t="s">
        <v>193</v>
      </c>
      <c r="C3297" s="27" t="s">
        <v>34749</v>
      </c>
      <c r="D3297" s="28" t="s">
        <v>34867</v>
      </c>
      <c r="J3297" t="s">
        <v>8930</v>
      </c>
      <c r="K3297" t="s">
        <v>8931</v>
      </c>
      <c r="L3297" s="28" t="s">
        <v>8932</v>
      </c>
      <c r="M3297" t="s">
        <v>23</v>
      </c>
      <c r="N3297"/>
      <c r="O3297"/>
      <c r="P3297"/>
      <c r="Q3297"/>
      <c r="R3297"/>
      <c r="S3297"/>
    </row>
    <row r="3298" spans="1:19" x14ac:dyDescent="0.25">
      <c r="A3298" t="s">
        <v>193</v>
      </c>
      <c r="C3298" s="27" t="s">
        <v>34749</v>
      </c>
      <c r="D3298" s="28" t="s">
        <v>34867</v>
      </c>
      <c r="J3298" t="s">
        <v>8933</v>
      </c>
      <c r="K3298" t="s">
        <v>8934</v>
      </c>
      <c r="L3298" s="28" t="s">
        <v>8935</v>
      </c>
      <c r="M3298" t="s">
        <v>23</v>
      </c>
      <c r="N3298"/>
      <c r="O3298"/>
      <c r="P3298"/>
      <c r="Q3298"/>
      <c r="R3298"/>
      <c r="S3298"/>
    </row>
    <row r="3299" spans="1:19" x14ac:dyDescent="0.25">
      <c r="A3299" t="s">
        <v>193</v>
      </c>
      <c r="C3299" s="27" t="s">
        <v>34749</v>
      </c>
      <c r="D3299" s="28" t="s">
        <v>34867</v>
      </c>
      <c r="J3299" t="s">
        <v>8936</v>
      </c>
      <c r="K3299" t="s">
        <v>8937</v>
      </c>
      <c r="L3299" s="28" t="s">
        <v>8938</v>
      </c>
      <c r="M3299" t="s">
        <v>23</v>
      </c>
      <c r="N3299"/>
      <c r="O3299"/>
      <c r="P3299"/>
      <c r="Q3299"/>
      <c r="R3299"/>
      <c r="S3299"/>
    </row>
    <row r="3300" spans="1:19" x14ac:dyDescent="0.25">
      <c r="A3300" t="s">
        <v>193</v>
      </c>
      <c r="C3300" s="27" t="s">
        <v>34749</v>
      </c>
      <c r="D3300" s="28" t="s">
        <v>34867</v>
      </c>
      <c r="J3300" t="s">
        <v>8939</v>
      </c>
      <c r="K3300" t="s">
        <v>8940</v>
      </c>
      <c r="L3300" s="28" t="s">
        <v>8941</v>
      </c>
      <c r="M3300" t="s">
        <v>23</v>
      </c>
      <c r="N3300"/>
      <c r="O3300"/>
      <c r="P3300"/>
      <c r="Q3300"/>
      <c r="R3300"/>
      <c r="S3300"/>
    </row>
    <row r="3301" spans="1:19" x14ac:dyDescent="0.25">
      <c r="A3301" t="s">
        <v>193</v>
      </c>
      <c r="C3301" s="27" t="s">
        <v>34749</v>
      </c>
      <c r="D3301" s="28" t="s">
        <v>34867</v>
      </c>
      <c r="J3301" t="s">
        <v>8942</v>
      </c>
      <c r="K3301" t="s">
        <v>8943</v>
      </c>
      <c r="L3301" s="28" t="s">
        <v>8944</v>
      </c>
      <c r="M3301" t="s">
        <v>23</v>
      </c>
      <c r="N3301"/>
      <c r="O3301"/>
      <c r="P3301"/>
      <c r="Q3301"/>
      <c r="R3301"/>
      <c r="S3301"/>
    </row>
    <row r="3302" spans="1:19" x14ac:dyDescent="0.25">
      <c r="A3302" t="s">
        <v>193</v>
      </c>
      <c r="C3302" s="27" t="s">
        <v>34749</v>
      </c>
      <c r="D3302" s="28" t="s">
        <v>34867</v>
      </c>
      <c r="J3302" t="s">
        <v>8945</v>
      </c>
      <c r="K3302" t="s">
        <v>8946</v>
      </c>
      <c r="L3302" s="28" t="s">
        <v>8947</v>
      </c>
      <c r="M3302" t="s">
        <v>23</v>
      </c>
      <c r="N3302"/>
      <c r="O3302"/>
      <c r="P3302"/>
      <c r="Q3302"/>
      <c r="R3302"/>
      <c r="S3302"/>
    </row>
    <row r="3303" spans="1:19" x14ac:dyDescent="0.25">
      <c r="A3303" t="s">
        <v>193</v>
      </c>
      <c r="C3303" s="27" t="s">
        <v>34749</v>
      </c>
      <c r="D3303" s="28" t="s">
        <v>34867</v>
      </c>
      <c r="J3303" t="s">
        <v>8948</v>
      </c>
      <c r="K3303" t="s">
        <v>8949</v>
      </c>
      <c r="L3303" s="28" t="s">
        <v>8950</v>
      </c>
      <c r="M3303" t="s">
        <v>23</v>
      </c>
      <c r="N3303"/>
      <c r="O3303"/>
      <c r="P3303"/>
      <c r="Q3303"/>
      <c r="R3303"/>
      <c r="S3303"/>
    </row>
    <row r="3304" spans="1:19" x14ac:dyDescent="0.25">
      <c r="A3304" t="s">
        <v>193</v>
      </c>
      <c r="C3304" s="27" t="s">
        <v>34749</v>
      </c>
      <c r="D3304" s="28" t="s">
        <v>34867</v>
      </c>
      <c r="J3304" t="s">
        <v>8951</v>
      </c>
      <c r="K3304" t="s">
        <v>8952</v>
      </c>
      <c r="L3304" s="28" t="s">
        <v>8953</v>
      </c>
      <c r="M3304" t="s">
        <v>23</v>
      </c>
      <c r="N3304"/>
      <c r="O3304"/>
      <c r="P3304"/>
      <c r="Q3304"/>
      <c r="R3304"/>
      <c r="S3304"/>
    </row>
    <row r="3305" spans="1:19" x14ac:dyDescent="0.25">
      <c r="A3305" t="s">
        <v>193</v>
      </c>
      <c r="C3305" s="27" t="s">
        <v>34749</v>
      </c>
      <c r="D3305" s="28" t="s">
        <v>34867</v>
      </c>
      <c r="J3305" t="s">
        <v>8954</v>
      </c>
      <c r="K3305" t="s">
        <v>8955</v>
      </c>
      <c r="L3305" s="28" t="s">
        <v>8956</v>
      </c>
      <c r="M3305" t="s">
        <v>23</v>
      </c>
      <c r="N3305"/>
      <c r="O3305"/>
      <c r="P3305"/>
      <c r="Q3305"/>
      <c r="R3305"/>
      <c r="S3305"/>
    </row>
    <row r="3306" spans="1:19" x14ac:dyDescent="0.25">
      <c r="A3306" t="s">
        <v>193</v>
      </c>
      <c r="C3306" s="27" t="s">
        <v>34749</v>
      </c>
      <c r="D3306" s="28" t="s">
        <v>34867</v>
      </c>
      <c r="J3306" t="s">
        <v>8957</v>
      </c>
      <c r="K3306" t="s">
        <v>8958</v>
      </c>
      <c r="L3306" s="28" t="s">
        <v>8959</v>
      </c>
      <c r="M3306" t="s">
        <v>23</v>
      </c>
      <c r="N3306"/>
      <c r="O3306"/>
      <c r="P3306"/>
      <c r="Q3306"/>
      <c r="R3306"/>
      <c r="S3306"/>
    </row>
    <row r="3307" spans="1:19" x14ac:dyDescent="0.25">
      <c r="A3307" t="s">
        <v>193</v>
      </c>
      <c r="C3307" s="27" t="s">
        <v>34749</v>
      </c>
      <c r="D3307" s="28" t="s">
        <v>34867</v>
      </c>
      <c r="J3307" t="s">
        <v>8960</v>
      </c>
      <c r="K3307" t="s">
        <v>8961</v>
      </c>
      <c r="L3307" s="28" t="s">
        <v>8962</v>
      </c>
      <c r="M3307" t="s">
        <v>23</v>
      </c>
      <c r="N3307"/>
      <c r="O3307"/>
      <c r="P3307"/>
      <c r="Q3307"/>
      <c r="R3307"/>
      <c r="S3307"/>
    </row>
    <row r="3308" spans="1:19" x14ac:dyDescent="0.25">
      <c r="A3308" t="s">
        <v>193</v>
      </c>
      <c r="C3308" s="27" t="s">
        <v>34749</v>
      </c>
      <c r="D3308" s="28" t="s">
        <v>34867</v>
      </c>
      <c r="J3308" t="s">
        <v>8963</v>
      </c>
      <c r="K3308" t="s">
        <v>8964</v>
      </c>
      <c r="L3308" s="28" t="s">
        <v>8965</v>
      </c>
      <c r="M3308" t="s">
        <v>23</v>
      </c>
      <c r="N3308"/>
      <c r="O3308"/>
      <c r="P3308"/>
      <c r="Q3308"/>
      <c r="R3308"/>
      <c r="S3308"/>
    </row>
    <row r="3309" spans="1:19" x14ac:dyDescent="0.25">
      <c r="A3309" t="s">
        <v>193</v>
      </c>
      <c r="C3309" s="27" t="s">
        <v>34749</v>
      </c>
      <c r="D3309" s="28" t="s">
        <v>34867</v>
      </c>
      <c r="J3309" t="s">
        <v>8966</v>
      </c>
      <c r="K3309" t="s">
        <v>8967</v>
      </c>
      <c r="L3309" s="28" t="s">
        <v>8968</v>
      </c>
      <c r="M3309" t="s">
        <v>23</v>
      </c>
      <c r="N3309"/>
      <c r="O3309"/>
      <c r="P3309"/>
      <c r="Q3309"/>
      <c r="R3309"/>
      <c r="S3309"/>
    </row>
    <row r="3310" spans="1:19" x14ac:dyDescent="0.25">
      <c r="A3310" t="s">
        <v>193</v>
      </c>
      <c r="C3310" s="27" t="s">
        <v>34749</v>
      </c>
      <c r="D3310" s="28" t="s">
        <v>34867</v>
      </c>
      <c r="J3310" t="s">
        <v>8969</v>
      </c>
      <c r="K3310" t="s">
        <v>8970</v>
      </c>
      <c r="L3310" s="28" t="s">
        <v>8971</v>
      </c>
      <c r="M3310" t="s">
        <v>23</v>
      </c>
      <c r="N3310"/>
      <c r="O3310"/>
      <c r="P3310"/>
      <c r="Q3310"/>
      <c r="R3310"/>
      <c r="S3310"/>
    </row>
    <row r="3311" spans="1:19" x14ac:dyDescent="0.25">
      <c r="A3311" t="s">
        <v>193</v>
      </c>
      <c r="C3311" s="27" t="s">
        <v>34749</v>
      </c>
      <c r="D3311" s="28" t="s">
        <v>34867</v>
      </c>
      <c r="J3311" t="s">
        <v>8972</v>
      </c>
      <c r="K3311" t="s">
        <v>8973</v>
      </c>
      <c r="L3311" s="28" t="s">
        <v>8974</v>
      </c>
      <c r="M3311" t="s">
        <v>23</v>
      </c>
      <c r="N3311"/>
      <c r="O3311"/>
      <c r="P3311"/>
      <c r="Q3311"/>
      <c r="R3311"/>
      <c r="S3311"/>
    </row>
    <row r="3312" spans="1:19" x14ac:dyDescent="0.25">
      <c r="A3312" t="s">
        <v>193</v>
      </c>
      <c r="C3312" s="27" t="s">
        <v>34749</v>
      </c>
      <c r="D3312" s="28" t="s">
        <v>34867</v>
      </c>
      <c r="J3312" t="s">
        <v>8975</v>
      </c>
      <c r="K3312" t="s">
        <v>8976</v>
      </c>
      <c r="L3312" s="28" t="s">
        <v>8977</v>
      </c>
      <c r="M3312" t="s">
        <v>23</v>
      </c>
      <c r="N3312"/>
      <c r="O3312"/>
      <c r="P3312"/>
      <c r="Q3312"/>
      <c r="R3312"/>
      <c r="S3312"/>
    </row>
    <row r="3313" spans="1:19" x14ac:dyDescent="0.25">
      <c r="A3313" t="s">
        <v>193</v>
      </c>
      <c r="C3313" s="27" t="s">
        <v>34749</v>
      </c>
      <c r="D3313" s="28" t="s">
        <v>34867</v>
      </c>
      <c r="J3313" t="s">
        <v>8978</v>
      </c>
      <c r="K3313" t="s">
        <v>8979</v>
      </c>
      <c r="L3313" s="28" t="s">
        <v>8980</v>
      </c>
      <c r="M3313" t="s">
        <v>23</v>
      </c>
      <c r="N3313"/>
      <c r="O3313"/>
      <c r="P3313"/>
      <c r="Q3313"/>
      <c r="R3313"/>
      <c r="S3313"/>
    </row>
    <row r="3314" spans="1:19" x14ac:dyDescent="0.25">
      <c r="A3314" t="s">
        <v>193</v>
      </c>
      <c r="C3314" s="27" t="s">
        <v>34749</v>
      </c>
      <c r="D3314" s="28" t="s">
        <v>34867</v>
      </c>
      <c r="J3314" t="s">
        <v>8981</v>
      </c>
      <c r="K3314" t="s">
        <v>8982</v>
      </c>
      <c r="L3314" s="28" t="s">
        <v>8983</v>
      </c>
      <c r="M3314" t="s">
        <v>23</v>
      </c>
      <c r="N3314"/>
      <c r="O3314"/>
      <c r="P3314"/>
      <c r="Q3314"/>
      <c r="R3314"/>
      <c r="S3314"/>
    </row>
    <row r="3315" spans="1:19" x14ac:dyDescent="0.25">
      <c r="A3315" t="s">
        <v>193</v>
      </c>
      <c r="C3315" s="27" t="s">
        <v>34749</v>
      </c>
      <c r="D3315" s="28" t="s">
        <v>34867</v>
      </c>
      <c r="J3315" t="s">
        <v>8984</v>
      </c>
      <c r="K3315" t="s">
        <v>8985</v>
      </c>
      <c r="L3315" s="28" t="s">
        <v>8986</v>
      </c>
      <c r="M3315" t="s">
        <v>23</v>
      </c>
      <c r="N3315"/>
      <c r="O3315"/>
      <c r="P3315"/>
      <c r="Q3315"/>
      <c r="R3315"/>
      <c r="S3315"/>
    </row>
    <row r="3316" spans="1:19" x14ac:dyDescent="0.25">
      <c r="A3316" t="s">
        <v>193</v>
      </c>
      <c r="C3316" s="27" t="s">
        <v>34749</v>
      </c>
      <c r="D3316" s="28" t="s">
        <v>34867</v>
      </c>
      <c r="J3316" t="s">
        <v>8987</v>
      </c>
      <c r="K3316" t="s">
        <v>8988</v>
      </c>
      <c r="L3316" s="28" t="s">
        <v>8989</v>
      </c>
      <c r="M3316" t="s">
        <v>23</v>
      </c>
      <c r="N3316"/>
      <c r="O3316"/>
      <c r="P3316"/>
      <c r="Q3316"/>
      <c r="R3316"/>
      <c r="S3316"/>
    </row>
    <row r="3317" spans="1:19" x14ac:dyDescent="0.25">
      <c r="A3317" t="s">
        <v>193</v>
      </c>
      <c r="C3317" s="27" t="s">
        <v>34749</v>
      </c>
      <c r="D3317" s="28" t="s">
        <v>34867</v>
      </c>
      <c r="J3317" t="s">
        <v>8990</v>
      </c>
      <c r="K3317" t="s">
        <v>8991</v>
      </c>
      <c r="L3317" s="28" t="s">
        <v>8992</v>
      </c>
      <c r="M3317" t="s">
        <v>23</v>
      </c>
      <c r="N3317"/>
      <c r="O3317"/>
      <c r="P3317"/>
      <c r="Q3317"/>
      <c r="R3317"/>
      <c r="S3317"/>
    </row>
    <row r="3318" spans="1:19" x14ac:dyDescent="0.25">
      <c r="A3318" t="s">
        <v>193</v>
      </c>
      <c r="C3318" s="27" t="s">
        <v>34749</v>
      </c>
      <c r="D3318" s="28" t="s">
        <v>34867</v>
      </c>
      <c r="J3318" t="s">
        <v>8993</v>
      </c>
      <c r="K3318" t="s">
        <v>8994</v>
      </c>
      <c r="L3318" s="28" t="s">
        <v>8995</v>
      </c>
      <c r="M3318" t="s">
        <v>23</v>
      </c>
      <c r="N3318"/>
      <c r="O3318"/>
      <c r="P3318"/>
      <c r="Q3318"/>
      <c r="R3318"/>
      <c r="S3318"/>
    </row>
    <row r="3319" spans="1:19" x14ac:dyDescent="0.25">
      <c r="A3319" t="s">
        <v>193</v>
      </c>
      <c r="C3319" s="27" t="s">
        <v>34749</v>
      </c>
      <c r="D3319" s="28" t="s">
        <v>34867</v>
      </c>
      <c r="J3319" t="s">
        <v>8996</v>
      </c>
      <c r="K3319" t="s">
        <v>8997</v>
      </c>
      <c r="L3319" s="28" t="s">
        <v>8998</v>
      </c>
      <c r="M3319" t="s">
        <v>23</v>
      </c>
      <c r="N3319"/>
      <c r="O3319"/>
      <c r="P3319"/>
      <c r="Q3319"/>
      <c r="R3319"/>
      <c r="S3319"/>
    </row>
    <row r="3320" spans="1:19" x14ac:dyDescent="0.25">
      <c r="A3320" t="s">
        <v>193</v>
      </c>
      <c r="C3320" s="27" t="s">
        <v>34749</v>
      </c>
      <c r="D3320" s="28" t="s">
        <v>34867</v>
      </c>
      <c r="J3320" t="s">
        <v>8999</v>
      </c>
      <c r="K3320" t="s">
        <v>9000</v>
      </c>
      <c r="L3320" s="28" t="s">
        <v>9001</v>
      </c>
      <c r="M3320" t="s">
        <v>23</v>
      </c>
      <c r="N3320"/>
      <c r="O3320"/>
      <c r="P3320"/>
      <c r="Q3320"/>
      <c r="R3320"/>
      <c r="S3320"/>
    </row>
    <row r="3321" spans="1:19" x14ac:dyDescent="0.25">
      <c r="A3321" t="s">
        <v>193</v>
      </c>
      <c r="C3321" s="27" t="s">
        <v>34749</v>
      </c>
      <c r="D3321" s="28" t="s">
        <v>34867</v>
      </c>
      <c r="J3321" t="s">
        <v>9002</v>
      </c>
      <c r="K3321" t="s">
        <v>9003</v>
      </c>
      <c r="L3321" s="28" t="s">
        <v>9004</v>
      </c>
      <c r="M3321" t="s">
        <v>23</v>
      </c>
      <c r="N3321"/>
      <c r="O3321"/>
      <c r="P3321"/>
      <c r="Q3321"/>
      <c r="R3321"/>
      <c r="S3321"/>
    </row>
    <row r="3322" spans="1:19" x14ac:dyDescent="0.25">
      <c r="A3322" t="s">
        <v>193</v>
      </c>
      <c r="C3322" s="27" t="s">
        <v>34749</v>
      </c>
      <c r="D3322" s="28" t="s">
        <v>34867</v>
      </c>
      <c r="J3322" t="s">
        <v>9005</v>
      </c>
      <c r="K3322" t="s">
        <v>9006</v>
      </c>
      <c r="L3322" s="28" t="s">
        <v>9007</v>
      </c>
      <c r="M3322" t="s">
        <v>23</v>
      </c>
      <c r="N3322"/>
      <c r="O3322"/>
      <c r="P3322"/>
      <c r="Q3322"/>
      <c r="R3322"/>
      <c r="S3322"/>
    </row>
    <row r="3323" spans="1:19" x14ac:dyDescent="0.25">
      <c r="A3323" t="s">
        <v>193</v>
      </c>
      <c r="C3323" s="27" t="s">
        <v>34749</v>
      </c>
      <c r="D3323" s="28" t="s">
        <v>34867</v>
      </c>
      <c r="J3323" t="s">
        <v>9008</v>
      </c>
      <c r="K3323" t="s">
        <v>9009</v>
      </c>
      <c r="L3323" s="28" t="s">
        <v>9010</v>
      </c>
      <c r="M3323" t="s">
        <v>23</v>
      </c>
      <c r="N3323"/>
      <c r="O3323"/>
      <c r="P3323"/>
      <c r="Q3323"/>
      <c r="R3323"/>
      <c r="S3323"/>
    </row>
    <row r="3324" spans="1:19" x14ac:dyDescent="0.25">
      <c r="A3324" t="s">
        <v>193</v>
      </c>
      <c r="C3324" s="27" t="s">
        <v>34749</v>
      </c>
      <c r="D3324" s="28" t="s">
        <v>34867</v>
      </c>
      <c r="J3324" t="s">
        <v>9011</v>
      </c>
      <c r="K3324" t="s">
        <v>9012</v>
      </c>
      <c r="L3324" s="28" t="s">
        <v>9013</v>
      </c>
      <c r="M3324" t="s">
        <v>23</v>
      </c>
      <c r="N3324"/>
      <c r="O3324"/>
      <c r="P3324"/>
      <c r="Q3324"/>
      <c r="R3324"/>
      <c r="S3324"/>
    </row>
    <row r="3325" spans="1:19" x14ac:dyDescent="0.25">
      <c r="A3325" t="s">
        <v>193</v>
      </c>
      <c r="C3325" s="27" t="s">
        <v>34749</v>
      </c>
      <c r="D3325" s="28" t="s">
        <v>34867</v>
      </c>
      <c r="J3325" t="s">
        <v>9014</v>
      </c>
      <c r="K3325" t="s">
        <v>9015</v>
      </c>
      <c r="L3325" s="28" t="s">
        <v>9016</v>
      </c>
      <c r="M3325" t="s">
        <v>23</v>
      </c>
      <c r="N3325"/>
      <c r="O3325"/>
      <c r="P3325"/>
      <c r="Q3325"/>
      <c r="R3325"/>
      <c r="S3325"/>
    </row>
    <row r="3326" spans="1:19" x14ac:dyDescent="0.25">
      <c r="A3326" t="s">
        <v>193</v>
      </c>
      <c r="C3326" s="27" t="s">
        <v>34749</v>
      </c>
      <c r="D3326" s="28" t="s">
        <v>34867</v>
      </c>
      <c r="J3326" t="s">
        <v>9017</v>
      </c>
      <c r="K3326" t="s">
        <v>9018</v>
      </c>
      <c r="L3326" s="28" t="s">
        <v>9019</v>
      </c>
      <c r="M3326" t="s">
        <v>23</v>
      </c>
      <c r="N3326"/>
      <c r="O3326"/>
      <c r="P3326"/>
      <c r="Q3326"/>
      <c r="R3326"/>
      <c r="S3326"/>
    </row>
    <row r="3327" spans="1:19" x14ac:dyDescent="0.25">
      <c r="A3327" t="s">
        <v>193</v>
      </c>
      <c r="C3327" s="27" t="s">
        <v>34749</v>
      </c>
      <c r="D3327" s="28" t="s">
        <v>34867</v>
      </c>
      <c r="J3327" t="s">
        <v>9020</v>
      </c>
      <c r="K3327" t="s">
        <v>9021</v>
      </c>
      <c r="L3327" s="28" t="s">
        <v>9022</v>
      </c>
      <c r="M3327" t="s">
        <v>23</v>
      </c>
      <c r="N3327"/>
      <c r="O3327"/>
      <c r="P3327"/>
      <c r="Q3327"/>
      <c r="R3327"/>
      <c r="S3327"/>
    </row>
    <row r="3328" spans="1:19" x14ac:dyDescent="0.25">
      <c r="A3328" t="s">
        <v>193</v>
      </c>
      <c r="C3328" s="27" t="s">
        <v>34749</v>
      </c>
      <c r="D3328" s="28" t="s">
        <v>34867</v>
      </c>
      <c r="J3328" t="s">
        <v>9023</v>
      </c>
      <c r="K3328" t="s">
        <v>9024</v>
      </c>
      <c r="L3328" s="28" t="s">
        <v>9025</v>
      </c>
      <c r="M3328" t="s">
        <v>23</v>
      </c>
      <c r="N3328"/>
      <c r="O3328"/>
      <c r="P3328"/>
      <c r="Q3328"/>
      <c r="R3328"/>
      <c r="S3328"/>
    </row>
    <row r="3329" spans="1:19" x14ac:dyDescent="0.25">
      <c r="A3329" t="s">
        <v>193</v>
      </c>
      <c r="C3329" s="27" t="s">
        <v>34749</v>
      </c>
      <c r="D3329" s="28" t="s">
        <v>34867</v>
      </c>
      <c r="J3329" t="s">
        <v>9026</v>
      </c>
      <c r="K3329" t="s">
        <v>9027</v>
      </c>
      <c r="L3329" s="28" t="s">
        <v>9028</v>
      </c>
      <c r="M3329" t="s">
        <v>23</v>
      </c>
      <c r="N3329"/>
      <c r="O3329"/>
      <c r="P3329"/>
      <c r="Q3329"/>
      <c r="R3329"/>
      <c r="S3329"/>
    </row>
    <row r="3330" spans="1:19" x14ac:dyDescent="0.25">
      <c r="A3330" t="s">
        <v>193</v>
      </c>
      <c r="C3330" s="27" t="s">
        <v>34749</v>
      </c>
      <c r="D3330" s="28" t="s">
        <v>34867</v>
      </c>
      <c r="J3330" t="s">
        <v>9029</v>
      </c>
      <c r="K3330" t="s">
        <v>9030</v>
      </c>
      <c r="L3330" s="28" t="s">
        <v>9031</v>
      </c>
      <c r="M3330" t="s">
        <v>23</v>
      </c>
      <c r="N3330"/>
      <c r="O3330"/>
      <c r="P3330"/>
      <c r="Q3330"/>
      <c r="R3330"/>
      <c r="S3330"/>
    </row>
    <row r="3331" spans="1:19" x14ac:dyDescent="0.25">
      <c r="A3331" t="s">
        <v>193</v>
      </c>
      <c r="C3331" s="27" t="s">
        <v>34749</v>
      </c>
      <c r="D3331" s="28" t="s">
        <v>34867</v>
      </c>
      <c r="J3331" t="s">
        <v>9032</v>
      </c>
      <c r="K3331" t="s">
        <v>9033</v>
      </c>
      <c r="L3331" s="28" t="s">
        <v>9034</v>
      </c>
      <c r="M3331" t="s">
        <v>23</v>
      </c>
      <c r="N3331"/>
      <c r="O3331"/>
      <c r="P3331"/>
      <c r="Q3331"/>
      <c r="R3331"/>
      <c r="S3331"/>
    </row>
    <row r="3332" spans="1:19" x14ac:dyDescent="0.25">
      <c r="A3332" t="s">
        <v>193</v>
      </c>
      <c r="C3332" s="27" t="s">
        <v>34749</v>
      </c>
      <c r="D3332" s="28" t="s">
        <v>34867</v>
      </c>
      <c r="J3332" t="s">
        <v>9035</v>
      </c>
      <c r="K3332" t="s">
        <v>9036</v>
      </c>
      <c r="L3332" s="28" t="s">
        <v>9037</v>
      </c>
      <c r="M3332" t="s">
        <v>23</v>
      </c>
      <c r="N3332"/>
      <c r="O3332"/>
      <c r="P3332"/>
      <c r="Q3332"/>
      <c r="R3332"/>
      <c r="S3332"/>
    </row>
    <row r="3333" spans="1:19" x14ac:dyDescent="0.25">
      <c r="A3333" t="s">
        <v>193</v>
      </c>
      <c r="C3333" s="27" t="s">
        <v>34749</v>
      </c>
      <c r="D3333" s="28" t="s">
        <v>34867</v>
      </c>
      <c r="J3333" t="s">
        <v>9038</v>
      </c>
      <c r="K3333" t="s">
        <v>9039</v>
      </c>
      <c r="L3333" s="28" t="s">
        <v>9040</v>
      </c>
      <c r="M3333" t="s">
        <v>23</v>
      </c>
      <c r="N3333"/>
      <c r="O3333"/>
      <c r="P3333"/>
      <c r="Q3333"/>
      <c r="R3333"/>
      <c r="S3333"/>
    </row>
    <row r="3334" spans="1:19" x14ac:dyDescent="0.25">
      <c r="A3334" t="s">
        <v>193</v>
      </c>
      <c r="C3334" s="27" t="s">
        <v>34749</v>
      </c>
      <c r="D3334" s="28" t="s">
        <v>34867</v>
      </c>
      <c r="J3334" t="s">
        <v>9041</v>
      </c>
      <c r="K3334" t="s">
        <v>9042</v>
      </c>
      <c r="L3334" s="28" t="s">
        <v>9043</v>
      </c>
      <c r="M3334" t="s">
        <v>23</v>
      </c>
      <c r="N3334"/>
      <c r="O3334"/>
      <c r="P3334"/>
      <c r="Q3334"/>
      <c r="R3334"/>
      <c r="S3334"/>
    </row>
    <row r="3335" spans="1:19" x14ac:dyDescent="0.25">
      <c r="A3335" t="s">
        <v>193</v>
      </c>
      <c r="C3335" s="27" t="s">
        <v>34749</v>
      </c>
      <c r="D3335" s="28" t="s">
        <v>34867</v>
      </c>
      <c r="J3335" t="s">
        <v>9044</v>
      </c>
      <c r="K3335" t="s">
        <v>9045</v>
      </c>
      <c r="L3335" s="28" t="s">
        <v>9046</v>
      </c>
      <c r="M3335" t="s">
        <v>23</v>
      </c>
      <c r="N3335"/>
      <c r="O3335"/>
      <c r="P3335"/>
      <c r="Q3335"/>
      <c r="R3335"/>
      <c r="S3335"/>
    </row>
    <row r="3336" spans="1:19" x14ac:dyDescent="0.25">
      <c r="A3336" t="s">
        <v>193</v>
      </c>
      <c r="C3336" s="27" t="s">
        <v>34749</v>
      </c>
      <c r="D3336" s="28" t="s">
        <v>34867</v>
      </c>
      <c r="J3336" t="s">
        <v>9047</v>
      </c>
      <c r="K3336" t="s">
        <v>9048</v>
      </c>
      <c r="L3336" s="28" t="s">
        <v>9049</v>
      </c>
      <c r="M3336" t="s">
        <v>23</v>
      </c>
      <c r="N3336"/>
      <c r="O3336"/>
      <c r="P3336"/>
      <c r="Q3336"/>
      <c r="R3336"/>
      <c r="S3336"/>
    </row>
    <row r="3337" spans="1:19" x14ac:dyDescent="0.25">
      <c r="A3337" t="s">
        <v>193</v>
      </c>
      <c r="C3337" s="27" t="s">
        <v>34749</v>
      </c>
      <c r="D3337" s="28" t="s">
        <v>34867</v>
      </c>
      <c r="J3337" t="s">
        <v>9050</v>
      </c>
      <c r="K3337" t="s">
        <v>9051</v>
      </c>
      <c r="L3337" s="28" t="s">
        <v>9052</v>
      </c>
      <c r="M3337" t="s">
        <v>23</v>
      </c>
      <c r="N3337"/>
      <c r="O3337"/>
      <c r="P3337"/>
      <c r="Q3337"/>
      <c r="R3337"/>
      <c r="S3337"/>
    </row>
    <row r="3338" spans="1:19" x14ac:dyDescent="0.25">
      <c r="A3338" t="s">
        <v>193</v>
      </c>
      <c r="C3338" s="27" t="s">
        <v>34749</v>
      </c>
      <c r="D3338" s="28" t="s">
        <v>34867</v>
      </c>
      <c r="J3338" t="s">
        <v>9053</v>
      </c>
      <c r="K3338" t="s">
        <v>9054</v>
      </c>
      <c r="L3338" s="28" t="s">
        <v>9055</v>
      </c>
      <c r="M3338" t="s">
        <v>23</v>
      </c>
      <c r="N3338"/>
      <c r="O3338"/>
      <c r="P3338"/>
      <c r="Q3338"/>
      <c r="R3338"/>
      <c r="S3338"/>
    </row>
    <row r="3339" spans="1:19" x14ac:dyDescent="0.25">
      <c r="A3339" t="s">
        <v>193</v>
      </c>
      <c r="C3339" s="27" t="s">
        <v>34749</v>
      </c>
      <c r="D3339" s="28" t="s">
        <v>34867</v>
      </c>
      <c r="J3339" t="s">
        <v>9056</v>
      </c>
      <c r="K3339" t="s">
        <v>9057</v>
      </c>
      <c r="L3339" s="28" t="s">
        <v>9058</v>
      </c>
      <c r="M3339" t="s">
        <v>23</v>
      </c>
      <c r="N3339"/>
      <c r="O3339"/>
      <c r="P3339"/>
      <c r="Q3339"/>
      <c r="R3339"/>
      <c r="S3339"/>
    </row>
    <row r="3340" spans="1:19" x14ac:dyDescent="0.25">
      <c r="A3340" t="s">
        <v>193</v>
      </c>
      <c r="C3340" s="27" t="s">
        <v>34749</v>
      </c>
      <c r="D3340" s="28" t="s">
        <v>34867</v>
      </c>
      <c r="J3340" t="s">
        <v>9059</v>
      </c>
      <c r="K3340" t="s">
        <v>9060</v>
      </c>
      <c r="L3340" s="28" t="s">
        <v>9061</v>
      </c>
      <c r="M3340" t="s">
        <v>23</v>
      </c>
      <c r="N3340"/>
      <c r="O3340"/>
      <c r="P3340"/>
      <c r="Q3340"/>
      <c r="R3340"/>
      <c r="S3340"/>
    </row>
    <row r="3341" spans="1:19" x14ac:dyDescent="0.25">
      <c r="A3341" t="s">
        <v>193</v>
      </c>
      <c r="C3341" s="27" t="s">
        <v>34749</v>
      </c>
      <c r="D3341" s="28" t="s">
        <v>34867</v>
      </c>
      <c r="J3341" t="s">
        <v>9062</v>
      </c>
      <c r="K3341" t="s">
        <v>9063</v>
      </c>
      <c r="L3341" s="28" t="s">
        <v>9064</v>
      </c>
      <c r="M3341" t="s">
        <v>23</v>
      </c>
      <c r="N3341"/>
      <c r="O3341"/>
      <c r="P3341"/>
      <c r="Q3341"/>
      <c r="R3341"/>
      <c r="S3341"/>
    </row>
    <row r="3342" spans="1:19" x14ac:dyDescent="0.25">
      <c r="A3342" t="s">
        <v>193</v>
      </c>
      <c r="C3342" s="27" t="s">
        <v>34749</v>
      </c>
      <c r="D3342" s="28" t="s">
        <v>34867</v>
      </c>
      <c r="J3342" t="s">
        <v>9065</v>
      </c>
      <c r="K3342" t="s">
        <v>9066</v>
      </c>
      <c r="L3342" s="28" t="s">
        <v>9067</v>
      </c>
      <c r="M3342" t="s">
        <v>23</v>
      </c>
      <c r="N3342"/>
      <c r="O3342"/>
      <c r="P3342"/>
      <c r="Q3342"/>
      <c r="R3342"/>
      <c r="S3342"/>
    </row>
    <row r="3343" spans="1:19" x14ac:dyDescent="0.25">
      <c r="A3343" t="s">
        <v>193</v>
      </c>
      <c r="C3343" s="27" t="s">
        <v>34749</v>
      </c>
      <c r="D3343" s="28" t="s">
        <v>34867</v>
      </c>
      <c r="J3343" t="s">
        <v>9068</v>
      </c>
      <c r="K3343" t="s">
        <v>9069</v>
      </c>
      <c r="L3343" s="28" t="s">
        <v>9070</v>
      </c>
      <c r="M3343" t="s">
        <v>23</v>
      </c>
      <c r="N3343"/>
      <c r="O3343"/>
      <c r="P3343"/>
      <c r="Q3343"/>
      <c r="R3343"/>
      <c r="S3343"/>
    </row>
    <row r="3344" spans="1:19" x14ac:dyDescent="0.25">
      <c r="A3344" t="s">
        <v>193</v>
      </c>
      <c r="C3344" s="27" t="s">
        <v>34749</v>
      </c>
      <c r="D3344" s="28" t="s">
        <v>34867</v>
      </c>
      <c r="J3344" t="s">
        <v>9071</v>
      </c>
      <c r="K3344" t="s">
        <v>9072</v>
      </c>
      <c r="L3344" s="28" t="s">
        <v>9073</v>
      </c>
      <c r="M3344" t="s">
        <v>23</v>
      </c>
      <c r="N3344"/>
      <c r="O3344"/>
      <c r="P3344"/>
      <c r="Q3344"/>
      <c r="R3344"/>
      <c r="S3344"/>
    </row>
    <row r="3345" spans="1:19" x14ac:dyDescent="0.25">
      <c r="A3345" t="s">
        <v>193</v>
      </c>
      <c r="C3345" s="27" t="s">
        <v>34749</v>
      </c>
      <c r="D3345" s="28" t="s">
        <v>34867</v>
      </c>
      <c r="J3345" t="s">
        <v>9074</v>
      </c>
      <c r="K3345" t="s">
        <v>9075</v>
      </c>
      <c r="L3345" s="28" t="s">
        <v>9076</v>
      </c>
      <c r="M3345" t="s">
        <v>23</v>
      </c>
      <c r="N3345"/>
      <c r="O3345"/>
      <c r="P3345"/>
      <c r="Q3345"/>
      <c r="R3345"/>
      <c r="S3345"/>
    </row>
    <row r="3346" spans="1:19" x14ac:dyDescent="0.25">
      <c r="A3346" t="s">
        <v>193</v>
      </c>
      <c r="C3346" s="27" t="s">
        <v>34749</v>
      </c>
      <c r="D3346" s="28" t="s">
        <v>34867</v>
      </c>
      <c r="I3346" t="str">
        <f>CONCATENATE(LEFT(K3346,SEARCH(" (",K3346))," | ", RIGHT(LEFT(K3346,LEN(K3346)-1),LEN(K3346)-2-FIND(" (",K3346)))</f>
        <v>crocidoliet  | blauwe asbest</v>
      </c>
      <c r="J3346" t="s">
        <v>9077</v>
      </c>
      <c r="K3346" t="s">
        <v>9078</v>
      </c>
      <c r="L3346" s="28" t="s">
        <v>9079</v>
      </c>
      <c r="M3346" t="s">
        <v>23</v>
      </c>
      <c r="N3346"/>
      <c r="O3346"/>
      <c r="P3346"/>
      <c r="Q3346"/>
      <c r="R3346"/>
      <c r="S3346"/>
    </row>
    <row r="3347" spans="1:19" x14ac:dyDescent="0.25">
      <c r="A3347" t="s">
        <v>193</v>
      </c>
      <c r="C3347" s="27" t="s">
        <v>34749</v>
      </c>
      <c r="D3347" s="28" t="s">
        <v>34867</v>
      </c>
      <c r="J3347" t="s">
        <v>9080</v>
      </c>
      <c r="K3347" t="s">
        <v>9081</v>
      </c>
      <c r="L3347" s="28" t="s">
        <v>9082</v>
      </c>
      <c r="M3347" t="s">
        <v>23</v>
      </c>
      <c r="N3347"/>
      <c r="O3347"/>
      <c r="P3347"/>
      <c r="Q3347"/>
      <c r="R3347"/>
      <c r="S3347"/>
    </row>
    <row r="3348" spans="1:19" x14ac:dyDescent="0.25">
      <c r="A3348" t="s">
        <v>193</v>
      </c>
      <c r="C3348" s="27" t="s">
        <v>34749</v>
      </c>
      <c r="D3348" s="28" t="s">
        <v>34867</v>
      </c>
      <c r="J3348" t="s">
        <v>9083</v>
      </c>
      <c r="K3348" t="s">
        <v>9084</v>
      </c>
      <c r="L3348" s="28" t="s">
        <v>9085</v>
      </c>
      <c r="M3348" t="s">
        <v>23</v>
      </c>
      <c r="N3348"/>
      <c r="O3348"/>
      <c r="P3348"/>
      <c r="Q3348"/>
      <c r="R3348"/>
      <c r="S3348"/>
    </row>
    <row r="3349" spans="1:19" x14ac:dyDescent="0.25">
      <c r="A3349" t="s">
        <v>193</v>
      </c>
      <c r="C3349" s="27" t="s">
        <v>34749</v>
      </c>
      <c r="D3349" s="28" t="s">
        <v>34867</v>
      </c>
      <c r="J3349" t="s">
        <v>9086</v>
      </c>
      <c r="K3349" t="s">
        <v>9087</v>
      </c>
      <c r="L3349" s="28" t="s">
        <v>9088</v>
      </c>
      <c r="M3349" t="s">
        <v>23</v>
      </c>
      <c r="N3349"/>
      <c r="O3349"/>
      <c r="P3349"/>
      <c r="Q3349"/>
      <c r="R3349"/>
      <c r="S3349"/>
    </row>
    <row r="3350" spans="1:19" x14ac:dyDescent="0.25">
      <c r="A3350" t="s">
        <v>193</v>
      </c>
      <c r="C3350" s="27" t="s">
        <v>34749</v>
      </c>
      <c r="D3350" s="28" t="s">
        <v>34867</v>
      </c>
      <c r="J3350" t="s">
        <v>9089</v>
      </c>
      <c r="K3350" t="s">
        <v>9090</v>
      </c>
      <c r="L3350" s="28" t="s">
        <v>9091</v>
      </c>
      <c r="M3350" t="s">
        <v>23</v>
      </c>
      <c r="N3350"/>
      <c r="O3350"/>
      <c r="P3350"/>
      <c r="Q3350"/>
      <c r="R3350"/>
      <c r="S3350"/>
    </row>
    <row r="3351" spans="1:19" x14ac:dyDescent="0.25">
      <c r="A3351" t="s">
        <v>193</v>
      </c>
      <c r="C3351" s="27" t="s">
        <v>34749</v>
      </c>
      <c r="D3351" s="28" t="s">
        <v>34867</v>
      </c>
      <c r="J3351" t="s">
        <v>9092</v>
      </c>
      <c r="K3351" t="s">
        <v>9093</v>
      </c>
      <c r="L3351" s="28" t="s">
        <v>9094</v>
      </c>
      <c r="M3351" t="s">
        <v>23</v>
      </c>
      <c r="N3351"/>
      <c r="O3351"/>
      <c r="P3351"/>
      <c r="Q3351"/>
      <c r="R3351"/>
      <c r="S3351"/>
    </row>
    <row r="3352" spans="1:19" x14ac:dyDescent="0.25">
      <c r="A3352" t="s">
        <v>193</v>
      </c>
      <c r="C3352" s="27" t="s">
        <v>34749</v>
      </c>
      <c r="D3352" s="28" t="s">
        <v>34867</v>
      </c>
      <c r="J3352" t="s">
        <v>9095</v>
      </c>
      <c r="K3352" t="s">
        <v>9096</v>
      </c>
      <c r="L3352" s="28" t="s">
        <v>9097</v>
      </c>
      <c r="M3352" t="s">
        <v>23</v>
      </c>
      <c r="N3352"/>
      <c r="O3352"/>
      <c r="P3352"/>
      <c r="Q3352"/>
      <c r="R3352"/>
      <c r="S3352"/>
    </row>
    <row r="3353" spans="1:19" x14ac:dyDescent="0.25">
      <c r="A3353" t="s">
        <v>193</v>
      </c>
      <c r="C3353" s="27" t="s">
        <v>34749</v>
      </c>
      <c r="D3353" s="28" t="s">
        <v>34867</v>
      </c>
      <c r="J3353" t="s">
        <v>9098</v>
      </c>
      <c r="K3353" t="s">
        <v>9099</v>
      </c>
      <c r="L3353" s="28" t="s">
        <v>9100</v>
      </c>
      <c r="M3353" t="s">
        <v>23</v>
      </c>
      <c r="N3353"/>
      <c r="O3353"/>
      <c r="P3353"/>
      <c r="Q3353"/>
      <c r="R3353"/>
      <c r="S3353"/>
    </row>
    <row r="3354" spans="1:19" x14ac:dyDescent="0.25">
      <c r="A3354" t="s">
        <v>193</v>
      </c>
      <c r="C3354" s="27" t="s">
        <v>34749</v>
      </c>
      <c r="D3354" s="28" t="s">
        <v>34867</v>
      </c>
      <c r="J3354" t="s">
        <v>9101</v>
      </c>
      <c r="K3354" t="s">
        <v>9102</v>
      </c>
      <c r="L3354" s="28" t="s">
        <v>9103</v>
      </c>
      <c r="M3354" t="s">
        <v>23</v>
      </c>
      <c r="N3354"/>
      <c r="O3354"/>
      <c r="P3354"/>
      <c r="Q3354"/>
      <c r="R3354"/>
      <c r="S3354"/>
    </row>
    <row r="3355" spans="1:19" x14ac:dyDescent="0.25">
      <c r="A3355" t="s">
        <v>193</v>
      </c>
      <c r="C3355" s="27" t="s">
        <v>34749</v>
      </c>
      <c r="D3355" s="28" t="s">
        <v>34867</v>
      </c>
      <c r="J3355" t="s">
        <v>9104</v>
      </c>
      <c r="K3355" t="s">
        <v>9105</v>
      </c>
      <c r="L3355" s="28" t="s">
        <v>9106</v>
      </c>
      <c r="M3355" t="s">
        <v>23</v>
      </c>
      <c r="N3355"/>
      <c r="O3355"/>
      <c r="P3355"/>
      <c r="Q3355"/>
      <c r="R3355"/>
      <c r="S3355"/>
    </row>
    <row r="3356" spans="1:19" x14ac:dyDescent="0.25">
      <c r="A3356" t="s">
        <v>193</v>
      </c>
      <c r="C3356" s="27" t="s">
        <v>34749</v>
      </c>
      <c r="D3356" s="28" t="s">
        <v>34867</v>
      </c>
      <c r="J3356" t="s">
        <v>9107</v>
      </c>
      <c r="K3356" t="s">
        <v>9108</v>
      </c>
      <c r="L3356" s="28" t="s">
        <v>9109</v>
      </c>
      <c r="M3356" t="s">
        <v>23</v>
      </c>
      <c r="N3356"/>
      <c r="O3356"/>
      <c r="P3356"/>
      <c r="Q3356"/>
      <c r="R3356"/>
      <c r="S3356"/>
    </row>
    <row r="3357" spans="1:19" x14ac:dyDescent="0.25">
      <c r="A3357" t="s">
        <v>193</v>
      </c>
      <c r="C3357" s="27" t="s">
        <v>34749</v>
      </c>
      <c r="D3357" s="28" t="s">
        <v>34867</v>
      </c>
      <c r="J3357" t="s">
        <v>9110</v>
      </c>
      <c r="K3357" t="s">
        <v>9111</v>
      </c>
      <c r="L3357" s="28" t="s">
        <v>9112</v>
      </c>
      <c r="M3357" t="s">
        <v>23</v>
      </c>
      <c r="N3357"/>
      <c r="O3357"/>
      <c r="P3357"/>
      <c r="Q3357"/>
      <c r="R3357"/>
      <c r="S3357"/>
    </row>
    <row r="3358" spans="1:19" x14ac:dyDescent="0.25">
      <c r="A3358" t="s">
        <v>193</v>
      </c>
      <c r="C3358" s="27" t="s">
        <v>34749</v>
      </c>
      <c r="D3358" s="28" t="s">
        <v>34867</v>
      </c>
      <c r="J3358" t="s">
        <v>9113</v>
      </c>
      <c r="K3358" t="s">
        <v>9114</v>
      </c>
      <c r="L3358" s="28" t="s">
        <v>9115</v>
      </c>
      <c r="M3358" t="s">
        <v>23</v>
      </c>
      <c r="N3358"/>
      <c r="O3358"/>
      <c r="P3358"/>
      <c r="Q3358"/>
      <c r="R3358"/>
      <c r="S3358"/>
    </row>
    <row r="3359" spans="1:19" x14ac:dyDescent="0.25">
      <c r="A3359" t="s">
        <v>193</v>
      </c>
      <c r="C3359" s="27" t="s">
        <v>34749</v>
      </c>
      <c r="D3359" s="28" t="s">
        <v>34867</v>
      </c>
      <c r="J3359" t="s">
        <v>9116</v>
      </c>
      <c r="K3359" t="s">
        <v>9117</v>
      </c>
      <c r="L3359" s="28" t="s">
        <v>9118</v>
      </c>
      <c r="M3359" t="s">
        <v>23</v>
      </c>
      <c r="N3359"/>
      <c r="O3359"/>
      <c r="P3359"/>
      <c r="Q3359"/>
      <c r="R3359"/>
      <c r="S3359"/>
    </row>
    <row r="3360" spans="1:19" x14ac:dyDescent="0.25">
      <c r="A3360" t="s">
        <v>193</v>
      </c>
      <c r="C3360" s="27" t="s">
        <v>34749</v>
      </c>
      <c r="D3360" s="28" t="s">
        <v>34867</v>
      </c>
      <c r="J3360" t="s">
        <v>9119</v>
      </c>
      <c r="K3360" t="s">
        <v>9120</v>
      </c>
      <c r="L3360" s="28" t="s">
        <v>9121</v>
      </c>
      <c r="M3360" t="s">
        <v>23</v>
      </c>
      <c r="N3360"/>
      <c r="O3360"/>
      <c r="P3360"/>
      <c r="Q3360"/>
      <c r="R3360"/>
      <c r="S3360"/>
    </row>
    <row r="3361" spans="1:19" x14ac:dyDescent="0.25">
      <c r="A3361" t="s">
        <v>193</v>
      </c>
      <c r="C3361" s="27" t="s">
        <v>34749</v>
      </c>
      <c r="D3361" s="28" t="s">
        <v>34867</v>
      </c>
      <c r="J3361" t="s">
        <v>9122</v>
      </c>
      <c r="K3361" t="s">
        <v>9123</v>
      </c>
      <c r="L3361" s="28" t="s">
        <v>9124</v>
      </c>
      <c r="M3361" t="s">
        <v>23</v>
      </c>
      <c r="N3361"/>
      <c r="O3361"/>
      <c r="P3361"/>
      <c r="Q3361"/>
      <c r="R3361"/>
      <c r="S3361"/>
    </row>
    <row r="3362" spans="1:19" x14ac:dyDescent="0.25">
      <c r="A3362" t="s">
        <v>193</v>
      </c>
      <c r="C3362" s="27" t="s">
        <v>34749</v>
      </c>
      <c r="D3362" s="28" t="s">
        <v>34867</v>
      </c>
      <c r="J3362" t="s">
        <v>9125</v>
      </c>
      <c r="K3362" t="s">
        <v>9126</v>
      </c>
      <c r="L3362" s="28" t="s">
        <v>9127</v>
      </c>
      <c r="M3362" t="s">
        <v>23</v>
      </c>
      <c r="N3362"/>
      <c r="O3362"/>
      <c r="P3362"/>
      <c r="Q3362"/>
      <c r="R3362"/>
      <c r="S3362"/>
    </row>
    <row r="3363" spans="1:19" x14ac:dyDescent="0.25">
      <c r="A3363" t="s">
        <v>193</v>
      </c>
      <c r="C3363" s="27" t="s">
        <v>34749</v>
      </c>
      <c r="D3363" s="28" t="s">
        <v>34867</v>
      </c>
      <c r="J3363" t="s">
        <v>9128</v>
      </c>
      <c r="K3363" t="s">
        <v>9129</v>
      </c>
      <c r="L3363" s="28" t="s">
        <v>9130</v>
      </c>
      <c r="M3363" t="s">
        <v>23</v>
      </c>
      <c r="N3363"/>
      <c r="O3363"/>
      <c r="P3363"/>
      <c r="Q3363"/>
      <c r="R3363"/>
      <c r="S3363"/>
    </row>
    <row r="3364" spans="1:19" x14ac:dyDescent="0.25">
      <c r="A3364" t="s">
        <v>193</v>
      </c>
      <c r="C3364" s="27" t="s">
        <v>34749</v>
      </c>
      <c r="D3364" s="28" t="s">
        <v>34867</v>
      </c>
      <c r="J3364" t="s">
        <v>9131</v>
      </c>
      <c r="K3364" t="s">
        <v>9132</v>
      </c>
      <c r="L3364" s="28" t="s">
        <v>9133</v>
      </c>
      <c r="M3364" t="s">
        <v>23</v>
      </c>
      <c r="N3364"/>
      <c r="O3364"/>
      <c r="P3364"/>
      <c r="Q3364"/>
      <c r="R3364"/>
      <c r="S3364"/>
    </row>
    <row r="3365" spans="1:19" x14ac:dyDescent="0.25">
      <c r="A3365" t="s">
        <v>193</v>
      </c>
      <c r="C3365" s="27" t="s">
        <v>34749</v>
      </c>
      <c r="D3365" s="28" t="s">
        <v>34867</v>
      </c>
      <c r="J3365" t="s">
        <v>9134</v>
      </c>
      <c r="K3365" t="s">
        <v>9135</v>
      </c>
      <c r="L3365" s="28" t="s">
        <v>9136</v>
      </c>
      <c r="M3365" t="s">
        <v>23</v>
      </c>
      <c r="N3365"/>
      <c r="O3365"/>
      <c r="P3365"/>
      <c r="Q3365"/>
      <c r="R3365"/>
      <c r="S3365"/>
    </row>
    <row r="3366" spans="1:19" x14ac:dyDescent="0.25">
      <c r="A3366" t="s">
        <v>193</v>
      </c>
      <c r="C3366" s="27" t="s">
        <v>34749</v>
      </c>
      <c r="D3366" s="28" t="s">
        <v>34867</v>
      </c>
      <c r="J3366" t="s">
        <v>9137</v>
      </c>
      <c r="K3366" t="s">
        <v>9138</v>
      </c>
      <c r="L3366" s="28" t="s">
        <v>9139</v>
      </c>
      <c r="M3366" t="s">
        <v>23</v>
      </c>
      <c r="N3366"/>
      <c r="O3366"/>
      <c r="P3366"/>
      <c r="Q3366"/>
      <c r="R3366"/>
      <c r="S3366"/>
    </row>
    <row r="3367" spans="1:19" x14ac:dyDescent="0.25">
      <c r="A3367" t="s">
        <v>193</v>
      </c>
      <c r="C3367" s="27" t="s">
        <v>34749</v>
      </c>
      <c r="D3367" s="28" t="s">
        <v>34867</v>
      </c>
      <c r="J3367" t="s">
        <v>9140</v>
      </c>
      <c r="K3367" t="s">
        <v>9141</v>
      </c>
      <c r="L3367" s="28" t="s">
        <v>9142</v>
      </c>
      <c r="M3367" t="s">
        <v>23</v>
      </c>
      <c r="N3367"/>
      <c r="O3367"/>
      <c r="P3367"/>
      <c r="Q3367"/>
      <c r="R3367"/>
      <c r="S3367"/>
    </row>
    <row r="3368" spans="1:19" x14ac:dyDescent="0.25">
      <c r="A3368" t="s">
        <v>193</v>
      </c>
      <c r="C3368" s="27" t="s">
        <v>34749</v>
      </c>
      <c r="D3368" s="28" t="s">
        <v>34867</v>
      </c>
      <c r="J3368" t="s">
        <v>9143</v>
      </c>
      <c r="K3368" t="s">
        <v>9144</v>
      </c>
      <c r="L3368" s="28" t="s">
        <v>9145</v>
      </c>
      <c r="M3368" t="s">
        <v>23</v>
      </c>
      <c r="N3368"/>
      <c r="O3368"/>
      <c r="P3368"/>
      <c r="Q3368"/>
      <c r="R3368"/>
      <c r="S3368"/>
    </row>
    <row r="3369" spans="1:19" x14ac:dyDescent="0.25">
      <c r="A3369" t="s">
        <v>193</v>
      </c>
      <c r="C3369" s="27" t="s">
        <v>34749</v>
      </c>
      <c r="D3369" s="28" t="s">
        <v>34867</v>
      </c>
      <c r="J3369" t="s">
        <v>9146</v>
      </c>
      <c r="K3369" t="s">
        <v>9147</v>
      </c>
      <c r="L3369" s="28" t="s">
        <v>9148</v>
      </c>
      <c r="M3369" t="s">
        <v>23</v>
      </c>
      <c r="N3369"/>
      <c r="O3369"/>
      <c r="P3369"/>
      <c r="Q3369"/>
      <c r="R3369"/>
      <c r="S3369"/>
    </row>
    <row r="3370" spans="1:19" x14ac:dyDescent="0.25">
      <c r="A3370" t="s">
        <v>193</v>
      </c>
      <c r="C3370" s="27" t="s">
        <v>34749</v>
      </c>
      <c r="D3370" s="28" t="s">
        <v>34867</v>
      </c>
      <c r="J3370" t="s">
        <v>9149</v>
      </c>
      <c r="K3370" t="s">
        <v>9150</v>
      </c>
      <c r="L3370" s="28" t="s">
        <v>9151</v>
      </c>
      <c r="M3370" t="s">
        <v>23</v>
      </c>
      <c r="N3370"/>
      <c r="O3370"/>
      <c r="P3370"/>
      <c r="Q3370"/>
      <c r="R3370"/>
      <c r="S3370"/>
    </row>
    <row r="3371" spans="1:19" x14ac:dyDescent="0.25">
      <c r="A3371" t="s">
        <v>193</v>
      </c>
      <c r="C3371" s="27" t="s">
        <v>34749</v>
      </c>
      <c r="D3371" s="28" t="s">
        <v>34867</v>
      </c>
      <c r="J3371" t="s">
        <v>9152</v>
      </c>
      <c r="K3371" t="s">
        <v>9153</v>
      </c>
      <c r="L3371" s="28" t="s">
        <v>9154</v>
      </c>
      <c r="M3371" t="s">
        <v>23</v>
      </c>
      <c r="N3371"/>
      <c r="O3371"/>
      <c r="P3371"/>
      <c r="Q3371"/>
      <c r="R3371"/>
      <c r="S3371"/>
    </row>
    <row r="3372" spans="1:19" x14ac:dyDescent="0.25">
      <c r="A3372" t="s">
        <v>193</v>
      </c>
      <c r="C3372" s="27" t="s">
        <v>34749</v>
      </c>
      <c r="D3372" s="28" t="s">
        <v>34867</v>
      </c>
      <c r="J3372" t="s">
        <v>9155</v>
      </c>
      <c r="K3372" t="s">
        <v>9156</v>
      </c>
      <c r="L3372" s="28" t="s">
        <v>9157</v>
      </c>
      <c r="M3372" t="s">
        <v>23</v>
      </c>
      <c r="N3372"/>
      <c r="O3372"/>
      <c r="P3372"/>
      <c r="Q3372"/>
      <c r="R3372"/>
      <c r="S3372"/>
    </row>
    <row r="3373" spans="1:19" x14ac:dyDescent="0.25">
      <c r="A3373" t="s">
        <v>193</v>
      </c>
      <c r="C3373" s="27" t="s">
        <v>34749</v>
      </c>
      <c r="D3373" s="28" t="s">
        <v>34867</v>
      </c>
      <c r="J3373" t="s">
        <v>9158</v>
      </c>
      <c r="K3373" t="s">
        <v>9159</v>
      </c>
      <c r="L3373" s="28" t="s">
        <v>9160</v>
      </c>
      <c r="M3373" t="s">
        <v>23</v>
      </c>
      <c r="N3373"/>
      <c r="O3373"/>
      <c r="P3373"/>
      <c r="Q3373"/>
      <c r="R3373"/>
      <c r="S3373"/>
    </row>
    <row r="3374" spans="1:19" x14ac:dyDescent="0.25">
      <c r="A3374" t="s">
        <v>193</v>
      </c>
      <c r="C3374" s="27" t="s">
        <v>34749</v>
      </c>
      <c r="D3374" s="28" t="s">
        <v>34867</v>
      </c>
      <c r="J3374" t="s">
        <v>9161</v>
      </c>
      <c r="K3374" t="s">
        <v>9162</v>
      </c>
      <c r="L3374" s="28" t="s">
        <v>9163</v>
      </c>
      <c r="M3374" t="s">
        <v>23</v>
      </c>
      <c r="N3374"/>
      <c r="O3374"/>
      <c r="P3374"/>
      <c r="Q3374"/>
      <c r="R3374"/>
      <c r="S3374"/>
    </row>
    <row r="3375" spans="1:19" x14ac:dyDescent="0.25">
      <c r="A3375" t="s">
        <v>193</v>
      </c>
      <c r="C3375" s="27" t="s">
        <v>34749</v>
      </c>
      <c r="D3375" s="28" t="s">
        <v>34867</v>
      </c>
      <c r="J3375" t="s">
        <v>9164</v>
      </c>
      <c r="K3375" t="s">
        <v>9165</v>
      </c>
      <c r="L3375" s="28" t="s">
        <v>9166</v>
      </c>
      <c r="M3375" t="s">
        <v>23</v>
      </c>
      <c r="N3375"/>
      <c r="O3375"/>
      <c r="P3375"/>
      <c r="Q3375"/>
      <c r="R3375"/>
      <c r="S3375"/>
    </row>
    <row r="3376" spans="1:19" x14ac:dyDescent="0.25">
      <c r="A3376" t="s">
        <v>193</v>
      </c>
      <c r="C3376" s="27" t="s">
        <v>34749</v>
      </c>
      <c r="D3376" s="28" t="s">
        <v>34867</v>
      </c>
      <c r="J3376" t="s">
        <v>9167</v>
      </c>
      <c r="K3376" t="s">
        <v>9168</v>
      </c>
      <c r="L3376" s="28" t="s">
        <v>9169</v>
      </c>
      <c r="M3376" t="s">
        <v>23</v>
      </c>
      <c r="N3376"/>
      <c r="O3376"/>
      <c r="P3376"/>
      <c r="Q3376"/>
      <c r="R3376"/>
      <c r="S3376"/>
    </row>
    <row r="3377" spans="1:19" x14ac:dyDescent="0.25">
      <c r="A3377" t="s">
        <v>193</v>
      </c>
      <c r="C3377" s="27" t="s">
        <v>34749</v>
      </c>
      <c r="D3377" s="28" t="s">
        <v>34867</v>
      </c>
      <c r="J3377" t="s">
        <v>9170</v>
      </c>
      <c r="K3377" t="s">
        <v>9171</v>
      </c>
      <c r="L3377" s="28" t="s">
        <v>9172</v>
      </c>
      <c r="M3377" t="s">
        <v>23</v>
      </c>
      <c r="N3377"/>
      <c r="O3377"/>
      <c r="P3377"/>
      <c r="Q3377"/>
      <c r="R3377"/>
      <c r="S3377"/>
    </row>
    <row r="3378" spans="1:19" x14ac:dyDescent="0.25">
      <c r="A3378" t="s">
        <v>193</v>
      </c>
      <c r="C3378" s="27" t="s">
        <v>34749</v>
      </c>
      <c r="D3378" s="28" t="s">
        <v>34867</v>
      </c>
      <c r="J3378" t="s">
        <v>9173</v>
      </c>
      <c r="K3378" t="s">
        <v>9174</v>
      </c>
      <c r="L3378" s="28" t="s">
        <v>9175</v>
      </c>
      <c r="M3378" t="s">
        <v>23</v>
      </c>
      <c r="N3378"/>
      <c r="O3378"/>
      <c r="P3378"/>
      <c r="Q3378"/>
      <c r="R3378"/>
      <c r="S3378"/>
    </row>
    <row r="3379" spans="1:19" x14ac:dyDescent="0.25">
      <c r="A3379" t="s">
        <v>193</v>
      </c>
      <c r="C3379" s="27" t="s">
        <v>34749</v>
      </c>
      <c r="D3379" s="28" t="s">
        <v>34867</v>
      </c>
      <c r="J3379" t="s">
        <v>9176</v>
      </c>
      <c r="K3379" t="s">
        <v>9177</v>
      </c>
      <c r="L3379" s="28" t="s">
        <v>9178</v>
      </c>
      <c r="M3379" t="s">
        <v>23</v>
      </c>
      <c r="N3379"/>
      <c r="O3379"/>
      <c r="P3379"/>
      <c r="Q3379"/>
      <c r="R3379"/>
      <c r="S3379"/>
    </row>
    <row r="3380" spans="1:19" x14ac:dyDescent="0.25">
      <c r="A3380" t="s">
        <v>193</v>
      </c>
      <c r="C3380" s="27" t="s">
        <v>34749</v>
      </c>
      <c r="D3380" s="28" t="s">
        <v>34867</v>
      </c>
      <c r="J3380" t="s">
        <v>9179</v>
      </c>
      <c r="K3380" t="s">
        <v>9180</v>
      </c>
      <c r="L3380" s="28" t="s">
        <v>9181</v>
      </c>
      <c r="M3380" t="s">
        <v>23</v>
      </c>
      <c r="N3380"/>
      <c r="O3380"/>
      <c r="P3380"/>
      <c r="Q3380"/>
      <c r="R3380"/>
      <c r="S3380"/>
    </row>
    <row r="3381" spans="1:19" x14ac:dyDescent="0.25">
      <c r="A3381" t="s">
        <v>193</v>
      </c>
      <c r="C3381" s="27" t="s">
        <v>34749</v>
      </c>
      <c r="D3381" s="28" t="s">
        <v>34867</v>
      </c>
      <c r="J3381" t="s">
        <v>9182</v>
      </c>
      <c r="K3381" t="s">
        <v>9183</v>
      </c>
      <c r="L3381" s="28" t="s">
        <v>9184</v>
      </c>
      <c r="M3381" t="s">
        <v>23</v>
      </c>
      <c r="N3381"/>
      <c r="O3381"/>
      <c r="P3381"/>
      <c r="Q3381"/>
      <c r="R3381"/>
      <c r="S3381"/>
    </row>
    <row r="3382" spans="1:19" x14ac:dyDescent="0.25">
      <c r="A3382" t="s">
        <v>193</v>
      </c>
      <c r="C3382" s="27" t="s">
        <v>34749</v>
      </c>
      <c r="D3382" s="28" t="s">
        <v>34867</v>
      </c>
      <c r="J3382" t="s">
        <v>9185</v>
      </c>
      <c r="K3382" t="s">
        <v>9186</v>
      </c>
      <c r="L3382" s="28" t="s">
        <v>9187</v>
      </c>
      <c r="M3382" t="s">
        <v>23</v>
      </c>
      <c r="N3382"/>
      <c r="O3382"/>
      <c r="P3382"/>
      <c r="Q3382"/>
      <c r="R3382"/>
      <c r="S3382"/>
    </row>
    <row r="3383" spans="1:19" x14ac:dyDescent="0.25">
      <c r="A3383" t="s">
        <v>193</v>
      </c>
      <c r="C3383" s="27" t="s">
        <v>34749</v>
      </c>
      <c r="D3383" s="28" t="s">
        <v>34867</v>
      </c>
      <c r="J3383" t="s">
        <v>9188</v>
      </c>
      <c r="K3383" t="s">
        <v>9189</v>
      </c>
      <c r="L3383" s="28" t="s">
        <v>9190</v>
      </c>
      <c r="M3383" t="s">
        <v>23</v>
      </c>
      <c r="N3383"/>
      <c r="O3383"/>
      <c r="P3383"/>
      <c r="Q3383"/>
      <c r="R3383"/>
      <c r="S3383"/>
    </row>
    <row r="3384" spans="1:19" x14ac:dyDescent="0.25">
      <c r="A3384" t="s">
        <v>193</v>
      </c>
      <c r="C3384" s="27" t="s">
        <v>34749</v>
      </c>
      <c r="D3384" s="28" t="s">
        <v>34867</v>
      </c>
      <c r="J3384" t="s">
        <v>9191</v>
      </c>
      <c r="K3384" t="s">
        <v>9192</v>
      </c>
      <c r="L3384" s="28" t="s">
        <v>9193</v>
      </c>
      <c r="M3384" t="s">
        <v>23</v>
      </c>
      <c r="N3384"/>
      <c r="O3384"/>
      <c r="P3384"/>
      <c r="Q3384"/>
      <c r="R3384"/>
      <c r="S3384"/>
    </row>
    <row r="3385" spans="1:19" x14ac:dyDescent="0.25">
      <c r="A3385" t="s">
        <v>193</v>
      </c>
      <c r="C3385" s="27" t="s">
        <v>34749</v>
      </c>
      <c r="D3385" s="28" t="s">
        <v>34867</v>
      </c>
      <c r="J3385" t="s">
        <v>9194</v>
      </c>
      <c r="K3385" t="s">
        <v>9195</v>
      </c>
      <c r="L3385" s="28" t="s">
        <v>9196</v>
      </c>
      <c r="M3385" t="s">
        <v>23</v>
      </c>
      <c r="N3385"/>
      <c r="O3385"/>
      <c r="P3385"/>
      <c r="Q3385"/>
      <c r="R3385"/>
      <c r="S3385"/>
    </row>
    <row r="3386" spans="1:19" x14ac:dyDescent="0.25">
      <c r="A3386" t="s">
        <v>193</v>
      </c>
      <c r="C3386" s="27" t="s">
        <v>34749</v>
      </c>
      <c r="D3386" s="28" t="s">
        <v>34867</v>
      </c>
      <c r="J3386" t="s">
        <v>9197</v>
      </c>
      <c r="K3386" t="s">
        <v>9198</v>
      </c>
      <c r="L3386" s="28" t="s">
        <v>9199</v>
      </c>
      <c r="M3386" t="s">
        <v>23</v>
      </c>
      <c r="N3386"/>
      <c r="O3386"/>
      <c r="P3386"/>
      <c r="Q3386"/>
      <c r="R3386"/>
      <c r="S3386"/>
    </row>
    <row r="3387" spans="1:19" x14ac:dyDescent="0.25">
      <c r="A3387" s="28" t="s">
        <v>14843</v>
      </c>
      <c r="J3387" t="s">
        <v>9200</v>
      </c>
      <c r="K3387" t="s">
        <v>9201</v>
      </c>
      <c r="M3387" t="s">
        <v>47</v>
      </c>
      <c r="N3387"/>
      <c r="O3387"/>
      <c r="P3387"/>
      <c r="Q3387"/>
      <c r="R3387"/>
      <c r="S3387"/>
    </row>
    <row r="3388" spans="1:19" x14ac:dyDescent="0.25">
      <c r="A3388" s="28" t="s">
        <v>14843</v>
      </c>
      <c r="J3388" t="s">
        <v>9202</v>
      </c>
      <c r="K3388" t="s">
        <v>9203</v>
      </c>
      <c r="M3388" t="s">
        <v>47</v>
      </c>
      <c r="N3388"/>
      <c r="O3388"/>
      <c r="P3388"/>
      <c r="Q3388"/>
      <c r="R3388"/>
      <c r="S3388"/>
    </row>
    <row r="3389" spans="1:19" x14ac:dyDescent="0.25">
      <c r="A3389" t="s">
        <v>193</v>
      </c>
      <c r="C3389" s="27" t="s">
        <v>34749</v>
      </c>
      <c r="D3389" s="28" t="s">
        <v>34867</v>
      </c>
      <c r="J3389" t="s">
        <v>9204</v>
      </c>
      <c r="K3389" t="s">
        <v>9205</v>
      </c>
      <c r="L3389" s="28" t="s">
        <v>9206</v>
      </c>
      <c r="M3389" t="s">
        <v>23</v>
      </c>
      <c r="N3389"/>
      <c r="O3389"/>
      <c r="P3389"/>
      <c r="Q3389"/>
      <c r="R3389"/>
      <c r="S3389"/>
    </row>
    <row r="3390" spans="1:19" x14ac:dyDescent="0.25">
      <c r="A3390" t="s">
        <v>193</v>
      </c>
      <c r="C3390" s="27" t="s">
        <v>34749</v>
      </c>
      <c r="D3390" s="28" t="s">
        <v>34867</v>
      </c>
      <c r="J3390" t="s">
        <v>9207</v>
      </c>
      <c r="K3390" t="s">
        <v>9208</v>
      </c>
      <c r="L3390" s="28" t="s">
        <v>9209</v>
      </c>
      <c r="M3390" t="s">
        <v>23</v>
      </c>
      <c r="N3390"/>
      <c r="O3390"/>
      <c r="P3390"/>
      <c r="Q3390"/>
      <c r="R3390"/>
      <c r="S3390"/>
    </row>
    <row r="3391" spans="1:19" x14ac:dyDescent="0.25">
      <c r="A3391" t="s">
        <v>193</v>
      </c>
      <c r="C3391" s="27" t="s">
        <v>34749</v>
      </c>
      <c r="D3391" s="28" t="s">
        <v>34867</v>
      </c>
      <c r="J3391" t="s">
        <v>9210</v>
      </c>
      <c r="K3391" t="s">
        <v>9211</v>
      </c>
      <c r="L3391" s="28" t="s">
        <v>9212</v>
      </c>
      <c r="M3391" t="s">
        <v>23</v>
      </c>
      <c r="N3391"/>
      <c r="O3391"/>
      <c r="P3391"/>
      <c r="Q3391"/>
      <c r="R3391"/>
      <c r="S3391"/>
    </row>
    <row r="3392" spans="1:19" x14ac:dyDescent="0.25">
      <c r="A3392" t="s">
        <v>193</v>
      </c>
      <c r="C3392" s="27" t="s">
        <v>34749</v>
      </c>
      <c r="D3392" s="28" t="s">
        <v>34867</v>
      </c>
      <c r="J3392" t="s">
        <v>9213</v>
      </c>
      <c r="K3392" t="s">
        <v>9214</v>
      </c>
      <c r="L3392" s="28" t="s">
        <v>9215</v>
      </c>
      <c r="M3392" t="s">
        <v>23</v>
      </c>
      <c r="N3392"/>
      <c r="O3392"/>
      <c r="P3392"/>
      <c r="Q3392"/>
      <c r="R3392"/>
      <c r="S3392"/>
    </row>
    <row r="3393" spans="1:19" x14ac:dyDescent="0.25">
      <c r="A3393" t="s">
        <v>193</v>
      </c>
      <c r="C3393" s="27" t="s">
        <v>34749</v>
      </c>
      <c r="D3393" s="28" t="s">
        <v>34867</v>
      </c>
      <c r="J3393" t="s">
        <v>9216</v>
      </c>
      <c r="K3393" t="s">
        <v>9217</v>
      </c>
      <c r="L3393" s="28" t="s">
        <v>9218</v>
      </c>
      <c r="M3393" t="s">
        <v>23</v>
      </c>
      <c r="N3393"/>
      <c r="O3393"/>
      <c r="P3393"/>
      <c r="Q3393"/>
      <c r="R3393"/>
      <c r="S3393"/>
    </row>
    <row r="3394" spans="1:19" x14ac:dyDescent="0.25">
      <c r="A3394" t="s">
        <v>193</v>
      </c>
      <c r="C3394" s="27" t="s">
        <v>34749</v>
      </c>
      <c r="D3394" s="28" t="s">
        <v>34867</v>
      </c>
      <c r="J3394" t="s">
        <v>9219</v>
      </c>
      <c r="K3394" t="s">
        <v>9220</v>
      </c>
      <c r="L3394" s="28" t="s">
        <v>9221</v>
      </c>
      <c r="M3394" t="s">
        <v>23</v>
      </c>
      <c r="N3394"/>
      <c r="O3394"/>
      <c r="P3394"/>
      <c r="Q3394"/>
      <c r="R3394"/>
      <c r="S3394"/>
    </row>
    <row r="3395" spans="1:19" x14ac:dyDescent="0.25">
      <c r="A3395" t="s">
        <v>193</v>
      </c>
      <c r="C3395" s="27" t="s">
        <v>34749</v>
      </c>
      <c r="D3395" s="28" t="s">
        <v>34867</v>
      </c>
      <c r="J3395" t="s">
        <v>9222</v>
      </c>
      <c r="K3395" t="s">
        <v>9223</v>
      </c>
      <c r="L3395" s="28" t="s">
        <v>9224</v>
      </c>
      <c r="M3395" t="s">
        <v>23</v>
      </c>
      <c r="N3395"/>
      <c r="O3395"/>
      <c r="P3395"/>
      <c r="Q3395"/>
      <c r="R3395"/>
      <c r="S3395"/>
    </row>
    <row r="3396" spans="1:19" x14ac:dyDescent="0.25">
      <c r="A3396" t="s">
        <v>193</v>
      </c>
      <c r="C3396" s="27" t="s">
        <v>34749</v>
      </c>
      <c r="D3396" s="28" t="s">
        <v>34867</v>
      </c>
      <c r="J3396" t="s">
        <v>9225</v>
      </c>
      <c r="K3396" t="s">
        <v>9226</v>
      </c>
      <c r="L3396" s="28" t="s">
        <v>9227</v>
      </c>
      <c r="M3396" t="s">
        <v>23</v>
      </c>
      <c r="N3396"/>
      <c r="O3396"/>
      <c r="P3396"/>
      <c r="Q3396"/>
      <c r="R3396"/>
      <c r="S3396"/>
    </row>
    <row r="3397" spans="1:19" x14ac:dyDescent="0.25">
      <c r="A3397" t="s">
        <v>193</v>
      </c>
      <c r="C3397" s="27" t="s">
        <v>34749</v>
      </c>
      <c r="D3397" s="28" t="s">
        <v>34867</v>
      </c>
      <c r="J3397" t="s">
        <v>9228</v>
      </c>
      <c r="K3397" t="s">
        <v>9229</v>
      </c>
      <c r="L3397" s="28" t="s">
        <v>9230</v>
      </c>
      <c r="M3397" t="s">
        <v>23</v>
      </c>
      <c r="N3397"/>
      <c r="O3397"/>
      <c r="P3397"/>
      <c r="Q3397"/>
      <c r="R3397"/>
      <c r="S3397"/>
    </row>
    <row r="3398" spans="1:19" x14ac:dyDescent="0.25">
      <c r="A3398" t="s">
        <v>193</v>
      </c>
      <c r="C3398" s="27" t="s">
        <v>34749</v>
      </c>
      <c r="D3398" s="28" t="s">
        <v>34867</v>
      </c>
      <c r="J3398" t="s">
        <v>9231</v>
      </c>
      <c r="K3398" t="s">
        <v>9232</v>
      </c>
      <c r="L3398" s="28" t="s">
        <v>9233</v>
      </c>
      <c r="M3398" t="s">
        <v>23</v>
      </c>
      <c r="N3398"/>
      <c r="O3398"/>
      <c r="P3398"/>
      <c r="Q3398"/>
      <c r="R3398"/>
      <c r="S3398"/>
    </row>
    <row r="3399" spans="1:19" x14ac:dyDescent="0.25">
      <c r="A3399" t="s">
        <v>193</v>
      </c>
      <c r="C3399" s="27" t="s">
        <v>34749</v>
      </c>
      <c r="D3399" s="28" t="s">
        <v>34867</v>
      </c>
      <c r="J3399" t="s">
        <v>9234</v>
      </c>
      <c r="K3399" t="s">
        <v>9235</v>
      </c>
      <c r="L3399" s="28" t="s">
        <v>9236</v>
      </c>
      <c r="M3399" t="s">
        <v>23</v>
      </c>
      <c r="N3399"/>
      <c r="O3399"/>
      <c r="P3399"/>
      <c r="Q3399"/>
      <c r="R3399"/>
      <c r="S3399"/>
    </row>
    <row r="3400" spans="1:19" x14ac:dyDescent="0.25">
      <c r="A3400" t="s">
        <v>193</v>
      </c>
      <c r="C3400" s="27" t="s">
        <v>34749</v>
      </c>
      <c r="D3400" s="28" t="s">
        <v>34867</v>
      </c>
      <c r="J3400" t="s">
        <v>9237</v>
      </c>
      <c r="K3400" t="s">
        <v>9238</v>
      </c>
      <c r="L3400" s="28" t="s">
        <v>9239</v>
      </c>
      <c r="M3400" t="s">
        <v>23</v>
      </c>
      <c r="N3400"/>
      <c r="O3400"/>
      <c r="P3400"/>
      <c r="Q3400"/>
      <c r="R3400"/>
      <c r="S3400"/>
    </row>
    <row r="3401" spans="1:19" x14ac:dyDescent="0.25">
      <c r="A3401" t="s">
        <v>193</v>
      </c>
      <c r="C3401" s="27" t="s">
        <v>34749</v>
      </c>
      <c r="D3401" s="28" t="s">
        <v>34867</v>
      </c>
      <c r="J3401" t="s">
        <v>9240</v>
      </c>
      <c r="K3401" t="s">
        <v>9241</v>
      </c>
      <c r="L3401" s="28" t="s">
        <v>9242</v>
      </c>
      <c r="M3401" t="s">
        <v>23</v>
      </c>
      <c r="N3401"/>
      <c r="O3401"/>
      <c r="P3401"/>
      <c r="Q3401"/>
      <c r="R3401"/>
      <c r="S3401"/>
    </row>
    <row r="3402" spans="1:19" x14ac:dyDescent="0.25">
      <c r="A3402" t="s">
        <v>193</v>
      </c>
      <c r="C3402" s="27" t="s">
        <v>34749</v>
      </c>
      <c r="D3402" s="28" t="s">
        <v>34867</v>
      </c>
      <c r="J3402" t="s">
        <v>9243</v>
      </c>
      <c r="K3402" t="s">
        <v>9244</v>
      </c>
      <c r="L3402" s="28" t="s">
        <v>9245</v>
      </c>
      <c r="M3402" t="s">
        <v>23</v>
      </c>
      <c r="N3402"/>
      <c r="O3402"/>
      <c r="P3402"/>
      <c r="Q3402"/>
      <c r="R3402"/>
      <c r="S3402"/>
    </row>
    <row r="3403" spans="1:19" x14ac:dyDescent="0.25">
      <c r="A3403" t="s">
        <v>193</v>
      </c>
      <c r="C3403" s="27" t="s">
        <v>34749</v>
      </c>
      <c r="D3403" s="28" t="s">
        <v>34867</v>
      </c>
      <c r="J3403" t="s">
        <v>9246</v>
      </c>
      <c r="K3403" t="s">
        <v>9247</v>
      </c>
      <c r="L3403" s="28" t="s">
        <v>9248</v>
      </c>
      <c r="M3403" t="s">
        <v>23</v>
      </c>
      <c r="N3403"/>
      <c r="O3403"/>
      <c r="P3403"/>
      <c r="Q3403"/>
      <c r="R3403"/>
      <c r="S3403"/>
    </row>
    <row r="3404" spans="1:19" x14ac:dyDescent="0.25">
      <c r="A3404" t="s">
        <v>193</v>
      </c>
      <c r="C3404" s="27" t="s">
        <v>34749</v>
      </c>
      <c r="D3404" s="28" t="s">
        <v>34867</v>
      </c>
      <c r="J3404" t="s">
        <v>9249</v>
      </c>
      <c r="K3404" t="s">
        <v>9250</v>
      </c>
      <c r="L3404" s="28" t="s">
        <v>9251</v>
      </c>
      <c r="M3404" t="s">
        <v>23</v>
      </c>
      <c r="N3404"/>
      <c r="O3404"/>
      <c r="P3404"/>
      <c r="Q3404"/>
      <c r="R3404"/>
      <c r="S3404"/>
    </row>
    <row r="3405" spans="1:19" x14ac:dyDescent="0.25">
      <c r="A3405" t="s">
        <v>193</v>
      </c>
      <c r="C3405" s="27" t="s">
        <v>34749</v>
      </c>
      <c r="D3405" s="28" t="s">
        <v>34867</v>
      </c>
      <c r="J3405" t="s">
        <v>9252</v>
      </c>
      <c r="K3405" t="s">
        <v>9253</v>
      </c>
      <c r="L3405" s="28" t="s">
        <v>9254</v>
      </c>
      <c r="M3405" t="s">
        <v>23</v>
      </c>
      <c r="N3405"/>
      <c r="O3405"/>
      <c r="P3405"/>
      <c r="Q3405"/>
      <c r="R3405"/>
      <c r="S3405"/>
    </row>
    <row r="3406" spans="1:19" x14ac:dyDescent="0.25">
      <c r="A3406" t="s">
        <v>193</v>
      </c>
      <c r="C3406" s="27" t="s">
        <v>34749</v>
      </c>
      <c r="D3406" s="28" t="s">
        <v>34867</v>
      </c>
      <c r="J3406" t="s">
        <v>9255</v>
      </c>
      <c r="K3406" t="s">
        <v>9256</v>
      </c>
      <c r="L3406" s="28" t="s">
        <v>9257</v>
      </c>
      <c r="M3406" t="s">
        <v>23</v>
      </c>
      <c r="N3406"/>
      <c r="O3406"/>
      <c r="P3406"/>
      <c r="Q3406"/>
      <c r="R3406"/>
      <c r="S3406"/>
    </row>
    <row r="3407" spans="1:19" x14ac:dyDescent="0.25">
      <c r="A3407" t="s">
        <v>193</v>
      </c>
      <c r="C3407" s="27" t="s">
        <v>34749</v>
      </c>
      <c r="D3407" s="28" t="s">
        <v>34867</v>
      </c>
      <c r="J3407" t="s">
        <v>9258</v>
      </c>
      <c r="K3407" t="s">
        <v>9259</v>
      </c>
      <c r="L3407" s="28" t="s">
        <v>9260</v>
      </c>
      <c r="M3407" t="s">
        <v>23</v>
      </c>
      <c r="N3407"/>
      <c r="O3407"/>
      <c r="P3407"/>
      <c r="Q3407"/>
      <c r="R3407"/>
      <c r="S3407"/>
    </row>
    <row r="3408" spans="1:19" x14ac:dyDescent="0.25">
      <c r="A3408" t="s">
        <v>193</v>
      </c>
      <c r="C3408" s="27" t="s">
        <v>34749</v>
      </c>
      <c r="D3408" s="28" t="s">
        <v>34867</v>
      </c>
      <c r="J3408" t="s">
        <v>9261</v>
      </c>
      <c r="K3408" t="s">
        <v>9262</v>
      </c>
      <c r="L3408" s="28" t="s">
        <v>9263</v>
      </c>
      <c r="M3408" t="s">
        <v>23</v>
      </c>
      <c r="N3408"/>
      <c r="O3408"/>
      <c r="P3408"/>
      <c r="Q3408"/>
      <c r="R3408"/>
      <c r="S3408"/>
    </row>
    <row r="3409" spans="1:19" x14ac:dyDescent="0.25">
      <c r="A3409" t="s">
        <v>193</v>
      </c>
      <c r="C3409" s="27" t="s">
        <v>34749</v>
      </c>
      <c r="D3409" s="28" t="s">
        <v>34867</v>
      </c>
      <c r="J3409" t="s">
        <v>9264</v>
      </c>
      <c r="K3409" t="s">
        <v>9265</v>
      </c>
      <c r="L3409" s="28" t="s">
        <v>9266</v>
      </c>
      <c r="M3409" t="s">
        <v>23</v>
      </c>
      <c r="N3409"/>
      <c r="O3409"/>
      <c r="P3409"/>
      <c r="Q3409"/>
      <c r="R3409"/>
      <c r="S3409"/>
    </row>
    <row r="3410" spans="1:19" x14ac:dyDescent="0.25">
      <c r="A3410" t="s">
        <v>193</v>
      </c>
      <c r="C3410" s="27" t="s">
        <v>34749</v>
      </c>
      <c r="D3410" s="28" t="s">
        <v>34867</v>
      </c>
      <c r="J3410" t="s">
        <v>9267</v>
      </c>
      <c r="K3410" t="s">
        <v>9268</v>
      </c>
      <c r="L3410" s="28" t="s">
        <v>9269</v>
      </c>
      <c r="M3410" t="s">
        <v>23</v>
      </c>
      <c r="N3410"/>
      <c r="O3410"/>
      <c r="P3410"/>
      <c r="Q3410"/>
      <c r="R3410"/>
      <c r="S3410"/>
    </row>
    <row r="3411" spans="1:19" x14ac:dyDescent="0.25">
      <c r="A3411" t="s">
        <v>193</v>
      </c>
      <c r="C3411" s="27" t="s">
        <v>34749</v>
      </c>
      <c r="D3411" s="28" t="s">
        <v>34867</v>
      </c>
      <c r="J3411" t="s">
        <v>9270</v>
      </c>
      <c r="K3411" t="s">
        <v>9271</v>
      </c>
      <c r="L3411" s="28" t="s">
        <v>9272</v>
      </c>
      <c r="M3411" t="s">
        <v>23</v>
      </c>
      <c r="N3411"/>
      <c r="O3411"/>
      <c r="P3411"/>
      <c r="Q3411"/>
      <c r="R3411"/>
      <c r="S3411"/>
    </row>
    <row r="3412" spans="1:19" x14ac:dyDescent="0.25">
      <c r="A3412" t="s">
        <v>193</v>
      </c>
      <c r="C3412" s="27" t="s">
        <v>34749</v>
      </c>
      <c r="D3412" s="28" t="s">
        <v>34867</v>
      </c>
      <c r="J3412" t="s">
        <v>9273</v>
      </c>
      <c r="K3412" t="s">
        <v>9274</v>
      </c>
      <c r="L3412" s="28" t="s">
        <v>9275</v>
      </c>
      <c r="M3412" t="s">
        <v>23</v>
      </c>
      <c r="N3412"/>
      <c r="O3412"/>
      <c r="P3412"/>
      <c r="Q3412"/>
      <c r="R3412"/>
      <c r="S3412"/>
    </row>
    <row r="3413" spans="1:19" x14ac:dyDescent="0.25">
      <c r="A3413" t="s">
        <v>193</v>
      </c>
      <c r="C3413" s="27" t="s">
        <v>34749</v>
      </c>
      <c r="D3413" s="28" t="s">
        <v>34867</v>
      </c>
      <c r="E3413" s="3"/>
      <c r="F3413" s="3"/>
      <c r="J3413" t="s">
        <v>9276</v>
      </c>
      <c r="K3413" t="s">
        <v>9277</v>
      </c>
      <c r="L3413" s="28" t="s">
        <v>9278</v>
      </c>
      <c r="M3413" t="s">
        <v>23</v>
      </c>
      <c r="N3413"/>
      <c r="O3413"/>
      <c r="P3413"/>
      <c r="Q3413"/>
      <c r="R3413"/>
      <c r="S3413"/>
    </row>
    <row r="3414" spans="1:19" x14ac:dyDescent="0.25">
      <c r="A3414" t="s">
        <v>193</v>
      </c>
      <c r="C3414" s="27" t="s">
        <v>34749</v>
      </c>
      <c r="D3414" s="28" t="s">
        <v>34867</v>
      </c>
      <c r="J3414" t="s">
        <v>9279</v>
      </c>
      <c r="K3414" t="s">
        <v>9280</v>
      </c>
      <c r="L3414" s="28" t="s">
        <v>9281</v>
      </c>
      <c r="M3414" t="s">
        <v>23</v>
      </c>
      <c r="N3414"/>
      <c r="O3414"/>
      <c r="P3414"/>
      <c r="Q3414"/>
      <c r="R3414"/>
      <c r="S3414"/>
    </row>
    <row r="3415" spans="1:19" x14ac:dyDescent="0.25">
      <c r="A3415" t="s">
        <v>193</v>
      </c>
      <c r="C3415" s="27" t="s">
        <v>34749</v>
      </c>
      <c r="D3415" s="28" t="s">
        <v>34867</v>
      </c>
      <c r="J3415" t="s">
        <v>9282</v>
      </c>
      <c r="K3415" t="s">
        <v>9283</v>
      </c>
      <c r="L3415" s="28" t="s">
        <v>9284</v>
      </c>
      <c r="M3415" t="s">
        <v>23</v>
      </c>
      <c r="N3415"/>
      <c r="O3415"/>
      <c r="P3415"/>
      <c r="Q3415"/>
      <c r="R3415"/>
      <c r="S3415"/>
    </row>
    <row r="3416" spans="1:19" x14ac:dyDescent="0.25">
      <c r="A3416" t="s">
        <v>193</v>
      </c>
      <c r="C3416" s="27" t="s">
        <v>34749</v>
      </c>
      <c r="D3416" s="28" t="s">
        <v>34867</v>
      </c>
      <c r="J3416" t="s">
        <v>9285</v>
      </c>
      <c r="K3416" t="s">
        <v>9286</v>
      </c>
      <c r="L3416" s="28" t="s">
        <v>9287</v>
      </c>
      <c r="M3416" t="s">
        <v>23</v>
      </c>
      <c r="N3416"/>
      <c r="O3416"/>
      <c r="P3416"/>
      <c r="Q3416"/>
      <c r="R3416"/>
      <c r="S3416"/>
    </row>
    <row r="3417" spans="1:19" x14ac:dyDescent="0.25">
      <c r="A3417" t="s">
        <v>193</v>
      </c>
      <c r="C3417" s="27" t="s">
        <v>34749</v>
      </c>
      <c r="D3417" s="28" t="s">
        <v>34867</v>
      </c>
      <c r="J3417" t="s">
        <v>9288</v>
      </c>
      <c r="K3417" t="s">
        <v>9289</v>
      </c>
      <c r="L3417" s="28" t="s">
        <v>9290</v>
      </c>
      <c r="M3417" t="s">
        <v>23</v>
      </c>
      <c r="N3417"/>
      <c r="O3417"/>
      <c r="P3417"/>
      <c r="Q3417"/>
      <c r="R3417"/>
      <c r="S3417"/>
    </row>
    <row r="3418" spans="1:19" x14ac:dyDescent="0.25">
      <c r="A3418" t="s">
        <v>193</v>
      </c>
      <c r="C3418" s="27" t="s">
        <v>34749</v>
      </c>
      <c r="D3418" s="28" t="s">
        <v>34867</v>
      </c>
      <c r="J3418" t="s">
        <v>9291</v>
      </c>
      <c r="K3418" t="s">
        <v>9292</v>
      </c>
      <c r="L3418" s="28" t="s">
        <v>9293</v>
      </c>
      <c r="M3418" t="s">
        <v>23</v>
      </c>
      <c r="N3418"/>
      <c r="O3418"/>
      <c r="P3418"/>
      <c r="Q3418"/>
      <c r="R3418"/>
      <c r="S3418"/>
    </row>
    <row r="3419" spans="1:19" x14ac:dyDescent="0.25">
      <c r="A3419" t="s">
        <v>193</v>
      </c>
      <c r="C3419" s="27" t="s">
        <v>34749</v>
      </c>
      <c r="D3419" s="28" t="s">
        <v>34867</v>
      </c>
      <c r="J3419" t="s">
        <v>9294</v>
      </c>
      <c r="K3419" t="s">
        <v>9295</v>
      </c>
      <c r="L3419" s="28" t="s">
        <v>9296</v>
      </c>
      <c r="M3419" t="s">
        <v>23</v>
      </c>
      <c r="N3419"/>
      <c r="O3419"/>
      <c r="P3419"/>
      <c r="Q3419"/>
      <c r="R3419"/>
      <c r="S3419"/>
    </row>
    <row r="3420" spans="1:19" x14ac:dyDescent="0.25">
      <c r="A3420" t="s">
        <v>193</v>
      </c>
      <c r="C3420" s="27" t="s">
        <v>34749</v>
      </c>
      <c r="D3420" s="28" t="s">
        <v>34867</v>
      </c>
      <c r="J3420" t="s">
        <v>9297</v>
      </c>
      <c r="K3420" t="s">
        <v>9298</v>
      </c>
      <c r="L3420" s="28" t="s">
        <v>9299</v>
      </c>
      <c r="M3420" t="s">
        <v>23</v>
      </c>
      <c r="N3420"/>
      <c r="O3420"/>
      <c r="P3420"/>
      <c r="Q3420"/>
      <c r="R3420"/>
      <c r="S3420"/>
    </row>
    <row r="3421" spans="1:19" x14ac:dyDescent="0.25">
      <c r="A3421" t="s">
        <v>193</v>
      </c>
      <c r="C3421" s="27" t="s">
        <v>34749</v>
      </c>
      <c r="D3421" s="28" t="s">
        <v>34867</v>
      </c>
      <c r="J3421" t="s">
        <v>9300</v>
      </c>
      <c r="K3421" t="s">
        <v>9301</v>
      </c>
      <c r="L3421" s="28" t="s">
        <v>9302</v>
      </c>
      <c r="M3421" t="s">
        <v>23</v>
      </c>
      <c r="N3421"/>
      <c r="O3421"/>
      <c r="P3421"/>
      <c r="Q3421"/>
      <c r="R3421"/>
      <c r="S3421"/>
    </row>
    <row r="3422" spans="1:19" x14ac:dyDescent="0.25">
      <c r="A3422" t="s">
        <v>193</v>
      </c>
      <c r="C3422" s="27" t="s">
        <v>34749</v>
      </c>
      <c r="D3422" s="28" t="s">
        <v>34867</v>
      </c>
      <c r="J3422" t="s">
        <v>9303</v>
      </c>
      <c r="K3422" t="s">
        <v>9304</v>
      </c>
      <c r="L3422" s="28" t="s">
        <v>9305</v>
      </c>
      <c r="M3422" t="s">
        <v>23</v>
      </c>
      <c r="N3422"/>
      <c r="O3422"/>
      <c r="P3422"/>
      <c r="Q3422"/>
      <c r="R3422"/>
      <c r="S3422"/>
    </row>
    <row r="3423" spans="1:19" x14ac:dyDescent="0.25">
      <c r="A3423" t="s">
        <v>193</v>
      </c>
      <c r="C3423" s="27" t="s">
        <v>34749</v>
      </c>
      <c r="D3423" s="28" t="s">
        <v>34867</v>
      </c>
      <c r="J3423" t="s">
        <v>9306</v>
      </c>
      <c r="K3423" t="s">
        <v>9307</v>
      </c>
      <c r="L3423" s="28" t="s">
        <v>9308</v>
      </c>
      <c r="M3423" t="s">
        <v>23</v>
      </c>
      <c r="N3423"/>
      <c r="O3423"/>
      <c r="P3423"/>
      <c r="Q3423"/>
      <c r="R3423"/>
      <c r="S3423"/>
    </row>
    <row r="3424" spans="1:19" x14ac:dyDescent="0.25">
      <c r="A3424" t="s">
        <v>193</v>
      </c>
      <c r="C3424" s="27" t="s">
        <v>34749</v>
      </c>
      <c r="D3424" s="28" t="s">
        <v>34867</v>
      </c>
      <c r="J3424" t="s">
        <v>9309</v>
      </c>
      <c r="K3424" t="s">
        <v>9310</v>
      </c>
      <c r="L3424" s="28" t="s">
        <v>9311</v>
      </c>
      <c r="M3424" t="s">
        <v>23</v>
      </c>
      <c r="N3424"/>
      <c r="O3424"/>
      <c r="P3424"/>
      <c r="Q3424"/>
      <c r="R3424"/>
      <c r="S3424"/>
    </row>
    <row r="3425" spans="1:19" x14ac:dyDescent="0.25">
      <c r="A3425" t="s">
        <v>193</v>
      </c>
      <c r="C3425" s="27" t="s">
        <v>34749</v>
      </c>
      <c r="D3425" s="28" t="s">
        <v>34867</v>
      </c>
      <c r="J3425" t="s">
        <v>9312</v>
      </c>
      <c r="K3425" t="s">
        <v>9313</v>
      </c>
      <c r="L3425" s="28" t="s">
        <v>9314</v>
      </c>
      <c r="M3425" t="s">
        <v>23</v>
      </c>
      <c r="N3425"/>
      <c r="O3425"/>
      <c r="P3425"/>
      <c r="Q3425"/>
      <c r="R3425"/>
      <c r="S3425"/>
    </row>
    <row r="3426" spans="1:19" x14ac:dyDescent="0.25">
      <c r="A3426" t="s">
        <v>193</v>
      </c>
      <c r="C3426" s="27" t="s">
        <v>34749</v>
      </c>
      <c r="D3426" s="28" t="s">
        <v>34867</v>
      </c>
      <c r="J3426" t="s">
        <v>9315</v>
      </c>
      <c r="K3426" t="s">
        <v>9316</v>
      </c>
      <c r="L3426" s="28" t="s">
        <v>9317</v>
      </c>
      <c r="M3426" t="s">
        <v>23</v>
      </c>
      <c r="N3426"/>
      <c r="O3426"/>
      <c r="P3426"/>
      <c r="Q3426"/>
      <c r="R3426"/>
      <c r="S3426"/>
    </row>
    <row r="3427" spans="1:19" x14ac:dyDescent="0.25">
      <c r="A3427" t="s">
        <v>193</v>
      </c>
      <c r="C3427" s="27" t="s">
        <v>34749</v>
      </c>
      <c r="D3427" s="28" t="s">
        <v>34867</v>
      </c>
      <c r="J3427" t="s">
        <v>9318</v>
      </c>
      <c r="K3427" t="s">
        <v>9319</v>
      </c>
      <c r="L3427" s="28" t="s">
        <v>9320</v>
      </c>
      <c r="M3427" t="s">
        <v>23</v>
      </c>
      <c r="N3427"/>
      <c r="O3427"/>
      <c r="P3427"/>
      <c r="Q3427"/>
      <c r="R3427"/>
      <c r="S3427"/>
    </row>
    <row r="3428" spans="1:19" x14ac:dyDescent="0.25">
      <c r="A3428" t="s">
        <v>193</v>
      </c>
      <c r="C3428" s="27" t="s">
        <v>34749</v>
      </c>
      <c r="D3428" s="28" t="s">
        <v>34867</v>
      </c>
      <c r="J3428" t="s">
        <v>9321</v>
      </c>
      <c r="K3428" t="s">
        <v>9322</v>
      </c>
      <c r="L3428" s="28" t="s">
        <v>9323</v>
      </c>
      <c r="M3428" t="s">
        <v>23</v>
      </c>
      <c r="N3428"/>
      <c r="O3428"/>
      <c r="P3428"/>
      <c r="Q3428"/>
      <c r="R3428"/>
      <c r="S3428"/>
    </row>
    <row r="3429" spans="1:19" x14ac:dyDescent="0.25">
      <c r="A3429" t="s">
        <v>193</v>
      </c>
      <c r="C3429" s="27" t="s">
        <v>34749</v>
      </c>
      <c r="D3429" s="28" t="s">
        <v>34867</v>
      </c>
      <c r="J3429" t="s">
        <v>9324</v>
      </c>
      <c r="K3429" t="s">
        <v>9325</v>
      </c>
      <c r="L3429" s="28" t="s">
        <v>9326</v>
      </c>
      <c r="M3429" t="s">
        <v>23</v>
      </c>
      <c r="N3429"/>
      <c r="O3429"/>
      <c r="P3429"/>
      <c r="Q3429"/>
      <c r="R3429"/>
      <c r="S3429"/>
    </row>
    <row r="3430" spans="1:19" x14ac:dyDescent="0.25">
      <c r="A3430" t="s">
        <v>193</v>
      </c>
      <c r="C3430" s="27" t="s">
        <v>34749</v>
      </c>
      <c r="D3430" s="28" t="s">
        <v>34867</v>
      </c>
      <c r="J3430" t="s">
        <v>9327</v>
      </c>
      <c r="K3430" t="s">
        <v>9328</v>
      </c>
      <c r="L3430" s="28" t="s">
        <v>9329</v>
      </c>
      <c r="M3430" t="s">
        <v>23</v>
      </c>
      <c r="N3430"/>
      <c r="O3430"/>
      <c r="P3430"/>
      <c r="Q3430"/>
      <c r="R3430"/>
      <c r="S3430"/>
    </row>
    <row r="3431" spans="1:19" x14ac:dyDescent="0.25">
      <c r="A3431" t="s">
        <v>193</v>
      </c>
      <c r="C3431" s="27" t="s">
        <v>34749</v>
      </c>
      <c r="D3431" s="28" t="s">
        <v>34867</v>
      </c>
      <c r="J3431" t="s">
        <v>9330</v>
      </c>
      <c r="K3431" t="s">
        <v>9331</v>
      </c>
      <c r="L3431" s="28" t="s">
        <v>9332</v>
      </c>
      <c r="M3431" t="s">
        <v>23</v>
      </c>
      <c r="N3431"/>
      <c r="O3431"/>
      <c r="P3431"/>
      <c r="Q3431"/>
      <c r="R3431"/>
      <c r="S3431"/>
    </row>
    <row r="3432" spans="1:19" x14ac:dyDescent="0.25">
      <c r="A3432" t="s">
        <v>193</v>
      </c>
      <c r="C3432" s="27" t="s">
        <v>34749</v>
      </c>
      <c r="D3432" s="28" t="s">
        <v>34867</v>
      </c>
      <c r="J3432" t="s">
        <v>9333</v>
      </c>
      <c r="K3432" t="s">
        <v>9334</v>
      </c>
      <c r="L3432" s="28" t="s">
        <v>9335</v>
      </c>
      <c r="M3432" t="s">
        <v>23</v>
      </c>
      <c r="N3432"/>
      <c r="O3432"/>
      <c r="P3432"/>
      <c r="Q3432"/>
      <c r="R3432"/>
      <c r="S3432"/>
    </row>
    <row r="3433" spans="1:19" x14ac:dyDescent="0.25">
      <c r="A3433" t="s">
        <v>193</v>
      </c>
      <c r="C3433" s="27" t="s">
        <v>34749</v>
      </c>
      <c r="D3433" s="28" t="s">
        <v>34867</v>
      </c>
      <c r="J3433" t="s">
        <v>9336</v>
      </c>
      <c r="K3433" t="s">
        <v>9337</v>
      </c>
      <c r="L3433" s="28" t="s">
        <v>9338</v>
      </c>
      <c r="M3433" t="s">
        <v>23</v>
      </c>
      <c r="N3433"/>
      <c r="O3433"/>
      <c r="P3433"/>
      <c r="Q3433"/>
      <c r="R3433"/>
      <c r="S3433"/>
    </row>
    <row r="3434" spans="1:19" x14ac:dyDescent="0.25">
      <c r="A3434" t="s">
        <v>193</v>
      </c>
      <c r="C3434" s="27" t="s">
        <v>34749</v>
      </c>
      <c r="D3434" s="28" t="s">
        <v>34867</v>
      </c>
      <c r="J3434" t="s">
        <v>9339</v>
      </c>
      <c r="K3434" t="s">
        <v>9340</v>
      </c>
      <c r="L3434" s="28" t="s">
        <v>9341</v>
      </c>
      <c r="M3434" t="s">
        <v>23</v>
      </c>
      <c r="N3434"/>
      <c r="O3434"/>
      <c r="P3434"/>
      <c r="Q3434"/>
      <c r="R3434"/>
      <c r="S3434"/>
    </row>
    <row r="3435" spans="1:19" x14ac:dyDescent="0.25">
      <c r="A3435" t="s">
        <v>193</v>
      </c>
      <c r="C3435" s="27" t="s">
        <v>34749</v>
      </c>
      <c r="D3435" s="28" t="s">
        <v>34867</v>
      </c>
      <c r="J3435" t="s">
        <v>9342</v>
      </c>
      <c r="K3435" t="s">
        <v>9343</v>
      </c>
      <c r="L3435" s="28" t="s">
        <v>9344</v>
      </c>
      <c r="M3435" t="s">
        <v>23</v>
      </c>
      <c r="N3435"/>
      <c r="O3435"/>
      <c r="P3435"/>
      <c r="Q3435"/>
      <c r="R3435"/>
      <c r="S3435"/>
    </row>
    <row r="3436" spans="1:19" x14ac:dyDescent="0.25">
      <c r="A3436" s="27" t="s">
        <v>193</v>
      </c>
      <c r="J3436" t="s">
        <v>9345</v>
      </c>
      <c r="K3436" t="s">
        <v>9346</v>
      </c>
      <c r="M3436" t="s">
        <v>23</v>
      </c>
      <c r="N3436"/>
      <c r="O3436"/>
      <c r="P3436"/>
      <c r="Q3436"/>
      <c r="R3436"/>
      <c r="S3436"/>
    </row>
    <row r="3437" spans="1:19" x14ac:dyDescent="0.25">
      <c r="A3437" t="s">
        <v>193</v>
      </c>
      <c r="C3437" s="27" t="s">
        <v>34749</v>
      </c>
      <c r="D3437" s="28" t="s">
        <v>34867</v>
      </c>
      <c r="E3437" s="3"/>
      <c r="F3437" s="3"/>
      <c r="J3437" t="s">
        <v>9347</v>
      </c>
      <c r="K3437" t="s">
        <v>9348</v>
      </c>
      <c r="L3437" s="28" t="s">
        <v>9349</v>
      </c>
      <c r="M3437" t="s">
        <v>23</v>
      </c>
      <c r="N3437"/>
      <c r="O3437"/>
      <c r="P3437"/>
      <c r="Q3437"/>
      <c r="R3437"/>
      <c r="S3437"/>
    </row>
    <row r="3438" spans="1:19" x14ac:dyDescent="0.25">
      <c r="A3438" t="s">
        <v>193</v>
      </c>
      <c r="C3438" s="27" t="s">
        <v>34749</v>
      </c>
      <c r="D3438" s="28" t="s">
        <v>34867</v>
      </c>
      <c r="J3438" t="s">
        <v>9350</v>
      </c>
      <c r="K3438" t="s">
        <v>9351</v>
      </c>
      <c r="L3438" s="28" t="s">
        <v>9352</v>
      </c>
      <c r="M3438" t="s">
        <v>23</v>
      </c>
      <c r="N3438"/>
      <c r="O3438"/>
      <c r="P3438"/>
      <c r="Q3438"/>
      <c r="R3438"/>
      <c r="S3438"/>
    </row>
    <row r="3439" spans="1:19" x14ac:dyDescent="0.25">
      <c r="A3439" t="s">
        <v>193</v>
      </c>
      <c r="C3439" s="27" t="s">
        <v>34749</v>
      </c>
      <c r="D3439" s="28" t="s">
        <v>34867</v>
      </c>
      <c r="J3439" t="s">
        <v>9353</v>
      </c>
      <c r="K3439" t="s">
        <v>9354</v>
      </c>
      <c r="L3439" s="28" t="s">
        <v>9355</v>
      </c>
      <c r="M3439" t="s">
        <v>23</v>
      </c>
      <c r="N3439"/>
      <c r="O3439"/>
      <c r="P3439"/>
      <c r="Q3439"/>
      <c r="R3439"/>
      <c r="S3439"/>
    </row>
    <row r="3440" spans="1:19" x14ac:dyDescent="0.25">
      <c r="A3440" t="s">
        <v>193</v>
      </c>
      <c r="C3440" s="27" t="s">
        <v>34749</v>
      </c>
      <c r="D3440" s="28" t="s">
        <v>34867</v>
      </c>
      <c r="J3440" t="s">
        <v>9356</v>
      </c>
      <c r="K3440" t="s">
        <v>9357</v>
      </c>
      <c r="L3440" s="28" t="s">
        <v>9358</v>
      </c>
      <c r="M3440" t="s">
        <v>23</v>
      </c>
      <c r="N3440"/>
      <c r="O3440"/>
      <c r="P3440"/>
      <c r="Q3440"/>
      <c r="R3440"/>
      <c r="S3440"/>
    </row>
    <row r="3441" spans="1:19" x14ac:dyDescent="0.25">
      <c r="A3441" t="s">
        <v>193</v>
      </c>
      <c r="C3441" s="27" t="s">
        <v>34749</v>
      </c>
      <c r="D3441" s="28" t="s">
        <v>34867</v>
      </c>
      <c r="J3441" t="s">
        <v>9359</v>
      </c>
      <c r="K3441" t="s">
        <v>9360</v>
      </c>
      <c r="L3441" s="28" t="s">
        <v>9361</v>
      </c>
      <c r="M3441" t="s">
        <v>23</v>
      </c>
      <c r="N3441"/>
      <c r="O3441"/>
      <c r="P3441"/>
      <c r="Q3441"/>
      <c r="R3441"/>
      <c r="S3441"/>
    </row>
    <row r="3442" spans="1:19" x14ac:dyDescent="0.25">
      <c r="A3442" t="s">
        <v>193</v>
      </c>
      <c r="C3442" s="27" t="s">
        <v>34749</v>
      </c>
      <c r="D3442" s="28" t="s">
        <v>34867</v>
      </c>
      <c r="J3442" t="s">
        <v>9362</v>
      </c>
      <c r="K3442" t="s">
        <v>9363</v>
      </c>
      <c r="L3442" s="28" t="s">
        <v>9364</v>
      </c>
      <c r="M3442" t="s">
        <v>23</v>
      </c>
      <c r="N3442"/>
      <c r="O3442"/>
      <c r="P3442"/>
      <c r="Q3442"/>
      <c r="R3442"/>
      <c r="S3442"/>
    </row>
    <row r="3443" spans="1:19" x14ac:dyDescent="0.25">
      <c r="A3443" t="s">
        <v>193</v>
      </c>
      <c r="C3443" s="27" t="s">
        <v>34749</v>
      </c>
      <c r="D3443" s="28" t="s">
        <v>34867</v>
      </c>
      <c r="J3443" t="s">
        <v>9365</v>
      </c>
      <c r="K3443" t="s">
        <v>9366</v>
      </c>
      <c r="L3443" s="28" t="s">
        <v>9367</v>
      </c>
      <c r="M3443" t="s">
        <v>23</v>
      </c>
      <c r="N3443"/>
      <c r="O3443"/>
      <c r="P3443"/>
      <c r="Q3443"/>
      <c r="R3443"/>
      <c r="S3443"/>
    </row>
    <row r="3444" spans="1:19" x14ac:dyDescent="0.25">
      <c r="A3444" t="s">
        <v>193</v>
      </c>
      <c r="C3444" s="27" t="s">
        <v>34749</v>
      </c>
      <c r="D3444" s="28" t="s">
        <v>34867</v>
      </c>
      <c r="E3444" s="3"/>
      <c r="F3444" s="3"/>
      <c r="J3444" t="s">
        <v>9368</v>
      </c>
      <c r="K3444" t="s">
        <v>9369</v>
      </c>
      <c r="L3444" s="28" t="s">
        <v>9370</v>
      </c>
      <c r="M3444" t="s">
        <v>23</v>
      </c>
      <c r="N3444"/>
      <c r="O3444"/>
      <c r="P3444"/>
      <c r="Q3444"/>
      <c r="R3444"/>
      <c r="S3444"/>
    </row>
    <row r="3445" spans="1:19" x14ac:dyDescent="0.25">
      <c r="A3445" t="s">
        <v>193</v>
      </c>
      <c r="C3445" s="27" t="s">
        <v>34749</v>
      </c>
      <c r="D3445" s="28" t="s">
        <v>34867</v>
      </c>
      <c r="J3445" t="s">
        <v>9371</v>
      </c>
      <c r="K3445" t="s">
        <v>9372</v>
      </c>
      <c r="L3445" s="28" t="s">
        <v>9373</v>
      </c>
      <c r="M3445" t="s">
        <v>23</v>
      </c>
      <c r="N3445"/>
      <c r="O3445"/>
      <c r="P3445"/>
      <c r="Q3445"/>
      <c r="R3445"/>
      <c r="S3445"/>
    </row>
    <row r="3446" spans="1:19" x14ac:dyDescent="0.25">
      <c r="A3446" t="s">
        <v>193</v>
      </c>
      <c r="C3446" s="27" t="s">
        <v>34749</v>
      </c>
      <c r="D3446" s="28" t="s">
        <v>34867</v>
      </c>
      <c r="J3446" t="s">
        <v>9374</v>
      </c>
      <c r="K3446" t="s">
        <v>9375</v>
      </c>
      <c r="L3446" s="28" t="s">
        <v>9376</v>
      </c>
      <c r="M3446" t="s">
        <v>23</v>
      </c>
      <c r="N3446"/>
      <c r="O3446"/>
      <c r="P3446"/>
      <c r="Q3446"/>
      <c r="R3446"/>
      <c r="S3446"/>
    </row>
    <row r="3447" spans="1:19" x14ac:dyDescent="0.25">
      <c r="A3447" t="s">
        <v>193</v>
      </c>
      <c r="C3447" s="27" t="s">
        <v>34749</v>
      </c>
      <c r="D3447" s="28" t="s">
        <v>34867</v>
      </c>
      <c r="I3447" t="str">
        <f>CONCATENATE(LEFT(K3447,SEARCH(" (",K3447))," | ", RIGHT(LEFT(K3447,LEN(K3447)-1),LEN(K3447)-2-FIND(" (",K3447)))</f>
        <v>endosulfan  | som alfa- en beta-isomeer</v>
      </c>
      <c r="J3447" t="s">
        <v>9377</v>
      </c>
      <c r="K3447" t="s">
        <v>9378</v>
      </c>
      <c r="L3447" s="28" t="s">
        <v>9379</v>
      </c>
      <c r="M3447" t="s">
        <v>23</v>
      </c>
      <c r="N3447"/>
      <c r="O3447"/>
      <c r="P3447"/>
      <c r="Q3447"/>
      <c r="R3447"/>
      <c r="S3447"/>
    </row>
    <row r="3448" spans="1:19" x14ac:dyDescent="0.25">
      <c r="A3448" t="s">
        <v>193</v>
      </c>
      <c r="C3448" s="27" t="s">
        <v>34749</v>
      </c>
      <c r="D3448" s="28" t="s">
        <v>34867</v>
      </c>
      <c r="J3448" t="s">
        <v>9380</v>
      </c>
      <c r="K3448" t="s">
        <v>9381</v>
      </c>
      <c r="L3448" s="28" t="s">
        <v>9382</v>
      </c>
      <c r="M3448" t="s">
        <v>23</v>
      </c>
      <c r="N3448"/>
      <c r="O3448"/>
      <c r="P3448"/>
      <c r="Q3448"/>
      <c r="R3448"/>
      <c r="S3448"/>
    </row>
    <row r="3449" spans="1:19" x14ac:dyDescent="0.25">
      <c r="A3449" t="s">
        <v>193</v>
      </c>
      <c r="C3449" s="27" t="s">
        <v>34749</v>
      </c>
      <c r="D3449" s="28" t="s">
        <v>34867</v>
      </c>
      <c r="J3449" t="s">
        <v>9383</v>
      </c>
      <c r="K3449" t="s">
        <v>9384</v>
      </c>
      <c r="L3449" s="28" t="s">
        <v>9385</v>
      </c>
      <c r="M3449" t="s">
        <v>23</v>
      </c>
      <c r="N3449"/>
      <c r="O3449"/>
      <c r="P3449"/>
      <c r="Q3449"/>
      <c r="R3449"/>
      <c r="S3449"/>
    </row>
    <row r="3450" spans="1:19" x14ac:dyDescent="0.25">
      <c r="A3450" t="s">
        <v>193</v>
      </c>
      <c r="C3450" s="27" t="s">
        <v>34749</v>
      </c>
      <c r="D3450" s="28" t="s">
        <v>34867</v>
      </c>
      <c r="J3450" t="s">
        <v>9386</v>
      </c>
      <c r="K3450" t="s">
        <v>9387</v>
      </c>
      <c r="L3450" s="28" t="s">
        <v>9388</v>
      </c>
      <c r="M3450" t="s">
        <v>23</v>
      </c>
      <c r="N3450"/>
      <c r="O3450"/>
      <c r="P3450"/>
      <c r="Q3450"/>
      <c r="R3450"/>
      <c r="S3450"/>
    </row>
    <row r="3451" spans="1:19" x14ac:dyDescent="0.25">
      <c r="A3451" t="s">
        <v>193</v>
      </c>
      <c r="C3451" s="27" t="s">
        <v>34749</v>
      </c>
      <c r="D3451" s="28" t="s">
        <v>34867</v>
      </c>
      <c r="J3451" t="s">
        <v>9389</v>
      </c>
      <c r="K3451" t="s">
        <v>9390</v>
      </c>
      <c r="L3451" s="28" t="s">
        <v>9391</v>
      </c>
      <c r="M3451" t="s">
        <v>23</v>
      </c>
      <c r="N3451"/>
      <c r="O3451"/>
      <c r="P3451"/>
      <c r="Q3451"/>
      <c r="R3451"/>
      <c r="S3451"/>
    </row>
    <row r="3452" spans="1:19" x14ac:dyDescent="0.25">
      <c r="A3452" t="s">
        <v>193</v>
      </c>
      <c r="C3452" s="27" t="s">
        <v>34749</v>
      </c>
      <c r="D3452" s="28" t="s">
        <v>34867</v>
      </c>
      <c r="J3452" t="s">
        <v>9392</v>
      </c>
      <c r="K3452" t="s">
        <v>9393</v>
      </c>
      <c r="L3452" s="28" t="s">
        <v>9394</v>
      </c>
      <c r="M3452" t="s">
        <v>23</v>
      </c>
      <c r="N3452"/>
      <c r="O3452"/>
      <c r="P3452"/>
      <c r="Q3452"/>
      <c r="R3452"/>
      <c r="S3452"/>
    </row>
    <row r="3453" spans="1:19" x14ac:dyDescent="0.25">
      <c r="A3453" t="s">
        <v>193</v>
      </c>
      <c r="C3453" s="27" t="s">
        <v>34749</v>
      </c>
      <c r="D3453" s="28" t="s">
        <v>34867</v>
      </c>
      <c r="J3453" t="s">
        <v>9395</v>
      </c>
      <c r="K3453" t="s">
        <v>9396</v>
      </c>
      <c r="L3453" s="28" t="s">
        <v>9397</v>
      </c>
      <c r="M3453" t="s">
        <v>23</v>
      </c>
      <c r="N3453"/>
      <c r="O3453"/>
      <c r="P3453"/>
      <c r="Q3453"/>
      <c r="R3453"/>
      <c r="S3453"/>
    </row>
    <row r="3454" spans="1:19" x14ac:dyDescent="0.25">
      <c r="A3454" t="s">
        <v>193</v>
      </c>
      <c r="C3454" s="27" t="s">
        <v>34749</v>
      </c>
      <c r="D3454" s="28" t="s">
        <v>34867</v>
      </c>
      <c r="J3454" t="s">
        <v>9398</v>
      </c>
      <c r="K3454" t="s">
        <v>9399</v>
      </c>
      <c r="L3454" s="28" t="s">
        <v>9400</v>
      </c>
      <c r="M3454" t="s">
        <v>23</v>
      </c>
      <c r="N3454"/>
      <c r="O3454"/>
      <c r="P3454"/>
      <c r="Q3454"/>
      <c r="R3454"/>
      <c r="S3454"/>
    </row>
    <row r="3455" spans="1:19" x14ac:dyDescent="0.25">
      <c r="A3455" t="s">
        <v>193</v>
      </c>
      <c r="C3455" s="27" t="s">
        <v>34749</v>
      </c>
      <c r="D3455" s="28" t="s">
        <v>34867</v>
      </c>
      <c r="J3455" t="s">
        <v>9401</v>
      </c>
      <c r="K3455" t="s">
        <v>9402</v>
      </c>
      <c r="L3455" s="28" t="s">
        <v>9403</v>
      </c>
      <c r="M3455" t="s">
        <v>23</v>
      </c>
      <c r="N3455"/>
      <c r="O3455"/>
      <c r="P3455"/>
      <c r="Q3455"/>
      <c r="R3455"/>
      <c r="S3455"/>
    </row>
    <row r="3456" spans="1:19" x14ac:dyDescent="0.25">
      <c r="A3456" t="s">
        <v>193</v>
      </c>
      <c r="C3456" s="27" t="s">
        <v>34749</v>
      </c>
      <c r="D3456" s="28" t="s">
        <v>34867</v>
      </c>
      <c r="J3456" t="s">
        <v>9404</v>
      </c>
      <c r="K3456" t="s">
        <v>9405</v>
      </c>
      <c r="L3456" s="28" t="s">
        <v>9406</v>
      </c>
      <c r="M3456" t="s">
        <v>23</v>
      </c>
      <c r="N3456"/>
      <c r="O3456"/>
      <c r="P3456"/>
      <c r="Q3456"/>
      <c r="R3456"/>
      <c r="S3456"/>
    </row>
    <row r="3457" spans="1:19" x14ac:dyDescent="0.25">
      <c r="A3457" t="s">
        <v>193</v>
      </c>
      <c r="C3457" s="27" t="s">
        <v>34749</v>
      </c>
      <c r="D3457" s="28" t="s">
        <v>34867</v>
      </c>
      <c r="J3457" t="s">
        <v>9407</v>
      </c>
      <c r="K3457" t="s">
        <v>9408</v>
      </c>
      <c r="L3457" s="28" t="s">
        <v>9409</v>
      </c>
      <c r="M3457" t="s">
        <v>23</v>
      </c>
      <c r="N3457"/>
      <c r="O3457"/>
      <c r="P3457"/>
      <c r="Q3457"/>
      <c r="R3457"/>
      <c r="S3457"/>
    </row>
    <row r="3458" spans="1:19" x14ac:dyDescent="0.25">
      <c r="A3458" t="s">
        <v>193</v>
      </c>
      <c r="C3458" s="27" t="s">
        <v>34749</v>
      </c>
      <c r="D3458" s="28" t="s">
        <v>34867</v>
      </c>
      <c r="J3458" t="s">
        <v>9410</v>
      </c>
      <c r="K3458" t="s">
        <v>9411</v>
      </c>
      <c r="L3458" s="28" t="s">
        <v>9412</v>
      </c>
      <c r="M3458" t="s">
        <v>23</v>
      </c>
      <c r="N3458"/>
      <c r="O3458"/>
      <c r="P3458"/>
      <c r="Q3458"/>
      <c r="R3458"/>
      <c r="S3458"/>
    </row>
    <row r="3459" spans="1:19" x14ac:dyDescent="0.25">
      <c r="A3459" t="s">
        <v>193</v>
      </c>
      <c r="C3459" s="27" t="s">
        <v>34749</v>
      </c>
      <c r="D3459" s="28" t="s">
        <v>34867</v>
      </c>
      <c r="J3459" t="s">
        <v>9413</v>
      </c>
      <c r="K3459" t="s">
        <v>9414</v>
      </c>
      <c r="L3459" s="28" t="s">
        <v>9415</v>
      </c>
      <c r="M3459" t="s">
        <v>23</v>
      </c>
      <c r="N3459"/>
      <c r="O3459"/>
      <c r="P3459"/>
      <c r="Q3459"/>
      <c r="R3459"/>
      <c r="S3459"/>
    </row>
    <row r="3460" spans="1:19" x14ac:dyDescent="0.25">
      <c r="A3460" t="s">
        <v>193</v>
      </c>
      <c r="C3460" s="27" t="s">
        <v>34749</v>
      </c>
      <c r="D3460" s="28" t="s">
        <v>34867</v>
      </c>
      <c r="J3460" t="s">
        <v>9416</v>
      </c>
      <c r="K3460" t="s">
        <v>9417</v>
      </c>
      <c r="L3460" s="28" t="s">
        <v>9418</v>
      </c>
      <c r="M3460" t="s">
        <v>23</v>
      </c>
      <c r="N3460"/>
      <c r="O3460"/>
      <c r="P3460"/>
      <c r="Q3460"/>
      <c r="R3460"/>
      <c r="S3460"/>
    </row>
    <row r="3461" spans="1:19" x14ac:dyDescent="0.25">
      <c r="A3461" t="s">
        <v>193</v>
      </c>
      <c r="C3461" s="27" t="s">
        <v>34749</v>
      </c>
      <c r="D3461" s="28" t="s">
        <v>34867</v>
      </c>
      <c r="J3461" t="s">
        <v>9419</v>
      </c>
      <c r="K3461" t="s">
        <v>9420</v>
      </c>
      <c r="L3461" s="28" t="s">
        <v>9421</v>
      </c>
      <c r="M3461" t="s">
        <v>23</v>
      </c>
      <c r="N3461"/>
      <c r="O3461"/>
      <c r="P3461"/>
      <c r="Q3461"/>
      <c r="R3461"/>
      <c r="S3461"/>
    </row>
    <row r="3462" spans="1:19" x14ac:dyDescent="0.25">
      <c r="A3462" t="s">
        <v>193</v>
      </c>
      <c r="C3462" s="27" t="s">
        <v>34749</v>
      </c>
      <c r="D3462" s="28" t="s">
        <v>34867</v>
      </c>
      <c r="J3462" t="s">
        <v>9422</v>
      </c>
      <c r="K3462" t="s">
        <v>9423</v>
      </c>
      <c r="L3462" s="28" t="s">
        <v>9424</v>
      </c>
      <c r="M3462" t="s">
        <v>23</v>
      </c>
      <c r="N3462"/>
      <c r="O3462"/>
      <c r="P3462"/>
      <c r="Q3462"/>
      <c r="R3462"/>
      <c r="S3462"/>
    </row>
    <row r="3463" spans="1:19" x14ac:dyDescent="0.25">
      <c r="A3463" t="s">
        <v>193</v>
      </c>
      <c r="C3463" s="27" t="s">
        <v>34749</v>
      </c>
      <c r="D3463" s="28" t="s">
        <v>34867</v>
      </c>
      <c r="J3463" t="s">
        <v>9425</v>
      </c>
      <c r="K3463" t="s">
        <v>9426</v>
      </c>
      <c r="L3463" s="28" t="s">
        <v>9427</v>
      </c>
      <c r="M3463" t="s">
        <v>23</v>
      </c>
      <c r="N3463"/>
      <c r="O3463"/>
      <c r="P3463"/>
      <c r="Q3463"/>
      <c r="R3463"/>
      <c r="S3463"/>
    </row>
    <row r="3464" spans="1:19" x14ac:dyDescent="0.25">
      <c r="A3464" t="s">
        <v>193</v>
      </c>
      <c r="C3464" s="27" t="s">
        <v>34749</v>
      </c>
      <c r="D3464" s="28" t="s">
        <v>34867</v>
      </c>
      <c r="J3464" t="s">
        <v>9428</v>
      </c>
      <c r="K3464" t="s">
        <v>9429</v>
      </c>
      <c r="L3464" s="28" t="s">
        <v>9430</v>
      </c>
      <c r="M3464" t="s">
        <v>23</v>
      </c>
      <c r="N3464"/>
      <c r="O3464"/>
      <c r="P3464"/>
      <c r="Q3464"/>
      <c r="R3464"/>
      <c r="S3464"/>
    </row>
    <row r="3465" spans="1:19" x14ac:dyDescent="0.25">
      <c r="A3465" t="s">
        <v>193</v>
      </c>
      <c r="C3465" s="27" t="s">
        <v>34749</v>
      </c>
      <c r="D3465" s="28" t="s">
        <v>34867</v>
      </c>
      <c r="J3465" t="s">
        <v>9431</v>
      </c>
      <c r="K3465" t="s">
        <v>9432</v>
      </c>
      <c r="L3465" s="28" t="s">
        <v>9433</v>
      </c>
      <c r="M3465" t="s">
        <v>23</v>
      </c>
      <c r="N3465"/>
      <c r="O3465"/>
      <c r="P3465"/>
      <c r="Q3465"/>
      <c r="R3465"/>
      <c r="S3465"/>
    </row>
    <row r="3466" spans="1:19" x14ac:dyDescent="0.25">
      <c r="A3466" t="s">
        <v>193</v>
      </c>
      <c r="C3466" s="27" t="s">
        <v>34749</v>
      </c>
      <c r="D3466" s="28" t="s">
        <v>34867</v>
      </c>
      <c r="J3466" t="s">
        <v>9434</v>
      </c>
      <c r="K3466" t="s">
        <v>9435</v>
      </c>
      <c r="L3466" s="28" t="s">
        <v>9436</v>
      </c>
      <c r="M3466" t="s">
        <v>23</v>
      </c>
      <c r="N3466"/>
      <c r="O3466"/>
      <c r="P3466"/>
      <c r="Q3466"/>
      <c r="R3466"/>
      <c r="S3466"/>
    </row>
    <row r="3467" spans="1:19" x14ac:dyDescent="0.25">
      <c r="A3467" t="s">
        <v>193</v>
      </c>
      <c r="C3467" s="27" t="s">
        <v>34749</v>
      </c>
      <c r="D3467" s="28" t="s">
        <v>34867</v>
      </c>
      <c r="J3467" t="s">
        <v>9437</v>
      </c>
      <c r="K3467" t="s">
        <v>9438</v>
      </c>
      <c r="L3467" s="28" t="s">
        <v>9439</v>
      </c>
      <c r="M3467" t="s">
        <v>23</v>
      </c>
      <c r="N3467"/>
      <c r="O3467"/>
      <c r="P3467"/>
      <c r="Q3467"/>
      <c r="R3467"/>
      <c r="S3467"/>
    </row>
    <row r="3468" spans="1:19" x14ac:dyDescent="0.25">
      <c r="A3468" t="s">
        <v>193</v>
      </c>
      <c r="C3468" s="27" t="s">
        <v>34749</v>
      </c>
      <c r="D3468" s="28" t="s">
        <v>34867</v>
      </c>
      <c r="J3468" t="s">
        <v>9440</v>
      </c>
      <c r="K3468" t="s">
        <v>9441</v>
      </c>
      <c r="L3468" s="28" t="s">
        <v>9442</v>
      </c>
      <c r="M3468" t="s">
        <v>23</v>
      </c>
      <c r="N3468"/>
      <c r="O3468"/>
      <c r="P3468"/>
      <c r="Q3468"/>
      <c r="R3468"/>
      <c r="S3468"/>
    </row>
    <row r="3469" spans="1:19" x14ac:dyDescent="0.25">
      <c r="A3469" t="s">
        <v>193</v>
      </c>
      <c r="C3469" s="27" t="s">
        <v>34749</v>
      </c>
      <c r="D3469" s="28" t="s">
        <v>34867</v>
      </c>
      <c r="J3469" t="s">
        <v>9443</v>
      </c>
      <c r="K3469" t="s">
        <v>9444</v>
      </c>
      <c r="L3469" s="28" t="s">
        <v>9445</v>
      </c>
      <c r="M3469" t="s">
        <v>23</v>
      </c>
      <c r="N3469"/>
      <c r="O3469"/>
      <c r="P3469"/>
      <c r="Q3469"/>
      <c r="R3469"/>
      <c r="S3469"/>
    </row>
    <row r="3470" spans="1:19" x14ac:dyDescent="0.25">
      <c r="A3470" t="s">
        <v>193</v>
      </c>
      <c r="C3470" s="27" t="s">
        <v>34749</v>
      </c>
      <c r="D3470" s="28" t="s">
        <v>34867</v>
      </c>
      <c r="J3470" t="s">
        <v>9446</v>
      </c>
      <c r="K3470" t="s">
        <v>9447</v>
      </c>
      <c r="L3470" s="28" t="s">
        <v>9448</v>
      </c>
      <c r="M3470" t="s">
        <v>23</v>
      </c>
      <c r="N3470"/>
      <c r="O3470"/>
      <c r="P3470"/>
      <c r="Q3470"/>
      <c r="R3470"/>
      <c r="S3470"/>
    </row>
    <row r="3471" spans="1:19" x14ac:dyDescent="0.25">
      <c r="A3471" t="s">
        <v>193</v>
      </c>
      <c r="C3471" s="27" t="s">
        <v>34749</v>
      </c>
      <c r="D3471" s="28" t="s">
        <v>34867</v>
      </c>
      <c r="J3471" t="s">
        <v>9449</v>
      </c>
      <c r="K3471" t="s">
        <v>9450</v>
      </c>
      <c r="L3471" s="28" t="s">
        <v>9451</v>
      </c>
      <c r="M3471" t="s">
        <v>23</v>
      </c>
      <c r="N3471"/>
      <c r="O3471"/>
      <c r="P3471"/>
      <c r="Q3471"/>
      <c r="R3471"/>
      <c r="S3471"/>
    </row>
    <row r="3472" spans="1:19" x14ac:dyDescent="0.25">
      <c r="A3472" t="s">
        <v>193</v>
      </c>
      <c r="C3472" s="27" t="s">
        <v>34749</v>
      </c>
      <c r="D3472" s="28" t="s">
        <v>34867</v>
      </c>
      <c r="J3472" t="s">
        <v>9452</v>
      </c>
      <c r="K3472" t="s">
        <v>9453</v>
      </c>
      <c r="L3472" s="28" t="s">
        <v>9454</v>
      </c>
      <c r="M3472" t="s">
        <v>23</v>
      </c>
      <c r="N3472"/>
      <c r="O3472"/>
      <c r="P3472"/>
      <c r="Q3472"/>
      <c r="R3472"/>
      <c r="S3472"/>
    </row>
    <row r="3473" spans="1:19" x14ac:dyDescent="0.25">
      <c r="A3473" t="s">
        <v>193</v>
      </c>
      <c r="C3473" s="27" t="s">
        <v>34749</v>
      </c>
      <c r="D3473" s="28" t="s">
        <v>34867</v>
      </c>
      <c r="J3473" t="s">
        <v>9455</v>
      </c>
      <c r="K3473" t="s">
        <v>9456</v>
      </c>
      <c r="L3473" s="28" t="s">
        <v>9457</v>
      </c>
      <c r="M3473" t="s">
        <v>23</v>
      </c>
      <c r="N3473"/>
      <c r="O3473"/>
      <c r="P3473"/>
      <c r="Q3473"/>
      <c r="R3473"/>
      <c r="S3473"/>
    </row>
    <row r="3474" spans="1:19" x14ac:dyDescent="0.25">
      <c r="A3474" t="s">
        <v>193</v>
      </c>
      <c r="C3474" s="27" t="s">
        <v>34749</v>
      </c>
      <c r="D3474" s="28" t="s">
        <v>34867</v>
      </c>
      <c r="J3474" t="s">
        <v>9458</v>
      </c>
      <c r="K3474" t="s">
        <v>9459</v>
      </c>
      <c r="L3474" s="28" t="s">
        <v>9460</v>
      </c>
      <c r="M3474" t="s">
        <v>23</v>
      </c>
      <c r="N3474"/>
      <c r="O3474"/>
      <c r="P3474"/>
      <c r="Q3474"/>
      <c r="R3474"/>
      <c r="S3474"/>
    </row>
    <row r="3475" spans="1:19" x14ac:dyDescent="0.25">
      <c r="A3475" t="s">
        <v>193</v>
      </c>
      <c r="C3475" s="27" t="s">
        <v>34749</v>
      </c>
      <c r="D3475" s="28" t="s">
        <v>34867</v>
      </c>
      <c r="J3475" t="s">
        <v>9461</v>
      </c>
      <c r="K3475" t="s">
        <v>9462</v>
      </c>
      <c r="L3475" s="28" t="s">
        <v>9463</v>
      </c>
      <c r="M3475" t="s">
        <v>23</v>
      </c>
      <c r="N3475"/>
      <c r="O3475"/>
      <c r="P3475"/>
      <c r="Q3475"/>
      <c r="R3475"/>
      <c r="S3475"/>
    </row>
    <row r="3476" spans="1:19" x14ac:dyDescent="0.25">
      <c r="A3476" t="s">
        <v>193</v>
      </c>
      <c r="C3476" s="27" t="s">
        <v>34749</v>
      </c>
      <c r="D3476" s="28" t="s">
        <v>34867</v>
      </c>
      <c r="J3476" t="s">
        <v>9464</v>
      </c>
      <c r="K3476" t="s">
        <v>9465</v>
      </c>
      <c r="L3476" s="28" t="s">
        <v>9466</v>
      </c>
      <c r="M3476" t="s">
        <v>23</v>
      </c>
      <c r="N3476"/>
      <c r="O3476"/>
      <c r="P3476"/>
      <c r="Q3476"/>
      <c r="R3476"/>
      <c r="S3476"/>
    </row>
    <row r="3477" spans="1:19" x14ac:dyDescent="0.25">
      <c r="A3477" t="s">
        <v>193</v>
      </c>
      <c r="C3477" s="27" t="s">
        <v>34749</v>
      </c>
      <c r="D3477" s="28" t="s">
        <v>34867</v>
      </c>
      <c r="J3477" t="s">
        <v>9467</v>
      </c>
      <c r="K3477" t="s">
        <v>9468</v>
      </c>
      <c r="L3477" s="28" t="s">
        <v>9469</v>
      </c>
      <c r="M3477" t="s">
        <v>23</v>
      </c>
      <c r="N3477"/>
      <c r="O3477"/>
      <c r="P3477"/>
      <c r="Q3477"/>
      <c r="R3477"/>
      <c r="S3477"/>
    </row>
    <row r="3478" spans="1:19" x14ac:dyDescent="0.25">
      <c r="A3478" t="s">
        <v>193</v>
      </c>
      <c r="C3478" s="27" t="s">
        <v>34749</v>
      </c>
      <c r="D3478" s="28" t="s">
        <v>34867</v>
      </c>
      <c r="J3478" t="s">
        <v>9470</v>
      </c>
      <c r="K3478" t="s">
        <v>9471</v>
      </c>
      <c r="L3478" s="28" t="s">
        <v>9472</v>
      </c>
      <c r="M3478" t="s">
        <v>23</v>
      </c>
      <c r="N3478"/>
      <c r="O3478"/>
      <c r="P3478"/>
      <c r="Q3478"/>
      <c r="R3478"/>
      <c r="S3478"/>
    </row>
    <row r="3479" spans="1:19" x14ac:dyDescent="0.25">
      <c r="A3479" t="s">
        <v>193</v>
      </c>
      <c r="C3479" s="27" t="s">
        <v>34749</v>
      </c>
      <c r="D3479" s="28" t="s">
        <v>34867</v>
      </c>
      <c r="J3479" t="s">
        <v>9473</v>
      </c>
      <c r="K3479" t="s">
        <v>9474</v>
      </c>
      <c r="L3479" s="28" t="s">
        <v>9475</v>
      </c>
      <c r="M3479" t="s">
        <v>23</v>
      </c>
      <c r="N3479"/>
      <c r="O3479"/>
      <c r="P3479"/>
      <c r="Q3479"/>
      <c r="R3479"/>
      <c r="S3479"/>
    </row>
    <row r="3480" spans="1:19" x14ac:dyDescent="0.25">
      <c r="A3480" t="s">
        <v>193</v>
      </c>
      <c r="C3480" s="27" t="s">
        <v>34749</v>
      </c>
      <c r="D3480" s="28" t="s">
        <v>34867</v>
      </c>
      <c r="J3480" t="s">
        <v>9476</v>
      </c>
      <c r="K3480" t="s">
        <v>9477</v>
      </c>
      <c r="L3480" s="28" t="s">
        <v>9478</v>
      </c>
      <c r="M3480" t="s">
        <v>23</v>
      </c>
      <c r="N3480"/>
      <c r="O3480"/>
      <c r="P3480"/>
      <c r="Q3480"/>
      <c r="R3480"/>
      <c r="S3480"/>
    </row>
    <row r="3481" spans="1:19" x14ac:dyDescent="0.25">
      <c r="A3481" t="s">
        <v>193</v>
      </c>
      <c r="C3481" s="27" t="s">
        <v>34749</v>
      </c>
      <c r="D3481" s="28" t="s">
        <v>34867</v>
      </c>
      <c r="J3481" t="s">
        <v>9479</v>
      </c>
      <c r="K3481" t="s">
        <v>9480</v>
      </c>
      <c r="L3481" s="28" t="s">
        <v>9481</v>
      </c>
      <c r="M3481" t="s">
        <v>23</v>
      </c>
      <c r="N3481"/>
      <c r="O3481"/>
      <c r="P3481"/>
      <c r="Q3481"/>
      <c r="R3481"/>
      <c r="S3481"/>
    </row>
    <row r="3482" spans="1:19" x14ac:dyDescent="0.25">
      <c r="A3482" t="s">
        <v>193</v>
      </c>
      <c r="C3482" s="27" t="s">
        <v>34749</v>
      </c>
      <c r="D3482" s="28" t="s">
        <v>34867</v>
      </c>
      <c r="J3482" t="s">
        <v>9482</v>
      </c>
      <c r="K3482" t="s">
        <v>9483</v>
      </c>
      <c r="L3482" s="28" t="s">
        <v>9484</v>
      </c>
      <c r="M3482" t="s">
        <v>23</v>
      </c>
      <c r="N3482"/>
      <c r="O3482"/>
      <c r="P3482"/>
      <c r="Q3482"/>
      <c r="R3482"/>
      <c r="S3482"/>
    </row>
    <row r="3483" spans="1:19" x14ac:dyDescent="0.25">
      <c r="A3483" t="s">
        <v>193</v>
      </c>
      <c r="C3483" s="27" t="s">
        <v>34749</v>
      </c>
      <c r="D3483" s="28" t="s">
        <v>34867</v>
      </c>
      <c r="J3483" t="s">
        <v>9485</v>
      </c>
      <c r="K3483" t="s">
        <v>9486</v>
      </c>
      <c r="L3483" s="28" t="s">
        <v>9487</v>
      </c>
      <c r="M3483" t="s">
        <v>23</v>
      </c>
      <c r="N3483"/>
      <c r="O3483"/>
      <c r="P3483"/>
      <c r="Q3483"/>
      <c r="R3483"/>
      <c r="S3483"/>
    </row>
    <row r="3484" spans="1:19" x14ac:dyDescent="0.25">
      <c r="A3484" t="s">
        <v>193</v>
      </c>
      <c r="C3484" s="27" t="s">
        <v>34749</v>
      </c>
      <c r="D3484" s="28" t="s">
        <v>34867</v>
      </c>
      <c r="J3484" t="s">
        <v>9488</v>
      </c>
      <c r="K3484" t="s">
        <v>9489</v>
      </c>
      <c r="L3484" s="28" t="s">
        <v>9490</v>
      </c>
      <c r="M3484" t="s">
        <v>23</v>
      </c>
      <c r="N3484"/>
      <c r="O3484"/>
      <c r="P3484"/>
      <c r="Q3484"/>
      <c r="R3484"/>
      <c r="S3484"/>
    </row>
    <row r="3485" spans="1:19" x14ac:dyDescent="0.25">
      <c r="A3485" t="s">
        <v>193</v>
      </c>
      <c r="C3485" s="27" t="s">
        <v>34749</v>
      </c>
      <c r="D3485" s="28" t="s">
        <v>34867</v>
      </c>
      <c r="J3485" t="s">
        <v>9491</v>
      </c>
      <c r="K3485" t="s">
        <v>9492</v>
      </c>
      <c r="L3485" s="28" t="s">
        <v>9493</v>
      </c>
      <c r="M3485" t="s">
        <v>23</v>
      </c>
      <c r="N3485"/>
      <c r="O3485"/>
      <c r="P3485"/>
      <c r="Q3485"/>
      <c r="R3485"/>
      <c r="S3485"/>
    </row>
    <row r="3486" spans="1:19" x14ac:dyDescent="0.25">
      <c r="A3486" t="s">
        <v>193</v>
      </c>
      <c r="C3486" s="27" t="s">
        <v>34749</v>
      </c>
      <c r="D3486" s="28" t="s">
        <v>34867</v>
      </c>
      <c r="J3486" t="s">
        <v>9494</v>
      </c>
      <c r="K3486" t="s">
        <v>9495</v>
      </c>
      <c r="L3486" s="28" t="s">
        <v>9496</v>
      </c>
      <c r="M3486" t="s">
        <v>23</v>
      </c>
      <c r="N3486"/>
      <c r="O3486"/>
      <c r="P3486"/>
      <c r="Q3486"/>
      <c r="R3486"/>
      <c r="S3486"/>
    </row>
    <row r="3487" spans="1:19" x14ac:dyDescent="0.25">
      <c r="A3487" t="s">
        <v>193</v>
      </c>
      <c r="C3487" s="27" t="s">
        <v>34749</v>
      </c>
      <c r="D3487" s="28" t="s">
        <v>34867</v>
      </c>
      <c r="J3487" t="s">
        <v>9497</v>
      </c>
      <c r="K3487" t="s">
        <v>9498</v>
      </c>
      <c r="L3487" s="28" t="s">
        <v>9499</v>
      </c>
      <c r="M3487" t="s">
        <v>23</v>
      </c>
      <c r="N3487"/>
      <c r="O3487"/>
      <c r="P3487"/>
      <c r="Q3487"/>
      <c r="R3487"/>
      <c r="S3487"/>
    </row>
    <row r="3488" spans="1:19" x14ac:dyDescent="0.25">
      <c r="A3488" t="s">
        <v>193</v>
      </c>
      <c r="C3488" s="27" t="s">
        <v>34749</v>
      </c>
      <c r="D3488" s="28" t="s">
        <v>34867</v>
      </c>
      <c r="J3488" t="s">
        <v>9500</v>
      </c>
      <c r="K3488" t="s">
        <v>9501</v>
      </c>
      <c r="L3488" s="28" t="s">
        <v>9502</v>
      </c>
      <c r="M3488" t="s">
        <v>23</v>
      </c>
      <c r="N3488"/>
      <c r="O3488"/>
      <c r="P3488"/>
      <c r="Q3488"/>
      <c r="R3488"/>
      <c r="S3488"/>
    </row>
    <row r="3489" spans="1:19" x14ac:dyDescent="0.25">
      <c r="A3489" t="s">
        <v>193</v>
      </c>
      <c r="C3489" s="27" t="s">
        <v>34749</v>
      </c>
      <c r="D3489" s="28" t="s">
        <v>34867</v>
      </c>
      <c r="J3489" t="s">
        <v>9503</v>
      </c>
      <c r="K3489" t="s">
        <v>9504</v>
      </c>
      <c r="L3489" s="28" t="s">
        <v>9505</v>
      </c>
      <c r="M3489" t="s">
        <v>23</v>
      </c>
      <c r="N3489"/>
      <c r="O3489"/>
      <c r="P3489"/>
      <c r="Q3489"/>
      <c r="R3489"/>
      <c r="S3489"/>
    </row>
    <row r="3490" spans="1:19" x14ac:dyDescent="0.25">
      <c r="A3490" t="s">
        <v>193</v>
      </c>
      <c r="C3490" s="27" t="s">
        <v>34749</v>
      </c>
      <c r="D3490" s="28" t="s">
        <v>34867</v>
      </c>
      <c r="J3490" t="s">
        <v>9506</v>
      </c>
      <c r="K3490" t="s">
        <v>9507</v>
      </c>
      <c r="L3490" s="28" t="s">
        <v>9508</v>
      </c>
      <c r="M3490" t="s">
        <v>23</v>
      </c>
      <c r="N3490"/>
      <c r="O3490"/>
      <c r="P3490"/>
      <c r="Q3490"/>
      <c r="R3490"/>
      <c r="S3490"/>
    </row>
    <row r="3491" spans="1:19" x14ac:dyDescent="0.25">
      <c r="A3491" t="s">
        <v>193</v>
      </c>
      <c r="C3491" s="27" t="s">
        <v>34749</v>
      </c>
      <c r="D3491" s="28" t="s">
        <v>34867</v>
      </c>
      <c r="J3491" t="s">
        <v>9509</v>
      </c>
      <c r="K3491" t="s">
        <v>9510</v>
      </c>
      <c r="L3491" s="28" t="s">
        <v>9511</v>
      </c>
      <c r="M3491" t="s">
        <v>23</v>
      </c>
      <c r="N3491"/>
      <c r="O3491"/>
      <c r="P3491"/>
      <c r="Q3491"/>
      <c r="R3491"/>
      <c r="S3491"/>
    </row>
    <row r="3492" spans="1:19" x14ac:dyDescent="0.25">
      <c r="A3492" t="s">
        <v>193</v>
      </c>
      <c r="C3492" s="27" t="s">
        <v>34749</v>
      </c>
      <c r="D3492" s="28" t="s">
        <v>34867</v>
      </c>
      <c r="J3492" t="s">
        <v>9512</v>
      </c>
      <c r="K3492" t="s">
        <v>9513</v>
      </c>
      <c r="L3492" s="28" t="s">
        <v>9514</v>
      </c>
      <c r="M3492" t="s">
        <v>23</v>
      </c>
      <c r="N3492"/>
      <c r="O3492"/>
      <c r="P3492"/>
      <c r="Q3492"/>
      <c r="R3492"/>
      <c r="S3492"/>
    </row>
    <row r="3493" spans="1:19" x14ac:dyDescent="0.25">
      <c r="A3493" t="s">
        <v>193</v>
      </c>
      <c r="C3493" s="27" t="s">
        <v>34749</v>
      </c>
      <c r="D3493" s="28" t="s">
        <v>34867</v>
      </c>
      <c r="J3493" t="s">
        <v>9515</v>
      </c>
      <c r="K3493" t="s">
        <v>9516</v>
      </c>
      <c r="L3493" s="28" t="s">
        <v>9517</v>
      </c>
      <c r="M3493" t="s">
        <v>23</v>
      </c>
      <c r="N3493"/>
      <c r="O3493"/>
      <c r="P3493"/>
      <c r="Q3493"/>
      <c r="R3493"/>
      <c r="S3493"/>
    </row>
    <row r="3494" spans="1:19" x14ac:dyDescent="0.25">
      <c r="A3494" t="s">
        <v>193</v>
      </c>
      <c r="C3494" s="27" t="s">
        <v>34749</v>
      </c>
      <c r="D3494" s="28" t="s">
        <v>34867</v>
      </c>
      <c r="J3494" t="s">
        <v>9518</v>
      </c>
      <c r="K3494" t="s">
        <v>9519</v>
      </c>
      <c r="L3494" s="28" t="s">
        <v>9520</v>
      </c>
      <c r="M3494" t="s">
        <v>23</v>
      </c>
      <c r="N3494"/>
      <c r="O3494"/>
      <c r="P3494"/>
      <c r="Q3494"/>
      <c r="R3494"/>
      <c r="S3494"/>
    </row>
    <row r="3495" spans="1:19" x14ac:dyDescent="0.25">
      <c r="A3495" t="s">
        <v>193</v>
      </c>
      <c r="C3495" s="27" t="s">
        <v>34749</v>
      </c>
      <c r="D3495" s="28" t="s">
        <v>34867</v>
      </c>
      <c r="J3495" t="s">
        <v>9521</v>
      </c>
      <c r="K3495" t="s">
        <v>9522</v>
      </c>
      <c r="L3495" s="28" t="s">
        <v>9523</v>
      </c>
      <c r="M3495" t="s">
        <v>23</v>
      </c>
      <c r="N3495"/>
      <c r="O3495"/>
      <c r="P3495"/>
      <c r="Q3495"/>
      <c r="R3495"/>
      <c r="S3495"/>
    </row>
    <row r="3496" spans="1:19" x14ac:dyDescent="0.25">
      <c r="A3496" t="s">
        <v>193</v>
      </c>
      <c r="C3496" s="27" t="s">
        <v>34749</v>
      </c>
      <c r="D3496" s="28" t="s">
        <v>34867</v>
      </c>
      <c r="J3496" t="s">
        <v>9524</v>
      </c>
      <c r="K3496" t="s">
        <v>9525</v>
      </c>
      <c r="L3496" s="28" t="s">
        <v>9526</v>
      </c>
      <c r="M3496" t="s">
        <v>23</v>
      </c>
      <c r="N3496"/>
      <c r="O3496"/>
      <c r="P3496"/>
      <c r="Q3496"/>
      <c r="R3496"/>
      <c r="S3496"/>
    </row>
    <row r="3497" spans="1:19" x14ac:dyDescent="0.25">
      <c r="A3497" t="s">
        <v>193</v>
      </c>
      <c r="C3497" s="27" t="s">
        <v>34749</v>
      </c>
      <c r="D3497" s="28" t="s">
        <v>34867</v>
      </c>
      <c r="J3497" t="s">
        <v>9527</v>
      </c>
      <c r="K3497" t="s">
        <v>9528</v>
      </c>
      <c r="L3497" s="28" t="s">
        <v>9529</v>
      </c>
      <c r="M3497" t="s">
        <v>23</v>
      </c>
      <c r="N3497"/>
      <c r="O3497"/>
      <c r="P3497"/>
      <c r="Q3497"/>
      <c r="R3497"/>
      <c r="S3497"/>
    </row>
    <row r="3498" spans="1:19" x14ac:dyDescent="0.25">
      <c r="A3498" t="s">
        <v>193</v>
      </c>
      <c r="C3498" s="27" t="s">
        <v>34749</v>
      </c>
      <c r="D3498" s="28" t="s">
        <v>34867</v>
      </c>
      <c r="J3498" t="s">
        <v>9530</v>
      </c>
      <c r="K3498" t="s">
        <v>9531</v>
      </c>
      <c r="L3498" s="28" t="s">
        <v>9532</v>
      </c>
      <c r="M3498" t="s">
        <v>23</v>
      </c>
      <c r="N3498"/>
      <c r="O3498"/>
      <c r="P3498"/>
      <c r="Q3498"/>
      <c r="R3498"/>
      <c r="S3498"/>
    </row>
    <row r="3499" spans="1:19" x14ac:dyDescent="0.25">
      <c r="A3499" t="s">
        <v>193</v>
      </c>
      <c r="C3499" s="27" t="s">
        <v>34749</v>
      </c>
      <c r="D3499" s="28" t="s">
        <v>34867</v>
      </c>
      <c r="J3499" t="s">
        <v>9533</v>
      </c>
      <c r="K3499" t="s">
        <v>9534</v>
      </c>
      <c r="L3499" s="28" t="s">
        <v>9535</v>
      </c>
      <c r="M3499" t="s">
        <v>23</v>
      </c>
      <c r="N3499"/>
      <c r="O3499"/>
      <c r="P3499"/>
      <c r="Q3499"/>
      <c r="R3499"/>
      <c r="S3499"/>
    </row>
    <row r="3500" spans="1:19" x14ac:dyDescent="0.25">
      <c r="A3500" t="s">
        <v>193</v>
      </c>
      <c r="C3500" s="27" t="s">
        <v>34749</v>
      </c>
      <c r="D3500" s="28" t="s">
        <v>34867</v>
      </c>
      <c r="J3500" t="s">
        <v>9536</v>
      </c>
      <c r="K3500" t="s">
        <v>9537</v>
      </c>
      <c r="L3500" s="28" t="s">
        <v>9538</v>
      </c>
      <c r="M3500" t="s">
        <v>23</v>
      </c>
      <c r="N3500"/>
      <c r="O3500"/>
      <c r="P3500"/>
      <c r="Q3500"/>
      <c r="R3500"/>
      <c r="S3500"/>
    </row>
    <row r="3501" spans="1:19" x14ac:dyDescent="0.25">
      <c r="A3501" t="s">
        <v>193</v>
      </c>
      <c r="C3501" s="27" t="s">
        <v>34749</v>
      </c>
      <c r="D3501" s="28" t="s">
        <v>34867</v>
      </c>
      <c r="J3501" t="s">
        <v>9539</v>
      </c>
      <c r="K3501" t="s">
        <v>9540</v>
      </c>
      <c r="L3501" s="28" t="s">
        <v>9541</v>
      </c>
      <c r="M3501" t="s">
        <v>23</v>
      </c>
      <c r="N3501"/>
      <c r="O3501"/>
      <c r="P3501"/>
      <c r="Q3501"/>
      <c r="R3501"/>
      <c r="S3501"/>
    </row>
    <row r="3502" spans="1:19" x14ac:dyDescent="0.25">
      <c r="A3502" t="s">
        <v>193</v>
      </c>
      <c r="C3502" s="27" t="s">
        <v>34749</v>
      </c>
      <c r="D3502" s="28" t="s">
        <v>34867</v>
      </c>
      <c r="J3502" t="s">
        <v>9542</v>
      </c>
      <c r="K3502" t="s">
        <v>9543</v>
      </c>
      <c r="L3502" s="28" t="s">
        <v>9544</v>
      </c>
      <c r="M3502" t="s">
        <v>23</v>
      </c>
      <c r="N3502"/>
      <c r="O3502"/>
      <c r="P3502"/>
      <c r="Q3502"/>
      <c r="R3502"/>
      <c r="S3502"/>
    </row>
    <row r="3503" spans="1:19" x14ac:dyDescent="0.25">
      <c r="A3503" t="s">
        <v>193</v>
      </c>
      <c r="C3503" s="27" t="s">
        <v>34749</v>
      </c>
      <c r="D3503" s="28" t="s">
        <v>34867</v>
      </c>
      <c r="J3503" t="s">
        <v>9545</v>
      </c>
      <c r="K3503" t="s">
        <v>9546</v>
      </c>
      <c r="L3503" s="28" t="s">
        <v>9547</v>
      </c>
      <c r="M3503" t="s">
        <v>23</v>
      </c>
      <c r="N3503"/>
      <c r="O3503"/>
      <c r="P3503"/>
      <c r="Q3503"/>
      <c r="R3503"/>
      <c r="S3503"/>
    </row>
    <row r="3504" spans="1:19" x14ac:dyDescent="0.25">
      <c r="A3504" t="s">
        <v>193</v>
      </c>
      <c r="C3504" s="27" t="s">
        <v>34749</v>
      </c>
      <c r="D3504" s="28" t="s">
        <v>34867</v>
      </c>
      <c r="J3504" t="s">
        <v>9548</v>
      </c>
      <c r="K3504" t="s">
        <v>9549</v>
      </c>
      <c r="L3504" s="28" t="s">
        <v>9550</v>
      </c>
      <c r="M3504" t="s">
        <v>23</v>
      </c>
      <c r="N3504"/>
      <c r="O3504"/>
      <c r="P3504"/>
      <c r="Q3504"/>
      <c r="R3504"/>
      <c r="S3504"/>
    </row>
    <row r="3505" spans="1:19" x14ac:dyDescent="0.25">
      <c r="A3505" t="s">
        <v>193</v>
      </c>
      <c r="C3505" s="27" t="s">
        <v>34749</v>
      </c>
      <c r="D3505" s="28" t="s">
        <v>34867</v>
      </c>
      <c r="J3505" t="s">
        <v>9551</v>
      </c>
      <c r="K3505" t="s">
        <v>9552</v>
      </c>
      <c r="L3505" s="28" t="s">
        <v>9553</v>
      </c>
      <c r="M3505" t="s">
        <v>23</v>
      </c>
      <c r="N3505"/>
      <c r="O3505"/>
      <c r="P3505"/>
      <c r="Q3505"/>
      <c r="R3505"/>
      <c r="S3505"/>
    </row>
    <row r="3506" spans="1:19" x14ac:dyDescent="0.25">
      <c r="A3506" t="s">
        <v>193</v>
      </c>
      <c r="C3506" s="27" t="s">
        <v>34749</v>
      </c>
      <c r="D3506" s="28" t="s">
        <v>34867</v>
      </c>
      <c r="J3506" t="s">
        <v>9554</v>
      </c>
      <c r="K3506" t="s">
        <v>9555</v>
      </c>
      <c r="L3506" s="28" t="s">
        <v>9556</v>
      </c>
      <c r="M3506" t="s">
        <v>23</v>
      </c>
      <c r="N3506"/>
      <c r="O3506"/>
      <c r="P3506"/>
      <c r="Q3506"/>
      <c r="R3506"/>
      <c r="S3506"/>
    </row>
    <row r="3507" spans="1:19" x14ac:dyDescent="0.25">
      <c r="A3507" t="s">
        <v>193</v>
      </c>
      <c r="C3507" s="27" t="s">
        <v>34749</v>
      </c>
      <c r="D3507" s="28" t="s">
        <v>34867</v>
      </c>
      <c r="J3507" t="s">
        <v>9557</v>
      </c>
      <c r="K3507" t="s">
        <v>9558</v>
      </c>
      <c r="L3507" s="28" t="s">
        <v>9559</v>
      </c>
      <c r="M3507" t="s">
        <v>23</v>
      </c>
      <c r="N3507"/>
      <c r="O3507"/>
      <c r="P3507"/>
      <c r="Q3507"/>
      <c r="R3507"/>
      <c r="S3507"/>
    </row>
    <row r="3508" spans="1:19" x14ac:dyDescent="0.25">
      <c r="A3508" t="s">
        <v>193</v>
      </c>
      <c r="C3508" s="27" t="s">
        <v>34749</v>
      </c>
      <c r="D3508" s="28" t="s">
        <v>34867</v>
      </c>
      <c r="J3508" t="s">
        <v>9560</v>
      </c>
      <c r="K3508" t="s">
        <v>9561</v>
      </c>
      <c r="L3508" s="28" t="s">
        <v>9562</v>
      </c>
      <c r="M3508" t="s">
        <v>23</v>
      </c>
      <c r="N3508"/>
      <c r="O3508"/>
      <c r="P3508"/>
      <c r="Q3508"/>
      <c r="R3508"/>
      <c r="S3508"/>
    </row>
    <row r="3509" spans="1:19" x14ac:dyDescent="0.25">
      <c r="A3509" t="s">
        <v>193</v>
      </c>
      <c r="C3509" s="27" t="s">
        <v>34749</v>
      </c>
      <c r="D3509" s="28" t="s">
        <v>34867</v>
      </c>
      <c r="J3509" t="s">
        <v>9563</v>
      </c>
      <c r="K3509" t="s">
        <v>9564</v>
      </c>
      <c r="L3509" s="28" t="s">
        <v>9565</v>
      </c>
      <c r="M3509" t="s">
        <v>23</v>
      </c>
      <c r="N3509"/>
      <c r="O3509"/>
      <c r="P3509"/>
      <c r="Q3509"/>
      <c r="R3509"/>
      <c r="S3509"/>
    </row>
    <row r="3510" spans="1:19" x14ac:dyDescent="0.25">
      <c r="A3510" t="s">
        <v>193</v>
      </c>
      <c r="C3510" s="27" t="s">
        <v>34749</v>
      </c>
      <c r="D3510" s="28" t="s">
        <v>34867</v>
      </c>
      <c r="J3510" t="s">
        <v>9566</v>
      </c>
      <c r="K3510" t="s">
        <v>9567</v>
      </c>
      <c r="L3510" s="28" t="s">
        <v>9568</v>
      </c>
      <c r="M3510" t="s">
        <v>23</v>
      </c>
      <c r="N3510"/>
      <c r="O3510"/>
      <c r="P3510"/>
      <c r="Q3510"/>
      <c r="R3510"/>
      <c r="S3510"/>
    </row>
    <row r="3511" spans="1:19" x14ac:dyDescent="0.25">
      <c r="A3511" t="s">
        <v>193</v>
      </c>
      <c r="C3511" s="27" t="s">
        <v>34749</v>
      </c>
      <c r="D3511" s="28" t="s">
        <v>34867</v>
      </c>
      <c r="J3511" t="s">
        <v>9569</v>
      </c>
      <c r="K3511" t="s">
        <v>9570</v>
      </c>
      <c r="L3511" s="28" t="s">
        <v>9571</v>
      </c>
      <c r="M3511" t="s">
        <v>23</v>
      </c>
      <c r="N3511"/>
      <c r="O3511"/>
      <c r="P3511"/>
      <c r="Q3511"/>
      <c r="R3511"/>
      <c r="S3511"/>
    </row>
    <row r="3512" spans="1:19" x14ac:dyDescent="0.25">
      <c r="A3512" t="s">
        <v>193</v>
      </c>
      <c r="C3512" s="27" t="s">
        <v>34749</v>
      </c>
      <c r="D3512" s="28" t="s">
        <v>34867</v>
      </c>
      <c r="J3512" t="s">
        <v>9572</v>
      </c>
      <c r="K3512" t="s">
        <v>9573</v>
      </c>
      <c r="L3512" s="28" t="s">
        <v>9574</v>
      </c>
      <c r="M3512" t="s">
        <v>23</v>
      </c>
      <c r="N3512"/>
      <c r="O3512"/>
      <c r="P3512"/>
      <c r="Q3512"/>
      <c r="R3512"/>
      <c r="S3512"/>
    </row>
    <row r="3513" spans="1:19" x14ac:dyDescent="0.25">
      <c r="A3513" t="s">
        <v>193</v>
      </c>
      <c r="C3513" s="27" t="s">
        <v>34749</v>
      </c>
      <c r="D3513" s="28" t="s">
        <v>34867</v>
      </c>
      <c r="J3513" t="s">
        <v>9575</v>
      </c>
      <c r="K3513" t="s">
        <v>9576</v>
      </c>
      <c r="L3513" s="28" t="s">
        <v>9577</v>
      </c>
      <c r="M3513" t="s">
        <v>23</v>
      </c>
      <c r="N3513"/>
      <c r="O3513"/>
      <c r="P3513"/>
      <c r="Q3513"/>
      <c r="R3513"/>
      <c r="S3513"/>
    </row>
    <row r="3514" spans="1:19" x14ac:dyDescent="0.25">
      <c r="A3514" t="s">
        <v>193</v>
      </c>
      <c r="C3514" s="27" t="s">
        <v>34749</v>
      </c>
      <c r="D3514" s="28" t="s">
        <v>34867</v>
      </c>
      <c r="J3514" t="s">
        <v>9578</v>
      </c>
      <c r="K3514" t="s">
        <v>9579</v>
      </c>
      <c r="L3514" s="28" t="s">
        <v>9580</v>
      </c>
      <c r="M3514" t="s">
        <v>23</v>
      </c>
      <c r="N3514"/>
      <c r="O3514"/>
      <c r="P3514"/>
      <c r="Q3514"/>
      <c r="R3514"/>
      <c r="S3514"/>
    </row>
    <row r="3515" spans="1:19" x14ac:dyDescent="0.25">
      <c r="A3515" t="s">
        <v>193</v>
      </c>
      <c r="C3515" s="27" t="s">
        <v>34749</v>
      </c>
      <c r="D3515" s="28" t="s">
        <v>34867</v>
      </c>
      <c r="J3515" t="s">
        <v>9581</v>
      </c>
      <c r="K3515" t="s">
        <v>9582</v>
      </c>
      <c r="L3515" s="28" t="s">
        <v>9583</v>
      </c>
      <c r="M3515" t="s">
        <v>23</v>
      </c>
      <c r="N3515"/>
      <c r="O3515"/>
      <c r="P3515"/>
      <c r="Q3515"/>
      <c r="R3515"/>
      <c r="S3515"/>
    </row>
    <row r="3516" spans="1:19" x14ac:dyDescent="0.25">
      <c r="A3516" t="s">
        <v>193</v>
      </c>
      <c r="C3516" s="27" t="s">
        <v>34749</v>
      </c>
      <c r="D3516" s="28" t="s">
        <v>34867</v>
      </c>
      <c r="J3516" t="s">
        <v>9584</v>
      </c>
      <c r="K3516" t="s">
        <v>9585</v>
      </c>
      <c r="L3516" s="28" t="s">
        <v>9586</v>
      </c>
      <c r="M3516" t="s">
        <v>23</v>
      </c>
      <c r="N3516"/>
      <c r="O3516"/>
      <c r="P3516"/>
      <c r="Q3516"/>
      <c r="R3516"/>
      <c r="S3516"/>
    </row>
    <row r="3517" spans="1:19" x14ac:dyDescent="0.25">
      <c r="A3517" t="s">
        <v>193</v>
      </c>
      <c r="C3517" s="27" t="s">
        <v>34749</v>
      </c>
      <c r="D3517" s="28" t="s">
        <v>34867</v>
      </c>
      <c r="J3517" t="s">
        <v>9587</v>
      </c>
      <c r="K3517" t="s">
        <v>9588</v>
      </c>
      <c r="L3517" s="28" t="s">
        <v>9589</v>
      </c>
      <c r="M3517" t="s">
        <v>23</v>
      </c>
      <c r="N3517"/>
      <c r="O3517"/>
      <c r="P3517"/>
      <c r="Q3517"/>
      <c r="R3517"/>
      <c r="S3517"/>
    </row>
    <row r="3518" spans="1:19" x14ac:dyDescent="0.25">
      <c r="A3518" t="s">
        <v>193</v>
      </c>
      <c r="C3518" s="27" t="s">
        <v>34749</v>
      </c>
      <c r="D3518" s="28" t="s">
        <v>34867</v>
      </c>
      <c r="J3518" t="s">
        <v>9590</v>
      </c>
      <c r="K3518" t="s">
        <v>9591</v>
      </c>
      <c r="L3518" s="28" t="s">
        <v>9592</v>
      </c>
      <c r="M3518" t="s">
        <v>23</v>
      </c>
      <c r="N3518"/>
      <c r="O3518"/>
      <c r="P3518"/>
      <c r="Q3518"/>
      <c r="R3518"/>
      <c r="S3518"/>
    </row>
    <row r="3519" spans="1:19" x14ac:dyDescent="0.25">
      <c r="A3519" t="s">
        <v>193</v>
      </c>
      <c r="C3519" s="27" t="s">
        <v>34749</v>
      </c>
      <c r="D3519" s="28" t="s">
        <v>34867</v>
      </c>
      <c r="J3519" t="s">
        <v>9593</v>
      </c>
      <c r="K3519" t="s">
        <v>9594</v>
      </c>
      <c r="L3519" s="28" t="s">
        <v>9595</v>
      </c>
      <c r="M3519" t="s">
        <v>23</v>
      </c>
      <c r="N3519"/>
      <c r="O3519"/>
      <c r="P3519"/>
      <c r="Q3519"/>
      <c r="R3519"/>
      <c r="S3519"/>
    </row>
    <row r="3520" spans="1:19" x14ac:dyDescent="0.25">
      <c r="A3520" t="s">
        <v>193</v>
      </c>
      <c r="C3520" s="27" t="s">
        <v>34749</v>
      </c>
      <c r="D3520" s="28" t="s">
        <v>34867</v>
      </c>
      <c r="J3520" t="s">
        <v>9596</v>
      </c>
      <c r="K3520" t="s">
        <v>9597</v>
      </c>
      <c r="L3520" s="28" t="s">
        <v>9598</v>
      </c>
      <c r="M3520" t="s">
        <v>23</v>
      </c>
      <c r="N3520"/>
      <c r="O3520"/>
      <c r="P3520"/>
      <c r="Q3520"/>
      <c r="R3520"/>
      <c r="S3520"/>
    </row>
    <row r="3521" spans="1:19" x14ac:dyDescent="0.25">
      <c r="A3521" t="s">
        <v>193</v>
      </c>
      <c r="C3521" s="27" t="s">
        <v>34749</v>
      </c>
      <c r="D3521" s="28" t="s">
        <v>34867</v>
      </c>
      <c r="J3521" t="s">
        <v>9599</v>
      </c>
      <c r="K3521" t="s">
        <v>9600</v>
      </c>
      <c r="L3521" s="28" t="s">
        <v>9601</v>
      </c>
      <c r="M3521" t="s">
        <v>23</v>
      </c>
      <c r="N3521"/>
      <c r="O3521"/>
      <c r="P3521"/>
      <c r="Q3521"/>
      <c r="R3521"/>
      <c r="S3521"/>
    </row>
    <row r="3522" spans="1:19" x14ac:dyDescent="0.25">
      <c r="A3522" t="s">
        <v>193</v>
      </c>
      <c r="C3522" s="27" t="s">
        <v>34749</v>
      </c>
      <c r="D3522" s="28" t="s">
        <v>34867</v>
      </c>
      <c r="J3522" t="s">
        <v>9602</v>
      </c>
      <c r="K3522" t="s">
        <v>9603</v>
      </c>
      <c r="L3522" s="28" t="s">
        <v>9604</v>
      </c>
      <c r="M3522" t="s">
        <v>23</v>
      </c>
      <c r="N3522"/>
      <c r="O3522"/>
      <c r="P3522"/>
      <c r="Q3522"/>
      <c r="R3522"/>
      <c r="S3522"/>
    </row>
    <row r="3523" spans="1:19" x14ac:dyDescent="0.25">
      <c r="A3523" t="s">
        <v>193</v>
      </c>
      <c r="C3523" s="27" t="s">
        <v>34749</v>
      </c>
      <c r="D3523" s="28" t="s">
        <v>34867</v>
      </c>
      <c r="J3523" t="s">
        <v>9605</v>
      </c>
      <c r="K3523" t="s">
        <v>9606</v>
      </c>
      <c r="L3523" s="28" t="s">
        <v>9607</v>
      </c>
      <c r="M3523" t="s">
        <v>23</v>
      </c>
      <c r="N3523"/>
      <c r="O3523"/>
      <c r="P3523"/>
      <c r="Q3523"/>
      <c r="R3523"/>
      <c r="S3523"/>
    </row>
    <row r="3524" spans="1:19" x14ac:dyDescent="0.25">
      <c r="A3524" t="s">
        <v>193</v>
      </c>
      <c r="C3524" s="27" t="s">
        <v>34749</v>
      </c>
      <c r="D3524" s="28" t="s">
        <v>34867</v>
      </c>
      <c r="J3524" t="s">
        <v>9608</v>
      </c>
      <c r="K3524" t="s">
        <v>9609</v>
      </c>
      <c r="L3524" s="28" t="s">
        <v>9610</v>
      </c>
      <c r="M3524" t="s">
        <v>23</v>
      </c>
      <c r="N3524"/>
      <c r="O3524"/>
      <c r="P3524"/>
      <c r="Q3524"/>
      <c r="R3524"/>
      <c r="S3524"/>
    </row>
    <row r="3525" spans="1:19" x14ac:dyDescent="0.25">
      <c r="A3525" t="s">
        <v>193</v>
      </c>
      <c r="C3525" s="27" t="s">
        <v>34749</v>
      </c>
      <c r="D3525" s="28" t="s">
        <v>34867</v>
      </c>
      <c r="J3525" t="s">
        <v>9611</v>
      </c>
      <c r="K3525" t="s">
        <v>9612</v>
      </c>
      <c r="L3525" s="28" t="s">
        <v>9613</v>
      </c>
      <c r="M3525" t="s">
        <v>23</v>
      </c>
      <c r="N3525"/>
      <c r="O3525"/>
      <c r="P3525"/>
      <c r="Q3525"/>
      <c r="R3525"/>
      <c r="S3525"/>
    </row>
    <row r="3526" spans="1:19" x14ac:dyDescent="0.25">
      <c r="A3526" t="s">
        <v>193</v>
      </c>
      <c r="C3526" s="27" t="s">
        <v>34749</v>
      </c>
      <c r="D3526" s="28" t="s">
        <v>34867</v>
      </c>
      <c r="J3526" t="s">
        <v>9614</v>
      </c>
      <c r="K3526" t="s">
        <v>9615</v>
      </c>
      <c r="L3526" s="28" t="s">
        <v>9616</v>
      </c>
      <c r="M3526" t="s">
        <v>23</v>
      </c>
      <c r="N3526"/>
      <c r="O3526"/>
      <c r="P3526"/>
      <c r="Q3526"/>
      <c r="R3526"/>
      <c r="S3526"/>
    </row>
    <row r="3527" spans="1:19" x14ac:dyDescent="0.25">
      <c r="A3527" t="s">
        <v>193</v>
      </c>
      <c r="C3527" s="27" t="s">
        <v>34749</v>
      </c>
      <c r="D3527" s="28" t="s">
        <v>34867</v>
      </c>
      <c r="J3527" t="s">
        <v>9617</v>
      </c>
      <c r="K3527" t="s">
        <v>9618</v>
      </c>
      <c r="L3527" s="28" t="s">
        <v>9619</v>
      </c>
      <c r="M3527" t="s">
        <v>23</v>
      </c>
      <c r="N3527"/>
      <c r="O3527"/>
      <c r="P3527"/>
      <c r="Q3527"/>
      <c r="R3527"/>
      <c r="S3527"/>
    </row>
    <row r="3528" spans="1:19" x14ac:dyDescent="0.25">
      <c r="A3528" t="s">
        <v>193</v>
      </c>
      <c r="C3528" s="27" t="s">
        <v>34749</v>
      </c>
      <c r="D3528" s="28" t="s">
        <v>34867</v>
      </c>
      <c r="J3528" t="s">
        <v>9620</v>
      </c>
      <c r="K3528" t="s">
        <v>9621</v>
      </c>
      <c r="L3528" s="28" t="s">
        <v>9622</v>
      </c>
      <c r="M3528" t="s">
        <v>23</v>
      </c>
      <c r="N3528"/>
      <c r="O3528"/>
      <c r="P3528"/>
      <c r="Q3528"/>
      <c r="R3528"/>
      <c r="S3528"/>
    </row>
    <row r="3529" spans="1:19" x14ac:dyDescent="0.25">
      <c r="A3529" t="s">
        <v>193</v>
      </c>
      <c r="C3529" s="27" t="s">
        <v>34749</v>
      </c>
      <c r="D3529" s="28" t="s">
        <v>34867</v>
      </c>
      <c r="J3529" t="s">
        <v>9623</v>
      </c>
      <c r="K3529" t="s">
        <v>9624</v>
      </c>
      <c r="L3529" s="28" t="s">
        <v>9625</v>
      </c>
      <c r="M3529" t="s">
        <v>23</v>
      </c>
      <c r="N3529"/>
      <c r="O3529"/>
      <c r="P3529"/>
      <c r="Q3529"/>
      <c r="R3529"/>
      <c r="S3529"/>
    </row>
    <row r="3530" spans="1:19" x14ac:dyDescent="0.25">
      <c r="A3530" t="s">
        <v>193</v>
      </c>
      <c r="C3530" s="27" t="s">
        <v>34749</v>
      </c>
      <c r="D3530" s="28" t="s">
        <v>34867</v>
      </c>
      <c r="J3530" t="s">
        <v>9626</v>
      </c>
      <c r="K3530" t="s">
        <v>9627</v>
      </c>
      <c r="L3530" s="28" t="s">
        <v>9628</v>
      </c>
      <c r="M3530" t="s">
        <v>23</v>
      </c>
      <c r="N3530"/>
      <c r="O3530"/>
      <c r="P3530"/>
      <c r="Q3530"/>
      <c r="R3530"/>
      <c r="S3530"/>
    </row>
    <row r="3531" spans="1:19" x14ac:dyDescent="0.25">
      <c r="A3531" t="s">
        <v>193</v>
      </c>
      <c r="C3531" s="27" t="s">
        <v>34749</v>
      </c>
      <c r="D3531" s="28" t="s">
        <v>34867</v>
      </c>
      <c r="J3531" t="s">
        <v>9629</v>
      </c>
      <c r="K3531" t="s">
        <v>9630</v>
      </c>
      <c r="L3531" s="28" t="s">
        <v>9631</v>
      </c>
      <c r="M3531" t="s">
        <v>23</v>
      </c>
      <c r="N3531"/>
      <c r="O3531"/>
      <c r="P3531"/>
      <c r="Q3531"/>
      <c r="R3531"/>
      <c r="S3531"/>
    </row>
    <row r="3532" spans="1:19" x14ac:dyDescent="0.25">
      <c r="A3532" t="s">
        <v>193</v>
      </c>
      <c r="C3532" s="27" t="s">
        <v>34749</v>
      </c>
      <c r="D3532" s="28" t="s">
        <v>34867</v>
      </c>
      <c r="J3532" t="s">
        <v>9632</v>
      </c>
      <c r="K3532" t="s">
        <v>9633</v>
      </c>
      <c r="L3532" s="28" t="s">
        <v>9634</v>
      </c>
      <c r="M3532" t="s">
        <v>23</v>
      </c>
      <c r="N3532"/>
      <c r="O3532"/>
      <c r="P3532"/>
      <c r="Q3532"/>
      <c r="R3532"/>
      <c r="S3532"/>
    </row>
    <row r="3533" spans="1:19" x14ac:dyDescent="0.25">
      <c r="A3533" t="s">
        <v>193</v>
      </c>
      <c r="C3533" s="27" t="s">
        <v>34749</v>
      </c>
      <c r="D3533" s="28" t="s">
        <v>34867</v>
      </c>
      <c r="J3533" t="s">
        <v>9635</v>
      </c>
      <c r="K3533" t="s">
        <v>9636</v>
      </c>
      <c r="L3533" s="28" t="s">
        <v>9637</v>
      </c>
      <c r="M3533" t="s">
        <v>23</v>
      </c>
      <c r="N3533"/>
      <c r="O3533"/>
      <c r="P3533"/>
      <c r="Q3533"/>
      <c r="R3533"/>
      <c r="S3533"/>
    </row>
    <row r="3534" spans="1:19" x14ac:dyDescent="0.25">
      <c r="A3534" t="s">
        <v>193</v>
      </c>
      <c r="C3534" s="27" t="s">
        <v>34749</v>
      </c>
      <c r="D3534" s="28" t="s">
        <v>34867</v>
      </c>
      <c r="E3534" s="3"/>
      <c r="F3534" s="3"/>
      <c r="J3534" t="s">
        <v>9638</v>
      </c>
      <c r="K3534" t="s">
        <v>9639</v>
      </c>
      <c r="L3534" s="28" t="s">
        <v>9640</v>
      </c>
      <c r="M3534" t="s">
        <v>23</v>
      </c>
      <c r="N3534"/>
      <c r="O3534"/>
      <c r="P3534"/>
      <c r="Q3534"/>
      <c r="R3534"/>
      <c r="S3534"/>
    </row>
    <row r="3535" spans="1:19" x14ac:dyDescent="0.25">
      <c r="A3535" t="s">
        <v>193</v>
      </c>
      <c r="C3535" s="27" t="s">
        <v>34749</v>
      </c>
      <c r="D3535" s="28" t="s">
        <v>34867</v>
      </c>
      <c r="J3535" t="s">
        <v>9641</v>
      </c>
      <c r="K3535" t="s">
        <v>9642</v>
      </c>
      <c r="L3535" s="28" t="s">
        <v>9643</v>
      </c>
      <c r="M3535" t="s">
        <v>23</v>
      </c>
      <c r="N3535"/>
      <c r="O3535"/>
      <c r="P3535"/>
      <c r="Q3535"/>
      <c r="R3535"/>
      <c r="S3535"/>
    </row>
    <row r="3536" spans="1:19" x14ac:dyDescent="0.25">
      <c r="A3536" t="s">
        <v>193</v>
      </c>
      <c r="C3536" s="27" t="s">
        <v>34749</v>
      </c>
      <c r="D3536" s="28" t="s">
        <v>34867</v>
      </c>
      <c r="J3536" t="s">
        <v>9644</v>
      </c>
      <c r="K3536" t="s">
        <v>9645</v>
      </c>
      <c r="L3536" s="28" t="s">
        <v>9646</v>
      </c>
      <c r="M3536" t="s">
        <v>23</v>
      </c>
      <c r="N3536"/>
      <c r="O3536"/>
      <c r="P3536"/>
      <c r="Q3536"/>
      <c r="R3536"/>
      <c r="S3536"/>
    </row>
    <row r="3537" spans="1:19" x14ac:dyDescent="0.25">
      <c r="A3537" t="s">
        <v>193</v>
      </c>
      <c r="C3537" s="27" t="s">
        <v>34749</v>
      </c>
      <c r="D3537" s="28" t="s">
        <v>34867</v>
      </c>
      <c r="J3537" t="s">
        <v>9647</v>
      </c>
      <c r="K3537" t="s">
        <v>9648</v>
      </c>
      <c r="L3537" s="28" t="s">
        <v>9649</v>
      </c>
      <c r="M3537" t="s">
        <v>23</v>
      </c>
      <c r="N3537"/>
      <c r="O3537"/>
      <c r="P3537"/>
      <c r="Q3537"/>
      <c r="R3537"/>
      <c r="S3537"/>
    </row>
    <row r="3538" spans="1:19" x14ac:dyDescent="0.25">
      <c r="A3538" t="s">
        <v>193</v>
      </c>
      <c r="C3538" s="27" t="s">
        <v>34749</v>
      </c>
      <c r="D3538" s="28" t="s">
        <v>34867</v>
      </c>
      <c r="J3538" t="s">
        <v>9650</v>
      </c>
      <c r="K3538" t="s">
        <v>9651</v>
      </c>
      <c r="L3538" s="28" t="s">
        <v>9652</v>
      </c>
      <c r="M3538" t="s">
        <v>23</v>
      </c>
      <c r="N3538"/>
      <c r="O3538"/>
      <c r="P3538"/>
      <c r="Q3538"/>
      <c r="R3538"/>
      <c r="S3538"/>
    </row>
    <row r="3539" spans="1:19" x14ac:dyDescent="0.25">
      <c r="A3539" t="s">
        <v>193</v>
      </c>
      <c r="C3539" s="27" t="s">
        <v>34749</v>
      </c>
      <c r="D3539" s="28" t="s">
        <v>34867</v>
      </c>
      <c r="J3539" t="s">
        <v>9653</v>
      </c>
      <c r="K3539" t="s">
        <v>9654</v>
      </c>
      <c r="L3539" s="28" t="s">
        <v>9655</v>
      </c>
      <c r="M3539" t="s">
        <v>23</v>
      </c>
      <c r="N3539"/>
      <c r="O3539"/>
      <c r="P3539"/>
      <c r="Q3539"/>
      <c r="R3539"/>
      <c r="S3539"/>
    </row>
    <row r="3540" spans="1:19" x14ac:dyDescent="0.25">
      <c r="A3540" t="s">
        <v>193</v>
      </c>
      <c r="C3540" s="27" t="s">
        <v>34749</v>
      </c>
      <c r="D3540" s="28" t="s">
        <v>34867</v>
      </c>
      <c r="J3540" t="s">
        <v>9656</v>
      </c>
      <c r="K3540" t="s">
        <v>9657</v>
      </c>
      <c r="L3540" s="28" t="s">
        <v>9658</v>
      </c>
      <c r="M3540" t="s">
        <v>23</v>
      </c>
      <c r="N3540"/>
      <c r="O3540"/>
      <c r="P3540"/>
      <c r="Q3540"/>
      <c r="R3540"/>
      <c r="S3540"/>
    </row>
    <row r="3541" spans="1:19" x14ac:dyDescent="0.25">
      <c r="A3541" t="s">
        <v>193</v>
      </c>
      <c r="C3541" s="27" t="s">
        <v>34749</v>
      </c>
      <c r="D3541" s="28" t="s">
        <v>34867</v>
      </c>
      <c r="J3541" t="s">
        <v>9659</v>
      </c>
      <c r="K3541" t="s">
        <v>9660</v>
      </c>
      <c r="L3541" s="28" t="s">
        <v>9661</v>
      </c>
      <c r="M3541" t="s">
        <v>23</v>
      </c>
      <c r="N3541"/>
      <c r="O3541"/>
      <c r="P3541"/>
      <c r="Q3541"/>
      <c r="R3541"/>
      <c r="S3541"/>
    </row>
    <row r="3542" spans="1:19" x14ac:dyDescent="0.25">
      <c r="A3542" t="s">
        <v>193</v>
      </c>
      <c r="C3542" s="27" t="s">
        <v>34749</v>
      </c>
      <c r="D3542" s="28" t="s">
        <v>34867</v>
      </c>
      <c r="J3542" t="s">
        <v>9662</v>
      </c>
      <c r="K3542" t="s">
        <v>9663</v>
      </c>
      <c r="L3542" s="28" t="s">
        <v>9664</v>
      </c>
      <c r="M3542" t="s">
        <v>23</v>
      </c>
      <c r="N3542"/>
      <c r="O3542"/>
      <c r="P3542"/>
      <c r="Q3542"/>
      <c r="R3542"/>
      <c r="S3542"/>
    </row>
    <row r="3543" spans="1:19" x14ac:dyDescent="0.25">
      <c r="A3543" t="s">
        <v>193</v>
      </c>
      <c r="C3543" s="27" t="s">
        <v>34749</v>
      </c>
      <c r="D3543" s="28" t="s">
        <v>34867</v>
      </c>
      <c r="J3543" t="s">
        <v>9665</v>
      </c>
      <c r="K3543" t="s">
        <v>9666</v>
      </c>
      <c r="L3543" s="28" t="s">
        <v>9667</v>
      </c>
      <c r="M3543" t="s">
        <v>23</v>
      </c>
      <c r="N3543"/>
      <c r="O3543"/>
      <c r="P3543"/>
      <c r="Q3543"/>
      <c r="R3543"/>
      <c r="S3543"/>
    </row>
    <row r="3544" spans="1:19" x14ac:dyDescent="0.25">
      <c r="A3544" t="s">
        <v>193</v>
      </c>
      <c r="C3544" s="27" t="s">
        <v>34749</v>
      </c>
      <c r="D3544" s="28" t="s">
        <v>34867</v>
      </c>
      <c r="J3544" t="s">
        <v>9668</v>
      </c>
      <c r="K3544" t="s">
        <v>9669</v>
      </c>
      <c r="L3544" s="28" t="s">
        <v>9670</v>
      </c>
      <c r="M3544" t="s">
        <v>23</v>
      </c>
      <c r="N3544"/>
      <c r="O3544"/>
      <c r="P3544"/>
      <c r="Q3544"/>
      <c r="R3544"/>
      <c r="S3544"/>
    </row>
    <row r="3545" spans="1:19" x14ac:dyDescent="0.25">
      <c r="A3545" t="s">
        <v>193</v>
      </c>
      <c r="C3545" s="27" t="s">
        <v>34749</v>
      </c>
      <c r="D3545" s="28" t="s">
        <v>34867</v>
      </c>
      <c r="J3545" t="s">
        <v>9671</v>
      </c>
      <c r="K3545" t="s">
        <v>9672</v>
      </c>
      <c r="L3545" s="28" t="s">
        <v>9673</v>
      </c>
      <c r="M3545" t="s">
        <v>23</v>
      </c>
      <c r="N3545"/>
      <c r="O3545"/>
      <c r="P3545"/>
      <c r="Q3545"/>
      <c r="R3545"/>
      <c r="S3545"/>
    </row>
    <row r="3546" spans="1:19" x14ac:dyDescent="0.25">
      <c r="A3546" t="s">
        <v>193</v>
      </c>
      <c r="C3546" s="27" t="s">
        <v>34749</v>
      </c>
      <c r="D3546" s="28" t="s">
        <v>34867</v>
      </c>
      <c r="J3546" t="s">
        <v>9674</v>
      </c>
      <c r="K3546" t="s">
        <v>9675</v>
      </c>
      <c r="L3546" s="28" t="s">
        <v>9676</v>
      </c>
      <c r="M3546" t="s">
        <v>23</v>
      </c>
      <c r="N3546"/>
      <c r="O3546"/>
      <c r="P3546"/>
      <c r="Q3546"/>
      <c r="R3546"/>
      <c r="S3546"/>
    </row>
    <row r="3547" spans="1:19" x14ac:dyDescent="0.25">
      <c r="A3547" t="s">
        <v>193</v>
      </c>
      <c r="C3547" s="27" t="s">
        <v>34749</v>
      </c>
      <c r="D3547" s="28" t="s">
        <v>34867</v>
      </c>
      <c r="J3547" t="s">
        <v>9677</v>
      </c>
      <c r="K3547" t="s">
        <v>9678</v>
      </c>
      <c r="L3547" s="28" t="s">
        <v>9679</v>
      </c>
      <c r="M3547" t="s">
        <v>23</v>
      </c>
      <c r="N3547"/>
      <c r="O3547"/>
      <c r="P3547"/>
      <c r="Q3547"/>
      <c r="R3547"/>
      <c r="S3547"/>
    </row>
    <row r="3548" spans="1:19" x14ac:dyDescent="0.25">
      <c r="A3548" t="s">
        <v>193</v>
      </c>
      <c r="C3548" s="27" t="s">
        <v>34749</v>
      </c>
      <c r="D3548" s="28" t="s">
        <v>34867</v>
      </c>
      <c r="J3548" t="s">
        <v>9680</v>
      </c>
      <c r="K3548" t="s">
        <v>9681</v>
      </c>
      <c r="L3548" s="28" t="s">
        <v>9682</v>
      </c>
      <c r="M3548" t="s">
        <v>23</v>
      </c>
      <c r="N3548"/>
      <c r="O3548"/>
      <c r="P3548"/>
      <c r="Q3548"/>
      <c r="R3548"/>
      <c r="S3548"/>
    </row>
    <row r="3549" spans="1:19" x14ac:dyDescent="0.25">
      <c r="A3549" t="s">
        <v>193</v>
      </c>
      <c r="C3549" s="27" t="s">
        <v>34749</v>
      </c>
      <c r="D3549" s="28" t="s">
        <v>34867</v>
      </c>
      <c r="J3549" t="s">
        <v>9683</v>
      </c>
      <c r="K3549" t="s">
        <v>9684</v>
      </c>
      <c r="L3549" s="28" t="s">
        <v>9685</v>
      </c>
      <c r="M3549" t="s">
        <v>23</v>
      </c>
      <c r="N3549"/>
      <c r="O3549"/>
      <c r="P3549"/>
      <c r="Q3549"/>
      <c r="R3549"/>
      <c r="S3549"/>
    </row>
    <row r="3550" spans="1:19" x14ac:dyDescent="0.25">
      <c r="A3550" t="s">
        <v>193</v>
      </c>
      <c r="C3550" s="27" t="s">
        <v>34749</v>
      </c>
      <c r="D3550" s="28" t="s">
        <v>34867</v>
      </c>
      <c r="J3550" t="s">
        <v>9686</v>
      </c>
      <c r="K3550" t="s">
        <v>9687</v>
      </c>
      <c r="L3550" s="28" t="s">
        <v>9688</v>
      </c>
      <c r="M3550" t="s">
        <v>23</v>
      </c>
      <c r="N3550"/>
      <c r="O3550"/>
      <c r="P3550"/>
      <c r="Q3550"/>
      <c r="R3550"/>
      <c r="S3550"/>
    </row>
    <row r="3551" spans="1:19" x14ac:dyDescent="0.25">
      <c r="A3551" t="s">
        <v>193</v>
      </c>
      <c r="C3551" s="27" t="s">
        <v>34749</v>
      </c>
      <c r="D3551" s="28" t="s">
        <v>34867</v>
      </c>
      <c r="J3551" t="s">
        <v>9689</v>
      </c>
      <c r="K3551" t="s">
        <v>9690</v>
      </c>
      <c r="L3551" s="28" t="s">
        <v>9691</v>
      </c>
      <c r="M3551" t="s">
        <v>23</v>
      </c>
      <c r="N3551"/>
      <c r="O3551"/>
      <c r="P3551"/>
      <c r="Q3551"/>
      <c r="R3551"/>
      <c r="S3551"/>
    </row>
    <row r="3552" spans="1:19" x14ac:dyDescent="0.25">
      <c r="A3552" t="s">
        <v>193</v>
      </c>
      <c r="C3552" s="27" t="s">
        <v>34749</v>
      </c>
      <c r="D3552" s="28" t="s">
        <v>34867</v>
      </c>
      <c r="J3552" t="s">
        <v>9692</v>
      </c>
      <c r="K3552" t="s">
        <v>9693</v>
      </c>
      <c r="L3552" s="28" t="s">
        <v>9694</v>
      </c>
      <c r="M3552" t="s">
        <v>23</v>
      </c>
      <c r="N3552"/>
      <c r="O3552"/>
      <c r="P3552"/>
      <c r="Q3552"/>
      <c r="R3552"/>
      <c r="S3552"/>
    </row>
    <row r="3553" spans="1:19" x14ac:dyDescent="0.25">
      <c r="A3553" t="s">
        <v>193</v>
      </c>
      <c r="C3553" s="27" t="s">
        <v>34749</v>
      </c>
      <c r="D3553" s="28" t="s">
        <v>34867</v>
      </c>
      <c r="J3553" t="s">
        <v>9695</v>
      </c>
      <c r="K3553" t="s">
        <v>9696</v>
      </c>
      <c r="L3553" s="28" t="s">
        <v>9697</v>
      </c>
      <c r="M3553" t="s">
        <v>23</v>
      </c>
      <c r="N3553"/>
      <c r="O3553"/>
      <c r="P3553"/>
      <c r="Q3553"/>
      <c r="R3553"/>
      <c r="S3553"/>
    </row>
    <row r="3554" spans="1:19" x14ac:dyDescent="0.25">
      <c r="A3554" t="s">
        <v>193</v>
      </c>
      <c r="C3554" s="27" t="s">
        <v>34749</v>
      </c>
      <c r="D3554" s="28" t="s">
        <v>34867</v>
      </c>
      <c r="J3554" t="s">
        <v>9698</v>
      </c>
      <c r="K3554" t="s">
        <v>9699</v>
      </c>
      <c r="L3554" s="28" t="s">
        <v>9700</v>
      </c>
      <c r="M3554" t="s">
        <v>23</v>
      </c>
      <c r="N3554"/>
      <c r="O3554"/>
      <c r="P3554"/>
      <c r="Q3554"/>
      <c r="R3554"/>
      <c r="S3554"/>
    </row>
    <row r="3555" spans="1:19" x14ac:dyDescent="0.25">
      <c r="A3555" t="s">
        <v>193</v>
      </c>
      <c r="C3555" s="27" t="s">
        <v>34749</v>
      </c>
      <c r="D3555" s="28" t="s">
        <v>34867</v>
      </c>
      <c r="J3555" t="s">
        <v>9701</v>
      </c>
      <c r="K3555" t="s">
        <v>9702</v>
      </c>
      <c r="L3555" s="28" t="s">
        <v>9703</v>
      </c>
      <c r="M3555" t="s">
        <v>23</v>
      </c>
      <c r="N3555"/>
      <c r="O3555"/>
      <c r="P3555"/>
      <c r="Q3555"/>
      <c r="R3555"/>
      <c r="S3555"/>
    </row>
    <row r="3556" spans="1:19" x14ac:dyDescent="0.25">
      <c r="A3556" t="s">
        <v>193</v>
      </c>
      <c r="C3556" s="27" t="s">
        <v>34749</v>
      </c>
      <c r="D3556" s="28" t="s">
        <v>34867</v>
      </c>
      <c r="J3556" t="s">
        <v>9704</v>
      </c>
      <c r="K3556" t="s">
        <v>9705</v>
      </c>
      <c r="L3556" s="28" t="s">
        <v>9706</v>
      </c>
      <c r="M3556" t="s">
        <v>23</v>
      </c>
      <c r="N3556"/>
      <c r="O3556"/>
      <c r="P3556"/>
      <c r="Q3556"/>
      <c r="R3556"/>
      <c r="S3556"/>
    </row>
    <row r="3557" spans="1:19" x14ac:dyDescent="0.25">
      <c r="A3557" t="s">
        <v>193</v>
      </c>
      <c r="C3557" s="27" t="s">
        <v>34749</v>
      </c>
      <c r="D3557" s="28" t="s">
        <v>34867</v>
      </c>
      <c r="J3557" t="s">
        <v>9707</v>
      </c>
      <c r="K3557" t="s">
        <v>9708</v>
      </c>
      <c r="L3557" s="28" t="s">
        <v>9709</v>
      </c>
      <c r="M3557" t="s">
        <v>23</v>
      </c>
      <c r="N3557"/>
      <c r="O3557"/>
      <c r="P3557"/>
      <c r="Q3557"/>
      <c r="R3557"/>
      <c r="S3557"/>
    </row>
    <row r="3558" spans="1:19" x14ac:dyDescent="0.25">
      <c r="A3558" t="s">
        <v>193</v>
      </c>
      <c r="C3558" s="27" t="s">
        <v>34749</v>
      </c>
      <c r="D3558" s="28" t="s">
        <v>34867</v>
      </c>
      <c r="J3558" t="s">
        <v>9710</v>
      </c>
      <c r="K3558" t="s">
        <v>9711</v>
      </c>
      <c r="L3558" s="28" t="s">
        <v>9712</v>
      </c>
      <c r="M3558" t="s">
        <v>23</v>
      </c>
      <c r="N3558"/>
      <c r="O3558"/>
      <c r="P3558"/>
      <c r="Q3558"/>
      <c r="R3558"/>
      <c r="S3558"/>
    </row>
    <row r="3559" spans="1:19" x14ac:dyDescent="0.25">
      <c r="A3559" t="s">
        <v>193</v>
      </c>
      <c r="C3559" s="27" t="s">
        <v>34749</v>
      </c>
      <c r="D3559" s="28" t="s">
        <v>34867</v>
      </c>
      <c r="J3559" t="s">
        <v>9713</v>
      </c>
      <c r="K3559" t="s">
        <v>9714</v>
      </c>
      <c r="L3559" s="28" t="s">
        <v>9715</v>
      </c>
      <c r="M3559" t="s">
        <v>23</v>
      </c>
      <c r="N3559"/>
      <c r="O3559"/>
      <c r="P3559"/>
      <c r="Q3559"/>
      <c r="R3559"/>
      <c r="S3559"/>
    </row>
    <row r="3560" spans="1:19" x14ac:dyDescent="0.25">
      <c r="A3560" t="s">
        <v>193</v>
      </c>
      <c r="C3560" s="27" t="s">
        <v>34749</v>
      </c>
      <c r="D3560" s="28" t="s">
        <v>34867</v>
      </c>
      <c r="J3560" t="s">
        <v>9716</v>
      </c>
      <c r="K3560" t="s">
        <v>9717</v>
      </c>
      <c r="L3560" s="28" t="s">
        <v>9718</v>
      </c>
      <c r="M3560" t="s">
        <v>23</v>
      </c>
      <c r="N3560"/>
      <c r="O3560"/>
      <c r="P3560"/>
      <c r="Q3560"/>
      <c r="R3560"/>
      <c r="S3560"/>
    </row>
    <row r="3561" spans="1:19" x14ac:dyDescent="0.25">
      <c r="A3561" t="s">
        <v>193</v>
      </c>
      <c r="C3561" s="27" t="s">
        <v>34749</v>
      </c>
      <c r="D3561" s="28" t="s">
        <v>34867</v>
      </c>
      <c r="J3561" t="s">
        <v>9719</v>
      </c>
      <c r="K3561" t="s">
        <v>9720</v>
      </c>
      <c r="L3561" s="28" t="s">
        <v>9721</v>
      </c>
      <c r="M3561" t="s">
        <v>23</v>
      </c>
      <c r="N3561"/>
      <c r="O3561"/>
      <c r="P3561"/>
      <c r="Q3561"/>
      <c r="R3561"/>
      <c r="S3561"/>
    </row>
    <row r="3562" spans="1:19" x14ac:dyDescent="0.25">
      <c r="A3562" t="s">
        <v>193</v>
      </c>
      <c r="C3562" s="27" t="s">
        <v>34749</v>
      </c>
      <c r="D3562" s="28" t="s">
        <v>34867</v>
      </c>
      <c r="J3562" t="s">
        <v>9722</v>
      </c>
      <c r="K3562" t="s">
        <v>9723</v>
      </c>
      <c r="L3562" s="28" t="s">
        <v>9724</v>
      </c>
      <c r="M3562" t="s">
        <v>23</v>
      </c>
      <c r="N3562"/>
      <c r="O3562"/>
      <c r="P3562"/>
      <c r="Q3562"/>
      <c r="R3562"/>
      <c r="S3562"/>
    </row>
    <row r="3563" spans="1:19" x14ac:dyDescent="0.25">
      <c r="A3563" t="s">
        <v>193</v>
      </c>
      <c r="C3563" s="27" t="s">
        <v>34749</v>
      </c>
      <c r="D3563" s="28" t="s">
        <v>34867</v>
      </c>
      <c r="J3563" t="s">
        <v>9725</v>
      </c>
      <c r="K3563" t="s">
        <v>9726</v>
      </c>
      <c r="L3563" s="28" t="s">
        <v>9727</v>
      </c>
      <c r="M3563" t="s">
        <v>23</v>
      </c>
      <c r="N3563"/>
      <c r="O3563"/>
      <c r="P3563"/>
      <c r="Q3563"/>
      <c r="R3563"/>
      <c r="S3563"/>
    </row>
    <row r="3564" spans="1:19" x14ac:dyDescent="0.25">
      <c r="A3564" t="s">
        <v>193</v>
      </c>
      <c r="C3564" s="27" t="s">
        <v>34749</v>
      </c>
      <c r="D3564" s="28" t="s">
        <v>34867</v>
      </c>
      <c r="J3564" t="s">
        <v>9728</v>
      </c>
      <c r="K3564" t="s">
        <v>9729</v>
      </c>
      <c r="L3564" s="28" t="s">
        <v>9730</v>
      </c>
      <c r="M3564" t="s">
        <v>23</v>
      </c>
      <c r="N3564"/>
      <c r="O3564"/>
      <c r="P3564"/>
      <c r="Q3564"/>
      <c r="R3564"/>
      <c r="S3564"/>
    </row>
    <row r="3565" spans="1:19" x14ac:dyDescent="0.25">
      <c r="A3565" t="s">
        <v>193</v>
      </c>
      <c r="C3565" s="27" t="s">
        <v>34749</v>
      </c>
      <c r="D3565" s="28" t="s">
        <v>34867</v>
      </c>
      <c r="J3565" t="s">
        <v>9731</v>
      </c>
      <c r="K3565" t="s">
        <v>9732</v>
      </c>
      <c r="L3565" s="28" t="s">
        <v>9733</v>
      </c>
      <c r="M3565" t="s">
        <v>23</v>
      </c>
      <c r="N3565"/>
      <c r="O3565"/>
      <c r="P3565"/>
      <c r="Q3565"/>
      <c r="R3565"/>
      <c r="S3565"/>
    </row>
    <row r="3566" spans="1:19" x14ac:dyDescent="0.25">
      <c r="A3566" t="s">
        <v>193</v>
      </c>
      <c r="C3566" s="27" t="s">
        <v>34749</v>
      </c>
      <c r="D3566" s="28" t="s">
        <v>34867</v>
      </c>
      <c r="J3566" t="s">
        <v>9734</v>
      </c>
      <c r="K3566" t="s">
        <v>9735</v>
      </c>
      <c r="L3566" s="28" t="s">
        <v>9736</v>
      </c>
      <c r="M3566" t="s">
        <v>23</v>
      </c>
      <c r="N3566"/>
      <c r="O3566"/>
      <c r="P3566"/>
      <c r="Q3566"/>
      <c r="R3566"/>
      <c r="S3566"/>
    </row>
    <row r="3567" spans="1:19" x14ac:dyDescent="0.25">
      <c r="A3567" t="s">
        <v>193</v>
      </c>
      <c r="C3567" s="27" t="s">
        <v>34749</v>
      </c>
      <c r="D3567" s="28" t="s">
        <v>34867</v>
      </c>
      <c r="J3567" t="s">
        <v>9737</v>
      </c>
      <c r="K3567" t="s">
        <v>9738</v>
      </c>
      <c r="L3567" s="28" t="s">
        <v>9739</v>
      </c>
      <c r="M3567" t="s">
        <v>23</v>
      </c>
      <c r="N3567"/>
      <c r="O3567"/>
      <c r="P3567"/>
      <c r="Q3567"/>
      <c r="R3567"/>
      <c r="S3567"/>
    </row>
    <row r="3568" spans="1:19" x14ac:dyDescent="0.25">
      <c r="A3568" t="s">
        <v>193</v>
      </c>
      <c r="C3568" s="27" t="s">
        <v>34749</v>
      </c>
      <c r="D3568" s="28" t="s">
        <v>34867</v>
      </c>
      <c r="J3568" t="s">
        <v>9740</v>
      </c>
      <c r="K3568" t="s">
        <v>9741</v>
      </c>
      <c r="L3568" s="28" t="s">
        <v>9742</v>
      </c>
      <c r="M3568" t="s">
        <v>23</v>
      </c>
      <c r="N3568"/>
      <c r="O3568"/>
      <c r="P3568"/>
      <c r="Q3568"/>
      <c r="R3568"/>
      <c r="S3568"/>
    </row>
    <row r="3569" spans="1:19" x14ac:dyDescent="0.25">
      <c r="A3569" t="s">
        <v>193</v>
      </c>
      <c r="C3569" s="27" t="s">
        <v>34749</v>
      </c>
      <c r="D3569" s="28" t="s">
        <v>34867</v>
      </c>
      <c r="J3569" t="s">
        <v>9743</v>
      </c>
      <c r="K3569" t="s">
        <v>9744</v>
      </c>
      <c r="L3569" s="28" t="s">
        <v>9745</v>
      </c>
      <c r="M3569" t="s">
        <v>23</v>
      </c>
      <c r="N3569"/>
      <c r="O3569"/>
      <c r="P3569"/>
      <c r="Q3569"/>
      <c r="R3569"/>
      <c r="S3569"/>
    </row>
    <row r="3570" spans="1:19" x14ac:dyDescent="0.25">
      <c r="A3570" t="s">
        <v>193</v>
      </c>
      <c r="C3570" s="27" t="s">
        <v>34749</v>
      </c>
      <c r="D3570" s="28" t="s">
        <v>34867</v>
      </c>
      <c r="J3570" t="s">
        <v>9746</v>
      </c>
      <c r="K3570" t="s">
        <v>9747</v>
      </c>
      <c r="L3570" s="28" t="s">
        <v>9748</v>
      </c>
      <c r="M3570" t="s">
        <v>23</v>
      </c>
      <c r="N3570"/>
      <c r="O3570"/>
      <c r="P3570"/>
      <c r="Q3570"/>
      <c r="R3570"/>
      <c r="S3570"/>
    </row>
    <row r="3571" spans="1:19" x14ac:dyDescent="0.25">
      <c r="A3571" t="s">
        <v>193</v>
      </c>
      <c r="C3571" s="27" t="s">
        <v>34749</v>
      </c>
      <c r="D3571" s="28" t="s">
        <v>34867</v>
      </c>
      <c r="J3571" t="s">
        <v>9749</v>
      </c>
      <c r="K3571" t="s">
        <v>9750</v>
      </c>
      <c r="L3571" s="28" t="s">
        <v>9751</v>
      </c>
      <c r="M3571" t="s">
        <v>23</v>
      </c>
      <c r="N3571"/>
      <c r="O3571"/>
      <c r="P3571"/>
      <c r="Q3571"/>
      <c r="R3571"/>
      <c r="S3571"/>
    </row>
    <row r="3572" spans="1:19" x14ac:dyDescent="0.25">
      <c r="A3572" t="s">
        <v>193</v>
      </c>
      <c r="C3572" s="27" t="s">
        <v>34749</v>
      </c>
      <c r="D3572" s="28" t="s">
        <v>34867</v>
      </c>
      <c r="J3572" t="s">
        <v>9752</v>
      </c>
      <c r="K3572" t="s">
        <v>9753</v>
      </c>
      <c r="L3572" s="28" t="s">
        <v>9754</v>
      </c>
      <c r="M3572" t="s">
        <v>23</v>
      </c>
      <c r="N3572"/>
      <c r="O3572"/>
      <c r="P3572"/>
      <c r="Q3572"/>
      <c r="R3572"/>
      <c r="S3572"/>
    </row>
    <row r="3573" spans="1:19" x14ac:dyDescent="0.25">
      <c r="A3573" t="s">
        <v>193</v>
      </c>
      <c r="C3573" s="27" t="s">
        <v>34749</v>
      </c>
      <c r="D3573" s="28" t="s">
        <v>34867</v>
      </c>
      <c r="J3573" t="s">
        <v>9755</v>
      </c>
      <c r="K3573" t="s">
        <v>9756</v>
      </c>
      <c r="L3573" s="28" t="s">
        <v>9757</v>
      </c>
      <c r="M3573" t="s">
        <v>23</v>
      </c>
      <c r="N3573"/>
      <c r="O3573"/>
      <c r="P3573"/>
      <c r="Q3573"/>
      <c r="R3573"/>
      <c r="S3573"/>
    </row>
    <row r="3574" spans="1:19" x14ac:dyDescent="0.25">
      <c r="A3574" t="s">
        <v>193</v>
      </c>
      <c r="C3574" s="27" t="s">
        <v>34749</v>
      </c>
      <c r="D3574" s="28" t="s">
        <v>34867</v>
      </c>
      <c r="J3574" t="s">
        <v>9758</v>
      </c>
      <c r="K3574" t="s">
        <v>9759</v>
      </c>
      <c r="L3574" s="28" t="s">
        <v>9760</v>
      </c>
      <c r="M3574" t="s">
        <v>23</v>
      </c>
      <c r="N3574"/>
      <c r="O3574"/>
      <c r="P3574"/>
      <c r="Q3574"/>
      <c r="R3574"/>
      <c r="S3574"/>
    </row>
    <row r="3575" spans="1:19" x14ac:dyDescent="0.25">
      <c r="A3575" t="s">
        <v>193</v>
      </c>
      <c r="C3575" s="27" t="s">
        <v>34749</v>
      </c>
      <c r="D3575" s="28" t="s">
        <v>34867</v>
      </c>
      <c r="J3575" t="s">
        <v>9761</v>
      </c>
      <c r="K3575" t="s">
        <v>9762</v>
      </c>
      <c r="L3575" s="28" t="s">
        <v>9763</v>
      </c>
      <c r="M3575" t="s">
        <v>23</v>
      </c>
      <c r="N3575"/>
      <c r="O3575"/>
      <c r="P3575"/>
      <c r="Q3575"/>
      <c r="R3575"/>
      <c r="S3575"/>
    </row>
    <row r="3576" spans="1:19" x14ac:dyDescent="0.25">
      <c r="A3576" t="s">
        <v>193</v>
      </c>
      <c r="C3576" s="27" t="s">
        <v>34749</v>
      </c>
      <c r="D3576" s="28" t="s">
        <v>34867</v>
      </c>
      <c r="J3576" t="s">
        <v>9764</v>
      </c>
      <c r="K3576" t="s">
        <v>9765</v>
      </c>
      <c r="L3576" s="28" t="s">
        <v>9766</v>
      </c>
      <c r="M3576" t="s">
        <v>23</v>
      </c>
      <c r="N3576"/>
      <c r="O3576"/>
      <c r="P3576"/>
      <c r="Q3576"/>
      <c r="R3576"/>
      <c r="S3576"/>
    </row>
    <row r="3577" spans="1:19" x14ac:dyDescent="0.25">
      <c r="A3577" t="s">
        <v>193</v>
      </c>
      <c r="C3577" s="27" t="s">
        <v>34749</v>
      </c>
      <c r="D3577" s="28" t="s">
        <v>34867</v>
      </c>
      <c r="J3577" t="s">
        <v>9767</v>
      </c>
      <c r="K3577" t="s">
        <v>9768</v>
      </c>
      <c r="L3577" s="28" t="s">
        <v>9769</v>
      </c>
      <c r="M3577" t="s">
        <v>23</v>
      </c>
      <c r="N3577"/>
      <c r="O3577"/>
      <c r="P3577"/>
      <c r="Q3577"/>
      <c r="R3577"/>
      <c r="S3577"/>
    </row>
    <row r="3578" spans="1:19" x14ac:dyDescent="0.25">
      <c r="A3578" t="s">
        <v>193</v>
      </c>
      <c r="C3578" s="27" t="s">
        <v>34749</v>
      </c>
      <c r="D3578" s="28" t="s">
        <v>34867</v>
      </c>
      <c r="J3578" t="s">
        <v>9770</v>
      </c>
      <c r="K3578" t="s">
        <v>9771</v>
      </c>
      <c r="L3578" s="28" t="s">
        <v>9772</v>
      </c>
      <c r="M3578" t="s">
        <v>23</v>
      </c>
      <c r="N3578"/>
      <c r="O3578"/>
      <c r="P3578"/>
      <c r="Q3578"/>
      <c r="R3578"/>
      <c r="S3578"/>
    </row>
    <row r="3579" spans="1:19" x14ac:dyDescent="0.25">
      <c r="A3579" t="s">
        <v>193</v>
      </c>
      <c r="C3579" s="27" t="s">
        <v>34749</v>
      </c>
      <c r="D3579" s="28" t="s">
        <v>34867</v>
      </c>
      <c r="J3579" t="s">
        <v>9773</v>
      </c>
      <c r="K3579" t="s">
        <v>9774</v>
      </c>
      <c r="L3579" s="28" t="s">
        <v>9775</v>
      </c>
      <c r="M3579" t="s">
        <v>23</v>
      </c>
      <c r="N3579"/>
      <c r="O3579"/>
      <c r="P3579"/>
      <c r="Q3579"/>
      <c r="R3579"/>
      <c r="S3579"/>
    </row>
    <row r="3580" spans="1:19" x14ac:dyDescent="0.25">
      <c r="A3580" t="s">
        <v>193</v>
      </c>
      <c r="C3580" s="27" t="s">
        <v>34749</v>
      </c>
      <c r="D3580" s="28" t="s">
        <v>34867</v>
      </c>
      <c r="J3580" t="s">
        <v>9776</v>
      </c>
      <c r="K3580" t="s">
        <v>9777</v>
      </c>
      <c r="L3580" s="28" t="s">
        <v>9778</v>
      </c>
      <c r="M3580" t="s">
        <v>23</v>
      </c>
      <c r="N3580"/>
      <c r="O3580"/>
      <c r="P3580"/>
      <c r="Q3580"/>
      <c r="R3580"/>
      <c r="S3580"/>
    </row>
    <row r="3581" spans="1:19" x14ac:dyDescent="0.25">
      <c r="A3581" t="s">
        <v>193</v>
      </c>
      <c r="C3581" s="27" t="s">
        <v>34749</v>
      </c>
      <c r="D3581" s="28" t="s">
        <v>34867</v>
      </c>
      <c r="J3581" t="s">
        <v>9779</v>
      </c>
      <c r="K3581" t="s">
        <v>9780</v>
      </c>
      <c r="L3581" s="28" t="s">
        <v>9781</v>
      </c>
      <c r="M3581" t="s">
        <v>23</v>
      </c>
      <c r="N3581"/>
      <c r="O3581"/>
      <c r="P3581"/>
      <c r="Q3581"/>
      <c r="R3581"/>
      <c r="S3581"/>
    </row>
    <row r="3582" spans="1:19" x14ac:dyDescent="0.25">
      <c r="A3582" t="s">
        <v>193</v>
      </c>
      <c r="C3582" s="27" t="s">
        <v>34749</v>
      </c>
      <c r="D3582" s="28" t="s">
        <v>34867</v>
      </c>
      <c r="J3582" t="s">
        <v>9782</v>
      </c>
      <c r="K3582" t="s">
        <v>9783</v>
      </c>
      <c r="L3582" s="28" t="s">
        <v>9784</v>
      </c>
      <c r="M3582" t="s">
        <v>23</v>
      </c>
      <c r="N3582"/>
      <c r="O3582"/>
      <c r="P3582"/>
      <c r="Q3582"/>
      <c r="R3582"/>
      <c r="S3582"/>
    </row>
    <row r="3583" spans="1:19" x14ac:dyDescent="0.25">
      <c r="A3583" t="s">
        <v>193</v>
      </c>
      <c r="C3583" s="27" t="s">
        <v>34749</v>
      </c>
      <c r="D3583" s="28" t="s">
        <v>34867</v>
      </c>
      <c r="J3583" t="s">
        <v>9785</v>
      </c>
      <c r="K3583" t="s">
        <v>9786</v>
      </c>
      <c r="L3583" s="28" t="s">
        <v>9787</v>
      </c>
      <c r="M3583" t="s">
        <v>23</v>
      </c>
      <c r="N3583"/>
      <c r="O3583"/>
      <c r="P3583"/>
      <c r="Q3583"/>
      <c r="R3583"/>
      <c r="S3583"/>
    </row>
    <row r="3584" spans="1:19" x14ac:dyDescent="0.25">
      <c r="A3584" t="s">
        <v>193</v>
      </c>
      <c r="C3584" s="27" t="s">
        <v>34749</v>
      </c>
      <c r="D3584" s="28" t="s">
        <v>34867</v>
      </c>
      <c r="J3584" t="s">
        <v>9788</v>
      </c>
      <c r="K3584" t="s">
        <v>9789</v>
      </c>
      <c r="L3584" s="28" t="s">
        <v>9790</v>
      </c>
      <c r="M3584" t="s">
        <v>23</v>
      </c>
      <c r="N3584"/>
      <c r="O3584"/>
      <c r="P3584"/>
      <c r="Q3584"/>
      <c r="R3584"/>
      <c r="S3584"/>
    </row>
    <row r="3585" spans="1:19" x14ac:dyDescent="0.25">
      <c r="A3585" t="s">
        <v>193</v>
      </c>
      <c r="C3585" s="27" t="s">
        <v>34749</v>
      </c>
      <c r="D3585" s="28" t="s">
        <v>34867</v>
      </c>
      <c r="J3585" t="s">
        <v>9791</v>
      </c>
      <c r="K3585" t="s">
        <v>9792</v>
      </c>
      <c r="L3585" s="28" t="s">
        <v>9793</v>
      </c>
      <c r="M3585" t="s">
        <v>23</v>
      </c>
      <c r="N3585"/>
      <c r="O3585"/>
      <c r="P3585"/>
      <c r="Q3585"/>
      <c r="R3585"/>
      <c r="S3585"/>
    </row>
    <row r="3586" spans="1:19" x14ac:dyDescent="0.25">
      <c r="A3586" t="s">
        <v>193</v>
      </c>
      <c r="C3586" s="27" t="s">
        <v>34749</v>
      </c>
      <c r="D3586" s="28" t="s">
        <v>34867</v>
      </c>
      <c r="J3586" t="s">
        <v>9794</v>
      </c>
      <c r="K3586" t="s">
        <v>9795</v>
      </c>
      <c r="L3586" s="28" t="s">
        <v>9796</v>
      </c>
      <c r="M3586" t="s">
        <v>23</v>
      </c>
      <c r="N3586"/>
      <c r="O3586"/>
      <c r="P3586"/>
      <c r="Q3586"/>
      <c r="R3586"/>
      <c r="S3586"/>
    </row>
    <row r="3587" spans="1:19" x14ac:dyDescent="0.25">
      <c r="A3587" t="s">
        <v>193</v>
      </c>
      <c r="C3587" s="27" t="s">
        <v>34749</v>
      </c>
      <c r="D3587" s="28" t="s">
        <v>34867</v>
      </c>
      <c r="J3587" t="s">
        <v>9797</v>
      </c>
      <c r="K3587" t="s">
        <v>9798</v>
      </c>
      <c r="L3587" s="28" t="s">
        <v>9799</v>
      </c>
      <c r="M3587" t="s">
        <v>23</v>
      </c>
      <c r="N3587"/>
      <c r="O3587"/>
      <c r="P3587"/>
      <c r="Q3587"/>
      <c r="R3587"/>
      <c r="S3587"/>
    </row>
    <row r="3588" spans="1:19" x14ac:dyDescent="0.25">
      <c r="A3588" t="s">
        <v>193</v>
      </c>
      <c r="C3588" s="27" t="s">
        <v>34749</v>
      </c>
      <c r="D3588" s="28" t="s">
        <v>34867</v>
      </c>
      <c r="J3588" t="s">
        <v>9800</v>
      </c>
      <c r="K3588" t="s">
        <v>9801</v>
      </c>
      <c r="L3588" s="28" t="s">
        <v>9802</v>
      </c>
      <c r="M3588" t="s">
        <v>23</v>
      </c>
      <c r="N3588"/>
      <c r="O3588"/>
      <c r="P3588"/>
      <c r="Q3588"/>
      <c r="R3588"/>
      <c r="S3588"/>
    </row>
    <row r="3589" spans="1:19" x14ac:dyDescent="0.25">
      <c r="A3589" t="s">
        <v>193</v>
      </c>
      <c r="C3589" s="27" t="s">
        <v>34749</v>
      </c>
      <c r="D3589" s="28" t="s">
        <v>34867</v>
      </c>
      <c r="J3589" t="s">
        <v>9803</v>
      </c>
      <c r="K3589" t="s">
        <v>9804</v>
      </c>
      <c r="L3589" s="28" t="s">
        <v>9805</v>
      </c>
      <c r="M3589" t="s">
        <v>23</v>
      </c>
      <c r="N3589"/>
      <c r="O3589"/>
      <c r="P3589"/>
      <c r="Q3589"/>
      <c r="R3589"/>
      <c r="S3589"/>
    </row>
    <row r="3590" spans="1:19" x14ac:dyDescent="0.25">
      <c r="A3590" t="s">
        <v>193</v>
      </c>
      <c r="C3590" s="27" t="s">
        <v>34749</v>
      </c>
      <c r="D3590" s="28" t="s">
        <v>34867</v>
      </c>
      <c r="J3590" t="s">
        <v>9806</v>
      </c>
      <c r="K3590" t="s">
        <v>9807</v>
      </c>
      <c r="L3590" s="28" t="s">
        <v>9808</v>
      </c>
      <c r="M3590" t="s">
        <v>23</v>
      </c>
      <c r="N3590"/>
      <c r="O3590"/>
      <c r="P3590"/>
      <c r="Q3590"/>
      <c r="R3590"/>
      <c r="S3590"/>
    </row>
    <row r="3591" spans="1:19" x14ac:dyDescent="0.25">
      <c r="A3591" t="s">
        <v>193</v>
      </c>
      <c r="C3591" s="27" t="s">
        <v>34749</v>
      </c>
      <c r="D3591" s="28" t="s">
        <v>34867</v>
      </c>
      <c r="J3591" t="s">
        <v>9809</v>
      </c>
      <c r="K3591" t="s">
        <v>9810</v>
      </c>
      <c r="L3591" s="28" t="s">
        <v>9811</v>
      </c>
      <c r="M3591" t="s">
        <v>23</v>
      </c>
      <c r="N3591"/>
      <c r="O3591"/>
      <c r="P3591"/>
      <c r="Q3591"/>
      <c r="R3591"/>
      <c r="S3591"/>
    </row>
    <row r="3592" spans="1:19" x14ac:dyDescent="0.25">
      <c r="A3592" t="s">
        <v>193</v>
      </c>
      <c r="C3592" s="27" t="s">
        <v>34749</v>
      </c>
      <c r="D3592" s="28" t="s">
        <v>34867</v>
      </c>
      <c r="J3592" t="s">
        <v>9812</v>
      </c>
      <c r="K3592" t="s">
        <v>9813</v>
      </c>
      <c r="L3592" s="28" t="s">
        <v>9814</v>
      </c>
      <c r="M3592" t="s">
        <v>23</v>
      </c>
      <c r="N3592"/>
      <c r="O3592"/>
      <c r="P3592"/>
      <c r="Q3592"/>
      <c r="R3592"/>
      <c r="S3592"/>
    </row>
    <row r="3593" spans="1:19" x14ac:dyDescent="0.25">
      <c r="A3593" t="s">
        <v>193</v>
      </c>
      <c r="C3593" s="27" t="s">
        <v>34749</v>
      </c>
      <c r="D3593" s="28" t="s">
        <v>34867</v>
      </c>
      <c r="J3593" t="s">
        <v>9815</v>
      </c>
      <c r="K3593" t="s">
        <v>9816</v>
      </c>
      <c r="L3593" s="28" t="s">
        <v>9817</v>
      </c>
      <c r="M3593" t="s">
        <v>23</v>
      </c>
      <c r="N3593"/>
      <c r="O3593"/>
      <c r="P3593"/>
      <c r="Q3593"/>
      <c r="R3593"/>
      <c r="S3593"/>
    </row>
    <row r="3594" spans="1:19" x14ac:dyDescent="0.25">
      <c r="A3594" t="s">
        <v>193</v>
      </c>
      <c r="C3594" s="27" t="s">
        <v>34749</v>
      </c>
      <c r="D3594" s="28" t="s">
        <v>34867</v>
      </c>
      <c r="J3594" t="s">
        <v>9818</v>
      </c>
      <c r="K3594" t="s">
        <v>9819</v>
      </c>
      <c r="L3594" s="28" t="s">
        <v>9820</v>
      </c>
      <c r="M3594" t="s">
        <v>23</v>
      </c>
      <c r="N3594"/>
      <c r="O3594"/>
      <c r="P3594"/>
      <c r="Q3594"/>
      <c r="R3594"/>
      <c r="S3594"/>
    </row>
    <row r="3595" spans="1:19" x14ac:dyDescent="0.25">
      <c r="A3595" t="s">
        <v>193</v>
      </c>
      <c r="C3595" s="27" t="s">
        <v>34749</v>
      </c>
      <c r="D3595" s="28" t="s">
        <v>34867</v>
      </c>
      <c r="J3595" t="s">
        <v>9821</v>
      </c>
      <c r="K3595" t="s">
        <v>9822</v>
      </c>
      <c r="L3595" s="28" t="s">
        <v>9823</v>
      </c>
      <c r="M3595" t="s">
        <v>23</v>
      </c>
      <c r="N3595"/>
      <c r="O3595"/>
      <c r="P3595"/>
      <c r="Q3595"/>
      <c r="R3595"/>
      <c r="S3595"/>
    </row>
    <row r="3596" spans="1:19" x14ac:dyDescent="0.25">
      <c r="A3596" t="s">
        <v>193</v>
      </c>
      <c r="C3596" s="27" t="s">
        <v>34749</v>
      </c>
      <c r="D3596" s="28" t="s">
        <v>34867</v>
      </c>
      <c r="J3596" t="s">
        <v>9824</v>
      </c>
      <c r="K3596" t="s">
        <v>9825</v>
      </c>
      <c r="L3596" s="28" t="s">
        <v>9826</v>
      </c>
      <c r="M3596" t="s">
        <v>23</v>
      </c>
      <c r="N3596"/>
      <c r="O3596"/>
      <c r="P3596"/>
      <c r="Q3596"/>
      <c r="R3596"/>
      <c r="S3596"/>
    </row>
    <row r="3597" spans="1:19" x14ac:dyDescent="0.25">
      <c r="A3597" t="s">
        <v>193</v>
      </c>
      <c r="C3597" s="27" t="s">
        <v>34749</v>
      </c>
      <c r="D3597" s="28" t="s">
        <v>34867</v>
      </c>
      <c r="E3597" s="3"/>
      <c r="F3597" s="3"/>
      <c r="J3597" t="s">
        <v>9827</v>
      </c>
      <c r="K3597" t="s">
        <v>9828</v>
      </c>
      <c r="L3597" s="28" t="s">
        <v>9829</v>
      </c>
      <c r="M3597" t="s">
        <v>23</v>
      </c>
      <c r="N3597"/>
      <c r="O3597"/>
      <c r="P3597"/>
      <c r="Q3597"/>
      <c r="R3597"/>
      <c r="S3597"/>
    </row>
    <row r="3598" spans="1:19" x14ac:dyDescent="0.25">
      <c r="A3598" t="s">
        <v>193</v>
      </c>
      <c r="C3598" s="27" t="s">
        <v>34749</v>
      </c>
      <c r="D3598" s="28" t="s">
        <v>34867</v>
      </c>
      <c r="J3598" t="s">
        <v>9830</v>
      </c>
      <c r="K3598" t="s">
        <v>9831</v>
      </c>
      <c r="L3598" s="28" t="s">
        <v>9832</v>
      </c>
      <c r="M3598" t="s">
        <v>23</v>
      </c>
      <c r="N3598"/>
      <c r="O3598"/>
      <c r="P3598"/>
      <c r="Q3598"/>
      <c r="R3598"/>
      <c r="S3598"/>
    </row>
    <row r="3599" spans="1:19" x14ac:dyDescent="0.25">
      <c r="A3599" t="s">
        <v>193</v>
      </c>
      <c r="C3599" s="27" t="s">
        <v>34749</v>
      </c>
      <c r="D3599" s="28" t="s">
        <v>34867</v>
      </c>
      <c r="J3599" t="s">
        <v>9833</v>
      </c>
      <c r="K3599" t="s">
        <v>9834</v>
      </c>
      <c r="L3599" s="28" t="s">
        <v>9835</v>
      </c>
      <c r="M3599" t="s">
        <v>23</v>
      </c>
      <c r="N3599"/>
      <c r="O3599"/>
      <c r="P3599"/>
      <c r="Q3599"/>
      <c r="R3599"/>
      <c r="S3599"/>
    </row>
    <row r="3600" spans="1:19" x14ac:dyDescent="0.25">
      <c r="A3600" t="s">
        <v>193</v>
      </c>
      <c r="C3600" s="27" t="s">
        <v>34749</v>
      </c>
      <c r="D3600" s="28" t="s">
        <v>34867</v>
      </c>
      <c r="J3600" t="s">
        <v>9836</v>
      </c>
      <c r="K3600" t="s">
        <v>9837</v>
      </c>
      <c r="L3600" s="28" t="s">
        <v>9838</v>
      </c>
      <c r="M3600" t="s">
        <v>23</v>
      </c>
      <c r="N3600"/>
      <c r="O3600"/>
      <c r="P3600"/>
      <c r="Q3600"/>
      <c r="R3600"/>
      <c r="S3600"/>
    </row>
    <row r="3601" spans="1:19" x14ac:dyDescent="0.25">
      <c r="A3601" t="s">
        <v>193</v>
      </c>
      <c r="C3601" s="27" t="s">
        <v>34749</v>
      </c>
      <c r="D3601" s="28" t="s">
        <v>34867</v>
      </c>
      <c r="J3601" t="s">
        <v>9839</v>
      </c>
      <c r="K3601" t="s">
        <v>9840</v>
      </c>
      <c r="L3601" s="28" t="s">
        <v>9841</v>
      </c>
      <c r="M3601" t="s">
        <v>23</v>
      </c>
      <c r="N3601"/>
      <c r="O3601"/>
      <c r="P3601"/>
      <c r="Q3601"/>
      <c r="R3601"/>
      <c r="S3601"/>
    </row>
    <row r="3602" spans="1:19" x14ac:dyDescent="0.25">
      <c r="A3602" t="s">
        <v>193</v>
      </c>
      <c r="C3602" s="27" t="s">
        <v>34749</v>
      </c>
      <c r="D3602" s="28" t="s">
        <v>34867</v>
      </c>
      <c r="J3602" t="s">
        <v>9842</v>
      </c>
      <c r="K3602" t="s">
        <v>9843</v>
      </c>
      <c r="L3602" s="28" t="s">
        <v>9844</v>
      </c>
      <c r="M3602" t="s">
        <v>23</v>
      </c>
      <c r="N3602"/>
      <c r="O3602"/>
      <c r="P3602"/>
      <c r="Q3602"/>
      <c r="R3602"/>
      <c r="S3602"/>
    </row>
    <row r="3603" spans="1:19" x14ac:dyDescent="0.25">
      <c r="A3603" t="s">
        <v>193</v>
      </c>
      <c r="C3603" s="27" t="s">
        <v>34749</v>
      </c>
      <c r="D3603" s="28" t="s">
        <v>34867</v>
      </c>
      <c r="J3603" t="s">
        <v>9845</v>
      </c>
      <c r="K3603" t="s">
        <v>9846</v>
      </c>
      <c r="L3603" s="28" t="s">
        <v>9847</v>
      </c>
      <c r="M3603" t="s">
        <v>23</v>
      </c>
      <c r="N3603"/>
      <c r="O3603"/>
      <c r="P3603"/>
      <c r="Q3603"/>
      <c r="R3603"/>
      <c r="S3603"/>
    </row>
    <row r="3604" spans="1:19" x14ac:dyDescent="0.25">
      <c r="A3604" t="s">
        <v>193</v>
      </c>
      <c r="C3604" s="27" t="s">
        <v>34749</v>
      </c>
      <c r="D3604" s="28" t="s">
        <v>34867</v>
      </c>
      <c r="J3604" t="s">
        <v>9848</v>
      </c>
      <c r="K3604" t="s">
        <v>9849</v>
      </c>
      <c r="L3604" s="28" t="s">
        <v>9850</v>
      </c>
      <c r="M3604" t="s">
        <v>23</v>
      </c>
      <c r="N3604"/>
      <c r="O3604"/>
      <c r="P3604"/>
      <c r="Q3604"/>
      <c r="R3604"/>
      <c r="S3604"/>
    </row>
    <row r="3605" spans="1:19" x14ac:dyDescent="0.25">
      <c r="A3605" t="s">
        <v>193</v>
      </c>
      <c r="C3605" s="27" t="s">
        <v>34749</v>
      </c>
      <c r="D3605" s="28" t="s">
        <v>34867</v>
      </c>
      <c r="J3605" t="s">
        <v>9851</v>
      </c>
      <c r="K3605" t="s">
        <v>9852</v>
      </c>
      <c r="L3605" s="28" t="s">
        <v>9853</v>
      </c>
      <c r="M3605" t="s">
        <v>23</v>
      </c>
      <c r="N3605"/>
      <c r="O3605"/>
      <c r="P3605"/>
      <c r="Q3605"/>
      <c r="R3605"/>
      <c r="S3605"/>
    </row>
    <row r="3606" spans="1:19" x14ac:dyDescent="0.25">
      <c r="A3606" t="s">
        <v>193</v>
      </c>
      <c r="C3606" s="27" t="s">
        <v>34749</v>
      </c>
      <c r="D3606" s="28" t="s">
        <v>34867</v>
      </c>
      <c r="J3606" t="s">
        <v>9854</v>
      </c>
      <c r="K3606" t="s">
        <v>9855</v>
      </c>
      <c r="L3606" s="28" t="s">
        <v>9856</v>
      </c>
      <c r="M3606" t="s">
        <v>23</v>
      </c>
      <c r="N3606"/>
      <c r="O3606"/>
      <c r="P3606"/>
      <c r="Q3606"/>
      <c r="R3606"/>
      <c r="S3606"/>
    </row>
    <row r="3607" spans="1:19" x14ac:dyDescent="0.25">
      <c r="A3607" t="s">
        <v>193</v>
      </c>
      <c r="C3607" s="27" t="s">
        <v>34749</v>
      </c>
      <c r="D3607" s="28" t="s">
        <v>34867</v>
      </c>
      <c r="J3607" t="s">
        <v>9857</v>
      </c>
      <c r="K3607" t="s">
        <v>9858</v>
      </c>
      <c r="L3607" s="28" t="s">
        <v>9859</v>
      </c>
      <c r="M3607" t="s">
        <v>23</v>
      </c>
      <c r="N3607"/>
      <c r="O3607"/>
      <c r="P3607"/>
      <c r="Q3607"/>
      <c r="R3607"/>
      <c r="S3607"/>
    </row>
    <row r="3608" spans="1:19" x14ac:dyDescent="0.25">
      <c r="A3608" t="s">
        <v>193</v>
      </c>
      <c r="C3608" s="27" t="s">
        <v>34749</v>
      </c>
      <c r="D3608" s="28" t="s">
        <v>34867</v>
      </c>
      <c r="J3608" t="s">
        <v>9860</v>
      </c>
      <c r="K3608" t="s">
        <v>9861</v>
      </c>
      <c r="L3608" s="28" t="s">
        <v>9862</v>
      </c>
      <c r="M3608" t="s">
        <v>23</v>
      </c>
      <c r="N3608"/>
      <c r="O3608"/>
      <c r="P3608"/>
      <c r="Q3608"/>
      <c r="R3608"/>
      <c r="S3608"/>
    </row>
    <row r="3609" spans="1:19" x14ac:dyDescent="0.25">
      <c r="A3609" t="s">
        <v>193</v>
      </c>
      <c r="C3609" s="27" t="s">
        <v>34749</v>
      </c>
      <c r="D3609" s="28" t="s">
        <v>34867</v>
      </c>
      <c r="E3609" s="3"/>
      <c r="F3609" s="3"/>
      <c r="J3609" t="s">
        <v>9863</v>
      </c>
      <c r="K3609" t="s">
        <v>9864</v>
      </c>
      <c r="L3609" s="28" t="s">
        <v>9865</v>
      </c>
      <c r="M3609" t="s">
        <v>23</v>
      </c>
      <c r="N3609"/>
      <c r="O3609"/>
      <c r="P3609"/>
      <c r="Q3609"/>
      <c r="R3609"/>
      <c r="S3609"/>
    </row>
    <row r="3610" spans="1:19" x14ac:dyDescent="0.25">
      <c r="A3610" t="s">
        <v>193</v>
      </c>
      <c r="C3610" s="27" t="s">
        <v>34749</v>
      </c>
      <c r="D3610" s="28" t="s">
        <v>34867</v>
      </c>
      <c r="J3610" t="s">
        <v>9866</v>
      </c>
      <c r="K3610" t="s">
        <v>9867</v>
      </c>
      <c r="L3610" s="28" t="s">
        <v>9868</v>
      </c>
      <c r="M3610" t="s">
        <v>23</v>
      </c>
      <c r="N3610"/>
      <c r="O3610"/>
      <c r="P3610"/>
      <c r="Q3610"/>
      <c r="R3610"/>
      <c r="S3610"/>
    </row>
    <row r="3611" spans="1:19" x14ac:dyDescent="0.25">
      <c r="A3611" t="s">
        <v>193</v>
      </c>
      <c r="C3611" s="27" t="s">
        <v>34749</v>
      </c>
      <c r="D3611" s="28" t="s">
        <v>34867</v>
      </c>
      <c r="J3611" t="s">
        <v>9869</v>
      </c>
      <c r="K3611" t="s">
        <v>9870</v>
      </c>
      <c r="L3611" s="28" t="s">
        <v>9871</v>
      </c>
      <c r="M3611" t="s">
        <v>23</v>
      </c>
      <c r="N3611"/>
      <c r="O3611"/>
      <c r="P3611"/>
      <c r="Q3611"/>
      <c r="R3611"/>
      <c r="S3611"/>
    </row>
    <row r="3612" spans="1:19" x14ac:dyDescent="0.25">
      <c r="A3612" t="s">
        <v>193</v>
      </c>
      <c r="C3612" s="27" t="s">
        <v>34749</v>
      </c>
      <c r="D3612" s="28" t="s">
        <v>34867</v>
      </c>
      <c r="J3612" t="s">
        <v>9872</v>
      </c>
      <c r="K3612" t="s">
        <v>9873</v>
      </c>
      <c r="L3612" s="28" t="s">
        <v>9874</v>
      </c>
      <c r="M3612" t="s">
        <v>23</v>
      </c>
      <c r="N3612"/>
      <c r="O3612"/>
      <c r="P3612"/>
      <c r="Q3612"/>
      <c r="R3612"/>
      <c r="S3612"/>
    </row>
    <row r="3613" spans="1:19" x14ac:dyDescent="0.25">
      <c r="A3613" t="s">
        <v>193</v>
      </c>
      <c r="C3613" s="27" t="s">
        <v>34749</v>
      </c>
      <c r="D3613" s="28" t="s">
        <v>34867</v>
      </c>
      <c r="J3613" t="s">
        <v>9875</v>
      </c>
      <c r="K3613" t="s">
        <v>9876</v>
      </c>
      <c r="L3613" s="28" t="s">
        <v>9877</v>
      </c>
      <c r="M3613" t="s">
        <v>23</v>
      </c>
      <c r="N3613"/>
      <c r="O3613"/>
      <c r="P3613"/>
      <c r="Q3613"/>
      <c r="R3613"/>
      <c r="S3613"/>
    </row>
    <row r="3614" spans="1:19" x14ac:dyDescent="0.25">
      <c r="A3614" t="s">
        <v>193</v>
      </c>
      <c r="C3614" s="27" t="s">
        <v>34749</v>
      </c>
      <c r="D3614" s="28" t="s">
        <v>34867</v>
      </c>
      <c r="J3614" t="s">
        <v>9878</v>
      </c>
      <c r="K3614" t="s">
        <v>9879</v>
      </c>
      <c r="L3614" s="28" t="s">
        <v>9880</v>
      </c>
      <c r="M3614" t="s">
        <v>23</v>
      </c>
      <c r="N3614"/>
      <c r="O3614"/>
      <c r="P3614"/>
      <c r="Q3614"/>
      <c r="R3614"/>
      <c r="S3614"/>
    </row>
    <row r="3615" spans="1:19" x14ac:dyDescent="0.25">
      <c r="A3615" t="s">
        <v>193</v>
      </c>
      <c r="C3615" s="27" t="s">
        <v>34749</v>
      </c>
      <c r="D3615" s="28" t="s">
        <v>34867</v>
      </c>
      <c r="E3615" s="3"/>
      <c r="F3615" s="3"/>
      <c r="J3615" t="s">
        <v>9881</v>
      </c>
      <c r="K3615" t="s">
        <v>9882</v>
      </c>
      <c r="L3615" s="28" t="s">
        <v>9883</v>
      </c>
      <c r="M3615" t="s">
        <v>23</v>
      </c>
      <c r="N3615"/>
      <c r="O3615"/>
      <c r="P3615"/>
      <c r="Q3615"/>
      <c r="R3615"/>
      <c r="S3615"/>
    </row>
    <row r="3616" spans="1:19" x14ac:dyDescent="0.25">
      <c r="A3616" t="s">
        <v>193</v>
      </c>
      <c r="C3616" s="27" t="s">
        <v>34749</v>
      </c>
      <c r="D3616" s="28" t="s">
        <v>34867</v>
      </c>
      <c r="J3616" t="s">
        <v>9884</v>
      </c>
      <c r="K3616" t="s">
        <v>9885</v>
      </c>
      <c r="L3616" s="28" t="s">
        <v>9886</v>
      </c>
      <c r="M3616" t="s">
        <v>23</v>
      </c>
      <c r="N3616"/>
      <c r="O3616"/>
      <c r="P3616"/>
      <c r="Q3616"/>
      <c r="R3616"/>
      <c r="S3616"/>
    </row>
    <row r="3617" spans="1:19" x14ac:dyDescent="0.25">
      <c r="A3617" t="s">
        <v>193</v>
      </c>
      <c r="C3617" s="27" t="s">
        <v>34749</v>
      </c>
      <c r="D3617" s="28" t="s">
        <v>34867</v>
      </c>
      <c r="J3617" t="s">
        <v>9887</v>
      </c>
      <c r="K3617" t="s">
        <v>9888</v>
      </c>
      <c r="L3617" s="28" t="s">
        <v>9889</v>
      </c>
      <c r="M3617" t="s">
        <v>23</v>
      </c>
      <c r="N3617"/>
      <c r="O3617"/>
      <c r="P3617"/>
      <c r="Q3617"/>
      <c r="R3617"/>
      <c r="S3617"/>
    </row>
    <row r="3618" spans="1:19" x14ac:dyDescent="0.25">
      <c r="A3618" t="s">
        <v>193</v>
      </c>
      <c r="C3618" s="27" t="s">
        <v>34749</v>
      </c>
      <c r="D3618" s="28" t="s">
        <v>34867</v>
      </c>
      <c r="J3618" t="s">
        <v>9890</v>
      </c>
      <c r="K3618" t="s">
        <v>9891</v>
      </c>
      <c r="L3618" s="28" t="s">
        <v>9892</v>
      </c>
      <c r="M3618" t="s">
        <v>23</v>
      </c>
      <c r="N3618"/>
      <c r="O3618"/>
      <c r="P3618"/>
      <c r="Q3618"/>
      <c r="R3618"/>
      <c r="S3618"/>
    </row>
    <row r="3619" spans="1:19" x14ac:dyDescent="0.25">
      <c r="A3619" t="s">
        <v>193</v>
      </c>
      <c r="C3619" s="27" t="s">
        <v>34749</v>
      </c>
      <c r="D3619" s="28" t="s">
        <v>34867</v>
      </c>
      <c r="J3619" t="s">
        <v>9893</v>
      </c>
      <c r="K3619" t="s">
        <v>9894</v>
      </c>
      <c r="L3619" s="28" t="s">
        <v>9895</v>
      </c>
      <c r="M3619" t="s">
        <v>23</v>
      </c>
      <c r="N3619"/>
      <c r="O3619"/>
      <c r="P3619"/>
      <c r="Q3619"/>
      <c r="R3619"/>
      <c r="S3619"/>
    </row>
    <row r="3620" spans="1:19" x14ac:dyDescent="0.25">
      <c r="A3620" t="s">
        <v>193</v>
      </c>
      <c r="C3620" s="27" t="s">
        <v>34749</v>
      </c>
      <c r="D3620" s="28" t="s">
        <v>34867</v>
      </c>
      <c r="J3620" t="s">
        <v>9896</v>
      </c>
      <c r="K3620" t="s">
        <v>9897</v>
      </c>
      <c r="L3620" s="28" t="s">
        <v>9898</v>
      </c>
      <c r="M3620" t="s">
        <v>23</v>
      </c>
      <c r="N3620"/>
      <c r="O3620"/>
      <c r="P3620"/>
      <c r="Q3620"/>
      <c r="R3620"/>
      <c r="S3620"/>
    </row>
    <row r="3621" spans="1:19" x14ac:dyDescent="0.25">
      <c r="A3621" t="s">
        <v>193</v>
      </c>
      <c r="C3621" s="27" t="s">
        <v>34749</v>
      </c>
      <c r="D3621" s="28" t="s">
        <v>34867</v>
      </c>
      <c r="J3621" t="s">
        <v>9899</v>
      </c>
      <c r="K3621" t="s">
        <v>9900</v>
      </c>
      <c r="L3621" s="28" t="s">
        <v>9901</v>
      </c>
      <c r="M3621" t="s">
        <v>23</v>
      </c>
      <c r="N3621"/>
      <c r="O3621"/>
      <c r="P3621"/>
      <c r="Q3621"/>
      <c r="R3621"/>
      <c r="S3621"/>
    </row>
    <row r="3622" spans="1:19" x14ac:dyDescent="0.25">
      <c r="A3622" t="s">
        <v>193</v>
      </c>
      <c r="C3622" s="27" t="s">
        <v>34749</v>
      </c>
      <c r="D3622" s="28" t="s">
        <v>34867</v>
      </c>
      <c r="J3622" t="s">
        <v>9902</v>
      </c>
      <c r="K3622" t="s">
        <v>9903</v>
      </c>
      <c r="L3622" s="28" t="s">
        <v>9904</v>
      </c>
      <c r="M3622" t="s">
        <v>23</v>
      </c>
      <c r="N3622"/>
      <c r="O3622"/>
      <c r="P3622"/>
      <c r="Q3622"/>
      <c r="R3622"/>
      <c r="S3622"/>
    </row>
    <row r="3623" spans="1:19" x14ac:dyDescent="0.25">
      <c r="A3623" t="s">
        <v>193</v>
      </c>
      <c r="C3623" s="27" t="s">
        <v>34749</v>
      </c>
      <c r="D3623" s="28" t="s">
        <v>34867</v>
      </c>
      <c r="J3623" t="s">
        <v>9905</v>
      </c>
      <c r="K3623" t="s">
        <v>9906</v>
      </c>
      <c r="L3623" s="28" t="s">
        <v>9907</v>
      </c>
      <c r="M3623" t="s">
        <v>23</v>
      </c>
      <c r="N3623"/>
      <c r="O3623"/>
      <c r="P3623"/>
      <c r="Q3623"/>
      <c r="R3623"/>
      <c r="S3623"/>
    </row>
    <row r="3624" spans="1:19" x14ac:dyDescent="0.25">
      <c r="A3624" t="s">
        <v>193</v>
      </c>
      <c r="C3624" s="27" t="s">
        <v>34749</v>
      </c>
      <c r="D3624" s="28" t="s">
        <v>34867</v>
      </c>
      <c r="J3624" t="s">
        <v>9908</v>
      </c>
      <c r="K3624" t="s">
        <v>9909</v>
      </c>
      <c r="L3624" s="28" t="s">
        <v>9910</v>
      </c>
      <c r="M3624" t="s">
        <v>23</v>
      </c>
      <c r="N3624"/>
      <c r="O3624"/>
      <c r="P3624"/>
      <c r="Q3624"/>
      <c r="R3624"/>
      <c r="S3624"/>
    </row>
    <row r="3625" spans="1:19" x14ac:dyDescent="0.25">
      <c r="A3625" t="s">
        <v>193</v>
      </c>
      <c r="C3625" s="27" t="s">
        <v>34749</v>
      </c>
      <c r="D3625" s="28" t="s">
        <v>34867</v>
      </c>
      <c r="J3625" t="s">
        <v>9911</v>
      </c>
      <c r="K3625" t="s">
        <v>9912</v>
      </c>
      <c r="L3625" s="28" t="s">
        <v>9913</v>
      </c>
      <c r="M3625" t="s">
        <v>23</v>
      </c>
      <c r="N3625"/>
      <c r="O3625"/>
      <c r="P3625"/>
      <c r="Q3625"/>
      <c r="R3625"/>
      <c r="S3625"/>
    </row>
    <row r="3626" spans="1:19" x14ac:dyDescent="0.25">
      <c r="A3626" t="s">
        <v>193</v>
      </c>
      <c r="C3626" s="27" t="s">
        <v>34749</v>
      </c>
      <c r="D3626" s="28" t="s">
        <v>34867</v>
      </c>
      <c r="J3626" t="s">
        <v>9914</v>
      </c>
      <c r="K3626" t="s">
        <v>9915</v>
      </c>
      <c r="L3626" s="28" t="s">
        <v>9916</v>
      </c>
      <c r="M3626" t="s">
        <v>23</v>
      </c>
      <c r="N3626"/>
      <c r="O3626"/>
      <c r="P3626"/>
      <c r="Q3626"/>
      <c r="R3626"/>
      <c r="S3626"/>
    </row>
    <row r="3627" spans="1:19" x14ac:dyDescent="0.25">
      <c r="A3627" t="s">
        <v>193</v>
      </c>
      <c r="C3627" s="27" t="s">
        <v>34749</v>
      </c>
      <c r="D3627" s="28" t="s">
        <v>34867</v>
      </c>
      <c r="J3627" t="s">
        <v>9917</v>
      </c>
      <c r="K3627" t="s">
        <v>9918</v>
      </c>
      <c r="L3627" s="28" t="s">
        <v>9919</v>
      </c>
      <c r="M3627" t="s">
        <v>23</v>
      </c>
      <c r="N3627"/>
      <c r="O3627"/>
      <c r="P3627"/>
      <c r="Q3627"/>
      <c r="R3627"/>
      <c r="S3627"/>
    </row>
    <row r="3628" spans="1:19" x14ac:dyDescent="0.25">
      <c r="A3628" t="s">
        <v>193</v>
      </c>
      <c r="C3628" s="27" t="s">
        <v>34749</v>
      </c>
      <c r="D3628" s="28" t="s">
        <v>34867</v>
      </c>
      <c r="J3628" t="s">
        <v>9920</v>
      </c>
      <c r="K3628" t="s">
        <v>9921</v>
      </c>
      <c r="L3628" s="28" t="s">
        <v>9922</v>
      </c>
      <c r="M3628" t="s">
        <v>23</v>
      </c>
      <c r="N3628"/>
      <c r="O3628"/>
      <c r="P3628"/>
      <c r="Q3628"/>
      <c r="R3628"/>
      <c r="S3628"/>
    </row>
    <row r="3629" spans="1:19" x14ac:dyDescent="0.25">
      <c r="A3629" t="s">
        <v>193</v>
      </c>
      <c r="C3629" s="27" t="s">
        <v>34749</v>
      </c>
      <c r="D3629" s="28" t="s">
        <v>34867</v>
      </c>
      <c r="J3629" t="s">
        <v>9923</v>
      </c>
      <c r="K3629" t="s">
        <v>9924</v>
      </c>
      <c r="L3629" s="28" t="s">
        <v>9925</v>
      </c>
      <c r="M3629" t="s">
        <v>23</v>
      </c>
      <c r="N3629"/>
      <c r="O3629"/>
      <c r="P3629"/>
      <c r="Q3629"/>
      <c r="R3629"/>
      <c r="S3629"/>
    </row>
    <row r="3630" spans="1:19" x14ac:dyDescent="0.25">
      <c r="A3630" t="s">
        <v>193</v>
      </c>
      <c r="C3630" s="27" t="s">
        <v>34749</v>
      </c>
      <c r="D3630" s="28" t="s">
        <v>34867</v>
      </c>
      <c r="J3630" t="s">
        <v>9926</v>
      </c>
      <c r="K3630" t="s">
        <v>9927</v>
      </c>
      <c r="L3630" s="28" t="s">
        <v>9928</v>
      </c>
      <c r="M3630" t="s">
        <v>23</v>
      </c>
      <c r="N3630"/>
      <c r="O3630"/>
      <c r="P3630"/>
      <c r="Q3630"/>
      <c r="R3630"/>
      <c r="S3630"/>
    </row>
    <row r="3631" spans="1:19" x14ac:dyDescent="0.25">
      <c r="A3631" t="s">
        <v>193</v>
      </c>
      <c r="C3631" s="27" t="s">
        <v>34749</v>
      </c>
      <c r="D3631" s="28" t="s">
        <v>34867</v>
      </c>
      <c r="J3631" t="s">
        <v>9929</v>
      </c>
      <c r="K3631" t="s">
        <v>9930</v>
      </c>
      <c r="L3631" s="28" t="s">
        <v>9931</v>
      </c>
      <c r="M3631" t="s">
        <v>23</v>
      </c>
      <c r="N3631"/>
      <c r="O3631"/>
      <c r="P3631"/>
      <c r="Q3631"/>
      <c r="R3631"/>
      <c r="S3631"/>
    </row>
    <row r="3632" spans="1:19" x14ac:dyDescent="0.25">
      <c r="A3632" t="s">
        <v>193</v>
      </c>
      <c r="C3632" s="27" t="s">
        <v>34749</v>
      </c>
      <c r="D3632" s="28" t="s">
        <v>34867</v>
      </c>
      <c r="J3632" t="s">
        <v>9932</v>
      </c>
      <c r="K3632" t="s">
        <v>9933</v>
      </c>
      <c r="L3632" s="28" t="s">
        <v>9934</v>
      </c>
      <c r="M3632" t="s">
        <v>23</v>
      </c>
      <c r="N3632"/>
      <c r="O3632"/>
      <c r="P3632"/>
      <c r="Q3632"/>
      <c r="R3632"/>
      <c r="S3632"/>
    </row>
    <row r="3633" spans="1:19" x14ac:dyDescent="0.25">
      <c r="A3633" t="s">
        <v>193</v>
      </c>
      <c r="C3633" s="27" t="s">
        <v>34749</v>
      </c>
      <c r="D3633" s="28" t="s">
        <v>34867</v>
      </c>
      <c r="J3633" t="s">
        <v>9935</v>
      </c>
      <c r="K3633" t="s">
        <v>9936</v>
      </c>
      <c r="L3633" s="28" t="s">
        <v>9937</v>
      </c>
      <c r="M3633" t="s">
        <v>23</v>
      </c>
      <c r="N3633"/>
      <c r="O3633"/>
      <c r="P3633"/>
      <c r="Q3633"/>
      <c r="R3633"/>
      <c r="S3633"/>
    </row>
    <row r="3634" spans="1:19" x14ac:dyDescent="0.25">
      <c r="A3634" t="s">
        <v>193</v>
      </c>
      <c r="C3634" s="27" t="s">
        <v>34749</v>
      </c>
      <c r="D3634" s="28" t="s">
        <v>34867</v>
      </c>
      <c r="J3634" t="s">
        <v>9938</v>
      </c>
      <c r="K3634" t="s">
        <v>9939</v>
      </c>
      <c r="L3634" s="28" t="s">
        <v>9940</v>
      </c>
      <c r="M3634" t="s">
        <v>23</v>
      </c>
      <c r="N3634"/>
      <c r="O3634"/>
      <c r="P3634"/>
      <c r="Q3634"/>
      <c r="R3634"/>
      <c r="S3634"/>
    </row>
    <row r="3635" spans="1:19" x14ac:dyDescent="0.25">
      <c r="A3635" t="s">
        <v>193</v>
      </c>
      <c r="C3635" s="27" t="s">
        <v>34749</v>
      </c>
      <c r="D3635" s="28" t="s">
        <v>34867</v>
      </c>
      <c r="J3635" t="s">
        <v>9941</v>
      </c>
      <c r="K3635" t="s">
        <v>9942</v>
      </c>
      <c r="L3635" s="28" t="s">
        <v>9943</v>
      </c>
      <c r="M3635" t="s">
        <v>23</v>
      </c>
      <c r="N3635"/>
      <c r="O3635"/>
      <c r="P3635"/>
      <c r="Q3635"/>
      <c r="R3635"/>
      <c r="S3635"/>
    </row>
    <row r="3636" spans="1:19" x14ac:dyDescent="0.25">
      <c r="A3636" t="s">
        <v>193</v>
      </c>
      <c r="C3636" s="27" t="s">
        <v>34749</v>
      </c>
      <c r="D3636" s="28" t="s">
        <v>34867</v>
      </c>
      <c r="J3636" t="s">
        <v>9944</v>
      </c>
      <c r="K3636" t="s">
        <v>9945</v>
      </c>
      <c r="L3636" s="28" t="s">
        <v>9946</v>
      </c>
      <c r="M3636" t="s">
        <v>23</v>
      </c>
      <c r="N3636"/>
      <c r="O3636"/>
      <c r="P3636"/>
      <c r="Q3636"/>
      <c r="R3636"/>
      <c r="S3636"/>
    </row>
    <row r="3637" spans="1:19" x14ac:dyDescent="0.25">
      <c r="A3637" t="s">
        <v>193</v>
      </c>
      <c r="C3637" s="27" t="s">
        <v>34749</v>
      </c>
      <c r="D3637" s="28" t="s">
        <v>34867</v>
      </c>
      <c r="J3637" t="s">
        <v>9947</v>
      </c>
      <c r="K3637" t="s">
        <v>9948</v>
      </c>
      <c r="L3637" s="28" t="s">
        <v>9949</v>
      </c>
      <c r="M3637" t="s">
        <v>23</v>
      </c>
      <c r="N3637"/>
      <c r="O3637"/>
      <c r="P3637"/>
      <c r="Q3637"/>
      <c r="R3637"/>
      <c r="S3637"/>
    </row>
    <row r="3638" spans="1:19" x14ac:dyDescent="0.25">
      <c r="A3638" t="s">
        <v>193</v>
      </c>
      <c r="C3638" s="27" t="s">
        <v>34749</v>
      </c>
      <c r="D3638" s="28" t="s">
        <v>34867</v>
      </c>
      <c r="J3638" t="s">
        <v>9950</v>
      </c>
      <c r="K3638" t="s">
        <v>9951</v>
      </c>
      <c r="L3638" s="28" t="s">
        <v>9952</v>
      </c>
      <c r="M3638" t="s">
        <v>23</v>
      </c>
      <c r="N3638"/>
      <c r="O3638"/>
      <c r="P3638"/>
      <c r="Q3638"/>
      <c r="R3638"/>
      <c r="S3638"/>
    </row>
    <row r="3639" spans="1:19" x14ac:dyDescent="0.25">
      <c r="A3639" t="s">
        <v>193</v>
      </c>
      <c r="C3639" s="27" t="s">
        <v>34749</v>
      </c>
      <c r="D3639" s="28" t="s">
        <v>34867</v>
      </c>
      <c r="J3639" t="s">
        <v>9953</v>
      </c>
      <c r="K3639" t="s">
        <v>9954</v>
      </c>
      <c r="L3639" s="28" t="s">
        <v>9955</v>
      </c>
      <c r="M3639" t="s">
        <v>23</v>
      </c>
      <c r="N3639"/>
      <c r="O3639"/>
      <c r="P3639"/>
      <c r="Q3639"/>
      <c r="R3639"/>
      <c r="S3639"/>
    </row>
    <row r="3640" spans="1:19" x14ac:dyDescent="0.25">
      <c r="A3640" t="s">
        <v>193</v>
      </c>
      <c r="C3640" s="27" t="s">
        <v>34749</v>
      </c>
      <c r="D3640" s="28" t="s">
        <v>34867</v>
      </c>
      <c r="J3640" t="s">
        <v>9956</v>
      </c>
      <c r="K3640" t="s">
        <v>9957</v>
      </c>
      <c r="L3640" s="28" t="s">
        <v>9958</v>
      </c>
      <c r="M3640" t="s">
        <v>23</v>
      </c>
      <c r="N3640"/>
      <c r="O3640"/>
      <c r="P3640"/>
      <c r="Q3640"/>
      <c r="R3640"/>
      <c r="S3640"/>
    </row>
    <row r="3641" spans="1:19" x14ac:dyDescent="0.25">
      <c r="A3641" t="s">
        <v>193</v>
      </c>
      <c r="C3641" s="27" t="s">
        <v>34749</v>
      </c>
      <c r="D3641" s="28" t="s">
        <v>34867</v>
      </c>
      <c r="J3641" t="s">
        <v>9959</v>
      </c>
      <c r="K3641" t="s">
        <v>9960</v>
      </c>
      <c r="L3641" s="28" t="s">
        <v>9961</v>
      </c>
      <c r="M3641" t="s">
        <v>23</v>
      </c>
      <c r="N3641"/>
      <c r="O3641"/>
      <c r="P3641"/>
      <c r="Q3641"/>
      <c r="R3641"/>
      <c r="S3641"/>
    </row>
    <row r="3642" spans="1:19" x14ac:dyDescent="0.25">
      <c r="A3642" t="s">
        <v>193</v>
      </c>
      <c r="C3642" s="27" t="s">
        <v>34749</v>
      </c>
      <c r="D3642" s="28" t="s">
        <v>34867</v>
      </c>
      <c r="J3642" t="s">
        <v>9962</v>
      </c>
      <c r="K3642" t="s">
        <v>9963</v>
      </c>
      <c r="L3642" s="28" t="s">
        <v>9964</v>
      </c>
      <c r="M3642" t="s">
        <v>23</v>
      </c>
      <c r="N3642"/>
      <c r="O3642"/>
      <c r="P3642"/>
      <c r="Q3642"/>
      <c r="R3642"/>
      <c r="S3642"/>
    </row>
    <row r="3643" spans="1:19" x14ac:dyDescent="0.25">
      <c r="A3643" t="s">
        <v>193</v>
      </c>
      <c r="C3643" s="27" t="s">
        <v>34749</v>
      </c>
      <c r="D3643" s="28" t="s">
        <v>34867</v>
      </c>
      <c r="J3643" t="s">
        <v>9965</v>
      </c>
      <c r="K3643" t="s">
        <v>9966</v>
      </c>
      <c r="L3643" s="28" t="s">
        <v>9967</v>
      </c>
      <c r="M3643" t="s">
        <v>23</v>
      </c>
      <c r="N3643"/>
      <c r="O3643"/>
      <c r="P3643"/>
      <c r="Q3643"/>
      <c r="R3643"/>
      <c r="S3643"/>
    </row>
    <row r="3644" spans="1:19" x14ac:dyDescent="0.25">
      <c r="A3644" t="s">
        <v>193</v>
      </c>
      <c r="C3644" s="27" t="s">
        <v>34749</v>
      </c>
      <c r="D3644" s="28" t="s">
        <v>34867</v>
      </c>
      <c r="J3644" t="s">
        <v>9968</v>
      </c>
      <c r="K3644" t="s">
        <v>9969</v>
      </c>
      <c r="L3644" s="28" t="s">
        <v>9970</v>
      </c>
      <c r="M3644" t="s">
        <v>23</v>
      </c>
      <c r="N3644"/>
      <c r="O3644"/>
      <c r="P3644"/>
      <c r="Q3644"/>
      <c r="R3644"/>
      <c r="S3644"/>
    </row>
    <row r="3645" spans="1:19" x14ac:dyDescent="0.25">
      <c r="A3645" t="s">
        <v>193</v>
      </c>
      <c r="C3645" s="27" t="s">
        <v>34749</v>
      </c>
      <c r="D3645" s="28" t="s">
        <v>34867</v>
      </c>
      <c r="J3645" t="s">
        <v>9971</v>
      </c>
      <c r="K3645" t="s">
        <v>9972</v>
      </c>
      <c r="L3645" s="28" t="s">
        <v>9973</v>
      </c>
      <c r="M3645" t="s">
        <v>23</v>
      </c>
      <c r="N3645"/>
      <c r="O3645"/>
      <c r="P3645"/>
      <c r="Q3645"/>
      <c r="R3645"/>
      <c r="S3645"/>
    </row>
    <row r="3646" spans="1:19" x14ac:dyDescent="0.25">
      <c r="A3646" t="s">
        <v>193</v>
      </c>
      <c r="C3646" s="27" t="s">
        <v>34749</v>
      </c>
      <c r="D3646" s="28" t="s">
        <v>34867</v>
      </c>
      <c r="I3646" t="str">
        <f>CONCATENATE(LEFT(K3646,SEARCH(" (",K3646))," | ", RIGHT(LEFT(K3646,LEN(K3646)-1),LEN(K3646)-2-FIND(" (",K3646)))</f>
        <v>glycol  | monoethyleenglycol</v>
      </c>
      <c r="J3646" t="s">
        <v>9974</v>
      </c>
      <c r="K3646" t="s">
        <v>9975</v>
      </c>
      <c r="L3646" s="28" t="s">
        <v>9976</v>
      </c>
      <c r="M3646" t="s">
        <v>23</v>
      </c>
      <c r="N3646"/>
      <c r="O3646"/>
      <c r="P3646"/>
      <c r="Q3646"/>
      <c r="R3646"/>
      <c r="S3646"/>
    </row>
    <row r="3647" spans="1:19" x14ac:dyDescent="0.25">
      <c r="A3647" t="s">
        <v>193</v>
      </c>
      <c r="C3647" s="27" t="s">
        <v>34749</v>
      </c>
      <c r="D3647" s="28" t="s">
        <v>34867</v>
      </c>
      <c r="J3647" t="s">
        <v>9977</v>
      </c>
      <c r="K3647" t="s">
        <v>9978</v>
      </c>
      <c r="L3647" s="28" t="s">
        <v>9979</v>
      </c>
      <c r="M3647" t="s">
        <v>23</v>
      </c>
      <c r="N3647"/>
      <c r="O3647"/>
      <c r="P3647"/>
      <c r="Q3647"/>
      <c r="R3647"/>
      <c r="S3647"/>
    </row>
    <row r="3648" spans="1:19" x14ac:dyDescent="0.25">
      <c r="A3648" t="s">
        <v>193</v>
      </c>
      <c r="C3648" s="27" t="s">
        <v>34749</v>
      </c>
      <c r="D3648" s="28" t="s">
        <v>34867</v>
      </c>
      <c r="J3648" t="s">
        <v>9980</v>
      </c>
      <c r="K3648" t="s">
        <v>9981</v>
      </c>
      <c r="L3648" s="28" t="s">
        <v>9982</v>
      </c>
      <c r="M3648" t="s">
        <v>23</v>
      </c>
      <c r="N3648"/>
      <c r="O3648"/>
      <c r="P3648"/>
      <c r="Q3648"/>
      <c r="R3648"/>
      <c r="S3648"/>
    </row>
    <row r="3649" spans="1:19" x14ac:dyDescent="0.25">
      <c r="A3649" t="s">
        <v>193</v>
      </c>
      <c r="C3649" s="27" t="s">
        <v>34749</v>
      </c>
      <c r="D3649" s="28" t="s">
        <v>34867</v>
      </c>
      <c r="J3649" t="s">
        <v>9983</v>
      </c>
      <c r="K3649" t="s">
        <v>9984</v>
      </c>
      <c r="L3649" s="28" t="s">
        <v>9985</v>
      </c>
      <c r="M3649" t="s">
        <v>23</v>
      </c>
      <c r="N3649"/>
      <c r="O3649"/>
      <c r="P3649"/>
      <c r="Q3649"/>
      <c r="R3649"/>
      <c r="S3649"/>
    </row>
    <row r="3650" spans="1:19" x14ac:dyDescent="0.25">
      <c r="A3650" t="s">
        <v>193</v>
      </c>
      <c r="C3650" s="27" t="s">
        <v>34749</v>
      </c>
      <c r="D3650" s="28" t="s">
        <v>34867</v>
      </c>
      <c r="J3650" t="s">
        <v>9986</v>
      </c>
      <c r="K3650" t="s">
        <v>9987</v>
      </c>
      <c r="L3650" s="28" t="s">
        <v>9988</v>
      </c>
      <c r="M3650" t="s">
        <v>23</v>
      </c>
      <c r="N3650"/>
      <c r="O3650"/>
      <c r="P3650"/>
      <c r="Q3650"/>
      <c r="R3650"/>
      <c r="S3650"/>
    </row>
    <row r="3651" spans="1:19" x14ac:dyDescent="0.25">
      <c r="A3651" t="s">
        <v>193</v>
      </c>
      <c r="C3651" s="27" t="s">
        <v>34749</v>
      </c>
      <c r="D3651" s="28" t="s">
        <v>34867</v>
      </c>
      <c r="J3651" t="s">
        <v>9989</v>
      </c>
      <c r="K3651" t="s">
        <v>9990</v>
      </c>
      <c r="L3651" s="28" t="s">
        <v>9991</v>
      </c>
      <c r="M3651" t="s">
        <v>23</v>
      </c>
      <c r="N3651"/>
      <c r="O3651"/>
      <c r="P3651"/>
      <c r="Q3651"/>
      <c r="R3651"/>
      <c r="S3651"/>
    </row>
    <row r="3652" spans="1:19" x14ac:dyDescent="0.25">
      <c r="A3652" t="s">
        <v>193</v>
      </c>
      <c r="C3652" s="27" t="s">
        <v>34749</v>
      </c>
      <c r="D3652" s="28" t="s">
        <v>34867</v>
      </c>
      <c r="J3652" t="s">
        <v>9992</v>
      </c>
      <c r="K3652" t="s">
        <v>9993</v>
      </c>
      <c r="L3652" s="28" t="s">
        <v>9994</v>
      </c>
      <c r="M3652" t="s">
        <v>23</v>
      </c>
      <c r="N3652"/>
      <c r="O3652"/>
      <c r="P3652"/>
      <c r="Q3652"/>
      <c r="R3652"/>
      <c r="S3652"/>
    </row>
    <row r="3653" spans="1:19" x14ac:dyDescent="0.25">
      <c r="A3653" t="s">
        <v>193</v>
      </c>
      <c r="C3653" s="27" t="s">
        <v>34749</v>
      </c>
      <c r="D3653" s="28" t="s">
        <v>34867</v>
      </c>
      <c r="J3653" t="s">
        <v>9995</v>
      </c>
      <c r="K3653" t="s">
        <v>9996</v>
      </c>
      <c r="L3653" s="28" t="s">
        <v>9997</v>
      </c>
      <c r="M3653" t="s">
        <v>23</v>
      </c>
      <c r="N3653"/>
      <c r="O3653"/>
      <c r="P3653"/>
      <c r="Q3653"/>
      <c r="R3653"/>
      <c r="S3653"/>
    </row>
    <row r="3654" spans="1:19" x14ac:dyDescent="0.25">
      <c r="A3654" t="s">
        <v>193</v>
      </c>
      <c r="C3654" s="27" t="s">
        <v>34749</v>
      </c>
      <c r="D3654" s="28" t="s">
        <v>34867</v>
      </c>
      <c r="J3654" t="s">
        <v>9998</v>
      </c>
      <c r="K3654" t="s">
        <v>9999</v>
      </c>
      <c r="L3654" s="28" t="s">
        <v>10000</v>
      </c>
      <c r="M3654" t="s">
        <v>23</v>
      </c>
      <c r="N3654"/>
      <c r="O3654"/>
      <c r="P3654"/>
      <c r="Q3654"/>
      <c r="R3654"/>
      <c r="S3654"/>
    </row>
    <row r="3655" spans="1:19" x14ac:dyDescent="0.25">
      <c r="A3655" t="s">
        <v>193</v>
      </c>
      <c r="C3655" s="27" t="s">
        <v>34749</v>
      </c>
      <c r="D3655" s="28" t="s">
        <v>34867</v>
      </c>
      <c r="J3655" t="s">
        <v>10001</v>
      </c>
      <c r="K3655" t="s">
        <v>10002</v>
      </c>
      <c r="L3655" s="28" t="s">
        <v>10003</v>
      </c>
      <c r="M3655" t="s">
        <v>23</v>
      </c>
      <c r="N3655"/>
      <c r="O3655"/>
      <c r="P3655"/>
      <c r="Q3655"/>
      <c r="R3655"/>
      <c r="S3655"/>
    </row>
    <row r="3656" spans="1:19" x14ac:dyDescent="0.25">
      <c r="A3656" t="s">
        <v>193</v>
      </c>
      <c r="C3656" s="27" t="s">
        <v>34749</v>
      </c>
      <c r="D3656" s="28" t="s">
        <v>34867</v>
      </c>
      <c r="J3656" t="s">
        <v>10004</v>
      </c>
      <c r="K3656" t="s">
        <v>10005</v>
      </c>
      <c r="L3656" s="28" t="s">
        <v>10006</v>
      </c>
      <c r="M3656" t="s">
        <v>23</v>
      </c>
      <c r="N3656"/>
      <c r="O3656"/>
      <c r="P3656"/>
      <c r="Q3656"/>
      <c r="R3656"/>
      <c r="S3656"/>
    </row>
    <row r="3657" spans="1:19" x14ac:dyDescent="0.25">
      <c r="A3657" t="s">
        <v>193</v>
      </c>
      <c r="C3657" s="27" t="s">
        <v>34749</v>
      </c>
      <c r="D3657" s="28" t="s">
        <v>34867</v>
      </c>
      <c r="J3657" t="s">
        <v>10007</v>
      </c>
      <c r="K3657" t="s">
        <v>10008</v>
      </c>
      <c r="L3657" s="28" t="s">
        <v>10009</v>
      </c>
      <c r="M3657" t="s">
        <v>23</v>
      </c>
      <c r="N3657"/>
      <c r="O3657"/>
      <c r="P3657"/>
      <c r="Q3657"/>
      <c r="R3657"/>
      <c r="S3657"/>
    </row>
    <row r="3658" spans="1:19" x14ac:dyDescent="0.25">
      <c r="A3658" t="s">
        <v>193</v>
      </c>
      <c r="C3658" s="27" t="s">
        <v>34749</v>
      </c>
      <c r="D3658" s="28" t="s">
        <v>34867</v>
      </c>
      <c r="J3658" t="s">
        <v>10010</v>
      </c>
      <c r="K3658" t="s">
        <v>10011</v>
      </c>
      <c r="L3658" s="28" t="s">
        <v>10012</v>
      </c>
      <c r="M3658" t="s">
        <v>23</v>
      </c>
      <c r="N3658"/>
      <c r="O3658"/>
      <c r="P3658"/>
      <c r="Q3658"/>
      <c r="R3658"/>
      <c r="S3658"/>
    </row>
    <row r="3659" spans="1:19" x14ac:dyDescent="0.25">
      <c r="A3659" t="s">
        <v>193</v>
      </c>
      <c r="C3659" s="27" t="s">
        <v>34749</v>
      </c>
      <c r="D3659" s="28" t="s">
        <v>34867</v>
      </c>
      <c r="J3659" t="s">
        <v>10013</v>
      </c>
      <c r="K3659" t="s">
        <v>10014</v>
      </c>
      <c r="L3659" s="28" t="s">
        <v>10015</v>
      </c>
      <c r="M3659" t="s">
        <v>23</v>
      </c>
      <c r="N3659"/>
      <c r="O3659"/>
      <c r="P3659"/>
      <c r="Q3659"/>
      <c r="R3659"/>
      <c r="S3659"/>
    </row>
    <row r="3660" spans="1:19" x14ac:dyDescent="0.25">
      <c r="A3660" t="s">
        <v>193</v>
      </c>
      <c r="C3660" s="27" t="s">
        <v>34749</v>
      </c>
      <c r="D3660" s="28" t="s">
        <v>34867</v>
      </c>
      <c r="J3660" t="s">
        <v>10016</v>
      </c>
      <c r="K3660" t="s">
        <v>10017</v>
      </c>
      <c r="L3660" s="28" t="s">
        <v>10018</v>
      </c>
      <c r="M3660" t="s">
        <v>23</v>
      </c>
      <c r="N3660"/>
      <c r="O3660"/>
      <c r="P3660"/>
      <c r="Q3660"/>
      <c r="R3660"/>
      <c r="S3660"/>
    </row>
    <row r="3661" spans="1:19" x14ac:dyDescent="0.25">
      <c r="A3661" t="s">
        <v>193</v>
      </c>
      <c r="C3661" s="27" t="s">
        <v>34749</v>
      </c>
      <c r="D3661" s="28" t="s">
        <v>34867</v>
      </c>
      <c r="J3661" t="s">
        <v>10019</v>
      </c>
      <c r="K3661" t="s">
        <v>10020</v>
      </c>
      <c r="L3661" s="28" t="s">
        <v>10021</v>
      </c>
      <c r="M3661" t="s">
        <v>23</v>
      </c>
      <c r="N3661"/>
      <c r="O3661"/>
      <c r="P3661"/>
      <c r="Q3661"/>
      <c r="R3661"/>
      <c r="S3661"/>
    </row>
    <row r="3662" spans="1:19" x14ac:dyDescent="0.25">
      <c r="A3662" t="s">
        <v>193</v>
      </c>
      <c r="C3662" s="27" t="s">
        <v>34749</v>
      </c>
      <c r="D3662" s="28" t="s">
        <v>34867</v>
      </c>
      <c r="J3662" t="s">
        <v>10022</v>
      </c>
      <c r="K3662" t="s">
        <v>10023</v>
      </c>
      <c r="L3662" s="28" t="s">
        <v>10024</v>
      </c>
      <c r="M3662" t="s">
        <v>23</v>
      </c>
      <c r="N3662"/>
      <c r="O3662"/>
      <c r="P3662"/>
      <c r="Q3662"/>
      <c r="R3662"/>
      <c r="S3662"/>
    </row>
    <row r="3663" spans="1:19" x14ac:dyDescent="0.25">
      <c r="A3663" t="s">
        <v>193</v>
      </c>
      <c r="C3663" s="27" t="s">
        <v>34749</v>
      </c>
      <c r="D3663" s="28" t="s">
        <v>34867</v>
      </c>
      <c r="J3663" t="s">
        <v>10025</v>
      </c>
      <c r="K3663" t="s">
        <v>10026</v>
      </c>
      <c r="L3663" s="28" t="s">
        <v>10027</v>
      </c>
      <c r="M3663" t="s">
        <v>23</v>
      </c>
      <c r="N3663"/>
      <c r="O3663"/>
      <c r="P3663"/>
      <c r="Q3663"/>
      <c r="R3663"/>
      <c r="S3663"/>
    </row>
    <row r="3664" spans="1:19" x14ac:dyDescent="0.25">
      <c r="A3664" t="s">
        <v>193</v>
      </c>
      <c r="C3664" s="27" t="s">
        <v>34749</v>
      </c>
      <c r="D3664" s="28" t="s">
        <v>34867</v>
      </c>
      <c r="J3664" t="s">
        <v>10028</v>
      </c>
      <c r="K3664" t="s">
        <v>10029</v>
      </c>
      <c r="L3664" s="28" t="s">
        <v>10030</v>
      </c>
      <c r="M3664" t="s">
        <v>23</v>
      </c>
      <c r="N3664"/>
      <c r="O3664"/>
      <c r="P3664"/>
      <c r="Q3664"/>
      <c r="R3664"/>
      <c r="S3664"/>
    </row>
    <row r="3665" spans="1:19" x14ac:dyDescent="0.25">
      <c r="A3665" t="s">
        <v>193</v>
      </c>
      <c r="C3665" s="27" t="s">
        <v>34749</v>
      </c>
      <c r="D3665" s="28" t="s">
        <v>34867</v>
      </c>
      <c r="J3665" t="s">
        <v>10031</v>
      </c>
      <c r="K3665" t="s">
        <v>10032</v>
      </c>
      <c r="L3665" s="28" t="s">
        <v>10033</v>
      </c>
      <c r="M3665" t="s">
        <v>23</v>
      </c>
      <c r="N3665"/>
      <c r="O3665"/>
      <c r="P3665"/>
      <c r="Q3665"/>
      <c r="R3665"/>
      <c r="S3665"/>
    </row>
    <row r="3666" spans="1:19" x14ac:dyDescent="0.25">
      <c r="A3666" t="s">
        <v>193</v>
      </c>
      <c r="C3666" s="27" t="s">
        <v>34749</v>
      </c>
      <c r="D3666" s="28" t="s">
        <v>34867</v>
      </c>
      <c r="J3666" t="s">
        <v>10034</v>
      </c>
      <c r="K3666" t="s">
        <v>10035</v>
      </c>
      <c r="L3666" s="28" t="s">
        <v>10036</v>
      </c>
      <c r="M3666" t="s">
        <v>23</v>
      </c>
      <c r="N3666"/>
      <c r="O3666"/>
      <c r="P3666"/>
      <c r="Q3666"/>
      <c r="R3666"/>
      <c r="S3666"/>
    </row>
    <row r="3667" spans="1:19" x14ac:dyDescent="0.25">
      <c r="A3667" t="s">
        <v>193</v>
      </c>
      <c r="C3667" s="27" t="s">
        <v>34749</v>
      </c>
      <c r="D3667" s="28" t="s">
        <v>34867</v>
      </c>
      <c r="J3667" t="s">
        <v>10037</v>
      </c>
      <c r="K3667" t="s">
        <v>10038</v>
      </c>
      <c r="L3667" s="28" t="s">
        <v>10039</v>
      </c>
      <c r="M3667" t="s">
        <v>23</v>
      </c>
      <c r="N3667"/>
      <c r="O3667"/>
      <c r="P3667"/>
      <c r="Q3667"/>
      <c r="R3667"/>
      <c r="S3667"/>
    </row>
    <row r="3668" spans="1:19" x14ac:dyDescent="0.25">
      <c r="A3668" t="s">
        <v>193</v>
      </c>
      <c r="C3668" s="27" t="s">
        <v>34749</v>
      </c>
      <c r="D3668" s="28" t="s">
        <v>34867</v>
      </c>
      <c r="J3668" t="s">
        <v>10040</v>
      </c>
      <c r="K3668" t="s">
        <v>10041</v>
      </c>
      <c r="L3668" s="28" t="s">
        <v>10042</v>
      </c>
      <c r="M3668" t="s">
        <v>23</v>
      </c>
      <c r="N3668"/>
      <c r="O3668"/>
      <c r="P3668"/>
      <c r="Q3668"/>
      <c r="R3668"/>
      <c r="S3668"/>
    </row>
    <row r="3669" spans="1:19" x14ac:dyDescent="0.25">
      <c r="A3669" t="s">
        <v>193</v>
      </c>
      <c r="C3669" s="27" t="s">
        <v>34749</v>
      </c>
      <c r="D3669" s="28" t="s">
        <v>34867</v>
      </c>
      <c r="E3669" s="3"/>
      <c r="F3669" s="3"/>
      <c r="J3669" t="s">
        <v>10043</v>
      </c>
      <c r="K3669" t="s">
        <v>10044</v>
      </c>
      <c r="L3669" s="28" t="s">
        <v>10045</v>
      </c>
      <c r="M3669" t="s">
        <v>23</v>
      </c>
      <c r="N3669"/>
      <c r="O3669"/>
      <c r="P3669"/>
      <c r="Q3669"/>
      <c r="R3669"/>
      <c r="S3669"/>
    </row>
    <row r="3670" spans="1:19" x14ac:dyDescent="0.25">
      <c r="A3670" t="s">
        <v>193</v>
      </c>
      <c r="C3670" s="27" t="s">
        <v>34749</v>
      </c>
      <c r="D3670" s="28" t="s">
        <v>34867</v>
      </c>
      <c r="J3670" t="s">
        <v>10046</v>
      </c>
      <c r="K3670" t="s">
        <v>10047</v>
      </c>
      <c r="L3670" s="28" t="s">
        <v>10048</v>
      </c>
      <c r="M3670" t="s">
        <v>23</v>
      </c>
      <c r="N3670"/>
      <c r="O3670"/>
      <c r="P3670"/>
      <c r="Q3670"/>
      <c r="R3670"/>
      <c r="S3670"/>
    </row>
    <row r="3671" spans="1:19" x14ac:dyDescent="0.25">
      <c r="A3671" t="s">
        <v>193</v>
      </c>
      <c r="C3671" s="27" t="s">
        <v>34749</v>
      </c>
      <c r="D3671" s="28" t="s">
        <v>34867</v>
      </c>
      <c r="J3671" t="s">
        <v>10049</v>
      </c>
      <c r="K3671" t="s">
        <v>10050</v>
      </c>
      <c r="L3671" s="28" t="s">
        <v>10051</v>
      </c>
      <c r="M3671" t="s">
        <v>23</v>
      </c>
      <c r="N3671"/>
      <c r="O3671"/>
      <c r="P3671"/>
      <c r="Q3671"/>
      <c r="R3671"/>
      <c r="S3671"/>
    </row>
    <row r="3672" spans="1:19" x14ac:dyDescent="0.25">
      <c r="A3672" t="s">
        <v>193</v>
      </c>
      <c r="C3672" s="27" t="s">
        <v>34749</v>
      </c>
      <c r="D3672" s="28" t="s">
        <v>34867</v>
      </c>
      <c r="J3672" t="s">
        <v>10052</v>
      </c>
      <c r="K3672" t="s">
        <v>10053</v>
      </c>
      <c r="L3672" s="28" t="s">
        <v>10054</v>
      </c>
      <c r="M3672" t="s">
        <v>23</v>
      </c>
      <c r="N3672"/>
      <c r="O3672"/>
      <c r="P3672"/>
      <c r="Q3672"/>
      <c r="R3672"/>
      <c r="S3672"/>
    </row>
    <row r="3673" spans="1:19" x14ac:dyDescent="0.25">
      <c r="A3673" t="s">
        <v>193</v>
      </c>
      <c r="C3673" s="27" t="s">
        <v>34749</v>
      </c>
      <c r="D3673" s="28" t="s">
        <v>34867</v>
      </c>
      <c r="J3673" t="s">
        <v>10055</v>
      </c>
      <c r="K3673" t="s">
        <v>10056</v>
      </c>
      <c r="L3673" s="28" t="s">
        <v>10057</v>
      </c>
      <c r="M3673" t="s">
        <v>23</v>
      </c>
      <c r="N3673"/>
      <c r="O3673"/>
      <c r="P3673"/>
      <c r="Q3673"/>
      <c r="R3673"/>
      <c r="S3673"/>
    </row>
    <row r="3674" spans="1:19" x14ac:dyDescent="0.25">
      <c r="A3674" t="s">
        <v>193</v>
      </c>
      <c r="C3674" s="27" t="s">
        <v>34749</v>
      </c>
      <c r="D3674" s="28" t="s">
        <v>34867</v>
      </c>
      <c r="J3674" t="s">
        <v>10058</v>
      </c>
      <c r="K3674" t="s">
        <v>10059</v>
      </c>
      <c r="L3674" s="28" t="s">
        <v>10060</v>
      </c>
      <c r="M3674" t="s">
        <v>23</v>
      </c>
      <c r="N3674"/>
      <c r="O3674"/>
      <c r="P3674"/>
      <c r="Q3674"/>
      <c r="R3674"/>
      <c r="S3674"/>
    </row>
    <row r="3675" spans="1:19" x14ac:dyDescent="0.25">
      <c r="A3675" t="s">
        <v>193</v>
      </c>
      <c r="C3675" s="27" t="s">
        <v>34749</v>
      </c>
      <c r="D3675" s="28" t="s">
        <v>34867</v>
      </c>
      <c r="J3675" t="s">
        <v>10061</v>
      </c>
      <c r="K3675" t="s">
        <v>10062</v>
      </c>
      <c r="L3675" s="28" t="s">
        <v>10063</v>
      </c>
      <c r="M3675" t="s">
        <v>23</v>
      </c>
      <c r="N3675"/>
      <c r="O3675"/>
      <c r="P3675"/>
      <c r="Q3675"/>
      <c r="R3675"/>
      <c r="S3675"/>
    </row>
    <row r="3676" spans="1:19" x14ac:dyDescent="0.25">
      <c r="A3676" t="s">
        <v>193</v>
      </c>
      <c r="C3676" s="27" t="s">
        <v>34749</v>
      </c>
      <c r="D3676" s="28" t="s">
        <v>34867</v>
      </c>
      <c r="J3676" t="s">
        <v>10064</v>
      </c>
      <c r="K3676" t="s">
        <v>10065</v>
      </c>
      <c r="L3676" s="28" t="s">
        <v>10066</v>
      </c>
      <c r="M3676" t="s">
        <v>23</v>
      </c>
      <c r="N3676"/>
      <c r="O3676"/>
      <c r="P3676"/>
      <c r="Q3676"/>
      <c r="R3676"/>
      <c r="S3676"/>
    </row>
    <row r="3677" spans="1:19" x14ac:dyDescent="0.25">
      <c r="A3677" t="s">
        <v>193</v>
      </c>
      <c r="C3677" s="27" t="s">
        <v>34749</v>
      </c>
      <c r="D3677" s="28" t="s">
        <v>34867</v>
      </c>
      <c r="J3677" t="s">
        <v>10067</v>
      </c>
      <c r="K3677" t="s">
        <v>10068</v>
      </c>
      <c r="L3677" s="28" t="s">
        <v>10069</v>
      </c>
      <c r="M3677" t="s">
        <v>23</v>
      </c>
      <c r="N3677"/>
      <c r="O3677"/>
      <c r="P3677"/>
      <c r="Q3677"/>
      <c r="R3677"/>
      <c r="S3677"/>
    </row>
    <row r="3678" spans="1:19" x14ac:dyDescent="0.25">
      <c r="A3678" t="s">
        <v>193</v>
      </c>
      <c r="C3678" s="27" t="s">
        <v>34749</v>
      </c>
      <c r="D3678" s="28" t="s">
        <v>34867</v>
      </c>
      <c r="J3678" t="s">
        <v>10070</v>
      </c>
      <c r="K3678" t="s">
        <v>10071</v>
      </c>
      <c r="L3678" s="28" t="s">
        <v>10072</v>
      </c>
      <c r="M3678" t="s">
        <v>23</v>
      </c>
      <c r="N3678"/>
      <c r="O3678"/>
      <c r="P3678"/>
      <c r="Q3678"/>
      <c r="R3678"/>
      <c r="S3678"/>
    </row>
    <row r="3679" spans="1:19" x14ac:dyDescent="0.25">
      <c r="A3679" t="s">
        <v>193</v>
      </c>
      <c r="C3679" s="27" t="s">
        <v>34749</v>
      </c>
      <c r="D3679" s="28" t="s">
        <v>34867</v>
      </c>
      <c r="J3679" t="s">
        <v>10073</v>
      </c>
      <c r="K3679" t="s">
        <v>10074</v>
      </c>
      <c r="L3679" s="28" t="s">
        <v>10075</v>
      </c>
      <c r="M3679" t="s">
        <v>23</v>
      </c>
      <c r="N3679"/>
      <c r="O3679"/>
      <c r="P3679"/>
      <c r="Q3679"/>
      <c r="R3679"/>
      <c r="S3679"/>
    </row>
    <row r="3680" spans="1:19" x14ac:dyDescent="0.25">
      <c r="A3680" t="s">
        <v>193</v>
      </c>
      <c r="C3680" s="27" t="s">
        <v>34749</v>
      </c>
      <c r="D3680" s="28" t="s">
        <v>34867</v>
      </c>
      <c r="J3680" t="s">
        <v>10076</v>
      </c>
      <c r="K3680" t="s">
        <v>10077</v>
      </c>
      <c r="L3680" s="28" t="s">
        <v>10078</v>
      </c>
      <c r="M3680" t="s">
        <v>23</v>
      </c>
      <c r="N3680"/>
      <c r="O3680"/>
      <c r="P3680"/>
      <c r="Q3680"/>
      <c r="R3680"/>
      <c r="S3680"/>
    </row>
    <row r="3681" spans="1:19" x14ac:dyDescent="0.25">
      <c r="A3681" t="s">
        <v>193</v>
      </c>
      <c r="C3681" s="27" t="s">
        <v>34749</v>
      </c>
      <c r="D3681" s="28" t="s">
        <v>34867</v>
      </c>
      <c r="J3681" t="s">
        <v>10079</v>
      </c>
      <c r="K3681" t="s">
        <v>10080</v>
      </c>
      <c r="L3681" s="28" t="s">
        <v>10081</v>
      </c>
      <c r="M3681" t="s">
        <v>23</v>
      </c>
      <c r="N3681"/>
      <c r="O3681"/>
      <c r="P3681"/>
      <c r="Q3681"/>
      <c r="R3681"/>
      <c r="S3681"/>
    </row>
    <row r="3682" spans="1:19" x14ac:dyDescent="0.25">
      <c r="A3682" t="s">
        <v>193</v>
      </c>
      <c r="C3682" s="27" t="s">
        <v>34749</v>
      </c>
      <c r="D3682" s="28" t="s">
        <v>34867</v>
      </c>
      <c r="J3682" t="s">
        <v>10082</v>
      </c>
      <c r="K3682" t="s">
        <v>10083</v>
      </c>
      <c r="L3682" s="28" t="s">
        <v>10084</v>
      </c>
      <c r="M3682" t="s">
        <v>23</v>
      </c>
      <c r="N3682"/>
      <c r="O3682"/>
      <c r="P3682"/>
      <c r="Q3682"/>
      <c r="R3682"/>
      <c r="S3682"/>
    </row>
    <row r="3683" spans="1:19" x14ac:dyDescent="0.25">
      <c r="A3683" t="s">
        <v>193</v>
      </c>
      <c r="C3683" s="27" t="s">
        <v>34749</v>
      </c>
      <c r="D3683" s="28" t="s">
        <v>34867</v>
      </c>
      <c r="J3683" t="s">
        <v>10085</v>
      </c>
      <c r="K3683" t="s">
        <v>10086</v>
      </c>
      <c r="L3683" s="28" t="s">
        <v>10087</v>
      </c>
      <c r="M3683" t="s">
        <v>23</v>
      </c>
      <c r="N3683"/>
      <c r="O3683"/>
      <c r="P3683"/>
      <c r="Q3683"/>
      <c r="R3683"/>
      <c r="S3683"/>
    </row>
    <row r="3684" spans="1:19" x14ac:dyDescent="0.25">
      <c r="A3684" t="s">
        <v>193</v>
      </c>
      <c r="C3684" s="27" t="s">
        <v>34749</v>
      </c>
      <c r="D3684" s="28" t="s">
        <v>34867</v>
      </c>
      <c r="J3684" t="s">
        <v>10088</v>
      </c>
      <c r="K3684" t="s">
        <v>10089</v>
      </c>
      <c r="L3684" s="28" t="s">
        <v>10090</v>
      </c>
      <c r="M3684" t="s">
        <v>23</v>
      </c>
      <c r="N3684"/>
      <c r="O3684"/>
      <c r="P3684"/>
      <c r="Q3684"/>
      <c r="R3684"/>
      <c r="S3684"/>
    </row>
    <row r="3685" spans="1:19" x14ac:dyDescent="0.25">
      <c r="A3685" t="s">
        <v>193</v>
      </c>
      <c r="C3685" s="27" t="s">
        <v>34749</v>
      </c>
      <c r="D3685" s="28" t="s">
        <v>34867</v>
      </c>
      <c r="J3685" t="s">
        <v>10091</v>
      </c>
      <c r="K3685" t="s">
        <v>10092</v>
      </c>
      <c r="L3685" s="28" t="s">
        <v>10093</v>
      </c>
      <c r="M3685" t="s">
        <v>23</v>
      </c>
      <c r="N3685"/>
      <c r="O3685"/>
      <c r="P3685"/>
      <c r="Q3685"/>
      <c r="R3685"/>
      <c r="S3685"/>
    </row>
    <row r="3686" spans="1:19" x14ac:dyDescent="0.25">
      <c r="A3686" t="s">
        <v>193</v>
      </c>
      <c r="C3686" s="27" t="s">
        <v>34749</v>
      </c>
      <c r="D3686" s="28" t="s">
        <v>34867</v>
      </c>
      <c r="J3686" t="s">
        <v>10094</v>
      </c>
      <c r="K3686" t="s">
        <v>10095</v>
      </c>
      <c r="L3686" s="28" t="s">
        <v>10096</v>
      </c>
      <c r="M3686" t="s">
        <v>23</v>
      </c>
      <c r="N3686"/>
      <c r="O3686"/>
      <c r="P3686"/>
      <c r="Q3686"/>
      <c r="R3686"/>
      <c r="S3686"/>
    </row>
    <row r="3687" spans="1:19" x14ac:dyDescent="0.25">
      <c r="A3687" t="s">
        <v>193</v>
      </c>
      <c r="C3687" s="27" t="s">
        <v>34749</v>
      </c>
      <c r="D3687" s="28" t="s">
        <v>34867</v>
      </c>
      <c r="J3687" t="s">
        <v>10097</v>
      </c>
      <c r="K3687" t="s">
        <v>10098</v>
      </c>
      <c r="L3687" s="28" t="s">
        <v>10099</v>
      </c>
      <c r="M3687" t="s">
        <v>23</v>
      </c>
      <c r="N3687"/>
      <c r="O3687"/>
      <c r="P3687"/>
      <c r="Q3687"/>
      <c r="R3687"/>
      <c r="S3687"/>
    </row>
    <row r="3688" spans="1:19" x14ac:dyDescent="0.25">
      <c r="A3688" t="s">
        <v>193</v>
      </c>
      <c r="C3688" s="27" t="s">
        <v>34749</v>
      </c>
      <c r="D3688" s="28" t="s">
        <v>34867</v>
      </c>
      <c r="J3688" t="s">
        <v>10100</v>
      </c>
      <c r="K3688" t="s">
        <v>10101</v>
      </c>
      <c r="L3688" s="28" t="s">
        <v>10102</v>
      </c>
      <c r="M3688" t="s">
        <v>23</v>
      </c>
      <c r="N3688"/>
      <c r="O3688"/>
      <c r="P3688"/>
      <c r="Q3688"/>
      <c r="R3688"/>
      <c r="S3688"/>
    </row>
    <row r="3689" spans="1:19" x14ac:dyDescent="0.25">
      <c r="A3689" t="s">
        <v>193</v>
      </c>
      <c r="C3689" s="27" t="s">
        <v>34749</v>
      </c>
      <c r="D3689" s="28" t="s">
        <v>34867</v>
      </c>
      <c r="J3689" t="s">
        <v>10103</v>
      </c>
      <c r="K3689" t="s">
        <v>10104</v>
      </c>
      <c r="L3689" s="28" t="s">
        <v>10105</v>
      </c>
      <c r="M3689" t="s">
        <v>23</v>
      </c>
      <c r="N3689"/>
      <c r="O3689"/>
      <c r="P3689"/>
      <c r="Q3689"/>
      <c r="R3689"/>
      <c r="S3689"/>
    </row>
    <row r="3690" spans="1:19" x14ac:dyDescent="0.25">
      <c r="A3690" t="s">
        <v>193</v>
      </c>
      <c r="C3690" s="27" t="s">
        <v>34749</v>
      </c>
      <c r="D3690" s="28" t="s">
        <v>34867</v>
      </c>
      <c r="J3690" t="s">
        <v>10106</v>
      </c>
      <c r="K3690" t="s">
        <v>10107</v>
      </c>
      <c r="L3690" s="28" t="s">
        <v>10108</v>
      </c>
      <c r="M3690" t="s">
        <v>23</v>
      </c>
      <c r="N3690"/>
      <c r="O3690"/>
      <c r="P3690"/>
      <c r="Q3690"/>
      <c r="R3690"/>
      <c r="S3690"/>
    </row>
    <row r="3691" spans="1:19" x14ac:dyDescent="0.25">
      <c r="A3691" t="s">
        <v>193</v>
      </c>
      <c r="C3691" s="27" t="s">
        <v>34749</v>
      </c>
      <c r="D3691" s="28" t="s">
        <v>34867</v>
      </c>
      <c r="J3691" t="s">
        <v>10109</v>
      </c>
      <c r="K3691" t="s">
        <v>10110</v>
      </c>
      <c r="L3691" s="28" t="s">
        <v>10111</v>
      </c>
      <c r="M3691" t="s">
        <v>23</v>
      </c>
      <c r="N3691"/>
      <c r="O3691"/>
      <c r="P3691"/>
      <c r="Q3691"/>
      <c r="R3691"/>
      <c r="S3691"/>
    </row>
    <row r="3692" spans="1:19" x14ac:dyDescent="0.25">
      <c r="A3692" t="s">
        <v>193</v>
      </c>
      <c r="C3692" s="27" t="s">
        <v>34749</v>
      </c>
      <c r="D3692" s="28" t="s">
        <v>34867</v>
      </c>
      <c r="J3692" t="s">
        <v>10112</v>
      </c>
      <c r="K3692" t="s">
        <v>10113</v>
      </c>
      <c r="L3692" s="28" t="s">
        <v>10114</v>
      </c>
      <c r="M3692" t="s">
        <v>23</v>
      </c>
      <c r="N3692"/>
      <c r="O3692"/>
      <c r="P3692"/>
      <c r="Q3692"/>
      <c r="R3692"/>
      <c r="S3692"/>
    </row>
    <row r="3693" spans="1:19" x14ac:dyDescent="0.25">
      <c r="A3693" t="s">
        <v>193</v>
      </c>
      <c r="C3693" s="27" t="s">
        <v>34749</v>
      </c>
      <c r="D3693" s="28" t="s">
        <v>34867</v>
      </c>
      <c r="J3693" t="s">
        <v>10115</v>
      </c>
      <c r="K3693" t="s">
        <v>10116</v>
      </c>
      <c r="L3693" s="28" t="s">
        <v>10117</v>
      </c>
      <c r="M3693" t="s">
        <v>23</v>
      </c>
      <c r="N3693"/>
      <c r="O3693"/>
      <c r="P3693"/>
      <c r="Q3693"/>
      <c r="R3693"/>
      <c r="S3693"/>
    </row>
    <row r="3694" spans="1:19" x14ac:dyDescent="0.25">
      <c r="A3694" t="s">
        <v>193</v>
      </c>
      <c r="C3694" s="27" t="s">
        <v>34749</v>
      </c>
      <c r="D3694" s="28" t="s">
        <v>34867</v>
      </c>
      <c r="J3694" t="s">
        <v>10118</v>
      </c>
      <c r="K3694" t="s">
        <v>10119</v>
      </c>
      <c r="L3694" s="28" t="s">
        <v>10120</v>
      </c>
      <c r="M3694" t="s">
        <v>23</v>
      </c>
      <c r="N3694"/>
      <c r="O3694"/>
      <c r="P3694"/>
      <c r="Q3694"/>
      <c r="R3694"/>
      <c r="S3694"/>
    </row>
    <row r="3695" spans="1:19" x14ac:dyDescent="0.25">
      <c r="A3695" t="s">
        <v>193</v>
      </c>
      <c r="C3695" s="27" t="s">
        <v>34749</v>
      </c>
      <c r="D3695" s="28" t="s">
        <v>34867</v>
      </c>
      <c r="J3695" t="s">
        <v>10121</v>
      </c>
      <c r="K3695" t="s">
        <v>10122</v>
      </c>
      <c r="L3695" s="28" t="s">
        <v>10123</v>
      </c>
      <c r="M3695" t="s">
        <v>23</v>
      </c>
      <c r="N3695"/>
      <c r="O3695"/>
      <c r="P3695"/>
      <c r="Q3695"/>
      <c r="R3695"/>
      <c r="S3695"/>
    </row>
    <row r="3696" spans="1:19" x14ac:dyDescent="0.25">
      <c r="A3696" t="s">
        <v>193</v>
      </c>
      <c r="C3696" s="27" t="s">
        <v>34749</v>
      </c>
      <c r="D3696" s="28" t="s">
        <v>34867</v>
      </c>
      <c r="J3696" t="s">
        <v>10124</v>
      </c>
      <c r="K3696" t="s">
        <v>10125</v>
      </c>
      <c r="L3696" s="28" t="s">
        <v>10126</v>
      </c>
      <c r="M3696" t="s">
        <v>23</v>
      </c>
      <c r="N3696"/>
      <c r="O3696"/>
      <c r="P3696"/>
      <c r="Q3696"/>
      <c r="R3696"/>
      <c r="S3696"/>
    </row>
    <row r="3697" spans="1:19" x14ac:dyDescent="0.25">
      <c r="A3697" t="s">
        <v>193</v>
      </c>
      <c r="C3697" s="27" t="s">
        <v>34749</v>
      </c>
      <c r="D3697" s="28" t="s">
        <v>34867</v>
      </c>
      <c r="J3697" t="s">
        <v>10127</v>
      </c>
      <c r="K3697" t="s">
        <v>10128</v>
      </c>
      <c r="L3697" s="28" t="s">
        <v>10129</v>
      </c>
      <c r="M3697" t="s">
        <v>23</v>
      </c>
      <c r="N3697"/>
      <c r="O3697"/>
      <c r="P3697"/>
      <c r="Q3697"/>
      <c r="R3697"/>
      <c r="S3697"/>
    </row>
    <row r="3698" spans="1:19" x14ac:dyDescent="0.25">
      <c r="A3698" t="s">
        <v>193</v>
      </c>
      <c r="C3698" s="27" t="s">
        <v>34749</v>
      </c>
      <c r="D3698" s="28" t="s">
        <v>34867</v>
      </c>
      <c r="J3698" t="s">
        <v>10130</v>
      </c>
      <c r="K3698" t="s">
        <v>10131</v>
      </c>
      <c r="L3698" s="28" t="s">
        <v>10132</v>
      </c>
      <c r="M3698" t="s">
        <v>23</v>
      </c>
      <c r="N3698"/>
      <c r="O3698"/>
      <c r="P3698"/>
      <c r="Q3698"/>
      <c r="R3698"/>
      <c r="S3698"/>
    </row>
    <row r="3699" spans="1:19" x14ac:dyDescent="0.25">
      <c r="A3699" t="s">
        <v>193</v>
      </c>
      <c r="C3699" s="27" t="s">
        <v>34749</v>
      </c>
      <c r="D3699" s="28" t="s">
        <v>34867</v>
      </c>
      <c r="J3699" t="s">
        <v>10133</v>
      </c>
      <c r="K3699" t="s">
        <v>10134</v>
      </c>
      <c r="L3699" s="28" t="s">
        <v>10135</v>
      </c>
      <c r="M3699" t="s">
        <v>23</v>
      </c>
      <c r="N3699"/>
      <c r="O3699"/>
      <c r="P3699"/>
      <c r="Q3699"/>
      <c r="R3699"/>
      <c r="S3699"/>
    </row>
    <row r="3700" spans="1:19" x14ac:dyDescent="0.25">
      <c r="A3700" t="s">
        <v>193</v>
      </c>
      <c r="C3700" s="27" t="s">
        <v>34749</v>
      </c>
      <c r="D3700" s="28" t="s">
        <v>34867</v>
      </c>
      <c r="J3700" t="s">
        <v>10136</v>
      </c>
      <c r="K3700" t="s">
        <v>10137</v>
      </c>
      <c r="L3700" s="28" t="s">
        <v>10138</v>
      </c>
      <c r="M3700" t="s">
        <v>23</v>
      </c>
      <c r="N3700"/>
      <c r="O3700"/>
      <c r="P3700"/>
      <c r="Q3700"/>
      <c r="R3700"/>
      <c r="S3700"/>
    </row>
    <row r="3701" spans="1:19" x14ac:dyDescent="0.25">
      <c r="A3701" t="s">
        <v>193</v>
      </c>
      <c r="C3701" s="27" t="s">
        <v>34749</v>
      </c>
      <c r="D3701" s="28" t="s">
        <v>34867</v>
      </c>
      <c r="J3701" t="s">
        <v>10139</v>
      </c>
      <c r="K3701" t="s">
        <v>10140</v>
      </c>
      <c r="L3701" s="28" t="s">
        <v>10141</v>
      </c>
      <c r="M3701" t="s">
        <v>23</v>
      </c>
      <c r="N3701"/>
      <c r="O3701"/>
      <c r="P3701"/>
      <c r="Q3701"/>
      <c r="R3701"/>
      <c r="S3701"/>
    </row>
    <row r="3702" spans="1:19" x14ac:dyDescent="0.25">
      <c r="A3702" t="s">
        <v>193</v>
      </c>
      <c r="C3702" s="27" t="s">
        <v>34749</v>
      </c>
      <c r="D3702" s="28" t="s">
        <v>34867</v>
      </c>
      <c r="J3702" t="s">
        <v>10142</v>
      </c>
      <c r="K3702" t="s">
        <v>10143</v>
      </c>
      <c r="L3702" s="28" t="s">
        <v>10144</v>
      </c>
      <c r="M3702" t="s">
        <v>23</v>
      </c>
      <c r="N3702"/>
      <c r="O3702"/>
      <c r="P3702"/>
      <c r="Q3702"/>
      <c r="R3702"/>
      <c r="S3702"/>
    </row>
    <row r="3703" spans="1:19" x14ac:dyDescent="0.25">
      <c r="A3703" t="s">
        <v>193</v>
      </c>
      <c r="C3703" s="27" t="s">
        <v>34749</v>
      </c>
      <c r="D3703" s="28" t="s">
        <v>34867</v>
      </c>
      <c r="J3703" t="s">
        <v>10145</v>
      </c>
      <c r="K3703" t="s">
        <v>10146</v>
      </c>
      <c r="L3703" s="28" t="s">
        <v>10147</v>
      </c>
      <c r="M3703" t="s">
        <v>23</v>
      </c>
      <c r="N3703"/>
      <c r="O3703"/>
      <c r="P3703"/>
      <c r="Q3703"/>
      <c r="R3703"/>
      <c r="S3703"/>
    </row>
    <row r="3704" spans="1:19" x14ac:dyDescent="0.25">
      <c r="A3704" t="s">
        <v>193</v>
      </c>
      <c r="C3704" s="27" t="s">
        <v>34749</v>
      </c>
      <c r="D3704" s="28" t="s">
        <v>34867</v>
      </c>
      <c r="J3704" t="s">
        <v>10148</v>
      </c>
      <c r="K3704" t="s">
        <v>10149</v>
      </c>
      <c r="L3704" s="28" t="s">
        <v>10150</v>
      </c>
      <c r="M3704" t="s">
        <v>23</v>
      </c>
      <c r="N3704"/>
      <c r="O3704"/>
      <c r="P3704"/>
      <c r="Q3704"/>
      <c r="R3704"/>
      <c r="S3704"/>
    </row>
    <row r="3705" spans="1:19" x14ac:dyDescent="0.25">
      <c r="A3705" t="s">
        <v>193</v>
      </c>
      <c r="C3705" s="27" t="s">
        <v>34749</v>
      </c>
      <c r="D3705" s="28" t="s">
        <v>34867</v>
      </c>
      <c r="J3705" t="s">
        <v>10151</v>
      </c>
      <c r="K3705" t="s">
        <v>10152</v>
      </c>
      <c r="L3705" s="28" t="s">
        <v>10153</v>
      </c>
      <c r="M3705" t="s">
        <v>23</v>
      </c>
      <c r="N3705"/>
      <c r="O3705"/>
      <c r="P3705"/>
      <c r="Q3705"/>
      <c r="R3705"/>
      <c r="S3705"/>
    </row>
    <row r="3706" spans="1:19" x14ac:dyDescent="0.25">
      <c r="A3706" t="s">
        <v>193</v>
      </c>
      <c r="C3706" s="27" t="s">
        <v>34749</v>
      </c>
      <c r="D3706" s="28" t="s">
        <v>34867</v>
      </c>
      <c r="J3706" t="s">
        <v>10154</v>
      </c>
      <c r="K3706" t="s">
        <v>10155</v>
      </c>
      <c r="L3706" s="28" t="s">
        <v>10156</v>
      </c>
      <c r="M3706" t="s">
        <v>23</v>
      </c>
      <c r="N3706"/>
      <c r="O3706"/>
      <c r="P3706"/>
      <c r="Q3706"/>
      <c r="R3706"/>
      <c r="S3706"/>
    </row>
    <row r="3707" spans="1:19" x14ac:dyDescent="0.25">
      <c r="A3707" t="s">
        <v>193</v>
      </c>
      <c r="C3707" s="27" t="s">
        <v>34749</v>
      </c>
      <c r="D3707" s="28" t="s">
        <v>34867</v>
      </c>
      <c r="J3707" t="s">
        <v>10157</v>
      </c>
      <c r="K3707" t="s">
        <v>10158</v>
      </c>
      <c r="L3707" s="28" t="s">
        <v>10159</v>
      </c>
      <c r="M3707" t="s">
        <v>23</v>
      </c>
      <c r="N3707"/>
      <c r="O3707"/>
      <c r="P3707"/>
      <c r="Q3707"/>
      <c r="R3707"/>
      <c r="S3707"/>
    </row>
    <row r="3708" spans="1:19" x14ac:dyDescent="0.25">
      <c r="A3708" t="s">
        <v>193</v>
      </c>
      <c r="C3708" s="27" t="s">
        <v>34749</v>
      </c>
      <c r="D3708" s="28" t="s">
        <v>34867</v>
      </c>
      <c r="J3708" t="s">
        <v>10160</v>
      </c>
      <c r="K3708" t="s">
        <v>10161</v>
      </c>
      <c r="L3708" s="28" t="s">
        <v>10162</v>
      </c>
      <c r="M3708" t="s">
        <v>23</v>
      </c>
      <c r="N3708"/>
      <c r="O3708"/>
      <c r="P3708"/>
      <c r="Q3708"/>
      <c r="R3708"/>
      <c r="S3708"/>
    </row>
    <row r="3709" spans="1:19" x14ac:dyDescent="0.25">
      <c r="A3709" t="s">
        <v>193</v>
      </c>
      <c r="C3709" s="27" t="s">
        <v>34749</v>
      </c>
      <c r="D3709" s="28" t="s">
        <v>34867</v>
      </c>
      <c r="J3709" t="s">
        <v>10163</v>
      </c>
      <c r="K3709" t="s">
        <v>10164</v>
      </c>
      <c r="L3709" s="28" t="s">
        <v>10165</v>
      </c>
      <c r="M3709" t="s">
        <v>23</v>
      </c>
      <c r="N3709"/>
      <c r="O3709"/>
      <c r="P3709"/>
      <c r="Q3709"/>
      <c r="R3709"/>
      <c r="S3709"/>
    </row>
    <row r="3710" spans="1:19" x14ac:dyDescent="0.25">
      <c r="A3710" t="s">
        <v>193</v>
      </c>
      <c r="C3710" s="27" t="s">
        <v>34749</v>
      </c>
      <c r="D3710" s="28" t="s">
        <v>34867</v>
      </c>
      <c r="J3710" t="s">
        <v>10166</v>
      </c>
      <c r="K3710" t="s">
        <v>10167</v>
      </c>
      <c r="L3710" s="28" t="s">
        <v>10168</v>
      </c>
      <c r="M3710" t="s">
        <v>23</v>
      </c>
      <c r="N3710"/>
      <c r="O3710"/>
      <c r="P3710"/>
      <c r="Q3710"/>
      <c r="R3710"/>
      <c r="S3710"/>
    </row>
    <row r="3711" spans="1:19" x14ac:dyDescent="0.25">
      <c r="A3711" t="s">
        <v>193</v>
      </c>
      <c r="C3711" s="27" t="s">
        <v>34749</v>
      </c>
      <c r="D3711" s="28" t="s">
        <v>34867</v>
      </c>
      <c r="J3711" t="s">
        <v>10169</v>
      </c>
      <c r="K3711" t="s">
        <v>10170</v>
      </c>
      <c r="L3711" s="28" t="s">
        <v>10171</v>
      </c>
      <c r="M3711" t="s">
        <v>23</v>
      </c>
      <c r="N3711"/>
      <c r="O3711"/>
      <c r="P3711"/>
      <c r="Q3711"/>
      <c r="R3711"/>
      <c r="S3711"/>
    </row>
    <row r="3712" spans="1:19" x14ac:dyDescent="0.25">
      <c r="A3712" t="s">
        <v>193</v>
      </c>
      <c r="C3712" s="27" t="s">
        <v>34749</v>
      </c>
      <c r="D3712" s="28" t="s">
        <v>34867</v>
      </c>
      <c r="J3712" t="s">
        <v>10172</v>
      </c>
      <c r="K3712" t="s">
        <v>10173</v>
      </c>
      <c r="L3712" s="28" t="s">
        <v>10174</v>
      </c>
      <c r="M3712" t="s">
        <v>23</v>
      </c>
      <c r="N3712"/>
      <c r="O3712"/>
      <c r="P3712"/>
      <c r="Q3712"/>
      <c r="R3712"/>
      <c r="S3712"/>
    </row>
    <row r="3713" spans="1:19" x14ac:dyDescent="0.25">
      <c r="A3713" t="s">
        <v>193</v>
      </c>
      <c r="C3713" s="27" t="s">
        <v>34749</v>
      </c>
      <c r="D3713" s="28" t="s">
        <v>34867</v>
      </c>
      <c r="J3713" t="s">
        <v>10175</v>
      </c>
      <c r="K3713" t="s">
        <v>10176</v>
      </c>
      <c r="L3713" s="28" t="s">
        <v>10177</v>
      </c>
      <c r="M3713" t="s">
        <v>23</v>
      </c>
      <c r="N3713"/>
      <c r="O3713"/>
      <c r="P3713"/>
      <c r="Q3713"/>
      <c r="R3713"/>
      <c r="S3713"/>
    </row>
    <row r="3714" spans="1:19" x14ac:dyDescent="0.25">
      <c r="A3714" t="s">
        <v>193</v>
      </c>
      <c r="C3714" s="27" t="s">
        <v>34749</v>
      </c>
      <c r="D3714" s="28" t="s">
        <v>34867</v>
      </c>
      <c r="J3714" t="s">
        <v>10178</v>
      </c>
      <c r="K3714" t="s">
        <v>10179</v>
      </c>
      <c r="L3714" s="28" t="s">
        <v>10180</v>
      </c>
      <c r="M3714" t="s">
        <v>23</v>
      </c>
      <c r="N3714"/>
      <c r="O3714"/>
      <c r="P3714"/>
      <c r="Q3714"/>
      <c r="R3714"/>
      <c r="S3714"/>
    </row>
    <row r="3715" spans="1:19" x14ac:dyDescent="0.25">
      <c r="A3715" t="s">
        <v>193</v>
      </c>
      <c r="C3715" s="27" t="s">
        <v>34749</v>
      </c>
      <c r="D3715" s="28" t="s">
        <v>34867</v>
      </c>
      <c r="J3715" t="s">
        <v>10181</v>
      </c>
      <c r="K3715" t="s">
        <v>10182</v>
      </c>
      <c r="L3715" s="28" t="s">
        <v>10183</v>
      </c>
      <c r="M3715" t="s">
        <v>23</v>
      </c>
      <c r="N3715"/>
      <c r="O3715"/>
      <c r="P3715"/>
      <c r="Q3715"/>
      <c r="R3715"/>
      <c r="S3715"/>
    </row>
    <row r="3716" spans="1:19" x14ac:dyDescent="0.25">
      <c r="A3716" t="s">
        <v>193</v>
      </c>
      <c r="C3716" s="27" t="s">
        <v>34749</v>
      </c>
      <c r="D3716" s="28" t="s">
        <v>34867</v>
      </c>
      <c r="E3716" s="3"/>
      <c r="F3716" s="3"/>
      <c r="J3716" t="s">
        <v>10184</v>
      </c>
      <c r="K3716" t="s">
        <v>10185</v>
      </c>
      <c r="L3716" s="28" t="s">
        <v>10186</v>
      </c>
      <c r="M3716" t="s">
        <v>23</v>
      </c>
      <c r="N3716"/>
      <c r="O3716"/>
      <c r="P3716"/>
      <c r="Q3716"/>
      <c r="R3716"/>
      <c r="S3716"/>
    </row>
    <row r="3717" spans="1:19" x14ac:dyDescent="0.25">
      <c r="A3717" t="s">
        <v>193</v>
      </c>
      <c r="C3717" s="27" t="s">
        <v>34749</v>
      </c>
      <c r="D3717" s="28" t="s">
        <v>34867</v>
      </c>
      <c r="J3717" t="s">
        <v>10187</v>
      </c>
      <c r="K3717" t="s">
        <v>10188</v>
      </c>
      <c r="L3717" s="28" t="s">
        <v>10189</v>
      </c>
      <c r="M3717" t="s">
        <v>23</v>
      </c>
      <c r="N3717"/>
      <c r="O3717"/>
      <c r="P3717"/>
      <c r="Q3717"/>
      <c r="R3717"/>
      <c r="S3717"/>
    </row>
    <row r="3718" spans="1:19" x14ac:dyDescent="0.25">
      <c r="A3718" t="s">
        <v>193</v>
      </c>
      <c r="C3718" s="27" t="s">
        <v>34749</v>
      </c>
      <c r="D3718" s="28" t="s">
        <v>34867</v>
      </c>
      <c r="J3718" t="s">
        <v>10190</v>
      </c>
      <c r="K3718" t="s">
        <v>10191</v>
      </c>
      <c r="L3718" s="28" t="s">
        <v>10192</v>
      </c>
      <c r="M3718" t="s">
        <v>23</v>
      </c>
      <c r="N3718"/>
      <c r="O3718"/>
      <c r="P3718"/>
      <c r="Q3718"/>
      <c r="R3718"/>
      <c r="S3718"/>
    </row>
    <row r="3719" spans="1:19" x14ac:dyDescent="0.25">
      <c r="A3719" t="s">
        <v>193</v>
      </c>
      <c r="C3719" s="27" t="s">
        <v>34749</v>
      </c>
      <c r="D3719" s="28" t="s">
        <v>34867</v>
      </c>
      <c r="J3719" t="s">
        <v>10193</v>
      </c>
      <c r="K3719" t="s">
        <v>10194</v>
      </c>
      <c r="L3719" s="28" t="s">
        <v>10195</v>
      </c>
      <c r="M3719" t="s">
        <v>23</v>
      </c>
      <c r="N3719"/>
      <c r="O3719"/>
      <c r="P3719"/>
      <c r="Q3719"/>
      <c r="R3719"/>
      <c r="S3719"/>
    </row>
    <row r="3720" spans="1:19" x14ac:dyDescent="0.25">
      <c r="A3720" t="s">
        <v>193</v>
      </c>
      <c r="C3720" s="27" t="s">
        <v>34749</v>
      </c>
      <c r="D3720" s="28" t="s">
        <v>34867</v>
      </c>
      <c r="J3720" t="s">
        <v>10196</v>
      </c>
      <c r="K3720" t="s">
        <v>10197</v>
      </c>
      <c r="L3720" s="28" t="s">
        <v>10198</v>
      </c>
      <c r="M3720" t="s">
        <v>23</v>
      </c>
      <c r="N3720"/>
      <c r="O3720"/>
      <c r="P3720"/>
      <c r="Q3720"/>
      <c r="R3720"/>
      <c r="S3720"/>
    </row>
    <row r="3721" spans="1:19" x14ac:dyDescent="0.25">
      <c r="A3721" t="s">
        <v>193</v>
      </c>
      <c r="C3721" s="27" t="s">
        <v>34749</v>
      </c>
      <c r="D3721" s="28" t="s">
        <v>34867</v>
      </c>
      <c r="J3721" t="s">
        <v>10199</v>
      </c>
      <c r="K3721" t="s">
        <v>10200</v>
      </c>
      <c r="L3721" s="28" t="s">
        <v>10201</v>
      </c>
      <c r="M3721" t="s">
        <v>23</v>
      </c>
      <c r="N3721"/>
      <c r="O3721"/>
      <c r="P3721"/>
      <c r="Q3721"/>
      <c r="R3721"/>
      <c r="S3721"/>
    </row>
    <row r="3722" spans="1:19" x14ac:dyDescent="0.25">
      <c r="A3722" t="s">
        <v>193</v>
      </c>
      <c r="C3722" s="27" t="s">
        <v>34749</v>
      </c>
      <c r="D3722" s="28" t="s">
        <v>34867</v>
      </c>
      <c r="J3722" t="s">
        <v>10202</v>
      </c>
      <c r="K3722" t="s">
        <v>10203</v>
      </c>
      <c r="L3722" s="28" t="s">
        <v>10204</v>
      </c>
      <c r="M3722" t="s">
        <v>23</v>
      </c>
      <c r="N3722"/>
      <c r="O3722"/>
      <c r="P3722"/>
      <c r="Q3722"/>
      <c r="R3722"/>
      <c r="S3722"/>
    </row>
    <row r="3723" spans="1:19" x14ac:dyDescent="0.25">
      <c r="A3723" t="s">
        <v>193</v>
      </c>
      <c r="C3723" s="27" t="s">
        <v>34749</v>
      </c>
      <c r="D3723" s="28" t="s">
        <v>34867</v>
      </c>
      <c r="J3723" t="s">
        <v>10205</v>
      </c>
      <c r="K3723" t="s">
        <v>10206</v>
      </c>
      <c r="L3723" s="28" t="s">
        <v>10207</v>
      </c>
      <c r="M3723" t="s">
        <v>23</v>
      </c>
      <c r="N3723"/>
      <c r="O3723"/>
      <c r="P3723"/>
      <c r="Q3723"/>
      <c r="R3723"/>
      <c r="S3723"/>
    </row>
    <row r="3724" spans="1:19" x14ac:dyDescent="0.25">
      <c r="A3724" t="s">
        <v>193</v>
      </c>
      <c r="C3724" s="27" t="s">
        <v>34749</v>
      </c>
      <c r="D3724" s="28" t="s">
        <v>34867</v>
      </c>
      <c r="J3724" t="s">
        <v>10208</v>
      </c>
      <c r="K3724" t="s">
        <v>10209</v>
      </c>
      <c r="L3724" s="28" t="s">
        <v>10210</v>
      </c>
      <c r="M3724" t="s">
        <v>23</v>
      </c>
      <c r="N3724"/>
      <c r="O3724"/>
      <c r="P3724"/>
      <c r="Q3724"/>
      <c r="R3724"/>
      <c r="S3724"/>
    </row>
    <row r="3725" spans="1:19" x14ac:dyDescent="0.25">
      <c r="A3725" t="s">
        <v>193</v>
      </c>
      <c r="C3725" s="27" t="s">
        <v>34749</v>
      </c>
      <c r="D3725" s="28" t="s">
        <v>34867</v>
      </c>
      <c r="J3725" t="s">
        <v>10211</v>
      </c>
      <c r="K3725" t="s">
        <v>10212</v>
      </c>
      <c r="L3725" s="28" t="s">
        <v>10213</v>
      </c>
      <c r="M3725" t="s">
        <v>23</v>
      </c>
      <c r="N3725"/>
      <c r="O3725"/>
      <c r="P3725"/>
      <c r="Q3725"/>
      <c r="R3725"/>
      <c r="S3725"/>
    </row>
    <row r="3726" spans="1:19" x14ac:dyDescent="0.25">
      <c r="A3726" t="s">
        <v>193</v>
      </c>
      <c r="C3726" s="27" t="s">
        <v>34749</v>
      </c>
      <c r="D3726" s="28" t="s">
        <v>34867</v>
      </c>
      <c r="J3726" t="s">
        <v>10214</v>
      </c>
      <c r="K3726" t="s">
        <v>10215</v>
      </c>
      <c r="L3726" s="28" t="s">
        <v>10216</v>
      </c>
      <c r="M3726" t="s">
        <v>23</v>
      </c>
      <c r="N3726"/>
      <c r="O3726"/>
      <c r="P3726"/>
      <c r="Q3726"/>
      <c r="R3726"/>
      <c r="S3726"/>
    </row>
    <row r="3727" spans="1:19" x14ac:dyDescent="0.25">
      <c r="A3727" t="s">
        <v>193</v>
      </c>
      <c r="C3727" s="27" t="s">
        <v>34749</v>
      </c>
      <c r="D3727" s="28" t="s">
        <v>34867</v>
      </c>
      <c r="J3727" t="s">
        <v>10217</v>
      </c>
      <c r="K3727" t="s">
        <v>10218</v>
      </c>
      <c r="L3727" s="28" t="s">
        <v>10219</v>
      </c>
      <c r="M3727" t="s">
        <v>23</v>
      </c>
      <c r="N3727"/>
      <c r="O3727"/>
      <c r="P3727"/>
      <c r="Q3727"/>
      <c r="R3727"/>
      <c r="S3727"/>
    </row>
    <row r="3728" spans="1:19" x14ac:dyDescent="0.25">
      <c r="A3728" t="s">
        <v>193</v>
      </c>
      <c r="C3728" s="27" t="s">
        <v>34749</v>
      </c>
      <c r="D3728" s="28" t="s">
        <v>34867</v>
      </c>
      <c r="J3728" t="s">
        <v>10220</v>
      </c>
      <c r="K3728" t="s">
        <v>10221</v>
      </c>
      <c r="L3728" s="28" t="s">
        <v>10222</v>
      </c>
      <c r="M3728" t="s">
        <v>23</v>
      </c>
      <c r="N3728"/>
      <c r="O3728"/>
      <c r="P3728"/>
      <c r="Q3728"/>
      <c r="R3728"/>
      <c r="S3728"/>
    </row>
    <row r="3729" spans="1:19" x14ac:dyDescent="0.25">
      <c r="A3729" t="s">
        <v>193</v>
      </c>
      <c r="C3729" s="27" t="s">
        <v>34749</v>
      </c>
      <c r="D3729" s="28" t="s">
        <v>34867</v>
      </c>
      <c r="J3729" t="s">
        <v>10223</v>
      </c>
      <c r="K3729" t="s">
        <v>10224</v>
      </c>
      <c r="L3729" s="28" t="s">
        <v>10225</v>
      </c>
      <c r="M3729" t="s">
        <v>23</v>
      </c>
      <c r="N3729"/>
      <c r="O3729"/>
      <c r="P3729"/>
      <c r="Q3729"/>
      <c r="R3729"/>
      <c r="S3729"/>
    </row>
    <row r="3730" spans="1:19" x14ac:dyDescent="0.25">
      <c r="A3730" t="s">
        <v>193</v>
      </c>
      <c r="C3730" s="27" t="s">
        <v>34749</v>
      </c>
      <c r="D3730" s="28" t="s">
        <v>34867</v>
      </c>
      <c r="J3730" t="s">
        <v>10226</v>
      </c>
      <c r="K3730" t="s">
        <v>10227</v>
      </c>
      <c r="L3730" s="28" t="s">
        <v>10228</v>
      </c>
      <c r="M3730" t="s">
        <v>23</v>
      </c>
      <c r="N3730"/>
      <c r="O3730"/>
      <c r="P3730"/>
      <c r="Q3730"/>
      <c r="R3730"/>
      <c r="S3730"/>
    </row>
    <row r="3731" spans="1:19" x14ac:dyDescent="0.25">
      <c r="A3731" t="s">
        <v>193</v>
      </c>
      <c r="C3731" s="27" t="s">
        <v>34749</v>
      </c>
      <c r="D3731" s="28" t="s">
        <v>34867</v>
      </c>
      <c r="J3731" t="s">
        <v>10229</v>
      </c>
      <c r="K3731" t="s">
        <v>10230</v>
      </c>
      <c r="L3731" s="28" t="s">
        <v>10231</v>
      </c>
      <c r="M3731" t="s">
        <v>23</v>
      </c>
      <c r="N3731"/>
      <c r="O3731"/>
      <c r="P3731"/>
      <c r="Q3731"/>
      <c r="R3731"/>
      <c r="S3731"/>
    </row>
    <row r="3732" spans="1:19" x14ac:dyDescent="0.25">
      <c r="A3732" t="s">
        <v>193</v>
      </c>
      <c r="C3732" s="27" t="s">
        <v>34749</v>
      </c>
      <c r="D3732" s="28" t="s">
        <v>34867</v>
      </c>
      <c r="J3732" t="s">
        <v>10232</v>
      </c>
      <c r="K3732" t="s">
        <v>10233</v>
      </c>
      <c r="L3732" s="28" t="s">
        <v>10234</v>
      </c>
      <c r="M3732" t="s">
        <v>23</v>
      </c>
      <c r="N3732"/>
      <c r="O3732"/>
      <c r="P3732"/>
      <c r="Q3732"/>
      <c r="R3732"/>
      <c r="S3732"/>
    </row>
    <row r="3733" spans="1:19" x14ac:dyDescent="0.25">
      <c r="A3733" t="s">
        <v>193</v>
      </c>
      <c r="C3733" s="27" t="s">
        <v>34749</v>
      </c>
      <c r="D3733" s="28" t="s">
        <v>34867</v>
      </c>
      <c r="J3733" t="s">
        <v>10235</v>
      </c>
      <c r="K3733" t="s">
        <v>10236</v>
      </c>
      <c r="L3733" s="28" t="s">
        <v>10237</v>
      </c>
      <c r="M3733" t="s">
        <v>23</v>
      </c>
      <c r="N3733"/>
      <c r="O3733"/>
      <c r="P3733"/>
      <c r="Q3733"/>
      <c r="R3733"/>
      <c r="S3733"/>
    </row>
    <row r="3734" spans="1:19" x14ac:dyDescent="0.25">
      <c r="A3734" t="s">
        <v>193</v>
      </c>
      <c r="C3734" s="27" t="s">
        <v>34749</v>
      </c>
      <c r="D3734" s="28" t="s">
        <v>34867</v>
      </c>
      <c r="J3734" t="s">
        <v>10238</v>
      </c>
      <c r="K3734" t="s">
        <v>10239</v>
      </c>
      <c r="L3734" s="28" t="s">
        <v>10240</v>
      </c>
      <c r="M3734" t="s">
        <v>23</v>
      </c>
      <c r="N3734"/>
      <c r="O3734"/>
      <c r="P3734"/>
      <c r="Q3734"/>
      <c r="R3734"/>
      <c r="S3734"/>
    </row>
    <row r="3735" spans="1:19" x14ac:dyDescent="0.25">
      <c r="A3735" t="s">
        <v>193</v>
      </c>
      <c r="C3735" s="27" t="s">
        <v>34749</v>
      </c>
      <c r="D3735" s="28" t="s">
        <v>34867</v>
      </c>
      <c r="J3735" t="s">
        <v>10241</v>
      </c>
      <c r="K3735" t="s">
        <v>10242</v>
      </c>
      <c r="L3735" s="28" t="s">
        <v>10243</v>
      </c>
      <c r="M3735" t="s">
        <v>23</v>
      </c>
      <c r="N3735"/>
      <c r="O3735"/>
      <c r="P3735"/>
      <c r="Q3735"/>
      <c r="R3735"/>
      <c r="S3735"/>
    </row>
    <row r="3736" spans="1:19" x14ac:dyDescent="0.25">
      <c r="A3736" t="s">
        <v>193</v>
      </c>
      <c r="C3736" s="27" t="s">
        <v>34749</v>
      </c>
      <c r="D3736" s="28" t="s">
        <v>34867</v>
      </c>
      <c r="J3736" t="s">
        <v>10244</v>
      </c>
      <c r="K3736" t="s">
        <v>10245</v>
      </c>
      <c r="L3736" s="28" t="s">
        <v>10246</v>
      </c>
      <c r="M3736" t="s">
        <v>23</v>
      </c>
      <c r="N3736"/>
      <c r="O3736"/>
      <c r="P3736"/>
      <c r="Q3736"/>
      <c r="R3736"/>
      <c r="S3736"/>
    </row>
    <row r="3737" spans="1:19" x14ac:dyDescent="0.25">
      <c r="A3737" t="s">
        <v>193</v>
      </c>
      <c r="C3737" s="27" t="s">
        <v>34749</v>
      </c>
      <c r="D3737" s="28" t="s">
        <v>34867</v>
      </c>
      <c r="J3737" t="s">
        <v>10247</v>
      </c>
      <c r="K3737" t="s">
        <v>10248</v>
      </c>
      <c r="L3737" s="28" t="s">
        <v>10249</v>
      </c>
      <c r="M3737" t="s">
        <v>23</v>
      </c>
      <c r="N3737"/>
      <c r="O3737"/>
      <c r="P3737"/>
      <c r="Q3737"/>
      <c r="R3737"/>
      <c r="S3737"/>
    </row>
    <row r="3738" spans="1:19" x14ac:dyDescent="0.25">
      <c r="A3738" t="s">
        <v>193</v>
      </c>
      <c r="C3738" s="27" t="s">
        <v>34749</v>
      </c>
      <c r="D3738" s="28" t="s">
        <v>34867</v>
      </c>
      <c r="J3738" t="s">
        <v>10250</v>
      </c>
      <c r="K3738" t="s">
        <v>10251</v>
      </c>
      <c r="L3738" s="28" t="s">
        <v>10252</v>
      </c>
      <c r="M3738" t="s">
        <v>23</v>
      </c>
      <c r="N3738"/>
      <c r="O3738"/>
      <c r="P3738"/>
      <c r="Q3738"/>
      <c r="R3738"/>
      <c r="S3738"/>
    </row>
    <row r="3739" spans="1:19" x14ac:dyDescent="0.25">
      <c r="A3739" t="s">
        <v>193</v>
      </c>
      <c r="C3739" s="27" t="s">
        <v>34749</v>
      </c>
      <c r="D3739" s="28" t="s">
        <v>34867</v>
      </c>
      <c r="J3739" t="s">
        <v>10253</v>
      </c>
      <c r="K3739" t="s">
        <v>10254</v>
      </c>
      <c r="L3739" s="28" t="s">
        <v>10255</v>
      </c>
      <c r="M3739" t="s">
        <v>23</v>
      </c>
      <c r="N3739"/>
      <c r="O3739"/>
      <c r="P3739"/>
      <c r="Q3739"/>
      <c r="R3739"/>
      <c r="S3739"/>
    </row>
    <row r="3740" spans="1:19" x14ac:dyDescent="0.25">
      <c r="A3740" t="s">
        <v>193</v>
      </c>
      <c r="C3740" s="27" t="s">
        <v>34749</v>
      </c>
      <c r="D3740" s="28" t="s">
        <v>34867</v>
      </c>
      <c r="J3740" t="s">
        <v>10256</v>
      </c>
      <c r="K3740" t="s">
        <v>10257</v>
      </c>
      <c r="L3740" s="28" t="s">
        <v>10258</v>
      </c>
      <c r="M3740" t="s">
        <v>23</v>
      </c>
      <c r="N3740"/>
      <c r="O3740"/>
      <c r="P3740"/>
      <c r="Q3740"/>
      <c r="R3740"/>
      <c r="S3740"/>
    </row>
    <row r="3741" spans="1:19" x14ac:dyDescent="0.25">
      <c r="A3741" t="s">
        <v>193</v>
      </c>
      <c r="C3741" s="27" t="s">
        <v>34749</v>
      </c>
      <c r="D3741" s="28" t="s">
        <v>34867</v>
      </c>
      <c r="J3741" t="s">
        <v>10259</v>
      </c>
      <c r="K3741" t="s">
        <v>10260</v>
      </c>
      <c r="L3741" s="28" t="s">
        <v>10261</v>
      </c>
      <c r="M3741" t="s">
        <v>23</v>
      </c>
      <c r="N3741"/>
      <c r="O3741"/>
      <c r="P3741"/>
      <c r="Q3741"/>
      <c r="R3741"/>
      <c r="S3741"/>
    </row>
    <row r="3742" spans="1:19" x14ac:dyDescent="0.25">
      <c r="A3742" t="s">
        <v>193</v>
      </c>
      <c r="C3742" s="27" t="s">
        <v>34749</v>
      </c>
      <c r="D3742" s="28" t="s">
        <v>34867</v>
      </c>
      <c r="J3742" t="s">
        <v>10262</v>
      </c>
      <c r="K3742" t="s">
        <v>10263</v>
      </c>
      <c r="L3742" s="28" t="s">
        <v>10264</v>
      </c>
      <c r="M3742" t="s">
        <v>23</v>
      </c>
      <c r="N3742"/>
      <c r="O3742"/>
      <c r="P3742"/>
      <c r="Q3742"/>
      <c r="R3742"/>
      <c r="S3742"/>
    </row>
    <row r="3743" spans="1:19" x14ac:dyDescent="0.25">
      <c r="A3743" t="s">
        <v>193</v>
      </c>
      <c r="C3743" s="27" t="s">
        <v>34749</v>
      </c>
      <c r="D3743" s="28" t="s">
        <v>34867</v>
      </c>
      <c r="J3743" t="s">
        <v>10265</v>
      </c>
      <c r="K3743" t="s">
        <v>10266</v>
      </c>
      <c r="L3743" s="28" t="s">
        <v>10267</v>
      </c>
      <c r="M3743" t="s">
        <v>23</v>
      </c>
      <c r="N3743"/>
      <c r="O3743"/>
      <c r="P3743"/>
      <c r="Q3743"/>
      <c r="R3743"/>
      <c r="S3743"/>
    </row>
    <row r="3744" spans="1:19" x14ac:dyDescent="0.25">
      <c r="A3744" t="s">
        <v>193</v>
      </c>
      <c r="C3744" s="27" t="s">
        <v>34749</v>
      </c>
      <c r="D3744" s="28" t="s">
        <v>34867</v>
      </c>
      <c r="J3744" t="s">
        <v>10268</v>
      </c>
      <c r="K3744" t="s">
        <v>10269</v>
      </c>
      <c r="L3744" s="28" t="s">
        <v>10270</v>
      </c>
      <c r="M3744" t="s">
        <v>23</v>
      </c>
      <c r="N3744"/>
      <c r="O3744"/>
      <c r="P3744"/>
      <c r="Q3744"/>
      <c r="R3744"/>
      <c r="S3744"/>
    </row>
    <row r="3745" spans="1:19" x14ac:dyDescent="0.25">
      <c r="A3745" t="s">
        <v>193</v>
      </c>
      <c r="C3745" s="27" t="s">
        <v>34749</v>
      </c>
      <c r="D3745" s="28" t="s">
        <v>34867</v>
      </c>
      <c r="J3745" t="s">
        <v>10271</v>
      </c>
      <c r="K3745" t="s">
        <v>10272</v>
      </c>
      <c r="L3745" s="28" t="s">
        <v>10273</v>
      </c>
      <c r="M3745" t="s">
        <v>23</v>
      </c>
      <c r="N3745"/>
      <c r="O3745"/>
      <c r="P3745"/>
      <c r="Q3745"/>
      <c r="R3745"/>
      <c r="S3745"/>
    </row>
    <row r="3746" spans="1:19" x14ac:dyDescent="0.25">
      <c r="A3746" t="s">
        <v>193</v>
      </c>
      <c r="C3746" s="27" t="s">
        <v>34749</v>
      </c>
      <c r="D3746" s="28" t="s">
        <v>34867</v>
      </c>
      <c r="J3746" t="s">
        <v>10274</v>
      </c>
      <c r="K3746" t="s">
        <v>10275</v>
      </c>
      <c r="L3746" s="28" t="s">
        <v>10276</v>
      </c>
      <c r="M3746" t="s">
        <v>23</v>
      </c>
      <c r="N3746"/>
      <c r="O3746"/>
      <c r="P3746"/>
      <c r="Q3746"/>
      <c r="R3746"/>
      <c r="S3746"/>
    </row>
    <row r="3747" spans="1:19" x14ac:dyDescent="0.25">
      <c r="A3747" t="s">
        <v>193</v>
      </c>
      <c r="C3747" s="27" t="s">
        <v>34749</v>
      </c>
      <c r="D3747" s="28" t="s">
        <v>34867</v>
      </c>
      <c r="J3747" t="s">
        <v>10277</v>
      </c>
      <c r="K3747" t="s">
        <v>10278</v>
      </c>
      <c r="L3747" s="28" t="s">
        <v>10279</v>
      </c>
      <c r="M3747" t="s">
        <v>23</v>
      </c>
      <c r="N3747"/>
      <c r="O3747"/>
      <c r="P3747"/>
      <c r="Q3747"/>
      <c r="R3747"/>
      <c r="S3747"/>
    </row>
    <row r="3748" spans="1:19" x14ac:dyDescent="0.25">
      <c r="A3748" t="s">
        <v>193</v>
      </c>
      <c r="C3748" s="27" t="s">
        <v>34749</v>
      </c>
      <c r="D3748" s="28" t="s">
        <v>34867</v>
      </c>
      <c r="J3748" t="s">
        <v>10280</v>
      </c>
      <c r="K3748" t="s">
        <v>10281</v>
      </c>
      <c r="L3748" s="28" t="s">
        <v>10282</v>
      </c>
      <c r="M3748" t="s">
        <v>23</v>
      </c>
      <c r="N3748"/>
      <c r="O3748"/>
      <c r="P3748"/>
      <c r="Q3748"/>
      <c r="R3748"/>
      <c r="S3748"/>
    </row>
    <row r="3749" spans="1:19" x14ac:dyDescent="0.25">
      <c r="A3749" t="s">
        <v>193</v>
      </c>
      <c r="C3749" s="27" t="s">
        <v>34749</v>
      </c>
      <c r="D3749" s="28" t="s">
        <v>34867</v>
      </c>
      <c r="J3749" t="s">
        <v>10283</v>
      </c>
      <c r="K3749" t="s">
        <v>10284</v>
      </c>
      <c r="L3749" s="28" t="s">
        <v>10285</v>
      </c>
      <c r="M3749" t="s">
        <v>23</v>
      </c>
      <c r="N3749"/>
      <c r="O3749"/>
      <c r="P3749"/>
      <c r="Q3749"/>
      <c r="R3749"/>
      <c r="S3749"/>
    </row>
    <row r="3750" spans="1:19" x14ac:dyDescent="0.25">
      <c r="A3750" t="s">
        <v>193</v>
      </c>
      <c r="C3750" s="27" t="s">
        <v>34749</v>
      </c>
      <c r="D3750" s="28" t="s">
        <v>34867</v>
      </c>
      <c r="J3750" t="s">
        <v>10286</v>
      </c>
      <c r="K3750" t="s">
        <v>10287</v>
      </c>
      <c r="L3750" s="28" t="s">
        <v>10288</v>
      </c>
      <c r="M3750" t="s">
        <v>23</v>
      </c>
      <c r="N3750"/>
      <c r="O3750"/>
      <c r="P3750"/>
      <c r="Q3750"/>
      <c r="R3750"/>
      <c r="S3750"/>
    </row>
    <row r="3751" spans="1:19" x14ac:dyDescent="0.25">
      <c r="A3751" t="s">
        <v>193</v>
      </c>
      <c r="C3751" s="27" t="s">
        <v>34749</v>
      </c>
      <c r="D3751" s="28" t="s">
        <v>34867</v>
      </c>
      <c r="J3751" t="s">
        <v>10289</v>
      </c>
      <c r="K3751" t="s">
        <v>10290</v>
      </c>
      <c r="L3751" s="28" t="s">
        <v>10291</v>
      </c>
      <c r="M3751" t="s">
        <v>23</v>
      </c>
      <c r="N3751"/>
      <c r="O3751"/>
      <c r="P3751"/>
      <c r="Q3751"/>
      <c r="R3751"/>
      <c r="S3751"/>
    </row>
    <row r="3752" spans="1:19" x14ac:dyDescent="0.25">
      <c r="A3752" s="27" t="s">
        <v>193</v>
      </c>
      <c r="J3752" t="s">
        <v>10292</v>
      </c>
      <c r="K3752" t="s">
        <v>10293</v>
      </c>
      <c r="M3752" t="s">
        <v>23</v>
      </c>
      <c r="N3752"/>
      <c r="O3752"/>
      <c r="P3752"/>
      <c r="Q3752"/>
      <c r="R3752"/>
      <c r="S3752"/>
    </row>
    <row r="3753" spans="1:19" x14ac:dyDescent="0.25">
      <c r="A3753" s="27" t="s">
        <v>193</v>
      </c>
      <c r="J3753" t="s">
        <v>10294</v>
      </c>
      <c r="K3753" t="s">
        <v>10295</v>
      </c>
      <c r="M3753" t="s">
        <v>23</v>
      </c>
      <c r="N3753"/>
      <c r="O3753"/>
      <c r="P3753"/>
      <c r="Q3753"/>
      <c r="R3753"/>
      <c r="S3753"/>
    </row>
    <row r="3754" spans="1:19" x14ac:dyDescent="0.25">
      <c r="A3754" t="s">
        <v>193</v>
      </c>
      <c r="C3754" s="27" t="s">
        <v>34749</v>
      </c>
      <c r="D3754" s="28" t="s">
        <v>34867</v>
      </c>
      <c r="J3754" t="s">
        <v>10296</v>
      </c>
      <c r="K3754" t="s">
        <v>10297</v>
      </c>
      <c r="L3754" s="28" t="s">
        <v>10298</v>
      </c>
      <c r="M3754" t="s">
        <v>23</v>
      </c>
      <c r="N3754"/>
      <c r="O3754"/>
      <c r="P3754"/>
      <c r="Q3754"/>
      <c r="R3754"/>
      <c r="S3754"/>
    </row>
    <row r="3755" spans="1:19" x14ac:dyDescent="0.25">
      <c r="A3755" t="s">
        <v>193</v>
      </c>
      <c r="C3755" s="27" t="s">
        <v>34749</v>
      </c>
      <c r="D3755" s="28" t="s">
        <v>34867</v>
      </c>
      <c r="J3755" t="s">
        <v>10299</v>
      </c>
      <c r="K3755" t="s">
        <v>10300</v>
      </c>
      <c r="L3755" s="28" t="s">
        <v>10301</v>
      </c>
      <c r="M3755" t="s">
        <v>23</v>
      </c>
      <c r="N3755"/>
      <c r="O3755"/>
      <c r="P3755"/>
      <c r="Q3755"/>
      <c r="R3755"/>
      <c r="S3755"/>
    </row>
    <row r="3756" spans="1:19" x14ac:dyDescent="0.25">
      <c r="A3756" t="s">
        <v>193</v>
      </c>
      <c r="C3756" s="27" t="s">
        <v>34749</v>
      </c>
      <c r="D3756" s="28" t="s">
        <v>34867</v>
      </c>
      <c r="J3756" t="s">
        <v>10302</v>
      </c>
      <c r="K3756" t="s">
        <v>10303</v>
      </c>
      <c r="L3756" s="28" t="s">
        <v>10304</v>
      </c>
      <c r="M3756" t="s">
        <v>23</v>
      </c>
      <c r="N3756"/>
      <c r="O3756"/>
      <c r="P3756"/>
      <c r="Q3756"/>
      <c r="R3756"/>
      <c r="S3756"/>
    </row>
    <row r="3757" spans="1:19" x14ac:dyDescent="0.25">
      <c r="A3757" t="s">
        <v>193</v>
      </c>
      <c r="C3757" s="27" t="s">
        <v>34749</v>
      </c>
      <c r="D3757" s="28" t="s">
        <v>34867</v>
      </c>
      <c r="J3757" t="s">
        <v>10305</v>
      </c>
      <c r="K3757" t="s">
        <v>10306</v>
      </c>
      <c r="L3757" s="28" t="s">
        <v>10307</v>
      </c>
      <c r="M3757" t="s">
        <v>23</v>
      </c>
      <c r="N3757"/>
      <c r="O3757"/>
      <c r="P3757"/>
      <c r="Q3757"/>
      <c r="R3757"/>
      <c r="S3757"/>
    </row>
    <row r="3758" spans="1:19" x14ac:dyDescent="0.25">
      <c r="A3758" t="s">
        <v>193</v>
      </c>
      <c r="C3758" s="27" t="s">
        <v>34749</v>
      </c>
      <c r="D3758" s="28" t="s">
        <v>34867</v>
      </c>
      <c r="J3758" t="s">
        <v>10308</v>
      </c>
      <c r="K3758" t="s">
        <v>10309</v>
      </c>
      <c r="L3758" s="28" t="s">
        <v>10310</v>
      </c>
      <c r="M3758" t="s">
        <v>23</v>
      </c>
      <c r="N3758"/>
      <c r="O3758"/>
      <c r="P3758"/>
      <c r="Q3758"/>
      <c r="R3758"/>
      <c r="S3758"/>
    </row>
    <row r="3759" spans="1:19" x14ac:dyDescent="0.25">
      <c r="A3759" t="s">
        <v>193</v>
      </c>
      <c r="C3759" s="27" t="s">
        <v>34749</v>
      </c>
      <c r="D3759" s="28" t="s">
        <v>34867</v>
      </c>
      <c r="J3759" t="s">
        <v>10311</v>
      </c>
      <c r="K3759" t="s">
        <v>10312</v>
      </c>
      <c r="L3759" s="28" t="s">
        <v>10313</v>
      </c>
      <c r="M3759" t="s">
        <v>23</v>
      </c>
      <c r="N3759"/>
      <c r="O3759"/>
      <c r="P3759"/>
      <c r="Q3759"/>
      <c r="R3759"/>
      <c r="S3759"/>
    </row>
    <row r="3760" spans="1:19" x14ac:dyDescent="0.25">
      <c r="A3760" t="s">
        <v>193</v>
      </c>
      <c r="C3760" s="27" t="s">
        <v>34749</v>
      </c>
      <c r="D3760" s="28" t="s">
        <v>34867</v>
      </c>
      <c r="J3760" t="s">
        <v>10314</v>
      </c>
      <c r="K3760" t="s">
        <v>10315</v>
      </c>
      <c r="L3760" s="28" t="s">
        <v>10316</v>
      </c>
      <c r="M3760" t="s">
        <v>23</v>
      </c>
      <c r="N3760"/>
      <c r="O3760"/>
      <c r="P3760"/>
      <c r="Q3760"/>
      <c r="R3760"/>
      <c r="S3760"/>
    </row>
    <row r="3761" spans="1:19" x14ac:dyDescent="0.25">
      <c r="A3761" t="s">
        <v>193</v>
      </c>
      <c r="C3761" s="27" t="s">
        <v>34749</v>
      </c>
      <c r="D3761" s="28" t="s">
        <v>34867</v>
      </c>
      <c r="J3761" t="s">
        <v>10317</v>
      </c>
      <c r="K3761" t="s">
        <v>10318</v>
      </c>
      <c r="L3761" s="28" t="s">
        <v>10319</v>
      </c>
      <c r="M3761" t="s">
        <v>23</v>
      </c>
      <c r="N3761"/>
      <c r="O3761"/>
      <c r="P3761"/>
      <c r="Q3761"/>
      <c r="R3761"/>
      <c r="S3761"/>
    </row>
    <row r="3762" spans="1:19" x14ac:dyDescent="0.25">
      <c r="A3762" t="s">
        <v>193</v>
      </c>
      <c r="C3762" s="27" t="s">
        <v>34749</v>
      </c>
      <c r="D3762" s="28" t="s">
        <v>34867</v>
      </c>
      <c r="J3762" t="s">
        <v>10320</v>
      </c>
      <c r="K3762" t="s">
        <v>10321</v>
      </c>
      <c r="L3762" s="28" t="s">
        <v>10322</v>
      </c>
      <c r="M3762" t="s">
        <v>23</v>
      </c>
      <c r="N3762"/>
      <c r="O3762"/>
      <c r="P3762"/>
      <c r="Q3762"/>
      <c r="R3762"/>
      <c r="S3762"/>
    </row>
    <row r="3763" spans="1:19" x14ac:dyDescent="0.25">
      <c r="A3763" t="s">
        <v>193</v>
      </c>
      <c r="C3763" s="27" t="s">
        <v>34749</v>
      </c>
      <c r="D3763" s="28" t="s">
        <v>34867</v>
      </c>
      <c r="J3763" t="s">
        <v>10323</v>
      </c>
      <c r="K3763" t="s">
        <v>10324</v>
      </c>
      <c r="L3763" s="28" t="s">
        <v>10325</v>
      </c>
      <c r="M3763" t="s">
        <v>23</v>
      </c>
      <c r="N3763"/>
      <c r="O3763"/>
      <c r="P3763"/>
      <c r="Q3763"/>
      <c r="R3763"/>
      <c r="S3763"/>
    </row>
    <row r="3764" spans="1:19" x14ac:dyDescent="0.25">
      <c r="A3764" t="s">
        <v>193</v>
      </c>
      <c r="C3764" s="27" t="s">
        <v>34749</v>
      </c>
      <c r="D3764" s="28" t="s">
        <v>34867</v>
      </c>
      <c r="J3764" t="s">
        <v>10326</v>
      </c>
      <c r="K3764" t="s">
        <v>10327</v>
      </c>
      <c r="L3764" s="28" t="s">
        <v>10328</v>
      </c>
      <c r="M3764" t="s">
        <v>23</v>
      </c>
      <c r="N3764"/>
      <c r="O3764"/>
      <c r="P3764"/>
      <c r="Q3764"/>
      <c r="R3764"/>
      <c r="S3764"/>
    </row>
    <row r="3765" spans="1:19" x14ac:dyDescent="0.25">
      <c r="A3765" t="s">
        <v>193</v>
      </c>
      <c r="C3765" s="27" t="s">
        <v>34749</v>
      </c>
      <c r="D3765" s="28" t="s">
        <v>34867</v>
      </c>
      <c r="J3765" t="s">
        <v>10329</v>
      </c>
      <c r="K3765" t="s">
        <v>10330</v>
      </c>
      <c r="L3765" s="28" t="s">
        <v>10331</v>
      </c>
      <c r="M3765" t="s">
        <v>23</v>
      </c>
      <c r="N3765"/>
      <c r="O3765"/>
      <c r="P3765"/>
      <c r="Q3765"/>
      <c r="R3765"/>
      <c r="S3765"/>
    </row>
    <row r="3766" spans="1:19" x14ac:dyDescent="0.25">
      <c r="A3766" t="s">
        <v>193</v>
      </c>
      <c r="C3766" s="27" t="s">
        <v>34749</v>
      </c>
      <c r="D3766" s="28" t="s">
        <v>34867</v>
      </c>
      <c r="J3766" t="s">
        <v>10332</v>
      </c>
      <c r="K3766" t="s">
        <v>10333</v>
      </c>
      <c r="L3766" s="28" t="s">
        <v>10334</v>
      </c>
      <c r="M3766" t="s">
        <v>23</v>
      </c>
      <c r="N3766"/>
      <c r="O3766"/>
      <c r="P3766"/>
      <c r="Q3766"/>
      <c r="R3766"/>
      <c r="S3766"/>
    </row>
    <row r="3767" spans="1:19" x14ac:dyDescent="0.25">
      <c r="A3767" t="s">
        <v>193</v>
      </c>
      <c r="C3767" s="27" t="s">
        <v>34749</v>
      </c>
      <c r="D3767" s="28" t="s">
        <v>34867</v>
      </c>
      <c r="J3767" t="s">
        <v>10335</v>
      </c>
      <c r="K3767" t="s">
        <v>10336</v>
      </c>
      <c r="L3767" s="28" t="s">
        <v>10337</v>
      </c>
      <c r="M3767" t="s">
        <v>23</v>
      </c>
      <c r="N3767"/>
      <c r="O3767"/>
      <c r="P3767"/>
      <c r="Q3767"/>
      <c r="R3767"/>
      <c r="S3767"/>
    </row>
    <row r="3768" spans="1:19" x14ac:dyDescent="0.25">
      <c r="A3768" t="s">
        <v>193</v>
      </c>
      <c r="C3768" s="27" t="s">
        <v>34749</v>
      </c>
      <c r="D3768" s="28" t="s">
        <v>34867</v>
      </c>
      <c r="J3768" t="s">
        <v>10338</v>
      </c>
      <c r="K3768" t="s">
        <v>10339</v>
      </c>
      <c r="L3768" s="28" t="s">
        <v>10340</v>
      </c>
      <c r="M3768" t="s">
        <v>23</v>
      </c>
      <c r="N3768"/>
      <c r="O3768"/>
      <c r="P3768"/>
      <c r="Q3768"/>
      <c r="R3768"/>
      <c r="S3768"/>
    </row>
    <row r="3769" spans="1:19" x14ac:dyDescent="0.25">
      <c r="A3769" t="s">
        <v>193</v>
      </c>
      <c r="C3769" s="27" t="s">
        <v>34749</v>
      </c>
      <c r="D3769" s="28" t="s">
        <v>34867</v>
      </c>
      <c r="J3769" t="s">
        <v>10341</v>
      </c>
      <c r="K3769" t="s">
        <v>10342</v>
      </c>
      <c r="L3769" s="28" t="s">
        <v>10343</v>
      </c>
      <c r="M3769" t="s">
        <v>23</v>
      </c>
      <c r="N3769"/>
      <c r="O3769"/>
      <c r="P3769"/>
      <c r="Q3769"/>
      <c r="R3769"/>
      <c r="S3769"/>
    </row>
    <row r="3770" spans="1:19" x14ac:dyDescent="0.25">
      <c r="A3770" t="s">
        <v>193</v>
      </c>
      <c r="C3770" s="27" t="s">
        <v>34749</v>
      </c>
      <c r="D3770" s="28" t="s">
        <v>34867</v>
      </c>
      <c r="J3770" t="s">
        <v>10344</v>
      </c>
      <c r="K3770" t="s">
        <v>10345</v>
      </c>
      <c r="L3770" s="28" t="s">
        <v>10346</v>
      </c>
      <c r="M3770" t="s">
        <v>23</v>
      </c>
      <c r="N3770"/>
      <c r="O3770"/>
      <c r="P3770"/>
      <c r="Q3770"/>
      <c r="R3770"/>
      <c r="S3770"/>
    </row>
    <row r="3771" spans="1:19" x14ac:dyDescent="0.25">
      <c r="A3771" t="s">
        <v>193</v>
      </c>
      <c r="C3771" s="27" t="s">
        <v>34749</v>
      </c>
      <c r="D3771" s="28" t="s">
        <v>34867</v>
      </c>
      <c r="J3771" t="s">
        <v>10347</v>
      </c>
      <c r="K3771" t="s">
        <v>10348</v>
      </c>
      <c r="L3771" s="28" t="s">
        <v>10349</v>
      </c>
      <c r="M3771" t="s">
        <v>23</v>
      </c>
      <c r="N3771"/>
      <c r="O3771"/>
      <c r="P3771"/>
      <c r="Q3771"/>
      <c r="R3771"/>
      <c r="S3771"/>
    </row>
    <row r="3772" spans="1:19" x14ac:dyDescent="0.25">
      <c r="A3772" t="s">
        <v>193</v>
      </c>
      <c r="C3772" s="27" t="s">
        <v>34749</v>
      </c>
      <c r="D3772" s="28" t="s">
        <v>34867</v>
      </c>
      <c r="J3772" t="s">
        <v>10350</v>
      </c>
      <c r="K3772" t="s">
        <v>10351</v>
      </c>
      <c r="L3772" s="28" t="s">
        <v>10352</v>
      </c>
      <c r="M3772" t="s">
        <v>23</v>
      </c>
      <c r="N3772"/>
      <c r="O3772"/>
      <c r="P3772"/>
      <c r="Q3772"/>
      <c r="R3772"/>
      <c r="S3772"/>
    </row>
    <row r="3773" spans="1:19" x14ac:dyDescent="0.25">
      <c r="A3773" t="s">
        <v>193</v>
      </c>
      <c r="C3773" s="27" t="s">
        <v>34749</v>
      </c>
      <c r="D3773" s="28" t="s">
        <v>34867</v>
      </c>
      <c r="J3773" t="s">
        <v>10353</v>
      </c>
      <c r="K3773" t="s">
        <v>10354</v>
      </c>
      <c r="L3773" s="28" t="s">
        <v>10355</v>
      </c>
      <c r="M3773" t="s">
        <v>23</v>
      </c>
      <c r="N3773"/>
      <c r="O3773"/>
      <c r="P3773"/>
      <c r="Q3773"/>
      <c r="R3773"/>
      <c r="S3773"/>
    </row>
    <row r="3774" spans="1:19" x14ac:dyDescent="0.25">
      <c r="A3774" t="s">
        <v>193</v>
      </c>
      <c r="C3774" s="27" t="s">
        <v>34749</v>
      </c>
      <c r="D3774" s="28" t="s">
        <v>34867</v>
      </c>
      <c r="E3774" s="3"/>
      <c r="F3774" s="3"/>
      <c r="J3774" t="s">
        <v>10356</v>
      </c>
      <c r="K3774" t="s">
        <v>10357</v>
      </c>
      <c r="L3774" s="28" t="s">
        <v>10358</v>
      </c>
      <c r="M3774" t="s">
        <v>23</v>
      </c>
      <c r="N3774"/>
      <c r="O3774"/>
      <c r="P3774"/>
      <c r="Q3774"/>
      <c r="R3774"/>
      <c r="S3774"/>
    </row>
    <row r="3775" spans="1:19" x14ac:dyDescent="0.25">
      <c r="A3775" t="s">
        <v>193</v>
      </c>
      <c r="C3775" s="27" t="s">
        <v>34749</v>
      </c>
      <c r="D3775" s="28" t="s">
        <v>34867</v>
      </c>
      <c r="J3775" t="s">
        <v>10359</v>
      </c>
      <c r="K3775" t="s">
        <v>10360</v>
      </c>
      <c r="L3775" s="28" t="s">
        <v>10361</v>
      </c>
      <c r="M3775" t="s">
        <v>23</v>
      </c>
      <c r="N3775"/>
      <c r="O3775"/>
      <c r="P3775"/>
      <c r="Q3775"/>
      <c r="R3775"/>
      <c r="S3775"/>
    </row>
    <row r="3776" spans="1:19" x14ac:dyDescent="0.25">
      <c r="A3776" t="s">
        <v>193</v>
      </c>
      <c r="C3776" s="27" t="s">
        <v>34749</v>
      </c>
      <c r="D3776" s="28" t="s">
        <v>34867</v>
      </c>
      <c r="J3776" t="s">
        <v>10362</v>
      </c>
      <c r="K3776" t="s">
        <v>10363</v>
      </c>
      <c r="L3776" s="28" t="s">
        <v>10364</v>
      </c>
      <c r="M3776" t="s">
        <v>23</v>
      </c>
      <c r="N3776"/>
      <c r="O3776"/>
      <c r="P3776"/>
      <c r="Q3776"/>
      <c r="R3776"/>
      <c r="S3776"/>
    </row>
    <row r="3777" spans="1:19" x14ac:dyDescent="0.25">
      <c r="A3777" t="s">
        <v>193</v>
      </c>
      <c r="C3777" s="27" t="s">
        <v>34749</v>
      </c>
      <c r="D3777" s="28" t="s">
        <v>34867</v>
      </c>
      <c r="J3777" t="s">
        <v>10365</v>
      </c>
      <c r="K3777" t="s">
        <v>10366</v>
      </c>
      <c r="L3777" s="28" t="s">
        <v>10367</v>
      </c>
      <c r="M3777" t="s">
        <v>23</v>
      </c>
      <c r="N3777"/>
      <c r="O3777"/>
      <c r="P3777"/>
      <c r="Q3777"/>
      <c r="R3777"/>
      <c r="S3777"/>
    </row>
    <row r="3778" spans="1:19" x14ac:dyDescent="0.25">
      <c r="A3778" t="s">
        <v>193</v>
      </c>
      <c r="C3778" s="27" t="s">
        <v>34749</v>
      </c>
      <c r="D3778" s="28" t="s">
        <v>34867</v>
      </c>
      <c r="J3778" t="s">
        <v>10368</v>
      </c>
      <c r="K3778" t="s">
        <v>10369</v>
      </c>
      <c r="L3778" s="28" t="s">
        <v>10370</v>
      </c>
      <c r="M3778" t="s">
        <v>23</v>
      </c>
      <c r="N3778"/>
      <c r="O3778"/>
      <c r="P3778"/>
      <c r="Q3778"/>
      <c r="R3778"/>
      <c r="S3778"/>
    </row>
    <row r="3779" spans="1:19" x14ac:dyDescent="0.25">
      <c r="A3779" t="s">
        <v>193</v>
      </c>
      <c r="C3779" s="27" t="s">
        <v>34749</v>
      </c>
      <c r="D3779" s="28" t="s">
        <v>34867</v>
      </c>
      <c r="J3779" t="s">
        <v>10371</v>
      </c>
      <c r="K3779" t="s">
        <v>10372</v>
      </c>
      <c r="L3779" s="28" t="s">
        <v>10373</v>
      </c>
      <c r="M3779" t="s">
        <v>23</v>
      </c>
      <c r="N3779"/>
      <c r="O3779"/>
      <c r="P3779"/>
      <c r="Q3779"/>
      <c r="R3779"/>
      <c r="S3779"/>
    </row>
    <row r="3780" spans="1:19" x14ac:dyDescent="0.25">
      <c r="A3780" t="s">
        <v>193</v>
      </c>
      <c r="C3780" s="27" t="s">
        <v>34749</v>
      </c>
      <c r="D3780" s="28" t="s">
        <v>34867</v>
      </c>
      <c r="J3780" t="s">
        <v>10374</v>
      </c>
      <c r="K3780" t="s">
        <v>10375</v>
      </c>
      <c r="L3780" s="28" t="s">
        <v>10376</v>
      </c>
      <c r="M3780" t="s">
        <v>23</v>
      </c>
      <c r="N3780"/>
      <c r="O3780"/>
      <c r="P3780"/>
      <c r="Q3780"/>
      <c r="R3780"/>
      <c r="S3780"/>
    </row>
    <row r="3781" spans="1:19" x14ac:dyDescent="0.25">
      <c r="A3781" t="s">
        <v>193</v>
      </c>
      <c r="C3781" s="27" t="s">
        <v>34749</v>
      </c>
      <c r="D3781" s="28" t="s">
        <v>34867</v>
      </c>
      <c r="J3781" t="s">
        <v>10377</v>
      </c>
      <c r="K3781" t="s">
        <v>10378</v>
      </c>
      <c r="L3781" s="28" t="s">
        <v>10379</v>
      </c>
      <c r="M3781" t="s">
        <v>23</v>
      </c>
      <c r="N3781"/>
      <c r="O3781"/>
      <c r="P3781"/>
      <c r="Q3781"/>
      <c r="R3781"/>
      <c r="S3781"/>
    </row>
    <row r="3782" spans="1:19" x14ac:dyDescent="0.25">
      <c r="A3782" t="s">
        <v>193</v>
      </c>
      <c r="C3782" s="27" t="s">
        <v>34749</v>
      </c>
      <c r="D3782" s="28" t="s">
        <v>34867</v>
      </c>
      <c r="J3782" t="s">
        <v>10380</v>
      </c>
      <c r="K3782" t="s">
        <v>10381</v>
      </c>
      <c r="L3782" s="28" t="s">
        <v>10382</v>
      </c>
      <c r="M3782" t="s">
        <v>23</v>
      </c>
      <c r="N3782"/>
      <c r="O3782"/>
      <c r="P3782"/>
      <c r="Q3782"/>
      <c r="R3782"/>
      <c r="S3782"/>
    </row>
    <row r="3783" spans="1:19" x14ac:dyDescent="0.25">
      <c r="A3783" t="s">
        <v>193</v>
      </c>
      <c r="C3783" s="27" t="s">
        <v>34749</v>
      </c>
      <c r="D3783" s="28" t="s">
        <v>34867</v>
      </c>
      <c r="J3783" t="s">
        <v>10383</v>
      </c>
      <c r="K3783" t="s">
        <v>10384</v>
      </c>
      <c r="L3783" s="28" t="s">
        <v>10385</v>
      </c>
      <c r="M3783" t="s">
        <v>23</v>
      </c>
      <c r="N3783"/>
      <c r="O3783"/>
      <c r="P3783"/>
      <c r="Q3783"/>
      <c r="R3783"/>
      <c r="S3783"/>
    </row>
    <row r="3784" spans="1:19" x14ac:dyDescent="0.25">
      <c r="A3784" t="s">
        <v>193</v>
      </c>
      <c r="C3784" s="27" t="s">
        <v>34749</v>
      </c>
      <c r="D3784" s="28" t="s">
        <v>34867</v>
      </c>
      <c r="J3784" t="s">
        <v>10386</v>
      </c>
      <c r="K3784" t="s">
        <v>10387</v>
      </c>
      <c r="L3784" s="28" t="s">
        <v>10388</v>
      </c>
      <c r="M3784" t="s">
        <v>23</v>
      </c>
      <c r="N3784"/>
      <c r="O3784"/>
      <c r="P3784"/>
      <c r="Q3784"/>
      <c r="R3784"/>
      <c r="S3784"/>
    </row>
    <row r="3785" spans="1:19" x14ac:dyDescent="0.25">
      <c r="A3785" t="s">
        <v>193</v>
      </c>
      <c r="C3785" s="27" t="s">
        <v>34749</v>
      </c>
      <c r="D3785" s="28" t="s">
        <v>34867</v>
      </c>
      <c r="J3785" t="s">
        <v>10389</v>
      </c>
      <c r="K3785" t="s">
        <v>10390</v>
      </c>
      <c r="L3785" s="28" t="s">
        <v>10391</v>
      </c>
      <c r="M3785" t="s">
        <v>23</v>
      </c>
      <c r="N3785"/>
      <c r="O3785"/>
      <c r="P3785"/>
      <c r="Q3785"/>
      <c r="R3785"/>
      <c r="S3785"/>
    </row>
    <row r="3786" spans="1:19" x14ac:dyDescent="0.25">
      <c r="A3786" t="s">
        <v>193</v>
      </c>
      <c r="C3786" s="27" t="s">
        <v>34749</v>
      </c>
      <c r="D3786" s="28" t="s">
        <v>34867</v>
      </c>
      <c r="J3786" t="s">
        <v>10392</v>
      </c>
      <c r="K3786" t="s">
        <v>10393</v>
      </c>
      <c r="L3786" s="28" t="s">
        <v>10394</v>
      </c>
      <c r="M3786" t="s">
        <v>23</v>
      </c>
      <c r="N3786"/>
      <c r="O3786"/>
      <c r="P3786"/>
      <c r="Q3786"/>
      <c r="R3786"/>
      <c r="S3786"/>
    </row>
    <row r="3787" spans="1:19" x14ac:dyDescent="0.25">
      <c r="A3787" t="s">
        <v>193</v>
      </c>
      <c r="C3787" s="27" t="s">
        <v>34749</v>
      </c>
      <c r="D3787" s="28" t="s">
        <v>34867</v>
      </c>
      <c r="J3787" t="s">
        <v>10395</v>
      </c>
      <c r="K3787" t="s">
        <v>10396</v>
      </c>
      <c r="L3787" s="28" t="s">
        <v>10397</v>
      </c>
      <c r="M3787" t="s">
        <v>23</v>
      </c>
      <c r="N3787"/>
      <c r="O3787"/>
      <c r="P3787"/>
      <c r="Q3787"/>
      <c r="R3787"/>
      <c r="S3787"/>
    </row>
    <row r="3788" spans="1:19" x14ac:dyDescent="0.25">
      <c r="A3788" t="s">
        <v>193</v>
      </c>
      <c r="C3788" s="27" t="s">
        <v>34749</v>
      </c>
      <c r="D3788" s="28" t="s">
        <v>34867</v>
      </c>
      <c r="J3788" t="s">
        <v>10398</v>
      </c>
      <c r="K3788" t="s">
        <v>10399</v>
      </c>
      <c r="L3788" s="28" t="s">
        <v>10400</v>
      </c>
      <c r="M3788" t="s">
        <v>23</v>
      </c>
      <c r="N3788"/>
      <c r="O3788"/>
      <c r="P3788"/>
      <c r="Q3788"/>
      <c r="R3788"/>
      <c r="S3788"/>
    </row>
    <row r="3789" spans="1:19" x14ac:dyDescent="0.25">
      <c r="A3789" t="s">
        <v>193</v>
      </c>
      <c r="C3789" s="27" t="s">
        <v>34749</v>
      </c>
      <c r="D3789" s="28" t="s">
        <v>34867</v>
      </c>
      <c r="J3789" t="s">
        <v>10401</v>
      </c>
      <c r="K3789" t="s">
        <v>10402</v>
      </c>
      <c r="L3789" s="28" t="s">
        <v>10403</v>
      </c>
      <c r="M3789" t="s">
        <v>23</v>
      </c>
      <c r="N3789"/>
      <c r="O3789"/>
      <c r="P3789"/>
      <c r="Q3789"/>
      <c r="R3789"/>
      <c r="S3789"/>
    </row>
    <row r="3790" spans="1:19" x14ac:dyDescent="0.25">
      <c r="A3790" t="s">
        <v>193</v>
      </c>
      <c r="C3790" s="27" t="s">
        <v>34749</v>
      </c>
      <c r="D3790" s="28" t="s">
        <v>34867</v>
      </c>
      <c r="J3790" t="s">
        <v>10404</v>
      </c>
      <c r="K3790" t="s">
        <v>10405</v>
      </c>
      <c r="L3790" s="28" t="s">
        <v>10406</v>
      </c>
      <c r="M3790" t="s">
        <v>23</v>
      </c>
      <c r="N3790"/>
      <c r="O3790"/>
      <c r="P3790"/>
      <c r="Q3790"/>
      <c r="R3790"/>
      <c r="S3790"/>
    </row>
    <row r="3791" spans="1:19" x14ac:dyDescent="0.25">
      <c r="A3791" t="s">
        <v>193</v>
      </c>
      <c r="C3791" s="27" t="s">
        <v>34749</v>
      </c>
      <c r="D3791" s="28" t="s">
        <v>34867</v>
      </c>
      <c r="J3791" t="s">
        <v>10407</v>
      </c>
      <c r="K3791" t="s">
        <v>10408</v>
      </c>
      <c r="L3791" s="28" t="s">
        <v>10409</v>
      </c>
      <c r="M3791" t="s">
        <v>23</v>
      </c>
      <c r="N3791"/>
      <c r="O3791"/>
      <c r="P3791"/>
      <c r="Q3791"/>
      <c r="R3791"/>
      <c r="S3791"/>
    </row>
    <row r="3792" spans="1:19" x14ac:dyDescent="0.25">
      <c r="A3792" t="s">
        <v>193</v>
      </c>
      <c r="C3792" s="27" t="s">
        <v>34749</v>
      </c>
      <c r="D3792" s="28" t="s">
        <v>34867</v>
      </c>
      <c r="J3792" t="s">
        <v>10410</v>
      </c>
      <c r="K3792" t="s">
        <v>10411</v>
      </c>
      <c r="L3792" s="28" t="s">
        <v>10412</v>
      </c>
      <c r="M3792" t="s">
        <v>23</v>
      </c>
      <c r="N3792"/>
      <c r="O3792"/>
      <c r="P3792"/>
      <c r="Q3792"/>
      <c r="R3792"/>
      <c r="S3792"/>
    </row>
    <row r="3793" spans="1:19" x14ac:dyDescent="0.25">
      <c r="A3793" t="s">
        <v>193</v>
      </c>
      <c r="C3793" s="27" t="s">
        <v>34749</v>
      </c>
      <c r="D3793" s="28" t="s">
        <v>34867</v>
      </c>
      <c r="J3793" t="s">
        <v>10413</v>
      </c>
      <c r="K3793" t="s">
        <v>10414</v>
      </c>
      <c r="L3793" s="28" t="s">
        <v>10415</v>
      </c>
      <c r="M3793" t="s">
        <v>23</v>
      </c>
      <c r="N3793"/>
      <c r="O3793"/>
      <c r="P3793"/>
      <c r="Q3793"/>
      <c r="R3793"/>
      <c r="S3793"/>
    </row>
    <row r="3794" spans="1:19" x14ac:dyDescent="0.25">
      <c r="A3794" t="s">
        <v>193</v>
      </c>
      <c r="C3794" s="27" t="s">
        <v>34749</v>
      </c>
      <c r="D3794" s="28" t="s">
        <v>34867</v>
      </c>
      <c r="J3794" t="s">
        <v>10416</v>
      </c>
      <c r="K3794" t="s">
        <v>10417</v>
      </c>
      <c r="L3794" s="28" t="s">
        <v>10418</v>
      </c>
      <c r="M3794" t="s">
        <v>23</v>
      </c>
      <c r="N3794"/>
      <c r="O3794"/>
      <c r="P3794"/>
      <c r="Q3794"/>
      <c r="R3794"/>
      <c r="S3794"/>
    </row>
    <row r="3795" spans="1:19" x14ac:dyDescent="0.25">
      <c r="A3795" t="s">
        <v>193</v>
      </c>
      <c r="C3795" s="27" t="s">
        <v>34749</v>
      </c>
      <c r="D3795" s="28" t="s">
        <v>34867</v>
      </c>
      <c r="J3795" t="s">
        <v>10419</v>
      </c>
      <c r="K3795" t="s">
        <v>10420</v>
      </c>
      <c r="L3795" s="28" t="s">
        <v>10421</v>
      </c>
      <c r="M3795" t="s">
        <v>23</v>
      </c>
      <c r="N3795"/>
      <c r="O3795"/>
      <c r="P3795"/>
      <c r="Q3795"/>
      <c r="R3795"/>
      <c r="S3795"/>
    </row>
    <row r="3796" spans="1:19" x14ac:dyDescent="0.25">
      <c r="A3796" t="s">
        <v>193</v>
      </c>
      <c r="C3796" s="27" t="s">
        <v>34749</v>
      </c>
      <c r="D3796" s="28" t="s">
        <v>34867</v>
      </c>
      <c r="J3796" t="s">
        <v>10422</v>
      </c>
      <c r="K3796" t="s">
        <v>10423</v>
      </c>
      <c r="L3796" s="28" t="s">
        <v>10424</v>
      </c>
      <c r="M3796" t="s">
        <v>23</v>
      </c>
      <c r="N3796"/>
      <c r="O3796"/>
      <c r="P3796"/>
      <c r="Q3796"/>
      <c r="R3796"/>
      <c r="S3796"/>
    </row>
    <row r="3797" spans="1:19" x14ac:dyDescent="0.25">
      <c r="A3797" t="s">
        <v>193</v>
      </c>
      <c r="C3797" s="27" t="s">
        <v>34749</v>
      </c>
      <c r="D3797" s="28" t="s">
        <v>34867</v>
      </c>
      <c r="J3797" t="s">
        <v>10425</v>
      </c>
      <c r="K3797" t="s">
        <v>10426</v>
      </c>
      <c r="L3797" s="28" t="s">
        <v>10427</v>
      </c>
      <c r="M3797" t="s">
        <v>23</v>
      </c>
      <c r="N3797"/>
      <c r="O3797"/>
      <c r="P3797"/>
      <c r="Q3797"/>
      <c r="R3797"/>
      <c r="S3797"/>
    </row>
    <row r="3798" spans="1:19" x14ac:dyDescent="0.25">
      <c r="A3798" t="s">
        <v>193</v>
      </c>
      <c r="C3798" s="27" t="s">
        <v>34749</v>
      </c>
      <c r="D3798" s="28" t="s">
        <v>34867</v>
      </c>
      <c r="J3798" t="s">
        <v>10428</v>
      </c>
      <c r="K3798" t="s">
        <v>10429</v>
      </c>
      <c r="L3798" s="28" t="s">
        <v>10430</v>
      </c>
      <c r="M3798" t="s">
        <v>23</v>
      </c>
      <c r="N3798"/>
      <c r="O3798"/>
      <c r="P3798"/>
      <c r="Q3798"/>
      <c r="R3798"/>
      <c r="S3798"/>
    </row>
    <row r="3799" spans="1:19" x14ac:dyDescent="0.25">
      <c r="A3799" t="s">
        <v>193</v>
      </c>
      <c r="C3799" s="27" t="s">
        <v>34749</v>
      </c>
      <c r="D3799" s="28" t="s">
        <v>34867</v>
      </c>
      <c r="E3799" s="3"/>
      <c r="F3799" s="3"/>
      <c r="J3799" t="s">
        <v>10431</v>
      </c>
      <c r="K3799" t="s">
        <v>10432</v>
      </c>
      <c r="L3799" s="28" t="s">
        <v>10433</v>
      </c>
      <c r="M3799" t="s">
        <v>23</v>
      </c>
      <c r="N3799"/>
      <c r="O3799"/>
      <c r="P3799"/>
      <c r="Q3799"/>
      <c r="R3799"/>
      <c r="S3799"/>
    </row>
    <row r="3800" spans="1:19" x14ac:dyDescent="0.25">
      <c r="A3800" t="s">
        <v>193</v>
      </c>
      <c r="C3800" s="27" t="s">
        <v>34749</v>
      </c>
      <c r="D3800" s="28" t="s">
        <v>34867</v>
      </c>
      <c r="J3800" t="s">
        <v>10434</v>
      </c>
      <c r="K3800" t="s">
        <v>10435</v>
      </c>
      <c r="L3800" s="28" t="s">
        <v>10436</v>
      </c>
      <c r="M3800" t="s">
        <v>23</v>
      </c>
      <c r="N3800"/>
      <c r="O3800"/>
      <c r="P3800"/>
      <c r="Q3800"/>
      <c r="R3800"/>
      <c r="S3800"/>
    </row>
    <row r="3801" spans="1:19" x14ac:dyDescent="0.25">
      <c r="A3801" t="s">
        <v>193</v>
      </c>
      <c r="C3801" s="27" t="s">
        <v>34749</v>
      </c>
      <c r="D3801" s="28" t="s">
        <v>34867</v>
      </c>
      <c r="J3801" t="s">
        <v>10437</v>
      </c>
      <c r="K3801" t="s">
        <v>10438</v>
      </c>
      <c r="L3801" s="28" t="s">
        <v>10439</v>
      </c>
      <c r="M3801" t="s">
        <v>23</v>
      </c>
      <c r="N3801"/>
      <c r="O3801"/>
      <c r="P3801"/>
      <c r="Q3801"/>
      <c r="R3801"/>
      <c r="S3801"/>
    </row>
    <row r="3802" spans="1:19" x14ac:dyDescent="0.25">
      <c r="A3802" t="s">
        <v>193</v>
      </c>
      <c r="C3802" s="27" t="s">
        <v>34749</v>
      </c>
      <c r="D3802" s="28" t="s">
        <v>34867</v>
      </c>
      <c r="J3802" t="s">
        <v>10440</v>
      </c>
      <c r="K3802" t="s">
        <v>10441</v>
      </c>
      <c r="L3802" s="28" t="s">
        <v>10442</v>
      </c>
      <c r="M3802" t="s">
        <v>23</v>
      </c>
      <c r="N3802"/>
      <c r="O3802"/>
      <c r="P3802"/>
      <c r="Q3802"/>
      <c r="R3802"/>
      <c r="S3802"/>
    </row>
    <row r="3803" spans="1:19" x14ac:dyDescent="0.25">
      <c r="A3803" t="s">
        <v>193</v>
      </c>
      <c r="C3803" s="27" t="s">
        <v>34749</v>
      </c>
      <c r="D3803" s="28" t="s">
        <v>34867</v>
      </c>
      <c r="J3803" t="s">
        <v>10443</v>
      </c>
      <c r="K3803" t="s">
        <v>10444</v>
      </c>
      <c r="L3803" s="28" t="s">
        <v>10445</v>
      </c>
      <c r="M3803" t="s">
        <v>23</v>
      </c>
      <c r="N3803"/>
      <c r="O3803"/>
      <c r="P3803"/>
      <c r="Q3803"/>
      <c r="R3803"/>
      <c r="S3803"/>
    </row>
    <row r="3804" spans="1:19" x14ac:dyDescent="0.25">
      <c r="A3804" t="s">
        <v>193</v>
      </c>
      <c r="C3804" s="27" t="s">
        <v>34749</v>
      </c>
      <c r="D3804" s="28" t="s">
        <v>34867</v>
      </c>
      <c r="J3804" t="s">
        <v>10446</v>
      </c>
      <c r="K3804" t="s">
        <v>10447</v>
      </c>
      <c r="L3804" s="28" t="s">
        <v>10448</v>
      </c>
      <c r="M3804" t="s">
        <v>23</v>
      </c>
      <c r="N3804"/>
      <c r="O3804"/>
      <c r="P3804"/>
      <c r="Q3804"/>
      <c r="R3804"/>
      <c r="S3804"/>
    </row>
    <row r="3805" spans="1:19" x14ac:dyDescent="0.25">
      <c r="A3805" t="s">
        <v>193</v>
      </c>
      <c r="C3805" s="27" t="s">
        <v>34749</v>
      </c>
      <c r="D3805" s="28" t="s">
        <v>34867</v>
      </c>
      <c r="J3805" t="s">
        <v>10449</v>
      </c>
      <c r="K3805" t="s">
        <v>10450</v>
      </c>
      <c r="L3805" s="28" t="s">
        <v>10451</v>
      </c>
      <c r="M3805" t="s">
        <v>23</v>
      </c>
      <c r="N3805"/>
      <c r="O3805"/>
      <c r="P3805"/>
      <c r="Q3805"/>
      <c r="R3805"/>
      <c r="S3805"/>
    </row>
    <row r="3806" spans="1:19" x14ac:dyDescent="0.25">
      <c r="A3806" t="s">
        <v>193</v>
      </c>
      <c r="C3806" s="27" t="s">
        <v>34749</v>
      </c>
      <c r="D3806" s="28" t="s">
        <v>34867</v>
      </c>
      <c r="J3806" t="s">
        <v>10452</v>
      </c>
      <c r="K3806" t="s">
        <v>10453</v>
      </c>
      <c r="L3806" s="28" t="s">
        <v>10454</v>
      </c>
      <c r="M3806" t="s">
        <v>23</v>
      </c>
      <c r="N3806"/>
      <c r="O3806"/>
      <c r="P3806"/>
      <c r="Q3806"/>
      <c r="R3806"/>
      <c r="S3806"/>
    </row>
    <row r="3807" spans="1:19" x14ac:dyDescent="0.25">
      <c r="A3807" t="s">
        <v>193</v>
      </c>
      <c r="C3807" s="27" t="s">
        <v>34749</v>
      </c>
      <c r="D3807" s="28" t="s">
        <v>34867</v>
      </c>
      <c r="J3807" t="s">
        <v>10455</v>
      </c>
      <c r="K3807" t="s">
        <v>10456</v>
      </c>
      <c r="L3807" s="28" t="s">
        <v>10457</v>
      </c>
      <c r="M3807" t="s">
        <v>23</v>
      </c>
      <c r="N3807"/>
      <c r="O3807"/>
      <c r="P3807"/>
      <c r="Q3807"/>
      <c r="R3807"/>
      <c r="S3807"/>
    </row>
    <row r="3808" spans="1:19" x14ac:dyDescent="0.25">
      <c r="A3808" t="s">
        <v>193</v>
      </c>
      <c r="C3808" s="27" t="s">
        <v>34749</v>
      </c>
      <c r="D3808" s="28" t="s">
        <v>34867</v>
      </c>
      <c r="J3808" t="s">
        <v>10458</v>
      </c>
      <c r="K3808" t="s">
        <v>10459</v>
      </c>
      <c r="L3808" s="28" t="s">
        <v>10460</v>
      </c>
      <c r="M3808" t="s">
        <v>23</v>
      </c>
      <c r="N3808"/>
      <c r="O3808"/>
      <c r="P3808"/>
      <c r="Q3808"/>
      <c r="R3808"/>
      <c r="S3808"/>
    </row>
    <row r="3809" spans="1:19" x14ac:dyDescent="0.25">
      <c r="A3809" t="s">
        <v>193</v>
      </c>
      <c r="C3809" s="27" t="s">
        <v>34749</v>
      </c>
      <c r="D3809" s="28" t="s">
        <v>34867</v>
      </c>
      <c r="J3809" t="s">
        <v>10461</v>
      </c>
      <c r="K3809" t="s">
        <v>10462</v>
      </c>
      <c r="L3809" s="28" t="s">
        <v>10463</v>
      </c>
      <c r="M3809" t="s">
        <v>23</v>
      </c>
      <c r="N3809"/>
      <c r="O3809"/>
      <c r="P3809"/>
      <c r="Q3809"/>
      <c r="R3809"/>
      <c r="S3809"/>
    </row>
    <row r="3810" spans="1:19" x14ac:dyDescent="0.25">
      <c r="A3810" t="s">
        <v>193</v>
      </c>
      <c r="C3810" s="27" t="s">
        <v>34749</v>
      </c>
      <c r="D3810" s="28" t="s">
        <v>34867</v>
      </c>
      <c r="J3810" t="s">
        <v>10464</v>
      </c>
      <c r="K3810" t="s">
        <v>10465</v>
      </c>
      <c r="L3810" s="28" t="s">
        <v>10466</v>
      </c>
      <c r="M3810" t="s">
        <v>23</v>
      </c>
      <c r="N3810"/>
      <c r="O3810"/>
      <c r="P3810"/>
      <c r="Q3810"/>
      <c r="R3810"/>
      <c r="S3810"/>
    </row>
    <row r="3811" spans="1:19" x14ac:dyDescent="0.25">
      <c r="A3811" t="s">
        <v>193</v>
      </c>
      <c r="C3811" s="27" t="s">
        <v>34749</v>
      </c>
      <c r="D3811" s="28" t="s">
        <v>34867</v>
      </c>
      <c r="J3811" t="s">
        <v>10467</v>
      </c>
      <c r="K3811" t="s">
        <v>10468</v>
      </c>
      <c r="L3811" s="28" t="s">
        <v>10469</v>
      </c>
      <c r="M3811" t="s">
        <v>23</v>
      </c>
      <c r="N3811"/>
      <c r="O3811"/>
      <c r="P3811"/>
      <c r="Q3811"/>
      <c r="R3811"/>
      <c r="S3811"/>
    </row>
    <row r="3812" spans="1:19" x14ac:dyDescent="0.25">
      <c r="A3812" t="s">
        <v>193</v>
      </c>
      <c r="C3812" s="27" t="s">
        <v>34749</v>
      </c>
      <c r="D3812" s="28" t="s">
        <v>34867</v>
      </c>
      <c r="J3812" t="s">
        <v>10470</v>
      </c>
      <c r="K3812" t="s">
        <v>10471</v>
      </c>
      <c r="L3812" s="28" t="s">
        <v>10472</v>
      </c>
      <c r="M3812" t="s">
        <v>23</v>
      </c>
      <c r="N3812"/>
      <c r="O3812"/>
      <c r="P3812"/>
      <c r="Q3812"/>
      <c r="R3812"/>
      <c r="S3812"/>
    </row>
    <row r="3813" spans="1:19" x14ac:dyDescent="0.25">
      <c r="A3813" t="s">
        <v>193</v>
      </c>
      <c r="C3813" s="27" t="s">
        <v>34749</v>
      </c>
      <c r="D3813" s="28" t="s">
        <v>34867</v>
      </c>
      <c r="E3813" s="3"/>
      <c r="F3813" s="3"/>
      <c r="J3813" t="s">
        <v>10473</v>
      </c>
      <c r="K3813" t="s">
        <v>10474</v>
      </c>
      <c r="L3813" s="28" t="s">
        <v>10475</v>
      </c>
      <c r="M3813" t="s">
        <v>23</v>
      </c>
      <c r="N3813"/>
      <c r="O3813"/>
      <c r="P3813"/>
      <c r="Q3813"/>
      <c r="R3813"/>
      <c r="S3813"/>
    </row>
    <row r="3814" spans="1:19" x14ac:dyDescent="0.25">
      <c r="A3814" t="s">
        <v>193</v>
      </c>
      <c r="C3814" s="27" t="s">
        <v>34749</v>
      </c>
      <c r="D3814" s="28" t="s">
        <v>34867</v>
      </c>
      <c r="J3814" t="s">
        <v>10476</v>
      </c>
      <c r="K3814" t="s">
        <v>10477</v>
      </c>
      <c r="L3814" s="28" t="s">
        <v>10478</v>
      </c>
      <c r="M3814" t="s">
        <v>23</v>
      </c>
      <c r="N3814"/>
      <c r="O3814"/>
      <c r="P3814"/>
      <c r="Q3814"/>
      <c r="R3814"/>
      <c r="S3814"/>
    </row>
    <row r="3815" spans="1:19" x14ac:dyDescent="0.25">
      <c r="A3815" t="s">
        <v>193</v>
      </c>
      <c r="C3815" s="27" t="s">
        <v>34749</v>
      </c>
      <c r="D3815" s="28" t="s">
        <v>34867</v>
      </c>
      <c r="J3815" t="s">
        <v>10479</v>
      </c>
      <c r="K3815" t="s">
        <v>10480</v>
      </c>
      <c r="L3815" s="28" t="s">
        <v>10481</v>
      </c>
      <c r="M3815" t="s">
        <v>23</v>
      </c>
      <c r="N3815"/>
      <c r="O3815"/>
      <c r="P3815"/>
      <c r="Q3815"/>
      <c r="R3815"/>
      <c r="S3815"/>
    </row>
    <row r="3816" spans="1:19" x14ac:dyDescent="0.25">
      <c r="A3816" t="s">
        <v>193</v>
      </c>
      <c r="C3816" s="27" t="s">
        <v>34749</v>
      </c>
      <c r="D3816" s="28" t="s">
        <v>34867</v>
      </c>
      <c r="J3816" t="s">
        <v>10482</v>
      </c>
      <c r="K3816" t="s">
        <v>10483</v>
      </c>
      <c r="L3816" s="28" t="s">
        <v>10484</v>
      </c>
      <c r="M3816" t="s">
        <v>23</v>
      </c>
      <c r="N3816"/>
      <c r="O3816"/>
      <c r="P3816"/>
      <c r="Q3816"/>
      <c r="R3816"/>
      <c r="S3816"/>
    </row>
    <row r="3817" spans="1:19" x14ac:dyDescent="0.25">
      <c r="A3817" t="s">
        <v>193</v>
      </c>
      <c r="C3817" s="27" t="s">
        <v>34749</v>
      </c>
      <c r="D3817" s="28" t="s">
        <v>34867</v>
      </c>
      <c r="J3817" t="s">
        <v>10485</v>
      </c>
      <c r="K3817" t="s">
        <v>10486</v>
      </c>
      <c r="L3817" s="28" t="s">
        <v>10487</v>
      </c>
      <c r="M3817" t="s">
        <v>23</v>
      </c>
      <c r="N3817"/>
      <c r="O3817"/>
      <c r="P3817"/>
      <c r="Q3817"/>
      <c r="R3817"/>
      <c r="S3817"/>
    </row>
    <row r="3818" spans="1:19" x14ac:dyDescent="0.25">
      <c r="A3818" t="s">
        <v>193</v>
      </c>
      <c r="C3818" s="27" t="s">
        <v>34749</v>
      </c>
      <c r="D3818" s="28" t="s">
        <v>34867</v>
      </c>
      <c r="J3818" t="s">
        <v>10488</v>
      </c>
      <c r="K3818" t="s">
        <v>10489</v>
      </c>
      <c r="L3818" s="28" t="s">
        <v>10490</v>
      </c>
      <c r="M3818" t="s">
        <v>23</v>
      </c>
      <c r="N3818"/>
      <c r="O3818"/>
      <c r="P3818"/>
      <c r="Q3818"/>
      <c r="R3818"/>
      <c r="S3818"/>
    </row>
    <row r="3819" spans="1:19" x14ac:dyDescent="0.25">
      <c r="A3819" t="s">
        <v>193</v>
      </c>
      <c r="C3819" s="27" t="s">
        <v>34749</v>
      </c>
      <c r="D3819" s="28" t="s">
        <v>34867</v>
      </c>
      <c r="J3819" t="s">
        <v>10491</v>
      </c>
      <c r="K3819" t="s">
        <v>10492</v>
      </c>
      <c r="L3819" s="28" t="s">
        <v>10493</v>
      </c>
      <c r="M3819" t="s">
        <v>23</v>
      </c>
      <c r="N3819"/>
      <c r="O3819"/>
      <c r="P3819"/>
      <c r="Q3819"/>
      <c r="R3819"/>
      <c r="S3819"/>
    </row>
    <row r="3820" spans="1:19" x14ac:dyDescent="0.25">
      <c r="A3820" t="s">
        <v>193</v>
      </c>
      <c r="C3820" s="27" t="s">
        <v>34749</v>
      </c>
      <c r="D3820" s="28" t="s">
        <v>34867</v>
      </c>
      <c r="J3820" t="s">
        <v>10494</v>
      </c>
      <c r="K3820" t="s">
        <v>10495</v>
      </c>
      <c r="L3820" s="28" t="s">
        <v>10496</v>
      </c>
      <c r="M3820" t="s">
        <v>23</v>
      </c>
      <c r="N3820"/>
      <c r="O3820"/>
      <c r="P3820"/>
      <c r="Q3820"/>
      <c r="R3820"/>
      <c r="S3820"/>
    </row>
    <row r="3821" spans="1:19" x14ac:dyDescent="0.25">
      <c r="A3821" t="s">
        <v>193</v>
      </c>
      <c r="C3821" s="27" t="s">
        <v>34749</v>
      </c>
      <c r="D3821" s="28" t="s">
        <v>34867</v>
      </c>
      <c r="J3821" t="s">
        <v>10497</v>
      </c>
      <c r="K3821" t="s">
        <v>10498</v>
      </c>
      <c r="L3821" s="28" t="s">
        <v>10499</v>
      </c>
      <c r="M3821" t="s">
        <v>23</v>
      </c>
      <c r="N3821"/>
      <c r="O3821"/>
      <c r="P3821"/>
      <c r="Q3821"/>
      <c r="R3821"/>
      <c r="S3821"/>
    </row>
    <row r="3822" spans="1:19" x14ac:dyDescent="0.25">
      <c r="A3822" t="s">
        <v>193</v>
      </c>
      <c r="C3822" s="27" t="s">
        <v>34749</v>
      </c>
      <c r="D3822" s="28" t="s">
        <v>34867</v>
      </c>
      <c r="J3822" t="s">
        <v>10500</v>
      </c>
      <c r="K3822" t="s">
        <v>10501</v>
      </c>
      <c r="L3822" s="28" t="s">
        <v>10502</v>
      </c>
      <c r="M3822" t="s">
        <v>23</v>
      </c>
      <c r="N3822"/>
      <c r="O3822"/>
      <c r="P3822"/>
      <c r="Q3822"/>
      <c r="R3822"/>
      <c r="S3822"/>
    </row>
    <row r="3823" spans="1:19" x14ac:dyDescent="0.25">
      <c r="A3823" t="s">
        <v>193</v>
      </c>
      <c r="C3823" s="27" t="s">
        <v>34749</v>
      </c>
      <c r="D3823" s="28" t="s">
        <v>34867</v>
      </c>
      <c r="J3823" t="s">
        <v>10503</v>
      </c>
      <c r="K3823" t="s">
        <v>10504</v>
      </c>
      <c r="L3823" s="28" t="s">
        <v>10505</v>
      </c>
      <c r="M3823" t="s">
        <v>23</v>
      </c>
      <c r="N3823"/>
      <c r="O3823"/>
      <c r="P3823"/>
      <c r="Q3823"/>
      <c r="R3823"/>
      <c r="S3823"/>
    </row>
    <row r="3824" spans="1:19" x14ac:dyDescent="0.25">
      <c r="A3824" t="s">
        <v>193</v>
      </c>
      <c r="C3824" s="27" t="s">
        <v>34749</v>
      </c>
      <c r="D3824" s="28" t="s">
        <v>34867</v>
      </c>
      <c r="J3824" t="s">
        <v>10506</v>
      </c>
      <c r="K3824" t="s">
        <v>10507</v>
      </c>
      <c r="L3824" s="28" t="s">
        <v>10508</v>
      </c>
      <c r="M3824" t="s">
        <v>23</v>
      </c>
      <c r="N3824"/>
      <c r="O3824"/>
      <c r="P3824"/>
      <c r="Q3824"/>
      <c r="R3824"/>
      <c r="S3824"/>
    </row>
    <row r="3825" spans="1:19" x14ac:dyDescent="0.25">
      <c r="A3825" t="s">
        <v>193</v>
      </c>
      <c r="C3825" s="27" t="s">
        <v>34749</v>
      </c>
      <c r="D3825" s="28" t="s">
        <v>34867</v>
      </c>
      <c r="J3825" t="s">
        <v>10509</v>
      </c>
      <c r="K3825" t="s">
        <v>10510</v>
      </c>
      <c r="L3825" s="28" t="s">
        <v>10511</v>
      </c>
      <c r="M3825" t="s">
        <v>23</v>
      </c>
      <c r="N3825"/>
      <c r="O3825"/>
      <c r="P3825"/>
      <c r="Q3825"/>
      <c r="R3825"/>
      <c r="S3825"/>
    </row>
    <row r="3826" spans="1:19" x14ac:dyDescent="0.25">
      <c r="A3826" t="s">
        <v>193</v>
      </c>
      <c r="C3826" s="27" t="s">
        <v>34749</v>
      </c>
      <c r="D3826" s="28" t="s">
        <v>34867</v>
      </c>
      <c r="J3826" t="s">
        <v>10512</v>
      </c>
      <c r="K3826" t="s">
        <v>10513</v>
      </c>
      <c r="L3826" s="28" t="s">
        <v>10514</v>
      </c>
      <c r="M3826" t="s">
        <v>23</v>
      </c>
      <c r="N3826"/>
      <c r="O3826"/>
      <c r="P3826"/>
      <c r="Q3826"/>
      <c r="R3826"/>
      <c r="S3826"/>
    </row>
    <row r="3827" spans="1:19" x14ac:dyDescent="0.25">
      <c r="A3827" t="s">
        <v>193</v>
      </c>
      <c r="C3827" s="27" t="s">
        <v>34749</v>
      </c>
      <c r="D3827" s="28" t="s">
        <v>34867</v>
      </c>
      <c r="J3827" t="s">
        <v>10515</v>
      </c>
      <c r="K3827" t="s">
        <v>10516</v>
      </c>
      <c r="L3827" s="28" t="s">
        <v>10517</v>
      </c>
      <c r="M3827" t="s">
        <v>23</v>
      </c>
      <c r="N3827"/>
      <c r="O3827"/>
      <c r="P3827"/>
      <c r="Q3827"/>
      <c r="R3827"/>
      <c r="S3827"/>
    </row>
    <row r="3828" spans="1:19" x14ac:dyDescent="0.25">
      <c r="A3828" t="s">
        <v>193</v>
      </c>
      <c r="C3828" s="27" t="s">
        <v>34749</v>
      </c>
      <c r="D3828" s="28" t="s">
        <v>34867</v>
      </c>
      <c r="J3828" t="s">
        <v>10518</v>
      </c>
      <c r="K3828" t="s">
        <v>10519</v>
      </c>
      <c r="L3828" s="28" t="s">
        <v>10520</v>
      </c>
      <c r="M3828" t="s">
        <v>23</v>
      </c>
      <c r="N3828"/>
      <c r="O3828"/>
      <c r="P3828"/>
      <c r="Q3828"/>
      <c r="R3828"/>
      <c r="S3828"/>
    </row>
    <row r="3829" spans="1:19" x14ac:dyDescent="0.25">
      <c r="A3829" t="s">
        <v>193</v>
      </c>
      <c r="C3829" s="27" t="s">
        <v>34749</v>
      </c>
      <c r="D3829" s="28" t="s">
        <v>34867</v>
      </c>
      <c r="J3829" t="s">
        <v>10521</v>
      </c>
      <c r="K3829" t="s">
        <v>10522</v>
      </c>
      <c r="L3829" s="28" t="s">
        <v>10523</v>
      </c>
      <c r="M3829" t="s">
        <v>23</v>
      </c>
      <c r="N3829"/>
      <c r="O3829"/>
      <c r="P3829"/>
      <c r="Q3829"/>
      <c r="R3829"/>
      <c r="S3829"/>
    </row>
    <row r="3830" spans="1:19" x14ac:dyDescent="0.25">
      <c r="A3830" t="s">
        <v>193</v>
      </c>
      <c r="C3830" s="27" t="s">
        <v>34749</v>
      </c>
      <c r="D3830" s="28" t="s">
        <v>34867</v>
      </c>
      <c r="J3830" t="s">
        <v>10524</v>
      </c>
      <c r="K3830" t="s">
        <v>10525</v>
      </c>
      <c r="L3830" s="28" t="s">
        <v>10526</v>
      </c>
      <c r="M3830" t="s">
        <v>23</v>
      </c>
      <c r="N3830"/>
      <c r="O3830"/>
      <c r="P3830"/>
      <c r="Q3830"/>
      <c r="R3830"/>
      <c r="S3830"/>
    </row>
    <row r="3831" spans="1:19" x14ac:dyDescent="0.25">
      <c r="A3831" t="s">
        <v>193</v>
      </c>
      <c r="C3831" s="27" t="s">
        <v>34749</v>
      </c>
      <c r="D3831" s="28" t="s">
        <v>34867</v>
      </c>
      <c r="J3831" t="s">
        <v>10527</v>
      </c>
      <c r="K3831" t="s">
        <v>10528</v>
      </c>
      <c r="L3831" s="28" t="s">
        <v>10529</v>
      </c>
      <c r="M3831" t="s">
        <v>23</v>
      </c>
      <c r="N3831"/>
      <c r="O3831"/>
      <c r="P3831"/>
      <c r="Q3831"/>
      <c r="R3831"/>
      <c r="S3831"/>
    </row>
    <row r="3832" spans="1:19" x14ac:dyDescent="0.25">
      <c r="A3832" t="s">
        <v>193</v>
      </c>
      <c r="C3832" s="27" t="s">
        <v>34749</v>
      </c>
      <c r="D3832" s="28" t="s">
        <v>34867</v>
      </c>
      <c r="J3832" t="s">
        <v>10530</v>
      </c>
      <c r="K3832" t="s">
        <v>10531</v>
      </c>
      <c r="L3832" s="28" t="s">
        <v>10532</v>
      </c>
      <c r="M3832" t="s">
        <v>23</v>
      </c>
      <c r="N3832"/>
      <c r="O3832"/>
      <c r="P3832"/>
      <c r="Q3832"/>
      <c r="R3832"/>
      <c r="S3832"/>
    </row>
    <row r="3833" spans="1:19" x14ac:dyDescent="0.25">
      <c r="A3833" t="s">
        <v>193</v>
      </c>
      <c r="C3833" s="27" t="s">
        <v>34749</v>
      </c>
      <c r="D3833" s="28" t="s">
        <v>34867</v>
      </c>
      <c r="J3833" t="s">
        <v>10533</v>
      </c>
      <c r="K3833" t="s">
        <v>10534</v>
      </c>
      <c r="L3833" s="28" t="s">
        <v>10535</v>
      </c>
      <c r="M3833" t="s">
        <v>23</v>
      </c>
      <c r="N3833"/>
      <c r="O3833"/>
      <c r="P3833"/>
      <c r="Q3833"/>
      <c r="R3833"/>
      <c r="S3833"/>
    </row>
    <row r="3834" spans="1:19" x14ac:dyDescent="0.25">
      <c r="A3834" t="s">
        <v>193</v>
      </c>
      <c r="C3834" s="27" t="s">
        <v>34749</v>
      </c>
      <c r="D3834" s="28" t="s">
        <v>34867</v>
      </c>
      <c r="J3834" t="s">
        <v>10536</v>
      </c>
      <c r="K3834" t="s">
        <v>10537</v>
      </c>
      <c r="L3834" s="28" t="s">
        <v>10538</v>
      </c>
      <c r="M3834" t="s">
        <v>23</v>
      </c>
      <c r="N3834"/>
      <c r="O3834"/>
      <c r="P3834"/>
      <c r="Q3834"/>
      <c r="R3834"/>
      <c r="S3834"/>
    </row>
    <row r="3835" spans="1:19" x14ac:dyDescent="0.25">
      <c r="A3835" t="s">
        <v>193</v>
      </c>
      <c r="C3835" s="27" t="s">
        <v>34749</v>
      </c>
      <c r="D3835" s="28" t="s">
        <v>34867</v>
      </c>
      <c r="J3835" t="s">
        <v>10539</v>
      </c>
      <c r="K3835" t="s">
        <v>10540</v>
      </c>
      <c r="L3835" s="28" t="s">
        <v>10541</v>
      </c>
      <c r="M3835" t="s">
        <v>23</v>
      </c>
      <c r="N3835"/>
      <c r="O3835"/>
      <c r="P3835"/>
      <c r="Q3835"/>
      <c r="R3835"/>
      <c r="S3835"/>
    </row>
    <row r="3836" spans="1:19" x14ac:dyDescent="0.25">
      <c r="A3836" t="s">
        <v>193</v>
      </c>
      <c r="C3836" s="27" t="s">
        <v>34749</v>
      </c>
      <c r="D3836" s="28" t="s">
        <v>34867</v>
      </c>
      <c r="J3836" t="s">
        <v>10542</v>
      </c>
      <c r="K3836" t="s">
        <v>10543</v>
      </c>
      <c r="L3836" s="28" t="s">
        <v>10544</v>
      </c>
      <c r="M3836" t="s">
        <v>23</v>
      </c>
      <c r="N3836"/>
      <c r="O3836"/>
      <c r="P3836"/>
      <c r="Q3836"/>
      <c r="R3836"/>
      <c r="S3836"/>
    </row>
    <row r="3837" spans="1:19" x14ac:dyDescent="0.25">
      <c r="A3837" t="s">
        <v>193</v>
      </c>
      <c r="C3837" s="27" t="s">
        <v>34749</v>
      </c>
      <c r="D3837" s="28" t="s">
        <v>34867</v>
      </c>
      <c r="J3837" t="s">
        <v>10545</v>
      </c>
      <c r="K3837" t="s">
        <v>10546</v>
      </c>
      <c r="L3837" s="28" t="s">
        <v>10547</v>
      </c>
      <c r="M3837" t="s">
        <v>23</v>
      </c>
      <c r="N3837"/>
      <c r="O3837"/>
      <c r="P3837"/>
      <c r="Q3837"/>
      <c r="R3837"/>
      <c r="S3837"/>
    </row>
    <row r="3838" spans="1:19" x14ac:dyDescent="0.25">
      <c r="A3838" t="s">
        <v>193</v>
      </c>
      <c r="C3838" s="27" t="s">
        <v>34749</v>
      </c>
      <c r="D3838" s="28" t="s">
        <v>34867</v>
      </c>
      <c r="J3838" t="s">
        <v>10548</v>
      </c>
      <c r="K3838" t="s">
        <v>10549</v>
      </c>
      <c r="L3838" s="28" t="s">
        <v>10550</v>
      </c>
      <c r="M3838" t="s">
        <v>23</v>
      </c>
      <c r="N3838"/>
      <c r="O3838"/>
      <c r="P3838"/>
      <c r="Q3838"/>
      <c r="R3838"/>
      <c r="S3838"/>
    </row>
    <row r="3839" spans="1:19" x14ac:dyDescent="0.25">
      <c r="A3839" t="s">
        <v>193</v>
      </c>
      <c r="C3839" s="27" t="s">
        <v>34749</v>
      </c>
      <c r="D3839" s="28" t="s">
        <v>34867</v>
      </c>
      <c r="J3839" t="s">
        <v>10551</v>
      </c>
      <c r="K3839" t="s">
        <v>10552</v>
      </c>
      <c r="L3839" s="28" t="s">
        <v>10553</v>
      </c>
      <c r="M3839" t="s">
        <v>23</v>
      </c>
      <c r="N3839"/>
      <c r="O3839"/>
      <c r="P3839"/>
      <c r="Q3839"/>
      <c r="R3839"/>
      <c r="S3839"/>
    </row>
    <row r="3840" spans="1:19" x14ac:dyDescent="0.25">
      <c r="A3840" t="s">
        <v>193</v>
      </c>
      <c r="C3840" s="27" t="s">
        <v>34749</v>
      </c>
      <c r="D3840" s="28" t="s">
        <v>34867</v>
      </c>
      <c r="J3840" t="s">
        <v>10554</v>
      </c>
      <c r="K3840" t="s">
        <v>10555</v>
      </c>
      <c r="L3840" s="28" t="s">
        <v>10556</v>
      </c>
      <c r="M3840" t="s">
        <v>23</v>
      </c>
      <c r="N3840"/>
      <c r="O3840"/>
      <c r="P3840"/>
      <c r="Q3840"/>
      <c r="R3840"/>
      <c r="S3840"/>
    </row>
    <row r="3841" spans="1:19" x14ac:dyDescent="0.25">
      <c r="A3841" t="s">
        <v>193</v>
      </c>
      <c r="C3841" s="27" t="s">
        <v>34749</v>
      </c>
      <c r="D3841" s="28" t="s">
        <v>34867</v>
      </c>
      <c r="J3841" t="s">
        <v>10557</v>
      </c>
      <c r="K3841" t="s">
        <v>10558</v>
      </c>
      <c r="L3841" s="28" t="s">
        <v>10559</v>
      </c>
      <c r="M3841" t="s">
        <v>23</v>
      </c>
      <c r="N3841"/>
      <c r="O3841"/>
      <c r="P3841"/>
      <c r="Q3841"/>
      <c r="R3841"/>
      <c r="S3841"/>
    </row>
    <row r="3842" spans="1:19" x14ac:dyDescent="0.25">
      <c r="A3842" t="s">
        <v>193</v>
      </c>
      <c r="C3842" s="27" t="s">
        <v>34749</v>
      </c>
      <c r="D3842" s="28" t="s">
        <v>34867</v>
      </c>
      <c r="J3842" t="s">
        <v>10560</v>
      </c>
      <c r="K3842" t="s">
        <v>10561</v>
      </c>
      <c r="L3842" s="28" t="s">
        <v>10562</v>
      </c>
      <c r="M3842" t="s">
        <v>23</v>
      </c>
      <c r="N3842"/>
      <c r="O3842"/>
      <c r="P3842"/>
      <c r="Q3842"/>
      <c r="R3842"/>
      <c r="S3842"/>
    </row>
    <row r="3843" spans="1:19" x14ac:dyDescent="0.25">
      <c r="A3843" t="s">
        <v>193</v>
      </c>
      <c r="C3843" s="27" t="s">
        <v>34749</v>
      </c>
      <c r="D3843" s="28" t="s">
        <v>34867</v>
      </c>
      <c r="J3843" t="s">
        <v>10563</v>
      </c>
      <c r="K3843" t="s">
        <v>10564</v>
      </c>
      <c r="L3843" s="28" t="s">
        <v>10565</v>
      </c>
      <c r="M3843" t="s">
        <v>23</v>
      </c>
      <c r="N3843"/>
      <c r="O3843"/>
      <c r="P3843"/>
      <c r="Q3843"/>
      <c r="R3843"/>
      <c r="S3843"/>
    </row>
    <row r="3844" spans="1:19" x14ac:dyDescent="0.25">
      <c r="A3844" t="s">
        <v>193</v>
      </c>
      <c r="C3844" s="27" t="s">
        <v>34749</v>
      </c>
      <c r="D3844" s="28" t="s">
        <v>34867</v>
      </c>
      <c r="J3844" t="s">
        <v>10566</v>
      </c>
      <c r="K3844" t="s">
        <v>10567</v>
      </c>
      <c r="L3844" s="28" t="s">
        <v>10568</v>
      </c>
      <c r="M3844" t="s">
        <v>23</v>
      </c>
      <c r="N3844"/>
      <c r="O3844"/>
      <c r="P3844"/>
      <c r="Q3844"/>
      <c r="R3844"/>
      <c r="S3844"/>
    </row>
    <row r="3845" spans="1:19" x14ac:dyDescent="0.25">
      <c r="A3845" t="s">
        <v>193</v>
      </c>
      <c r="C3845" s="27" t="s">
        <v>34749</v>
      </c>
      <c r="D3845" s="28" t="s">
        <v>34867</v>
      </c>
      <c r="J3845" t="s">
        <v>10569</v>
      </c>
      <c r="K3845" t="s">
        <v>10570</v>
      </c>
      <c r="L3845" s="28" t="s">
        <v>10571</v>
      </c>
      <c r="M3845" t="s">
        <v>23</v>
      </c>
      <c r="N3845"/>
      <c r="O3845"/>
      <c r="P3845"/>
      <c r="Q3845"/>
      <c r="R3845"/>
      <c r="S3845"/>
    </row>
    <row r="3846" spans="1:19" x14ac:dyDescent="0.25">
      <c r="A3846" t="s">
        <v>193</v>
      </c>
      <c r="C3846" s="27" t="s">
        <v>34749</v>
      </c>
      <c r="D3846" s="28" t="s">
        <v>34867</v>
      </c>
      <c r="J3846" t="s">
        <v>10572</v>
      </c>
      <c r="K3846" t="s">
        <v>10573</v>
      </c>
      <c r="L3846" s="28" t="s">
        <v>10574</v>
      </c>
      <c r="M3846" t="s">
        <v>23</v>
      </c>
      <c r="N3846"/>
      <c r="O3846"/>
      <c r="P3846"/>
      <c r="Q3846"/>
      <c r="R3846"/>
      <c r="S3846"/>
    </row>
    <row r="3847" spans="1:19" x14ac:dyDescent="0.25">
      <c r="A3847" t="s">
        <v>193</v>
      </c>
      <c r="C3847" s="27" t="s">
        <v>34749</v>
      </c>
      <c r="D3847" s="28" t="s">
        <v>34867</v>
      </c>
      <c r="J3847" t="s">
        <v>10575</v>
      </c>
      <c r="K3847" t="s">
        <v>10576</v>
      </c>
      <c r="L3847" s="28" t="s">
        <v>10577</v>
      </c>
      <c r="M3847" t="s">
        <v>23</v>
      </c>
      <c r="N3847"/>
      <c r="O3847"/>
      <c r="P3847"/>
      <c r="Q3847"/>
      <c r="R3847"/>
      <c r="S3847"/>
    </row>
    <row r="3848" spans="1:19" x14ac:dyDescent="0.25">
      <c r="A3848" t="s">
        <v>193</v>
      </c>
      <c r="C3848" s="27" t="s">
        <v>34749</v>
      </c>
      <c r="D3848" s="28" t="s">
        <v>34867</v>
      </c>
      <c r="J3848" t="s">
        <v>10578</v>
      </c>
      <c r="K3848" t="s">
        <v>10579</v>
      </c>
      <c r="L3848" s="28" t="s">
        <v>10580</v>
      </c>
      <c r="M3848" t="s">
        <v>23</v>
      </c>
      <c r="N3848"/>
      <c r="O3848"/>
      <c r="P3848"/>
      <c r="Q3848"/>
      <c r="R3848"/>
      <c r="S3848"/>
    </row>
    <row r="3849" spans="1:19" x14ac:dyDescent="0.25">
      <c r="A3849" t="s">
        <v>193</v>
      </c>
      <c r="C3849" s="27" t="s">
        <v>34749</v>
      </c>
      <c r="D3849" s="28" t="s">
        <v>34867</v>
      </c>
      <c r="J3849" t="s">
        <v>10581</v>
      </c>
      <c r="K3849" t="s">
        <v>10582</v>
      </c>
      <c r="L3849" s="28" t="s">
        <v>10583</v>
      </c>
      <c r="M3849" t="s">
        <v>23</v>
      </c>
      <c r="N3849"/>
      <c r="O3849"/>
      <c r="P3849"/>
      <c r="Q3849"/>
      <c r="R3849"/>
      <c r="S3849"/>
    </row>
    <row r="3850" spans="1:19" x14ac:dyDescent="0.25">
      <c r="A3850" t="s">
        <v>193</v>
      </c>
      <c r="C3850" s="27" t="s">
        <v>34749</v>
      </c>
      <c r="D3850" s="28" t="s">
        <v>34867</v>
      </c>
      <c r="J3850" t="s">
        <v>10584</v>
      </c>
      <c r="K3850" t="s">
        <v>10585</v>
      </c>
      <c r="L3850" s="28" t="s">
        <v>10586</v>
      </c>
      <c r="M3850" t="s">
        <v>23</v>
      </c>
      <c r="N3850"/>
      <c r="O3850"/>
      <c r="P3850"/>
      <c r="Q3850"/>
      <c r="R3850"/>
      <c r="S3850"/>
    </row>
    <row r="3851" spans="1:19" x14ac:dyDescent="0.25">
      <c r="A3851" t="s">
        <v>193</v>
      </c>
      <c r="C3851" s="27" t="s">
        <v>34749</v>
      </c>
      <c r="D3851" s="28" t="s">
        <v>34867</v>
      </c>
      <c r="J3851" t="s">
        <v>10587</v>
      </c>
      <c r="K3851" t="s">
        <v>10588</v>
      </c>
      <c r="L3851" s="28" t="s">
        <v>10589</v>
      </c>
      <c r="M3851" t="s">
        <v>23</v>
      </c>
      <c r="N3851"/>
      <c r="O3851"/>
      <c r="P3851"/>
      <c r="Q3851"/>
      <c r="R3851"/>
      <c r="S3851"/>
    </row>
    <row r="3852" spans="1:19" x14ac:dyDescent="0.25">
      <c r="A3852" t="s">
        <v>193</v>
      </c>
      <c r="C3852" s="27" t="s">
        <v>34749</v>
      </c>
      <c r="D3852" s="28" t="s">
        <v>34867</v>
      </c>
      <c r="E3852" s="3"/>
      <c r="F3852" s="3"/>
      <c r="J3852" t="s">
        <v>10590</v>
      </c>
      <c r="K3852" t="s">
        <v>10591</v>
      </c>
      <c r="L3852" s="28" t="s">
        <v>10592</v>
      </c>
      <c r="M3852" t="s">
        <v>23</v>
      </c>
      <c r="N3852"/>
      <c r="O3852"/>
      <c r="P3852"/>
      <c r="Q3852"/>
      <c r="R3852"/>
      <c r="S3852"/>
    </row>
    <row r="3853" spans="1:19" x14ac:dyDescent="0.25">
      <c r="A3853" t="s">
        <v>193</v>
      </c>
      <c r="C3853" s="27" t="s">
        <v>34749</v>
      </c>
      <c r="D3853" s="28" t="s">
        <v>34867</v>
      </c>
      <c r="J3853" t="s">
        <v>10593</v>
      </c>
      <c r="K3853" t="s">
        <v>10594</v>
      </c>
      <c r="L3853" s="28" t="s">
        <v>10595</v>
      </c>
      <c r="M3853" t="s">
        <v>23</v>
      </c>
      <c r="N3853"/>
      <c r="O3853"/>
      <c r="P3853"/>
      <c r="Q3853"/>
      <c r="R3853"/>
      <c r="S3853"/>
    </row>
    <row r="3854" spans="1:19" x14ac:dyDescent="0.25">
      <c r="A3854" t="s">
        <v>193</v>
      </c>
      <c r="C3854" s="27" t="s">
        <v>34749</v>
      </c>
      <c r="D3854" s="28" t="s">
        <v>34867</v>
      </c>
      <c r="J3854" t="s">
        <v>10596</v>
      </c>
      <c r="K3854" t="s">
        <v>10597</v>
      </c>
      <c r="L3854" s="28" t="s">
        <v>10598</v>
      </c>
      <c r="M3854" t="s">
        <v>23</v>
      </c>
      <c r="N3854"/>
      <c r="O3854"/>
      <c r="P3854"/>
      <c r="Q3854"/>
      <c r="R3854"/>
      <c r="S3854"/>
    </row>
    <row r="3855" spans="1:19" x14ac:dyDescent="0.25">
      <c r="A3855" t="s">
        <v>193</v>
      </c>
      <c r="C3855" s="27" t="s">
        <v>34749</v>
      </c>
      <c r="D3855" s="28" t="s">
        <v>34867</v>
      </c>
      <c r="J3855" t="s">
        <v>10599</v>
      </c>
      <c r="K3855" t="s">
        <v>10600</v>
      </c>
      <c r="L3855" s="28" t="s">
        <v>10601</v>
      </c>
      <c r="M3855" t="s">
        <v>23</v>
      </c>
      <c r="N3855"/>
      <c r="O3855"/>
      <c r="P3855"/>
      <c r="Q3855"/>
      <c r="R3855"/>
      <c r="S3855"/>
    </row>
    <row r="3856" spans="1:19" x14ac:dyDescent="0.25">
      <c r="A3856" t="s">
        <v>193</v>
      </c>
      <c r="C3856" s="27" t="s">
        <v>34749</v>
      </c>
      <c r="D3856" s="28" t="s">
        <v>34867</v>
      </c>
      <c r="J3856" t="s">
        <v>10602</v>
      </c>
      <c r="K3856" t="s">
        <v>10603</v>
      </c>
      <c r="L3856" s="28" t="s">
        <v>10604</v>
      </c>
      <c r="M3856" t="s">
        <v>23</v>
      </c>
      <c r="N3856"/>
      <c r="O3856"/>
      <c r="P3856"/>
      <c r="Q3856"/>
      <c r="R3856"/>
      <c r="S3856"/>
    </row>
    <row r="3857" spans="1:19" x14ac:dyDescent="0.25">
      <c r="A3857" t="s">
        <v>193</v>
      </c>
      <c r="C3857" s="27" t="s">
        <v>34749</v>
      </c>
      <c r="D3857" s="28" t="s">
        <v>34867</v>
      </c>
      <c r="J3857" t="s">
        <v>10605</v>
      </c>
      <c r="K3857" t="s">
        <v>10606</v>
      </c>
      <c r="L3857" s="28" t="s">
        <v>10607</v>
      </c>
      <c r="M3857" t="s">
        <v>23</v>
      </c>
      <c r="N3857"/>
      <c r="O3857"/>
      <c r="P3857"/>
      <c r="Q3857"/>
      <c r="R3857"/>
      <c r="S3857"/>
    </row>
    <row r="3858" spans="1:19" x14ac:dyDescent="0.25">
      <c r="A3858" t="s">
        <v>193</v>
      </c>
      <c r="C3858" s="27" t="s">
        <v>34749</v>
      </c>
      <c r="D3858" s="28" t="s">
        <v>34867</v>
      </c>
      <c r="J3858" t="s">
        <v>10608</v>
      </c>
      <c r="K3858" t="s">
        <v>10609</v>
      </c>
      <c r="L3858" s="28" t="s">
        <v>10610</v>
      </c>
      <c r="M3858" t="s">
        <v>23</v>
      </c>
      <c r="N3858"/>
      <c r="O3858"/>
      <c r="P3858"/>
      <c r="Q3858"/>
      <c r="R3858"/>
      <c r="S3858"/>
    </row>
    <row r="3859" spans="1:19" x14ac:dyDescent="0.25">
      <c r="A3859" t="s">
        <v>193</v>
      </c>
      <c r="C3859" s="27" t="s">
        <v>34749</v>
      </c>
      <c r="D3859" s="28" t="s">
        <v>34867</v>
      </c>
      <c r="J3859" t="s">
        <v>10611</v>
      </c>
      <c r="K3859" t="s">
        <v>10612</v>
      </c>
      <c r="L3859" s="28" t="s">
        <v>10613</v>
      </c>
      <c r="M3859" t="s">
        <v>23</v>
      </c>
      <c r="N3859"/>
      <c r="O3859"/>
      <c r="P3859"/>
      <c r="Q3859"/>
      <c r="R3859"/>
      <c r="S3859"/>
    </row>
    <row r="3860" spans="1:19" x14ac:dyDescent="0.25">
      <c r="A3860" s="28" t="s">
        <v>14843</v>
      </c>
      <c r="J3860" t="s">
        <v>10614</v>
      </c>
      <c r="K3860" t="s">
        <v>10615</v>
      </c>
      <c r="M3860" t="s">
        <v>23</v>
      </c>
      <c r="N3860"/>
      <c r="O3860"/>
      <c r="P3860"/>
      <c r="Q3860"/>
      <c r="R3860"/>
      <c r="S3860"/>
    </row>
    <row r="3861" spans="1:19" x14ac:dyDescent="0.25">
      <c r="A3861" t="s">
        <v>193</v>
      </c>
      <c r="C3861" s="27" t="s">
        <v>34749</v>
      </c>
      <c r="D3861" s="28" t="s">
        <v>34867</v>
      </c>
      <c r="J3861" t="s">
        <v>10616</v>
      </c>
      <c r="K3861" t="s">
        <v>10617</v>
      </c>
      <c r="L3861" s="28" t="s">
        <v>10618</v>
      </c>
      <c r="M3861" t="s">
        <v>23</v>
      </c>
      <c r="N3861"/>
      <c r="O3861"/>
      <c r="P3861"/>
      <c r="Q3861"/>
      <c r="R3861"/>
      <c r="S3861"/>
    </row>
    <row r="3862" spans="1:19" x14ac:dyDescent="0.25">
      <c r="A3862" t="s">
        <v>193</v>
      </c>
      <c r="C3862" s="27" t="s">
        <v>34749</v>
      </c>
      <c r="D3862" s="28" t="s">
        <v>34867</v>
      </c>
      <c r="J3862" t="s">
        <v>10619</v>
      </c>
      <c r="K3862" t="s">
        <v>10620</v>
      </c>
      <c r="L3862" s="28" t="s">
        <v>10621</v>
      </c>
      <c r="M3862" t="s">
        <v>23</v>
      </c>
      <c r="N3862"/>
      <c r="O3862"/>
      <c r="P3862"/>
      <c r="Q3862"/>
      <c r="R3862"/>
      <c r="S3862"/>
    </row>
    <row r="3863" spans="1:19" x14ac:dyDescent="0.25">
      <c r="A3863" t="s">
        <v>193</v>
      </c>
      <c r="C3863" s="27" t="s">
        <v>34749</v>
      </c>
      <c r="D3863" s="28" t="s">
        <v>34867</v>
      </c>
      <c r="J3863" t="s">
        <v>10622</v>
      </c>
      <c r="K3863" t="s">
        <v>10623</v>
      </c>
      <c r="L3863" s="28" t="s">
        <v>10624</v>
      </c>
      <c r="M3863" t="s">
        <v>23</v>
      </c>
      <c r="N3863"/>
      <c r="O3863"/>
      <c r="P3863"/>
      <c r="Q3863"/>
      <c r="R3863"/>
      <c r="S3863"/>
    </row>
    <row r="3864" spans="1:19" x14ac:dyDescent="0.25">
      <c r="A3864" t="s">
        <v>193</v>
      </c>
      <c r="C3864" s="27" t="s">
        <v>34749</v>
      </c>
      <c r="D3864" s="28" t="s">
        <v>34867</v>
      </c>
      <c r="J3864" t="s">
        <v>10625</v>
      </c>
      <c r="K3864" t="s">
        <v>10626</v>
      </c>
      <c r="L3864" s="28" t="s">
        <v>10627</v>
      </c>
      <c r="M3864" t="s">
        <v>23</v>
      </c>
      <c r="N3864"/>
      <c r="O3864"/>
      <c r="P3864"/>
      <c r="Q3864"/>
      <c r="R3864"/>
      <c r="S3864"/>
    </row>
    <row r="3865" spans="1:19" x14ac:dyDescent="0.25">
      <c r="A3865" t="s">
        <v>193</v>
      </c>
      <c r="C3865" s="27" t="s">
        <v>34749</v>
      </c>
      <c r="D3865" s="28" t="s">
        <v>34867</v>
      </c>
      <c r="J3865" t="s">
        <v>10628</v>
      </c>
      <c r="K3865" t="s">
        <v>10629</v>
      </c>
      <c r="L3865" s="28" t="s">
        <v>10630</v>
      </c>
      <c r="M3865" t="s">
        <v>23</v>
      </c>
      <c r="N3865"/>
      <c r="O3865"/>
      <c r="P3865"/>
      <c r="Q3865"/>
      <c r="R3865"/>
      <c r="S3865"/>
    </row>
    <row r="3866" spans="1:19" x14ac:dyDescent="0.25">
      <c r="A3866" t="s">
        <v>193</v>
      </c>
      <c r="C3866" s="27" t="s">
        <v>34749</v>
      </c>
      <c r="D3866" s="28" t="s">
        <v>34867</v>
      </c>
      <c r="J3866" t="s">
        <v>10631</v>
      </c>
      <c r="K3866" t="s">
        <v>10632</v>
      </c>
      <c r="L3866" s="28" t="s">
        <v>10633</v>
      </c>
      <c r="M3866" t="s">
        <v>23</v>
      </c>
      <c r="N3866"/>
      <c r="O3866"/>
      <c r="P3866"/>
      <c r="Q3866"/>
      <c r="R3866"/>
      <c r="S3866"/>
    </row>
    <row r="3867" spans="1:19" x14ac:dyDescent="0.25">
      <c r="A3867" t="s">
        <v>193</v>
      </c>
      <c r="C3867" s="27" t="s">
        <v>34749</v>
      </c>
      <c r="D3867" s="28" t="s">
        <v>34867</v>
      </c>
      <c r="J3867" t="s">
        <v>10634</v>
      </c>
      <c r="K3867" t="s">
        <v>10635</v>
      </c>
      <c r="L3867" s="28" t="s">
        <v>10636</v>
      </c>
      <c r="M3867" t="s">
        <v>23</v>
      </c>
      <c r="N3867"/>
      <c r="O3867"/>
      <c r="P3867"/>
      <c r="Q3867"/>
      <c r="R3867"/>
      <c r="S3867"/>
    </row>
    <row r="3868" spans="1:19" x14ac:dyDescent="0.25">
      <c r="A3868" t="s">
        <v>193</v>
      </c>
      <c r="C3868" s="27" t="s">
        <v>34749</v>
      </c>
      <c r="D3868" s="28" t="s">
        <v>34867</v>
      </c>
      <c r="J3868" t="s">
        <v>10637</v>
      </c>
      <c r="K3868" t="s">
        <v>10638</v>
      </c>
      <c r="L3868" s="28" t="s">
        <v>10639</v>
      </c>
      <c r="M3868" t="s">
        <v>23</v>
      </c>
      <c r="N3868"/>
      <c r="O3868"/>
      <c r="P3868"/>
      <c r="Q3868"/>
      <c r="R3868"/>
      <c r="S3868"/>
    </row>
    <row r="3869" spans="1:19" x14ac:dyDescent="0.25">
      <c r="A3869" t="s">
        <v>193</v>
      </c>
      <c r="C3869" s="27" t="s">
        <v>34749</v>
      </c>
      <c r="D3869" s="28" t="s">
        <v>34867</v>
      </c>
      <c r="J3869" t="s">
        <v>10640</v>
      </c>
      <c r="K3869" t="s">
        <v>10641</v>
      </c>
      <c r="L3869" s="28" t="s">
        <v>10642</v>
      </c>
      <c r="M3869" t="s">
        <v>23</v>
      </c>
      <c r="N3869"/>
      <c r="O3869"/>
      <c r="P3869"/>
      <c r="Q3869"/>
      <c r="R3869"/>
      <c r="S3869"/>
    </row>
    <row r="3870" spans="1:19" x14ac:dyDescent="0.25">
      <c r="A3870" t="s">
        <v>193</v>
      </c>
      <c r="C3870" s="27" t="s">
        <v>34749</v>
      </c>
      <c r="D3870" s="28" t="s">
        <v>34867</v>
      </c>
      <c r="J3870" t="s">
        <v>10643</v>
      </c>
      <c r="K3870" t="s">
        <v>10644</v>
      </c>
      <c r="L3870" s="28" t="s">
        <v>10645</v>
      </c>
      <c r="M3870" t="s">
        <v>23</v>
      </c>
      <c r="N3870"/>
      <c r="O3870"/>
      <c r="P3870"/>
      <c r="Q3870"/>
      <c r="R3870"/>
      <c r="S3870"/>
    </row>
    <row r="3871" spans="1:19" x14ac:dyDescent="0.25">
      <c r="A3871" t="s">
        <v>193</v>
      </c>
      <c r="C3871" s="27" t="s">
        <v>34749</v>
      </c>
      <c r="D3871" s="28" t="s">
        <v>34867</v>
      </c>
      <c r="J3871" t="s">
        <v>10646</v>
      </c>
      <c r="K3871" t="s">
        <v>10647</v>
      </c>
      <c r="L3871" s="28" t="s">
        <v>10648</v>
      </c>
      <c r="M3871" t="s">
        <v>23</v>
      </c>
      <c r="N3871"/>
      <c r="O3871"/>
      <c r="P3871"/>
      <c r="Q3871"/>
      <c r="R3871"/>
      <c r="S3871"/>
    </row>
    <row r="3872" spans="1:19" x14ac:dyDescent="0.25">
      <c r="A3872" t="s">
        <v>193</v>
      </c>
      <c r="C3872" s="27" t="s">
        <v>34749</v>
      </c>
      <c r="D3872" s="28" t="s">
        <v>34867</v>
      </c>
      <c r="J3872" t="s">
        <v>10649</v>
      </c>
      <c r="K3872" t="s">
        <v>10650</v>
      </c>
      <c r="L3872" s="28" t="s">
        <v>10651</v>
      </c>
      <c r="M3872" t="s">
        <v>23</v>
      </c>
      <c r="N3872"/>
      <c r="O3872"/>
      <c r="P3872"/>
      <c r="Q3872"/>
      <c r="R3872"/>
      <c r="S3872"/>
    </row>
    <row r="3873" spans="1:19" x14ac:dyDescent="0.25">
      <c r="A3873" t="s">
        <v>193</v>
      </c>
      <c r="C3873" s="27" t="s">
        <v>34749</v>
      </c>
      <c r="D3873" s="28" t="s">
        <v>34867</v>
      </c>
      <c r="J3873" t="s">
        <v>10652</v>
      </c>
      <c r="K3873" t="s">
        <v>10653</v>
      </c>
      <c r="L3873" s="28" t="s">
        <v>10654</v>
      </c>
      <c r="M3873" t="s">
        <v>23</v>
      </c>
      <c r="N3873"/>
      <c r="O3873"/>
      <c r="P3873"/>
      <c r="Q3873"/>
      <c r="R3873"/>
      <c r="S3873"/>
    </row>
    <row r="3874" spans="1:19" x14ac:dyDescent="0.25">
      <c r="A3874" s="27" t="s">
        <v>193</v>
      </c>
      <c r="J3874" t="s">
        <v>10655</v>
      </c>
      <c r="K3874" t="s">
        <v>10656</v>
      </c>
      <c r="M3874" t="s">
        <v>23</v>
      </c>
      <c r="N3874"/>
      <c r="O3874"/>
      <c r="P3874"/>
      <c r="Q3874"/>
      <c r="R3874"/>
      <c r="S3874"/>
    </row>
    <row r="3875" spans="1:19" x14ac:dyDescent="0.25">
      <c r="A3875" s="27" t="s">
        <v>193</v>
      </c>
      <c r="J3875" t="s">
        <v>10657</v>
      </c>
      <c r="K3875" t="s">
        <v>10658</v>
      </c>
      <c r="M3875" t="s">
        <v>23</v>
      </c>
      <c r="N3875"/>
      <c r="O3875"/>
      <c r="P3875"/>
      <c r="Q3875"/>
      <c r="R3875"/>
      <c r="S3875"/>
    </row>
    <row r="3876" spans="1:19" x14ac:dyDescent="0.25">
      <c r="A3876" t="s">
        <v>193</v>
      </c>
      <c r="C3876" s="27" t="s">
        <v>34749</v>
      </c>
      <c r="D3876" s="28" t="s">
        <v>34867</v>
      </c>
      <c r="J3876" t="s">
        <v>10659</v>
      </c>
      <c r="K3876" t="s">
        <v>10660</v>
      </c>
      <c r="L3876" s="28" t="s">
        <v>10661</v>
      </c>
      <c r="M3876" t="s">
        <v>23</v>
      </c>
      <c r="N3876"/>
      <c r="O3876"/>
      <c r="P3876"/>
      <c r="Q3876"/>
      <c r="R3876"/>
      <c r="S3876"/>
    </row>
    <row r="3877" spans="1:19" x14ac:dyDescent="0.25">
      <c r="A3877" t="s">
        <v>193</v>
      </c>
      <c r="C3877" s="27" t="s">
        <v>34749</v>
      </c>
      <c r="D3877" s="28" t="s">
        <v>34867</v>
      </c>
      <c r="J3877" t="s">
        <v>10662</v>
      </c>
      <c r="K3877" t="s">
        <v>10663</v>
      </c>
      <c r="L3877" s="28" t="s">
        <v>10664</v>
      </c>
      <c r="M3877" t="s">
        <v>23</v>
      </c>
      <c r="N3877"/>
      <c r="O3877"/>
      <c r="P3877"/>
      <c r="Q3877"/>
      <c r="R3877"/>
      <c r="S3877"/>
    </row>
    <row r="3878" spans="1:19" x14ac:dyDescent="0.25">
      <c r="A3878" t="s">
        <v>193</v>
      </c>
      <c r="C3878" s="27" t="s">
        <v>34749</v>
      </c>
      <c r="D3878" s="28" t="s">
        <v>34867</v>
      </c>
      <c r="J3878" t="s">
        <v>10665</v>
      </c>
      <c r="K3878" t="s">
        <v>10666</v>
      </c>
      <c r="L3878" s="28" t="s">
        <v>10667</v>
      </c>
      <c r="M3878" t="s">
        <v>23</v>
      </c>
      <c r="N3878"/>
      <c r="O3878"/>
      <c r="P3878"/>
      <c r="Q3878"/>
      <c r="R3878"/>
      <c r="S3878"/>
    </row>
    <row r="3879" spans="1:19" x14ac:dyDescent="0.25">
      <c r="A3879" t="s">
        <v>193</v>
      </c>
      <c r="C3879" s="27" t="s">
        <v>34749</v>
      </c>
      <c r="D3879" s="28" t="s">
        <v>34867</v>
      </c>
      <c r="J3879" t="s">
        <v>10668</v>
      </c>
      <c r="K3879" t="s">
        <v>10669</v>
      </c>
      <c r="L3879" s="28" t="s">
        <v>10670</v>
      </c>
      <c r="M3879" t="s">
        <v>23</v>
      </c>
      <c r="N3879"/>
      <c r="O3879"/>
      <c r="P3879"/>
      <c r="Q3879"/>
      <c r="R3879"/>
      <c r="S3879"/>
    </row>
    <row r="3880" spans="1:19" x14ac:dyDescent="0.25">
      <c r="A3880" t="s">
        <v>193</v>
      </c>
      <c r="C3880" s="27" t="s">
        <v>34749</v>
      </c>
      <c r="D3880" s="28" t="s">
        <v>34867</v>
      </c>
      <c r="J3880" t="s">
        <v>10671</v>
      </c>
      <c r="K3880" t="s">
        <v>10672</v>
      </c>
      <c r="L3880" s="28" t="s">
        <v>10673</v>
      </c>
      <c r="M3880" t="s">
        <v>23</v>
      </c>
      <c r="N3880"/>
      <c r="O3880"/>
      <c r="P3880"/>
      <c r="Q3880"/>
      <c r="R3880"/>
      <c r="S3880"/>
    </row>
    <row r="3881" spans="1:19" x14ac:dyDescent="0.25">
      <c r="A3881" t="s">
        <v>193</v>
      </c>
      <c r="C3881" s="27" t="s">
        <v>34749</v>
      </c>
      <c r="D3881" s="28" t="s">
        <v>34867</v>
      </c>
      <c r="J3881" t="s">
        <v>10674</v>
      </c>
      <c r="K3881" t="s">
        <v>10675</v>
      </c>
      <c r="L3881" s="28" t="s">
        <v>10676</v>
      </c>
      <c r="M3881" t="s">
        <v>23</v>
      </c>
      <c r="N3881"/>
      <c r="O3881"/>
      <c r="P3881"/>
      <c r="Q3881"/>
      <c r="R3881"/>
      <c r="S3881"/>
    </row>
    <row r="3882" spans="1:19" x14ac:dyDescent="0.25">
      <c r="A3882" t="s">
        <v>193</v>
      </c>
      <c r="C3882" s="27" t="s">
        <v>34749</v>
      </c>
      <c r="D3882" s="28" t="s">
        <v>34867</v>
      </c>
      <c r="J3882" t="s">
        <v>10677</v>
      </c>
      <c r="K3882" t="s">
        <v>10678</v>
      </c>
      <c r="L3882" s="28" t="s">
        <v>10679</v>
      </c>
      <c r="M3882" t="s">
        <v>23</v>
      </c>
      <c r="N3882"/>
      <c r="O3882"/>
      <c r="P3882"/>
      <c r="Q3882"/>
      <c r="R3882"/>
      <c r="S3882"/>
    </row>
    <row r="3883" spans="1:19" x14ac:dyDescent="0.25">
      <c r="A3883" t="s">
        <v>193</v>
      </c>
      <c r="C3883" s="27" t="s">
        <v>34749</v>
      </c>
      <c r="D3883" s="28" t="s">
        <v>34867</v>
      </c>
      <c r="J3883" t="s">
        <v>10680</v>
      </c>
      <c r="K3883" t="s">
        <v>10681</v>
      </c>
      <c r="L3883" s="28" t="s">
        <v>10682</v>
      </c>
      <c r="M3883" t="s">
        <v>23</v>
      </c>
      <c r="N3883"/>
      <c r="O3883"/>
      <c r="P3883"/>
      <c r="Q3883"/>
      <c r="R3883"/>
      <c r="S3883"/>
    </row>
    <row r="3884" spans="1:19" x14ac:dyDescent="0.25">
      <c r="A3884" t="s">
        <v>193</v>
      </c>
      <c r="C3884" s="27" t="s">
        <v>34749</v>
      </c>
      <c r="D3884" s="28" t="s">
        <v>34867</v>
      </c>
      <c r="J3884" t="s">
        <v>10683</v>
      </c>
      <c r="K3884" t="s">
        <v>10684</v>
      </c>
      <c r="L3884" s="28" t="s">
        <v>10685</v>
      </c>
      <c r="M3884" t="s">
        <v>23</v>
      </c>
      <c r="N3884"/>
      <c r="O3884"/>
      <c r="P3884"/>
      <c r="Q3884"/>
      <c r="R3884"/>
      <c r="S3884"/>
    </row>
    <row r="3885" spans="1:19" x14ac:dyDescent="0.25">
      <c r="A3885" t="s">
        <v>193</v>
      </c>
      <c r="C3885" s="27" t="s">
        <v>34749</v>
      </c>
      <c r="D3885" s="28" t="s">
        <v>34867</v>
      </c>
      <c r="J3885" t="s">
        <v>10686</v>
      </c>
      <c r="K3885" t="s">
        <v>10687</v>
      </c>
      <c r="L3885" s="28" t="s">
        <v>10688</v>
      </c>
      <c r="M3885" t="s">
        <v>23</v>
      </c>
      <c r="N3885"/>
      <c r="O3885"/>
      <c r="P3885"/>
      <c r="Q3885"/>
      <c r="R3885"/>
      <c r="S3885"/>
    </row>
    <row r="3886" spans="1:19" x14ac:dyDescent="0.25">
      <c r="A3886" t="s">
        <v>193</v>
      </c>
      <c r="C3886" s="27" t="s">
        <v>34749</v>
      </c>
      <c r="D3886" s="28" t="s">
        <v>34867</v>
      </c>
      <c r="J3886" t="s">
        <v>10689</v>
      </c>
      <c r="K3886" t="s">
        <v>10690</v>
      </c>
      <c r="L3886" s="28" t="s">
        <v>10691</v>
      </c>
      <c r="M3886" t="s">
        <v>23</v>
      </c>
      <c r="N3886"/>
      <c r="O3886"/>
      <c r="P3886"/>
      <c r="Q3886"/>
      <c r="R3886"/>
      <c r="S3886"/>
    </row>
    <row r="3887" spans="1:19" x14ac:dyDescent="0.25">
      <c r="A3887" t="s">
        <v>193</v>
      </c>
      <c r="C3887" s="27" t="s">
        <v>34749</v>
      </c>
      <c r="D3887" s="28" t="s">
        <v>34867</v>
      </c>
      <c r="J3887" t="s">
        <v>10692</v>
      </c>
      <c r="K3887" t="s">
        <v>10693</v>
      </c>
      <c r="L3887" s="28" t="s">
        <v>10694</v>
      </c>
      <c r="M3887" t="s">
        <v>23</v>
      </c>
      <c r="N3887"/>
      <c r="O3887"/>
      <c r="P3887"/>
      <c r="Q3887"/>
      <c r="R3887"/>
      <c r="S3887"/>
    </row>
    <row r="3888" spans="1:19" x14ac:dyDescent="0.25">
      <c r="A3888" t="s">
        <v>193</v>
      </c>
      <c r="C3888" s="27" t="s">
        <v>34749</v>
      </c>
      <c r="D3888" s="28" t="s">
        <v>34867</v>
      </c>
      <c r="J3888" t="s">
        <v>10695</v>
      </c>
      <c r="K3888" t="s">
        <v>10696</v>
      </c>
      <c r="L3888" s="28" t="s">
        <v>10697</v>
      </c>
      <c r="M3888" t="s">
        <v>23</v>
      </c>
      <c r="N3888"/>
      <c r="O3888"/>
      <c r="P3888"/>
      <c r="Q3888"/>
      <c r="R3888"/>
      <c r="S3888"/>
    </row>
    <row r="3889" spans="1:19" x14ac:dyDescent="0.25">
      <c r="A3889" t="s">
        <v>193</v>
      </c>
      <c r="C3889" s="27" t="s">
        <v>34749</v>
      </c>
      <c r="D3889" s="28" t="s">
        <v>34867</v>
      </c>
      <c r="J3889" t="s">
        <v>10698</v>
      </c>
      <c r="K3889" t="s">
        <v>10699</v>
      </c>
      <c r="L3889" s="28" t="s">
        <v>10700</v>
      </c>
      <c r="M3889" t="s">
        <v>23</v>
      </c>
      <c r="N3889"/>
      <c r="O3889"/>
      <c r="P3889"/>
      <c r="Q3889"/>
      <c r="R3889"/>
      <c r="S3889"/>
    </row>
    <row r="3890" spans="1:19" x14ac:dyDescent="0.25">
      <c r="A3890" t="s">
        <v>193</v>
      </c>
      <c r="C3890" s="27" t="s">
        <v>34749</v>
      </c>
      <c r="D3890" s="28" t="s">
        <v>34867</v>
      </c>
      <c r="J3890" t="s">
        <v>10701</v>
      </c>
      <c r="K3890" t="s">
        <v>10702</v>
      </c>
      <c r="L3890" s="28" t="s">
        <v>10703</v>
      </c>
      <c r="M3890" t="s">
        <v>23</v>
      </c>
      <c r="N3890"/>
      <c r="O3890"/>
      <c r="P3890"/>
      <c r="Q3890"/>
      <c r="R3890"/>
      <c r="S3890"/>
    </row>
    <row r="3891" spans="1:19" x14ac:dyDescent="0.25">
      <c r="A3891" t="s">
        <v>193</v>
      </c>
      <c r="C3891" s="27" t="s">
        <v>34749</v>
      </c>
      <c r="D3891" s="28" t="s">
        <v>34867</v>
      </c>
      <c r="J3891" t="s">
        <v>10704</v>
      </c>
      <c r="K3891" t="s">
        <v>10705</v>
      </c>
      <c r="L3891" s="28" t="s">
        <v>10706</v>
      </c>
      <c r="M3891" t="s">
        <v>23</v>
      </c>
      <c r="N3891"/>
      <c r="O3891"/>
      <c r="P3891"/>
      <c r="Q3891"/>
      <c r="R3891"/>
      <c r="S3891"/>
    </row>
    <row r="3892" spans="1:19" x14ac:dyDescent="0.25">
      <c r="A3892" t="s">
        <v>193</v>
      </c>
      <c r="C3892" s="27" t="s">
        <v>34749</v>
      </c>
      <c r="D3892" s="28" t="s">
        <v>34867</v>
      </c>
      <c r="J3892" t="s">
        <v>10707</v>
      </c>
      <c r="K3892" t="s">
        <v>10708</v>
      </c>
      <c r="L3892" s="28" t="s">
        <v>10709</v>
      </c>
      <c r="M3892" t="s">
        <v>23</v>
      </c>
      <c r="N3892"/>
      <c r="O3892"/>
      <c r="P3892"/>
      <c r="Q3892"/>
      <c r="R3892"/>
      <c r="S3892"/>
    </row>
    <row r="3893" spans="1:19" x14ac:dyDescent="0.25">
      <c r="A3893" t="s">
        <v>193</v>
      </c>
      <c r="C3893" s="27" t="s">
        <v>34749</v>
      </c>
      <c r="D3893" s="28" t="s">
        <v>34867</v>
      </c>
      <c r="J3893" t="s">
        <v>10710</v>
      </c>
      <c r="K3893" t="s">
        <v>10711</v>
      </c>
      <c r="L3893" s="28" t="s">
        <v>10712</v>
      </c>
      <c r="M3893" t="s">
        <v>23</v>
      </c>
      <c r="N3893"/>
      <c r="O3893"/>
      <c r="P3893"/>
      <c r="Q3893"/>
      <c r="R3893"/>
      <c r="S3893"/>
    </row>
    <row r="3894" spans="1:19" x14ac:dyDescent="0.25">
      <c r="A3894" t="s">
        <v>193</v>
      </c>
      <c r="C3894" s="27" t="s">
        <v>34749</v>
      </c>
      <c r="D3894" s="28" t="s">
        <v>34867</v>
      </c>
      <c r="J3894" t="s">
        <v>10713</v>
      </c>
      <c r="K3894" t="s">
        <v>10714</v>
      </c>
      <c r="L3894" s="28" t="s">
        <v>10715</v>
      </c>
      <c r="M3894" t="s">
        <v>23</v>
      </c>
      <c r="N3894"/>
      <c r="O3894"/>
      <c r="P3894"/>
      <c r="Q3894"/>
      <c r="R3894"/>
      <c r="S3894"/>
    </row>
    <row r="3895" spans="1:19" x14ac:dyDescent="0.25">
      <c r="A3895" t="s">
        <v>193</v>
      </c>
      <c r="C3895" s="27" t="s">
        <v>34749</v>
      </c>
      <c r="D3895" s="28" t="s">
        <v>34867</v>
      </c>
      <c r="J3895" t="s">
        <v>10716</v>
      </c>
      <c r="K3895" t="s">
        <v>10717</v>
      </c>
      <c r="L3895" s="28" t="s">
        <v>10718</v>
      </c>
      <c r="M3895" t="s">
        <v>23</v>
      </c>
      <c r="N3895"/>
      <c r="O3895"/>
      <c r="P3895"/>
      <c r="Q3895"/>
      <c r="R3895"/>
      <c r="S3895"/>
    </row>
    <row r="3896" spans="1:19" x14ac:dyDescent="0.25">
      <c r="A3896" t="s">
        <v>193</v>
      </c>
      <c r="C3896" s="27" t="s">
        <v>34749</v>
      </c>
      <c r="D3896" s="28" t="s">
        <v>34867</v>
      </c>
      <c r="J3896" t="s">
        <v>10719</v>
      </c>
      <c r="K3896" t="s">
        <v>10720</v>
      </c>
      <c r="L3896" s="28" t="s">
        <v>10721</v>
      </c>
      <c r="M3896" t="s">
        <v>23</v>
      </c>
      <c r="N3896"/>
      <c r="O3896"/>
      <c r="P3896"/>
      <c r="Q3896"/>
      <c r="R3896"/>
      <c r="S3896"/>
    </row>
    <row r="3897" spans="1:19" x14ac:dyDescent="0.25">
      <c r="A3897" t="s">
        <v>193</v>
      </c>
      <c r="C3897" s="27" t="s">
        <v>34749</v>
      </c>
      <c r="D3897" s="28" t="s">
        <v>34867</v>
      </c>
      <c r="J3897" t="s">
        <v>10722</v>
      </c>
      <c r="K3897" t="s">
        <v>10723</v>
      </c>
      <c r="L3897" s="28" t="s">
        <v>10724</v>
      </c>
      <c r="M3897" t="s">
        <v>23</v>
      </c>
      <c r="N3897"/>
      <c r="O3897"/>
      <c r="P3897"/>
      <c r="Q3897"/>
      <c r="R3897"/>
      <c r="S3897"/>
    </row>
    <row r="3898" spans="1:19" x14ac:dyDescent="0.25">
      <c r="A3898" t="s">
        <v>193</v>
      </c>
      <c r="C3898" s="27" t="s">
        <v>34749</v>
      </c>
      <c r="D3898" s="28" t="s">
        <v>34867</v>
      </c>
      <c r="J3898" t="s">
        <v>10725</v>
      </c>
      <c r="K3898" t="s">
        <v>10726</v>
      </c>
      <c r="L3898" s="28" t="s">
        <v>10727</v>
      </c>
      <c r="M3898" t="s">
        <v>23</v>
      </c>
      <c r="N3898"/>
      <c r="O3898"/>
      <c r="P3898"/>
      <c r="Q3898"/>
      <c r="R3898"/>
      <c r="S3898"/>
    </row>
    <row r="3899" spans="1:19" x14ac:dyDescent="0.25">
      <c r="A3899" t="s">
        <v>193</v>
      </c>
      <c r="C3899" s="27" t="s">
        <v>34749</v>
      </c>
      <c r="D3899" s="28" t="s">
        <v>34867</v>
      </c>
      <c r="J3899" t="s">
        <v>10728</v>
      </c>
      <c r="K3899" t="s">
        <v>10729</v>
      </c>
      <c r="L3899" s="28" t="s">
        <v>10730</v>
      </c>
      <c r="M3899" t="s">
        <v>23</v>
      </c>
      <c r="N3899"/>
      <c r="O3899"/>
      <c r="P3899"/>
      <c r="Q3899"/>
      <c r="R3899"/>
      <c r="S3899"/>
    </row>
    <row r="3900" spans="1:19" x14ac:dyDescent="0.25">
      <c r="A3900" t="s">
        <v>193</v>
      </c>
      <c r="C3900" s="27" t="s">
        <v>34749</v>
      </c>
      <c r="D3900" s="28" t="s">
        <v>34867</v>
      </c>
      <c r="J3900" t="s">
        <v>10731</v>
      </c>
      <c r="K3900" t="s">
        <v>10732</v>
      </c>
      <c r="L3900" s="28" t="s">
        <v>10733</v>
      </c>
      <c r="M3900" t="s">
        <v>23</v>
      </c>
      <c r="N3900"/>
      <c r="O3900"/>
      <c r="P3900"/>
      <c r="Q3900"/>
      <c r="R3900"/>
      <c r="S3900"/>
    </row>
    <row r="3901" spans="1:19" x14ac:dyDescent="0.25">
      <c r="A3901" t="s">
        <v>193</v>
      </c>
      <c r="C3901" s="27" t="s">
        <v>34749</v>
      </c>
      <c r="D3901" s="28" t="s">
        <v>34867</v>
      </c>
      <c r="J3901" t="s">
        <v>10734</v>
      </c>
      <c r="K3901" t="s">
        <v>10735</v>
      </c>
      <c r="L3901" s="28" t="s">
        <v>10736</v>
      </c>
      <c r="M3901" t="s">
        <v>23</v>
      </c>
      <c r="N3901"/>
      <c r="O3901"/>
      <c r="P3901"/>
      <c r="Q3901"/>
      <c r="R3901"/>
      <c r="S3901"/>
    </row>
    <row r="3902" spans="1:19" x14ac:dyDescent="0.25">
      <c r="A3902" t="s">
        <v>193</v>
      </c>
      <c r="C3902" s="27" t="s">
        <v>34749</v>
      </c>
      <c r="D3902" s="28" t="s">
        <v>34867</v>
      </c>
      <c r="J3902" t="s">
        <v>10737</v>
      </c>
      <c r="K3902" t="s">
        <v>10738</v>
      </c>
      <c r="L3902" s="28" t="s">
        <v>10739</v>
      </c>
      <c r="M3902" t="s">
        <v>23</v>
      </c>
      <c r="N3902"/>
      <c r="O3902"/>
      <c r="P3902"/>
      <c r="Q3902"/>
      <c r="R3902"/>
      <c r="S3902"/>
    </row>
    <row r="3903" spans="1:19" x14ac:dyDescent="0.25">
      <c r="A3903" t="s">
        <v>193</v>
      </c>
      <c r="C3903" s="27" t="s">
        <v>34749</v>
      </c>
      <c r="D3903" s="28" t="s">
        <v>34867</v>
      </c>
      <c r="J3903" t="s">
        <v>10740</v>
      </c>
      <c r="K3903" t="s">
        <v>10741</v>
      </c>
      <c r="L3903" s="28" t="s">
        <v>10742</v>
      </c>
      <c r="M3903" t="s">
        <v>23</v>
      </c>
      <c r="N3903"/>
      <c r="O3903"/>
      <c r="P3903"/>
      <c r="Q3903"/>
      <c r="R3903"/>
      <c r="S3903"/>
    </row>
    <row r="3904" spans="1:19" x14ac:dyDescent="0.25">
      <c r="A3904" t="s">
        <v>193</v>
      </c>
      <c r="C3904" s="27" t="s">
        <v>34749</v>
      </c>
      <c r="D3904" s="28" t="s">
        <v>34867</v>
      </c>
      <c r="J3904" t="s">
        <v>10743</v>
      </c>
      <c r="K3904" t="s">
        <v>10744</v>
      </c>
      <c r="L3904" s="28" t="s">
        <v>10745</v>
      </c>
      <c r="M3904" t="s">
        <v>23</v>
      </c>
      <c r="N3904"/>
      <c r="O3904"/>
      <c r="P3904"/>
      <c r="Q3904"/>
      <c r="R3904"/>
      <c r="S3904"/>
    </row>
    <row r="3905" spans="1:19" x14ac:dyDescent="0.25">
      <c r="A3905" t="s">
        <v>193</v>
      </c>
      <c r="C3905" s="27" t="s">
        <v>34749</v>
      </c>
      <c r="D3905" s="28" t="s">
        <v>34867</v>
      </c>
      <c r="J3905" t="s">
        <v>10746</v>
      </c>
      <c r="K3905" t="s">
        <v>10747</v>
      </c>
      <c r="L3905" s="28" t="s">
        <v>10748</v>
      </c>
      <c r="M3905" t="s">
        <v>23</v>
      </c>
      <c r="N3905"/>
      <c r="O3905"/>
      <c r="P3905"/>
      <c r="Q3905"/>
      <c r="R3905"/>
      <c r="S3905"/>
    </row>
    <row r="3906" spans="1:19" x14ac:dyDescent="0.25">
      <c r="A3906" t="s">
        <v>193</v>
      </c>
      <c r="C3906" s="27" t="s">
        <v>34749</v>
      </c>
      <c r="D3906" s="28" t="s">
        <v>34867</v>
      </c>
      <c r="J3906" t="s">
        <v>10749</v>
      </c>
      <c r="K3906" t="s">
        <v>10750</v>
      </c>
      <c r="L3906" s="28" t="s">
        <v>10751</v>
      </c>
      <c r="M3906" t="s">
        <v>23</v>
      </c>
      <c r="N3906"/>
      <c r="O3906"/>
      <c r="P3906"/>
      <c r="Q3906"/>
      <c r="R3906"/>
      <c r="S3906"/>
    </row>
    <row r="3907" spans="1:19" x14ac:dyDescent="0.25">
      <c r="A3907" t="s">
        <v>193</v>
      </c>
      <c r="C3907" s="27" t="s">
        <v>34749</v>
      </c>
      <c r="D3907" s="28" t="s">
        <v>34867</v>
      </c>
      <c r="J3907" t="s">
        <v>10752</v>
      </c>
      <c r="K3907" t="s">
        <v>10753</v>
      </c>
      <c r="L3907" s="28" t="s">
        <v>10754</v>
      </c>
      <c r="M3907" t="s">
        <v>23</v>
      </c>
      <c r="N3907"/>
      <c r="O3907"/>
      <c r="P3907"/>
      <c r="Q3907"/>
      <c r="R3907"/>
      <c r="S3907"/>
    </row>
    <row r="3908" spans="1:19" x14ac:dyDescent="0.25">
      <c r="A3908" t="s">
        <v>193</v>
      </c>
      <c r="C3908" s="27" t="s">
        <v>34749</v>
      </c>
      <c r="D3908" s="28" t="s">
        <v>34867</v>
      </c>
      <c r="J3908" t="s">
        <v>10755</v>
      </c>
      <c r="K3908" t="s">
        <v>10756</v>
      </c>
      <c r="L3908" s="28" t="s">
        <v>10757</v>
      </c>
      <c r="M3908" t="s">
        <v>23</v>
      </c>
      <c r="N3908"/>
      <c r="O3908"/>
      <c r="P3908"/>
      <c r="Q3908"/>
      <c r="R3908"/>
      <c r="S3908"/>
    </row>
    <row r="3909" spans="1:19" x14ac:dyDescent="0.25">
      <c r="A3909" t="s">
        <v>193</v>
      </c>
      <c r="C3909" s="27" t="s">
        <v>34749</v>
      </c>
      <c r="D3909" s="28" t="s">
        <v>34867</v>
      </c>
      <c r="J3909" t="s">
        <v>10758</v>
      </c>
      <c r="K3909" t="s">
        <v>10759</v>
      </c>
      <c r="L3909" s="28" t="s">
        <v>10760</v>
      </c>
      <c r="M3909" t="s">
        <v>23</v>
      </c>
      <c r="N3909"/>
      <c r="O3909"/>
      <c r="P3909"/>
      <c r="Q3909"/>
      <c r="R3909"/>
      <c r="S3909"/>
    </row>
    <row r="3910" spans="1:19" x14ac:dyDescent="0.25">
      <c r="A3910" t="s">
        <v>193</v>
      </c>
      <c r="C3910" s="27" t="s">
        <v>34749</v>
      </c>
      <c r="D3910" s="28" t="s">
        <v>34867</v>
      </c>
      <c r="J3910" t="s">
        <v>10761</v>
      </c>
      <c r="K3910" t="s">
        <v>10762</v>
      </c>
      <c r="L3910" s="28" t="s">
        <v>10763</v>
      </c>
      <c r="M3910" t="s">
        <v>23</v>
      </c>
      <c r="N3910"/>
      <c r="O3910"/>
      <c r="P3910"/>
      <c r="Q3910"/>
      <c r="R3910"/>
      <c r="S3910"/>
    </row>
    <row r="3911" spans="1:19" x14ac:dyDescent="0.25">
      <c r="A3911" t="s">
        <v>193</v>
      </c>
      <c r="C3911" s="27" t="s">
        <v>34749</v>
      </c>
      <c r="D3911" s="28" t="s">
        <v>34867</v>
      </c>
      <c r="J3911" t="s">
        <v>10764</v>
      </c>
      <c r="K3911" t="s">
        <v>10765</v>
      </c>
      <c r="L3911" s="28" t="s">
        <v>10766</v>
      </c>
      <c r="M3911" t="s">
        <v>23</v>
      </c>
      <c r="N3911"/>
      <c r="O3911"/>
      <c r="P3911"/>
      <c r="Q3911"/>
      <c r="R3911"/>
      <c r="S3911"/>
    </row>
    <row r="3912" spans="1:19" x14ac:dyDescent="0.25">
      <c r="A3912" t="s">
        <v>193</v>
      </c>
      <c r="C3912" s="27" t="s">
        <v>34749</v>
      </c>
      <c r="D3912" s="28" t="s">
        <v>34867</v>
      </c>
      <c r="J3912" t="s">
        <v>10767</v>
      </c>
      <c r="K3912" t="s">
        <v>10768</v>
      </c>
      <c r="L3912" s="28" t="s">
        <v>10769</v>
      </c>
      <c r="M3912" t="s">
        <v>23</v>
      </c>
      <c r="N3912"/>
      <c r="O3912"/>
      <c r="P3912"/>
      <c r="Q3912"/>
      <c r="R3912"/>
      <c r="S3912"/>
    </row>
    <row r="3913" spans="1:19" x14ac:dyDescent="0.25">
      <c r="A3913" t="s">
        <v>193</v>
      </c>
      <c r="C3913" s="27" t="s">
        <v>34749</v>
      </c>
      <c r="D3913" s="28" t="s">
        <v>34867</v>
      </c>
      <c r="J3913" t="s">
        <v>10770</v>
      </c>
      <c r="K3913" t="s">
        <v>10771</v>
      </c>
      <c r="L3913" s="28" t="s">
        <v>10772</v>
      </c>
      <c r="M3913" t="s">
        <v>23</v>
      </c>
      <c r="N3913"/>
      <c r="O3913"/>
      <c r="P3913"/>
      <c r="Q3913"/>
      <c r="R3913"/>
      <c r="S3913"/>
    </row>
    <row r="3914" spans="1:19" x14ac:dyDescent="0.25">
      <c r="A3914" t="s">
        <v>193</v>
      </c>
      <c r="C3914" s="27" t="s">
        <v>34749</v>
      </c>
      <c r="D3914" s="28" t="s">
        <v>34867</v>
      </c>
      <c r="J3914" t="s">
        <v>10773</v>
      </c>
      <c r="K3914" t="s">
        <v>10774</v>
      </c>
      <c r="L3914" s="28" t="s">
        <v>10775</v>
      </c>
      <c r="M3914" t="s">
        <v>23</v>
      </c>
      <c r="N3914"/>
      <c r="O3914"/>
      <c r="P3914"/>
      <c r="Q3914"/>
      <c r="R3914"/>
      <c r="S3914"/>
    </row>
    <row r="3915" spans="1:19" x14ac:dyDescent="0.25">
      <c r="A3915" t="s">
        <v>193</v>
      </c>
      <c r="C3915" s="27" t="s">
        <v>34749</v>
      </c>
      <c r="D3915" s="28" t="s">
        <v>34867</v>
      </c>
      <c r="J3915" t="s">
        <v>10776</v>
      </c>
      <c r="K3915" t="s">
        <v>10777</v>
      </c>
      <c r="L3915" s="28" t="s">
        <v>10778</v>
      </c>
      <c r="M3915" t="s">
        <v>23</v>
      </c>
      <c r="N3915"/>
      <c r="O3915"/>
      <c r="P3915"/>
      <c r="Q3915"/>
      <c r="R3915"/>
      <c r="S3915"/>
    </row>
    <row r="3916" spans="1:19" x14ac:dyDescent="0.25">
      <c r="A3916" t="s">
        <v>193</v>
      </c>
      <c r="C3916" s="27" t="s">
        <v>34749</v>
      </c>
      <c r="D3916" s="28" t="s">
        <v>34867</v>
      </c>
      <c r="J3916" t="s">
        <v>10779</v>
      </c>
      <c r="K3916" t="s">
        <v>10780</v>
      </c>
      <c r="L3916" s="28" t="s">
        <v>10781</v>
      </c>
      <c r="M3916" t="s">
        <v>23</v>
      </c>
      <c r="N3916"/>
      <c r="O3916"/>
      <c r="P3916"/>
      <c r="Q3916"/>
      <c r="R3916"/>
      <c r="S3916"/>
    </row>
    <row r="3917" spans="1:19" x14ac:dyDescent="0.25">
      <c r="A3917" t="s">
        <v>193</v>
      </c>
      <c r="C3917" s="27" t="s">
        <v>34749</v>
      </c>
      <c r="D3917" s="28" t="s">
        <v>34867</v>
      </c>
      <c r="J3917" t="s">
        <v>10782</v>
      </c>
      <c r="K3917" t="s">
        <v>10783</v>
      </c>
      <c r="L3917" s="28" t="s">
        <v>10784</v>
      </c>
      <c r="M3917" t="s">
        <v>23</v>
      </c>
      <c r="N3917"/>
      <c r="O3917"/>
      <c r="P3917"/>
      <c r="Q3917"/>
      <c r="R3917"/>
      <c r="S3917"/>
    </row>
    <row r="3918" spans="1:19" x14ac:dyDescent="0.25">
      <c r="A3918" t="s">
        <v>193</v>
      </c>
      <c r="C3918" s="27" t="s">
        <v>34749</v>
      </c>
      <c r="D3918" s="28" t="s">
        <v>34867</v>
      </c>
      <c r="J3918" t="s">
        <v>10785</v>
      </c>
      <c r="K3918" t="s">
        <v>10786</v>
      </c>
      <c r="L3918" s="28" t="s">
        <v>10787</v>
      </c>
      <c r="M3918" t="s">
        <v>23</v>
      </c>
      <c r="N3918"/>
      <c r="O3918"/>
      <c r="P3918"/>
      <c r="Q3918"/>
      <c r="R3918"/>
      <c r="S3918"/>
    </row>
    <row r="3919" spans="1:19" x14ac:dyDescent="0.25">
      <c r="A3919" t="s">
        <v>193</v>
      </c>
      <c r="C3919" s="27" t="s">
        <v>34749</v>
      </c>
      <c r="D3919" s="28" t="s">
        <v>34867</v>
      </c>
      <c r="J3919" t="s">
        <v>10788</v>
      </c>
      <c r="K3919" t="s">
        <v>10789</v>
      </c>
      <c r="L3919" s="28" t="s">
        <v>10790</v>
      </c>
      <c r="M3919" t="s">
        <v>23</v>
      </c>
      <c r="N3919"/>
      <c r="O3919"/>
      <c r="P3919"/>
      <c r="Q3919"/>
      <c r="R3919"/>
      <c r="S3919"/>
    </row>
    <row r="3920" spans="1:19" x14ac:dyDescent="0.25">
      <c r="A3920" t="s">
        <v>193</v>
      </c>
      <c r="C3920" s="27" t="s">
        <v>34749</v>
      </c>
      <c r="D3920" s="28" t="s">
        <v>34867</v>
      </c>
      <c r="J3920" t="s">
        <v>10791</v>
      </c>
      <c r="K3920" t="s">
        <v>10792</v>
      </c>
      <c r="L3920" s="28" t="s">
        <v>10793</v>
      </c>
      <c r="M3920" t="s">
        <v>23</v>
      </c>
      <c r="N3920"/>
      <c r="O3920"/>
      <c r="P3920"/>
      <c r="Q3920"/>
      <c r="R3920"/>
      <c r="S3920"/>
    </row>
    <row r="3921" spans="1:19" x14ac:dyDescent="0.25">
      <c r="A3921" t="s">
        <v>193</v>
      </c>
      <c r="C3921" s="27" t="s">
        <v>34749</v>
      </c>
      <c r="D3921" s="28" t="s">
        <v>34867</v>
      </c>
      <c r="J3921" t="s">
        <v>10794</v>
      </c>
      <c r="K3921" t="s">
        <v>10795</v>
      </c>
      <c r="L3921" s="28" t="s">
        <v>10796</v>
      </c>
      <c r="M3921" t="s">
        <v>23</v>
      </c>
      <c r="N3921"/>
      <c r="O3921"/>
      <c r="P3921"/>
      <c r="Q3921"/>
      <c r="R3921"/>
      <c r="S3921"/>
    </row>
    <row r="3922" spans="1:19" x14ac:dyDescent="0.25">
      <c r="A3922" t="s">
        <v>193</v>
      </c>
      <c r="C3922" s="27" t="s">
        <v>34749</v>
      </c>
      <c r="D3922" s="28" t="s">
        <v>34867</v>
      </c>
      <c r="J3922" t="s">
        <v>10797</v>
      </c>
      <c r="K3922" t="s">
        <v>10798</v>
      </c>
      <c r="L3922" s="28" t="s">
        <v>10799</v>
      </c>
      <c r="M3922" t="s">
        <v>23</v>
      </c>
      <c r="N3922"/>
      <c r="O3922"/>
      <c r="P3922"/>
      <c r="Q3922"/>
      <c r="R3922"/>
      <c r="S3922"/>
    </row>
    <row r="3923" spans="1:19" x14ac:dyDescent="0.25">
      <c r="A3923" t="s">
        <v>193</v>
      </c>
      <c r="C3923" s="27" t="s">
        <v>34749</v>
      </c>
      <c r="D3923" s="28" t="s">
        <v>34867</v>
      </c>
      <c r="J3923" t="s">
        <v>10800</v>
      </c>
      <c r="K3923" t="s">
        <v>10801</v>
      </c>
      <c r="L3923" s="28" t="s">
        <v>10802</v>
      </c>
      <c r="M3923" t="s">
        <v>23</v>
      </c>
      <c r="N3923"/>
      <c r="O3923"/>
      <c r="P3923"/>
      <c r="Q3923"/>
      <c r="R3923"/>
      <c r="S3923"/>
    </row>
    <row r="3924" spans="1:19" x14ac:dyDescent="0.25">
      <c r="A3924" t="s">
        <v>193</v>
      </c>
      <c r="C3924" s="27" t="s">
        <v>34749</v>
      </c>
      <c r="D3924" s="28" t="s">
        <v>34867</v>
      </c>
      <c r="J3924" t="s">
        <v>10803</v>
      </c>
      <c r="K3924" t="s">
        <v>10804</v>
      </c>
      <c r="L3924" s="28" t="s">
        <v>10805</v>
      </c>
      <c r="M3924" t="s">
        <v>23</v>
      </c>
      <c r="N3924"/>
      <c r="O3924"/>
      <c r="P3924"/>
      <c r="Q3924"/>
      <c r="R3924"/>
      <c r="S3924"/>
    </row>
    <row r="3925" spans="1:19" x14ac:dyDescent="0.25">
      <c r="A3925" t="s">
        <v>193</v>
      </c>
      <c r="C3925" s="27" t="s">
        <v>34749</v>
      </c>
      <c r="D3925" s="28" t="s">
        <v>34867</v>
      </c>
      <c r="J3925" t="s">
        <v>10806</v>
      </c>
      <c r="K3925" t="s">
        <v>10807</v>
      </c>
      <c r="L3925" s="28" t="s">
        <v>10808</v>
      </c>
      <c r="M3925" t="s">
        <v>23</v>
      </c>
      <c r="N3925"/>
      <c r="O3925"/>
      <c r="P3925"/>
      <c r="Q3925"/>
      <c r="R3925"/>
      <c r="S3925"/>
    </row>
    <row r="3926" spans="1:19" x14ac:dyDescent="0.25">
      <c r="A3926" t="s">
        <v>193</v>
      </c>
      <c r="C3926" s="27" t="s">
        <v>34749</v>
      </c>
      <c r="D3926" s="28" t="s">
        <v>34867</v>
      </c>
      <c r="J3926" t="s">
        <v>10809</v>
      </c>
      <c r="K3926" t="s">
        <v>10810</v>
      </c>
      <c r="L3926" s="28" t="s">
        <v>10811</v>
      </c>
      <c r="M3926" t="s">
        <v>23</v>
      </c>
      <c r="N3926"/>
      <c r="O3926"/>
      <c r="P3926"/>
      <c r="Q3926"/>
      <c r="R3926"/>
      <c r="S3926"/>
    </row>
    <row r="3927" spans="1:19" x14ac:dyDescent="0.25">
      <c r="A3927" t="s">
        <v>193</v>
      </c>
      <c r="C3927" s="27" t="s">
        <v>34749</v>
      </c>
      <c r="D3927" s="28" t="s">
        <v>34867</v>
      </c>
      <c r="J3927" t="s">
        <v>10812</v>
      </c>
      <c r="K3927" t="s">
        <v>10813</v>
      </c>
      <c r="L3927" s="28" t="s">
        <v>10814</v>
      </c>
      <c r="M3927" t="s">
        <v>23</v>
      </c>
      <c r="N3927"/>
      <c r="O3927"/>
      <c r="P3927"/>
      <c r="Q3927"/>
      <c r="R3927"/>
      <c r="S3927"/>
    </row>
    <row r="3928" spans="1:19" x14ac:dyDescent="0.25">
      <c r="A3928" t="s">
        <v>193</v>
      </c>
      <c r="C3928" s="27" t="s">
        <v>34749</v>
      </c>
      <c r="D3928" s="28" t="s">
        <v>34867</v>
      </c>
      <c r="J3928" t="s">
        <v>10815</v>
      </c>
      <c r="K3928" t="s">
        <v>10816</v>
      </c>
      <c r="L3928" s="28" t="s">
        <v>10817</v>
      </c>
      <c r="M3928" t="s">
        <v>23</v>
      </c>
      <c r="N3928"/>
      <c r="O3928"/>
      <c r="P3928"/>
      <c r="Q3928"/>
      <c r="R3928"/>
      <c r="S3928"/>
    </row>
    <row r="3929" spans="1:19" x14ac:dyDescent="0.25">
      <c r="A3929" t="s">
        <v>193</v>
      </c>
      <c r="C3929" s="27" t="s">
        <v>34749</v>
      </c>
      <c r="D3929" s="28" t="s">
        <v>34867</v>
      </c>
      <c r="J3929" t="s">
        <v>10818</v>
      </c>
      <c r="K3929" t="s">
        <v>10819</v>
      </c>
      <c r="L3929" s="28" t="s">
        <v>10820</v>
      </c>
      <c r="M3929" t="s">
        <v>23</v>
      </c>
      <c r="N3929"/>
      <c r="O3929"/>
      <c r="P3929"/>
      <c r="Q3929"/>
      <c r="R3929"/>
      <c r="S3929"/>
    </row>
    <row r="3930" spans="1:19" x14ac:dyDescent="0.25">
      <c r="A3930" t="s">
        <v>193</v>
      </c>
      <c r="C3930" s="27" t="s">
        <v>34749</v>
      </c>
      <c r="D3930" s="28" t="s">
        <v>34867</v>
      </c>
      <c r="J3930" t="s">
        <v>10821</v>
      </c>
      <c r="K3930" t="s">
        <v>10822</v>
      </c>
      <c r="L3930" s="28" t="s">
        <v>10823</v>
      </c>
      <c r="M3930" t="s">
        <v>23</v>
      </c>
      <c r="N3930"/>
      <c r="O3930"/>
      <c r="P3930"/>
      <c r="Q3930"/>
      <c r="R3930"/>
      <c r="S3930"/>
    </row>
    <row r="3931" spans="1:19" x14ac:dyDescent="0.25">
      <c r="A3931" t="s">
        <v>193</v>
      </c>
      <c r="C3931" s="27" t="s">
        <v>34749</v>
      </c>
      <c r="D3931" s="28" t="s">
        <v>34867</v>
      </c>
      <c r="J3931" t="s">
        <v>10824</v>
      </c>
      <c r="K3931" t="s">
        <v>10825</v>
      </c>
      <c r="L3931" s="28" t="s">
        <v>10826</v>
      </c>
      <c r="M3931" t="s">
        <v>23</v>
      </c>
      <c r="N3931"/>
      <c r="O3931"/>
      <c r="P3931"/>
      <c r="Q3931"/>
      <c r="R3931"/>
      <c r="S3931"/>
    </row>
    <row r="3932" spans="1:19" x14ac:dyDescent="0.25">
      <c r="A3932" t="s">
        <v>193</v>
      </c>
      <c r="C3932" s="27" t="s">
        <v>34749</v>
      </c>
      <c r="D3932" s="28" t="s">
        <v>34867</v>
      </c>
      <c r="J3932" t="s">
        <v>10827</v>
      </c>
      <c r="K3932" t="s">
        <v>10828</v>
      </c>
      <c r="L3932" s="28" t="s">
        <v>10829</v>
      </c>
      <c r="M3932" t="s">
        <v>23</v>
      </c>
      <c r="N3932"/>
      <c r="O3932"/>
      <c r="P3932"/>
      <c r="Q3932"/>
      <c r="R3932"/>
      <c r="S3932"/>
    </row>
    <row r="3933" spans="1:19" x14ac:dyDescent="0.25">
      <c r="A3933" t="s">
        <v>193</v>
      </c>
      <c r="C3933" s="27" t="s">
        <v>34749</v>
      </c>
      <c r="D3933" s="28" t="s">
        <v>34867</v>
      </c>
      <c r="J3933" t="s">
        <v>10830</v>
      </c>
      <c r="K3933" t="s">
        <v>10831</v>
      </c>
      <c r="L3933" s="28" t="s">
        <v>10832</v>
      </c>
      <c r="M3933" t="s">
        <v>23</v>
      </c>
      <c r="N3933"/>
      <c r="O3933"/>
      <c r="P3933"/>
      <c r="Q3933"/>
      <c r="R3933"/>
      <c r="S3933"/>
    </row>
    <row r="3934" spans="1:19" x14ac:dyDescent="0.25">
      <c r="A3934" t="s">
        <v>193</v>
      </c>
      <c r="C3934" s="27" t="s">
        <v>34749</v>
      </c>
      <c r="D3934" s="28" t="s">
        <v>34867</v>
      </c>
      <c r="J3934" t="s">
        <v>10833</v>
      </c>
      <c r="K3934" t="s">
        <v>10834</v>
      </c>
      <c r="L3934" s="28" t="s">
        <v>10835</v>
      </c>
      <c r="M3934" t="s">
        <v>23</v>
      </c>
      <c r="N3934"/>
      <c r="O3934"/>
      <c r="P3934"/>
      <c r="Q3934"/>
      <c r="R3934"/>
      <c r="S3934"/>
    </row>
    <row r="3935" spans="1:19" x14ac:dyDescent="0.25">
      <c r="A3935" t="s">
        <v>193</v>
      </c>
      <c r="C3935" s="27" t="s">
        <v>34749</v>
      </c>
      <c r="D3935" s="28" t="s">
        <v>34867</v>
      </c>
      <c r="J3935" t="s">
        <v>10836</v>
      </c>
      <c r="K3935" t="s">
        <v>10837</v>
      </c>
      <c r="L3935" s="28" t="s">
        <v>10838</v>
      </c>
      <c r="M3935" t="s">
        <v>23</v>
      </c>
      <c r="N3935"/>
      <c r="O3935"/>
      <c r="P3935"/>
      <c r="Q3935"/>
      <c r="R3935"/>
      <c r="S3935"/>
    </row>
    <row r="3936" spans="1:19" x14ac:dyDescent="0.25">
      <c r="A3936" t="s">
        <v>193</v>
      </c>
      <c r="C3936" s="27" t="s">
        <v>34749</v>
      </c>
      <c r="D3936" s="28" t="s">
        <v>34867</v>
      </c>
      <c r="J3936" t="s">
        <v>10839</v>
      </c>
      <c r="K3936" t="s">
        <v>10840</v>
      </c>
      <c r="L3936" s="28" t="s">
        <v>10841</v>
      </c>
      <c r="M3936" t="s">
        <v>23</v>
      </c>
      <c r="N3936"/>
      <c r="O3936"/>
      <c r="P3936"/>
      <c r="Q3936"/>
      <c r="R3936"/>
      <c r="S3936"/>
    </row>
    <row r="3937" spans="1:19" x14ac:dyDescent="0.25">
      <c r="A3937" t="s">
        <v>193</v>
      </c>
      <c r="C3937" s="27" t="s">
        <v>34749</v>
      </c>
      <c r="D3937" s="28" t="s">
        <v>34867</v>
      </c>
      <c r="J3937" t="s">
        <v>10842</v>
      </c>
      <c r="K3937" t="s">
        <v>10843</v>
      </c>
      <c r="L3937" s="28" t="s">
        <v>10844</v>
      </c>
      <c r="M3937" t="s">
        <v>23</v>
      </c>
      <c r="N3937"/>
      <c r="O3937"/>
      <c r="P3937"/>
      <c r="Q3937"/>
      <c r="R3937"/>
      <c r="S3937"/>
    </row>
    <row r="3938" spans="1:19" x14ac:dyDescent="0.25">
      <c r="A3938" t="s">
        <v>193</v>
      </c>
      <c r="C3938" s="27" t="s">
        <v>34749</v>
      </c>
      <c r="D3938" s="28" t="s">
        <v>34867</v>
      </c>
      <c r="J3938" t="s">
        <v>10845</v>
      </c>
      <c r="K3938" t="s">
        <v>10846</v>
      </c>
      <c r="L3938" s="28" t="s">
        <v>10847</v>
      </c>
      <c r="M3938" t="s">
        <v>23</v>
      </c>
      <c r="N3938"/>
      <c r="O3938"/>
      <c r="P3938"/>
      <c r="Q3938"/>
      <c r="R3938"/>
      <c r="S3938"/>
    </row>
    <row r="3939" spans="1:19" x14ac:dyDescent="0.25">
      <c r="A3939" t="s">
        <v>193</v>
      </c>
      <c r="C3939" s="27" t="s">
        <v>34749</v>
      </c>
      <c r="D3939" s="28" t="s">
        <v>34867</v>
      </c>
      <c r="J3939" t="s">
        <v>10848</v>
      </c>
      <c r="K3939" t="s">
        <v>10849</v>
      </c>
      <c r="L3939" s="28" t="s">
        <v>10850</v>
      </c>
      <c r="M3939" t="s">
        <v>23</v>
      </c>
      <c r="N3939"/>
      <c r="O3939"/>
      <c r="P3939"/>
      <c r="Q3939"/>
      <c r="R3939"/>
      <c r="S3939"/>
    </row>
    <row r="3940" spans="1:19" x14ac:dyDescent="0.25">
      <c r="A3940" t="s">
        <v>193</v>
      </c>
      <c r="C3940" s="27" t="s">
        <v>34749</v>
      </c>
      <c r="D3940" s="28" t="s">
        <v>34867</v>
      </c>
      <c r="J3940" t="s">
        <v>10851</v>
      </c>
      <c r="K3940" t="s">
        <v>10852</v>
      </c>
      <c r="L3940" s="28" t="s">
        <v>10853</v>
      </c>
      <c r="M3940" t="s">
        <v>23</v>
      </c>
      <c r="N3940"/>
      <c r="O3940"/>
      <c r="P3940"/>
      <c r="Q3940"/>
      <c r="R3940"/>
      <c r="S3940"/>
    </row>
    <row r="3941" spans="1:19" x14ac:dyDescent="0.25">
      <c r="A3941" t="s">
        <v>193</v>
      </c>
      <c r="C3941" s="27" t="s">
        <v>34749</v>
      </c>
      <c r="D3941" s="28" t="s">
        <v>34867</v>
      </c>
      <c r="J3941" t="s">
        <v>10854</v>
      </c>
      <c r="K3941" t="s">
        <v>10855</v>
      </c>
      <c r="L3941" s="28" t="s">
        <v>10856</v>
      </c>
      <c r="M3941" t="s">
        <v>23</v>
      </c>
      <c r="N3941"/>
      <c r="O3941"/>
      <c r="P3941"/>
      <c r="Q3941"/>
      <c r="R3941"/>
      <c r="S3941"/>
    </row>
    <row r="3942" spans="1:19" x14ac:dyDescent="0.25">
      <c r="A3942" t="s">
        <v>193</v>
      </c>
      <c r="C3942" s="27" t="s">
        <v>34749</v>
      </c>
      <c r="D3942" s="28" t="s">
        <v>34867</v>
      </c>
      <c r="J3942" t="s">
        <v>10857</v>
      </c>
      <c r="K3942" t="s">
        <v>10858</v>
      </c>
      <c r="L3942" s="28" t="s">
        <v>10859</v>
      </c>
      <c r="M3942" t="s">
        <v>23</v>
      </c>
      <c r="N3942"/>
      <c r="O3942"/>
      <c r="P3942"/>
      <c r="Q3942"/>
      <c r="R3942"/>
      <c r="S3942"/>
    </row>
    <row r="3943" spans="1:19" x14ac:dyDescent="0.25">
      <c r="A3943" t="s">
        <v>193</v>
      </c>
      <c r="C3943" s="27" t="s">
        <v>34749</v>
      </c>
      <c r="D3943" s="28" t="s">
        <v>34867</v>
      </c>
      <c r="J3943" t="s">
        <v>10860</v>
      </c>
      <c r="K3943" t="s">
        <v>10861</v>
      </c>
      <c r="L3943" s="28" t="s">
        <v>10862</v>
      </c>
      <c r="M3943" t="s">
        <v>23</v>
      </c>
      <c r="N3943"/>
      <c r="O3943"/>
      <c r="P3943"/>
      <c r="Q3943"/>
      <c r="R3943"/>
      <c r="S3943"/>
    </row>
    <row r="3944" spans="1:19" x14ac:dyDescent="0.25">
      <c r="A3944" t="s">
        <v>193</v>
      </c>
      <c r="C3944" s="27" t="s">
        <v>34749</v>
      </c>
      <c r="D3944" s="28" t="s">
        <v>34867</v>
      </c>
      <c r="J3944" t="s">
        <v>10863</v>
      </c>
      <c r="K3944" t="s">
        <v>10864</v>
      </c>
      <c r="L3944" s="28" t="s">
        <v>10865</v>
      </c>
      <c r="M3944" t="s">
        <v>23</v>
      </c>
      <c r="N3944"/>
      <c r="O3944"/>
      <c r="P3944"/>
      <c r="Q3944"/>
      <c r="R3944"/>
      <c r="S3944"/>
    </row>
    <row r="3945" spans="1:19" x14ac:dyDescent="0.25">
      <c r="A3945" t="s">
        <v>193</v>
      </c>
      <c r="C3945" s="27" t="s">
        <v>34749</v>
      </c>
      <c r="D3945" s="28" t="s">
        <v>34867</v>
      </c>
      <c r="J3945" t="s">
        <v>10866</v>
      </c>
      <c r="K3945" t="s">
        <v>10867</v>
      </c>
      <c r="L3945" s="28" t="s">
        <v>10868</v>
      </c>
      <c r="M3945" t="s">
        <v>23</v>
      </c>
      <c r="N3945"/>
      <c r="O3945"/>
      <c r="P3945"/>
      <c r="Q3945"/>
      <c r="R3945"/>
      <c r="S3945"/>
    </row>
    <row r="3946" spans="1:19" x14ac:dyDescent="0.25">
      <c r="A3946" t="s">
        <v>193</v>
      </c>
      <c r="C3946" s="27" t="s">
        <v>34749</v>
      </c>
      <c r="D3946" s="28" t="s">
        <v>34867</v>
      </c>
      <c r="J3946" t="s">
        <v>10869</v>
      </c>
      <c r="K3946" t="s">
        <v>10870</v>
      </c>
      <c r="L3946" s="28" t="s">
        <v>10871</v>
      </c>
      <c r="M3946" t="s">
        <v>23</v>
      </c>
      <c r="N3946"/>
      <c r="O3946"/>
      <c r="P3946"/>
      <c r="Q3946"/>
      <c r="R3946"/>
      <c r="S3946"/>
    </row>
    <row r="3947" spans="1:19" x14ac:dyDescent="0.25">
      <c r="A3947" t="s">
        <v>193</v>
      </c>
      <c r="C3947" s="27" t="s">
        <v>34749</v>
      </c>
      <c r="D3947" s="28" t="s">
        <v>34867</v>
      </c>
      <c r="J3947" t="s">
        <v>10872</v>
      </c>
      <c r="K3947" t="s">
        <v>10873</v>
      </c>
      <c r="L3947" s="28" t="s">
        <v>10874</v>
      </c>
      <c r="M3947" t="s">
        <v>23</v>
      </c>
      <c r="N3947"/>
      <c r="O3947"/>
      <c r="P3947"/>
      <c r="Q3947"/>
      <c r="R3947"/>
      <c r="S3947"/>
    </row>
    <row r="3948" spans="1:19" x14ac:dyDescent="0.25">
      <c r="A3948" t="s">
        <v>193</v>
      </c>
      <c r="C3948" s="27" t="s">
        <v>34749</v>
      </c>
      <c r="D3948" s="28" t="s">
        <v>34867</v>
      </c>
      <c r="J3948" t="s">
        <v>10875</v>
      </c>
      <c r="K3948" t="s">
        <v>10876</v>
      </c>
      <c r="L3948" s="28" t="s">
        <v>10877</v>
      </c>
      <c r="M3948" t="s">
        <v>23</v>
      </c>
      <c r="N3948"/>
      <c r="O3948"/>
      <c r="P3948"/>
      <c r="Q3948"/>
      <c r="R3948"/>
      <c r="S3948"/>
    </row>
    <row r="3949" spans="1:19" x14ac:dyDescent="0.25">
      <c r="A3949" t="s">
        <v>193</v>
      </c>
      <c r="C3949" s="27" t="s">
        <v>34749</v>
      </c>
      <c r="D3949" s="28" t="s">
        <v>34867</v>
      </c>
      <c r="J3949" t="s">
        <v>10878</v>
      </c>
      <c r="K3949" t="s">
        <v>10879</v>
      </c>
      <c r="L3949" s="28" t="s">
        <v>10880</v>
      </c>
      <c r="M3949" t="s">
        <v>23</v>
      </c>
      <c r="N3949"/>
      <c r="O3949"/>
      <c r="P3949"/>
      <c r="Q3949"/>
      <c r="R3949"/>
      <c r="S3949"/>
    </row>
    <row r="3950" spans="1:19" x14ac:dyDescent="0.25">
      <c r="A3950" t="s">
        <v>193</v>
      </c>
      <c r="C3950" s="27" t="s">
        <v>34749</v>
      </c>
      <c r="D3950" s="28" t="s">
        <v>34867</v>
      </c>
      <c r="J3950" t="s">
        <v>10881</v>
      </c>
      <c r="K3950" t="s">
        <v>10882</v>
      </c>
      <c r="L3950" s="28" t="s">
        <v>10883</v>
      </c>
      <c r="M3950" t="s">
        <v>23</v>
      </c>
      <c r="N3950"/>
      <c r="O3950"/>
      <c r="P3950"/>
      <c r="Q3950"/>
      <c r="R3950"/>
      <c r="S3950"/>
    </row>
    <row r="3951" spans="1:19" x14ac:dyDescent="0.25">
      <c r="A3951" t="s">
        <v>193</v>
      </c>
      <c r="C3951" s="27" t="s">
        <v>34749</v>
      </c>
      <c r="D3951" s="28" t="s">
        <v>34867</v>
      </c>
      <c r="J3951" t="s">
        <v>10884</v>
      </c>
      <c r="K3951" t="s">
        <v>10885</v>
      </c>
      <c r="L3951" s="28" t="s">
        <v>10886</v>
      </c>
      <c r="M3951" t="s">
        <v>23</v>
      </c>
      <c r="N3951"/>
      <c r="O3951"/>
      <c r="P3951"/>
      <c r="Q3951"/>
      <c r="R3951"/>
      <c r="S3951"/>
    </row>
    <row r="3952" spans="1:19" x14ac:dyDescent="0.25">
      <c r="A3952" t="s">
        <v>193</v>
      </c>
      <c r="C3952" s="27" t="s">
        <v>34749</v>
      </c>
      <c r="D3952" s="28" t="s">
        <v>34867</v>
      </c>
      <c r="J3952" t="s">
        <v>10887</v>
      </c>
      <c r="K3952" t="s">
        <v>10888</v>
      </c>
      <c r="L3952" s="28" t="s">
        <v>10889</v>
      </c>
      <c r="M3952" t="s">
        <v>23</v>
      </c>
      <c r="N3952"/>
      <c r="O3952"/>
      <c r="P3952"/>
      <c r="Q3952"/>
      <c r="R3952"/>
      <c r="S3952"/>
    </row>
    <row r="3953" spans="1:19" x14ac:dyDescent="0.25">
      <c r="A3953" t="s">
        <v>193</v>
      </c>
      <c r="C3953" s="27" t="s">
        <v>34749</v>
      </c>
      <c r="D3953" s="28" t="s">
        <v>34867</v>
      </c>
      <c r="J3953" t="s">
        <v>10890</v>
      </c>
      <c r="K3953" t="s">
        <v>10891</v>
      </c>
      <c r="L3953" s="28" t="s">
        <v>10892</v>
      </c>
      <c r="M3953" t="s">
        <v>23</v>
      </c>
      <c r="N3953"/>
      <c r="O3953"/>
      <c r="P3953"/>
      <c r="Q3953"/>
      <c r="R3953"/>
      <c r="S3953"/>
    </row>
    <row r="3954" spans="1:19" x14ac:dyDescent="0.25">
      <c r="A3954" t="s">
        <v>193</v>
      </c>
      <c r="C3954" s="27" t="s">
        <v>34749</v>
      </c>
      <c r="D3954" s="28" t="s">
        <v>34867</v>
      </c>
      <c r="J3954" t="s">
        <v>10893</v>
      </c>
      <c r="K3954" t="s">
        <v>10894</v>
      </c>
      <c r="L3954" s="28" t="s">
        <v>10895</v>
      </c>
      <c r="M3954" t="s">
        <v>23</v>
      </c>
      <c r="N3954"/>
      <c r="O3954"/>
      <c r="P3954"/>
      <c r="Q3954"/>
      <c r="R3954"/>
      <c r="S3954"/>
    </row>
    <row r="3955" spans="1:19" x14ac:dyDescent="0.25">
      <c r="A3955" t="s">
        <v>193</v>
      </c>
      <c r="C3955" s="27" t="s">
        <v>34749</v>
      </c>
      <c r="D3955" s="28" t="s">
        <v>34867</v>
      </c>
      <c r="J3955" t="s">
        <v>10896</v>
      </c>
      <c r="K3955" t="s">
        <v>10897</v>
      </c>
      <c r="L3955" s="28" t="s">
        <v>10898</v>
      </c>
      <c r="M3955" t="s">
        <v>23</v>
      </c>
      <c r="N3955"/>
      <c r="O3955"/>
      <c r="P3955"/>
      <c r="Q3955"/>
      <c r="R3955"/>
      <c r="S3955"/>
    </row>
    <row r="3956" spans="1:19" x14ac:dyDescent="0.25">
      <c r="A3956" t="s">
        <v>193</v>
      </c>
      <c r="C3956" s="27" t="s">
        <v>34749</v>
      </c>
      <c r="D3956" s="28" t="s">
        <v>34867</v>
      </c>
      <c r="J3956" t="s">
        <v>10899</v>
      </c>
      <c r="K3956" t="s">
        <v>10900</v>
      </c>
      <c r="L3956" s="28" t="s">
        <v>10901</v>
      </c>
      <c r="M3956" t="s">
        <v>23</v>
      </c>
      <c r="N3956"/>
      <c r="O3956"/>
      <c r="P3956"/>
      <c r="Q3956"/>
      <c r="R3956"/>
      <c r="S3956"/>
    </row>
    <row r="3957" spans="1:19" x14ac:dyDescent="0.25">
      <c r="A3957" t="s">
        <v>193</v>
      </c>
      <c r="C3957" s="27" t="s">
        <v>34749</v>
      </c>
      <c r="D3957" s="28" t="s">
        <v>34867</v>
      </c>
      <c r="J3957" t="s">
        <v>10902</v>
      </c>
      <c r="K3957" t="s">
        <v>10903</v>
      </c>
      <c r="L3957" s="28" t="s">
        <v>10904</v>
      </c>
      <c r="M3957" t="s">
        <v>23</v>
      </c>
      <c r="N3957"/>
      <c r="O3957"/>
      <c r="P3957"/>
      <c r="Q3957"/>
      <c r="R3957"/>
      <c r="S3957"/>
    </row>
    <row r="3958" spans="1:19" x14ac:dyDescent="0.25">
      <c r="A3958" t="s">
        <v>193</v>
      </c>
      <c r="C3958" s="27" t="s">
        <v>34749</v>
      </c>
      <c r="D3958" s="28" t="s">
        <v>34867</v>
      </c>
      <c r="J3958" t="s">
        <v>10905</v>
      </c>
      <c r="K3958" t="s">
        <v>10906</v>
      </c>
      <c r="L3958" s="28" t="s">
        <v>10907</v>
      </c>
      <c r="M3958" t="s">
        <v>23</v>
      </c>
      <c r="N3958"/>
      <c r="O3958"/>
      <c r="P3958"/>
      <c r="Q3958"/>
      <c r="R3958"/>
      <c r="S3958"/>
    </row>
    <row r="3959" spans="1:19" x14ac:dyDescent="0.25">
      <c r="A3959" t="s">
        <v>193</v>
      </c>
      <c r="C3959" s="27" t="s">
        <v>34749</v>
      </c>
      <c r="D3959" s="28" t="s">
        <v>34867</v>
      </c>
      <c r="J3959" t="s">
        <v>10908</v>
      </c>
      <c r="K3959" t="s">
        <v>10909</v>
      </c>
      <c r="L3959" s="28" t="s">
        <v>10910</v>
      </c>
      <c r="M3959" t="s">
        <v>23</v>
      </c>
      <c r="N3959"/>
      <c r="O3959"/>
      <c r="P3959"/>
      <c r="Q3959"/>
      <c r="R3959"/>
      <c r="S3959"/>
    </row>
    <row r="3960" spans="1:19" x14ac:dyDescent="0.25">
      <c r="A3960" t="s">
        <v>193</v>
      </c>
      <c r="C3960" s="27" t="s">
        <v>34749</v>
      </c>
      <c r="D3960" s="28" t="s">
        <v>34867</v>
      </c>
      <c r="J3960" t="s">
        <v>10911</v>
      </c>
      <c r="K3960" t="s">
        <v>10912</v>
      </c>
      <c r="L3960" s="28" t="s">
        <v>10913</v>
      </c>
      <c r="M3960" t="s">
        <v>23</v>
      </c>
      <c r="N3960"/>
      <c r="O3960"/>
      <c r="P3960"/>
      <c r="Q3960"/>
      <c r="R3960"/>
      <c r="S3960"/>
    </row>
    <row r="3961" spans="1:19" x14ac:dyDescent="0.25">
      <c r="A3961" t="s">
        <v>193</v>
      </c>
      <c r="C3961" s="27" t="s">
        <v>34749</v>
      </c>
      <c r="D3961" s="28" t="s">
        <v>34867</v>
      </c>
      <c r="J3961" t="s">
        <v>10914</v>
      </c>
      <c r="K3961" t="s">
        <v>10915</v>
      </c>
      <c r="L3961" s="28" t="s">
        <v>10916</v>
      </c>
      <c r="M3961" t="s">
        <v>23</v>
      </c>
      <c r="N3961"/>
      <c r="O3961"/>
      <c r="P3961"/>
      <c r="Q3961"/>
      <c r="R3961"/>
      <c r="S3961"/>
    </row>
    <row r="3962" spans="1:19" x14ac:dyDescent="0.25">
      <c r="A3962" t="s">
        <v>193</v>
      </c>
      <c r="C3962" s="27" t="s">
        <v>34749</v>
      </c>
      <c r="D3962" s="28" t="s">
        <v>34867</v>
      </c>
      <c r="J3962" t="s">
        <v>10917</v>
      </c>
      <c r="K3962" t="s">
        <v>10918</v>
      </c>
      <c r="L3962" s="28" t="s">
        <v>10919</v>
      </c>
      <c r="M3962" t="s">
        <v>23</v>
      </c>
      <c r="N3962"/>
      <c r="O3962"/>
      <c r="P3962"/>
      <c r="Q3962"/>
      <c r="R3962"/>
      <c r="S3962"/>
    </row>
    <row r="3963" spans="1:19" x14ac:dyDescent="0.25">
      <c r="A3963" t="s">
        <v>193</v>
      </c>
      <c r="C3963" s="27" t="s">
        <v>34749</v>
      </c>
      <c r="D3963" s="28" t="s">
        <v>34867</v>
      </c>
      <c r="J3963" t="s">
        <v>10920</v>
      </c>
      <c r="K3963" t="s">
        <v>10921</v>
      </c>
      <c r="L3963" s="28" t="s">
        <v>10922</v>
      </c>
      <c r="M3963" t="s">
        <v>23</v>
      </c>
      <c r="N3963"/>
      <c r="O3963"/>
      <c r="P3963"/>
      <c r="Q3963"/>
      <c r="R3963"/>
      <c r="S3963"/>
    </row>
    <row r="3964" spans="1:19" x14ac:dyDescent="0.25">
      <c r="A3964" t="s">
        <v>193</v>
      </c>
      <c r="C3964" s="27" t="s">
        <v>34749</v>
      </c>
      <c r="D3964" s="28" t="s">
        <v>34867</v>
      </c>
      <c r="J3964" t="s">
        <v>10923</v>
      </c>
      <c r="K3964" t="s">
        <v>10924</v>
      </c>
      <c r="L3964" s="28" t="s">
        <v>10925</v>
      </c>
      <c r="M3964" t="s">
        <v>23</v>
      </c>
      <c r="N3964"/>
      <c r="O3964"/>
      <c r="P3964"/>
      <c r="Q3964"/>
      <c r="R3964"/>
      <c r="S3964"/>
    </row>
    <row r="3965" spans="1:19" x14ac:dyDescent="0.25">
      <c r="A3965" t="s">
        <v>193</v>
      </c>
      <c r="C3965" s="27" t="s">
        <v>34749</v>
      </c>
      <c r="D3965" s="28" t="s">
        <v>34867</v>
      </c>
      <c r="J3965" t="s">
        <v>10926</v>
      </c>
      <c r="K3965" t="s">
        <v>10927</v>
      </c>
      <c r="L3965" s="28" t="s">
        <v>10928</v>
      </c>
      <c r="M3965" t="s">
        <v>23</v>
      </c>
      <c r="N3965"/>
      <c r="O3965"/>
      <c r="P3965"/>
      <c r="Q3965"/>
      <c r="R3965"/>
      <c r="S3965"/>
    </row>
    <row r="3966" spans="1:19" x14ac:dyDescent="0.25">
      <c r="A3966" t="s">
        <v>193</v>
      </c>
      <c r="C3966" s="27" t="s">
        <v>34749</v>
      </c>
      <c r="D3966" s="28" t="s">
        <v>34867</v>
      </c>
      <c r="J3966" t="s">
        <v>10929</v>
      </c>
      <c r="K3966" t="s">
        <v>10930</v>
      </c>
      <c r="L3966" s="28" t="s">
        <v>10931</v>
      </c>
      <c r="M3966" t="s">
        <v>23</v>
      </c>
      <c r="N3966"/>
      <c r="O3966"/>
      <c r="P3966"/>
      <c r="Q3966"/>
      <c r="R3966"/>
      <c r="S3966"/>
    </row>
    <row r="3967" spans="1:19" x14ac:dyDescent="0.25">
      <c r="A3967" t="s">
        <v>193</v>
      </c>
      <c r="C3967" s="27" t="s">
        <v>34749</v>
      </c>
      <c r="D3967" s="28" t="s">
        <v>34867</v>
      </c>
      <c r="J3967" t="s">
        <v>10932</v>
      </c>
      <c r="K3967" t="s">
        <v>10933</v>
      </c>
      <c r="L3967" s="28" t="s">
        <v>10934</v>
      </c>
      <c r="M3967" t="s">
        <v>23</v>
      </c>
      <c r="N3967"/>
      <c r="O3967"/>
      <c r="P3967"/>
      <c r="Q3967"/>
      <c r="R3967"/>
      <c r="S3967"/>
    </row>
    <row r="3968" spans="1:19" x14ac:dyDescent="0.25">
      <c r="A3968" t="s">
        <v>193</v>
      </c>
      <c r="C3968" s="27" t="s">
        <v>34749</v>
      </c>
      <c r="D3968" s="28" t="s">
        <v>34867</v>
      </c>
      <c r="J3968" t="s">
        <v>10935</v>
      </c>
      <c r="K3968" t="s">
        <v>10936</v>
      </c>
      <c r="L3968" s="28" t="s">
        <v>10937</v>
      </c>
      <c r="M3968" t="s">
        <v>23</v>
      </c>
      <c r="N3968"/>
      <c r="O3968"/>
      <c r="P3968"/>
      <c r="Q3968"/>
      <c r="R3968"/>
      <c r="S3968"/>
    </row>
    <row r="3969" spans="1:19" x14ac:dyDescent="0.25">
      <c r="A3969" t="s">
        <v>193</v>
      </c>
      <c r="C3969" s="27" t="s">
        <v>34749</v>
      </c>
      <c r="D3969" s="28" t="s">
        <v>34867</v>
      </c>
      <c r="J3969" t="s">
        <v>10938</v>
      </c>
      <c r="K3969" t="s">
        <v>10939</v>
      </c>
      <c r="L3969" s="28" t="s">
        <v>10940</v>
      </c>
      <c r="M3969" t="s">
        <v>23</v>
      </c>
      <c r="N3969"/>
      <c r="O3969"/>
      <c r="P3969"/>
      <c r="Q3969"/>
      <c r="R3969"/>
      <c r="S3969"/>
    </row>
    <row r="3970" spans="1:19" x14ac:dyDescent="0.25">
      <c r="A3970" t="s">
        <v>193</v>
      </c>
      <c r="C3970" s="27" t="s">
        <v>34749</v>
      </c>
      <c r="D3970" s="28" t="s">
        <v>34867</v>
      </c>
      <c r="J3970" t="s">
        <v>10941</v>
      </c>
      <c r="K3970" t="s">
        <v>10942</v>
      </c>
      <c r="L3970" s="28" t="s">
        <v>10943</v>
      </c>
      <c r="M3970" t="s">
        <v>23</v>
      </c>
      <c r="N3970"/>
      <c r="O3970"/>
      <c r="P3970"/>
      <c r="Q3970"/>
      <c r="R3970"/>
      <c r="S3970"/>
    </row>
    <row r="3971" spans="1:19" x14ac:dyDescent="0.25">
      <c r="A3971" t="s">
        <v>193</v>
      </c>
      <c r="C3971" s="27" t="s">
        <v>34749</v>
      </c>
      <c r="D3971" s="28" t="s">
        <v>34867</v>
      </c>
      <c r="J3971" t="s">
        <v>10944</v>
      </c>
      <c r="K3971" t="s">
        <v>10945</v>
      </c>
      <c r="L3971" s="28" t="s">
        <v>10946</v>
      </c>
      <c r="M3971" t="s">
        <v>23</v>
      </c>
      <c r="N3971"/>
      <c r="O3971"/>
      <c r="P3971"/>
      <c r="Q3971"/>
      <c r="R3971"/>
      <c r="S3971"/>
    </row>
    <row r="3972" spans="1:19" x14ac:dyDescent="0.25">
      <c r="A3972" t="s">
        <v>193</v>
      </c>
      <c r="C3972" s="27" t="s">
        <v>34749</v>
      </c>
      <c r="D3972" s="28" t="s">
        <v>34867</v>
      </c>
      <c r="J3972" t="s">
        <v>10947</v>
      </c>
      <c r="K3972" t="s">
        <v>10948</v>
      </c>
      <c r="L3972" s="28" t="s">
        <v>10949</v>
      </c>
      <c r="M3972" t="s">
        <v>23</v>
      </c>
      <c r="N3972"/>
      <c r="O3972"/>
      <c r="P3972"/>
      <c r="Q3972"/>
      <c r="R3972"/>
      <c r="S3972"/>
    </row>
    <row r="3973" spans="1:19" x14ac:dyDescent="0.25">
      <c r="A3973" t="s">
        <v>193</v>
      </c>
      <c r="C3973" s="27" t="s">
        <v>34749</v>
      </c>
      <c r="D3973" s="28" t="s">
        <v>34867</v>
      </c>
      <c r="J3973" t="s">
        <v>10950</v>
      </c>
      <c r="K3973" t="s">
        <v>10951</v>
      </c>
      <c r="L3973" s="28" t="s">
        <v>10952</v>
      </c>
      <c r="M3973" t="s">
        <v>23</v>
      </c>
      <c r="N3973"/>
      <c r="O3973"/>
      <c r="P3973"/>
      <c r="Q3973"/>
      <c r="R3973"/>
      <c r="S3973"/>
    </row>
    <row r="3974" spans="1:19" x14ac:dyDescent="0.25">
      <c r="A3974" t="s">
        <v>193</v>
      </c>
      <c r="C3974" s="27" t="s">
        <v>34749</v>
      </c>
      <c r="D3974" s="28" t="s">
        <v>34867</v>
      </c>
      <c r="J3974" t="s">
        <v>10953</v>
      </c>
      <c r="K3974" t="s">
        <v>10954</v>
      </c>
      <c r="L3974" s="28" t="s">
        <v>10955</v>
      </c>
      <c r="M3974" t="s">
        <v>23</v>
      </c>
      <c r="N3974"/>
      <c r="O3974"/>
      <c r="P3974"/>
      <c r="Q3974"/>
      <c r="R3974"/>
      <c r="S3974"/>
    </row>
    <row r="3975" spans="1:19" x14ac:dyDescent="0.25">
      <c r="A3975" t="s">
        <v>193</v>
      </c>
      <c r="C3975" s="27" t="s">
        <v>34749</v>
      </c>
      <c r="D3975" s="28" t="s">
        <v>34867</v>
      </c>
      <c r="J3975" t="s">
        <v>10956</v>
      </c>
      <c r="K3975" t="s">
        <v>10957</v>
      </c>
      <c r="L3975" s="28" t="s">
        <v>10958</v>
      </c>
      <c r="M3975" t="s">
        <v>23</v>
      </c>
      <c r="N3975"/>
      <c r="O3975"/>
      <c r="P3975"/>
      <c r="Q3975"/>
      <c r="R3975"/>
      <c r="S3975"/>
    </row>
    <row r="3976" spans="1:19" x14ac:dyDescent="0.25">
      <c r="A3976" t="s">
        <v>193</v>
      </c>
      <c r="C3976" s="27" t="s">
        <v>34749</v>
      </c>
      <c r="D3976" s="28" t="s">
        <v>34867</v>
      </c>
      <c r="J3976" t="s">
        <v>10959</v>
      </c>
      <c r="K3976" t="s">
        <v>10960</v>
      </c>
      <c r="L3976" s="28" t="s">
        <v>10961</v>
      </c>
      <c r="M3976" t="s">
        <v>23</v>
      </c>
      <c r="N3976"/>
      <c r="O3976"/>
      <c r="P3976"/>
      <c r="Q3976"/>
      <c r="R3976"/>
      <c r="S3976"/>
    </row>
    <row r="3977" spans="1:19" x14ac:dyDescent="0.25">
      <c r="A3977" t="s">
        <v>193</v>
      </c>
      <c r="C3977" s="27" t="s">
        <v>34749</v>
      </c>
      <c r="D3977" s="28" t="s">
        <v>34867</v>
      </c>
      <c r="J3977" t="s">
        <v>10962</v>
      </c>
      <c r="K3977" t="s">
        <v>10963</v>
      </c>
      <c r="L3977" s="28" t="s">
        <v>10964</v>
      </c>
      <c r="M3977" t="s">
        <v>23</v>
      </c>
      <c r="N3977"/>
      <c r="O3977"/>
      <c r="P3977"/>
      <c r="Q3977"/>
      <c r="R3977"/>
      <c r="S3977"/>
    </row>
    <row r="3978" spans="1:19" x14ac:dyDescent="0.25">
      <c r="A3978" t="s">
        <v>193</v>
      </c>
      <c r="C3978" s="27" t="s">
        <v>34749</v>
      </c>
      <c r="D3978" s="28" t="s">
        <v>34867</v>
      </c>
      <c r="E3978" s="3"/>
      <c r="F3978" s="3"/>
      <c r="J3978" t="s">
        <v>10965</v>
      </c>
      <c r="K3978" t="s">
        <v>10966</v>
      </c>
      <c r="L3978" s="28" t="s">
        <v>10967</v>
      </c>
      <c r="M3978" t="s">
        <v>23</v>
      </c>
      <c r="N3978"/>
      <c r="O3978"/>
      <c r="P3978"/>
      <c r="Q3978"/>
      <c r="R3978"/>
      <c r="S3978"/>
    </row>
    <row r="3979" spans="1:19" x14ac:dyDescent="0.25">
      <c r="A3979" t="s">
        <v>193</v>
      </c>
      <c r="C3979" s="27" t="s">
        <v>34749</v>
      </c>
      <c r="D3979" s="28" t="s">
        <v>34867</v>
      </c>
      <c r="J3979" t="s">
        <v>10968</v>
      </c>
      <c r="K3979" t="s">
        <v>10969</v>
      </c>
      <c r="L3979" s="28" t="s">
        <v>10970</v>
      </c>
      <c r="M3979" t="s">
        <v>23</v>
      </c>
      <c r="N3979"/>
      <c r="O3979"/>
      <c r="P3979"/>
      <c r="Q3979"/>
      <c r="R3979"/>
      <c r="S3979"/>
    </row>
    <row r="3980" spans="1:19" x14ac:dyDescent="0.25">
      <c r="A3980" t="s">
        <v>193</v>
      </c>
      <c r="C3980" s="27" t="s">
        <v>34749</v>
      </c>
      <c r="D3980" s="28" t="s">
        <v>34867</v>
      </c>
      <c r="J3980" t="s">
        <v>10971</v>
      </c>
      <c r="K3980" t="s">
        <v>10972</v>
      </c>
      <c r="L3980" s="28" t="s">
        <v>10973</v>
      </c>
      <c r="M3980" t="s">
        <v>23</v>
      </c>
      <c r="N3980"/>
      <c r="O3980"/>
      <c r="P3980"/>
      <c r="Q3980"/>
      <c r="R3980"/>
      <c r="S3980"/>
    </row>
    <row r="3981" spans="1:19" x14ac:dyDescent="0.25">
      <c r="A3981" t="s">
        <v>193</v>
      </c>
      <c r="C3981" s="27" t="s">
        <v>34749</v>
      </c>
      <c r="D3981" s="28" t="s">
        <v>34867</v>
      </c>
      <c r="J3981" t="s">
        <v>10974</v>
      </c>
      <c r="K3981" t="s">
        <v>10975</v>
      </c>
      <c r="L3981" s="28" t="s">
        <v>10976</v>
      </c>
      <c r="M3981" t="s">
        <v>23</v>
      </c>
      <c r="N3981"/>
      <c r="O3981"/>
      <c r="P3981"/>
      <c r="Q3981"/>
      <c r="R3981"/>
      <c r="S3981"/>
    </row>
    <row r="3982" spans="1:19" x14ac:dyDescent="0.25">
      <c r="A3982" t="s">
        <v>193</v>
      </c>
      <c r="C3982" s="27" t="s">
        <v>34749</v>
      </c>
      <c r="D3982" s="28" t="s">
        <v>34867</v>
      </c>
      <c r="J3982" t="s">
        <v>10977</v>
      </c>
      <c r="K3982" t="s">
        <v>10978</v>
      </c>
      <c r="L3982" s="28" t="s">
        <v>10979</v>
      </c>
      <c r="M3982" t="s">
        <v>23</v>
      </c>
      <c r="N3982"/>
      <c r="O3982"/>
      <c r="P3982"/>
      <c r="Q3982"/>
      <c r="R3982"/>
      <c r="S3982"/>
    </row>
    <row r="3983" spans="1:19" x14ac:dyDescent="0.25">
      <c r="A3983" t="s">
        <v>193</v>
      </c>
      <c r="C3983" s="27" t="s">
        <v>34749</v>
      </c>
      <c r="D3983" s="28" t="s">
        <v>34867</v>
      </c>
      <c r="J3983" t="s">
        <v>10980</v>
      </c>
      <c r="K3983" t="s">
        <v>10981</v>
      </c>
      <c r="L3983" s="28" t="s">
        <v>10982</v>
      </c>
      <c r="M3983" t="s">
        <v>23</v>
      </c>
      <c r="N3983"/>
      <c r="O3983"/>
      <c r="P3983"/>
      <c r="Q3983"/>
      <c r="R3983"/>
      <c r="S3983"/>
    </row>
    <row r="3984" spans="1:19" x14ac:dyDescent="0.25">
      <c r="A3984" t="s">
        <v>193</v>
      </c>
      <c r="C3984" s="27" t="s">
        <v>34749</v>
      </c>
      <c r="D3984" s="28" t="s">
        <v>34867</v>
      </c>
      <c r="J3984" t="s">
        <v>10983</v>
      </c>
      <c r="K3984" t="s">
        <v>10984</v>
      </c>
      <c r="L3984" s="28" t="s">
        <v>10985</v>
      </c>
      <c r="M3984" t="s">
        <v>23</v>
      </c>
      <c r="N3984"/>
      <c r="O3984"/>
      <c r="P3984"/>
      <c r="Q3984"/>
      <c r="R3984"/>
      <c r="S3984"/>
    </row>
    <row r="3985" spans="1:19" x14ac:dyDescent="0.25">
      <c r="A3985" t="s">
        <v>193</v>
      </c>
      <c r="C3985" s="27" t="s">
        <v>34749</v>
      </c>
      <c r="D3985" s="28" t="s">
        <v>34867</v>
      </c>
      <c r="J3985" t="s">
        <v>10986</v>
      </c>
      <c r="K3985" t="s">
        <v>10987</v>
      </c>
      <c r="L3985" s="28" t="s">
        <v>10988</v>
      </c>
      <c r="M3985" t="s">
        <v>23</v>
      </c>
      <c r="N3985"/>
      <c r="O3985"/>
      <c r="P3985"/>
      <c r="Q3985"/>
      <c r="R3985"/>
      <c r="S3985"/>
    </row>
    <row r="3986" spans="1:19" x14ac:dyDescent="0.25">
      <c r="A3986" t="s">
        <v>193</v>
      </c>
      <c r="C3986" s="27" t="s">
        <v>34749</v>
      </c>
      <c r="D3986" s="28" t="s">
        <v>34867</v>
      </c>
      <c r="J3986" t="s">
        <v>10989</v>
      </c>
      <c r="K3986" t="s">
        <v>10990</v>
      </c>
      <c r="L3986" s="28" t="s">
        <v>10991</v>
      </c>
      <c r="M3986" t="s">
        <v>23</v>
      </c>
      <c r="N3986"/>
      <c r="O3986"/>
      <c r="P3986"/>
      <c r="Q3986"/>
      <c r="R3986"/>
      <c r="S3986"/>
    </row>
    <row r="3987" spans="1:19" x14ac:dyDescent="0.25">
      <c r="A3987" t="s">
        <v>193</v>
      </c>
      <c r="C3987" s="27" t="s">
        <v>34749</v>
      </c>
      <c r="D3987" s="28" t="s">
        <v>34867</v>
      </c>
      <c r="J3987" t="s">
        <v>10992</v>
      </c>
      <c r="K3987" t="s">
        <v>10993</v>
      </c>
      <c r="L3987" s="28" t="s">
        <v>10994</v>
      </c>
      <c r="M3987" t="s">
        <v>23</v>
      </c>
      <c r="N3987"/>
      <c r="O3987"/>
      <c r="P3987"/>
      <c r="Q3987"/>
      <c r="R3987"/>
      <c r="S3987"/>
    </row>
    <row r="3988" spans="1:19" x14ac:dyDescent="0.25">
      <c r="A3988" t="s">
        <v>193</v>
      </c>
      <c r="C3988" s="27" t="s">
        <v>34749</v>
      </c>
      <c r="D3988" s="28" t="s">
        <v>34867</v>
      </c>
      <c r="J3988" t="s">
        <v>10995</v>
      </c>
      <c r="K3988" t="s">
        <v>10996</v>
      </c>
      <c r="L3988" s="28" t="s">
        <v>10997</v>
      </c>
      <c r="M3988" t="s">
        <v>23</v>
      </c>
      <c r="N3988"/>
      <c r="O3988"/>
      <c r="P3988"/>
      <c r="Q3988"/>
      <c r="R3988"/>
      <c r="S3988"/>
    </row>
    <row r="3989" spans="1:19" x14ac:dyDescent="0.25">
      <c r="A3989" t="s">
        <v>193</v>
      </c>
      <c r="C3989" s="27" t="s">
        <v>34749</v>
      </c>
      <c r="D3989" s="28" t="s">
        <v>34867</v>
      </c>
      <c r="J3989" t="s">
        <v>10998</v>
      </c>
      <c r="K3989" t="s">
        <v>10999</v>
      </c>
      <c r="L3989" s="28" t="s">
        <v>11000</v>
      </c>
      <c r="M3989" t="s">
        <v>23</v>
      </c>
      <c r="N3989"/>
      <c r="O3989"/>
      <c r="P3989"/>
      <c r="Q3989"/>
      <c r="R3989"/>
      <c r="S3989"/>
    </row>
    <row r="3990" spans="1:19" x14ac:dyDescent="0.25">
      <c r="A3990" t="s">
        <v>193</v>
      </c>
      <c r="C3990" s="27" t="s">
        <v>34749</v>
      </c>
      <c r="D3990" s="28" t="s">
        <v>34867</v>
      </c>
      <c r="J3990" t="s">
        <v>11001</v>
      </c>
      <c r="K3990" t="s">
        <v>11002</v>
      </c>
      <c r="L3990" s="28" t="s">
        <v>11003</v>
      </c>
      <c r="M3990" t="s">
        <v>23</v>
      </c>
      <c r="N3990"/>
      <c r="O3990"/>
      <c r="P3990"/>
      <c r="Q3990"/>
      <c r="R3990"/>
      <c r="S3990"/>
    </row>
    <row r="3991" spans="1:19" x14ac:dyDescent="0.25">
      <c r="A3991" t="s">
        <v>193</v>
      </c>
      <c r="C3991" s="27" t="s">
        <v>34749</v>
      </c>
      <c r="D3991" s="28" t="s">
        <v>34867</v>
      </c>
      <c r="J3991" t="s">
        <v>11004</v>
      </c>
      <c r="K3991" t="s">
        <v>11005</v>
      </c>
      <c r="L3991" s="28" t="s">
        <v>11006</v>
      </c>
      <c r="M3991" t="s">
        <v>23</v>
      </c>
      <c r="N3991"/>
      <c r="O3991"/>
      <c r="P3991"/>
      <c r="Q3991"/>
      <c r="R3991"/>
      <c r="S3991"/>
    </row>
    <row r="3992" spans="1:19" x14ac:dyDescent="0.25">
      <c r="A3992" t="s">
        <v>193</v>
      </c>
      <c r="C3992" s="27" t="s">
        <v>34749</v>
      </c>
      <c r="D3992" s="28" t="s">
        <v>34867</v>
      </c>
      <c r="J3992" t="s">
        <v>11007</v>
      </c>
      <c r="K3992" t="s">
        <v>11008</v>
      </c>
      <c r="L3992" s="28" t="s">
        <v>11009</v>
      </c>
      <c r="M3992" t="s">
        <v>23</v>
      </c>
      <c r="N3992"/>
      <c r="O3992"/>
      <c r="P3992"/>
      <c r="Q3992"/>
      <c r="R3992"/>
      <c r="S3992"/>
    </row>
    <row r="3993" spans="1:19" x14ac:dyDescent="0.25">
      <c r="A3993" t="s">
        <v>193</v>
      </c>
      <c r="C3993" s="27" t="s">
        <v>34749</v>
      </c>
      <c r="D3993" s="28" t="s">
        <v>34867</v>
      </c>
      <c r="J3993" t="s">
        <v>11010</v>
      </c>
      <c r="K3993" t="s">
        <v>11011</v>
      </c>
      <c r="L3993" s="28" t="s">
        <v>11012</v>
      </c>
      <c r="M3993" t="s">
        <v>23</v>
      </c>
      <c r="N3993"/>
      <c r="O3993"/>
      <c r="P3993"/>
      <c r="Q3993"/>
      <c r="R3993"/>
      <c r="S3993"/>
    </row>
    <row r="3994" spans="1:19" x14ac:dyDescent="0.25">
      <c r="A3994" t="s">
        <v>193</v>
      </c>
      <c r="C3994" s="27" t="s">
        <v>34749</v>
      </c>
      <c r="D3994" s="28" t="s">
        <v>34867</v>
      </c>
      <c r="E3994" s="3"/>
      <c r="F3994" s="3"/>
      <c r="J3994" t="s">
        <v>11013</v>
      </c>
      <c r="K3994" t="s">
        <v>11014</v>
      </c>
      <c r="L3994" s="28" t="s">
        <v>11015</v>
      </c>
      <c r="M3994" t="s">
        <v>23</v>
      </c>
      <c r="N3994"/>
      <c r="O3994"/>
      <c r="P3994"/>
      <c r="Q3994"/>
      <c r="R3994"/>
      <c r="S3994"/>
    </row>
    <row r="3995" spans="1:19" x14ac:dyDescent="0.25">
      <c r="A3995" t="s">
        <v>193</v>
      </c>
      <c r="C3995" s="27" t="s">
        <v>34749</v>
      </c>
      <c r="D3995" s="28" t="s">
        <v>34867</v>
      </c>
      <c r="J3995" t="s">
        <v>11016</v>
      </c>
      <c r="K3995" t="s">
        <v>11017</v>
      </c>
      <c r="L3995" s="28" t="s">
        <v>11018</v>
      </c>
      <c r="M3995" t="s">
        <v>23</v>
      </c>
      <c r="N3995"/>
      <c r="O3995"/>
      <c r="P3995"/>
      <c r="Q3995"/>
      <c r="R3995"/>
      <c r="S3995"/>
    </row>
    <row r="3996" spans="1:19" x14ac:dyDescent="0.25">
      <c r="A3996" t="s">
        <v>193</v>
      </c>
      <c r="C3996" s="27" t="s">
        <v>34749</v>
      </c>
      <c r="D3996" s="28" t="s">
        <v>34867</v>
      </c>
      <c r="J3996" t="s">
        <v>11019</v>
      </c>
      <c r="K3996" t="s">
        <v>11020</v>
      </c>
      <c r="L3996" s="28" t="s">
        <v>11021</v>
      </c>
      <c r="M3996" t="s">
        <v>23</v>
      </c>
      <c r="N3996"/>
      <c r="O3996"/>
      <c r="P3996"/>
      <c r="Q3996"/>
      <c r="R3996"/>
      <c r="S3996"/>
    </row>
    <row r="3997" spans="1:19" x14ac:dyDescent="0.25">
      <c r="A3997" t="s">
        <v>193</v>
      </c>
      <c r="C3997" s="27" t="s">
        <v>34749</v>
      </c>
      <c r="D3997" s="28" t="s">
        <v>34867</v>
      </c>
      <c r="J3997" t="s">
        <v>11022</v>
      </c>
      <c r="K3997" t="s">
        <v>11023</v>
      </c>
      <c r="L3997" s="28" t="s">
        <v>11024</v>
      </c>
      <c r="M3997" t="s">
        <v>23</v>
      </c>
      <c r="N3997"/>
      <c r="O3997"/>
      <c r="P3997"/>
      <c r="Q3997"/>
      <c r="R3997"/>
      <c r="S3997"/>
    </row>
    <row r="3998" spans="1:19" x14ac:dyDescent="0.25">
      <c r="A3998" t="s">
        <v>193</v>
      </c>
      <c r="C3998" s="27" t="s">
        <v>34749</v>
      </c>
      <c r="D3998" s="28" t="s">
        <v>34867</v>
      </c>
      <c r="J3998" t="s">
        <v>11025</v>
      </c>
      <c r="K3998" t="s">
        <v>11026</v>
      </c>
      <c r="L3998" s="28" t="s">
        <v>11027</v>
      </c>
      <c r="M3998" t="s">
        <v>23</v>
      </c>
      <c r="N3998"/>
      <c r="O3998"/>
      <c r="P3998"/>
      <c r="Q3998"/>
      <c r="R3998"/>
      <c r="S3998"/>
    </row>
    <row r="3999" spans="1:19" x14ac:dyDescent="0.25">
      <c r="A3999" t="s">
        <v>193</v>
      </c>
      <c r="C3999" s="27" t="s">
        <v>34749</v>
      </c>
      <c r="D3999" s="28" t="s">
        <v>34867</v>
      </c>
      <c r="J3999" t="s">
        <v>11028</v>
      </c>
      <c r="K3999" t="s">
        <v>11029</v>
      </c>
      <c r="L3999" s="28" t="s">
        <v>11030</v>
      </c>
      <c r="M3999" t="s">
        <v>23</v>
      </c>
      <c r="N3999"/>
      <c r="O3999"/>
      <c r="P3999"/>
      <c r="Q3999"/>
      <c r="R3999"/>
      <c r="S3999"/>
    </row>
    <row r="4000" spans="1:19" x14ac:dyDescent="0.25">
      <c r="A4000" t="s">
        <v>193</v>
      </c>
      <c r="C4000" s="27" t="s">
        <v>34749</v>
      </c>
      <c r="D4000" s="28" t="s">
        <v>34867</v>
      </c>
      <c r="J4000" t="s">
        <v>11031</v>
      </c>
      <c r="K4000" t="s">
        <v>11032</v>
      </c>
      <c r="L4000" s="28" t="s">
        <v>11033</v>
      </c>
      <c r="M4000" t="s">
        <v>23</v>
      </c>
      <c r="N4000"/>
      <c r="O4000"/>
      <c r="P4000"/>
      <c r="Q4000"/>
      <c r="R4000"/>
      <c r="S4000"/>
    </row>
    <row r="4001" spans="1:19" x14ac:dyDescent="0.25">
      <c r="A4001" t="s">
        <v>193</v>
      </c>
      <c r="C4001" s="27" t="s">
        <v>34749</v>
      </c>
      <c r="D4001" s="28" t="s">
        <v>34867</v>
      </c>
      <c r="E4001" s="3"/>
      <c r="F4001" s="3"/>
      <c r="J4001" t="s">
        <v>11034</v>
      </c>
      <c r="K4001" t="s">
        <v>11035</v>
      </c>
      <c r="L4001" s="28" t="s">
        <v>11036</v>
      </c>
      <c r="M4001" t="s">
        <v>23</v>
      </c>
      <c r="N4001"/>
      <c r="O4001"/>
      <c r="P4001"/>
      <c r="Q4001"/>
      <c r="R4001"/>
      <c r="S4001"/>
    </row>
    <row r="4002" spans="1:19" x14ac:dyDescent="0.25">
      <c r="A4002" t="s">
        <v>193</v>
      </c>
      <c r="C4002" s="27" t="s">
        <v>34749</v>
      </c>
      <c r="D4002" s="28" t="s">
        <v>34867</v>
      </c>
      <c r="J4002" t="s">
        <v>11037</v>
      </c>
      <c r="K4002" t="s">
        <v>11038</v>
      </c>
      <c r="L4002" s="28" t="s">
        <v>11039</v>
      </c>
      <c r="M4002" t="s">
        <v>23</v>
      </c>
      <c r="N4002"/>
      <c r="O4002"/>
      <c r="P4002"/>
      <c r="Q4002"/>
      <c r="R4002"/>
      <c r="S4002"/>
    </row>
    <row r="4003" spans="1:19" x14ac:dyDescent="0.25">
      <c r="A4003" t="s">
        <v>193</v>
      </c>
      <c r="C4003" s="27" t="s">
        <v>34749</v>
      </c>
      <c r="D4003" s="28" t="s">
        <v>34867</v>
      </c>
      <c r="J4003" t="s">
        <v>11040</v>
      </c>
      <c r="K4003" t="s">
        <v>11041</v>
      </c>
      <c r="L4003" s="28" t="s">
        <v>11042</v>
      </c>
      <c r="M4003" t="s">
        <v>23</v>
      </c>
      <c r="N4003"/>
      <c r="O4003"/>
      <c r="P4003"/>
      <c r="Q4003"/>
      <c r="R4003"/>
      <c r="S4003"/>
    </row>
    <row r="4004" spans="1:19" x14ac:dyDescent="0.25">
      <c r="A4004" t="s">
        <v>193</v>
      </c>
      <c r="C4004" s="27" t="s">
        <v>34749</v>
      </c>
      <c r="D4004" s="28" t="s">
        <v>34867</v>
      </c>
      <c r="J4004" t="s">
        <v>11043</v>
      </c>
      <c r="K4004" t="s">
        <v>11044</v>
      </c>
      <c r="L4004" s="28" t="s">
        <v>11045</v>
      </c>
      <c r="M4004" t="s">
        <v>23</v>
      </c>
      <c r="N4004"/>
      <c r="O4004"/>
      <c r="P4004"/>
      <c r="Q4004"/>
      <c r="R4004"/>
      <c r="S4004"/>
    </row>
    <row r="4005" spans="1:19" x14ac:dyDescent="0.25">
      <c r="A4005" t="s">
        <v>193</v>
      </c>
      <c r="C4005" s="27" t="s">
        <v>34749</v>
      </c>
      <c r="D4005" s="28" t="s">
        <v>34867</v>
      </c>
      <c r="J4005" t="s">
        <v>11046</v>
      </c>
      <c r="K4005" t="s">
        <v>11047</v>
      </c>
      <c r="L4005" s="28" t="s">
        <v>11048</v>
      </c>
      <c r="M4005" t="s">
        <v>23</v>
      </c>
      <c r="N4005"/>
      <c r="O4005"/>
      <c r="P4005"/>
      <c r="Q4005"/>
      <c r="R4005"/>
      <c r="S4005"/>
    </row>
    <row r="4006" spans="1:19" x14ac:dyDescent="0.25">
      <c r="A4006" t="s">
        <v>193</v>
      </c>
      <c r="C4006" s="27" t="s">
        <v>34749</v>
      </c>
      <c r="D4006" s="28" t="s">
        <v>34867</v>
      </c>
      <c r="J4006" t="s">
        <v>11049</v>
      </c>
      <c r="K4006" t="s">
        <v>11050</v>
      </c>
      <c r="L4006" s="28" t="s">
        <v>11051</v>
      </c>
      <c r="M4006" t="s">
        <v>23</v>
      </c>
      <c r="N4006"/>
      <c r="O4006"/>
      <c r="P4006"/>
      <c r="Q4006"/>
      <c r="R4006"/>
      <c r="S4006"/>
    </row>
    <row r="4007" spans="1:19" x14ac:dyDescent="0.25">
      <c r="A4007" t="s">
        <v>193</v>
      </c>
      <c r="C4007" s="27" t="s">
        <v>34749</v>
      </c>
      <c r="D4007" s="28" t="s">
        <v>34867</v>
      </c>
      <c r="J4007" t="s">
        <v>11052</v>
      </c>
      <c r="K4007" t="s">
        <v>11053</v>
      </c>
      <c r="L4007" s="28" t="s">
        <v>11054</v>
      </c>
      <c r="M4007" t="s">
        <v>23</v>
      </c>
      <c r="N4007"/>
      <c r="O4007"/>
      <c r="P4007"/>
      <c r="Q4007"/>
      <c r="R4007"/>
      <c r="S4007"/>
    </row>
    <row r="4008" spans="1:19" x14ac:dyDescent="0.25">
      <c r="A4008" t="s">
        <v>193</v>
      </c>
      <c r="C4008" s="27" t="s">
        <v>34749</v>
      </c>
      <c r="D4008" s="28" t="s">
        <v>34867</v>
      </c>
      <c r="J4008" t="s">
        <v>11055</v>
      </c>
      <c r="K4008" t="s">
        <v>11056</v>
      </c>
      <c r="L4008" s="28" t="s">
        <v>11057</v>
      </c>
      <c r="M4008" t="s">
        <v>23</v>
      </c>
      <c r="N4008"/>
      <c r="O4008"/>
      <c r="P4008"/>
      <c r="Q4008"/>
      <c r="R4008"/>
      <c r="S4008"/>
    </row>
    <row r="4009" spans="1:19" x14ac:dyDescent="0.25">
      <c r="A4009" t="s">
        <v>193</v>
      </c>
      <c r="C4009" s="27" t="s">
        <v>34749</v>
      </c>
      <c r="D4009" s="28" t="s">
        <v>34867</v>
      </c>
      <c r="J4009" t="s">
        <v>11058</v>
      </c>
      <c r="K4009" t="s">
        <v>11059</v>
      </c>
      <c r="L4009" s="28" t="s">
        <v>11060</v>
      </c>
      <c r="M4009" t="s">
        <v>23</v>
      </c>
      <c r="N4009"/>
      <c r="O4009"/>
      <c r="P4009"/>
      <c r="Q4009"/>
      <c r="R4009"/>
      <c r="S4009"/>
    </row>
    <row r="4010" spans="1:19" x14ac:dyDescent="0.25">
      <c r="A4010" t="s">
        <v>193</v>
      </c>
      <c r="C4010" s="27" t="s">
        <v>34749</v>
      </c>
      <c r="D4010" s="28" t="s">
        <v>34867</v>
      </c>
      <c r="J4010" t="s">
        <v>11061</v>
      </c>
      <c r="K4010" t="s">
        <v>11062</v>
      </c>
      <c r="L4010" s="28" t="s">
        <v>11063</v>
      </c>
      <c r="M4010" t="s">
        <v>23</v>
      </c>
      <c r="N4010"/>
      <c r="O4010"/>
      <c r="P4010"/>
      <c r="Q4010"/>
      <c r="R4010"/>
      <c r="S4010"/>
    </row>
    <row r="4011" spans="1:19" x14ac:dyDescent="0.25">
      <c r="A4011" t="s">
        <v>193</v>
      </c>
      <c r="C4011" s="27" t="s">
        <v>34749</v>
      </c>
      <c r="D4011" s="28" t="s">
        <v>34867</v>
      </c>
      <c r="J4011" t="s">
        <v>11064</v>
      </c>
      <c r="K4011" t="s">
        <v>11065</v>
      </c>
      <c r="L4011" s="28" t="s">
        <v>11066</v>
      </c>
      <c r="M4011" t="s">
        <v>23</v>
      </c>
      <c r="N4011"/>
      <c r="O4011"/>
      <c r="P4011"/>
      <c r="Q4011"/>
      <c r="R4011"/>
      <c r="S4011"/>
    </row>
    <row r="4012" spans="1:19" x14ac:dyDescent="0.25">
      <c r="A4012" t="s">
        <v>193</v>
      </c>
      <c r="C4012" s="27" t="s">
        <v>34749</v>
      </c>
      <c r="D4012" s="28" t="s">
        <v>34867</v>
      </c>
      <c r="J4012" t="s">
        <v>11067</v>
      </c>
      <c r="K4012" t="s">
        <v>11068</v>
      </c>
      <c r="L4012" s="28" t="s">
        <v>11069</v>
      </c>
      <c r="M4012" t="s">
        <v>23</v>
      </c>
      <c r="N4012"/>
      <c r="O4012"/>
      <c r="P4012"/>
      <c r="Q4012"/>
      <c r="R4012"/>
      <c r="S4012"/>
    </row>
    <row r="4013" spans="1:19" x14ac:dyDescent="0.25">
      <c r="A4013" t="s">
        <v>193</v>
      </c>
      <c r="C4013" s="27" t="s">
        <v>34749</v>
      </c>
      <c r="D4013" s="28" t="s">
        <v>34867</v>
      </c>
      <c r="J4013" t="s">
        <v>11070</v>
      </c>
      <c r="K4013" t="s">
        <v>11071</v>
      </c>
      <c r="L4013" s="28" t="s">
        <v>11072</v>
      </c>
      <c r="M4013" t="s">
        <v>23</v>
      </c>
      <c r="N4013"/>
      <c r="O4013"/>
      <c r="P4013"/>
      <c r="Q4013"/>
      <c r="R4013"/>
      <c r="S4013"/>
    </row>
    <row r="4014" spans="1:19" x14ac:dyDescent="0.25">
      <c r="A4014" t="s">
        <v>193</v>
      </c>
      <c r="C4014" s="27" t="s">
        <v>34749</v>
      </c>
      <c r="D4014" s="28" t="s">
        <v>34867</v>
      </c>
      <c r="J4014" t="s">
        <v>11073</v>
      </c>
      <c r="K4014" t="s">
        <v>11074</v>
      </c>
      <c r="L4014" s="28" t="s">
        <v>11075</v>
      </c>
      <c r="M4014" t="s">
        <v>23</v>
      </c>
      <c r="N4014"/>
      <c r="O4014"/>
      <c r="P4014"/>
      <c r="Q4014"/>
      <c r="R4014"/>
      <c r="S4014"/>
    </row>
    <row r="4015" spans="1:19" x14ac:dyDescent="0.25">
      <c r="A4015" t="s">
        <v>193</v>
      </c>
      <c r="C4015" s="27" t="s">
        <v>34749</v>
      </c>
      <c r="D4015" s="28" t="s">
        <v>34867</v>
      </c>
      <c r="J4015" t="s">
        <v>11076</v>
      </c>
      <c r="K4015" t="s">
        <v>11077</v>
      </c>
      <c r="L4015" s="28" t="s">
        <v>11078</v>
      </c>
      <c r="M4015" t="s">
        <v>23</v>
      </c>
      <c r="N4015"/>
      <c r="O4015"/>
      <c r="P4015"/>
      <c r="Q4015"/>
      <c r="R4015"/>
      <c r="S4015"/>
    </row>
    <row r="4016" spans="1:19" x14ac:dyDescent="0.25">
      <c r="A4016" t="s">
        <v>193</v>
      </c>
      <c r="C4016" s="27" t="s">
        <v>34749</v>
      </c>
      <c r="D4016" s="28" t="s">
        <v>34867</v>
      </c>
      <c r="J4016" t="s">
        <v>11079</v>
      </c>
      <c r="K4016" t="s">
        <v>11080</v>
      </c>
      <c r="L4016" s="28" t="s">
        <v>11081</v>
      </c>
      <c r="M4016" t="s">
        <v>23</v>
      </c>
      <c r="N4016"/>
      <c r="O4016"/>
      <c r="P4016"/>
      <c r="Q4016"/>
      <c r="R4016"/>
      <c r="S4016"/>
    </row>
    <row r="4017" spans="1:19" x14ac:dyDescent="0.25">
      <c r="A4017" t="s">
        <v>193</v>
      </c>
      <c r="C4017" s="27" t="s">
        <v>34749</v>
      </c>
      <c r="D4017" s="28" t="s">
        <v>34867</v>
      </c>
      <c r="J4017" t="s">
        <v>11082</v>
      </c>
      <c r="K4017" t="s">
        <v>11083</v>
      </c>
      <c r="L4017" s="28" t="s">
        <v>11084</v>
      </c>
      <c r="M4017" t="s">
        <v>23</v>
      </c>
      <c r="N4017"/>
      <c r="O4017"/>
      <c r="P4017"/>
      <c r="Q4017"/>
      <c r="R4017"/>
      <c r="S4017"/>
    </row>
    <row r="4018" spans="1:19" x14ac:dyDescent="0.25">
      <c r="A4018" t="s">
        <v>193</v>
      </c>
      <c r="C4018" s="27" t="s">
        <v>34749</v>
      </c>
      <c r="D4018" s="28" t="s">
        <v>34867</v>
      </c>
      <c r="J4018" t="s">
        <v>11085</v>
      </c>
      <c r="K4018" t="s">
        <v>11086</v>
      </c>
      <c r="L4018" s="28" t="s">
        <v>11087</v>
      </c>
      <c r="M4018" t="s">
        <v>23</v>
      </c>
      <c r="N4018"/>
      <c r="O4018"/>
      <c r="P4018"/>
      <c r="Q4018"/>
      <c r="R4018"/>
      <c r="S4018"/>
    </row>
    <row r="4019" spans="1:19" x14ac:dyDescent="0.25">
      <c r="A4019" t="s">
        <v>193</v>
      </c>
      <c r="C4019" s="27" t="s">
        <v>34749</v>
      </c>
      <c r="D4019" s="28" t="s">
        <v>34867</v>
      </c>
      <c r="J4019" t="s">
        <v>11088</v>
      </c>
      <c r="K4019" t="s">
        <v>11089</v>
      </c>
      <c r="L4019" s="28" t="s">
        <v>11090</v>
      </c>
      <c r="M4019" t="s">
        <v>23</v>
      </c>
      <c r="N4019"/>
      <c r="O4019"/>
      <c r="P4019"/>
      <c r="Q4019"/>
      <c r="R4019"/>
      <c r="S4019"/>
    </row>
    <row r="4020" spans="1:19" x14ac:dyDescent="0.25">
      <c r="A4020" t="s">
        <v>193</v>
      </c>
      <c r="C4020" s="27" t="s">
        <v>34749</v>
      </c>
      <c r="D4020" s="28" t="s">
        <v>34867</v>
      </c>
      <c r="J4020" t="s">
        <v>11091</v>
      </c>
      <c r="K4020" t="s">
        <v>11092</v>
      </c>
      <c r="L4020" s="28" t="s">
        <v>11093</v>
      </c>
      <c r="M4020" t="s">
        <v>23</v>
      </c>
      <c r="N4020"/>
      <c r="O4020"/>
      <c r="P4020"/>
      <c r="Q4020"/>
      <c r="R4020"/>
      <c r="S4020"/>
    </row>
    <row r="4021" spans="1:19" x14ac:dyDescent="0.25">
      <c r="A4021" t="s">
        <v>193</v>
      </c>
      <c r="C4021" s="27" t="s">
        <v>34749</v>
      </c>
      <c r="D4021" s="28" t="s">
        <v>34867</v>
      </c>
      <c r="J4021" t="s">
        <v>11094</v>
      </c>
      <c r="K4021" t="s">
        <v>11095</v>
      </c>
      <c r="L4021" s="28" t="s">
        <v>11096</v>
      </c>
      <c r="M4021" t="s">
        <v>23</v>
      </c>
      <c r="N4021"/>
      <c r="O4021"/>
      <c r="P4021"/>
      <c r="Q4021"/>
      <c r="R4021"/>
      <c r="S4021"/>
    </row>
    <row r="4022" spans="1:19" x14ac:dyDescent="0.25">
      <c r="A4022" t="s">
        <v>193</v>
      </c>
      <c r="C4022" s="27" t="s">
        <v>34749</v>
      </c>
      <c r="D4022" s="28" t="s">
        <v>34867</v>
      </c>
      <c r="J4022" t="s">
        <v>11097</v>
      </c>
      <c r="K4022" t="s">
        <v>11098</v>
      </c>
      <c r="L4022" s="28" t="s">
        <v>11099</v>
      </c>
      <c r="M4022" t="s">
        <v>23</v>
      </c>
      <c r="N4022"/>
      <c r="O4022"/>
      <c r="P4022"/>
      <c r="Q4022"/>
      <c r="R4022"/>
      <c r="S4022"/>
    </row>
    <row r="4023" spans="1:19" x14ac:dyDescent="0.25">
      <c r="A4023" t="s">
        <v>193</v>
      </c>
      <c r="C4023" s="27" t="s">
        <v>34749</v>
      </c>
      <c r="D4023" s="28" t="s">
        <v>34867</v>
      </c>
      <c r="J4023" t="s">
        <v>11100</v>
      </c>
      <c r="K4023" t="s">
        <v>11101</v>
      </c>
      <c r="L4023" s="28" t="s">
        <v>11102</v>
      </c>
      <c r="M4023" t="s">
        <v>23</v>
      </c>
      <c r="N4023"/>
      <c r="O4023"/>
      <c r="P4023"/>
      <c r="Q4023"/>
      <c r="R4023"/>
      <c r="S4023"/>
    </row>
    <row r="4024" spans="1:19" x14ac:dyDescent="0.25">
      <c r="A4024" t="s">
        <v>193</v>
      </c>
      <c r="C4024" s="27" t="s">
        <v>34749</v>
      </c>
      <c r="D4024" s="28" t="s">
        <v>34867</v>
      </c>
      <c r="J4024" t="s">
        <v>11103</v>
      </c>
      <c r="K4024" t="s">
        <v>11104</v>
      </c>
      <c r="L4024" s="28" t="s">
        <v>11105</v>
      </c>
      <c r="M4024" t="s">
        <v>23</v>
      </c>
      <c r="N4024"/>
      <c r="O4024"/>
      <c r="P4024"/>
      <c r="Q4024"/>
      <c r="R4024"/>
      <c r="S4024"/>
    </row>
    <row r="4025" spans="1:19" x14ac:dyDescent="0.25">
      <c r="A4025" t="s">
        <v>193</v>
      </c>
      <c r="C4025" s="27" t="s">
        <v>34749</v>
      </c>
      <c r="D4025" s="28" t="s">
        <v>34867</v>
      </c>
      <c r="J4025" t="s">
        <v>11106</v>
      </c>
      <c r="K4025" t="s">
        <v>11107</v>
      </c>
      <c r="L4025" s="28" t="s">
        <v>11108</v>
      </c>
      <c r="M4025" t="s">
        <v>23</v>
      </c>
      <c r="N4025"/>
      <c r="O4025"/>
      <c r="P4025"/>
      <c r="Q4025"/>
      <c r="R4025"/>
      <c r="S4025"/>
    </row>
    <row r="4026" spans="1:19" x14ac:dyDescent="0.25">
      <c r="A4026" t="s">
        <v>193</v>
      </c>
      <c r="C4026" s="27" t="s">
        <v>34749</v>
      </c>
      <c r="D4026" s="28" t="s">
        <v>34867</v>
      </c>
      <c r="J4026" t="s">
        <v>11109</v>
      </c>
      <c r="K4026" t="s">
        <v>11110</v>
      </c>
      <c r="L4026" s="28" t="s">
        <v>11111</v>
      </c>
      <c r="M4026" t="s">
        <v>23</v>
      </c>
      <c r="N4026"/>
      <c r="O4026"/>
      <c r="P4026"/>
      <c r="Q4026"/>
      <c r="R4026"/>
      <c r="S4026"/>
    </row>
    <row r="4027" spans="1:19" x14ac:dyDescent="0.25">
      <c r="A4027" t="s">
        <v>193</v>
      </c>
      <c r="C4027" s="27" t="s">
        <v>34749</v>
      </c>
      <c r="D4027" s="28" t="s">
        <v>34867</v>
      </c>
      <c r="J4027" t="s">
        <v>11112</v>
      </c>
      <c r="K4027" t="s">
        <v>11113</v>
      </c>
      <c r="L4027" s="28" t="s">
        <v>11114</v>
      </c>
      <c r="M4027" t="s">
        <v>23</v>
      </c>
      <c r="N4027"/>
      <c r="O4027"/>
      <c r="P4027"/>
      <c r="Q4027"/>
      <c r="R4027"/>
      <c r="S4027"/>
    </row>
    <row r="4028" spans="1:19" x14ac:dyDescent="0.25">
      <c r="A4028" t="s">
        <v>193</v>
      </c>
      <c r="C4028" s="27" t="s">
        <v>34749</v>
      </c>
      <c r="D4028" s="28" t="s">
        <v>34867</v>
      </c>
      <c r="J4028" t="s">
        <v>11115</v>
      </c>
      <c r="K4028" t="s">
        <v>11116</v>
      </c>
      <c r="L4028" s="28" t="s">
        <v>11117</v>
      </c>
      <c r="M4028" t="s">
        <v>23</v>
      </c>
      <c r="N4028"/>
      <c r="O4028"/>
      <c r="P4028"/>
      <c r="Q4028"/>
      <c r="R4028"/>
      <c r="S4028"/>
    </row>
    <row r="4029" spans="1:19" x14ac:dyDescent="0.25">
      <c r="A4029" t="s">
        <v>193</v>
      </c>
      <c r="C4029" s="27" t="s">
        <v>34749</v>
      </c>
      <c r="D4029" s="28" t="s">
        <v>34867</v>
      </c>
      <c r="J4029" t="s">
        <v>11118</v>
      </c>
      <c r="K4029" t="s">
        <v>11119</v>
      </c>
      <c r="L4029" s="28" t="s">
        <v>11120</v>
      </c>
      <c r="M4029" t="s">
        <v>23</v>
      </c>
      <c r="N4029"/>
      <c r="O4029"/>
      <c r="P4029"/>
      <c r="Q4029"/>
      <c r="R4029"/>
      <c r="S4029"/>
    </row>
    <row r="4030" spans="1:19" x14ac:dyDescent="0.25">
      <c r="A4030" t="s">
        <v>193</v>
      </c>
      <c r="C4030" s="27" t="s">
        <v>34749</v>
      </c>
      <c r="D4030" s="28" t="s">
        <v>34867</v>
      </c>
      <c r="J4030" t="s">
        <v>11121</v>
      </c>
      <c r="K4030" t="s">
        <v>11122</v>
      </c>
      <c r="L4030" s="28" t="s">
        <v>11123</v>
      </c>
      <c r="M4030" t="s">
        <v>23</v>
      </c>
      <c r="N4030"/>
      <c r="O4030"/>
      <c r="P4030"/>
      <c r="Q4030"/>
      <c r="R4030"/>
      <c r="S4030"/>
    </row>
    <row r="4031" spans="1:19" x14ac:dyDescent="0.25">
      <c r="A4031" t="s">
        <v>193</v>
      </c>
      <c r="C4031" s="27" t="s">
        <v>34749</v>
      </c>
      <c r="D4031" s="28" t="s">
        <v>34867</v>
      </c>
      <c r="J4031" t="s">
        <v>11124</v>
      </c>
      <c r="K4031" t="s">
        <v>11125</v>
      </c>
      <c r="L4031" s="28" t="s">
        <v>11126</v>
      </c>
      <c r="M4031" t="s">
        <v>23</v>
      </c>
      <c r="N4031"/>
      <c r="O4031"/>
      <c r="P4031"/>
      <c r="Q4031"/>
      <c r="R4031"/>
      <c r="S4031"/>
    </row>
    <row r="4032" spans="1:19" x14ac:dyDescent="0.25">
      <c r="A4032" t="s">
        <v>193</v>
      </c>
      <c r="C4032" s="27" t="s">
        <v>34749</v>
      </c>
      <c r="D4032" s="28" t="s">
        <v>34867</v>
      </c>
      <c r="J4032" t="s">
        <v>11127</v>
      </c>
      <c r="K4032" t="s">
        <v>11128</v>
      </c>
      <c r="L4032" s="28" t="s">
        <v>11129</v>
      </c>
      <c r="M4032" t="s">
        <v>23</v>
      </c>
      <c r="N4032"/>
      <c r="O4032"/>
      <c r="P4032"/>
      <c r="Q4032"/>
      <c r="R4032"/>
      <c r="S4032"/>
    </row>
    <row r="4033" spans="1:19" x14ac:dyDescent="0.25">
      <c r="A4033" t="s">
        <v>193</v>
      </c>
      <c r="C4033" s="27" t="s">
        <v>34749</v>
      </c>
      <c r="D4033" s="28" t="s">
        <v>34867</v>
      </c>
      <c r="J4033" t="s">
        <v>11130</v>
      </c>
      <c r="K4033" t="s">
        <v>11131</v>
      </c>
      <c r="L4033" s="28" t="s">
        <v>11132</v>
      </c>
      <c r="M4033" t="s">
        <v>23</v>
      </c>
      <c r="N4033"/>
      <c r="O4033"/>
      <c r="P4033"/>
      <c r="Q4033"/>
      <c r="R4033"/>
      <c r="S4033"/>
    </row>
    <row r="4034" spans="1:19" x14ac:dyDescent="0.25">
      <c r="A4034" t="s">
        <v>193</v>
      </c>
      <c r="C4034" s="27" t="s">
        <v>34749</v>
      </c>
      <c r="D4034" s="28" t="s">
        <v>34867</v>
      </c>
      <c r="J4034" t="s">
        <v>11133</v>
      </c>
      <c r="K4034" t="s">
        <v>11134</v>
      </c>
      <c r="L4034" s="28" t="s">
        <v>11135</v>
      </c>
      <c r="M4034" t="s">
        <v>23</v>
      </c>
      <c r="N4034"/>
      <c r="O4034"/>
      <c r="P4034"/>
      <c r="Q4034"/>
      <c r="R4034"/>
      <c r="S4034"/>
    </row>
    <row r="4035" spans="1:19" x14ac:dyDescent="0.25">
      <c r="A4035" t="s">
        <v>193</v>
      </c>
      <c r="C4035" s="27" t="s">
        <v>34749</v>
      </c>
      <c r="D4035" s="28" t="s">
        <v>34867</v>
      </c>
      <c r="J4035" t="s">
        <v>11136</v>
      </c>
      <c r="K4035" t="s">
        <v>11137</v>
      </c>
      <c r="L4035" s="28" t="s">
        <v>11138</v>
      </c>
      <c r="M4035" t="s">
        <v>23</v>
      </c>
      <c r="N4035"/>
      <c r="O4035"/>
      <c r="P4035"/>
      <c r="Q4035"/>
      <c r="R4035"/>
      <c r="S4035"/>
    </row>
    <row r="4036" spans="1:19" x14ac:dyDescent="0.25">
      <c r="A4036" t="s">
        <v>193</v>
      </c>
      <c r="C4036" s="27" t="s">
        <v>34749</v>
      </c>
      <c r="D4036" s="28" t="s">
        <v>34867</v>
      </c>
      <c r="J4036" t="s">
        <v>11139</v>
      </c>
      <c r="K4036" t="s">
        <v>11140</v>
      </c>
      <c r="L4036" s="28" t="s">
        <v>11141</v>
      </c>
      <c r="M4036" t="s">
        <v>23</v>
      </c>
      <c r="N4036"/>
      <c r="O4036"/>
      <c r="P4036"/>
      <c r="Q4036"/>
      <c r="R4036"/>
      <c r="S4036"/>
    </row>
    <row r="4037" spans="1:19" x14ac:dyDescent="0.25">
      <c r="A4037" t="s">
        <v>193</v>
      </c>
      <c r="C4037" s="27" t="s">
        <v>34749</v>
      </c>
      <c r="D4037" s="28" t="s">
        <v>34867</v>
      </c>
      <c r="J4037" t="s">
        <v>11142</v>
      </c>
      <c r="K4037" t="s">
        <v>11143</v>
      </c>
      <c r="L4037" s="28" t="s">
        <v>11144</v>
      </c>
      <c r="M4037" t="s">
        <v>23</v>
      </c>
      <c r="N4037"/>
      <c r="O4037"/>
      <c r="P4037"/>
      <c r="Q4037"/>
      <c r="R4037"/>
      <c r="S4037"/>
    </row>
    <row r="4038" spans="1:19" x14ac:dyDescent="0.25">
      <c r="A4038" t="s">
        <v>193</v>
      </c>
      <c r="C4038" s="27" t="s">
        <v>34749</v>
      </c>
      <c r="D4038" s="28" t="s">
        <v>34867</v>
      </c>
      <c r="J4038" t="s">
        <v>11145</v>
      </c>
      <c r="K4038" t="s">
        <v>11146</v>
      </c>
      <c r="L4038" s="28" t="s">
        <v>11147</v>
      </c>
      <c r="M4038" t="s">
        <v>23</v>
      </c>
      <c r="N4038"/>
      <c r="O4038"/>
      <c r="P4038"/>
      <c r="Q4038"/>
      <c r="R4038"/>
      <c r="S4038"/>
    </row>
    <row r="4039" spans="1:19" x14ac:dyDescent="0.25">
      <c r="A4039" t="s">
        <v>193</v>
      </c>
      <c r="C4039" s="27" t="s">
        <v>34749</v>
      </c>
      <c r="D4039" s="28" t="s">
        <v>34867</v>
      </c>
      <c r="J4039" t="s">
        <v>11148</v>
      </c>
      <c r="K4039" t="s">
        <v>11149</v>
      </c>
      <c r="L4039" s="28" t="s">
        <v>11150</v>
      </c>
      <c r="M4039" t="s">
        <v>23</v>
      </c>
      <c r="N4039"/>
      <c r="O4039"/>
      <c r="P4039"/>
      <c r="Q4039"/>
      <c r="R4039"/>
      <c r="S4039"/>
    </row>
    <row r="4040" spans="1:19" x14ac:dyDescent="0.25">
      <c r="A4040" t="s">
        <v>193</v>
      </c>
      <c r="C4040" s="27" t="s">
        <v>34749</v>
      </c>
      <c r="D4040" s="28" t="s">
        <v>34867</v>
      </c>
      <c r="J4040" t="s">
        <v>11151</v>
      </c>
      <c r="K4040" t="s">
        <v>11152</v>
      </c>
      <c r="L4040" s="28" t="s">
        <v>11153</v>
      </c>
      <c r="M4040" t="s">
        <v>23</v>
      </c>
      <c r="N4040"/>
      <c r="O4040"/>
      <c r="P4040"/>
      <c r="Q4040"/>
      <c r="R4040"/>
      <c r="S4040"/>
    </row>
    <row r="4041" spans="1:19" x14ac:dyDescent="0.25">
      <c r="A4041" t="s">
        <v>193</v>
      </c>
      <c r="C4041" s="27" t="s">
        <v>34749</v>
      </c>
      <c r="D4041" s="28" t="s">
        <v>34867</v>
      </c>
      <c r="J4041" t="s">
        <v>11154</v>
      </c>
      <c r="K4041" t="s">
        <v>11155</v>
      </c>
      <c r="L4041" s="28" t="s">
        <v>11156</v>
      </c>
      <c r="M4041" t="s">
        <v>23</v>
      </c>
      <c r="N4041"/>
      <c r="O4041"/>
      <c r="P4041"/>
      <c r="Q4041"/>
      <c r="R4041"/>
      <c r="S4041"/>
    </row>
    <row r="4042" spans="1:19" x14ac:dyDescent="0.25">
      <c r="A4042" t="s">
        <v>193</v>
      </c>
      <c r="C4042" s="27" t="s">
        <v>34749</v>
      </c>
      <c r="D4042" s="28" t="s">
        <v>34867</v>
      </c>
      <c r="J4042" t="s">
        <v>11157</v>
      </c>
      <c r="K4042" t="s">
        <v>11158</v>
      </c>
      <c r="L4042" s="28" t="s">
        <v>11159</v>
      </c>
      <c r="M4042" t="s">
        <v>23</v>
      </c>
      <c r="N4042"/>
      <c r="O4042"/>
      <c r="P4042"/>
      <c r="Q4042"/>
      <c r="R4042"/>
      <c r="S4042"/>
    </row>
    <row r="4043" spans="1:19" x14ac:dyDescent="0.25">
      <c r="A4043" t="s">
        <v>193</v>
      </c>
      <c r="C4043" s="27" t="s">
        <v>34749</v>
      </c>
      <c r="D4043" s="28" t="s">
        <v>34867</v>
      </c>
      <c r="J4043" t="s">
        <v>11160</v>
      </c>
      <c r="K4043" t="s">
        <v>11161</v>
      </c>
      <c r="L4043" s="28" t="s">
        <v>11162</v>
      </c>
      <c r="M4043" t="s">
        <v>23</v>
      </c>
      <c r="N4043"/>
      <c r="O4043"/>
      <c r="P4043"/>
      <c r="Q4043"/>
      <c r="R4043"/>
      <c r="S4043"/>
    </row>
    <row r="4044" spans="1:19" x14ac:dyDescent="0.25">
      <c r="A4044" t="s">
        <v>193</v>
      </c>
      <c r="C4044" s="27" t="s">
        <v>34749</v>
      </c>
      <c r="D4044" s="28" t="s">
        <v>34867</v>
      </c>
      <c r="J4044" t="s">
        <v>11163</v>
      </c>
      <c r="K4044" t="s">
        <v>11164</v>
      </c>
      <c r="L4044" s="28" t="s">
        <v>11165</v>
      </c>
      <c r="M4044" t="s">
        <v>23</v>
      </c>
      <c r="N4044"/>
      <c r="O4044"/>
      <c r="P4044"/>
      <c r="Q4044"/>
      <c r="R4044"/>
      <c r="S4044"/>
    </row>
    <row r="4045" spans="1:19" x14ac:dyDescent="0.25">
      <c r="A4045" t="s">
        <v>193</v>
      </c>
      <c r="C4045" s="27" t="s">
        <v>34749</v>
      </c>
      <c r="D4045" s="28" t="s">
        <v>34867</v>
      </c>
      <c r="J4045" t="s">
        <v>11166</v>
      </c>
      <c r="K4045" t="s">
        <v>11167</v>
      </c>
      <c r="L4045" s="28" t="s">
        <v>11168</v>
      </c>
      <c r="M4045" t="s">
        <v>23</v>
      </c>
      <c r="N4045"/>
      <c r="O4045"/>
      <c r="P4045"/>
      <c r="Q4045"/>
      <c r="R4045"/>
      <c r="S4045"/>
    </row>
    <row r="4046" spans="1:19" x14ac:dyDescent="0.25">
      <c r="A4046" t="s">
        <v>193</v>
      </c>
      <c r="C4046" s="27" t="s">
        <v>34749</v>
      </c>
      <c r="D4046" s="28" t="s">
        <v>34867</v>
      </c>
      <c r="J4046" t="s">
        <v>11169</v>
      </c>
      <c r="K4046" t="s">
        <v>11170</v>
      </c>
      <c r="L4046" s="28" t="s">
        <v>11171</v>
      </c>
      <c r="M4046" t="s">
        <v>23</v>
      </c>
      <c r="N4046"/>
      <c r="O4046"/>
      <c r="P4046"/>
      <c r="Q4046"/>
      <c r="R4046"/>
      <c r="S4046"/>
    </row>
    <row r="4047" spans="1:19" x14ac:dyDescent="0.25">
      <c r="A4047" t="s">
        <v>193</v>
      </c>
      <c r="C4047" s="27" t="s">
        <v>34749</v>
      </c>
      <c r="D4047" s="28" t="s">
        <v>34867</v>
      </c>
      <c r="J4047" t="s">
        <v>11172</v>
      </c>
      <c r="K4047" t="s">
        <v>11173</v>
      </c>
      <c r="L4047" s="28" t="s">
        <v>11174</v>
      </c>
      <c r="M4047" t="s">
        <v>23</v>
      </c>
      <c r="N4047"/>
      <c r="O4047"/>
      <c r="P4047"/>
      <c r="Q4047"/>
      <c r="R4047"/>
      <c r="S4047"/>
    </row>
    <row r="4048" spans="1:19" x14ac:dyDescent="0.25">
      <c r="A4048" t="s">
        <v>193</v>
      </c>
      <c r="C4048" s="27" t="s">
        <v>34749</v>
      </c>
      <c r="D4048" s="28" t="s">
        <v>34867</v>
      </c>
      <c r="J4048" t="s">
        <v>11175</v>
      </c>
      <c r="K4048" t="s">
        <v>11176</v>
      </c>
      <c r="L4048" s="28" t="s">
        <v>11177</v>
      </c>
      <c r="M4048" t="s">
        <v>23</v>
      </c>
      <c r="N4048"/>
      <c r="O4048"/>
      <c r="P4048"/>
      <c r="Q4048"/>
      <c r="R4048"/>
      <c r="S4048"/>
    </row>
    <row r="4049" spans="1:19" x14ac:dyDescent="0.25">
      <c r="A4049" t="s">
        <v>193</v>
      </c>
      <c r="C4049" s="27" t="s">
        <v>34749</v>
      </c>
      <c r="D4049" s="28" t="s">
        <v>34867</v>
      </c>
      <c r="J4049" t="s">
        <v>11178</v>
      </c>
      <c r="K4049" t="s">
        <v>11179</v>
      </c>
      <c r="L4049" s="28" t="s">
        <v>11180</v>
      </c>
      <c r="M4049" t="s">
        <v>23</v>
      </c>
      <c r="N4049"/>
      <c r="O4049"/>
      <c r="P4049"/>
      <c r="Q4049"/>
      <c r="R4049"/>
      <c r="S4049"/>
    </row>
    <row r="4050" spans="1:19" x14ac:dyDescent="0.25">
      <c r="A4050" t="s">
        <v>193</v>
      </c>
      <c r="C4050" s="27" t="s">
        <v>34749</v>
      </c>
      <c r="D4050" s="28" t="s">
        <v>34867</v>
      </c>
      <c r="J4050" t="s">
        <v>11181</v>
      </c>
      <c r="K4050" t="s">
        <v>11182</v>
      </c>
      <c r="L4050" s="28" t="s">
        <v>11183</v>
      </c>
      <c r="M4050" t="s">
        <v>23</v>
      </c>
      <c r="N4050"/>
      <c r="O4050"/>
      <c r="P4050"/>
      <c r="Q4050"/>
      <c r="R4050"/>
      <c r="S4050"/>
    </row>
    <row r="4051" spans="1:19" x14ac:dyDescent="0.25">
      <c r="A4051" t="s">
        <v>193</v>
      </c>
      <c r="C4051" s="27" t="s">
        <v>34749</v>
      </c>
      <c r="D4051" s="28" t="s">
        <v>34867</v>
      </c>
      <c r="J4051" t="s">
        <v>11184</v>
      </c>
      <c r="K4051" t="s">
        <v>11185</v>
      </c>
      <c r="L4051" s="28" t="s">
        <v>11186</v>
      </c>
      <c r="M4051" t="s">
        <v>23</v>
      </c>
      <c r="N4051"/>
      <c r="O4051"/>
      <c r="P4051"/>
      <c r="Q4051"/>
      <c r="R4051"/>
      <c r="S4051"/>
    </row>
    <row r="4052" spans="1:19" x14ac:dyDescent="0.25">
      <c r="A4052" t="s">
        <v>193</v>
      </c>
      <c r="C4052" s="27" t="s">
        <v>34749</v>
      </c>
      <c r="D4052" s="28" t="s">
        <v>34867</v>
      </c>
      <c r="J4052" t="s">
        <v>11187</v>
      </c>
      <c r="K4052" t="s">
        <v>11188</v>
      </c>
      <c r="L4052" s="28" t="s">
        <v>11189</v>
      </c>
      <c r="M4052" t="s">
        <v>23</v>
      </c>
      <c r="N4052"/>
      <c r="O4052"/>
      <c r="P4052"/>
      <c r="Q4052"/>
      <c r="R4052"/>
      <c r="S4052"/>
    </row>
    <row r="4053" spans="1:19" x14ac:dyDescent="0.25">
      <c r="A4053" t="s">
        <v>193</v>
      </c>
      <c r="C4053" s="27" t="s">
        <v>34749</v>
      </c>
      <c r="D4053" s="28" t="s">
        <v>34867</v>
      </c>
      <c r="J4053" t="s">
        <v>11190</v>
      </c>
      <c r="K4053" t="s">
        <v>11191</v>
      </c>
      <c r="L4053" s="28" t="s">
        <v>11192</v>
      </c>
      <c r="M4053" t="s">
        <v>23</v>
      </c>
      <c r="N4053"/>
      <c r="O4053"/>
      <c r="P4053"/>
      <c r="Q4053"/>
      <c r="R4053"/>
      <c r="S4053"/>
    </row>
    <row r="4054" spans="1:19" x14ac:dyDescent="0.25">
      <c r="A4054" t="s">
        <v>193</v>
      </c>
      <c r="C4054" s="27" t="s">
        <v>34749</v>
      </c>
      <c r="D4054" s="28" t="s">
        <v>34867</v>
      </c>
      <c r="J4054" t="s">
        <v>11193</v>
      </c>
      <c r="K4054" t="s">
        <v>11194</v>
      </c>
      <c r="L4054" s="28" t="s">
        <v>11195</v>
      </c>
      <c r="M4054" t="s">
        <v>23</v>
      </c>
      <c r="N4054"/>
      <c r="O4054"/>
      <c r="P4054"/>
      <c r="Q4054"/>
      <c r="R4054"/>
      <c r="S4054"/>
    </row>
    <row r="4055" spans="1:19" x14ac:dyDescent="0.25">
      <c r="A4055" t="s">
        <v>193</v>
      </c>
      <c r="C4055" s="27" t="s">
        <v>34749</v>
      </c>
      <c r="D4055" s="28" t="s">
        <v>34867</v>
      </c>
      <c r="J4055" t="s">
        <v>11196</v>
      </c>
      <c r="K4055" t="s">
        <v>11197</v>
      </c>
      <c r="L4055" s="28" t="s">
        <v>11198</v>
      </c>
      <c r="M4055" t="s">
        <v>23</v>
      </c>
      <c r="N4055"/>
      <c r="O4055"/>
      <c r="P4055"/>
      <c r="Q4055"/>
      <c r="R4055"/>
      <c r="S4055"/>
    </row>
    <row r="4056" spans="1:19" x14ac:dyDescent="0.25">
      <c r="A4056" t="s">
        <v>193</v>
      </c>
      <c r="C4056" s="27" t="s">
        <v>34749</v>
      </c>
      <c r="D4056" s="28" t="s">
        <v>34867</v>
      </c>
      <c r="J4056" t="s">
        <v>11199</v>
      </c>
      <c r="K4056" t="s">
        <v>11200</v>
      </c>
      <c r="L4056" s="28" t="s">
        <v>11201</v>
      </c>
      <c r="M4056" t="s">
        <v>23</v>
      </c>
      <c r="N4056"/>
      <c r="O4056"/>
      <c r="P4056"/>
      <c r="Q4056"/>
      <c r="R4056"/>
      <c r="S4056"/>
    </row>
    <row r="4057" spans="1:19" x14ac:dyDescent="0.25">
      <c r="A4057" t="s">
        <v>193</v>
      </c>
      <c r="C4057" s="27" t="s">
        <v>34749</v>
      </c>
      <c r="D4057" s="28" t="s">
        <v>34867</v>
      </c>
      <c r="J4057" t="s">
        <v>11202</v>
      </c>
      <c r="K4057" t="s">
        <v>11203</v>
      </c>
      <c r="L4057" s="28" t="s">
        <v>11204</v>
      </c>
      <c r="M4057" t="s">
        <v>23</v>
      </c>
      <c r="N4057"/>
      <c r="O4057"/>
      <c r="P4057"/>
      <c r="Q4057"/>
      <c r="R4057"/>
      <c r="S4057"/>
    </row>
    <row r="4058" spans="1:19" x14ac:dyDescent="0.25">
      <c r="A4058" t="s">
        <v>193</v>
      </c>
      <c r="C4058" s="27" t="s">
        <v>34749</v>
      </c>
      <c r="D4058" s="28" t="s">
        <v>34867</v>
      </c>
      <c r="J4058" t="s">
        <v>11205</v>
      </c>
      <c r="K4058" t="s">
        <v>11206</v>
      </c>
      <c r="L4058" s="28" t="s">
        <v>11207</v>
      </c>
      <c r="M4058" t="s">
        <v>23</v>
      </c>
      <c r="N4058"/>
      <c r="O4058"/>
      <c r="P4058"/>
      <c r="Q4058"/>
      <c r="R4058"/>
      <c r="S4058"/>
    </row>
    <row r="4059" spans="1:19" x14ac:dyDescent="0.25">
      <c r="A4059" t="s">
        <v>193</v>
      </c>
      <c r="C4059" s="27" t="s">
        <v>34749</v>
      </c>
      <c r="D4059" s="28" t="s">
        <v>34867</v>
      </c>
      <c r="J4059" t="s">
        <v>11208</v>
      </c>
      <c r="K4059" t="s">
        <v>11209</v>
      </c>
      <c r="L4059" s="28" t="s">
        <v>11210</v>
      </c>
      <c r="M4059" t="s">
        <v>23</v>
      </c>
      <c r="N4059"/>
      <c r="O4059"/>
      <c r="P4059"/>
      <c r="Q4059"/>
      <c r="R4059"/>
      <c r="S4059"/>
    </row>
    <row r="4060" spans="1:19" x14ac:dyDescent="0.25">
      <c r="A4060" t="s">
        <v>193</v>
      </c>
      <c r="C4060" s="27" t="s">
        <v>34749</v>
      </c>
      <c r="D4060" s="28" t="s">
        <v>34867</v>
      </c>
      <c r="J4060" t="s">
        <v>11211</v>
      </c>
      <c r="K4060" t="s">
        <v>11212</v>
      </c>
      <c r="L4060" s="28" t="s">
        <v>11213</v>
      </c>
      <c r="M4060" t="s">
        <v>23</v>
      </c>
      <c r="N4060"/>
      <c r="O4060"/>
      <c r="P4060"/>
      <c r="Q4060"/>
      <c r="R4060"/>
      <c r="S4060"/>
    </row>
    <row r="4061" spans="1:19" x14ac:dyDescent="0.25">
      <c r="A4061" t="s">
        <v>193</v>
      </c>
      <c r="C4061" s="27" t="s">
        <v>34749</v>
      </c>
      <c r="D4061" s="28" t="s">
        <v>34867</v>
      </c>
      <c r="J4061" t="s">
        <v>11214</v>
      </c>
      <c r="K4061" t="s">
        <v>11215</v>
      </c>
      <c r="L4061" s="28" t="s">
        <v>11216</v>
      </c>
      <c r="M4061" t="s">
        <v>23</v>
      </c>
      <c r="N4061"/>
      <c r="O4061"/>
      <c r="P4061"/>
      <c r="Q4061"/>
      <c r="R4061"/>
      <c r="S4061"/>
    </row>
    <row r="4062" spans="1:19" x14ac:dyDescent="0.25">
      <c r="A4062" t="s">
        <v>193</v>
      </c>
      <c r="C4062" s="27" t="s">
        <v>34749</v>
      </c>
      <c r="D4062" s="28" t="s">
        <v>34867</v>
      </c>
      <c r="J4062" t="s">
        <v>11217</v>
      </c>
      <c r="K4062" t="s">
        <v>11218</v>
      </c>
      <c r="L4062" s="28" t="s">
        <v>11219</v>
      </c>
      <c r="M4062" t="s">
        <v>23</v>
      </c>
      <c r="N4062"/>
      <c r="O4062"/>
      <c r="P4062"/>
      <c r="Q4062"/>
      <c r="R4062"/>
      <c r="S4062"/>
    </row>
    <row r="4063" spans="1:19" x14ac:dyDescent="0.25">
      <c r="A4063" t="s">
        <v>193</v>
      </c>
      <c r="C4063" s="27" t="s">
        <v>34749</v>
      </c>
      <c r="D4063" s="28" t="s">
        <v>34867</v>
      </c>
      <c r="J4063" t="s">
        <v>11220</v>
      </c>
      <c r="K4063" t="s">
        <v>11221</v>
      </c>
      <c r="L4063" s="28" t="s">
        <v>11222</v>
      </c>
      <c r="M4063" t="s">
        <v>23</v>
      </c>
      <c r="N4063"/>
      <c r="O4063"/>
      <c r="P4063"/>
      <c r="Q4063"/>
      <c r="R4063"/>
      <c r="S4063"/>
    </row>
    <row r="4064" spans="1:19" x14ac:dyDescent="0.25">
      <c r="A4064" t="s">
        <v>193</v>
      </c>
      <c r="C4064" s="27" t="s">
        <v>34749</v>
      </c>
      <c r="D4064" s="28" t="s">
        <v>34867</v>
      </c>
      <c r="J4064" t="s">
        <v>11223</v>
      </c>
      <c r="K4064" t="s">
        <v>11224</v>
      </c>
      <c r="L4064" s="28" t="s">
        <v>11225</v>
      </c>
      <c r="M4064" t="s">
        <v>23</v>
      </c>
      <c r="N4064"/>
      <c r="O4064"/>
      <c r="P4064"/>
      <c r="Q4064"/>
      <c r="R4064"/>
      <c r="S4064"/>
    </row>
    <row r="4065" spans="1:19" x14ac:dyDescent="0.25">
      <c r="A4065" t="s">
        <v>193</v>
      </c>
      <c r="C4065" s="27" t="s">
        <v>34749</v>
      </c>
      <c r="D4065" s="28" t="s">
        <v>34867</v>
      </c>
      <c r="J4065" t="s">
        <v>11226</v>
      </c>
      <c r="K4065" t="s">
        <v>11227</v>
      </c>
      <c r="L4065" s="28" t="s">
        <v>11228</v>
      </c>
      <c r="M4065" t="s">
        <v>23</v>
      </c>
      <c r="N4065"/>
      <c r="O4065"/>
      <c r="P4065"/>
      <c r="Q4065"/>
      <c r="R4065"/>
      <c r="S4065"/>
    </row>
    <row r="4066" spans="1:19" x14ac:dyDescent="0.25">
      <c r="A4066" t="s">
        <v>193</v>
      </c>
      <c r="C4066" s="27" t="s">
        <v>34749</v>
      </c>
      <c r="D4066" s="28" t="s">
        <v>34867</v>
      </c>
      <c r="J4066" t="s">
        <v>11229</v>
      </c>
      <c r="K4066" t="s">
        <v>11230</v>
      </c>
      <c r="L4066" s="28" t="s">
        <v>11231</v>
      </c>
      <c r="M4066" t="s">
        <v>23</v>
      </c>
      <c r="N4066"/>
      <c r="O4066"/>
      <c r="P4066"/>
      <c r="Q4066"/>
      <c r="R4066"/>
      <c r="S4066"/>
    </row>
    <row r="4067" spans="1:19" x14ac:dyDescent="0.25">
      <c r="A4067" t="s">
        <v>193</v>
      </c>
      <c r="C4067" s="27" t="s">
        <v>34749</v>
      </c>
      <c r="D4067" s="28" t="s">
        <v>34867</v>
      </c>
      <c r="J4067" t="s">
        <v>11232</v>
      </c>
      <c r="K4067" t="s">
        <v>11233</v>
      </c>
      <c r="L4067" s="28" t="s">
        <v>11234</v>
      </c>
      <c r="M4067" t="s">
        <v>23</v>
      </c>
      <c r="N4067"/>
      <c r="O4067"/>
      <c r="P4067"/>
      <c r="Q4067"/>
      <c r="R4067"/>
      <c r="S4067"/>
    </row>
    <row r="4068" spans="1:19" x14ac:dyDescent="0.25">
      <c r="A4068" t="s">
        <v>193</v>
      </c>
      <c r="C4068" s="27" t="s">
        <v>34749</v>
      </c>
      <c r="D4068" s="28" t="s">
        <v>34867</v>
      </c>
      <c r="J4068" t="s">
        <v>11235</v>
      </c>
      <c r="K4068" t="s">
        <v>11236</v>
      </c>
      <c r="L4068" s="28" t="s">
        <v>11237</v>
      </c>
      <c r="M4068" t="s">
        <v>23</v>
      </c>
      <c r="N4068"/>
      <c r="O4068"/>
      <c r="P4068"/>
      <c r="Q4068"/>
      <c r="R4068"/>
      <c r="S4068"/>
    </row>
    <row r="4069" spans="1:19" x14ac:dyDescent="0.25">
      <c r="A4069" t="s">
        <v>193</v>
      </c>
      <c r="C4069" s="27" t="s">
        <v>34749</v>
      </c>
      <c r="D4069" s="28" t="s">
        <v>34867</v>
      </c>
      <c r="J4069" t="s">
        <v>11238</v>
      </c>
      <c r="K4069" t="s">
        <v>11239</v>
      </c>
      <c r="L4069" s="28" t="s">
        <v>11240</v>
      </c>
      <c r="M4069" t="s">
        <v>23</v>
      </c>
      <c r="N4069"/>
      <c r="O4069"/>
      <c r="P4069"/>
      <c r="Q4069"/>
      <c r="R4069"/>
      <c r="S4069"/>
    </row>
    <row r="4070" spans="1:19" x14ac:dyDescent="0.25">
      <c r="A4070" t="s">
        <v>193</v>
      </c>
      <c r="C4070" s="27" t="s">
        <v>34749</v>
      </c>
      <c r="D4070" s="28" t="s">
        <v>34867</v>
      </c>
      <c r="J4070" t="s">
        <v>11241</v>
      </c>
      <c r="K4070" t="s">
        <v>11242</v>
      </c>
      <c r="L4070" s="28" t="s">
        <v>11243</v>
      </c>
      <c r="M4070" t="s">
        <v>23</v>
      </c>
      <c r="N4070"/>
      <c r="O4070"/>
      <c r="P4070"/>
      <c r="Q4070"/>
      <c r="R4070"/>
      <c r="S4070"/>
    </row>
    <row r="4071" spans="1:19" x14ac:dyDescent="0.25">
      <c r="A4071" t="s">
        <v>193</v>
      </c>
      <c r="C4071" s="27" t="s">
        <v>34749</v>
      </c>
      <c r="D4071" s="28" t="s">
        <v>34867</v>
      </c>
      <c r="J4071" t="s">
        <v>11244</v>
      </c>
      <c r="K4071" t="s">
        <v>11245</v>
      </c>
      <c r="L4071" s="28" t="s">
        <v>11246</v>
      </c>
      <c r="M4071" t="s">
        <v>23</v>
      </c>
      <c r="N4071"/>
      <c r="O4071"/>
      <c r="P4071"/>
      <c r="Q4071"/>
      <c r="R4071"/>
      <c r="S4071"/>
    </row>
    <row r="4072" spans="1:19" x14ac:dyDescent="0.25">
      <c r="A4072" t="s">
        <v>193</v>
      </c>
      <c r="C4072" s="27" t="s">
        <v>34749</v>
      </c>
      <c r="D4072" s="28" t="s">
        <v>34867</v>
      </c>
      <c r="J4072" t="s">
        <v>11247</v>
      </c>
      <c r="K4072" t="s">
        <v>11248</v>
      </c>
      <c r="L4072" s="28" t="s">
        <v>11249</v>
      </c>
      <c r="M4072" t="s">
        <v>23</v>
      </c>
      <c r="N4072"/>
      <c r="O4072"/>
      <c r="P4072"/>
      <c r="Q4072"/>
      <c r="R4072"/>
      <c r="S4072"/>
    </row>
    <row r="4073" spans="1:19" x14ac:dyDescent="0.25">
      <c r="A4073" t="s">
        <v>193</v>
      </c>
      <c r="C4073" s="27" t="s">
        <v>34749</v>
      </c>
      <c r="D4073" s="28" t="s">
        <v>34867</v>
      </c>
      <c r="J4073" t="s">
        <v>11250</v>
      </c>
      <c r="K4073" t="s">
        <v>11251</v>
      </c>
      <c r="L4073" s="28" t="s">
        <v>11252</v>
      </c>
      <c r="M4073" t="s">
        <v>23</v>
      </c>
      <c r="N4073"/>
      <c r="O4073"/>
      <c r="P4073"/>
      <c r="Q4073"/>
      <c r="R4073"/>
      <c r="S4073"/>
    </row>
    <row r="4074" spans="1:19" x14ac:dyDescent="0.25">
      <c r="A4074" t="s">
        <v>193</v>
      </c>
      <c r="C4074" s="27" t="s">
        <v>34749</v>
      </c>
      <c r="D4074" s="28" t="s">
        <v>34867</v>
      </c>
      <c r="J4074" t="s">
        <v>11253</v>
      </c>
      <c r="K4074" t="s">
        <v>11254</v>
      </c>
      <c r="L4074" s="28" t="s">
        <v>11255</v>
      </c>
      <c r="M4074" t="s">
        <v>23</v>
      </c>
      <c r="N4074"/>
      <c r="O4074"/>
      <c r="P4074"/>
      <c r="Q4074"/>
      <c r="R4074"/>
      <c r="S4074"/>
    </row>
    <row r="4075" spans="1:19" x14ac:dyDescent="0.25">
      <c r="A4075" t="s">
        <v>193</v>
      </c>
      <c r="C4075" s="27" t="s">
        <v>34749</v>
      </c>
      <c r="D4075" s="28" t="s">
        <v>34867</v>
      </c>
      <c r="J4075" t="s">
        <v>11256</v>
      </c>
      <c r="K4075" t="s">
        <v>11257</v>
      </c>
      <c r="L4075" s="28" t="s">
        <v>11258</v>
      </c>
      <c r="M4075" t="s">
        <v>23</v>
      </c>
      <c r="N4075"/>
      <c r="O4075"/>
      <c r="P4075"/>
      <c r="Q4075"/>
      <c r="R4075"/>
      <c r="S4075"/>
    </row>
    <row r="4076" spans="1:19" x14ac:dyDescent="0.25">
      <c r="A4076" t="s">
        <v>193</v>
      </c>
      <c r="C4076" s="27" t="s">
        <v>34749</v>
      </c>
      <c r="D4076" s="28" t="s">
        <v>34867</v>
      </c>
      <c r="J4076" t="s">
        <v>11259</v>
      </c>
      <c r="K4076" t="s">
        <v>11260</v>
      </c>
      <c r="L4076" s="28" t="s">
        <v>11261</v>
      </c>
      <c r="M4076" t="s">
        <v>23</v>
      </c>
      <c r="N4076"/>
      <c r="O4076"/>
      <c r="P4076"/>
      <c r="Q4076"/>
      <c r="R4076"/>
      <c r="S4076"/>
    </row>
    <row r="4077" spans="1:19" x14ac:dyDescent="0.25">
      <c r="A4077" t="s">
        <v>193</v>
      </c>
      <c r="C4077" s="27" t="s">
        <v>34749</v>
      </c>
      <c r="D4077" s="28" t="s">
        <v>34867</v>
      </c>
      <c r="J4077" t="s">
        <v>11262</v>
      </c>
      <c r="K4077" t="s">
        <v>11263</v>
      </c>
      <c r="L4077" s="28" t="s">
        <v>11264</v>
      </c>
      <c r="M4077" t="s">
        <v>23</v>
      </c>
      <c r="N4077"/>
      <c r="O4077"/>
      <c r="P4077"/>
      <c r="Q4077"/>
      <c r="R4077"/>
      <c r="S4077"/>
    </row>
    <row r="4078" spans="1:19" x14ac:dyDescent="0.25">
      <c r="A4078" t="s">
        <v>193</v>
      </c>
      <c r="C4078" s="27" t="s">
        <v>34749</v>
      </c>
      <c r="D4078" s="28" t="s">
        <v>34867</v>
      </c>
      <c r="J4078" t="s">
        <v>11265</v>
      </c>
      <c r="K4078" t="s">
        <v>11266</v>
      </c>
      <c r="L4078" s="28" t="s">
        <v>11267</v>
      </c>
      <c r="M4078" t="s">
        <v>23</v>
      </c>
      <c r="N4078"/>
      <c r="O4078"/>
      <c r="P4078"/>
      <c r="Q4078"/>
      <c r="R4078"/>
      <c r="S4078"/>
    </row>
    <row r="4079" spans="1:19" x14ac:dyDescent="0.25">
      <c r="A4079" t="s">
        <v>193</v>
      </c>
      <c r="C4079" s="27" t="s">
        <v>34749</v>
      </c>
      <c r="D4079" s="28" t="s">
        <v>34867</v>
      </c>
      <c r="J4079" t="s">
        <v>11268</v>
      </c>
      <c r="K4079" t="s">
        <v>11269</v>
      </c>
      <c r="L4079" s="28" t="s">
        <v>11270</v>
      </c>
      <c r="M4079" t="s">
        <v>23</v>
      </c>
      <c r="N4079"/>
      <c r="O4079"/>
      <c r="P4079"/>
      <c r="Q4079"/>
      <c r="R4079"/>
      <c r="S4079"/>
    </row>
    <row r="4080" spans="1:19" x14ac:dyDescent="0.25">
      <c r="A4080" t="s">
        <v>193</v>
      </c>
      <c r="C4080" s="27" t="s">
        <v>34749</v>
      </c>
      <c r="D4080" s="28" t="s">
        <v>34867</v>
      </c>
      <c r="J4080" t="s">
        <v>11271</v>
      </c>
      <c r="K4080" t="s">
        <v>11272</v>
      </c>
      <c r="L4080" s="28" t="s">
        <v>11273</v>
      </c>
      <c r="M4080" t="s">
        <v>23</v>
      </c>
      <c r="N4080"/>
      <c r="O4080"/>
      <c r="P4080"/>
      <c r="Q4080"/>
      <c r="R4080"/>
      <c r="S4080"/>
    </row>
    <row r="4081" spans="1:19" x14ac:dyDescent="0.25">
      <c r="A4081" t="s">
        <v>193</v>
      </c>
      <c r="C4081" s="27" t="s">
        <v>34749</v>
      </c>
      <c r="D4081" s="28" t="s">
        <v>34867</v>
      </c>
      <c r="E4081" s="3"/>
      <c r="F4081" s="3"/>
      <c r="J4081" t="s">
        <v>11274</v>
      </c>
      <c r="K4081" t="s">
        <v>11275</v>
      </c>
      <c r="L4081" s="28" t="s">
        <v>11276</v>
      </c>
      <c r="M4081" t="s">
        <v>23</v>
      </c>
      <c r="N4081"/>
      <c r="O4081"/>
      <c r="P4081"/>
      <c r="Q4081"/>
      <c r="R4081"/>
      <c r="S4081"/>
    </row>
    <row r="4082" spans="1:19" x14ac:dyDescent="0.25">
      <c r="A4082" t="s">
        <v>193</v>
      </c>
      <c r="C4082" s="27" t="s">
        <v>34749</v>
      </c>
      <c r="D4082" s="28" t="s">
        <v>34867</v>
      </c>
      <c r="J4082" t="s">
        <v>11277</v>
      </c>
      <c r="K4082" t="s">
        <v>11278</v>
      </c>
      <c r="L4082" s="28" t="s">
        <v>11279</v>
      </c>
      <c r="M4082" t="s">
        <v>23</v>
      </c>
      <c r="N4082"/>
      <c r="O4082"/>
      <c r="P4082"/>
      <c r="Q4082"/>
      <c r="R4082"/>
      <c r="S4082"/>
    </row>
    <row r="4083" spans="1:19" x14ac:dyDescent="0.25">
      <c r="A4083" t="s">
        <v>193</v>
      </c>
      <c r="C4083" s="27" t="s">
        <v>34749</v>
      </c>
      <c r="D4083" s="28" t="s">
        <v>34867</v>
      </c>
      <c r="J4083" t="s">
        <v>11280</v>
      </c>
      <c r="K4083" t="s">
        <v>11281</v>
      </c>
      <c r="L4083" s="28" t="s">
        <v>11282</v>
      </c>
      <c r="M4083" t="s">
        <v>23</v>
      </c>
      <c r="N4083"/>
      <c r="O4083"/>
      <c r="P4083"/>
      <c r="Q4083"/>
      <c r="R4083"/>
      <c r="S4083"/>
    </row>
    <row r="4084" spans="1:19" x14ac:dyDescent="0.25">
      <c r="A4084" t="s">
        <v>193</v>
      </c>
      <c r="C4084" s="27" t="s">
        <v>34749</v>
      </c>
      <c r="D4084" s="28" t="s">
        <v>34867</v>
      </c>
      <c r="J4084" t="s">
        <v>11283</v>
      </c>
      <c r="K4084" t="s">
        <v>11284</v>
      </c>
      <c r="L4084" s="28" t="s">
        <v>11285</v>
      </c>
      <c r="M4084" t="s">
        <v>23</v>
      </c>
      <c r="N4084"/>
      <c r="O4084"/>
      <c r="P4084"/>
      <c r="Q4084"/>
      <c r="R4084"/>
      <c r="S4084"/>
    </row>
    <row r="4085" spans="1:19" x14ac:dyDescent="0.25">
      <c r="A4085" t="s">
        <v>193</v>
      </c>
      <c r="C4085" s="27" t="s">
        <v>34749</v>
      </c>
      <c r="D4085" s="28" t="s">
        <v>34867</v>
      </c>
      <c r="J4085" t="s">
        <v>11286</v>
      </c>
      <c r="K4085" t="s">
        <v>11287</v>
      </c>
      <c r="L4085" s="28" t="s">
        <v>11288</v>
      </c>
      <c r="M4085" t="s">
        <v>23</v>
      </c>
      <c r="N4085"/>
      <c r="O4085"/>
      <c r="P4085"/>
      <c r="Q4085"/>
      <c r="R4085"/>
      <c r="S4085"/>
    </row>
    <row r="4086" spans="1:19" x14ac:dyDescent="0.25">
      <c r="A4086" s="27" t="s">
        <v>193</v>
      </c>
      <c r="J4086" t="s">
        <v>11289</v>
      </c>
      <c r="K4086" t="s">
        <v>11290</v>
      </c>
      <c r="M4086" t="s">
        <v>23</v>
      </c>
      <c r="N4086"/>
      <c r="O4086"/>
      <c r="P4086"/>
      <c r="Q4086"/>
      <c r="R4086"/>
      <c r="S4086"/>
    </row>
    <row r="4087" spans="1:19" x14ac:dyDescent="0.25">
      <c r="A4087" s="27" t="s">
        <v>193</v>
      </c>
      <c r="J4087" t="s">
        <v>11291</v>
      </c>
      <c r="K4087" t="s">
        <v>11292</v>
      </c>
      <c r="M4087" t="s">
        <v>23</v>
      </c>
      <c r="N4087"/>
      <c r="O4087"/>
      <c r="P4087"/>
      <c r="Q4087"/>
      <c r="R4087"/>
      <c r="S4087"/>
    </row>
    <row r="4088" spans="1:19" x14ac:dyDescent="0.25">
      <c r="A4088" s="27" t="s">
        <v>193</v>
      </c>
      <c r="J4088" t="s">
        <v>11293</v>
      </c>
      <c r="K4088" t="s">
        <v>11294</v>
      </c>
      <c r="M4088" t="s">
        <v>23</v>
      </c>
      <c r="N4088"/>
      <c r="O4088"/>
      <c r="P4088"/>
      <c r="Q4088"/>
      <c r="R4088"/>
      <c r="S4088"/>
    </row>
    <row r="4089" spans="1:19" x14ac:dyDescent="0.25">
      <c r="A4089" s="27" t="s">
        <v>193</v>
      </c>
      <c r="J4089" t="s">
        <v>11295</v>
      </c>
      <c r="K4089" t="s">
        <v>11296</v>
      </c>
      <c r="M4089" t="s">
        <v>23</v>
      </c>
      <c r="N4089"/>
      <c r="O4089"/>
      <c r="P4089"/>
      <c r="Q4089"/>
      <c r="R4089"/>
      <c r="S4089"/>
    </row>
    <row r="4090" spans="1:19" x14ac:dyDescent="0.25">
      <c r="A4090" s="27" t="s">
        <v>193</v>
      </c>
      <c r="J4090" t="s">
        <v>11297</v>
      </c>
      <c r="K4090" t="s">
        <v>11298</v>
      </c>
      <c r="M4090" t="s">
        <v>23</v>
      </c>
      <c r="N4090"/>
      <c r="O4090"/>
      <c r="P4090"/>
      <c r="Q4090"/>
      <c r="R4090"/>
      <c r="S4090"/>
    </row>
    <row r="4091" spans="1:19" x14ac:dyDescent="0.25">
      <c r="A4091" s="27" t="s">
        <v>193</v>
      </c>
      <c r="J4091" t="s">
        <v>11299</v>
      </c>
      <c r="K4091" t="s">
        <v>11300</v>
      </c>
      <c r="M4091" t="s">
        <v>23</v>
      </c>
      <c r="N4091"/>
      <c r="O4091"/>
      <c r="P4091"/>
      <c r="Q4091"/>
      <c r="R4091"/>
      <c r="S4091"/>
    </row>
    <row r="4092" spans="1:19" x14ac:dyDescent="0.25">
      <c r="A4092" s="27" t="s">
        <v>193</v>
      </c>
      <c r="J4092" t="s">
        <v>11301</v>
      </c>
      <c r="K4092" t="s">
        <v>11302</v>
      </c>
      <c r="M4092" t="s">
        <v>23</v>
      </c>
      <c r="N4092"/>
      <c r="O4092"/>
      <c r="P4092"/>
      <c r="Q4092"/>
      <c r="R4092"/>
      <c r="S4092"/>
    </row>
    <row r="4093" spans="1:19" x14ac:dyDescent="0.25">
      <c r="A4093" s="27" t="s">
        <v>193</v>
      </c>
      <c r="J4093" t="s">
        <v>11303</v>
      </c>
      <c r="K4093" t="s">
        <v>11304</v>
      </c>
      <c r="M4093" t="s">
        <v>23</v>
      </c>
      <c r="N4093"/>
      <c r="O4093"/>
      <c r="P4093"/>
      <c r="Q4093"/>
      <c r="R4093"/>
      <c r="S4093"/>
    </row>
    <row r="4094" spans="1:19" x14ac:dyDescent="0.25">
      <c r="A4094" s="27" t="s">
        <v>193</v>
      </c>
      <c r="J4094" t="s">
        <v>11305</v>
      </c>
      <c r="K4094" t="s">
        <v>11306</v>
      </c>
      <c r="M4094" t="s">
        <v>23</v>
      </c>
      <c r="N4094"/>
      <c r="O4094"/>
      <c r="P4094"/>
      <c r="Q4094"/>
      <c r="R4094"/>
      <c r="S4094"/>
    </row>
    <row r="4095" spans="1:19" x14ac:dyDescent="0.25">
      <c r="A4095" s="27" t="s">
        <v>193</v>
      </c>
      <c r="J4095" t="s">
        <v>11307</v>
      </c>
      <c r="K4095" t="s">
        <v>11308</v>
      </c>
      <c r="M4095" t="s">
        <v>23</v>
      </c>
      <c r="N4095"/>
      <c r="O4095"/>
      <c r="P4095"/>
      <c r="Q4095"/>
      <c r="R4095"/>
      <c r="S4095"/>
    </row>
    <row r="4096" spans="1:19" x14ac:dyDescent="0.25">
      <c r="A4096" s="27" t="s">
        <v>193</v>
      </c>
      <c r="J4096" t="s">
        <v>11309</v>
      </c>
      <c r="K4096" t="s">
        <v>11310</v>
      </c>
      <c r="M4096" t="s">
        <v>23</v>
      </c>
      <c r="N4096"/>
      <c r="O4096"/>
      <c r="P4096"/>
      <c r="Q4096"/>
      <c r="R4096"/>
      <c r="S4096"/>
    </row>
    <row r="4097" spans="1:20" x14ac:dyDescent="0.25">
      <c r="A4097" s="27" t="s">
        <v>193</v>
      </c>
      <c r="J4097" t="s">
        <v>11311</v>
      </c>
      <c r="K4097" t="s">
        <v>11312</v>
      </c>
      <c r="M4097" t="s">
        <v>23</v>
      </c>
      <c r="N4097"/>
      <c r="O4097"/>
      <c r="P4097"/>
      <c r="Q4097"/>
      <c r="R4097"/>
      <c r="S4097"/>
    </row>
    <row r="4098" spans="1:20" x14ac:dyDescent="0.25">
      <c r="A4098" s="27" t="s">
        <v>193</v>
      </c>
      <c r="J4098" t="s">
        <v>11313</v>
      </c>
      <c r="K4098" t="s">
        <v>11314</v>
      </c>
      <c r="M4098" t="s">
        <v>23</v>
      </c>
      <c r="N4098"/>
      <c r="O4098"/>
      <c r="P4098"/>
      <c r="Q4098"/>
      <c r="R4098"/>
      <c r="S4098"/>
    </row>
    <row r="4099" spans="1:20" x14ac:dyDescent="0.25">
      <c r="A4099" s="27" t="s">
        <v>193</v>
      </c>
      <c r="J4099" t="s">
        <v>11315</v>
      </c>
      <c r="K4099" t="s">
        <v>11316</v>
      </c>
      <c r="M4099" t="s">
        <v>23</v>
      </c>
      <c r="N4099"/>
      <c r="O4099"/>
      <c r="P4099"/>
      <c r="Q4099"/>
      <c r="R4099"/>
      <c r="S4099"/>
    </row>
    <row r="4100" spans="1:20" x14ac:dyDescent="0.25">
      <c r="A4100" s="27" t="s">
        <v>193</v>
      </c>
      <c r="J4100" t="s">
        <v>11317</v>
      </c>
      <c r="K4100" t="s">
        <v>11318</v>
      </c>
      <c r="M4100" t="s">
        <v>23</v>
      </c>
      <c r="N4100"/>
      <c r="O4100"/>
      <c r="P4100"/>
      <c r="Q4100"/>
      <c r="R4100"/>
      <c r="S4100"/>
    </row>
    <row r="4101" spans="1:20" x14ac:dyDescent="0.25">
      <c r="A4101" s="27" t="s">
        <v>193</v>
      </c>
      <c r="J4101" t="s">
        <v>11319</v>
      </c>
      <c r="K4101" t="s">
        <v>11320</v>
      </c>
      <c r="M4101" t="s">
        <v>23</v>
      </c>
      <c r="N4101"/>
      <c r="O4101"/>
      <c r="P4101"/>
      <c r="Q4101"/>
      <c r="R4101"/>
      <c r="S4101"/>
    </row>
    <row r="4102" spans="1:20" x14ac:dyDescent="0.25">
      <c r="A4102" s="27" t="s">
        <v>193</v>
      </c>
      <c r="J4102" t="s">
        <v>11321</v>
      </c>
      <c r="K4102" t="s">
        <v>11322</v>
      </c>
      <c r="M4102" t="s">
        <v>23</v>
      </c>
      <c r="N4102"/>
      <c r="O4102"/>
      <c r="P4102"/>
      <c r="Q4102"/>
      <c r="R4102"/>
      <c r="S4102"/>
    </row>
    <row r="4103" spans="1:20" x14ac:dyDescent="0.25">
      <c r="A4103" s="27" t="s">
        <v>193</v>
      </c>
      <c r="J4103" t="s">
        <v>11323</v>
      </c>
      <c r="K4103" t="s">
        <v>11324</v>
      </c>
      <c r="M4103" t="s">
        <v>23</v>
      </c>
      <c r="N4103"/>
      <c r="O4103"/>
      <c r="P4103"/>
      <c r="Q4103"/>
      <c r="R4103"/>
      <c r="S4103"/>
    </row>
    <row r="4104" spans="1:20" x14ac:dyDescent="0.25">
      <c r="A4104" s="27" t="s">
        <v>193</v>
      </c>
      <c r="J4104" t="s">
        <v>11325</v>
      </c>
      <c r="K4104" t="s">
        <v>11326</v>
      </c>
      <c r="M4104" t="s">
        <v>23</v>
      </c>
      <c r="N4104"/>
      <c r="O4104"/>
      <c r="P4104"/>
      <c r="Q4104"/>
      <c r="R4104"/>
      <c r="S4104"/>
    </row>
    <row r="4105" spans="1:20" x14ac:dyDescent="0.25">
      <c r="A4105" s="27" t="s">
        <v>193</v>
      </c>
      <c r="J4105" t="s">
        <v>11327</v>
      </c>
      <c r="K4105" t="s">
        <v>11328</v>
      </c>
      <c r="M4105" t="s">
        <v>23</v>
      </c>
      <c r="N4105"/>
      <c r="O4105"/>
      <c r="P4105"/>
      <c r="Q4105"/>
      <c r="R4105"/>
      <c r="S4105"/>
    </row>
    <row r="4106" spans="1:20" x14ac:dyDescent="0.25">
      <c r="A4106" s="27" t="s">
        <v>193</v>
      </c>
      <c r="J4106" t="s">
        <v>11329</v>
      </c>
      <c r="K4106" t="s">
        <v>11330</v>
      </c>
      <c r="M4106" t="s">
        <v>23</v>
      </c>
      <c r="N4106"/>
      <c r="O4106"/>
      <c r="P4106"/>
      <c r="Q4106"/>
      <c r="R4106"/>
      <c r="S4106"/>
    </row>
    <row r="4107" spans="1:20" x14ac:dyDescent="0.25">
      <c r="A4107" s="27" t="s">
        <v>193</v>
      </c>
      <c r="J4107" t="s">
        <v>11331</v>
      </c>
      <c r="K4107" t="s">
        <v>11332</v>
      </c>
      <c r="M4107" t="s">
        <v>23</v>
      </c>
      <c r="N4107"/>
      <c r="O4107"/>
      <c r="P4107"/>
      <c r="Q4107"/>
      <c r="R4107"/>
      <c r="S4107"/>
    </row>
    <row r="4108" spans="1:20" x14ac:dyDescent="0.25">
      <c r="A4108" s="27" t="s">
        <v>193</v>
      </c>
      <c r="J4108" t="s">
        <v>11333</v>
      </c>
      <c r="K4108" t="s">
        <v>11334</v>
      </c>
      <c r="M4108" t="s">
        <v>23</v>
      </c>
      <c r="N4108"/>
      <c r="O4108"/>
      <c r="P4108"/>
      <c r="Q4108"/>
      <c r="R4108"/>
      <c r="S4108"/>
    </row>
    <row r="4109" spans="1:20" x14ac:dyDescent="0.25">
      <c r="A4109" s="27" t="s">
        <v>193</v>
      </c>
      <c r="J4109" t="s">
        <v>11335</v>
      </c>
      <c r="K4109" t="s">
        <v>11336</v>
      </c>
      <c r="M4109" t="s">
        <v>23</v>
      </c>
      <c r="N4109"/>
      <c r="O4109"/>
      <c r="P4109"/>
      <c r="Q4109"/>
      <c r="R4109"/>
      <c r="S4109"/>
    </row>
    <row r="4110" spans="1:20" x14ac:dyDescent="0.25">
      <c r="A4110" s="27" t="s">
        <v>193</v>
      </c>
      <c r="J4110" t="s">
        <v>11337</v>
      </c>
      <c r="K4110" t="s">
        <v>11338</v>
      </c>
      <c r="M4110" t="s">
        <v>23</v>
      </c>
      <c r="N4110"/>
      <c r="O4110"/>
      <c r="P4110"/>
      <c r="Q4110"/>
      <c r="R4110"/>
      <c r="S4110"/>
    </row>
    <row r="4111" spans="1:20" x14ac:dyDescent="0.25">
      <c r="A4111" s="27" t="s">
        <v>193</v>
      </c>
      <c r="J4111" t="s">
        <v>11339</v>
      </c>
      <c r="K4111" t="s">
        <v>11340</v>
      </c>
      <c r="M4111" t="s">
        <v>23</v>
      </c>
      <c r="N4111"/>
      <c r="O4111"/>
      <c r="P4111"/>
      <c r="Q4111"/>
      <c r="R4111"/>
      <c r="S4111"/>
    </row>
    <row r="4112" spans="1:20" x14ac:dyDescent="0.25">
      <c r="A4112" s="27" t="s">
        <v>193</v>
      </c>
      <c r="J4112" t="s">
        <v>11341</v>
      </c>
      <c r="K4112" t="s">
        <v>11342</v>
      </c>
      <c r="M4112" t="s">
        <v>23</v>
      </c>
      <c r="N4112"/>
      <c r="O4112" s="32"/>
      <c r="P4112" s="32"/>
      <c r="Q4112" s="32"/>
      <c r="R4112" s="32"/>
      <c r="S4112" s="32"/>
      <c r="T4112" s="32"/>
    </row>
    <row r="4113" spans="1:20" x14ac:dyDescent="0.25">
      <c r="A4113" t="s">
        <v>193</v>
      </c>
      <c r="C4113" s="27" t="s">
        <v>34749</v>
      </c>
      <c r="D4113" s="28" t="s">
        <v>34867</v>
      </c>
      <c r="J4113" t="s">
        <v>11343</v>
      </c>
      <c r="K4113" t="s">
        <v>11344</v>
      </c>
      <c r="L4113" s="28" t="s">
        <v>11345</v>
      </c>
      <c r="M4113" t="s">
        <v>23</v>
      </c>
      <c r="N4113"/>
      <c r="O4113" s="32"/>
      <c r="P4113" s="32"/>
      <c r="Q4113" s="32"/>
      <c r="R4113" s="32"/>
      <c r="S4113" s="32"/>
      <c r="T4113" s="32"/>
    </row>
    <row r="4114" spans="1:20" x14ac:dyDescent="0.25">
      <c r="A4114" s="27" t="s">
        <v>193</v>
      </c>
      <c r="J4114" t="s">
        <v>11346</v>
      </c>
      <c r="K4114" t="s">
        <v>11347</v>
      </c>
      <c r="M4114" t="s">
        <v>23</v>
      </c>
      <c r="N4114"/>
      <c r="O4114" s="32"/>
      <c r="P4114" s="32"/>
      <c r="Q4114" s="32"/>
      <c r="R4114" s="32"/>
      <c r="S4114" s="32"/>
      <c r="T4114" s="32"/>
    </row>
    <row r="4115" spans="1:20" x14ac:dyDescent="0.25">
      <c r="A4115" s="27" t="s">
        <v>193</v>
      </c>
      <c r="J4115" t="s">
        <v>11348</v>
      </c>
      <c r="K4115" t="s">
        <v>11349</v>
      </c>
      <c r="M4115" t="s">
        <v>23</v>
      </c>
      <c r="N4115"/>
      <c r="O4115" s="32"/>
      <c r="P4115" s="32"/>
      <c r="Q4115" s="32"/>
      <c r="R4115" s="32"/>
      <c r="S4115" s="32"/>
      <c r="T4115" s="32"/>
    </row>
    <row r="4116" spans="1:20" x14ac:dyDescent="0.25">
      <c r="A4116" s="27" t="s">
        <v>193</v>
      </c>
      <c r="J4116" t="s">
        <v>11350</v>
      </c>
      <c r="K4116" t="s">
        <v>11351</v>
      </c>
      <c r="M4116" t="s">
        <v>23</v>
      </c>
      <c r="N4116"/>
      <c r="O4116" s="32"/>
      <c r="P4116" s="32"/>
      <c r="Q4116" s="32"/>
      <c r="R4116" s="32"/>
      <c r="S4116" s="32"/>
      <c r="T4116" s="32"/>
    </row>
    <row r="4117" spans="1:20" x14ac:dyDescent="0.25">
      <c r="A4117" s="27" t="s">
        <v>193</v>
      </c>
      <c r="I4117" s="27" t="s">
        <v>34848</v>
      </c>
      <c r="J4117" t="s">
        <v>11352</v>
      </c>
      <c r="K4117" t="s">
        <v>11353</v>
      </c>
      <c r="M4117" t="s">
        <v>23</v>
      </c>
      <c r="N4117"/>
      <c r="O4117" s="32"/>
      <c r="P4117" s="32">
        <v>431</v>
      </c>
      <c r="Q4117" s="32" t="s">
        <v>13143</v>
      </c>
      <c r="R4117" s="32"/>
      <c r="S4117" s="32" t="s">
        <v>13144</v>
      </c>
      <c r="T4117" s="32"/>
    </row>
    <row r="4118" spans="1:20" x14ac:dyDescent="0.25">
      <c r="A4118" s="27" t="s">
        <v>193</v>
      </c>
      <c r="J4118" t="s">
        <v>11354</v>
      </c>
      <c r="K4118" t="s">
        <v>11355</v>
      </c>
      <c r="M4118" t="s">
        <v>23</v>
      </c>
      <c r="N4118"/>
      <c r="O4118" s="32"/>
      <c r="P4118" s="32"/>
      <c r="Q4118" s="32"/>
      <c r="R4118" s="32"/>
      <c r="S4118" s="32"/>
      <c r="T4118" s="32"/>
    </row>
    <row r="4119" spans="1:20" x14ac:dyDescent="0.25">
      <c r="A4119" s="27" t="s">
        <v>193</v>
      </c>
      <c r="J4119" t="s">
        <v>11356</v>
      </c>
      <c r="K4119" t="s">
        <v>11357</v>
      </c>
      <c r="M4119" t="s">
        <v>23</v>
      </c>
      <c r="N4119"/>
      <c r="O4119" s="32"/>
      <c r="P4119" s="32"/>
      <c r="Q4119" s="32"/>
      <c r="R4119" s="32"/>
      <c r="S4119" s="32"/>
      <c r="T4119" s="32"/>
    </row>
    <row r="4120" spans="1:20" x14ac:dyDescent="0.25">
      <c r="A4120" s="27" t="s">
        <v>193</v>
      </c>
      <c r="J4120" t="s">
        <v>11358</v>
      </c>
      <c r="K4120" t="s">
        <v>11359</v>
      </c>
      <c r="M4120" t="s">
        <v>23</v>
      </c>
      <c r="N4120"/>
      <c r="O4120" s="32"/>
      <c r="P4120" s="32"/>
      <c r="Q4120" s="32"/>
      <c r="R4120" s="32"/>
      <c r="S4120" s="32"/>
      <c r="T4120" s="32"/>
    </row>
    <row r="4121" spans="1:20" x14ac:dyDescent="0.25">
      <c r="A4121" s="27" t="s">
        <v>193</v>
      </c>
      <c r="J4121" t="s">
        <v>11360</v>
      </c>
      <c r="K4121" t="s">
        <v>11361</v>
      </c>
      <c r="M4121" t="s">
        <v>23</v>
      </c>
      <c r="N4121"/>
      <c r="O4121" s="32"/>
      <c r="P4121" s="32"/>
      <c r="Q4121" s="32"/>
      <c r="R4121" s="32"/>
      <c r="S4121" s="32"/>
      <c r="T4121" s="32"/>
    </row>
    <row r="4122" spans="1:20" x14ac:dyDescent="0.25">
      <c r="A4122" s="27" t="s">
        <v>193</v>
      </c>
      <c r="J4122" t="s">
        <v>11362</v>
      </c>
      <c r="K4122" t="s">
        <v>11363</v>
      </c>
      <c r="M4122" t="s">
        <v>23</v>
      </c>
      <c r="N4122"/>
      <c r="O4122"/>
      <c r="P4122"/>
      <c r="Q4122"/>
      <c r="R4122"/>
      <c r="S4122"/>
    </row>
    <row r="4123" spans="1:20" x14ac:dyDescent="0.25">
      <c r="A4123" s="27" t="s">
        <v>193</v>
      </c>
      <c r="J4123" t="s">
        <v>11364</v>
      </c>
      <c r="K4123" t="s">
        <v>11365</v>
      </c>
      <c r="M4123" t="s">
        <v>23</v>
      </c>
      <c r="N4123"/>
      <c r="O4123"/>
      <c r="P4123"/>
      <c r="Q4123"/>
      <c r="R4123"/>
      <c r="S4123"/>
    </row>
    <row r="4124" spans="1:20" x14ac:dyDescent="0.25">
      <c r="A4124" s="27" t="s">
        <v>193</v>
      </c>
      <c r="J4124" t="s">
        <v>11366</v>
      </c>
      <c r="K4124" t="s">
        <v>11367</v>
      </c>
      <c r="M4124" t="s">
        <v>23</v>
      </c>
      <c r="N4124"/>
      <c r="O4124"/>
      <c r="P4124"/>
      <c r="Q4124"/>
      <c r="R4124"/>
      <c r="S4124"/>
    </row>
    <row r="4125" spans="1:20" x14ac:dyDescent="0.25">
      <c r="A4125" s="27" t="s">
        <v>193</v>
      </c>
      <c r="J4125" t="s">
        <v>11368</v>
      </c>
      <c r="K4125" t="s">
        <v>11369</v>
      </c>
      <c r="M4125" t="s">
        <v>23</v>
      </c>
      <c r="N4125"/>
      <c r="O4125"/>
      <c r="P4125"/>
      <c r="Q4125"/>
      <c r="R4125"/>
      <c r="S4125"/>
    </row>
    <row r="4126" spans="1:20" x14ac:dyDescent="0.25">
      <c r="A4126" s="27" t="s">
        <v>193</v>
      </c>
      <c r="J4126" t="s">
        <v>11370</v>
      </c>
      <c r="K4126" t="s">
        <v>11371</v>
      </c>
      <c r="M4126" t="s">
        <v>23</v>
      </c>
      <c r="N4126"/>
      <c r="O4126"/>
      <c r="P4126"/>
      <c r="Q4126"/>
      <c r="R4126"/>
      <c r="S4126"/>
    </row>
    <row r="4127" spans="1:20" x14ac:dyDescent="0.25">
      <c r="A4127" s="27" t="s">
        <v>193</v>
      </c>
      <c r="J4127" t="s">
        <v>11372</v>
      </c>
      <c r="K4127" t="s">
        <v>11373</v>
      </c>
      <c r="M4127" t="s">
        <v>23</v>
      </c>
      <c r="N4127"/>
      <c r="O4127"/>
      <c r="P4127"/>
      <c r="Q4127"/>
      <c r="R4127"/>
      <c r="S4127"/>
    </row>
    <row r="4128" spans="1:20" x14ac:dyDescent="0.25">
      <c r="A4128" t="s">
        <v>193</v>
      </c>
      <c r="C4128" s="27" t="s">
        <v>34749</v>
      </c>
      <c r="D4128" s="28" t="s">
        <v>34867</v>
      </c>
      <c r="J4128" t="s">
        <v>11374</v>
      </c>
      <c r="K4128" t="s">
        <v>11375</v>
      </c>
      <c r="L4128" s="28" t="s">
        <v>11376</v>
      </c>
      <c r="M4128" t="s">
        <v>23</v>
      </c>
      <c r="N4128"/>
      <c r="O4128"/>
      <c r="P4128"/>
      <c r="Q4128"/>
      <c r="R4128"/>
      <c r="S4128"/>
    </row>
    <row r="4129" spans="1:19" x14ac:dyDescent="0.25">
      <c r="A4129" s="27" t="s">
        <v>193</v>
      </c>
      <c r="J4129" t="s">
        <v>11377</v>
      </c>
      <c r="K4129" t="s">
        <v>11378</v>
      </c>
      <c r="M4129" t="s">
        <v>23</v>
      </c>
      <c r="N4129"/>
      <c r="O4129"/>
      <c r="P4129"/>
      <c r="Q4129"/>
      <c r="R4129"/>
      <c r="S4129"/>
    </row>
    <row r="4130" spans="1:19" x14ac:dyDescent="0.25">
      <c r="A4130" s="27" t="s">
        <v>193</v>
      </c>
      <c r="J4130" t="s">
        <v>11379</v>
      </c>
      <c r="K4130" t="s">
        <v>11380</v>
      </c>
      <c r="M4130" t="s">
        <v>23</v>
      </c>
      <c r="N4130"/>
      <c r="O4130"/>
      <c r="P4130"/>
      <c r="Q4130"/>
      <c r="R4130"/>
      <c r="S4130"/>
    </row>
    <row r="4131" spans="1:19" x14ac:dyDescent="0.25">
      <c r="A4131" s="27" t="s">
        <v>193</v>
      </c>
      <c r="J4131" t="s">
        <v>11381</v>
      </c>
      <c r="K4131" t="s">
        <v>11382</v>
      </c>
      <c r="M4131" t="s">
        <v>23</v>
      </c>
      <c r="N4131"/>
      <c r="O4131"/>
      <c r="P4131"/>
      <c r="Q4131"/>
      <c r="R4131"/>
      <c r="S4131"/>
    </row>
    <row r="4132" spans="1:19" x14ac:dyDescent="0.25">
      <c r="A4132" s="27" t="s">
        <v>193</v>
      </c>
      <c r="J4132" t="s">
        <v>11383</v>
      </c>
      <c r="K4132" t="s">
        <v>11384</v>
      </c>
      <c r="M4132" t="s">
        <v>23</v>
      </c>
      <c r="N4132"/>
      <c r="O4132"/>
      <c r="P4132"/>
      <c r="Q4132"/>
      <c r="R4132"/>
      <c r="S4132"/>
    </row>
    <row r="4133" spans="1:19" x14ac:dyDescent="0.25">
      <c r="A4133" s="27" t="s">
        <v>193</v>
      </c>
      <c r="J4133" t="s">
        <v>11385</v>
      </c>
      <c r="K4133" t="s">
        <v>11386</v>
      </c>
      <c r="M4133" t="s">
        <v>23</v>
      </c>
      <c r="N4133"/>
      <c r="O4133"/>
      <c r="P4133"/>
      <c r="Q4133"/>
      <c r="R4133"/>
      <c r="S4133"/>
    </row>
    <row r="4134" spans="1:19" x14ac:dyDescent="0.25">
      <c r="A4134" t="s">
        <v>193</v>
      </c>
      <c r="C4134" s="27" t="s">
        <v>34749</v>
      </c>
      <c r="D4134" s="28" t="s">
        <v>34867</v>
      </c>
      <c r="J4134" t="s">
        <v>11387</v>
      </c>
      <c r="K4134" t="s">
        <v>11388</v>
      </c>
      <c r="L4134" s="28" t="s">
        <v>11389</v>
      </c>
      <c r="M4134" t="s">
        <v>23</v>
      </c>
      <c r="N4134"/>
      <c r="O4134"/>
      <c r="P4134"/>
      <c r="Q4134"/>
      <c r="R4134"/>
      <c r="S4134"/>
    </row>
    <row r="4135" spans="1:19" x14ac:dyDescent="0.25">
      <c r="A4135" s="27" t="s">
        <v>193</v>
      </c>
      <c r="J4135" t="s">
        <v>11390</v>
      </c>
      <c r="K4135" t="s">
        <v>11391</v>
      </c>
      <c r="M4135" t="s">
        <v>23</v>
      </c>
      <c r="N4135"/>
      <c r="O4135"/>
      <c r="P4135"/>
      <c r="Q4135"/>
      <c r="R4135"/>
      <c r="S4135"/>
    </row>
    <row r="4136" spans="1:19" x14ac:dyDescent="0.25">
      <c r="A4136" s="27" t="s">
        <v>193</v>
      </c>
      <c r="J4136" t="s">
        <v>11392</v>
      </c>
      <c r="K4136" t="s">
        <v>11393</v>
      </c>
      <c r="M4136" t="s">
        <v>23</v>
      </c>
      <c r="N4136"/>
      <c r="O4136"/>
      <c r="P4136"/>
      <c r="Q4136"/>
      <c r="R4136"/>
      <c r="S4136"/>
    </row>
    <row r="4137" spans="1:19" x14ac:dyDescent="0.25">
      <c r="A4137" s="27" t="s">
        <v>193</v>
      </c>
      <c r="J4137" t="s">
        <v>11394</v>
      </c>
      <c r="K4137" t="s">
        <v>11395</v>
      </c>
      <c r="M4137" t="s">
        <v>23</v>
      </c>
      <c r="N4137"/>
      <c r="O4137"/>
      <c r="P4137"/>
      <c r="Q4137"/>
      <c r="R4137"/>
      <c r="S4137"/>
    </row>
    <row r="4138" spans="1:19" x14ac:dyDescent="0.25">
      <c r="A4138" s="27" t="s">
        <v>193</v>
      </c>
      <c r="J4138" t="s">
        <v>11396</v>
      </c>
      <c r="K4138" t="s">
        <v>11397</v>
      </c>
      <c r="M4138" t="s">
        <v>23</v>
      </c>
      <c r="N4138"/>
      <c r="O4138"/>
      <c r="P4138"/>
      <c r="Q4138"/>
      <c r="R4138"/>
      <c r="S4138"/>
    </row>
    <row r="4139" spans="1:19" x14ac:dyDescent="0.25">
      <c r="A4139" s="27" t="s">
        <v>193</v>
      </c>
      <c r="J4139" t="s">
        <v>11398</v>
      </c>
      <c r="K4139" t="s">
        <v>11399</v>
      </c>
      <c r="M4139" t="s">
        <v>23</v>
      </c>
      <c r="N4139"/>
      <c r="O4139"/>
      <c r="P4139"/>
      <c r="Q4139"/>
      <c r="R4139"/>
      <c r="S4139"/>
    </row>
    <row r="4140" spans="1:19" x14ac:dyDescent="0.25">
      <c r="A4140" s="27" t="s">
        <v>193</v>
      </c>
      <c r="J4140" t="s">
        <v>11400</v>
      </c>
      <c r="K4140" t="s">
        <v>11401</v>
      </c>
      <c r="M4140" t="s">
        <v>23</v>
      </c>
      <c r="N4140"/>
      <c r="O4140"/>
      <c r="P4140"/>
      <c r="Q4140"/>
      <c r="R4140"/>
      <c r="S4140"/>
    </row>
    <row r="4141" spans="1:19" x14ac:dyDescent="0.25">
      <c r="A4141" s="27" t="s">
        <v>193</v>
      </c>
      <c r="J4141" t="s">
        <v>11402</v>
      </c>
      <c r="K4141" t="s">
        <v>11403</v>
      </c>
      <c r="M4141" t="s">
        <v>23</v>
      </c>
      <c r="N4141"/>
      <c r="O4141"/>
      <c r="P4141"/>
      <c r="Q4141"/>
      <c r="R4141"/>
      <c r="S4141"/>
    </row>
    <row r="4142" spans="1:19" x14ac:dyDescent="0.25">
      <c r="A4142" s="27" t="s">
        <v>193</v>
      </c>
      <c r="J4142" t="s">
        <v>11404</v>
      </c>
      <c r="K4142" t="s">
        <v>11405</v>
      </c>
      <c r="M4142" t="s">
        <v>23</v>
      </c>
      <c r="N4142"/>
      <c r="O4142"/>
      <c r="P4142"/>
      <c r="Q4142"/>
      <c r="R4142"/>
      <c r="S4142"/>
    </row>
    <row r="4143" spans="1:19" x14ac:dyDescent="0.25">
      <c r="A4143" s="27" t="s">
        <v>193</v>
      </c>
      <c r="J4143" t="s">
        <v>11406</v>
      </c>
      <c r="K4143" t="s">
        <v>11407</v>
      </c>
      <c r="M4143" t="s">
        <v>23</v>
      </c>
      <c r="N4143"/>
      <c r="O4143"/>
      <c r="P4143"/>
      <c r="Q4143"/>
      <c r="R4143"/>
      <c r="S4143"/>
    </row>
    <row r="4144" spans="1:19" x14ac:dyDescent="0.25">
      <c r="A4144" s="27" t="s">
        <v>193</v>
      </c>
      <c r="J4144" t="s">
        <v>11408</v>
      </c>
      <c r="K4144" t="s">
        <v>11409</v>
      </c>
      <c r="M4144" t="s">
        <v>23</v>
      </c>
      <c r="N4144"/>
      <c r="O4144"/>
      <c r="P4144">
        <v>466</v>
      </c>
      <c r="Q4144" t="s">
        <v>13163</v>
      </c>
      <c r="S4144" t="s">
        <v>13164</v>
      </c>
    </row>
    <row r="4145" spans="1:19" x14ac:dyDescent="0.25">
      <c r="A4145" s="27" t="s">
        <v>193</v>
      </c>
      <c r="J4145" t="s">
        <v>11410</v>
      </c>
      <c r="K4145" t="s">
        <v>11411</v>
      </c>
      <c r="M4145" t="s">
        <v>23</v>
      </c>
      <c r="N4145"/>
      <c r="O4145"/>
      <c r="P4145"/>
      <c r="Q4145"/>
      <c r="R4145"/>
      <c r="S4145"/>
    </row>
    <row r="4146" spans="1:19" x14ac:dyDescent="0.25">
      <c r="A4146" s="27" t="s">
        <v>193</v>
      </c>
      <c r="J4146" t="s">
        <v>11412</v>
      </c>
      <c r="K4146" t="s">
        <v>11413</v>
      </c>
      <c r="M4146" t="s">
        <v>23</v>
      </c>
      <c r="N4146"/>
      <c r="O4146"/>
      <c r="P4146"/>
      <c r="Q4146"/>
      <c r="R4146"/>
      <c r="S4146"/>
    </row>
    <row r="4147" spans="1:19" x14ac:dyDescent="0.25">
      <c r="A4147" s="27" t="s">
        <v>193</v>
      </c>
      <c r="J4147" t="s">
        <v>11414</v>
      </c>
      <c r="K4147" t="s">
        <v>11415</v>
      </c>
      <c r="M4147" t="s">
        <v>23</v>
      </c>
      <c r="N4147"/>
      <c r="O4147"/>
      <c r="P4147"/>
      <c r="Q4147"/>
      <c r="R4147"/>
      <c r="S4147"/>
    </row>
    <row r="4148" spans="1:19" x14ac:dyDescent="0.25">
      <c r="A4148" s="27" t="s">
        <v>193</v>
      </c>
      <c r="J4148" t="s">
        <v>11416</v>
      </c>
      <c r="K4148" t="s">
        <v>11417</v>
      </c>
      <c r="M4148" t="s">
        <v>23</v>
      </c>
      <c r="N4148"/>
      <c r="O4148"/>
      <c r="P4148"/>
      <c r="Q4148"/>
      <c r="R4148"/>
      <c r="S4148"/>
    </row>
    <row r="4149" spans="1:19" x14ac:dyDescent="0.25">
      <c r="A4149" s="27" t="s">
        <v>193</v>
      </c>
      <c r="J4149" t="s">
        <v>11418</v>
      </c>
      <c r="K4149" t="s">
        <v>11419</v>
      </c>
      <c r="M4149" t="s">
        <v>23</v>
      </c>
      <c r="N4149"/>
      <c r="O4149"/>
      <c r="P4149"/>
      <c r="Q4149"/>
      <c r="R4149"/>
      <c r="S4149"/>
    </row>
    <row r="4150" spans="1:19" x14ac:dyDescent="0.25">
      <c r="A4150" s="27" t="s">
        <v>193</v>
      </c>
      <c r="J4150" t="s">
        <v>11420</v>
      </c>
      <c r="K4150" t="s">
        <v>11421</v>
      </c>
      <c r="M4150" t="s">
        <v>23</v>
      </c>
      <c r="N4150"/>
      <c r="O4150"/>
      <c r="P4150"/>
      <c r="Q4150"/>
      <c r="R4150"/>
      <c r="S4150"/>
    </row>
    <row r="4151" spans="1:19" x14ac:dyDescent="0.25">
      <c r="A4151" s="27" t="s">
        <v>193</v>
      </c>
      <c r="J4151" t="s">
        <v>11422</v>
      </c>
      <c r="K4151" t="s">
        <v>11423</v>
      </c>
      <c r="M4151" t="s">
        <v>23</v>
      </c>
      <c r="N4151"/>
      <c r="O4151"/>
      <c r="P4151"/>
      <c r="Q4151"/>
      <c r="R4151"/>
      <c r="S4151"/>
    </row>
    <row r="4152" spans="1:19" x14ac:dyDescent="0.25">
      <c r="A4152" s="27" t="s">
        <v>193</v>
      </c>
      <c r="J4152" t="s">
        <v>11424</v>
      </c>
      <c r="K4152" t="s">
        <v>11425</v>
      </c>
      <c r="M4152" t="s">
        <v>23</v>
      </c>
      <c r="N4152"/>
      <c r="O4152"/>
      <c r="P4152"/>
      <c r="Q4152"/>
      <c r="R4152"/>
      <c r="S4152"/>
    </row>
    <row r="4153" spans="1:19" x14ac:dyDescent="0.25">
      <c r="A4153" s="27" t="s">
        <v>193</v>
      </c>
      <c r="J4153" t="s">
        <v>11426</v>
      </c>
      <c r="K4153" t="s">
        <v>11427</v>
      </c>
      <c r="M4153" t="s">
        <v>23</v>
      </c>
      <c r="N4153"/>
      <c r="O4153"/>
      <c r="P4153"/>
      <c r="Q4153"/>
      <c r="R4153"/>
      <c r="S4153"/>
    </row>
    <row r="4154" spans="1:19" x14ac:dyDescent="0.25">
      <c r="A4154" s="27" t="s">
        <v>193</v>
      </c>
      <c r="J4154" t="s">
        <v>11428</v>
      </c>
      <c r="K4154" t="s">
        <v>11429</v>
      </c>
      <c r="M4154" t="s">
        <v>23</v>
      </c>
      <c r="N4154"/>
      <c r="O4154"/>
      <c r="P4154"/>
      <c r="Q4154"/>
      <c r="R4154"/>
      <c r="S4154"/>
    </row>
    <row r="4155" spans="1:19" x14ac:dyDescent="0.25">
      <c r="A4155" s="27" t="s">
        <v>193</v>
      </c>
      <c r="J4155" t="s">
        <v>11430</v>
      </c>
      <c r="K4155" t="s">
        <v>11431</v>
      </c>
      <c r="M4155" t="s">
        <v>23</v>
      </c>
      <c r="N4155"/>
      <c r="O4155"/>
      <c r="P4155"/>
      <c r="Q4155"/>
      <c r="R4155"/>
      <c r="S4155"/>
    </row>
    <row r="4156" spans="1:19" x14ac:dyDescent="0.25">
      <c r="A4156" s="27" t="s">
        <v>193</v>
      </c>
      <c r="J4156" t="s">
        <v>11432</v>
      </c>
      <c r="K4156" t="s">
        <v>11433</v>
      </c>
      <c r="M4156" t="s">
        <v>23</v>
      </c>
      <c r="N4156"/>
      <c r="O4156"/>
      <c r="P4156"/>
      <c r="Q4156"/>
      <c r="R4156"/>
      <c r="S4156"/>
    </row>
    <row r="4157" spans="1:19" x14ac:dyDescent="0.25">
      <c r="A4157" s="27" t="s">
        <v>193</v>
      </c>
      <c r="J4157" t="s">
        <v>11434</v>
      </c>
      <c r="K4157" t="s">
        <v>11435</v>
      </c>
      <c r="M4157" t="s">
        <v>23</v>
      </c>
      <c r="N4157"/>
      <c r="O4157"/>
      <c r="P4157"/>
      <c r="Q4157"/>
      <c r="R4157"/>
      <c r="S4157"/>
    </row>
    <row r="4158" spans="1:19" x14ac:dyDescent="0.25">
      <c r="A4158" s="27" t="s">
        <v>193</v>
      </c>
      <c r="J4158" t="s">
        <v>11436</v>
      </c>
      <c r="K4158" t="s">
        <v>11437</v>
      </c>
      <c r="M4158" t="s">
        <v>23</v>
      </c>
      <c r="N4158"/>
      <c r="O4158"/>
      <c r="P4158"/>
      <c r="Q4158"/>
      <c r="R4158"/>
      <c r="S4158"/>
    </row>
    <row r="4159" spans="1:19" x14ac:dyDescent="0.25">
      <c r="A4159" s="27" t="s">
        <v>193</v>
      </c>
      <c r="J4159" t="s">
        <v>11438</v>
      </c>
      <c r="K4159" t="s">
        <v>11439</v>
      </c>
      <c r="M4159" t="s">
        <v>23</v>
      </c>
      <c r="N4159"/>
      <c r="O4159"/>
      <c r="P4159"/>
      <c r="Q4159"/>
      <c r="R4159"/>
      <c r="S4159"/>
    </row>
    <row r="4160" spans="1:19" x14ac:dyDescent="0.25">
      <c r="A4160" s="27" t="s">
        <v>193</v>
      </c>
      <c r="J4160" t="s">
        <v>11440</v>
      </c>
      <c r="K4160" t="s">
        <v>11441</v>
      </c>
      <c r="M4160" t="s">
        <v>23</v>
      </c>
      <c r="N4160"/>
      <c r="O4160"/>
      <c r="P4160"/>
      <c r="Q4160"/>
      <c r="R4160"/>
      <c r="S4160"/>
    </row>
    <row r="4161" spans="1:19" x14ac:dyDescent="0.25">
      <c r="A4161" s="27" t="s">
        <v>193</v>
      </c>
      <c r="J4161" t="s">
        <v>11442</v>
      </c>
      <c r="K4161" t="s">
        <v>11443</v>
      </c>
      <c r="M4161" t="s">
        <v>23</v>
      </c>
      <c r="N4161"/>
      <c r="O4161"/>
      <c r="P4161"/>
      <c r="Q4161"/>
      <c r="R4161"/>
      <c r="S4161"/>
    </row>
    <row r="4162" spans="1:19" x14ac:dyDescent="0.25">
      <c r="A4162" s="27" t="s">
        <v>193</v>
      </c>
      <c r="J4162" t="s">
        <v>11444</v>
      </c>
      <c r="K4162" t="s">
        <v>11445</v>
      </c>
      <c r="M4162" t="s">
        <v>23</v>
      </c>
      <c r="N4162"/>
      <c r="O4162"/>
      <c r="P4162"/>
      <c r="Q4162"/>
      <c r="R4162"/>
      <c r="S4162"/>
    </row>
    <row r="4163" spans="1:19" x14ac:dyDescent="0.25">
      <c r="A4163" s="27" t="s">
        <v>193</v>
      </c>
      <c r="J4163" t="s">
        <v>11446</v>
      </c>
      <c r="K4163" t="s">
        <v>11447</v>
      </c>
      <c r="M4163" t="s">
        <v>23</v>
      </c>
      <c r="N4163"/>
      <c r="O4163"/>
      <c r="P4163"/>
      <c r="Q4163"/>
      <c r="R4163"/>
      <c r="S4163"/>
    </row>
    <row r="4164" spans="1:19" x14ac:dyDescent="0.25">
      <c r="A4164" s="27" t="s">
        <v>193</v>
      </c>
      <c r="J4164" t="s">
        <v>11448</v>
      </c>
      <c r="K4164" t="s">
        <v>11449</v>
      </c>
      <c r="M4164" t="s">
        <v>23</v>
      </c>
      <c r="N4164"/>
      <c r="O4164"/>
      <c r="P4164"/>
      <c r="Q4164"/>
      <c r="R4164"/>
      <c r="S4164"/>
    </row>
    <row r="4165" spans="1:19" x14ac:dyDescent="0.25">
      <c r="A4165" s="27" t="s">
        <v>193</v>
      </c>
      <c r="J4165" t="s">
        <v>11450</v>
      </c>
      <c r="K4165" t="s">
        <v>11451</v>
      </c>
      <c r="M4165" t="s">
        <v>23</v>
      </c>
      <c r="N4165"/>
      <c r="O4165"/>
      <c r="P4165"/>
      <c r="Q4165"/>
      <c r="R4165"/>
      <c r="S4165"/>
    </row>
    <row r="4166" spans="1:19" x14ac:dyDescent="0.25">
      <c r="A4166" s="27" t="s">
        <v>193</v>
      </c>
      <c r="J4166" t="s">
        <v>11452</v>
      </c>
      <c r="K4166" t="s">
        <v>11453</v>
      </c>
      <c r="M4166" t="s">
        <v>23</v>
      </c>
      <c r="N4166"/>
      <c r="O4166"/>
      <c r="P4166"/>
      <c r="Q4166"/>
      <c r="R4166"/>
      <c r="S4166"/>
    </row>
    <row r="4167" spans="1:19" x14ac:dyDescent="0.25">
      <c r="A4167" s="27" t="s">
        <v>193</v>
      </c>
      <c r="J4167" t="s">
        <v>11454</v>
      </c>
      <c r="K4167" t="s">
        <v>11455</v>
      </c>
      <c r="M4167" t="s">
        <v>23</v>
      </c>
      <c r="N4167"/>
      <c r="O4167"/>
      <c r="P4167"/>
      <c r="Q4167"/>
      <c r="R4167"/>
      <c r="S4167"/>
    </row>
    <row r="4168" spans="1:19" x14ac:dyDescent="0.25">
      <c r="A4168" s="27" t="s">
        <v>193</v>
      </c>
      <c r="J4168" t="s">
        <v>11456</v>
      </c>
      <c r="K4168" t="s">
        <v>11457</v>
      </c>
      <c r="M4168" t="s">
        <v>23</v>
      </c>
      <c r="N4168"/>
      <c r="O4168"/>
      <c r="P4168"/>
      <c r="Q4168"/>
      <c r="R4168"/>
      <c r="S4168"/>
    </row>
    <row r="4169" spans="1:19" x14ac:dyDescent="0.25">
      <c r="A4169" s="27" t="s">
        <v>193</v>
      </c>
      <c r="J4169" t="s">
        <v>11458</v>
      </c>
      <c r="K4169" t="s">
        <v>11459</v>
      </c>
      <c r="M4169" t="s">
        <v>23</v>
      </c>
      <c r="N4169"/>
      <c r="O4169"/>
      <c r="P4169"/>
      <c r="Q4169"/>
      <c r="R4169"/>
      <c r="S4169"/>
    </row>
    <row r="4170" spans="1:19" x14ac:dyDescent="0.25">
      <c r="A4170" s="27" t="s">
        <v>193</v>
      </c>
      <c r="J4170" t="s">
        <v>11460</v>
      </c>
      <c r="K4170" t="s">
        <v>11461</v>
      </c>
      <c r="M4170" t="s">
        <v>23</v>
      </c>
      <c r="N4170"/>
      <c r="O4170"/>
      <c r="P4170"/>
      <c r="Q4170"/>
      <c r="R4170"/>
      <c r="S4170"/>
    </row>
    <row r="4171" spans="1:19" x14ac:dyDescent="0.25">
      <c r="A4171" s="27" t="s">
        <v>193</v>
      </c>
      <c r="J4171" t="s">
        <v>11462</v>
      </c>
      <c r="K4171" t="s">
        <v>11463</v>
      </c>
      <c r="M4171" t="s">
        <v>23</v>
      </c>
      <c r="N4171"/>
      <c r="O4171"/>
      <c r="P4171"/>
      <c r="Q4171"/>
      <c r="R4171"/>
      <c r="S4171"/>
    </row>
    <row r="4172" spans="1:19" x14ac:dyDescent="0.25">
      <c r="A4172" s="27" t="s">
        <v>193</v>
      </c>
      <c r="J4172" t="s">
        <v>11464</v>
      </c>
      <c r="K4172" t="s">
        <v>11465</v>
      </c>
      <c r="M4172" t="s">
        <v>23</v>
      </c>
      <c r="N4172"/>
      <c r="O4172"/>
      <c r="P4172"/>
      <c r="Q4172"/>
      <c r="R4172"/>
      <c r="S4172"/>
    </row>
    <row r="4173" spans="1:19" x14ac:dyDescent="0.25">
      <c r="A4173" s="27" t="s">
        <v>193</v>
      </c>
      <c r="J4173" t="s">
        <v>11466</v>
      </c>
      <c r="K4173" t="s">
        <v>11467</v>
      </c>
      <c r="M4173" t="s">
        <v>23</v>
      </c>
      <c r="N4173"/>
      <c r="O4173"/>
      <c r="P4173"/>
      <c r="Q4173"/>
      <c r="R4173"/>
      <c r="S4173"/>
    </row>
    <row r="4174" spans="1:19" x14ac:dyDescent="0.25">
      <c r="A4174" s="27" t="s">
        <v>193</v>
      </c>
      <c r="J4174" t="s">
        <v>11468</v>
      </c>
      <c r="K4174" t="s">
        <v>11469</v>
      </c>
      <c r="M4174" t="s">
        <v>23</v>
      </c>
      <c r="N4174"/>
      <c r="O4174"/>
      <c r="P4174"/>
      <c r="Q4174"/>
      <c r="R4174"/>
      <c r="S4174"/>
    </row>
    <row r="4175" spans="1:19" x14ac:dyDescent="0.25">
      <c r="A4175" s="27" t="s">
        <v>193</v>
      </c>
      <c r="J4175" t="s">
        <v>11470</v>
      </c>
      <c r="K4175" t="s">
        <v>11471</v>
      </c>
      <c r="M4175" t="s">
        <v>23</v>
      </c>
      <c r="N4175"/>
      <c r="O4175"/>
      <c r="P4175"/>
      <c r="Q4175"/>
      <c r="R4175"/>
      <c r="S4175"/>
    </row>
    <row r="4176" spans="1:19" x14ac:dyDescent="0.25">
      <c r="A4176" s="28" t="s">
        <v>14843</v>
      </c>
      <c r="J4176" t="s">
        <v>11472</v>
      </c>
      <c r="K4176" t="s">
        <v>11473</v>
      </c>
      <c r="M4176" t="s">
        <v>666</v>
      </c>
      <c r="N4176"/>
      <c r="O4176"/>
      <c r="P4176"/>
      <c r="Q4176"/>
      <c r="R4176"/>
      <c r="S4176"/>
    </row>
    <row r="4177" spans="1:19" x14ac:dyDescent="0.25">
      <c r="A4177" s="27" t="s">
        <v>193</v>
      </c>
      <c r="J4177" t="s">
        <v>11474</v>
      </c>
      <c r="K4177" t="s">
        <v>11475</v>
      </c>
      <c r="M4177" t="s">
        <v>23</v>
      </c>
      <c r="N4177"/>
      <c r="O4177"/>
      <c r="P4177"/>
      <c r="Q4177"/>
      <c r="R4177"/>
      <c r="S4177"/>
    </row>
    <row r="4178" spans="1:19" x14ac:dyDescent="0.25">
      <c r="A4178" s="27" t="s">
        <v>193</v>
      </c>
      <c r="J4178" t="s">
        <v>11476</v>
      </c>
      <c r="K4178" t="s">
        <v>11477</v>
      </c>
      <c r="M4178" t="s">
        <v>23</v>
      </c>
      <c r="N4178"/>
      <c r="O4178"/>
      <c r="P4178"/>
      <c r="Q4178"/>
      <c r="R4178"/>
      <c r="S4178"/>
    </row>
    <row r="4179" spans="1:19" x14ac:dyDescent="0.25">
      <c r="A4179" s="27" t="s">
        <v>193</v>
      </c>
      <c r="J4179" t="s">
        <v>11478</v>
      </c>
      <c r="K4179" t="s">
        <v>11479</v>
      </c>
      <c r="M4179" t="s">
        <v>23</v>
      </c>
      <c r="N4179"/>
      <c r="O4179"/>
      <c r="P4179"/>
      <c r="Q4179"/>
      <c r="R4179"/>
      <c r="S4179"/>
    </row>
    <row r="4180" spans="1:19" x14ac:dyDescent="0.25">
      <c r="A4180" s="27" t="s">
        <v>193</v>
      </c>
      <c r="J4180" t="s">
        <v>11480</v>
      </c>
      <c r="K4180" t="s">
        <v>11481</v>
      </c>
      <c r="M4180" t="s">
        <v>23</v>
      </c>
      <c r="N4180"/>
      <c r="O4180"/>
      <c r="P4180"/>
      <c r="Q4180"/>
      <c r="R4180"/>
      <c r="S4180"/>
    </row>
    <row r="4181" spans="1:19" x14ac:dyDescent="0.25">
      <c r="A4181" s="27" t="s">
        <v>193</v>
      </c>
      <c r="J4181" t="s">
        <v>11482</v>
      </c>
      <c r="K4181" t="s">
        <v>11483</v>
      </c>
      <c r="M4181" t="s">
        <v>23</v>
      </c>
      <c r="N4181"/>
      <c r="O4181"/>
      <c r="P4181"/>
      <c r="Q4181"/>
      <c r="R4181"/>
      <c r="S4181"/>
    </row>
    <row r="4182" spans="1:19" x14ac:dyDescent="0.25">
      <c r="A4182" s="28" t="s">
        <v>14843</v>
      </c>
      <c r="J4182" t="s">
        <v>11484</v>
      </c>
      <c r="K4182" t="s">
        <v>11485</v>
      </c>
      <c r="M4182" t="s">
        <v>666</v>
      </c>
      <c r="N4182"/>
      <c r="O4182"/>
      <c r="P4182"/>
      <c r="Q4182"/>
      <c r="R4182"/>
      <c r="S4182"/>
    </row>
    <row r="4183" spans="1:19" x14ac:dyDescent="0.25">
      <c r="A4183" s="27" t="s">
        <v>193</v>
      </c>
      <c r="J4183" t="s">
        <v>11486</v>
      </c>
      <c r="K4183" t="s">
        <v>11487</v>
      </c>
      <c r="M4183" t="s">
        <v>23</v>
      </c>
      <c r="N4183"/>
      <c r="O4183"/>
      <c r="P4183" s="32">
        <v>448</v>
      </c>
      <c r="Q4183" s="32" t="s">
        <v>13157</v>
      </c>
      <c r="R4183" s="32"/>
      <c r="S4183" s="32" t="s">
        <v>13112</v>
      </c>
    </row>
    <row r="4184" spans="1:19" x14ac:dyDescent="0.25">
      <c r="A4184" s="27" t="s">
        <v>193</v>
      </c>
      <c r="J4184" t="s">
        <v>11488</v>
      </c>
      <c r="K4184" t="s">
        <v>11489</v>
      </c>
      <c r="M4184" t="s">
        <v>23</v>
      </c>
      <c r="N4184"/>
      <c r="O4184"/>
      <c r="P4184"/>
      <c r="Q4184"/>
      <c r="R4184"/>
      <c r="S4184"/>
    </row>
    <row r="4185" spans="1:19" x14ac:dyDescent="0.25">
      <c r="A4185" s="27" t="s">
        <v>193</v>
      </c>
      <c r="I4185" s="27" t="s">
        <v>34849</v>
      </c>
      <c r="J4185" t="s">
        <v>11490</v>
      </c>
      <c r="K4185" t="s">
        <v>11491</v>
      </c>
      <c r="M4185" t="s">
        <v>23</v>
      </c>
      <c r="N4185"/>
      <c r="O4185"/>
      <c r="P4185" s="32">
        <v>432</v>
      </c>
      <c r="Q4185" s="32" t="s">
        <v>13145</v>
      </c>
      <c r="R4185" s="32"/>
      <c r="S4185" s="32" t="s">
        <v>13146</v>
      </c>
    </row>
    <row r="4186" spans="1:19" x14ac:dyDescent="0.25">
      <c r="A4186" s="27" t="s">
        <v>193</v>
      </c>
      <c r="J4186" t="s">
        <v>11492</v>
      </c>
      <c r="K4186" t="s">
        <v>11493</v>
      </c>
      <c r="M4186" t="s">
        <v>23</v>
      </c>
      <c r="N4186"/>
      <c r="O4186"/>
      <c r="P4186"/>
      <c r="Q4186"/>
      <c r="R4186"/>
      <c r="S4186"/>
    </row>
    <row r="4187" spans="1:19" x14ac:dyDescent="0.25">
      <c r="A4187" s="27" t="s">
        <v>193</v>
      </c>
      <c r="J4187" t="s">
        <v>11494</v>
      </c>
      <c r="K4187" t="s">
        <v>11495</v>
      </c>
      <c r="M4187" t="s">
        <v>23</v>
      </c>
      <c r="N4187"/>
      <c r="O4187"/>
      <c r="P4187"/>
      <c r="Q4187"/>
      <c r="R4187"/>
      <c r="S4187"/>
    </row>
    <row r="4188" spans="1:19" x14ac:dyDescent="0.25">
      <c r="A4188" s="28" t="s">
        <v>14843</v>
      </c>
      <c r="J4188" t="s">
        <v>11496</v>
      </c>
      <c r="K4188" t="s">
        <v>11497</v>
      </c>
      <c r="M4188" t="s">
        <v>666</v>
      </c>
      <c r="N4188"/>
      <c r="O4188"/>
      <c r="P4188"/>
      <c r="Q4188"/>
      <c r="R4188"/>
      <c r="S4188"/>
    </row>
    <row r="4189" spans="1:19" x14ac:dyDescent="0.25">
      <c r="A4189" s="27" t="s">
        <v>193</v>
      </c>
      <c r="J4189" t="s">
        <v>11498</v>
      </c>
      <c r="K4189" t="s">
        <v>11499</v>
      </c>
      <c r="M4189" t="s">
        <v>23</v>
      </c>
      <c r="N4189"/>
      <c r="O4189"/>
      <c r="P4189"/>
      <c r="Q4189"/>
      <c r="R4189"/>
      <c r="S4189"/>
    </row>
    <row r="4190" spans="1:19" x14ac:dyDescent="0.25">
      <c r="A4190" s="27" t="s">
        <v>193</v>
      </c>
      <c r="J4190" t="s">
        <v>11500</v>
      </c>
      <c r="K4190" t="s">
        <v>11501</v>
      </c>
      <c r="M4190" t="s">
        <v>23</v>
      </c>
      <c r="N4190"/>
      <c r="O4190"/>
      <c r="P4190"/>
      <c r="Q4190"/>
      <c r="R4190"/>
      <c r="S4190"/>
    </row>
    <row r="4191" spans="1:19" x14ac:dyDescent="0.25">
      <c r="A4191" s="27" t="s">
        <v>193</v>
      </c>
      <c r="J4191" t="s">
        <v>11502</v>
      </c>
      <c r="K4191" t="s">
        <v>11503</v>
      </c>
      <c r="M4191" t="s">
        <v>23</v>
      </c>
      <c r="N4191"/>
      <c r="O4191"/>
      <c r="P4191"/>
      <c r="Q4191"/>
      <c r="R4191"/>
      <c r="S4191"/>
    </row>
    <row r="4192" spans="1:19" x14ac:dyDescent="0.25">
      <c r="A4192" s="27" t="s">
        <v>193</v>
      </c>
      <c r="J4192" t="s">
        <v>11504</v>
      </c>
      <c r="K4192" t="s">
        <v>11505</v>
      </c>
      <c r="M4192" t="s">
        <v>23</v>
      </c>
      <c r="N4192"/>
      <c r="O4192"/>
      <c r="P4192"/>
      <c r="Q4192"/>
      <c r="R4192"/>
      <c r="S4192"/>
    </row>
    <row r="4193" spans="1:19" x14ac:dyDescent="0.25">
      <c r="A4193" t="s">
        <v>193</v>
      </c>
      <c r="C4193" s="27" t="s">
        <v>34749</v>
      </c>
      <c r="D4193" s="28" t="s">
        <v>34867</v>
      </c>
      <c r="J4193" t="s">
        <v>11506</v>
      </c>
      <c r="K4193" t="s">
        <v>11507</v>
      </c>
      <c r="L4193" s="28" t="s">
        <v>11508</v>
      </c>
      <c r="M4193" t="s">
        <v>23</v>
      </c>
      <c r="N4193"/>
      <c r="O4193"/>
      <c r="P4193"/>
      <c r="Q4193"/>
      <c r="R4193"/>
      <c r="S4193"/>
    </row>
    <row r="4194" spans="1:19" x14ac:dyDescent="0.25">
      <c r="A4194" s="27" t="s">
        <v>193</v>
      </c>
      <c r="J4194" t="s">
        <v>11509</v>
      </c>
      <c r="K4194" t="s">
        <v>11510</v>
      </c>
      <c r="M4194" t="s">
        <v>23</v>
      </c>
      <c r="N4194"/>
      <c r="O4194"/>
      <c r="P4194"/>
      <c r="Q4194"/>
      <c r="R4194"/>
      <c r="S4194"/>
    </row>
    <row r="4195" spans="1:19" x14ac:dyDescent="0.25">
      <c r="A4195" s="27" t="s">
        <v>193</v>
      </c>
      <c r="J4195" t="s">
        <v>11511</v>
      </c>
      <c r="K4195" t="s">
        <v>11512</v>
      </c>
      <c r="M4195" t="s">
        <v>23</v>
      </c>
      <c r="N4195"/>
      <c r="O4195"/>
      <c r="P4195"/>
      <c r="Q4195"/>
      <c r="R4195"/>
      <c r="S4195"/>
    </row>
    <row r="4196" spans="1:19" x14ac:dyDescent="0.25">
      <c r="A4196" s="27" t="s">
        <v>193</v>
      </c>
      <c r="J4196" t="s">
        <v>11513</v>
      </c>
      <c r="K4196" t="s">
        <v>11514</v>
      </c>
      <c r="M4196" t="s">
        <v>23</v>
      </c>
      <c r="N4196"/>
      <c r="O4196"/>
      <c r="P4196"/>
      <c r="Q4196"/>
      <c r="R4196"/>
      <c r="S4196"/>
    </row>
    <row r="4197" spans="1:19" x14ac:dyDescent="0.25">
      <c r="A4197" t="s">
        <v>193</v>
      </c>
      <c r="C4197" s="27" t="s">
        <v>34749</v>
      </c>
      <c r="D4197" s="28" t="s">
        <v>34867</v>
      </c>
      <c r="J4197" t="s">
        <v>11515</v>
      </c>
      <c r="K4197" t="s">
        <v>11516</v>
      </c>
      <c r="L4197" s="28" t="s">
        <v>11517</v>
      </c>
      <c r="M4197" t="s">
        <v>23</v>
      </c>
      <c r="N4197"/>
      <c r="O4197"/>
      <c r="P4197"/>
      <c r="Q4197"/>
      <c r="R4197"/>
      <c r="S4197"/>
    </row>
    <row r="4198" spans="1:19" x14ac:dyDescent="0.25">
      <c r="A4198" s="27" t="s">
        <v>193</v>
      </c>
      <c r="J4198" t="s">
        <v>11518</v>
      </c>
      <c r="K4198" t="s">
        <v>11519</v>
      </c>
      <c r="M4198" t="s">
        <v>23</v>
      </c>
      <c r="N4198"/>
      <c r="O4198"/>
      <c r="P4198"/>
      <c r="Q4198"/>
      <c r="R4198"/>
      <c r="S4198"/>
    </row>
    <row r="4199" spans="1:19" x14ac:dyDescent="0.25">
      <c r="A4199" s="27" t="s">
        <v>193</v>
      </c>
      <c r="J4199" t="s">
        <v>11520</v>
      </c>
      <c r="K4199" t="s">
        <v>11521</v>
      </c>
      <c r="M4199" t="s">
        <v>23</v>
      </c>
      <c r="N4199"/>
      <c r="O4199"/>
      <c r="P4199"/>
      <c r="Q4199"/>
      <c r="R4199"/>
      <c r="S4199"/>
    </row>
    <row r="4200" spans="1:19" x14ac:dyDescent="0.25">
      <c r="A4200" s="27" t="s">
        <v>193</v>
      </c>
      <c r="J4200" t="s">
        <v>11522</v>
      </c>
      <c r="K4200" t="s">
        <v>11523</v>
      </c>
      <c r="M4200" t="s">
        <v>23</v>
      </c>
      <c r="N4200"/>
      <c r="O4200"/>
      <c r="P4200"/>
      <c r="Q4200"/>
      <c r="R4200"/>
      <c r="S4200"/>
    </row>
    <row r="4201" spans="1:19" x14ac:dyDescent="0.25">
      <c r="A4201" s="27" t="s">
        <v>193</v>
      </c>
      <c r="J4201" t="s">
        <v>11524</v>
      </c>
      <c r="K4201" t="s">
        <v>11525</v>
      </c>
      <c r="M4201" t="s">
        <v>23</v>
      </c>
      <c r="N4201"/>
      <c r="O4201"/>
      <c r="P4201"/>
      <c r="Q4201"/>
      <c r="R4201"/>
      <c r="S4201"/>
    </row>
    <row r="4202" spans="1:19" x14ac:dyDescent="0.25">
      <c r="A4202" s="27" t="s">
        <v>193</v>
      </c>
      <c r="J4202" t="s">
        <v>11526</v>
      </c>
      <c r="K4202" t="s">
        <v>11527</v>
      </c>
      <c r="M4202" t="s">
        <v>23</v>
      </c>
      <c r="N4202"/>
      <c r="O4202"/>
      <c r="P4202"/>
      <c r="Q4202"/>
      <c r="R4202"/>
      <c r="S4202"/>
    </row>
    <row r="4203" spans="1:19" x14ac:dyDescent="0.25">
      <c r="A4203" s="27" t="s">
        <v>193</v>
      </c>
      <c r="J4203" t="s">
        <v>11528</v>
      </c>
      <c r="K4203" t="s">
        <v>11529</v>
      </c>
      <c r="M4203" t="s">
        <v>23</v>
      </c>
      <c r="N4203"/>
      <c r="O4203"/>
      <c r="P4203"/>
      <c r="Q4203"/>
      <c r="R4203"/>
      <c r="S4203"/>
    </row>
    <row r="4204" spans="1:19" x14ac:dyDescent="0.25">
      <c r="A4204" s="27" t="s">
        <v>193</v>
      </c>
      <c r="J4204" t="s">
        <v>11530</v>
      </c>
      <c r="K4204" t="s">
        <v>11531</v>
      </c>
      <c r="M4204" t="s">
        <v>23</v>
      </c>
      <c r="N4204"/>
      <c r="O4204"/>
      <c r="P4204"/>
      <c r="Q4204"/>
      <c r="R4204"/>
      <c r="S4204"/>
    </row>
    <row r="4205" spans="1:19" x14ac:dyDescent="0.25">
      <c r="A4205" s="27" t="s">
        <v>193</v>
      </c>
      <c r="J4205" t="s">
        <v>11532</v>
      </c>
      <c r="K4205" t="s">
        <v>11533</v>
      </c>
      <c r="M4205" t="s">
        <v>23</v>
      </c>
      <c r="N4205"/>
      <c r="O4205"/>
      <c r="P4205"/>
      <c r="Q4205"/>
      <c r="R4205"/>
      <c r="S4205"/>
    </row>
    <row r="4206" spans="1:19" x14ac:dyDescent="0.25">
      <c r="A4206" s="27" t="s">
        <v>193</v>
      </c>
      <c r="J4206" t="s">
        <v>11534</v>
      </c>
      <c r="K4206" t="s">
        <v>11535</v>
      </c>
      <c r="M4206" t="s">
        <v>23</v>
      </c>
      <c r="N4206"/>
      <c r="O4206"/>
      <c r="P4206"/>
      <c r="Q4206"/>
      <c r="R4206"/>
      <c r="S4206"/>
    </row>
    <row r="4207" spans="1:19" x14ac:dyDescent="0.25">
      <c r="A4207" s="27" t="s">
        <v>193</v>
      </c>
      <c r="J4207" t="s">
        <v>11536</v>
      </c>
      <c r="K4207" t="s">
        <v>11537</v>
      </c>
      <c r="M4207" t="s">
        <v>23</v>
      </c>
      <c r="N4207"/>
      <c r="O4207"/>
      <c r="P4207"/>
      <c r="Q4207"/>
      <c r="R4207"/>
      <c r="S4207"/>
    </row>
    <row r="4208" spans="1:19" x14ac:dyDescent="0.25">
      <c r="A4208" s="27" t="s">
        <v>193</v>
      </c>
      <c r="J4208" t="s">
        <v>11538</v>
      </c>
      <c r="K4208" t="s">
        <v>11539</v>
      </c>
      <c r="M4208" t="s">
        <v>23</v>
      </c>
      <c r="N4208"/>
      <c r="O4208"/>
      <c r="P4208"/>
      <c r="Q4208"/>
      <c r="R4208"/>
      <c r="S4208"/>
    </row>
    <row r="4209" spans="1:19" x14ac:dyDescent="0.25">
      <c r="A4209" s="27" t="s">
        <v>193</v>
      </c>
      <c r="J4209" t="s">
        <v>11540</v>
      </c>
      <c r="K4209" t="s">
        <v>11541</v>
      </c>
      <c r="M4209" t="s">
        <v>23</v>
      </c>
      <c r="N4209"/>
      <c r="O4209"/>
      <c r="P4209"/>
      <c r="Q4209"/>
      <c r="R4209"/>
      <c r="S4209"/>
    </row>
    <row r="4210" spans="1:19" x14ac:dyDescent="0.25">
      <c r="A4210" s="27" t="s">
        <v>193</v>
      </c>
      <c r="J4210" t="s">
        <v>11542</v>
      </c>
      <c r="K4210" t="s">
        <v>11543</v>
      </c>
      <c r="M4210" t="s">
        <v>23</v>
      </c>
      <c r="N4210"/>
      <c r="O4210"/>
      <c r="P4210"/>
      <c r="Q4210"/>
      <c r="R4210"/>
      <c r="S4210"/>
    </row>
    <row r="4211" spans="1:19" x14ac:dyDescent="0.25">
      <c r="A4211" s="27" t="s">
        <v>193</v>
      </c>
      <c r="J4211" t="s">
        <v>11544</v>
      </c>
      <c r="K4211" t="s">
        <v>11545</v>
      </c>
      <c r="M4211" t="s">
        <v>23</v>
      </c>
      <c r="N4211"/>
      <c r="O4211"/>
      <c r="P4211"/>
      <c r="Q4211"/>
      <c r="R4211"/>
      <c r="S4211"/>
    </row>
    <row r="4212" spans="1:19" x14ac:dyDescent="0.25">
      <c r="A4212" s="27" t="s">
        <v>193</v>
      </c>
      <c r="J4212" t="s">
        <v>11546</v>
      </c>
      <c r="K4212" t="s">
        <v>11547</v>
      </c>
      <c r="M4212" t="s">
        <v>23</v>
      </c>
      <c r="N4212"/>
      <c r="O4212"/>
      <c r="P4212"/>
      <c r="Q4212"/>
      <c r="R4212"/>
      <c r="S4212"/>
    </row>
    <row r="4213" spans="1:19" x14ac:dyDescent="0.25">
      <c r="A4213" s="27" t="s">
        <v>193</v>
      </c>
      <c r="J4213" t="s">
        <v>11548</v>
      </c>
      <c r="K4213" t="s">
        <v>11549</v>
      </c>
      <c r="M4213" t="s">
        <v>23</v>
      </c>
      <c r="N4213"/>
      <c r="O4213"/>
      <c r="P4213"/>
      <c r="Q4213"/>
      <c r="R4213"/>
      <c r="S4213"/>
    </row>
    <row r="4214" spans="1:19" x14ac:dyDescent="0.25">
      <c r="A4214" s="27" t="s">
        <v>193</v>
      </c>
      <c r="J4214" t="s">
        <v>11550</v>
      </c>
      <c r="K4214" t="s">
        <v>11551</v>
      </c>
      <c r="M4214" t="s">
        <v>23</v>
      </c>
      <c r="N4214"/>
      <c r="O4214"/>
      <c r="P4214"/>
      <c r="Q4214"/>
      <c r="R4214"/>
      <c r="S4214"/>
    </row>
    <row r="4215" spans="1:19" x14ac:dyDescent="0.25">
      <c r="A4215" s="27" t="s">
        <v>193</v>
      </c>
      <c r="J4215" t="s">
        <v>11552</v>
      </c>
      <c r="K4215" t="s">
        <v>11553</v>
      </c>
      <c r="M4215" t="s">
        <v>23</v>
      </c>
      <c r="N4215"/>
      <c r="O4215"/>
      <c r="P4215"/>
      <c r="Q4215"/>
      <c r="R4215"/>
      <c r="S4215"/>
    </row>
    <row r="4216" spans="1:19" x14ac:dyDescent="0.25">
      <c r="A4216" s="27" t="s">
        <v>193</v>
      </c>
      <c r="J4216" t="s">
        <v>11554</v>
      </c>
      <c r="K4216" t="s">
        <v>11555</v>
      </c>
      <c r="M4216" t="s">
        <v>23</v>
      </c>
      <c r="N4216"/>
      <c r="O4216"/>
      <c r="P4216"/>
      <c r="Q4216"/>
      <c r="R4216"/>
      <c r="S4216"/>
    </row>
    <row r="4217" spans="1:19" x14ac:dyDescent="0.25">
      <c r="A4217" s="27" t="s">
        <v>193</v>
      </c>
      <c r="J4217" t="s">
        <v>11556</v>
      </c>
      <c r="K4217" t="s">
        <v>11557</v>
      </c>
      <c r="M4217" t="s">
        <v>23</v>
      </c>
      <c r="N4217"/>
      <c r="O4217"/>
      <c r="P4217"/>
      <c r="Q4217"/>
      <c r="R4217"/>
      <c r="S4217"/>
    </row>
    <row r="4218" spans="1:19" x14ac:dyDescent="0.25">
      <c r="A4218" s="27" t="s">
        <v>193</v>
      </c>
      <c r="J4218" t="s">
        <v>11558</v>
      </c>
      <c r="K4218" t="s">
        <v>11559</v>
      </c>
      <c r="M4218" t="s">
        <v>23</v>
      </c>
      <c r="N4218"/>
      <c r="O4218"/>
      <c r="P4218"/>
      <c r="Q4218"/>
      <c r="R4218"/>
      <c r="S4218"/>
    </row>
    <row r="4219" spans="1:19" x14ac:dyDescent="0.25">
      <c r="A4219" s="27" t="s">
        <v>193</v>
      </c>
      <c r="J4219" t="s">
        <v>11560</v>
      </c>
      <c r="K4219" t="s">
        <v>11561</v>
      </c>
      <c r="M4219" t="s">
        <v>23</v>
      </c>
      <c r="N4219"/>
      <c r="O4219"/>
      <c r="P4219"/>
      <c r="Q4219"/>
      <c r="R4219"/>
      <c r="S4219"/>
    </row>
    <row r="4220" spans="1:19" x14ac:dyDescent="0.25">
      <c r="A4220" s="27" t="s">
        <v>193</v>
      </c>
      <c r="J4220" t="s">
        <v>11562</v>
      </c>
      <c r="K4220" t="s">
        <v>11563</v>
      </c>
      <c r="M4220" t="s">
        <v>23</v>
      </c>
      <c r="N4220"/>
      <c r="O4220"/>
      <c r="P4220" s="32">
        <v>460</v>
      </c>
      <c r="Q4220" s="32" t="s">
        <v>13160</v>
      </c>
      <c r="R4220" s="32"/>
      <c r="S4220" s="32" t="s">
        <v>13022</v>
      </c>
    </row>
    <row r="4221" spans="1:19" x14ac:dyDescent="0.25">
      <c r="A4221" s="27" t="s">
        <v>193</v>
      </c>
      <c r="J4221" t="s">
        <v>11564</v>
      </c>
      <c r="K4221" t="s">
        <v>11565</v>
      </c>
      <c r="M4221" t="s">
        <v>23</v>
      </c>
      <c r="N4221"/>
      <c r="O4221"/>
      <c r="P4221" s="32">
        <v>461</v>
      </c>
      <c r="Q4221" s="32" t="s">
        <v>13161</v>
      </c>
      <c r="R4221" s="32"/>
      <c r="S4221" s="32" t="s">
        <v>13022</v>
      </c>
    </row>
    <row r="4222" spans="1:19" x14ac:dyDescent="0.25">
      <c r="A4222" s="27" t="s">
        <v>193</v>
      </c>
      <c r="J4222" t="s">
        <v>11566</v>
      </c>
      <c r="K4222" t="s">
        <v>11567</v>
      </c>
      <c r="M4222" t="s">
        <v>23</v>
      </c>
      <c r="N4222"/>
      <c r="O4222"/>
      <c r="P4222" s="32">
        <v>459</v>
      </c>
      <c r="Q4222" s="32" t="s">
        <v>13159</v>
      </c>
      <c r="R4222" s="32"/>
      <c r="S4222" s="32" t="s">
        <v>13022</v>
      </c>
    </row>
    <row r="4223" spans="1:19" x14ac:dyDescent="0.25">
      <c r="A4223" s="27" t="s">
        <v>193</v>
      </c>
      <c r="J4223" t="s">
        <v>11568</v>
      </c>
      <c r="K4223" t="s">
        <v>11569</v>
      </c>
      <c r="M4223" t="s">
        <v>23</v>
      </c>
      <c r="N4223"/>
      <c r="O4223"/>
      <c r="P4223"/>
      <c r="Q4223"/>
      <c r="R4223"/>
      <c r="S4223"/>
    </row>
    <row r="4224" spans="1:19" x14ac:dyDescent="0.25">
      <c r="A4224" s="27" t="s">
        <v>193</v>
      </c>
      <c r="J4224" t="s">
        <v>11570</v>
      </c>
      <c r="K4224" t="s">
        <v>11571</v>
      </c>
      <c r="M4224" t="s">
        <v>23</v>
      </c>
      <c r="N4224"/>
      <c r="O4224"/>
      <c r="P4224"/>
      <c r="Q4224"/>
      <c r="R4224"/>
      <c r="S4224"/>
    </row>
    <row r="4225" spans="1:19" x14ac:dyDescent="0.25">
      <c r="A4225" s="27" t="s">
        <v>193</v>
      </c>
      <c r="J4225" t="s">
        <v>11572</v>
      </c>
      <c r="K4225" t="s">
        <v>11573</v>
      </c>
      <c r="M4225" t="s">
        <v>23</v>
      </c>
      <c r="N4225"/>
      <c r="O4225"/>
      <c r="P4225"/>
      <c r="Q4225"/>
      <c r="R4225"/>
      <c r="S4225"/>
    </row>
    <row r="4226" spans="1:19" x14ac:dyDescent="0.25">
      <c r="A4226" s="27" t="s">
        <v>193</v>
      </c>
      <c r="J4226" t="s">
        <v>11574</v>
      </c>
      <c r="K4226" t="s">
        <v>11575</v>
      </c>
      <c r="M4226" t="s">
        <v>23</v>
      </c>
      <c r="N4226"/>
      <c r="O4226"/>
      <c r="P4226"/>
      <c r="Q4226"/>
      <c r="R4226"/>
      <c r="S4226"/>
    </row>
    <row r="4227" spans="1:19" x14ac:dyDescent="0.25">
      <c r="A4227" s="27" t="s">
        <v>193</v>
      </c>
      <c r="J4227" t="s">
        <v>11576</v>
      </c>
      <c r="K4227" t="s">
        <v>11577</v>
      </c>
      <c r="M4227" t="s">
        <v>23</v>
      </c>
      <c r="N4227"/>
      <c r="O4227"/>
      <c r="P4227"/>
      <c r="Q4227"/>
      <c r="R4227"/>
      <c r="S4227"/>
    </row>
    <row r="4228" spans="1:19" x14ac:dyDescent="0.25">
      <c r="A4228" s="27" t="s">
        <v>193</v>
      </c>
      <c r="J4228" t="s">
        <v>11578</v>
      </c>
      <c r="K4228" t="s">
        <v>11579</v>
      </c>
      <c r="M4228" t="s">
        <v>23</v>
      </c>
      <c r="N4228"/>
      <c r="O4228"/>
      <c r="P4228"/>
      <c r="Q4228"/>
      <c r="R4228"/>
      <c r="S4228"/>
    </row>
    <row r="4229" spans="1:19" x14ac:dyDescent="0.25">
      <c r="A4229" s="27" t="s">
        <v>193</v>
      </c>
      <c r="J4229" t="s">
        <v>11580</v>
      </c>
      <c r="K4229" t="s">
        <v>11581</v>
      </c>
      <c r="M4229" t="s">
        <v>23</v>
      </c>
      <c r="N4229"/>
      <c r="O4229"/>
      <c r="P4229"/>
      <c r="Q4229"/>
      <c r="R4229"/>
      <c r="S4229"/>
    </row>
    <row r="4230" spans="1:19" x14ac:dyDescent="0.25">
      <c r="A4230" s="27" t="s">
        <v>193</v>
      </c>
      <c r="J4230" t="s">
        <v>11582</v>
      </c>
      <c r="K4230" t="s">
        <v>11583</v>
      </c>
      <c r="M4230" t="s">
        <v>23</v>
      </c>
      <c r="N4230"/>
      <c r="O4230"/>
      <c r="P4230"/>
      <c r="Q4230"/>
      <c r="R4230"/>
      <c r="S4230"/>
    </row>
    <row r="4231" spans="1:19" x14ac:dyDescent="0.25">
      <c r="A4231" s="27" t="s">
        <v>193</v>
      </c>
      <c r="J4231" t="s">
        <v>11584</v>
      </c>
      <c r="K4231" t="s">
        <v>11585</v>
      </c>
      <c r="M4231" t="s">
        <v>23</v>
      </c>
      <c r="N4231"/>
      <c r="O4231"/>
      <c r="P4231"/>
      <c r="Q4231"/>
      <c r="R4231"/>
      <c r="S4231"/>
    </row>
    <row r="4232" spans="1:19" x14ac:dyDescent="0.25">
      <c r="A4232" s="27" t="s">
        <v>193</v>
      </c>
      <c r="J4232" t="s">
        <v>11586</v>
      </c>
      <c r="K4232" t="s">
        <v>11587</v>
      </c>
      <c r="M4232" t="s">
        <v>23</v>
      </c>
      <c r="N4232"/>
      <c r="O4232"/>
      <c r="P4232"/>
      <c r="Q4232"/>
      <c r="R4232"/>
      <c r="S4232"/>
    </row>
    <row r="4233" spans="1:19" x14ac:dyDescent="0.25">
      <c r="A4233" s="27" t="s">
        <v>193</v>
      </c>
      <c r="J4233" t="s">
        <v>11588</v>
      </c>
      <c r="K4233" t="s">
        <v>11589</v>
      </c>
      <c r="M4233" t="s">
        <v>23</v>
      </c>
      <c r="N4233"/>
      <c r="O4233"/>
      <c r="P4233"/>
      <c r="Q4233"/>
      <c r="R4233"/>
      <c r="S4233"/>
    </row>
    <row r="4234" spans="1:19" x14ac:dyDescent="0.25">
      <c r="A4234" s="27" t="s">
        <v>193</v>
      </c>
      <c r="J4234" t="s">
        <v>11590</v>
      </c>
      <c r="K4234" t="s">
        <v>11591</v>
      </c>
      <c r="M4234" t="s">
        <v>23</v>
      </c>
      <c r="N4234"/>
      <c r="O4234"/>
      <c r="P4234"/>
      <c r="Q4234"/>
      <c r="R4234"/>
      <c r="S4234"/>
    </row>
    <row r="4235" spans="1:19" x14ac:dyDescent="0.25">
      <c r="A4235" s="27" t="s">
        <v>193</v>
      </c>
      <c r="J4235" t="s">
        <v>11592</v>
      </c>
      <c r="K4235" t="s">
        <v>11593</v>
      </c>
      <c r="M4235" t="s">
        <v>23</v>
      </c>
      <c r="N4235"/>
      <c r="O4235"/>
      <c r="P4235"/>
      <c r="Q4235"/>
      <c r="R4235"/>
      <c r="S4235"/>
    </row>
    <row r="4236" spans="1:19" x14ac:dyDescent="0.25">
      <c r="A4236" s="27" t="s">
        <v>193</v>
      </c>
      <c r="J4236" t="s">
        <v>11594</v>
      </c>
      <c r="K4236" t="s">
        <v>11595</v>
      </c>
      <c r="M4236" t="s">
        <v>23</v>
      </c>
      <c r="N4236"/>
      <c r="O4236"/>
      <c r="P4236"/>
      <c r="Q4236"/>
      <c r="R4236"/>
      <c r="S4236"/>
    </row>
    <row r="4237" spans="1:19" x14ac:dyDescent="0.25">
      <c r="A4237" s="27" t="s">
        <v>193</v>
      </c>
      <c r="J4237" t="s">
        <v>11596</v>
      </c>
      <c r="K4237" t="s">
        <v>11597</v>
      </c>
      <c r="M4237" t="s">
        <v>23</v>
      </c>
      <c r="N4237"/>
      <c r="O4237"/>
      <c r="P4237"/>
      <c r="Q4237"/>
      <c r="R4237"/>
      <c r="S4237"/>
    </row>
    <row r="4238" spans="1:19" x14ac:dyDescent="0.25">
      <c r="A4238" s="27" t="s">
        <v>193</v>
      </c>
      <c r="J4238" t="s">
        <v>11598</v>
      </c>
      <c r="K4238" t="s">
        <v>11599</v>
      </c>
      <c r="M4238" t="s">
        <v>23</v>
      </c>
      <c r="N4238"/>
      <c r="O4238"/>
      <c r="P4238"/>
      <c r="Q4238"/>
      <c r="R4238"/>
      <c r="S4238"/>
    </row>
    <row r="4239" spans="1:19" x14ac:dyDescent="0.25">
      <c r="A4239" s="27" t="s">
        <v>193</v>
      </c>
      <c r="J4239" t="s">
        <v>11600</v>
      </c>
      <c r="K4239" t="s">
        <v>11601</v>
      </c>
      <c r="M4239" t="s">
        <v>23</v>
      </c>
      <c r="N4239"/>
      <c r="O4239"/>
      <c r="P4239"/>
      <c r="Q4239"/>
      <c r="R4239"/>
      <c r="S4239"/>
    </row>
    <row r="4240" spans="1:19" x14ac:dyDescent="0.25">
      <c r="A4240" s="27" t="s">
        <v>193</v>
      </c>
      <c r="J4240" t="s">
        <v>11602</v>
      </c>
      <c r="K4240" t="s">
        <v>11603</v>
      </c>
      <c r="M4240" t="s">
        <v>23</v>
      </c>
      <c r="N4240"/>
      <c r="O4240"/>
      <c r="P4240"/>
      <c r="Q4240"/>
      <c r="R4240"/>
      <c r="S4240"/>
    </row>
    <row r="4241" spans="1:19" x14ac:dyDescent="0.25">
      <c r="A4241" s="27" t="s">
        <v>193</v>
      </c>
      <c r="J4241" t="s">
        <v>11604</v>
      </c>
      <c r="K4241" t="s">
        <v>11605</v>
      </c>
      <c r="M4241" t="s">
        <v>23</v>
      </c>
      <c r="N4241"/>
      <c r="O4241"/>
      <c r="P4241"/>
      <c r="Q4241"/>
      <c r="R4241"/>
      <c r="S4241"/>
    </row>
    <row r="4242" spans="1:19" x14ac:dyDescent="0.25">
      <c r="A4242" s="27" t="s">
        <v>193</v>
      </c>
      <c r="J4242" t="s">
        <v>11606</v>
      </c>
      <c r="K4242" t="s">
        <v>11607</v>
      </c>
      <c r="M4242" t="s">
        <v>23</v>
      </c>
      <c r="N4242"/>
      <c r="O4242"/>
      <c r="P4242"/>
      <c r="Q4242"/>
      <c r="R4242"/>
      <c r="S4242"/>
    </row>
    <row r="4243" spans="1:19" x14ac:dyDescent="0.25">
      <c r="A4243" s="28" t="s">
        <v>14843</v>
      </c>
      <c r="J4243" t="s">
        <v>11608</v>
      </c>
      <c r="K4243" t="s">
        <v>11609</v>
      </c>
      <c r="M4243" t="s">
        <v>666</v>
      </c>
      <c r="N4243"/>
      <c r="O4243"/>
      <c r="P4243"/>
      <c r="Q4243"/>
      <c r="R4243"/>
      <c r="S4243"/>
    </row>
    <row r="4244" spans="1:19" x14ac:dyDescent="0.25">
      <c r="A4244" s="27" t="s">
        <v>193</v>
      </c>
      <c r="J4244" t="s">
        <v>11610</v>
      </c>
      <c r="K4244" t="s">
        <v>11611</v>
      </c>
      <c r="M4244" t="s">
        <v>23</v>
      </c>
      <c r="N4244"/>
      <c r="O4244"/>
      <c r="P4244"/>
      <c r="Q4244"/>
      <c r="R4244"/>
      <c r="S4244"/>
    </row>
    <row r="4245" spans="1:19" x14ac:dyDescent="0.25">
      <c r="A4245" s="28" t="s">
        <v>14843</v>
      </c>
      <c r="J4245" t="s">
        <v>11612</v>
      </c>
      <c r="K4245" t="s">
        <v>11613</v>
      </c>
      <c r="M4245" t="s">
        <v>666</v>
      </c>
      <c r="N4245"/>
      <c r="O4245"/>
      <c r="P4245"/>
      <c r="Q4245"/>
      <c r="R4245"/>
      <c r="S4245"/>
    </row>
    <row r="4246" spans="1:19" x14ac:dyDescent="0.25">
      <c r="A4246" s="28" t="s">
        <v>14843</v>
      </c>
      <c r="J4246" t="s">
        <v>11614</v>
      </c>
      <c r="K4246" t="s">
        <v>11615</v>
      </c>
      <c r="M4246" t="s">
        <v>666</v>
      </c>
      <c r="N4246"/>
      <c r="O4246"/>
      <c r="P4246"/>
      <c r="Q4246"/>
      <c r="R4246"/>
      <c r="S4246"/>
    </row>
    <row r="4247" spans="1:19" x14ac:dyDescent="0.25">
      <c r="A4247" s="28" t="s">
        <v>14843</v>
      </c>
      <c r="J4247" t="s">
        <v>11616</v>
      </c>
      <c r="K4247" t="s">
        <v>11617</v>
      </c>
      <c r="M4247" t="s">
        <v>666</v>
      </c>
      <c r="N4247"/>
      <c r="O4247"/>
      <c r="P4247"/>
      <c r="Q4247"/>
      <c r="R4247"/>
      <c r="S4247"/>
    </row>
    <row r="4248" spans="1:19" x14ac:dyDescent="0.25">
      <c r="A4248" s="27" t="s">
        <v>193</v>
      </c>
      <c r="J4248" t="s">
        <v>11618</v>
      </c>
      <c r="K4248" t="s">
        <v>11619</v>
      </c>
      <c r="M4248" t="s">
        <v>23</v>
      </c>
      <c r="N4248"/>
      <c r="O4248"/>
      <c r="P4248"/>
      <c r="Q4248"/>
      <c r="R4248"/>
      <c r="S4248"/>
    </row>
    <row r="4249" spans="1:19" x14ac:dyDescent="0.25">
      <c r="A4249" s="27" t="s">
        <v>193</v>
      </c>
      <c r="J4249" t="s">
        <v>11620</v>
      </c>
      <c r="K4249" t="s">
        <v>11621</v>
      </c>
      <c r="M4249" t="s">
        <v>23</v>
      </c>
      <c r="N4249"/>
      <c r="O4249"/>
      <c r="P4249"/>
      <c r="Q4249"/>
      <c r="R4249"/>
      <c r="S4249"/>
    </row>
    <row r="4250" spans="1:19" x14ac:dyDescent="0.25">
      <c r="A4250" s="27" t="s">
        <v>193</v>
      </c>
      <c r="J4250" t="s">
        <v>11622</v>
      </c>
      <c r="K4250" t="s">
        <v>11623</v>
      </c>
      <c r="M4250" t="s">
        <v>23</v>
      </c>
      <c r="N4250"/>
      <c r="O4250"/>
      <c r="P4250"/>
      <c r="Q4250"/>
      <c r="R4250"/>
      <c r="S4250"/>
    </row>
    <row r="4251" spans="1:19" x14ac:dyDescent="0.25">
      <c r="A4251" s="27" t="s">
        <v>193</v>
      </c>
      <c r="J4251" t="s">
        <v>11624</v>
      </c>
      <c r="K4251" t="s">
        <v>11625</v>
      </c>
      <c r="M4251" t="s">
        <v>23</v>
      </c>
      <c r="N4251"/>
      <c r="O4251"/>
      <c r="P4251"/>
      <c r="Q4251"/>
      <c r="R4251"/>
      <c r="S4251"/>
    </row>
    <row r="4252" spans="1:19" x14ac:dyDescent="0.25">
      <c r="A4252" s="27" t="s">
        <v>193</v>
      </c>
      <c r="J4252" t="s">
        <v>11626</v>
      </c>
      <c r="K4252" t="s">
        <v>11627</v>
      </c>
      <c r="M4252" t="s">
        <v>23</v>
      </c>
      <c r="N4252"/>
      <c r="O4252"/>
      <c r="P4252"/>
      <c r="Q4252"/>
      <c r="R4252"/>
      <c r="S4252"/>
    </row>
    <row r="4253" spans="1:19" x14ac:dyDescent="0.25">
      <c r="A4253" s="27" t="s">
        <v>193</v>
      </c>
      <c r="J4253" t="s">
        <v>11628</v>
      </c>
      <c r="K4253" t="s">
        <v>11629</v>
      </c>
      <c r="M4253" t="s">
        <v>23</v>
      </c>
      <c r="N4253"/>
      <c r="O4253"/>
      <c r="P4253"/>
      <c r="Q4253"/>
      <c r="R4253"/>
      <c r="S4253"/>
    </row>
    <row r="4254" spans="1:19" x14ac:dyDescent="0.25">
      <c r="A4254" s="27" t="s">
        <v>193</v>
      </c>
      <c r="J4254" t="s">
        <v>11630</v>
      </c>
      <c r="K4254" t="s">
        <v>11631</v>
      </c>
      <c r="M4254" t="s">
        <v>23</v>
      </c>
      <c r="N4254"/>
      <c r="O4254"/>
      <c r="P4254"/>
      <c r="Q4254"/>
      <c r="R4254"/>
      <c r="S4254"/>
    </row>
    <row r="4255" spans="1:19" x14ac:dyDescent="0.25">
      <c r="A4255" s="27" t="s">
        <v>193</v>
      </c>
      <c r="I4255" t="s">
        <v>11632</v>
      </c>
      <c r="J4255" t="s">
        <v>11633</v>
      </c>
      <c r="K4255" t="s">
        <v>11634</v>
      </c>
      <c r="M4255" t="s">
        <v>23</v>
      </c>
      <c r="N4255"/>
      <c r="O4255"/>
      <c r="P4255"/>
      <c r="Q4255"/>
      <c r="R4255"/>
      <c r="S4255"/>
    </row>
    <row r="4256" spans="1:19" x14ac:dyDescent="0.25">
      <c r="A4256" s="27" t="s">
        <v>193</v>
      </c>
      <c r="J4256" t="s">
        <v>11635</v>
      </c>
      <c r="K4256" t="s">
        <v>11636</v>
      </c>
      <c r="M4256" t="s">
        <v>23</v>
      </c>
      <c r="N4256"/>
      <c r="O4256"/>
      <c r="P4256"/>
      <c r="Q4256"/>
      <c r="R4256"/>
      <c r="S4256"/>
    </row>
    <row r="4257" spans="1:19" x14ac:dyDescent="0.25">
      <c r="A4257" s="27" t="s">
        <v>193</v>
      </c>
      <c r="J4257" t="s">
        <v>11637</v>
      </c>
      <c r="K4257" t="s">
        <v>11638</v>
      </c>
      <c r="M4257" t="s">
        <v>23</v>
      </c>
      <c r="N4257"/>
      <c r="O4257"/>
      <c r="P4257"/>
      <c r="Q4257"/>
      <c r="R4257"/>
      <c r="S4257"/>
    </row>
    <row r="4258" spans="1:19" x14ac:dyDescent="0.25">
      <c r="A4258" s="27" t="s">
        <v>193</v>
      </c>
      <c r="J4258" t="s">
        <v>11639</v>
      </c>
      <c r="K4258" t="s">
        <v>11640</v>
      </c>
      <c r="M4258" t="s">
        <v>23</v>
      </c>
      <c r="N4258"/>
      <c r="O4258"/>
      <c r="P4258"/>
      <c r="Q4258"/>
      <c r="R4258"/>
      <c r="S4258"/>
    </row>
    <row r="4259" spans="1:19" x14ac:dyDescent="0.25">
      <c r="A4259" s="28" t="s">
        <v>14843</v>
      </c>
      <c r="J4259" t="s">
        <v>11641</v>
      </c>
      <c r="K4259" t="s">
        <v>11642</v>
      </c>
      <c r="M4259" t="s">
        <v>666</v>
      </c>
      <c r="N4259"/>
      <c r="O4259"/>
      <c r="P4259"/>
      <c r="Q4259"/>
      <c r="R4259"/>
      <c r="S4259"/>
    </row>
    <row r="4260" spans="1:19" x14ac:dyDescent="0.25">
      <c r="A4260" s="27" t="s">
        <v>193</v>
      </c>
      <c r="J4260" t="s">
        <v>11643</v>
      </c>
      <c r="K4260" t="s">
        <v>11644</v>
      </c>
      <c r="M4260" t="s">
        <v>23</v>
      </c>
      <c r="N4260"/>
      <c r="O4260"/>
      <c r="P4260"/>
      <c r="Q4260"/>
      <c r="R4260"/>
      <c r="S4260"/>
    </row>
    <row r="4261" spans="1:19" x14ac:dyDescent="0.25">
      <c r="A4261" s="27" t="s">
        <v>193</v>
      </c>
      <c r="J4261" t="s">
        <v>11645</v>
      </c>
      <c r="K4261" t="s">
        <v>11646</v>
      </c>
      <c r="M4261" t="s">
        <v>23</v>
      </c>
      <c r="N4261"/>
      <c r="O4261"/>
      <c r="P4261"/>
      <c r="Q4261"/>
      <c r="R4261"/>
      <c r="S4261"/>
    </row>
    <row r="4262" spans="1:19" x14ac:dyDescent="0.25">
      <c r="A4262" s="27" t="s">
        <v>193</v>
      </c>
      <c r="J4262" t="s">
        <v>11647</v>
      </c>
      <c r="K4262" t="s">
        <v>11648</v>
      </c>
      <c r="M4262" t="s">
        <v>23</v>
      </c>
      <c r="N4262"/>
      <c r="O4262"/>
      <c r="P4262"/>
      <c r="Q4262"/>
      <c r="R4262"/>
      <c r="S4262"/>
    </row>
    <row r="4263" spans="1:19" x14ac:dyDescent="0.25">
      <c r="A4263" s="27" t="s">
        <v>193</v>
      </c>
      <c r="J4263" t="s">
        <v>11649</v>
      </c>
      <c r="K4263" t="s">
        <v>11650</v>
      </c>
      <c r="M4263" t="s">
        <v>23</v>
      </c>
      <c r="N4263"/>
      <c r="O4263"/>
      <c r="P4263"/>
      <c r="Q4263"/>
      <c r="R4263"/>
      <c r="S4263"/>
    </row>
    <row r="4264" spans="1:19" x14ac:dyDescent="0.25">
      <c r="A4264" s="27" t="s">
        <v>193</v>
      </c>
      <c r="J4264" t="s">
        <v>11651</v>
      </c>
      <c r="K4264" t="s">
        <v>11652</v>
      </c>
      <c r="M4264" t="s">
        <v>23</v>
      </c>
      <c r="N4264"/>
      <c r="O4264"/>
      <c r="P4264"/>
      <c r="Q4264"/>
      <c r="R4264"/>
      <c r="S4264"/>
    </row>
    <row r="4265" spans="1:19" x14ac:dyDescent="0.25">
      <c r="A4265" s="27" t="s">
        <v>193</v>
      </c>
      <c r="J4265" t="s">
        <v>11653</v>
      </c>
      <c r="K4265" t="s">
        <v>11654</v>
      </c>
      <c r="M4265" t="s">
        <v>23</v>
      </c>
      <c r="N4265"/>
      <c r="O4265"/>
      <c r="P4265"/>
      <c r="Q4265"/>
      <c r="R4265"/>
      <c r="S4265"/>
    </row>
    <row r="4266" spans="1:19" x14ac:dyDescent="0.25">
      <c r="A4266" s="27" t="s">
        <v>193</v>
      </c>
      <c r="J4266" t="s">
        <v>11655</v>
      </c>
      <c r="K4266" t="s">
        <v>11656</v>
      </c>
      <c r="M4266" t="s">
        <v>23</v>
      </c>
      <c r="N4266"/>
      <c r="O4266"/>
      <c r="P4266"/>
      <c r="Q4266"/>
      <c r="R4266"/>
      <c r="S4266"/>
    </row>
    <row r="4267" spans="1:19" x14ac:dyDescent="0.25">
      <c r="A4267" s="27" t="s">
        <v>193</v>
      </c>
      <c r="J4267" t="s">
        <v>11657</v>
      </c>
      <c r="K4267" t="s">
        <v>11658</v>
      </c>
      <c r="M4267" t="s">
        <v>23</v>
      </c>
      <c r="N4267"/>
      <c r="O4267"/>
      <c r="P4267" s="32">
        <v>434</v>
      </c>
      <c r="Q4267" s="32" t="s">
        <v>13147</v>
      </c>
      <c r="R4267" s="32"/>
      <c r="S4267" s="32" t="s">
        <v>13146</v>
      </c>
    </row>
    <row r="4268" spans="1:19" x14ac:dyDescent="0.25">
      <c r="A4268" s="27" t="s">
        <v>193</v>
      </c>
      <c r="J4268" t="s">
        <v>11659</v>
      </c>
      <c r="K4268" t="s">
        <v>11660</v>
      </c>
      <c r="M4268" t="s">
        <v>23</v>
      </c>
      <c r="N4268"/>
      <c r="O4268"/>
      <c r="P4268"/>
      <c r="Q4268"/>
      <c r="R4268"/>
      <c r="S4268"/>
    </row>
    <row r="4269" spans="1:19" x14ac:dyDescent="0.25">
      <c r="A4269" s="27" t="s">
        <v>193</v>
      </c>
      <c r="J4269" t="s">
        <v>11661</v>
      </c>
      <c r="K4269" t="s">
        <v>11662</v>
      </c>
      <c r="M4269" t="s">
        <v>23</v>
      </c>
      <c r="N4269"/>
      <c r="O4269"/>
      <c r="P4269"/>
      <c r="Q4269"/>
      <c r="R4269"/>
      <c r="S4269"/>
    </row>
    <row r="4270" spans="1:19" x14ac:dyDescent="0.25">
      <c r="A4270" t="s">
        <v>193</v>
      </c>
      <c r="C4270" s="27" t="s">
        <v>34749</v>
      </c>
      <c r="D4270" s="28" t="s">
        <v>34867</v>
      </c>
      <c r="J4270" t="s">
        <v>11663</v>
      </c>
      <c r="K4270" t="s">
        <v>11664</v>
      </c>
      <c r="L4270" s="28" t="s">
        <v>11665</v>
      </c>
      <c r="M4270" t="s">
        <v>23</v>
      </c>
      <c r="N4270"/>
      <c r="O4270"/>
      <c r="P4270"/>
      <c r="Q4270"/>
      <c r="R4270"/>
      <c r="S4270"/>
    </row>
    <row r="4271" spans="1:19" x14ac:dyDescent="0.25">
      <c r="A4271" t="s">
        <v>193</v>
      </c>
      <c r="C4271" s="27" t="s">
        <v>34749</v>
      </c>
      <c r="D4271" s="28" t="s">
        <v>34867</v>
      </c>
      <c r="J4271" t="s">
        <v>11666</v>
      </c>
      <c r="K4271" t="s">
        <v>11667</v>
      </c>
      <c r="L4271" s="28" t="s">
        <v>11668</v>
      </c>
      <c r="M4271" t="s">
        <v>23</v>
      </c>
      <c r="N4271"/>
      <c r="O4271"/>
      <c r="P4271"/>
      <c r="Q4271"/>
      <c r="R4271"/>
      <c r="S4271"/>
    </row>
    <row r="4272" spans="1:19" x14ac:dyDescent="0.25">
      <c r="A4272" t="s">
        <v>193</v>
      </c>
      <c r="C4272" s="27" t="s">
        <v>34749</v>
      </c>
      <c r="D4272" s="28" t="s">
        <v>34867</v>
      </c>
      <c r="J4272" t="s">
        <v>11669</v>
      </c>
      <c r="K4272" t="s">
        <v>11670</v>
      </c>
      <c r="L4272" s="28" t="s">
        <v>11671</v>
      </c>
      <c r="M4272" t="s">
        <v>23</v>
      </c>
      <c r="N4272"/>
      <c r="O4272"/>
      <c r="P4272"/>
      <c r="Q4272"/>
      <c r="R4272"/>
      <c r="S4272"/>
    </row>
    <row r="4273" spans="1:19" x14ac:dyDescent="0.25">
      <c r="A4273" t="s">
        <v>193</v>
      </c>
      <c r="C4273" s="27" t="s">
        <v>34749</v>
      </c>
      <c r="D4273" s="28" t="s">
        <v>34867</v>
      </c>
      <c r="J4273" t="s">
        <v>11672</v>
      </c>
      <c r="K4273" t="s">
        <v>11673</v>
      </c>
      <c r="L4273" s="28" t="s">
        <v>11674</v>
      </c>
      <c r="M4273" t="s">
        <v>23</v>
      </c>
      <c r="N4273"/>
      <c r="O4273"/>
      <c r="P4273"/>
      <c r="Q4273"/>
      <c r="R4273"/>
      <c r="S4273"/>
    </row>
    <row r="4274" spans="1:19" x14ac:dyDescent="0.25">
      <c r="A4274" t="s">
        <v>193</v>
      </c>
      <c r="C4274" s="27" t="s">
        <v>34749</v>
      </c>
      <c r="D4274" s="28" t="s">
        <v>34867</v>
      </c>
      <c r="J4274" t="s">
        <v>11675</v>
      </c>
      <c r="K4274" t="s">
        <v>11676</v>
      </c>
      <c r="L4274" s="28" t="s">
        <v>11677</v>
      </c>
      <c r="M4274" t="s">
        <v>23</v>
      </c>
      <c r="N4274"/>
      <c r="O4274"/>
      <c r="P4274"/>
      <c r="Q4274"/>
      <c r="R4274"/>
      <c r="S4274"/>
    </row>
    <row r="4275" spans="1:19" x14ac:dyDescent="0.25">
      <c r="A4275" s="27" t="s">
        <v>193</v>
      </c>
      <c r="J4275" t="s">
        <v>11678</v>
      </c>
      <c r="K4275" t="s">
        <v>11679</v>
      </c>
      <c r="M4275" t="s">
        <v>23</v>
      </c>
      <c r="N4275"/>
      <c r="O4275"/>
      <c r="P4275"/>
      <c r="Q4275"/>
      <c r="R4275"/>
      <c r="S4275"/>
    </row>
    <row r="4276" spans="1:19" x14ac:dyDescent="0.25">
      <c r="A4276" s="27" t="s">
        <v>193</v>
      </c>
      <c r="J4276" t="s">
        <v>11680</v>
      </c>
      <c r="K4276" t="s">
        <v>11681</v>
      </c>
      <c r="M4276" t="s">
        <v>23</v>
      </c>
      <c r="N4276"/>
      <c r="O4276"/>
      <c r="P4276"/>
      <c r="Q4276"/>
      <c r="R4276"/>
      <c r="S4276"/>
    </row>
    <row r="4277" spans="1:19" x14ac:dyDescent="0.25">
      <c r="A4277" s="27" t="s">
        <v>193</v>
      </c>
      <c r="J4277" t="s">
        <v>11682</v>
      </c>
      <c r="K4277" t="s">
        <v>11683</v>
      </c>
      <c r="M4277" t="s">
        <v>23</v>
      </c>
      <c r="N4277"/>
      <c r="O4277"/>
      <c r="P4277">
        <v>210</v>
      </c>
      <c r="Q4277" t="s">
        <v>12980</v>
      </c>
      <c r="S4277" t="s">
        <v>12979</v>
      </c>
    </row>
    <row r="4278" spans="1:19" x14ac:dyDescent="0.25">
      <c r="A4278" s="27" t="s">
        <v>193</v>
      </c>
      <c r="J4278" t="s">
        <v>11684</v>
      </c>
      <c r="K4278" t="s">
        <v>11685</v>
      </c>
      <c r="M4278" t="s">
        <v>23</v>
      </c>
      <c r="N4278"/>
      <c r="O4278"/>
      <c r="P4278"/>
      <c r="Q4278"/>
      <c r="R4278"/>
      <c r="S4278"/>
    </row>
    <row r="4279" spans="1:19" x14ac:dyDescent="0.25">
      <c r="A4279" s="27" t="s">
        <v>193</v>
      </c>
      <c r="J4279" t="s">
        <v>11686</v>
      </c>
      <c r="K4279" t="s">
        <v>11687</v>
      </c>
      <c r="M4279" t="s">
        <v>23</v>
      </c>
      <c r="N4279"/>
      <c r="O4279"/>
      <c r="P4279"/>
      <c r="Q4279"/>
      <c r="R4279"/>
      <c r="S4279"/>
    </row>
    <row r="4280" spans="1:19" x14ac:dyDescent="0.25">
      <c r="A4280" s="27" t="s">
        <v>193</v>
      </c>
      <c r="J4280" t="s">
        <v>11688</v>
      </c>
      <c r="K4280" t="s">
        <v>11689</v>
      </c>
      <c r="M4280" t="s">
        <v>23</v>
      </c>
      <c r="N4280"/>
      <c r="O4280"/>
      <c r="P4280"/>
      <c r="Q4280"/>
      <c r="R4280"/>
      <c r="S4280"/>
    </row>
    <row r="4281" spans="1:19" x14ac:dyDescent="0.25">
      <c r="A4281" s="27" t="s">
        <v>193</v>
      </c>
      <c r="J4281" t="s">
        <v>11690</v>
      </c>
      <c r="K4281" t="s">
        <v>11691</v>
      </c>
      <c r="M4281" t="s">
        <v>23</v>
      </c>
      <c r="N4281"/>
      <c r="O4281"/>
      <c r="P4281"/>
      <c r="Q4281"/>
      <c r="R4281"/>
      <c r="S4281"/>
    </row>
    <row r="4282" spans="1:19" x14ac:dyDescent="0.25">
      <c r="A4282" s="27" t="s">
        <v>193</v>
      </c>
      <c r="J4282" t="s">
        <v>11692</v>
      </c>
      <c r="K4282" t="s">
        <v>11693</v>
      </c>
      <c r="M4282" t="s">
        <v>23</v>
      </c>
      <c r="N4282"/>
      <c r="O4282"/>
      <c r="P4282"/>
      <c r="Q4282"/>
      <c r="R4282"/>
      <c r="S4282"/>
    </row>
    <row r="4283" spans="1:19" x14ac:dyDescent="0.25">
      <c r="A4283" s="27" t="s">
        <v>193</v>
      </c>
      <c r="J4283" t="s">
        <v>11694</v>
      </c>
      <c r="K4283" t="s">
        <v>11695</v>
      </c>
      <c r="M4283" t="s">
        <v>23</v>
      </c>
      <c r="N4283"/>
      <c r="O4283"/>
      <c r="P4283"/>
      <c r="Q4283"/>
      <c r="R4283"/>
      <c r="S4283"/>
    </row>
    <row r="4284" spans="1:19" x14ac:dyDescent="0.25">
      <c r="A4284" s="27" t="s">
        <v>193</v>
      </c>
      <c r="J4284" t="s">
        <v>11696</v>
      </c>
      <c r="K4284" t="s">
        <v>11697</v>
      </c>
      <c r="M4284" t="s">
        <v>23</v>
      </c>
      <c r="N4284"/>
      <c r="O4284"/>
      <c r="P4284"/>
      <c r="Q4284"/>
      <c r="R4284"/>
      <c r="S4284"/>
    </row>
    <row r="4285" spans="1:19" x14ac:dyDescent="0.25">
      <c r="A4285" s="27" t="s">
        <v>193</v>
      </c>
      <c r="J4285" t="s">
        <v>11698</v>
      </c>
      <c r="K4285" t="s">
        <v>11699</v>
      </c>
      <c r="M4285" t="s">
        <v>23</v>
      </c>
      <c r="N4285"/>
      <c r="O4285"/>
      <c r="P4285"/>
      <c r="Q4285"/>
      <c r="R4285"/>
      <c r="S4285"/>
    </row>
    <row r="4286" spans="1:19" x14ac:dyDescent="0.25">
      <c r="A4286" s="27" t="s">
        <v>193</v>
      </c>
      <c r="J4286" t="s">
        <v>11700</v>
      </c>
      <c r="K4286" t="s">
        <v>11701</v>
      </c>
      <c r="M4286" t="s">
        <v>23</v>
      </c>
      <c r="N4286"/>
      <c r="O4286"/>
      <c r="P4286"/>
      <c r="Q4286"/>
      <c r="R4286"/>
      <c r="S4286"/>
    </row>
    <row r="4287" spans="1:19" x14ac:dyDescent="0.25">
      <c r="A4287" s="27" t="s">
        <v>193</v>
      </c>
      <c r="J4287" t="s">
        <v>11702</v>
      </c>
      <c r="K4287" t="s">
        <v>11703</v>
      </c>
      <c r="M4287" t="s">
        <v>23</v>
      </c>
      <c r="N4287"/>
      <c r="O4287"/>
      <c r="P4287"/>
      <c r="Q4287"/>
      <c r="R4287"/>
      <c r="S4287"/>
    </row>
    <row r="4288" spans="1:19" x14ac:dyDescent="0.25">
      <c r="A4288" s="27" t="s">
        <v>193</v>
      </c>
      <c r="J4288" t="s">
        <v>11704</v>
      </c>
      <c r="K4288" t="s">
        <v>11705</v>
      </c>
      <c r="M4288" t="s">
        <v>23</v>
      </c>
      <c r="N4288"/>
      <c r="O4288"/>
      <c r="P4288"/>
      <c r="Q4288"/>
      <c r="R4288"/>
      <c r="S4288"/>
    </row>
    <row r="4289" spans="1:19" x14ac:dyDescent="0.25">
      <c r="A4289" s="27" t="s">
        <v>193</v>
      </c>
      <c r="J4289" t="s">
        <v>11706</v>
      </c>
      <c r="K4289" t="s">
        <v>11707</v>
      </c>
      <c r="M4289" t="s">
        <v>23</v>
      </c>
      <c r="N4289"/>
      <c r="O4289"/>
      <c r="P4289"/>
      <c r="Q4289"/>
      <c r="R4289"/>
      <c r="S4289"/>
    </row>
    <row r="4290" spans="1:19" x14ac:dyDescent="0.25">
      <c r="A4290" s="27" t="s">
        <v>193</v>
      </c>
      <c r="J4290" t="s">
        <v>11708</v>
      </c>
      <c r="K4290" t="s">
        <v>11709</v>
      </c>
      <c r="M4290" t="s">
        <v>23</v>
      </c>
      <c r="N4290"/>
      <c r="O4290"/>
      <c r="P4290"/>
      <c r="Q4290"/>
      <c r="R4290"/>
      <c r="S4290"/>
    </row>
    <row r="4291" spans="1:19" x14ac:dyDescent="0.25">
      <c r="A4291" s="27" t="s">
        <v>193</v>
      </c>
      <c r="J4291" t="s">
        <v>11710</v>
      </c>
      <c r="K4291" t="s">
        <v>11711</v>
      </c>
      <c r="M4291" t="s">
        <v>23</v>
      </c>
      <c r="N4291"/>
      <c r="O4291"/>
      <c r="P4291"/>
      <c r="Q4291"/>
      <c r="R4291"/>
      <c r="S4291"/>
    </row>
    <row r="4292" spans="1:19" x14ac:dyDescent="0.25">
      <c r="A4292" s="27" t="s">
        <v>193</v>
      </c>
      <c r="J4292" t="s">
        <v>11712</v>
      </c>
      <c r="K4292" t="s">
        <v>11713</v>
      </c>
      <c r="M4292" t="s">
        <v>23</v>
      </c>
      <c r="N4292"/>
      <c r="O4292"/>
      <c r="P4292"/>
      <c r="Q4292"/>
      <c r="R4292"/>
      <c r="S4292"/>
    </row>
    <row r="4293" spans="1:19" x14ac:dyDescent="0.25">
      <c r="A4293" t="s">
        <v>193</v>
      </c>
      <c r="C4293" s="27" t="s">
        <v>34749</v>
      </c>
      <c r="D4293" s="28" t="s">
        <v>34867</v>
      </c>
      <c r="J4293" t="s">
        <v>11714</v>
      </c>
      <c r="K4293" t="s">
        <v>11715</v>
      </c>
      <c r="L4293" s="28" t="s">
        <v>11716</v>
      </c>
      <c r="M4293" t="s">
        <v>23</v>
      </c>
      <c r="N4293"/>
      <c r="O4293"/>
      <c r="P4293"/>
      <c r="Q4293"/>
      <c r="R4293"/>
      <c r="S4293"/>
    </row>
    <row r="4294" spans="1:19" x14ac:dyDescent="0.25">
      <c r="A4294" t="s">
        <v>193</v>
      </c>
      <c r="C4294" s="27" t="s">
        <v>34749</v>
      </c>
      <c r="D4294" s="28" t="s">
        <v>34867</v>
      </c>
      <c r="J4294" t="s">
        <v>11717</v>
      </c>
      <c r="K4294" t="s">
        <v>11718</v>
      </c>
      <c r="L4294" s="28" t="s">
        <v>11719</v>
      </c>
      <c r="M4294" t="s">
        <v>23</v>
      </c>
      <c r="N4294"/>
      <c r="O4294"/>
      <c r="P4294"/>
      <c r="Q4294"/>
      <c r="R4294"/>
      <c r="S4294"/>
    </row>
    <row r="4295" spans="1:19" x14ac:dyDescent="0.25">
      <c r="A4295" t="s">
        <v>193</v>
      </c>
      <c r="C4295" s="27" t="s">
        <v>34749</v>
      </c>
      <c r="D4295" s="28" t="s">
        <v>34867</v>
      </c>
      <c r="J4295" t="s">
        <v>11720</v>
      </c>
      <c r="K4295" t="s">
        <v>11721</v>
      </c>
      <c r="L4295" s="28" t="s">
        <v>11722</v>
      </c>
      <c r="M4295" t="s">
        <v>23</v>
      </c>
      <c r="N4295"/>
      <c r="O4295"/>
      <c r="P4295"/>
      <c r="Q4295"/>
      <c r="R4295"/>
      <c r="S4295"/>
    </row>
    <row r="4296" spans="1:19" x14ac:dyDescent="0.25">
      <c r="A4296" t="s">
        <v>193</v>
      </c>
      <c r="C4296" s="27" t="s">
        <v>34749</v>
      </c>
      <c r="D4296" s="28" t="s">
        <v>34867</v>
      </c>
      <c r="J4296" t="s">
        <v>11723</v>
      </c>
      <c r="K4296" t="s">
        <v>11724</v>
      </c>
      <c r="L4296" s="28" t="s">
        <v>11725</v>
      </c>
      <c r="M4296" t="s">
        <v>23</v>
      </c>
      <c r="N4296"/>
      <c r="O4296"/>
      <c r="P4296"/>
      <c r="Q4296"/>
      <c r="R4296"/>
      <c r="S4296"/>
    </row>
    <row r="4297" spans="1:19" x14ac:dyDescent="0.25">
      <c r="A4297" t="s">
        <v>193</v>
      </c>
      <c r="C4297" s="27" t="s">
        <v>34749</v>
      </c>
      <c r="D4297" s="28" t="s">
        <v>34867</v>
      </c>
      <c r="J4297" t="s">
        <v>11726</v>
      </c>
      <c r="K4297" t="s">
        <v>11727</v>
      </c>
      <c r="L4297" s="28" t="s">
        <v>11728</v>
      </c>
      <c r="M4297" t="s">
        <v>23</v>
      </c>
      <c r="N4297"/>
      <c r="O4297"/>
      <c r="P4297"/>
      <c r="Q4297"/>
      <c r="R4297"/>
      <c r="S4297"/>
    </row>
    <row r="4298" spans="1:19" x14ac:dyDescent="0.25">
      <c r="A4298" t="s">
        <v>193</v>
      </c>
      <c r="C4298" s="27" t="s">
        <v>34749</v>
      </c>
      <c r="D4298" s="28" t="s">
        <v>34867</v>
      </c>
      <c r="J4298" t="s">
        <v>11729</v>
      </c>
      <c r="K4298" t="s">
        <v>11730</v>
      </c>
      <c r="L4298" s="28" t="s">
        <v>11731</v>
      </c>
      <c r="M4298" t="s">
        <v>23</v>
      </c>
      <c r="N4298"/>
      <c r="O4298"/>
      <c r="P4298"/>
      <c r="Q4298"/>
      <c r="R4298"/>
      <c r="S4298"/>
    </row>
    <row r="4299" spans="1:19" x14ac:dyDescent="0.25">
      <c r="A4299" s="27" t="s">
        <v>193</v>
      </c>
      <c r="J4299" t="s">
        <v>11732</v>
      </c>
      <c r="K4299" t="s">
        <v>11733</v>
      </c>
      <c r="M4299" t="s">
        <v>23</v>
      </c>
      <c r="N4299"/>
      <c r="O4299"/>
      <c r="P4299"/>
      <c r="Q4299"/>
      <c r="R4299"/>
      <c r="S4299"/>
    </row>
    <row r="4300" spans="1:19" x14ac:dyDescent="0.25">
      <c r="A4300" s="27" t="s">
        <v>193</v>
      </c>
      <c r="J4300" t="s">
        <v>11734</v>
      </c>
      <c r="K4300" t="s">
        <v>11735</v>
      </c>
      <c r="M4300" t="s">
        <v>23</v>
      </c>
      <c r="N4300"/>
      <c r="O4300"/>
      <c r="P4300"/>
      <c r="Q4300"/>
      <c r="R4300"/>
      <c r="S4300"/>
    </row>
    <row r="4301" spans="1:19" x14ac:dyDescent="0.25">
      <c r="A4301" t="s">
        <v>193</v>
      </c>
      <c r="C4301" s="27" t="s">
        <v>34749</v>
      </c>
      <c r="D4301" s="28" t="s">
        <v>34867</v>
      </c>
      <c r="J4301" t="s">
        <v>11736</v>
      </c>
      <c r="K4301" t="s">
        <v>11737</v>
      </c>
      <c r="L4301" s="28" t="s">
        <v>11738</v>
      </c>
      <c r="M4301" t="s">
        <v>23</v>
      </c>
      <c r="N4301"/>
      <c r="O4301"/>
      <c r="P4301"/>
      <c r="Q4301"/>
      <c r="R4301"/>
      <c r="S4301"/>
    </row>
    <row r="4302" spans="1:19" x14ac:dyDescent="0.25">
      <c r="A4302" s="27" t="s">
        <v>193</v>
      </c>
      <c r="J4302" t="s">
        <v>11739</v>
      </c>
      <c r="K4302" t="s">
        <v>11740</v>
      </c>
      <c r="M4302" t="s">
        <v>23</v>
      </c>
      <c r="N4302"/>
      <c r="O4302"/>
      <c r="P4302"/>
      <c r="Q4302"/>
      <c r="R4302"/>
      <c r="S4302"/>
    </row>
    <row r="4303" spans="1:19" x14ac:dyDescent="0.25">
      <c r="A4303" s="27" t="s">
        <v>193</v>
      </c>
      <c r="J4303" t="s">
        <v>11741</v>
      </c>
      <c r="K4303" t="s">
        <v>11742</v>
      </c>
      <c r="M4303" t="s">
        <v>23</v>
      </c>
      <c r="N4303"/>
      <c r="O4303"/>
      <c r="P4303"/>
      <c r="Q4303"/>
      <c r="R4303"/>
      <c r="S4303"/>
    </row>
    <row r="4304" spans="1:19" x14ac:dyDescent="0.25">
      <c r="A4304" s="27" t="s">
        <v>193</v>
      </c>
      <c r="J4304" t="s">
        <v>11743</v>
      </c>
      <c r="K4304" t="s">
        <v>11744</v>
      </c>
      <c r="M4304" t="s">
        <v>23</v>
      </c>
      <c r="N4304"/>
      <c r="O4304"/>
      <c r="P4304"/>
      <c r="Q4304"/>
      <c r="R4304"/>
      <c r="S4304"/>
    </row>
    <row r="4305" spans="1:19" x14ac:dyDescent="0.25">
      <c r="A4305" s="27" t="s">
        <v>193</v>
      </c>
      <c r="J4305" t="s">
        <v>11745</v>
      </c>
      <c r="K4305" t="s">
        <v>11746</v>
      </c>
      <c r="M4305" t="s">
        <v>23</v>
      </c>
      <c r="N4305"/>
      <c r="O4305"/>
      <c r="P4305"/>
      <c r="Q4305"/>
      <c r="R4305"/>
      <c r="S4305"/>
    </row>
    <row r="4306" spans="1:19" x14ac:dyDescent="0.25">
      <c r="A4306" s="27" t="s">
        <v>193</v>
      </c>
      <c r="J4306" t="s">
        <v>11747</v>
      </c>
      <c r="K4306" t="s">
        <v>11748</v>
      </c>
      <c r="M4306" t="s">
        <v>23</v>
      </c>
      <c r="N4306"/>
      <c r="O4306"/>
      <c r="P4306"/>
      <c r="Q4306"/>
      <c r="R4306"/>
      <c r="S4306"/>
    </row>
    <row r="4307" spans="1:19" x14ac:dyDescent="0.25">
      <c r="A4307" s="27" t="s">
        <v>193</v>
      </c>
      <c r="J4307" t="s">
        <v>11749</v>
      </c>
      <c r="K4307" t="s">
        <v>11750</v>
      </c>
      <c r="M4307" t="s">
        <v>23</v>
      </c>
      <c r="N4307"/>
      <c r="O4307"/>
      <c r="P4307"/>
      <c r="Q4307"/>
      <c r="R4307"/>
      <c r="S4307"/>
    </row>
    <row r="4308" spans="1:19" x14ac:dyDescent="0.25">
      <c r="A4308" s="27" t="s">
        <v>193</v>
      </c>
      <c r="J4308" t="s">
        <v>11751</v>
      </c>
      <c r="K4308" t="s">
        <v>11752</v>
      </c>
      <c r="M4308" t="s">
        <v>23</v>
      </c>
      <c r="N4308"/>
      <c r="O4308"/>
      <c r="P4308"/>
      <c r="Q4308"/>
      <c r="R4308"/>
      <c r="S4308"/>
    </row>
    <row r="4309" spans="1:19" x14ac:dyDescent="0.25">
      <c r="A4309" s="27" t="s">
        <v>193</v>
      </c>
      <c r="J4309" t="s">
        <v>11753</v>
      </c>
      <c r="K4309" t="s">
        <v>11754</v>
      </c>
      <c r="M4309" t="s">
        <v>23</v>
      </c>
      <c r="N4309"/>
      <c r="O4309"/>
      <c r="P4309"/>
      <c r="Q4309"/>
      <c r="R4309"/>
      <c r="S4309"/>
    </row>
    <row r="4310" spans="1:19" x14ac:dyDescent="0.25">
      <c r="A4310" t="s">
        <v>193</v>
      </c>
      <c r="C4310" s="27" t="s">
        <v>34749</v>
      </c>
      <c r="D4310" s="28" t="s">
        <v>34867</v>
      </c>
      <c r="J4310" t="s">
        <v>11755</v>
      </c>
      <c r="K4310" t="s">
        <v>11756</v>
      </c>
      <c r="L4310" s="28" t="s">
        <v>11757</v>
      </c>
      <c r="M4310" t="s">
        <v>23</v>
      </c>
      <c r="N4310"/>
      <c r="O4310"/>
      <c r="P4310"/>
      <c r="Q4310"/>
      <c r="R4310"/>
      <c r="S4310"/>
    </row>
    <row r="4311" spans="1:19" x14ac:dyDescent="0.25">
      <c r="A4311" t="s">
        <v>193</v>
      </c>
      <c r="C4311" s="27" t="s">
        <v>34749</v>
      </c>
      <c r="D4311" s="28" t="s">
        <v>34867</v>
      </c>
      <c r="J4311" t="s">
        <v>11758</v>
      </c>
      <c r="K4311" t="s">
        <v>11759</v>
      </c>
      <c r="L4311" s="28" t="s">
        <v>11760</v>
      </c>
      <c r="M4311" t="s">
        <v>23</v>
      </c>
      <c r="N4311"/>
      <c r="O4311"/>
      <c r="P4311"/>
      <c r="Q4311"/>
      <c r="R4311"/>
      <c r="S4311"/>
    </row>
    <row r="4312" spans="1:19" x14ac:dyDescent="0.25">
      <c r="A4312" t="s">
        <v>193</v>
      </c>
      <c r="C4312" s="27" t="s">
        <v>34749</v>
      </c>
      <c r="D4312" s="28" t="s">
        <v>34867</v>
      </c>
      <c r="J4312" t="s">
        <v>11761</v>
      </c>
      <c r="K4312" t="s">
        <v>11762</v>
      </c>
      <c r="L4312" s="28" t="s">
        <v>11763</v>
      </c>
      <c r="M4312" t="s">
        <v>23</v>
      </c>
      <c r="N4312"/>
      <c r="O4312"/>
      <c r="P4312"/>
      <c r="Q4312"/>
      <c r="R4312"/>
      <c r="S4312"/>
    </row>
    <row r="4313" spans="1:19" x14ac:dyDescent="0.25">
      <c r="A4313" t="s">
        <v>193</v>
      </c>
      <c r="C4313" s="27" t="s">
        <v>34749</v>
      </c>
      <c r="D4313" s="28" t="s">
        <v>34867</v>
      </c>
      <c r="J4313" t="s">
        <v>11764</v>
      </c>
      <c r="K4313" t="s">
        <v>11765</v>
      </c>
      <c r="L4313" s="28" t="s">
        <v>11766</v>
      </c>
      <c r="M4313" t="s">
        <v>23</v>
      </c>
      <c r="N4313"/>
      <c r="O4313"/>
      <c r="P4313"/>
      <c r="Q4313"/>
      <c r="R4313"/>
      <c r="S4313"/>
    </row>
    <row r="4314" spans="1:19" x14ac:dyDescent="0.25">
      <c r="A4314" t="s">
        <v>193</v>
      </c>
      <c r="C4314" s="27" t="s">
        <v>34749</v>
      </c>
      <c r="D4314" s="28" t="s">
        <v>34867</v>
      </c>
      <c r="J4314" t="s">
        <v>11767</v>
      </c>
      <c r="K4314" t="s">
        <v>11768</v>
      </c>
      <c r="L4314" s="28" t="s">
        <v>11769</v>
      </c>
      <c r="M4314" t="s">
        <v>23</v>
      </c>
      <c r="N4314"/>
      <c r="O4314"/>
      <c r="P4314"/>
      <c r="Q4314"/>
      <c r="R4314"/>
      <c r="S4314"/>
    </row>
    <row r="4315" spans="1:19" x14ac:dyDescent="0.25">
      <c r="A4315" t="s">
        <v>193</v>
      </c>
      <c r="C4315" s="27" t="s">
        <v>34749</v>
      </c>
      <c r="D4315" s="28" t="s">
        <v>34867</v>
      </c>
      <c r="J4315" t="s">
        <v>11770</v>
      </c>
      <c r="K4315" t="s">
        <v>11771</v>
      </c>
      <c r="L4315" s="28" t="s">
        <v>11772</v>
      </c>
      <c r="M4315" t="s">
        <v>23</v>
      </c>
      <c r="N4315"/>
      <c r="O4315"/>
      <c r="P4315"/>
      <c r="Q4315"/>
      <c r="R4315"/>
      <c r="S4315"/>
    </row>
    <row r="4316" spans="1:19" x14ac:dyDescent="0.25">
      <c r="A4316" t="s">
        <v>193</v>
      </c>
      <c r="C4316" s="27" t="s">
        <v>34749</v>
      </c>
      <c r="D4316" s="28" t="s">
        <v>34867</v>
      </c>
      <c r="J4316" t="s">
        <v>11773</v>
      </c>
      <c r="K4316" t="s">
        <v>11774</v>
      </c>
      <c r="L4316" s="28" t="s">
        <v>11775</v>
      </c>
      <c r="M4316" t="s">
        <v>23</v>
      </c>
      <c r="N4316"/>
      <c r="O4316"/>
      <c r="P4316"/>
      <c r="Q4316"/>
      <c r="R4316"/>
      <c r="S4316"/>
    </row>
    <row r="4317" spans="1:19" x14ac:dyDescent="0.25">
      <c r="A4317" s="27" t="s">
        <v>193</v>
      </c>
      <c r="J4317" t="s">
        <v>11776</v>
      </c>
      <c r="K4317" t="s">
        <v>11777</v>
      </c>
      <c r="M4317" t="s">
        <v>23</v>
      </c>
      <c r="N4317"/>
      <c r="O4317"/>
      <c r="P4317">
        <v>212</v>
      </c>
      <c r="Q4317" t="s">
        <v>12981</v>
      </c>
      <c r="S4317" t="s">
        <v>12979</v>
      </c>
    </row>
    <row r="4318" spans="1:19" x14ac:dyDescent="0.25">
      <c r="A4318" s="27" t="s">
        <v>193</v>
      </c>
      <c r="J4318" t="s">
        <v>11778</v>
      </c>
      <c r="K4318" t="s">
        <v>11779</v>
      </c>
      <c r="M4318" t="s">
        <v>23</v>
      </c>
      <c r="N4318"/>
      <c r="O4318"/>
      <c r="P4318"/>
      <c r="Q4318"/>
      <c r="R4318"/>
      <c r="S4318"/>
    </row>
    <row r="4319" spans="1:19" x14ac:dyDescent="0.25">
      <c r="A4319" s="27" t="s">
        <v>193</v>
      </c>
      <c r="J4319" t="s">
        <v>11780</v>
      </c>
      <c r="K4319" t="s">
        <v>11781</v>
      </c>
      <c r="M4319" t="s">
        <v>23</v>
      </c>
      <c r="N4319"/>
      <c r="O4319"/>
      <c r="P4319"/>
      <c r="Q4319"/>
      <c r="R4319"/>
      <c r="S4319"/>
    </row>
    <row r="4320" spans="1:19" x14ac:dyDescent="0.25">
      <c r="A4320" s="27" t="s">
        <v>193</v>
      </c>
      <c r="J4320" t="s">
        <v>11782</v>
      </c>
      <c r="K4320" t="s">
        <v>11783</v>
      </c>
      <c r="M4320" t="s">
        <v>23</v>
      </c>
      <c r="N4320"/>
      <c r="O4320"/>
      <c r="P4320"/>
      <c r="Q4320"/>
      <c r="R4320"/>
      <c r="S4320"/>
    </row>
    <row r="4321" spans="1:19" x14ac:dyDescent="0.25">
      <c r="A4321" s="27" t="s">
        <v>193</v>
      </c>
      <c r="J4321" t="s">
        <v>11784</v>
      </c>
      <c r="K4321" t="s">
        <v>11785</v>
      </c>
      <c r="M4321" t="s">
        <v>23</v>
      </c>
      <c r="N4321"/>
      <c r="O4321"/>
      <c r="P4321"/>
      <c r="Q4321"/>
      <c r="R4321"/>
      <c r="S4321"/>
    </row>
    <row r="4322" spans="1:19" x14ac:dyDescent="0.25">
      <c r="A4322" s="27" t="s">
        <v>193</v>
      </c>
      <c r="J4322" t="s">
        <v>11786</v>
      </c>
      <c r="K4322" t="s">
        <v>11787</v>
      </c>
      <c r="M4322" t="s">
        <v>23</v>
      </c>
      <c r="N4322"/>
      <c r="O4322"/>
      <c r="P4322"/>
      <c r="Q4322"/>
      <c r="R4322"/>
      <c r="S4322"/>
    </row>
    <row r="4323" spans="1:19" x14ac:dyDescent="0.25">
      <c r="A4323" s="27" t="s">
        <v>193</v>
      </c>
      <c r="J4323" t="s">
        <v>11788</v>
      </c>
      <c r="K4323" t="s">
        <v>11789</v>
      </c>
      <c r="M4323" t="s">
        <v>23</v>
      </c>
      <c r="N4323"/>
      <c r="O4323"/>
      <c r="P4323"/>
      <c r="Q4323"/>
      <c r="R4323"/>
      <c r="S4323"/>
    </row>
    <row r="4324" spans="1:19" x14ac:dyDescent="0.25">
      <c r="A4324" s="27" t="s">
        <v>193</v>
      </c>
      <c r="J4324" t="s">
        <v>11790</v>
      </c>
      <c r="K4324" t="s">
        <v>11791</v>
      </c>
      <c r="M4324" t="s">
        <v>23</v>
      </c>
      <c r="N4324"/>
      <c r="O4324"/>
      <c r="P4324"/>
      <c r="Q4324"/>
      <c r="R4324"/>
      <c r="S4324"/>
    </row>
    <row r="4325" spans="1:19" x14ac:dyDescent="0.25">
      <c r="A4325" s="27" t="s">
        <v>193</v>
      </c>
      <c r="J4325" t="s">
        <v>11792</v>
      </c>
      <c r="K4325" t="s">
        <v>11793</v>
      </c>
      <c r="M4325" t="s">
        <v>23</v>
      </c>
      <c r="N4325"/>
      <c r="O4325"/>
      <c r="P4325"/>
      <c r="Q4325"/>
      <c r="R4325"/>
      <c r="S4325"/>
    </row>
    <row r="4326" spans="1:19" x14ac:dyDescent="0.25">
      <c r="A4326" t="s">
        <v>193</v>
      </c>
      <c r="C4326" s="27" t="s">
        <v>34749</v>
      </c>
      <c r="D4326" s="28" t="s">
        <v>34867</v>
      </c>
      <c r="J4326" t="s">
        <v>11794</v>
      </c>
      <c r="K4326" t="s">
        <v>11795</v>
      </c>
      <c r="L4326" s="28" t="s">
        <v>11796</v>
      </c>
      <c r="M4326" t="s">
        <v>23</v>
      </c>
      <c r="N4326"/>
      <c r="O4326"/>
      <c r="P4326"/>
      <c r="Q4326"/>
      <c r="R4326"/>
      <c r="S4326"/>
    </row>
    <row r="4327" spans="1:19" x14ac:dyDescent="0.25">
      <c r="A4327" s="27" t="s">
        <v>193</v>
      </c>
      <c r="J4327" t="s">
        <v>11797</v>
      </c>
      <c r="K4327" t="s">
        <v>11798</v>
      </c>
      <c r="M4327" t="s">
        <v>23</v>
      </c>
      <c r="N4327"/>
      <c r="O4327"/>
      <c r="P4327"/>
      <c r="Q4327"/>
      <c r="R4327"/>
      <c r="S4327"/>
    </row>
    <row r="4328" spans="1:19" x14ac:dyDescent="0.25">
      <c r="A4328" t="s">
        <v>193</v>
      </c>
      <c r="C4328" s="27" t="s">
        <v>34749</v>
      </c>
      <c r="D4328" s="28" t="s">
        <v>34867</v>
      </c>
      <c r="J4328" t="s">
        <v>11799</v>
      </c>
      <c r="K4328" t="s">
        <v>11800</v>
      </c>
      <c r="L4328" s="28" t="s">
        <v>11801</v>
      </c>
      <c r="M4328" t="s">
        <v>23</v>
      </c>
      <c r="N4328"/>
      <c r="O4328"/>
      <c r="P4328"/>
      <c r="Q4328"/>
      <c r="R4328"/>
      <c r="S4328"/>
    </row>
    <row r="4329" spans="1:19" x14ac:dyDescent="0.25">
      <c r="A4329" s="27" t="s">
        <v>193</v>
      </c>
      <c r="J4329" t="s">
        <v>11802</v>
      </c>
      <c r="K4329" t="s">
        <v>11803</v>
      </c>
      <c r="M4329" t="s">
        <v>23</v>
      </c>
      <c r="N4329"/>
      <c r="O4329"/>
      <c r="P4329"/>
      <c r="Q4329"/>
      <c r="R4329"/>
      <c r="S4329"/>
    </row>
    <row r="4330" spans="1:19" x14ac:dyDescent="0.25">
      <c r="A4330" s="27" t="s">
        <v>193</v>
      </c>
      <c r="J4330" t="s">
        <v>11804</v>
      </c>
      <c r="K4330" t="s">
        <v>11805</v>
      </c>
      <c r="M4330" t="s">
        <v>23</v>
      </c>
      <c r="N4330"/>
      <c r="O4330"/>
      <c r="P4330"/>
      <c r="Q4330"/>
      <c r="R4330"/>
      <c r="S4330"/>
    </row>
    <row r="4331" spans="1:19" x14ac:dyDescent="0.25">
      <c r="A4331" s="27" t="s">
        <v>193</v>
      </c>
      <c r="J4331" t="s">
        <v>11806</v>
      </c>
      <c r="K4331" t="s">
        <v>11807</v>
      </c>
      <c r="M4331" t="s">
        <v>23</v>
      </c>
      <c r="N4331"/>
      <c r="O4331"/>
      <c r="P4331"/>
      <c r="Q4331"/>
      <c r="R4331"/>
      <c r="S4331"/>
    </row>
    <row r="4332" spans="1:19" x14ac:dyDescent="0.25">
      <c r="A4332" s="27" t="s">
        <v>193</v>
      </c>
      <c r="J4332" t="s">
        <v>11808</v>
      </c>
      <c r="K4332" t="s">
        <v>11809</v>
      </c>
      <c r="M4332" t="s">
        <v>23</v>
      </c>
      <c r="N4332"/>
      <c r="O4332"/>
      <c r="P4332"/>
      <c r="Q4332"/>
      <c r="R4332"/>
      <c r="S4332"/>
    </row>
    <row r="4333" spans="1:19" x14ac:dyDescent="0.25">
      <c r="A4333" t="s">
        <v>193</v>
      </c>
      <c r="C4333" s="27" t="s">
        <v>34749</v>
      </c>
      <c r="D4333" s="28" t="s">
        <v>34867</v>
      </c>
      <c r="J4333" t="s">
        <v>11810</v>
      </c>
      <c r="K4333" t="s">
        <v>11811</v>
      </c>
      <c r="L4333" s="28" t="s">
        <v>11812</v>
      </c>
      <c r="M4333" t="s">
        <v>23</v>
      </c>
      <c r="N4333"/>
      <c r="O4333"/>
      <c r="P4333"/>
      <c r="Q4333"/>
      <c r="R4333"/>
      <c r="S4333"/>
    </row>
    <row r="4334" spans="1:19" x14ac:dyDescent="0.25">
      <c r="A4334" t="s">
        <v>193</v>
      </c>
      <c r="C4334" s="27" t="s">
        <v>34749</v>
      </c>
      <c r="D4334" s="28" t="s">
        <v>34867</v>
      </c>
      <c r="J4334" t="s">
        <v>11813</v>
      </c>
      <c r="K4334" t="s">
        <v>11814</v>
      </c>
      <c r="L4334" s="28" t="s">
        <v>11815</v>
      </c>
      <c r="M4334" t="s">
        <v>23</v>
      </c>
      <c r="N4334"/>
      <c r="O4334"/>
      <c r="P4334"/>
      <c r="Q4334"/>
      <c r="R4334"/>
      <c r="S4334"/>
    </row>
    <row r="4335" spans="1:19" x14ac:dyDescent="0.25">
      <c r="A4335" t="s">
        <v>193</v>
      </c>
      <c r="C4335" s="27" t="s">
        <v>34749</v>
      </c>
      <c r="D4335" s="28" t="s">
        <v>34867</v>
      </c>
      <c r="J4335" t="s">
        <v>11816</v>
      </c>
      <c r="K4335" t="s">
        <v>11817</v>
      </c>
      <c r="L4335" s="28" t="s">
        <v>11818</v>
      </c>
      <c r="M4335" t="s">
        <v>23</v>
      </c>
      <c r="N4335"/>
      <c r="O4335"/>
      <c r="P4335"/>
      <c r="Q4335"/>
      <c r="R4335"/>
      <c r="S4335"/>
    </row>
    <row r="4336" spans="1:19" x14ac:dyDescent="0.25">
      <c r="A4336" t="s">
        <v>193</v>
      </c>
      <c r="C4336" s="27" t="s">
        <v>34749</v>
      </c>
      <c r="D4336" s="28" t="s">
        <v>34867</v>
      </c>
      <c r="J4336" t="s">
        <v>11819</v>
      </c>
      <c r="K4336" t="s">
        <v>11820</v>
      </c>
      <c r="L4336" s="28" t="s">
        <v>11821</v>
      </c>
      <c r="M4336" t="s">
        <v>23</v>
      </c>
      <c r="N4336"/>
      <c r="O4336"/>
      <c r="P4336"/>
      <c r="Q4336"/>
      <c r="R4336"/>
      <c r="S4336"/>
    </row>
    <row r="4337" spans="1:19" x14ac:dyDescent="0.25">
      <c r="A4337" t="s">
        <v>193</v>
      </c>
      <c r="C4337" s="27" t="s">
        <v>34749</v>
      </c>
      <c r="D4337" s="28" t="s">
        <v>34867</v>
      </c>
      <c r="J4337" t="s">
        <v>11822</v>
      </c>
      <c r="K4337" t="s">
        <v>11823</v>
      </c>
      <c r="L4337" s="28" t="s">
        <v>11824</v>
      </c>
      <c r="M4337" t="s">
        <v>23</v>
      </c>
      <c r="N4337"/>
      <c r="O4337"/>
      <c r="P4337"/>
      <c r="Q4337"/>
      <c r="R4337"/>
      <c r="S4337"/>
    </row>
    <row r="4338" spans="1:19" x14ac:dyDescent="0.25">
      <c r="A4338" t="s">
        <v>193</v>
      </c>
      <c r="C4338" s="27" t="s">
        <v>34749</v>
      </c>
      <c r="D4338" s="28" t="s">
        <v>34867</v>
      </c>
      <c r="J4338" t="s">
        <v>11825</v>
      </c>
      <c r="K4338" t="s">
        <v>11826</v>
      </c>
      <c r="L4338" s="28" t="s">
        <v>11827</v>
      </c>
      <c r="M4338" t="s">
        <v>23</v>
      </c>
      <c r="N4338"/>
      <c r="O4338"/>
      <c r="P4338"/>
      <c r="Q4338"/>
      <c r="R4338"/>
      <c r="S4338"/>
    </row>
    <row r="4339" spans="1:19" x14ac:dyDescent="0.25">
      <c r="A4339" t="s">
        <v>193</v>
      </c>
      <c r="C4339" s="27" t="s">
        <v>34749</v>
      </c>
      <c r="D4339" s="28" t="s">
        <v>34867</v>
      </c>
      <c r="J4339" t="s">
        <v>11828</v>
      </c>
      <c r="K4339" t="s">
        <v>11829</v>
      </c>
      <c r="L4339" s="28" t="s">
        <v>11830</v>
      </c>
      <c r="M4339" t="s">
        <v>23</v>
      </c>
      <c r="N4339"/>
      <c r="O4339"/>
      <c r="P4339"/>
      <c r="Q4339"/>
      <c r="R4339"/>
      <c r="S4339"/>
    </row>
    <row r="4340" spans="1:19" x14ac:dyDescent="0.25">
      <c r="A4340" t="s">
        <v>193</v>
      </c>
      <c r="C4340" s="27" t="s">
        <v>34749</v>
      </c>
      <c r="D4340" s="28" t="s">
        <v>34867</v>
      </c>
      <c r="J4340" t="s">
        <v>11831</v>
      </c>
      <c r="K4340" t="s">
        <v>11832</v>
      </c>
      <c r="L4340" s="28" t="s">
        <v>11833</v>
      </c>
      <c r="M4340" t="s">
        <v>23</v>
      </c>
      <c r="N4340"/>
      <c r="O4340"/>
      <c r="P4340"/>
      <c r="Q4340"/>
      <c r="R4340"/>
      <c r="S4340"/>
    </row>
    <row r="4341" spans="1:19" x14ac:dyDescent="0.25">
      <c r="A4341" t="s">
        <v>193</v>
      </c>
      <c r="C4341" s="27" t="s">
        <v>34749</v>
      </c>
      <c r="D4341" s="28" t="s">
        <v>34867</v>
      </c>
      <c r="J4341" t="s">
        <v>11834</v>
      </c>
      <c r="K4341" t="s">
        <v>11835</v>
      </c>
      <c r="L4341" s="28" t="s">
        <v>11836</v>
      </c>
      <c r="M4341" t="s">
        <v>23</v>
      </c>
      <c r="N4341"/>
      <c r="O4341"/>
      <c r="P4341"/>
      <c r="Q4341"/>
      <c r="R4341"/>
      <c r="S4341"/>
    </row>
    <row r="4342" spans="1:19" x14ac:dyDescent="0.25">
      <c r="A4342" s="27" t="s">
        <v>193</v>
      </c>
      <c r="J4342" t="s">
        <v>11837</v>
      </c>
      <c r="K4342" t="s">
        <v>11838</v>
      </c>
      <c r="M4342" t="s">
        <v>23</v>
      </c>
      <c r="N4342"/>
      <c r="O4342"/>
      <c r="P4342"/>
      <c r="Q4342"/>
      <c r="R4342"/>
      <c r="S4342"/>
    </row>
    <row r="4343" spans="1:19" x14ac:dyDescent="0.25">
      <c r="A4343" s="27" t="s">
        <v>193</v>
      </c>
      <c r="J4343" t="s">
        <v>11839</v>
      </c>
      <c r="K4343" t="s">
        <v>11840</v>
      </c>
      <c r="M4343" t="s">
        <v>23</v>
      </c>
      <c r="N4343"/>
      <c r="O4343"/>
      <c r="P4343"/>
      <c r="Q4343"/>
      <c r="R4343"/>
      <c r="S4343"/>
    </row>
    <row r="4344" spans="1:19" x14ac:dyDescent="0.25">
      <c r="A4344" s="27" t="s">
        <v>193</v>
      </c>
      <c r="J4344" t="s">
        <v>11841</v>
      </c>
      <c r="K4344" t="s">
        <v>11842</v>
      </c>
      <c r="M4344" t="s">
        <v>23</v>
      </c>
      <c r="N4344"/>
      <c r="O4344"/>
      <c r="P4344"/>
      <c r="Q4344"/>
      <c r="R4344"/>
      <c r="S4344"/>
    </row>
    <row r="4345" spans="1:19" x14ac:dyDescent="0.25">
      <c r="A4345" t="s">
        <v>193</v>
      </c>
      <c r="C4345" s="27" t="s">
        <v>34749</v>
      </c>
      <c r="D4345" s="28" t="s">
        <v>34867</v>
      </c>
      <c r="J4345" t="s">
        <v>11843</v>
      </c>
      <c r="K4345" t="s">
        <v>11844</v>
      </c>
      <c r="L4345" s="28" t="s">
        <v>11845</v>
      </c>
      <c r="M4345" t="s">
        <v>23</v>
      </c>
      <c r="N4345"/>
      <c r="O4345"/>
      <c r="P4345"/>
      <c r="Q4345"/>
      <c r="R4345"/>
      <c r="S4345"/>
    </row>
    <row r="4346" spans="1:19" x14ac:dyDescent="0.25">
      <c r="A4346" s="27" t="s">
        <v>193</v>
      </c>
      <c r="J4346" t="s">
        <v>11846</v>
      </c>
      <c r="K4346" t="s">
        <v>11847</v>
      </c>
      <c r="M4346" t="s">
        <v>23</v>
      </c>
      <c r="N4346"/>
      <c r="O4346"/>
      <c r="P4346"/>
      <c r="Q4346"/>
      <c r="R4346"/>
      <c r="S4346"/>
    </row>
    <row r="4347" spans="1:19" x14ac:dyDescent="0.25">
      <c r="A4347" t="s">
        <v>193</v>
      </c>
      <c r="C4347" s="27" t="s">
        <v>34749</v>
      </c>
      <c r="D4347" s="28" t="s">
        <v>34867</v>
      </c>
      <c r="J4347" t="s">
        <v>11848</v>
      </c>
      <c r="K4347" t="s">
        <v>11849</v>
      </c>
      <c r="L4347" s="28" t="s">
        <v>11850</v>
      </c>
      <c r="M4347" t="s">
        <v>23</v>
      </c>
      <c r="N4347"/>
      <c r="O4347"/>
      <c r="P4347"/>
      <c r="Q4347"/>
      <c r="R4347"/>
      <c r="S4347"/>
    </row>
    <row r="4348" spans="1:19" x14ac:dyDescent="0.25">
      <c r="A4348" t="s">
        <v>193</v>
      </c>
      <c r="C4348" s="27" t="s">
        <v>34749</v>
      </c>
      <c r="D4348" s="28" t="s">
        <v>34867</v>
      </c>
      <c r="J4348" t="s">
        <v>11851</v>
      </c>
      <c r="K4348" t="s">
        <v>11852</v>
      </c>
      <c r="L4348" s="28" t="s">
        <v>11853</v>
      </c>
      <c r="M4348" t="s">
        <v>23</v>
      </c>
      <c r="N4348"/>
      <c r="O4348"/>
      <c r="P4348"/>
      <c r="Q4348"/>
      <c r="R4348"/>
      <c r="S4348"/>
    </row>
    <row r="4349" spans="1:19" x14ac:dyDescent="0.25">
      <c r="A4349" t="s">
        <v>193</v>
      </c>
      <c r="C4349" s="27" t="s">
        <v>34749</v>
      </c>
      <c r="D4349" s="28" t="s">
        <v>34867</v>
      </c>
      <c r="J4349" t="s">
        <v>11854</v>
      </c>
      <c r="K4349" t="s">
        <v>11855</v>
      </c>
      <c r="L4349" s="28" t="s">
        <v>11856</v>
      </c>
      <c r="M4349" t="s">
        <v>23</v>
      </c>
      <c r="N4349"/>
      <c r="O4349"/>
      <c r="P4349"/>
      <c r="Q4349"/>
      <c r="R4349"/>
      <c r="S4349"/>
    </row>
    <row r="4350" spans="1:19" x14ac:dyDescent="0.25">
      <c r="A4350" t="s">
        <v>193</v>
      </c>
      <c r="C4350" s="27" t="s">
        <v>34749</v>
      </c>
      <c r="D4350" s="28" t="s">
        <v>34867</v>
      </c>
      <c r="J4350" t="s">
        <v>11857</v>
      </c>
      <c r="K4350" t="s">
        <v>11858</v>
      </c>
      <c r="L4350" s="28" t="s">
        <v>11859</v>
      </c>
      <c r="M4350" t="s">
        <v>23</v>
      </c>
      <c r="N4350"/>
      <c r="O4350"/>
      <c r="P4350"/>
      <c r="Q4350"/>
      <c r="R4350"/>
      <c r="S4350"/>
    </row>
    <row r="4351" spans="1:19" x14ac:dyDescent="0.25">
      <c r="A4351" t="s">
        <v>193</v>
      </c>
      <c r="C4351" s="27" t="s">
        <v>34749</v>
      </c>
      <c r="D4351" s="28" t="s">
        <v>34867</v>
      </c>
      <c r="J4351" t="s">
        <v>11860</v>
      </c>
      <c r="K4351" t="s">
        <v>11861</v>
      </c>
      <c r="L4351" s="28" t="s">
        <v>11862</v>
      </c>
      <c r="M4351" t="s">
        <v>23</v>
      </c>
      <c r="N4351"/>
      <c r="O4351"/>
      <c r="P4351"/>
      <c r="Q4351"/>
      <c r="R4351"/>
      <c r="S4351"/>
    </row>
    <row r="4352" spans="1:19" x14ac:dyDescent="0.25">
      <c r="A4352" t="s">
        <v>193</v>
      </c>
      <c r="C4352" s="27" t="s">
        <v>34749</v>
      </c>
      <c r="D4352" s="28" t="s">
        <v>34867</v>
      </c>
      <c r="J4352" t="s">
        <v>11863</v>
      </c>
      <c r="K4352" t="s">
        <v>11864</v>
      </c>
      <c r="L4352" s="28" t="s">
        <v>11865</v>
      </c>
      <c r="M4352" t="s">
        <v>23</v>
      </c>
      <c r="N4352"/>
      <c r="O4352"/>
      <c r="P4352"/>
      <c r="Q4352"/>
      <c r="R4352"/>
      <c r="S4352"/>
    </row>
    <row r="4353" spans="1:19" x14ac:dyDescent="0.25">
      <c r="A4353" t="s">
        <v>193</v>
      </c>
      <c r="C4353" s="27" t="s">
        <v>34749</v>
      </c>
      <c r="D4353" s="28" t="s">
        <v>34867</v>
      </c>
      <c r="J4353" t="s">
        <v>11866</v>
      </c>
      <c r="K4353" t="s">
        <v>11867</v>
      </c>
      <c r="L4353" s="28" t="s">
        <v>11868</v>
      </c>
      <c r="M4353" t="s">
        <v>23</v>
      </c>
      <c r="N4353"/>
      <c r="O4353"/>
      <c r="P4353"/>
      <c r="Q4353"/>
      <c r="R4353"/>
      <c r="S4353"/>
    </row>
    <row r="4354" spans="1:19" x14ac:dyDescent="0.25">
      <c r="A4354" t="s">
        <v>193</v>
      </c>
      <c r="C4354" s="27" t="s">
        <v>34749</v>
      </c>
      <c r="D4354" s="28" t="s">
        <v>34867</v>
      </c>
      <c r="J4354" t="s">
        <v>11869</v>
      </c>
      <c r="K4354" t="s">
        <v>11870</v>
      </c>
      <c r="L4354" s="28" t="s">
        <v>11871</v>
      </c>
      <c r="M4354" t="s">
        <v>23</v>
      </c>
      <c r="N4354"/>
      <c r="O4354"/>
      <c r="P4354"/>
      <c r="Q4354"/>
      <c r="R4354"/>
      <c r="S4354"/>
    </row>
    <row r="4355" spans="1:19" x14ac:dyDescent="0.25">
      <c r="A4355" t="s">
        <v>193</v>
      </c>
      <c r="C4355" s="27" t="s">
        <v>34749</v>
      </c>
      <c r="D4355" s="28" t="s">
        <v>34867</v>
      </c>
      <c r="J4355" t="s">
        <v>11872</v>
      </c>
      <c r="K4355" t="s">
        <v>11873</v>
      </c>
      <c r="L4355" s="28" t="s">
        <v>11874</v>
      </c>
      <c r="M4355" t="s">
        <v>23</v>
      </c>
      <c r="N4355"/>
      <c r="O4355"/>
      <c r="P4355"/>
      <c r="Q4355"/>
      <c r="R4355"/>
      <c r="S4355"/>
    </row>
    <row r="4356" spans="1:19" x14ac:dyDescent="0.25">
      <c r="A4356" t="s">
        <v>193</v>
      </c>
      <c r="C4356" s="27" t="s">
        <v>34749</v>
      </c>
      <c r="D4356" s="28" t="s">
        <v>34867</v>
      </c>
      <c r="J4356" t="s">
        <v>11875</v>
      </c>
      <c r="K4356" t="s">
        <v>11876</v>
      </c>
      <c r="L4356" s="28" t="s">
        <v>11877</v>
      </c>
      <c r="M4356" t="s">
        <v>23</v>
      </c>
      <c r="N4356"/>
      <c r="O4356"/>
      <c r="P4356"/>
      <c r="Q4356"/>
      <c r="R4356"/>
      <c r="S4356"/>
    </row>
    <row r="4357" spans="1:19" x14ac:dyDescent="0.25">
      <c r="A4357" t="s">
        <v>193</v>
      </c>
      <c r="C4357" s="27" t="s">
        <v>34749</v>
      </c>
      <c r="D4357" s="28" t="s">
        <v>34867</v>
      </c>
      <c r="J4357" t="s">
        <v>11878</v>
      </c>
      <c r="K4357" t="s">
        <v>11879</v>
      </c>
      <c r="L4357" s="28" t="s">
        <v>11880</v>
      </c>
      <c r="M4357" t="s">
        <v>23</v>
      </c>
      <c r="N4357"/>
      <c r="O4357"/>
      <c r="P4357"/>
      <c r="Q4357"/>
      <c r="R4357"/>
      <c r="S4357"/>
    </row>
    <row r="4358" spans="1:19" x14ac:dyDescent="0.25">
      <c r="A4358" t="s">
        <v>193</v>
      </c>
      <c r="C4358" s="27" t="s">
        <v>34749</v>
      </c>
      <c r="D4358" s="28" t="s">
        <v>34867</v>
      </c>
      <c r="J4358" t="s">
        <v>11881</v>
      </c>
      <c r="K4358" t="s">
        <v>11882</v>
      </c>
      <c r="L4358" s="28" t="s">
        <v>11883</v>
      </c>
      <c r="M4358" t="s">
        <v>23</v>
      </c>
      <c r="N4358"/>
      <c r="O4358"/>
      <c r="P4358"/>
      <c r="Q4358"/>
      <c r="R4358"/>
      <c r="S4358"/>
    </row>
    <row r="4359" spans="1:19" x14ac:dyDescent="0.25">
      <c r="A4359" t="s">
        <v>193</v>
      </c>
      <c r="C4359" s="27" t="s">
        <v>34749</v>
      </c>
      <c r="D4359" s="28" t="s">
        <v>34867</v>
      </c>
      <c r="J4359" t="s">
        <v>11884</v>
      </c>
      <c r="K4359" t="s">
        <v>11885</v>
      </c>
      <c r="L4359" s="28" t="s">
        <v>11886</v>
      </c>
      <c r="M4359" t="s">
        <v>23</v>
      </c>
      <c r="N4359"/>
      <c r="O4359"/>
      <c r="P4359"/>
      <c r="Q4359"/>
      <c r="R4359"/>
      <c r="S4359"/>
    </row>
    <row r="4360" spans="1:19" x14ac:dyDescent="0.25">
      <c r="A4360" t="s">
        <v>193</v>
      </c>
      <c r="C4360" s="27" t="s">
        <v>34749</v>
      </c>
      <c r="D4360" s="28" t="s">
        <v>34867</v>
      </c>
      <c r="J4360" t="s">
        <v>11887</v>
      </c>
      <c r="K4360" t="s">
        <v>11888</v>
      </c>
      <c r="L4360" s="28" t="s">
        <v>11889</v>
      </c>
      <c r="M4360" t="s">
        <v>23</v>
      </c>
      <c r="N4360"/>
      <c r="O4360"/>
      <c r="P4360"/>
      <c r="Q4360"/>
      <c r="R4360"/>
      <c r="S4360"/>
    </row>
    <row r="4361" spans="1:19" x14ac:dyDescent="0.25">
      <c r="A4361" t="s">
        <v>193</v>
      </c>
      <c r="C4361" s="27" t="s">
        <v>34749</v>
      </c>
      <c r="D4361" s="28" t="s">
        <v>34867</v>
      </c>
      <c r="J4361" t="s">
        <v>11890</v>
      </c>
      <c r="K4361" t="s">
        <v>11891</v>
      </c>
      <c r="L4361" s="28" t="s">
        <v>11892</v>
      </c>
      <c r="M4361" t="s">
        <v>23</v>
      </c>
      <c r="N4361"/>
      <c r="O4361"/>
      <c r="P4361"/>
      <c r="Q4361"/>
      <c r="R4361"/>
      <c r="S4361"/>
    </row>
    <row r="4362" spans="1:19" x14ac:dyDescent="0.25">
      <c r="A4362" t="s">
        <v>193</v>
      </c>
      <c r="C4362" s="27" t="s">
        <v>34749</v>
      </c>
      <c r="D4362" s="28" t="s">
        <v>34867</v>
      </c>
      <c r="J4362" t="s">
        <v>11893</v>
      </c>
      <c r="K4362" t="s">
        <v>11894</v>
      </c>
      <c r="L4362" s="28" t="s">
        <v>11895</v>
      </c>
      <c r="M4362" t="s">
        <v>23</v>
      </c>
      <c r="N4362"/>
      <c r="O4362"/>
      <c r="P4362"/>
      <c r="Q4362"/>
      <c r="R4362"/>
      <c r="S4362"/>
    </row>
    <row r="4363" spans="1:19" x14ac:dyDescent="0.25">
      <c r="A4363" t="s">
        <v>193</v>
      </c>
      <c r="C4363" s="27" t="s">
        <v>34749</v>
      </c>
      <c r="D4363" s="28" t="s">
        <v>34867</v>
      </c>
      <c r="J4363" t="s">
        <v>11896</v>
      </c>
      <c r="K4363" t="s">
        <v>11897</v>
      </c>
      <c r="L4363" s="28" t="s">
        <v>11898</v>
      </c>
      <c r="M4363" t="s">
        <v>23</v>
      </c>
      <c r="N4363"/>
      <c r="O4363"/>
      <c r="P4363"/>
      <c r="Q4363"/>
      <c r="R4363"/>
      <c r="S4363"/>
    </row>
    <row r="4364" spans="1:19" x14ac:dyDescent="0.25">
      <c r="A4364" t="s">
        <v>193</v>
      </c>
      <c r="C4364" s="27" t="s">
        <v>34749</v>
      </c>
      <c r="D4364" s="28" t="s">
        <v>34867</v>
      </c>
      <c r="J4364" t="s">
        <v>11899</v>
      </c>
      <c r="K4364" t="s">
        <v>11900</v>
      </c>
      <c r="L4364" s="28" t="s">
        <v>11901</v>
      </c>
      <c r="M4364" t="s">
        <v>23</v>
      </c>
      <c r="N4364"/>
      <c r="O4364"/>
      <c r="P4364"/>
      <c r="Q4364"/>
      <c r="R4364"/>
      <c r="S4364"/>
    </row>
    <row r="4365" spans="1:19" x14ac:dyDescent="0.25">
      <c r="A4365" t="s">
        <v>193</v>
      </c>
      <c r="C4365" s="27" t="s">
        <v>34749</v>
      </c>
      <c r="D4365" s="28" t="s">
        <v>34867</v>
      </c>
      <c r="J4365" t="s">
        <v>11902</v>
      </c>
      <c r="K4365" t="s">
        <v>11903</v>
      </c>
      <c r="L4365" s="28" t="s">
        <v>11904</v>
      </c>
      <c r="M4365" t="s">
        <v>23</v>
      </c>
      <c r="N4365"/>
      <c r="O4365"/>
      <c r="P4365"/>
      <c r="Q4365"/>
      <c r="R4365"/>
      <c r="S4365"/>
    </row>
    <row r="4366" spans="1:19" x14ac:dyDescent="0.25">
      <c r="A4366" t="s">
        <v>193</v>
      </c>
      <c r="C4366" s="27" t="s">
        <v>34749</v>
      </c>
      <c r="D4366" s="28" t="s">
        <v>34867</v>
      </c>
      <c r="J4366" t="s">
        <v>11905</v>
      </c>
      <c r="K4366" t="s">
        <v>11906</v>
      </c>
      <c r="L4366" s="28" t="s">
        <v>11907</v>
      </c>
      <c r="M4366" t="s">
        <v>23</v>
      </c>
      <c r="N4366"/>
      <c r="O4366"/>
      <c r="P4366"/>
      <c r="Q4366"/>
      <c r="R4366"/>
      <c r="S4366"/>
    </row>
    <row r="4367" spans="1:19" x14ac:dyDescent="0.25">
      <c r="A4367" t="s">
        <v>193</v>
      </c>
      <c r="C4367" s="27" t="s">
        <v>34749</v>
      </c>
      <c r="D4367" s="28" t="s">
        <v>34867</v>
      </c>
      <c r="J4367" t="s">
        <v>11908</v>
      </c>
      <c r="K4367" t="s">
        <v>11909</v>
      </c>
      <c r="L4367" s="28" t="s">
        <v>11910</v>
      </c>
      <c r="M4367" t="s">
        <v>23</v>
      </c>
      <c r="N4367"/>
      <c r="O4367"/>
      <c r="P4367"/>
      <c r="Q4367"/>
      <c r="R4367"/>
      <c r="S4367"/>
    </row>
    <row r="4368" spans="1:19" x14ac:dyDescent="0.25">
      <c r="A4368" t="s">
        <v>193</v>
      </c>
      <c r="C4368" s="27" t="s">
        <v>34749</v>
      </c>
      <c r="D4368" s="28" t="s">
        <v>34867</v>
      </c>
      <c r="J4368" t="s">
        <v>11911</v>
      </c>
      <c r="K4368" t="s">
        <v>11912</v>
      </c>
      <c r="L4368" s="28" t="s">
        <v>11913</v>
      </c>
      <c r="M4368" t="s">
        <v>23</v>
      </c>
      <c r="N4368"/>
      <c r="O4368"/>
      <c r="P4368"/>
      <c r="Q4368"/>
      <c r="R4368"/>
      <c r="S4368"/>
    </row>
    <row r="4369" spans="1:19" x14ac:dyDescent="0.25">
      <c r="A4369" t="s">
        <v>193</v>
      </c>
      <c r="C4369" s="27" t="s">
        <v>34749</v>
      </c>
      <c r="D4369" s="28" t="s">
        <v>34867</v>
      </c>
      <c r="J4369" t="s">
        <v>11914</v>
      </c>
      <c r="K4369" t="s">
        <v>11915</v>
      </c>
      <c r="L4369" s="28" t="s">
        <v>11916</v>
      </c>
      <c r="M4369" t="s">
        <v>23</v>
      </c>
      <c r="N4369"/>
      <c r="O4369"/>
      <c r="P4369"/>
      <c r="Q4369"/>
      <c r="R4369"/>
      <c r="S4369"/>
    </row>
    <row r="4370" spans="1:19" x14ac:dyDescent="0.25">
      <c r="A4370" t="s">
        <v>193</v>
      </c>
      <c r="C4370" s="27" t="s">
        <v>34749</v>
      </c>
      <c r="D4370" s="28" t="s">
        <v>34867</v>
      </c>
      <c r="J4370" t="s">
        <v>11917</v>
      </c>
      <c r="K4370" t="s">
        <v>11918</v>
      </c>
      <c r="L4370" s="28" t="s">
        <v>11919</v>
      </c>
      <c r="M4370" t="s">
        <v>23</v>
      </c>
      <c r="N4370"/>
      <c r="O4370"/>
      <c r="P4370"/>
      <c r="Q4370"/>
      <c r="R4370"/>
      <c r="S4370"/>
    </row>
    <row r="4371" spans="1:19" x14ac:dyDescent="0.25">
      <c r="A4371" t="s">
        <v>193</v>
      </c>
      <c r="C4371" s="27" t="s">
        <v>34749</v>
      </c>
      <c r="D4371" s="28" t="s">
        <v>34867</v>
      </c>
      <c r="J4371" t="s">
        <v>11920</v>
      </c>
      <c r="K4371" t="s">
        <v>11921</v>
      </c>
      <c r="L4371" s="28" t="s">
        <v>11922</v>
      </c>
      <c r="M4371" t="s">
        <v>23</v>
      </c>
      <c r="N4371"/>
      <c r="O4371"/>
      <c r="P4371"/>
      <c r="Q4371"/>
      <c r="R4371"/>
      <c r="S4371"/>
    </row>
    <row r="4372" spans="1:19" x14ac:dyDescent="0.25">
      <c r="A4372" s="27" t="s">
        <v>193</v>
      </c>
      <c r="J4372" t="s">
        <v>11923</v>
      </c>
      <c r="K4372" t="s">
        <v>11924</v>
      </c>
      <c r="M4372" t="s">
        <v>23</v>
      </c>
      <c r="N4372"/>
      <c r="O4372"/>
      <c r="P4372"/>
      <c r="Q4372"/>
      <c r="R4372"/>
      <c r="S4372"/>
    </row>
    <row r="4373" spans="1:19" x14ac:dyDescent="0.25">
      <c r="A4373" s="27" t="s">
        <v>193</v>
      </c>
      <c r="J4373" t="s">
        <v>11925</v>
      </c>
      <c r="K4373" t="s">
        <v>11926</v>
      </c>
      <c r="M4373" t="s">
        <v>23</v>
      </c>
      <c r="N4373"/>
      <c r="O4373"/>
      <c r="P4373"/>
      <c r="Q4373"/>
      <c r="R4373"/>
      <c r="S4373"/>
    </row>
    <row r="4374" spans="1:19" x14ac:dyDescent="0.25">
      <c r="A4374" s="27" t="s">
        <v>193</v>
      </c>
      <c r="J4374" t="s">
        <v>11927</v>
      </c>
      <c r="K4374" t="s">
        <v>11928</v>
      </c>
      <c r="M4374" t="s">
        <v>23</v>
      </c>
      <c r="N4374"/>
      <c r="O4374"/>
      <c r="P4374"/>
      <c r="Q4374"/>
      <c r="R4374"/>
      <c r="S4374"/>
    </row>
    <row r="4375" spans="1:19" x14ac:dyDescent="0.25">
      <c r="A4375" s="27" t="s">
        <v>193</v>
      </c>
      <c r="J4375" t="s">
        <v>11929</v>
      </c>
      <c r="K4375" t="s">
        <v>11930</v>
      </c>
      <c r="M4375" t="s">
        <v>23</v>
      </c>
      <c r="N4375"/>
      <c r="O4375"/>
      <c r="P4375"/>
      <c r="Q4375"/>
      <c r="R4375"/>
      <c r="S4375"/>
    </row>
    <row r="4376" spans="1:19" x14ac:dyDescent="0.25">
      <c r="A4376" s="27" t="s">
        <v>193</v>
      </c>
      <c r="J4376" t="s">
        <v>11931</v>
      </c>
      <c r="K4376" t="s">
        <v>11932</v>
      </c>
      <c r="M4376" t="s">
        <v>23</v>
      </c>
      <c r="N4376"/>
      <c r="O4376"/>
      <c r="P4376"/>
      <c r="Q4376"/>
      <c r="R4376"/>
      <c r="S4376"/>
    </row>
    <row r="4377" spans="1:19" x14ac:dyDescent="0.25">
      <c r="A4377" s="27" t="s">
        <v>193</v>
      </c>
      <c r="J4377" t="s">
        <v>11933</v>
      </c>
      <c r="K4377" t="s">
        <v>11934</v>
      </c>
      <c r="M4377" t="s">
        <v>23</v>
      </c>
      <c r="N4377"/>
      <c r="O4377"/>
      <c r="P4377"/>
      <c r="Q4377"/>
      <c r="R4377"/>
      <c r="S4377"/>
    </row>
    <row r="4378" spans="1:19" x14ac:dyDescent="0.25">
      <c r="A4378" t="s">
        <v>193</v>
      </c>
      <c r="C4378" s="27" t="s">
        <v>34749</v>
      </c>
      <c r="D4378" s="28" t="s">
        <v>34867</v>
      </c>
      <c r="J4378" t="s">
        <v>11935</v>
      </c>
      <c r="K4378" t="s">
        <v>11936</v>
      </c>
      <c r="L4378" s="28" t="s">
        <v>11937</v>
      </c>
      <c r="M4378" t="s">
        <v>23</v>
      </c>
      <c r="N4378"/>
      <c r="O4378"/>
      <c r="P4378"/>
      <c r="Q4378"/>
      <c r="R4378"/>
      <c r="S4378"/>
    </row>
    <row r="4379" spans="1:19" x14ac:dyDescent="0.25">
      <c r="A4379" t="s">
        <v>193</v>
      </c>
      <c r="C4379" s="27" t="s">
        <v>34749</v>
      </c>
      <c r="D4379" s="28" t="s">
        <v>34867</v>
      </c>
      <c r="J4379" t="s">
        <v>11938</v>
      </c>
      <c r="K4379" t="s">
        <v>11939</v>
      </c>
      <c r="L4379" s="28" t="s">
        <v>11940</v>
      </c>
      <c r="M4379" t="s">
        <v>23</v>
      </c>
      <c r="N4379"/>
      <c r="O4379"/>
      <c r="P4379"/>
      <c r="Q4379"/>
      <c r="R4379"/>
      <c r="S4379"/>
    </row>
    <row r="4380" spans="1:19" x14ac:dyDescent="0.25">
      <c r="A4380" t="s">
        <v>193</v>
      </c>
      <c r="C4380" s="27" t="s">
        <v>34749</v>
      </c>
      <c r="D4380" s="28" t="s">
        <v>34867</v>
      </c>
      <c r="J4380" t="s">
        <v>11941</v>
      </c>
      <c r="K4380" t="s">
        <v>11942</v>
      </c>
      <c r="L4380" s="28" t="s">
        <v>11943</v>
      </c>
      <c r="M4380" t="s">
        <v>23</v>
      </c>
      <c r="N4380"/>
      <c r="O4380"/>
      <c r="P4380"/>
      <c r="Q4380"/>
      <c r="R4380"/>
      <c r="S4380"/>
    </row>
    <row r="4381" spans="1:19" x14ac:dyDescent="0.25">
      <c r="A4381" t="s">
        <v>193</v>
      </c>
      <c r="C4381" s="27" t="s">
        <v>34749</v>
      </c>
      <c r="D4381" s="28" t="s">
        <v>34867</v>
      </c>
      <c r="J4381" t="s">
        <v>11944</v>
      </c>
      <c r="K4381" t="s">
        <v>11945</v>
      </c>
      <c r="L4381" s="28" t="s">
        <v>11946</v>
      </c>
      <c r="M4381" t="s">
        <v>23</v>
      </c>
      <c r="N4381"/>
      <c r="O4381"/>
      <c r="P4381"/>
      <c r="Q4381"/>
      <c r="R4381"/>
      <c r="S4381"/>
    </row>
    <row r="4382" spans="1:19" x14ac:dyDescent="0.25">
      <c r="A4382" t="s">
        <v>193</v>
      </c>
      <c r="C4382" s="27" t="s">
        <v>34749</v>
      </c>
      <c r="D4382" s="28" t="s">
        <v>34867</v>
      </c>
      <c r="J4382" t="s">
        <v>11947</v>
      </c>
      <c r="K4382" t="s">
        <v>11948</v>
      </c>
      <c r="L4382" s="28" t="s">
        <v>11949</v>
      </c>
      <c r="M4382" t="s">
        <v>23</v>
      </c>
      <c r="N4382"/>
      <c r="O4382"/>
      <c r="P4382"/>
      <c r="Q4382"/>
      <c r="R4382"/>
      <c r="S4382"/>
    </row>
    <row r="4383" spans="1:19" x14ac:dyDescent="0.25">
      <c r="A4383" t="s">
        <v>193</v>
      </c>
      <c r="C4383" s="27" t="s">
        <v>34749</v>
      </c>
      <c r="D4383" s="28" t="s">
        <v>34867</v>
      </c>
      <c r="J4383" t="s">
        <v>11950</v>
      </c>
      <c r="K4383" t="s">
        <v>11951</v>
      </c>
      <c r="L4383" s="28" t="s">
        <v>11952</v>
      </c>
      <c r="M4383" t="s">
        <v>23</v>
      </c>
      <c r="N4383"/>
      <c r="O4383"/>
      <c r="P4383"/>
      <c r="Q4383"/>
      <c r="R4383"/>
      <c r="S4383"/>
    </row>
    <row r="4384" spans="1:19" x14ac:dyDescent="0.25">
      <c r="A4384" t="s">
        <v>193</v>
      </c>
      <c r="C4384" s="27" t="s">
        <v>34749</v>
      </c>
      <c r="D4384" s="28" t="s">
        <v>34867</v>
      </c>
      <c r="J4384" t="s">
        <v>11953</v>
      </c>
      <c r="K4384" t="s">
        <v>11954</v>
      </c>
      <c r="L4384" s="28" t="s">
        <v>11955</v>
      </c>
      <c r="M4384" t="s">
        <v>23</v>
      </c>
      <c r="N4384"/>
      <c r="O4384"/>
      <c r="P4384"/>
      <c r="Q4384"/>
      <c r="R4384"/>
      <c r="S4384"/>
    </row>
    <row r="4385" spans="1:19" x14ac:dyDescent="0.25">
      <c r="A4385" t="s">
        <v>193</v>
      </c>
      <c r="C4385" s="27" t="s">
        <v>34749</v>
      </c>
      <c r="D4385" s="28" t="s">
        <v>34867</v>
      </c>
      <c r="J4385" t="s">
        <v>11956</v>
      </c>
      <c r="K4385" t="s">
        <v>11957</v>
      </c>
      <c r="L4385" s="28" t="s">
        <v>11958</v>
      </c>
      <c r="M4385" t="s">
        <v>23</v>
      </c>
      <c r="N4385"/>
      <c r="O4385"/>
      <c r="P4385"/>
      <c r="Q4385"/>
      <c r="R4385"/>
      <c r="S4385"/>
    </row>
    <row r="4386" spans="1:19" x14ac:dyDescent="0.25">
      <c r="A4386" t="s">
        <v>193</v>
      </c>
      <c r="C4386" s="27" t="s">
        <v>34749</v>
      </c>
      <c r="D4386" s="28" t="s">
        <v>34867</v>
      </c>
      <c r="J4386" t="s">
        <v>11959</v>
      </c>
      <c r="K4386" t="s">
        <v>11960</v>
      </c>
      <c r="L4386" s="28" t="s">
        <v>11961</v>
      </c>
      <c r="M4386" t="s">
        <v>23</v>
      </c>
      <c r="N4386"/>
      <c r="O4386"/>
      <c r="P4386"/>
      <c r="Q4386"/>
      <c r="R4386"/>
      <c r="S4386"/>
    </row>
    <row r="4387" spans="1:19" x14ac:dyDescent="0.25">
      <c r="A4387" t="s">
        <v>193</v>
      </c>
      <c r="C4387" s="27" t="s">
        <v>34749</v>
      </c>
      <c r="D4387" s="28" t="s">
        <v>34867</v>
      </c>
      <c r="J4387" t="s">
        <v>11962</v>
      </c>
      <c r="K4387" t="s">
        <v>11963</v>
      </c>
      <c r="L4387" s="28" t="s">
        <v>11964</v>
      </c>
      <c r="M4387" t="s">
        <v>23</v>
      </c>
      <c r="N4387"/>
      <c r="O4387"/>
      <c r="P4387"/>
      <c r="Q4387"/>
      <c r="R4387"/>
      <c r="S4387"/>
    </row>
    <row r="4388" spans="1:19" x14ac:dyDescent="0.25">
      <c r="A4388" t="s">
        <v>193</v>
      </c>
      <c r="C4388" s="27" t="s">
        <v>34749</v>
      </c>
      <c r="D4388" s="28" t="s">
        <v>34867</v>
      </c>
      <c r="J4388" t="s">
        <v>11965</v>
      </c>
      <c r="K4388" t="s">
        <v>11966</v>
      </c>
      <c r="L4388" s="28" t="s">
        <v>11967</v>
      </c>
      <c r="M4388" t="s">
        <v>23</v>
      </c>
      <c r="N4388"/>
      <c r="O4388"/>
      <c r="P4388"/>
      <c r="Q4388"/>
      <c r="R4388"/>
      <c r="S4388"/>
    </row>
    <row r="4389" spans="1:19" x14ac:dyDescent="0.25">
      <c r="A4389" t="s">
        <v>193</v>
      </c>
      <c r="C4389" s="27" t="s">
        <v>34749</v>
      </c>
      <c r="D4389" s="28" t="s">
        <v>34867</v>
      </c>
      <c r="J4389" t="s">
        <v>11968</v>
      </c>
      <c r="K4389" t="s">
        <v>11969</v>
      </c>
      <c r="L4389" s="28" t="s">
        <v>11970</v>
      </c>
      <c r="M4389" t="s">
        <v>23</v>
      </c>
      <c r="N4389"/>
      <c r="O4389"/>
      <c r="P4389"/>
      <c r="Q4389"/>
      <c r="R4389"/>
      <c r="S4389"/>
    </row>
    <row r="4390" spans="1:19" x14ac:dyDescent="0.25">
      <c r="A4390" t="s">
        <v>193</v>
      </c>
      <c r="C4390" s="27" t="s">
        <v>34749</v>
      </c>
      <c r="D4390" s="28" t="s">
        <v>34867</v>
      </c>
      <c r="J4390" t="s">
        <v>11971</v>
      </c>
      <c r="K4390" t="s">
        <v>11972</v>
      </c>
      <c r="L4390" s="28" t="s">
        <v>11973</v>
      </c>
      <c r="M4390" t="s">
        <v>23</v>
      </c>
      <c r="N4390"/>
      <c r="O4390"/>
      <c r="P4390"/>
      <c r="Q4390"/>
      <c r="R4390"/>
      <c r="S4390"/>
    </row>
    <row r="4391" spans="1:19" x14ac:dyDescent="0.25">
      <c r="A4391" t="s">
        <v>193</v>
      </c>
      <c r="C4391" s="27" t="s">
        <v>34749</v>
      </c>
      <c r="D4391" s="28" t="s">
        <v>34867</v>
      </c>
      <c r="J4391" t="s">
        <v>11974</v>
      </c>
      <c r="K4391" t="s">
        <v>11975</v>
      </c>
      <c r="L4391" s="28" t="s">
        <v>11976</v>
      </c>
      <c r="M4391" t="s">
        <v>23</v>
      </c>
      <c r="N4391"/>
      <c r="O4391"/>
      <c r="P4391"/>
      <c r="Q4391"/>
      <c r="R4391"/>
      <c r="S4391"/>
    </row>
    <row r="4392" spans="1:19" x14ac:dyDescent="0.25">
      <c r="A4392" t="s">
        <v>193</v>
      </c>
      <c r="C4392" s="27" t="s">
        <v>34749</v>
      </c>
      <c r="D4392" s="28" t="s">
        <v>34867</v>
      </c>
      <c r="J4392" t="s">
        <v>11977</v>
      </c>
      <c r="K4392" t="s">
        <v>11978</v>
      </c>
      <c r="L4392" s="28" t="s">
        <v>11979</v>
      </c>
      <c r="M4392" t="s">
        <v>23</v>
      </c>
      <c r="N4392"/>
      <c r="O4392"/>
      <c r="P4392"/>
      <c r="Q4392"/>
      <c r="R4392"/>
      <c r="S4392"/>
    </row>
    <row r="4393" spans="1:19" x14ac:dyDescent="0.25">
      <c r="A4393" t="s">
        <v>193</v>
      </c>
      <c r="C4393" s="27" t="s">
        <v>34749</v>
      </c>
      <c r="D4393" s="28" t="s">
        <v>34867</v>
      </c>
      <c r="J4393" t="s">
        <v>11980</v>
      </c>
      <c r="K4393" t="s">
        <v>11981</v>
      </c>
      <c r="L4393" s="28" t="s">
        <v>11982</v>
      </c>
      <c r="M4393" t="s">
        <v>23</v>
      </c>
      <c r="N4393"/>
      <c r="O4393"/>
      <c r="P4393"/>
      <c r="Q4393"/>
      <c r="R4393"/>
      <c r="S4393"/>
    </row>
    <row r="4394" spans="1:19" x14ac:dyDescent="0.25">
      <c r="A4394" t="s">
        <v>193</v>
      </c>
      <c r="C4394" s="27" t="s">
        <v>34749</v>
      </c>
      <c r="D4394" s="28" t="s">
        <v>34867</v>
      </c>
      <c r="J4394" t="s">
        <v>11983</v>
      </c>
      <c r="K4394" t="s">
        <v>11984</v>
      </c>
      <c r="L4394" s="28" t="s">
        <v>11985</v>
      </c>
      <c r="M4394" t="s">
        <v>23</v>
      </c>
      <c r="N4394"/>
      <c r="O4394"/>
      <c r="P4394"/>
      <c r="Q4394"/>
      <c r="R4394"/>
      <c r="S4394"/>
    </row>
    <row r="4395" spans="1:19" x14ac:dyDescent="0.25">
      <c r="A4395" t="s">
        <v>193</v>
      </c>
      <c r="C4395" s="27" t="s">
        <v>34749</v>
      </c>
      <c r="D4395" s="28" t="s">
        <v>34867</v>
      </c>
      <c r="J4395" t="s">
        <v>11986</v>
      </c>
      <c r="K4395" t="s">
        <v>11987</v>
      </c>
      <c r="L4395" s="28" t="s">
        <v>11988</v>
      </c>
      <c r="M4395" t="s">
        <v>23</v>
      </c>
      <c r="N4395"/>
      <c r="O4395"/>
      <c r="P4395"/>
      <c r="Q4395"/>
      <c r="R4395"/>
      <c r="S4395"/>
    </row>
    <row r="4396" spans="1:19" x14ac:dyDescent="0.25">
      <c r="A4396" t="s">
        <v>193</v>
      </c>
      <c r="C4396" s="27" t="s">
        <v>34749</v>
      </c>
      <c r="D4396" s="28" t="s">
        <v>34867</v>
      </c>
      <c r="J4396" t="s">
        <v>11989</v>
      </c>
      <c r="K4396" t="s">
        <v>11990</v>
      </c>
      <c r="L4396" s="28" t="s">
        <v>11991</v>
      </c>
      <c r="M4396" t="s">
        <v>23</v>
      </c>
      <c r="N4396"/>
      <c r="O4396"/>
      <c r="P4396"/>
      <c r="Q4396"/>
      <c r="R4396"/>
      <c r="S4396"/>
    </row>
    <row r="4397" spans="1:19" x14ac:dyDescent="0.25">
      <c r="A4397" t="s">
        <v>193</v>
      </c>
      <c r="C4397" s="27" t="s">
        <v>34749</v>
      </c>
      <c r="D4397" s="28" t="s">
        <v>34867</v>
      </c>
      <c r="J4397" t="s">
        <v>11992</v>
      </c>
      <c r="K4397" t="s">
        <v>11993</v>
      </c>
      <c r="L4397" s="28" t="s">
        <v>11994</v>
      </c>
      <c r="M4397" t="s">
        <v>23</v>
      </c>
      <c r="N4397"/>
      <c r="O4397"/>
      <c r="P4397"/>
      <c r="Q4397"/>
      <c r="R4397"/>
      <c r="S4397"/>
    </row>
    <row r="4398" spans="1:19" x14ac:dyDescent="0.25">
      <c r="A4398" t="s">
        <v>193</v>
      </c>
      <c r="C4398" s="27" t="s">
        <v>34749</v>
      </c>
      <c r="D4398" s="28" t="s">
        <v>34867</v>
      </c>
      <c r="J4398" t="s">
        <v>11995</v>
      </c>
      <c r="K4398" t="s">
        <v>11996</v>
      </c>
      <c r="L4398" s="28" t="s">
        <v>11997</v>
      </c>
      <c r="M4398" t="s">
        <v>23</v>
      </c>
      <c r="N4398"/>
      <c r="O4398"/>
      <c r="P4398"/>
      <c r="Q4398"/>
      <c r="R4398"/>
      <c r="S4398"/>
    </row>
    <row r="4399" spans="1:19" x14ac:dyDescent="0.25">
      <c r="A4399" t="s">
        <v>193</v>
      </c>
      <c r="C4399" s="27" t="s">
        <v>34749</v>
      </c>
      <c r="D4399" s="28" t="s">
        <v>34867</v>
      </c>
      <c r="J4399" t="s">
        <v>11998</v>
      </c>
      <c r="K4399" t="s">
        <v>11999</v>
      </c>
      <c r="L4399" s="28" t="s">
        <v>12000</v>
      </c>
      <c r="M4399" t="s">
        <v>23</v>
      </c>
      <c r="N4399"/>
      <c r="O4399"/>
      <c r="P4399"/>
      <c r="Q4399"/>
      <c r="R4399"/>
      <c r="S4399"/>
    </row>
    <row r="4400" spans="1:19" x14ac:dyDescent="0.25">
      <c r="A4400" t="s">
        <v>193</v>
      </c>
      <c r="C4400" s="27" t="s">
        <v>34749</v>
      </c>
      <c r="D4400" s="28" t="s">
        <v>34867</v>
      </c>
      <c r="J4400" t="s">
        <v>12001</v>
      </c>
      <c r="K4400" t="s">
        <v>12002</v>
      </c>
      <c r="L4400" s="28" t="s">
        <v>12003</v>
      </c>
      <c r="M4400" t="s">
        <v>23</v>
      </c>
      <c r="N4400"/>
      <c r="O4400"/>
      <c r="P4400"/>
      <c r="Q4400"/>
      <c r="R4400"/>
      <c r="S4400"/>
    </row>
    <row r="4401" spans="1:19" x14ac:dyDescent="0.25">
      <c r="A4401" t="s">
        <v>193</v>
      </c>
      <c r="C4401" s="27" t="s">
        <v>34749</v>
      </c>
      <c r="D4401" s="28" t="s">
        <v>34867</v>
      </c>
      <c r="J4401" t="s">
        <v>12004</v>
      </c>
      <c r="K4401" t="s">
        <v>12005</v>
      </c>
      <c r="L4401" s="28" t="s">
        <v>12006</v>
      </c>
      <c r="M4401" t="s">
        <v>23</v>
      </c>
      <c r="N4401"/>
      <c r="O4401"/>
      <c r="P4401"/>
      <c r="Q4401"/>
      <c r="R4401"/>
      <c r="S4401"/>
    </row>
    <row r="4402" spans="1:19" x14ac:dyDescent="0.25">
      <c r="A4402" t="s">
        <v>193</v>
      </c>
      <c r="C4402" s="27" t="s">
        <v>34749</v>
      </c>
      <c r="D4402" s="28" t="s">
        <v>34867</v>
      </c>
      <c r="J4402" t="s">
        <v>12007</v>
      </c>
      <c r="K4402" t="s">
        <v>12008</v>
      </c>
      <c r="L4402" s="28" t="s">
        <v>12009</v>
      </c>
      <c r="M4402" t="s">
        <v>23</v>
      </c>
      <c r="N4402"/>
      <c r="O4402"/>
      <c r="P4402"/>
      <c r="Q4402"/>
      <c r="R4402"/>
      <c r="S4402"/>
    </row>
    <row r="4403" spans="1:19" x14ac:dyDescent="0.25">
      <c r="A4403" t="s">
        <v>193</v>
      </c>
      <c r="C4403" s="27" t="s">
        <v>34749</v>
      </c>
      <c r="D4403" s="28" t="s">
        <v>34867</v>
      </c>
      <c r="J4403" t="s">
        <v>12010</v>
      </c>
      <c r="K4403" t="s">
        <v>12011</v>
      </c>
      <c r="L4403" s="28" t="s">
        <v>12012</v>
      </c>
      <c r="M4403" t="s">
        <v>23</v>
      </c>
      <c r="N4403"/>
      <c r="O4403"/>
      <c r="P4403"/>
      <c r="Q4403"/>
      <c r="R4403"/>
      <c r="S4403"/>
    </row>
    <row r="4404" spans="1:19" x14ac:dyDescent="0.25">
      <c r="A4404" t="s">
        <v>193</v>
      </c>
      <c r="C4404" s="27" t="s">
        <v>34749</v>
      </c>
      <c r="D4404" s="28" t="s">
        <v>34867</v>
      </c>
      <c r="J4404" t="s">
        <v>12013</v>
      </c>
      <c r="K4404" t="s">
        <v>12014</v>
      </c>
      <c r="L4404" s="28" t="s">
        <v>12015</v>
      </c>
      <c r="M4404" t="s">
        <v>23</v>
      </c>
      <c r="N4404"/>
      <c r="O4404"/>
      <c r="P4404"/>
      <c r="Q4404"/>
      <c r="R4404"/>
      <c r="S4404"/>
    </row>
    <row r="4405" spans="1:19" x14ac:dyDescent="0.25">
      <c r="A4405" t="s">
        <v>193</v>
      </c>
      <c r="C4405" s="27" t="s">
        <v>34749</v>
      </c>
      <c r="D4405" s="28" t="s">
        <v>34867</v>
      </c>
      <c r="J4405" t="s">
        <v>12016</v>
      </c>
      <c r="K4405" t="s">
        <v>12017</v>
      </c>
      <c r="L4405" s="28" t="s">
        <v>12018</v>
      </c>
      <c r="M4405" t="s">
        <v>23</v>
      </c>
      <c r="N4405"/>
      <c r="O4405"/>
      <c r="P4405"/>
      <c r="Q4405"/>
      <c r="R4405"/>
      <c r="S4405"/>
    </row>
    <row r="4406" spans="1:19" x14ac:dyDescent="0.25">
      <c r="A4406" t="s">
        <v>193</v>
      </c>
      <c r="C4406" s="27" t="s">
        <v>34749</v>
      </c>
      <c r="D4406" s="28" t="s">
        <v>34867</v>
      </c>
      <c r="J4406" t="s">
        <v>12019</v>
      </c>
      <c r="K4406" t="s">
        <v>12020</v>
      </c>
      <c r="L4406" s="28" t="s">
        <v>12021</v>
      </c>
      <c r="M4406" t="s">
        <v>23</v>
      </c>
      <c r="N4406"/>
      <c r="O4406"/>
      <c r="P4406"/>
      <c r="Q4406"/>
      <c r="R4406"/>
      <c r="S4406"/>
    </row>
    <row r="4407" spans="1:19" x14ac:dyDescent="0.25">
      <c r="A4407" t="s">
        <v>193</v>
      </c>
      <c r="C4407" s="27" t="s">
        <v>34749</v>
      </c>
      <c r="D4407" s="28" t="s">
        <v>34867</v>
      </c>
      <c r="J4407" t="s">
        <v>12022</v>
      </c>
      <c r="K4407" t="s">
        <v>12023</v>
      </c>
      <c r="L4407" s="28" t="s">
        <v>12024</v>
      </c>
      <c r="M4407" t="s">
        <v>23</v>
      </c>
      <c r="N4407"/>
      <c r="O4407"/>
      <c r="P4407"/>
      <c r="Q4407"/>
      <c r="R4407"/>
      <c r="S4407"/>
    </row>
    <row r="4408" spans="1:19" x14ac:dyDescent="0.25">
      <c r="A4408" t="s">
        <v>193</v>
      </c>
      <c r="C4408" s="27" t="s">
        <v>34749</v>
      </c>
      <c r="D4408" s="28" t="s">
        <v>34867</v>
      </c>
      <c r="J4408" t="s">
        <v>12025</v>
      </c>
      <c r="K4408" t="s">
        <v>12026</v>
      </c>
      <c r="L4408" s="28" t="s">
        <v>12027</v>
      </c>
      <c r="M4408" t="s">
        <v>23</v>
      </c>
      <c r="N4408"/>
      <c r="O4408"/>
      <c r="P4408"/>
      <c r="Q4408"/>
      <c r="R4408"/>
      <c r="S4408"/>
    </row>
    <row r="4409" spans="1:19" x14ac:dyDescent="0.25">
      <c r="A4409" t="s">
        <v>193</v>
      </c>
      <c r="C4409" s="27" t="s">
        <v>34749</v>
      </c>
      <c r="D4409" s="28" t="s">
        <v>34867</v>
      </c>
      <c r="J4409" t="s">
        <v>12028</v>
      </c>
      <c r="K4409" t="s">
        <v>12029</v>
      </c>
      <c r="L4409" s="28" t="s">
        <v>12030</v>
      </c>
      <c r="M4409" t="s">
        <v>23</v>
      </c>
      <c r="N4409"/>
      <c r="O4409"/>
      <c r="P4409"/>
      <c r="Q4409"/>
      <c r="R4409"/>
      <c r="S4409"/>
    </row>
    <row r="4410" spans="1:19" x14ac:dyDescent="0.25">
      <c r="A4410" t="s">
        <v>193</v>
      </c>
      <c r="C4410" s="27" t="s">
        <v>34749</v>
      </c>
      <c r="D4410" s="28" t="s">
        <v>34867</v>
      </c>
      <c r="J4410" t="s">
        <v>12031</v>
      </c>
      <c r="K4410" t="s">
        <v>12032</v>
      </c>
      <c r="L4410" s="28" t="s">
        <v>12033</v>
      </c>
      <c r="M4410" t="s">
        <v>23</v>
      </c>
      <c r="N4410"/>
      <c r="O4410"/>
      <c r="P4410"/>
      <c r="Q4410"/>
      <c r="R4410"/>
      <c r="S4410"/>
    </row>
    <row r="4411" spans="1:19" x14ac:dyDescent="0.25">
      <c r="A4411" t="s">
        <v>193</v>
      </c>
      <c r="C4411" s="27" t="s">
        <v>34749</v>
      </c>
      <c r="D4411" s="28" t="s">
        <v>34867</v>
      </c>
      <c r="J4411" t="s">
        <v>12034</v>
      </c>
      <c r="K4411" t="s">
        <v>12035</v>
      </c>
      <c r="L4411" s="28" t="s">
        <v>12036</v>
      </c>
      <c r="M4411" t="s">
        <v>23</v>
      </c>
      <c r="N4411"/>
      <c r="O4411"/>
      <c r="P4411"/>
      <c r="Q4411"/>
      <c r="R4411"/>
      <c r="S4411"/>
    </row>
    <row r="4412" spans="1:19" x14ac:dyDescent="0.25">
      <c r="A4412" t="s">
        <v>193</v>
      </c>
      <c r="C4412" s="27" t="s">
        <v>34749</v>
      </c>
      <c r="D4412" s="28" t="s">
        <v>34867</v>
      </c>
      <c r="J4412" t="s">
        <v>12037</v>
      </c>
      <c r="K4412" t="s">
        <v>12038</v>
      </c>
      <c r="L4412" s="28" t="s">
        <v>12039</v>
      </c>
      <c r="M4412" t="s">
        <v>23</v>
      </c>
      <c r="N4412"/>
      <c r="O4412"/>
      <c r="P4412"/>
      <c r="Q4412"/>
      <c r="R4412"/>
      <c r="S4412"/>
    </row>
    <row r="4413" spans="1:19" x14ac:dyDescent="0.25">
      <c r="A4413" t="s">
        <v>193</v>
      </c>
      <c r="C4413" s="27" t="s">
        <v>34749</v>
      </c>
      <c r="D4413" s="28" t="s">
        <v>34867</v>
      </c>
      <c r="J4413" t="s">
        <v>12040</v>
      </c>
      <c r="K4413" t="s">
        <v>12041</v>
      </c>
      <c r="L4413" s="28" t="s">
        <v>12042</v>
      </c>
      <c r="M4413" t="s">
        <v>23</v>
      </c>
      <c r="N4413"/>
      <c r="O4413"/>
      <c r="P4413"/>
      <c r="Q4413"/>
      <c r="R4413"/>
      <c r="S4413"/>
    </row>
    <row r="4414" spans="1:19" x14ac:dyDescent="0.25">
      <c r="A4414" t="s">
        <v>193</v>
      </c>
      <c r="C4414" s="27" t="s">
        <v>34749</v>
      </c>
      <c r="D4414" s="28" t="s">
        <v>34867</v>
      </c>
      <c r="J4414" t="s">
        <v>12043</v>
      </c>
      <c r="K4414" t="s">
        <v>12044</v>
      </c>
      <c r="L4414" s="28" t="s">
        <v>12045</v>
      </c>
      <c r="M4414" t="s">
        <v>23</v>
      </c>
      <c r="N4414"/>
      <c r="O4414"/>
      <c r="P4414"/>
      <c r="Q4414"/>
      <c r="R4414"/>
      <c r="S4414"/>
    </row>
    <row r="4415" spans="1:19" x14ac:dyDescent="0.25">
      <c r="A4415" t="s">
        <v>193</v>
      </c>
      <c r="C4415" s="27" t="s">
        <v>34749</v>
      </c>
      <c r="D4415" s="28" t="s">
        <v>34867</v>
      </c>
      <c r="J4415" t="s">
        <v>12046</v>
      </c>
      <c r="K4415" t="s">
        <v>12047</v>
      </c>
      <c r="L4415" s="28" t="s">
        <v>12048</v>
      </c>
      <c r="M4415" t="s">
        <v>23</v>
      </c>
      <c r="N4415"/>
      <c r="O4415"/>
      <c r="P4415"/>
      <c r="Q4415"/>
      <c r="R4415"/>
      <c r="S4415"/>
    </row>
    <row r="4416" spans="1:19" x14ac:dyDescent="0.25">
      <c r="A4416" t="s">
        <v>193</v>
      </c>
      <c r="C4416" s="27" t="s">
        <v>34749</v>
      </c>
      <c r="D4416" s="28" t="s">
        <v>34867</v>
      </c>
      <c r="J4416" t="s">
        <v>12049</v>
      </c>
      <c r="K4416" t="s">
        <v>12050</v>
      </c>
      <c r="L4416" s="28" t="s">
        <v>12051</v>
      </c>
      <c r="M4416" t="s">
        <v>23</v>
      </c>
      <c r="N4416"/>
      <c r="O4416"/>
      <c r="P4416"/>
      <c r="Q4416"/>
      <c r="R4416"/>
      <c r="S4416"/>
    </row>
    <row r="4417" spans="1:19" x14ac:dyDescent="0.25">
      <c r="A4417" t="s">
        <v>193</v>
      </c>
      <c r="C4417" s="27" t="s">
        <v>34749</v>
      </c>
      <c r="D4417" s="28" t="s">
        <v>34867</v>
      </c>
      <c r="J4417" t="s">
        <v>12052</v>
      </c>
      <c r="K4417" t="s">
        <v>12053</v>
      </c>
      <c r="L4417" s="28" t="s">
        <v>12054</v>
      </c>
      <c r="M4417" t="s">
        <v>23</v>
      </c>
      <c r="N4417"/>
      <c r="O4417"/>
      <c r="P4417"/>
      <c r="Q4417"/>
      <c r="R4417"/>
      <c r="S4417"/>
    </row>
    <row r="4418" spans="1:19" x14ac:dyDescent="0.25">
      <c r="A4418" t="s">
        <v>193</v>
      </c>
      <c r="C4418" s="27" t="s">
        <v>34749</v>
      </c>
      <c r="D4418" s="28" t="s">
        <v>34867</v>
      </c>
      <c r="J4418" t="s">
        <v>12055</v>
      </c>
      <c r="K4418" t="s">
        <v>12056</v>
      </c>
      <c r="L4418" s="28" t="s">
        <v>12057</v>
      </c>
      <c r="M4418" t="s">
        <v>23</v>
      </c>
      <c r="N4418"/>
      <c r="O4418"/>
      <c r="P4418"/>
      <c r="Q4418"/>
      <c r="R4418"/>
      <c r="S4418"/>
    </row>
    <row r="4419" spans="1:19" x14ac:dyDescent="0.25">
      <c r="A4419" t="s">
        <v>193</v>
      </c>
      <c r="C4419" s="27" t="s">
        <v>34749</v>
      </c>
      <c r="D4419" s="28" t="s">
        <v>34867</v>
      </c>
      <c r="J4419" t="s">
        <v>12058</v>
      </c>
      <c r="K4419" t="s">
        <v>12059</v>
      </c>
      <c r="L4419" s="28" t="s">
        <v>12060</v>
      </c>
      <c r="M4419" t="s">
        <v>23</v>
      </c>
      <c r="N4419"/>
      <c r="O4419"/>
      <c r="P4419"/>
      <c r="Q4419"/>
      <c r="R4419"/>
      <c r="S4419"/>
    </row>
    <row r="4420" spans="1:19" x14ac:dyDescent="0.25">
      <c r="A4420" t="s">
        <v>193</v>
      </c>
      <c r="C4420" s="27" t="s">
        <v>34749</v>
      </c>
      <c r="D4420" s="28" t="s">
        <v>34867</v>
      </c>
      <c r="J4420" t="s">
        <v>12061</v>
      </c>
      <c r="K4420" t="s">
        <v>12062</v>
      </c>
      <c r="L4420" s="28" t="s">
        <v>12063</v>
      </c>
      <c r="M4420" t="s">
        <v>23</v>
      </c>
      <c r="N4420"/>
      <c r="O4420"/>
      <c r="P4420"/>
      <c r="Q4420"/>
      <c r="R4420"/>
      <c r="S4420"/>
    </row>
    <row r="4421" spans="1:19" x14ac:dyDescent="0.25">
      <c r="A4421" t="s">
        <v>193</v>
      </c>
      <c r="C4421" s="27" t="s">
        <v>34749</v>
      </c>
      <c r="D4421" s="28" t="s">
        <v>34867</v>
      </c>
      <c r="J4421" t="s">
        <v>12064</v>
      </c>
      <c r="K4421" t="s">
        <v>12065</v>
      </c>
      <c r="L4421" s="28" t="s">
        <v>12066</v>
      </c>
      <c r="M4421" t="s">
        <v>23</v>
      </c>
      <c r="N4421"/>
      <c r="O4421"/>
      <c r="P4421"/>
      <c r="Q4421"/>
      <c r="R4421"/>
      <c r="S4421"/>
    </row>
    <row r="4422" spans="1:19" x14ac:dyDescent="0.25">
      <c r="A4422" t="s">
        <v>193</v>
      </c>
      <c r="C4422" s="27" t="s">
        <v>34749</v>
      </c>
      <c r="D4422" s="28" t="s">
        <v>34867</v>
      </c>
      <c r="J4422" t="s">
        <v>12067</v>
      </c>
      <c r="K4422" t="s">
        <v>12068</v>
      </c>
      <c r="L4422" s="28" t="s">
        <v>12069</v>
      </c>
      <c r="M4422" t="s">
        <v>23</v>
      </c>
      <c r="N4422"/>
      <c r="O4422"/>
      <c r="P4422"/>
      <c r="Q4422"/>
      <c r="R4422"/>
      <c r="S4422"/>
    </row>
    <row r="4423" spans="1:19" x14ac:dyDescent="0.25">
      <c r="A4423" t="s">
        <v>193</v>
      </c>
      <c r="C4423" s="27" t="s">
        <v>34749</v>
      </c>
      <c r="D4423" s="28" t="s">
        <v>34867</v>
      </c>
      <c r="J4423" t="s">
        <v>12070</v>
      </c>
      <c r="K4423" t="s">
        <v>12071</v>
      </c>
      <c r="L4423" s="28" t="s">
        <v>12072</v>
      </c>
      <c r="M4423" t="s">
        <v>23</v>
      </c>
      <c r="N4423"/>
      <c r="O4423"/>
      <c r="P4423"/>
      <c r="Q4423"/>
      <c r="R4423"/>
      <c r="S4423"/>
    </row>
    <row r="4424" spans="1:19" x14ac:dyDescent="0.25">
      <c r="A4424" t="s">
        <v>193</v>
      </c>
      <c r="C4424" s="27" t="s">
        <v>34749</v>
      </c>
      <c r="D4424" s="28" t="s">
        <v>34867</v>
      </c>
      <c r="J4424" t="s">
        <v>12073</v>
      </c>
      <c r="K4424" t="s">
        <v>12074</v>
      </c>
      <c r="L4424" s="28" t="s">
        <v>12075</v>
      </c>
      <c r="M4424" t="s">
        <v>23</v>
      </c>
      <c r="N4424"/>
      <c r="O4424"/>
      <c r="P4424"/>
      <c r="Q4424"/>
      <c r="R4424"/>
      <c r="S4424"/>
    </row>
    <row r="4425" spans="1:19" x14ac:dyDescent="0.25">
      <c r="A4425" t="s">
        <v>193</v>
      </c>
      <c r="C4425" s="27" t="s">
        <v>34749</v>
      </c>
      <c r="D4425" s="28" t="s">
        <v>34867</v>
      </c>
      <c r="J4425" t="s">
        <v>12076</v>
      </c>
      <c r="K4425" t="s">
        <v>12077</v>
      </c>
      <c r="L4425" s="28" t="s">
        <v>12078</v>
      </c>
      <c r="M4425" t="s">
        <v>23</v>
      </c>
      <c r="N4425"/>
      <c r="O4425"/>
      <c r="P4425"/>
      <c r="Q4425"/>
      <c r="R4425"/>
      <c r="S4425"/>
    </row>
    <row r="4426" spans="1:19" x14ac:dyDescent="0.25">
      <c r="A4426" t="s">
        <v>193</v>
      </c>
      <c r="C4426" s="27" t="s">
        <v>34749</v>
      </c>
      <c r="D4426" s="28" t="s">
        <v>34867</v>
      </c>
      <c r="J4426" t="s">
        <v>12079</v>
      </c>
      <c r="K4426" t="s">
        <v>12080</v>
      </c>
      <c r="L4426" s="28" t="s">
        <v>12081</v>
      </c>
      <c r="M4426" t="s">
        <v>23</v>
      </c>
      <c r="N4426"/>
      <c r="O4426"/>
      <c r="P4426"/>
      <c r="Q4426"/>
      <c r="R4426"/>
      <c r="S4426"/>
    </row>
    <row r="4427" spans="1:19" x14ac:dyDescent="0.25">
      <c r="A4427" t="s">
        <v>193</v>
      </c>
      <c r="C4427" s="27" t="s">
        <v>34749</v>
      </c>
      <c r="D4427" s="28" t="s">
        <v>34867</v>
      </c>
      <c r="J4427" t="s">
        <v>12082</v>
      </c>
      <c r="K4427" t="s">
        <v>12083</v>
      </c>
      <c r="L4427" s="28" t="s">
        <v>12084</v>
      </c>
      <c r="M4427" t="s">
        <v>23</v>
      </c>
      <c r="N4427"/>
      <c r="O4427"/>
      <c r="P4427"/>
      <c r="Q4427"/>
      <c r="R4427"/>
      <c r="S4427"/>
    </row>
    <row r="4428" spans="1:19" x14ac:dyDescent="0.25">
      <c r="A4428" t="s">
        <v>193</v>
      </c>
      <c r="C4428" s="27" t="s">
        <v>34749</v>
      </c>
      <c r="D4428" s="28" t="s">
        <v>34867</v>
      </c>
      <c r="J4428" t="s">
        <v>12085</v>
      </c>
      <c r="K4428" t="s">
        <v>12086</v>
      </c>
      <c r="L4428" s="28" t="s">
        <v>12087</v>
      </c>
      <c r="M4428" t="s">
        <v>23</v>
      </c>
      <c r="N4428"/>
      <c r="O4428"/>
      <c r="P4428"/>
      <c r="Q4428"/>
      <c r="R4428"/>
      <c r="S4428"/>
    </row>
    <row r="4429" spans="1:19" x14ac:dyDescent="0.25">
      <c r="A4429" t="s">
        <v>193</v>
      </c>
      <c r="C4429" s="27" t="s">
        <v>34749</v>
      </c>
      <c r="D4429" s="28" t="s">
        <v>34867</v>
      </c>
      <c r="J4429" t="s">
        <v>12088</v>
      </c>
      <c r="K4429" t="s">
        <v>12089</v>
      </c>
      <c r="L4429" s="28" t="s">
        <v>12090</v>
      </c>
      <c r="M4429" t="s">
        <v>23</v>
      </c>
      <c r="N4429"/>
      <c r="O4429"/>
      <c r="P4429"/>
      <c r="Q4429"/>
      <c r="R4429"/>
      <c r="S4429"/>
    </row>
    <row r="4430" spans="1:19" x14ac:dyDescent="0.25">
      <c r="A4430" t="s">
        <v>193</v>
      </c>
      <c r="C4430" s="27" t="s">
        <v>34749</v>
      </c>
      <c r="D4430" s="28" t="s">
        <v>34867</v>
      </c>
      <c r="E4430" s="3"/>
      <c r="F4430" s="3"/>
      <c r="J4430" t="s">
        <v>12091</v>
      </c>
      <c r="K4430" t="s">
        <v>12092</v>
      </c>
      <c r="L4430" s="28" t="s">
        <v>12093</v>
      </c>
      <c r="M4430" t="s">
        <v>23</v>
      </c>
      <c r="N4430"/>
      <c r="O4430"/>
      <c r="P4430"/>
      <c r="Q4430"/>
      <c r="R4430"/>
      <c r="S4430"/>
    </row>
    <row r="4431" spans="1:19" x14ac:dyDescent="0.25">
      <c r="A4431" t="s">
        <v>193</v>
      </c>
      <c r="C4431" s="27" t="s">
        <v>34749</v>
      </c>
      <c r="D4431" s="28" t="s">
        <v>34867</v>
      </c>
      <c r="J4431" t="s">
        <v>12094</v>
      </c>
      <c r="K4431" t="s">
        <v>12095</v>
      </c>
      <c r="L4431" s="28" t="s">
        <v>12096</v>
      </c>
      <c r="M4431" t="s">
        <v>23</v>
      </c>
      <c r="N4431"/>
      <c r="O4431"/>
      <c r="P4431"/>
      <c r="Q4431"/>
      <c r="R4431"/>
      <c r="S4431"/>
    </row>
    <row r="4432" spans="1:19" x14ac:dyDescent="0.25">
      <c r="A4432" t="s">
        <v>193</v>
      </c>
      <c r="C4432" s="27" t="s">
        <v>34749</v>
      </c>
      <c r="D4432" s="28" t="s">
        <v>34867</v>
      </c>
      <c r="J4432" t="s">
        <v>12097</v>
      </c>
      <c r="K4432" t="s">
        <v>12098</v>
      </c>
      <c r="L4432" s="28" t="s">
        <v>12099</v>
      </c>
      <c r="M4432" t="s">
        <v>23</v>
      </c>
      <c r="N4432"/>
      <c r="O4432"/>
      <c r="P4432"/>
      <c r="Q4432"/>
      <c r="R4432"/>
      <c r="S4432"/>
    </row>
    <row r="4433" spans="1:19" x14ac:dyDescent="0.25">
      <c r="A4433" t="s">
        <v>193</v>
      </c>
      <c r="C4433" s="27" t="s">
        <v>34749</v>
      </c>
      <c r="D4433" s="28" t="s">
        <v>34867</v>
      </c>
      <c r="J4433" t="s">
        <v>12100</v>
      </c>
      <c r="K4433" t="s">
        <v>12101</v>
      </c>
      <c r="L4433" s="28" t="s">
        <v>12102</v>
      </c>
      <c r="M4433" t="s">
        <v>23</v>
      </c>
      <c r="N4433"/>
      <c r="O4433"/>
      <c r="P4433"/>
      <c r="Q4433"/>
      <c r="R4433"/>
      <c r="S4433"/>
    </row>
    <row r="4434" spans="1:19" x14ac:dyDescent="0.25">
      <c r="A4434" t="s">
        <v>193</v>
      </c>
      <c r="C4434" s="27" t="s">
        <v>34749</v>
      </c>
      <c r="D4434" s="28" t="s">
        <v>34867</v>
      </c>
      <c r="J4434" t="s">
        <v>12103</v>
      </c>
      <c r="K4434" t="s">
        <v>12104</v>
      </c>
      <c r="L4434" s="28" t="s">
        <v>12105</v>
      </c>
      <c r="M4434" t="s">
        <v>23</v>
      </c>
      <c r="N4434"/>
      <c r="O4434"/>
      <c r="P4434"/>
      <c r="Q4434"/>
      <c r="R4434"/>
      <c r="S4434"/>
    </row>
    <row r="4435" spans="1:19" x14ac:dyDescent="0.25">
      <c r="A4435" t="s">
        <v>193</v>
      </c>
      <c r="C4435" s="27" t="s">
        <v>34749</v>
      </c>
      <c r="D4435" s="28" t="s">
        <v>34867</v>
      </c>
      <c r="J4435" t="s">
        <v>12106</v>
      </c>
      <c r="K4435" t="s">
        <v>12107</v>
      </c>
      <c r="L4435" s="28" t="s">
        <v>12108</v>
      </c>
      <c r="M4435" t="s">
        <v>23</v>
      </c>
      <c r="N4435"/>
      <c r="O4435"/>
      <c r="P4435"/>
      <c r="Q4435"/>
      <c r="R4435"/>
      <c r="S4435"/>
    </row>
    <row r="4436" spans="1:19" x14ac:dyDescent="0.25">
      <c r="A4436" s="27" t="s">
        <v>193</v>
      </c>
      <c r="C4436" s="27" t="s">
        <v>34749</v>
      </c>
      <c r="D4436" s="28" t="s">
        <v>34867</v>
      </c>
      <c r="J4436" t="s">
        <v>12109</v>
      </c>
      <c r="K4436" t="s">
        <v>12110</v>
      </c>
      <c r="M4436" t="s">
        <v>23</v>
      </c>
      <c r="N4436"/>
      <c r="O4436"/>
      <c r="P4436"/>
      <c r="Q4436"/>
      <c r="R4436"/>
      <c r="S4436"/>
    </row>
    <row r="4437" spans="1:19" x14ac:dyDescent="0.25">
      <c r="A4437" t="s">
        <v>193</v>
      </c>
      <c r="C4437" s="27" t="s">
        <v>34749</v>
      </c>
      <c r="D4437" s="28" t="s">
        <v>34867</v>
      </c>
      <c r="J4437" t="s">
        <v>12111</v>
      </c>
      <c r="K4437" t="s">
        <v>12112</v>
      </c>
      <c r="L4437" s="28" t="s">
        <v>12113</v>
      </c>
      <c r="M4437" t="s">
        <v>23</v>
      </c>
      <c r="N4437"/>
      <c r="O4437"/>
      <c r="P4437"/>
      <c r="Q4437"/>
      <c r="R4437"/>
      <c r="S4437"/>
    </row>
    <row r="4438" spans="1:19" x14ac:dyDescent="0.25">
      <c r="A4438" t="s">
        <v>193</v>
      </c>
      <c r="C4438" s="27" t="s">
        <v>34749</v>
      </c>
      <c r="D4438" s="28" t="s">
        <v>34867</v>
      </c>
      <c r="J4438" t="s">
        <v>12114</v>
      </c>
      <c r="K4438" t="s">
        <v>12115</v>
      </c>
      <c r="L4438" s="28" t="s">
        <v>12116</v>
      </c>
      <c r="M4438" t="s">
        <v>23</v>
      </c>
      <c r="N4438"/>
      <c r="O4438"/>
      <c r="P4438"/>
      <c r="Q4438"/>
      <c r="R4438"/>
      <c r="S4438"/>
    </row>
    <row r="4439" spans="1:19" x14ac:dyDescent="0.25">
      <c r="A4439" t="s">
        <v>193</v>
      </c>
      <c r="C4439" s="27" t="s">
        <v>34749</v>
      </c>
      <c r="D4439" s="28" t="s">
        <v>34867</v>
      </c>
      <c r="J4439" t="s">
        <v>12117</v>
      </c>
      <c r="K4439" t="s">
        <v>12118</v>
      </c>
      <c r="L4439" s="28" t="s">
        <v>12119</v>
      </c>
      <c r="M4439" t="s">
        <v>23</v>
      </c>
      <c r="N4439"/>
      <c r="O4439"/>
      <c r="P4439"/>
      <c r="Q4439"/>
      <c r="R4439"/>
      <c r="S4439"/>
    </row>
    <row r="4440" spans="1:19" x14ac:dyDescent="0.25">
      <c r="A4440" t="s">
        <v>193</v>
      </c>
      <c r="C4440" s="27" t="s">
        <v>34749</v>
      </c>
      <c r="D4440" s="28" t="s">
        <v>34867</v>
      </c>
      <c r="J4440" t="s">
        <v>12120</v>
      </c>
      <c r="K4440" t="s">
        <v>12121</v>
      </c>
      <c r="L4440" s="28" t="s">
        <v>12122</v>
      </c>
      <c r="M4440" t="s">
        <v>23</v>
      </c>
      <c r="N4440"/>
      <c r="O4440"/>
      <c r="P4440"/>
      <c r="Q4440"/>
      <c r="R4440"/>
      <c r="S4440"/>
    </row>
    <row r="4441" spans="1:19" x14ac:dyDescent="0.25">
      <c r="A4441" t="s">
        <v>193</v>
      </c>
      <c r="C4441" s="27" t="s">
        <v>34749</v>
      </c>
      <c r="D4441" s="28" t="s">
        <v>34867</v>
      </c>
      <c r="J4441" t="s">
        <v>12123</v>
      </c>
      <c r="K4441" t="s">
        <v>12124</v>
      </c>
      <c r="L4441" s="28" t="s">
        <v>12125</v>
      </c>
      <c r="M4441" t="s">
        <v>23</v>
      </c>
      <c r="N4441"/>
      <c r="O4441"/>
      <c r="P4441"/>
      <c r="Q4441"/>
      <c r="R4441"/>
      <c r="S4441"/>
    </row>
    <row r="4442" spans="1:19" x14ac:dyDescent="0.25">
      <c r="A4442" t="s">
        <v>193</v>
      </c>
      <c r="C4442" s="27" t="s">
        <v>34749</v>
      </c>
      <c r="D4442" s="28" t="s">
        <v>34867</v>
      </c>
      <c r="J4442" t="s">
        <v>12126</v>
      </c>
      <c r="K4442" t="s">
        <v>12127</v>
      </c>
      <c r="L4442" s="28" t="s">
        <v>12128</v>
      </c>
      <c r="M4442" t="s">
        <v>23</v>
      </c>
      <c r="N4442"/>
      <c r="O4442"/>
      <c r="P4442"/>
      <c r="Q4442"/>
      <c r="R4442"/>
      <c r="S4442"/>
    </row>
    <row r="4443" spans="1:19" x14ac:dyDescent="0.25">
      <c r="A4443" t="s">
        <v>193</v>
      </c>
      <c r="C4443" s="27" t="s">
        <v>34749</v>
      </c>
      <c r="D4443" s="28" t="s">
        <v>34867</v>
      </c>
      <c r="J4443" t="s">
        <v>12129</v>
      </c>
      <c r="K4443" t="s">
        <v>12130</v>
      </c>
      <c r="L4443" s="28" t="s">
        <v>12131</v>
      </c>
      <c r="M4443" t="s">
        <v>23</v>
      </c>
      <c r="N4443"/>
      <c r="O4443"/>
      <c r="P4443"/>
      <c r="Q4443"/>
      <c r="R4443"/>
      <c r="S4443"/>
    </row>
    <row r="4444" spans="1:19" x14ac:dyDescent="0.25">
      <c r="A4444" t="s">
        <v>193</v>
      </c>
      <c r="C4444" s="27" t="s">
        <v>34749</v>
      </c>
      <c r="D4444" s="28" t="s">
        <v>34867</v>
      </c>
      <c r="J4444" t="s">
        <v>12132</v>
      </c>
      <c r="K4444" t="s">
        <v>12133</v>
      </c>
      <c r="L4444" s="28" t="s">
        <v>12134</v>
      </c>
      <c r="M4444" t="s">
        <v>23</v>
      </c>
      <c r="N4444"/>
      <c r="O4444"/>
      <c r="P4444"/>
      <c r="Q4444"/>
      <c r="R4444"/>
      <c r="S4444"/>
    </row>
    <row r="4445" spans="1:19" x14ac:dyDescent="0.25">
      <c r="A4445" t="s">
        <v>193</v>
      </c>
      <c r="C4445" s="27" t="s">
        <v>34749</v>
      </c>
      <c r="D4445" s="28" t="s">
        <v>34867</v>
      </c>
      <c r="J4445" t="s">
        <v>12135</v>
      </c>
      <c r="K4445" t="s">
        <v>12136</v>
      </c>
      <c r="L4445" s="28" t="s">
        <v>12137</v>
      </c>
      <c r="M4445" t="s">
        <v>23</v>
      </c>
      <c r="N4445"/>
      <c r="O4445"/>
      <c r="P4445"/>
      <c r="Q4445"/>
      <c r="R4445"/>
      <c r="S4445"/>
    </row>
    <row r="4446" spans="1:19" x14ac:dyDescent="0.25">
      <c r="A4446" t="s">
        <v>193</v>
      </c>
      <c r="C4446" s="27" t="s">
        <v>34749</v>
      </c>
      <c r="D4446" s="28" t="s">
        <v>34867</v>
      </c>
      <c r="J4446" t="s">
        <v>12138</v>
      </c>
      <c r="K4446" t="s">
        <v>12139</v>
      </c>
      <c r="L4446" s="28" t="s">
        <v>12140</v>
      </c>
      <c r="M4446" t="s">
        <v>23</v>
      </c>
      <c r="N4446"/>
      <c r="O4446"/>
      <c r="P4446"/>
      <c r="Q4446"/>
      <c r="R4446"/>
      <c r="S4446"/>
    </row>
    <row r="4447" spans="1:19" x14ac:dyDescent="0.25">
      <c r="A4447" t="s">
        <v>193</v>
      </c>
      <c r="C4447" s="27" t="s">
        <v>34749</v>
      </c>
      <c r="D4447" s="28" t="s">
        <v>34867</v>
      </c>
      <c r="J4447" t="s">
        <v>12141</v>
      </c>
      <c r="K4447" t="s">
        <v>12142</v>
      </c>
      <c r="L4447" s="28" t="s">
        <v>12143</v>
      </c>
      <c r="M4447" t="s">
        <v>23</v>
      </c>
      <c r="N4447"/>
      <c r="O4447"/>
      <c r="P4447"/>
      <c r="Q4447"/>
      <c r="R4447"/>
      <c r="S4447"/>
    </row>
    <row r="4448" spans="1:19" x14ac:dyDescent="0.25">
      <c r="A4448" t="s">
        <v>193</v>
      </c>
      <c r="C4448" s="27" t="s">
        <v>34749</v>
      </c>
      <c r="D4448" s="28" t="s">
        <v>34867</v>
      </c>
      <c r="J4448" t="s">
        <v>12144</v>
      </c>
      <c r="K4448" t="s">
        <v>12145</v>
      </c>
      <c r="L4448" s="28" t="s">
        <v>12146</v>
      </c>
      <c r="M4448" t="s">
        <v>23</v>
      </c>
      <c r="N4448"/>
      <c r="O4448"/>
      <c r="P4448"/>
      <c r="Q4448"/>
      <c r="R4448"/>
      <c r="S4448"/>
    </row>
    <row r="4449" spans="1:19" x14ac:dyDescent="0.25">
      <c r="A4449" t="s">
        <v>193</v>
      </c>
      <c r="C4449" s="27" t="s">
        <v>34749</v>
      </c>
      <c r="D4449" s="28" t="s">
        <v>34867</v>
      </c>
      <c r="J4449" t="s">
        <v>12147</v>
      </c>
      <c r="K4449" t="s">
        <v>12148</v>
      </c>
      <c r="L4449" s="28" t="s">
        <v>12149</v>
      </c>
      <c r="M4449" t="s">
        <v>23</v>
      </c>
      <c r="N4449"/>
      <c r="O4449"/>
      <c r="P4449"/>
      <c r="Q4449"/>
      <c r="R4449"/>
      <c r="S4449"/>
    </row>
    <row r="4450" spans="1:19" x14ac:dyDescent="0.25">
      <c r="A4450" t="s">
        <v>193</v>
      </c>
      <c r="C4450" s="27" t="s">
        <v>34749</v>
      </c>
      <c r="D4450" s="28" t="s">
        <v>34867</v>
      </c>
      <c r="J4450" t="s">
        <v>12150</v>
      </c>
      <c r="K4450" t="s">
        <v>12151</v>
      </c>
      <c r="L4450" s="28" t="s">
        <v>12152</v>
      </c>
      <c r="M4450" t="s">
        <v>23</v>
      </c>
      <c r="N4450"/>
      <c r="O4450"/>
      <c r="P4450"/>
      <c r="Q4450"/>
      <c r="R4450"/>
      <c r="S4450"/>
    </row>
    <row r="4451" spans="1:19" x14ac:dyDescent="0.25">
      <c r="A4451" t="s">
        <v>193</v>
      </c>
      <c r="C4451" s="27" t="s">
        <v>34749</v>
      </c>
      <c r="D4451" s="28" t="s">
        <v>34867</v>
      </c>
      <c r="J4451" t="s">
        <v>12153</v>
      </c>
      <c r="K4451" t="s">
        <v>12154</v>
      </c>
      <c r="L4451" s="28" t="s">
        <v>12155</v>
      </c>
      <c r="M4451" t="s">
        <v>23</v>
      </c>
      <c r="N4451"/>
      <c r="O4451"/>
      <c r="P4451"/>
      <c r="Q4451"/>
      <c r="R4451"/>
      <c r="S4451"/>
    </row>
    <row r="4452" spans="1:19" x14ac:dyDescent="0.25">
      <c r="A4452" t="s">
        <v>193</v>
      </c>
      <c r="C4452" s="27" t="s">
        <v>34749</v>
      </c>
      <c r="D4452" s="28" t="s">
        <v>34867</v>
      </c>
      <c r="J4452" t="s">
        <v>12156</v>
      </c>
      <c r="K4452" t="s">
        <v>12157</v>
      </c>
      <c r="L4452" s="28" t="s">
        <v>12158</v>
      </c>
      <c r="M4452" t="s">
        <v>23</v>
      </c>
      <c r="N4452"/>
      <c r="O4452"/>
      <c r="P4452"/>
      <c r="Q4452"/>
      <c r="R4452"/>
      <c r="S4452"/>
    </row>
    <row r="4453" spans="1:19" x14ac:dyDescent="0.25">
      <c r="A4453" t="s">
        <v>193</v>
      </c>
      <c r="C4453" s="27" t="s">
        <v>34749</v>
      </c>
      <c r="D4453" s="28" t="s">
        <v>34867</v>
      </c>
      <c r="J4453" t="s">
        <v>12159</v>
      </c>
      <c r="K4453" t="s">
        <v>12160</v>
      </c>
      <c r="L4453" s="28" t="s">
        <v>12161</v>
      </c>
      <c r="M4453" t="s">
        <v>23</v>
      </c>
      <c r="N4453"/>
      <c r="O4453"/>
      <c r="P4453"/>
      <c r="Q4453"/>
      <c r="R4453"/>
      <c r="S4453"/>
    </row>
    <row r="4454" spans="1:19" x14ac:dyDescent="0.25">
      <c r="A4454" t="s">
        <v>193</v>
      </c>
      <c r="C4454" s="27" t="s">
        <v>34749</v>
      </c>
      <c r="D4454" s="28" t="s">
        <v>34867</v>
      </c>
      <c r="J4454" t="s">
        <v>12162</v>
      </c>
      <c r="K4454" t="s">
        <v>12163</v>
      </c>
      <c r="L4454" s="28" t="s">
        <v>12164</v>
      </c>
      <c r="M4454" t="s">
        <v>23</v>
      </c>
      <c r="N4454"/>
      <c r="O4454"/>
      <c r="P4454"/>
      <c r="Q4454"/>
      <c r="R4454"/>
      <c r="S4454"/>
    </row>
    <row r="4455" spans="1:19" x14ac:dyDescent="0.25">
      <c r="A4455" t="s">
        <v>193</v>
      </c>
      <c r="C4455" s="27" t="s">
        <v>34749</v>
      </c>
      <c r="D4455" s="28" t="s">
        <v>34867</v>
      </c>
      <c r="J4455" t="s">
        <v>12165</v>
      </c>
      <c r="K4455" t="s">
        <v>12166</v>
      </c>
      <c r="L4455" s="28" t="s">
        <v>12167</v>
      </c>
      <c r="M4455" t="s">
        <v>23</v>
      </c>
      <c r="N4455"/>
      <c r="O4455"/>
      <c r="P4455"/>
      <c r="Q4455"/>
      <c r="R4455"/>
      <c r="S4455"/>
    </row>
    <row r="4456" spans="1:19" x14ac:dyDescent="0.25">
      <c r="A4456" t="s">
        <v>193</v>
      </c>
      <c r="C4456" s="27" t="s">
        <v>34749</v>
      </c>
      <c r="D4456" s="28" t="s">
        <v>34867</v>
      </c>
      <c r="J4456" t="s">
        <v>12168</v>
      </c>
      <c r="K4456" t="s">
        <v>12169</v>
      </c>
      <c r="L4456" s="28" t="s">
        <v>12170</v>
      </c>
      <c r="M4456" t="s">
        <v>23</v>
      </c>
      <c r="N4456"/>
      <c r="O4456"/>
      <c r="P4456"/>
      <c r="Q4456"/>
      <c r="R4456"/>
      <c r="S4456"/>
    </row>
    <row r="4457" spans="1:19" x14ac:dyDescent="0.25">
      <c r="A4457" t="s">
        <v>193</v>
      </c>
      <c r="C4457" s="27" t="s">
        <v>34749</v>
      </c>
      <c r="D4457" s="28" t="s">
        <v>34867</v>
      </c>
      <c r="J4457" t="s">
        <v>12171</v>
      </c>
      <c r="K4457" t="s">
        <v>12172</v>
      </c>
      <c r="L4457" s="28" t="s">
        <v>12173</v>
      </c>
      <c r="M4457" t="s">
        <v>23</v>
      </c>
      <c r="N4457"/>
      <c r="O4457"/>
      <c r="P4457"/>
      <c r="Q4457"/>
      <c r="R4457"/>
      <c r="S4457"/>
    </row>
    <row r="4458" spans="1:19" x14ac:dyDescent="0.25">
      <c r="A4458" t="s">
        <v>193</v>
      </c>
      <c r="C4458" s="27" t="s">
        <v>34749</v>
      </c>
      <c r="D4458" s="28" t="s">
        <v>34867</v>
      </c>
      <c r="J4458" t="s">
        <v>12174</v>
      </c>
      <c r="K4458" t="s">
        <v>12175</v>
      </c>
      <c r="L4458" s="28" t="s">
        <v>12176</v>
      </c>
      <c r="M4458" t="s">
        <v>23</v>
      </c>
      <c r="N4458"/>
      <c r="O4458"/>
      <c r="P4458"/>
      <c r="Q4458"/>
      <c r="R4458"/>
      <c r="S4458"/>
    </row>
    <row r="4459" spans="1:19" x14ac:dyDescent="0.25">
      <c r="A4459" t="s">
        <v>193</v>
      </c>
      <c r="C4459" s="27" t="s">
        <v>34749</v>
      </c>
      <c r="D4459" s="28" t="s">
        <v>34867</v>
      </c>
      <c r="I4459" t="str">
        <f>CONCATENATE(LEFT(K4459,SEARCH(" (",K4459))," | ", RIGHT(LEFT(K4459,LEN(K4459)-1),LEN(K4459)-2-FIND(" (",K4459)))</f>
        <v>tremoliet  | grijze asbest</v>
      </c>
      <c r="J4459" t="s">
        <v>12177</v>
      </c>
      <c r="K4459" t="s">
        <v>12178</v>
      </c>
      <c r="L4459" s="28" t="s">
        <v>12179</v>
      </c>
      <c r="M4459" t="s">
        <v>23</v>
      </c>
      <c r="N4459"/>
      <c r="O4459"/>
      <c r="P4459"/>
      <c r="Q4459"/>
      <c r="R4459"/>
      <c r="S4459"/>
    </row>
    <row r="4460" spans="1:19" x14ac:dyDescent="0.25">
      <c r="A4460" t="s">
        <v>193</v>
      </c>
      <c r="C4460" s="27" t="s">
        <v>34749</v>
      </c>
      <c r="D4460" s="28" t="s">
        <v>34867</v>
      </c>
      <c r="J4460" t="s">
        <v>12180</v>
      </c>
      <c r="K4460" t="s">
        <v>12181</v>
      </c>
      <c r="L4460" s="28" t="s">
        <v>12182</v>
      </c>
      <c r="M4460" t="s">
        <v>23</v>
      </c>
      <c r="N4460"/>
      <c r="O4460"/>
      <c r="P4460"/>
      <c r="Q4460"/>
      <c r="R4460"/>
      <c r="S4460"/>
    </row>
    <row r="4461" spans="1:19" x14ac:dyDescent="0.25">
      <c r="A4461" t="s">
        <v>193</v>
      </c>
      <c r="C4461" s="27" t="s">
        <v>34749</v>
      </c>
      <c r="D4461" s="28" t="s">
        <v>34867</v>
      </c>
      <c r="J4461" t="s">
        <v>12183</v>
      </c>
      <c r="K4461" t="s">
        <v>12184</v>
      </c>
      <c r="L4461" s="28" t="s">
        <v>12185</v>
      </c>
      <c r="M4461" t="s">
        <v>23</v>
      </c>
      <c r="N4461"/>
      <c r="O4461"/>
      <c r="P4461"/>
      <c r="Q4461"/>
      <c r="R4461"/>
      <c r="S4461"/>
    </row>
    <row r="4462" spans="1:19" x14ac:dyDescent="0.25">
      <c r="A4462" t="s">
        <v>193</v>
      </c>
      <c r="C4462" s="27" t="s">
        <v>34749</v>
      </c>
      <c r="D4462" s="28" t="s">
        <v>34867</v>
      </c>
      <c r="J4462" t="s">
        <v>12186</v>
      </c>
      <c r="K4462" t="s">
        <v>12187</v>
      </c>
      <c r="L4462" s="28" t="s">
        <v>12188</v>
      </c>
      <c r="M4462" t="s">
        <v>23</v>
      </c>
      <c r="N4462"/>
      <c r="O4462"/>
      <c r="P4462"/>
      <c r="Q4462"/>
      <c r="R4462"/>
      <c r="S4462"/>
    </row>
    <row r="4463" spans="1:19" x14ac:dyDescent="0.25">
      <c r="A4463" t="s">
        <v>193</v>
      </c>
      <c r="C4463" s="27" t="s">
        <v>34749</v>
      </c>
      <c r="D4463" s="28" t="s">
        <v>34867</v>
      </c>
      <c r="J4463" t="s">
        <v>12189</v>
      </c>
      <c r="K4463" t="s">
        <v>12190</v>
      </c>
      <c r="L4463" s="28" t="s">
        <v>12191</v>
      </c>
      <c r="M4463" t="s">
        <v>23</v>
      </c>
      <c r="N4463"/>
      <c r="O4463"/>
      <c r="P4463"/>
      <c r="Q4463"/>
      <c r="R4463"/>
      <c r="S4463"/>
    </row>
    <row r="4464" spans="1:19" x14ac:dyDescent="0.25">
      <c r="A4464" t="s">
        <v>193</v>
      </c>
      <c r="C4464" s="27" t="s">
        <v>34749</v>
      </c>
      <c r="D4464" s="28" t="s">
        <v>34867</v>
      </c>
      <c r="J4464" t="s">
        <v>12192</v>
      </c>
      <c r="K4464" t="s">
        <v>12193</v>
      </c>
      <c r="L4464" s="28" t="s">
        <v>12194</v>
      </c>
      <c r="M4464" t="s">
        <v>23</v>
      </c>
      <c r="N4464"/>
      <c r="O4464"/>
      <c r="P4464"/>
      <c r="Q4464"/>
      <c r="R4464"/>
      <c r="S4464"/>
    </row>
    <row r="4465" spans="1:19" x14ac:dyDescent="0.25">
      <c r="A4465" t="s">
        <v>193</v>
      </c>
      <c r="C4465" s="27" t="s">
        <v>34749</v>
      </c>
      <c r="D4465" s="28" t="s">
        <v>34867</v>
      </c>
      <c r="J4465" t="s">
        <v>12195</v>
      </c>
      <c r="K4465" t="s">
        <v>12196</v>
      </c>
      <c r="L4465" s="28" t="s">
        <v>12197</v>
      </c>
      <c r="M4465" t="s">
        <v>23</v>
      </c>
      <c r="N4465"/>
      <c r="O4465"/>
      <c r="P4465"/>
      <c r="Q4465"/>
      <c r="R4465"/>
      <c r="S4465"/>
    </row>
    <row r="4466" spans="1:19" x14ac:dyDescent="0.25">
      <c r="A4466" t="s">
        <v>193</v>
      </c>
      <c r="C4466" s="27" t="s">
        <v>34749</v>
      </c>
      <c r="D4466" s="28" t="s">
        <v>34867</v>
      </c>
      <c r="J4466" t="s">
        <v>12198</v>
      </c>
      <c r="K4466" t="s">
        <v>12199</v>
      </c>
      <c r="L4466" s="28" t="s">
        <v>12200</v>
      </c>
      <c r="M4466" t="s">
        <v>23</v>
      </c>
      <c r="N4466"/>
      <c r="O4466"/>
      <c r="P4466"/>
      <c r="Q4466"/>
      <c r="R4466"/>
      <c r="S4466"/>
    </row>
    <row r="4467" spans="1:19" x14ac:dyDescent="0.25">
      <c r="A4467" t="s">
        <v>193</v>
      </c>
      <c r="C4467" s="27" t="s">
        <v>34749</v>
      </c>
      <c r="D4467" s="28" t="s">
        <v>34867</v>
      </c>
      <c r="J4467" t="s">
        <v>12201</v>
      </c>
      <c r="K4467" t="s">
        <v>12202</v>
      </c>
      <c r="L4467" s="28" t="s">
        <v>12203</v>
      </c>
      <c r="M4467" t="s">
        <v>23</v>
      </c>
      <c r="N4467"/>
      <c r="O4467"/>
      <c r="P4467"/>
      <c r="Q4467"/>
      <c r="R4467"/>
      <c r="S4467"/>
    </row>
    <row r="4468" spans="1:19" x14ac:dyDescent="0.25">
      <c r="A4468" t="s">
        <v>193</v>
      </c>
      <c r="C4468" s="27" t="s">
        <v>34749</v>
      </c>
      <c r="D4468" s="28" t="s">
        <v>34867</v>
      </c>
      <c r="J4468" t="s">
        <v>12204</v>
      </c>
      <c r="K4468" t="s">
        <v>12205</v>
      </c>
      <c r="L4468" s="28" t="s">
        <v>12206</v>
      </c>
      <c r="M4468" t="s">
        <v>23</v>
      </c>
      <c r="N4468"/>
      <c r="O4468"/>
      <c r="P4468"/>
      <c r="Q4468"/>
      <c r="R4468"/>
      <c r="S4468"/>
    </row>
    <row r="4469" spans="1:19" x14ac:dyDescent="0.25">
      <c r="A4469" t="s">
        <v>193</v>
      </c>
      <c r="C4469" s="27" t="s">
        <v>34749</v>
      </c>
      <c r="D4469" s="28" t="s">
        <v>34867</v>
      </c>
      <c r="J4469" t="s">
        <v>12207</v>
      </c>
      <c r="K4469" t="s">
        <v>12208</v>
      </c>
      <c r="L4469" s="28" t="s">
        <v>12209</v>
      </c>
      <c r="M4469" t="s">
        <v>23</v>
      </c>
      <c r="N4469"/>
      <c r="O4469"/>
      <c r="P4469"/>
      <c r="Q4469"/>
      <c r="R4469"/>
      <c r="S4469"/>
    </row>
    <row r="4470" spans="1:19" x14ac:dyDescent="0.25">
      <c r="A4470" t="s">
        <v>193</v>
      </c>
      <c r="C4470" s="27" t="s">
        <v>34749</v>
      </c>
      <c r="D4470" s="28" t="s">
        <v>34867</v>
      </c>
      <c r="J4470" t="s">
        <v>12210</v>
      </c>
      <c r="K4470" t="s">
        <v>12211</v>
      </c>
      <c r="L4470" s="28" t="s">
        <v>12212</v>
      </c>
      <c r="M4470" t="s">
        <v>23</v>
      </c>
      <c r="N4470"/>
      <c r="O4470"/>
      <c r="P4470"/>
      <c r="Q4470"/>
      <c r="R4470"/>
      <c r="S4470"/>
    </row>
    <row r="4471" spans="1:19" x14ac:dyDescent="0.25">
      <c r="A4471" t="s">
        <v>193</v>
      </c>
      <c r="C4471" s="27" t="s">
        <v>34749</v>
      </c>
      <c r="D4471" s="28" t="s">
        <v>34867</v>
      </c>
      <c r="J4471" t="s">
        <v>12213</v>
      </c>
      <c r="K4471" t="s">
        <v>12214</v>
      </c>
      <c r="L4471" s="28" t="s">
        <v>12215</v>
      </c>
      <c r="M4471" t="s">
        <v>23</v>
      </c>
      <c r="N4471"/>
      <c r="O4471"/>
      <c r="P4471"/>
      <c r="Q4471"/>
      <c r="R4471"/>
      <c r="S4471"/>
    </row>
    <row r="4472" spans="1:19" x14ac:dyDescent="0.25">
      <c r="A4472" t="s">
        <v>193</v>
      </c>
      <c r="C4472" s="27" t="s">
        <v>34749</v>
      </c>
      <c r="D4472" s="28" t="s">
        <v>34867</v>
      </c>
      <c r="J4472" t="s">
        <v>12216</v>
      </c>
      <c r="K4472" t="s">
        <v>12217</v>
      </c>
      <c r="L4472" s="28" t="s">
        <v>12218</v>
      </c>
      <c r="M4472" t="s">
        <v>23</v>
      </c>
      <c r="N4472"/>
      <c r="O4472"/>
      <c r="P4472"/>
      <c r="Q4472"/>
      <c r="R4472"/>
      <c r="S4472"/>
    </row>
    <row r="4473" spans="1:19" x14ac:dyDescent="0.25">
      <c r="A4473" t="s">
        <v>193</v>
      </c>
      <c r="C4473" s="27" t="s">
        <v>34749</v>
      </c>
      <c r="D4473" s="28" t="s">
        <v>34867</v>
      </c>
      <c r="J4473" t="s">
        <v>12219</v>
      </c>
      <c r="K4473" t="s">
        <v>12220</v>
      </c>
      <c r="L4473" s="28" t="s">
        <v>12221</v>
      </c>
      <c r="M4473" t="s">
        <v>23</v>
      </c>
      <c r="N4473"/>
      <c r="O4473"/>
      <c r="P4473"/>
      <c r="Q4473"/>
      <c r="R4473"/>
      <c r="S4473"/>
    </row>
    <row r="4474" spans="1:19" x14ac:dyDescent="0.25">
      <c r="A4474" t="s">
        <v>193</v>
      </c>
      <c r="C4474" s="27" t="s">
        <v>34749</v>
      </c>
      <c r="D4474" s="28" t="s">
        <v>34867</v>
      </c>
      <c r="J4474" t="s">
        <v>12222</v>
      </c>
      <c r="K4474" t="s">
        <v>12223</v>
      </c>
      <c r="L4474" s="28" t="s">
        <v>12224</v>
      </c>
      <c r="M4474" t="s">
        <v>23</v>
      </c>
      <c r="N4474"/>
      <c r="O4474"/>
      <c r="P4474"/>
      <c r="Q4474"/>
      <c r="R4474"/>
      <c r="S4474"/>
    </row>
    <row r="4475" spans="1:19" x14ac:dyDescent="0.25">
      <c r="A4475" t="s">
        <v>193</v>
      </c>
      <c r="C4475" s="27" t="s">
        <v>34749</v>
      </c>
      <c r="D4475" s="28" t="s">
        <v>34867</v>
      </c>
      <c r="J4475" t="s">
        <v>12225</v>
      </c>
      <c r="K4475" t="s">
        <v>12226</v>
      </c>
      <c r="L4475" s="28" t="s">
        <v>12227</v>
      </c>
      <c r="M4475" t="s">
        <v>23</v>
      </c>
      <c r="N4475"/>
      <c r="O4475"/>
      <c r="P4475"/>
      <c r="Q4475"/>
      <c r="R4475"/>
      <c r="S4475"/>
    </row>
    <row r="4476" spans="1:19" x14ac:dyDescent="0.25">
      <c r="A4476" t="s">
        <v>193</v>
      </c>
      <c r="C4476" s="27" t="s">
        <v>34749</v>
      </c>
      <c r="D4476" s="28" t="s">
        <v>34867</v>
      </c>
      <c r="J4476" t="s">
        <v>12228</v>
      </c>
      <c r="K4476" t="s">
        <v>12229</v>
      </c>
      <c r="L4476" s="28" t="s">
        <v>12230</v>
      </c>
      <c r="M4476" t="s">
        <v>23</v>
      </c>
      <c r="N4476"/>
      <c r="O4476"/>
      <c r="P4476"/>
      <c r="Q4476"/>
      <c r="R4476"/>
      <c r="S4476"/>
    </row>
    <row r="4477" spans="1:19" x14ac:dyDescent="0.25">
      <c r="A4477" t="s">
        <v>193</v>
      </c>
      <c r="C4477" s="27" t="s">
        <v>34749</v>
      </c>
      <c r="D4477" s="28" t="s">
        <v>34867</v>
      </c>
      <c r="J4477" t="s">
        <v>12231</v>
      </c>
      <c r="K4477" t="s">
        <v>12232</v>
      </c>
      <c r="L4477" s="28" t="s">
        <v>12233</v>
      </c>
      <c r="M4477" t="s">
        <v>23</v>
      </c>
      <c r="N4477"/>
      <c r="O4477"/>
      <c r="P4477"/>
      <c r="Q4477"/>
      <c r="R4477"/>
      <c r="S4477"/>
    </row>
    <row r="4478" spans="1:19" x14ac:dyDescent="0.25">
      <c r="A4478" t="s">
        <v>193</v>
      </c>
      <c r="C4478" s="27" t="s">
        <v>34749</v>
      </c>
      <c r="D4478" s="28" t="s">
        <v>34867</v>
      </c>
      <c r="J4478" t="s">
        <v>12234</v>
      </c>
      <c r="K4478" t="s">
        <v>12235</v>
      </c>
      <c r="L4478" s="28" t="s">
        <v>12236</v>
      </c>
      <c r="M4478" t="s">
        <v>23</v>
      </c>
      <c r="N4478"/>
      <c r="O4478"/>
      <c r="P4478"/>
      <c r="Q4478"/>
      <c r="R4478"/>
      <c r="S4478"/>
    </row>
    <row r="4479" spans="1:19" x14ac:dyDescent="0.25">
      <c r="A4479" t="s">
        <v>193</v>
      </c>
      <c r="C4479" s="27" t="s">
        <v>34749</v>
      </c>
      <c r="D4479" s="28" t="s">
        <v>34867</v>
      </c>
      <c r="J4479" t="s">
        <v>12237</v>
      </c>
      <c r="K4479" t="s">
        <v>12238</v>
      </c>
      <c r="L4479" s="28" t="s">
        <v>12239</v>
      </c>
      <c r="M4479" t="s">
        <v>23</v>
      </c>
      <c r="N4479"/>
      <c r="O4479"/>
      <c r="P4479"/>
      <c r="Q4479"/>
      <c r="R4479"/>
      <c r="S4479"/>
    </row>
    <row r="4480" spans="1:19" x14ac:dyDescent="0.25">
      <c r="A4480" t="s">
        <v>193</v>
      </c>
      <c r="C4480" s="27" t="s">
        <v>34749</v>
      </c>
      <c r="D4480" s="28" t="s">
        <v>34867</v>
      </c>
      <c r="J4480" t="s">
        <v>12240</v>
      </c>
      <c r="K4480" t="s">
        <v>12241</v>
      </c>
      <c r="L4480" s="28" t="s">
        <v>12242</v>
      </c>
      <c r="M4480" t="s">
        <v>23</v>
      </c>
      <c r="N4480"/>
      <c r="O4480"/>
      <c r="P4480"/>
      <c r="Q4480"/>
      <c r="R4480"/>
      <c r="S4480"/>
    </row>
    <row r="4481" spans="1:19" x14ac:dyDescent="0.25">
      <c r="A4481" t="s">
        <v>193</v>
      </c>
      <c r="C4481" s="27" t="s">
        <v>34749</v>
      </c>
      <c r="D4481" s="28" t="s">
        <v>34867</v>
      </c>
      <c r="J4481" t="s">
        <v>12243</v>
      </c>
      <c r="K4481" t="s">
        <v>12244</v>
      </c>
      <c r="L4481" s="28" t="s">
        <v>12245</v>
      </c>
      <c r="M4481" t="s">
        <v>23</v>
      </c>
      <c r="N4481"/>
      <c r="O4481"/>
      <c r="P4481"/>
      <c r="Q4481"/>
      <c r="R4481"/>
      <c r="S4481"/>
    </row>
    <row r="4482" spans="1:19" x14ac:dyDescent="0.25">
      <c r="A4482" t="s">
        <v>193</v>
      </c>
      <c r="C4482" s="27" t="s">
        <v>34749</v>
      </c>
      <c r="D4482" s="28" t="s">
        <v>34867</v>
      </c>
      <c r="J4482" t="s">
        <v>12246</v>
      </c>
      <c r="K4482" t="s">
        <v>12247</v>
      </c>
      <c r="L4482" s="28" t="s">
        <v>12248</v>
      </c>
      <c r="M4482" t="s">
        <v>23</v>
      </c>
      <c r="N4482"/>
      <c r="O4482"/>
      <c r="P4482"/>
      <c r="Q4482"/>
      <c r="R4482"/>
      <c r="S4482"/>
    </row>
    <row r="4483" spans="1:19" x14ac:dyDescent="0.25">
      <c r="A4483" t="s">
        <v>193</v>
      </c>
      <c r="C4483" s="27" t="s">
        <v>34749</v>
      </c>
      <c r="D4483" s="28" t="s">
        <v>34867</v>
      </c>
      <c r="J4483" t="s">
        <v>12249</v>
      </c>
      <c r="K4483" t="s">
        <v>12250</v>
      </c>
      <c r="L4483" s="28" t="s">
        <v>12251</v>
      </c>
      <c r="M4483" t="s">
        <v>23</v>
      </c>
      <c r="N4483"/>
      <c r="O4483"/>
      <c r="P4483"/>
      <c r="Q4483"/>
      <c r="R4483"/>
      <c r="S4483"/>
    </row>
    <row r="4484" spans="1:19" x14ac:dyDescent="0.25">
      <c r="A4484" t="s">
        <v>193</v>
      </c>
      <c r="C4484" s="27" t="s">
        <v>34749</v>
      </c>
      <c r="D4484" s="28" t="s">
        <v>34867</v>
      </c>
      <c r="J4484" t="s">
        <v>12252</v>
      </c>
      <c r="K4484" t="s">
        <v>12253</v>
      </c>
      <c r="L4484" s="28" t="s">
        <v>12254</v>
      </c>
      <c r="M4484" t="s">
        <v>23</v>
      </c>
      <c r="N4484"/>
      <c r="O4484"/>
      <c r="P4484"/>
      <c r="Q4484"/>
      <c r="R4484"/>
      <c r="S4484"/>
    </row>
    <row r="4485" spans="1:19" x14ac:dyDescent="0.25">
      <c r="A4485" t="s">
        <v>193</v>
      </c>
      <c r="C4485" s="27" t="s">
        <v>34749</v>
      </c>
      <c r="D4485" s="28" t="s">
        <v>34867</v>
      </c>
      <c r="J4485" t="s">
        <v>12255</v>
      </c>
      <c r="K4485" t="s">
        <v>12256</v>
      </c>
      <c r="L4485" s="28" t="s">
        <v>12257</v>
      </c>
      <c r="M4485" t="s">
        <v>23</v>
      </c>
      <c r="N4485"/>
      <c r="O4485"/>
      <c r="P4485"/>
      <c r="Q4485"/>
      <c r="R4485"/>
      <c r="S4485"/>
    </row>
    <row r="4486" spans="1:19" x14ac:dyDescent="0.25">
      <c r="A4486" t="s">
        <v>193</v>
      </c>
      <c r="C4486" s="27" t="s">
        <v>34749</v>
      </c>
      <c r="D4486" s="28" t="s">
        <v>34867</v>
      </c>
      <c r="J4486" t="s">
        <v>12258</v>
      </c>
      <c r="K4486" t="s">
        <v>12259</v>
      </c>
      <c r="L4486" s="28" t="s">
        <v>12260</v>
      </c>
      <c r="M4486" t="s">
        <v>23</v>
      </c>
      <c r="N4486"/>
      <c r="O4486"/>
      <c r="P4486"/>
      <c r="Q4486"/>
      <c r="R4486"/>
      <c r="S4486"/>
    </row>
    <row r="4487" spans="1:19" x14ac:dyDescent="0.25">
      <c r="A4487" t="s">
        <v>193</v>
      </c>
      <c r="C4487" s="27" t="s">
        <v>34749</v>
      </c>
      <c r="D4487" s="28" t="s">
        <v>34867</v>
      </c>
      <c r="J4487" t="s">
        <v>12261</v>
      </c>
      <c r="K4487" t="s">
        <v>12262</v>
      </c>
      <c r="L4487" s="28" t="s">
        <v>12263</v>
      </c>
      <c r="M4487" t="s">
        <v>23</v>
      </c>
      <c r="N4487"/>
      <c r="O4487"/>
      <c r="P4487"/>
      <c r="Q4487"/>
      <c r="R4487"/>
      <c r="S4487"/>
    </row>
    <row r="4488" spans="1:19" x14ac:dyDescent="0.25">
      <c r="A4488" t="s">
        <v>193</v>
      </c>
      <c r="C4488" s="27" t="s">
        <v>34749</v>
      </c>
      <c r="D4488" s="28" t="s">
        <v>34867</v>
      </c>
      <c r="J4488" t="s">
        <v>12264</v>
      </c>
      <c r="K4488" t="s">
        <v>12265</v>
      </c>
      <c r="L4488" s="28" t="s">
        <v>12266</v>
      </c>
      <c r="M4488" t="s">
        <v>23</v>
      </c>
      <c r="N4488"/>
      <c r="O4488"/>
      <c r="P4488"/>
      <c r="Q4488"/>
      <c r="R4488"/>
      <c r="S4488"/>
    </row>
    <row r="4489" spans="1:19" x14ac:dyDescent="0.25">
      <c r="A4489" t="s">
        <v>193</v>
      </c>
      <c r="C4489" s="27" t="s">
        <v>34749</v>
      </c>
      <c r="D4489" s="28" t="s">
        <v>34867</v>
      </c>
      <c r="J4489" t="s">
        <v>12267</v>
      </c>
      <c r="K4489" t="s">
        <v>12268</v>
      </c>
      <c r="L4489" s="28" t="s">
        <v>12269</v>
      </c>
      <c r="M4489" t="s">
        <v>23</v>
      </c>
      <c r="O4489"/>
      <c r="P4489"/>
      <c r="Q4489"/>
      <c r="R4489"/>
      <c r="S4489"/>
    </row>
    <row r="4490" spans="1:19" x14ac:dyDescent="0.25">
      <c r="A4490" t="s">
        <v>193</v>
      </c>
      <c r="C4490" s="27" t="s">
        <v>34749</v>
      </c>
      <c r="D4490" s="28" t="s">
        <v>34867</v>
      </c>
      <c r="J4490" t="s">
        <v>12270</v>
      </c>
      <c r="K4490" t="s">
        <v>12271</v>
      </c>
      <c r="L4490" s="28" t="s">
        <v>12272</v>
      </c>
      <c r="M4490" t="s">
        <v>23</v>
      </c>
      <c r="O4490"/>
      <c r="P4490"/>
      <c r="Q4490"/>
      <c r="R4490"/>
      <c r="S4490"/>
    </row>
    <row r="4491" spans="1:19" x14ac:dyDescent="0.25">
      <c r="A4491" t="s">
        <v>193</v>
      </c>
      <c r="C4491" s="27" t="s">
        <v>34749</v>
      </c>
      <c r="D4491" s="28" t="s">
        <v>34867</v>
      </c>
      <c r="J4491" t="s">
        <v>12273</v>
      </c>
      <c r="K4491" t="s">
        <v>12274</v>
      </c>
      <c r="L4491" s="28" t="s">
        <v>12275</v>
      </c>
      <c r="M4491" t="s">
        <v>23</v>
      </c>
      <c r="O4491"/>
      <c r="P4491"/>
      <c r="Q4491"/>
      <c r="R4491"/>
      <c r="S4491"/>
    </row>
    <row r="4492" spans="1:19" x14ac:dyDescent="0.25">
      <c r="A4492" t="s">
        <v>193</v>
      </c>
      <c r="C4492" s="27" t="s">
        <v>34749</v>
      </c>
      <c r="D4492" s="28" t="s">
        <v>34867</v>
      </c>
      <c r="J4492" t="s">
        <v>12276</v>
      </c>
      <c r="K4492" t="s">
        <v>12277</v>
      </c>
      <c r="L4492" s="28" t="s">
        <v>12278</v>
      </c>
      <c r="M4492" t="s">
        <v>23</v>
      </c>
      <c r="O4492"/>
      <c r="P4492"/>
      <c r="Q4492"/>
      <c r="R4492"/>
      <c r="S4492"/>
    </row>
    <row r="4493" spans="1:19" x14ac:dyDescent="0.25">
      <c r="A4493" t="s">
        <v>193</v>
      </c>
      <c r="C4493" s="27" t="s">
        <v>34749</v>
      </c>
      <c r="D4493" s="28" t="s">
        <v>34867</v>
      </c>
      <c r="J4493" t="s">
        <v>12279</v>
      </c>
      <c r="K4493" t="s">
        <v>12280</v>
      </c>
      <c r="L4493" s="28" t="s">
        <v>12281</v>
      </c>
      <c r="M4493" t="s">
        <v>23</v>
      </c>
      <c r="O4493"/>
      <c r="P4493"/>
      <c r="Q4493"/>
      <c r="R4493"/>
      <c r="S4493"/>
    </row>
    <row r="4494" spans="1:19" x14ac:dyDescent="0.25">
      <c r="A4494" t="s">
        <v>193</v>
      </c>
      <c r="C4494" s="27" t="s">
        <v>34749</v>
      </c>
      <c r="D4494" s="28" t="s">
        <v>34867</v>
      </c>
      <c r="J4494" t="s">
        <v>12282</v>
      </c>
      <c r="K4494" t="s">
        <v>12283</v>
      </c>
      <c r="L4494" s="28" t="s">
        <v>12284</v>
      </c>
      <c r="M4494" t="s">
        <v>23</v>
      </c>
      <c r="O4494"/>
      <c r="P4494"/>
      <c r="Q4494"/>
      <c r="R4494"/>
      <c r="S4494"/>
    </row>
    <row r="4495" spans="1:19" x14ac:dyDescent="0.25">
      <c r="A4495" t="s">
        <v>193</v>
      </c>
      <c r="C4495" s="27" t="s">
        <v>34749</v>
      </c>
      <c r="D4495" s="28" t="s">
        <v>34867</v>
      </c>
      <c r="J4495" t="s">
        <v>12285</v>
      </c>
      <c r="K4495" t="s">
        <v>12286</v>
      </c>
      <c r="L4495" s="28" t="s">
        <v>12287</v>
      </c>
      <c r="M4495" t="s">
        <v>23</v>
      </c>
      <c r="O4495"/>
      <c r="P4495"/>
      <c r="Q4495"/>
      <c r="R4495"/>
      <c r="S4495"/>
    </row>
    <row r="4496" spans="1:19" x14ac:dyDescent="0.25">
      <c r="A4496" t="s">
        <v>193</v>
      </c>
      <c r="C4496" s="27" t="s">
        <v>34749</v>
      </c>
      <c r="D4496" s="28" t="s">
        <v>34867</v>
      </c>
      <c r="J4496" t="s">
        <v>12288</v>
      </c>
      <c r="K4496" t="s">
        <v>12289</v>
      </c>
      <c r="L4496" s="28" t="s">
        <v>12290</v>
      </c>
      <c r="M4496" t="s">
        <v>23</v>
      </c>
      <c r="O4496"/>
      <c r="P4496"/>
      <c r="Q4496"/>
      <c r="R4496"/>
      <c r="S4496"/>
    </row>
    <row r="4497" spans="1:19" x14ac:dyDescent="0.25">
      <c r="A4497" t="s">
        <v>193</v>
      </c>
      <c r="C4497" s="27" t="s">
        <v>34749</v>
      </c>
      <c r="D4497" s="28" t="s">
        <v>34867</v>
      </c>
      <c r="J4497" t="s">
        <v>12291</v>
      </c>
      <c r="K4497" t="s">
        <v>12292</v>
      </c>
      <c r="L4497" s="28" t="s">
        <v>12293</v>
      </c>
      <c r="M4497" t="s">
        <v>23</v>
      </c>
      <c r="O4497"/>
      <c r="P4497"/>
      <c r="Q4497"/>
      <c r="R4497"/>
      <c r="S4497"/>
    </row>
    <row r="4498" spans="1:19" x14ac:dyDescent="0.25">
      <c r="A4498" t="s">
        <v>193</v>
      </c>
      <c r="C4498" s="27" t="s">
        <v>34749</v>
      </c>
      <c r="D4498" s="28" t="s">
        <v>34867</v>
      </c>
      <c r="J4498" t="s">
        <v>12294</v>
      </c>
      <c r="K4498" t="s">
        <v>12295</v>
      </c>
      <c r="L4498" s="28" t="s">
        <v>12296</v>
      </c>
      <c r="M4498" t="s">
        <v>23</v>
      </c>
      <c r="O4498"/>
      <c r="P4498"/>
      <c r="Q4498"/>
      <c r="R4498"/>
      <c r="S4498"/>
    </row>
    <row r="4499" spans="1:19" x14ac:dyDescent="0.25">
      <c r="A4499" t="s">
        <v>193</v>
      </c>
      <c r="C4499" s="27" t="s">
        <v>34749</v>
      </c>
      <c r="D4499" s="28" t="s">
        <v>34867</v>
      </c>
      <c r="J4499" t="s">
        <v>12297</v>
      </c>
      <c r="K4499" t="s">
        <v>12298</v>
      </c>
      <c r="L4499" s="28" t="s">
        <v>12299</v>
      </c>
      <c r="M4499" t="s">
        <v>23</v>
      </c>
      <c r="O4499"/>
      <c r="P4499"/>
      <c r="Q4499"/>
      <c r="R4499"/>
      <c r="S4499"/>
    </row>
    <row r="4500" spans="1:19" x14ac:dyDescent="0.25">
      <c r="A4500" s="27" t="s">
        <v>193</v>
      </c>
      <c r="C4500" s="27" t="s">
        <v>34749</v>
      </c>
      <c r="D4500" s="28" t="s">
        <v>34867</v>
      </c>
      <c r="I4500" s="27" t="str">
        <f>SUBSTITUTE(LOWER(N4500),"_",",")</f>
        <v>(e,e),8,10,dodecadien,1,ol</v>
      </c>
      <c r="N4500" t="s">
        <v>12300</v>
      </c>
      <c r="O4500"/>
      <c r="P4500"/>
      <c r="Q4500"/>
      <c r="R4500"/>
      <c r="S4500"/>
    </row>
    <row r="4501" spans="1:19" x14ac:dyDescent="0.25">
      <c r="A4501" s="27" t="s">
        <v>193</v>
      </c>
      <c r="C4501" s="27" t="s">
        <v>34749</v>
      </c>
      <c r="D4501" s="28" t="s">
        <v>34867</v>
      </c>
      <c r="I4501" s="27" t="str">
        <f t="shared" ref="I4501:I4564" si="0">SUBSTITUTE(LOWER(N4501),"_",",")</f>
        <v>(e,z,z),3,8,11,tetradecatrien,1,yl,acetate</v>
      </c>
      <c r="N4501" t="s">
        <v>12301</v>
      </c>
      <c r="O4501"/>
      <c r="P4501"/>
      <c r="Q4501"/>
      <c r="R4501"/>
      <c r="S4501"/>
    </row>
    <row r="4502" spans="1:19" x14ac:dyDescent="0.25">
      <c r="A4502" s="27" t="s">
        <v>193</v>
      </c>
      <c r="C4502" s="27" t="s">
        <v>34749</v>
      </c>
      <c r="D4502" s="28" t="s">
        <v>34867</v>
      </c>
      <c r="I4502" s="27" t="str">
        <f t="shared" si="0"/>
        <v>(e,z),3,8,tetradecadien,1,yl,acetate</v>
      </c>
      <c r="N4502" t="s">
        <v>12302</v>
      </c>
      <c r="O4502"/>
      <c r="P4502"/>
      <c r="Q4502"/>
      <c r="R4502"/>
      <c r="S4502"/>
    </row>
    <row r="4503" spans="1:19" x14ac:dyDescent="0.25">
      <c r="A4503" s="27" t="s">
        <v>193</v>
      </c>
      <c r="C4503" s="27" t="s">
        <v>34749</v>
      </c>
      <c r="D4503" s="28" t="s">
        <v>34867</v>
      </c>
      <c r="I4503" s="27" t="str">
        <f t="shared" si="0"/>
        <v>(z),11,tetradecenylacetaat</v>
      </c>
      <c r="N4503" t="s">
        <v>12303</v>
      </c>
      <c r="O4503"/>
      <c r="P4503"/>
      <c r="Q4503"/>
      <c r="R4503"/>
      <c r="S4503"/>
    </row>
    <row r="4504" spans="1:19" x14ac:dyDescent="0.25">
      <c r="A4504" s="27" t="s">
        <v>193</v>
      </c>
      <c r="C4504" s="27" t="s">
        <v>34749</v>
      </c>
      <c r="D4504" s="28" t="s">
        <v>34867</v>
      </c>
      <c r="I4504" s="27" t="str">
        <f t="shared" si="0"/>
        <v>(z),8,dodecen,1,yl,acetaat</v>
      </c>
      <c r="N4504" t="s">
        <v>12304</v>
      </c>
      <c r="O4504"/>
      <c r="P4504"/>
      <c r="Q4504"/>
      <c r="R4504"/>
      <c r="S4504"/>
    </row>
    <row r="4505" spans="1:19" x14ac:dyDescent="0.25">
      <c r="A4505" s="27" t="s">
        <v>193</v>
      </c>
      <c r="C4505" s="27" t="s">
        <v>34749</v>
      </c>
      <c r="D4505" s="28" t="s">
        <v>34867</v>
      </c>
      <c r="I4505" s="27" t="str">
        <f t="shared" si="0"/>
        <v>(z),tetradec,9enylacetaat</v>
      </c>
      <c r="N4505" t="s">
        <v>12305</v>
      </c>
      <c r="P4505"/>
      <c r="Q4505"/>
      <c r="R4505"/>
      <c r="S4505"/>
    </row>
    <row r="4506" spans="1:19" x14ac:dyDescent="0.25">
      <c r="A4506" s="27" t="s">
        <v>193</v>
      </c>
      <c r="C4506" s="27" t="s">
        <v>34749</v>
      </c>
      <c r="D4506" s="28" t="s">
        <v>34867</v>
      </c>
      <c r="I4506" s="27" t="str">
        <f t="shared" si="0"/>
        <v>1,4,dimethylnaftaleen</v>
      </c>
      <c r="N4506" t="s">
        <v>12306</v>
      </c>
      <c r="P4506"/>
      <c r="Q4506"/>
      <c r="R4506"/>
      <c r="S4506"/>
    </row>
    <row r="4507" spans="1:19" x14ac:dyDescent="0.25">
      <c r="A4507" s="27" t="s">
        <v>193</v>
      </c>
      <c r="C4507" s="27" t="s">
        <v>34749</v>
      </c>
      <c r="D4507" s="28" t="s">
        <v>34867</v>
      </c>
      <c r="I4507" s="27" t="str">
        <f t="shared" si="0"/>
        <v>1,methylcyclopropeen</v>
      </c>
      <c r="N4507" t="s">
        <v>12307</v>
      </c>
      <c r="O4507" s="28" t="s">
        <v>12308</v>
      </c>
      <c r="P4507"/>
      <c r="Q4507"/>
      <c r="R4507"/>
      <c r="S4507"/>
    </row>
    <row r="4508" spans="1:19" x14ac:dyDescent="0.25">
      <c r="A4508" s="27" t="s">
        <v>193</v>
      </c>
      <c r="C4508" s="27" t="s">
        <v>34749</v>
      </c>
      <c r="D4508" s="28" t="s">
        <v>34867</v>
      </c>
      <c r="I4508" s="27" t="str">
        <f t="shared" si="0"/>
        <v>1,naftylaceetamide</v>
      </c>
      <c r="N4508" t="s">
        <v>12309</v>
      </c>
      <c r="P4508"/>
      <c r="Q4508"/>
      <c r="R4508"/>
      <c r="S4508"/>
    </row>
    <row r="4509" spans="1:19" x14ac:dyDescent="0.25">
      <c r="A4509" s="27" t="s">
        <v>193</v>
      </c>
      <c r="C4509" s="27" t="s">
        <v>34749</v>
      </c>
      <c r="D4509" s="28" t="s">
        <v>34867</v>
      </c>
      <c r="I4509" s="27" t="str">
        <f t="shared" si="0"/>
        <v>1,naftylazijnzuur</v>
      </c>
      <c r="N4509" t="s">
        <v>12310</v>
      </c>
      <c r="O4509" s="28" t="s">
        <v>12311</v>
      </c>
      <c r="P4509"/>
      <c r="Q4509"/>
      <c r="R4509"/>
      <c r="S4509"/>
    </row>
    <row r="4510" spans="1:19" x14ac:dyDescent="0.25">
      <c r="A4510" s="27" t="s">
        <v>193</v>
      </c>
      <c r="C4510" s="27" t="s">
        <v>34749</v>
      </c>
      <c r="D4510" s="28" t="s">
        <v>34867</v>
      </c>
      <c r="I4510" s="27" t="str">
        <f t="shared" si="0"/>
        <v>2,4,d</v>
      </c>
      <c r="N4510" t="s">
        <v>12312</v>
      </c>
      <c r="O4510" s="28" t="s">
        <v>1549</v>
      </c>
      <c r="P4510"/>
      <c r="Q4510"/>
      <c r="R4510"/>
      <c r="S4510"/>
    </row>
    <row r="4511" spans="1:19" x14ac:dyDescent="0.25">
      <c r="A4511" s="27" t="s">
        <v>193</v>
      </c>
      <c r="C4511" s="27" t="s">
        <v>34749</v>
      </c>
      <c r="D4511" s="28" t="s">
        <v>34867</v>
      </c>
      <c r="I4511" s="27" t="str">
        <f t="shared" si="0"/>
        <v>2,4,db</v>
      </c>
      <c r="N4511" t="s">
        <v>12313</v>
      </c>
      <c r="P4511"/>
      <c r="Q4511"/>
      <c r="R4511"/>
      <c r="S4511"/>
    </row>
    <row r="4512" spans="1:19" x14ac:dyDescent="0.25">
      <c r="A4512" s="27" t="s">
        <v>193</v>
      </c>
      <c r="C4512" s="27" t="s">
        <v>34749</v>
      </c>
      <c r="D4512" s="28" t="s">
        <v>34867</v>
      </c>
      <c r="I4512" s="27" t="str">
        <f t="shared" si="0"/>
        <v>2,naftoxyazijnzuur</v>
      </c>
      <c r="N4512" t="s">
        <v>12314</v>
      </c>
      <c r="P4512"/>
      <c r="Q4512"/>
      <c r="R4512"/>
      <c r="S4512"/>
    </row>
    <row r="4513" spans="1:19" x14ac:dyDescent="0.25">
      <c r="A4513" s="27" t="s">
        <v>193</v>
      </c>
      <c r="C4513" s="27" t="s">
        <v>34749</v>
      </c>
      <c r="D4513" s="28" t="s">
        <v>34867</v>
      </c>
      <c r="I4513" s="27" t="str">
        <f t="shared" si="0"/>
        <v>3,indolylazijnzuur</v>
      </c>
      <c r="N4513" t="s">
        <v>12315</v>
      </c>
      <c r="O4513" s="28" t="s">
        <v>10171</v>
      </c>
      <c r="P4513"/>
      <c r="Q4513"/>
      <c r="R4513"/>
      <c r="S4513"/>
    </row>
    <row r="4514" spans="1:19" x14ac:dyDescent="0.25">
      <c r="A4514" s="27" t="s">
        <v>193</v>
      </c>
      <c r="C4514" s="27" t="s">
        <v>34749</v>
      </c>
      <c r="D4514" s="28" t="s">
        <v>34867</v>
      </c>
      <c r="I4514" s="27" t="str">
        <f t="shared" si="0"/>
        <v>4,chloorfenoxyazijnzuur</v>
      </c>
      <c r="N4514" t="s">
        <v>12316</v>
      </c>
      <c r="P4514"/>
      <c r="Q4514"/>
      <c r="R4514"/>
      <c r="S4514"/>
    </row>
    <row r="4515" spans="1:19" x14ac:dyDescent="0.25">
      <c r="A4515" s="27" t="s">
        <v>193</v>
      </c>
      <c r="C4515" s="27" t="s">
        <v>34749</v>
      </c>
      <c r="D4515" s="28" t="s">
        <v>34867</v>
      </c>
      <c r="I4515" s="27" t="str">
        <f t="shared" si="0"/>
        <v>6,benzyladenine</v>
      </c>
      <c r="N4515" t="s">
        <v>12317</v>
      </c>
      <c r="P4515"/>
      <c r="Q4515"/>
      <c r="R4515"/>
      <c r="S4515"/>
    </row>
    <row r="4516" spans="1:19" x14ac:dyDescent="0.25">
      <c r="A4516" s="27" t="s">
        <v>193</v>
      </c>
      <c r="C4516" s="27" t="s">
        <v>34749</v>
      </c>
      <c r="D4516" s="28" t="s">
        <v>34867</v>
      </c>
      <c r="I4516" s="27" t="str">
        <f t="shared" si="0"/>
        <v>8,10,dodecadien,1,ol</v>
      </c>
      <c r="N4516" t="s">
        <v>12318</v>
      </c>
      <c r="P4516"/>
      <c r="Q4516"/>
      <c r="R4516"/>
      <c r="S4516"/>
    </row>
    <row r="4517" spans="1:19" x14ac:dyDescent="0.25">
      <c r="A4517" s="27" t="s">
        <v>193</v>
      </c>
      <c r="C4517" s="27" t="s">
        <v>34749</v>
      </c>
      <c r="D4517" s="28" t="s">
        <v>34867</v>
      </c>
      <c r="I4517" s="27" t="str">
        <f t="shared" si="0"/>
        <v>a.a.polyglycolether</v>
      </c>
      <c r="N4517" t="s">
        <v>12319</v>
      </c>
      <c r="P4517"/>
      <c r="Q4517"/>
      <c r="R4517"/>
      <c r="S4517"/>
    </row>
    <row r="4518" spans="1:19" x14ac:dyDescent="0.25">
      <c r="A4518" s="27" t="s">
        <v>193</v>
      </c>
      <c r="C4518" s="27" t="s">
        <v>34749</v>
      </c>
      <c r="D4518" s="28" t="s">
        <v>34867</v>
      </c>
      <c r="I4518" s="27" t="str">
        <f t="shared" si="0"/>
        <v>abamectine</v>
      </c>
      <c r="N4518" t="s">
        <v>12320</v>
      </c>
      <c r="O4518" s="28" t="s">
        <v>8119</v>
      </c>
      <c r="P4518"/>
      <c r="Q4518"/>
      <c r="R4518"/>
      <c r="S4518"/>
    </row>
    <row r="4519" spans="1:19" x14ac:dyDescent="0.25">
      <c r="A4519" s="27" t="s">
        <v>193</v>
      </c>
      <c r="C4519" s="27" t="s">
        <v>34749</v>
      </c>
      <c r="D4519" s="28" t="s">
        <v>34867</v>
      </c>
      <c r="I4519" s="27" t="str">
        <f t="shared" si="0"/>
        <v>acefaat</v>
      </c>
      <c r="N4519" t="s">
        <v>12321</v>
      </c>
      <c r="O4519" s="28" t="s">
        <v>8137</v>
      </c>
      <c r="P4519"/>
      <c r="Q4519"/>
      <c r="R4519"/>
      <c r="S4519"/>
    </row>
    <row r="4520" spans="1:19" x14ac:dyDescent="0.25">
      <c r="A4520" s="27" t="s">
        <v>193</v>
      </c>
      <c r="C4520" s="27" t="s">
        <v>34749</v>
      </c>
      <c r="D4520" s="28" t="s">
        <v>34867</v>
      </c>
      <c r="I4520" s="27" t="str">
        <f t="shared" si="0"/>
        <v>acequinocyl</v>
      </c>
      <c r="N4520" t="s">
        <v>12322</v>
      </c>
      <c r="O4520" s="28" t="s">
        <v>8158</v>
      </c>
      <c r="P4520"/>
      <c r="Q4520"/>
      <c r="R4520"/>
      <c r="S4520"/>
    </row>
    <row r="4521" spans="1:19" x14ac:dyDescent="0.25">
      <c r="A4521" s="27" t="s">
        <v>193</v>
      </c>
      <c r="C4521" s="27" t="s">
        <v>34749</v>
      </c>
      <c r="D4521" s="28" t="s">
        <v>34867</v>
      </c>
      <c r="I4521" s="27" t="str">
        <f t="shared" si="0"/>
        <v>acetamiprid</v>
      </c>
      <c r="N4521" t="s">
        <v>12323</v>
      </c>
      <c r="O4521" s="28" t="s">
        <v>12324</v>
      </c>
      <c r="P4521"/>
      <c r="Q4521"/>
      <c r="R4521"/>
      <c r="S4521"/>
    </row>
    <row r="4522" spans="1:19" x14ac:dyDescent="0.25">
      <c r="A4522" s="27" t="s">
        <v>193</v>
      </c>
      <c r="C4522" s="27" t="s">
        <v>34749</v>
      </c>
      <c r="D4522" s="28" t="s">
        <v>34867</v>
      </c>
      <c r="I4522" s="27" t="str">
        <f t="shared" si="0"/>
        <v>acibenzolar,s,methyl</v>
      </c>
      <c r="N4522" t="s">
        <v>12325</v>
      </c>
      <c r="O4522" s="28" t="s">
        <v>8131</v>
      </c>
      <c r="P4522"/>
      <c r="Q4522"/>
      <c r="R4522"/>
      <c r="S4522"/>
    </row>
    <row r="4523" spans="1:19" x14ac:dyDescent="0.25">
      <c r="A4523" s="27" t="s">
        <v>193</v>
      </c>
      <c r="C4523" s="27" t="s">
        <v>34749</v>
      </c>
      <c r="D4523" s="28" t="s">
        <v>34867</v>
      </c>
      <c r="I4523" s="27" t="str">
        <f t="shared" si="0"/>
        <v>aclonifen</v>
      </c>
      <c r="N4523" t="s">
        <v>12326</v>
      </c>
      <c r="O4523" s="28" t="s">
        <v>8149</v>
      </c>
      <c r="P4523"/>
      <c r="Q4523"/>
      <c r="R4523"/>
      <c r="S4523"/>
    </row>
    <row r="4524" spans="1:19" x14ac:dyDescent="0.25">
      <c r="A4524" s="27" t="s">
        <v>193</v>
      </c>
      <c r="C4524" s="27" t="s">
        <v>34749</v>
      </c>
      <c r="D4524" s="28" t="s">
        <v>34867</v>
      </c>
      <c r="I4524" s="27" t="str">
        <f t="shared" si="0"/>
        <v>alachloor</v>
      </c>
      <c r="N4524" t="s">
        <v>12327</v>
      </c>
      <c r="P4524"/>
      <c r="Q4524"/>
      <c r="R4524"/>
      <c r="S4524"/>
    </row>
    <row r="4525" spans="1:19" x14ac:dyDescent="0.25">
      <c r="A4525" s="27" t="s">
        <v>193</v>
      </c>
      <c r="C4525" s="27" t="s">
        <v>34749</v>
      </c>
      <c r="D4525" s="28" t="s">
        <v>34867</v>
      </c>
      <c r="I4525" s="27" t="str">
        <f t="shared" si="0"/>
        <v>aldicarb</v>
      </c>
      <c r="N4525" t="s">
        <v>12328</v>
      </c>
      <c r="P4525"/>
      <c r="Q4525"/>
      <c r="R4525"/>
      <c r="S4525"/>
    </row>
    <row r="4526" spans="1:19" x14ac:dyDescent="0.25">
      <c r="A4526" s="27" t="s">
        <v>193</v>
      </c>
      <c r="C4526" s="27" t="s">
        <v>34749</v>
      </c>
      <c r="D4526" s="28" t="s">
        <v>34867</v>
      </c>
      <c r="I4526" s="27" t="str">
        <f t="shared" si="0"/>
        <v>alfa,cypermethrin</v>
      </c>
      <c r="N4526" t="s">
        <v>12329</v>
      </c>
      <c r="P4526"/>
      <c r="Q4526"/>
      <c r="R4526"/>
      <c r="S4526"/>
    </row>
    <row r="4527" spans="1:19" x14ac:dyDescent="0.25">
      <c r="A4527" s="27" t="s">
        <v>193</v>
      </c>
      <c r="C4527" s="27" t="s">
        <v>34749</v>
      </c>
      <c r="D4527" s="28" t="s">
        <v>34867</v>
      </c>
      <c r="I4527" s="27" t="str">
        <f t="shared" si="0"/>
        <v>alkyldimethylbenzyl,ammoniumchloride</v>
      </c>
      <c r="N4527" t="s">
        <v>12330</v>
      </c>
      <c r="P4527"/>
      <c r="Q4527"/>
      <c r="R4527"/>
      <c r="S4527"/>
    </row>
    <row r="4528" spans="1:19" x14ac:dyDescent="0.25">
      <c r="A4528" s="27" t="s">
        <v>193</v>
      </c>
      <c r="C4528" s="27" t="s">
        <v>34749</v>
      </c>
      <c r="D4528" s="28" t="s">
        <v>34867</v>
      </c>
      <c r="I4528" s="27" t="str">
        <f t="shared" si="0"/>
        <v>alkyldimethylethylbenzylammoniumchloride</v>
      </c>
      <c r="N4528" t="s">
        <v>12331</v>
      </c>
      <c r="P4528"/>
      <c r="Q4528"/>
      <c r="R4528"/>
      <c r="S4528"/>
    </row>
    <row r="4529" spans="1:19" x14ac:dyDescent="0.25">
      <c r="A4529" s="27" t="s">
        <v>193</v>
      </c>
      <c r="C4529" s="27" t="s">
        <v>34749</v>
      </c>
      <c r="D4529" s="28" t="s">
        <v>34867</v>
      </c>
      <c r="I4529" s="27" t="str">
        <f t="shared" si="0"/>
        <v>alloxydim,natrium</v>
      </c>
      <c r="N4529" t="s">
        <v>12332</v>
      </c>
      <c r="P4529"/>
      <c r="Q4529"/>
      <c r="R4529"/>
      <c r="S4529"/>
    </row>
    <row r="4530" spans="1:19" x14ac:dyDescent="0.25">
      <c r="A4530" s="27" t="s">
        <v>193</v>
      </c>
      <c r="C4530" s="27" t="s">
        <v>34749</v>
      </c>
      <c r="D4530" s="28" t="s">
        <v>34867</v>
      </c>
      <c r="I4530" s="27" t="str">
        <f t="shared" si="0"/>
        <v>aluminiumfosfide</v>
      </c>
      <c r="N4530" t="s">
        <v>12333</v>
      </c>
      <c r="P4530"/>
      <c r="Q4530"/>
      <c r="R4530"/>
      <c r="S4530"/>
    </row>
    <row r="4531" spans="1:19" x14ac:dyDescent="0.25">
      <c r="A4531" s="27" t="s">
        <v>193</v>
      </c>
      <c r="C4531" s="27" t="s">
        <v>34749</v>
      </c>
      <c r="D4531" s="28" t="s">
        <v>34867</v>
      </c>
      <c r="I4531" s="27" t="str">
        <f t="shared" si="0"/>
        <v>aluminiumsulfaat</v>
      </c>
      <c r="N4531" t="s">
        <v>12334</v>
      </c>
      <c r="P4531"/>
      <c r="Q4531"/>
      <c r="R4531"/>
      <c r="S4531"/>
    </row>
    <row r="4532" spans="1:19" x14ac:dyDescent="0.25">
      <c r="A4532" s="27" t="s">
        <v>193</v>
      </c>
      <c r="C4532" s="27" t="s">
        <v>34749</v>
      </c>
      <c r="D4532" s="28" t="s">
        <v>34867</v>
      </c>
      <c r="I4532" s="27" t="str">
        <f t="shared" si="0"/>
        <v>ametoctradin</v>
      </c>
      <c r="N4532" t="s">
        <v>12335</v>
      </c>
      <c r="O4532" s="28" t="s">
        <v>8278</v>
      </c>
      <c r="P4532"/>
      <c r="Q4532"/>
      <c r="R4532"/>
      <c r="S4532"/>
    </row>
    <row r="4533" spans="1:19" x14ac:dyDescent="0.25">
      <c r="A4533" s="27" t="s">
        <v>193</v>
      </c>
      <c r="C4533" s="27" t="s">
        <v>34749</v>
      </c>
      <c r="D4533" s="28" t="s">
        <v>34867</v>
      </c>
      <c r="I4533" s="27" t="str">
        <f t="shared" si="0"/>
        <v>amidosulfuron</v>
      </c>
      <c r="N4533" t="s">
        <v>12336</v>
      </c>
      <c r="O4533" s="28" t="s">
        <v>8251</v>
      </c>
      <c r="P4533"/>
      <c r="Q4533"/>
      <c r="R4533"/>
      <c r="S4533"/>
    </row>
    <row r="4534" spans="1:19" x14ac:dyDescent="0.25">
      <c r="A4534" s="27" t="s">
        <v>193</v>
      </c>
      <c r="C4534" s="27" t="s">
        <v>34749</v>
      </c>
      <c r="D4534" s="28" t="s">
        <v>34867</v>
      </c>
      <c r="I4534" s="27" t="str">
        <f t="shared" si="0"/>
        <v>amisulbrom</v>
      </c>
      <c r="N4534" t="s">
        <v>12337</v>
      </c>
      <c r="O4534" s="28" t="s">
        <v>8263</v>
      </c>
      <c r="P4534"/>
      <c r="Q4534"/>
      <c r="R4534"/>
      <c r="S4534"/>
    </row>
    <row r="4535" spans="1:19" x14ac:dyDescent="0.25">
      <c r="A4535" s="27" t="s">
        <v>193</v>
      </c>
      <c r="C4535" s="27" t="s">
        <v>34749</v>
      </c>
      <c r="D4535" s="28" t="s">
        <v>34867</v>
      </c>
      <c r="I4535" s="27" t="str">
        <f t="shared" si="0"/>
        <v>amitraz</v>
      </c>
      <c r="N4535" t="s">
        <v>12338</v>
      </c>
      <c r="P4535"/>
      <c r="Q4535"/>
      <c r="R4535"/>
      <c r="S4535"/>
    </row>
    <row r="4536" spans="1:19" x14ac:dyDescent="0.25">
      <c r="A4536" s="27" t="s">
        <v>193</v>
      </c>
      <c r="C4536" s="27" t="s">
        <v>34749</v>
      </c>
      <c r="D4536" s="28" t="s">
        <v>34867</v>
      </c>
      <c r="I4536" s="27" t="str">
        <f t="shared" si="0"/>
        <v>amitrol</v>
      </c>
      <c r="N4536" t="s">
        <v>12339</v>
      </c>
      <c r="O4536" s="28" t="s">
        <v>8272</v>
      </c>
      <c r="P4536"/>
      <c r="Q4536"/>
      <c r="R4536"/>
      <c r="S4536"/>
    </row>
    <row r="4537" spans="1:19" x14ac:dyDescent="0.25">
      <c r="A4537" s="27" t="s">
        <v>193</v>
      </c>
      <c r="C4537" s="27" t="s">
        <v>34749</v>
      </c>
      <c r="D4537" s="28" t="s">
        <v>34867</v>
      </c>
      <c r="I4537" s="27" t="str">
        <f t="shared" si="0"/>
        <v>amm.kopersulfaat</v>
      </c>
      <c r="N4537" t="s">
        <v>12340</v>
      </c>
      <c r="P4537"/>
      <c r="Q4537"/>
      <c r="R4537"/>
      <c r="S4537"/>
    </row>
    <row r="4538" spans="1:19" x14ac:dyDescent="0.25">
      <c r="A4538" s="27" t="s">
        <v>193</v>
      </c>
      <c r="C4538" s="27" t="s">
        <v>34749</v>
      </c>
      <c r="D4538" s="28" t="s">
        <v>34867</v>
      </c>
      <c r="I4538" s="27" t="str">
        <f t="shared" si="0"/>
        <v>ammoniumsulfaat</v>
      </c>
      <c r="N4538" t="s">
        <v>12341</v>
      </c>
      <c r="P4538"/>
      <c r="Q4538"/>
      <c r="R4538"/>
      <c r="S4538"/>
    </row>
    <row r="4539" spans="1:19" x14ac:dyDescent="0.25">
      <c r="A4539" s="27" t="s">
        <v>193</v>
      </c>
      <c r="C4539" s="27" t="s">
        <v>34749</v>
      </c>
      <c r="D4539" s="28" t="s">
        <v>34867</v>
      </c>
      <c r="I4539" s="27" t="str">
        <f t="shared" si="0"/>
        <v>ammoniumsulfamaat</v>
      </c>
      <c r="N4539" t="s">
        <v>12342</v>
      </c>
      <c r="P4539"/>
      <c r="Q4539"/>
      <c r="R4539"/>
      <c r="S4539"/>
    </row>
    <row r="4540" spans="1:19" x14ac:dyDescent="0.25">
      <c r="A4540" s="27" t="s">
        <v>193</v>
      </c>
      <c r="C4540" s="27" t="s">
        <v>34749</v>
      </c>
      <c r="D4540" s="28" t="s">
        <v>34867</v>
      </c>
      <c r="I4540" s="27" t="str">
        <f t="shared" si="0"/>
        <v>ammoniumthiocyanaat</v>
      </c>
      <c r="N4540" t="s">
        <v>12343</v>
      </c>
      <c r="P4540"/>
      <c r="Q4540"/>
      <c r="R4540"/>
      <c r="S4540"/>
    </row>
    <row r="4541" spans="1:19" x14ac:dyDescent="0.25">
      <c r="A4541" s="27" t="s">
        <v>193</v>
      </c>
      <c r="C4541" s="27" t="s">
        <v>34749</v>
      </c>
      <c r="D4541" s="28" t="s">
        <v>34867</v>
      </c>
      <c r="I4541" s="27" t="str">
        <f t="shared" si="0"/>
        <v>ancymidol</v>
      </c>
      <c r="N4541" t="s">
        <v>12344</v>
      </c>
      <c r="P4541"/>
      <c r="Q4541"/>
      <c r="R4541"/>
      <c r="S4541"/>
    </row>
    <row r="4542" spans="1:19" x14ac:dyDescent="0.25">
      <c r="A4542" s="27" t="s">
        <v>193</v>
      </c>
      <c r="C4542" s="27" t="s">
        <v>34749</v>
      </c>
      <c r="D4542" s="28" t="s">
        <v>34867</v>
      </c>
      <c r="I4542" s="27" t="str">
        <f t="shared" si="0"/>
        <v>anilazin</v>
      </c>
      <c r="N4542" t="s">
        <v>12345</v>
      </c>
      <c r="P4542"/>
      <c r="Q4542"/>
      <c r="R4542"/>
      <c r="S4542"/>
    </row>
    <row r="4543" spans="1:19" x14ac:dyDescent="0.25">
      <c r="A4543" s="27" t="s">
        <v>193</v>
      </c>
      <c r="C4543" s="27" t="s">
        <v>34749</v>
      </c>
      <c r="D4543" s="28" t="s">
        <v>34867</v>
      </c>
      <c r="I4543" s="27" t="str">
        <f t="shared" si="0"/>
        <v>anthrachinon</v>
      </c>
      <c r="N4543" t="s">
        <v>12346</v>
      </c>
      <c r="P4543"/>
      <c r="Q4543"/>
      <c r="R4543"/>
      <c r="S4543"/>
    </row>
    <row r="4544" spans="1:19" x14ac:dyDescent="0.25">
      <c r="A4544" s="27" t="s">
        <v>193</v>
      </c>
      <c r="C4544" s="27" t="s">
        <v>34749</v>
      </c>
      <c r="D4544" s="28" t="s">
        <v>34867</v>
      </c>
      <c r="I4544" s="27" t="str">
        <f t="shared" si="0"/>
        <v>ascorbinezuur</v>
      </c>
      <c r="N4544" t="s">
        <v>12347</v>
      </c>
      <c r="O4544" s="28" t="s">
        <v>12348</v>
      </c>
      <c r="P4544"/>
      <c r="Q4544"/>
      <c r="R4544"/>
      <c r="S4544"/>
    </row>
    <row r="4545" spans="1:19" x14ac:dyDescent="0.25">
      <c r="A4545" s="27" t="s">
        <v>193</v>
      </c>
      <c r="C4545" s="27" t="s">
        <v>34749</v>
      </c>
      <c r="D4545" s="28" t="s">
        <v>34867</v>
      </c>
      <c r="I4545" s="27" t="str">
        <f t="shared" si="0"/>
        <v>asulam</v>
      </c>
      <c r="N4545" t="s">
        <v>12349</v>
      </c>
      <c r="O4545" s="28" t="s">
        <v>8326</v>
      </c>
      <c r="P4545"/>
      <c r="Q4545"/>
      <c r="R4545"/>
      <c r="S4545"/>
    </row>
    <row r="4546" spans="1:19" x14ac:dyDescent="0.25">
      <c r="A4546" s="27" t="s">
        <v>193</v>
      </c>
      <c r="C4546" s="27" t="s">
        <v>34749</v>
      </c>
      <c r="D4546" s="28" t="s">
        <v>34867</v>
      </c>
      <c r="I4546" s="27" t="str">
        <f t="shared" si="0"/>
        <v>atrazin</v>
      </c>
      <c r="N4546" t="s">
        <v>12350</v>
      </c>
      <c r="P4546"/>
      <c r="Q4546"/>
      <c r="R4546"/>
      <c r="S4546"/>
    </row>
    <row r="4547" spans="1:19" x14ac:dyDescent="0.25">
      <c r="A4547" s="27" t="s">
        <v>193</v>
      </c>
      <c r="C4547" s="27" t="s">
        <v>34749</v>
      </c>
      <c r="D4547" s="28" t="s">
        <v>34867</v>
      </c>
      <c r="I4547" s="27" t="str">
        <f t="shared" si="0"/>
        <v>aureobasisium,pullulans</v>
      </c>
      <c r="N4547" t="s">
        <v>12351</v>
      </c>
      <c r="P4547"/>
      <c r="Q4547"/>
      <c r="R4547"/>
      <c r="S4547"/>
    </row>
    <row r="4548" spans="1:19" x14ac:dyDescent="0.25">
      <c r="A4548" s="27" t="s">
        <v>193</v>
      </c>
      <c r="C4548" s="27" t="s">
        <v>34749</v>
      </c>
      <c r="D4548" s="28" t="s">
        <v>34867</v>
      </c>
      <c r="I4548" s="27" t="str">
        <f t="shared" si="0"/>
        <v>azaconazole</v>
      </c>
      <c r="N4548" t="s">
        <v>12352</v>
      </c>
      <c r="P4548"/>
      <c r="Q4548"/>
      <c r="R4548"/>
      <c r="S4548"/>
    </row>
    <row r="4549" spans="1:19" x14ac:dyDescent="0.25">
      <c r="A4549" s="27" t="s">
        <v>193</v>
      </c>
      <c r="C4549" s="27" t="s">
        <v>34749</v>
      </c>
      <c r="D4549" s="28" t="s">
        <v>34867</v>
      </c>
      <c r="I4549" s="27" t="str">
        <f t="shared" si="0"/>
        <v>azadirachtine,a</v>
      </c>
      <c r="N4549" t="s">
        <v>12353</v>
      </c>
      <c r="O4549" s="28" t="s">
        <v>8359</v>
      </c>
      <c r="P4549"/>
      <c r="Q4549"/>
      <c r="R4549"/>
      <c r="S4549"/>
    </row>
    <row r="4550" spans="1:19" x14ac:dyDescent="0.25">
      <c r="A4550" s="27" t="s">
        <v>193</v>
      </c>
      <c r="C4550" s="27" t="s">
        <v>34749</v>
      </c>
      <c r="D4550" s="28" t="s">
        <v>34867</v>
      </c>
      <c r="I4550" s="27" t="str">
        <f t="shared" si="0"/>
        <v>azamethifos</v>
      </c>
      <c r="N4550" t="s">
        <v>12354</v>
      </c>
      <c r="P4550"/>
      <c r="Q4550"/>
      <c r="R4550"/>
      <c r="S4550"/>
    </row>
    <row r="4551" spans="1:19" x14ac:dyDescent="0.25">
      <c r="A4551" s="27" t="s">
        <v>193</v>
      </c>
      <c r="C4551" s="27" t="s">
        <v>34749</v>
      </c>
      <c r="D4551" s="28" t="s">
        <v>34867</v>
      </c>
      <c r="I4551" s="27" t="str">
        <f t="shared" si="0"/>
        <v>azijnzuur</v>
      </c>
      <c r="N4551" t="s">
        <v>12355</v>
      </c>
      <c r="P4551"/>
      <c r="Q4551"/>
      <c r="R4551"/>
      <c r="S4551"/>
    </row>
    <row r="4552" spans="1:19" x14ac:dyDescent="0.25">
      <c r="A4552" s="27" t="s">
        <v>193</v>
      </c>
      <c r="C4552" s="27" t="s">
        <v>34749</v>
      </c>
      <c r="D4552" s="28" t="s">
        <v>34867</v>
      </c>
      <c r="I4552" s="27" t="str">
        <f t="shared" si="0"/>
        <v>azinfos,methyl</v>
      </c>
      <c r="N4552" t="s">
        <v>12356</v>
      </c>
      <c r="P4552"/>
      <c r="Q4552"/>
      <c r="R4552"/>
      <c r="S4552"/>
    </row>
    <row r="4553" spans="1:19" x14ac:dyDescent="0.25">
      <c r="A4553" s="27" t="s">
        <v>193</v>
      </c>
      <c r="C4553" s="27" t="s">
        <v>34749</v>
      </c>
      <c r="D4553" s="28" t="s">
        <v>34867</v>
      </c>
      <c r="I4553" s="27" t="str">
        <f t="shared" si="0"/>
        <v>azocyclotin</v>
      </c>
      <c r="N4553" t="s">
        <v>12357</v>
      </c>
      <c r="P4553"/>
      <c r="Q4553"/>
      <c r="R4553"/>
      <c r="S4553"/>
    </row>
    <row r="4554" spans="1:19" x14ac:dyDescent="0.25">
      <c r="A4554" s="27" t="s">
        <v>193</v>
      </c>
      <c r="C4554" s="27" t="s">
        <v>34749</v>
      </c>
      <c r="D4554" s="28" t="s">
        <v>34867</v>
      </c>
      <c r="I4554" s="27" t="str">
        <f t="shared" si="0"/>
        <v>azoxystrobine</v>
      </c>
      <c r="N4554" t="s">
        <v>12358</v>
      </c>
      <c r="O4554" s="28" t="s">
        <v>8368</v>
      </c>
      <c r="P4554"/>
      <c r="Q4554"/>
      <c r="R4554"/>
      <c r="S4554"/>
    </row>
    <row r="4555" spans="1:19" x14ac:dyDescent="0.25">
      <c r="A4555" s="27" t="s">
        <v>193</v>
      </c>
      <c r="C4555" s="27" t="s">
        <v>34749</v>
      </c>
      <c r="D4555" s="28" t="s">
        <v>34867</v>
      </c>
      <c r="I4555" s="27" t="str">
        <f t="shared" si="0"/>
        <v>bacillus,thuringiensis</v>
      </c>
      <c r="N4555" t="s">
        <v>12359</v>
      </c>
      <c r="P4555"/>
      <c r="Q4555"/>
      <c r="R4555"/>
      <c r="S4555"/>
    </row>
    <row r="4556" spans="1:19" x14ac:dyDescent="0.25">
      <c r="A4556" s="27" t="s">
        <v>193</v>
      </c>
      <c r="C4556" s="27" t="s">
        <v>34749</v>
      </c>
      <c r="D4556" s="28" t="s">
        <v>34867</v>
      </c>
      <c r="I4556" s="27" t="str">
        <f t="shared" si="0"/>
        <v>beauveria,bassiana</v>
      </c>
      <c r="N4556" t="s">
        <v>12360</v>
      </c>
      <c r="P4556"/>
      <c r="Q4556"/>
      <c r="R4556"/>
      <c r="S4556"/>
    </row>
    <row r="4557" spans="1:19" x14ac:dyDescent="0.25">
      <c r="A4557" s="27" t="s">
        <v>193</v>
      </c>
      <c r="C4557" s="27" t="s">
        <v>34749</v>
      </c>
      <c r="D4557" s="28" t="s">
        <v>34867</v>
      </c>
      <c r="I4557" s="27" t="str">
        <f t="shared" si="0"/>
        <v>benazolin</v>
      </c>
      <c r="N4557" t="s">
        <v>12361</v>
      </c>
      <c r="P4557"/>
      <c r="Q4557"/>
      <c r="R4557"/>
      <c r="S4557"/>
    </row>
    <row r="4558" spans="1:19" x14ac:dyDescent="0.25">
      <c r="A4558" s="27" t="s">
        <v>193</v>
      </c>
      <c r="C4558" s="27" t="s">
        <v>34749</v>
      </c>
      <c r="D4558" s="28" t="s">
        <v>34867</v>
      </c>
      <c r="I4558" s="27" t="str">
        <f t="shared" si="0"/>
        <v>bendiocarb</v>
      </c>
      <c r="N4558" t="s">
        <v>12362</v>
      </c>
      <c r="P4558"/>
      <c r="Q4558"/>
      <c r="R4558"/>
      <c r="S4558"/>
    </row>
    <row r="4559" spans="1:19" x14ac:dyDescent="0.25">
      <c r="A4559" s="27" t="s">
        <v>193</v>
      </c>
      <c r="C4559" s="27" t="s">
        <v>34749</v>
      </c>
      <c r="D4559" s="28" t="s">
        <v>34867</v>
      </c>
      <c r="I4559" s="27" t="str">
        <f t="shared" si="0"/>
        <v>benfluralin</v>
      </c>
      <c r="N4559" t="s">
        <v>12363</v>
      </c>
      <c r="O4559" s="28" t="s">
        <v>8410</v>
      </c>
      <c r="P4559"/>
      <c r="Q4559"/>
      <c r="R4559"/>
      <c r="S4559"/>
    </row>
    <row r="4560" spans="1:19" x14ac:dyDescent="0.25">
      <c r="A4560" s="27" t="s">
        <v>193</v>
      </c>
      <c r="C4560" s="27" t="s">
        <v>34749</v>
      </c>
      <c r="D4560" s="28" t="s">
        <v>34867</v>
      </c>
      <c r="I4560" s="27" t="str">
        <f t="shared" si="0"/>
        <v>benfuracarb</v>
      </c>
      <c r="N4560" t="s">
        <v>12364</v>
      </c>
      <c r="P4560"/>
      <c r="Q4560"/>
      <c r="R4560"/>
      <c r="S4560"/>
    </row>
    <row r="4561" spans="1:19" x14ac:dyDescent="0.25">
      <c r="A4561" s="27" t="s">
        <v>193</v>
      </c>
      <c r="C4561" s="27" t="s">
        <v>34749</v>
      </c>
      <c r="D4561" s="28" t="s">
        <v>34867</v>
      </c>
      <c r="I4561" s="27" t="str">
        <f t="shared" si="0"/>
        <v>benodanil</v>
      </c>
      <c r="N4561" t="s">
        <v>12365</v>
      </c>
      <c r="P4561"/>
      <c r="Q4561"/>
      <c r="R4561"/>
      <c r="S4561"/>
    </row>
    <row r="4562" spans="1:19" x14ac:dyDescent="0.25">
      <c r="A4562" s="27" t="s">
        <v>193</v>
      </c>
      <c r="C4562" s="27" t="s">
        <v>34749</v>
      </c>
      <c r="D4562" s="28" t="s">
        <v>34867</v>
      </c>
      <c r="I4562" s="27" t="str">
        <f t="shared" si="0"/>
        <v>benomyl</v>
      </c>
      <c r="N4562" t="s">
        <v>12366</v>
      </c>
      <c r="P4562"/>
      <c r="Q4562"/>
      <c r="R4562"/>
      <c r="S4562"/>
    </row>
    <row r="4563" spans="1:19" x14ac:dyDescent="0.25">
      <c r="A4563" s="27" t="s">
        <v>193</v>
      </c>
      <c r="C4563" s="27" t="s">
        <v>34749</v>
      </c>
      <c r="D4563" s="28" t="s">
        <v>34867</v>
      </c>
      <c r="I4563" s="27" t="str">
        <f t="shared" si="0"/>
        <v>bentazon</v>
      </c>
      <c r="N4563" t="s">
        <v>12367</v>
      </c>
      <c r="O4563" s="28" t="s">
        <v>8437</v>
      </c>
      <c r="P4563"/>
      <c r="Q4563"/>
      <c r="R4563"/>
      <c r="S4563"/>
    </row>
    <row r="4564" spans="1:19" x14ac:dyDescent="0.25">
      <c r="A4564" s="27" t="s">
        <v>193</v>
      </c>
      <c r="C4564" s="27" t="s">
        <v>34749</v>
      </c>
      <c r="D4564" s="28" t="s">
        <v>34867</v>
      </c>
      <c r="I4564" s="27" t="str">
        <f t="shared" si="0"/>
        <v>benthiavalicarb,isopropyl</v>
      </c>
      <c r="N4564" t="s">
        <v>12368</v>
      </c>
      <c r="O4564" s="28" t="s">
        <v>8431</v>
      </c>
      <c r="P4564"/>
      <c r="Q4564"/>
      <c r="R4564"/>
      <c r="S4564"/>
    </row>
    <row r="4565" spans="1:19" x14ac:dyDescent="0.25">
      <c r="A4565" s="27" t="s">
        <v>193</v>
      </c>
      <c r="C4565" s="27" t="s">
        <v>34749</v>
      </c>
      <c r="D4565" s="28" t="s">
        <v>34867</v>
      </c>
      <c r="I4565" s="27" t="str">
        <f t="shared" ref="I4565:I4628" si="1">SUBSTITUTE(LOWER(N4565),"_",",")</f>
        <v>benzoezuur</v>
      </c>
      <c r="N4565" t="s">
        <v>12369</v>
      </c>
      <c r="O4565" s="28" t="s">
        <v>8482</v>
      </c>
      <c r="P4565"/>
      <c r="Q4565"/>
      <c r="R4565"/>
      <c r="S4565"/>
    </row>
    <row r="4566" spans="1:19" x14ac:dyDescent="0.25">
      <c r="A4566" s="27" t="s">
        <v>193</v>
      </c>
      <c r="C4566" s="27" t="s">
        <v>34749</v>
      </c>
      <c r="D4566" s="28" t="s">
        <v>34867</v>
      </c>
      <c r="I4566" s="27" t="str">
        <f t="shared" si="1"/>
        <v>benzoylprop,ethyl</v>
      </c>
      <c r="N4566" t="s">
        <v>12370</v>
      </c>
      <c r="P4566"/>
      <c r="Q4566"/>
      <c r="R4566"/>
      <c r="S4566"/>
    </row>
    <row r="4567" spans="1:19" x14ac:dyDescent="0.25">
      <c r="A4567" s="27" t="s">
        <v>193</v>
      </c>
      <c r="C4567" s="27" t="s">
        <v>34749</v>
      </c>
      <c r="D4567" s="28" t="s">
        <v>34867</v>
      </c>
      <c r="I4567" s="27" t="str">
        <f t="shared" si="1"/>
        <v>benzyladenine</v>
      </c>
      <c r="N4567" t="s">
        <v>12371</v>
      </c>
      <c r="P4567"/>
      <c r="Q4567"/>
      <c r="R4567"/>
      <c r="S4567"/>
    </row>
    <row r="4568" spans="1:19" x14ac:dyDescent="0.25">
      <c r="A4568" s="27" t="s">
        <v>193</v>
      </c>
      <c r="C4568" s="27" t="s">
        <v>34749</v>
      </c>
      <c r="D4568" s="28" t="s">
        <v>34867</v>
      </c>
      <c r="I4568" s="27" t="str">
        <f t="shared" si="1"/>
        <v>benzylbenzoaat</v>
      </c>
      <c r="N4568" t="s">
        <v>12372</v>
      </c>
      <c r="P4568"/>
      <c r="Q4568"/>
      <c r="R4568"/>
      <c r="S4568"/>
    </row>
    <row r="4569" spans="1:19" x14ac:dyDescent="0.25">
      <c r="A4569" s="27" t="s">
        <v>193</v>
      </c>
      <c r="C4569" s="27" t="s">
        <v>34749</v>
      </c>
      <c r="D4569" s="28" t="s">
        <v>34867</v>
      </c>
      <c r="I4569" s="27" t="str">
        <f t="shared" si="1"/>
        <v>bifenazaat</v>
      </c>
      <c r="N4569" t="s">
        <v>12373</v>
      </c>
      <c r="O4569" s="28" t="s">
        <v>8542</v>
      </c>
      <c r="P4569"/>
      <c r="Q4569"/>
      <c r="R4569"/>
      <c r="S4569"/>
    </row>
    <row r="4570" spans="1:19" x14ac:dyDescent="0.25">
      <c r="A4570" s="27" t="s">
        <v>193</v>
      </c>
      <c r="C4570" s="27" t="s">
        <v>34749</v>
      </c>
      <c r="D4570" s="28" t="s">
        <v>34867</v>
      </c>
      <c r="I4570" s="27" t="str">
        <f t="shared" si="1"/>
        <v>bifenox</v>
      </c>
      <c r="N4570" t="s">
        <v>12374</v>
      </c>
      <c r="O4570" s="28" t="s">
        <v>8536</v>
      </c>
      <c r="P4570"/>
      <c r="Q4570"/>
      <c r="R4570"/>
      <c r="S4570"/>
    </row>
    <row r="4571" spans="1:19" x14ac:dyDescent="0.25">
      <c r="A4571" s="27" t="s">
        <v>193</v>
      </c>
      <c r="C4571" s="27" t="s">
        <v>34749</v>
      </c>
      <c r="D4571" s="28" t="s">
        <v>34867</v>
      </c>
      <c r="I4571" s="27" t="str">
        <f t="shared" si="1"/>
        <v>bifenthrin</v>
      </c>
      <c r="N4571" t="s">
        <v>12375</v>
      </c>
      <c r="P4571"/>
      <c r="Q4571"/>
      <c r="R4571"/>
      <c r="S4571"/>
    </row>
    <row r="4572" spans="1:19" x14ac:dyDescent="0.25">
      <c r="A4572" s="27" t="s">
        <v>193</v>
      </c>
      <c r="C4572" s="27" t="s">
        <v>34749</v>
      </c>
      <c r="D4572" s="28" t="s">
        <v>34867</v>
      </c>
      <c r="I4572" s="27" t="str">
        <f t="shared" si="1"/>
        <v>binapacryl</v>
      </c>
      <c r="N4572" t="s">
        <v>12376</v>
      </c>
      <c r="P4572"/>
      <c r="Q4572"/>
      <c r="R4572"/>
      <c r="S4572"/>
    </row>
    <row r="4573" spans="1:19" x14ac:dyDescent="0.25">
      <c r="A4573" s="27" t="s">
        <v>193</v>
      </c>
      <c r="C4573" s="27" t="s">
        <v>34749</v>
      </c>
      <c r="D4573" s="28" t="s">
        <v>34867</v>
      </c>
      <c r="I4573" s="27" t="str">
        <f t="shared" si="1"/>
        <v>bioallethrin</v>
      </c>
      <c r="N4573" t="s">
        <v>12377</v>
      </c>
      <c r="O4573" s="28" t="s">
        <v>8227</v>
      </c>
      <c r="P4573"/>
      <c r="Q4573"/>
      <c r="R4573"/>
      <c r="S4573"/>
    </row>
    <row r="4574" spans="1:19" x14ac:dyDescent="0.25">
      <c r="A4574" s="27" t="s">
        <v>193</v>
      </c>
      <c r="C4574" s="27" t="s">
        <v>34749</v>
      </c>
      <c r="D4574" s="28" t="s">
        <v>34867</v>
      </c>
      <c r="I4574" s="27" t="str">
        <f t="shared" si="1"/>
        <v>bitertanol</v>
      </c>
      <c r="N4574" t="s">
        <v>12378</v>
      </c>
      <c r="O4574" s="28" t="s">
        <v>8581</v>
      </c>
      <c r="P4574"/>
      <c r="Q4574"/>
      <c r="R4574"/>
      <c r="S4574"/>
    </row>
    <row r="4575" spans="1:19" x14ac:dyDescent="0.25">
      <c r="A4575" s="27" t="s">
        <v>193</v>
      </c>
      <c r="C4575" s="27" t="s">
        <v>34749</v>
      </c>
      <c r="D4575" s="28" t="s">
        <v>34867</v>
      </c>
      <c r="I4575" s="27" t="str">
        <f t="shared" si="1"/>
        <v>bixafen</v>
      </c>
      <c r="N4575" t="s">
        <v>12379</v>
      </c>
      <c r="O4575" s="28" t="s">
        <v>8584</v>
      </c>
      <c r="P4575"/>
      <c r="Q4575"/>
      <c r="R4575"/>
      <c r="S4575"/>
    </row>
    <row r="4576" spans="1:19" x14ac:dyDescent="0.25">
      <c r="A4576" s="27" t="s">
        <v>193</v>
      </c>
      <c r="C4576" s="27" t="s">
        <v>34749</v>
      </c>
      <c r="D4576" s="28" t="s">
        <v>34867</v>
      </c>
      <c r="I4576" s="27" t="str">
        <f t="shared" si="1"/>
        <v>boorzuur</v>
      </c>
      <c r="N4576" t="s">
        <v>12380</v>
      </c>
      <c r="P4576"/>
      <c r="Q4576"/>
      <c r="R4576"/>
      <c r="S4576"/>
    </row>
    <row r="4577" spans="1:19" x14ac:dyDescent="0.25">
      <c r="A4577" s="27" t="s">
        <v>193</v>
      </c>
      <c r="C4577" s="27" t="s">
        <v>34749</v>
      </c>
      <c r="D4577" s="28" t="s">
        <v>34867</v>
      </c>
      <c r="I4577" s="27" t="str">
        <f t="shared" si="1"/>
        <v>boraten</v>
      </c>
      <c r="N4577" t="s">
        <v>12381</v>
      </c>
      <c r="P4577"/>
      <c r="Q4577"/>
      <c r="R4577"/>
      <c r="S4577"/>
    </row>
    <row r="4578" spans="1:19" x14ac:dyDescent="0.25">
      <c r="A4578" s="27" t="s">
        <v>193</v>
      </c>
      <c r="C4578" s="27" t="s">
        <v>34749</v>
      </c>
      <c r="D4578" s="28" t="s">
        <v>34867</v>
      </c>
      <c r="I4578" s="27" t="str">
        <f t="shared" si="1"/>
        <v>borax</v>
      </c>
      <c r="N4578" t="s">
        <v>12382</v>
      </c>
      <c r="P4578"/>
      <c r="Q4578"/>
      <c r="R4578"/>
      <c r="S4578"/>
    </row>
    <row r="4579" spans="1:19" x14ac:dyDescent="0.25">
      <c r="A4579" s="27" t="s">
        <v>193</v>
      </c>
      <c r="C4579" s="27" t="s">
        <v>34749</v>
      </c>
      <c r="D4579" s="28" t="s">
        <v>34867</v>
      </c>
      <c r="I4579" s="27" t="str">
        <f t="shared" si="1"/>
        <v>boscalid</v>
      </c>
      <c r="N4579" t="s">
        <v>12383</v>
      </c>
      <c r="O4579" s="28" t="s">
        <v>8596</v>
      </c>
      <c r="P4579"/>
      <c r="Q4579"/>
      <c r="R4579"/>
      <c r="S4579"/>
    </row>
    <row r="4580" spans="1:19" x14ac:dyDescent="0.25">
      <c r="A4580" s="27" t="s">
        <v>193</v>
      </c>
      <c r="C4580" s="27" t="s">
        <v>34749</v>
      </c>
      <c r="D4580" s="28" t="s">
        <v>34867</v>
      </c>
      <c r="I4580" s="27" t="str">
        <f t="shared" si="1"/>
        <v>brodifacoum</v>
      </c>
      <c r="N4580" t="s">
        <v>12384</v>
      </c>
      <c r="P4580"/>
      <c r="Q4580"/>
      <c r="R4580"/>
      <c r="S4580"/>
    </row>
    <row r="4581" spans="1:19" x14ac:dyDescent="0.25">
      <c r="A4581" s="27" t="s">
        <v>193</v>
      </c>
      <c r="C4581" s="27" t="s">
        <v>34749</v>
      </c>
      <c r="D4581" s="28" t="s">
        <v>34867</v>
      </c>
      <c r="I4581" s="27" t="str">
        <f t="shared" si="1"/>
        <v>bromacil</v>
      </c>
      <c r="N4581" t="s">
        <v>12385</v>
      </c>
      <c r="P4581"/>
      <c r="Q4581"/>
      <c r="R4581"/>
      <c r="S4581"/>
    </row>
    <row r="4582" spans="1:19" x14ac:dyDescent="0.25">
      <c r="A4582" s="27" t="s">
        <v>193</v>
      </c>
      <c r="C4582" s="27" t="s">
        <v>34749</v>
      </c>
      <c r="D4582" s="28" t="s">
        <v>34867</v>
      </c>
      <c r="I4582" s="27" t="str">
        <f t="shared" si="1"/>
        <v>bromadiolon</v>
      </c>
      <c r="N4582" t="s">
        <v>12386</v>
      </c>
      <c r="P4582"/>
      <c r="Q4582"/>
      <c r="R4582"/>
      <c r="S4582"/>
    </row>
    <row r="4583" spans="1:19" x14ac:dyDescent="0.25">
      <c r="A4583" s="27" t="s">
        <v>193</v>
      </c>
      <c r="C4583" s="27" t="s">
        <v>34749</v>
      </c>
      <c r="D4583" s="28" t="s">
        <v>34867</v>
      </c>
      <c r="I4583" s="27" t="str">
        <f t="shared" si="1"/>
        <v>bromofos</v>
      </c>
      <c r="N4583" t="s">
        <v>12387</v>
      </c>
      <c r="P4583"/>
      <c r="Q4583"/>
      <c r="R4583"/>
      <c r="S4583"/>
    </row>
    <row r="4584" spans="1:19" x14ac:dyDescent="0.25">
      <c r="A4584" s="27" t="s">
        <v>193</v>
      </c>
      <c r="C4584" s="27" t="s">
        <v>34749</v>
      </c>
      <c r="D4584" s="28" t="s">
        <v>34867</v>
      </c>
      <c r="I4584" s="27" t="str">
        <f t="shared" si="1"/>
        <v>bromofos,ethyl</v>
      </c>
      <c r="N4584" t="s">
        <v>12388</v>
      </c>
      <c r="P4584"/>
      <c r="Q4584"/>
      <c r="R4584"/>
      <c r="S4584"/>
    </row>
    <row r="4585" spans="1:19" x14ac:dyDescent="0.25">
      <c r="A4585" s="27" t="s">
        <v>193</v>
      </c>
      <c r="C4585" s="27" t="s">
        <v>34749</v>
      </c>
      <c r="D4585" s="28" t="s">
        <v>34867</v>
      </c>
      <c r="I4585" s="27" t="str">
        <f t="shared" si="1"/>
        <v>bromoxynil</v>
      </c>
      <c r="N4585" t="s">
        <v>12389</v>
      </c>
      <c r="O4585" s="28" t="s">
        <v>3251</v>
      </c>
      <c r="P4585"/>
      <c r="Q4585"/>
      <c r="R4585"/>
      <c r="S4585"/>
    </row>
    <row r="4586" spans="1:19" x14ac:dyDescent="0.25">
      <c r="A4586" s="27" t="s">
        <v>193</v>
      </c>
      <c r="C4586" s="27" t="s">
        <v>34749</v>
      </c>
      <c r="D4586" s="28" t="s">
        <v>34867</v>
      </c>
      <c r="I4586" s="27" t="str">
        <f t="shared" si="1"/>
        <v>bromuconazool</v>
      </c>
      <c r="N4586" t="s">
        <v>12390</v>
      </c>
      <c r="O4586" s="28" t="s">
        <v>8614</v>
      </c>
      <c r="P4586"/>
      <c r="Q4586"/>
      <c r="R4586"/>
      <c r="S4586"/>
    </row>
    <row r="4587" spans="1:19" x14ac:dyDescent="0.25">
      <c r="A4587" s="27" t="s">
        <v>193</v>
      </c>
      <c r="C4587" s="27" t="s">
        <v>34749</v>
      </c>
      <c r="D4587" s="28" t="s">
        <v>34867</v>
      </c>
      <c r="I4587" s="27" t="str">
        <f t="shared" si="1"/>
        <v>broomfenoxim</v>
      </c>
      <c r="N4587" t="s">
        <v>12391</v>
      </c>
      <c r="P4587"/>
      <c r="Q4587"/>
      <c r="R4587"/>
      <c r="S4587"/>
    </row>
    <row r="4588" spans="1:19" x14ac:dyDescent="0.25">
      <c r="A4588" s="27" t="s">
        <v>193</v>
      </c>
      <c r="C4588" s="27" t="s">
        <v>34749</v>
      </c>
      <c r="D4588" s="28" t="s">
        <v>34867</v>
      </c>
      <c r="I4588" s="27" t="str">
        <f t="shared" si="1"/>
        <v>broompropylaat</v>
      </c>
      <c r="N4588" t="s">
        <v>12392</v>
      </c>
      <c r="P4588"/>
      <c r="Q4588"/>
      <c r="R4588"/>
      <c r="S4588"/>
    </row>
    <row r="4589" spans="1:19" x14ac:dyDescent="0.25">
      <c r="A4589" s="27" t="s">
        <v>193</v>
      </c>
      <c r="C4589" s="27" t="s">
        <v>34749</v>
      </c>
      <c r="D4589" s="28" t="s">
        <v>34867</v>
      </c>
      <c r="I4589" s="27" t="str">
        <f t="shared" si="1"/>
        <v>buminafos</v>
      </c>
      <c r="N4589" t="s">
        <v>12393</v>
      </c>
      <c r="P4589"/>
      <c r="Q4589"/>
      <c r="R4589"/>
      <c r="S4589"/>
    </row>
    <row r="4590" spans="1:19" x14ac:dyDescent="0.25">
      <c r="A4590" s="27" t="s">
        <v>193</v>
      </c>
      <c r="C4590" s="27" t="s">
        <v>34749</v>
      </c>
      <c r="D4590" s="28" t="s">
        <v>34867</v>
      </c>
      <c r="I4590" s="27" t="str">
        <f t="shared" si="1"/>
        <v>bupirimaat</v>
      </c>
      <c r="N4590" t="s">
        <v>12394</v>
      </c>
      <c r="O4590" s="28" t="s">
        <v>8644</v>
      </c>
      <c r="P4590"/>
      <c r="Q4590"/>
      <c r="R4590"/>
      <c r="S4590"/>
    </row>
    <row r="4591" spans="1:19" x14ac:dyDescent="0.25">
      <c r="A4591" s="27" t="s">
        <v>193</v>
      </c>
      <c r="C4591" s="27" t="s">
        <v>34749</v>
      </c>
      <c r="D4591" s="28" t="s">
        <v>34867</v>
      </c>
      <c r="I4591" s="27" t="str">
        <f t="shared" si="1"/>
        <v>buprofezin</v>
      </c>
      <c r="N4591" t="s">
        <v>12395</v>
      </c>
      <c r="P4591"/>
      <c r="Q4591"/>
      <c r="R4591"/>
      <c r="S4591"/>
    </row>
    <row r="4592" spans="1:19" x14ac:dyDescent="0.25">
      <c r="A4592" s="27" t="s">
        <v>193</v>
      </c>
      <c r="C4592" s="27" t="s">
        <v>34749</v>
      </c>
      <c r="D4592" s="28" t="s">
        <v>34867</v>
      </c>
      <c r="I4592" s="27" t="str">
        <f t="shared" si="1"/>
        <v>butocarboxim</v>
      </c>
      <c r="N4592" t="s">
        <v>12396</v>
      </c>
      <c r="P4592"/>
      <c r="Q4592"/>
      <c r="R4592"/>
      <c r="S4592"/>
    </row>
    <row r="4593" spans="1:19" x14ac:dyDescent="0.25">
      <c r="A4593" s="27" t="s">
        <v>193</v>
      </c>
      <c r="C4593" s="27" t="s">
        <v>34749</v>
      </c>
      <c r="D4593" s="28" t="s">
        <v>34867</v>
      </c>
      <c r="I4593" s="27" t="str">
        <f t="shared" si="1"/>
        <v>butoxycarboxim</v>
      </c>
      <c r="N4593" t="s">
        <v>12397</v>
      </c>
      <c r="P4593"/>
      <c r="Q4593"/>
      <c r="R4593"/>
      <c r="S4593"/>
    </row>
    <row r="4594" spans="1:19" x14ac:dyDescent="0.25">
      <c r="A4594" s="27" t="s">
        <v>193</v>
      </c>
      <c r="C4594" s="27" t="s">
        <v>34749</v>
      </c>
      <c r="D4594" s="28" t="s">
        <v>34867</v>
      </c>
      <c r="I4594" s="27" t="str">
        <f t="shared" si="1"/>
        <v>calcium(poly)sulfide</v>
      </c>
      <c r="N4594" t="s">
        <v>12398</v>
      </c>
      <c r="P4594"/>
      <c r="Q4594"/>
      <c r="R4594"/>
      <c r="S4594"/>
    </row>
    <row r="4595" spans="1:19" x14ac:dyDescent="0.25">
      <c r="A4595" s="27" t="s">
        <v>193</v>
      </c>
      <c r="C4595" s="27" t="s">
        <v>34749</v>
      </c>
      <c r="D4595" s="28" t="s">
        <v>34867</v>
      </c>
      <c r="I4595" s="27" t="str">
        <f t="shared" si="1"/>
        <v>calciumcyanide</v>
      </c>
      <c r="N4595" t="s">
        <v>12399</v>
      </c>
      <c r="P4595"/>
      <c r="Q4595"/>
      <c r="R4595"/>
      <c r="S4595"/>
    </row>
    <row r="4596" spans="1:19" x14ac:dyDescent="0.25">
      <c r="A4596" s="27" t="s">
        <v>193</v>
      </c>
      <c r="C4596" s="27" t="s">
        <v>34749</v>
      </c>
      <c r="D4596" s="28" t="s">
        <v>34867</v>
      </c>
      <c r="I4596" s="27" t="str">
        <f t="shared" si="1"/>
        <v>calciumnitraat</v>
      </c>
      <c r="N4596" t="s">
        <v>12400</v>
      </c>
      <c r="P4596"/>
      <c r="Q4596"/>
      <c r="R4596"/>
      <c r="S4596"/>
    </row>
    <row r="4597" spans="1:19" x14ac:dyDescent="0.25">
      <c r="A4597" s="27" t="s">
        <v>193</v>
      </c>
      <c r="C4597" s="27" t="s">
        <v>34749</v>
      </c>
      <c r="D4597" s="28" t="s">
        <v>34867</v>
      </c>
      <c r="I4597" s="27" t="str">
        <f t="shared" si="1"/>
        <v>captafol</v>
      </c>
      <c r="N4597" t="s">
        <v>12401</v>
      </c>
      <c r="P4597"/>
      <c r="Q4597"/>
      <c r="R4597"/>
      <c r="S4597"/>
    </row>
    <row r="4598" spans="1:19" x14ac:dyDescent="0.25">
      <c r="A4598" s="27" t="s">
        <v>193</v>
      </c>
      <c r="C4598" s="27" t="s">
        <v>34749</v>
      </c>
      <c r="D4598" s="28" t="s">
        <v>34867</v>
      </c>
      <c r="I4598" s="27" t="str">
        <f t="shared" si="1"/>
        <v>captan</v>
      </c>
      <c r="N4598" t="s">
        <v>12402</v>
      </c>
      <c r="O4598" s="28" t="s">
        <v>8761</v>
      </c>
      <c r="P4598"/>
      <c r="Q4598"/>
      <c r="R4598"/>
      <c r="S4598"/>
    </row>
    <row r="4599" spans="1:19" x14ac:dyDescent="0.25">
      <c r="A4599" s="27" t="s">
        <v>193</v>
      </c>
      <c r="C4599" s="27" t="s">
        <v>34749</v>
      </c>
      <c r="D4599" s="28" t="s">
        <v>34867</v>
      </c>
      <c r="I4599" s="27" t="str">
        <f t="shared" si="1"/>
        <v>carbaryl</v>
      </c>
      <c r="N4599" t="s">
        <v>12403</v>
      </c>
      <c r="P4599"/>
      <c r="Q4599"/>
      <c r="R4599"/>
      <c r="S4599"/>
    </row>
    <row r="4600" spans="1:19" x14ac:dyDescent="0.25">
      <c r="A4600" s="27" t="s">
        <v>193</v>
      </c>
      <c r="C4600" s="27" t="s">
        <v>34749</v>
      </c>
      <c r="D4600" s="28" t="s">
        <v>34867</v>
      </c>
      <c r="I4600" s="27" t="str">
        <f t="shared" si="1"/>
        <v>carbeetamide</v>
      </c>
      <c r="N4600" t="s">
        <v>12404</v>
      </c>
      <c r="O4600" s="28" t="s">
        <v>8797</v>
      </c>
      <c r="P4600"/>
      <c r="Q4600"/>
      <c r="R4600"/>
      <c r="S4600"/>
    </row>
    <row r="4601" spans="1:19" x14ac:dyDescent="0.25">
      <c r="A4601" s="27" t="s">
        <v>193</v>
      </c>
      <c r="C4601" s="27" t="s">
        <v>34749</v>
      </c>
      <c r="D4601" s="28" t="s">
        <v>34867</v>
      </c>
      <c r="I4601" s="27" t="str">
        <f t="shared" si="1"/>
        <v>carbendazim</v>
      </c>
      <c r="N4601" t="s">
        <v>12405</v>
      </c>
      <c r="O4601" s="28" t="s">
        <v>8770</v>
      </c>
      <c r="P4601"/>
      <c r="Q4601"/>
      <c r="R4601"/>
      <c r="S4601"/>
    </row>
    <row r="4602" spans="1:19" x14ac:dyDescent="0.25">
      <c r="A4602" s="27" t="s">
        <v>193</v>
      </c>
      <c r="C4602" s="27" t="s">
        <v>34749</v>
      </c>
      <c r="D4602" s="28" t="s">
        <v>34867</v>
      </c>
      <c r="I4602" s="27" t="str">
        <f t="shared" si="1"/>
        <v>carbofenothion</v>
      </c>
      <c r="N4602" t="s">
        <v>12406</v>
      </c>
      <c r="P4602"/>
      <c r="Q4602"/>
      <c r="R4602"/>
      <c r="S4602"/>
    </row>
    <row r="4603" spans="1:19" x14ac:dyDescent="0.25">
      <c r="A4603" s="27" t="s">
        <v>193</v>
      </c>
      <c r="C4603" s="27" t="s">
        <v>34749</v>
      </c>
      <c r="D4603" s="28" t="s">
        <v>34867</v>
      </c>
      <c r="I4603" s="27" t="str">
        <f t="shared" si="1"/>
        <v>carbofuran</v>
      </c>
      <c r="N4603" t="s">
        <v>12407</v>
      </c>
      <c r="P4603"/>
      <c r="Q4603"/>
      <c r="R4603"/>
      <c r="S4603"/>
    </row>
    <row r="4604" spans="1:19" x14ac:dyDescent="0.25">
      <c r="A4604" s="27" t="s">
        <v>193</v>
      </c>
      <c r="C4604" s="27" t="s">
        <v>34749</v>
      </c>
      <c r="D4604" s="28" t="s">
        <v>34867</v>
      </c>
      <c r="I4604" s="27" t="str">
        <f t="shared" si="1"/>
        <v>carboxin</v>
      </c>
      <c r="N4604" t="s">
        <v>12408</v>
      </c>
      <c r="P4604"/>
      <c r="Q4604"/>
      <c r="R4604"/>
      <c r="S4604"/>
    </row>
    <row r="4605" spans="1:19" x14ac:dyDescent="0.25">
      <c r="A4605" s="27" t="s">
        <v>193</v>
      </c>
      <c r="C4605" s="27" t="s">
        <v>34749</v>
      </c>
      <c r="D4605" s="28" t="s">
        <v>34867</v>
      </c>
      <c r="I4605" s="27" t="str">
        <f t="shared" si="1"/>
        <v>carfentrazon,ethyl</v>
      </c>
      <c r="N4605" t="s">
        <v>12409</v>
      </c>
      <c r="P4605"/>
      <c r="Q4605"/>
      <c r="R4605"/>
      <c r="S4605"/>
    </row>
    <row r="4606" spans="1:19" x14ac:dyDescent="0.25">
      <c r="A4606" s="27" t="s">
        <v>193</v>
      </c>
      <c r="C4606" s="27" t="s">
        <v>34749</v>
      </c>
      <c r="D4606" s="28" t="s">
        <v>34867</v>
      </c>
      <c r="I4606" s="27" t="str">
        <f t="shared" si="1"/>
        <v>carfentrazone,ethyl</v>
      </c>
      <c r="N4606" t="s">
        <v>12410</v>
      </c>
      <c r="O4606" s="28" t="s">
        <v>8803</v>
      </c>
      <c r="P4606"/>
      <c r="Q4606"/>
      <c r="R4606"/>
      <c r="S4606"/>
    </row>
    <row r="4607" spans="1:19" x14ac:dyDescent="0.25">
      <c r="A4607" s="27" t="s">
        <v>193</v>
      </c>
      <c r="C4607" s="27" t="s">
        <v>34749</v>
      </c>
      <c r="D4607" s="28" t="s">
        <v>34867</v>
      </c>
      <c r="I4607" s="27" t="str">
        <f t="shared" si="1"/>
        <v>carvon</v>
      </c>
      <c r="N4607" t="s">
        <v>12411</v>
      </c>
      <c r="P4607"/>
      <c r="Q4607"/>
      <c r="R4607"/>
      <c r="S4607"/>
    </row>
    <row r="4608" spans="1:19" x14ac:dyDescent="0.25">
      <c r="A4608" s="27" t="s">
        <v>193</v>
      </c>
      <c r="C4608" s="27" t="s">
        <v>34749</v>
      </c>
      <c r="D4608" s="28" t="s">
        <v>34867</v>
      </c>
      <c r="I4608" s="27" t="str">
        <f t="shared" si="1"/>
        <v>chlofentezin</v>
      </c>
      <c r="N4608" t="s">
        <v>12412</v>
      </c>
      <c r="P4608"/>
      <c r="Q4608"/>
      <c r="R4608"/>
      <c r="S4608"/>
    </row>
    <row r="4609" spans="1:19" x14ac:dyDescent="0.25">
      <c r="A4609" s="27" t="s">
        <v>193</v>
      </c>
      <c r="C4609" s="27" t="s">
        <v>34749</v>
      </c>
      <c r="D4609" s="28" t="s">
        <v>34867</v>
      </c>
      <c r="I4609" s="27" t="str">
        <f t="shared" si="1"/>
        <v>chloorbromuron</v>
      </c>
      <c r="N4609" t="s">
        <v>12413</v>
      </c>
      <c r="P4609"/>
      <c r="Q4609"/>
      <c r="R4609"/>
      <c r="S4609"/>
    </row>
    <row r="4610" spans="1:19" x14ac:dyDescent="0.25">
      <c r="A4610" s="27" t="s">
        <v>193</v>
      </c>
      <c r="C4610" s="27" t="s">
        <v>34749</v>
      </c>
      <c r="D4610" s="28" t="s">
        <v>34867</v>
      </c>
      <c r="I4610" s="27" t="str">
        <f t="shared" si="1"/>
        <v>chloorbufam</v>
      </c>
      <c r="N4610" t="s">
        <v>12414</v>
      </c>
      <c r="P4610"/>
      <c r="Q4610"/>
      <c r="R4610"/>
      <c r="S4610"/>
    </row>
    <row r="4611" spans="1:19" x14ac:dyDescent="0.25">
      <c r="A4611" s="27" t="s">
        <v>193</v>
      </c>
      <c r="C4611" s="27" t="s">
        <v>34749</v>
      </c>
      <c r="D4611" s="28" t="s">
        <v>34867</v>
      </c>
      <c r="I4611" s="27" t="str">
        <f t="shared" si="1"/>
        <v>chloorfacinon</v>
      </c>
      <c r="N4611" t="s">
        <v>12415</v>
      </c>
      <c r="P4611"/>
      <c r="Q4611"/>
      <c r="R4611"/>
      <c r="S4611"/>
    </row>
    <row r="4612" spans="1:19" x14ac:dyDescent="0.25">
      <c r="A4612" s="27" t="s">
        <v>193</v>
      </c>
      <c r="C4612" s="27" t="s">
        <v>34749</v>
      </c>
      <c r="D4612" s="28" t="s">
        <v>34867</v>
      </c>
      <c r="I4612" s="27" t="str">
        <f t="shared" si="1"/>
        <v>chloorfenoxyazijnzuur</v>
      </c>
      <c r="N4612" t="s">
        <v>12416</v>
      </c>
      <c r="P4612"/>
      <c r="Q4612"/>
      <c r="R4612"/>
      <c r="S4612"/>
    </row>
    <row r="4613" spans="1:19" x14ac:dyDescent="0.25">
      <c r="A4613" s="27" t="s">
        <v>193</v>
      </c>
      <c r="C4613" s="27" t="s">
        <v>34749</v>
      </c>
      <c r="D4613" s="28" t="s">
        <v>34867</v>
      </c>
      <c r="I4613" s="27" t="str">
        <f t="shared" si="1"/>
        <v>chloorfenvinfos</v>
      </c>
      <c r="N4613" t="s">
        <v>12417</v>
      </c>
      <c r="P4613"/>
      <c r="Q4613"/>
      <c r="R4613"/>
      <c r="S4613"/>
    </row>
    <row r="4614" spans="1:19" x14ac:dyDescent="0.25">
      <c r="A4614" s="27" t="s">
        <v>193</v>
      </c>
      <c r="C4614" s="27" t="s">
        <v>34749</v>
      </c>
      <c r="D4614" s="28" t="s">
        <v>34867</v>
      </c>
      <c r="I4614" s="27" t="str">
        <f t="shared" si="1"/>
        <v>chloorflurenolmethyl</v>
      </c>
      <c r="N4614" t="s">
        <v>12418</v>
      </c>
      <c r="P4614"/>
      <c r="Q4614"/>
      <c r="R4614"/>
      <c r="S4614"/>
    </row>
    <row r="4615" spans="1:19" x14ac:dyDescent="0.25">
      <c r="A4615" s="27" t="s">
        <v>193</v>
      </c>
      <c r="C4615" s="27" t="s">
        <v>34749</v>
      </c>
      <c r="D4615" s="28" t="s">
        <v>34867</v>
      </c>
      <c r="I4615" s="27" t="str">
        <f t="shared" si="1"/>
        <v>chloormequat</v>
      </c>
      <c r="N4615" t="s">
        <v>12419</v>
      </c>
      <c r="O4615" s="28" t="s">
        <v>4006</v>
      </c>
      <c r="P4615"/>
      <c r="Q4615"/>
      <c r="R4615"/>
      <c r="S4615"/>
    </row>
    <row r="4616" spans="1:19" x14ac:dyDescent="0.25">
      <c r="A4616" s="27" t="s">
        <v>193</v>
      </c>
      <c r="C4616" s="27" t="s">
        <v>34749</v>
      </c>
      <c r="D4616" s="28" t="s">
        <v>34867</v>
      </c>
      <c r="I4616" s="27" t="str">
        <f t="shared" si="1"/>
        <v>chloorprofam</v>
      </c>
      <c r="N4616" t="s">
        <v>12420</v>
      </c>
      <c r="O4616" s="28" t="s">
        <v>4015</v>
      </c>
      <c r="P4616"/>
      <c r="Q4616"/>
      <c r="R4616"/>
      <c r="S4616"/>
    </row>
    <row r="4617" spans="1:19" x14ac:dyDescent="0.25">
      <c r="A4617" s="27" t="s">
        <v>193</v>
      </c>
      <c r="C4617" s="27" t="s">
        <v>34749</v>
      </c>
      <c r="D4617" s="28" t="s">
        <v>34867</v>
      </c>
      <c r="I4617" s="27" t="str">
        <f t="shared" si="1"/>
        <v>chloorpyrifos</v>
      </c>
      <c r="N4617" t="s">
        <v>12421</v>
      </c>
      <c r="P4617"/>
      <c r="Q4617"/>
      <c r="R4617"/>
      <c r="S4617"/>
    </row>
    <row r="4618" spans="1:19" x14ac:dyDescent="0.25">
      <c r="A4618" s="27" t="s">
        <v>193</v>
      </c>
      <c r="C4618" s="27" t="s">
        <v>34749</v>
      </c>
      <c r="D4618" s="28" t="s">
        <v>34867</v>
      </c>
      <c r="I4618" s="27" t="str">
        <f t="shared" si="1"/>
        <v>chloorthal</v>
      </c>
      <c r="N4618" t="s">
        <v>12422</v>
      </c>
      <c r="P4618"/>
      <c r="Q4618"/>
      <c r="R4618"/>
      <c r="S4618"/>
    </row>
    <row r="4619" spans="1:19" x14ac:dyDescent="0.25">
      <c r="A4619" s="27" t="s">
        <v>193</v>
      </c>
      <c r="C4619" s="27" t="s">
        <v>34749</v>
      </c>
      <c r="D4619" s="28" t="s">
        <v>34867</v>
      </c>
      <c r="I4619" s="27" t="str">
        <f t="shared" si="1"/>
        <v>chloorthalonil</v>
      </c>
      <c r="N4619" t="s">
        <v>12423</v>
      </c>
      <c r="O4619" s="28" t="s">
        <v>4036</v>
      </c>
      <c r="P4619"/>
      <c r="Q4619"/>
      <c r="R4619"/>
      <c r="S4619"/>
    </row>
    <row r="4620" spans="1:19" x14ac:dyDescent="0.25">
      <c r="A4620" s="27" t="s">
        <v>193</v>
      </c>
      <c r="C4620" s="27" t="s">
        <v>34749</v>
      </c>
      <c r="D4620" s="28" t="s">
        <v>34867</v>
      </c>
      <c r="I4620" s="27" t="str">
        <f t="shared" si="1"/>
        <v>chloorthiamide</v>
      </c>
      <c r="N4620" t="s">
        <v>12424</v>
      </c>
      <c r="P4620"/>
      <c r="Q4620"/>
      <c r="R4620"/>
      <c r="S4620"/>
    </row>
    <row r="4621" spans="1:19" x14ac:dyDescent="0.25">
      <c r="A4621" s="27" t="s">
        <v>193</v>
      </c>
      <c r="C4621" s="27" t="s">
        <v>34749</v>
      </c>
      <c r="D4621" s="28" t="s">
        <v>34867</v>
      </c>
      <c r="I4621" s="27" t="str">
        <f t="shared" si="1"/>
        <v>chloortoluron</v>
      </c>
      <c r="N4621" t="s">
        <v>12425</v>
      </c>
      <c r="P4621"/>
      <c r="Q4621"/>
      <c r="R4621"/>
      <c r="S4621"/>
    </row>
    <row r="4622" spans="1:19" x14ac:dyDescent="0.25">
      <c r="A4622" s="27" t="s">
        <v>193</v>
      </c>
      <c r="C4622" s="27" t="s">
        <v>34749</v>
      </c>
      <c r="D4622" s="28" t="s">
        <v>34867</v>
      </c>
      <c r="I4622" s="27" t="str">
        <f t="shared" si="1"/>
        <v>chloralhydraat</v>
      </c>
      <c r="N4622" t="s">
        <v>12426</v>
      </c>
      <c r="P4622"/>
      <c r="Q4622"/>
      <c r="R4622"/>
      <c r="S4622"/>
    </row>
    <row r="4623" spans="1:19" x14ac:dyDescent="0.25">
      <c r="A4623" s="27" t="s">
        <v>193</v>
      </c>
      <c r="C4623" s="27" t="s">
        <v>34749</v>
      </c>
      <c r="D4623" s="28" t="s">
        <v>34867</v>
      </c>
      <c r="I4623" s="27" t="str">
        <f t="shared" si="1"/>
        <v>chlorantraniliprole</v>
      </c>
      <c r="N4623" t="s">
        <v>12427</v>
      </c>
      <c r="O4623" s="28" t="s">
        <v>8866</v>
      </c>
      <c r="P4623"/>
      <c r="Q4623"/>
      <c r="R4623"/>
      <c r="S4623"/>
    </row>
    <row r="4624" spans="1:19" x14ac:dyDescent="0.25">
      <c r="A4624" s="27" t="s">
        <v>193</v>
      </c>
      <c r="C4624" s="27" t="s">
        <v>34749</v>
      </c>
      <c r="D4624" s="28" t="s">
        <v>34867</v>
      </c>
      <c r="I4624" s="27" t="str">
        <f t="shared" si="1"/>
        <v>chloridazon</v>
      </c>
      <c r="N4624" t="s">
        <v>12428</v>
      </c>
      <c r="O4624" s="28" t="s">
        <v>4000</v>
      </c>
      <c r="P4624"/>
      <c r="Q4624"/>
      <c r="R4624"/>
      <c r="S4624"/>
    </row>
    <row r="4625" spans="1:19" x14ac:dyDescent="0.25">
      <c r="A4625" s="27" t="s">
        <v>193</v>
      </c>
      <c r="C4625" s="27" t="s">
        <v>34749</v>
      </c>
      <c r="D4625" s="28" t="s">
        <v>34867</v>
      </c>
      <c r="I4625" s="27" t="str">
        <f t="shared" si="1"/>
        <v>chloroxuron</v>
      </c>
      <c r="N4625" t="s">
        <v>12429</v>
      </c>
      <c r="P4625"/>
      <c r="Q4625"/>
      <c r="R4625"/>
      <c r="S4625"/>
    </row>
    <row r="4626" spans="1:19" x14ac:dyDescent="0.25">
      <c r="A4626" s="27" t="s">
        <v>193</v>
      </c>
      <c r="C4626" s="27" t="s">
        <v>34749</v>
      </c>
      <c r="D4626" s="28" t="s">
        <v>34867</v>
      </c>
      <c r="I4626" s="27" t="str">
        <f t="shared" si="1"/>
        <v>cinidon,ethyl</v>
      </c>
      <c r="N4626" t="s">
        <v>12430</v>
      </c>
      <c r="P4626"/>
      <c r="Q4626"/>
      <c r="R4626"/>
      <c r="S4626"/>
    </row>
    <row r="4627" spans="1:19" x14ac:dyDescent="0.25">
      <c r="A4627" s="27" t="s">
        <v>193</v>
      </c>
      <c r="C4627" s="27" t="s">
        <v>34749</v>
      </c>
      <c r="D4627" s="28" t="s">
        <v>34867</v>
      </c>
      <c r="I4627" s="27" t="str">
        <f t="shared" si="1"/>
        <v>cipc</v>
      </c>
      <c r="N4627" t="s">
        <v>12431</v>
      </c>
      <c r="P4627"/>
      <c r="Q4627"/>
      <c r="R4627"/>
      <c r="S4627"/>
    </row>
    <row r="4628" spans="1:19" x14ac:dyDescent="0.25">
      <c r="A4628" s="27" t="s">
        <v>193</v>
      </c>
      <c r="C4628" s="27" t="s">
        <v>34749</v>
      </c>
      <c r="D4628" s="28" t="s">
        <v>34867</v>
      </c>
      <c r="I4628" s="27" t="str">
        <f t="shared" si="1"/>
        <v>cis,dichloorpropeen</v>
      </c>
      <c r="N4628" t="s">
        <v>12432</v>
      </c>
      <c r="P4628"/>
      <c r="Q4628"/>
      <c r="R4628"/>
      <c r="S4628"/>
    </row>
    <row r="4629" spans="1:19" x14ac:dyDescent="0.25">
      <c r="A4629" s="27" t="s">
        <v>193</v>
      </c>
      <c r="C4629" s="27" t="s">
        <v>34749</v>
      </c>
      <c r="D4629" s="28" t="s">
        <v>34867</v>
      </c>
      <c r="I4629" s="27" t="str">
        <f t="shared" ref="I4629:I4692" si="2">SUBSTITUTE(LOWER(N4629),"_",",")</f>
        <v>citronella,olie</v>
      </c>
      <c r="N4629" t="s">
        <v>12433</v>
      </c>
      <c r="P4629"/>
      <c r="Q4629"/>
      <c r="R4629"/>
      <c r="S4629"/>
    </row>
    <row r="4630" spans="1:19" x14ac:dyDescent="0.25">
      <c r="A4630" s="27" t="s">
        <v>193</v>
      </c>
      <c r="C4630" s="27" t="s">
        <v>34749</v>
      </c>
      <c r="D4630" s="28" t="s">
        <v>34867</v>
      </c>
      <c r="I4630" s="27" t="str">
        <f t="shared" si="2"/>
        <v>clethodim</v>
      </c>
      <c r="N4630" t="s">
        <v>12434</v>
      </c>
      <c r="O4630" s="28" t="s">
        <v>8974</v>
      </c>
      <c r="P4630"/>
      <c r="Q4630"/>
      <c r="R4630"/>
      <c r="S4630"/>
    </row>
    <row r="4631" spans="1:19" x14ac:dyDescent="0.25">
      <c r="A4631" s="27" t="s">
        <v>193</v>
      </c>
      <c r="C4631" s="27" t="s">
        <v>34749</v>
      </c>
      <c r="D4631" s="28" t="s">
        <v>34867</v>
      </c>
      <c r="I4631" s="27" t="str">
        <f t="shared" si="2"/>
        <v>clodinafop</v>
      </c>
      <c r="N4631" t="s">
        <v>12435</v>
      </c>
      <c r="P4631"/>
      <c r="Q4631"/>
      <c r="R4631"/>
      <c r="S4631"/>
    </row>
    <row r="4632" spans="1:19" x14ac:dyDescent="0.25">
      <c r="A4632" s="27" t="s">
        <v>193</v>
      </c>
      <c r="C4632" s="27" t="s">
        <v>34749</v>
      </c>
      <c r="D4632" s="28" t="s">
        <v>34867</v>
      </c>
      <c r="I4632" s="27" t="str">
        <f t="shared" si="2"/>
        <v>clodinafop,propargyl</v>
      </c>
      <c r="N4632" t="s">
        <v>12436</v>
      </c>
      <c r="O4632" s="28" t="s">
        <v>8998</v>
      </c>
      <c r="P4632"/>
      <c r="Q4632"/>
      <c r="R4632"/>
      <c r="S4632"/>
    </row>
    <row r="4633" spans="1:19" x14ac:dyDescent="0.25">
      <c r="A4633" s="27" t="s">
        <v>193</v>
      </c>
      <c r="C4633" s="27" t="s">
        <v>34749</v>
      </c>
      <c r="D4633" s="28" t="s">
        <v>34867</v>
      </c>
      <c r="I4633" s="27" t="str">
        <f t="shared" si="2"/>
        <v>clofentezin</v>
      </c>
      <c r="N4633" t="s">
        <v>12437</v>
      </c>
      <c r="O4633" s="28" t="s">
        <v>8860</v>
      </c>
      <c r="P4633"/>
      <c r="Q4633"/>
      <c r="R4633"/>
      <c r="S4633"/>
    </row>
    <row r="4634" spans="1:19" x14ac:dyDescent="0.25">
      <c r="A4634" s="27" t="s">
        <v>193</v>
      </c>
      <c r="C4634" s="27" t="s">
        <v>34749</v>
      </c>
      <c r="D4634" s="28" t="s">
        <v>34867</v>
      </c>
      <c r="I4634" s="27" t="str">
        <f t="shared" si="2"/>
        <v>clomazone</v>
      </c>
      <c r="N4634" t="s">
        <v>12438</v>
      </c>
      <c r="O4634" s="28" t="s">
        <v>9010</v>
      </c>
      <c r="P4634"/>
      <c r="Q4634"/>
      <c r="R4634"/>
      <c r="S4634"/>
    </row>
    <row r="4635" spans="1:19" x14ac:dyDescent="0.25">
      <c r="A4635" s="27" t="s">
        <v>193</v>
      </c>
      <c r="C4635" s="27" t="s">
        <v>34749</v>
      </c>
      <c r="D4635" s="28" t="s">
        <v>34867</v>
      </c>
      <c r="I4635" s="27" t="str">
        <f t="shared" si="2"/>
        <v>clopyralid</v>
      </c>
      <c r="N4635" t="s">
        <v>12439</v>
      </c>
      <c r="O4635" s="28" t="s">
        <v>9016</v>
      </c>
      <c r="P4635"/>
      <c r="Q4635"/>
      <c r="R4635"/>
      <c r="S4635"/>
    </row>
    <row r="4636" spans="1:19" x14ac:dyDescent="0.25">
      <c r="A4636" s="27" t="s">
        <v>193</v>
      </c>
      <c r="C4636" s="27" t="s">
        <v>34749</v>
      </c>
      <c r="D4636" s="28" t="s">
        <v>34867</v>
      </c>
      <c r="I4636" s="27" t="str">
        <f t="shared" si="2"/>
        <v>cloquintoceet</v>
      </c>
      <c r="N4636" t="s">
        <v>12440</v>
      </c>
      <c r="P4636"/>
      <c r="Q4636"/>
      <c r="R4636"/>
      <c r="S4636"/>
    </row>
    <row r="4637" spans="1:19" x14ac:dyDescent="0.25">
      <c r="A4637" s="27" t="s">
        <v>193</v>
      </c>
      <c r="C4637" s="27" t="s">
        <v>34749</v>
      </c>
      <c r="D4637" s="28" t="s">
        <v>34867</v>
      </c>
      <c r="I4637" s="27" t="str">
        <f t="shared" si="2"/>
        <v>clothianidine</v>
      </c>
      <c r="N4637" t="s">
        <v>12441</v>
      </c>
      <c r="P4637"/>
      <c r="Q4637"/>
      <c r="R4637"/>
      <c r="S4637"/>
    </row>
    <row r="4638" spans="1:19" x14ac:dyDescent="0.25">
      <c r="A4638" s="27" t="s">
        <v>193</v>
      </c>
      <c r="C4638" s="27" t="s">
        <v>34749</v>
      </c>
      <c r="D4638" s="28" t="s">
        <v>34867</v>
      </c>
      <c r="I4638" s="27" t="str">
        <f t="shared" si="2"/>
        <v>codlemon</v>
      </c>
      <c r="N4638" t="s">
        <v>12442</v>
      </c>
      <c r="P4638"/>
      <c r="Q4638"/>
      <c r="R4638"/>
      <c r="S4638"/>
    </row>
    <row r="4639" spans="1:19" x14ac:dyDescent="0.25">
      <c r="A4639" s="27" t="s">
        <v>193</v>
      </c>
      <c r="C4639" s="27" t="s">
        <v>34749</v>
      </c>
      <c r="D4639" s="28" t="s">
        <v>34867</v>
      </c>
      <c r="I4639" s="27" t="str">
        <f t="shared" si="2"/>
        <v>coniothyrum,minitans</v>
      </c>
      <c r="N4639" t="s">
        <v>12443</v>
      </c>
      <c r="P4639"/>
      <c r="Q4639"/>
      <c r="R4639"/>
      <c r="S4639"/>
    </row>
    <row r="4640" spans="1:19" x14ac:dyDescent="0.25">
      <c r="A4640" s="27" t="s">
        <v>193</v>
      </c>
      <c r="C4640" s="27" t="s">
        <v>34749</v>
      </c>
      <c r="D4640" s="28" t="s">
        <v>34867</v>
      </c>
      <c r="I4640" s="27" t="str">
        <f t="shared" si="2"/>
        <v>cos,oga</v>
      </c>
      <c r="N4640" t="s">
        <v>12444</v>
      </c>
      <c r="O4640" t="s">
        <v>12445</v>
      </c>
      <c r="P4640"/>
      <c r="Q4640"/>
      <c r="R4640"/>
      <c r="S4640"/>
    </row>
    <row r="4641" spans="1:19" x14ac:dyDescent="0.25">
      <c r="A4641" s="27" t="s">
        <v>193</v>
      </c>
      <c r="C4641" s="27" t="s">
        <v>34749</v>
      </c>
      <c r="D4641" s="28" t="s">
        <v>34867</v>
      </c>
      <c r="I4641" s="27" t="str">
        <f t="shared" si="2"/>
        <v>coumatetralyl</v>
      </c>
      <c r="N4641" t="s">
        <v>12446</v>
      </c>
      <c r="P4641"/>
      <c r="Q4641"/>
      <c r="R4641"/>
      <c r="S4641"/>
    </row>
    <row r="4642" spans="1:19" x14ac:dyDescent="0.25">
      <c r="A4642" s="27" t="s">
        <v>193</v>
      </c>
      <c r="C4642" s="27" t="s">
        <v>34749</v>
      </c>
      <c r="D4642" s="28" t="s">
        <v>34867</v>
      </c>
      <c r="I4642" s="27" t="str">
        <f t="shared" si="2"/>
        <v>creosoot/cresol</v>
      </c>
      <c r="N4642" t="s">
        <v>12447</v>
      </c>
      <c r="P4642"/>
      <c r="Q4642"/>
      <c r="R4642"/>
      <c r="S4642"/>
    </row>
    <row r="4643" spans="1:19" x14ac:dyDescent="0.25">
      <c r="A4643" s="27" t="s">
        <v>193</v>
      </c>
      <c r="C4643" s="27" t="s">
        <v>34749</v>
      </c>
      <c r="D4643" s="28" t="s">
        <v>34867</v>
      </c>
      <c r="I4643" s="27" t="str">
        <f t="shared" si="2"/>
        <v>crimidine</v>
      </c>
      <c r="N4643" t="s">
        <v>12448</v>
      </c>
      <c r="P4643"/>
      <c r="Q4643"/>
      <c r="R4643"/>
      <c r="S4643"/>
    </row>
    <row r="4644" spans="1:19" x14ac:dyDescent="0.25">
      <c r="A4644" s="27" t="s">
        <v>193</v>
      </c>
      <c r="C4644" s="27" t="s">
        <v>34749</v>
      </c>
      <c r="D4644" s="28" t="s">
        <v>34867</v>
      </c>
      <c r="I4644" s="27" t="str">
        <f t="shared" si="2"/>
        <v>cyanazin</v>
      </c>
      <c r="N4644" t="s">
        <v>12449</v>
      </c>
      <c r="P4644"/>
      <c r="Q4644"/>
      <c r="R4644"/>
      <c r="S4644"/>
    </row>
    <row r="4645" spans="1:19" x14ac:dyDescent="0.25">
      <c r="A4645" s="27" t="s">
        <v>193</v>
      </c>
      <c r="C4645" s="27" t="s">
        <v>34749</v>
      </c>
      <c r="D4645" s="28" t="s">
        <v>34867</v>
      </c>
      <c r="I4645" s="27" t="str">
        <f t="shared" si="2"/>
        <v>cyantraniliprole</v>
      </c>
      <c r="N4645" t="s">
        <v>12450</v>
      </c>
      <c r="P4645"/>
      <c r="Q4645"/>
      <c r="R4645"/>
      <c r="S4645"/>
    </row>
    <row r="4646" spans="1:19" x14ac:dyDescent="0.25">
      <c r="A4646" s="27" t="s">
        <v>193</v>
      </c>
      <c r="C4646" s="27" t="s">
        <v>34749</v>
      </c>
      <c r="D4646" s="28" t="s">
        <v>34867</v>
      </c>
      <c r="I4646" s="27" t="str">
        <f t="shared" si="2"/>
        <v>cyazofamid</v>
      </c>
      <c r="N4646" t="s">
        <v>12451</v>
      </c>
      <c r="O4646" s="28" t="s">
        <v>9106</v>
      </c>
      <c r="P4646"/>
      <c r="Q4646"/>
      <c r="R4646"/>
      <c r="S4646"/>
    </row>
    <row r="4647" spans="1:19" x14ac:dyDescent="0.25">
      <c r="A4647" s="27" t="s">
        <v>193</v>
      </c>
      <c r="C4647" s="27" t="s">
        <v>34749</v>
      </c>
      <c r="D4647" s="28" t="s">
        <v>34867</v>
      </c>
      <c r="I4647" s="27" t="str">
        <f t="shared" si="2"/>
        <v>cycloaat</v>
      </c>
      <c r="N4647" t="s">
        <v>12452</v>
      </c>
      <c r="P4647"/>
      <c r="Q4647"/>
      <c r="R4647"/>
      <c r="S4647"/>
    </row>
    <row r="4648" spans="1:19" x14ac:dyDescent="0.25">
      <c r="A4648" s="27" t="s">
        <v>193</v>
      </c>
      <c r="C4648" s="27" t="s">
        <v>34749</v>
      </c>
      <c r="D4648" s="28" t="s">
        <v>34867</v>
      </c>
      <c r="I4648" s="27" t="str">
        <f t="shared" si="2"/>
        <v>cycloxydim</v>
      </c>
      <c r="N4648" t="s">
        <v>12453</v>
      </c>
      <c r="O4648" s="28" t="s">
        <v>9148</v>
      </c>
      <c r="P4648"/>
      <c r="Q4648"/>
      <c r="R4648"/>
      <c r="S4648"/>
    </row>
    <row r="4649" spans="1:19" x14ac:dyDescent="0.25">
      <c r="A4649" s="27" t="s">
        <v>193</v>
      </c>
      <c r="C4649" s="27" t="s">
        <v>34749</v>
      </c>
      <c r="D4649" s="28" t="s">
        <v>34867</v>
      </c>
      <c r="I4649" s="27" t="str">
        <f t="shared" si="2"/>
        <v>cydia,pom.granu.virus</v>
      </c>
      <c r="N4649" t="s">
        <v>12454</v>
      </c>
      <c r="P4649"/>
      <c r="Q4649"/>
      <c r="R4649"/>
      <c r="S4649"/>
    </row>
    <row r="4650" spans="1:19" x14ac:dyDescent="0.25">
      <c r="A4650" s="27" t="s">
        <v>193</v>
      </c>
      <c r="C4650" s="27" t="s">
        <v>34749</v>
      </c>
      <c r="D4650" s="28" t="s">
        <v>34867</v>
      </c>
      <c r="I4650" s="27" t="str">
        <f t="shared" si="2"/>
        <v>cyflufenamid</v>
      </c>
      <c r="N4650" t="s">
        <v>12455</v>
      </c>
      <c r="P4650"/>
      <c r="Q4650"/>
      <c r="R4650"/>
      <c r="S4650"/>
    </row>
    <row r="4651" spans="1:19" x14ac:dyDescent="0.25">
      <c r="A4651" s="27" t="s">
        <v>193</v>
      </c>
      <c r="C4651" s="27" t="s">
        <v>34749</v>
      </c>
      <c r="D4651" s="28" t="s">
        <v>34867</v>
      </c>
      <c r="I4651" s="27" t="str">
        <f t="shared" si="2"/>
        <v>cyflufenamide</v>
      </c>
      <c r="N4651" t="s">
        <v>12456</v>
      </c>
      <c r="O4651" s="28" t="s">
        <v>9151</v>
      </c>
      <c r="P4651"/>
      <c r="Q4651"/>
      <c r="R4651"/>
      <c r="S4651"/>
    </row>
    <row r="4652" spans="1:19" x14ac:dyDescent="0.25">
      <c r="A4652" s="27" t="s">
        <v>193</v>
      </c>
      <c r="C4652" s="27" t="s">
        <v>34749</v>
      </c>
      <c r="D4652" s="28" t="s">
        <v>34867</v>
      </c>
      <c r="I4652" s="27" t="str">
        <f t="shared" si="2"/>
        <v>cyflumetofen</v>
      </c>
      <c r="N4652" t="s">
        <v>12457</v>
      </c>
      <c r="O4652" s="28" t="s">
        <v>9154</v>
      </c>
      <c r="P4652"/>
      <c r="Q4652"/>
      <c r="R4652"/>
      <c r="S4652"/>
    </row>
    <row r="4653" spans="1:19" x14ac:dyDescent="0.25">
      <c r="A4653" s="27" t="s">
        <v>193</v>
      </c>
      <c r="C4653" s="27" t="s">
        <v>34749</v>
      </c>
      <c r="D4653" s="28" t="s">
        <v>34867</v>
      </c>
      <c r="I4653" s="27" t="str">
        <f t="shared" si="2"/>
        <v>cyfluthrin</v>
      </c>
      <c r="N4653" t="s">
        <v>12458</v>
      </c>
      <c r="O4653" s="28" t="s">
        <v>9160</v>
      </c>
      <c r="P4653"/>
      <c r="Q4653"/>
      <c r="R4653"/>
      <c r="S4653"/>
    </row>
    <row r="4654" spans="1:19" x14ac:dyDescent="0.25">
      <c r="A4654" s="27" t="s">
        <v>193</v>
      </c>
      <c r="C4654" s="27" t="s">
        <v>34749</v>
      </c>
      <c r="D4654" s="28" t="s">
        <v>34867</v>
      </c>
      <c r="I4654" s="27" t="str">
        <f t="shared" si="2"/>
        <v>cyhalothrin</v>
      </c>
      <c r="N4654" t="s">
        <v>12459</v>
      </c>
      <c r="P4654"/>
      <c r="Q4654"/>
      <c r="R4654"/>
      <c r="S4654"/>
    </row>
    <row r="4655" spans="1:19" x14ac:dyDescent="0.25">
      <c r="A4655" s="27" t="s">
        <v>193</v>
      </c>
      <c r="C4655" s="27" t="s">
        <v>34749</v>
      </c>
      <c r="D4655" s="28" t="s">
        <v>34867</v>
      </c>
      <c r="I4655" s="27" t="str">
        <f t="shared" si="2"/>
        <v>cyhexatin</v>
      </c>
      <c r="N4655" t="s">
        <v>12460</v>
      </c>
      <c r="P4655"/>
      <c r="Q4655"/>
      <c r="R4655"/>
      <c r="S4655"/>
    </row>
    <row r="4656" spans="1:19" x14ac:dyDescent="0.25">
      <c r="A4656" s="27" t="s">
        <v>193</v>
      </c>
      <c r="C4656" s="27" t="s">
        <v>34749</v>
      </c>
      <c r="D4656" s="28" t="s">
        <v>34867</v>
      </c>
      <c r="I4656" s="27" t="str">
        <f t="shared" si="2"/>
        <v>cymoxanil</v>
      </c>
      <c r="N4656" t="s">
        <v>12461</v>
      </c>
      <c r="O4656" s="28" t="s">
        <v>9172</v>
      </c>
      <c r="P4656"/>
      <c r="Q4656"/>
      <c r="R4656"/>
      <c r="S4656"/>
    </row>
    <row r="4657" spans="1:19" x14ac:dyDescent="0.25">
      <c r="A4657" s="27" t="s">
        <v>193</v>
      </c>
      <c r="C4657" s="27" t="s">
        <v>34749</v>
      </c>
      <c r="D4657" s="28" t="s">
        <v>34867</v>
      </c>
      <c r="I4657" s="27" t="str">
        <f t="shared" si="2"/>
        <v>cypermethrin</v>
      </c>
      <c r="N4657" t="s">
        <v>12462</v>
      </c>
      <c r="P4657"/>
      <c r="Q4657"/>
      <c r="R4657"/>
      <c r="S4657"/>
    </row>
    <row r="4658" spans="1:19" x14ac:dyDescent="0.25">
      <c r="A4658" s="27" t="s">
        <v>193</v>
      </c>
      <c r="C4658" s="27" t="s">
        <v>34749</v>
      </c>
      <c r="D4658" s="28" t="s">
        <v>34867</v>
      </c>
      <c r="I4658" s="27" t="str">
        <f t="shared" si="2"/>
        <v>cyproconazool</v>
      </c>
      <c r="N4658" t="s">
        <v>12463</v>
      </c>
      <c r="O4658" s="28" t="s">
        <v>9181</v>
      </c>
      <c r="P4658"/>
      <c r="Q4658"/>
      <c r="R4658"/>
      <c r="S4658"/>
    </row>
    <row r="4659" spans="1:19" x14ac:dyDescent="0.25">
      <c r="A4659" s="27" t="s">
        <v>193</v>
      </c>
      <c r="C4659" s="27" t="s">
        <v>34749</v>
      </c>
      <c r="D4659" s="28" t="s">
        <v>34867</v>
      </c>
      <c r="I4659" s="27" t="str">
        <f t="shared" si="2"/>
        <v>cyprodinil</v>
      </c>
      <c r="N4659" t="s">
        <v>12464</v>
      </c>
      <c r="O4659" s="28" t="s">
        <v>9184</v>
      </c>
      <c r="P4659"/>
      <c r="Q4659"/>
      <c r="R4659"/>
      <c r="S4659"/>
    </row>
    <row r="4660" spans="1:19" x14ac:dyDescent="0.25">
      <c r="A4660" s="27" t="s">
        <v>193</v>
      </c>
      <c r="C4660" s="27" t="s">
        <v>34749</v>
      </c>
      <c r="D4660" s="28" t="s">
        <v>34867</v>
      </c>
      <c r="I4660" s="27" t="str">
        <f t="shared" si="2"/>
        <v>cyprofuram</v>
      </c>
      <c r="N4660" t="s">
        <v>12465</v>
      </c>
      <c r="P4660"/>
      <c r="Q4660"/>
      <c r="R4660"/>
      <c r="S4660"/>
    </row>
    <row r="4661" spans="1:19" x14ac:dyDescent="0.25">
      <c r="A4661" s="27" t="s">
        <v>193</v>
      </c>
      <c r="C4661" s="27" t="s">
        <v>34749</v>
      </c>
      <c r="D4661" s="28" t="s">
        <v>34867</v>
      </c>
      <c r="I4661" s="27" t="str">
        <f t="shared" si="2"/>
        <v>cyromazine</v>
      </c>
      <c r="N4661" t="s">
        <v>12466</v>
      </c>
      <c r="O4661" s="28" t="s">
        <v>9193</v>
      </c>
      <c r="P4661"/>
      <c r="Q4661"/>
      <c r="R4661"/>
      <c r="S4661"/>
    </row>
    <row r="4662" spans="1:19" x14ac:dyDescent="0.25">
      <c r="A4662" s="27" t="s">
        <v>193</v>
      </c>
      <c r="C4662" s="27" t="s">
        <v>34749</v>
      </c>
      <c r="D4662" s="28" t="s">
        <v>34867</v>
      </c>
      <c r="I4662" s="27" t="str">
        <f t="shared" si="2"/>
        <v>dalapon</v>
      </c>
      <c r="N4662" t="s">
        <v>12467</v>
      </c>
      <c r="P4662"/>
      <c r="Q4662"/>
      <c r="R4662"/>
      <c r="S4662"/>
    </row>
    <row r="4663" spans="1:19" x14ac:dyDescent="0.25">
      <c r="A4663" s="27" t="s">
        <v>193</v>
      </c>
      <c r="C4663" s="27" t="s">
        <v>34749</v>
      </c>
      <c r="D4663" s="28" t="s">
        <v>34867</v>
      </c>
      <c r="I4663" s="27" t="str">
        <f t="shared" si="2"/>
        <v>daminozide</v>
      </c>
      <c r="N4663" t="s">
        <v>12468</v>
      </c>
      <c r="O4663" s="28" t="s">
        <v>9209</v>
      </c>
      <c r="P4663"/>
      <c r="Q4663"/>
      <c r="R4663"/>
      <c r="S4663"/>
    </row>
    <row r="4664" spans="1:19" x14ac:dyDescent="0.25">
      <c r="A4664" s="27" t="s">
        <v>193</v>
      </c>
      <c r="C4664" s="27" t="s">
        <v>34749</v>
      </c>
      <c r="D4664" s="28" t="s">
        <v>34867</v>
      </c>
      <c r="I4664" s="27" t="str">
        <f t="shared" si="2"/>
        <v>dazomet</v>
      </c>
      <c r="N4664" t="s">
        <v>12469</v>
      </c>
      <c r="O4664" s="28" t="s">
        <v>9221</v>
      </c>
      <c r="P4664"/>
      <c r="Q4664"/>
      <c r="R4664"/>
      <c r="S4664"/>
    </row>
    <row r="4665" spans="1:19" x14ac:dyDescent="0.25">
      <c r="A4665" s="27" t="s">
        <v>193</v>
      </c>
      <c r="C4665" s="27" t="s">
        <v>34749</v>
      </c>
      <c r="D4665" s="28" t="s">
        <v>34867</v>
      </c>
      <c r="I4665" s="27" t="str">
        <f t="shared" si="2"/>
        <v>decaanzuur</v>
      </c>
      <c r="N4665" t="s">
        <v>12470</v>
      </c>
      <c r="P4665"/>
      <c r="Q4665"/>
      <c r="R4665"/>
      <c r="S4665"/>
    </row>
    <row r="4666" spans="1:19" x14ac:dyDescent="0.25">
      <c r="A4666" s="27" t="s">
        <v>193</v>
      </c>
      <c r="C4666" s="27" t="s">
        <v>34749</v>
      </c>
      <c r="D4666" s="28" t="s">
        <v>34867</v>
      </c>
      <c r="I4666" s="27" t="str">
        <f t="shared" si="2"/>
        <v>deltamethrin</v>
      </c>
      <c r="N4666" t="s">
        <v>12471</v>
      </c>
      <c r="O4666" s="28" t="s">
        <v>9302</v>
      </c>
      <c r="P4666"/>
      <c r="Q4666"/>
      <c r="R4666"/>
      <c r="S4666"/>
    </row>
    <row r="4667" spans="1:19" x14ac:dyDescent="0.25">
      <c r="A4667" s="27" t="s">
        <v>193</v>
      </c>
      <c r="C4667" s="27" t="s">
        <v>34749</v>
      </c>
      <c r="D4667" s="28" t="s">
        <v>34867</v>
      </c>
      <c r="I4667" s="27" t="str">
        <f t="shared" si="2"/>
        <v>desmedifam</v>
      </c>
      <c r="N4667" t="s">
        <v>12472</v>
      </c>
      <c r="O4667" s="28" t="s">
        <v>9266</v>
      </c>
      <c r="P4667"/>
      <c r="Q4667"/>
      <c r="R4667"/>
      <c r="S4667"/>
    </row>
    <row r="4668" spans="1:19" x14ac:dyDescent="0.25">
      <c r="A4668" s="27" t="s">
        <v>193</v>
      </c>
      <c r="C4668" s="27" t="s">
        <v>34749</v>
      </c>
      <c r="D4668" s="28" t="s">
        <v>34867</v>
      </c>
      <c r="I4668" s="27" t="str">
        <f t="shared" si="2"/>
        <v>desmetryn</v>
      </c>
      <c r="N4668" t="s">
        <v>12473</v>
      </c>
      <c r="P4668"/>
      <c r="Q4668"/>
      <c r="R4668"/>
      <c r="S4668"/>
    </row>
    <row r="4669" spans="1:19" x14ac:dyDescent="0.25">
      <c r="A4669" s="27" t="s">
        <v>193</v>
      </c>
      <c r="C4669" s="27" t="s">
        <v>34749</v>
      </c>
      <c r="D4669" s="28" t="s">
        <v>34867</v>
      </c>
      <c r="I4669" s="27" t="str">
        <f t="shared" si="2"/>
        <v>di,n,propyl,isocinchomeronaat</v>
      </c>
      <c r="N4669" t="s">
        <v>12474</v>
      </c>
      <c r="P4669"/>
      <c r="Q4669"/>
      <c r="R4669"/>
      <c r="S4669"/>
    </row>
    <row r="4670" spans="1:19" x14ac:dyDescent="0.25">
      <c r="A4670" s="27" t="s">
        <v>193</v>
      </c>
      <c r="C4670" s="27" t="s">
        <v>34749</v>
      </c>
      <c r="D4670" s="28" t="s">
        <v>34867</v>
      </c>
      <c r="I4670" s="27" t="str">
        <f t="shared" si="2"/>
        <v>dial.dichl.aceetam.</v>
      </c>
      <c r="N4670" t="s">
        <v>12475</v>
      </c>
      <c r="P4670"/>
      <c r="Q4670"/>
      <c r="R4670"/>
      <c r="S4670"/>
    </row>
    <row r="4671" spans="1:19" x14ac:dyDescent="0.25">
      <c r="A4671" s="27" t="s">
        <v>193</v>
      </c>
      <c r="C4671" s="27" t="s">
        <v>34749</v>
      </c>
      <c r="D4671" s="28" t="s">
        <v>34867</v>
      </c>
      <c r="I4671" s="27" t="str">
        <f t="shared" si="2"/>
        <v>diallaat</v>
      </c>
      <c r="N4671" t="s">
        <v>12476</v>
      </c>
      <c r="P4671"/>
      <c r="Q4671"/>
      <c r="R4671"/>
      <c r="S4671"/>
    </row>
    <row r="4672" spans="1:19" x14ac:dyDescent="0.25">
      <c r="A4672" s="27" t="s">
        <v>193</v>
      </c>
      <c r="C4672" s="27" t="s">
        <v>34749</v>
      </c>
      <c r="D4672" s="28" t="s">
        <v>34867</v>
      </c>
      <c r="I4672" s="27" t="str">
        <f t="shared" si="2"/>
        <v>diamyl.eth.glycolet.</v>
      </c>
      <c r="N4672" t="s">
        <v>12477</v>
      </c>
      <c r="P4672"/>
      <c r="Q4672"/>
      <c r="R4672"/>
      <c r="S4672"/>
    </row>
    <row r="4673" spans="1:19" x14ac:dyDescent="0.25">
      <c r="A4673" s="27" t="s">
        <v>193</v>
      </c>
      <c r="C4673" s="27" t="s">
        <v>34749</v>
      </c>
      <c r="D4673" s="28" t="s">
        <v>34867</v>
      </c>
      <c r="I4673" s="27" t="str">
        <f t="shared" si="2"/>
        <v>diamylfenoldekaethyleenglycolether</v>
      </c>
      <c r="N4673" t="s">
        <v>12478</v>
      </c>
      <c r="P4673"/>
      <c r="Q4673"/>
      <c r="R4673"/>
      <c r="S4673"/>
    </row>
    <row r="4674" spans="1:19" x14ac:dyDescent="0.25">
      <c r="A4674" s="27" t="s">
        <v>193</v>
      </c>
      <c r="C4674" s="27" t="s">
        <v>34749</v>
      </c>
      <c r="D4674" s="28" t="s">
        <v>34867</v>
      </c>
      <c r="I4674" s="27" t="str">
        <f t="shared" si="2"/>
        <v>diazinon</v>
      </c>
      <c r="N4674" t="s">
        <v>12479</v>
      </c>
      <c r="P4674"/>
      <c r="Q4674"/>
      <c r="R4674"/>
      <c r="S4674"/>
    </row>
    <row r="4675" spans="1:19" x14ac:dyDescent="0.25">
      <c r="A4675" s="27" t="s">
        <v>193</v>
      </c>
      <c r="C4675" s="27" t="s">
        <v>34749</v>
      </c>
      <c r="D4675" s="28" t="s">
        <v>34867</v>
      </c>
      <c r="I4675" s="27" t="str">
        <f t="shared" si="2"/>
        <v>dicamba</v>
      </c>
      <c r="N4675" t="s">
        <v>12480</v>
      </c>
      <c r="O4675" s="28" t="s">
        <v>4496</v>
      </c>
      <c r="P4675"/>
      <c r="Q4675"/>
      <c r="R4675"/>
      <c r="S4675"/>
    </row>
    <row r="4676" spans="1:19" x14ac:dyDescent="0.25">
      <c r="A4676" s="27" t="s">
        <v>193</v>
      </c>
      <c r="C4676" s="27" t="s">
        <v>34749</v>
      </c>
      <c r="D4676" s="28" t="s">
        <v>34867</v>
      </c>
      <c r="I4676" s="27" t="str">
        <f t="shared" si="2"/>
        <v>dichlobenil</v>
      </c>
      <c r="N4676" t="s">
        <v>12481</v>
      </c>
      <c r="P4676"/>
      <c r="Q4676"/>
      <c r="R4676"/>
      <c r="S4676"/>
    </row>
    <row r="4677" spans="1:19" x14ac:dyDescent="0.25">
      <c r="A4677" s="27" t="s">
        <v>193</v>
      </c>
      <c r="C4677" s="27" t="s">
        <v>34749</v>
      </c>
      <c r="D4677" s="28" t="s">
        <v>34867</v>
      </c>
      <c r="I4677" s="27" t="str">
        <f t="shared" si="2"/>
        <v>dichlofenthion</v>
      </c>
      <c r="N4677" t="s">
        <v>12482</v>
      </c>
      <c r="P4677"/>
      <c r="Q4677"/>
      <c r="R4677"/>
      <c r="S4677"/>
    </row>
    <row r="4678" spans="1:19" x14ac:dyDescent="0.25">
      <c r="A4678" s="27" t="s">
        <v>193</v>
      </c>
      <c r="C4678" s="27" t="s">
        <v>34749</v>
      </c>
      <c r="D4678" s="28" t="s">
        <v>34867</v>
      </c>
      <c r="I4678" s="27" t="str">
        <f t="shared" si="2"/>
        <v>dichlofluanide</v>
      </c>
      <c r="N4678" t="s">
        <v>12483</v>
      </c>
      <c r="P4678"/>
      <c r="Q4678"/>
      <c r="R4678"/>
      <c r="S4678"/>
    </row>
    <row r="4679" spans="1:19" x14ac:dyDescent="0.25">
      <c r="A4679" s="27" t="s">
        <v>193</v>
      </c>
      <c r="C4679" s="27" t="s">
        <v>34749</v>
      </c>
      <c r="D4679" s="28" t="s">
        <v>34867</v>
      </c>
      <c r="I4679" s="27" t="str">
        <f t="shared" si="2"/>
        <v>dichloormethaan</v>
      </c>
      <c r="N4679" t="s">
        <v>12484</v>
      </c>
      <c r="P4679"/>
      <c r="Q4679"/>
      <c r="R4679"/>
      <c r="S4679"/>
    </row>
    <row r="4680" spans="1:19" x14ac:dyDescent="0.25">
      <c r="A4680" s="27" t="s">
        <v>193</v>
      </c>
      <c r="C4680" s="27" t="s">
        <v>34749</v>
      </c>
      <c r="D4680" s="28" t="s">
        <v>34867</v>
      </c>
      <c r="I4680" s="27" t="str">
        <f t="shared" si="2"/>
        <v>dichloorprop</v>
      </c>
      <c r="N4680" t="s">
        <v>12485</v>
      </c>
      <c r="P4680"/>
      <c r="Q4680"/>
      <c r="R4680"/>
      <c r="S4680"/>
    </row>
    <row r="4681" spans="1:19" x14ac:dyDescent="0.25">
      <c r="A4681" s="27" t="s">
        <v>193</v>
      </c>
      <c r="C4681" s="27" t="s">
        <v>34749</v>
      </c>
      <c r="D4681" s="28" t="s">
        <v>34867</v>
      </c>
      <c r="I4681" s="27" t="str">
        <f t="shared" si="2"/>
        <v>dichloorprop,p</v>
      </c>
      <c r="N4681" t="s">
        <v>12486</v>
      </c>
      <c r="P4681"/>
      <c r="Q4681"/>
      <c r="R4681"/>
      <c r="S4681"/>
    </row>
    <row r="4682" spans="1:19" x14ac:dyDescent="0.25">
      <c r="A4682" s="27" t="s">
        <v>193</v>
      </c>
      <c r="C4682" s="27" t="s">
        <v>34749</v>
      </c>
      <c r="D4682" s="28" t="s">
        <v>34867</v>
      </c>
      <c r="I4682" s="27" t="str">
        <f t="shared" si="2"/>
        <v>dichloorpropeen</v>
      </c>
      <c r="N4682" t="s">
        <v>12487</v>
      </c>
      <c r="P4682"/>
      <c r="Q4682"/>
      <c r="R4682"/>
      <c r="S4682"/>
    </row>
    <row r="4683" spans="1:19" x14ac:dyDescent="0.25">
      <c r="A4683" s="27" t="s">
        <v>193</v>
      </c>
      <c r="C4683" s="27" t="s">
        <v>34749</v>
      </c>
      <c r="D4683" s="28" t="s">
        <v>34867</v>
      </c>
      <c r="I4683" s="27" t="str">
        <f t="shared" si="2"/>
        <v>dichloorvos</v>
      </c>
      <c r="N4683" t="s">
        <v>12488</v>
      </c>
      <c r="O4683" s="28" t="s">
        <v>4320</v>
      </c>
      <c r="P4683"/>
      <c r="Q4683"/>
      <c r="R4683"/>
      <c r="S4683"/>
    </row>
    <row r="4684" spans="1:19" x14ac:dyDescent="0.25">
      <c r="A4684" s="27" t="s">
        <v>193</v>
      </c>
      <c r="C4684" s="27" t="s">
        <v>34749</v>
      </c>
      <c r="D4684" s="28" t="s">
        <v>34867</v>
      </c>
      <c r="I4684" s="27" t="str">
        <f t="shared" si="2"/>
        <v>dichloran</v>
      </c>
      <c r="N4684" t="s">
        <v>12489</v>
      </c>
      <c r="P4684"/>
      <c r="Q4684"/>
      <c r="R4684"/>
      <c r="S4684"/>
    </row>
    <row r="4685" spans="1:19" x14ac:dyDescent="0.25">
      <c r="A4685" s="27" t="s">
        <v>193</v>
      </c>
      <c r="C4685" s="27" t="s">
        <v>34749</v>
      </c>
      <c r="D4685" s="28" t="s">
        <v>34867</v>
      </c>
      <c r="I4685" s="27" t="str">
        <f t="shared" si="2"/>
        <v>dicofol</v>
      </c>
      <c r="N4685" t="s">
        <v>12490</v>
      </c>
      <c r="P4685"/>
      <c r="Q4685"/>
      <c r="R4685"/>
      <c r="S4685"/>
    </row>
    <row r="4686" spans="1:19" x14ac:dyDescent="0.25">
      <c r="A4686" s="27" t="s">
        <v>193</v>
      </c>
      <c r="C4686" s="27" t="s">
        <v>34749</v>
      </c>
      <c r="D4686" s="28" t="s">
        <v>34867</v>
      </c>
      <c r="I4686" s="27" t="str">
        <f t="shared" si="2"/>
        <v>didecyldimethylammoniumchloride</v>
      </c>
      <c r="N4686" t="s">
        <v>12491</v>
      </c>
      <c r="P4686"/>
      <c r="Q4686"/>
      <c r="R4686"/>
      <c r="S4686"/>
    </row>
    <row r="4687" spans="1:19" x14ac:dyDescent="0.25">
      <c r="A4687" s="27" t="s">
        <v>193</v>
      </c>
      <c r="C4687" s="27" t="s">
        <v>34749</v>
      </c>
      <c r="D4687" s="28" t="s">
        <v>34867</v>
      </c>
      <c r="I4687" s="27" t="str">
        <f t="shared" si="2"/>
        <v>dienochloor</v>
      </c>
      <c r="N4687" t="s">
        <v>12492</v>
      </c>
      <c r="P4687"/>
      <c r="Q4687"/>
      <c r="R4687"/>
      <c r="S4687"/>
    </row>
    <row r="4688" spans="1:19" x14ac:dyDescent="0.25">
      <c r="A4688" s="27" t="s">
        <v>193</v>
      </c>
      <c r="C4688" s="27" t="s">
        <v>34749</v>
      </c>
      <c r="D4688" s="28" t="s">
        <v>34867</v>
      </c>
      <c r="I4688" s="27" t="str">
        <f t="shared" si="2"/>
        <v>dierlijke,teerolie</v>
      </c>
      <c r="N4688" t="s">
        <v>12493</v>
      </c>
      <c r="P4688"/>
      <c r="Q4688"/>
      <c r="R4688"/>
      <c r="S4688"/>
    </row>
    <row r="4689" spans="1:19" x14ac:dyDescent="0.25">
      <c r="A4689" s="27" t="s">
        <v>193</v>
      </c>
      <c r="C4689" s="27" t="s">
        <v>34749</v>
      </c>
      <c r="D4689" s="28" t="s">
        <v>34867</v>
      </c>
      <c r="I4689" s="27" t="str">
        <f t="shared" si="2"/>
        <v>diethofencarb</v>
      </c>
      <c r="N4689" t="s">
        <v>12494</v>
      </c>
      <c r="O4689" s="28" t="s">
        <v>4546</v>
      </c>
      <c r="P4689"/>
      <c r="Q4689"/>
      <c r="R4689"/>
      <c r="S4689"/>
    </row>
    <row r="4690" spans="1:19" x14ac:dyDescent="0.25">
      <c r="A4690" s="27" t="s">
        <v>193</v>
      </c>
      <c r="C4690" s="27" t="s">
        <v>34749</v>
      </c>
      <c r="D4690" s="28" t="s">
        <v>34867</v>
      </c>
      <c r="I4690" s="27" t="str">
        <f t="shared" si="2"/>
        <v>diethyl,m,toluamide</v>
      </c>
      <c r="N4690" t="s">
        <v>12495</v>
      </c>
      <c r="P4690"/>
      <c r="Q4690"/>
      <c r="R4690"/>
      <c r="S4690"/>
    </row>
    <row r="4691" spans="1:19" x14ac:dyDescent="0.25">
      <c r="A4691" s="27" t="s">
        <v>193</v>
      </c>
      <c r="C4691" s="27" t="s">
        <v>34749</v>
      </c>
      <c r="D4691" s="28" t="s">
        <v>34867</v>
      </c>
      <c r="I4691" s="27" t="str">
        <f t="shared" si="2"/>
        <v>diethyleenglycol</v>
      </c>
      <c r="N4691" t="s">
        <v>12496</v>
      </c>
      <c r="P4691"/>
      <c r="Q4691"/>
      <c r="R4691"/>
      <c r="S4691"/>
    </row>
    <row r="4692" spans="1:19" x14ac:dyDescent="0.25">
      <c r="A4692" s="27" t="s">
        <v>193</v>
      </c>
      <c r="C4692" s="27" t="s">
        <v>34749</v>
      </c>
      <c r="D4692" s="28" t="s">
        <v>34867</v>
      </c>
      <c r="I4692" s="27" t="str">
        <f t="shared" si="2"/>
        <v>difenacoum</v>
      </c>
      <c r="N4692" t="s">
        <v>12497</v>
      </c>
      <c r="P4692"/>
      <c r="Q4692"/>
      <c r="R4692"/>
      <c r="S4692"/>
    </row>
    <row r="4693" spans="1:19" x14ac:dyDescent="0.25">
      <c r="A4693" s="27" t="s">
        <v>193</v>
      </c>
      <c r="C4693" s="27" t="s">
        <v>34749</v>
      </c>
      <c r="D4693" s="28" t="s">
        <v>34867</v>
      </c>
      <c r="I4693" s="27" t="str">
        <f t="shared" ref="I4693:I4756" si="3">SUBSTITUTE(LOWER(N4693),"_",",")</f>
        <v>difenacum</v>
      </c>
      <c r="N4693" t="s">
        <v>12498</v>
      </c>
      <c r="P4693"/>
      <c r="Q4693"/>
      <c r="R4693"/>
      <c r="S4693"/>
    </row>
    <row r="4694" spans="1:19" x14ac:dyDescent="0.25">
      <c r="A4694" s="27" t="s">
        <v>193</v>
      </c>
      <c r="C4694" s="27" t="s">
        <v>34749</v>
      </c>
      <c r="D4694" s="28" t="s">
        <v>34867</v>
      </c>
      <c r="I4694" s="27" t="str">
        <f t="shared" si="3"/>
        <v>difenoconazool</v>
      </c>
      <c r="N4694" t="s">
        <v>12499</v>
      </c>
      <c r="O4694" s="28" t="s">
        <v>4570</v>
      </c>
      <c r="P4694"/>
      <c r="Q4694"/>
      <c r="R4694"/>
      <c r="S4694"/>
    </row>
    <row r="4695" spans="1:19" x14ac:dyDescent="0.25">
      <c r="A4695" s="27" t="s">
        <v>193</v>
      </c>
      <c r="C4695" s="27" t="s">
        <v>34749</v>
      </c>
      <c r="D4695" s="28" t="s">
        <v>34867</v>
      </c>
      <c r="I4695" s="27" t="str">
        <f t="shared" si="3"/>
        <v>difenoxuron</v>
      </c>
      <c r="N4695" t="s">
        <v>12500</v>
      </c>
      <c r="P4695"/>
      <c r="Q4695"/>
      <c r="R4695"/>
      <c r="S4695"/>
    </row>
    <row r="4696" spans="1:19" x14ac:dyDescent="0.25">
      <c r="A4696" s="27" t="s">
        <v>193</v>
      </c>
      <c r="C4696" s="27" t="s">
        <v>34749</v>
      </c>
      <c r="D4696" s="28" t="s">
        <v>34867</v>
      </c>
      <c r="I4696" s="27" t="str">
        <f t="shared" si="3"/>
        <v>difenzoquat</v>
      </c>
      <c r="N4696" t="s">
        <v>12501</v>
      </c>
      <c r="P4696"/>
      <c r="Q4696"/>
      <c r="R4696"/>
      <c r="S4696"/>
    </row>
    <row r="4697" spans="1:19" x14ac:dyDescent="0.25">
      <c r="A4697" s="27" t="s">
        <v>193</v>
      </c>
      <c r="C4697" s="27" t="s">
        <v>34749</v>
      </c>
      <c r="D4697" s="28" t="s">
        <v>34867</v>
      </c>
      <c r="I4697" s="27" t="str">
        <f t="shared" si="3"/>
        <v>difethialon</v>
      </c>
      <c r="N4697" t="s">
        <v>12502</v>
      </c>
      <c r="P4697"/>
      <c r="Q4697"/>
      <c r="R4697"/>
      <c r="S4697"/>
    </row>
    <row r="4698" spans="1:19" x14ac:dyDescent="0.25">
      <c r="A4698" s="27" t="s">
        <v>193</v>
      </c>
      <c r="C4698" s="27" t="s">
        <v>34749</v>
      </c>
      <c r="D4698" s="28" t="s">
        <v>34867</v>
      </c>
      <c r="I4698" s="27" t="str">
        <f t="shared" si="3"/>
        <v>diflubenzuron</v>
      </c>
      <c r="N4698" t="s">
        <v>12503</v>
      </c>
      <c r="O4698" s="28" t="s">
        <v>4558</v>
      </c>
      <c r="P4698"/>
      <c r="Q4698"/>
      <c r="R4698"/>
      <c r="S4698"/>
    </row>
    <row r="4699" spans="1:19" x14ac:dyDescent="0.25">
      <c r="A4699" s="27" t="s">
        <v>193</v>
      </c>
      <c r="C4699" s="27" t="s">
        <v>34749</v>
      </c>
      <c r="D4699" s="28" t="s">
        <v>34867</v>
      </c>
      <c r="I4699" s="27" t="str">
        <f t="shared" si="3"/>
        <v>diflufenican</v>
      </c>
      <c r="N4699" t="s">
        <v>12504</v>
      </c>
      <c r="O4699" s="28" t="s">
        <v>4561</v>
      </c>
      <c r="P4699"/>
      <c r="Q4699"/>
      <c r="R4699"/>
      <c r="S4699"/>
    </row>
    <row r="4700" spans="1:19" x14ac:dyDescent="0.25">
      <c r="A4700" s="27" t="s">
        <v>193</v>
      </c>
      <c r="C4700" s="27" t="s">
        <v>34749</v>
      </c>
      <c r="D4700" s="28" t="s">
        <v>34867</v>
      </c>
      <c r="I4700" s="27" t="str">
        <f t="shared" si="3"/>
        <v>dikegulac,natrium</v>
      </c>
      <c r="N4700" t="s">
        <v>12505</v>
      </c>
      <c r="P4700"/>
      <c r="Q4700"/>
      <c r="R4700"/>
      <c r="S4700"/>
    </row>
    <row r="4701" spans="1:19" x14ac:dyDescent="0.25">
      <c r="A4701" s="27" t="s">
        <v>193</v>
      </c>
      <c r="C4701" s="27" t="s">
        <v>34749</v>
      </c>
      <c r="D4701" s="28" t="s">
        <v>34867</v>
      </c>
      <c r="I4701" s="27" t="str">
        <f t="shared" si="3"/>
        <v>dimethachloor</v>
      </c>
      <c r="N4701" t="s">
        <v>12506</v>
      </c>
      <c r="P4701"/>
      <c r="Q4701"/>
      <c r="R4701"/>
      <c r="S4701"/>
    </row>
    <row r="4702" spans="1:19" x14ac:dyDescent="0.25">
      <c r="A4702" s="27" t="s">
        <v>193</v>
      </c>
      <c r="C4702" s="27" t="s">
        <v>34749</v>
      </c>
      <c r="D4702" s="28" t="s">
        <v>34867</v>
      </c>
      <c r="I4702" s="27" t="str">
        <f t="shared" si="3"/>
        <v>dimethenamide</v>
      </c>
      <c r="N4702" t="s">
        <v>12507</v>
      </c>
      <c r="P4702"/>
      <c r="Q4702"/>
      <c r="R4702"/>
      <c r="S4702"/>
    </row>
    <row r="4703" spans="1:19" x14ac:dyDescent="0.25">
      <c r="A4703" s="27" t="s">
        <v>193</v>
      </c>
      <c r="C4703" s="27" t="s">
        <v>34749</v>
      </c>
      <c r="D4703" s="28" t="s">
        <v>34867</v>
      </c>
      <c r="I4703" s="27" t="str">
        <f t="shared" si="3"/>
        <v>dimethenamide,p</v>
      </c>
      <c r="N4703" t="s">
        <v>12508</v>
      </c>
      <c r="O4703" s="28" t="s">
        <v>4654</v>
      </c>
      <c r="P4703"/>
      <c r="Q4703"/>
      <c r="R4703"/>
      <c r="S4703"/>
    </row>
    <row r="4704" spans="1:19" x14ac:dyDescent="0.25">
      <c r="A4704" s="27" t="s">
        <v>193</v>
      </c>
      <c r="C4704" s="27" t="s">
        <v>34749</v>
      </c>
      <c r="D4704" s="28" t="s">
        <v>34867</v>
      </c>
      <c r="I4704" s="27" t="str">
        <f t="shared" si="3"/>
        <v>dimethoaat</v>
      </c>
      <c r="N4704" t="s">
        <v>12509</v>
      </c>
      <c r="O4704" s="28" t="s">
        <v>4642</v>
      </c>
      <c r="P4704"/>
      <c r="Q4704"/>
      <c r="R4704"/>
      <c r="S4704"/>
    </row>
    <row r="4705" spans="1:19" x14ac:dyDescent="0.25">
      <c r="A4705" s="27" t="s">
        <v>193</v>
      </c>
      <c r="C4705" s="27" t="s">
        <v>34749</v>
      </c>
      <c r="D4705" s="28" t="s">
        <v>34867</v>
      </c>
      <c r="I4705" s="27" t="str">
        <f t="shared" si="3"/>
        <v>dimethomorf</v>
      </c>
      <c r="N4705" t="s">
        <v>12510</v>
      </c>
      <c r="O4705" s="28" t="s">
        <v>4645</v>
      </c>
      <c r="P4705"/>
      <c r="Q4705"/>
      <c r="R4705"/>
      <c r="S4705"/>
    </row>
    <row r="4706" spans="1:19" x14ac:dyDescent="0.25">
      <c r="A4706" s="27" t="s">
        <v>193</v>
      </c>
      <c r="C4706" s="27" t="s">
        <v>34749</v>
      </c>
      <c r="D4706" s="28" t="s">
        <v>34867</v>
      </c>
      <c r="I4706" s="27" t="str">
        <f t="shared" si="3"/>
        <v>dimethylpolysiloxaan</v>
      </c>
      <c r="N4706" t="s">
        <v>12511</v>
      </c>
      <c r="P4706"/>
      <c r="Q4706"/>
      <c r="R4706"/>
      <c r="S4706"/>
    </row>
    <row r="4707" spans="1:19" x14ac:dyDescent="0.25">
      <c r="A4707" s="27" t="s">
        <v>193</v>
      </c>
      <c r="C4707" s="27" t="s">
        <v>34749</v>
      </c>
      <c r="D4707" s="28" t="s">
        <v>34867</v>
      </c>
      <c r="I4707" s="27" t="str">
        <f t="shared" si="3"/>
        <v>dinocap</v>
      </c>
      <c r="N4707" t="s">
        <v>12512</v>
      </c>
      <c r="P4707"/>
      <c r="Q4707"/>
      <c r="R4707"/>
      <c r="S4707"/>
    </row>
    <row r="4708" spans="1:19" x14ac:dyDescent="0.25">
      <c r="A4708" s="27" t="s">
        <v>193</v>
      </c>
      <c r="C4708" s="27" t="s">
        <v>34749</v>
      </c>
      <c r="D4708" s="28" t="s">
        <v>34867</v>
      </c>
      <c r="I4708" s="27" t="str">
        <f t="shared" si="3"/>
        <v>dinoseb</v>
      </c>
      <c r="N4708" t="s">
        <v>12513</v>
      </c>
      <c r="P4708"/>
      <c r="Q4708"/>
      <c r="R4708"/>
      <c r="S4708"/>
    </row>
    <row r="4709" spans="1:19" x14ac:dyDescent="0.25">
      <c r="A4709" s="27" t="s">
        <v>193</v>
      </c>
      <c r="C4709" s="27" t="s">
        <v>34749</v>
      </c>
      <c r="D4709" s="28" t="s">
        <v>34867</v>
      </c>
      <c r="I4709" s="27" t="str">
        <f t="shared" si="3"/>
        <v>dinoseb,acetaat</v>
      </c>
      <c r="N4709" t="s">
        <v>12514</v>
      </c>
      <c r="P4709"/>
      <c r="Q4709"/>
      <c r="R4709"/>
      <c r="S4709"/>
    </row>
    <row r="4710" spans="1:19" x14ac:dyDescent="0.25">
      <c r="A4710" s="27" t="s">
        <v>193</v>
      </c>
      <c r="C4710" s="27" t="s">
        <v>34749</v>
      </c>
      <c r="D4710" s="28" t="s">
        <v>34867</v>
      </c>
      <c r="I4710" s="27" t="str">
        <f t="shared" si="3"/>
        <v>dinoterb</v>
      </c>
      <c r="N4710" t="s">
        <v>12515</v>
      </c>
      <c r="P4710"/>
      <c r="Q4710"/>
      <c r="R4710"/>
      <c r="S4710"/>
    </row>
    <row r="4711" spans="1:19" x14ac:dyDescent="0.25">
      <c r="A4711" s="27" t="s">
        <v>193</v>
      </c>
      <c r="C4711" s="27" t="s">
        <v>34749</v>
      </c>
      <c r="D4711" s="28" t="s">
        <v>34867</v>
      </c>
      <c r="I4711" s="27" t="str">
        <f t="shared" si="3"/>
        <v>diquat,dibromide</v>
      </c>
      <c r="N4711" t="s">
        <v>12516</v>
      </c>
      <c r="O4711" s="28" t="s">
        <v>4696</v>
      </c>
      <c r="P4711"/>
      <c r="Q4711"/>
      <c r="R4711"/>
      <c r="S4711"/>
    </row>
    <row r="4712" spans="1:19" x14ac:dyDescent="0.25">
      <c r="A4712" s="27" t="s">
        <v>193</v>
      </c>
      <c r="C4712" s="27" t="s">
        <v>34749</v>
      </c>
      <c r="D4712" s="28" t="s">
        <v>34867</v>
      </c>
      <c r="I4712" s="27" t="str">
        <f t="shared" si="3"/>
        <v>diquatdibromide</v>
      </c>
      <c r="N4712" t="s">
        <v>12517</v>
      </c>
      <c r="P4712"/>
      <c r="Q4712"/>
      <c r="R4712"/>
      <c r="S4712"/>
    </row>
    <row r="4713" spans="1:19" x14ac:dyDescent="0.25">
      <c r="A4713" s="27" t="s">
        <v>193</v>
      </c>
      <c r="C4713" s="27" t="s">
        <v>34749</v>
      </c>
      <c r="D4713" s="28" t="s">
        <v>34867</v>
      </c>
      <c r="I4713" s="27" t="str">
        <f t="shared" si="3"/>
        <v>dithianon</v>
      </c>
      <c r="N4713" t="s">
        <v>12518</v>
      </c>
      <c r="O4713" s="28" t="s">
        <v>4714</v>
      </c>
      <c r="P4713"/>
      <c r="Q4713"/>
      <c r="R4713"/>
      <c r="S4713"/>
    </row>
    <row r="4714" spans="1:19" x14ac:dyDescent="0.25">
      <c r="A4714" s="27" t="s">
        <v>193</v>
      </c>
      <c r="C4714" s="27" t="s">
        <v>34749</v>
      </c>
      <c r="D4714" s="28" t="s">
        <v>34867</v>
      </c>
      <c r="I4714" s="27" t="str">
        <f t="shared" si="3"/>
        <v>diuron</v>
      </c>
      <c r="N4714" t="s">
        <v>12519</v>
      </c>
      <c r="P4714"/>
      <c r="Q4714"/>
      <c r="R4714"/>
      <c r="S4714"/>
    </row>
    <row r="4715" spans="1:19" x14ac:dyDescent="0.25">
      <c r="A4715" s="27" t="s">
        <v>193</v>
      </c>
      <c r="C4715" s="27" t="s">
        <v>34749</v>
      </c>
      <c r="D4715" s="28" t="s">
        <v>34867</v>
      </c>
      <c r="I4715" s="27" t="str">
        <f t="shared" si="3"/>
        <v>dnoc</v>
      </c>
      <c r="N4715" t="s">
        <v>4397</v>
      </c>
      <c r="P4715"/>
      <c r="Q4715"/>
      <c r="R4715"/>
      <c r="S4715"/>
    </row>
    <row r="4716" spans="1:19" x14ac:dyDescent="0.25">
      <c r="A4716" s="27" t="s">
        <v>193</v>
      </c>
      <c r="C4716" s="27" t="s">
        <v>34749</v>
      </c>
      <c r="D4716" s="28" t="s">
        <v>34867</v>
      </c>
      <c r="I4716" s="27" t="str">
        <f t="shared" si="3"/>
        <v>dodecan,1,ol</v>
      </c>
      <c r="N4716" t="s">
        <v>12520</v>
      </c>
      <c r="P4716"/>
      <c r="Q4716"/>
      <c r="R4716"/>
      <c r="S4716"/>
    </row>
    <row r="4717" spans="1:19" x14ac:dyDescent="0.25">
      <c r="A4717" s="27" t="s">
        <v>193</v>
      </c>
      <c r="C4717" s="27" t="s">
        <v>34749</v>
      </c>
      <c r="D4717" s="28" t="s">
        <v>34867</v>
      </c>
      <c r="I4717" s="27" t="str">
        <f t="shared" si="3"/>
        <v>dodecyldihydroxyethylbenzylamm.chl.</v>
      </c>
      <c r="N4717" t="s">
        <v>12521</v>
      </c>
      <c r="P4717"/>
      <c r="Q4717"/>
      <c r="R4717"/>
      <c r="S4717"/>
    </row>
    <row r="4718" spans="1:19" x14ac:dyDescent="0.25">
      <c r="A4718" s="27" t="s">
        <v>193</v>
      </c>
      <c r="C4718" s="27" t="s">
        <v>34749</v>
      </c>
      <c r="D4718" s="28" t="s">
        <v>34867</v>
      </c>
      <c r="I4718" s="27" t="str">
        <f t="shared" si="3"/>
        <v>dodemorf</v>
      </c>
      <c r="N4718" t="s">
        <v>12522</v>
      </c>
      <c r="O4718" s="28" t="s">
        <v>9311</v>
      </c>
      <c r="P4718"/>
      <c r="Q4718"/>
      <c r="R4718"/>
      <c r="S4718"/>
    </row>
    <row r="4719" spans="1:19" x14ac:dyDescent="0.25">
      <c r="A4719" s="27" t="s">
        <v>193</v>
      </c>
      <c r="C4719" s="27" t="s">
        <v>34749</v>
      </c>
      <c r="D4719" s="28" t="s">
        <v>34867</v>
      </c>
      <c r="I4719" s="27" t="str">
        <f t="shared" si="3"/>
        <v>dodine</v>
      </c>
      <c r="N4719" t="s">
        <v>12523</v>
      </c>
      <c r="O4719" s="28" t="s">
        <v>9314</v>
      </c>
      <c r="P4719"/>
      <c r="Q4719"/>
      <c r="R4719"/>
      <c r="S4719"/>
    </row>
    <row r="4720" spans="1:19" x14ac:dyDescent="0.25">
      <c r="A4720" s="27" t="s">
        <v>193</v>
      </c>
      <c r="C4720" s="27" t="s">
        <v>34749</v>
      </c>
      <c r="D4720" s="28" t="s">
        <v>34867</v>
      </c>
      <c r="I4720" s="27" t="str">
        <f t="shared" si="3"/>
        <v>emamectin,benzoaat</v>
      </c>
      <c r="N4720" t="s">
        <v>12524</v>
      </c>
      <c r="O4720" s="28" t="s">
        <v>9349</v>
      </c>
      <c r="P4720"/>
      <c r="Q4720"/>
      <c r="R4720"/>
      <c r="S4720"/>
    </row>
    <row r="4721" spans="1:19" x14ac:dyDescent="0.25">
      <c r="A4721" s="27" t="s">
        <v>193</v>
      </c>
      <c r="C4721" s="27" t="s">
        <v>34749</v>
      </c>
      <c r="D4721" s="28" t="s">
        <v>34867</v>
      </c>
      <c r="I4721" s="27" t="str">
        <f t="shared" si="3"/>
        <v>endosulfan</v>
      </c>
      <c r="N4721" t="s">
        <v>12525</v>
      </c>
      <c r="P4721"/>
      <c r="Q4721"/>
      <c r="R4721"/>
      <c r="S4721"/>
    </row>
    <row r="4722" spans="1:19" x14ac:dyDescent="0.25">
      <c r="A4722" s="27" t="s">
        <v>193</v>
      </c>
      <c r="C4722" s="27" t="s">
        <v>34749</v>
      </c>
      <c r="D4722" s="28" t="s">
        <v>34867</v>
      </c>
      <c r="I4722" s="27" t="str">
        <f t="shared" si="3"/>
        <v>endothal,natrium</v>
      </c>
      <c r="N4722" t="s">
        <v>12526</v>
      </c>
      <c r="P4722"/>
      <c r="Q4722"/>
      <c r="R4722"/>
      <c r="S4722"/>
    </row>
    <row r="4723" spans="1:19" x14ac:dyDescent="0.25">
      <c r="A4723" s="27" t="s">
        <v>193</v>
      </c>
      <c r="C4723" s="27" t="s">
        <v>34749</v>
      </c>
      <c r="D4723" s="28" t="s">
        <v>34867</v>
      </c>
      <c r="I4723" s="27" t="str">
        <f t="shared" si="3"/>
        <v>endrin</v>
      </c>
      <c r="N4723" t="s">
        <v>12527</v>
      </c>
      <c r="P4723"/>
      <c r="Q4723"/>
      <c r="R4723"/>
      <c r="S4723"/>
    </row>
    <row r="4724" spans="1:19" x14ac:dyDescent="0.25">
      <c r="A4724" s="27" t="s">
        <v>193</v>
      </c>
      <c r="C4724" s="27" t="s">
        <v>34749</v>
      </c>
      <c r="D4724" s="28" t="s">
        <v>34867</v>
      </c>
      <c r="I4724" s="27" t="str">
        <f t="shared" si="3"/>
        <v>epoxiconazool</v>
      </c>
      <c r="N4724" t="s">
        <v>12528</v>
      </c>
      <c r="O4724" s="28" t="s">
        <v>12529</v>
      </c>
      <c r="P4724"/>
      <c r="Q4724"/>
      <c r="R4724"/>
      <c r="S4724"/>
    </row>
    <row r="4725" spans="1:19" x14ac:dyDescent="0.25">
      <c r="A4725" s="27" t="s">
        <v>193</v>
      </c>
      <c r="C4725" s="27" t="s">
        <v>34749</v>
      </c>
      <c r="D4725" s="28" t="s">
        <v>34867</v>
      </c>
      <c r="I4725" s="27" t="str">
        <f t="shared" si="3"/>
        <v>eptc</v>
      </c>
      <c r="N4725" t="s">
        <v>4753</v>
      </c>
      <c r="P4725"/>
      <c r="Q4725"/>
      <c r="R4725"/>
      <c r="S4725"/>
    </row>
    <row r="4726" spans="1:19" x14ac:dyDescent="0.25">
      <c r="A4726" s="27" t="s">
        <v>193</v>
      </c>
      <c r="C4726" s="27" t="s">
        <v>34749</v>
      </c>
      <c r="D4726" s="28" t="s">
        <v>34867</v>
      </c>
      <c r="I4726" s="27" t="str">
        <f t="shared" si="3"/>
        <v>esfenvaleraat</v>
      </c>
      <c r="N4726" t="s">
        <v>12530</v>
      </c>
      <c r="O4726" s="28" t="s">
        <v>9421</v>
      </c>
      <c r="P4726"/>
      <c r="Q4726"/>
      <c r="R4726"/>
      <c r="S4726"/>
    </row>
    <row r="4727" spans="1:19" x14ac:dyDescent="0.25">
      <c r="A4727" s="27" t="s">
        <v>193</v>
      </c>
      <c r="C4727" s="27" t="s">
        <v>34749</v>
      </c>
      <c r="D4727" s="28" t="s">
        <v>34867</v>
      </c>
      <c r="I4727" s="27" t="str">
        <f t="shared" si="3"/>
        <v>ethefon</v>
      </c>
      <c r="N4727" t="s">
        <v>12531</v>
      </c>
      <c r="O4727" s="28" t="s">
        <v>9439</v>
      </c>
      <c r="P4727"/>
      <c r="Q4727"/>
      <c r="R4727"/>
      <c r="S4727"/>
    </row>
    <row r="4728" spans="1:19" x14ac:dyDescent="0.25">
      <c r="A4728" s="27" t="s">
        <v>193</v>
      </c>
      <c r="C4728" s="27" t="s">
        <v>34749</v>
      </c>
      <c r="D4728" s="28" t="s">
        <v>34867</v>
      </c>
      <c r="I4728" s="27" t="str">
        <f t="shared" si="3"/>
        <v>ethiofencarb</v>
      </c>
      <c r="N4728" t="s">
        <v>12532</v>
      </c>
      <c r="P4728"/>
      <c r="Q4728"/>
      <c r="R4728"/>
      <c r="S4728"/>
    </row>
    <row r="4729" spans="1:19" x14ac:dyDescent="0.25">
      <c r="A4729" s="27" t="s">
        <v>193</v>
      </c>
      <c r="C4729" s="27" t="s">
        <v>34749</v>
      </c>
      <c r="D4729" s="28" t="s">
        <v>34867</v>
      </c>
      <c r="I4729" s="27" t="str">
        <f t="shared" si="3"/>
        <v>ethirimol</v>
      </c>
      <c r="N4729" t="s">
        <v>12533</v>
      </c>
      <c r="P4729"/>
      <c r="Q4729"/>
      <c r="R4729"/>
      <c r="S4729"/>
    </row>
    <row r="4730" spans="1:19" x14ac:dyDescent="0.25">
      <c r="A4730" s="27" t="s">
        <v>193</v>
      </c>
      <c r="C4730" s="27" t="s">
        <v>34749</v>
      </c>
      <c r="D4730" s="28" t="s">
        <v>34867</v>
      </c>
      <c r="I4730" s="27" t="str">
        <f t="shared" si="3"/>
        <v>ethofumesaat</v>
      </c>
      <c r="N4730" t="s">
        <v>12534</v>
      </c>
      <c r="O4730" s="28" t="s">
        <v>9436</v>
      </c>
      <c r="P4730"/>
      <c r="Q4730"/>
      <c r="R4730"/>
      <c r="S4730"/>
    </row>
    <row r="4731" spans="1:19" x14ac:dyDescent="0.25">
      <c r="A4731" s="27" t="s">
        <v>193</v>
      </c>
      <c r="C4731" s="27" t="s">
        <v>34749</v>
      </c>
      <c r="D4731" s="28" t="s">
        <v>34867</v>
      </c>
      <c r="I4731" s="27" t="str">
        <f t="shared" si="3"/>
        <v>ethoprofos</v>
      </c>
      <c r="N4731" t="s">
        <v>12535</v>
      </c>
      <c r="O4731" s="28" t="s">
        <v>9469</v>
      </c>
      <c r="P4731"/>
      <c r="Q4731"/>
      <c r="R4731"/>
      <c r="S4731"/>
    </row>
    <row r="4732" spans="1:19" x14ac:dyDescent="0.25">
      <c r="A4732" s="27" t="s">
        <v>193</v>
      </c>
      <c r="C4732" s="27" t="s">
        <v>34749</v>
      </c>
      <c r="D4732" s="28" t="s">
        <v>34867</v>
      </c>
      <c r="I4732" s="27" t="str">
        <f t="shared" si="3"/>
        <v>ethyleen</v>
      </c>
      <c r="N4732" t="s">
        <v>12536</v>
      </c>
      <c r="P4732"/>
      <c r="Q4732"/>
      <c r="R4732"/>
      <c r="S4732"/>
    </row>
    <row r="4733" spans="1:19" x14ac:dyDescent="0.25">
      <c r="A4733" s="27" t="s">
        <v>193</v>
      </c>
      <c r="C4733" s="27" t="s">
        <v>34749</v>
      </c>
      <c r="D4733" s="28" t="s">
        <v>34867</v>
      </c>
      <c r="I4733" s="27" t="str">
        <f t="shared" si="3"/>
        <v>ethyleenglycol</v>
      </c>
      <c r="N4733" t="s">
        <v>12537</v>
      </c>
      <c r="P4733"/>
      <c r="Q4733"/>
      <c r="R4733"/>
      <c r="S4733"/>
    </row>
    <row r="4734" spans="1:19" x14ac:dyDescent="0.25">
      <c r="A4734" s="27" t="s">
        <v>193</v>
      </c>
      <c r="C4734" s="27" t="s">
        <v>34749</v>
      </c>
      <c r="D4734" s="28" t="s">
        <v>34867</v>
      </c>
      <c r="I4734" s="27" t="str">
        <f t="shared" si="3"/>
        <v>ethylkwikbromide</v>
      </c>
      <c r="N4734" t="s">
        <v>12538</v>
      </c>
      <c r="P4734"/>
      <c r="Q4734"/>
      <c r="R4734"/>
      <c r="S4734"/>
    </row>
    <row r="4735" spans="1:19" x14ac:dyDescent="0.25">
      <c r="A4735" s="27" t="s">
        <v>193</v>
      </c>
      <c r="C4735" s="27" t="s">
        <v>34749</v>
      </c>
      <c r="D4735" s="28" t="s">
        <v>34867</v>
      </c>
      <c r="I4735" s="27" t="str">
        <f t="shared" si="3"/>
        <v>etoxazool</v>
      </c>
      <c r="N4735" t="s">
        <v>12539</v>
      </c>
      <c r="O4735" s="28" t="s">
        <v>9487</v>
      </c>
      <c r="P4735"/>
      <c r="Q4735"/>
      <c r="R4735"/>
      <c r="S4735"/>
    </row>
    <row r="4736" spans="1:19" x14ac:dyDescent="0.25">
      <c r="A4736" s="27" t="s">
        <v>193</v>
      </c>
      <c r="C4736" s="27" t="s">
        <v>34749</v>
      </c>
      <c r="D4736" s="28" t="s">
        <v>34867</v>
      </c>
      <c r="I4736" s="27" t="str">
        <f t="shared" si="3"/>
        <v>etridiazool</v>
      </c>
      <c r="N4736" t="s">
        <v>12540</v>
      </c>
      <c r="O4736" s="28" t="s">
        <v>9338</v>
      </c>
      <c r="P4736"/>
      <c r="Q4736"/>
      <c r="R4736"/>
      <c r="S4736"/>
    </row>
    <row r="4737" spans="1:19" x14ac:dyDescent="0.25">
      <c r="A4737" s="27" t="s">
        <v>193</v>
      </c>
      <c r="C4737" s="27" t="s">
        <v>34749</v>
      </c>
      <c r="D4737" s="28" t="s">
        <v>34867</v>
      </c>
      <c r="I4737" s="27" t="str">
        <f t="shared" si="3"/>
        <v>etrimfos</v>
      </c>
      <c r="N4737" t="s">
        <v>12541</v>
      </c>
      <c r="P4737"/>
      <c r="Q4737"/>
      <c r="R4737"/>
      <c r="S4737"/>
    </row>
    <row r="4738" spans="1:19" x14ac:dyDescent="0.25">
      <c r="A4738" s="27" t="s">
        <v>193</v>
      </c>
      <c r="C4738" s="27" t="s">
        <v>34749</v>
      </c>
      <c r="D4738" s="28" t="s">
        <v>34867</v>
      </c>
      <c r="I4738" s="27" t="str">
        <f t="shared" si="3"/>
        <v>famoxadone</v>
      </c>
      <c r="N4738" t="s">
        <v>12542</v>
      </c>
      <c r="O4738" s="28" t="s">
        <v>9499</v>
      </c>
      <c r="P4738"/>
      <c r="Q4738"/>
      <c r="R4738"/>
      <c r="S4738"/>
    </row>
    <row r="4739" spans="1:19" x14ac:dyDescent="0.25">
      <c r="A4739" s="27" t="s">
        <v>193</v>
      </c>
      <c r="C4739" s="27" t="s">
        <v>34749</v>
      </c>
      <c r="D4739" s="28" t="s">
        <v>34867</v>
      </c>
      <c r="I4739" s="27" t="str">
        <f t="shared" si="3"/>
        <v>fenamidone</v>
      </c>
      <c r="N4739" t="s">
        <v>12543</v>
      </c>
      <c r="O4739" s="28" t="s">
        <v>9565</v>
      </c>
      <c r="P4739"/>
      <c r="Q4739"/>
      <c r="R4739"/>
      <c r="S4739"/>
    </row>
    <row r="4740" spans="1:19" x14ac:dyDescent="0.25">
      <c r="A4740" s="27" t="s">
        <v>193</v>
      </c>
      <c r="C4740" s="27" t="s">
        <v>34749</v>
      </c>
      <c r="D4740" s="28" t="s">
        <v>34867</v>
      </c>
      <c r="I4740" s="27" t="str">
        <f t="shared" si="3"/>
        <v>fenamifos</v>
      </c>
      <c r="N4740" t="s">
        <v>12544</v>
      </c>
      <c r="P4740"/>
      <c r="Q4740"/>
      <c r="R4740"/>
      <c r="S4740"/>
    </row>
    <row r="4741" spans="1:19" x14ac:dyDescent="0.25">
      <c r="A4741" s="27" t="s">
        <v>193</v>
      </c>
      <c r="C4741" s="27" t="s">
        <v>34749</v>
      </c>
      <c r="D4741" s="28" t="s">
        <v>34867</v>
      </c>
      <c r="I4741" s="27" t="str">
        <f t="shared" si="3"/>
        <v>fenaminosulf</v>
      </c>
      <c r="N4741" t="s">
        <v>12545</v>
      </c>
      <c r="P4741"/>
      <c r="Q4741"/>
      <c r="R4741"/>
      <c r="S4741"/>
    </row>
    <row r="4742" spans="1:19" x14ac:dyDescent="0.25">
      <c r="A4742" s="27" t="s">
        <v>193</v>
      </c>
      <c r="C4742" s="27" t="s">
        <v>34749</v>
      </c>
      <c r="D4742" s="28" t="s">
        <v>34867</v>
      </c>
      <c r="I4742" s="27" t="str">
        <f t="shared" si="3"/>
        <v>fenarimol</v>
      </c>
      <c r="N4742" t="s">
        <v>12546</v>
      </c>
      <c r="P4742"/>
      <c r="Q4742"/>
      <c r="R4742"/>
      <c r="S4742"/>
    </row>
    <row r="4743" spans="1:19" x14ac:dyDescent="0.25">
      <c r="A4743" s="27" t="s">
        <v>193</v>
      </c>
      <c r="C4743" s="27" t="s">
        <v>34749</v>
      </c>
      <c r="D4743" s="28" t="s">
        <v>34867</v>
      </c>
      <c r="I4743" s="27" t="str">
        <f t="shared" si="3"/>
        <v>fenbutatinoxide</v>
      </c>
      <c r="N4743" t="s">
        <v>12547</v>
      </c>
      <c r="O4743" s="28" t="s">
        <v>9544</v>
      </c>
      <c r="P4743"/>
      <c r="Q4743"/>
      <c r="R4743"/>
      <c r="S4743"/>
    </row>
    <row r="4744" spans="1:19" x14ac:dyDescent="0.25">
      <c r="A4744" s="27" t="s">
        <v>193</v>
      </c>
      <c r="C4744" s="27" t="s">
        <v>34749</v>
      </c>
      <c r="D4744" s="28" t="s">
        <v>34867</v>
      </c>
      <c r="I4744" s="27" t="str">
        <f t="shared" si="3"/>
        <v>fenchlorazool,ethyl</v>
      </c>
      <c r="N4744" t="s">
        <v>12548</v>
      </c>
      <c r="P4744"/>
      <c r="Q4744"/>
      <c r="R4744"/>
      <c r="S4744"/>
    </row>
    <row r="4745" spans="1:19" x14ac:dyDescent="0.25">
      <c r="A4745" s="27" t="s">
        <v>193</v>
      </c>
      <c r="C4745" s="27" t="s">
        <v>34749</v>
      </c>
      <c r="D4745" s="28" t="s">
        <v>34867</v>
      </c>
      <c r="I4745" s="27" t="str">
        <f t="shared" si="3"/>
        <v>fenfuram</v>
      </c>
      <c r="N4745" t="s">
        <v>12549</v>
      </c>
      <c r="P4745"/>
      <c r="Q4745"/>
      <c r="R4745"/>
      <c r="S4745"/>
    </row>
    <row r="4746" spans="1:19" x14ac:dyDescent="0.25">
      <c r="A4746" s="27" t="s">
        <v>193</v>
      </c>
      <c r="C4746" s="27" t="s">
        <v>34749</v>
      </c>
      <c r="D4746" s="28" t="s">
        <v>34867</v>
      </c>
      <c r="I4746" s="27" t="str">
        <f t="shared" si="3"/>
        <v>fenhexamide</v>
      </c>
      <c r="N4746" t="s">
        <v>12550</v>
      </c>
      <c r="O4746" s="28" t="s">
        <v>9559</v>
      </c>
      <c r="P4746"/>
      <c r="Q4746"/>
      <c r="R4746"/>
      <c r="S4746"/>
    </row>
    <row r="4747" spans="1:19" x14ac:dyDescent="0.25">
      <c r="A4747" s="27" t="s">
        <v>193</v>
      </c>
      <c r="C4747" s="27" t="s">
        <v>34749</v>
      </c>
      <c r="D4747" s="28" t="s">
        <v>34867</v>
      </c>
      <c r="I4747" s="27" t="str">
        <f t="shared" si="3"/>
        <v>fenitrothion</v>
      </c>
      <c r="N4747" t="s">
        <v>12551</v>
      </c>
      <c r="P4747"/>
      <c r="Q4747"/>
      <c r="R4747"/>
      <c r="S4747"/>
    </row>
    <row r="4748" spans="1:19" x14ac:dyDescent="0.25">
      <c r="A4748" s="27" t="s">
        <v>193</v>
      </c>
      <c r="C4748" s="27" t="s">
        <v>34749</v>
      </c>
      <c r="D4748" s="28" t="s">
        <v>34867</v>
      </c>
      <c r="I4748" s="27" t="str">
        <f t="shared" si="3"/>
        <v>fenmedifam</v>
      </c>
      <c r="N4748" t="s">
        <v>12552</v>
      </c>
      <c r="O4748" s="28" t="s">
        <v>9562</v>
      </c>
      <c r="P4748"/>
      <c r="Q4748"/>
      <c r="R4748"/>
      <c r="S4748"/>
    </row>
    <row r="4749" spans="1:19" x14ac:dyDescent="0.25">
      <c r="A4749" s="27" t="s">
        <v>193</v>
      </c>
      <c r="C4749" s="27" t="s">
        <v>34749</v>
      </c>
      <c r="D4749" s="28" t="s">
        <v>34867</v>
      </c>
      <c r="I4749" s="27" t="str">
        <f t="shared" si="3"/>
        <v>fenol</v>
      </c>
      <c r="N4749" t="s">
        <v>12553</v>
      </c>
      <c r="P4749"/>
      <c r="Q4749"/>
      <c r="R4749"/>
      <c r="S4749"/>
    </row>
    <row r="4750" spans="1:19" x14ac:dyDescent="0.25">
      <c r="A4750" s="27" t="s">
        <v>193</v>
      </c>
      <c r="C4750" s="27" t="s">
        <v>34749</v>
      </c>
      <c r="D4750" s="28" t="s">
        <v>34867</v>
      </c>
      <c r="I4750" s="27" t="str">
        <f t="shared" si="3"/>
        <v>fenothrin</v>
      </c>
      <c r="N4750" t="s">
        <v>12554</v>
      </c>
      <c r="P4750"/>
      <c r="Q4750"/>
      <c r="R4750"/>
      <c r="S4750"/>
    </row>
    <row r="4751" spans="1:19" x14ac:dyDescent="0.25">
      <c r="A4751" s="27" t="s">
        <v>193</v>
      </c>
      <c r="C4751" s="27" t="s">
        <v>34749</v>
      </c>
      <c r="D4751" s="28" t="s">
        <v>34867</v>
      </c>
      <c r="I4751" s="27" t="str">
        <f t="shared" si="3"/>
        <v>fenoxaprop,p,ethyl</v>
      </c>
      <c r="N4751" t="s">
        <v>12555</v>
      </c>
      <c r="O4751" s="28" t="s">
        <v>9628</v>
      </c>
      <c r="P4751"/>
      <c r="Q4751"/>
      <c r="R4751"/>
      <c r="S4751"/>
    </row>
    <row r="4752" spans="1:19" x14ac:dyDescent="0.25">
      <c r="A4752" s="27" t="s">
        <v>193</v>
      </c>
      <c r="C4752" s="27" t="s">
        <v>34749</v>
      </c>
      <c r="D4752" s="28" t="s">
        <v>34867</v>
      </c>
      <c r="I4752" s="27" t="str">
        <f t="shared" si="3"/>
        <v>fenoxycarb</v>
      </c>
      <c r="N4752" t="s">
        <v>12556</v>
      </c>
      <c r="O4752" s="28" t="s">
        <v>12557</v>
      </c>
      <c r="P4752"/>
      <c r="Q4752"/>
      <c r="R4752"/>
      <c r="S4752"/>
    </row>
    <row r="4753" spans="1:19" x14ac:dyDescent="0.25">
      <c r="A4753" s="27" t="s">
        <v>193</v>
      </c>
      <c r="C4753" s="27" t="s">
        <v>34749</v>
      </c>
      <c r="D4753" s="28" t="s">
        <v>34867</v>
      </c>
      <c r="I4753" s="27" t="str">
        <f t="shared" si="3"/>
        <v>fenpiclonil</v>
      </c>
      <c r="N4753" t="s">
        <v>12558</v>
      </c>
      <c r="P4753"/>
      <c r="Q4753"/>
      <c r="R4753"/>
      <c r="S4753"/>
    </row>
    <row r="4754" spans="1:19" x14ac:dyDescent="0.25">
      <c r="A4754" s="27" t="s">
        <v>193</v>
      </c>
      <c r="C4754" s="27" t="s">
        <v>34749</v>
      </c>
      <c r="D4754" s="28" t="s">
        <v>34867</v>
      </c>
      <c r="I4754" s="27" t="str">
        <f t="shared" si="3"/>
        <v>fenpropathrin</v>
      </c>
      <c r="N4754" t="s">
        <v>12559</v>
      </c>
      <c r="P4754"/>
      <c r="Q4754"/>
      <c r="R4754"/>
      <c r="S4754"/>
    </row>
    <row r="4755" spans="1:19" x14ac:dyDescent="0.25">
      <c r="A4755" s="27" t="s">
        <v>193</v>
      </c>
      <c r="C4755" s="27" t="s">
        <v>34749</v>
      </c>
      <c r="D4755" s="28" t="s">
        <v>34867</v>
      </c>
      <c r="I4755" s="27" t="str">
        <f t="shared" si="3"/>
        <v>fenpropidin</v>
      </c>
      <c r="N4755" t="s">
        <v>12560</v>
      </c>
      <c r="O4755" s="28" t="s">
        <v>9580</v>
      </c>
      <c r="P4755"/>
      <c r="Q4755"/>
      <c r="R4755"/>
      <c r="S4755"/>
    </row>
    <row r="4756" spans="1:19" x14ac:dyDescent="0.25">
      <c r="A4756" s="27" t="s">
        <v>193</v>
      </c>
      <c r="C4756" s="27" t="s">
        <v>34749</v>
      </c>
      <c r="D4756" s="28" t="s">
        <v>34867</v>
      </c>
      <c r="I4756" s="27" t="str">
        <f t="shared" si="3"/>
        <v>fenpropimorf</v>
      </c>
      <c r="N4756" t="s">
        <v>12561</v>
      </c>
      <c r="O4756" s="28" t="s">
        <v>9583</v>
      </c>
      <c r="P4756"/>
      <c r="Q4756"/>
      <c r="R4756"/>
      <c r="S4756"/>
    </row>
    <row r="4757" spans="1:19" x14ac:dyDescent="0.25">
      <c r="A4757" s="27" t="s">
        <v>193</v>
      </c>
      <c r="C4757" s="27" t="s">
        <v>34749</v>
      </c>
      <c r="D4757" s="28" t="s">
        <v>34867</v>
      </c>
      <c r="I4757" s="27" t="str">
        <f t="shared" ref="I4757:I4820" si="4">SUBSTITUTE(LOWER(N4757),"_",",")</f>
        <v>fenpyrazamine</v>
      </c>
      <c r="N4757" t="s">
        <v>12562</v>
      </c>
      <c r="O4757" s="28" t="s">
        <v>9586</v>
      </c>
      <c r="P4757"/>
      <c r="Q4757"/>
      <c r="R4757"/>
      <c r="S4757"/>
    </row>
    <row r="4758" spans="1:19" x14ac:dyDescent="0.25">
      <c r="A4758" s="27" t="s">
        <v>193</v>
      </c>
      <c r="C4758" s="27" t="s">
        <v>34749</v>
      </c>
      <c r="D4758" s="28" t="s">
        <v>34867</v>
      </c>
      <c r="I4758" s="27" t="str">
        <f t="shared" si="4"/>
        <v>fenthion</v>
      </c>
      <c r="N4758" t="s">
        <v>12563</v>
      </c>
      <c r="P4758"/>
      <c r="Q4758"/>
      <c r="R4758"/>
      <c r="S4758"/>
    </row>
    <row r="4759" spans="1:19" x14ac:dyDescent="0.25">
      <c r="A4759" s="27" t="s">
        <v>193</v>
      </c>
      <c r="C4759" s="27" t="s">
        <v>34749</v>
      </c>
      <c r="D4759" s="28" t="s">
        <v>34867</v>
      </c>
      <c r="I4759" s="27" t="str">
        <f t="shared" si="4"/>
        <v>fentin,acetaat</v>
      </c>
      <c r="N4759" t="s">
        <v>12564</v>
      </c>
      <c r="P4759"/>
      <c r="Q4759"/>
      <c r="R4759"/>
      <c r="S4759"/>
    </row>
    <row r="4760" spans="1:19" x14ac:dyDescent="0.25">
      <c r="A4760" s="27" t="s">
        <v>193</v>
      </c>
      <c r="C4760" s="27" t="s">
        <v>34749</v>
      </c>
      <c r="D4760" s="28" t="s">
        <v>34867</v>
      </c>
      <c r="I4760" s="27" t="str">
        <f t="shared" si="4"/>
        <v>fentin,hydroxide</v>
      </c>
      <c r="N4760" t="s">
        <v>12565</v>
      </c>
      <c r="P4760"/>
      <c r="Q4760"/>
      <c r="R4760"/>
      <c r="S4760"/>
    </row>
    <row r="4761" spans="1:19" x14ac:dyDescent="0.25">
      <c r="A4761" s="27" t="s">
        <v>193</v>
      </c>
      <c r="C4761" s="27" t="s">
        <v>34749</v>
      </c>
      <c r="D4761" s="28" t="s">
        <v>34867</v>
      </c>
      <c r="I4761" s="27" t="str">
        <f t="shared" si="4"/>
        <v>fenvaleraat</v>
      </c>
      <c r="N4761" t="s">
        <v>12566</v>
      </c>
      <c r="P4761"/>
      <c r="Q4761"/>
      <c r="R4761"/>
      <c r="S4761"/>
    </row>
    <row r="4762" spans="1:19" x14ac:dyDescent="0.25">
      <c r="A4762" s="27" t="s">
        <v>193</v>
      </c>
      <c r="C4762" s="27" t="s">
        <v>34749</v>
      </c>
      <c r="D4762" s="28" t="s">
        <v>34867</v>
      </c>
      <c r="I4762" s="27" t="str">
        <f t="shared" si="4"/>
        <v>ferbam</v>
      </c>
      <c r="N4762" t="s">
        <v>12567</v>
      </c>
      <c r="P4762"/>
      <c r="Q4762"/>
      <c r="R4762"/>
      <c r="S4762"/>
    </row>
    <row r="4763" spans="1:19" x14ac:dyDescent="0.25">
      <c r="A4763" s="27" t="s">
        <v>193</v>
      </c>
      <c r="C4763" s="27" t="s">
        <v>34749</v>
      </c>
      <c r="D4763" s="28" t="s">
        <v>34867</v>
      </c>
      <c r="I4763" s="27" t="str">
        <f t="shared" si="4"/>
        <v>ferri,fosfaat</v>
      </c>
      <c r="N4763" t="s">
        <v>12568</v>
      </c>
      <c r="P4763"/>
      <c r="Q4763"/>
      <c r="R4763"/>
      <c r="S4763"/>
    </row>
    <row r="4764" spans="1:19" x14ac:dyDescent="0.25">
      <c r="A4764" s="27" t="s">
        <v>193</v>
      </c>
      <c r="C4764" s="27" t="s">
        <v>34749</v>
      </c>
      <c r="D4764" s="28" t="s">
        <v>34867</v>
      </c>
      <c r="I4764" s="27" t="str">
        <f t="shared" si="4"/>
        <v>ferrosulfaat</v>
      </c>
      <c r="N4764" t="s">
        <v>12569</v>
      </c>
      <c r="P4764"/>
      <c r="Q4764"/>
      <c r="R4764"/>
      <c r="S4764"/>
    </row>
    <row r="4765" spans="1:19" x14ac:dyDescent="0.25">
      <c r="A4765" s="27" t="s">
        <v>193</v>
      </c>
      <c r="C4765" s="27" t="s">
        <v>34749</v>
      </c>
      <c r="D4765" s="28" t="s">
        <v>34867</v>
      </c>
      <c r="I4765" s="27" t="str">
        <f t="shared" si="4"/>
        <v>fipronil</v>
      </c>
      <c r="N4765" t="s">
        <v>12570</v>
      </c>
      <c r="P4765"/>
      <c r="Q4765"/>
      <c r="R4765"/>
      <c r="S4765"/>
    </row>
    <row r="4766" spans="1:19" x14ac:dyDescent="0.25">
      <c r="A4766" s="27" t="s">
        <v>193</v>
      </c>
      <c r="C4766" s="27" t="s">
        <v>34749</v>
      </c>
      <c r="D4766" s="28" t="s">
        <v>34867</v>
      </c>
      <c r="I4766" s="27" t="str">
        <f t="shared" si="4"/>
        <v>flocoumafeen</v>
      </c>
      <c r="N4766" t="s">
        <v>12571</v>
      </c>
      <c r="P4766"/>
      <c r="Q4766"/>
      <c r="R4766"/>
      <c r="S4766"/>
    </row>
    <row r="4767" spans="1:19" x14ac:dyDescent="0.25">
      <c r="A4767" s="27" t="s">
        <v>193</v>
      </c>
      <c r="C4767" s="27" t="s">
        <v>34749</v>
      </c>
      <c r="D4767" s="28" t="s">
        <v>34867</v>
      </c>
      <c r="I4767" s="27" t="str">
        <f t="shared" si="4"/>
        <v>flonicamid</v>
      </c>
      <c r="N4767" t="s">
        <v>12572</v>
      </c>
      <c r="O4767" s="28" t="s">
        <v>9664</v>
      </c>
      <c r="P4767"/>
      <c r="Q4767"/>
      <c r="R4767"/>
      <c r="S4767"/>
    </row>
    <row r="4768" spans="1:19" x14ac:dyDescent="0.25">
      <c r="A4768" s="27" t="s">
        <v>193</v>
      </c>
      <c r="C4768" s="27" t="s">
        <v>34749</v>
      </c>
      <c r="D4768" s="28" t="s">
        <v>34867</v>
      </c>
      <c r="I4768" s="27" t="str">
        <f t="shared" si="4"/>
        <v>florasulam</v>
      </c>
      <c r="N4768" t="s">
        <v>12573</v>
      </c>
      <c r="O4768" s="28" t="s">
        <v>9799</v>
      </c>
      <c r="P4768"/>
      <c r="Q4768"/>
      <c r="R4768"/>
      <c r="S4768"/>
    </row>
    <row r="4769" spans="1:19" x14ac:dyDescent="0.25">
      <c r="A4769" s="27" t="s">
        <v>193</v>
      </c>
      <c r="C4769" s="27" t="s">
        <v>34749</v>
      </c>
      <c r="D4769" s="28" t="s">
        <v>34867</v>
      </c>
      <c r="I4769" s="27" t="str">
        <f t="shared" si="4"/>
        <v>fluazifop,butyl</v>
      </c>
      <c r="N4769" t="s">
        <v>12574</v>
      </c>
      <c r="P4769"/>
      <c r="Q4769"/>
      <c r="R4769"/>
      <c r="S4769"/>
    </row>
    <row r="4770" spans="1:19" x14ac:dyDescent="0.25">
      <c r="A4770" s="27" t="s">
        <v>193</v>
      </c>
      <c r="C4770" s="27" t="s">
        <v>34749</v>
      </c>
      <c r="D4770" s="28" t="s">
        <v>34867</v>
      </c>
      <c r="I4770" s="27" t="str">
        <f t="shared" si="4"/>
        <v>fluazifop,p,butyl</v>
      </c>
      <c r="N4770" t="s">
        <v>12575</v>
      </c>
      <c r="O4770" s="28" t="s">
        <v>9691</v>
      </c>
      <c r="P4770"/>
      <c r="Q4770"/>
      <c r="R4770"/>
      <c r="S4770"/>
    </row>
    <row r="4771" spans="1:19" x14ac:dyDescent="0.25">
      <c r="A4771" s="27" t="s">
        <v>193</v>
      </c>
      <c r="C4771" s="27" t="s">
        <v>34749</v>
      </c>
      <c r="D4771" s="28" t="s">
        <v>34867</v>
      </c>
      <c r="I4771" s="27" t="str">
        <f t="shared" si="4"/>
        <v>fluazinam</v>
      </c>
      <c r="N4771" t="s">
        <v>12576</v>
      </c>
      <c r="O4771" s="28" t="s">
        <v>9703</v>
      </c>
      <c r="P4771"/>
      <c r="Q4771"/>
      <c r="R4771"/>
      <c r="S4771"/>
    </row>
    <row r="4772" spans="1:19" x14ac:dyDescent="0.25">
      <c r="A4772" s="27" t="s">
        <v>193</v>
      </c>
      <c r="C4772" s="27" t="s">
        <v>34749</v>
      </c>
      <c r="D4772" s="28" t="s">
        <v>34867</v>
      </c>
      <c r="I4772" s="27" t="str">
        <f t="shared" si="4"/>
        <v>flubendiamide</v>
      </c>
      <c r="N4772" t="s">
        <v>12577</v>
      </c>
      <c r="O4772" s="28" t="s">
        <v>9706</v>
      </c>
      <c r="P4772"/>
      <c r="Q4772"/>
      <c r="R4772"/>
      <c r="S4772"/>
    </row>
    <row r="4773" spans="1:19" x14ac:dyDescent="0.25">
      <c r="A4773" s="27" t="s">
        <v>193</v>
      </c>
      <c r="C4773" s="27" t="s">
        <v>34749</v>
      </c>
      <c r="D4773" s="28" t="s">
        <v>34867</v>
      </c>
      <c r="I4773" s="27" t="str">
        <f t="shared" si="4"/>
        <v>flucycloxuron</v>
      </c>
      <c r="N4773" t="s">
        <v>12578</v>
      </c>
      <c r="P4773"/>
      <c r="Q4773"/>
      <c r="R4773"/>
      <c r="S4773"/>
    </row>
    <row r="4774" spans="1:19" x14ac:dyDescent="0.25">
      <c r="A4774" s="27" t="s">
        <v>193</v>
      </c>
      <c r="C4774" s="27" t="s">
        <v>34749</v>
      </c>
      <c r="D4774" s="28" t="s">
        <v>34867</v>
      </c>
      <c r="I4774" s="27" t="str">
        <f t="shared" si="4"/>
        <v>flucythrinaat</v>
      </c>
      <c r="N4774" t="s">
        <v>12579</v>
      </c>
      <c r="P4774"/>
      <c r="Q4774"/>
      <c r="R4774"/>
      <c r="S4774"/>
    </row>
    <row r="4775" spans="1:19" x14ac:dyDescent="0.25">
      <c r="A4775" s="27" t="s">
        <v>193</v>
      </c>
      <c r="C4775" s="27" t="s">
        <v>34749</v>
      </c>
      <c r="D4775" s="28" t="s">
        <v>34867</v>
      </c>
      <c r="I4775" s="27" t="str">
        <f t="shared" si="4"/>
        <v>fludioxonil</v>
      </c>
      <c r="N4775" t="s">
        <v>12580</v>
      </c>
      <c r="O4775" s="28" t="s">
        <v>9730</v>
      </c>
      <c r="P4775"/>
      <c r="Q4775"/>
      <c r="R4775"/>
      <c r="S4775"/>
    </row>
    <row r="4776" spans="1:19" x14ac:dyDescent="0.25">
      <c r="A4776" s="27" t="s">
        <v>193</v>
      </c>
      <c r="C4776" s="27" t="s">
        <v>34749</v>
      </c>
      <c r="D4776" s="28" t="s">
        <v>34867</v>
      </c>
      <c r="I4776" s="27" t="str">
        <f t="shared" si="4"/>
        <v>flufenacet</v>
      </c>
      <c r="N4776" t="s">
        <v>12581</v>
      </c>
      <c r="O4776" s="28" t="s">
        <v>9733</v>
      </c>
      <c r="P4776"/>
      <c r="Q4776"/>
      <c r="R4776"/>
      <c r="S4776"/>
    </row>
    <row r="4777" spans="1:19" x14ac:dyDescent="0.25">
      <c r="A4777" s="27" t="s">
        <v>193</v>
      </c>
      <c r="C4777" s="27" t="s">
        <v>34749</v>
      </c>
      <c r="D4777" s="28" t="s">
        <v>34867</v>
      </c>
      <c r="I4777" s="27" t="str">
        <f t="shared" si="4"/>
        <v>flumioxazin</v>
      </c>
      <c r="N4777" t="s">
        <v>12582</v>
      </c>
      <c r="O4777" s="28" t="s">
        <v>9742</v>
      </c>
      <c r="P4777"/>
      <c r="Q4777"/>
      <c r="R4777"/>
      <c r="S4777"/>
    </row>
    <row r="4778" spans="1:19" x14ac:dyDescent="0.25">
      <c r="A4778" s="27" t="s">
        <v>193</v>
      </c>
      <c r="C4778" s="27" t="s">
        <v>34749</v>
      </c>
      <c r="D4778" s="28" t="s">
        <v>34867</v>
      </c>
      <c r="I4778" s="27" t="str">
        <f t="shared" si="4"/>
        <v>fluopicolide</v>
      </c>
      <c r="N4778" t="s">
        <v>12583</v>
      </c>
      <c r="O4778" s="28" t="s">
        <v>9754</v>
      </c>
      <c r="P4778"/>
      <c r="Q4778"/>
      <c r="R4778"/>
      <c r="S4778"/>
    </row>
    <row r="4779" spans="1:19" x14ac:dyDescent="0.25">
      <c r="A4779" s="27" t="s">
        <v>193</v>
      </c>
      <c r="C4779" s="27" t="s">
        <v>34749</v>
      </c>
      <c r="D4779" s="28" t="s">
        <v>34867</v>
      </c>
      <c r="I4779" s="27" t="str">
        <f t="shared" si="4"/>
        <v>fluopyram</v>
      </c>
      <c r="N4779" t="s">
        <v>12584</v>
      </c>
      <c r="O4779" s="28" t="s">
        <v>9757</v>
      </c>
      <c r="P4779"/>
      <c r="Q4779"/>
      <c r="R4779"/>
      <c r="S4779"/>
    </row>
    <row r="4780" spans="1:19" x14ac:dyDescent="0.25">
      <c r="A4780" s="27" t="s">
        <v>193</v>
      </c>
      <c r="C4780" s="27" t="s">
        <v>34749</v>
      </c>
      <c r="D4780" s="28" t="s">
        <v>34867</v>
      </c>
      <c r="I4780" s="27" t="str">
        <f t="shared" si="4"/>
        <v>fluorchloridon</v>
      </c>
      <c r="N4780" t="s">
        <v>12585</v>
      </c>
      <c r="P4780"/>
      <c r="Q4780"/>
      <c r="R4780"/>
      <c r="S4780"/>
    </row>
    <row r="4781" spans="1:19" x14ac:dyDescent="0.25">
      <c r="A4781" s="27" t="s">
        <v>193</v>
      </c>
      <c r="C4781" s="27" t="s">
        <v>34749</v>
      </c>
      <c r="D4781" s="28" t="s">
        <v>34867</v>
      </c>
      <c r="I4781" s="27" t="str">
        <f t="shared" si="4"/>
        <v>fluoxastrobin</v>
      </c>
      <c r="N4781" t="s">
        <v>12586</v>
      </c>
      <c r="O4781" s="28" t="s">
        <v>12069</v>
      </c>
      <c r="P4781"/>
      <c r="Q4781"/>
      <c r="R4781"/>
      <c r="S4781"/>
    </row>
    <row r="4782" spans="1:19" x14ac:dyDescent="0.25">
      <c r="A4782" s="27" t="s">
        <v>193</v>
      </c>
      <c r="C4782" s="27" t="s">
        <v>34749</v>
      </c>
      <c r="D4782" s="28" t="s">
        <v>34867</v>
      </c>
      <c r="I4782" s="27" t="str">
        <f t="shared" si="4"/>
        <v>flupyradifuron</v>
      </c>
      <c r="N4782" t="s">
        <v>12587</v>
      </c>
      <c r="P4782"/>
      <c r="Q4782"/>
      <c r="R4782"/>
      <c r="S4782"/>
    </row>
    <row r="4783" spans="1:19" x14ac:dyDescent="0.25">
      <c r="A4783" s="27" t="s">
        <v>193</v>
      </c>
      <c r="C4783" s="27" t="s">
        <v>34749</v>
      </c>
      <c r="D4783" s="28" t="s">
        <v>34867</v>
      </c>
      <c r="I4783" s="27" t="str">
        <f t="shared" si="4"/>
        <v>flurenol</v>
      </c>
      <c r="N4783" t="s">
        <v>12588</v>
      </c>
      <c r="P4783"/>
      <c r="Q4783"/>
      <c r="R4783"/>
      <c r="S4783"/>
    </row>
    <row r="4784" spans="1:19" x14ac:dyDescent="0.25">
      <c r="A4784" s="27" t="s">
        <v>193</v>
      </c>
      <c r="C4784" s="27" t="s">
        <v>34749</v>
      </c>
      <c r="D4784" s="28" t="s">
        <v>34867</v>
      </c>
      <c r="I4784" s="27" t="str">
        <f t="shared" si="4"/>
        <v>fluroxypyr</v>
      </c>
      <c r="N4784" t="s">
        <v>12589</v>
      </c>
      <c r="O4784" s="28" t="s">
        <v>9778</v>
      </c>
      <c r="P4784"/>
      <c r="Q4784"/>
      <c r="R4784"/>
      <c r="S4784"/>
    </row>
    <row r="4785" spans="1:19" x14ac:dyDescent="0.25">
      <c r="A4785" s="27" t="s">
        <v>193</v>
      </c>
      <c r="C4785" s="27" t="s">
        <v>34749</v>
      </c>
      <c r="D4785" s="28" t="s">
        <v>34867</v>
      </c>
      <c r="I4785" s="27" t="str">
        <f t="shared" si="4"/>
        <v>flutolanil</v>
      </c>
      <c r="N4785" t="s">
        <v>12590</v>
      </c>
      <c r="O4785" s="28" t="s">
        <v>9808</v>
      </c>
      <c r="P4785"/>
      <c r="Q4785"/>
      <c r="R4785"/>
      <c r="S4785"/>
    </row>
    <row r="4786" spans="1:19" x14ac:dyDescent="0.25">
      <c r="A4786" s="27" t="s">
        <v>193</v>
      </c>
      <c r="C4786" s="27" t="s">
        <v>34749</v>
      </c>
      <c r="D4786" s="28" t="s">
        <v>34867</v>
      </c>
      <c r="I4786" s="27" t="str">
        <f t="shared" si="4"/>
        <v>fluvalinaat,(tau,)</v>
      </c>
      <c r="N4786" t="s">
        <v>12591</v>
      </c>
      <c r="P4786"/>
      <c r="Q4786"/>
      <c r="R4786"/>
      <c r="S4786"/>
    </row>
    <row r="4787" spans="1:19" x14ac:dyDescent="0.25">
      <c r="A4787" s="27" t="s">
        <v>193</v>
      </c>
      <c r="C4787" s="27" t="s">
        <v>34749</v>
      </c>
      <c r="D4787" s="28" t="s">
        <v>34867</v>
      </c>
      <c r="I4787" s="27" t="str">
        <f t="shared" si="4"/>
        <v>fluxapyroxad</v>
      </c>
      <c r="N4787" t="s">
        <v>12592</v>
      </c>
      <c r="O4787" s="28" t="s">
        <v>9814</v>
      </c>
      <c r="P4787"/>
      <c r="Q4787"/>
      <c r="R4787"/>
      <c r="S4787"/>
    </row>
    <row r="4788" spans="1:19" x14ac:dyDescent="0.25">
      <c r="A4788" s="27" t="s">
        <v>193</v>
      </c>
      <c r="C4788" s="27" t="s">
        <v>34749</v>
      </c>
      <c r="D4788" s="28" t="s">
        <v>34867</v>
      </c>
      <c r="I4788" s="27" t="str">
        <f t="shared" si="4"/>
        <v>folpet</v>
      </c>
      <c r="N4788" t="s">
        <v>12593</v>
      </c>
      <c r="O4788" s="28" t="s">
        <v>9817</v>
      </c>
      <c r="P4788"/>
      <c r="Q4788"/>
      <c r="R4788"/>
      <c r="S4788"/>
    </row>
    <row r="4789" spans="1:19" x14ac:dyDescent="0.25">
      <c r="A4789" s="27" t="s">
        <v>193</v>
      </c>
      <c r="C4789" s="27" t="s">
        <v>34749</v>
      </c>
      <c r="D4789" s="28" t="s">
        <v>34867</v>
      </c>
      <c r="I4789" s="27" t="str">
        <f t="shared" si="4"/>
        <v>fonofos</v>
      </c>
      <c r="N4789" t="s">
        <v>12594</v>
      </c>
      <c r="P4789"/>
      <c r="Q4789"/>
      <c r="R4789"/>
      <c r="S4789"/>
    </row>
    <row r="4790" spans="1:19" x14ac:dyDescent="0.25">
      <c r="A4790" s="27" t="s">
        <v>193</v>
      </c>
      <c r="C4790" s="27" t="s">
        <v>34749</v>
      </c>
      <c r="D4790" s="28" t="s">
        <v>34867</v>
      </c>
      <c r="I4790" s="27" t="str">
        <f t="shared" si="4"/>
        <v>foramsulfuron</v>
      </c>
      <c r="N4790" t="s">
        <v>12595</v>
      </c>
      <c r="O4790" s="28" t="s">
        <v>9829</v>
      </c>
      <c r="P4790"/>
      <c r="Q4790"/>
      <c r="R4790"/>
      <c r="S4790"/>
    </row>
    <row r="4791" spans="1:19" x14ac:dyDescent="0.25">
      <c r="A4791" s="27" t="s">
        <v>193</v>
      </c>
      <c r="C4791" s="27" t="s">
        <v>34749</v>
      </c>
      <c r="D4791" s="28" t="s">
        <v>34867</v>
      </c>
      <c r="I4791" s="27" t="str">
        <f t="shared" si="4"/>
        <v>formaldehyde</v>
      </c>
      <c r="N4791" t="s">
        <v>12596</v>
      </c>
      <c r="P4791"/>
      <c r="Q4791"/>
      <c r="R4791"/>
      <c r="S4791"/>
    </row>
    <row r="4792" spans="1:19" x14ac:dyDescent="0.25">
      <c r="A4792" s="27" t="s">
        <v>193</v>
      </c>
      <c r="C4792" s="27" t="s">
        <v>34749</v>
      </c>
      <c r="D4792" s="28" t="s">
        <v>34867</v>
      </c>
      <c r="I4792" s="27" t="str">
        <f t="shared" si="4"/>
        <v>formetanaat</v>
      </c>
      <c r="N4792" t="s">
        <v>12597</v>
      </c>
      <c r="O4792" s="28" t="s">
        <v>9838</v>
      </c>
      <c r="P4792"/>
      <c r="Q4792"/>
      <c r="R4792"/>
      <c r="S4792"/>
    </row>
    <row r="4793" spans="1:19" x14ac:dyDescent="0.25">
      <c r="A4793" s="27" t="s">
        <v>193</v>
      </c>
      <c r="C4793" s="27" t="s">
        <v>34749</v>
      </c>
      <c r="D4793" s="28" t="s">
        <v>34867</v>
      </c>
      <c r="I4793" s="27" t="str">
        <f t="shared" si="4"/>
        <v>formothion</v>
      </c>
      <c r="N4793" t="s">
        <v>12598</v>
      </c>
      <c r="P4793"/>
      <c r="Q4793"/>
      <c r="R4793"/>
      <c r="S4793"/>
    </row>
    <row r="4794" spans="1:19" x14ac:dyDescent="0.25">
      <c r="A4794" s="27" t="s">
        <v>193</v>
      </c>
      <c r="C4794" s="27" t="s">
        <v>34749</v>
      </c>
      <c r="D4794" s="28" t="s">
        <v>34867</v>
      </c>
      <c r="I4794" s="27" t="str">
        <f t="shared" si="4"/>
        <v>fosalone</v>
      </c>
      <c r="N4794" t="s">
        <v>12599</v>
      </c>
      <c r="P4794"/>
      <c r="Q4794"/>
      <c r="R4794"/>
      <c r="S4794"/>
    </row>
    <row r="4795" spans="1:19" x14ac:dyDescent="0.25">
      <c r="A4795" s="27" t="s">
        <v>193</v>
      </c>
      <c r="C4795" s="27" t="s">
        <v>34749</v>
      </c>
      <c r="D4795" s="28" t="s">
        <v>34867</v>
      </c>
      <c r="I4795" s="27" t="str">
        <f t="shared" si="4"/>
        <v>fosetyl</v>
      </c>
      <c r="N4795" t="s">
        <v>12600</v>
      </c>
      <c r="O4795" s="28" t="s">
        <v>9874</v>
      </c>
      <c r="P4795"/>
      <c r="Q4795"/>
      <c r="R4795"/>
      <c r="S4795"/>
    </row>
    <row r="4796" spans="1:19" x14ac:dyDescent="0.25">
      <c r="A4796" s="27" t="s">
        <v>193</v>
      </c>
      <c r="C4796" s="27" t="s">
        <v>34749</v>
      </c>
      <c r="D4796" s="28" t="s">
        <v>34867</v>
      </c>
      <c r="I4796" s="27" t="str">
        <f t="shared" si="4"/>
        <v>fosetyl,aluminium</v>
      </c>
      <c r="N4796" t="s">
        <v>12601</v>
      </c>
      <c r="O4796" s="28" t="s">
        <v>9850</v>
      </c>
      <c r="P4796"/>
      <c r="Q4796"/>
      <c r="R4796"/>
      <c r="S4796"/>
    </row>
    <row r="4797" spans="1:19" x14ac:dyDescent="0.25">
      <c r="A4797" s="27" t="s">
        <v>193</v>
      </c>
      <c r="C4797" s="27" t="s">
        <v>34749</v>
      </c>
      <c r="D4797" s="28" t="s">
        <v>34867</v>
      </c>
      <c r="I4797" s="27" t="str">
        <f t="shared" si="4"/>
        <v>fosfamidon</v>
      </c>
      <c r="N4797" t="s">
        <v>12602</v>
      </c>
      <c r="P4797"/>
      <c r="Q4797"/>
      <c r="R4797"/>
      <c r="S4797"/>
    </row>
    <row r="4798" spans="1:19" x14ac:dyDescent="0.25">
      <c r="A4798" s="27" t="s">
        <v>193</v>
      </c>
      <c r="C4798" s="27" t="s">
        <v>34749</v>
      </c>
      <c r="D4798" s="28" t="s">
        <v>34867</v>
      </c>
      <c r="I4798" s="27" t="str">
        <f t="shared" si="4"/>
        <v>fosmet</v>
      </c>
      <c r="N4798" t="s">
        <v>12603</v>
      </c>
      <c r="P4798"/>
      <c r="Q4798"/>
      <c r="R4798"/>
      <c r="S4798"/>
    </row>
    <row r="4799" spans="1:19" x14ac:dyDescent="0.25">
      <c r="A4799" s="27" t="s">
        <v>193</v>
      </c>
      <c r="C4799" s="27" t="s">
        <v>34749</v>
      </c>
      <c r="D4799" s="28" t="s">
        <v>34867</v>
      </c>
      <c r="I4799" s="27" t="str">
        <f t="shared" si="4"/>
        <v>fosthiazaat</v>
      </c>
      <c r="N4799" t="s">
        <v>12604</v>
      </c>
      <c r="O4799" s="28" t="s">
        <v>9871</v>
      </c>
      <c r="P4799"/>
      <c r="Q4799"/>
      <c r="R4799"/>
      <c r="S4799"/>
    </row>
    <row r="4800" spans="1:19" x14ac:dyDescent="0.25">
      <c r="A4800" s="27" t="s">
        <v>193</v>
      </c>
      <c r="C4800" s="27" t="s">
        <v>34749</v>
      </c>
      <c r="D4800" s="28" t="s">
        <v>34867</v>
      </c>
      <c r="I4800" s="27" t="str">
        <f t="shared" si="4"/>
        <v>fosthiazate</v>
      </c>
      <c r="N4800" t="s">
        <v>12605</v>
      </c>
      <c r="P4800"/>
      <c r="Q4800"/>
      <c r="R4800"/>
      <c r="S4800"/>
    </row>
    <row r="4801" spans="1:19" x14ac:dyDescent="0.25">
      <c r="A4801" s="27" t="s">
        <v>193</v>
      </c>
      <c r="C4801" s="27" t="s">
        <v>34749</v>
      </c>
      <c r="D4801" s="28" t="s">
        <v>34867</v>
      </c>
      <c r="I4801" s="27" t="str">
        <f t="shared" si="4"/>
        <v>foxim</v>
      </c>
      <c r="N4801" t="s">
        <v>12606</v>
      </c>
      <c r="P4801"/>
      <c r="Q4801"/>
      <c r="R4801"/>
      <c r="S4801"/>
    </row>
    <row r="4802" spans="1:19" x14ac:dyDescent="0.25">
      <c r="A4802" s="27" t="s">
        <v>193</v>
      </c>
      <c r="C4802" s="27" t="s">
        <v>34749</v>
      </c>
      <c r="D4802" s="28" t="s">
        <v>34867</v>
      </c>
      <c r="I4802" s="27" t="str">
        <f t="shared" si="4"/>
        <v>fuberidazol</v>
      </c>
      <c r="N4802" t="s">
        <v>12607</v>
      </c>
      <c r="P4802"/>
      <c r="Q4802"/>
      <c r="R4802"/>
      <c r="S4802"/>
    </row>
    <row r="4803" spans="1:19" x14ac:dyDescent="0.25">
      <c r="A4803" s="27" t="s">
        <v>193</v>
      </c>
      <c r="C4803" s="27" t="s">
        <v>34749</v>
      </c>
      <c r="D4803" s="28" t="s">
        <v>34867</v>
      </c>
      <c r="I4803" s="27" t="str">
        <f t="shared" si="4"/>
        <v>furalaxyl</v>
      </c>
      <c r="N4803" t="s">
        <v>12608</v>
      </c>
      <c r="P4803"/>
      <c r="Q4803"/>
      <c r="R4803"/>
      <c r="S4803"/>
    </row>
    <row r="4804" spans="1:19" x14ac:dyDescent="0.25">
      <c r="A4804" s="27" t="s">
        <v>193</v>
      </c>
      <c r="C4804" s="27" t="s">
        <v>34749</v>
      </c>
      <c r="D4804" s="28" t="s">
        <v>34867</v>
      </c>
      <c r="I4804" s="27" t="str">
        <f t="shared" si="4"/>
        <v>geesterde,koolzaadolie</v>
      </c>
      <c r="N4804" t="s">
        <v>12609</v>
      </c>
      <c r="P4804"/>
      <c r="Q4804"/>
      <c r="R4804"/>
      <c r="S4804"/>
    </row>
    <row r="4805" spans="1:19" x14ac:dyDescent="0.25">
      <c r="A4805" s="27" t="s">
        <v>193</v>
      </c>
      <c r="C4805" s="27" t="s">
        <v>34749</v>
      </c>
      <c r="D4805" s="28" t="s">
        <v>34867</v>
      </c>
      <c r="I4805" s="27" t="str">
        <f t="shared" si="4"/>
        <v>geethoxyleerde,vetzuur,amine</v>
      </c>
      <c r="N4805" t="s">
        <v>12610</v>
      </c>
      <c r="P4805"/>
      <c r="Q4805"/>
      <c r="R4805"/>
      <c r="S4805"/>
    </row>
    <row r="4806" spans="1:19" x14ac:dyDescent="0.25">
      <c r="A4806" s="27" t="s">
        <v>193</v>
      </c>
      <c r="C4806" s="27" t="s">
        <v>34749</v>
      </c>
      <c r="D4806" s="28" t="s">
        <v>34867</v>
      </c>
      <c r="I4806" s="27" t="str">
        <f t="shared" si="4"/>
        <v>gibbereline</v>
      </c>
      <c r="N4806" t="s">
        <v>12611</v>
      </c>
      <c r="O4806" s="28" t="s">
        <v>12612</v>
      </c>
      <c r="P4806"/>
      <c r="Q4806"/>
      <c r="R4806"/>
      <c r="S4806"/>
    </row>
    <row r="4807" spans="1:19" x14ac:dyDescent="0.25">
      <c r="A4807" s="27" t="s">
        <v>193</v>
      </c>
      <c r="C4807" s="27" t="s">
        <v>34749</v>
      </c>
      <c r="D4807" s="28" t="s">
        <v>34867</v>
      </c>
      <c r="I4807" s="27" t="str">
        <f t="shared" si="4"/>
        <v>gibberella,zuur,a3</v>
      </c>
      <c r="N4807" t="s">
        <v>12613</v>
      </c>
      <c r="O4807" s="28" t="s">
        <v>9919</v>
      </c>
      <c r="P4807"/>
      <c r="Q4807"/>
      <c r="R4807"/>
      <c r="S4807"/>
    </row>
    <row r="4808" spans="1:19" x14ac:dyDescent="0.25">
      <c r="A4808" s="27" t="s">
        <v>193</v>
      </c>
      <c r="C4808" s="27" t="s">
        <v>34749</v>
      </c>
      <c r="D4808" s="28" t="s">
        <v>34867</v>
      </c>
      <c r="I4808" s="27" t="str">
        <f t="shared" si="4"/>
        <v>gibberellin,a4,a7</v>
      </c>
      <c r="N4808" t="s">
        <v>12614</v>
      </c>
      <c r="O4808" s="28" t="s">
        <v>12615</v>
      </c>
      <c r="P4808"/>
      <c r="Q4808"/>
      <c r="R4808"/>
      <c r="S4808"/>
    </row>
    <row r="4809" spans="1:19" x14ac:dyDescent="0.25">
      <c r="A4809" s="27" t="s">
        <v>193</v>
      </c>
      <c r="C4809" s="27" t="s">
        <v>34749</v>
      </c>
      <c r="D4809" s="28" t="s">
        <v>34867</v>
      </c>
      <c r="I4809" s="27" t="str">
        <f t="shared" si="4"/>
        <v>gibberellin,a4+a7</v>
      </c>
      <c r="N4809" t="s">
        <v>12616</v>
      </c>
      <c r="P4809"/>
      <c r="Q4809"/>
      <c r="R4809"/>
      <c r="S4809"/>
    </row>
    <row r="4810" spans="1:19" x14ac:dyDescent="0.25">
      <c r="A4810" s="27" t="s">
        <v>193</v>
      </c>
      <c r="C4810" s="27" t="s">
        <v>34749</v>
      </c>
      <c r="D4810" s="28" t="s">
        <v>34867</v>
      </c>
      <c r="I4810" s="27" t="str">
        <f t="shared" si="4"/>
        <v>gibberellinezuur</v>
      </c>
      <c r="N4810" t="s">
        <v>12617</v>
      </c>
      <c r="P4810"/>
      <c r="Q4810"/>
      <c r="R4810"/>
      <c r="S4810"/>
    </row>
    <row r="4811" spans="1:19" x14ac:dyDescent="0.25">
      <c r="A4811" s="27" t="s">
        <v>193</v>
      </c>
      <c r="C4811" s="27" t="s">
        <v>34749</v>
      </c>
      <c r="D4811" s="28" t="s">
        <v>34867</v>
      </c>
      <c r="I4811" s="27" t="str">
        <f t="shared" si="4"/>
        <v>glufosinaat,ammonium</v>
      </c>
      <c r="N4811" t="s">
        <v>12618</v>
      </c>
      <c r="O4811" s="28" t="s">
        <v>9964</v>
      </c>
      <c r="P4811"/>
      <c r="Q4811"/>
      <c r="R4811"/>
      <c r="S4811"/>
    </row>
    <row r="4812" spans="1:19" x14ac:dyDescent="0.25">
      <c r="A4812" s="27" t="s">
        <v>193</v>
      </c>
      <c r="C4812" s="27" t="s">
        <v>34749</v>
      </c>
      <c r="D4812" s="28" t="s">
        <v>34867</v>
      </c>
      <c r="I4812" s="27" t="str">
        <f t="shared" si="4"/>
        <v>glycolen</v>
      </c>
      <c r="N4812" t="s">
        <v>12619</v>
      </c>
      <c r="P4812"/>
      <c r="Q4812"/>
      <c r="R4812"/>
      <c r="S4812"/>
    </row>
    <row r="4813" spans="1:19" x14ac:dyDescent="0.25">
      <c r="A4813" s="27" t="s">
        <v>193</v>
      </c>
      <c r="C4813" s="27" t="s">
        <v>34749</v>
      </c>
      <c r="D4813" s="28" t="s">
        <v>34867</v>
      </c>
      <c r="I4813" s="27" t="str">
        <f t="shared" si="4"/>
        <v>glyfosaat</v>
      </c>
      <c r="N4813" t="s">
        <v>12620</v>
      </c>
      <c r="O4813" s="28" t="s">
        <v>9994</v>
      </c>
      <c r="P4813"/>
      <c r="Q4813"/>
      <c r="R4813"/>
      <c r="S4813"/>
    </row>
    <row r="4814" spans="1:19" x14ac:dyDescent="0.25">
      <c r="A4814" s="27" t="s">
        <v>193</v>
      </c>
      <c r="C4814" s="27" t="s">
        <v>34749</v>
      </c>
      <c r="D4814" s="28" t="s">
        <v>34867</v>
      </c>
      <c r="I4814" s="27" t="str">
        <f t="shared" si="4"/>
        <v>glyfosaat,trimesium</v>
      </c>
      <c r="N4814" t="s">
        <v>12621</v>
      </c>
      <c r="P4814"/>
      <c r="Q4814"/>
      <c r="R4814"/>
      <c r="S4814"/>
    </row>
    <row r="4815" spans="1:19" x14ac:dyDescent="0.25">
      <c r="A4815" s="27" t="s">
        <v>193</v>
      </c>
      <c r="C4815" s="27" t="s">
        <v>34749</v>
      </c>
      <c r="D4815" s="28" t="s">
        <v>34867</v>
      </c>
      <c r="I4815" s="27" t="str">
        <f t="shared" si="4"/>
        <v>groenemuntolie</v>
      </c>
      <c r="N4815" t="s">
        <v>12622</v>
      </c>
      <c r="P4815"/>
      <c r="Q4815"/>
      <c r="R4815"/>
      <c r="S4815"/>
    </row>
    <row r="4816" spans="1:19" x14ac:dyDescent="0.25">
      <c r="A4816" s="27" t="s">
        <v>193</v>
      </c>
      <c r="C4816" s="27" t="s">
        <v>34749</v>
      </c>
      <c r="D4816" s="28" t="s">
        <v>34867</v>
      </c>
      <c r="I4816" s="27" t="str">
        <f t="shared" si="4"/>
        <v>guazatine</v>
      </c>
      <c r="N4816" t="s">
        <v>12623</v>
      </c>
      <c r="P4816"/>
      <c r="Q4816"/>
      <c r="R4816"/>
      <c r="S4816"/>
    </row>
    <row r="4817" spans="1:19" x14ac:dyDescent="0.25">
      <c r="A4817" s="27" t="s">
        <v>193</v>
      </c>
      <c r="C4817" s="27" t="s">
        <v>34749</v>
      </c>
      <c r="D4817" s="28" t="s">
        <v>34867</v>
      </c>
      <c r="I4817" s="27" t="str">
        <f t="shared" si="4"/>
        <v>haloxyfop,ethoxyethyl</v>
      </c>
      <c r="N4817" t="s">
        <v>12624</v>
      </c>
      <c r="P4817"/>
      <c r="Q4817"/>
      <c r="R4817"/>
      <c r="S4817"/>
    </row>
    <row r="4818" spans="1:19" x14ac:dyDescent="0.25">
      <c r="A4818" s="27" t="s">
        <v>193</v>
      </c>
      <c r="C4818" s="27" t="s">
        <v>34749</v>
      </c>
      <c r="D4818" s="28" t="s">
        <v>34867</v>
      </c>
      <c r="I4818" s="27" t="str">
        <f t="shared" si="4"/>
        <v>haloxyfop,p,methyl</v>
      </c>
      <c r="N4818" t="s">
        <v>12625</v>
      </c>
      <c r="P4818"/>
      <c r="Q4818"/>
      <c r="R4818"/>
      <c r="S4818"/>
    </row>
    <row r="4819" spans="1:19" x14ac:dyDescent="0.25">
      <c r="A4819" s="27" t="s">
        <v>193</v>
      </c>
      <c r="C4819" s="27" t="s">
        <v>34749</v>
      </c>
      <c r="D4819" s="28" t="s">
        <v>34867</v>
      </c>
      <c r="I4819" s="27" t="str">
        <f t="shared" si="4"/>
        <v>heptenofos</v>
      </c>
      <c r="N4819" t="s">
        <v>12626</v>
      </c>
      <c r="P4819"/>
      <c r="Q4819"/>
      <c r="R4819"/>
      <c r="S4819"/>
    </row>
    <row r="4820" spans="1:19" x14ac:dyDescent="0.25">
      <c r="A4820" s="27" t="s">
        <v>193</v>
      </c>
      <c r="C4820" s="27" t="s">
        <v>34749</v>
      </c>
      <c r="D4820" s="28" t="s">
        <v>34867</v>
      </c>
      <c r="I4820" s="27" t="str">
        <f t="shared" si="4"/>
        <v>hexazinon</v>
      </c>
      <c r="N4820" t="s">
        <v>12627</v>
      </c>
      <c r="P4820"/>
      <c r="Q4820"/>
      <c r="R4820"/>
      <c r="S4820"/>
    </row>
    <row r="4821" spans="1:19" x14ac:dyDescent="0.25">
      <c r="A4821" s="27" t="s">
        <v>193</v>
      </c>
      <c r="C4821" s="27" t="s">
        <v>34749</v>
      </c>
      <c r="D4821" s="28" t="s">
        <v>34867</v>
      </c>
      <c r="I4821" s="27" t="str">
        <f t="shared" ref="I4821:I4884" si="5">SUBSTITUTE(LOWER(N4821),"_",",")</f>
        <v>hexyleenglycol</v>
      </c>
      <c r="N4821" t="s">
        <v>12628</v>
      </c>
      <c r="P4821"/>
      <c r="Q4821"/>
      <c r="R4821"/>
      <c r="S4821"/>
    </row>
    <row r="4822" spans="1:19" x14ac:dyDescent="0.25">
      <c r="A4822" s="27" t="s">
        <v>193</v>
      </c>
      <c r="C4822" s="27" t="s">
        <v>34749</v>
      </c>
      <c r="D4822" s="28" t="s">
        <v>34867</v>
      </c>
      <c r="I4822" s="27" t="str">
        <f t="shared" si="5"/>
        <v>hexythiazox</v>
      </c>
      <c r="N4822" t="s">
        <v>12629</v>
      </c>
      <c r="O4822" s="28" t="s">
        <v>10051</v>
      </c>
      <c r="P4822"/>
      <c r="Q4822"/>
      <c r="R4822"/>
      <c r="S4822"/>
    </row>
    <row r="4823" spans="1:19" x14ac:dyDescent="0.25">
      <c r="A4823" s="27" t="s">
        <v>193</v>
      </c>
      <c r="C4823" s="27" t="s">
        <v>34749</v>
      </c>
      <c r="D4823" s="28" t="s">
        <v>34867</v>
      </c>
      <c r="I4823" s="27" t="str">
        <f t="shared" si="5"/>
        <v>hydramethylnon</v>
      </c>
      <c r="N4823" t="s">
        <v>12630</v>
      </c>
      <c r="P4823"/>
      <c r="Q4823"/>
      <c r="R4823"/>
      <c r="S4823"/>
    </row>
    <row r="4824" spans="1:19" x14ac:dyDescent="0.25">
      <c r="A4824" s="27" t="s">
        <v>193</v>
      </c>
      <c r="C4824" s="27" t="s">
        <v>34749</v>
      </c>
      <c r="D4824" s="28" t="s">
        <v>34867</v>
      </c>
      <c r="I4824" s="27" t="str">
        <f t="shared" si="5"/>
        <v>hymexazool</v>
      </c>
      <c r="N4824" t="s">
        <v>12631</v>
      </c>
      <c r="O4824" s="28" t="s">
        <v>10063</v>
      </c>
      <c r="P4824"/>
      <c r="Q4824"/>
      <c r="R4824"/>
      <c r="S4824"/>
    </row>
    <row r="4825" spans="1:19" x14ac:dyDescent="0.25">
      <c r="A4825" s="27" t="s">
        <v>193</v>
      </c>
      <c r="C4825" s="27" t="s">
        <v>34749</v>
      </c>
      <c r="D4825" s="28" t="s">
        <v>34867</v>
      </c>
      <c r="I4825" s="27" t="str">
        <f t="shared" si="5"/>
        <v>ijzer,(organische,gebonden)</v>
      </c>
      <c r="N4825" t="s">
        <v>12632</v>
      </c>
      <c r="P4825"/>
      <c r="Q4825"/>
      <c r="R4825"/>
      <c r="S4825"/>
    </row>
    <row r="4826" spans="1:19" x14ac:dyDescent="0.25">
      <c r="A4826" s="27" t="s">
        <v>193</v>
      </c>
      <c r="C4826" s="27" t="s">
        <v>34749</v>
      </c>
      <c r="D4826" s="28" t="s">
        <v>34867</v>
      </c>
      <c r="I4826" s="27" t="str">
        <f t="shared" si="5"/>
        <v>ijzer(ii)sulfaat</v>
      </c>
      <c r="N4826" t="s">
        <v>12633</v>
      </c>
      <c r="P4826"/>
      <c r="Q4826"/>
      <c r="R4826"/>
      <c r="S4826"/>
    </row>
    <row r="4827" spans="1:19" x14ac:dyDescent="0.25">
      <c r="A4827" s="27" t="s">
        <v>193</v>
      </c>
      <c r="C4827" s="27" t="s">
        <v>34749</v>
      </c>
      <c r="D4827" s="28" t="s">
        <v>34867</v>
      </c>
      <c r="I4827" s="27" t="str">
        <f t="shared" si="5"/>
        <v>ijzer(iii)fosfaat</v>
      </c>
      <c r="N4827" t="s">
        <v>12634</v>
      </c>
      <c r="P4827"/>
      <c r="Q4827"/>
      <c r="R4827"/>
      <c r="S4827"/>
    </row>
    <row r="4828" spans="1:19" x14ac:dyDescent="0.25">
      <c r="A4828" s="27" t="s">
        <v>193</v>
      </c>
      <c r="C4828" s="27" t="s">
        <v>34749</v>
      </c>
      <c r="D4828" s="28" t="s">
        <v>34867</v>
      </c>
      <c r="I4828" s="27" t="str">
        <f t="shared" si="5"/>
        <v>imazalil</v>
      </c>
      <c r="N4828" t="s">
        <v>12635</v>
      </c>
      <c r="O4828" s="28" t="s">
        <v>12636</v>
      </c>
      <c r="P4828"/>
      <c r="Q4828"/>
      <c r="R4828"/>
      <c r="S4828"/>
    </row>
    <row r="4829" spans="1:19" x14ac:dyDescent="0.25">
      <c r="A4829" s="27" t="s">
        <v>193</v>
      </c>
      <c r="C4829" s="27" t="s">
        <v>34749</v>
      </c>
      <c r="D4829" s="28" t="s">
        <v>34867</v>
      </c>
      <c r="I4829" s="27" t="str">
        <f t="shared" si="5"/>
        <v>imazamethabenz,methyl</v>
      </c>
      <c r="N4829" t="s">
        <v>12637</v>
      </c>
      <c r="P4829"/>
      <c r="Q4829"/>
      <c r="R4829"/>
      <c r="S4829"/>
    </row>
    <row r="4830" spans="1:19" x14ac:dyDescent="0.25">
      <c r="A4830" s="27" t="s">
        <v>193</v>
      </c>
      <c r="C4830" s="27" t="s">
        <v>34749</v>
      </c>
      <c r="D4830" s="28" t="s">
        <v>34867</v>
      </c>
      <c r="I4830" s="27" t="str">
        <f t="shared" si="5"/>
        <v>imazamox</v>
      </c>
      <c r="N4830" t="s">
        <v>12638</v>
      </c>
      <c r="O4830" s="28" t="s">
        <v>10159</v>
      </c>
      <c r="P4830"/>
      <c r="Q4830"/>
      <c r="R4830"/>
      <c r="S4830"/>
    </row>
    <row r="4831" spans="1:19" x14ac:dyDescent="0.25">
      <c r="A4831" s="27" t="s">
        <v>193</v>
      </c>
      <c r="C4831" s="27" t="s">
        <v>34749</v>
      </c>
      <c r="D4831" s="28" t="s">
        <v>34867</v>
      </c>
      <c r="I4831" s="27" t="str">
        <f t="shared" si="5"/>
        <v>imidacloprid</v>
      </c>
      <c r="N4831" t="s">
        <v>12639</v>
      </c>
      <c r="O4831" s="28" t="s">
        <v>10150</v>
      </c>
      <c r="P4831"/>
      <c r="Q4831"/>
      <c r="R4831"/>
      <c r="S4831"/>
    </row>
    <row r="4832" spans="1:19" x14ac:dyDescent="0.25">
      <c r="A4832" s="27" t="s">
        <v>193</v>
      </c>
      <c r="C4832" s="27" t="s">
        <v>34749</v>
      </c>
      <c r="D4832" s="28" t="s">
        <v>34867</v>
      </c>
      <c r="I4832" s="27" t="str">
        <f t="shared" si="5"/>
        <v>indolylboterzuur</v>
      </c>
      <c r="N4832" t="s">
        <v>12640</v>
      </c>
      <c r="O4832" s="28" t="s">
        <v>10174</v>
      </c>
      <c r="P4832"/>
      <c r="Q4832"/>
      <c r="R4832"/>
      <c r="S4832"/>
    </row>
    <row r="4833" spans="1:19" x14ac:dyDescent="0.25">
      <c r="A4833" s="27" t="s">
        <v>193</v>
      </c>
      <c r="C4833" s="27" t="s">
        <v>34749</v>
      </c>
      <c r="D4833" s="28" t="s">
        <v>34867</v>
      </c>
      <c r="I4833" s="27" t="str">
        <f t="shared" si="5"/>
        <v>indoxacarb</v>
      </c>
      <c r="N4833" t="s">
        <v>12641</v>
      </c>
      <c r="O4833" s="28" t="s">
        <v>10180</v>
      </c>
      <c r="P4833"/>
      <c r="Q4833"/>
      <c r="R4833"/>
      <c r="S4833"/>
    </row>
    <row r="4834" spans="1:19" x14ac:dyDescent="0.25">
      <c r="A4834" s="27" t="s">
        <v>193</v>
      </c>
      <c r="C4834" s="27" t="s">
        <v>34749</v>
      </c>
      <c r="D4834" s="28" t="s">
        <v>34867</v>
      </c>
      <c r="I4834" s="27" t="str">
        <f t="shared" si="5"/>
        <v>iodosulfuron,methyl,natrium</v>
      </c>
      <c r="N4834" t="s">
        <v>12642</v>
      </c>
      <c r="O4834" s="28" t="s">
        <v>5442</v>
      </c>
      <c r="P4834"/>
      <c r="Q4834"/>
      <c r="R4834"/>
      <c r="S4834"/>
    </row>
    <row r="4835" spans="1:19" x14ac:dyDescent="0.25">
      <c r="A4835" s="27" t="s">
        <v>193</v>
      </c>
      <c r="C4835" s="27" t="s">
        <v>34749</v>
      </c>
      <c r="D4835" s="28" t="s">
        <v>34867</v>
      </c>
      <c r="I4835" s="27" t="str">
        <f t="shared" si="5"/>
        <v>ioxynil</v>
      </c>
      <c r="N4835" t="s">
        <v>12643</v>
      </c>
      <c r="O4835" s="28" t="s">
        <v>10108</v>
      </c>
      <c r="P4835"/>
      <c r="Q4835"/>
      <c r="R4835"/>
      <c r="S4835"/>
    </row>
    <row r="4836" spans="1:19" x14ac:dyDescent="0.25">
      <c r="A4836" s="27" t="s">
        <v>193</v>
      </c>
      <c r="C4836" s="27" t="s">
        <v>34749</v>
      </c>
      <c r="D4836" s="28" t="s">
        <v>34867</v>
      </c>
      <c r="I4836" s="27" t="str">
        <f t="shared" si="5"/>
        <v>ioxynil,octanoaat</v>
      </c>
      <c r="N4836" t="s">
        <v>12644</v>
      </c>
      <c r="O4836" s="28" t="s">
        <v>10186</v>
      </c>
      <c r="P4836"/>
      <c r="Q4836"/>
      <c r="R4836"/>
      <c r="S4836"/>
    </row>
    <row r="4837" spans="1:19" x14ac:dyDescent="0.25">
      <c r="A4837" s="27" t="s">
        <v>193</v>
      </c>
      <c r="C4837" s="27" t="s">
        <v>34749</v>
      </c>
      <c r="D4837" s="28" t="s">
        <v>34867</v>
      </c>
      <c r="I4837" s="27" t="str">
        <f t="shared" si="5"/>
        <v>ipc</v>
      </c>
      <c r="N4837" t="s">
        <v>12645</v>
      </c>
      <c r="P4837"/>
      <c r="Q4837"/>
      <c r="R4837"/>
      <c r="S4837"/>
    </row>
    <row r="4838" spans="1:19" x14ac:dyDescent="0.25">
      <c r="A4838" s="27" t="s">
        <v>193</v>
      </c>
      <c r="C4838" s="27" t="s">
        <v>34749</v>
      </c>
      <c r="D4838" s="28" t="s">
        <v>34867</v>
      </c>
      <c r="I4838" s="27" t="str">
        <f t="shared" si="5"/>
        <v>iprodion</v>
      </c>
      <c r="N4838" t="s">
        <v>12646</v>
      </c>
      <c r="O4838" s="28" t="s">
        <v>10189</v>
      </c>
      <c r="P4838"/>
      <c r="Q4838"/>
      <c r="R4838"/>
      <c r="S4838"/>
    </row>
    <row r="4839" spans="1:19" x14ac:dyDescent="0.25">
      <c r="A4839" s="27" t="s">
        <v>193</v>
      </c>
      <c r="C4839" s="27" t="s">
        <v>34749</v>
      </c>
      <c r="D4839" s="28" t="s">
        <v>34867</v>
      </c>
      <c r="I4839" s="27" t="str">
        <f t="shared" si="5"/>
        <v>iso,octylfenolpolyglycolether</v>
      </c>
      <c r="N4839" t="s">
        <v>12647</v>
      </c>
      <c r="P4839"/>
      <c r="Q4839"/>
      <c r="R4839"/>
      <c r="S4839"/>
    </row>
    <row r="4840" spans="1:19" x14ac:dyDescent="0.25">
      <c r="A4840" s="27" t="s">
        <v>193</v>
      </c>
      <c r="C4840" s="27" t="s">
        <v>34749</v>
      </c>
      <c r="D4840" s="28" t="s">
        <v>34867</v>
      </c>
      <c r="I4840" s="27" t="str">
        <f t="shared" si="5"/>
        <v>isodecylalcoholethoxylaat</v>
      </c>
      <c r="N4840" t="s">
        <v>12648</v>
      </c>
      <c r="P4840"/>
      <c r="Q4840"/>
      <c r="R4840"/>
      <c r="S4840"/>
    </row>
    <row r="4841" spans="1:19" x14ac:dyDescent="0.25">
      <c r="A4841" s="27" t="s">
        <v>193</v>
      </c>
      <c r="C4841" s="27" t="s">
        <v>34749</v>
      </c>
      <c r="D4841" s="28" t="s">
        <v>34867</v>
      </c>
      <c r="I4841" s="27" t="str">
        <f t="shared" si="5"/>
        <v>isofenfos</v>
      </c>
      <c r="N4841" t="s">
        <v>12649</v>
      </c>
      <c r="P4841"/>
      <c r="Q4841"/>
      <c r="R4841"/>
      <c r="S4841"/>
    </row>
    <row r="4842" spans="1:19" x14ac:dyDescent="0.25">
      <c r="A4842" s="27" t="s">
        <v>193</v>
      </c>
      <c r="C4842" s="27" t="s">
        <v>34749</v>
      </c>
      <c r="D4842" s="28" t="s">
        <v>34867</v>
      </c>
      <c r="I4842" s="27" t="str">
        <f t="shared" si="5"/>
        <v>isoproturon</v>
      </c>
      <c r="N4842" t="s">
        <v>12650</v>
      </c>
      <c r="O4842" s="28" t="s">
        <v>10204</v>
      </c>
      <c r="P4842"/>
      <c r="Q4842"/>
      <c r="R4842"/>
      <c r="S4842"/>
    </row>
    <row r="4843" spans="1:19" x14ac:dyDescent="0.25">
      <c r="A4843" s="27" t="s">
        <v>193</v>
      </c>
      <c r="C4843" s="27" t="s">
        <v>34749</v>
      </c>
      <c r="D4843" s="28" t="s">
        <v>34867</v>
      </c>
      <c r="I4843" s="27" t="str">
        <f t="shared" si="5"/>
        <v>isopyrazam</v>
      </c>
      <c r="N4843" t="s">
        <v>12651</v>
      </c>
      <c r="O4843" s="28" t="s">
        <v>10222</v>
      </c>
      <c r="P4843"/>
      <c r="Q4843"/>
      <c r="R4843"/>
      <c r="S4843"/>
    </row>
    <row r="4844" spans="1:19" x14ac:dyDescent="0.25">
      <c r="A4844" s="27" t="s">
        <v>193</v>
      </c>
      <c r="C4844" s="27" t="s">
        <v>34749</v>
      </c>
      <c r="D4844" s="28" t="s">
        <v>34867</v>
      </c>
      <c r="I4844" s="27" t="str">
        <f t="shared" si="5"/>
        <v>isoxaben</v>
      </c>
      <c r="N4844" t="s">
        <v>12652</v>
      </c>
      <c r="P4844"/>
      <c r="Q4844"/>
      <c r="R4844"/>
      <c r="S4844"/>
    </row>
    <row r="4845" spans="1:19" x14ac:dyDescent="0.25">
      <c r="A4845" s="27" t="s">
        <v>193</v>
      </c>
      <c r="C4845" s="27" t="s">
        <v>34749</v>
      </c>
      <c r="D4845" s="28" t="s">
        <v>34867</v>
      </c>
      <c r="I4845" s="27" t="str">
        <f t="shared" si="5"/>
        <v>isoxadifen,ethyl</v>
      </c>
      <c r="N4845" t="s">
        <v>12653</v>
      </c>
      <c r="P4845"/>
      <c r="Q4845"/>
      <c r="R4845"/>
      <c r="S4845"/>
    </row>
    <row r="4846" spans="1:19" x14ac:dyDescent="0.25">
      <c r="A4846" s="27" t="s">
        <v>193</v>
      </c>
      <c r="C4846" s="27" t="s">
        <v>34749</v>
      </c>
      <c r="D4846" s="28" t="s">
        <v>34867</v>
      </c>
      <c r="I4846" s="27" t="str">
        <f t="shared" si="5"/>
        <v>isoxaflutool</v>
      </c>
      <c r="N4846" t="s">
        <v>12654</v>
      </c>
      <c r="O4846" s="28" t="s">
        <v>10105</v>
      </c>
      <c r="P4846"/>
      <c r="Q4846"/>
      <c r="R4846"/>
      <c r="S4846"/>
    </row>
    <row r="4847" spans="1:19" x14ac:dyDescent="0.25">
      <c r="A4847" s="27" t="s">
        <v>193</v>
      </c>
      <c r="C4847" s="27" t="s">
        <v>34749</v>
      </c>
      <c r="D4847" s="28" t="s">
        <v>34867</v>
      </c>
      <c r="I4847" s="27" t="str">
        <f t="shared" si="5"/>
        <v>isoxaflutool,(1998)</v>
      </c>
      <c r="N4847" t="s">
        <v>12655</v>
      </c>
      <c r="P4847"/>
      <c r="Q4847"/>
      <c r="R4847"/>
      <c r="S4847"/>
    </row>
    <row r="4848" spans="1:19" x14ac:dyDescent="0.25">
      <c r="A4848" s="27" t="s">
        <v>193</v>
      </c>
      <c r="C4848" s="27" t="s">
        <v>34749</v>
      </c>
      <c r="D4848" s="28" t="s">
        <v>34867</v>
      </c>
      <c r="I4848" s="27" t="str">
        <f t="shared" si="5"/>
        <v>joodfenvos</v>
      </c>
      <c r="N4848" t="s">
        <v>12656</v>
      </c>
      <c r="P4848"/>
      <c r="Q4848"/>
      <c r="R4848"/>
      <c r="S4848"/>
    </row>
    <row r="4849" spans="1:19" x14ac:dyDescent="0.25">
      <c r="A4849" s="27" t="s">
        <v>193</v>
      </c>
      <c r="C4849" s="27" t="s">
        <v>34749</v>
      </c>
      <c r="D4849" s="28" t="s">
        <v>34867</v>
      </c>
      <c r="I4849" s="27" t="str">
        <f t="shared" si="5"/>
        <v>kalium,waterstofcarbonaat</v>
      </c>
      <c r="N4849" t="s">
        <v>12657</v>
      </c>
      <c r="P4849"/>
      <c r="Q4849"/>
      <c r="R4849"/>
      <c r="S4849"/>
    </row>
    <row r="4850" spans="1:19" x14ac:dyDescent="0.25">
      <c r="A4850" s="27" t="s">
        <v>193</v>
      </c>
      <c r="C4850" s="27" t="s">
        <v>34749</v>
      </c>
      <c r="D4850" s="28" t="s">
        <v>34867</v>
      </c>
      <c r="I4850" s="27" t="str">
        <f t="shared" si="5"/>
        <v>kaliumfosfonaten</v>
      </c>
      <c r="N4850" t="s">
        <v>12658</v>
      </c>
      <c r="P4850"/>
      <c r="Q4850"/>
      <c r="R4850"/>
      <c r="S4850"/>
    </row>
    <row r="4851" spans="1:19" x14ac:dyDescent="0.25">
      <c r="A4851" s="27" t="s">
        <v>193</v>
      </c>
      <c r="C4851" s="27" t="s">
        <v>34749</v>
      </c>
      <c r="D4851" s="28" t="s">
        <v>34867</v>
      </c>
      <c r="I4851" s="27" t="str">
        <f t="shared" si="5"/>
        <v>kaliumjodide</v>
      </c>
      <c r="N4851" t="s">
        <v>12659</v>
      </c>
      <c r="P4851"/>
      <c r="Q4851"/>
      <c r="R4851"/>
      <c r="S4851"/>
    </row>
    <row r="4852" spans="1:19" x14ac:dyDescent="0.25">
      <c r="A4852" s="27" t="s">
        <v>193</v>
      </c>
      <c r="C4852" s="27" t="s">
        <v>34749</v>
      </c>
      <c r="D4852" s="28" t="s">
        <v>34867</v>
      </c>
      <c r="I4852" s="27" t="str">
        <f t="shared" si="5"/>
        <v>kaliumthiocyanaat</v>
      </c>
      <c r="N4852" t="s">
        <v>12660</v>
      </c>
      <c r="P4852"/>
      <c r="Q4852"/>
      <c r="R4852"/>
      <c r="S4852"/>
    </row>
    <row r="4853" spans="1:19" x14ac:dyDescent="0.25">
      <c r="A4853" s="27" t="s">
        <v>193</v>
      </c>
      <c r="C4853" s="27" t="s">
        <v>34749</v>
      </c>
      <c r="D4853" s="28" t="s">
        <v>34867</v>
      </c>
      <c r="I4853" s="27" t="str">
        <f t="shared" si="5"/>
        <v>kaliumwaterstofcarbonaat</v>
      </c>
      <c r="N4853" t="s">
        <v>12661</v>
      </c>
      <c r="P4853"/>
      <c r="Q4853"/>
      <c r="R4853"/>
      <c r="S4853"/>
    </row>
    <row r="4854" spans="1:19" x14ac:dyDescent="0.25">
      <c r="A4854" s="27" t="s">
        <v>193</v>
      </c>
      <c r="C4854" s="27" t="s">
        <v>34749</v>
      </c>
      <c r="D4854" s="28" t="s">
        <v>34867</v>
      </c>
      <c r="I4854" s="27" t="str">
        <f t="shared" si="5"/>
        <v>kaliumzouten,van,vetzuren</v>
      </c>
      <c r="N4854" t="s">
        <v>12662</v>
      </c>
      <c r="P4854"/>
      <c r="Q4854"/>
      <c r="R4854"/>
      <c r="S4854"/>
    </row>
    <row r="4855" spans="1:19" x14ac:dyDescent="0.25">
      <c r="A4855" s="27" t="s">
        <v>193</v>
      </c>
      <c r="C4855" s="27" t="s">
        <v>34749</v>
      </c>
      <c r="D4855" s="28" t="s">
        <v>34867</v>
      </c>
      <c r="I4855" s="27" t="str">
        <f t="shared" si="5"/>
        <v>karvon,d</v>
      </c>
      <c r="N4855" t="s">
        <v>12663</v>
      </c>
      <c r="P4855"/>
      <c r="Q4855"/>
      <c r="R4855"/>
      <c r="S4855"/>
    </row>
    <row r="4856" spans="1:19" x14ac:dyDescent="0.25">
      <c r="A4856" s="27" t="s">
        <v>193</v>
      </c>
      <c r="C4856" s="27" t="s">
        <v>34749</v>
      </c>
      <c r="D4856" s="28" t="s">
        <v>34867</v>
      </c>
      <c r="I4856" s="27" t="str">
        <f t="shared" si="5"/>
        <v>kasugamycine</v>
      </c>
      <c r="N4856" t="s">
        <v>12664</v>
      </c>
      <c r="P4856"/>
      <c r="Q4856"/>
      <c r="R4856"/>
      <c r="S4856"/>
    </row>
    <row r="4857" spans="1:19" x14ac:dyDescent="0.25">
      <c r="A4857" s="27" t="s">
        <v>193</v>
      </c>
      <c r="C4857" s="27" t="s">
        <v>34749</v>
      </c>
      <c r="D4857" s="28" t="s">
        <v>34867</v>
      </c>
      <c r="I4857" s="27" t="str">
        <f t="shared" si="5"/>
        <v>knoflook,extract</v>
      </c>
      <c r="N4857" t="s">
        <v>12665</v>
      </c>
      <c r="P4857"/>
      <c r="Q4857"/>
      <c r="R4857"/>
      <c r="S4857"/>
    </row>
    <row r="4858" spans="1:19" x14ac:dyDescent="0.25">
      <c r="A4858" s="27" t="s">
        <v>193</v>
      </c>
      <c r="C4858" s="27" t="s">
        <v>34749</v>
      </c>
      <c r="D4858" s="28" t="s">
        <v>34867</v>
      </c>
      <c r="I4858" s="27" t="str">
        <f t="shared" si="5"/>
        <v>koolzaadolie</v>
      </c>
      <c r="N4858" t="s">
        <v>12666</v>
      </c>
      <c r="P4858"/>
      <c r="Q4858"/>
      <c r="R4858"/>
      <c r="S4858"/>
    </row>
    <row r="4859" spans="1:19" x14ac:dyDescent="0.25">
      <c r="A4859" s="27" t="s">
        <v>193</v>
      </c>
      <c r="C4859" s="27" t="s">
        <v>34749</v>
      </c>
      <c r="D4859" s="28" t="s">
        <v>34867</v>
      </c>
      <c r="I4859" s="27" t="str">
        <f t="shared" si="5"/>
        <v>koperhydroxide</v>
      </c>
      <c r="N4859" t="s">
        <v>12667</v>
      </c>
      <c r="P4859"/>
      <c r="Q4859"/>
      <c r="R4859"/>
      <c r="S4859"/>
    </row>
    <row r="4860" spans="1:19" x14ac:dyDescent="0.25">
      <c r="A4860" s="27" t="s">
        <v>193</v>
      </c>
      <c r="C4860" s="27" t="s">
        <v>34749</v>
      </c>
      <c r="D4860" s="28" t="s">
        <v>34867</v>
      </c>
      <c r="I4860" s="27" t="str">
        <f t="shared" si="5"/>
        <v>kopernaftenaat</v>
      </c>
      <c r="N4860" t="s">
        <v>12668</v>
      </c>
      <c r="P4860"/>
      <c r="Q4860"/>
      <c r="R4860"/>
      <c r="S4860"/>
    </row>
    <row r="4861" spans="1:19" x14ac:dyDescent="0.25">
      <c r="A4861" s="27" t="s">
        <v>193</v>
      </c>
      <c r="C4861" s="27" t="s">
        <v>34749</v>
      </c>
      <c r="D4861" s="28" t="s">
        <v>34867</v>
      </c>
      <c r="I4861" s="27" t="str">
        <f t="shared" si="5"/>
        <v>koperoxychinolaat</v>
      </c>
      <c r="N4861" t="s">
        <v>12669</v>
      </c>
      <c r="P4861"/>
      <c r="Q4861"/>
      <c r="R4861"/>
      <c r="S4861"/>
    </row>
    <row r="4862" spans="1:19" x14ac:dyDescent="0.25">
      <c r="A4862" s="27" t="s">
        <v>193</v>
      </c>
      <c r="C4862" s="27" t="s">
        <v>34749</v>
      </c>
      <c r="D4862" s="28" t="s">
        <v>34867</v>
      </c>
      <c r="I4862" s="27" t="str">
        <f t="shared" si="5"/>
        <v>koperoxychloride</v>
      </c>
      <c r="N4862" t="s">
        <v>12670</v>
      </c>
      <c r="P4862"/>
      <c r="Q4862"/>
      <c r="R4862"/>
      <c r="S4862"/>
    </row>
    <row r="4863" spans="1:19" x14ac:dyDescent="0.25">
      <c r="A4863" s="27" t="s">
        <v>193</v>
      </c>
      <c r="C4863" s="27" t="s">
        <v>34749</v>
      </c>
      <c r="D4863" s="28" t="s">
        <v>34867</v>
      </c>
      <c r="I4863" s="27" t="str">
        <f t="shared" si="5"/>
        <v>kresoxim,methyl</v>
      </c>
      <c r="N4863" t="s">
        <v>12671</v>
      </c>
      <c r="O4863" s="28" t="s">
        <v>10298</v>
      </c>
      <c r="P4863"/>
      <c r="Q4863"/>
      <c r="R4863"/>
      <c r="S4863"/>
    </row>
    <row r="4864" spans="1:19" x14ac:dyDescent="0.25">
      <c r="A4864" s="27" t="s">
        <v>193</v>
      </c>
      <c r="C4864" s="27" t="s">
        <v>34749</v>
      </c>
      <c r="D4864" s="28" t="s">
        <v>34867</v>
      </c>
      <c r="I4864" s="27" t="str">
        <f t="shared" si="5"/>
        <v>kwartszand</v>
      </c>
      <c r="N4864" t="s">
        <v>12672</v>
      </c>
      <c r="P4864"/>
      <c r="Q4864"/>
      <c r="R4864"/>
      <c r="S4864"/>
    </row>
    <row r="4865" spans="1:19" x14ac:dyDescent="0.25">
      <c r="A4865" s="27" t="s">
        <v>193</v>
      </c>
      <c r="C4865" s="27" t="s">
        <v>34749</v>
      </c>
      <c r="D4865" s="28" t="s">
        <v>34867</v>
      </c>
      <c r="I4865" s="27" t="str">
        <f t="shared" si="5"/>
        <v>lambda,cyhalothrin</v>
      </c>
      <c r="N4865" t="s">
        <v>12673</v>
      </c>
      <c r="O4865" s="28" t="s">
        <v>10316</v>
      </c>
      <c r="P4865"/>
      <c r="Q4865"/>
      <c r="R4865"/>
      <c r="S4865"/>
    </row>
    <row r="4866" spans="1:19" x14ac:dyDescent="0.25">
      <c r="A4866" s="27" t="s">
        <v>193</v>
      </c>
      <c r="C4866" s="27" t="s">
        <v>34749</v>
      </c>
      <c r="D4866" s="28" t="s">
        <v>34867</v>
      </c>
      <c r="I4866" s="27" t="str">
        <f t="shared" si="5"/>
        <v>laminarin</v>
      </c>
      <c r="N4866" t="s">
        <v>12674</v>
      </c>
      <c r="O4866" s="28" t="s">
        <v>10307</v>
      </c>
      <c r="P4866"/>
      <c r="Q4866"/>
      <c r="R4866"/>
      <c r="S4866"/>
    </row>
    <row r="4867" spans="1:19" x14ac:dyDescent="0.25">
      <c r="A4867" s="27" t="s">
        <v>193</v>
      </c>
      <c r="C4867" s="27" t="s">
        <v>34749</v>
      </c>
      <c r="D4867" s="28" t="s">
        <v>34867</v>
      </c>
      <c r="I4867" s="27" t="str">
        <f t="shared" si="5"/>
        <v>lauryldimethylbenzylammoniumchloride</v>
      </c>
      <c r="N4867" t="s">
        <v>12675</v>
      </c>
      <c r="P4867"/>
      <c r="Q4867"/>
      <c r="R4867"/>
      <c r="S4867"/>
    </row>
    <row r="4868" spans="1:19" x14ac:dyDescent="0.25">
      <c r="A4868" s="27" t="s">
        <v>193</v>
      </c>
      <c r="C4868" s="27" t="s">
        <v>34749</v>
      </c>
      <c r="D4868" s="28" t="s">
        <v>34867</v>
      </c>
      <c r="I4868" s="27" t="str">
        <f t="shared" si="5"/>
        <v>lenacil</v>
      </c>
      <c r="N4868" t="s">
        <v>12676</v>
      </c>
      <c r="O4868" s="28" t="s">
        <v>10319</v>
      </c>
      <c r="P4868"/>
      <c r="Q4868"/>
      <c r="R4868"/>
      <c r="S4868"/>
    </row>
    <row r="4869" spans="1:19" x14ac:dyDescent="0.25">
      <c r="A4869" s="27" t="s">
        <v>193</v>
      </c>
      <c r="C4869" s="27" t="s">
        <v>34749</v>
      </c>
      <c r="D4869" s="28" t="s">
        <v>34867</v>
      </c>
      <c r="I4869" s="27" t="str">
        <f t="shared" si="5"/>
        <v>lindaan</v>
      </c>
      <c r="N4869" t="s">
        <v>12677</v>
      </c>
      <c r="P4869"/>
      <c r="Q4869"/>
      <c r="R4869"/>
      <c r="S4869"/>
    </row>
    <row r="4870" spans="1:19" x14ac:dyDescent="0.25">
      <c r="A4870" s="27" t="s">
        <v>193</v>
      </c>
      <c r="C4870" s="27" t="s">
        <v>34749</v>
      </c>
      <c r="D4870" s="28" t="s">
        <v>34867</v>
      </c>
      <c r="I4870" s="27" t="str">
        <f t="shared" si="5"/>
        <v>linuron</v>
      </c>
      <c r="N4870" t="s">
        <v>12678</v>
      </c>
      <c r="O4870" s="28" t="s">
        <v>10349</v>
      </c>
      <c r="P4870"/>
      <c r="Q4870"/>
      <c r="R4870"/>
      <c r="S4870"/>
    </row>
    <row r="4871" spans="1:19" x14ac:dyDescent="0.25">
      <c r="A4871" s="27" t="s">
        <v>193</v>
      </c>
      <c r="C4871" s="27" t="s">
        <v>34749</v>
      </c>
      <c r="D4871" s="28" t="s">
        <v>34867</v>
      </c>
      <c r="I4871" s="27" t="str">
        <f t="shared" si="5"/>
        <v>lufenuron</v>
      </c>
      <c r="N4871" t="s">
        <v>12679</v>
      </c>
      <c r="O4871" s="28" t="s">
        <v>10364</v>
      </c>
      <c r="P4871"/>
      <c r="Q4871"/>
      <c r="R4871"/>
      <c r="S4871"/>
    </row>
    <row r="4872" spans="1:19" x14ac:dyDescent="0.25">
      <c r="A4872" s="27" t="s">
        <v>193</v>
      </c>
      <c r="C4872" s="27" t="s">
        <v>34749</v>
      </c>
      <c r="D4872" s="28" t="s">
        <v>34867</v>
      </c>
      <c r="I4872" s="27" t="str">
        <f t="shared" si="5"/>
        <v>magnesiumfosfide</v>
      </c>
      <c r="N4872" t="s">
        <v>12680</v>
      </c>
      <c r="P4872"/>
      <c r="Q4872"/>
      <c r="R4872"/>
      <c r="S4872"/>
    </row>
    <row r="4873" spans="1:19" x14ac:dyDescent="0.25">
      <c r="A4873" s="27" t="s">
        <v>193</v>
      </c>
      <c r="C4873" s="27" t="s">
        <v>34749</v>
      </c>
      <c r="D4873" s="28" t="s">
        <v>34867</v>
      </c>
      <c r="I4873" s="27" t="str">
        <f t="shared" si="5"/>
        <v>malathion</v>
      </c>
      <c r="N4873" t="s">
        <v>12681</v>
      </c>
      <c r="P4873"/>
      <c r="Q4873"/>
      <c r="R4873"/>
      <c r="S4873"/>
    </row>
    <row r="4874" spans="1:19" x14ac:dyDescent="0.25">
      <c r="A4874" s="27" t="s">
        <v>193</v>
      </c>
      <c r="C4874" s="27" t="s">
        <v>34749</v>
      </c>
      <c r="D4874" s="28" t="s">
        <v>34867</v>
      </c>
      <c r="I4874" s="27" t="str">
        <f t="shared" si="5"/>
        <v>maleine,hydrazide</v>
      </c>
      <c r="N4874" t="s">
        <v>12682</v>
      </c>
      <c r="O4874" s="28" t="s">
        <v>10376</v>
      </c>
      <c r="P4874"/>
      <c r="Q4874"/>
      <c r="R4874"/>
      <c r="S4874"/>
    </row>
    <row r="4875" spans="1:19" x14ac:dyDescent="0.25">
      <c r="A4875" s="27" t="s">
        <v>193</v>
      </c>
      <c r="C4875" s="27" t="s">
        <v>34749</v>
      </c>
      <c r="D4875" s="28" t="s">
        <v>34867</v>
      </c>
      <c r="I4875" s="27" t="str">
        <f t="shared" si="5"/>
        <v>maleinehydrazide</v>
      </c>
      <c r="N4875" t="s">
        <v>12683</v>
      </c>
      <c r="P4875"/>
      <c r="Q4875"/>
      <c r="R4875"/>
      <c r="S4875"/>
    </row>
    <row r="4876" spans="1:19" x14ac:dyDescent="0.25">
      <c r="A4876" s="27" t="s">
        <v>193</v>
      </c>
      <c r="C4876" s="27" t="s">
        <v>34749</v>
      </c>
      <c r="D4876" s="28" t="s">
        <v>34867</v>
      </c>
      <c r="I4876" s="27" t="str">
        <f t="shared" si="5"/>
        <v>maltodextrine</v>
      </c>
      <c r="N4876" t="s">
        <v>12684</v>
      </c>
      <c r="P4876"/>
      <c r="Q4876"/>
      <c r="R4876"/>
      <c r="S4876"/>
    </row>
    <row r="4877" spans="1:19" x14ac:dyDescent="0.25">
      <c r="A4877" s="27" t="s">
        <v>193</v>
      </c>
      <c r="C4877" s="27" t="s">
        <v>34749</v>
      </c>
      <c r="D4877" s="28" t="s">
        <v>34867</v>
      </c>
      <c r="I4877" s="27" t="str">
        <f t="shared" si="5"/>
        <v>mancozeb</v>
      </c>
      <c r="N4877" t="s">
        <v>12685</v>
      </c>
      <c r="O4877" s="28" t="s">
        <v>10394</v>
      </c>
      <c r="P4877"/>
      <c r="Q4877"/>
      <c r="R4877"/>
      <c r="S4877"/>
    </row>
    <row r="4878" spans="1:19" x14ac:dyDescent="0.25">
      <c r="A4878" s="27" t="s">
        <v>193</v>
      </c>
      <c r="C4878" s="27" t="s">
        <v>34749</v>
      </c>
      <c r="D4878" s="28" t="s">
        <v>34867</v>
      </c>
      <c r="I4878" s="27" t="str">
        <f t="shared" si="5"/>
        <v>mandipropamid</v>
      </c>
      <c r="N4878" t="s">
        <v>12686</v>
      </c>
      <c r="O4878" s="28" t="s">
        <v>10397</v>
      </c>
      <c r="P4878"/>
      <c r="Q4878"/>
      <c r="R4878"/>
      <c r="S4878"/>
    </row>
    <row r="4879" spans="1:19" x14ac:dyDescent="0.25">
      <c r="A4879" s="27" t="s">
        <v>193</v>
      </c>
      <c r="C4879" s="27" t="s">
        <v>34749</v>
      </c>
      <c r="D4879" s="28" t="s">
        <v>34867</v>
      </c>
      <c r="I4879" s="27" t="str">
        <f t="shared" si="5"/>
        <v>maneb</v>
      </c>
      <c r="N4879" t="s">
        <v>12687</v>
      </c>
      <c r="O4879" s="28" t="s">
        <v>12688</v>
      </c>
      <c r="P4879"/>
      <c r="Q4879"/>
      <c r="R4879"/>
      <c r="S4879"/>
    </row>
    <row r="4880" spans="1:19" x14ac:dyDescent="0.25">
      <c r="A4880" s="27" t="s">
        <v>193</v>
      </c>
      <c r="C4880" s="27" t="s">
        <v>34749</v>
      </c>
      <c r="D4880" s="28" t="s">
        <v>34867</v>
      </c>
      <c r="I4880" s="27" t="str">
        <f t="shared" si="5"/>
        <v>mcds</v>
      </c>
      <c r="N4880" t="s">
        <v>5697</v>
      </c>
      <c r="P4880"/>
      <c r="Q4880"/>
      <c r="R4880"/>
      <c r="S4880"/>
    </row>
    <row r="4881" spans="1:19" x14ac:dyDescent="0.25">
      <c r="A4881" s="27" t="s">
        <v>193</v>
      </c>
      <c r="C4881" s="27" t="s">
        <v>34749</v>
      </c>
      <c r="D4881" s="28" t="s">
        <v>34867</v>
      </c>
      <c r="I4881" s="27" t="str">
        <f t="shared" si="5"/>
        <v>mcpa</v>
      </c>
      <c r="N4881" t="s">
        <v>5700</v>
      </c>
      <c r="O4881" s="28" t="s">
        <v>5702</v>
      </c>
      <c r="P4881"/>
      <c r="Q4881"/>
      <c r="R4881"/>
      <c r="S4881"/>
    </row>
    <row r="4882" spans="1:19" x14ac:dyDescent="0.25">
      <c r="A4882" s="27" t="s">
        <v>193</v>
      </c>
      <c r="C4882" s="27" t="s">
        <v>34749</v>
      </c>
      <c r="D4882" s="28" t="s">
        <v>34867</v>
      </c>
      <c r="I4882" s="27" t="str">
        <f t="shared" si="5"/>
        <v>mecoprop</v>
      </c>
      <c r="N4882" t="s">
        <v>12689</v>
      </c>
      <c r="P4882"/>
      <c r="Q4882"/>
      <c r="R4882"/>
      <c r="S4882"/>
    </row>
    <row r="4883" spans="1:19" x14ac:dyDescent="0.25">
      <c r="A4883" s="27" t="s">
        <v>193</v>
      </c>
      <c r="C4883" s="27" t="s">
        <v>34749</v>
      </c>
      <c r="D4883" s="28" t="s">
        <v>34867</v>
      </c>
      <c r="I4883" s="27" t="str">
        <f t="shared" si="5"/>
        <v>mecoprop,p</v>
      </c>
      <c r="N4883" t="s">
        <v>12690</v>
      </c>
      <c r="O4883" s="28" t="s">
        <v>10430</v>
      </c>
      <c r="P4883"/>
      <c r="Q4883"/>
      <c r="R4883"/>
      <c r="S4883"/>
    </row>
    <row r="4884" spans="1:19" x14ac:dyDescent="0.25">
      <c r="A4884" s="27" t="s">
        <v>193</v>
      </c>
      <c r="C4884" s="27" t="s">
        <v>34749</v>
      </c>
      <c r="D4884" s="28" t="s">
        <v>34867</v>
      </c>
      <c r="I4884" s="27" t="str">
        <f t="shared" si="5"/>
        <v>mefenpyr,diethyl</v>
      </c>
      <c r="N4884" t="s">
        <v>12691</v>
      </c>
      <c r="P4884"/>
      <c r="Q4884"/>
      <c r="R4884"/>
      <c r="S4884"/>
    </row>
    <row r="4885" spans="1:19" x14ac:dyDescent="0.25">
      <c r="A4885" s="27" t="s">
        <v>193</v>
      </c>
      <c r="C4885" s="27" t="s">
        <v>34749</v>
      </c>
      <c r="D4885" s="28" t="s">
        <v>34867</v>
      </c>
      <c r="I4885" s="27" t="str">
        <f t="shared" ref="I4885:I4948" si="6">SUBSTITUTE(LOWER(N4885),"_",",")</f>
        <v>mefluidide</v>
      </c>
      <c r="N4885" t="s">
        <v>12692</v>
      </c>
      <c r="P4885"/>
      <c r="Q4885"/>
      <c r="R4885"/>
      <c r="S4885"/>
    </row>
    <row r="4886" spans="1:19" x14ac:dyDescent="0.25">
      <c r="A4886" s="27" t="s">
        <v>193</v>
      </c>
      <c r="C4886" s="27" t="s">
        <v>34749</v>
      </c>
      <c r="D4886" s="28" t="s">
        <v>34867</v>
      </c>
      <c r="I4886" s="27" t="str">
        <f t="shared" si="6"/>
        <v>mepanipyrim</v>
      </c>
      <c r="N4886" t="s">
        <v>12693</v>
      </c>
      <c r="O4886" s="28" t="s">
        <v>10466</v>
      </c>
      <c r="P4886"/>
      <c r="Q4886"/>
      <c r="R4886"/>
      <c r="S4886"/>
    </row>
    <row r="4887" spans="1:19" x14ac:dyDescent="0.25">
      <c r="A4887" s="27" t="s">
        <v>193</v>
      </c>
      <c r="C4887" s="27" t="s">
        <v>34749</v>
      </c>
      <c r="D4887" s="28" t="s">
        <v>34867</v>
      </c>
      <c r="I4887" s="27" t="str">
        <f t="shared" si="6"/>
        <v>mepiquatchloride</v>
      </c>
      <c r="N4887" t="s">
        <v>12694</v>
      </c>
      <c r="O4887" s="28" t="s">
        <v>10469</v>
      </c>
      <c r="P4887"/>
      <c r="Q4887"/>
      <c r="R4887"/>
      <c r="S4887"/>
    </row>
    <row r="4888" spans="1:19" x14ac:dyDescent="0.25">
      <c r="A4888" s="27" t="s">
        <v>193</v>
      </c>
      <c r="C4888" s="27" t="s">
        <v>34749</v>
      </c>
      <c r="D4888" s="28" t="s">
        <v>34867</v>
      </c>
      <c r="I4888" s="27" t="str">
        <f t="shared" si="6"/>
        <v>mesosulfuron,methyl</v>
      </c>
      <c r="N4888" t="s">
        <v>12695</v>
      </c>
      <c r="O4888" s="28" t="s">
        <v>10484</v>
      </c>
      <c r="P4888"/>
      <c r="Q4888"/>
      <c r="R4888"/>
      <c r="S4888"/>
    </row>
    <row r="4889" spans="1:19" x14ac:dyDescent="0.25">
      <c r="A4889" s="27" t="s">
        <v>193</v>
      </c>
      <c r="C4889" s="27" t="s">
        <v>34749</v>
      </c>
      <c r="D4889" s="28" t="s">
        <v>34867</v>
      </c>
      <c r="I4889" s="27" t="str">
        <f t="shared" si="6"/>
        <v>mesotrione</v>
      </c>
      <c r="N4889" t="s">
        <v>12696</v>
      </c>
      <c r="O4889" s="28" t="s">
        <v>10487</v>
      </c>
      <c r="P4889"/>
      <c r="Q4889"/>
      <c r="R4889"/>
      <c r="S4889"/>
    </row>
    <row r="4890" spans="1:19" x14ac:dyDescent="0.25">
      <c r="A4890" s="27" t="s">
        <v>193</v>
      </c>
      <c r="C4890" s="27" t="s">
        <v>34749</v>
      </c>
      <c r="D4890" s="28" t="s">
        <v>34867</v>
      </c>
      <c r="I4890" s="27" t="str">
        <f t="shared" si="6"/>
        <v>metalaxyl</v>
      </c>
      <c r="N4890" t="s">
        <v>12697</v>
      </c>
      <c r="P4890"/>
      <c r="Q4890"/>
      <c r="R4890"/>
      <c r="S4890"/>
    </row>
    <row r="4891" spans="1:19" x14ac:dyDescent="0.25">
      <c r="A4891" s="27" t="s">
        <v>193</v>
      </c>
      <c r="C4891" s="27" t="s">
        <v>34749</v>
      </c>
      <c r="D4891" s="28" t="s">
        <v>34867</v>
      </c>
      <c r="I4891" s="27" t="str">
        <f t="shared" si="6"/>
        <v>metalaxyl,m</v>
      </c>
      <c r="N4891" t="s">
        <v>12698</v>
      </c>
      <c r="O4891" s="28" t="s">
        <v>10624</v>
      </c>
      <c r="P4891"/>
      <c r="Q4891"/>
      <c r="R4891"/>
      <c r="S4891"/>
    </row>
    <row r="4892" spans="1:19" x14ac:dyDescent="0.25">
      <c r="A4892" s="27" t="s">
        <v>193</v>
      </c>
      <c r="C4892" s="27" t="s">
        <v>34749</v>
      </c>
      <c r="D4892" s="28" t="s">
        <v>34867</v>
      </c>
      <c r="I4892" s="27" t="str">
        <f t="shared" si="6"/>
        <v>metaldehyde</v>
      </c>
      <c r="N4892" t="s">
        <v>12699</v>
      </c>
      <c r="O4892" s="28" t="s">
        <v>10367</v>
      </c>
      <c r="P4892"/>
      <c r="Q4892"/>
      <c r="R4892"/>
      <c r="S4892"/>
    </row>
    <row r="4893" spans="1:19" x14ac:dyDescent="0.25">
      <c r="A4893" s="27" t="s">
        <v>193</v>
      </c>
      <c r="C4893" s="27" t="s">
        <v>34749</v>
      </c>
      <c r="D4893" s="28" t="s">
        <v>34867</v>
      </c>
      <c r="I4893" s="27" t="str">
        <f t="shared" si="6"/>
        <v>metam,natrium</v>
      </c>
      <c r="N4893" t="s">
        <v>12700</v>
      </c>
      <c r="P4893"/>
      <c r="Q4893"/>
      <c r="R4893"/>
      <c r="S4893"/>
    </row>
    <row r="4894" spans="1:19" x14ac:dyDescent="0.25">
      <c r="A4894" s="27" t="s">
        <v>193</v>
      </c>
      <c r="C4894" s="27" t="s">
        <v>34749</v>
      </c>
      <c r="D4894" s="28" t="s">
        <v>34867</v>
      </c>
      <c r="I4894" s="27" t="str">
        <f t="shared" si="6"/>
        <v>metamitron</v>
      </c>
      <c r="N4894" t="s">
        <v>12701</v>
      </c>
      <c r="O4894" s="28" t="s">
        <v>10627</v>
      </c>
      <c r="P4894"/>
      <c r="Q4894"/>
      <c r="R4894"/>
      <c r="S4894"/>
    </row>
    <row r="4895" spans="1:19" x14ac:dyDescent="0.25">
      <c r="A4895" s="27" t="s">
        <v>193</v>
      </c>
      <c r="C4895" s="27" t="s">
        <v>34749</v>
      </c>
      <c r="D4895" s="28" t="s">
        <v>34867</v>
      </c>
      <c r="I4895" s="27" t="str">
        <f t="shared" si="6"/>
        <v>metarhizium,anisopliae</v>
      </c>
      <c r="N4895" t="s">
        <v>12702</v>
      </c>
      <c r="P4895"/>
      <c r="Q4895"/>
      <c r="R4895"/>
      <c r="S4895"/>
    </row>
    <row r="4896" spans="1:19" x14ac:dyDescent="0.25">
      <c r="A4896" s="27" t="s">
        <v>193</v>
      </c>
      <c r="C4896" s="27" t="s">
        <v>34749</v>
      </c>
      <c r="D4896" s="28" t="s">
        <v>34867</v>
      </c>
      <c r="I4896" s="27" t="str">
        <f t="shared" si="6"/>
        <v>metazachloor</v>
      </c>
      <c r="N4896" t="s">
        <v>12703</v>
      </c>
      <c r="O4896" s="28" t="s">
        <v>10682</v>
      </c>
      <c r="P4896"/>
      <c r="Q4896"/>
      <c r="R4896"/>
      <c r="S4896"/>
    </row>
    <row r="4897" spans="1:19" x14ac:dyDescent="0.25">
      <c r="A4897" s="27" t="s">
        <v>193</v>
      </c>
      <c r="C4897" s="27" t="s">
        <v>34749</v>
      </c>
      <c r="D4897" s="28" t="s">
        <v>34867</v>
      </c>
      <c r="I4897" s="27" t="str">
        <f t="shared" si="6"/>
        <v>metconazool</v>
      </c>
      <c r="N4897" t="s">
        <v>12704</v>
      </c>
      <c r="O4897" s="28" t="s">
        <v>10514</v>
      </c>
      <c r="P4897"/>
      <c r="Q4897"/>
      <c r="R4897"/>
      <c r="S4897"/>
    </row>
    <row r="4898" spans="1:19" x14ac:dyDescent="0.25">
      <c r="A4898" s="27" t="s">
        <v>193</v>
      </c>
      <c r="C4898" s="27" t="s">
        <v>34749</v>
      </c>
      <c r="D4898" s="28" t="s">
        <v>34867</v>
      </c>
      <c r="I4898" s="27" t="str">
        <f t="shared" si="6"/>
        <v>methabenzthiazuron</v>
      </c>
      <c r="N4898" t="s">
        <v>12705</v>
      </c>
      <c r="P4898"/>
      <c r="Q4898"/>
      <c r="R4898"/>
      <c r="S4898"/>
    </row>
    <row r="4899" spans="1:19" x14ac:dyDescent="0.25">
      <c r="A4899" s="27" t="s">
        <v>193</v>
      </c>
      <c r="C4899" s="27" t="s">
        <v>34749</v>
      </c>
      <c r="D4899" s="28" t="s">
        <v>34867</v>
      </c>
      <c r="I4899" s="27" t="str">
        <f t="shared" si="6"/>
        <v>methamidofos</v>
      </c>
      <c r="N4899" t="s">
        <v>12706</v>
      </c>
      <c r="P4899"/>
      <c r="Q4899"/>
      <c r="R4899"/>
      <c r="S4899"/>
    </row>
    <row r="4900" spans="1:19" x14ac:dyDescent="0.25">
      <c r="A4900" s="27" t="s">
        <v>193</v>
      </c>
      <c r="C4900" s="27" t="s">
        <v>34749</v>
      </c>
      <c r="D4900" s="28" t="s">
        <v>34867</v>
      </c>
      <c r="I4900" s="27" t="str">
        <f t="shared" si="6"/>
        <v>methidation</v>
      </c>
      <c r="N4900" t="s">
        <v>12707</v>
      </c>
      <c r="P4900"/>
      <c r="Q4900"/>
      <c r="R4900"/>
      <c r="S4900"/>
    </row>
    <row r="4901" spans="1:19" x14ac:dyDescent="0.25">
      <c r="A4901" s="27" t="s">
        <v>193</v>
      </c>
      <c r="C4901" s="27" t="s">
        <v>34749</v>
      </c>
      <c r="D4901" s="28" t="s">
        <v>34867</v>
      </c>
      <c r="I4901" s="27" t="str">
        <f t="shared" si="6"/>
        <v>methiocarb</v>
      </c>
      <c r="N4901" t="s">
        <v>12708</v>
      </c>
      <c r="O4901" s="28" t="s">
        <v>10550</v>
      </c>
      <c r="P4901"/>
      <c r="Q4901"/>
      <c r="R4901"/>
      <c r="S4901"/>
    </row>
    <row r="4902" spans="1:19" x14ac:dyDescent="0.25">
      <c r="A4902" s="27" t="s">
        <v>193</v>
      </c>
      <c r="C4902" s="27" t="s">
        <v>34749</v>
      </c>
      <c r="D4902" s="28" t="s">
        <v>34867</v>
      </c>
      <c r="I4902" s="27" t="str">
        <f t="shared" si="6"/>
        <v>methomyl</v>
      </c>
      <c r="N4902" t="s">
        <v>12709</v>
      </c>
      <c r="O4902" s="28" t="s">
        <v>10544</v>
      </c>
      <c r="P4902"/>
      <c r="Q4902"/>
      <c r="R4902"/>
      <c r="S4902"/>
    </row>
    <row r="4903" spans="1:19" x14ac:dyDescent="0.25">
      <c r="A4903" s="27" t="s">
        <v>193</v>
      </c>
      <c r="C4903" s="27" t="s">
        <v>34749</v>
      </c>
      <c r="D4903" s="28" t="s">
        <v>34867</v>
      </c>
      <c r="I4903" s="27" t="str">
        <f t="shared" si="6"/>
        <v>methoxychloor</v>
      </c>
      <c r="N4903" t="s">
        <v>12710</v>
      </c>
      <c r="P4903"/>
      <c r="Q4903"/>
      <c r="R4903"/>
      <c r="S4903"/>
    </row>
    <row r="4904" spans="1:19" x14ac:dyDescent="0.25">
      <c r="A4904" s="27" t="s">
        <v>193</v>
      </c>
      <c r="C4904" s="27" t="s">
        <v>34749</v>
      </c>
      <c r="D4904" s="28" t="s">
        <v>34867</v>
      </c>
      <c r="I4904" s="27" t="str">
        <f t="shared" si="6"/>
        <v>methoxyfenozide</v>
      </c>
      <c r="N4904" t="s">
        <v>12711</v>
      </c>
      <c r="O4904" s="28" t="s">
        <v>3386</v>
      </c>
      <c r="P4904"/>
      <c r="Q4904"/>
      <c r="R4904"/>
      <c r="S4904"/>
    </row>
    <row r="4905" spans="1:19" x14ac:dyDescent="0.25">
      <c r="A4905" s="27" t="s">
        <v>193</v>
      </c>
      <c r="C4905" s="27" t="s">
        <v>34749</v>
      </c>
      <c r="D4905" s="28" t="s">
        <v>34867</v>
      </c>
      <c r="I4905" s="27" t="str">
        <f t="shared" si="6"/>
        <v>methylbromide</v>
      </c>
      <c r="N4905" t="s">
        <v>12712</v>
      </c>
      <c r="P4905"/>
      <c r="Q4905"/>
      <c r="R4905"/>
      <c r="S4905"/>
    </row>
    <row r="4906" spans="1:19" x14ac:dyDescent="0.25">
      <c r="A4906" s="27" t="s">
        <v>193</v>
      </c>
      <c r="C4906" s="27" t="s">
        <v>34749</v>
      </c>
      <c r="D4906" s="28" t="s">
        <v>34867</v>
      </c>
      <c r="I4906" s="27" t="str">
        <f t="shared" si="6"/>
        <v>methylesters,van,vetzuren,c6,c12</v>
      </c>
      <c r="N4906" t="s">
        <v>12713</v>
      </c>
      <c r="P4906"/>
      <c r="Q4906"/>
      <c r="R4906"/>
      <c r="S4906"/>
    </row>
    <row r="4907" spans="1:19" x14ac:dyDescent="0.25">
      <c r="A4907" s="27" t="s">
        <v>193</v>
      </c>
      <c r="C4907" s="27" t="s">
        <v>34749</v>
      </c>
      <c r="D4907" s="28" t="s">
        <v>34867</v>
      </c>
      <c r="I4907" s="27" t="str">
        <f t="shared" si="6"/>
        <v>methylisothiocyanaat</v>
      </c>
      <c r="N4907" t="s">
        <v>12714</v>
      </c>
      <c r="P4907"/>
      <c r="Q4907"/>
      <c r="R4907"/>
      <c r="S4907"/>
    </row>
    <row r="4908" spans="1:19" x14ac:dyDescent="0.25">
      <c r="A4908" s="27" t="s">
        <v>193</v>
      </c>
      <c r="C4908" s="27" t="s">
        <v>34749</v>
      </c>
      <c r="D4908" s="28" t="s">
        <v>34867</v>
      </c>
      <c r="I4908" s="27" t="str">
        <f t="shared" si="6"/>
        <v>methylkwikbenzoaat</v>
      </c>
      <c r="N4908" t="s">
        <v>12715</v>
      </c>
      <c r="P4908"/>
      <c r="Q4908"/>
      <c r="R4908"/>
      <c r="S4908"/>
    </row>
    <row r="4909" spans="1:19" x14ac:dyDescent="0.25">
      <c r="A4909" s="27" t="s">
        <v>193</v>
      </c>
      <c r="C4909" s="27" t="s">
        <v>34749</v>
      </c>
      <c r="D4909" s="28" t="s">
        <v>34867</v>
      </c>
      <c r="I4909" s="27" t="str">
        <f t="shared" si="6"/>
        <v>methylnaftylaceetam.</v>
      </c>
      <c r="N4909" t="s">
        <v>12716</v>
      </c>
      <c r="P4909"/>
      <c r="Q4909"/>
      <c r="R4909"/>
      <c r="S4909"/>
    </row>
    <row r="4910" spans="1:19" x14ac:dyDescent="0.25">
      <c r="A4910" s="27" t="s">
        <v>193</v>
      </c>
      <c r="C4910" s="27" t="s">
        <v>34749</v>
      </c>
      <c r="D4910" s="28" t="s">
        <v>34867</v>
      </c>
      <c r="I4910" s="27" t="str">
        <f t="shared" si="6"/>
        <v>methylnaftylazijnz.</v>
      </c>
      <c r="N4910" t="s">
        <v>12717</v>
      </c>
      <c r="P4910"/>
      <c r="Q4910"/>
      <c r="R4910"/>
      <c r="S4910"/>
    </row>
    <row r="4911" spans="1:19" x14ac:dyDescent="0.25">
      <c r="A4911" s="27" t="s">
        <v>193</v>
      </c>
      <c r="C4911" s="27" t="s">
        <v>34749</v>
      </c>
      <c r="D4911" s="28" t="s">
        <v>34867</v>
      </c>
      <c r="I4911" s="27" t="str">
        <f t="shared" si="6"/>
        <v>metiram</v>
      </c>
      <c r="N4911" t="s">
        <v>12718</v>
      </c>
      <c r="O4911" s="28" t="s">
        <v>10568</v>
      </c>
      <c r="P4911"/>
      <c r="Q4911"/>
      <c r="R4911"/>
      <c r="S4911"/>
    </row>
    <row r="4912" spans="1:19" x14ac:dyDescent="0.25">
      <c r="A4912" s="27" t="s">
        <v>193</v>
      </c>
      <c r="C4912" s="27" t="s">
        <v>34749</v>
      </c>
      <c r="D4912" s="28" t="s">
        <v>34867</v>
      </c>
      <c r="I4912" s="27" t="str">
        <f t="shared" si="6"/>
        <v>metobromuron</v>
      </c>
      <c r="N4912" t="s">
        <v>12719</v>
      </c>
      <c r="O4912" s="28" t="s">
        <v>10499</v>
      </c>
      <c r="P4912"/>
      <c r="Q4912"/>
      <c r="R4912"/>
      <c r="S4912"/>
    </row>
    <row r="4913" spans="1:19" x14ac:dyDescent="0.25">
      <c r="A4913" s="27" t="s">
        <v>193</v>
      </c>
      <c r="C4913" s="27" t="s">
        <v>34749</v>
      </c>
      <c r="D4913" s="28" t="s">
        <v>34867</v>
      </c>
      <c r="I4913" s="27" t="str">
        <f t="shared" si="6"/>
        <v>metolachloor</v>
      </c>
      <c r="N4913" t="s">
        <v>12720</v>
      </c>
      <c r="P4913"/>
      <c r="Q4913"/>
      <c r="R4913"/>
      <c r="S4913"/>
    </row>
    <row r="4914" spans="1:19" x14ac:dyDescent="0.25">
      <c r="A4914" s="27" t="s">
        <v>193</v>
      </c>
      <c r="C4914" s="27" t="s">
        <v>34749</v>
      </c>
      <c r="D4914" s="28" t="s">
        <v>34867</v>
      </c>
      <c r="I4914" s="27" t="str">
        <f t="shared" si="6"/>
        <v>metoxuron</v>
      </c>
      <c r="N4914" t="s">
        <v>12721</v>
      </c>
      <c r="P4914"/>
      <c r="Q4914"/>
      <c r="R4914"/>
      <c r="S4914"/>
    </row>
    <row r="4915" spans="1:19" x14ac:dyDescent="0.25">
      <c r="A4915" s="27" t="s">
        <v>193</v>
      </c>
      <c r="C4915" s="27" t="s">
        <v>34749</v>
      </c>
      <c r="D4915" s="28" t="s">
        <v>34867</v>
      </c>
      <c r="I4915" s="27" t="str">
        <f t="shared" si="6"/>
        <v>metrafenone</v>
      </c>
      <c r="N4915" t="s">
        <v>12722</v>
      </c>
      <c r="O4915" s="28" t="s">
        <v>10526</v>
      </c>
      <c r="P4915"/>
      <c r="Q4915"/>
      <c r="R4915"/>
      <c r="S4915"/>
    </row>
    <row r="4916" spans="1:19" x14ac:dyDescent="0.25">
      <c r="A4916" s="27" t="s">
        <v>193</v>
      </c>
      <c r="C4916" s="27" t="s">
        <v>34749</v>
      </c>
      <c r="D4916" s="28" t="s">
        <v>34867</v>
      </c>
      <c r="I4916" s="27" t="str">
        <f t="shared" si="6"/>
        <v>metribuzin</v>
      </c>
      <c r="N4916" t="s">
        <v>12723</v>
      </c>
      <c r="O4916" s="28" t="s">
        <v>10505</v>
      </c>
      <c r="P4916"/>
      <c r="Q4916"/>
      <c r="R4916"/>
      <c r="S4916"/>
    </row>
    <row r="4917" spans="1:19" x14ac:dyDescent="0.25">
      <c r="A4917" s="27" t="s">
        <v>193</v>
      </c>
      <c r="C4917" s="27" t="s">
        <v>34749</v>
      </c>
      <c r="D4917" s="28" t="s">
        <v>34867</v>
      </c>
      <c r="I4917" s="27" t="str">
        <f t="shared" si="6"/>
        <v>metsulfuron,methyl</v>
      </c>
      <c r="N4917" t="s">
        <v>12724</v>
      </c>
      <c r="O4917" s="28" t="s">
        <v>3512</v>
      </c>
      <c r="P4917"/>
      <c r="Q4917"/>
      <c r="R4917"/>
      <c r="S4917"/>
    </row>
    <row r="4918" spans="1:19" x14ac:dyDescent="0.25">
      <c r="A4918" s="27" t="s">
        <v>193</v>
      </c>
      <c r="C4918" s="27" t="s">
        <v>34749</v>
      </c>
      <c r="D4918" s="28" t="s">
        <v>34867</v>
      </c>
      <c r="I4918" s="27" t="str">
        <f t="shared" si="6"/>
        <v>mevinfos</v>
      </c>
      <c r="N4918" t="s">
        <v>12725</v>
      </c>
      <c r="P4918"/>
      <c r="Q4918"/>
      <c r="R4918"/>
      <c r="S4918"/>
    </row>
    <row r="4919" spans="1:19" x14ac:dyDescent="0.25">
      <c r="A4919" s="27" t="s">
        <v>193</v>
      </c>
      <c r="C4919" s="27" t="s">
        <v>34749</v>
      </c>
      <c r="D4919" s="28" t="s">
        <v>34867</v>
      </c>
      <c r="I4919" s="27" t="str">
        <f t="shared" si="6"/>
        <v>mierenzuur</v>
      </c>
      <c r="N4919" t="s">
        <v>12726</v>
      </c>
      <c r="O4919" s="28" t="s">
        <v>3365</v>
      </c>
      <c r="P4919"/>
      <c r="Q4919"/>
      <c r="R4919"/>
      <c r="S4919"/>
    </row>
    <row r="4920" spans="1:19" x14ac:dyDescent="0.25">
      <c r="A4920" s="27" t="s">
        <v>193</v>
      </c>
      <c r="C4920" s="27" t="s">
        <v>34749</v>
      </c>
      <c r="D4920" s="28" t="s">
        <v>34867</v>
      </c>
      <c r="I4920" s="27" t="str">
        <f t="shared" si="6"/>
        <v>milbemectine</v>
      </c>
      <c r="N4920" t="s">
        <v>12727</v>
      </c>
      <c r="O4920" s="28" t="s">
        <v>12728</v>
      </c>
      <c r="P4920"/>
      <c r="Q4920"/>
      <c r="R4920"/>
      <c r="S4920"/>
    </row>
    <row r="4921" spans="1:19" x14ac:dyDescent="0.25">
      <c r="A4921" s="27" t="s">
        <v>193</v>
      </c>
      <c r="C4921" s="27" t="s">
        <v>34749</v>
      </c>
      <c r="D4921" s="28" t="s">
        <v>34867</v>
      </c>
      <c r="I4921" s="27" t="str">
        <f t="shared" si="6"/>
        <v>minerale,olie</v>
      </c>
      <c r="N4921" t="s">
        <v>12729</v>
      </c>
      <c r="O4921" s="28" t="s">
        <v>12612</v>
      </c>
      <c r="P4921"/>
      <c r="Q4921"/>
      <c r="R4921"/>
      <c r="S4921"/>
    </row>
    <row r="4922" spans="1:19" x14ac:dyDescent="0.25">
      <c r="A4922" s="27" t="s">
        <v>193</v>
      </c>
      <c r="C4922" s="27" t="s">
        <v>34749</v>
      </c>
      <c r="D4922" s="28" t="s">
        <v>34867</v>
      </c>
      <c r="I4922" s="27" t="str">
        <f t="shared" si="6"/>
        <v>monocarbamide,dihydrogensulfaat,(mcds)</v>
      </c>
      <c r="N4922" t="s">
        <v>12730</v>
      </c>
      <c r="P4922"/>
      <c r="Q4922"/>
      <c r="R4922"/>
      <c r="S4922"/>
    </row>
    <row r="4923" spans="1:19" x14ac:dyDescent="0.25">
      <c r="A4923" s="27" t="s">
        <v>193</v>
      </c>
      <c r="C4923" s="27" t="s">
        <v>34749</v>
      </c>
      <c r="D4923" s="28" t="s">
        <v>34867</v>
      </c>
      <c r="I4923" s="27" t="str">
        <f t="shared" si="6"/>
        <v>monolinuron</v>
      </c>
      <c r="N4923" t="s">
        <v>12731</v>
      </c>
      <c r="P4923"/>
      <c r="Q4923"/>
      <c r="R4923"/>
      <c r="S4923"/>
    </row>
    <row r="4924" spans="1:19" x14ac:dyDescent="0.25">
      <c r="A4924" s="27" t="s">
        <v>193</v>
      </c>
      <c r="C4924" s="27" t="s">
        <v>34749</v>
      </c>
      <c r="D4924" s="28" t="s">
        <v>34867</v>
      </c>
      <c r="I4924" s="27" t="str">
        <f t="shared" si="6"/>
        <v>myclobutanil</v>
      </c>
      <c r="N4924" t="s">
        <v>12732</v>
      </c>
      <c r="P4924"/>
      <c r="Q4924"/>
      <c r="R4924"/>
      <c r="S4924"/>
    </row>
    <row r="4925" spans="1:19" x14ac:dyDescent="0.25">
      <c r="A4925" s="27" t="s">
        <v>193</v>
      </c>
      <c r="C4925" s="27" t="s">
        <v>34749</v>
      </c>
      <c r="D4925" s="28" t="s">
        <v>34867</v>
      </c>
      <c r="I4925" s="27" t="str">
        <f t="shared" si="6"/>
        <v>n,n,diallyldichlooraceetamide</v>
      </c>
      <c r="N4925" t="s">
        <v>12733</v>
      </c>
      <c r="P4925"/>
      <c r="Q4925"/>
      <c r="R4925"/>
      <c r="S4925"/>
    </row>
    <row r="4926" spans="1:19" x14ac:dyDescent="0.25">
      <c r="A4926" s="27" t="s">
        <v>193</v>
      </c>
      <c r="C4926" s="27" t="s">
        <v>34749</v>
      </c>
      <c r="D4926" s="28" t="s">
        <v>34867</v>
      </c>
      <c r="I4926" s="27" t="str">
        <f t="shared" si="6"/>
        <v>n,octylbicyclohepteen,dicarboximide</v>
      </c>
      <c r="N4926" t="s">
        <v>12734</v>
      </c>
      <c r="P4926"/>
      <c r="Q4926"/>
      <c r="R4926"/>
      <c r="S4926"/>
    </row>
    <row r="4927" spans="1:19" x14ac:dyDescent="0.25">
      <c r="A4927" s="27" t="s">
        <v>193</v>
      </c>
      <c r="C4927" s="27" t="s">
        <v>34749</v>
      </c>
      <c r="D4927" s="28" t="s">
        <v>34867</v>
      </c>
      <c r="I4927" s="27" t="str">
        <f t="shared" si="6"/>
        <v>na,dimeth.dithiocarb</v>
      </c>
      <c r="N4927" t="s">
        <v>12735</v>
      </c>
      <c r="P4927"/>
      <c r="Q4927"/>
      <c r="R4927"/>
      <c r="S4927"/>
    </row>
    <row r="4928" spans="1:19" x14ac:dyDescent="0.25">
      <c r="A4928" s="27" t="s">
        <v>193</v>
      </c>
      <c r="C4928" s="27" t="s">
        <v>34749</v>
      </c>
      <c r="D4928" s="28" t="s">
        <v>34867</v>
      </c>
      <c r="I4928" s="27" t="str">
        <f t="shared" si="6"/>
        <v>naftaline</v>
      </c>
      <c r="N4928" t="s">
        <v>12736</v>
      </c>
      <c r="P4928"/>
      <c r="Q4928"/>
      <c r="R4928"/>
      <c r="S4928"/>
    </row>
    <row r="4929" spans="1:19" x14ac:dyDescent="0.25">
      <c r="A4929" s="27" t="s">
        <v>193</v>
      </c>
      <c r="C4929" s="27" t="s">
        <v>34749</v>
      </c>
      <c r="D4929" s="28" t="s">
        <v>34867</v>
      </c>
      <c r="I4929" s="27" t="str">
        <f t="shared" si="6"/>
        <v>naftylazijnzuurhydrazide</v>
      </c>
      <c r="N4929" t="s">
        <v>12737</v>
      </c>
      <c r="P4929"/>
      <c r="Q4929"/>
      <c r="R4929"/>
      <c r="S4929"/>
    </row>
    <row r="4930" spans="1:19" x14ac:dyDescent="0.25">
      <c r="A4930" s="27" t="s">
        <v>193</v>
      </c>
      <c r="C4930" s="27" t="s">
        <v>34749</v>
      </c>
      <c r="D4930" s="28" t="s">
        <v>34867</v>
      </c>
      <c r="I4930" s="27" t="str">
        <f t="shared" si="6"/>
        <v>napropamide</v>
      </c>
      <c r="N4930" t="s">
        <v>12738</v>
      </c>
      <c r="O4930" s="28" t="s">
        <v>10694</v>
      </c>
      <c r="P4930"/>
      <c r="Q4930"/>
      <c r="R4930"/>
      <c r="S4930"/>
    </row>
    <row r="4931" spans="1:19" x14ac:dyDescent="0.25">
      <c r="A4931" s="27" t="s">
        <v>193</v>
      </c>
      <c r="C4931" s="27" t="s">
        <v>34749</v>
      </c>
      <c r="D4931" s="28" t="s">
        <v>34867</v>
      </c>
      <c r="I4931" s="27" t="str">
        <f t="shared" si="6"/>
        <v>natrium,p,tolueensulfonchlooramide</v>
      </c>
      <c r="N4931" t="s">
        <v>12739</v>
      </c>
      <c r="P4931"/>
      <c r="Q4931"/>
      <c r="R4931"/>
      <c r="S4931"/>
    </row>
    <row r="4932" spans="1:19" x14ac:dyDescent="0.25">
      <c r="A4932" s="27" t="s">
        <v>193</v>
      </c>
      <c r="C4932" s="27" t="s">
        <v>34749</v>
      </c>
      <c r="D4932" s="28" t="s">
        <v>34867</v>
      </c>
      <c r="I4932" s="27" t="str">
        <f t="shared" si="6"/>
        <v>natriumarseniet</v>
      </c>
      <c r="N4932" t="s">
        <v>12740</v>
      </c>
      <c r="P4932"/>
      <c r="Q4932"/>
      <c r="R4932"/>
      <c r="S4932"/>
    </row>
    <row r="4933" spans="1:19" x14ac:dyDescent="0.25">
      <c r="A4933" s="27" t="s">
        <v>193</v>
      </c>
      <c r="C4933" s="27" t="s">
        <v>34749</v>
      </c>
      <c r="D4933" s="28" t="s">
        <v>34867</v>
      </c>
      <c r="I4933" s="27" t="str">
        <f t="shared" si="6"/>
        <v>natriumboraat</v>
      </c>
      <c r="N4933" t="s">
        <v>12741</v>
      </c>
      <c r="P4933"/>
      <c r="Q4933"/>
      <c r="R4933"/>
      <c r="S4933"/>
    </row>
    <row r="4934" spans="1:19" x14ac:dyDescent="0.25">
      <c r="A4934" s="27" t="s">
        <v>193</v>
      </c>
      <c r="C4934" s="27" t="s">
        <v>34749</v>
      </c>
      <c r="D4934" s="28" t="s">
        <v>34867</v>
      </c>
      <c r="I4934" s="27" t="str">
        <f t="shared" si="6"/>
        <v>natriumzilverthiosulfaat</v>
      </c>
      <c r="N4934" t="s">
        <v>12742</v>
      </c>
      <c r="P4934"/>
      <c r="Q4934"/>
      <c r="R4934"/>
      <c r="S4934"/>
    </row>
    <row r="4935" spans="1:19" x14ac:dyDescent="0.25">
      <c r="A4935" s="27" t="s">
        <v>193</v>
      </c>
      <c r="C4935" s="27" t="s">
        <v>34749</v>
      </c>
      <c r="D4935" s="28" t="s">
        <v>34867</v>
      </c>
      <c r="I4935" s="27" t="str">
        <f t="shared" si="6"/>
        <v>nicosulfuron</v>
      </c>
      <c r="N4935" t="s">
        <v>12743</v>
      </c>
      <c r="O4935" s="28" t="s">
        <v>10721</v>
      </c>
      <c r="P4935"/>
      <c r="Q4935"/>
      <c r="R4935"/>
      <c r="S4935"/>
    </row>
    <row r="4936" spans="1:19" x14ac:dyDescent="0.25">
      <c r="A4936" s="27" t="s">
        <v>193</v>
      </c>
      <c r="C4936" s="27" t="s">
        <v>34749</v>
      </c>
      <c r="D4936" s="28" t="s">
        <v>34867</v>
      </c>
      <c r="I4936" s="27" t="str">
        <f t="shared" si="6"/>
        <v>nitrothal,isopropyl</v>
      </c>
      <c r="N4936" t="s">
        <v>12744</v>
      </c>
      <c r="P4936"/>
      <c r="Q4936"/>
      <c r="R4936"/>
      <c r="S4936"/>
    </row>
    <row r="4937" spans="1:19" x14ac:dyDescent="0.25">
      <c r="A4937" s="27" t="s">
        <v>193</v>
      </c>
      <c r="C4937" s="27" t="s">
        <v>34749</v>
      </c>
      <c r="D4937" s="28" t="s">
        <v>34867</v>
      </c>
      <c r="I4937" s="27" t="str">
        <f t="shared" si="6"/>
        <v>nonaanzuur</v>
      </c>
      <c r="N4937" t="s">
        <v>12745</v>
      </c>
      <c r="P4937"/>
      <c r="Q4937"/>
      <c r="R4937"/>
      <c r="S4937"/>
    </row>
    <row r="4938" spans="1:19" x14ac:dyDescent="0.25">
      <c r="A4938" s="27" t="s">
        <v>193</v>
      </c>
      <c r="C4938" s="27" t="s">
        <v>34749</v>
      </c>
      <c r="D4938" s="28" t="s">
        <v>34867</v>
      </c>
      <c r="I4938" s="27" t="str">
        <f t="shared" si="6"/>
        <v>nonylfenol,eth.glyc.</v>
      </c>
      <c r="N4938" t="s">
        <v>12746</v>
      </c>
      <c r="P4938"/>
      <c r="Q4938"/>
      <c r="R4938"/>
      <c r="S4938"/>
    </row>
    <row r="4939" spans="1:19" x14ac:dyDescent="0.25">
      <c r="A4939" s="27" t="s">
        <v>193</v>
      </c>
      <c r="C4939" s="27" t="s">
        <v>34749</v>
      </c>
      <c r="D4939" s="28" t="s">
        <v>34867</v>
      </c>
      <c r="I4939" s="27" t="str">
        <f t="shared" si="6"/>
        <v>nonylfenolpolyglycolether</v>
      </c>
      <c r="N4939" t="s">
        <v>12747</v>
      </c>
      <c r="P4939"/>
      <c r="Q4939"/>
      <c r="R4939"/>
      <c r="S4939"/>
    </row>
    <row r="4940" spans="1:19" x14ac:dyDescent="0.25">
      <c r="A4940" s="27" t="s">
        <v>193</v>
      </c>
      <c r="C4940" s="27" t="s">
        <v>34749</v>
      </c>
      <c r="D4940" s="28" t="s">
        <v>34867</v>
      </c>
      <c r="I4940" s="27" t="str">
        <f t="shared" si="6"/>
        <v>nuarimol</v>
      </c>
      <c r="N4940" t="s">
        <v>12748</v>
      </c>
      <c r="P4940"/>
      <c r="Q4940"/>
      <c r="R4940"/>
      <c r="S4940"/>
    </row>
    <row r="4941" spans="1:19" x14ac:dyDescent="0.25">
      <c r="A4941" s="27" t="s">
        <v>193</v>
      </c>
      <c r="C4941" s="27" t="s">
        <v>34749</v>
      </c>
      <c r="D4941" s="28" t="s">
        <v>34867</v>
      </c>
      <c r="I4941" s="27" t="str">
        <f t="shared" si="6"/>
        <v>o,fenylfenol</v>
      </c>
      <c r="N4941" t="s">
        <v>12749</v>
      </c>
      <c r="P4941"/>
      <c r="Q4941"/>
      <c r="R4941"/>
      <c r="S4941"/>
    </row>
    <row r="4942" spans="1:19" x14ac:dyDescent="0.25">
      <c r="A4942" s="27" t="s">
        <v>193</v>
      </c>
      <c r="C4942" s="27" t="s">
        <v>34749</v>
      </c>
      <c r="D4942" s="28" t="s">
        <v>34867</v>
      </c>
      <c r="I4942" s="27" t="str">
        <f t="shared" si="6"/>
        <v>omethoaat</v>
      </c>
      <c r="N4942" t="s">
        <v>12750</v>
      </c>
      <c r="P4942"/>
      <c r="Q4942"/>
      <c r="R4942"/>
      <c r="S4942"/>
    </row>
    <row r="4943" spans="1:19" x14ac:dyDescent="0.25">
      <c r="A4943" s="27" t="s">
        <v>193</v>
      </c>
      <c r="C4943" s="27" t="s">
        <v>34749</v>
      </c>
      <c r="D4943" s="28" t="s">
        <v>34867</v>
      </c>
      <c r="I4943" s="27" t="str">
        <f t="shared" si="6"/>
        <v>oxadixyl</v>
      </c>
      <c r="N4943" t="s">
        <v>12751</v>
      </c>
      <c r="P4943"/>
      <c r="Q4943"/>
      <c r="R4943"/>
      <c r="S4943"/>
    </row>
    <row r="4944" spans="1:19" x14ac:dyDescent="0.25">
      <c r="A4944" s="27" t="s">
        <v>193</v>
      </c>
      <c r="C4944" s="27" t="s">
        <v>34749</v>
      </c>
      <c r="D4944" s="28" t="s">
        <v>34867</v>
      </c>
      <c r="I4944" s="27" t="str">
        <f t="shared" si="6"/>
        <v>oxamyl</v>
      </c>
      <c r="N4944" t="s">
        <v>12752</v>
      </c>
      <c r="O4944" s="28" t="s">
        <v>6441</v>
      </c>
      <c r="P4944"/>
      <c r="Q4944"/>
      <c r="R4944"/>
      <c r="S4944"/>
    </row>
    <row r="4945" spans="1:19" x14ac:dyDescent="0.25">
      <c r="A4945" s="27" t="s">
        <v>193</v>
      </c>
      <c r="C4945" s="27" t="s">
        <v>34749</v>
      </c>
      <c r="D4945" s="28" t="s">
        <v>34867</v>
      </c>
      <c r="I4945" s="27" t="str">
        <f t="shared" si="6"/>
        <v>oxy,demeton,methyl</v>
      </c>
      <c r="N4945" t="s">
        <v>12753</v>
      </c>
      <c r="P4945"/>
      <c r="Q4945"/>
      <c r="R4945"/>
      <c r="S4945"/>
    </row>
    <row r="4946" spans="1:19" x14ac:dyDescent="0.25">
      <c r="A4946" s="27" t="s">
        <v>193</v>
      </c>
      <c r="C4946" s="27" t="s">
        <v>34749</v>
      </c>
      <c r="D4946" s="28" t="s">
        <v>34867</v>
      </c>
      <c r="I4946" s="27" t="str">
        <f t="shared" si="6"/>
        <v>oxycarboxin</v>
      </c>
      <c r="N4946" t="s">
        <v>12754</v>
      </c>
      <c r="P4946"/>
      <c r="Q4946"/>
      <c r="R4946"/>
      <c r="S4946"/>
    </row>
    <row r="4947" spans="1:19" x14ac:dyDescent="0.25">
      <c r="A4947" s="27" t="s">
        <v>193</v>
      </c>
      <c r="C4947" s="27" t="s">
        <v>34749</v>
      </c>
      <c r="D4947" s="28" t="s">
        <v>34867</v>
      </c>
      <c r="I4947" s="27" t="str">
        <f t="shared" si="6"/>
        <v>paclobutrazol</v>
      </c>
      <c r="N4947" t="s">
        <v>12755</v>
      </c>
      <c r="O4947" s="28" t="s">
        <v>10844</v>
      </c>
      <c r="P4947"/>
      <c r="Q4947"/>
      <c r="R4947"/>
      <c r="S4947"/>
    </row>
    <row r="4948" spans="1:19" x14ac:dyDescent="0.25">
      <c r="A4948" s="27" t="s">
        <v>193</v>
      </c>
      <c r="C4948" s="27" t="s">
        <v>34749</v>
      </c>
      <c r="D4948" s="28" t="s">
        <v>34867</v>
      </c>
      <c r="I4948" s="27" t="str">
        <f t="shared" si="6"/>
        <v>paraffine,olie</v>
      </c>
      <c r="N4948" t="s">
        <v>12756</v>
      </c>
      <c r="P4948"/>
      <c r="Q4948"/>
      <c r="R4948"/>
      <c r="S4948"/>
    </row>
    <row r="4949" spans="1:19" x14ac:dyDescent="0.25">
      <c r="A4949" s="27" t="s">
        <v>193</v>
      </c>
      <c r="C4949" s="27" t="s">
        <v>34749</v>
      </c>
      <c r="D4949" s="28" t="s">
        <v>34867</v>
      </c>
      <c r="I4949" s="27" t="str">
        <f t="shared" ref="I4949:I5012" si="7">SUBSTITUTE(LOWER(N4949),"_",",")</f>
        <v>paraquat,dichloride</v>
      </c>
      <c r="N4949" t="s">
        <v>12757</v>
      </c>
      <c r="O4949" s="28" t="s">
        <v>11000</v>
      </c>
      <c r="P4949"/>
      <c r="Q4949"/>
      <c r="R4949"/>
      <c r="S4949"/>
    </row>
    <row r="4950" spans="1:19" x14ac:dyDescent="0.25">
      <c r="A4950" s="27" t="s">
        <v>193</v>
      </c>
      <c r="C4950" s="27" t="s">
        <v>34749</v>
      </c>
      <c r="D4950" s="28" t="s">
        <v>34867</v>
      </c>
      <c r="I4950" s="27" t="str">
        <f t="shared" si="7"/>
        <v>parathion,(ethyl,en,methyl)</v>
      </c>
      <c r="N4950" t="s">
        <v>12758</v>
      </c>
      <c r="P4950"/>
      <c r="Q4950"/>
      <c r="R4950"/>
      <c r="S4950"/>
    </row>
    <row r="4951" spans="1:19" x14ac:dyDescent="0.25">
      <c r="A4951" s="27" t="s">
        <v>193</v>
      </c>
      <c r="C4951" s="27" t="s">
        <v>34749</v>
      </c>
      <c r="D4951" s="28" t="s">
        <v>34867</v>
      </c>
      <c r="I4951" s="27" t="str">
        <f t="shared" si="7"/>
        <v>pelargonzuur</v>
      </c>
      <c r="N4951" t="s">
        <v>12759</v>
      </c>
      <c r="P4951"/>
      <c r="Q4951"/>
      <c r="R4951"/>
      <c r="S4951"/>
    </row>
    <row r="4952" spans="1:19" x14ac:dyDescent="0.25">
      <c r="A4952" s="27" t="s">
        <v>193</v>
      </c>
      <c r="C4952" s="27" t="s">
        <v>34749</v>
      </c>
      <c r="D4952" s="28" t="s">
        <v>34867</v>
      </c>
      <c r="I4952" s="27" t="str">
        <f t="shared" si="7"/>
        <v>penconazool</v>
      </c>
      <c r="N4952" t="s">
        <v>12760</v>
      </c>
      <c r="O4952" s="28" t="s">
        <v>10889</v>
      </c>
      <c r="P4952"/>
      <c r="Q4952"/>
      <c r="R4952"/>
      <c r="S4952"/>
    </row>
    <row r="4953" spans="1:19" x14ac:dyDescent="0.25">
      <c r="A4953" s="27" t="s">
        <v>193</v>
      </c>
      <c r="C4953" s="27" t="s">
        <v>34749</v>
      </c>
      <c r="D4953" s="28" t="s">
        <v>34867</v>
      </c>
      <c r="I4953" s="27" t="str">
        <f t="shared" si="7"/>
        <v>pencycuron</v>
      </c>
      <c r="N4953" t="s">
        <v>12761</v>
      </c>
      <c r="O4953" s="28" t="s">
        <v>10880</v>
      </c>
      <c r="P4953"/>
      <c r="Q4953"/>
      <c r="R4953"/>
      <c r="S4953"/>
    </row>
    <row r="4954" spans="1:19" x14ac:dyDescent="0.25">
      <c r="A4954" s="27" t="s">
        <v>193</v>
      </c>
      <c r="C4954" s="27" t="s">
        <v>34749</v>
      </c>
      <c r="D4954" s="28" t="s">
        <v>34867</v>
      </c>
      <c r="I4954" s="27" t="str">
        <f t="shared" si="7"/>
        <v>pendimethalin</v>
      </c>
      <c r="N4954" t="s">
        <v>12762</v>
      </c>
      <c r="O4954" s="28" t="s">
        <v>10892</v>
      </c>
      <c r="P4954"/>
      <c r="Q4954"/>
      <c r="R4954"/>
      <c r="S4954"/>
    </row>
    <row r="4955" spans="1:19" x14ac:dyDescent="0.25">
      <c r="A4955" s="27" t="s">
        <v>193</v>
      </c>
      <c r="C4955" s="27" t="s">
        <v>34749</v>
      </c>
      <c r="D4955" s="28" t="s">
        <v>34867</v>
      </c>
      <c r="I4955" s="27" t="str">
        <f t="shared" si="7"/>
        <v>penflufen</v>
      </c>
      <c r="N4955" t="s">
        <v>12763</v>
      </c>
      <c r="P4955"/>
      <c r="Q4955"/>
      <c r="R4955"/>
      <c r="S4955"/>
    </row>
    <row r="4956" spans="1:19" x14ac:dyDescent="0.25">
      <c r="A4956" s="27" t="s">
        <v>193</v>
      </c>
      <c r="C4956" s="27" t="s">
        <v>34749</v>
      </c>
      <c r="D4956" s="28" t="s">
        <v>34867</v>
      </c>
      <c r="I4956" s="27" t="str">
        <f t="shared" si="7"/>
        <v>pentachloorfenol</v>
      </c>
      <c r="N4956" t="s">
        <v>12764</v>
      </c>
      <c r="P4956"/>
      <c r="Q4956"/>
      <c r="R4956"/>
      <c r="S4956"/>
    </row>
    <row r="4957" spans="1:19" x14ac:dyDescent="0.25">
      <c r="A4957" s="27" t="s">
        <v>193</v>
      </c>
      <c r="C4957" s="27" t="s">
        <v>34749</v>
      </c>
      <c r="D4957" s="28" t="s">
        <v>34867</v>
      </c>
      <c r="I4957" s="27" t="str">
        <f t="shared" si="7"/>
        <v>penthiopyrad</v>
      </c>
      <c r="N4957" t="s">
        <v>12765</v>
      </c>
      <c r="O4957" s="28" t="s">
        <v>10904</v>
      </c>
      <c r="P4957"/>
      <c r="Q4957"/>
      <c r="R4957"/>
      <c r="S4957"/>
    </row>
    <row r="4958" spans="1:19" x14ac:dyDescent="0.25">
      <c r="A4958" s="27" t="s">
        <v>193</v>
      </c>
      <c r="C4958" s="27" t="s">
        <v>34749</v>
      </c>
      <c r="D4958" s="28" t="s">
        <v>34867</v>
      </c>
      <c r="I4958" s="27" t="str">
        <f t="shared" si="7"/>
        <v>permethrin</v>
      </c>
      <c r="N4958" t="s">
        <v>12766</v>
      </c>
      <c r="O4958" s="28" t="s">
        <v>10916</v>
      </c>
      <c r="P4958"/>
      <c r="Q4958"/>
      <c r="R4958"/>
      <c r="S4958"/>
    </row>
    <row r="4959" spans="1:19" x14ac:dyDescent="0.25">
      <c r="A4959" s="27" t="s">
        <v>193</v>
      </c>
      <c r="C4959" s="27" t="s">
        <v>34749</v>
      </c>
      <c r="D4959" s="28" t="s">
        <v>34867</v>
      </c>
      <c r="I4959" s="27" t="str">
        <f t="shared" si="7"/>
        <v>picoxystrobin</v>
      </c>
      <c r="N4959" t="s">
        <v>12767</v>
      </c>
      <c r="O4959" s="28" t="s">
        <v>10931</v>
      </c>
      <c r="P4959"/>
      <c r="Q4959"/>
      <c r="R4959"/>
      <c r="S4959"/>
    </row>
    <row r="4960" spans="1:19" x14ac:dyDescent="0.25">
      <c r="A4960" s="27" t="s">
        <v>193</v>
      </c>
      <c r="C4960" s="27" t="s">
        <v>34749</v>
      </c>
      <c r="D4960" s="28" t="s">
        <v>34867</v>
      </c>
      <c r="I4960" s="27" t="str">
        <f t="shared" si="7"/>
        <v>pinoxaden</v>
      </c>
      <c r="N4960" t="s">
        <v>12768</v>
      </c>
      <c r="O4960" s="28" t="s">
        <v>10934</v>
      </c>
      <c r="P4960"/>
      <c r="Q4960"/>
      <c r="R4960"/>
      <c r="S4960"/>
    </row>
    <row r="4961" spans="1:19" x14ac:dyDescent="0.25">
      <c r="A4961" s="27" t="s">
        <v>193</v>
      </c>
      <c r="C4961" s="27" t="s">
        <v>34749</v>
      </c>
      <c r="D4961" s="28" t="s">
        <v>34867</v>
      </c>
      <c r="I4961" s="27" t="str">
        <f t="shared" si="7"/>
        <v>piperonylbutoxide</v>
      </c>
      <c r="N4961" t="s">
        <v>12769</v>
      </c>
      <c r="P4961"/>
      <c r="Q4961"/>
      <c r="R4961"/>
      <c r="S4961"/>
    </row>
    <row r="4962" spans="1:19" x14ac:dyDescent="0.25">
      <c r="A4962" s="27" t="s">
        <v>193</v>
      </c>
      <c r="C4962" s="27" t="s">
        <v>34749</v>
      </c>
      <c r="D4962" s="28" t="s">
        <v>34867</v>
      </c>
      <c r="I4962" s="27" t="str">
        <f t="shared" si="7"/>
        <v>piproctanyliumbromide</v>
      </c>
      <c r="N4962" t="s">
        <v>12770</v>
      </c>
      <c r="P4962"/>
      <c r="Q4962"/>
      <c r="R4962"/>
      <c r="S4962"/>
    </row>
    <row r="4963" spans="1:19" x14ac:dyDescent="0.25">
      <c r="A4963" s="27" t="s">
        <v>193</v>
      </c>
      <c r="C4963" s="27" t="s">
        <v>34749</v>
      </c>
      <c r="D4963" s="28" t="s">
        <v>34867</v>
      </c>
      <c r="I4963" s="27" t="str">
        <f t="shared" si="7"/>
        <v>pirimicarb</v>
      </c>
      <c r="N4963" t="s">
        <v>12771</v>
      </c>
      <c r="O4963" s="28" t="s">
        <v>10952</v>
      </c>
      <c r="P4963"/>
      <c r="Q4963"/>
      <c r="R4963"/>
      <c r="S4963"/>
    </row>
    <row r="4964" spans="1:19" x14ac:dyDescent="0.25">
      <c r="A4964" s="27" t="s">
        <v>193</v>
      </c>
      <c r="C4964" s="27" t="s">
        <v>34749</v>
      </c>
      <c r="D4964" s="28" t="s">
        <v>34867</v>
      </c>
      <c r="I4964" s="27" t="str">
        <f t="shared" si="7"/>
        <v>pirimifos,methyl</v>
      </c>
      <c r="N4964" t="s">
        <v>12772</v>
      </c>
      <c r="O4964" s="28" t="s">
        <v>3521</v>
      </c>
      <c r="P4964"/>
      <c r="Q4964"/>
      <c r="R4964"/>
      <c r="S4964"/>
    </row>
    <row r="4965" spans="1:19" x14ac:dyDescent="0.25">
      <c r="A4965" s="27" t="s">
        <v>193</v>
      </c>
      <c r="C4965" s="27" t="s">
        <v>34749</v>
      </c>
      <c r="D4965" s="28" t="s">
        <v>34867</v>
      </c>
      <c r="I4965" s="27" t="str">
        <f t="shared" si="7"/>
        <v>plifenaat</v>
      </c>
      <c r="N4965" t="s">
        <v>12773</v>
      </c>
      <c r="P4965"/>
      <c r="Q4965"/>
      <c r="R4965"/>
      <c r="S4965"/>
    </row>
    <row r="4966" spans="1:19" x14ac:dyDescent="0.25">
      <c r="A4966" s="27" t="s">
        <v>193</v>
      </c>
      <c r="C4966" s="27" t="s">
        <v>34749</v>
      </c>
      <c r="D4966" s="28" t="s">
        <v>34867</v>
      </c>
      <c r="I4966" s="27" t="str">
        <f t="shared" si="7"/>
        <v>polybutenen</v>
      </c>
      <c r="N4966" t="s">
        <v>12774</v>
      </c>
      <c r="P4966"/>
      <c r="Q4966"/>
      <c r="R4966"/>
      <c r="S4966"/>
    </row>
    <row r="4967" spans="1:19" x14ac:dyDescent="0.25">
      <c r="A4967" s="27" t="s">
        <v>193</v>
      </c>
      <c r="C4967" s="27" t="s">
        <v>34749</v>
      </c>
      <c r="D4967" s="28" t="s">
        <v>34867</v>
      </c>
      <c r="I4967" s="27" t="str">
        <f t="shared" si="7"/>
        <v>polyethethanoxy,tall</v>
      </c>
      <c r="N4967" t="s">
        <v>12775</v>
      </c>
      <c r="P4967"/>
      <c r="Q4967"/>
      <c r="R4967"/>
      <c r="S4967"/>
    </row>
    <row r="4968" spans="1:19" x14ac:dyDescent="0.25">
      <c r="A4968" s="27" t="s">
        <v>193</v>
      </c>
      <c r="C4968" s="27" t="s">
        <v>34749</v>
      </c>
      <c r="D4968" s="28" t="s">
        <v>34867</v>
      </c>
      <c r="I4968" s="27" t="str">
        <f t="shared" si="7"/>
        <v>polyoxyeth.alk.am.</v>
      </c>
      <c r="N4968" t="s">
        <v>12776</v>
      </c>
      <c r="P4968"/>
      <c r="Q4968"/>
      <c r="R4968"/>
      <c r="S4968"/>
    </row>
    <row r="4969" spans="1:19" x14ac:dyDescent="0.25">
      <c r="A4969" s="27" t="s">
        <v>193</v>
      </c>
      <c r="C4969" s="27" t="s">
        <v>34749</v>
      </c>
      <c r="D4969" s="28" t="s">
        <v>34867</v>
      </c>
      <c r="I4969" s="27" t="str">
        <f t="shared" si="7"/>
        <v>prochloraz</v>
      </c>
      <c r="N4969" t="s">
        <v>12777</v>
      </c>
      <c r="O4969" s="28" t="s">
        <v>11015</v>
      </c>
      <c r="P4969"/>
      <c r="Q4969"/>
      <c r="R4969"/>
      <c r="S4969"/>
    </row>
    <row r="4970" spans="1:19" x14ac:dyDescent="0.25">
      <c r="A4970" s="27" t="s">
        <v>193</v>
      </c>
      <c r="C4970" s="27" t="s">
        <v>34749</v>
      </c>
      <c r="D4970" s="28" t="s">
        <v>34867</v>
      </c>
      <c r="I4970" s="27" t="str">
        <f t="shared" si="7"/>
        <v>procymidon</v>
      </c>
      <c r="N4970" t="s">
        <v>12778</v>
      </c>
      <c r="O4970" s="28" t="s">
        <v>11024</v>
      </c>
      <c r="P4970"/>
      <c r="Q4970"/>
      <c r="R4970"/>
      <c r="S4970"/>
    </row>
    <row r="4971" spans="1:19" x14ac:dyDescent="0.25">
      <c r="A4971" s="27" t="s">
        <v>193</v>
      </c>
      <c r="C4971" s="27" t="s">
        <v>34749</v>
      </c>
      <c r="D4971" s="28" t="s">
        <v>34867</v>
      </c>
      <c r="I4971" s="27" t="str">
        <f t="shared" si="7"/>
        <v>profam</v>
      </c>
      <c r="N4971" t="s">
        <v>12779</v>
      </c>
      <c r="P4971"/>
      <c r="Q4971"/>
      <c r="R4971"/>
      <c r="S4971"/>
    </row>
    <row r="4972" spans="1:19" x14ac:dyDescent="0.25">
      <c r="A4972" s="27" t="s">
        <v>193</v>
      </c>
      <c r="C4972" s="27" t="s">
        <v>34749</v>
      </c>
      <c r="D4972" s="28" t="s">
        <v>34867</v>
      </c>
      <c r="I4972" s="27" t="str">
        <f t="shared" si="7"/>
        <v>profenofos</v>
      </c>
      <c r="N4972" t="s">
        <v>12780</v>
      </c>
      <c r="P4972"/>
      <c r="Q4972"/>
      <c r="R4972"/>
      <c r="S4972"/>
    </row>
    <row r="4973" spans="1:19" x14ac:dyDescent="0.25">
      <c r="A4973" s="27" t="s">
        <v>193</v>
      </c>
      <c r="C4973" s="27" t="s">
        <v>34749</v>
      </c>
      <c r="D4973" s="28" t="s">
        <v>34867</v>
      </c>
      <c r="I4973" s="27" t="str">
        <f t="shared" si="7"/>
        <v>prohexadion,calcium</v>
      </c>
      <c r="N4973" t="s">
        <v>12781</v>
      </c>
      <c r="P4973"/>
      <c r="Q4973"/>
      <c r="R4973"/>
      <c r="S4973"/>
    </row>
    <row r="4974" spans="1:19" x14ac:dyDescent="0.25">
      <c r="A4974" s="27" t="s">
        <v>193</v>
      </c>
      <c r="C4974" s="27" t="s">
        <v>34749</v>
      </c>
      <c r="D4974" s="28" t="s">
        <v>34867</v>
      </c>
      <c r="I4974" s="27" t="str">
        <f t="shared" si="7"/>
        <v>prohexadione,calcium</v>
      </c>
      <c r="N4974" t="s">
        <v>12782</v>
      </c>
      <c r="O4974" s="28" t="s">
        <v>11018</v>
      </c>
      <c r="P4974"/>
      <c r="Q4974"/>
      <c r="R4974"/>
      <c r="S4974"/>
    </row>
    <row r="4975" spans="1:19" x14ac:dyDescent="0.25">
      <c r="A4975" s="27" t="s">
        <v>193</v>
      </c>
      <c r="C4975" s="27" t="s">
        <v>34749</v>
      </c>
      <c r="D4975" s="28" t="s">
        <v>34867</v>
      </c>
      <c r="I4975" s="27" t="str">
        <f t="shared" si="7"/>
        <v>prometryn</v>
      </c>
      <c r="N4975" t="s">
        <v>12783</v>
      </c>
      <c r="P4975"/>
      <c r="Q4975"/>
      <c r="R4975"/>
      <c r="S4975"/>
    </row>
    <row r="4976" spans="1:19" x14ac:dyDescent="0.25">
      <c r="A4976" s="27" t="s">
        <v>193</v>
      </c>
      <c r="C4976" s="27" t="s">
        <v>34749</v>
      </c>
      <c r="D4976" s="28" t="s">
        <v>34867</v>
      </c>
      <c r="I4976" s="27" t="str">
        <f t="shared" si="7"/>
        <v>propachloor</v>
      </c>
      <c r="N4976" t="s">
        <v>12784</v>
      </c>
      <c r="P4976"/>
      <c r="Q4976"/>
      <c r="R4976"/>
      <c r="S4976"/>
    </row>
    <row r="4977" spans="1:19" x14ac:dyDescent="0.25">
      <c r="A4977" s="27" t="s">
        <v>193</v>
      </c>
      <c r="C4977" s="27" t="s">
        <v>34749</v>
      </c>
      <c r="D4977" s="28" t="s">
        <v>34867</v>
      </c>
      <c r="I4977" s="27" t="str">
        <f t="shared" si="7"/>
        <v>propamocarb</v>
      </c>
      <c r="N4977" t="s">
        <v>12785</v>
      </c>
      <c r="O4977" s="28" t="s">
        <v>11078</v>
      </c>
      <c r="P4977"/>
      <c r="Q4977"/>
      <c r="R4977"/>
      <c r="S4977"/>
    </row>
    <row r="4978" spans="1:19" x14ac:dyDescent="0.25">
      <c r="A4978" s="27" t="s">
        <v>193</v>
      </c>
      <c r="C4978" s="27" t="s">
        <v>34749</v>
      </c>
      <c r="D4978" s="28" t="s">
        <v>34867</v>
      </c>
      <c r="I4978" s="27" t="str">
        <f t="shared" si="7"/>
        <v>propaquizafop</v>
      </c>
      <c r="N4978" t="s">
        <v>12786</v>
      </c>
      <c r="P4978"/>
      <c r="Q4978"/>
      <c r="R4978"/>
      <c r="S4978"/>
    </row>
    <row r="4979" spans="1:19" x14ac:dyDescent="0.25">
      <c r="A4979" s="27" t="s">
        <v>193</v>
      </c>
      <c r="C4979" s="27" t="s">
        <v>34749</v>
      </c>
      <c r="D4979" s="28" t="s">
        <v>34867</v>
      </c>
      <c r="I4979" s="27" t="str">
        <f t="shared" si="7"/>
        <v>propaquizofop</v>
      </c>
      <c r="N4979" t="s">
        <v>12787</v>
      </c>
      <c r="P4979"/>
      <c r="Q4979"/>
      <c r="R4979"/>
      <c r="S4979"/>
    </row>
    <row r="4980" spans="1:19" x14ac:dyDescent="0.25">
      <c r="A4980" s="27" t="s">
        <v>193</v>
      </c>
      <c r="C4980" s="27" t="s">
        <v>34749</v>
      </c>
      <c r="D4980" s="28" t="s">
        <v>34867</v>
      </c>
      <c r="I4980" s="27" t="str">
        <f t="shared" si="7"/>
        <v>propazin</v>
      </c>
      <c r="N4980" t="s">
        <v>12788</v>
      </c>
      <c r="P4980"/>
      <c r="Q4980"/>
      <c r="R4980"/>
      <c r="S4980"/>
    </row>
    <row r="4981" spans="1:19" x14ac:dyDescent="0.25">
      <c r="A4981" s="27" t="s">
        <v>193</v>
      </c>
      <c r="C4981" s="27" t="s">
        <v>34749</v>
      </c>
      <c r="D4981" s="28" t="s">
        <v>34867</v>
      </c>
      <c r="I4981" s="27" t="str">
        <f t="shared" si="7"/>
        <v>propetamfos</v>
      </c>
      <c r="N4981" t="s">
        <v>12789</v>
      </c>
      <c r="P4981"/>
      <c r="Q4981"/>
      <c r="R4981"/>
      <c r="S4981"/>
    </row>
    <row r="4982" spans="1:19" x14ac:dyDescent="0.25">
      <c r="A4982" s="27" t="s">
        <v>193</v>
      </c>
      <c r="C4982" s="27" t="s">
        <v>34749</v>
      </c>
      <c r="D4982" s="28" t="s">
        <v>34867</v>
      </c>
      <c r="I4982" s="27" t="str">
        <f t="shared" si="7"/>
        <v>propiconazool</v>
      </c>
      <c r="N4982" t="s">
        <v>12790</v>
      </c>
      <c r="O4982" s="28" t="s">
        <v>11057</v>
      </c>
      <c r="P4982"/>
      <c r="Q4982"/>
      <c r="R4982"/>
      <c r="S4982"/>
    </row>
    <row r="4983" spans="1:19" x14ac:dyDescent="0.25">
      <c r="A4983" s="27" t="s">
        <v>193</v>
      </c>
      <c r="C4983" s="27" t="s">
        <v>34749</v>
      </c>
      <c r="D4983" s="28" t="s">
        <v>34867</v>
      </c>
      <c r="I4983" s="27" t="str">
        <f t="shared" si="7"/>
        <v>propoxur</v>
      </c>
      <c r="N4983" t="s">
        <v>12791</v>
      </c>
      <c r="P4983"/>
      <c r="Q4983"/>
      <c r="R4983"/>
      <c r="S4983"/>
    </row>
    <row r="4984" spans="1:19" x14ac:dyDescent="0.25">
      <c r="A4984" s="27" t="s">
        <v>193</v>
      </c>
      <c r="C4984" s="27" t="s">
        <v>34749</v>
      </c>
      <c r="D4984" s="28" t="s">
        <v>34867</v>
      </c>
      <c r="I4984" s="27" t="str">
        <f t="shared" si="7"/>
        <v>propylbutylfenoxyac.</v>
      </c>
      <c r="N4984" t="s">
        <v>12792</v>
      </c>
      <c r="P4984"/>
      <c r="Q4984"/>
      <c r="R4984"/>
      <c r="S4984"/>
    </row>
    <row r="4985" spans="1:19" x14ac:dyDescent="0.25">
      <c r="A4985" s="27" t="s">
        <v>193</v>
      </c>
      <c r="C4985" s="27" t="s">
        <v>34749</v>
      </c>
      <c r="D4985" s="28" t="s">
        <v>34867</v>
      </c>
      <c r="I4985" s="27" t="str">
        <f t="shared" si="7"/>
        <v>propyzamide</v>
      </c>
      <c r="N4985" t="s">
        <v>12793</v>
      </c>
      <c r="O4985" s="28" t="s">
        <v>11051</v>
      </c>
      <c r="P4985"/>
      <c r="Q4985"/>
      <c r="R4985"/>
      <c r="S4985"/>
    </row>
    <row r="4986" spans="1:19" x14ac:dyDescent="0.25">
      <c r="A4986" s="27" t="s">
        <v>193</v>
      </c>
      <c r="C4986" s="27" t="s">
        <v>34749</v>
      </c>
      <c r="D4986" s="28" t="s">
        <v>34867</v>
      </c>
      <c r="I4986" s="27" t="str">
        <f t="shared" si="7"/>
        <v>prosulfocarb</v>
      </c>
      <c r="N4986" t="s">
        <v>12794</v>
      </c>
      <c r="O4986" s="28" t="s">
        <v>11117</v>
      </c>
      <c r="P4986"/>
      <c r="Q4986"/>
      <c r="R4986"/>
      <c r="S4986"/>
    </row>
    <row r="4987" spans="1:19" x14ac:dyDescent="0.25">
      <c r="A4987" s="27" t="s">
        <v>193</v>
      </c>
      <c r="C4987" s="27" t="s">
        <v>34749</v>
      </c>
      <c r="D4987" s="28" t="s">
        <v>34867</v>
      </c>
      <c r="I4987" s="27" t="str">
        <f t="shared" si="7"/>
        <v>prosulfuron</v>
      </c>
      <c r="N4987" t="s">
        <v>12795</v>
      </c>
      <c r="O4987" s="28" t="s">
        <v>11120</v>
      </c>
      <c r="P4987"/>
      <c r="Q4987"/>
      <c r="R4987"/>
      <c r="S4987"/>
    </row>
    <row r="4988" spans="1:19" x14ac:dyDescent="0.25">
      <c r="A4988" s="27" t="s">
        <v>193</v>
      </c>
      <c r="C4988" s="27" t="s">
        <v>34749</v>
      </c>
      <c r="D4988" s="28" t="s">
        <v>34867</v>
      </c>
      <c r="I4988" s="27" t="str">
        <f t="shared" si="7"/>
        <v>prothioconazool</v>
      </c>
      <c r="N4988" t="s">
        <v>12796</v>
      </c>
      <c r="O4988" s="28" t="s">
        <v>11132</v>
      </c>
      <c r="P4988"/>
      <c r="Q4988"/>
      <c r="R4988"/>
      <c r="S4988"/>
    </row>
    <row r="4989" spans="1:19" x14ac:dyDescent="0.25">
      <c r="A4989" s="27" t="s">
        <v>193</v>
      </c>
      <c r="C4989" s="27" t="s">
        <v>34749</v>
      </c>
      <c r="D4989" s="28" t="s">
        <v>34867</v>
      </c>
      <c r="I4989" s="27" t="str">
        <f t="shared" si="7"/>
        <v>pymetrozine</v>
      </c>
      <c r="N4989" t="s">
        <v>12797</v>
      </c>
      <c r="O4989" s="28" t="s">
        <v>11144</v>
      </c>
      <c r="P4989"/>
      <c r="Q4989"/>
      <c r="R4989"/>
      <c r="S4989"/>
    </row>
    <row r="4990" spans="1:19" x14ac:dyDescent="0.25">
      <c r="A4990" s="27" t="s">
        <v>193</v>
      </c>
      <c r="C4990" s="27" t="s">
        <v>34749</v>
      </c>
      <c r="D4990" s="28" t="s">
        <v>34867</v>
      </c>
      <c r="I4990" s="27" t="str">
        <f t="shared" si="7"/>
        <v>pyraclostrobin</v>
      </c>
      <c r="N4990" t="s">
        <v>12798</v>
      </c>
      <c r="P4990"/>
      <c r="Q4990"/>
      <c r="R4990"/>
      <c r="S4990"/>
    </row>
    <row r="4991" spans="1:19" x14ac:dyDescent="0.25">
      <c r="A4991" s="27" t="s">
        <v>193</v>
      </c>
      <c r="C4991" s="27" t="s">
        <v>34749</v>
      </c>
      <c r="D4991" s="28" t="s">
        <v>34867</v>
      </c>
      <c r="I4991" s="27" t="str">
        <f t="shared" si="7"/>
        <v>pyraclostrobine</v>
      </c>
      <c r="N4991" t="s">
        <v>12799</v>
      </c>
      <c r="O4991" s="28" t="s">
        <v>11159</v>
      </c>
      <c r="P4991"/>
      <c r="Q4991"/>
      <c r="R4991"/>
      <c r="S4991"/>
    </row>
    <row r="4992" spans="1:19" x14ac:dyDescent="0.25">
      <c r="A4992" s="27" t="s">
        <v>193</v>
      </c>
      <c r="C4992" s="27" t="s">
        <v>34749</v>
      </c>
      <c r="D4992" s="28" t="s">
        <v>34867</v>
      </c>
      <c r="I4992" s="27" t="str">
        <f t="shared" si="7"/>
        <v>pyraflufen,ethyl</v>
      </c>
      <c r="N4992" t="s">
        <v>12800</v>
      </c>
      <c r="O4992" s="28" t="s">
        <v>11183</v>
      </c>
      <c r="P4992"/>
      <c r="Q4992"/>
      <c r="R4992"/>
      <c r="S4992"/>
    </row>
    <row r="4993" spans="1:19" x14ac:dyDescent="0.25">
      <c r="A4993" s="27" t="s">
        <v>193</v>
      </c>
      <c r="C4993" s="27" t="s">
        <v>34749</v>
      </c>
      <c r="D4993" s="28" t="s">
        <v>34867</v>
      </c>
      <c r="I4993" s="27" t="str">
        <f t="shared" si="7"/>
        <v>pyrazofos</v>
      </c>
      <c r="N4993" t="s">
        <v>12801</v>
      </c>
      <c r="P4993"/>
      <c r="Q4993"/>
      <c r="R4993"/>
      <c r="S4993"/>
    </row>
    <row r="4994" spans="1:19" x14ac:dyDescent="0.25">
      <c r="A4994" s="27" t="s">
        <v>193</v>
      </c>
      <c r="C4994" s="27" t="s">
        <v>34749</v>
      </c>
      <c r="D4994" s="28" t="s">
        <v>34867</v>
      </c>
      <c r="I4994" s="27" t="str">
        <f t="shared" si="7"/>
        <v>pyrethrinen</v>
      </c>
      <c r="N4994" t="s">
        <v>12802</v>
      </c>
      <c r="O4994" s="28" t="s">
        <v>11216</v>
      </c>
      <c r="P4994"/>
      <c r="Q4994"/>
      <c r="R4994"/>
      <c r="S4994"/>
    </row>
    <row r="4995" spans="1:19" x14ac:dyDescent="0.25">
      <c r="A4995" s="27" t="s">
        <v>193</v>
      </c>
      <c r="C4995" s="27" t="s">
        <v>34749</v>
      </c>
      <c r="D4995" s="28" t="s">
        <v>34867</v>
      </c>
      <c r="I4995" s="27" t="str">
        <f t="shared" si="7"/>
        <v>pyridaat</v>
      </c>
      <c r="N4995" t="s">
        <v>12803</v>
      </c>
      <c r="O4995" s="28" t="s">
        <v>11177</v>
      </c>
      <c r="P4995"/>
      <c r="Q4995"/>
      <c r="R4995"/>
      <c r="S4995"/>
    </row>
    <row r="4996" spans="1:19" x14ac:dyDescent="0.25">
      <c r="A4996" s="27" t="s">
        <v>193</v>
      </c>
      <c r="C4996" s="27" t="s">
        <v>34749</v>
      </c>
      <c r="D4996" s="28" t="s">
        <v>34867</v>
      </c>
      <c r="I4996" s="27" t="str">
        <f t="shared" si="7"/>
        <v>pyridaben</v>
      </c>
      <c r="N4996" t="s">
        <v>12804</v>
      </c>
      <c r="O4996" s="28" t="s">
        <v>11162</v>
      </c>
      <c r="P4996"/>
      <c r="Q4996"/>
      <c r="R4996"/>
      <c r="S4996"/>
    </row>
    <row r="4997" spans="1:19" x14ac:dyDescent="0.25">
      <c r="A4997" s="27" t="s">
        <v>193</v>
      </c>
      <c r="C4997" s="27" t="s">
        <v>34749</v>
      </c>
      <c r="D4997" s="28" t="s">
        <v>34867</v>
      </c>
      <c r="I4997" s="27" t="str">
        <f t="shared" si="7"/>
        <v>pyridalyl</v>
      </c>
      <c r="N4997" t="s">
        <v>12805</v>
      </c>
      <c r="O4997" s="28" t="s">
        <v>11171</v>
      </c>
      <c r="P4997"/>
      <c r="Q4997"/>
      <c r="R4997"/>
      <c r="S4997"/>
    </row>
    <row r="4998" spans="1:19" x14ac:dyDescent="0.25">
      <c r="A4998" s="27" t="s">
        <v>193</v>
      </c>
      <c r="C4998" s="27" t="s">
        <v>34749</v>
      </c>
      <c r="D4998" s="28" t="s">
        <v>34867</v>
      </c>
      <c r="I4998" s="27" t="str">
        <f t="shared" si="7"/>
        <v>pyrifenox</v>
      </c>
      <c r="N4998" t="s">
        <v>12806</v>
      </c>
      <c r="P4998"/>
      <c r="Q4998"/>
      <c r="R4998"/>
      <c r="S4998"/>
    </row>
    <row r="4999" spans="1:19" x14ac:dyDescent="0.25">
      <c r="A4999" s="27" t="s">
        <v>193</v>
      </c>
      <c r="C4999" s="27" t="s">
        <v>34749</v>
      </c>
      <c r="D4999" s="28" t="s">
        <v>34867</v>
      </c>
      <c r="I4999" s="27" t="str">
        <f t="shared" si="7"/>
        <v>pyrimethanil</v>
      </c>
      <c r="N4999" t="s">
        <v>12807</v>
      </c>
      <c r="O4999" s="28" t="s">
        <v>11195</v>
      </c>
      <c r="P4999"/>
      <c r="Q4999"/>
      <c r="R4999"/>
      <c r="S4999"/>
    </row>
    <row r="5000" spans="1:19" x14ac:dyDescent="0.25">
      <c r="A5000" s="27" t="s">
        <v>193</v>
      </c>
      <c r="C5000" s="27" t="s">
        <v>34749</v>
      </c>
      <c r="D5000" s="28" t="s">
        <v>34867</v>
      </c>
      <c r="I5000" s="27" t="str">
        <f t="shared" si="7"/>
        <v>pyriofenon</v>
      </c>
      <c r="N5000" t="s">
        <v>12808</v>
      </c>
      <c r="P5000"/>
      <c r="Q5000"/>
      <c r="R5000"/>
      <c r="S5000"/>
    </row>
    <row r="5001" spans="1:19" x14ac:dyDescent="0.25">
      <c r="A5001" s="27" t="s">
        <v>193</v>
      </c>
      <c r="C5001" s="27" t="s">
        <v>34749</v>
      </c>
      <c r="D5001" s="28" t="s">
        <v>34867</v>
      </c>
      <c r="I5001" s="27" t="str">
        <f t="shared" si="7"/>
        <v>pyriproxifen</v>
      </c>
      <c r="N5001" t="s">
        <v>12809</v>
      </c>
      <c r="P5001"/>
      <c r="Q5001"/>
      <c r="R5001"/>
      <c r="S5001"/>
    </row>
    <row r="5002" spans="1:19" x14ac:dyDescent="0.25">
      <c r="A5002" s="27" t="s">
        <v>193</v>
      </c>
      <c r="C5002" s="27" t="s">
        <v>34749</v>
      </c>
      <c r="D5002" s="28" t="s">
        <v>34867</v>
      </c>
      <c r="I5002" s="27" t="str">
        <f t="shared" si="7"/>
        <v>pyriproxyfen</v>
      </c>
      <c r="N5002" t="s">
        <v>12810</v>
      </c>
      <c r="O5002" s="28" t="s">
        <v>11201</v>
      </c>
      <c r="P5002"/>
      <c r="Q5002"/>
      <c r="R5002"/>
      <c r="S5002"/>
    </row>
    <row r="5003" spans="1:19" x14ac:dyDescent="0.25">
      <c r="A5003" s="27" t="s">
        <v>193</v>
      </c>
      <c r="C5003" s="27" t="s">
        <v>34749</v>
      </c>
      <c r="D5003" s="28" t="s">
        <v>34867</v>
      </c>
      <c r="I5003" s="27" t="str">
        <f t="shared" si="7"/>
        <v>pyroxsulam</v>
      </c>
      <c r="N5003" t="s">
        <v>12811</v>
      </c>
      <c r="O5003" s="28" t="s">
        <v>11207</v>
      </c>
      <c r="P5003"/>
      <c r="Q5003"/>
      <c r="R5003"/>
      <c r="S5003"/>
    </row>
    <row r="5004" spans="1:19" x14ac:dyDescent="0.25">
      <c r="A5004" s="27" t="s">
        <v>193</v>
      </c>
      <c r="C5004" s="27" t="s">
        <v>34749</v>
      </c>
      <c r="D5004" s="28" t="s">
        <v>34867</v>
      </c>
      <c r="I5004" s="27" t="str">
        <f t="shared" si="7"/>
        <v>quatern.ammoniumverb</v>
      </c>
      <c r="N5004" t="s">
        <v>12812</v>
      </c>
      <c r="P5004"/>
      <c r="Q5004"/>
      <c r="R5004"/>
      <c r="S5004"/>
    </row>
    <row r="5005" spans="1:19" x14ac:dyDescent="0.25">
      <c r="A5005" s="27" t="s">
        <v>193</v>
      </c>
      <c r="C5005" s="27" t="s">
        <v>34749</v>
      </c>
      <c r="D5005" s="28" t="s">
        <v>34867</v>
      </c>
      <c r="I5005" s="27" t="str">
        <f t="shared" si="7"/>
        <v>quinmerac</v>
      </c>
      <c r="N5005" t="s">
        <v>12813</v>
      </c>
      <c r="O5005" s="28" t="s">
        <v>11234</v>
      </c>
      <c r="P5005"/>
      <c r="Q5005"/>
      <c r="R5005"/>
      <c r="S5005"/>
    </row>
    <row r="5006" spans="1:19" x14ac:dyDescent="0.25">
      <c r="A5006" s="27" t="s">
        <v>193</v>
      </c>
      <c r="C5006" s="27" t="s">
        <v>34749</v>
      </c>
      <c r="D5006" s="28" t="s">
        <v>34867</v>
      </c>
      <c r="I5006" s="27" t="str">
        <f t="shared" si="7"/>
        <v>quinoclamin</v>
      </c>
      <c r="N5006" t="s">
        <v>12814</v>
      </c>
      <c r="O5006" s="28" t="s">
        <v>11225</v>
      </c>
      <c r="P5006"/>
      <c r="Q5006"/>
      <c r="R5006"/>
      <c r="S5006"/>
    </row>
    <row r="5007" spans="1:19" x14ac:dyDescent="0.25">
      <c r="A5007" s="27" t="s">
        <v>193</v>
      </c>
      <c r="C5007" s="27" t="s">
        <v>34749</v>
      </c>
      <c r="D5007" s="28" t="s">
        <v>34867</v>
      </c>
      <c r="I5007" s="27" t="str">
        <f t="shared" si="7"/>
        <v>quinoxyfen</v>
      </c>
      <c r="N5007" t="s">
        <v>12815</v>
      </c>
      <c r="P5007"/>
      <c r="Q5007"/>
      <c r="R5007"/>
      <c r="S5007"/>
    </row>
    <row r="5008" spans="1:19" x14ac:dyDescent="0.25">
      <c r="A5008" s="27" t="s">
        <v>193</v>
      </c>
      <c r="C5008" s="27" t="s">
        <v>34749</v>
      </c>
      <c r="D5008" s="28" t="s">
        <v>34867</v>
      </c>
      <c r="I5008" s="27" t="str">
        <f t="shared" si="7"/>
        <v>quintozeen</v>
      </c>
      <c r="N5008" t="s">
        <v>12816</v>
      </c>
      <c r="P5008"/>
      <c r="Q5008"/>
      <c r="R5008"/>
      <c r="S5008"/>
    </row>
    <row r="5009" spans="1:19" x14ac:dyDescent="0.25">
      <c r="A5009" s="27" t="s">
        <v>193</v>
      </c>
      <c r="C5009" s="27" t="s">
        <v>34749</v>
      </c>
      <c r="D5009" s="28" t="s">
        <v>34867</v>
      </c>
      <c r="I5009" s="27" t="str">
        <f t="shared" si="7"/>
        <v>quizalofop,p,ethyl</v>
      </c>
      <c r="N5009" t="s">
        <v>12817</v>
      </c>
      <c r="O5009" s="28" t="s">
        <v>11249</v>
      </c>
      <c r="P5009"/>
      <c r="Q5009"/>
      <c r="R5009"/>
      <c r="S5009"/>
    </row>
    <row r="5010" spans="1:19" x14ac:dyDescent="0.25">
      <c r="A5010" s="27" t="s">
        <v>193</v>
      </c>
      <c r="C5010" s="27" t="s">
        <v>34749</v>
      </c>
      <c r="D5010" s="28" t="s">
        <v>34867</v>
      </c>
      <c r="I5010" s="27" t="str">
        <f t="shared" si="7"/>
        <v>rimsulfuron</v>
      </c>
      <c r="N5010" t="s">
        <v>12818</v>
      </c>
      <c r="O5010" s="28" t="s">
        <v>11267</v>
      </c>
      <c r="P5010"/>
      <c r="Q5010"/>
      <c r="R5010"/>
      <c r="S5010"/>
    </row>
    <row r="5011" spans="1:19" x14ac:dyDescent="0.25">
      <c r="A5011" s="27" t="s">
        <v>193</v>
      </c>
      <c r="C5011" s="27" t="s">
        <v>34749</v>
      </c>
      <c r="D5011" s="28" t="s">
        <v>34867</v>
      </c>
      <c r="I5011" s="27" t="str">
        <f t="shared" si="7"/>
        <v>s,methopren</v>
      </c>
      <c r="N5011" t="s">
        <v>12819</v>
      </c>
      <c r="P5011"/>
      <c r="Q5011"/>
      <c r="R5011"/>
      <c r="S5011"/>
    </row>
    <row r="5012" spans="1:19" x14ac:dyDescent="0.25">
      <c r="A5012" s="27" t="s">
        <v>193</v>
      </c>
      <c r="C5012" s="27" t="s">
        <v>34749</v>
      </c>
      <c r="D5012" s="28" t="s">
        <v>34867</v>
      </c>
      <c r="I5012" s="27" t="str">
        <f t="shared" si="7"/>
        <v>s,metolachloor</v>
      </c>
      <c r="N5012" t="s">
        <v>12820</v>
      </c>
      <c r="O5012" s="28" t="s">
        <v>12821</v>
      </c>
      <c r="P5012"/>
      <c r="Q5012"/>
      <c r="R5012"/>
      <c r="S5012"/>
    </row>
    <row r="5013" spans="1:19" x14ac:dyDescent="0.25">
      <c r="A5013" s="27" t="s">
        <v>193</v>
      </c>
      <c r="C5013" s="27" t="s">
        <v>34749</v>
      </c>
      <c r="D5013" s="28" t="s">
        <v>34867</v>
      </c>
      <c r="I5013" s="27" t="str">
        <f t="shared" ref="I5013:I5075" si="8">SUBSTITUTE(LOWER(N5013),"_",",")</f>
        <v>sedaxaan</v>
      </c>
      <c r="N5013" t="s">
        <v>12822</v>
      </c>
      <c r="P5013"/>
      <c r="Q5013"/>
      <c r="R5013"/>
      <c r="S5013"/>
    </row>
    <row r="5014" spans="1:19" x14ac:dyDescent="0.25">
      <c r="A5014" s="27" t="s">
        <v>193</v>
      </c>
      <c r="C5014" s="27" t="s">
        <v>34749</v>
      </c>
      <c r="D5014" s="28" t="s">
        <v>34867</v>
      </c>
      <c r="I5014" s="27" t="str">
        <f t="shared" si="8"/>
        <v>selectief,werk.olie</v>
      </c>
      <c r="N5014" t="s">
        <v>12823</v>
      </c>
      <c r="P5014"/>
      <c r="Q5014"/>
      <c r="R5014"/>
      <c r="S5014"/>
    </row>
    <row r="5015" spans="1:19" x14ac:dyDescent="0.25">
      <c r="A5015" s="27" t="s">
        <v>193</v>
      </c>
      <c r="C5015" s="27" t="s">
        <v>34749</v>
      </c>
      <c r="D5015" s="28" t="s">
        <v>34867</v>
      </c>
      <c r="I5015" s="27" t="str">
        <f t="shared" si="8"/>
        <v>sethoxydim</v>
      </c>
      <c r="N5015" t="s">
        <v>12824</v>
      </c>
      <c r="P5015"/>
      <c r="Q5015"/>
      <c r="R5015"/>
      <c r="S5015"/>
    </row>
    <row r="5016" spans="1:19" x14ac:dyDescent="0.25">
      <c r="A5016" s="27" t="s">
        <v>193</v>
      </c>
      <c r="C5016" s="27" t="s">
        <v>34749</v>
      </c>
      <c r="D5016" s="28" t="s">
        <v>34867</v>
      </c>
      <c r="I5016" s="27" t="str">
        <f t="shared" si="8"/>
        <v>siliconen</v>
      </c>
      <c r="N5016" t="s">
        <v>12825</v>
      </c>
      <c r="P5016"/>
      <c r="Q5016"/>
      <c r="R5016"/>
      <c r="S5016"/>
    </row>
    <row r="5017" spans="1:19" x14ac:dyDescent="0.25">
      <c r="A5017" s="27" t="s">
        <v>193</v>
      </c>
      <c r="C5017" s="27" t="s">
        <v>34749</v>
      </c>
      <c r="D5017" s="28" t="s">
        <v>34867</v>
      </c>
      <c r="I5017" s="27" t="str">
        <f t="shared" si="8"/>
        <v>silthiofam</v>
      </c>
      <c r="N5017" t="s">
        <v>12826</v>
      </c>
      <c r="P5017"/>
      <c r="Q5017"/>
      <c r="R5017"/>
      <c r="S5017"/>
    </row>
    <row r="5018" spans="1:19" x14ac:dyDescent="0.25">
      <c r="A5018" s="27" t="s">
        <v>193</v>
      </c>
      <c r="C5018" s="27" t="s">
        <v>34749</v>
      </c>
      <c r="D5018" s="28" t="s">
        <v>34867</v>
      </c>
      <c r="I5018" s="27" t="str">
        <f t="shared" si="8"/>
        <v>simazin</v>
      </c>
      <c r="N5018" t="s">
        <v>12827</v>
      </c>
      <c r="P5018"/>
      <c r="Q5018"/>
      <c r="R5018"/>
      <c r="S5018"/>
    </row>
    <row r="5019" spans="1:19" x14ac:dyDescent="0.25">
      <c r="A5019" s="27" t="s">
        <v>193</v>
      </c>
      <c r="C5019" s="27" t="s">
        <v>34749</v>
      </c>
      <c r="D5019" s="28" t="s">
        <v>34867</v>
      </c>
      <c r="I5019" s="27" t="str">
        <f t="shared" si="8"/>
        <v>spinosad</v>
      </c>
      <c r="N5019" t="s">
        <v>12828</v>
      </c>
      <c r="O5019" s="28" t="s">
        <v>11812</v>
      </c>
      <c r="P5019"/>
      <c r="Q5019"/>
      <c r="R5019"/>
      <c r="S5019"/>
    </row>
    <row r="5020" spans="1:19" x14ac:dyDescent="0.25">
      <c r="A5020" s="27" t="s">
        <v>193</v>
      </c>
      <c r="C5020" s="27" t="s">
        <v>34749</v>
      </c>
      <c r="D5020" s="28" t="s">
        <v>34867</v>
      </c>
      <c r="I5020" s="27" t="str">
        <f t="shared" si="8"/>
        <v>spirodiclofen</v>
      </c>
      <c r="N5020" t="s">
        <v>12829</v>
      </c>
      <c r="O5020" s="28" t="s">
        <v>11821</v>
      </c>
      <c r="P5020"/>
      <c r="Q5020"/>
      <c r="R5020"/>
      <c r="S5020"/>
    </row>
    <row r="5021" spans="1:19" x14ac:dyDescent="0.25">
      <c r="A5021" s="27" t="s">
        <v>193</v>
      </c>
      <c r="C5021" s="27" t="s">
        <v>34749</v>
      </c>
      <c r="D5021" s="28" t="s">
        <v>34867</v>
      </c>
      <c r="I5021" s="27" t="str">
        <f t="shared" si="8"/>
        <v>spiromesifen</v>
      </c>
      <c r="N5021" t="s">
        <v>12830</v>
      </c>
      <c r="O5021" s="28" t="s">
        <v>11827</v>
      </c>
      <c r="P5021"/>
      <c r="Q5021"/>
      <c r="R5021"/>
      <c r="S5021"/>
    </row>
    <row r="5022" spans="1:19" x14ac:dyDescent="0.25">
      <c r="A5022" s="27" t="s">
        <v>193</v>
      </c>
      <c r="C5022" s="27" t="s">
        <v>34749</v>
      </c>
      <c r="D5022" s="28" t="s">
        <v>34867</v>
      </c>
      <c r="I5022" s="27" t="str">
        <f t="shared" si="8"/>
        <v>spirotetramat</v>
      </c>
      <c r="N5022" t="s">
        <v>12831</v>
      </c>
      <c r="O5022" s="28" t="s">
        <v>11833</v>
      </c>
      <c r="P5022"/>
      <c r="Q5022"/>
      <c r="R5022"/>
      <c r="S5022"/>
    </row>
    <row r="5023" spans="1:19" x14ac:dyDescent="0.25">
      <c r="A5023" s="27" t="s">
        <v>193</v>
      </c>
      <c r="C5023" s="27" t="s">
        <v>34749</v>
      </c>
      <c r="D5023" s="28" t="s">
        <v>34867</v>
      </c>
      <c r="I5023" s="27" t="str">
        <f t="shared" si="8"/>
        <v>spodoptera,exigua,kernpolyedervirus</v>
      </c>
      <c r="N5023" t="s">
        <v>12832</v>
      </c>
      <c r="P5023"/>
      <c r="Q5023"/>
      <c r="R5023"/>
      <c r="S5023"/>
    </row>
    <row r="5024" spans="1:19" x14ac:dyDescent="0.25">
      <c r="A5024" s="27" t="s">
        <v>193</v>
      </c>
      <c r="C5024" s="27" t="s">
        <v>34749</v>
      </c>
      <c r="D5024" s="28" t="s">
        <v>34867</v>
      </c>
      <c r="I5024" s="27" t="str">
        <f t="shared" si="8"/>
        <v>steenkoolteerdest.</v>
      </c>
      <c r="N5024" t="s">
        <v>12833</v>
      </c>
      <c r="P5024"/>
      <c r="Q5024"/>
      <c r="R5024"/>
      <c r="S5024"/>
    </row>
    <row r="5025" spans="1:19" x14ac:dyDescent="0.25">
      <c r="A5025" s="27" t="s">
        <v>193</v>
      </c>
      <c r="C5025" s="27" t="s">
        <v>34749</v>
      </c>
      <c r="D5025" s="28" t="s">
        <v>34867</v>
      </c>
      <c r="I5025" s="27" t="str">
        <f t="shared" si="8"/>
        <v>streptomycine</v>
      </c>
      <c r="N5025" t="s">
        <v>12834</v>
      </c>
      <c r="P5025"/>
      <c r="Q5025"/>
      <c r="R5025"/>
      <c r="S5025"/>
    </row>
    <row r="5026" spans="1:19" x14ac:dyDescent="0.25">
      <c r="A5026" s="27" t="s">
        <v>193</v>
      </c>
      <c r="C5026" s="27" t="s">
        <v>34749</v>
      </c>
      <c r="D5026" s="28" t="s">
        <v>34867</v>
      </c>
      <c r="I5026" s="27" t="str">
        <f t="shared" si="8"/>
        <v>streptomycine(,sulfaat)</v>
      </c>
      <c r="N5026" t="s">
        <v>12835</v>
      </c>
      <c r="P5026"/>
      <c r="Q5026"/>
      <c r="R5026"/>
      <c r="S5026"/>
    </row>
    <row r="5027" spans="1:19" x14ac:dyDescent="0.25">
      <c r="A5027" s="27" t="s">
        <v>193</v>
      </c>
      <c r="C5027" s="27" t="s">
        <v>34749</v>
      </c>
      <c r="D5027" s="28" t="s">
        <v>34867</v>
      </c>
      <c r="I5027" s="27" t="str">
        <f t="shared" si="8"/>
        <v>streptomycis,griseoviridis</v>
      </c>
      <c r="N5027" t="s">
        <v>12836</v>
      </c>
      <c r="P5027"/>
      <c r="Q5027"/>
      <c r="R5027"/>
      <c r="S5027"/>
    </row>
    <row r="5028" spans="1:19" x14ac:dyDescent="0.25">
      <c r="A5028" s="27" t="s">
        <v>193</v>
      </c>
      <c r="C5028" s="27" t="s">
        <v>34749</v>
      </c>
      <c r="D5028" s="28" t="s">
        <v>34867</v>
      </c>
      <c r="I5028" s="27" t="str">
        <f t="shared" si="8"/>
        <v>strychnine</v>
      </c>
      <c r="N5028" t="s">
        <v>12837</v>
      </c>
      <c r="P5028"/>
      <c r="Q5028"/>
      <c r="R5028"/>
      <c r="S5028"/>
    </row>
    <row r="5029" spans="1:19" x14ac:dyDescent="0.25">
      <c r="A5029" s="27" t="s">
        <v>193</v>
      </c>
      <c r="C5029" s="27" t="s">
        <v>34749</v>
      </c>
      <c r="D5029" s="28" t="s">
        <v>34867</v>
      </c>
      <c r="I5029" s="27" t="str">
        <f t="shared" si="8"/>
        <v>sulcotrion</v>
      </c>
      <c r="N5029" t="s">
        <v>12838</v>
      </c>
      <c r="O5029" s="28" t="s">
        <v>11874</v>
      </c>
      <c r="P5029"/>
      <c r="Q5029"/>
      <c r="R5029"/>
      <c r="S5029"/>
    </row>
    <row r="5030" spans="1:19" x14ac:dyDescent="0.25">
      <c r="A5030" s="27" t="s">
        <v>193</v>
      </c>
      <c r="C5030" s="27" t="s">
        <v>34749</v>
      </c>
      <c r="D5030" s="28" t="s">
        <v>34867</v>
      </c>
      <c r="I5030" s="27" t="str">
        <f t="shared" si="8"/>
        <v>sulfotep</v>
      </c>
      <c r="N5030" t="s">
        <v>12839</v>
      </c>
      <c r="P5030"/>
      <c r="Q5030"/>
      <c r="R5030"/>
      <c r="S5030"/>
    </row>
    <row r="5031" spans="1:19" x14ac:dyDescent="0.25">
      <c r="A5031" s="27" t="s">
        <v>193</v>
      </c>
      <c r="C5031" s="27" t="s">
        <v>34749</v>
      </c>
      <c r="D5031" s="28" t="s">
        <v>34867</v>
      </c>
      <c r="I5031" s="27" t="str">
        <f t="shared" si="8"/>
        <v>sulfoxaflor</v>
      </c>
      <c r="N5031" t="s">
        <v>12840</v>
      </c>
      <c r="P5031"/>
      <c r="Q5031"/>
      <c r="R5031"/>
      <c r="S5031"/>
    </row>
    <row r="5032" spans="1:19" x14ac:dyDescent="0.25">
      <c r="A5032" s="27" t="s">
        <v>193</v>
      </c>
      <c r="C5032" s="27" t="s">
        <v>34749</v>
      </c>
      <c r="D5032" s="28" t="s">
        <v>34867</v>
      </c>
      <c r="I5032" s="27" t="str">
        <f t="shared" si="8"/>
        <v>sulfurylfluoride</v>
      </c>
      <c r="N5032" t="s">
        <v>12841</v>
      </c>
      <c r="P5032"/>
      <c r="Q5032"/>
      <c r="R5032"/>
      <c r="S5032"/>
    </row>
    <row r="5033" spans="1:19" x14ac:dyDescent="0.25">
      <c r="A5033" s="27" t="s">
        <v>193</v>
      </c>
      <c r="I5033" s="27" t="s">
        <v>34854</v>
      </c>
      <c r="N5033" t="s">
        <v>12842</v>
      </c>
      <c r="P5033"/>
      <c r="Q5033"/>
      <c r="R5033"/>
      <c r="S5033"/>
    </row>
    <row r="5034" spans="1:19" x14ac:dyDescent="0.25">
      <c r="A5034" s="27" t="s">
        <v>193</v>
      </c>
      <c r="C5034" s="27" t="s">
        <v>34749</v>
      </c>
      <c r="D5034" s="28" t="s">
        <v>34867</v>
      </c>
      <c r="I5034" s="27" t="str">
        <f t="shared" si="8"/>
        <v>tca</v>
      </c>
      <c r="N5034" t="s">
        <v>12843</v>
      </c>
      <c r="P5034"/>
      <c r="Q5034"/>
      <c r="R5034"/>
      <c r="S5034"/>
    </row>
    <row r="5035" spans="1:19" x14ac:dyDescent="0.25">
      <c r="A5035" s="27" t="s">
        <v>193</v>
      </c>
      <c r="C5035" s="27" t="s">
        <v>34749</v>
      </c>
      <c r="D5035" s="28" t="s">
        <v>34867</v>
      </c>
      <c r="I5035" s="27" t="str">
        <f t="shared" si="8"/>
        <v>tebuconazool</v>
      </c>
      <c r="N5035" t="s">
        <v>12844</v>
      </c>
      <c r="O5035" s="28" t="s">
        <v>11982</v>
      </c>
      <c r="P5035"/>
      <c r="Q5035"/>
      <c r="R5035"/>
      <c r="S5035"/>
    </row>
    <row r="5036" spans="1:19" x14ac:dyDescent="0.25">
      <c r="A5036" s="27" t="s">
        <v>193</v>
      </c>
      <c r="C5036" s="27" t="s">
        <v>34749</v>
      </c>
      <c r="D5036" s="28" t="s">
        <v>34867</v>
      </c>
      <c r="I5036" s="27" t="str">
        <f t="shared" si="8"/>
        <v>tebufenpyrad</v>
      </c>
      <c r="N5036" t="s">
        <v>12845</v>
      </c>
      <c r="O5036" s="28" t="s">
        <v>11988</v>
      </c>
      <c r="P5036"/>
      <c r="Q5036"/>
      <c r="R5036"/>
      <c r="S5036"/>
    </row>
    <row r="5037" spans="1:19" x14ac:dyDescent="0.25">
      <c r="A5037" s="27" t="s">
        <v>193</v>
      </c>
      <c r="C5037" s="27" t="s">
        <v>34749</v>
      </c>
      <c r="D5037" s="28" t="s">
        <v>34867</v>
      </c>
      <c r="I5037" s="27" t="str">
        <f t="shared" si="8"/>
        <v>teerolie</v>
      </c>
      <c r="N5037" t="s">
        <v>12846</v>
      </c>
      <c r="P5037"/>
      <c r="Q5037"/>
      <c r="R5037"/>
      <c r="S5037"/>
    </row>
    <row r="5038" spans="1:19" x14ac:dyDescent="0.25">
      <c r="A5038" s="27" t="s">
        <v>193</v>
      </c>
      <c r="C5038" s="27" t="s">
        <v>34749</v>
      </c>
      <c r="D5038" s="28" t="s">
        <v>34867</v>
      </c>
      <c r="I5038" s="27" t="str">
        <f t="shared" si="8"/>
        <v>teflubenzuron</v>
      </c>
      <c r="N5038" t="s">
        <v>12847</v>
      </c>
      <c r="O5038" s="28" t="s">
        <v>12006</v>
      </c>
      <c r="P5038"/>
      <c r="Q5038"/>
      <c r="R5038"/>
      <c r="S5038"/>
    </row>
    <row r="5039" spans="1:19" x14ac:dyDescent="0.25">
      <c r="A5039" s="27" t="s">
        <v>193</v>
      </c>
      <c r="C5039" s="27" t="s">
        <v>34749</v>
      </c>
      <c r="D5039" s="28" t="s">
        <v>34867</v>
      </c>
      <c r="I5039" s="27" t="str">
        <f t="shared" si="8"/>
        <v>tefluthrin</v>
      </c>
      <c r="N5039" t="s">
        <v>12848</v>
      </c>
      <c r="P5039"/>
      <c r="Q5039"/>
      <c r="R5039"/>
      <c r="S5039"/>
    </row>
    <row r="5040" spans="1:19" x14ac:dyDescent="0.25">
      <c r="A5040" s="27" t="s">
        <v>193</v>
      </c>
      <c r="C5040" s="27" t="s">
        <v>34749</v>
      </c>
      <c r="D5040" s="28" t="s">
        <v>34867</v>
      </c>
      <c r="I5040" s="27" t="str">
        <f t="shared" si="8"/>
        <v>tembotrione</v>
      </c>
      <c r="N5040" t="s">
        <v>12849</v>
      </c>
      <c r="O5040" s="28" t="s">
        <v>12018</v>
      </c>
      <c r="P5040"/>
      <c r="Q5040"/>
      <c r="R5040"/>
      <c r="S5040"/>
    </row>
    <row r="5041" spans="1:19" x14ac:dyDescent="0.25">
      <c r="A5041" s="27" t="s">
        <v>193</v>
      </c>
      <c r="C5041" s="27" t="s">
        <v>34749</v>
      </c>
      <c r="D5041" s="28" t="s">
        <v>34867</v>
      </c>
      <c r="I5041" s="27" t="str">
        <f t="shared" si="8"/>
        <v>temefos</v>
      </c>
      <c r="N5041" t="s">
        <v>12850</v>
      </c>
      <c r="P5041"/>
      <c r="Q5041"/>
      <c r="R5041"/>
      <c r="S5041"/>
    </row>
    <row r="5042" spans="1:19" x14ac:dyDescent="0.25">
      <c r="A5042" s="27" t="s">
        <v>193</v>
      </c>
      <c r="C5042" s="27" t="s">
        <v>34749</v>
      </c>
      <c r="D5042" s="28" t="s">
        <v>34867</v>
      </c>
      <c r="I5042" s="27" t="str">
        <f t="shared" si="8"/>
        <v>tepraloxydim</v>
      </c>
      <c r="N5042" t="s">
        <v>12851</v>
      </c>
      <c r="O5042" s="28" t="s">
        <v>12027</v>
      </c>
      <c r="P5042"/>
      <c r="Q5042"/>
      <c r="R5042"/>
      <c r="S5042"/>
    </row>
    <row r="5043" spans="1:19" x14ac:dyDescent="0.25">
      <c r="A5043" s="27" t="s">
        <v>193</v>
      </c>
      <c r="C5043" s="27" t="s">
        <v>34749</v>
      </c>
      <c r="D5043" s="28" t="s">
        <v>34867</v>
      </c>
      <c r="I5043" s="27" t="str">
        <f t="shared" si="8"/>
        <v>terbufos</v>
      </c>
      <c r="N5043" t="s">
        <v>12852</v>
      </c>
      <c r="P5043"/>
      <c r="Q5043"/>
      <c r="R5043"/>
      <c r="S5043"/>
    </row>
    <row r="5044" spans="1:19" x14ac:dyDescent="0.25">
      <c r="A5044" s="27" t="s">
        <v>193</v>
      </c>
      <c r="C5044" s="27" t="s">
        <v>34749</v>
      </c>
      <c r="D5044" s="28" t="s">
        <v>34867</v>
      </c>
      <c r="I5044" s="27" t="str">
        <f t="shared" si="8"/>
        <v>terbutryn</v>
      </c>
      <c r="N5044" t="s">
        <v>12853</v>
      </c>
      <c r="P5044"/>
      <c r="Q5044"/>
      <c r="R5044"/>
      <c r="S5044"/>
    </row>
    <row r="5045" spans="1:19" x14ac:dyDescent="0.25">
      <c r="A5045" s="27" t="s">
        <v>193</v>
      </c>
      <c r="C5045" s="27" t="s">
        <v>34749</v>
      </c>
      <c r="D5045" s="28" t="s">
        <v>34867</v>
      </c>
      <c r="I5045" s="27" t="str">
        <f t="shared" si="8"/>
        <v>terbutylazin</v>
      </c>
      <c r="N5045" t="s">
        <v>12854</v>
      </c>
      <c r="O5045" s="28" t="s">
        <v>12030</v>
      </c>
      <c r="P5045"/>
      <c r="Q5045"/>
      <c r="R5045"/>
      <c r="S5045"/>
    </row>
    <row r="5046" spans="1:19" x14ac:dyDescent="0.25">
      <c r="A5046" s="27" t="s">
        <v>193</v>
      </c>
      <c r="C5046" s="27" t="s">
        <v>34749</v>
      </c>
      <c r="D5046" s="28" t="s">
        <v>34867</v>
      </c>
      <c r="I5046" s="27" t="str">
        <f t="shared" si="8"/>
        <v>tertradecanol</v>
      </c>
      <c r="N5046" t="s">
        <v>12855</v>
      </c>
      <c r="P5046"/>
      <c r="Q5046"/>
      <c r="R5046"/>
      <c r="S5046"/>
    </row>
    <row r="5047" spans="1:19" x14ac:dyDescent="0.25">
      <c r="A5047" s="27" t="s">
        <v>193</v>
      </c>
      <c r="C5047" s="27" t="s">
        <v>34749</v>
      </c>
      <c r="D5047" s="28" t="s">
        <v>34867</v>
      </c>
      <c r="I5047" s="27" t="str">
        <f t="shared" si="8"/>
        <v>tetrachloorvinfos</v>
      </c>
      <c r="N5047" t="s">
        <v>12856</v>
      </c>
      <c r="P5047"/>
      <c r="Q5047"/>
      <c r="R5047"/>
      <c r="S5047"/>
    </row>
    <row r="5048" spans="1:19" x14ac:dyDescent="0.25">
      <c r="A5048" s="27" t="s">
        <v>193</v>
      </c>
      <c r="C5048" s="27" t="s">
        <v>34749</v>
      </c>
      <c r="D5048" s="28" t="s">
        <v>34867</v>
      </c>
      <c r="I5048" s="27" t="str">
        <f t="shared" si="8"/>
        <v>tetradecanol</v>
      </c>
      <c r="N5048" t="s">
        <v>12857</v>
      </c>
      <c r="P5048"/>
      <c r="Q5048"/>
      <c r="R5048"/>
      <c r="S5048"/>
    </row>
    <row r="5049" spans="1:19" x14ac:dyDescent="0.25">
      <c r="A5049" s="27" t="s">
        <v>193</v>
      </c>
      <c r="C5049" s="27" t="s">
        <v>34749</v>
      </c>
      <c r="D5049" s="28" t="s">
        <v>34867</v>
      </c>
      <c r="I5049" s="27" t="str">
        <f t="shared" si="8"/>
        <v>tetramethrin</v>
      </c>
      <c r="N5049" t="s">
        <v>12858</v>
      </c>
      <c r="P5049"/>
      <c r="Q5049"/>
      <c r="R5049"/>
      <c r="S5049"/>
    </row>
    <row r="5050" spans="1:19" x14ac:dyDescent="0.25">
      <c r="A5050" s="27" t="s">
        <v>193</v>
      </c>
      <c r="C5050" s="27" t="s">
        <v>34749</v>
      </c>
      <c r="D5050" s="28" t="s">
        <v>34867</v>
      </c>
      <c r="I5050" s="27" t="str">
        <f t="shared" si="8"/>
        <v>thiabendazool</v>
      </c>
      <c r="N5050" t="s">
        <v>12859</v>
      </c>
      <c r="O5050" s="28" t="s">
        <v>11970</v>
      </c>
      <c r="P5050"/>
      <c r="Q5050"/>
      <c r="R5050"/>
      <c r="S5050"/>
    </row>
    <row r="5051" spans="1:19" x14ac:dyDescent="0.25">
      <c r="A5051" s="27" t="s">
        <v>193</v>
      </c>
      <c r="C5051" s="27" t="s">
        <v>34749</v>
      </c>
      <c r="D5051" s="28" t="s">
        <v>34867</v>
      </c>
      <c r="I5051" s="27" t="str">
        <f t="shared" si="8"/>
        <v>thiacloprid</v>
      </c>
      <c r="N5051" t="s">
        <v>12860</v>
      </c>
      <c r="O5051" s="28" t="s">
        <v>12084</v>
      </c>
      <c r="P5051"/>
      <c r="Q5051"/>
      <c r="R5051"/>
      <c r="S5051"/>
    </row>
    <row r="5052" spans="1:19" x14ac:dyDescent="0.25">
      <c r="A5052" s="27" t="s">
        <v>193</v>
      </c>
      <c r="C5052" s="27" t="s">
        <v>34749</v>
      </c>
      <c r="D5052" s="28" t="s">
        <v>34867</v>
      </c>
      <c r="I5052" s="27" t="str">
        <f t="shared" si="8"/>
        <v>thiamethoxam</v>
      </c>
      <c r="N5052" t="s">
        <v>12861</v>
      </c>
      <c r="O5052" s="28" t="s">
        <v>12087</v>
      </c>
      <c r="P5052"/>
      <c r="Q5052"/>
      <c r="R5052"/>
      <c r="S5052"/>
    </row>
    <row r="5053" spans="1:19" x14ac:dyDescent="0.25">
      <c r="A5053" s="27" t="s">
        <v>193</v>
      </c>
      <c r="C5053" s="27" t="s">
        <v>34749</v>
      </c>
      <c r="D5053" s="28" t="s">
        <v>34867</v>
      </c>
      <c r="I5053" s="27" t="str">
        <f t="shared" si="8"/>
        <v>thiencarbazon,methyl</v>
      </c>
      <c r="N5053" t="s">
        <v>12862</v>
      </c>
      <c r="O5053" s="28" t="s">
        <v>12003</v>
      </c>
      <c r="P5053"/>
      <c r="Q5053"/>
      <c r="R5053"/>
      <c r="S5053"/>
    </row>
    <row r="5054" spans="1:19" x14ac:dyDescent="0.25">
      <c r="A5054" s="27" t="s">
        <v>193</v>
      </c>
      <c r="C5054" s="27" t="s">
        <v>34749</v>
      </c>
      <c r="D5054" s="28" t="s">
        <v>34867</v>
      </c>
      <c r="I5054" s="27" t="str">
        <f t="shared" si="8"/>
        <v>thifensulfuron,methyl</v>
      </c>
      <c r="N5054" t="s">
        <v>12863</v>
      </c>
      <c r="P5054"/>
      <c r="Q5054"/>
      <c r="R5054"/>
      <c r="S5054"/>
    </row>
    <row r="5055" spans="1:19" x14ac:dyDescent="0.25">
      <c r="A5055" s="27" t="s">
        <v>193</v>
      </c>
      <c r="C5055" s="27" t="s">
        <v>34749</v>
      </c>
      <c r="D5055" s="28" t="s">
        <v>34867</v>
      </c>
      <c r="I5055" s="27" t="str">
        <f t="shared" si="8"/>
        <v>thiocyclamhydro.oxal.</v>
      </c>
      <c r="N5055" t="s">
        <v>12864</v>
      </c>
      <c r="P5055"/>
      <c r="Q5055"/>
      <c r="R5055"/>
      <c r="S5055"/>
    </row>
    <row r="5056" spans="1:19" x14ac:dyDescent="0.25">
      <c r="A5056" s="27" t="s">
        <v>193</v>
      </c>
      <c r="C5056" s="27" t="s">
        <v>34749</v>
      </c>
      <c r="D5056" s="28" t="s">
        <v>34867</v>
      </c>
      <c r="I5056" s="27" t="str">
        <f t="shared" si="8"/>
        <v>thiodicarb</v>
      </c>
      <c r="N5056" t="s">
        <v>12865</v>
      </c>
      <c r="P5056"/>
      <c r="Q5056"/>
      <c r="R5056"/>
      <c r="S5056"/>
    </row>
    <row r="5057" spans="1:19" x14ac:dyDescent="0.25">
      <c r="A5057" s="27" t="s">
        <v>193</v>
      </c>
      <c r="C5057" s="27" t="s">
        <v>34749</v>
      </c>
      <c r="D5057" s="28" t="s">
        <v>34867</v>
      </c>
      <c r="I5057" s="27" t="str">
        <f t="shared" si="8"/>
        <v>thiofanaat,methyl</v>
      </c>
      <c r="N5057" t="s">
        <v>12866</v>
      </c>
      <c r="O5057" s="28" t="s">
        <v>12128</v>
      </c>
      <c r="P5057"/>
      <c r="Q5057"/>
      <c r="R5057"/>
      <c r="S5057"/>
    </row>
    <row r="5058" spans="1:19" x14ac:dyDescent="0.25">
      <c r="A5058" s="27" t="s">
        <v>193</v>
      </c>
      <c r="C5058" s="27" t="s">
        <v>34749</v>
      </c>
      <c r="D5058" s="28" t="s">
        <v>34867</v>
      </c>
      <c r="I5058" s="27" t="str">
        <f t="shared" si="8"/>
        <v>thiofanox</v>
      </c>
      <c r="N5058" t="s">
        <v>12867</v>
      </c>
      <c r="P5058"/>
      <c r="Q5058"/>
      <c r="R5058"/>
      <c r="S5058"/>
    </row>
    <row r="5059" spans="1:19" x14ac:dyDescent="0.25">
      <c r="A5059" s="27" t="s">
        <v>193</v>
      </c>
      <c r="C5059" s="27" t="s">
        <v>34749</v>
      </c>
      <c r="D5059" s="28" t="s">
        <v>34867</v>
      </c>
      <c r="I5059" s="27" t="str">
        <f t="shared" si="8"/>
        <v>thiometon</v>
      </c>
      <c r="N5059" t="s">
        <v>12868</v>
      </c>
      <c r="P5059"/>
      <c r="Q5059"/>
      <c r="R5059"/>
      <c r="S5059"/>
    </row>
    <row r="5060" spans="1:19" x14ac:dyDescent="0.25">
      <c r="A5060" s="27" t="s">
        <v>193</v>
      </c>
      <c r="C5060" s="27" t="s">
        <v>34749</v>
      </c>
      <c r="D5060" s="28" t="s">
        <v>34867</v>
      </c>
      <c r="I5060" s="27" t="str">
        <f t="shared" si="8"/>
        <v>thiram</v>
      </c>
      <c r="N5060" t="s">
        <v>12869</v>
      </c>
      <c r="O5060" s="28" t="s">
        <v>12099</v>
      </c>
      <c r="P5060"/>
      <c r="Q5060"/>
      <c r="R5060"/>
      <c r="S5060"/>
    </row>
    <row r="5061" spans="1:19" x14ac:dyDescent="0.25">
      <c r="A5061" s="27" t="s">
        <v>193</v>
      </c>
      <c r="C5061" s="27" t="s">
        <v>34749</v>
      </c>
      <c r="D5061" s="28" t="s">
        <v>34867</v>
      </c>
      <c r="I5061" s="27" t="str">
        <f t="shared" si="8"/>
        <v>tolclofos,methyl</v>
      </c>
      <c r="N5061" t="s">
        <v>12870</v>
      </c>
      <c r="O5061" s="28" t="s">
        <v>12146</v>
      </c>
      <c r="P5061"/>
      <c r="Q5061"/>
      <c r="R5061"/>
      <c r="S5061"/>
    </row>
    <row r="5062" spans="1:19" x14ac:dyDescent="0.25">
      <c r="A5062" s="27" t="s">
        <v>193</v>
      </c>
      <c r="C5062" s="27" t="s">
        <v>34749</v>
      </c>
      <c r="D5062" s="28" t="s">
        <v>34867</v>
      </c>
      <c r="I5062" s="27" t="str">
        <f t="shared" si="8"/>
        <v>tolylfluanide</v>
      </c>
      <c r="N5062" t="s">
        <v>12871</v>
      </c>
      <c r="P5062"/>
      <c r="Q5062"/>
      <c r="R5062"/>
      <c r="S5062"/>
    </row>
    <row r="5063" spans="1:19" x14ac:dyDescent="0.25">
      <c r="A5063" s="27" t="s">
        <v>193</v>
      </c>
      <c r="C5063" s="27" t="s">
        <v>34749</v>
      </c>
      <c r="D5063" s="28" t="s">
        <v>34867</v>
      </c>
      <c r="I5063" s="27" t="str">
        <f t="shared" si="8"/>
        <v>topramezone</v>
      </c>
      <c r="N5063" t="s">
        <v>12872</v>
      </c>
      <c r="O5063" s="28" t="s">
        <v>12158</v>
      </c>
      <c r="P5063"/>
      <c r="Q5063"/>
      <c r="R5063"/>
      <c r="S5063"/>
    </row>
    <row r="5064" spans="1:19" x14ac:dyDescent="0.25">
      <c r="A5064" s="27" t="s">
        <v>193</v>
      </c>
      <c r="C5064" s="27" t="s">
        <v>34749</v>
      </c>
      <c r="D5064" s="28" t="s">
        <v>34867</v>
      </c>
      <c r="I5064" s="27" t="str">
        <f t="shared" si="8"/>
        <v>tri,allaat</v>
      </c>
      <c r="N5064" t="s">
        <v>12873</v>
      </c>
      <c r="O5064" s="28" t="s">
        <v>7651</v>
      </c>
      <c r="P5064"/>
      <c r="Q5064"/>
      <c r="R5064"/>
      <c r="S5064"/>
    </row>
    <row r="5065" spans="1:19" x14ac:dyDescent="0.25">
      <c r="A5065" s="27" t="s">
        <v>193</v>
      </c>
      <c r="C5065" s="27" t="s">
        <v>34749</v>
      </c>
      <c r="D5065" s="28" t="s">
        <v>34867</v>
      </c>
      <c r="I5065" s="27" t="str">
        <f t="shared" si="8"/>
        <v>triadimefon</v>
      </c>
      <c r="N5065" t="s">
        <v>12874</v>
      </c>
      <c r="P5065"/>
      <c r="Q5065"/>
      <c r="R5065"/>
      <c r="S5065"/>
    </row>
    <row r="5066" spans="1:19" x14ac:dyDescent="0.25">
      <c r="A5066" s="27" t="s">
        <v>193</v>
      </c>
      <c r="C5066" s="27" t="s">
        <v>34749</v>
      </c>
      <c r="D5066" s="28" t="s">
        <v>34867</v>
      </c>
      <c r="I5066" s="27" t="str">
        <f t="shared" si="8"/>
        <v>triadimenol</v>
      </c>
      <c r="N5066" t="s">
        <v>12875</v>
      </c>
      <c r="O5066" s="28" t="s">
        <v>7648</v>
      </c>
      <c r="P5066"/>
      <c r="Q5066"/>
      <c r="R5066"/>
      <c r="S5066"/>
    </row>
    <row r="5067" spans="1:19" x14ac:dyDescent="0.25">
      <c r="A5067" s="27" t="s">
        <v>193</v>
      </c>
      <c r="C5067" s="27" t="s">
        <v>34749</v>
      </c>
      <c r="D5067" s="28" t="s">
        <v>34867</v>
      </c>
      <c r="I5067" s="27" t="str">
        <f t="shared" si="8"/>
        <v>triazamaat</v>
      </c>
      <c r="N5067" t="s">
        <v>12876</v>
      </c>
      <c r="P5067"/>
      <c r="Q5067"/>
      <c r="R5067"/>
      <c r="S5067"/>
    </row>
    <row r="5068" spans="1:19" x14ac:dyDescent="0.25">
      <c r="A5068" s="27" t="s">
        <v>193</v>
      </c>
      <c r="C5068" s="27" t="s">
        <v>34749</v>
      </c>
      <c r="D5068" s="28" t="s">
        <v>34867</v>
      </c>
      <c r="I5068" s="27" t="str">
        <f t="shared" si="8"/>
        <v>triazofos</v>
      </c>
      <c r="N5068" t="s">
        <v>12877</v>
      </c>
      <c r="P5068"/>
      <c r="Q5068"/>
      <c r="R5068"/>
      <c r="S5068"/>
    </row>
    <row r="5069" spans="1:19" x14ac:dyDescent="0.25">
      <c r="A5069" s="27" t="s">
        <v>193</v>
      </c>
      <c r="C5069" s="27" t="s">
        <v>34749</v>
      </c>
      <c r="D5069" s="28" t="s">
        <v>34867</v>
      </c>
      <c r="I5069" s="27" t="str">
        <f t="shared" si="8"/>
        <v>tribenuron,methyl</v>
      </c>
      <c r="N5069" t="s">
        <v>12878</v>
      </c>
      <c r="O5069" s="28" t="s">
        <v>7681</v>
      </c>
      <c r="P5069"/>
      <c r="Q5069"/>
      <c r="R5069"/>
      <c r="S5069"/>
    </row>
    <row r="5070" spans="1:19" x14ac:dyDescent="0.25">
      <c r="A5070" s="27" t="s">
        <v>193</v>
      </c>
      <c r="C5070" s="27" t="s">
        <v>34749</v>
      </c>
      <c r="D5070" s="28" t="s">
        <v>34867</v>
      </c>
      <c r="I5070" s="27" t="str">
        <f t="shared" si="8"/>
        <v>trichloorfon</v>
      </c>
      <c r="N5070" t="s">
        <v>12879</v>
      </c>
      <c r="P5070"/>
      <c r="Q5070"/>
      <c r="R5070"/>
      <c r="S5070"/>
    </row>
    <row r="5071" spans="1:19" x14ac:dyDescent="0.25">
      <c r="A5071" s="27" t="s">
        <v>193</v>
      </c>
      <c r="C5071" s="27" t="s">
        <v>34749</v>
      </c>
      <c r="D5071" s="28" t="s">
        <v>34867</v>
      </c>
      <c r="I5071" s="27" t="str">
        <f t="shared" si="8"/>
        <v>trichloronaat</v>
      </c>
      <c r="N5071" t="s">
        <v>12880</v>
      </c>
      <c r="P5071"/>
      <c r="Q5071"/>
      <c r="R5071"/>
      <c r="S5071"/>
    </row>
    <row r="5072" spans="1:19" x14ac:dyDescent="0.25">
      <c r="A5072" s="27" t="s">
        <v>193</v>
      </c>
      <c r="C5072" s="27" t="s">
        <v>34749</v>
      </c>
      <c r="D5072" s="28" t="s">
        <v>34867</v>
      </c>
      <c r="I5072" s="27" t="str">
        <f t="shared" si="8"/>
        <v>triclopyr</v>
      </c>
      <c r="N5072" t="s">
        <v>12881</v>
      </c>
      <c r="O5072" s="28" t="s">
        <v>7716</v>
      </c>
      <c r="P5072"/>
      <c r="Q5072"/>
      <c r="R5072"/>
      <c r="S5072"/>
    </row>
    <row r="5073" spans="1:19" x14ac:dyDescent="0.25">
      <c r="A5073" s="27" t="s">
        <v>193</v>
      </c>
      <c r="C5073" s="27" t="s">
        <v>34749</v>
      </c>
      <c r="D5073" s="28" t="s">
        <v>34867</v>
      </c>
      <c r="I5073" s="27" t="str">
        <f t="shared" si="8"/>
        <v>tridemorf</v>
      </c>
      <c r="N5073" t="s">
        <v>12882</v>
      </c>
      <c r="P5073"/>
      <c r="Q5073"/>
      <c r="R5073"/>
      <c r="S5073"/>
    </row>
    <row r="5074" spans="1:19" x14ac:dyDescent="0.25">
      <c r="A5074" s="27" t="s">
        <v>193</v>
      </c>
      <c r="C5074" s="27" t="s">
        <v>34749</v>
      </c>
      <c r="D5074" s="28" t="s">
        <v>34867</v>
      </c>
      <c r="I5074" s="27" t="str">
        <f t="shared" si="8"/>
        <v>trifloxystrobin</v>
      </c>
      <c r="N5074" t="s">
        <v>12883</v>
      </c>
      <c r="P5074"/>
      <c r="Q5074"/>
      <c r="R5074"/>
      <c r="S5074"/>
    </row>
    <row r="5075" spans="1:19" x14ac:dyDescent="0.25">
      <c r="A5075" s="27" t="s">
        <v>193</v>
      </c>
      <c r="C5075" s="27" t="s">
        <v>34749</v>
      </c>
      <c r="D5075" s="28" t="s">
        <v>34867</v>
      </c>
      <c r="I5075" s="27" t="str">
        <f t="shared" si="8"/>
        <v>trifloxystrobine</v>
      </c>
      <c r="N5075" t="s">
        <v>12884</v>
      </c>
      <c r="O5075" s="28" t="s">
        <v>7768</v>
      </c>
      <c r="P5075"/>
      <c r="Q5075"/>
      <c r="R5075"/>
      <c r="S5075"/>
    </row>
    <row r="5076" spans="1:19" x14ac:dyDescent="0.25">
      <c r="A5076" s="27" t="s">
        <v>193</v>
      </c>
      <c r="C5076" s="27" t="s">
        <v>34749</v>
      </c>
      <c r="D5076" s="28" t="s">
        <v>34867</v>
      </c>
      <c r="I5076" s="27" t="str">
        <f t="shared" ref="I5076:I5095" si="9">SUBSTITUTE(LOWER(N5076),"_",",")</f>
        <v>triflumizool</v>
      </c>
      <c r="N5076" t="s">
        <v>12885</v>
      </c>
      <c r="O5076" s="28" t="s">
        <v>12886</v>
      </c>
      <c r="P5076"/>
      <c r="Q5076"/>
      <c r="R5076"/>
      <c r="S5076"/>
    </row>
    <row r="5077" spans="1:19" x14ac:dyDescent="0.25">
      <c r="A5077" s="27" t="s">
        <v>193</v>
      </c>
      <c r="C5077" s="27" t="s">
        <v>34749</v>
      </c>
      <c r="D5077" s="28" t="s">
        <v>34867</v>
      </c>
      <c r="I5077" s="27" t="str">
        <f t="shared" si="9"/>
        <v>trifluralin</v>
      </c>
      <c r="N5077" t="s">
        <v>12887</v>
      </c>
      <c r="P5077"/>
      <c r="Q5077"/>
      <c r="R5077"/>
      <c r="S5077"/>
    </row>
    <row r="5078" spans="1:19" x14ac:dyDescent="0.25">
      <c r="A5078" s="27" t="s">
        <v>193</v>
      </c>
      <c r="C5078" s="27" t="s">
        <v>34749</v>
      </c>
      <c r="D5078" s="28" t="s">
        <v>34867</v>
      </c>
      <c r="I5078" s="27" t="str">
        <f t="shared" si="9"/>
        <v>triflusulfuron,methyl</v>
      </c>
      <c r="N5078" t="s">
        <v>12888</v>
      </c>
      <c r="O5078" s="28" t="s">
        <v>7765</v>
      </c>
      <c r="P5078"/>
      <c r="Q5078"/>
      <c r="R5078"/>
      <c r="S5078"/>
    </row>
    <row r="5079" spans="1:19" x14ac:dyDescent="0.25">
      <c r="A5079" s="27" t="s">
        <v>193</v>
      </c>
      <c r="C5079" s="27" t="s">
        <v>34749</v>
      </c>
      <c r="D5079" s="28" t="s">
        <v>34867</v>
      </c>
      <c r="I5079" s="27" t="str">
        <f t="shared" si="9"/>
        <v>triforine</v>
      </c>
      <c r="N5079" t="s">
        <v>12889</v>
      </c>
      <c r="P5079"/>
      <c r="Q5079"/>
      <c r="R5079"/>
      <c r="S5079"/>
    </row>
    <row r="5080" spans="1:19" x14ac:dyDescent="0.25">
      <c r="A5080" s="27" t="s">
        <v>193</v>
      </c>
      <c r="C5080" s="27" t="s">
        <v>34749</v>
      </c>
      <c r="D5080" s="28" t="s">
        <v>34867</v>
      </c>
      <c r="I5080" s="27" t="str">
        <f t="shared" si="9"/>
        <v>trinexapac,ethyl</v>
      </c>
      <c r="N5080" t="s">
        <v>12890</v>
      </c>
      <c r="O5080" s="28" t="s">
        <v>7841</v>
      </c>
      <c r="P5080"/>
      <c r="Q5080"/>
      <c r="R5080"/>
      <c r="S5080"/>
    </row>
    <row r="5081" spans="1:19" x14ac:dyDescent="0.25">
      <c r="A5081" s="27" t="s">
        <v>193</v>
      </c>
      <c r="C5081" s="27" t="s">
        <v>34749</v>
      </c>
      <c r="D5081" s="28" t="s">
        <v>34867</v>
      </c>
      <c r="I5081" s="27" t="str">
        <f t="shared" si="9"/>
        <v>trioxymethyleen</v>
      </c>
      <c r="N5081" t="s">
        <v>12891</v>
      </c>
      <c r="P5081"/>
      <c r="Q5081"/>
      <c r="R5081"/>
      <c r="S5081"/>
    </row>
    <row r="5082" spans="1:19" x14ac:dyDescent="0.25">
      <c r="A5082" s="27" t="s">
        <v>193</v>
      </c>
      <c r="C5082" s="27" t="s">
        <v>34749</v>
      </c>
      <c r="D5082" s="28" t="s">
        <v>34867</v>
      </c>
      <c r="I5082" s="27" t="str">
        <f t="shared" si="9"/>
        <v>tritosulfuron</v>
      </c>
      <c r="N5082" t="s">
        <v>12892</v>
      </c>
      <c r="O5082" s="28" t="s">
        <v>12197</v>
      </c>
      <c r="P5082"/>
      <c r="Q5082"/>
      <c r="R5082"/>
      <c r="S5082"/>
    </row>
    <row r="5083" spans="1:19" x14ac:dyDescent="0.25">
      <c r="A5083" s="27" t="s">
        <v>193</v>
      </c>
      <c r="C5083" s="27" t="s">
        <v>34749</v>
      </c>
      <c r="D5083" s="28" t="s">
        <v>34867</v>
      </c>
      <c r="I5083" s="27" t="str">
        <f t="shared" si="9"/>
        <v>uitgedrukt,als,diquat</v>
      </c>
      <c r="N5083" t="s">
        <v>12893</v>
      </c>
      <c r="P5083"/>
      <c r="Q5083"/>
      <c r="R5083"/>
      <c r="S5083"/>
    </row>
    <row r="5084" spans="1:19" x14ac:dyDescent="0.25">
      <c r="A5084" s="27" t="s">
        <v>193</v>
      </c>
      <c r="C5084" s="27" t="s">
        <v>34749</v>
      </c>
      <c r="D5084" s="28" t="s">
        <v>34867</v>
      </c>
      <c r="I5084" s="27" t="str">
        <f t="shared" si="9"/>
        <v>validamycine</v>
      </c>
      <c r="N5084" t="s">
        <v>12894</v>
      </c>
      <c r="P5084"/>
      <c r="Q5084"/>
      <c r="R5084"/>
      <c r="S5084"/>
    </row>
    <row r="5085" spans="1:19" x14ac:dyDescent="0.25">
      <c r="A5085" s="27" t="s">
        <v>193</v>
      </c>
      <c r="C5085" s="27" t="s">
        <v>34749</v>
      </c>
      <c r="D5085" s="28" t="s">
        <v>34867</v>
      </c>
      <c r="I5085" s="27" t="str">
        <f t="shared" si="9"/>
        <v>vamidothion</v>
      </c>
      <c r="N5085" t="s">
        <v>12895</v>
      </c>
      <c r="P5085"/>
      <c r="Q5085"/>
      <c r="R5085"/>
      <c r="S5085"/>
    </row>
    <row r="5086" spans="1:19" x14ac:dyDescent="0.25">
      <c r="A5086" s="27" t="s">
        <v>193</v>
      </c>
      <c r="C5086" s="27" t="s">
        <v>34749</v>
      </c>
      <c r="D5086" s="28" t="s">
        <v>34867</v>
      </c>
      <c r="I5086" s="27" t="str">
        <f t="shared" si="9"/>
        <v>verticillium,albo,atrum,stam,wcs850</v>
      </c>
      <c r="N5086" t="s">
        <v>12896</v>
      </c>
      <c r="P5086"/>
      <c r="Q5086"/>
      <c r="R5086"/>
      <c r="S5086"/>
    </row>
    <row r="5087" spans="1:19" x14ac:dyDescent="0.25">
      <c r="A5087" s="27" t="s">
        <v>193</v>
      </c>
      <c r="C5087" s="27" t="s">
        <v>34749</v>
      </c>
      <c r="D5087" s="28" t="s">
        <v>34867</v>
      </c>
      <c r="I5087" s="27" t="str">
        <f t="shared" si="9"/>
        <v>vetzuren,kaliumzouten</v>
      </c>
      <c r="N5087" t="s">
        <v>12897</v>
      </c>
      <c r="O5087" s="28" t="s">
        <v>12898</v>
      </c>
      <c r="P5087"/>
      <c r="Q5087"/>
      <c r="R5087"/>
      <c r="S5087"/>
    </row>
    <row r="5088" spans="1:19" x14ac:dyDescent="0.25">
      <c r="A5088" s="27" t="s">
        <v>193</v>
      </c>
      <c r="C5088" s="27" t="s">
        <v>34749</v>
      </c>
      <c r="D5088" s="28" t="s">
        <v>34867</v>
      </c>
      <c r="I5088" s="27" t="str">
        <f t="shared" si="9"/>
        <v>vinchlozolin</v>
      </c>
      <c r="N5088" t="s">
        <v>12899</v>
      </c>
      <c r="O5088" s="28" t="s">
        <v>12278</v>
      </c>
      <c r="P5088"/>
      <c r="Q5088"/>
      <c r="R5088"/>
      <c r="S5088"/>
    </row>
    <row r="5089" spans="1:19" x14ac:dyDescent="0.25">
      <c r="A5089" s="27" t="s">
        <v>193</v>
      </c>
      <c r="C5089" s="27" t="s">
        <v>34749</v>
      </c>
      <c r="D5089" s="28" t="s">
        <v>34867</v>
      </c>
      <c r="I5089" s="27" t="str">
        <f t="shared" si="9"/>
        <v>warfarin</v>
      </c>
      <c r="N5089" t="s">
        <v>12900</v>
      </c>
      <c r="P5089"/>
      <c r="Q5089"/>
      <c r="R5089"/>
      <c r="S5089"/>
    </row>
    <row r="5090" spans="1:19" x14ac:dyDescent="0.25">
      <c r="A5090" s="27" t="s">
        <v>193</v>
      </c>
      <c r="C5090" s="27" t="s">
        <v>34749</v>
      </c>
      <c r="D5090" s="28" t="s">
        <v>34867</v>
      </c>
      <c r="I5090" s="27" t="str">
        <f t="shared" si="9"/>
        <v>zilverthiosulfaat</v>
      </c>
      <c r="N5090" t="s">
        <v>12901</v>
      </c>
      <c r="P5090"/>
      <c r="Q5090"/>
      <c r="R5090"/>
      <c r="S5090"/>
    </row>
    <row r="5091" spans="1:19" x14ac:dyDescent="0.25">
      <c r="A5091" s="27" t="s">
        <v>193</v>
      </c>
      <c r="C5091" s="27" t="s">
        <v>34749</v>
      </c>
      <c r="D5091" s="28" t="s">
        <v>34867</v>
      </c>
      <c r="I5091" s="27" t="str">
        <f t="shared" si="9"/>
        <v>zineb</v>
      </c>
      <c r="N5091" t="s">
        <v>12902</v>
      </c>
      <c r="O5091" s="28" t="s">
        <v>12293</v>
      </c>
      <c r="P5091"/>
      <c r="Q5091"/>
      <c r="R5091"/>
      <c r="S5091"/>
    </row>
    <row r="5092" spans="1:19" x14ac:dyDescent="0.25">
      <c r="A5092" s="27" t="s">
        <v>193</v>
      </c>
      <c r="C5092" s="27" t="s">
        <v>34749</v>
      </c>
      <c r="D5092" s="28" t="s">
        <v>34867</v>
      </c>
      <c r="I5092" s="27" t="str">
        <f t="shared" si="9"/>
        <v>zinkfosfide</v>
      </c>
      <c r="N5092" t="s">
        <v>12903</v>
      </c>
      <c r="P5092"/>
      <c r="Q5092"/>
      <c r="R5092"/>
      <c r="S5092"/>
    </row>
    <row r="5093" spans="1:19" x14ac:dyDescent="0.25">
      <c r="A5093" s="27" t="s">
        <v>193</v>
      </c>
      <c r="C5093" s="27" t="s">
        <v>34749</v>
      </c>
      <c r="D5093" s="28" t="s">
        <v>34867</v>
      </c>
      <c r="I5093" s="27" t="str">
        <f t="shared" si="9"/>
        <v>ziram</v>
      </c>
      <c r="N5093" t="s">
        <v>12904</v>
      </c>
      <c r="P5093"/>
      <c r="Q5093"/>
      <c r="R5093"/>
      <c r="S5093"/>
    </row>
    <row r="5094" spans="1:19" x14ac:dyDescent="0.25">
      <c r="A5094" s="27" t="s">
        <v>193</v>
      </c>
      <c r="C5094" s="27" t="s">
        <v>34749</v>
      </c>
      <c r="D5094" s="28" t="s">
        <v>34867</v>
      </c>
      <c r="I5094" s="27" t="str">
        <f t="shared" si="9"/>
        <v>zoxamide</v>
      </c>
      <c r="N5094" t="s">
        <v>12905</v>
      </c>
      <c r="O5094" s="28" t="s">
        <v>12290</v>
      </c>
      <c r="P5094"/>
      <c r="Q5094"/>
      <c r="R5094"/>
      <c r="S5094"/>
    </row>
    <row r="5095" spans="1:19" x14ac:dyDescent="0.25">
      <c r="A5095" t="s">
        <v>17</v>
      </c>
      <c r="C5095" s="27" t="s">
        <v>34749</v>
      </c>
      <c r="D5095" s="28" t="s">
        <v>34867</v>
      </c>
      <c r="I5095" s="27" t="str">
        <f t="shared" si="9"/>
        <v>zwavel</v>
      </c>
      <c r="N5095" t="s">
        <v>12906</v>
      </c>
      <c r="P5095"/>
      <c r="Q5095"/>
      <c r="R5095"/>
      <c r="S5095"/>
    </row>
    <row r="5096" spans="1:19" x14ac:dyDescent="0.25">
      <c r="A5096" t="s">
        <v>17</v>
      </c>
      <c r="C5096" s="27" t="s">
        <v>34749</v>
      </c>
      <c r="D5096" s="28" t="s">
        <v>34867</v>
      </c>
      <c r="P5096">
        <v>140</v>
      </c>
      <c r="Q5096" t="s">
        <v>12933</v>
      </c>
      <c r="R5096" s="28" t="s">
        <v>3904</v>
      </c>
      <c r="S5096" t="s">
        <v>12934</v>
      </c>
    </row>
    <row r="5097" spans="1:19" x14ac:dyDescent="0.25">
      <c r="A5097" t="s">
        <v>17</v>
      </c>
      <c r="P5097">
        <v>141</v>
      </c>
      <c r="Q5097" t="s">
        <v>12935</v>
      </c>
      <c r="R5097" s="28" t="s">
        <v>3904</v>
      </c>
      <c r="S5097" t="s">
        <v>12934</v>
      </c>
    </row>
    <row r="5098" spans="1:19" x14ac:dyDescent="0.25">
      <c r="A5098" t="s">
        <v>17</v>
      </c>
      <c r="P5098">
        <v>142</v>
      </c>
      <c r="Q5098" t="s">
        <v>12936</v>
      </c>
      <c r="R5098" s="28" t="s">
        <v>3904</v>
      </c>
      <c r="S5098" t="s">
        <v>12934</v>
      </c>
    </row>
    <row r="5099" spans="1:19" x14ac:dyDescent="0.25">
      <c r="A5099" t="s">
        <v>17</v>
      </c>
      <c r="C5099" s="27" t="s">
        <v>34749</v>
      </c>
      <c r="D5099" s="28" t="s">
        <v>34867</v>
      </c>
      <c r="P5099">
        <v>144</v>
      </c>
      <c r="Q5099" t="s">
        <v>3924</v>
      </c>
      <c r="R5099" s="28" t="s">
        <v>3925</v>
      </c>
      <c r="S5099" t="s">
        <v>12937</v>
      </c>
    </row>
    <row r="5100" spans="1:19" x14ac:dyDescent="0.25">
      <c r="A5100" t="s">
        <v>17</v>
      </c>
      <c r="C5100" s="27" t="s">
        <v>34749</v>
      </c>
      <c r="D5100" s="28" t="s">
        <v>34867</v>
      </c>
      <c r="P5100">
        <v>146</v>
      </c>
      <c r="Q5100" t="s">
        <v>10825</v>
      </c>
      <c r="R5100" s="28" t="s">
        <v>10826</v>
      </c>
      <c r="S5100" t="s">
        <v>12938</v>
      </c>
    </row>
    <row r="5101" spans="1:19" x14ac:dyDescent="0.25">
      <c r="A5101" t="s">
        <v>17</v>
      </c>
      <c r="C5101" s="27" t="s">
        <v>34749</v>
      </c>
      <c r="D5101" s="28" t="s">
        <v>34867</v>
      </c>
      <c r="P5101">
        <v>152</v>
      </c>
      <c r="Q5101" t="s">
        <v>12226</v>
      </c>
      <c r="R5101" s="28" t="s">
        <v>12227</v>
      </c>
      <c r="S5101" t="s">
        <v>17</v>
      </c>
    </row>
    <row r="5102" spans="1:19" x14ac:dyDescent="0.25">
      <c r="A5102" t="s">
        <v>17</v>
      </c>
      <c r="C5102" s="27" t="s">
        <v>34749</v>
      </c>
      <c r="D5102" s="28" t="s">
        <v>34867</v>
      </c>
      <c r="P5102">
        <v>156</v>
      </c>
      <c r="Q5102" t="s">
        <v>5109</v>
      </c>
      <c r="R5102" s="28" t="s">
        <v>5110</v>
      </c>
      <c r="S5102" t="s">
        <v>17</v>
      </c>
    </row>
    <row r="5103" spans="1:19" x14ac:dyDescent="0.25">
      <c r="A5103" s="28" t="s">
        <v>14843</v>
      </c>
      <c r="P5103">
        <v>158</v>
      </c>
      <c r="Q5103" t="s">
        <v>12941</v>
      </c>
      <c r="S5103" t="s">
        <v>12940</v>
      </c>
    </row>
    <row r="5104" spans="1:19" x14ac:dyDescent="0.25">
      <c r="A5104" t="s">
        <v>12942</v>
      </c>
      <c r="P5104">
        <v>160</v>
      </c>
      <c r="Q5104" t="s">
        <v>12943</v>
      </c>
      <c r="S5104" t="s">
        <v>12944</v>
      </c>
    </row>
    <row r="5105" spans="1:19" x14ac:dyDescent="0.25">
      <c r="A5105" t="s">
        <v>12942</v>
      </c>
      <c r="P5105">
        <v>161</v>
      </c>
      <c r="Q5105" t="s">
        <v>12945</v>
      </c>
      <c r="S5105" t="s">
        <v>12944</v>
      </c>
    </row>
    <row r="5106" spans="1:19" x14ac:dyDescent="0.25">
      <c r="A5106" t="s">
        <v>12942</v>
      </c>
      <c r="P5106">
        <v>162</v>
      </c>
      <c r="Q5106" t="s">
        <v>12946</v>
      </c>
      <c r="S5106" t="s">
        <v>12944</v>
      </c>
    </row>
    <row r="5107" spans="1:19" x14ac:dyDescent="0.25">
      <c r="A5107" t="s">
        <v>12942</v>
      </c>
      <c r="P5107">
        <v>164</v>
      </c>
      <c r="Q5107" t="s">
        <v>5115</v>
      </c>
      <c r="S5107" t="s">
        <v>12944</v>
      </c>
    </row>
    <row r="5108" spans="1:19" x14ac:dyDescent="0.25">
      <c r="A5108" s="28" t="s">
        <v>14843</v>
      </c>
      <c r="P5108">
        <v>170</v>
      </c>
      <c r="Q5108" t="s">
        <v>12947</v>
      </c>
      <c r="S5108" t="s">
        <v>12927</v>
      </c>
    </row>
    <row r="5109" spans="1:19" x14ac:dyDescent="0.25">
      <c r="A5109" s="28" t="s">
        <v>14843</v>
      </c>
      <c r="P5109">
        <v>172</v>
      </c>
      <c r="Q5109" t="s">
        <v>12948</v>
      </c>
      <c r="S5109" t="s">
        <v>12927</v>
      </c>
    </row>
    <row r="5110" spans="1:19" x14ac:dyDescent="0.25">
      <c r="A5110" s="28" t="s">
        <v>14843</v>
      </c>
      <c r="P5110">
        <v>173</v>
      </c>
      <c r="Q5110" t="s">
        <v>12949</v>
      </c>
      <c r="S5110" t="s">
        <v>12927</v>
      </c>
    </row>
    <row r="5111" spans="1:19" x14ac:dyDescent="0.25">
      <c r="A5111" s="28" t="s">
        <v>14843</v>
      </c>
      <c r="P5111">
        <v>174</v>
      </c>
      <c r="Q5111" t="s">
        <v>12950</v>
      </c>
      <c r="S5111" t="s">
        <v>12927</v>
      </c>
    </row>
    <row r="5112" spans="1:19" x14ac:dyDescent="0.25">
      <c r="A5112" s="28" t="s">
        <v>14843</v>
      </c>
      <c r="P5112">
        <v>175</v>
      </c>
      <c r="Q5112" t="s">
        <v>12951</v>
      </c>
      <c r="S5112" t="s">
        <v>12927</v>
      </c>
    </row>
    <row r="5113" spans="1:19" x14ac:dyDescent="0.25">
      <c r="A5113" s="28" t="s">
        <v>14843</v>
      </c>
      <c r="P5113">
        <v>176</v>
      </c>
      <c r="Q5113" t="s">
        <v>12952</v>
      </c>
      <c r="S5113" t="s">
        <v>12927</v>
      </c>
    </row>
    <row r="5114" spans="1:19" x14ac:dyDescent="0.25">
      <c r="A5114" s="28" t="s">
        <v>14843</v>
      </c>
      <c r="P5114">
        <v>184</v>
      </c>
      <c r="Q5114" t="s">
        <v>12957</v>
      </c>
      <c r="S5114" t="s">
        <v>12956</v>
      </c>
    </row>
    <row r="5115" spans="1:19" x14ac:dyDescent="0.25">
      <c r="A5115" t="s">
        <v>17</v>
      </c>
      <c r="C5115" s="27" t="s">
        <v>34749</v>
      </c>
      <c r="D5115" s="28" t="s">
        <v>34867</v>
      </c>
      <c r="P5115">
        <v>186</v>
      </c>
      <c r="Q5115" t="s">
        <v>12958</v>
      </c>
      <c r="S5115" t="s">
        <v>12959</v>
      </c>
    </row>
    <row r="5116" spans="1:19" x14ac:dyDescent="0.25">
      <c r="A5116" s="28" t="s">
        <v>14843</v>
      </c>
      <c r="P5116">
        <v>188</v>
      </c>
      <c r="Q5116" t="s">
        <v>12960</v>
      </c>
      <c r="S5116" t="s">
        <v>12927</v>
      </c>
    </row>
    <row r="5117" spans="1:19" x14ac:dyDescent="0.25">
      <c r="A5117" t="s">
        <v>17</v>
      </c>
      <c r="P5117">
        <v>190</v>
      </c>
      <c r="Q5117" t="s">
        <v>12961</v>
      </c>
      <c r="S5117" t="s">
        <v>12962</v>
      </c>
    </row>
    <row r="5118" spans="1:19" x14ac:dyDescent="0.25">
      <c r="A5118" t="s">
        <v>17</v>
      </c>
      <c r="P5118">
        <v>192</v>
      </c>
      <c r="Q5118" t="s">
        <v>12963</v>
      </c>
      <c r="S5118" t="s">
        <v>12964</v>
      </c>
    </row>
    <row r="5119" spans="1:19" x14ac:dyDescent="0.25">
      <c r="A5119" t="s">
        <v>17</v>
      </c>
      <c r="P5119">
        <v>194</v>
      </c>
      <c r="Q5119" t="s">
        <v>12965</v>
      </c>
      <c r="S5119" t="s">
        <v>12966</v>
      </c>
    </row>
    <row r="5120" spans="1:19" x14ac:dyDescent="0.25">
      <c r="A5120" s="28" t="s">
        <v>14843</v>
      </c>
      <c r="P5120">
        <v>196</v>
      </c>
      <c r="Q5120" t="s">
        <v>12967</v>
      </c>
      <c r="S5120" t="s">
        <v>12927</v>
      </c>
    </row>
    <row r="5121" spans="1:19" x14ac:dyDescent="0.25">
      <c r="A5121" t="s">
        <v>17</v>
      </c>
      <c r="P5121">
        <v>197</v>
      </c>
      <c r="Q5121" t="s">
        <v>12968</v>
      </c>
      <c r="S5121" t="s">
        <v>17</v>
      </c>
    </row>
    <row r="5122" spans="1:19" x14ac:dyDescent="0.25">
      <c r="A5122" t="s">
        <v>17</v>
      </c>
      <c r="P5122">
        <v>198</v>
      </c>
      <c r="Q5122" t="s">
        <v>12969</v>
      </c>
      <c r="S5122" t="s">
        <v>17</v>
      </c>
    </row>
    <row r="5123" spans="1:19" x14ac:dyDescent="0.25">
      <c r="A5123" s="27" t="s">
        <v>34837</v>
      </c>
      <c r="P5123">
        <v>207</v>
      </c>
      <c r="Q5123" t="s">
        <v>12977</v>
      </c>
      <c r="S5123" t="s">
        <v>12976</v>
      </c>
    </row>
    <row r="5124" spans="1:19" x14ac:dyDescent="0.25">
      <c r="A5124" s="27" t="s">
        <v>34837</v>
      </c>
      <c r="P5124">
        <v>208</v>
      </c>
      <c r="Q5124" t="s">
        <v>12978</v>
      </c>
      <c r="S5124" t="s">
        <v>12976</v>
      </c>
    </row>
    <row r="5125" spans="1:19" x14ac:dyDescent="0.25">
      <c r="A5125" s="28" t="s">
        <v>14843</v>
      </c>
      <c r="P5125">
        <v>214</v>
      </c>
      <c r="Q5125" t="s">
        <v>12982</v>
      </c>
      <c r="S5125" t="s">
        <v>12922</v>
      </c>
    </row>
    <row r="5126" spans="1:19" x14ac:dyDescent="0.25">
      <c r="A5126" s="27" t="s">
        <v>34837</v>
      </c>
      <c r="P5126">
        <v>216</v>
      </c>
      <c r="Q5126" t="s">
        <v>5408</v>
      </c>
      <c r="S5126" t="s">
        <v>12976</v>
      </c>
    </row>
    <row r="5127" spans="1:19" x14ac:dyDescent="0.25">
      <c r="A5127" t="s">
        <v>17</v>
      </c>
      <c r="C5127" s="27" t="s">
        <v>34749</v>
      </c>
      <c r="D5127" s="28" t="s">
        <v>34867</v>
      </c>
      <c r="P5127">
        <v>220</v>
      </c>
      <c r="Q5127" t="s">
        <v>12983</v>
      </c>
      <c r="R5127" s="28" t="s">
        <v>31</v>
      </c>
      <c r="S5127" t="s">
        <v>12959</v>
      </c>
    </row>
    <row r="5128" spans="1:19" x14ac:dyDescent="0.25">
      <c r="A5128" t="s">
        <v>17</v>
      </c>
      <c r="C5128" s="27" t="s">
        <v>34749</v>
      </c>
      <c r="D5128" s="28" t="s">
        <v>34867</v>
      </c>
      <c r="P5128">
        <v>222</v>
      </c>
      <c r="Q5128" t="s">
        <v>40</v>
      </c>
      <c r="R5128" s="28" t="s">
        <v>41</v>
      </c>
      <c r="S5128" t="s">
        <v>12984</v>
      </c>
    </row>
    <row r="5129" spans="1:19" x14ac:dyDescent="0.25">
      <c r="A5129" t="s">
        <v>17</v>
      </c>
      <c r="C5129" s="27" t="s">
        <v>34749</v>
      </c>
      <c r="D5129" s="28" t="s">
        <v>34867</v>
      </c>
      <c r="P5129">
        <v>223</v>
      </c>
      <c r="Q5129" t="s">
        <v>12985</v>
      </c>
      <c r="R5129" s="28" t="s">
        <v>41</v>
      </c>
      <c r="S5129" t="s">
        <v>12984</v>
      </c>
    </row>
    <row r="5130" spans="1:19" x14ac:dyDescent="0.25">
      <c r="A5130" t="s">
        <v>17</v>
      </c>
      <c r="C5130" s="27" t="s">
        <v>34749</v>
      </c>
      <c r="D5130" s="28" t="s">
        <v>34867</v>
      </c>
      <c r="P5130">
        <v>224</v>
      </c>
      <c r="Q5130" t="s">
        <v>35</v>
      </c>
      <c r="R5130" s="28" t="s">
        <v>36</v>
      </c>
      <c r="S5130" t="s">
        <v>12986</v>
      </c>
    </row>
    <row r="5131" spans="1:19" x14ac:dyDescent="0.25">
      <c r="A5131" t="s">
        <v>17</v>
      </c>
      <c r="C5131" s="27" t="s">
        <v>34749</v>
      </c>
      <c r="D5131" s="28" t="s">
        <v>34867</v>
      </c>
      <c r="P5131">
        <v>230</v>
      </c>
      <c r="Q5131" t="s">
        <v>252</v>
      </c>
      <c r="R5131" s="28" t="s">
        <v>253</v>
      </c>
      <c r="S5131" t="s">
        <v>12987</v>
      </c>
    </row>
    <row r="5132" spans="1:19" x14ac:dyDescent="0.25">
      <c r="A5132" t="s">
        <v>17</v>
      </c>
      <c r="C5132" s="27" t="s">
        <v>34749</v>
      </c>
      <c r="D5132" s="28" t="s">
        <v>34867</v>
      </c>
      <c r="P5132">
        <v>232</v>
      </c>
      <c r="Q5132" t="s">
        <v>103</v>
      </c>
      <c r="R5132" s="28" t="s">
        <v>104</v>
      </c>
      <c r="S5132" t="s">
        <v>12988</v>
      </c>
    </row>
    <row r="5133" spans="1:19" x14ac:dyDescent="0.25">
      <c r="A5133" t="s">
        <v>17</v>
      </c>
      <c r="C5133" s="27" t="s">
        <v>34749</v>
      </c>
      <c r="D5133" s="28" t="s">
        <v>34867</v>
      </c>
      <c r="P5133">
        <v>240</v>
      </c>
      <c r="Q5133" t="s">
        <v>229</v>
      </c>
      <c r="R5133" s="28" t="s">
        <v>12989</v>
      </c>
      <c r="S5133" t="s">
        <v>12990</v>
      </c>
    </row>
    <row r="5134" spans="1:19" x14ac:dyDescent="0.25">
      <c r="A5134" t="s">
        <v>17</v>
      </c>
      <c r="C5134" s="27" t="s">
        <v>34749</v>
      </c>
      <c r="D5134" s="28" t="s">
        <v>34867</v>
      </c>
      <c r="P5134">
        <v>242</v>
      </c>
      <c r="Q5134" t="s">
        <v>260</v>
      </c>
      <c r="R5134" s="28" t="s">
        <v>12991</v>
      </c>
      <c r="S5134" t="s">
        <v>12992</v>
      </c>
    </row>
    <row r="5135" spans="1:19" x14ac:dyDescent="0.25">
      <c r="A5135" t="s">
        <v>17</v>
      </c>
      <c r="C5135" s="27" t="s">
        <v>34749</v>
      </c>
      <c r="D5135" s="28" t="s">
        <v>34867</v>
      </c>
      <c r="P5135">
        <v>244</v>
      </c>
      <c r="Q5135" t="s">
        <v>264</v>
      </c>
      <c r="R5135" s="28" t="s">
        <v>265</v>
      </c>
      <c r="S5135" t="s">
        <v>12993</v>
      </c>
    </row>
    <row r="5136" spans="1:19" x14ac:dyDescent="0.25">
      <c r="A5136" t="s">
        <v>17</v>
      </c>
      <c r="C5136" s="27" t="s">
        <v>34749</v>
      </c>
      <c r="D5136" s="28" t="s">
        <v>34867</v>
      </c>
      <c r="P5136">
        <v>245</v>
      </c>
      <c r="Q5136" t="s">
        <v>12994</v>
      </c>
      <c r="R5136" s="28" t="s">
        <v>265</v>
      </c>
      <c r="S5136" t="s">
        <v>12993</v>
      </c>
    </row>
    <row r="5137" spans="1:19" x14ac:dyDescent="0.25">
      <c r="A5137" t="s">
        <v>17</v>
      </c>
      <c r="C5137" s="27" t="s">
        <v>34749</v>
      </c>
      <c r="D5137" s="28" t="s">
        <v>34867</v>
      </c>
      <c r="P5137">
        <v>246</v>
      </c>
      <c r="Q5137" t="s">
        <v>233</v>
      </c>
      <c r="R5137" s="28" t="s">
        <v>234</v>
      </c>
      <c r="S5137" t="s">
        <v>12995</v>
      </c>
    </row>
    <row r="5138" spans="1:19" x14ac:dyDescent="0.25">
      <c r="A5138" t="s">
        <v>17</v>
      </c>
      <c r="C5138" s="27" t="s">
        <v>34749</v>
      </c>
      <c r="D5138" s="28" t="s">
        <v>34867</v>
      </c>
      <c r="P5138">
        <v>248</v>
      </c>
      <c r="Q5138" t="s">
        <v>12996</v>
      </c>
      <c r="R5138" s="28" t="s">
        <v>234</v>
      </c>
      <c r="S5138" t="s">
        <v>12995</v>
      </c>
    </row>
    <row r="5139" spans="1:19" x14ac:dyDescent="0.25">
      <c r="A5139" s="27" t="s">
        <v>34837</v>
      </c>
      <c r="C5139" s="27" t="s">
        <v>34749</v>
      </c>
      <c r="D5139" s="28" t="s">
        <v>34867</v>
      </c>
      <c r="P5139">
        <v>253</v>
      </c>
      <c r="Q5139" t="s">
        <v>13000</v>
      </c>
      <c r="S5139" t="s">
        <v>13001</v>
      </c>
    </row>
    <row r="5140" spans="1:19" x14ac:dyDescent="0.25">
      <c r="A5140" s="27" t="s">
        <v>34837</v>
      </c>
      <c r="C5140" s="27" t="s">
        <v>34749</v>
      </c>
      <c r="D5140" s="28" t="s">
        <v>34867</v>
      </c>
      <c r="P5140">
        <v>254</v>
      </c>
      <c r="Q5140" t="s">
        <v>13002</v>
      </c>
      <c r="S5140" t="s">
        <v>13001</v>
      </c>
    </row>
    <row r="5141" spans="1:19" x14ac:dyDescent="0.25">
      <c r="A5141" t="s">
        <v>17</v>
      </c>
      <c r="C5141" s="27" t="s">
        <v>34749</v>
      </c>
      <c r="D5141" s="28" t="s">
        <v>34867</v>
      </c>
      <c r="P5141">
        <v>271</v>
      </c>
      <c r="Q5141" t="s">
        <v>66</v>
      </c>
      <c r="R5141" s="28" t="s">
        <v>13003</v>
      </c>
      <c r="S5141" t="s">
        <v>13004</v>
      </c>
    </row>
    <row r="5142" spans="1:19" x14ac:dyDescent="0.25">
      <c r="A5142" t="s">
        <v>17</v>
      </c>
      <c r="C5142" s="27" t="s">
        <v>34749</v>
      </c>
      <c r="D5142" s="28" t="s">
        <v>34867</v>
      </c>
      <c r="P5142">
        <v>272</v>
      </c>
      <c r="Q5142" t="s">
        <v>13005</v>
      </c>
      <c r="S5142" t="s">
        <v>13006</v>
      </c>
    </row>
    <row r="5143" spans="1:19" x14ac:dyDescent="0.25">
      <c r="A5143" t="s">
        <v>17</v>
      </c>
      <c r="C5143" s="27" t="s">
        <v>34749</v>
      </c>
      <c r="D5143" s="28" t="s">
        <v>34867</v>
      </c>
      <c r="P5143">
        <v>279</v>
      </c>
      <c r="Q5143" t="s">
        <v>13009</v>
      </c>
      <c r="S5143" t="s">
        <v>17</v>
      </c>
    </row>
    <row r="5144" spans="1:19" x14ac:dyDescent="0.25">
      <c r="A5144" t="s">
        <v>17</v>
      </c>
      <c r="C5144" s="27" t="s">
        <v>34749</v>
      </c>
      <c r="D5144" s="28" t="s">
        <v>34867</v>
      </c>
      <c r="P5144">
        <v>281</v>
      </c>
      <c r="Q5144" t="s">
        <v>70</v>
      </c>
      <c r="R5144" s="28" t="s">
        <v>71</v>
      </c>
      <c r="S5144" t="s">
        <v>13010</v>
      </c>
    </row>
    <row r="5145" spans="1:19" x14ac:dyDescent="0.25">
      <c r="A5145" t="s">
        <v>17</v>
      </c>
      <c r="C5145" s="27" t="s">
        <v>34749</v>
      </c>
      <c r="D5145" s="28" t="s">
        <v>34867</v>
      </c>
      <c r="P5145">
        <v>283</v>
      </c>
      <c r="Q5145" t="s">
        <v>74</v>
      </c>
      <c r="R5145" s="28" t="s">
        <v>75</v>
      </c>
      <c r="S5145" t="s">
        <v>13011</v>
      </c>
    </row>
    <row r="5146" spans="1:19" x14ac:dyDescent="0.25">
      <c r="A5146" t="s">
        <v>17</v>
      </c>
      <c r="C5146" s="27" t="s">
        <v>34749</v>
      </c>
      <c r="D5146" s="28" t="s">
        <v>34867</v>
      </c>
      <c r="P5146">
        <v>284</v>
      </c>
      <c r="Q5146" t="s">
        <v>13012</v>
      </c>
      <c r="R5146" s="28" t="s">
        <v>89</v>
      </c>
      <c r="S5146" t="s">
        <v>13013</v>
      </c>
    </row>
    <row r="5147" spans="1:19" x14ac:dyDescent="0.25">
      <c r="A5147" t="s">
        <v>17</v>
      </c>
      <c r="C5147" s="27" t="s">
        <v>34749</v>
      </c>
      <c r="D5147" s="28" t="s">
        <v>34867</v>
      </c>
      <c r="P5147">
        <v>286</v>
      </c>
      <c r="Q5147" t="s">
        <v>13014</v>
      </c>
      <c r="R5147" s="28" t="s">
        <v>13015</v>
      </c>
      <c r="S5147" t="s">
        <v>13013</v>
      </c>
    </row>
    <row r="5148" spans="1:19" x14ac:dyDescent="0.25">
      <c r="A5148" t="s">
        <v>17</v>
      </c>
      <c r="C5148" s="27" t="s">
        <v>34749</v>
      </c>
      <c r="D5148" s="28" t="s">
        <v>34867</v>
      </c>
      <c r="P5148">
        <v>288</v>
      </c>
      <c r="Q5148" t="s">
        <v>13016</v>
      </c>
      <c r="R5148" s="28" t="s">
        <v>242</v>
      </c>
      <c r="S5148" t="s">
        <v>13017</v>
      </c>
    </row>
    <row r="5149" spans="1:19" x14ac:dyDescent="0.25">
      <c r="A5149" t="s">
        <v>17</v>
      </c>
      <c r="C5149" s="27" t="s">
        <v>34749</v>
      </c>
      <c r="D5149" s="28" t="s">
        <v>34867</v>
      </c>
      <c r="P5149">
        <v>289</v>
      </c>
      <c r="Q5149" t="s">
        <v>13018</v>
      </c>
      <c r="R5149" s="28" t="s">
        <v>13019</v>
      </c>
      <c r="S5149" t="s">
        <v>13017</v>
      </c>
    </row>
    <row r="5150" spans="1:19" x14ac:dyDescent="0.25">
      <c r="A5150" t="s">
        <v>17</v>
      </c>
      <c r="C5150" s="27" t="s">
        <v>34749</v>
      </c>
      <c r="D5150" s="28" t="s">
        <v>34867</v>
      </c>
      <c r="P5150">
        <v>290</v>
      </c>
      <c r="Q5150" t="s">
        <v>13020</v>
      </c>
      <c r="R5150" s="28" t="s">
        <v>13021</v>
      </c>
      <c r="S5150" t="s">
        <v>17</v>
      </c>
    </row>
    <row r="5151" spans="1:19" x14ac:dyDescent="0.25">
      <c r="A5151" s="27" t="s">
        <v>193</v>
      </c>
      <c r="C5151" s="27" t="s">
        <v>34749</v>
      </c>
      <c r="D5151" s="28" t="s">
        <v>34867</v>
      </c>
      <c r="P5151">
        <v>301</v>
      </c>
      <c r="Q5151" t="s">
        <v>288</v>
      </c>
      <c r="R5151" s="28" t="s">
        <v>289</v>
      </c>
      <c r="S5151" t="s">
        <v>13023</v>
      </c>
    </row>
    <row r="5152" spans="1:19" x14ac:dyDescent="0.25">
      <c r="A5152" s="28" t="s">
        <v>14843</v>
      </c>
      <c r="P5152">
        <v>303</v>
      </c>
      <c r="Q5152" t="s">
        <v>13024</v>
      </c>
      <c r="S5152" t="s">
        <v>12922</v>
      </c>
    </row>
    <row r="5153" spans="1:19" x14ac:dyDescent="0.25">
      <c r="A5153" s="27" t="s">
        <v>193</v>
      </c>
      <c r="C5153" s="27" t="s">
        <v>34749</v>
      </c>
      <c r="D5153" s="28" t="s">
        <v>34867</v>
      </c>
      <c r="P5153">
        <v>306</v>
      </c>
      <c r="Q5153" t="s">
        <v>284</v>
      </c>
      <c r="R5153" s="28" t="s">
        <v>285</v>
      </c>
      <c r="S5153" t="s">
        <v>13025</v>
      </c>
    </row>
    <row r="5154" spans="1:19" x14ac:dyDescent="0.25">
      <c r="A5154" s="27" t="s">
        <v>193</v>
      </c>
      <c r="C5154" s="27" t="s">
        <v>34749</v>
      </c>
      <c r="D5154" s="28" t="s">
        <v>34867</v>
      </c>
      <c r="P5154">
        <v>307</v>
      </c>
      <c r="Q5154" t="s">
        <v>13026</v>
      </c>
      <c r="R5154" s="28" t="s">
        <v>285</v>
      </c>
      <c r="S5154" t="s">
        <v>13025</v>
      </c>
    </row>
    <row r="5155" spans="1:19" x14ac:dyDescent="0.25">
      <c r="A5155" s="27" t="s">
        <v>193</v>
      </c>
      <c r="C5155" s="27" t="s">
        <v>34749</v>
      </c>
      <c r="D5155" s="28" t="s">
        <v>34867</v>
      </c>
      <c r="P5155">
        <v>308</v>
      </c>
      <c r="Q5155" t="s">
        <v>13027</v>
      </c>
      <c r="R5155" s="28" t="s">
        <v>13028</v>
      </c>
      <c r="S5155" t="s">
        <v>13023</v>
      </c>
    </row>
    <row r="5156" spans="1:19" x14ac:dyDescent="0.25">
      <c r="A5156" s="27" t="s">
        <v>193</v>
      </c>
      <c r="C5156" s="27" t="s">
        <v>34749</v>
      </c>
      <c r="D5156" s="28" t="s">
        <v>34867</v>
      </c>
      <c r="P5156">
        <v>309</v>
      </c>
      <c r="Q5156" t="s">
        <v>13029</v>
      </c>
      <c r="R5156" s="28" t="s">
        <v>209</v>
      </c>
      <c r="S5156" t="s">
        <v>13022</v>
      </c>
    </row>
    <row r="5157" spans="1:19" x14ac:dyDescent="0.25">
      <c r="A5157" s="27" t="s">
        <v>193</v>
      </c>
      <c r="C5157" s="27" t="s">
        <v>34749</v>
      </c>
      <c r="D5157" s="28" t="s">
        <v>34867</v>
      </c>
      <c r="P5157">
        <v>310</v>
      </c>
      <c r="Q5157" t="s">
        <v>237</v>
      </c>
      <c r="R5157" s="28" t="s">
        <v>238</v>
      </c>
      <c r="S5157" t="s">
        <v>13030</v>
      </c>
    </row>
    <row r="5158" spans="1:19" x14ac:dyDescent="0.25">
      <c r="A5158" s="27" t="s">
        <v>193</v>
      </c>
      <c r="C5158" s="27" t="s">
        <v>34749</v>
      </c>
      <c r="D5158" s="28" t="s">
        <v>34867</v>
      </c>
      <c r="P5158">
        <v>311</v>
      </c>
      <c r="Q5158" t="s">
        <v>13031</v>
      </c>
      <c r="R5158" s="28" t="s">
        <v>238</v>
      </c>
      <c r="S5158" t="s">
        <v>13030</v>
      </c>
    </row>
    <row r="5159" spans="1:19" x14ac:dyDescent="0.25">
      <c r="A5159" s="27" t="s">
        <v>193</v>
      </c>
      <c r="C5159" s="27" t="s">
        <v>34749</v>
      </c>
      <c r="D5159" s="28" t="s">
        <v>34867</v>
      </c>
      <c r="P5159">
        <v>312</v>
      </c>
      <c r="Q5159" t="s">
        <v>388</v>
      </c>
      <c r="R5159" s="28" t="s">
        <v>389</v>
      </c>
      <c r="S5159" t="s">
        <v>13032</v>
      </c>
    </row>
    <row r="5160" spans="1:19" x14ac:dyDescent="0.25">
      <c r="A5160" s="27" t="s">
        <v>193</v>
      </c>
      <c r="C5160" s="27" t="s">
        <v>34749</v>
      </c>
      <c r="D5160" s="28" t="s">
        <v>34867</v>
      </c>
      <c r="P5160">
        <v>313</v>
      </c>
      <c r="Q5160" t="s">
        <v>13033</v>
      </c>
      <c r="R5160" s="28" t="s">
        <v>389</v>
      </c>
      <c r="S5160" t="s">
        <v>13032</v>
      </c>
    </row>
    <row r="5161" spans="1:19" x14ac:dyDescent="0.25">
      <c r="A5161" s="27" t="s">
        <v>193</v>
      </c>
      <c r="C5161" s="27" t="s">
        <v>34749</v>
      </c>
      <c r="D5161" s="28" t="s">
        <v>34867</v>
      </c>
      <c r="P5161">
        <v>314</v>
      </c>
      <c r="Q5161" t="s">
        <v>316</v>
      </c>
      <c r="R5161" s="28" t="s">
        <v>13034</v>
      </c>
      <c r="S5161" t="s">
        <v>13035</v>
      </c>
    </row>
    <row r="5162" spans="1:19" x14ac:dyDescent="0.25">
      <c r="A5162" s="27" t="s">
        <v>193</v>
      </c>
      <c r="C5162" s="27" t="s">
        <v>34749</v>
      </c>
      <c r="D5162" s="28" t="s">
        <v>34867</v>
      </c>
      <c r="P5162">
        <v>315</v>
      </c>
      <c r="Q5162" t="s">
        <v>13036</v>
      </c>
      <c r="R5162" s="28" t="s">
        <v>13034</v>
      </c>
      <c r="S5162" t="s">
        <v>13035</v>
      </c>
    </row>
    <row r="5163" spans="1:19" x14ac:dyDescent="0.25">
      <c r="A5163" s="27" t="s">
        <v>193</v>
      </c>
      <c r="C5163" s="27" t="s">
        <v>34749</v>
      </c>
      <c r="D5163" s="28" t="s">
        <v>34867</v>
      </c>
      <c r="P5163">
        <v>316</v>
      </c>
      <c r="Q5163" t="s">
        <v>408</v>
      </c>
      <c r="R5163" s="28" t="s">
        <v>409</v>
      </c>
      <c r="S5163" t="s">
        <v>13037</v>
      </c>
    </row>
    <row r="5164" spans="1:19" x14ac:dyDescent="0.25">
      <c r="A5164" s="27" t="s">
        <v>193</v>
      </c>
      <c r="C5164" s="27" t="s">
        <v>34749</v>
      </c>
      <c r="D5164" s="28" t="s">
        <v>34867</v>
      </c>
      <c r="P5164">
        <v>317</v>
      </c>
      <c r="Q5164" t="s">
        <v>13038</v>
      </c>
      <c r="R5164" s="28" t="s">
        <v>409</v>
      </c>
      <c r="S5164" t="s">
        <v>13037</v>
      </c>
    </row>
    <row r="5165" spans="1:19" x14ac:dyDescent="0.25">
      <c r="A5165" s="27" t="s">
        <v>193</v>
      </c>
      <c r="C5165" s="27" t="s">
        <v>34749</v>
      </c>
      <c r="D5165" s="28" t="s">
        <v>34867</v>
      </c>
      <c r="P5165">
        <v>318</v>
      </c>
      <c r="Q5165" t="s">
        <v>204</v>
      </c>
      <c r="R5165" s="28" t="s">
        <v>205</v>
      </c>
      <c r="S5165" t="s">
        <v>13039</v>
      </c>
    </row>
    <row r="5166" spans="1:19" x14ac:dyDescent="0.25">
      <c r="A5166" s="27" t="s">
        <v>193</v>
      </c>
      <c r="C5166" s="27" t="s">
        <v>34749</v>
      </c>
      <c r="D5166" s="28" t="s">
        <v>34867</v>
      </c>
      <c r="P5166">
        <v>319</v>
      </c>
      <c r="Q5166" t="s">
        <v>13040</v>
      </c>
      <c r="R5166" s="28" t="s">
        <v>205</v>
      </c>
      <c r="S5166" t="s">
        <v>13039</v>
      </c>
    </row>
    <row r="5167" spans="1:19" x14ac:dyDescent="0.25">
      <c r="A5167" s="27" t="s">
        <v>193</v>
      </c>
      <c r="C5167" s="27" t="s">
        <v>34749</v>
      </c>
      <c r="D5167" s="28" t="s">
        <v>34867</v>
      </c>
      <c r="P5167">
        <v>320</v>
      </c>
      <c r="Q5167" t="s">
        <v>13041</v>
      </c>
      <c r="R5167" s="28" t="s">
        <v>517</v>
      </c>
      <c r="S5167" t="s">
        <v>13042</v>
      </c>
    </row>
    <row r="5168" spans="1:19" x14ac:dyDescent="0.25">
      <c r="A5168" s="27" t="s">
        <v>193</v>
      </c>
      <c r="C5168" s="27" t="s">
        <v>34749</v>
      </c>
      <c r="D5168" s="28" t="s">
        <v>34867</v>
      </c>
      <c r="P5168">
        <v>321</v>
      </c>
      <c r="Q5168" t="s">
        <v>13043</v>
      </c>
      <c r="R5168" s="28" t="s">
        <v>517</v>
      </c>
      <c r="S5168" t="s">
        <v>13042</v>
      </c>
    </row>
    <row r="5169" spans="1:19" x14ac:dyDescent="0.25">
      <c r="A5169" s="27" t="s">
        <v>193</v>
      </c>
      <c r="C5169" s="27" t="s">
        <v>34749</v>
      </c>
      <c r="D5169" s="28" t="s">
        <v>34867</v>
      </c>
      <c r="P5169">
        <v>323</v>
      </c>
      <c r="Q5169" t="s">
        <v>208</v>
      </c>
      <c r="R5169" s="28" t="s">
        <v>209</v>
      </c>
      <c r="S5169" t="s">
        <v>13044</v>
      </c>
    </row>
    <row r="5170" spans="1:19" x14ac:dyDescent="0.25">
      <c r="A5170" s="27" t="s">
        <v>193</v>
      </c>
      <c r="C5170" s="27" t="s">
        <v>34749</v>
      </c>
      <c r="D5170" s="28" t="s">
        <v>34867</v>
      </c>
      <c r="P5170">
        <v>324</v>
      </c>
      <c r="Q5170" t="s">
        <v>376</v>
      </c>
      <c r="R5170" s="28" t="s">
        <v>377</v>
      </c>
      <c r="S5170" t="s">
        <v>13045</v>
      </c>
    </row>
    <row r="5171" spans="1:19" x14ac:dyDescent="0.25">
      <c r="A5171" s="27" t="s">
        <v>193</v>
      </c>
      <c r="C5171" s="27" t="s">
        <v>34749</v>
      </c>
      <c r="D5171" s="28" t="s">
        <v>34867</v>
      </c>
      <c r="P5171">
        <v>325</v>
      </c>
      <c r="Q5171" t="s">
        <v>13046</v>
      </c>
      <c r="R5171" s="28" t="s">
        <v>377</v>
      </c>
      <c r="S5171" t="s">
        <v>13045</v>
      </c>
    </row>
    <row r="5172" spans="1:19" x14ac:dyDescent="0.25">
      <c r="A5172" s="27" t="s">
        <v>193</v>
      </c>
      <c r="C5172" s="27" t="s">
        <v>34749</v>
      </c>
      <c r="D5172" s="28" t="s">
        <v>34867</v>
      </c>
      <c r="P5172">
        <v>326</v>
      </c>
      <c r="Q5172" t="s">
        <v>280</v>
      </c>
      <c r="R5172" s="28" t="s">
        <v>281</v>
      </c>
      <c r="S5172" t="s">
        <v>13047</v>
      </c>
    </row>
    <row r="5173" spans="1:19" x14ac:dyDescent="0.25">
      <c r="A5173" s="27" t="s">
        <v>193</v>
      </c>
      <c r="C5173" s="27" t="s">
        <v>34749</v>
      </c>
      <c r="D5173" s="28" t="s">
        <v>34867</v>
      </c>
      <c r="P5173">
        <v>327</v>
      </c>
      <c r="Q5173" t="s">
        <v>13048</v>
      </c>
      <c r="R5173" s="28" t="s">
        <v>281</v>
      </c>
      <c r="S5173" t="s">
        <v>13047</v>
      </c>
    </row>
    <row r="5174" spans="1:19" x14ac:dyDescent="0.25">
      <c r="A5174" s="27" t="s">
        <v>193</v>
      </c>
      <c r="C5174" s="27" t="s">
        <v>34749</v>
      </c>
      <c r="D5174" s="28" t="s">
        <v>34867</v>
      </c>
      <c r="P5174">
        <v>328</v>
      </c>
      <c r="Q5174" t="s">
        <v>292</v>
      </c>
      <c r="R5174" s="28" t="s">
        <v>293</v>
      </c>
      <c r="S5174" t="s">
        <v>13049</v>
      </c>
    </row>
    <row r="5175" spans="1:19" x14ac:dyDescent="0.25">
      <c r="A5175" s="27" t="s">
        <v>193</v>
      </c>
      <c r="C5175" s="27" t="s">
        <v>34749</v>
      </c>
      <c r="D5175" s="28" t="s">
        <v>34867</v>
      </c>
      <c r="P5175">
        <v>329</v>
      </c>
      <c r="Q5175" t="s">
        <v>13050</v>
      </c>
      <c r="R5175" s="28" t="s">
        <v>293</v>
      </c>
      <c r="S5175" t="s">
        <v>13049</v>
      </c>
    </row>
    <row r="5176" spans="1:19" x14ac:dyDescent="0.25">
      <c r="A5176" s="27" t="s">
        <v>193</v>
      </c>
      <c r="C5176" s="27" t="s">
        <v>34749</v>
      </c>
      <c r="D5176" s="28" t="s">
        <v>34867</v>
      </c>
      <c r="P5176">
        <v>330</v>
      </c>
      <c r="Q5176" t="s">
        <v>300</v>
      </c>
      <c r="R5176" s="28" t="s">
        <v>301</v>
      </c>
      <c r="S5176" t="s">
        <v>13051</v>
      </c>
    </row>
    <row r="5177" spans="1:19" x14ac:dyDescent="0.25">
      <c r="A5177" s="27" t="s">
        <v>193</v>
      </c>
      <c r="C5177" s="27" t="s">
        <v>34749</v>
      </c>
      <c r="D5177" s="28" t="s">
        <v>34867</v>
      </c>
      <c r="P5177">
        <v>331</v>
      </c>
      <c r="Q5177" t="s">
        <v>13052</v>
      </c>
      <c r="R5177" s="28" t="s">
        <v>301</v>
      </c>
      <c r="S5177" t="s">
        <v>13051</v>
      </c>
    </row>
    <row r="5178" spans="1:19" x14ac:dyDescent="0.25">
      <c r="A5178" s="27" t="s">
        <v>193</v>
      </c>
      <c r="C5178" s="27" t="s">
        <v>34749</v>
      </c>
      <c r="D5178" s="28" t="s">
        <v>34867</v>
      </c>
      <c r="P5178">
        <v>332</v>
      </c>
      <c r="Q5178" t="s">
        <v>504</v>
      </c>
      <c r="R5178" s="28" t="s">
        <v>505</v>
      </c>
      <c r="S5178" t="s">
        <v>13053</v>
      </c>
    </row>
    <row r="5179" spans="1:19" x14ac:dyDescent="0.25">
      <c r="A5179" s="27" t="s">
        <v>193</v>
      </c>
      <c r="C5179" s="27" t="s">
        <v>34749</v>
      </c>
      <c r="D5179" s="28" t="s">
        <v>34867</v>
      </c>
      <c r="P5179">
        <v>333</v>
      </c>
      <c r="Q5179" t="s">
        <v>13054</v>
      </c>
      <c r="R5179" s="28" t="s">
        <v>505</v>
      </c>
      <c r="S5179" t="s">
        <v>13053</v>
      </c>
    </row>
    <row r="5180" spans="1:19" x14ac:dyDescent="0.25">
      <c r="A5180" s="27" t="s">
        <v>193</v>
      </c>
      <c r="C5180" s="27" t="s">
        <v>34749</v>
      </c>
      <c r="D5180" s="28" t="s">
        <v>34867</v>
      </c>
      <c r="P5180">
        <v>334</v>
      </c>
      <c r="Q5180" t="s">
        <v>512</v>
      </c>
      <c r="R5180" s="28" t="s">
        <v>513</v>
      </c>
      <c r="S5180" t="s">
        <v>13055</v>
      </c>
    </row>
    <row r="5181" spans="1:19" x14ac:dyDescent="0.25">
      <c r="A5181" s="27" t="s">
        <v>193</v>
      </c>
      <c r="C5181" s="27" t="s">
        <v>34749</v>
      </c>
      <c r="D5181" s="28" t="s">
        <v>34867</v>
      </c>
      <c r="P5181">
        <v>335</v>
      </c>
      <c r="Q5181" t="s">
        <v>13056</v>
      </c>
      <c r="R5181" s="28" t="s">
        <v>513</v>
      </c>
      <c r="S5181" t="s">
        <v>13055</v>
      </c>
    </row>
    <row r="5182" spans="1:19" x14ac:dyDescent="0.25">
      <c r="A5182" s="27" t="s">
        <v>193</v>
      </c>
      <c r="C5182" s="27" t="s">
        <v>34749</v>
      </c>
      <c r="D5182" s="28" t="s">
        <v>34867</v>
      </c>
      <c r="P5182">
        <v>336</v>
      </c>
      <c r="Q5182" t="s">
        <v>200</v>
      </c>
      <c r="R5182" s="28" t="s">
        <v>201</v>
      </c>
      <c r="S5182" t="s">
        <v>13057</v>
      </c>
    </row>
    <row r="5183" spans="1:19" x14ac:dyDescent="0.25">
      <c r="A5183" s="27" t="s">
        <v>193</v>
      </c>
      <c r="C5183" s="27" t="s">
        <v>34749</v>
      </c>
      <c r="D5183" s="28" t="s">
        <v>34867</v>
      </c>
      <c r="P5183">
        <v>337</v>
      </c>
      <c r="Q5183" t="s">
        <v>13058</v>
      </c>
      <c r="R5183" s="28" t="s">
        <v>201</v>
      </c>
      <c r="S5183" t="s">
        <v>13057</v>
      </c>
    </row>
    <row r="5184" spans="1:19" x14ac:dyDescent="0.25">
      <c r="A5184" s="27" t="s">
        <v>193</v>
      </c>
      <c r="C5184" s="27" t="s">
        <v>34749</v>
      </c>
      <c r="D5184" s="28" t="s">
        <v>34867</v>
      </c>
      <c r="P5184">
        <v>338</v>
      </c>
      <c r="Q5184" t="s">
        <v>352</v>
      </c>
      <c r="R5184" s="28" t="s">
        <v>353</v>
      </c>
      <c r="S5184" t="s">
        <v>13059</v>
      </c>
    </row>
    <row r="5185" spans="1:19" x14ac:dyDescent="0.25">
      <c r="A5185" s="27" t="s">
        <v>193</v>
      </c>
      <c r="C5185" s="27" t="s">
        <v>34749</v>
      </c>
      <c r="D5185" s="28" t="s">
        <v>34867</v>
      </c>
      <c r="P5185">
        <v>339</v>
      </c>
      <c r="Q5185" t="s">
        <v>13060</v>
      </c>
      <c r="R5185" s="28" t="s">
        <v>353</v>
      </c>
      <c r="S5185" t="s">
        <v>13059</v>
      </c>
    </row>
    <row r="5186" spans="1:19" x14ac:dyDescent="0.25">
      <c r="A5186" s="27" t="s">
        <v>193</v>
      </c>
      <c r="C5186" s="27" t="s">
        <v>34749</v>
      </c>
      <c r="D5186" s="28" t="s">
        <v>34867</v>
      </c>
      <c r="P5186">
        <v>340</v>
      </c>
      <c r="Q5186" t="s">
        <v>296</v>
      </c>
      <c r="R5186" s="28" t="s">
        <v>297</v>
      </c>
      <c r="S5186" t="s">
        <v>13061</v>
      </c>
    </row>
    <row r="5187" spans="1:19" x14ac:dyDescent="0.25">
      <c r="A5187" s="27" t="s">
        <v>193</v>
      </c>
      <c r="C5187" s="27" t="s">
        <v>34749</v>
      </c>
      <c r="D5187" s="28" t="s">
        <v>34867</v>
      </c>
      <c r="P5187">
        <v>341</v>
      </c>
      <c r="Q5187" t="s">
        <v>13062</v>
      </c>
      <c r="R5187" s="28" t="s">
        <v>297</v>
      </c>
      <c r="S5187" t="s">
        <v>13061</v>
      </c>
    </row>
    <row r="5188" spans="1:19" x14ac:dyDescent="0.25">
      <c r="A5188" s="27" t="s">
        <v>193</v>
      </c>
      <c r="C5188" s="27" t="s">
        <v>34749</v>
      </c>
      <c r="D5188" s="28" t="s">
        <v>34867</v>
      </c>
      <c r="P5188">
        <v>342</v>
      </c>
      <c r="Q5188" t="s">
        <v>320</v>
      </c>
      <c r="R5188" s="28" t="s">
        <v>321</v>
      </c>
      <c r="S5188" t="s">
        <v>13063</v>
      </c>
    </row>
    <row r="5189" spans="1:19" x14ac:dyDescent="0.25">
      <c r="A5189" s="27" t="s">
        <v>193</v>
      </c>
      <c r="C5189" s="27" t="s">
        <v>34749</v>
      </c>
      <c r="D5189" s="28" t="s">
        <v>34867</v>
      </c>
      <c r="P5189">
        <v>343</v>
      </c>
      <c r="Q5189" t="s">
        <v>336</v>
      </c>
      <c r="R5189" s="28" t="s">
        <v>337</v>
      </c>
      <c r="S5189" t="s">
        <v>13064</v>
      </c>
    </row>
    <row r="5190" spans="1:19" x14ac:dyDescent="0.25">
      <c r="A5190" s="27" t="s">
        <v>193</v>
      </c>
      <c r="C5190" s="27" t="s">
        <v>34749</v>
      </c>
      <c r="D5190" s="28" t="s">
        <v>34867</v>
      </c>
      <c r="P5190">
        <v>344</v>
      </c>
      <c r="Q5190" t="s">
        <v>508</v>
      </c>
      <c r="R5190" s="28" t="s">
        <v>509</v>
      </c>
      <c r="S5190" t="s">
        <v>13065</v>
      </c>
    </row>
    <row r="5191" spans="1:19" x14ac:dyDescent="0.25">
      <c r="A5191" s="27" t="s">
        <v>193</v>
      </c>
      <c r="C5191" s="27" t="s">
        <v>34749</v>
      </c>
      <c r="D5191" s="28" t="s">
        <v>34867</v>
      </c>
      <c r="P5191">
        <v>345</v>
      </c>
      <c r="Q5191" t="s">
        <v>393</v>
      </c>
      <c r="R5191" s="28" t="s">
        <v>392</v>
      </c>
      <c r="S5191" t="s">
        <v>13066</v>
      </c>
    </row>
    <row r="5192" spans="1:19" x14ac:dyDescent="0.25">
      <c r="A5192" s="27" t="s">
        <v>193</v>
      </c>
      <c r="C5192" s="27" t="s">
        <v>34749</v>
      </c>
      <c r="D5192" s="28" t="s">
        <v>34867</v>
      </c>
      <c r="P5192">
        <v>346</v>
      </c>
      <c r="Q5192" t="s">
        <v>384</v>
      </c>
      <c r="R5192" s="28" t="s">
        <v>385</v>
      </c>
      <c r="S5192" t="s">
        <v>13067</v>
      </c>
    </row>
    <row r="5193" spans="1:19" x14ac:dyDescent="0.25">
      <c r="A5193" s="27" t="s">
        <v>193</v>
      </c>
      <c r="C5193" s="27" t="s">
        <v>34749</v>
      </c>
      <c r="D5193" s="28" t="s">
        <v>34867</v>
      </c>
      <c r="P5193">
        <v>347</v>
      </c>
      <c r="Q5193" t="s">
        <v>13068</v>
      </c>
      <c r="R5193" s="28" t="s">
        <v>385</v>
      </c>
      <c r="S5193" t="s">
        <v>13067</v>
      </c>
    </row>
    <row r="5194" spans="1:19" x14ac:dyDescent="0.25">
      <c r="A5194" s="27" t="s">
        <v>193</v>
      </c>
      <c r="C5194" s="27" t="s">
        <v>34749</v>
      </c>
      <c r="D5194" s="28" t="s">
        <v>34867</v>
      </c>
      <c r="P5194">
        <v>348</v>
      </c>
      <c r="Q5194" t="s">
        <v>272</v>
      </c>
      <c r="R5194" s="28" t="s">
        <v>273</v>
      </c>
      <c r="S5194" t="s">
        <v>13069</v>
      </c>
    </row>
    <row r="5195" spans="1:19" x14ac:dyDescent="0.25">
      <c r="A5195" s="27" t="s">
        <v>193</v>
      </c>
      <c r="C5195" s="27" t="s">
        <v>34749</v>
      </c>
      <c r="D5195" s="28" t="s">
        <v>34867</v>
      </c>
      <c r="P5195">
        <v>349</v>
      </c>
      <c r="Q5195" t="s">
        <v>13070</v>
      </c>
      <c r="R5195" s="28" t="s">
        <v>273</v>
      </c>
      <c r="S5195" t="s">
        <v>13069</v>
      </c>
    </row>
    <row r="5196" spans="1:19" x14ac:dyDescent="0.25">
      <c r="A5196" s="27" t="s">
        <v>193</v>
      </c>
      <c r="C5196" s="27" t="s">
        <v>34749</v>
      </c>
      <c r="D5196" s="28" t="s">
        <v>34867</v>
      </c>
      <c r="P5196">
        <v>350</v>
      </c>
      <c r="Q5196" t="s">
        <v>276</v>
      </c>
      <c r="R5196" s="28" t="s">
        <v>277</v>
      </c>
      <c r="S5196" t="s">
        <v>13071</v>
      </c>
    </row>
    <row r="5197" spans="1:19" x14ac:dyDescent="0.25">
      <c r="A5197" s="27" t="s">
        <v>193</v>
      </c>
      <c r="C5197" s="27" t="s">
        <v>34749</v>
      </c>
      <c r="D5197" s="28" t="s">
        <v>34867</v>
      </c>
      <c r="P5197">
        <v>351</v>
      </c>
      <c r="Q5197" t="s">
        <v>13072</v>
      </c>
      <c r="R5197" s="28" t="s">
        <v>277</v>
      </c>
      <c r="S5197" t="s">
        <v>13071</v>
      </c>
    </row>
    <row r="5198" spans="1:19" x14ac:dyDescent="0.25">
      <c r="A5198" s="27" t="s">
        <v>193</v>
      </c>
      <c r="C5198" s="27" t="s">
        <v>34749</v>
      </c>
      <c r="D5198" s="28" t="s">
        <v>34867</v>
      </c>
      <c r="P5198">
        <v>352</v>
      </c>
      <c r="Q5198" t="s">
        <v>372</v>
      </c>
      <c r="R5198" s="28" t="s">
        <v>373</v>
      </c>
      <c r="S5198" t="s">
        <v>13073</v>
      </c>
    </row>
    <row r="5199" spans="1:19" x14ac:dyDescent="0.25">
      <c r="A5199" s="27" t="s">
        <v>193</v>
      </c>
      <c r="C5199" s="27" t="s">
        <v>34749</v>
      </c>
      <c r="D5199" s="28" t="s">
        <v>34867</v>
      </c>
      <c r="P5199">
        <v>353</v>
      </c>
      <c r="Q5199" t="s">
        <v>13074</v>
      </c>
      <c r="R5199" s="28" t="s">
        <v>373</v>
      </c>
      <c r="S5199" t="s">
        <v>13073</v>
      </c>
    </row>
    <row r="5200" spans="1:19" x14ac:dyDescent="0.25">
      <c r="A5200" s="27" t="s">
        <v>193</v>
      </c>
      <c r="C5200" s="27" t="s">
        <v>34749</v>
      </c>
      <c r="D5200" s="28" t="s">
        <v>34867</v>
      </c>
      <c r="P5200">
        <v>354</v>
      </c>
      <c r="Q5200" t="s">
        <v>304</v>
      </c>
      <c r="R5200" s="28" t="s">
        <v>305</v>
      </c>
      <c r="S5200" t="s">
        <v>13075</v>
      </c>
    </row>
    <row r="5201" spans="1:19" x14ac:dyDescent="0.25">
      <c r="A5201" s="27" t="s">
        <v>193</v>
      </c>
      <c r="C5201" s="27" t="s">
        <v>34749</v>
      </c>
      <c r="D5201" s="28" t="s">
        <v>34867</v>
      </c>
      <c r="P5201">
        <v>355</v>
      </c>
      <c r="Q5201" t="s">
        <v>13076</v>
      </c>
      <c r="R5201" s="28" t="s">
        <v>305</v>
      </c>
      <c r="S5201" t="s">
        <v>13075</v>
      </c>
    </row>
    <row r="5202" spans="1:19" x14ac:dyDescent="0.25">
      <c r="A5202" s="27" t="s">
        <v>193</v>
      </c>
      <c r="C5202" s="27" t="s">
        <v>34749</v>
      </c>
      <c r="D5202" s="28" t="s">
        <v>34867</v>
      </c>
      <c r="P5202">
        <v>356</v>
      </c>
      <c r="Q5202" t="s">
        <v>13077</v>
      </c>
      <c r="R5202" s="28" t="s">
        <v>417</v>
      </c>
      <c r="S5202" t="s">
        <v>13078</v>
      </c>
    </row>
    <row r="5203" spans="1:19" x14ac:dyDescent="0.25">
      <c r="A5203" s="27" t="s">
        <v>193</v>
      </c>
      <c r="C5203" s="27" t="s">
        <v>34749</v>
      </c>
      <c r="D5203" s="28" t="s">
        <v>34867</v>
      </c>
      <c r="P5203">
        <v>357</v>
      </c>
      <c r="Q5203" t="s">
        <v>13079</v>
      </c>
      <c r="R5203" s="28" t="s">
        <v>413</v>
      </c>
      <c r="S5203" t="s">
        <v>13080</v>
      </c>
    </row>
    <row r="5204" spans="1:19" x14ac:dyDescent="0.25">
      <c r="A5204" s="27" t="s">
        <v>193</v>
      </c>
      <c r="C5204" s="27" t="s">
        <v>34749</v>
      </c>
      <c r="D5204" s="28" t="s">
        <v>34867</v>
      </c>
      <c r="P5204">
        <v>358</v>
      </c>
      <c r="Q5204" t="s">
        <v>13081</v>
      </c>
      <c r="R5204" s="28" t="s">
        <v>425</v>
      </c>
      <c r="S5204" t="s">
        <v>13082</v>
      </c>
    </row>
    <row r="5205" spans="1:19" x14ac:dyDescent="0.25">
      <c r="A5205" s="27" t="s">
        <v>193</v>
      </c>
      <c r="C5205" s="27" t="s">
        <v>34749</v>
      </c>
      <c r="D5205" s="28" t="s">
        <v>34867</v>
      </c>
      <c r="P5205">
        <v>359</v>
      </c>
      <c r="Q5205" t="s">
        <v>13083</v>
      </c>
      <c r="R5205" s="28" t="s">
        <v>333</v>
      </c>
      <c r="S5205" t="s">
        <v>13084</v>
      </c>
    </row>
    <row r="5206" spans="1:19" x14ac:dyDescent="0.25">
      <c r="A5206" s="27" t="s">
        <v>193</v>
      </c>
      <c r="C5206" s="27" t="s">
        <v>34749</v>
      </c>
      <c r="D5206" s="28" t="s">
        <v>34867</v>
      </c>
      <c r="P5206">
        <v>360</v>
      </c>
      <c r="Q5206" t="s">
        <v>13085</v>
      </c>
      <c r="R5206" s="28" t="s">
        <v>433</v>
      </c>
      <c r="S5206" t="s">
        <v>13086</v>
      </c>
    </row>
    <row r="5207" spans="1:19" x14ac:dyDescent="0.25">
      <c r="A5207" s="27" t="s">
        <v>193</v>
      </c>
      <c r="C5207" s="27" t="s">
        <v>34749</v>
      </c>
      <c r="D5207" s="28" t="s">
        <v>34867</v>
      </c>
      <c r="P5207">
        <v>361</v>
      </c>
      <c r="Q5207" t="s">
        <v>13087</v>
      </c>
      <c r="R5207" s="28" t="s">
        <v>553</v>
      </c>
      <c r="S5207" t="s">
        <v>13088</v>
      </c>
    </row>
    <row r="5208" spans="1:19" x14ac:dyDescent="0.25">
      <c r="A5208" s="27" t="s">
        <v>193</v>
      </c>
      <c r="C5208" s="27" t="s">
        <v>34749</v>
      </c>
      <c r="D5208" s="28" t="s">
        <v>34867</v>
      </c>
      <c r="P5208">
        <v>362</v>
      </c>
      <c r="Q5208" t="s">
        <v>13089</v>
      </c>
      <c r="R5208" s="28" t="s">
        <v>321</v>
      </c>
      <c r="S5208" t="s">
        <v>13063</v>
      </c>
    </row>
    <row r="5209" spans="1:19" x14ac:dyDescent="0.25">
      <c r="A5209" s="27" t="s">
        <v>193</v>
      </c>
      <c r="C5209" s="27" t="s">
        <v>34749</v>
      </c>
      <c r="D5209" s="28" t="s">
        <v>34867</v>
      </c>
      <c r="P5209">
        <v>363</v>
      </c>
      <c r="Q5209" t="s">
        <v>13090</v>
      </c>
      <c r="R5209" s="28" t="s">
        <v>337</v>
      </c>
      <c r="S5209" t="s">
        <v>13064</v>
      </c>
    </row>
    <row r="5210" spans="1:19" x14ac:dyDescent="0.25">
      <c r="A5210" s="27" t="s">
        <v>193</v>
      </c>
      <c r="C5210" s="27" t="s">
        <v>34749</v>
      </c>
      <c r="D5210" s="28" t="s">
        <v>34867</v>
      </c>
      <c r="P5210">
        <v>364</v>
      </c>
      <c r="Q5210" t="s">
        <v>13091</v>
      </c>
      <c r="R5210" s="28" t="s">
        <v>509</v>
      </c>
      <c r="S5210" t="s">
        <v>13065</v>
      </c>
    </row>
    <row r="5211" spans="1:19" x14ac:dyDescent="0.25">
      <c r="A5211" s="27" t="s">
        <v>193</v>
      </c>
      <c r="C5211" s="27" t="s">
        <v>34749</v>
      </c>
      <c r="D5211" s="28" t="s">
        <v>34867</v>
      </c>
      <c r="P5211">
        <v>365</v>
      </c>
      <c r="Q5211" t="s">
        <v>13092</v>
      </c>
      <c r="R5211" s="28" t="s">
        <v>392</v>
      </c>
      <c r="S5211" t="s">
        <v>13066</v>
      </c>
    </row>
    <row r="5212" spans="1:19" x14ac:dyDescent="0.25">
      <c r="A5212" s="27" t="s">
        <v>193</v>
      </c>
      <c r="C5212" s="27" t="s">
        <v>34749</v>
      </c>
      <c r="D5212" s="28" t="s">
        <v>34867</v>
      </c>
      <c r="P5212">
        <v>366</v>
      </c>
      <c r="Q5212" t="s">
        <v>13093</v>
      </c>
      <c r="S5212" t="s">
        <v>13022</v>
      </c>
    </row>
    <row r="5213" spans="1:19" x14ac:dyDescent="0.25">
      <c r="A5213" s="27" t="s">
        <v>193</v>
      </c>
      <c r="C5213" s="27" t="s">
        <v>34749</v>
      </c>
      <c r="D5213" s="28" t="s">
        <v>34867</v>
      </c>
      <c r="P5213">
        <v>367</v>
      </c>
      <c r="Q5213" t="s">
        <v>13094</v>
      </c>
      <c r="R5213" s="28" t="s">
        <v>405</v>
      </c>
      <c r="S5213" t="s">
        <v>13022</v>
      </c>
    </row>
    <row r="5214" spans="1:19" x14ac:dyDescent="0.25">
      <c r="A5214" s="27" t="s">
        <v>193</v>
      </c>
      <c r="C5214" s="27" t="s">
        <v>34749</v>
      </c>
      <c r="D5214" s="28" t="s">
        <v>34867</v>
      </c>
      <c r="P5214">
        <v>370</v>
      </c>
      <c r="Q5214" t="s">
        <v>416</v>
      </c>
      <c r="R5214" s="28" t="s">
        <v>417</v>
      </c>
      <c r="S5214" t="s">
        <v>13078</v>
      </c>
    </row>
    <row r="5215" spans="1:19" x14ac:dyDescent="0.25">
      <c r="A5215" s="27" t="s">
        <v>193</v>
      </c>
      <c r="C5215" s="27" t="s">
        <v>34749</v>
      </c>
      <c r="D5215" s="28" t="s">
        <v>34867</v>
      </c>
      <c r="P5215">
        <v>371</v>
      </c>
      <c r="Q5215" t="s">
        <v>13095</v>
      </c>
      <c r="R5215" s="28" t="s">
        <v>413</v>
      </c>
      <c r="S5215" t="s">
        <v>13080</v>
      </c>
    </row>
    <row r="5216" spans="1:19" x14ac:dyDescent="0.25">
      <c r="A5216" s="27" t="s">
        <v>193</v>
      </c>
      <c r="C5216" s="27" t="s">
        <v>34749</v>
      </c>
      <c r="D5216" s="28" t="s">
        <v>34867</v>
      </c>
      <c r="P5216">
        <v>372</v>
      </c>
      <c r="Q5216" t="s">
        <v>424</v>
      </c>
      <c r="R5216" s="28" t="s">
        <v>425</v>
      </c>
      <c r="S5216" t="s">
        <v>13082</v>
      </c>
    </row>
    <row r="5217" spans="1:19" x14ac:dyDescent="0.25">
      <c r="A5217" s="27" t="s">
        <v>193</v>
      </c>
      <c r="C5217" s="27" t="s">
        <v>34749</v>
      </c>
      <c r="D5217" s="28" t="s">
        <v>34867</v>
      </c>
      <c r="P5217">
        <v>373</v>
      </c>
      <c r="Q5217" t="s">
        <v>332</v>
      </c>
      <c r="R5217" s="28" t="s">
        <v>333</v>
      </c>
      <c r="S5217" t="s">
        <v>13084</v>
      </c>
    </row>
    <row r="5218" spans="1:19" x14ac:dyDescent="0.25">
      <c r="A5218" s="27" t="s">
        <v>193</v>
      </c>
      <c r="C5218" s="27" t="s">
        <v>34749</v>
      </c>
      <c r="D5218" s="28" t="s">
        <v>34867</v>
      </c>
      <c r="P5218">
        <v>374</v>
      </c>
      <c r="Q5218" t="s">
        <v>432</v>
      </c>
      <c r="R5218" s="28" t="s">
        <v>433</v>
      </c>
      <c r="S5218" t="s">
        <v>13086</v>
      </c>
    </row>
    <row r="5219" spans="1:19" x14ac:dyDescent="0.25">
      <c r="A5219" s="27" t="s">
        <v>193</v>
      </c>
      <c r="C5219" s="27" t="s">
        <v>34749</v>
      </c>
      <c r="D5219" s="28" t="s">
        <v>34867</v>
      </c>
      <c r="P5219">
        <v>375</v>
      </c>
      <c r="Q5219" t="s">
        <v>552</v>
      </c>
      <c r="R5219" s="28" t="s">
        <v>553</v>
      </c>
      <c r="S5219" t="s">
        <v>13088</v>
      </c>
    </row>
    <row r="5220" spans="1:19" x14ac:dyDescent="0.25">
      <c r="A5220" s="27" t="s">
        <v>193</v>
      </c>
      <c r="C5220" s="27" t="s">
        <v>34749</v>
      </c>
      <c r="D5220" s="28" t="s">
        <v>34867</v>
      </c>
      <c r="P5220">
        <v>376</v>
      </c>
      <c r="Q5220" t="s">
        <v>13096</v>
      </c>
      <c r="R5220" s="28" t="s">
        <v>13097</v>
      </c>
      <c r="S5220" t="s">
        <v>13035</v>
      </c>
    </row>
    <row r="5221" spans="1:19" x14ac:dyDescent="0.25">
      <c r="A5221" s="27" t="s">
        <v>193</v>
      </c>
      <c r="C5221" s="27" t="s">
        <v>34749</v>
      </c>
      <c r="D5221" s="28" t="s">
        <v>34867</v>
      </c>
      <c r="P5221">
        <v>377</v>
      </c>
      <c r="Q5221" t="s">
        <v>13098</v>
      </c>
      <c r="R5221" s="28" t="s">
        <v>13099</v>
      </c>
      <c r="S5221" t="s">
        <v>13035</v>
      </c>
    </row>
    <row r="5222" spans="1:19" x14ac:dyDescent="0.25">
      <c r="A5222" s="27" t="s">
        <v>193</v>
      </c>
      <c r="C5222" s="27" t="s">
        <v>34749</v>
      </c>
      <c r="D5222" s="28" t="s">
        <v>34867</v>
      </c>
      <c r="P5222">
        <v>378</v>
      </c>
      <c r="Q5222" t="s">
        <v>544</v>
      </c>
      <c r="R5222" s="28" t="s">
        <v>545</v>
      </c>
      <c r="S5222" t="s">
        <v>13100</v>
      </c>
    </row>
    <row r="5223" spans="1:19" x14ac:dyDescent="0.25">
      <c r="A5223" s="27" t="s">
        <v>193</v>
      </c>
      <c r="C5223" s="27" t="s">
        <v>34749</v>
      </c>
      <c r="D5223" s="28" t="s">
        <v>34867</v>
      </c>
      <c r="P5223">
        <v>379</v>
      </c>
      <c r="Q5223" t="s">
        <v>13101</v>
      </c>
      <c r="R5223" s="28" t="s">
        <v>545</v>
      </c>
      <c r="S5223" t="s">
        <v>13100</v>
      </c>
    </row>
    <row r="5224" spans="1:19" x14ac:dyDescent="0.25">
      <c r="A5224" t="s">
        <v>17</v>
      </c>
      <c r="C5224" s="27" t="s">
        <v>34749</v>
      </c>
      <c r="D5224" s="28" t="s">
        <v>34867</v>
      </c>
      <c r="P5224">
        <v>380</v>
      </c>
      <c r="Q5224" t="s">
        <v>324</v>
      </c>
      <c r="R5224" s="28" t="s">
        <v>325</v>
      </c>
      <c r="S5224" t="s">
        <v>13102</v>
      </c>
    </row>
    <row r="5225" spans="1:19" x14ac:dyDescent="0.25">
      <c r="A5225" t="s">
        <v>17</v>
      </c>
      <c r="C5225" s="27" t="s">
        <v>34749</v>
      </c>
      <c r="D5225" s="28" t="s">
        <v>34867</v>
      </c>
      <c r="P5225">
        <v>382</v>
      </c>
      <c r="Q5225" t="s">
        <v>221</v>
      </c>
      <c r="R5225" s="28" t="s">
        <v>222</v>
      </c>
      <c r="S5225" t="s">
        <v>13103</v>
      </c>
    </row>
    <row r="5226" spans="1:19" x14ac:dyDescent="0.25">
      <c r="A5226" s="27" t="s">
        <v>193</v>
      </c>
      <c r="C5226" s="27" t="s">
        <v>34749</v>
      </c>
      <c r="D5226" s="28" t="s">
        <v>34867</v>
      </c>
      <c r="P5226">
        <v>383</v>
      </c>
      <c r="Q5226" t="s">
        <v>13104</v>
      </c>
      <c r="R5226" s="28" t="s">
        <v>4075</v>
      </c>
      <c r="S5226" t="s">
        <v>13047</v>
      </c>
    </row>
    <row r="5227" spans="1:19" x14ac:dyDescent="0.25">
      <c r="A5227" s="27" t="s">
        <v>193</v>
      </c>
      <c r="C5227" s="27" t="s">
        <v>34749</v>
      </c>
      <c r="D5227" s="28" t="s">
        <v>34867</v>
      </c>
      <c r="P5227">
        <v>384</v>
      </c>
      <c r="Q5227" t="s">
        <v>396</v>
      </c>
      <c r="R5227" s="28" t="s">
        <v>397</v>
      </c>
      <c r="S5227" t="s">
        <v>13105</v>
      </c>
    </row>
    <row r="5228" spans="1:19" x14ac:dyDescent="0.25">
      <c r="A5228" s="27" t="s">
        <v>193</v>
      </c>
      <c r="C5228" s="27" t="s">
        <v>34749</v>
      </c>
      <c r="D5228" s="28" t="s">
        <v>34867</v>
      </c>
      <c r="P5228">
        <v>386</v>
      </c>
      <c r="Q5228" t="s">
        <v>13106</v>
      </c>
      <c r="R5228" s="28" t="s">
        <v>3815</v>
      </c>
      <c r="S5228" t="s">
        <v>13107</v>
      </c>
    </row>
    <row r="5229" spans="1:19" x14ac:dyDescent="0.25">
      <c r="A5229" s="27" t="s">
        <v>193</v>
      </c>
      <c r="C5229" s="27" t="s">
        <v>34749</v>
      </c>
      <c r="D5229" s="28" t="s">
        <v>34867</v>
      </c>
      <c r="P5229">
        <v>388</v>
      </c>
      <c r="Q5229" t="s">
        <v>13108</v>
      </c>
      <c r="R5229" s="28" t="s">
        <v>3815</v>
      </c>
      <c r="S5229" t="s">
        <v>13107</v>
      </c>
    </row>
    <row r="5230" spans="1:19" x14ac:dyDescent="0.25">
      <c r="A5230" s="27" t="s">
        <v>193</v>
      </c>
      <c r="C5230" s="27" t="s">
        <v>34749</v>
      </c>
      <c r="D5230" s="28" t="s">
        <v>34867</v>
      </c>
      <c r="P5230">
        <v>390</v>
      </c>
      <c r="Q5230" t="s">
        <v>13109</v>
      </c>
      <c r="R5230" s="28" t="s">
        <v>13110</v>
      </c>
      <c r="S5230" t="s">
        <v>13111</v>
      </c>
    </row>
    <row r="5231" spans="1:19" x14ac:dyDescent="0.25">
      <c r="A5231" s="27" t="s">
        <v>193</v>
      </c>
      <c r="C5231" s="27" t="s">
        <v>34749</v>
      </c>
      <c r="D5231" s="28" t="s">
        <v>34867</v>
      </c>
      <c r="P5231">
        <v>392</v>
      </c>
      <c r="Q5231" t="s">
        <v>248</v>
      </c>
      <c r="R5231" s="28" t="s">
        <v>249</v>
      </c>
      <c r="S5231" t="s">
        <v>13112</v>
      </c>
    </row>
    <row r="5232" spans="1:19" x14ac:dyDescent="0.25">
      <c r="A5232" s="27" t="s">
        <v>193</v>
      </c>
      <c r="C5232" s="27" t="s">
        <v>34749</v>
      </c>
      <c r="D5232" s="28" t="s">
        <v>34867</v>
      </c>
      <c r="P5232">
        <v>394</v>
      </c>
      <c r="Q5232" t="s">
        <v>3241</v>
      </c>
      <c r="R5232" s="28" t="s">
        <v>3242</v>
      </c>
      <c r="S5232" t="s">
        <v>13113</v>
      </c>
    </row>
    <row r="5233" spans="1:20" x14ac:dyDescent="0.25">
      <c r="A5233" s="27" t="s">
        <v>193</v>
      </c>
      <c r="C5233" s="27" t="s">
        <v>34749</v>
      </c>
      <c r="D5233" s="28" t="s">
        <v>34867</v>
      </c>
      <c r="P5233">
        <v>396</v>
      </c>
      <c r="Q5233" t="s">
        <v>3939</v>
      </c>
      <c r="R5233" s="28" t="s">
        <v>3940</v>
      </c>
      <c r="S5233" t="s">
        <v>13114</v>
      </c>
    </row>
    <row r="5234" spans="1:20" x14ac:dyDescent="0.25">
      <c r="A5234" s="27" t="s">
        <v>193</v>
      </c>
      <c r="C5234" s="27" t="s">
        <v>34749</v>
      </c>
      <c r="D5234" s="28" t="s">
        <v>34867</v>
      </c>
      <c r="P5234">
        <v>398</v>
      </c>
      <c r="Q5234" t="s">
        <v>3936</v>
      </c>
      <c r="R5234" s="28" t="s">
        <v>3937</v>
      </c>
      <c r="S5234" t="s">
        <v>13115</v>
      </c>
    </row>
    <row r="5235" spans="1:20" x14ac:dyDescent="0.25">
      <c r="A5235" t="s">
        <v>17</v>
      </c>
      <c r="C5235" s="27" t="s">
        <v>34749</v>
      </c>
      <c r="D5235" s="28" t="s">
        <v>34867</v>
      </c>
      <c r="P5235">
        <v>399</v>
      </c>
      <c r="Q5235" t="s">
        <v>13116</v>
      </c>
      <c r="R5235" s="28" t="s">
        <v>13117</v>
      </c>
      <c r="S5235" t="s">
        <v>13118</v>
      </c>
    </row>
    <row r="5236" spans="1:20" x14ac:dyDescent="0.25">
      <c r="A5236" t="s">
        <v>169</v>
      </c>
      <c r="P5236">
        <v>407</v>
      </c>
      <c r="Q5236" t="s">
        <v>13126</v>
      </c>
      <c r="S5236" t="s">
        <v>12922</v>
      </c>
    </row>
    <row r="5237" spans="1:20" x14ac:dyDescent="0.25">
      <c r="A5237" t="s">
        <v>17</v>
      </c>
      <c r="C5237" s="27" t="s">
        <v>34749</v>
      </c>
      <c r="D5237" s="28" t="s">
        <v>34867</v>
      </c>
      <c r="P5237">
        <v>412</v>
      </c>
      <c r="Q5237" t="s">
        <v>13131</v>
      </c>
      <c r="S5237" t="s">
        <v>13132</v>
      </c>
    </row>
    <row r="5238" spans="1:20" x14ac:dyDescent="0.25">
      <c r="A5238" t="s">
        <v>17</v>
      </c>
      <c r="C5238" s="27" t="s">
        <v>34749</v>
      </c>
      <c r="D5238" s="28" t="s">
        <v>34867</v>
      </c>
      <c r="P5238">
        <v>413</v>
      </c>
      <c r="Q5238" t="s">
        <v>13133</v>
      </c>
      <c r="R5238" s="28" t="s">
        <v>13134</v>
      </c>
      <c r="S5238" t="s">
        <v>17</v>
      </c>
    </row>
    <row r="5239" spans="1:20" x14ac:dyDescent="0.25">
      <c r="A5239" t="s">
        <v>17</v>
      </c>
      <c r="C5239" s="27" t="s">
        <v>34749</v>
      </c>
      <c r="D5239" s="28" t="s">
        <v>34867</v>
      </c>
      <c r="P5239">
        <v>420</v>
      </c>
      <c r="Q5239" t="s">
        <v>13135</v>
      </c>
      <c r="S5239" t="s">
        <v>13136</v>
      </c>
    </row>
    <row r="5240" spans="1:20" x14ac:dyDescent="0.25">
      <c r="A5240" t="s">
        <v>17</v>
      </c>
      <c r="C5240" s="27" t="s">
        <v>34749</v>
      </c>
      <c r="D5240" s="28" t="s">
        <v>34867</v>
      </c>
      <c r="P5240">
        <v>422</v>
      </c>
      <c r="Q5240" t="s">
        <v>13137</v>
      </c>
      <c r="S5240" t="s">
        <v>17</v>
      </c>
    </row>
    <row r="5241" spans="1:20" x14ac:dyDescent="0.25">
      <c r="A5241" t="s">
        <v>17</v>
      </c>
      <c r="C5241" s="27" t="s">
        <v>34749</v>
      </c>
      <c r="D5241" s="28" t="s">
        <v>34867</v>
      </c>
      <c r="P5241">
        <v>424</v>
      </c>
      <c r="Q5241" t="s">
        <v>13138</v>
      </c>
      <c r="S5241" t="s">
        <v>17</v>
      </c>
    </row>
    <row r="5242" spans="1:20" x14ac:dyDescent="0.25">
      <c r="A5242" t="s">
        <v>17</v>
      </c>
      <c r="C5242" s="27" t="s">
        <v>34749</v>
      </c>
      <c r="D5242" s="28" t="s">
        <v>34867</v>
      </c>
      <c r="P5242">
        <v>425</v>
      </c>
      <c r="Q5242" t="s">
        <v>13139</v>
      </c>
      <c r="S5242" t="s">
        <v>17</v>
      </c>
    </row>
    <row r="5243" spans="1:20" x14ac:dyDescent="0.25">
      <c r="A5243" s="27" t="s">
        <v>193</v>
      </c>
      <c r="C5243" s="27" t="s">
        <v>34749</v>
      </c>
      <c r="D5243" s="28" t="s">
        <v>34867</v>
      </c>
      <c r="P5243">
        <v>426</v>
      </c>
      <c r="Q5243" t="s">
        <v>13140</v>
      </c>
      <c r="S5243" t="s">
        <v>13141</v>
      </c>
    </row>
    <row r="5244" spans="1:20" x14ac:dyDescent="0.25">
      <c r="A5244" s="27" t="s">
        <v>193</v>
      </c>
      <c r="C5244" s="27" t="s">
        <v>34749</v>
      </c>
      <c r="D5244" s="28" t="s">
        <v>34867</v>
      </c>
      <c r="P5244">
        <v>429</v>
      </c>
      <c r="Q5244" t="s">
        <v>13142</v>
      </c>
      <c r="S5244" t="s">
        <v>13022</v>
      </c>
    </row>
    <row r="5245" spans="1:20" x14ac:dyDescent="0.25">
      <c r="A5245" s="27" t="s">
        <v>193</v>
      </c>
      <c r="C5245" s="27" t="s">
        <v>34749</v>
      </c>
      <c r="D5245" s="28" t="s">
        <v>34867</v>
      </c>
      <c r="P5245" s="32">
        <v>436</v>
      </c>
      <c r="Q5245" s="32" t="s">
        <v>13148</v>
      </c>
      <c r="R5245" s="32"/>
      <c r="S5245" s="32" t="s">
        <v>13146</v>
      </c>
      <c r="T5245" s="27"/>
    </row>
    <row r="5246" spans="1:20" x14ac:dyDescent="0.25">
      <c r="A5246" s="27" t="s">
        <v>193</v>
      </c>
      <c r="C5246" s="27" t="s">
        <v>34749</v>
      </c>
      <c r="D5246" s="28" t="s">
        <v>34867</v>
      </c>
      <c r="P5246" s="32">
        <v>437</v>
      </c>
      <c r="Q5246" s="32" t="s">
        <v>13149</v>
      </c>
      <c r="R5246" s="32"/>
      <c r="S5246" s="32" t="s">
        <v>13150</v>
      </c>
      <c r="T5246" s="27"/>
    </row>
    <row r="5247" spans="1:20" x14ac:dyDescent="0.25">
      <c r="A5247" s="27" t="s">
        <v>193</v>
      </c>
      <c r="C5247" s="27" t="s">
        <v>34749</v>
      </c>
      <c r="D5247" s="28" t="s">
        <v>34867</v>
      </c>
      <c r="P5247" s="32">
        <v>438</v>
      </c>
      <c r="Q5247" s="32" t="s">
        <v>13151</v>
      </c>
      <c r="R5247" s="32"/>
      <c r="S5247" s="32" t="s">
        <v>13105</v>
      </c>
      <c r="T5247" s="27"/>
    </row>
    <row r="5248" spans="1:20" x14ac:dyDescent="0.25">
      <c r="A5248" s="27" t="s">
        <v>193</v>
      </c>
      <c r="C5248" s="27" t="s">
        <v>34749</v>
      </c>
      <c r="D5248" s="28" t="s">
        <v>34867</v>
      </c>
      <c r="P5248" s="32">
        <v>442</v>
      </c>
      <c r="Q5248" s="32" t="s">
        <v>13152</v>
      </c>
      <c r="R5248" s="32"/>
      <c r="S5248" s="32" t="s">
        <v>13112</v>
      </c>
      <c r="T5248" s="27"/>
    </row>
    <row r="5249" spans="1:20" x14ac:dyDescent="0.25">
      <c r="A5249" s="27" t="s">
        <v>193</v>
      </c>
      <c r="C5249" s="27" t="s">
        <v>34749</v>
      </c>
      <c r="D5249" s="28" t="s">
        <v>34867</v>
      </c>
      <c r="I5249" s="27" t="s">
        <v>34851</v>
      </c>
      <c r="P5249" s="32">
        <v>446</v>
      </c>
      <c r="Q5249" s="32" t="s">
        <v>13153</v>
      </c>
      <c r="R5249" s="32"/>
      <c r="S5249" s="32" t="s">
        <v>13154</v>
      </c>
      <c r="T5249" s="27"/>
    </row>
    <row r="5250" spans="1:20" x14ac:dyDescent="0.25">
      <c r="A5250" s="27" t="s">
        <v>193</v>
      </c>
      <c r="C5250" s="27" t="s">
        <v>34749</v>
      </c>
      <c r="D5250" s="28" t="s">
        <v>34867</v>
      </c>
      <c r="I5250" s="27" t="s">
        <v>34852</v>
      </c>
      <c r="P5250" s="32">
        <v>447</v>
      </c>
      <c r="Q5250" s="32" t="s">
        <v>13155</v>
      </c>
      <c r="R5250" s="32"/>
      <c r="S5250" s="32" t="s">
        <v>13156</v>
      </c>
      <c r="T5250" s="27"/>
    </row>
    <row r="5251" spans="1:20" x14ac:dyDescent="0.25">
      <c r="A5251" s="27" t="s">
        <v>193</v>
      </c>
      <c r="C5251" s="27" t="s">
        <v>34749</v>
      </c>
      <c r="D5251" s="28" t="s">
        <v>34867</v>
      </c>
      <c r="G5251" s="27" t="s">
        <v>34850</v>
      </c>
      <c r="P5251" s="32">
        <v>451</v>
      </c>
      <c r="Q5251" s="32" t="s">
        <v>13158</v>
      </c>
      <c r="R5251" s="32"/>
      <c r="S5251" s="32" t="s">
        <v>13022</v>
      </c>
      <c r="T5251" s="27"/>
    </row>
    <row r="5252" spans="1:20" x14ac:dyDescent="0.25">
      <c r="A5252" s="27" t="s">
        <v>193</v>
      </c>
      <c r="C5252" s="27" t="s">
        <v>34749</v>
      </c>
      <c r="D5252" s="28" t="s">
        <v>34867</v>
      </c>
      <c r="P5252" s="32">
        <v>462</v>
      </c>
      <c r="Q5252" s="32" t="s">
        <v>13162</v>
      </c>
      <c r="R5252" s="32"/>
      <c r="S5252" s="32" t="s">
        <v>13022</v>
      </c>
    </row>
    <row r="5253" spans="1:20" x14ac:dyDescent="0.25">
      <c r="A5253" t="s">
        <v>12942</v>
      </c>
      <c r="P5253">
        <v>500</v>
      </c>
      <c r="Q5253" t="s">
        <v>13165</v>
      </c>
      <c r="R5253" s="28" t="s">
        <v>4066</v>
      </c>
      <c r="S5253" t="s">
        <v>12944</v>
      </c>
    </row>
    <row r="5254" spans="1:20" x14ac:dyDescent="0.25">
      <c r="A5254" t="s">
        <v>12942</v>
      </c>
      <c r="P5254">
        <v>501</v>
      </c>
      <c r="Q5254" t="s">
        <v>13166</v>
      </c>
      <c r="R5254" s="28" t="s">
        <v>7340</v>
      </c>
      <c r="S5254" t="s">
        <v>12944</v>
      </c>
    </row>
    <row r="5255" spans="1:20" x14ac:dyDescent="0.25">
      <c r="A5255" t="s">
        <v>12942</v>
      </c>
      <c r="P5255">
        <v>502</v>
      </c>
      <c r="Q5255" t="s">
        <v>13167</v>
      </c>
      <c r="R5255" s="28" t="s">
        <v>7343</v>
      </c>
      <c r="S5255" t="s">
        <v>12944</v>
      </c>
    </row>
    <row r="5256" spans="1:20" x14ac:dyDescent="0.25">
      <c r="A5256" t="s">
        <v>12942</v>
      </c>
      <c r="P5256">
        <v>503</v>
      </c>
      <c r="Q5256" t="s">
        <v>13168</v>
      </c>
      <c r="R5256" s="28" t="s">
        <v>5367</v>
      </c>
      <c r="S5256" t="s">
        <v>12944</v>
      </c>
    </row>
    <row r="5257" spans="1:20" x14ac:dyDescent="0.25">
      <c r="A5257" t="s">
        <v>12942</v>
      </c>
      <c r="P5257">
        <v>504</v>
      </c>
      <c r="Q5257" t="s">
        <v>13169</v>
      </c>
      <c r="R5257" s="28" t="s">
        <v>13170</v>
      </c>
      <c r="S5257" t="s">
        <v>12944</v>
      </c>
    </row>
    <row r="5258" spans="1:20" x14ac:dyDescent="0.25">
      <c r="A5258" t="s">
        <v>12942</v>
      </c>
      <c r="P5258">
        <v>505</v>
      </c>
      <c r="Q5258" t="s">
        <v>13171</v>
      </c>
      <c r="R5258" s="28" t="s">
        <v>4081</v>
      </c>
      <c r="S5258" t="s">
        <v>12944</v>
      </c>
    </row>
    <row r="5259" spans="1:20" x14ac:dyDescent="0.25">
      <c r="A5259" t="s">
        <v>12942</v>
      </c>
      <c r="P5259">
        <v>506</v>
      </c>
      <c r="Q5259" t="s">
        <v>13172</v>
      </c>
      <c r="R5259" s="28" t="s">
        <v>4087</v>
      </c>
      <c r="S5259" t="s">
        <v>12944</v>
      </c>
    </row>
    <row r="5260" spans="1:20" x14ac:dyDescent="0.25">
      <c r="A5260" t="s">
        <v>12942</v>
      </c>
      <c r="P5260">
        <v>507</v>
      </c>
      <c r="Q5260" t="s">
        <v>13173</v>
      </c>
      <c r="S5260" t="s">
        <v>12944</v>
      </c>
    </row>
    <row r="5261" spans="1:20" x14ac:dyDescent="0.25">
      <c r="A5261" t="s">
        <v>12942</v>
      </c>
      <c r="P5261">
        <v>508</v>
      </c>
      <c r="Q5261" t="s">
        <v>13174</v>
      </c>
      <c r="R5261" s="28" t="s">
        <v>7070</v>
      </c>
      <c r="S5261" t="s">
        <v>12944</v>
      </c>
    </row>
    <row r="5262" spans="1:20" x14ac:dyDescent="0.25">
      <c r="A5262" t="s">
        <v>12942</v>
      </c>
      <c r="P5262">
        <v>509</v>
      </c>
      <c r="Q5262" t="s">
        <v>13175</v>
      </c>
      <c r="R5262" s="28" t="s">
        <v>7132</v>
      </c>
      <c r="S5262" t="s">
        <v>12944</v>
      </c>
    </row>
    <row r="5263" spans="1:20" x14ac:dyDescent="0.25">
      <c r="A5263" t="s">
        <v>12942</v>
      </c>
      <c r="P5263">
        <v>510</v>
      </c>
      <c r="Q5263" t="s">
        <v>13176</v>
      </c>
      <c r="R5263" s="28" t="s">
        <v>7138</v>
      </c>
      <c r="S5263" t="s">
        <v>12944</v>
      </c>
    </row>
    <row r="5264" spans="1:20" x14ac:dyDescent="0.25">
      <c r="A5264" t="s">
        <v>12942</v>
      </c>
      <c r="P5264">
        <v>511</v>
      </c>
      <c r="Q5264" t="s">
        <v>13177</v>
      </c>
      <c r="R5264" s="28" t="s">
        <v>7141</v>
      </c>
      <c r="S5264" t="s">
        <v>12944</v>
      </c>
    </row>
    <row r="5265" spans="1:19" x14ac:dyDescent="0.25">
      <c r="A5265" t="s">
        <v>12942</v>
      </c>
      <c r="P5265">
        <v>512</v>
      </c>
      <c r="Q5265" t="s">
        <v>13178</v>
      </c>
      <c r="R5265" s="28" t="s">
        <v>13179</v>
      </c>
      <c r="S5265" t="s">
        <v>12944</v>
      </c>
    </row>
    <row r="5266" spans="1:19" x14ac:dyDescent="0.25">
      <c r="A5266" t="s">
        <v>12942</v>
      </c>
      <c r="P5266">
        <v>513</v>
      </c>
      <c r="Q5266" t="s">
        <v>13180</v>
      </c>
      <c r="R5266" s="28" t="s">
        <v>7873</v>
      </c>
      <c r="S5266" t="s">
        <v>12944</v>
      </c>
    </row>
    <row r="5267" spans="1:19" x14ac:dyDescent="0.25">
      <c r="A5267" t="s">
        <v>12942</v>
      </c>
      <c r="P5267">
        <v>514</v>
      </c>
      <c r="Q5267" t="s">
        <v>13181</v>
      </c>
      <c r="R5267" s="28" t="s">
        <v>553</v>
      </c>
      <c r="S5267" t="s">
        <v>12944</v>
      </c>
    </row>
    <row r="5268" spans="1:19" x14ac:dyDescent="0.25">
      <c r="A5268" t="s">
        <v>12942</v>
      </c>
      <c r="P5268">
        <v>515</v>
      </c>
      <c r="Q5268" t="s">
        <v>13182</v>
      </c>
      <c r="R5268" s="28" t="s">
        <v>7087</v>
      </c>
      <c r="S5268" t="s">
        <v>12944</v>
      </c>
    </row>
    <row r="5269" spans="1:19" x14ac:dyDescent="0.25">
      <c r="A5269" s="27" t="s">
        <v>193</v>
      </c>
      <c r="C5269" s="27" t="s">
        <v>34749</v>
      </c>
      <c r="D5269" s="28" t="s">
        <v>34867</v>
      </c>
      <c r="P5269">
        <v>1000</v>
      </c>
      <c r="Q5269" t="s">
        <v>3277</v>
      </c>
      <c r="R5269" s="28" t="s">
        <v>3278</v>
      </c>
      <c r="S5269" t="s">
        <v>13022</v>
      </c>
    </row>
    <row r="5270" spans="1:19" x14ac:dyDescent="0.25">
      <c r="A5270" s="27" t="s">
        <v>193</v>
      </c>
      <c r="C5270" s="27" t="s">
        <v>34749</v>
      </c>
      <c r="D5270" s="28" t="s">
        <v>34867</v>
      </c>
      <c r="P5270">
        <v>1001</v>
      </c>
      <c r="Q5270" t="s">
        <v>13238</v>
      </c>
      <c r="R5270" s="28" t="s">
        <v>13239</v>
      </c>
      <c r="S5270" t="s">
        <v>13022</v>
      </c>
    </row>
    <row r="5271" spans="1:19" x14ac:dyDescent="0.25">
      <c r="A5271" s="27" t="s">
        <v>193</v>
      </c>
      <c r="C5271" s="27" t="s">
        <v>34749</v>
      </c>
      <c r="D5271" s="28" t="s">
        <v>34867</v>
      </c>
      <c r="P5271">
        <v>1002</v>
      </c>
      <c r="Q5271" t="s">
        <v>13240</v>
      </c>
      <c r="S5271" t="s">
        <v>13022</v>
      </c>
    </row>
    <row r="5272" spans="1:19" x14ac:dyDescent="0.25">
      <c r="A5272" s="27" t="s">
        <v>193</v>
      </c>
      <c r="C5272" s="27" t="s">
        <v>34749</v>
      </c>
      <c r="D5272" s="28" t="s">
        <v>34867</v>
      </c>
      <c r="P5272">
        <v>1003</v>
      </c>
      <c r="Q5272" t="s">
        <v>3301</v>
      </c>
      <c r="R5272" s="28" t="s">
        <v>3302</v>
      </c>
      <c r="S5272" t="s">
        <v>13022</v>
      </c>
    </row>
    <row r="5273" spans="1:19" x14ac:dyDescent="0.25">
      <c r="A5273" s="27" t="s">
        <v>193</v>
      </c>
      <c r="C5273" s="27" t="s">
        <v>34749</v>
      </c>
      <c r="D5273" s="28" t="s">
        <v>34867</v>
      </c>
      <c r="P5273">
        <v>1004</v>
      </c>
      <c r="Q5273" t="s">
        <v>3721</v>
      </c>
      <c r="R5273" s="28" t="s">
        <v>3722</v>
      </c>
      <c r="S5273" t="s">
        <v>13022</v>
      </c>
    </row>
    <row r="5274" spans="1:19" x14ac:dyDescent="0.25">
      <c r="A5274" s="27" t="s">
        <v>193</v>
      </c>
      <c r="C5274" s="27" t="s">
        <v>34749</v>
      </c>
      <c r="D5274" s="28" t="s">
        <v>34867</v>
      </c>
      <c r="P5274">
        <v>1005</v>
      </c>
      <c r="Q5274" t="s">
        <v>13241</v>
      </c>
      <c r="R5274" s="28" t="s">
        <v>13242</v>
      </c>
      <c r="S5274" t="s">
        <v>13022</v>
      </c>
    </row>
    <row r="5275" spans="1:19" x14ac:dyDescent="0.25">
      <c r="A5275" s="27" t="s">
        <v>193</v>
      </c>
      <c r="C5275" s="27" t="s">
        <v>34749</v>
      </c>
      <c r="D5275" s="28" t="s">
        <v>34867</v>
      </c>
      <c r="P5275">
        <v>1006</v>
      </c>
      <c r="Q5275" t="s">
        <v>3706</v>
      </c>
      <c r="R5275" s="28" t="s">
        <v>3707</v>
      </c>
      <c r="S5275" t="s">
        <v>13022</v>
      </c>
    </row>
    <row r="5276" spans="1:19" x14ac:dyDescent="0.25">
      <c r="A5276" s="27" t="s">
        <v>193</v>
      </c>
      <c r="C5276" s="27" t="s">
        <v>34749</v>
      </c>
      <c r="D5276" s="28" t="s">
        <v>34867</v>
      </c>
      <c r="P5276">
        <v>1007</v>
      </c>
      <c r="Q5276" t="s">
        <v>13243</v>
      </c>
      <c r="R5276" s="28" t="s">
        <v>13244</v>
      </c>
      <c r="S5276" t="s">
        <v>13022</v>
      </c>
    </row>
    <row r="5277" spans="1:19" x14ac:dyDescent="0.25">
      <c r="A5277" s="27" t="s">
        <v>193</v>
      </c>
      <c r="C5277" s="27" t="s">
        <v>34749</v>
      </c>
      <c r="D5277" s="28" t="s">
        <v>34867</v>
      </c>
      <c r="P5277">
        <v>1008</v>
      </c>
      <c r="Q5277" t="s">
        <v>13245</v>
      </c>
      <c r="R5277" s="28" t="s">
        <v>13246</v>
      </c>
      <c r="S5277" t="s">
        <v>13022</v>
      </c>
    </row>
    <row r="5278" spans="1:19" x14ac:dyDescent="0.25">
      <c r="A5278" s="27" t="s">
        <v>193</v>
      </c>
      <c r="C5278" s="27" t="s">
        <v>34749</v>
      </c>
      <c r="D5278" s="28" t="s">
        <v>34867</v>
      </c>
      <c r="P5278">
        <v>1009</v>
      </c>
      <c r="Q5278" t="s">
        <v>13247</v>
      </c>
      <c r="R5278" s="28" t="s">
        <v>13248</v>
      </c>
      <c r="S5278" t="s">
        <v>13022</v>
      </c>
    </row>
    <row r="5279" spans="1:19" x14ac:dyDescent="0.25">
      <c r="A5279" s="27" t="s">
        <v>193</v>
      </c>
      <c r="C5279" s="27" t="s">
        <v>34749</v>
      </c>
      <c r="D5279" s="28" t="s">
        <v>34867</v>
      </c>
      <c r="P5279">
        <v>1010</v>
      </c>
      <c r="Q5279" t="s">
        <v>20</v>
      </c>
      <c r="R5279" s="28" t="s">
        <v>22</v>
      </c>
      <c r="S5279" t="s">
        <v>13022</v>
      </c>
    </row>
    <row r="5280" spans="1:19" x14ac:dyDescent="0.25">
      <c r="A5280" s="27" t="s">
        <v>193</v>
      </c>
      <c r="C5280" s="27" t="s">
        <v>34749</v>
      </c>
      <c r="D5280" s="28" t="s">
        <v>34867</v>
      </c>
      <c r="P5280">
        <v>1011</v>
      </c>
      <c r="Q5280" t="s">
        <v>13249</v>
      </c>
      <c r="R5280" s="28" t="s">
        <v>13250</v>
      </c>
      <c r="S5280" t="s">
        <v>13022</v>
      </c>
    </row>
    <row r="5281" spans="1:19" x14ac:dyDescent="0.25">
      <c r="A5281" s="27" t="s">
        <v>193</v>
      </c>
      <c r="C5281" s="27" t="s">
        <v>34749</v>
      </c>
      <c r="D5281" s="28" t="s">
        <v>34867</v>
      </c>
      <c r="P5281">
        <v>1012</v>
      </c>
      <c r="Q5281" t="s">
        <v>3754</v>
      </c>
      <c r="R5281" s="28" t="s">
        <v>3755</v>
      </c>
      <c r="S5281" t="s">
        <v>13022</v>
      </c>
    </row>
    <row r="5282" spans="1:19" x14ac:dyDescent="0.25">
      <c r="A5282" s="27" t="s">
        <v>193</v>
      </c>
      <c r="C5282" s="27" t="s">
        <v>34749</v>
      </c>
      <c r="D5282" s="28" t="s">
        <v>34867</v>
      </c>
      <c r="P5282">
        <v>1013</v>
      </c>
      <c r="Q5282" t="s">
        <v>13251</v>
      </c>
      <c r="R5282" s="28" t="s">
        <v>13252</v>
      </c>
      <c r="S5282" t="s">
        <v>13022</v>
      </c>
    </row>
    <row r="5283" spans="1:19" x14ac:dyDescent="0.25">
      <c r="A5283" s="27" t="s">
        <v>193</v>
      </c>
      <c r="C5283" s="27" t="s">
        <v>34749</v>
      </c>
      <c r="D5283" s="28" t="s">
        <v>34867</v>
      </c>
      <c r="P5283">
        <v>1014</v>
      </c>
      <c r="Q5283" t="s">
        <v>3736</v>
      </c>
      <c r="R5283" s="28" t="s">
        <v>3737</v>
      </c>
      <c r="S5283" t="s">
        <v>13022</v>
      </c>
    </row>
    <row r="5284" spans="1:19" x14ac:dyDescent="0.25">
      <c r="A5284" s="27" t="s">
        <v>193</v>
      </c>
      <c r="C5284" s="27" t="s">
        <v>34749</v>
      </c>
      <c r="D5284" s="28" t="s">
        <v>34867</v>
      </c>
      <c r="P5284">
        <v>1015</v>
      </c>
      <c r="Q5284" t="s">
        <v>13253</v>
      </c>
      <c r="R5284" s="28" t="s">
        <v>13254</v>
      </c>
      <c r="S5284" t="s">
        <v>13022</v>
      </c>
    </row>
    <row r="5285" spans="1:19" x14ac:dyDescent="0.25">
      <c r="A5285" s="27" t="s">
        <v>193</v>
      </c>
      <c r="C5285" s="27" t="s">
        <v>34749</v>
      </c>
      <c r="D5285" s="28" t="s">
        <v>34867</v>
      </c>
      <c r="P5285">
        <v>1016</v>
      </c>
      <c r="Q5285" t="s">
        <v>13255</v>
      </c>
      <c r="R5285" s="28" t="s">
        <v>13256</v>
      </c>
      <c r="S5285" t="s">
        <v>13022</v>
      </c>
    </row>
    <row r="5286" spans="1:19" x14ac:dyDescent="0.25">
      <c r="A5286" s="27" t="s">
        <v>193</v>
      </c>
      <c r="C5286" s="27" t="s">
        <v>34749</v>
      </c>
      <c r="D5286" s="28" t="s">
        <v>34867</v>
      </c>
      <c r="P5286">
        <v>1017</v>
      </c>
      <c r="Q5286" t="s">
        <v>13257</v>
      </c>
      <c r="R5286" s="28" t="s">
        <v>13258</v>
      </c>
      <c r="S5286" t="s">
        <v>13022</v>
      </c>
    </row>
    <row r="5287" spans="1:19" x14ac:dyDescent="0.25">
      <c r="A5287" s="27" t="s">
        <v>193</v>
      </c>
      <c r="C5287" s="27" t="s">
        <v>34749</v>
      </c>
      <c r="D5287" s="28" t="s">
        <v>34867</v>
      </c>
      <c r="P5287">
        <v>1018</v>
      </c>
      <c r="Q5287" t="s">
        <v>13259</v>
      </c>
      <c r="R5287" s="28" t="s">
        <v>13260</v>
      </c>
      <c r="S5287" t="s">
        <v>13022</v>
      </c>
    </row>
    <row r="5288" spans="1:19" x14ac:dyDescent="0.25">
      <c r="A5288" s="27" t="s">
        <v>193</v>
      </c>
      <c r="C5288" s="27" t="s">
        <v>34749</v>
      </c>
      <c r="D5288" s="28" t="s">
        <v>34867</v>
      </c>
      <c r="P5288">
        <v>1019</v>
      </c>
      <c r="Q5288" t="s">
        <v>13261</v>
      </c>
      <c r="R5288" s="28" t="s">
        <v>13262</v>
      </c>
      <c r="S5288" t="s">
        <v>13022</v>
      </c>
    </row>
    <row r="5289" spans="1:19" x14ac:dyDescent="0.25">
      <c r="A5289" s="27" t="s">
        <v>193</v>
      </c>
      <c r="C5289" s="27" t="s">
        <v>34749</v>
      </c>
      <c r="D5289" s="28" t="s">
        <v>34867</v>
      </c>
      <c r="P5289">
        <v>1020</v>
      </c>
      <c r="Q5289" t="s">
        <v>13263</v>
      </c>
      <c r="R5289" s="28" t="s">
        <v>13264</v>
      </c>
      <c r="S5289" t="s">
        <v>13022</v>
      </c>
    </row>
    <row r="5290" spans="1:19" x14ac:dyDescent="0.25">
      <c r="A5290" s="27" t="s">
        <v>193</v>
      </c>
      <c r="C5290" s="27" t="s">
        <v>34749</v>
      </c>
      <c r="D5290" s="28" t="s">
        <v>34867</v>
      </c>
      <c r="P5290">
        <v>1021</v>
      </c>
      <c r="Q5290" t="s">
        <v>13265</v>
      </c>
      <c r="R5290" s="28" t="s">
        <v>13266</v>
      </c>
      <c r="S5290" t="s">
        <v>13022</v>
      </c>
    </row>
    <row r="5291" spans="1:19" x14ac:dyDescent="0.25">
      <c r="A5291" s="27" t="s">
        <v>193</v>
      </c>
      <c r="C5291" s="27" t="s">
        <v>34749</v>
      </c>
      <c r="D5291" s="28" t="s">
        <v>34867</v>
      </c>
      <c r="P5291">
        <v>1022</v>
      </c>
      <c r="Q5291" t="s">
        <v>13267</v>
      </c>
      <c r="R5291" s="28" t="s">
        <v>13268</v>
      </c>
      <c r="S5291" t="s">
        <v>13022</v>
      </c>
    </row>
    <row r="5292" spans="1:19" x14ac:dyDescent="0.25">
      <c r="A5292" s="27" t="s">
        <v>193</v>
      </c>
      <c r="C5292" s="27" t="s">
        <v>34749</v>
      </c>
      <c r="D5292" s="28" t="s">
        <v>34867</v>
      </c>
      <c r="P5292">
        <v>1023</v>
      </c>
      <c r="Q5292" t="s">
        <v>3283</v>
      </c>
      <c r="R5292" s="28" t="s">
        <v>3284</v>
      </c>
      <c r="S5292" t="s">
        <v>13022</v>
      </c>
    </row>
    <row r="5293" spans="1:19" x14ac:dyDescent="0.25">
      <c r="A5293" s="27" t="s">
        <v>193</v>
      </c>
      <c r="C5293" s="27" t="s">
        <v>34749</v>
      </c>
      <c r="D5293" s="28" t="s">
        <v>34867</v>
      </c>
      <c r="P5293">
        <v>1024</v>
      </c>
      <c r="Q5293" t="s">
        <v>13269</v>
      </c>
      <c r="R5293" s="28" t="s">
        <v>13270</v>
      </c>
      <c r="S5293" t="s">
        <v>13022</v>
      </c>
    </row>
    <row r="5294" spans="1:19" x14ac:dyDescent="0.25">
      <c r="A5294" s="27" t="s">
        <v>193</v>
      </c>
      <c r="C5294" s="27" t="s">
        <v>34749</v>
      </c>
      <c r="D5294" s="28" t="s">
        <v>34867</v>
      </c>
      <c r="P5294">
        <v>1025</v>
      </c>
      <c r="Q5294" t="s">
        <v>13271</v>
      </c>
      <c r="S5294" t="s">
        <v>13022</v>
      </c>
    </row>
    <row r="5295" spans="1:19" x14ac:dyDescent="0.25">
      <c r="A5295" s="27" t="s">
        <v>193</v>
      </c>
      <c r="C5295" s="27" t="s">
        <v>34749</v>
      </c>
      <c r="D5295" s="28" t="s">
        <v>34867</v>
      </c>
      <c r="P5295">
        <v>1026</v>
      </c>
      <c r="Q5295" t="s">
        <v>13272</v>
      </c>
      <c r="R5295" s="28" t="s">
        <v>13273</v>
      </c>
      <c r="S5295" t="s">
        <v>13022</v>
      </c>
    </row>
    <row r="5296" spans="1:19" x14ac:dyDescent="0.25">
      <c r="A5296" s="27" t="s">
        <v>193</v>
      </c>
      <c r="C5296" s="27" t="s">
        <v>34749</v>
      </c>
      <c r="D5296" s="28" t="s">
        <v>34867</v>
      </c>
      <c r="P5296">
        <v>1027</v>
      </c>
      <c r="Q5296" t="s">
        <v>10029</v>
      </c>
      <c r="R5296" s="28" t="s">
        <v>10030</v>
      </c>
      <c r="S5296" t="s">
        <v>13022</v>
      </c>
    </row>
    <row r="5297" spans="1:19" x14ac:dyDescent="0.25">
      <c r="A5297" s="27" t="s">
        <v>193</v>
      </c>
      <c r="C5297" s="27" t="s">
        <v>34749</v>
      </c>
      <c r="D5297" s="28" t="s">
        <v>34867</v>
      </c>
      <c r="P5297">
        <v>1028</v>
      </c>
      <c r="Q5297" t="s">
        <v>13274</v>
      </c>
      <c r="R5297" s="28" t="s">
        <v>4296</v>
      </c>
      <c r="S5297" t="s">
        <v>13022</v>
      </c>
    </row>
    <row r="5298" spans="1:19" x14ac:dyDescent="0.25">
      <c r="A5298" s="27" t="s">
        <v>193</v>
      </c>
      <c r="C5298" s="27" t="s">
        <v>34749</v>
      </c>
      <c r="D5298" s="28" t="s">
        <v>34867</v>
      </c>
      <c r="P5298">
        <v>1029</v>
      </c>
      <c r="Q5298" t="s">
        <v>3253</v>
      </c>
      <c r="R5298" s="28" t="s">
        <v>3254</v>
      </c>
      <c r="S5298" t="s">
        <v>13022</v>
      </c>
    </row>
    <row r="5299" spans="1:19" x14ac:dyDescent="0.25">
      <c r="A5299" s="27" t="s">
        <v>193</v>
      </c>
      <c r="C5299" s="27" t="s">
        <v>34749</v>
      </c>
      <c r="D5299" s="28" t="s">
        <v>34867</v>
      </c>
      <c r="P5299">
        <v>1030</v>
      </c>
      <c r="Q5299" t="s">
        <v>13275</v>
      </c>
      <c r="S5299" t="s">
        <v>13022</v>
      </c>
    </row>
    <row r="5300" spans="1:19" x14ac:dyDescent="0.25">
      <c r="A5300" s="27" t="s">
        <v>193</v>
      </c>
      <c r="C5300" s="27" t="s">
        <v>34749</v>
      </c>
      <c r="D5300" s="28" t="s">
        <v>34867</v>
      </c>
      <c r="P5300">
        <v>1031</v>
      </c>
      <c r="Q5300" t="s">
        <v>13276</v>
      </c>
      <c r="R5300" s="28" t="s">
        <v>13277</v>
      </c>
      <c r="S5300" t="s">
        <v>13022</v>
      </c>
    </row>
    <row r="5301" spans="1:19" x14ac:dyDescent="0.25">
      <c r="A5301" s="27" t="s">
        <v>193</v>
      </c>
      <c r="C5301" s="27" t="s">
        <v>34749</v>
      </c>
      <c r="D5301" s="28" t="s">
        <v>34867</v>
      </c>
      <c r="P5301">
        <v>1032</v>
      </c>
      <c r="Q5301" t="s">
        <v>13278</v>
      </c>
      <c r="S5301" t="s">
        <v>13022</v>
      </c>
    </row>
    <row r="5302" spans="1:19" x14ac:dyDescent="0.25">
      <c r="A5302" s="27" t="s">
        <v>193</v>
      </c>
      <c r="C5302" s="27" t="s">
        <v>34749</v>
      </c>
      <c r="D5302" s="28" t="s">
        <v>34867</v>
      </c>
      <c r="P5302">
        <v>1033</v>
      </c>
      <c r="Q5302" t="s">
        <v>4124</v>
      </c>
      <c r="R5302" s="28" t="s">
        <v>4125</v>
      </c>
      <c r="S5302" t="s">
        <v>13022</v>
      </c>
    </row>
    <row r="5303" spans="1:19" x14ac:dyDescent="0.25">
      <c r="A5303" s="27" t="s">
        <v>193</v>
      </c>
      <c r="C5303" s="27" t="s">
        <v>34749</v>
      </c>
      <c r="D5303" s="28" t="s">
        <v>34867</v>
      </c>
      <c r="P5303">
        <v>1034</v>
      </c>
      <c r="Q5303" t="s">
        <v>13279</v>
      </c>
      <c r="R5303" s="28" t="s">
        <v>13280</v>
      </c>
      <c r="S5303" t="s">
        <v>13022</v>
      </c>
    </row>
    <row r="5304" spans="1:19" x14ac:dyDescent="0.25">
      <c r="A5304" s="27" t="s">
        <v>193</v>
      </c>
      <c r="C5304" s="27" t="s">
        <v>34749</v>
      </c>
      <c r="D5304" s="28" t="s">
        <v>34867</v>
      </c>
      <c r="P5304">
        <v>1035</v>
      </c>
      <c r="Q5304" t="s">
        <v>4121</v>
      </c>
      <c r="R5304" s="28" t="s">
        <v>4122</v>
      </c>
      <c r="S5304" t="s">
        <v>13022</v>
      </c>
    </row>
    <row r="5305" spans="1:19" x14ac:dyDescent="0.25">
      <c r="A5305" s="27" t="s">
        <v>193</v>
      </c>
      <c r="C5305" s="27" t="s">
        <v>34749</v>
      </c>
      <c r="D5305" s="28" t="s">
        <v>34867</v>
      </c>
      <c r="P5305">
        <v>1037</v>
      </c>
      <c r="Q5305" t="s">
        <v>13281</v>
      </c>
      <c r="S5305" t="s">
        <v>13022</v>
      </c>
    </row>
    <row r="5306" spans="1:19" x14ac:dyDescent="0.25">
      <c r="A5306" s="27" t="s">
        <v>193</v>
      </c>
      <c r="C5306" s="27" t="s">
        <v>34749</v>
      </c>
      <c r="D5306" s="28" t="s">
        <v>34867</v>
      </c>
      <c r="P5306">
        <v>1038</v>
      </c>
      <c r="Q5306" t="s">
        <v>13282</v>
      </c>
      <c r="R5306" s="28" t="s">
        <v>13283</v>
      </c>
      <c r="S5306" t="s">
        <v>13022</v>
      </c>
    </row>
    <row r="5307" spans="1:19" x14ac:dyDescent="0.25">
      <c r="A5307" s="27" t="s">
        <v>193</v>
      </c>
      <c r="C5307" s="27" t="s">
        <v>34749</v>
      </c>
      <c r="D5307" s="28" t="s">
        <v>34867</v>
      </c>
      <c r="P5307">
        <v>1039</v>
      </c>
      <c r="Q5307" t="s">
        <v>846</v>
      </c>
      <c r="R5307" s="28" t="s">
        <v>847</v>
      </c>
      <c r="S5307" t="s">
        <v>13022</v>
      </c>
    </row>
    <row r="5308" spans="1:19" x14ac:dyDescent="0.25">
      <c r="A5308" s="27" t="s">
        <v>193</v>
      </c>
      <c r="C5308" s="27" t="s">
        <v>34749</v>
      </c>
      <c r="D5308" s="28" t="s">
        <v>34867</v>
      </c>
      <c r="P5308">
        <v>1040</v>
      </c>
      <c r="Q5308" t="s">
        <v>951</v>
      </c>
      <c r="R5308" s="28" t="s">
        <v>952</v>
      </c>
      <c r="S5308" t="s">
        <v>13022</v>
      </c>
    </row>
    <row r="5309" spans="1:19" x14ac:dyDescent="0.25">
      <c r="A5309" s="27" t="s">
        <v>193</v>
      </c>
      <c r="C5309" s="27" t="s">
        <v>34749</v>
      </c>
      <c r="D5309" s="28" t="s">
        <v>34867</v>
      </c>
      <c r="P5309">
        <v>1041</v>
      </c>
      <c r="Q5309" t="s">
        <v>849</v>
      </c>
      <c r="R5309" s="28" t="s">
        <v>850</v>
      </c>
      <c r="S5309" t="s">
        <v>13022</v>
      </c>
    </row>
    <row r="5310" spans="1:19" x14ac:dyDescent="0.25">
      <c r="A5310" s="27" t="s">
        <v>193</v>
      </c>
      <c r="C5310" s="27" t="s">
        <v>34749</v>
      </c>
      <c r="D5310" s="28" t="s">
        <v>34867</v>
      </c>
      <c r="P5310">
        <v>1042</v>
      </c>
      <c r="Q5310" t="s">
        <v>954</v>
      </c>
      <c r="R5310" s="28" t="s">
        <v>955</v>
      </c>
      <c r="S5310" t="s">
        <v>13022</v>
      </c>
    </row>
    <row r="5311" spans="1:19" x14ac:dyDescent="0.25">
      <c r="A5311" s="27" t="s">
        <v>193</v>
      </c>
      <c r="C5311" s="27" t="s">
        <v>34749</v>
      </c>
      <c r="D5311" s="28" t="s">
        <v>34867</v>
      </c>
      <c r="P5311">
        <v>1043</v>
      </c>
      <c r="Q5311" t="s">
        <v>13284</v>
      </c>
      <c r="R5311" s="28" t="s">
        <v>13285</v>
      </c>
      <c r="S5311" t="s">
        <v>13022</v>
      </c>
    </row>
    <row r="5312" spans="1:19" x14ac:dyDescent="0.25">
      <c r="A5312" s="27" t="s">
        <v>193</v>
      </c>
      <c r="C5312" s="27" t="s">
        <v>34749</v>
      </c>
      <c r="D5312" s="28" t="s">
        <v>34867</v>
      </c>
      <c r="P5312">
        <v>1044</v>
      </c>
      <c r="Q5312" t="s">
        <v>4298</v>
      </c>
      <c r="R5312" s="28" t="s">
        <v>4299</v>
      </c>
      <c r="S5312" t="s">
        <v>13022</v>
      </c>
    </row>
    <row r="5313" spans="1:19" x14ac:dyDescent="0.25">
      <c r="A5313" s="27" t="s">
        <v>193</v>
      </c>
      <c r="C5313" s="27" t="s">
        <v>34749</v>
      </c>
      <c r="D5313" s="28" t="s">
        <v>34867</v>
      </c>
      <c r="P5313">
        <v>1045</v>
      </c>
      <c r="Q5313" t="s">
        <v>13286</v>
      </c>
      <c r="S5313" t="s">
        <v>13022</v>
      </c>
    </row>
    <row r="5314" spans="1:19" x14ac:dyDescent="0.25">
      <c r="A5314" s="27" t="s">
        <v>193</v>
      </c>
      <c r="C5314" s="27" t="s">
        <v>34749</v>
      </c>
      <c r="D5314" s="28" t="s">
        <v>34867</v>
      </c>
      <c r="P5314">
        <v>1046</v>
      </c>
      <c r="Q5314" t="s">
        <v>852</v>
      </c>
      <c r="R5314" s="28" t="s">
        <v>853</v>
      </c>
      <c r="S5314" t="s">
        <v>13022</v>
      </c>
    </row>
    <row r="5315" spans="1:19" x14ac:dyDescent="0.25">
      <c r="A5315" s="27" t="s">
        <v>193</v>
      </c>
      <c r="C5315" s="27" t="s">
        <v>34749</v>
      </c>
      <c r="D5315" s="28" t="s">
        <v>34867</v>
      </c>
      <c r="P5315">
        <v>1047</v>
      </c>
      <c r="Q5315" t="s">
        <v>1380</v>
      </c>
      <c r="R5315" s="28" t="s">
        <v>1381</v>
      </c>
      <c r="S5315" t="s">
        <v>13022</v>
      </c>
    </row>
    <row r="5316" spans="1:19" x14ac:dyDescent="0.25">
      <c r="A5316" s="27" t="s">
        <v>193</v>
      </c>
      <c r="C5316" s="27" t="s">
        <v>34749</v>
      </c>
      <c r="D5316" s="28" t="s">
        <v>34867</v>
      </c>
      <c r="P5316">
        <v>1048</v>
      </c>
      <c r="Q5316" t="s">
        <v>13287</v>
      </c>
      <c r="R5316" s="28" t="s">
        <v>13288</v>
      </c>
      <c r="S5316" t="s">
        <v>13022</v>
      </c>
    </row>
    <row r="5317" spans="1:19" x14ac:dyDescent="0.25">
      <c r="A5317" s="27" t="s">
        <v>193</v>
      </c>
      <c r="C5317" s="27" t="s">
        <v>34749</v>
      </c>
      <c r="D5317" s="28" t="s">
        <v>34867</v>
      </c>
      <c r="P5317">
        <v>1049</v>
      </c>
      <c r="Q5317" t="s">
        <v>5343</v>
      </c>
      <c r="R5317" s="28" t="s">
        <v>5344</v>
      </c>
      <c r="S5317" t="s">
        <v>13022</v>
      </c>
    </row>
    <row r="5318" spans="1:19" x14ac:dyDescent="0.25">
      <c r="A5318" s="27" t="s">
        <v>193</v>
      </c>
      <c r="C5318" s="27" t="s">
        <v>34749</v>
      </c>
      <c r="D5318" s="28" t="s">
        <v>34867</v>
      </c>
      <c r="P5318">
        <v>1050</v>
      </c>
      <c r="Q5318" t="s">
        <v>5334</v>
      </c>
      <c r="R5318" s="28" t="s">
        <v>5335</v>
      </c>
      <c r="S5318" t="s">
        <v>13022</v>
      </c>
    </row>
    <row r="5319" spans="1:19" x14ac:dyDescent="0.25">
      <c r="A5319" s="27" t="s">
        <v>193</v>
      </c>
      <c r="C5319" s="27" t="s">
        <v>34749</v>
      </c>
      <c r="D5319" s="28" t="s">
        <v>34867</v>
      </c>
      <c r="P5319">
        <v>1051</v>
      </c>
      <c r="Q5319" t="s">
        <v>13289</v>
      </c>
      <c r="R5319" s="28" t="s">
        <v>13290</v>
      </c>
      <c r="S5319" t="s">
        <v>13022</v>
      </c>
    </row>
    <row r="5320" spans="1:19" x14ac:dyDescent="0.25">
      <c r="A5320" s="27" t="s">
        <v>193</v>
      </c>
      <c r="C5320" s="27" t="s">
        <v>34749</v>
      </c>
      <c r="D5320" s="28" t="s">
        <v>34867</v>
      </c>
      <c r="P5320">
        <v>1052</v>
      </c>
      <c r="Q5320" t="s">
        <v>7048</v>
      </c>
      <c r="R5320" s="28" t="s">
        <v>7049</v>
      </c>
      <c r="S5320" t="s">
        <v>13022</v>
      </c>
    </row>
    <row r="5321" spans="1:19" x14ac:dyDescent="0.25">
      <c r="A5321" s="27" t="s">
        <v>193</v>
      </c>
      <c r="C5321" s="27" t="s">
        <v>34749</v>
      </c>
      <c r="D5321" s="28" t="s">
        <v>34867</v>
      </c>
      <c r="P5321">
        <v>1053</v>
      </c>
      <c r="Q5321" t="s">
        <v>13291</v>
      </c>
      <c r="R5321" s="28" t="s">
        <v>13292</v>
      </c>
      <c r="S5321" t="s">
        <v>13022</v>
      </c>
    </row>
    <row r="5322" spans="1:19" x14ac:dyDescent="0.25">
      <c r="A5322" s="27" t="s">
        <v>193</v>
      </c>
      <c r="C5322" s="27" t="s">
        <v>34749</v>
      </c>
      <c r="D5322" s="28" t="s">
        <v>34867</v>
      </c>
      <c r="P5322">
        <v>1054</v>
      </c>
      <c r="Q5322" t="s">
        <v>13293</v>
      </c>
      <c r="S5322" t="s">
        <v>13022</v>
      </c>
    </row>
    <row r="5323" spans="1:19" x14ac:dyDescent="0.25">
      <c r="A5323" s="27" t="s">
        <v>193</v>
      </c>
      <c r="C5323" s="27" t="s">
        <v>34749</v>
      </c>
      <c r="D5323" s="28" t="s">
        <v>34867</v>
      </c>
      <c r="P5323">
        <v>1056</v>
      </c>
      <c r="Q5323" t="s">
        <v>13294</v>
      </c>
      <c r="R5323" s="28" t="s">
        <v>7397</v>
      </c>
      <c r="S5323" t="s">
        <v>13022</v>
      </c>
    </row>
    <row r="5324" spans="1:19" x14ac:dyDescent="0.25">
      <c r="A5324" s="27" t="s">
        <v>193</v>
      </c>
      <c r="C5324" s="27" t="s">
        <v>34749</v>
      </c>
      <c r="D5324" s="28" t="s">
        <v>34867</v>
      </c>
      <c r="P5324">
        <v>1057</v>
      </c>
      <c r="Q5324" t="s">
        <v>13295</v>
      </c>
      <c r="R5324" s="28" t="s">
        <v>7388</v>
      </c>
      <c r="S5324" t="s">
        <v>13022</v>
      </c>
    </row>
    <row r="5325" spans="1:19" x14ac:dyDescent="0.25">
      <c r="A5325" s="27" t="s">
        <v>193</v>
      </c>
      <c r="C5325" s="27" t="s">
        <v>34749</v>
      </c>
      <c r="D5325" s="28" t="s">
        <v>34867</v>
      </c>
      <c r="P5325">
        <v>1058</v>
      </c>
      <c r="Q5325" t="s">
        <v>7453</v>
      </c>
      <c r="R5325" s="28" t="s">
        <v>7454</v>
      </c>
      <c r="S5325" t="s">
        <v>13022</v>
      </c>
    </row>
    <row r="5326" spans="1:19" x14ac:dyDescent="0.25">
      <c r="A5326" s="27" t="s">
        <v>193</v>
      </c>
      <c r="C5326" s="27" t="s">
        <v>34749</v>
      </c>
      <c r="D5326" s="28" t="s">
        <v>34867</v>
      </c>
      <c r="P5326">
        <v>1059</v>
      </c>
      <c r="Q5326" t="s">
        <v>13296</v>
      </c>
      <c r="R5326" s="28" t="s">
        <v>13297</v>
      </c>
      <c r="S5326" t="s">
        <v>13022</v>
      </c>
    </row>
    <row r="5327" spans="1:19" x14ac:dyDescent="0.25">
      <c r="A5327" s="27" t="s">
        <v>193</v>
      </c>
      <c r="C5327" s="27" t="s">
        <v>34749</v>
      </c>
      <c r="D5327" s="28" t="s">
        <v>34867</v>
      </c>
      <c r="P5327">
        <v>1060</v>
      </c>
      <c r="Q5327" t="s">
        <v>13298</v>
      </c>
      <c r="R5327" s="28" t="s">
        <v>13299</v>
      </c>
      <c r="S5327" t="s">
        <v>13022</v>
      </c>
    </row>
    <row r="5328" spans="1:19" x14ac:dyDescent="0.25">
      <c r="A5328" s="27" t="s">
        <v>193</v>
      </c>
      <c r="C5328" s="27" t="s">
        <v>34749</v>
      </c>
      <c r="D5328" s="28" t="s">
        <v>34867</v>
      </c>
      <c r="P5328">
        <v>1061</v>
      </c>
      <c r="Q5328" t="s">
        <v>819</v>
      </c>
      <c r="R5328" s="28" t="s">
        <v>820</v>
      </c>
      <c r="S5328" t="s">
        <v>13022</v>
      </c>
    </row>
    <row r="5329" spans="1:19" x14ac:dyDescent="0.25">
      <c r="A5329" s="27" t="s">
        <v>193</v>
      </c>
      <c r="C5329" s="27" t="s">
        <v>34749</v>
      </c>
      <c r="D5329" s="28" t="s">
        <v>34867</v>
      </c>
      <c r="P5329">
        <v>1062</v>
      </c>
      <c r="Q5329" t="s">
        <v>828</v>
      </c>
      <c r="R5329" s="28" t="s">
        <v>829</v>
      </c>
      <c r="S5329" t="s">
        <v>13022</v>
      </c>
    </row>
    <row r="5330" spans="1:19" x14ac:dyDescent="0.25">
      <c r="A5330" s="27" t="s">
        <v>193</v>
      </c>
      <c r="C5330" s="27" t="s">
        <v>34749</v>
      </c>
      <c r="D5330" s="28" t="s">
        <v>34867</v>
      </c>
      <c r="P5330">
        <v>1063</v>
      </c>
      <c r="Q5330" t="s">
        <v>13300</v>
      </c>
      <c r="R5330" s="28" t="s">
        <v>7541</v>
      </c>
      <c r="S5330" t="s">
        <v>13022</v>
      </c>
    </row>
    <row r="5331" spans="1:19" x14ac:dyDescent="0.25">
      <c r="A5331" s="27" t="s">
        <v>193</v>
      </c>
      <c r="C5331" s="27" t="s">
        <v>34749</v>
      </c>
      <c r="D5331" s="28" t="s">
        <v>34867</v>
      </c>
      <c r="P5331">
        <v>1064</v>
      </c>
      <c r="Q5331" t="s">
        <v>13301</v>
      </c>
      <c r="R5331" s="28" t="s">
        <v>794</v>
      </c>
      <c r="S5331" t="s">
        <v>13022</v>
      </c>
    </row>
    <row r="5332" spans="1:19" x14ac:dyDescent="0.25">
      <c r="A5332" s="27" t="s">
        <v>193</v>
      </c>
      <c r="C5332" s="27" t="s">
        <v>34749</v>
      </c>
      <c r="D5332" s="28" t="s">
        <v>34867</v>
      </c>
      <c r="P5332">
        <v>1065</v>
      </c>
      <c r="Q5332" t="s">
        <v>13302</v>
      </c>
      <c r="R5332" s="28" t="s">
        <v>4012</v>
      </c>
      <c r="S5332" t="s">
        <v>13022</v>
      </c>
    </row>
    <row r="5333" spans="1:19" x14ac:dyDescent="0.25">
      <c r="A5333" s="27" t="s">
        <v>193</v>
      </c>
      <c r="C5333" s="27" t="s">
        <v>34749</v>
      </c>
      <c r="D5333" s="28" t="s">
        <v>34867</v>
      </c>
      <c r="P5333">
        <v>1066</v>
      </c>
      <c r="Q5333" t="s">
        <v>13303</v>
      </c>
      <c r="R5333" s="28" t="s">
        <v>13304</v>
      </c>
      <c r="S5333" t="s">
        <v>13022</v>
      </c>
    </row>
    <row r="5334" spans="1:19" x14ac:dyDescent="0.25">
      <c r="A5334" s="27" t="s">
        <v>193</v>
      </c>
      <c r="C5334" s="27" t="s">
        <v>34749</v>
      </c>
      <c r="D5334" s="28" t="s">
        <v>34867</v>
      </c>
      <c r="P5334">
        <v>1067</v>
      </c>
      <c r="Q5334" t="s">
        <v>831</v>
      </c>
      <c r="R5334" s="28" t="s">
        <v>832</v>
      </c>
      <c r="S5334" t="s">
        <v>13022</v>
      </c>
    </row>
    <row r="5335" spans="1:19" x14ac:dyDescent="0.25">
      <c r="A5335" s="27" t="s">
        <v>193</v>
      </c>
      <c r="C5335" s="27" t="s">
        <v>34749</v>
      </c>
      <c r="D5335" s="28" t="s">
        <v>34867</v>
      </c>
      <c r="P5335">
        <v>1068</v>
      </c>
      <c r="Q5335" t="s">
        <v>13305</v>
      </c>
      <c r="R5335" s="28" t="s">
        <v>13306</v>
      </c>
      <c r="S5335" t="s">
        <v>13022</v>
      </c>
    </row>
    <row r="5336" spans="1:19" x14ac:dyDescent="0.25">
      <c r="A5336" s="27" t="s">
        <v>193</v>
      </c>
      <c r="C5336" s="27" t="s">
        <v>34749</v>
      </c>
      <c r="D5336" s="28" t="s">
        <v>34867</v>
      </c>
      <c r="P5336">
        <v>1069</v>
      </c>
      <c r="Q5336" t="s">
        <v>861</v>
      </c>
      <c r="R5336" s="28" t="s">
        <v>862</v>
      </c>
      <c r="S5336" t="s">
        <v>13022</v>
      </c>
    </row>
    <row r="5337" spans="1:19" x14ac:dyDescent="0.25">
      <c r="A5337" s="27" t="s">
        <v>193</v>
      </c>
      <c r="C5337" s="27" t="s">
        <v>34749</v>
      </c>
      <c r="D5337" s="28" t="s">
        <v>34867</v>
      </c>
      <c r="P5337">
        <v>1070</v>
      </c>
      <c r="Q5337" t="s">
        <v>894</v>
      </c>
      <c r="R5337" s="28" t="s">
        <v>895</v>
      </c>
      <c r="S5337" t="s">
        <v>13022</v>
      </c>
    </row>
    <row r="5338" spans="1:19" x14ac:dyDescent="0.25">
      <c r="A5338" s="27" t="s">
        <v>193</v>
      </c>
      <c r="C5338" s="27" t="s">
        <v>34749</v>
      </c>
      <c r="D5338" s="28" t="s">
        <v>34867</v>
      </c>
      <c r="P5338">
        <v>1071</v>
      </c>
      <c r="Q5338" t="s">
        <v>13307</v>
      </c>
      <c r="R5338" s="28" t="s">
        <v>13308</v>
      </c>
      <c r="S5338" t="s">
        <v>13022</v>
      </c>
    </row>
    <row r="5339" spans="1:19" x14ac:dyDescent="0.25">
      <c r="A5339" s="27" t="s">
        <v>193</v>
      </c>
      <c r="C5339" s="27" t="s">
        <v>34749</v>
      </c>
      <c r="D5339" s="28" t="s">
        <v>34867</v>
      </c>
      <c r="P5339">
        <v>1072</v>
      </c>
      <c r="Q5339" t="s">
        <v>13309</v>
      </c>
      <c r="S5339" t="s">
        <v>13022</v>
      </c>
    </row>
    <row r="5340" spans="1:19" x14ac:dyDescent="0.25">
      <c r="A5340" s="27" t="s">
        <v>193</v>
      </c>
      <c r="C5340" s="27" t="s">
        <v>34749</v>
      </c>
      <c r="D5340" s="28" t="s">
        <v>34867</v>
      </c>
      <c r="P5340">
        <v>1073</v>
      </c>
      <c r="Q5340" t="s">
        <v>13310</v>
      </c>
      <c r="R5340" s="28" t="s">
        <v>13311</v>
      </c>
      <c r="S5340" t="s">
        <v>13022</v>
      </c>
    </row>
    <row r="5341" spans="1:19" x14ac:dyDescent="0.25">
      <c r="A5341" s="27" t="s">
        <v>193</v>
      </c>
      <c r="C5341" s="27" t="s">
        <v>34749</v>
      </c>
      <c r="D5341" s="28" t="s">
        <v>34867</v>
      </c>
      <c r="P5341">
        <v>1074</v>
      </c>
      <c r="Q5341" t="s">
        <v>3184</v>
      </c>
      <c r="R5341" s="28" t="s">
        <v>3185</v>
      </c>
      <c r="S5341" t="s">
        <v>13022</v>
      </c>
    </row>
    <row r="5342" spans="1:19" x14ac:dyDescent="0.25">
      <c r="A5342" s="27" t="s">
        <v>193</v>
      </c>
      <c r="C5342" s="27" t="s">
        <v>34749</v>
      </c>
      <c r="D5342" s="28" t="s">
        <v>34867</v>
      </c>
      <c r="P5342">
        <v>1076</v>
      </c>
      <c r="Q5342" t="s">
        <v>13312</v>
      </c>
      <c r="R5342" s="28" t="s">
        <v>13313</v>
      </c>
      <c r="S5342" t="s">
        <v>13022</v>
      </c>
    </row>
    <row r="5343" spans="1:19" x14ac:dyDescent="0.25">
      <c r="A5343" s="27" t="s">
        <v>193</v>
      </c>
      <c r="C5343" s="27" t="s">
        <v>34749</v>
      </c>
      <c r="D5343" s="28" t="s">
        <v>34867</v>
      </c>
      <c r="P5343">
        <v>1077</v>
      </c>
      <c r="Q5343" t="s">
        <v>9117</v>
      </c>
      <c r="R5343" s="28" t="s">
        <v>9118</v>
      </c>
      <c r="S5343" t="s">
        <v>13022</v>
      </c>
    </row>
    <row r="5344" spans="1:19" x14ac:dyDescent="0.25">
      <c r="A5344" s="27" t="s">
        <v>193</v>
      </c>
      <c r="C5344" s="27" t="s">
        <v>34749</v>
      </c>
      <c r="D5344" s="28" t="s">
        <v>34867</v>
      </c>
      <c r="P5344">
        <v>1078</v>
      </c>
      <c r="Q5344" t="s">
        <v>13314</v>
      </c>
      <c r="S5344" t="s">
        <v>13022</v>
      </c>
    </row>
    <row r="5345" spans="1:19" x14ac:dyDescent="0.25">
      <c r="A5345" s="27" t="s">
        <v>193</v>
      </c>
      <c r="C5345" s="27" t="s">
        <v>34749</v>
      </c>
      <c r="D5345" s="28" t="s">
        <v>34867</v>
      </c>
      <c r="P5345">
        <v>1079</v>
      </c>
      <c r="Q5345" t="s">
        <v>4509</v>
      </c>
      <c r="R5345" s="28" t="s">
        <v>4510</v>
      </c>
      <c r="S5345" t="s">
        <v>13022</v>
      </c>
    </row>
    <row r="5346" spans="1:19" x14ac:dyDescent="0.25">
      <c r="A5346" s="27" t="s">
        <v>193</v>
      </c>
      <c r="C5346" s="27" t="s">
        <v>34749</v>
      </c>
      <c r="D5346" s="28" t="s">
        <v>34867</v>
      </c>
      <c r="P5346">
        <v>1080</v>
      </c>
      <c r="Q5346" t="s">
        <v>13315</v>
      </c>
      <c r="R5346" s="28" t="s">
        <v>976</v>
      </c>
      <c r="S5346" t="s">
        <v>13022</v>
      </c>
    </row>
    <row r="5347" spans="1:19" x14ac:dyDescent="0.25">
      <c r="A5347" s="27" t="s">
        <v>193</v>
      </c>
      <c r="C5347" s="27" t="s">
        <v>34749</v>
      </c>
      <c r="D5347" s="28" t="s">
        <v>34867</v>
      </c>
      <c r="P5347">
        <v>1081</v>
      </c>
      <c r="Q5347" t="s">
        <v>13316</v>
      </c>
      <c r="R5347" s="28" t="s">
        <v>1060</v>
      </c>
      <c r="S5347" t="s">
        <v>13022</v>
      </c>
    </row>
    <row r="5348" spans="1:19" x14ac:dyDescent="0.25">
      <c r="A5348" s="27" t="s">
        <v>193</v>
      </c>
      <c r="C5348" s="27" t="s">
        <v>34749</v>
      </c>
      <c r="D5348" s="28" t="s">
        <v>34867</v>
      </c>
      <c r="P5348">
        <v>1082</v>
      </c>
      <c r="Q5348" t="s">
        <v>13317</v>
      </c>
      <c r="R5348" s="28" t="s">
        <v>1132</v>
      </c>
      <c r="S5348" t="s">
        <v>13022</v>
      </c>
    </row>
    <row r="5349" spans="1:19" x14ac:dyDescent="0.25">
      <c r="A5349" s="27" t="s">
        <v>193</v>
      </c>
      <c r="C5349" s="27" t="s">
        <v>34749</v>
      </c>
      <c r="D5349" s="28" t="s">
        <v>34867</v>
      </c>
      <c r="P5349">
        <v>1083</v>
      </c>
      <c r="Q5349" t="s">
        <v>13318</v>
      </c>
      <c r="R5349" s="28" t="s">
        <v>13319</v>
      </c>
      <c r="S5349" t="s">
        <v>13022</v>
      </c>
    </row>
    <row r="5350" spans="1:19" x14ac:dyDescent="0.25">
      <c r="A5350" s="27" t="s">
        <v>193</v>
      </c>
      <c r="C5350" s="27" t="s">
        <v>34749</v>
      </c>
      <c r="D5350" s="28" t="s">
        <v>34867</v>
      </c>
      <c r="P5350">
        <v>1084</v>
      </c>
      <c r="Q5350" t="s">
        <v>13320</v>
      </c>
      <c r="S5350" t="s">
        <v>13022</v>
      </c>
    </row>
    <row r="5351" spans="1:19" x14ac:dyDescent="0.25">
      <c r="A5351" s="27" t="s">
        <v>193</v>
      </c>
      <c r="C5351" s="27" t="s">
        <v>34749</v>
      </c>
      <c r="D5351" s="28" t="s">
        <v>34867</v>
      </c>
      <c r="P5351">
        <v>1086</v>
      </c>
      <c r="Q5351" t="s">
        <v>13321</v>
      </c>
      <c r="S5351" t="s">
        <v>13022</v>
      </c>
    </row>
    <row r="5352" spans="1:19" x14ac:dyDescent="0.25">
      <c r="A5352" s="27" t="s">
        <v>193</v>
      </c>
      <c r="C5352" s="27" t="s">
        <v>34749</v>
      </c>
      <c r="D5352" s="28" t="s">
        <v>34867</v>
      </c>
      <c r="P5352">
        <v>1087</v>
      </c>
      <c r="Q5352" t="s">
        <v>13322</v>
      </c>
      <c r="R5352" s="28" t="s">
        <v>13323</v>
      </c>
      <c r="S5352" t="s">
        <v>13022</v>
      </c>
    </row>
    <row r="5353" spans="1:19" x14ac:dyDescent="0.25">
      <c r="A5353" s="27" t="s">
        <v>193</v>
      </c>
      <c r="C5353" s="27" t="s">
        <v>34749</v>
      </c>
      <c r="D5353" s="28" t="s">
        <v>34867</v>
      </c>
      <c r="P5353">
        <v>1088</v>
      </c>
      <c r="Q5353" t="s">
        <v>13324</v>
      </c>
      <c r="R5353" s="28" t="s">
        <v>11859</v>
      </c>
      <c r="S5353" t="s">
        <v>13022</v>
      </c>
    </row>
    <row r="5354" spans="1:19" x14ac:dyDescent="0.25">
      <c r="A5354" s="27" t="s">
        <v>193</v>
      </c>
      <c r="C5354" s="27" t="s">
        <v>34749</v>
      </c>
      <c r="D5354" s="28" t="s">
        <v>34867</v>
      </c>
      <c r="P5354">
        <v>1089</v>
      </c>
      <c r="Q5354" t="s">
        <v>3577</v>
      </c>
      <c r="R5354" s="28" t="s">
        <v>3578</v>
      </c>
      <c r="S5354" t="s">
        <v>13022</v>
      </c>
    </row>
    <row r="5355" spans="1:19" x14ac:dyDescent="0.25">
      <c r="A5355" s="27" t="s">
        <v>193</v>
      </c>
      <c r="C5355" s="27" t="s">
        <v>34749</v>
      </c>
      <c r="D5355" s="28" t="s">
        <v>34867</v>
      </c>
      <c r="P5355">
        <v>1090</v>
      </c>
      <c r="Q5355" t="s">
        <v>13325</v>
      </c>
      <c r="R5355" s="28" t="s">
        <v>13326</v>
      </c>
      <c r="S5355" t="s">
        <v>13022</v>
      </c>
    </row>
    <row r="5356" spans="1:19" x14ac:dyDescent="0.25">
      <c r="A5356" s="27" t="s">
        <v>193</v>
      </c>
      <c r="C5356" s="27" t="s">
        <v>34749</v>
      </c>
      <c r="D5356" s="28" t="s">
        <v>34867</v>
      </c>
      <c r="P5356">
        <v>1091</v>
      </c>
      <c r="Q5356" t="s">
        <v>13327</v>
      </c>
      <c r="S5356" t="s">
        <v>13022</v>
      </c>
    </row>
    <row r="5357" spans="1:19" x14ac:dyDescent="0.25">
      <c r="A5357" s="27" t="s">
        <v>193</v>
      </c>
      <c r="C5357" s="27" t="s">
        <v>34749</v>
      </c>
      <c r="D5357" s="28" t="s">
        <v>34867</v>
      </c>
      <c r="P5357">
        <v>1093</v>
      </c>
      <c r="Q5357" t="s">
        <v>13328</v>
      </c>
      <c r="R5357" s="28" t="s">
        <v>3731</v>
      </c>
      <c r="S5357" t="s">
        <v>13022</v>
      </c>
    </row>
    <row r="5358" spans="1:19" x14ac:dyDescent="0.25">
      <c r="A5358" s="27" t="s">
        <v>193</v>
      </c>
      <c r="C5358" s="27" t="s">
        <v>34749</v>
      </c>
      <c r="D5358" s="28" t="s">
        <v>34867</v>
      </c>
      <c r="P5358">
        <v>1094</v>
      </c>
      <c r="Q5358" t="s">
        <v>13329</v>
      </c>
      <c r="R5358" s="28" t="s">
        <v>3716</v>
      </c>
      <c r="S5358" t="s">
        <v>13022</v>
      </c>
    </row>
    <row r="5359" spans="1:19" x14ac:dyDescent="0.25">
      <c r="A5359" s="27" t="s">
        <v>193</v>
      </c>
      <c r="C5359" s="27" t="s">
        <v>34749</v>
      </c>
      <c r="D5359" s="28" t="s">
        <v>34867</v>
      </c>
      <c r="P5359">
        <v>1095</v>
      </c>
      <c r="Q5359" t="s">
        <v>10161</v>
      </c>
      <c r="R5359" s="28" t="s">
        <v>10162</v>
      </c>
      <c r="S5359" t="s">
        <v>13022</v>
      </c>
    </row>
    <row r="5360" spans="1:19" x14ac:dyDescent="0.25">
      <c r="A5360" s="27" t="s">
        <v>193</v>
      </c>
      <c r="C5360" s="27" t="s">
        <v>34749</v>
      </c>
      <c r="D5360" s="28" t="s">
        <v>34867</v>
      </c>
      <c r="P5360">
        <v>1096</v>
      </c>
      <c r="Q5360" t="s">
        <v>10164</v>
      </c>
      <c r="R5360" s="28" t="s">
        <v>10165</v>
      </c>
      <c r="S5360" t="s">
        <v>13022</v>
      </c>
    </row>
    <row r="5361" spans="1:19" x14ac:dyDescent="0.25">
      <c r="A5361" s="27" t="s">
        <v>193</v>
      </c>
      <c r="C5361" s="27" t="s">
        <v>34749</v>
      </c>
      <c r="D5361" s="28" t="s">
        <v>34867</v>
      </c>
      <c r="P5361">
        <v>1097</v>
      </c>
      <c r="Q5361" t="s">
        <v>13330</v>
      </c>
      <c r="R5361" s="28" t="s">
        <v>8095</v>
      </c>
      <c r="S5361" t="s">
        <v>13022</v>
      </c>
    </row>
    <row r="5362" spans="1:19" x14ac:dyDescent="0.25">
      <c r="A5362" s="27" t="s">
        <v>193</v>
      </c>
      <c r="C5362" s="27" t="s">
        <v>34749</v>
      </c>
      <c r="D5362" s="28" t="s">
        <v>34867</v>
      </c>
      <c r="P5362">
        <v>1098</v>
      </c>
      <c r="Q5362" t="s">
        <v>795</v>
      </c>
      <c r="R5362" s="28" t="s">
        <v>798</v>
      </c>
      <c r="S5362" t="s">
        <v>13022</v>
      </c>
    </row>
    <row r="5363" spans="1:19" x14ac:dyDescent="0.25">
      <c r="A5363" s="27" t="s">
        <v>193</v>
      </c>
      <c r="C5363" s="27" t="s">
        <v>34749</v>
      </c>
      <c r="D5363" s="28" t="s">
        <v>34867</v>
      </c>
      <c r="P5363">
        <v>1099</v>
      </c>
      <c r="Q5363" t="s">
        <v>3484</v>
      </c>
      <c r="R5363" s="28" t="s">
        <v>3485</v>
      </c>
      <c r="S5363" t="s">
        <v>13022</v>
      </c>
    </row>
    <row r="5364" spans="1:19" x14ac:dyDescent="0.25">
      <c r="A5364" s="27" t="s">
        <v>193</v>
      </c>
      <c r="C5364" s="27" t="s">
        <v>34749</v>
      </c>
      <c r="D5364" s="28" t="s">
        <v>34867</v>
      </c>
      <c r="P5364">
        <v>1100</v>
      </c>
      <c r="Q5364" t="s">
        <v>3478</v>
      </c>
      <c r="R5364" s="28" t="s">
        <v>3479</v>
      </c>
      <c r="S5364" t="s">
        <v>13022</v>
      </c>
    </row>
    <row r="5365" spans="1:19" x14ac:dyDescent="0.25">
      <c r="A5365" s="27" t="s">
        <v>193</v>
      </c>
      <c r="C5365" s="27" t="s">
        <v>34749</v>
      </c>
      <c r="D5365" s="28" t="s">
        <v>34867</v>
      </c>
      <c r="P5365">
        <v>1101</v>
      </c>
      <c r="Q5365" t="s">
        <v>13331</v>
      </c>
      <c r="R5365" s="28" t="s">
        <v>13332</v>
      </c>
      <c r="S5365" t="s">
        <v>13022</v>
      </c>
    </row>
    <row r="5366" spans="1:19" x14ac:dyDescent="0.25">
      <c r="A5366" s="27" t="s">
        <v>193</v>
      </c>
      <c r="C5366" s="27" t="s">
        <v>34749</v>
      </c>
      <c r="D5366" s="28" t="s">
        <v>34867</v>
      </c>
      <c r="P5366">
        <v>1102</v>
      </c>
      <c r="Q5366" t="s">
        <v>13333</v>
      </c>
      <c r="R5366" s="28" t="s">
        <v>13334</v>
      </c>
      <c r="S5366" t="s">
        <v>13022</v>
      </c>
    </row>
    <row r="5367" spans="1:19" x14ac:dyDescent="0.25">
      <c r="A5367" s="27" t="s">
        <v>193</v>
      </c>
      <c r="C5367" s="27" t="s">
        <v>34749</v>
      </c>
      <c r="D5367" s="28" t="s">
        <v>34867</v>
      </c>
      <c r="P5367">
        <v>1103</v>
      </c>
      <c r="Q5367" t="s">
        <v>13335</v>
      </c>
      <c r="R5367" s="28" t="s">
        <v>13336</v>
      </c>
      <c r="S5367" t="s">
        <v>13022</v>
      </c>
    </row>
    <row r="5368" spans="1:19" x14ac:dyDescent="0.25">
      <c r="A5368" s="27" t="s">
        <v>193</v>
      </c>
      <c r="C5368" s="27" t="s">
        <v>34749</v>
      </c>
      <c r="D5368" s="28" t="s">
        <v>34867</v>
      </c>
      <c r="P5368">
        <v>1104</v>
      </c>
      <c r="Q5368" t="s">
        <v>13337</v>
      </c>
      <c r="R5368" s="28" t="s">
        <v>13338</v>
      </c>
      <c r="S5368" t="s">
        <v>13022</v>
      </c>
    </row>
    <row r="5369" spans="1:19" x14ac:dyDescent="0.25">
      <c r="A5369" s="27" t="s">
        <v>193</v>
      </c>
      <c r="C5369" s="27" t="s">
        <v>34749</v>
      </c>
      <c r="D5369" s="28" t="s">
        <v>34867</v>
      </c>
      <c r="P5369">
        <v>1105</v>
      </c>
      <c r="Q5369" t="s">
        <v>13339</v>
      </c>
      <c r="R5369" s="28" t="s">
        <v>13340</v>
      </c>
      <c r="S5369" t="s">
        <v>13022</v>
      </c>
    </row>
    <row r="5370" spans="1:19" x14ac:dyDescent="0.25">
      <c r="A5370" s="27" t="s">
        <v>193</v>
      </c>
      <c r="C5370" s="27" t="s">
        <v>34749</v>
      </c>
      <c r="D5370" s="28" t="s">
        <v>34867</v>
      </c>
      <c r="P5370">
        <v>1107</v>
      </c>
      <c r="Q5370" t="s">
        <v>13341</v>
      </c>
      <c r="R5370" s="28" t="s">
        <v>13342</v>
      </c>
      <c r="S5370" t="s">
        <v>13022</v>
      </c>
    </row>
    <row r="5371" spans="1:19" x14ac:dyDescent="0.25">
      <c r="A5371" s="27" t="s">
        <v>193</v>
      </c>
      <c r="C5371" s="27" t="s">
        <v>34749</v>
      </c>
      <c r="D5371" s="28" t="s">
        <v>34867</v>
      </c>
      <c r="P5371">
        <v>1108</v>
      </c>
      <c r="Q5371" t="s">
        <v>13343</v>
      </c>
      <c r="R5371" s="28" t="s">
        <v>13344</v>
      </c>
      <c r="S5371" t="s">
        <v>13022</v>
      </c>
    </row>
    <row r="5372" spans="1:19" x14ac:dyDescent="0.25">
      <c r="A5372" s="27" t="s">
        <v>193</v>
      </c>
      <c r="C5372" s="27" t="s">
        <v>34749</v>
      </c>
      <c r="D5372" s="28" t="s">
        <v>34867</v>
      </c>
      <c r="P5372">
        <v>1109</v>
      </c>
      <c r="Q5372" t="s">
        <v>13345</v>
      </c>
      <c r="S5372" t="s">
        <v>13022</v>
      </c>
    </row>
    <row r="5373" spans="1:19" x14ac:dyDescent="0.25">
      <c r="A5373" s="27" t="s">
        <v>193</v>
      </c>
      <c r="C5373" s="27" t="s">
        <v>34749</v>
      </c>
      <c r="D5373" s="28" t="s">
        <v>34867</v>
      </c>
      <c r="P5373">
        <v>1110</v>
      </c>
      <c r="Q5373" t="s">
        <v>13346</v>
      </c>
      <c r="R5373" s="28" t="s">
        <v>13347</v>
      </c>
      <c r="S5373" t="s">
        <v>13022</v>
      </c>
    </row>
    <row r="5374" spans="1:19" x14ac:dyDescent="0.25">
      <c r="A5374" s="27" t="s">
        <v>193</v>
      </c>
      <c r="C5374" s="27" t="s">
        <v>34749</v>
      </c>
      <c r="D5374" s="28" t="s">
        <v>34867</v>
      </c>
      <c r="P5374">
        <v>1111</v>
      </c>
      <c r="Q5374" t="s">
        <v>13348</v>
      </c>
      <c r="S5374" t="s">
        <v>13022</v>
      </c>
    </row>
    <row r="5375" spans="1:19" x14ac:dyDescent="0.25">
      <c r="A5375" s="27" t="s">
        <v>193</v>
      </c>
      <c r="C5375" s="27" t="s">
        <v>34749</v>
      </c>
      <c r="D5375" s="28" t="s">
        <v>34867</v>
      </c>
      <c r="P5375">
        <v>1112</v>
      </c>
      <c r="Q5375" t="s">
        <v>3909</v>
      </c>
      <c r="R5375" s="28" t="s">
        <v>3910</v>
      </c>
      <c r="S5375" t="s">
        <v>13022</v>
      </c>
    </row>
    <row r="5376" spans="1:19" x14ac:dyDescent="0.25">
      <c r="A5376" s="27" t="s">
        <v>193</v>
      </c>
      <c r="C5376" s="27" t="s">
        <v>34749</v>
      </c>
      <c r="D5376" s="28" t="s">
        <v>34867</v>
      </c>
      <c r="P5376">
        <v>1113</v>
      </c>
      <c r="Q5376" t="s">
        <v>3978</v>
      </c>
      <c r="R5376" s="28" t="s">
        <v>3979</v>
      </c>
      <c r="S5376" t="s">
        <v>13022</v>
      </c>
    </row>
    <row r="5377" spans="1:19" x14ac:dyDescent="0.25">
      <c r="A5377" s="27" t="s">
        <v>193</v>
      </c>
      <c r="C5377" s="27" t="s">
        <v>34749</v>
      </c>
      <c r="D5377" s="28" t="s">
        <v>34867</v>
      </c>
      <c r="P5377">
        <v>1115</v>
      </c>
      <c r="Q5377" t="s">
        <v>13349</v>
      </c>
      <c r="R5377" s="28" t="s">
        <v>2065</v>
      </c>
      <c r="S5377" t="s">
        <v>13022</v>
      </c>
    </row>
    <row r="5378" spans="1:19" x14ac:dyDescent="0.25">
      <c r="A5378" s="27" t="s">
        <v>193</v>
      </c>
      <c r="C5378" s="27" t="s">
        <v>34749</v>
      </c>
      <c r="D5378" s="28" t="s">
        <v>34867</v>
      </c>
      <c r="P5378">
        <v>1116</v>
      </c>
      <c r="Q5378" t="s">
        <v>13350</v>
      </c>
      <c r="S5378" t="s">
        <v>13022</v>
      </c>
    </row>
    <row r="5379" spans="1:19" x14ac:dyDescent="0.25">
      <c r="A5379" s="27" t="s">
        <v>193</v>
      </c>
      <c r="C5379" s="27" t="s">
        <v>34749</v>
      </c>
      <c r="D5379" s="28" t="s">
        <v>34867</v>
      </c>
      <c r="P5379">
        <v>1118</v>
      </c>
      <c r="Q5379" t="s">
        <v>13351</v>
      </c>
      <c r="S5379" t="s">
        <v>13022</v>
      </c>
    </row>
    <row r="5380" spans="1:19" x14ac:dyDescent="0.25">
      <c r="A5380" s="27" t="s">
        <v>193</v>
      </c>
      <c r="C5380" s="27" t="s">
        <v>34749</v>
      </c>
      <c r="D5380" s="28" t="s">
        <v>34867</v>
      </c>
      <c r="P5380">
        <v>1119</v>
      </c>
      <c r="Q5380" t="s">
        <v>948</v>
      </c>
      <c r="R5380" s="28" t="s">
        <v>949</v>
      </c>
      <c r="S5380" t="s">
        <v>13022</v>
      </c>
    </row>
    <row r="5381" spans="1:19" x14ac:dyDescent="0.25">
      <c r="A5381" s="27" t="s">
        <v>193</v>
      </c>
      <c r="C5381" s="27" t="s">
        <v>34749</v>
      </c>
      <c r="D5381" s="28" t="s">
        <v>34867</v>
      </c>
      <c r="P5381">
        <v>1120</v>
      </c>
      <c r="Q5381" t="s">
        <v>1026</v>
      </c>
      <c r="R5381" s="28" t="s">
        <v>1027</v>
      </c>
      <c r="S5381" t="s">
        <v>13022</v>
      </c>
    </row>
    <row r="5382" spans="1:19" x14ac:dyDescent="0.25">
      <c r="A5382" s="27" t="s">
        <v>193</v>
      </c>
      <c r="C5382" s="27" t="s">
        <v>34749</v>
      </c>
      <c r="D5382" s="28" t="s">
        <v>34867</v>
      </c>
      <c r="P5382">
        <v>1121</v>
      </c>
      <c r="Q5382" t="s">
        <v>1104</v>
      </c>
      <c r="R5382" s="28" t="s">
        <v>1105</v>
      </c>
      <c r="S5382" t="s">
        <v>13022</v>
      </c>
    </row>
    <row r="5383" spans="1:19" x14ac:dyDescent="0.25">
      <c r="A5383" s="27" t="s">
        <v>193</v>
      </c>
      <c r="C5383" s="27" t="s">
        <v>34749</v>
      </c>
      <c r="D5383" s="28" t="s">
        <v>34867</v>
      </c>
      <c r="P5383">
        <v>1122</v>
      </c>
      <c r="Q5383" t="s">
        <v>13352</v>
      </c>
      <c r="S5383" t="s">
        <v>13022</v>
      </c>
    </row>
    <row r="5384" spans="1:19" x14ac:dyDescent="0.25">
      <c r="A5384" s="27" t="s">
        <v>193</v>
      </c>
      <c r="C5384" s="27" t="s">
        <v>34749</v>
      </c>
      <c r="D5384" s="28" t="s">
        <v>34867</v>
      </c>
      <c r="P5384">
        <v>1123</v>
      </c>
      <c r="Q5384" t="s">
        <v>13353</v>
      </c>
      <c r="R5384" s="28" t="s">
        <v>13354</v>
      </c>
      <c r="S5384" t="s">
        <v>13022</v>
      </c>
    </row>
    <row r="5385" spans="1:19" x14ac:dyDescent="0.25">
      <c r="A5385" s="27" t="s">
        <v>193</v>
      </c>
      <c r="C5385" s="27" t="s">
        <v>34749</v>
      </c>
      <c r="D5385" s="28" t="s">
        <v>34867</v>
      </c>
      <c r="P5385">
        <v>1124</v>
      </c>
      <c r="Q5385" t="s">
        <v>13355</v>
      </c>
      <c r="S5385" t="s">
        <v>13022</v>
      </c>
    </row>
    <row r="5386" spans="1:19" x14ac:dyDescent="0.25">
      <c r="A5386" s="27" t="s">
        <v>193</v>
      </c>
      <c r="C5386" s="27" t="s">
        <v>34749</v>
      </c>
      <c r="D5386" s="28" t="s">
        <v>34867</v>
      </c>
      <c r="P5386">
        <v>1125</v>
      </c>
      <c r="Q5386" t="s">
        <v>13356</v>
      </c>
      <c r="S5386" t="s">
        <v>13022</v>
      </c>
    </row>
    <row r="5387" spans="1:19" x14ac:dyDescent="0.25">
      <c r="A5387" s="27" t="s">
        <v>193</v>
      </c>
      <c r="C5387" s="27" t="s">
        <v>34749</v>
      </c>
      <c r="D5387" s="28" t="s">
        <v>34867</v>
      </c>
      <c r="P5387">
        <v>1126</v>
      </c>
      <c r="Q5387" t="s">
        <v>13357</v>
      </c>
      <c r="R5387" s="28" t="s">
        <v>13358</v>
      </c>
      <c r="S5387" t="s">
        <v>13022</v>
      </c>
    </row>
    <row r="5388" spans="1:19" x14ac:dyDescent="0.25">
      <c r="A5388" s="27" t="s">
        <v>193</v>
      </c>
      <c r="C5388" s="27" t="s">
        <v>34749</v>
      </c>
      <c r="D5388" s="28" t="s">
        <v>34867</v>
      </c>
      <c r="P5388">
        <v>1127</v>
      </c>
      <c r="Q5388" t="s">
        <v>7042</v>
      </c>
      <c r="R5388" s="28" t="s">
        <v>7043</v>
      </c>
      <c r="S5388" t="s">
        <v>13022</v>
      </c>
    </row>
    <row r="5389" spans="1:19" x14ac:dyDescent="0.25">
      <c r="A5389" s="27" t="s">
        <v>193</v>
      </c>
      <c r="C5389" s="27" t="s">
        <v>34749</v>
      </c>
      <c r="D5389" s="28" t="s">
        <v>34867</v>
      </c>
      <c r="P5389">
        <v>1128</v>
      </c>
      <c r="Q5389" t="s">
        <v>873</v>
      </c>
      <c r="R5389" s="28" t="s">
        <v>874</v>
      </c>
      <c r="S5389" t="s">
        <v>13022</v>
      </c>
    </row>
    <row r="5390" spans="1:19" x14ac:dyDescent="0.25">
      <c r="A5390" s="27" t="s">
        <v>193</v>
      </c>
      <c r="C5390" s="27" t="s">
        <v>34749</v>
      </c>
      <c r="D5390" s="28" t="s">
        <v>34867</v>
      </c>
      <c r="P5390">
        <v>1129</v>
      </c>
      <c r="Q5390" t="s">
        <v>885</v>
      </c>
      <c r="R5390" s="28" t="s">
        <v>886</v>
      </c>
      <c r="S5390" t="s">
        <v>13022</v>
      </c>
    </row>
    <row r="5391" spans="1:19" x14ac:dyDescent="0.25">
      <c r="A5391" s="27" t="s">
        <v>193</v>
      </c>
      <c r="C5391" s="27" t="s">
        <v>34749</v>
      </c>
      <c r="D5391" s="28" t="s">
        <v>34867</v>
      </c>
      <c r="P5391">
        <v>1130</v>
      </c>
      <c r="Q5391" t="s">
        <v>906</v>
      </c>
      <c r="R5391" s="28" t="s">
        <v>907</v>
      </c>
      <c r="S5391" t="s">
        <v>13022</v>
      </c>
    </row>
    <row r="5392" spans="1:19" x14ac:dyDescent="0.25">
      <c r="A5392" s="27" t="s">
        <v>193</v>
      </c>
      <c r="C5392" s="27" t="s">
        <v>34749</v>
      </c>
      <c r="D5392" s="28" t="s">
        <v>34867</v>
      </c>
      <c r="P5392">
        <v>1131</v>
      </c>
      <c r="Q5392" t="s">
        <v>891</v>
      </c>
      <c r="R5392" s="28" t="s">
        <v>892</v>
      </c>
      <c r="S5392" t="s">
        <v>13022</v>
      </c>
    </row>
    <row r="5393" spans="1:19" x14ac:dyDescent="0.25">
      <c r="A5393" s="27" t="s">
        <v>193</v>
      </c>
      <c r="C5393" s="27" t="s">
        <v>34749</v>
      </c>
      <c r="D5393" s="28" t="s">
        <v>34867</v>
      </c>
      <c r="P5393">
        <v>1132</v>
      </c>
      <c r="Q5393" t="s">
        <v>912</v>
      </c>
      <c r="R5393" s="28" t="s">
        <v>913</v>
      </c>
      <c r="S5393" t="s">
        <v>13022</v>
      </c>
    </row>
    <row r="5394" spans="1:19" x14ac:dyDescent="0.25">
      <c r="A5394" s="27" t="s">
        <v>193</v>
      </c>
      <c r="C5394" s="27" t="s">
        <v>34749</v>
      </c>
      <c r="D5394" s="28" t="s">
        <v>34867</v>
      </c>
      <c r="P5394">
        <v>1133</v>
      </c>
      <c r="Q5394" t="s">
        <v>996</v>
      </c>
      <c r="R5394" s="28" t="s">
        <v>997</v>
      </c>
      <c r="S5394" t="s">
        <v>13022</v>
      </c>
    </row>
    <row r="5395" spans="1:19" x14ac:dyDescent="0.25">
      <c r="A5395" s="27" t="s">
        <v>193</v>
      </c>
      <c r="C5395" s="27" t="s">
        <v>34749</v>
      </c>
      <c r="D5395" s="28" t="s">
        <v>34867</v>
      </c>
      <c r="P5395">
        <v>1134</v>
      </c>
      <c r="Q5395" t="s">
        <v>13359</v>
      </c>
      <c r="R5395" s="28" t="s">
        <v>823</v>
      </c>
      <c r="S5395" t="s">
        <v>13022</v>
      </c>
    </row>
    <row r="5396" spans="1:19" x14ac:dyDescent="0.25">
      <c r="A5396" s="27" t="s">
        <v>193</v>
      </c>
      <c r="C5396" s="27" t="s">
        <v>34749</v>
      </c>
      <c r="D5396" s="28" t="s">
        <v>34867</v>
      </c>
      <c r="P5396">
        <v>1135</v>
      </c>
      <c r="Q5396" t="s">
        <v>13360</v>
      </c>
      <c r="R5396" s="28" t="s">
        <v>13361</v>
      </c>
      <c r="S5396" t="s">
        <v>13022</v>
      </c>
    </row>
    <row r="5397" spans="1:19" x14ac:dyDescent="0.25">
      <c r="A5397" s="27" t="s">
        <v>193</v>
      </c>
      <c r="C5397" s="27" t="s">
        <v>34749</v>
      </c>
      <c r="D5397" s="28" t="s">
        <v>34867</v>
      </c>
      <c r="P5397">
        <v>1136</v>
      </c>
      <c r="Q5397" t="s">
        <v>13362</v>
      </c>
      <c r="S5397" t="s">
        <v>13022</v>
      </c>
    </row>
    <row r="5398" spans="1:19" x14ac:dyDescent="0.25">
      <c r="A5398" s="27" t="s">
        <v>193</v>
      </c>
      <c r="C5398" s="27" t="s">
        <v>34749</v>
      </c>
      <c r="D5398" s="28" t="s">
        <v>34867</v>
      </c>
      <c r="P5398">
        <v>1137</v>
      </c>
      <c r="Q5398" t="s">
        <v>13363</v>
      </c>
      <c r="S5398" t="s">
        <v>13022</v>
      </c>
    </row>
    <row r="5399" spans="1:19" x14ac:dyDescent="0.25">
      <c r="A5399" s="27" t="s">
        <v>193</v>
      </c>
      <c r="C5399" s="27" t="s">
        <v>34749</v>
      </c>
      <c r="D5399" s="28" t="s">
        <v>34867</v>
      </c>
      <c r="P5399">
        <v>1138</v>
      </c>
      <c r="Q5399" t="s">
        <v>13364</v>
      </c>
      <c r="S5399" t="s">
        <v>13022</v>
      </c>
    </row>
    <row r="5400" spans="1:19" x14ac:dyDescent="0.25">
      <c r="A5400" s="27" t="s">
        <v>193</v>
      </c>
      <c r="C5400" s="27" t="s">
        <v>34749</v>
      </c>
      <c r="D5400" s="28" t="s">
        <v>34867</v>
      </c>
      <c r="P5400">
        <v>1139</v>
      </c>
      <c r="Q5400" t="s">
        <v>13365</v>
      </c>
      <c r="R5400" s="28" t="s">
        <v>13366</v>
      </c>
      <c r="S5400" t="s">
        <v>13022</v>
      </c>
    </row>
    <row r="5401" spans="1:19" x14ac:dyDescent="0.25">
      <c r="A5401" s="27" t="s">
        <v>193</v>
      </c>
      <c r="C5401" s="27" t="s">
        <v>34749</v>
      </c>
      <c r="D5401" s="28" t="s">
        <v>34867</v>
      </c>
      <c r="P5401">
        <v>1140</v>
      </c>
      <c r="Q5401" t="s">
        <v>13367</v>
      </c>
      <c r="S5401" t="s">
        <v>13022</v>
      </c>
    </row>
    <row r="5402" spans="1:19" x14ac:dyDescent="0.25">
      <c r="A5402" s="27" t="s">
        <v>193</v>
      </c>
      <c r="C5402" s="27" t="s">
        <v>34749</v>
      </c>
      <c r="D5402" s="28" t="s">
        <v>34867</v>
      </c>
      <c r="P5402">
        <v>1142</v>
      </c>
      <c r="Q5402" t="s">
        <v>13368</v>
      </c>
      <c r="R5402" s="28" t="s">
        <v>13369</v>
      </c>
      <c r="S5402" t="s">
        <v>13022</v>
      </c>
    </row>
    <row r="5403" spans="1:19" x14ac:dyDescent="0.25">
      <c r="A5403" s="27" t="s">
        <v>193</v>
      </c>
      <c r="C5403" s="27" t="s">
        <v>34749</v>
      </c>
      <c r="D5403" s="28" t="s">
        <v>34867</v>
      </c>
      <c r="P5403">
        <v>1143</v>
      </c>
      <c r="Q5403" t="s">
        <v>13370</v>
      </c>
      <c r="R5403" s="28" t="s">
        <v>13371</v>
      </c>
      <c r="S5403" t="s">
        <v>13022</v>
      </c>
    </row>
    <row r="5404" spans="1:19" x14ac:dyDescent="0.25">
      <c r="A5404" s="27" t="s">
        <v>193</v>
      </c>
      <c r="C5404" s="27" t="s">
        <v>34749</v>
      </c>
      <c r="D5404" s="28" t="s">
        <v>34867</v>
      </c>
      <c r="P5404">
        <v>1145</v>
      </c>
      <c r="Q5404" t="s">
        <v>13372</v>
      </c>
      <c r="S5404" t="s">
        <v>13022</v>
      </c>
    </row>
    <row r="5405" spans="1:19" x14ac:dyDescent="0.25">
      <c r="A5405" s="27" t="s">
        <v>193</v>
      </c>
      <c r="C5405" s="27" t="s">
        <v>34749</v>
      </c>
      <c r="D5405" s="28" t="s">
        <v>34867</v>
      </c>
      <c r="P5405">
        <v>1146</v>
      </c>
      <c r="Q5405" t="s">
        <v>13373</v>
      </c>
      <c r="S5405" t="s">
        <v>13022</v>
      </c>
    </row>
    <row r="5406" spans="1:19" x14ac:dyDescent="0.25">
      <c r="A5406" s="27" t="s">
        <v>193</v>
      </c>
      <c r="C5406" s="27" t="s">
        <v>34749</v>
      </c>
      <c r="D5406" s="28" t="s">
        <v>34867</v>
      </c>
      <c r="P5406">
        <v>1147</v>
      </c>
      <c r="Q5406" t="s">
        <v>13374</v>
      </c>
      <c r="R5406" s="28" t="s">
        <v>13375</v>
      </c>
      <c r="S5406" t="s">
        <v>13022</v>
      </c>
    </row>
    <row r="5407" spans="1:19" x14ac:dyDescent="0.25">
      <c r="A5407" s="27" t="s">
        <v>193</v>
      </c>
      <c r="C5407" s="27" t="s">
        <v>34749</v>
      </c>
      <c r="D5407" s="28" t="s">
        <v>34867</v>
      </c>
      <c r="P5407">
        <v>1148</v>
      </c>
      <c r="Q5407" t="s">
        <v>13376</v>
      </c>
      <c r="R5407" s="28" t="s">
        <v>9547</v>
      </c>
      <c r="S5407" t="s">
        <v>13022</v>
      </c>
    </row>
    <row r="5408" spans="1:19" x14ac:dyDescent="0.25">
      <c r="A5408" s="27" t="s">
        <v>193</v>
      </c>
      <c r="C5408" s="27" t="s">
        <v>34749</v>
      </c>
      <c r="D5408" s="28" t="s">
        <v>34867</v>
      </c>
      <c r="P5408">
        <v>1149</v>
      </c>
      <c r="Q5408" t="s">
        <v>13377</v>
      </c>
      <c r="R5408" s="28" t="s">
        <v>13378</v>
      </c>
      <c r="S5408" t="s">
        <v>13022</v>
      </c>
    </row>
    <row r="5409" spans="1:19" x14ac:dyDescent="0.25">
      <c r="A5409" s="27" t="s">
        <v>193</v>
      </c>
      <c r="C5409" s="27" t="s">
        <v>34749</v>
      </c>
      <c r="D5409" s="28" t="s">
        <v>34867</v>
      </c>
      <c r="P5409">
        <v>1150</v>
      </c>
      <c r="Q5409" t="s">
        <v>13379</v>
      </c>
      <c r="R5409" s="28" t="s">
        <v>13380</v>
      </c>
      <c r="S5409" t="s">
        <v>13022</v>
      </c>
    </row>
    <row r="5410" spans="1:19" x14ac:dyDescent="0.25">
      <c r="A5410" s="27" t="s">
        <v>193</v>
      </c>
      <c r="C5410" s="27" t="s">
        <v>34749</v>
      </c>
      <c r="D5410" s="28" t="s">
        <v>34867</v>
      </c>
      <c r="P5410">
        <v>1151</v>
      </c>
      <c r="Q5410" t="s">
        <v>13381</v>
      </c>
      <c r="R5410" s="28" t="s">
        <v>13382</v>
      </c>
      <c r="S5410" t="s">
        <v>13022</v>
      </c>
    </row>
    <row r="5411" spans="1:19" x14ac:dyDescent="0.25">
      <c r="A5411" s="27" t="s">
        <v>193</v>
      </c>
      <c r="C5411" s="27" t="s">
        <v>34749</v>
      </c>
      <c r="D5411" s="28" t="s">
        <v>34867</v>
      </c>
      <c r="P5411">
        <v>1152</v>
      </c>
      <c r="Q5411" t="s">
        <v>3412</v>
      </c>
      <c r="R5411" s="28" t="s">
        <v>3413</v>
      </c>
      <c r="S5411" t="s">
        <v>13022</v>
      </c>
    </row>
    <row r="5412" spans="1:19" x14ac:dyDescent="0.25">
      <c r="A5412" s="27" t="s">
        <v>193</v>
      </c>
      <c r="C5412" s="27" t="s">
        <v>34749</v>
      </c>
      <c r="D5412" s="28" t="s">
        <v>34867</v>
      </c>
      <c r="P5412">
        <v>1153</v>
      </c>
      <c r="Q5412" t="s">
        <v>13383</v>
      </c>
      <c r="R5412" s="28" t="s">
        <v>13384</v>
      </c>
      <c r="S5412" t="s">
        <v>13022</v>
      </c>
    </row>
    <row r="5413" spans="1:19" x14ac:dyDescent="0.25">
      <c r="A5413" s="27" t="s">
        <v>193</v>
      </c>
      <c r="C5413" s="27" t="s">
        <v>34749</v>
      </c>
      <c r="D5413" s="28" t="s">
        <v>34867</v>
      </c>
      <c r="P5413">
        <v>1154</v>
      </c>
      <c r="Q5413" t="s">
        <v>5903</v>
      </c>
      <c r="R5413" s="28" t="s">
        <v>5904</v>
      </c>
      <c r="S5413" t="s">
        <v>13022</v>
      </c>
    </row>
    <row r="5414" spans="1:19" x14ac:dyDescent="0.25">
      <c r="A5414" s="27" t="s">
        <v>193</v>
      </c>
      <c r="C5414" s="27" t="s">
        <v>34749</v>
      </c>
      <c r="D5414" s="28" t="s">
        <v>34867</v>
      </c>
      <c r="P5414">
        <v>1155</v>
      </c>
      <c r="Q5414" t="s">
        <v>13385</v>
      </c>
      <c r="S5414" t="s">
        <v>13022</v>
      </c>
    </row>
    <row r="5415" spans="1:19" x14ac:dyDescent="0.25">
      <c r="A5415" s="27" t="s">
        <v>193</v>
      </c>
      <c r="C5415" s="27" t="s">
        <v>34749</v>
      </c>
      <c r="D5415" s="28" t="s">
        <v>34867</v>
      </c>
      <c r="P5415">
        <v>1157</v>
      </c>
      <c r="Q5415" t="s">
        <v>13386</v>
      </c>
      <c r="R5415" s="28" t="s">
        <v>13387</v>
      </c>
      <c r="S5415" t="s">
        <v>13022</v>
      </c>
    </row>
    <row r="5416" spans="1:19" x14ac:dyDescent="0.25">
      <c r="A5416" s="27" t="s">
        <v>193</v>
      </c>
      <c r="C5416" s="27" t="s">
        <v>34749</v>
      </c>
      <c r="D5416" s="28" t="s">
        <v>34867</v>
      </c>
      <c r="P5416">
        <v>1158</v>
      </c>
      <c r="Q5416" t="s">
        <v>13388</v>
      </c>
      <c r="S5416" t="s">
        <v>13022</v>
      </c>
    </row>
    <row r="5417" spans="1:19" x14ac:dyDescent="0.25">
      <c r="A5417" s="27" t="s">
        <v>193</v>
      </c>
      <c r="C5417" s="27" t="s">
        <v>34749</v>
      </c>
      <c r="D5417" s="28" t="s">
        <v>34867</v>
      </c>
      <c r="P5417">
        <v>1159</v>
      </c>
      <c r="Q5417" t="s">
        <v>13389</v>
      </c>
      <c r="S5417" t="s">
        <v>13022</v>
      </c>
    </row>
    <row r="5418" spans="1:19" x14ac:dyDescent="0.25">
      <c r="A5418" s="27" t="s">
        <v>193</v>
      </c>
      <c r="C5418" s="27" t="s">
        <v>34749</v>
      </c>
      <c r="D5418" s="28" t="s">
        <v>34867</v>
      </c>
      <c r="P5418">
        <v>1160</v>
      </c>
      <c r="Q5418" t="s">
        <v>13390</v>
      </c>
      <c r="S5418" t="s">
        <v>13022</v>
      </c>
    </row>
    <row r="5419" spans="1:19" x14ac:dyDescent="0.25">
      <c r="A5419" s="27" t="s">
        <v>193</v>
      </c>
      <c r="C5419" s="27" t="s">
        <v>34749</v>
      </c>
      <c r="D5419" s="28" t="s">
        <v>34867</v>
      </c>
      <c r="P5419">
        <v>1161</v>
      </c>
      <c r="Q5419" t="s">
        <v>2966</v>
      </c>
      <c r="R5419" s="28" t="s">
        <v>2967</v>
      </c>
      <c r="S5419" t="s">
        <v>13022</v>
      </c>
    </row>
    <row r="5420" spans="1:19" x14ac:dyDescent="0.25">
      <c r="A5420" s="27" t="s">
        <v>193</v>
      </c>
      <c r="C5420" s="27" t="s">
        <v>34749</v>
      </c>
      <c r="D5420" s="28" t="s">
        <v>34867</v>
      </c>
      <c r="P5420">
        <v>1162</v>
      </c>
      <c r="Q5420" t="s">
        <v>2969</v>
      </c>
      <c r="R5420" s="28" t="s">
        <v>2970</v>
      </c>
      <c r="S5420" t="s">
        <v>13022</v>
      </c>
    </row>
    <row r="5421" spans="1:19" x14ac:dyDescent="0.25">
      <c r="A5421" s="27" t="s">
        <v>193</v>
      </c>
      <c r="C5421" s="27" t="s">
        <v>34749</v>
      </c>
      <c r="D5421" s="28" t="s">
        <v>34867</v>
      </c>
      <c r="P5421">
        <v>1163</v>
      </c>
      <c r="Q5421" t="s">
        <v>3002</v>
      </c>
      <c r="R5421" s="28" t="s">
        <v>3003</v>
      </c>
      <c r="S5421" t="s">
        <v>13022</v>
      </c>
    </row>
    <row r="5422" spans="1:19" x14ac:dyDescent="0.25">
      <c r="A5422" s="27" t="s">
        <v>193</v>
      </c>
      <c r="C5422" s="27" t="s">
        <v>34749</v>
      </c>
      <c r="D5422" s="28" t="s">
        <v>34867</v>
      </c>
      <c r="P5422">
        <v>1164</v>
      </c>
      <c r="Q5422" t="s">
        <v>13391</v>
      </c>
      <c r="R5422" s="28" t="s">
        <v>13392</v>
      </c>
      <c r="S5422" t="s">
        <v>13022</v>
      </c>
    </row>
    <row r="5423" spans="1:19" x14ac:dyDescent="0.25">
      <c r="A5423" s="27" t="s">
        <v>193</v>
      </c>
      <c r="C5423" s="27" t="s">
        <v>34749</v>
      </c>
      <c r="D5423" s="28" t="s">
        <v>34867</v>
      </c>
      <c r="P5423">
        <v>1165</v>
      </c>
      <c r="Q5423" t="s">
        <v>3160</v>
      </c>
      <c r="R5423" s="28" t="s">
        <v>3161</v>
      </c>
      <c r="S5423" t="s">
        <v>13022</v>
      </c>
    </row>
    <row r="5424" spans="1:19" x14ac:dyDescent="0.25">
      <c r="A5424" s="27" t="s">
        <v>193</v>
      </c>
      <c r="C5424" s="27" t="s">
        <v>34749</v>
      </c>
      <c r="D5424" s="28" t="s">
        <v>34867</v>
      </c>
      <c r="P5424">
        <v>1166</v>
      </c>
      <c r="Q5424" t="s">
        <v>3169</v>
      </c>
      <c r="R5424" s="28" t="s">
        <v>3170</v>
      </c>
      <c r="S5424" t="s">
        <v>13022</v>
      </c>
    </row>
    <row r="5425" spans="1:19" x14ac:dyDescent="0.25">
      <c r="A5425" s="27" t="s">
        <v>193</v>
      </c>
      <c r="C5425" s="27" t="s">
        <v>34749</v>
      </c>
      <c r="D5425" s="28" t="s">
        <v>34867</v>
      </c>
      <c r="P5425">
        <v>1167</v>
      </c>
      <c r="Q5425" t="s">
        <v>3217</v>
      </c>
      <c r="R5425" s="28" t="s">
        <v>3218</v>
      </c>
      <c r="S5425" t="s">
        <v>13022</v>
      </c>
    </row>
    <row r="5426" spans="1:19" x14ac:dyDescent="0.25">
      <c r="A5426" s="27" t="s">
        <v>193</v>
      </c>
      <c r="C5426" s="27" t="s">
        <v>34749</v>
      </c>
      <c r="D5426" s="28" t="s">
        <v>34867</v>
      </c>
      <c r="P5426">
        <v>1168</v>
      </c>
      <c r="Q5426" t="s">
        <v>3196</v>
      </c>
      <c r="R5426" s="28" t="s">
        <v>3197</v>
      </c>
      <c r="S5426" t="s">
        <v>13022</v>
      </c>
    </row>
    <row r="5427" spans="1:19" x14ac:dyDescent="0.25">
      <c r="A5427" s="27" t="s">
        <v>193</v>
      </c>
      <c r="C5427" s="27" t="s">
        <v>34749</v>
      </c>
      <c r="D5427" s="28" t="s">
        <v>34867</v>
      </c>
      <c r="P5427">
        <v>1169</v>
      </c>
      <c r="Q5427" t="s">
        <v>3166</v>
      </c>
      <c r="R5427" s="28" t="s">
        <v>3167</v>
      </c>
      <c r="S5427" t="s">
        <v>13022</v>
      </c>
    </row>
    <row r="5428" spans="1:19" x14ac:dyDescent="0.25">
      <c r="A5428" s="27" t="s">
        <v>193</v>
      </c>
      <c r="C5428" s="27" t="s">
        <v>34749</v>
      </c>
      <c r="D5428" s="28" t="s">
        <v>34867</v>
      </c>
      <c r="P5428">
        <v>1170</v>
      </c>
      <c r="Q5428" t="s">
        <v>8538</v>
      </c>
      <c r="R5428" s="28" t="s">
        <v>8539</v>
      </c>
      <c r="S5428" t="s">
        <v>13022</v>
      </c>
    </row>
    <row r="5429" spans="1:19" x14ac:dyDescent="0.25">
      <c r="A5429" s="27" t="s">
        <v>193</v>
      </c>
      <c r="C5429" s="27" t="s">
        <v>34749</v>
      </c>
      <c r="D5429" s="28" t="s">
        <v>34867</v>
      </c>
      <c r="P5429">
        <v>1171</v>
      </c>
      <c r="Q5429" t="s">
        <v>13393</v>
      </c>
      <c r="S5429" t="s">
        <v>13022</v>
      </c>
    </row>
    <row r="5430" spans="1:19" x14ac:dyDescent="0.25">
      <c r="A5430" s="27" t="s">
        <v>193</v>
      </c>
      <c r="C5430" s="27" t="s">
        <v>34749</v>
      </c>
      <c r="D5430" s="28" t="s">
        <v>34867</v>
      </c>
      <c r="P5430">
        <v>1172</v>
      </c>
      <c r="Q5430" t="s">
        <v>3898</v>
      </c>
      <c r="R5430" s="28" t="s">
        <v>3899</v>
      </c>
      <c r="S5430" t="s">
        <v>13022</v>
      </c>
    </row>
    <row r="5431" spans="1:19" x14ac:dyDescent="0.25">
      <c r="A5431" s="27" t="s">
        <v>193</v>
      </c>
      <c r="C5431" s="27" t="s">
        <v>34749</v>
      </c>
      <c r="D5431" s="28" t="s">
        <v>34867</v>
      </c>
      <c r="P5431">
        <v>1173</v>
      </c>
      <c r="Q5431" t="s">
        <v>4106</v>
      </c>
      <c r="R5431" s="28" t="s">
        <v>4107</v>
      </c>
      <c r="S5431" t="s">
        <v>13022</v>
      </c>
    </row>
    <row r="5432" spans="1:19" x14ac:dyDescent="0.25">
      <c r="A5432" s="27" t="s">
        <v>193</v>
      </c>
      <c r="C5432" s="27" t="s">
        <v>34749</v>
      </c>
      <c r="D5432" s="28" t="s">
        <v>34867</v>
      </c>
      <c r="P5432">
        <v>1174</v>
      </c>
      <c r="Q5432" t="s">
        <v>13394</v>
      </c>
      <c r="S5432" t="s">
        <v>13022</v>
      </c>
    </row>
    <row r="5433" spans="1:19" x14ac:dyDescent="0.25">
      <c r="A5433" s="27" t="s">
        <v>193</v>
      </c>
      <c r="C5433" s="27" t="s">
        <v>34749</v>
      </c>
      <c r="D5433" s="28" t="s">
        <v>34867</v>
      </c>
      <c r="P5433">
        <v>1175</v>
      </c>
      <c r="Q5433" t="s">
        <v>13395</v>
      </c>
      <c r="R5433" s="28" t="s">
        <v>13396</v>
      </c>
      <c r="S5433" t="s">
        <v>13022</v>
      </c>
    </row>
    <row r="5434" spans="1:19" x14ac:dyDescent="0.25">
      <c r="A5434" s="27" t="s">
        <v>193</v>
      </c>
      <c r="C5434" s="27" t="s">
        <v>34749</v>
      </c>
      <c r="D5434" s="28" t="s">
        <v>34867</v>
      </c>
      <c r="P5434">
        <v>1176</v>
      </c>
      <c r="Q5434" t="s">
        <v>13397</v>
      </c>
      <c r="R5434" s="28" t="s">
        <v>13398</v>
      </c>
      <c r="S5434" t="s">
        <v>13022</v>
      </c>
    </row>
    <row r="5435" spans="1:19" x14ac:dyDescent="0.25">
      <c r="A5435" s="27" t="s">
        <v>193</v>
      </c>
      <c r="C5435" s="27" t="s">
        <v>34749</v>
      </c>
      <c r="D5435" s="28" t="s">
        <v>34867</v>
      </c>
      <c r="P5435">
        <v>1177</v>
      </c>
      <c r="Q5435" t="s">
        <v>13399</v>
      </c>
      <c r="R5435" s="28" t="s">
        <v>13400</v>
      </c>
      <c r="S5435" t="s">
        <v>13022</v>
      </c>
    </row>
    <row r="5436" spans="1:19" x14ac:dyDescent="0.25">
      <c r="A5436" s="27" t="s">
        <v>193</v>
      </c>
      <c r="C5436" s="27" t="s">
        <v>34749</v>
      </c>
      <c r="D5436" s="28" t="s">
        <v>34867</v>
      </c>
      <c r="P5436">
        <v>1178</v>
      </c>
      <c r="Q5436" t="s">
        <v>13401</v>
      </c>
      <c r="S5436" t="s">
        <v>13022</v>
      </c>
    </row>
    <row r="5437" spans="1:19" x14ac:dyDescent="0.25">
      <c r="A5437" s="27" t="s">
        <v>193</v>
      </c>
      <c r="C5437" s="27" t="s">
        <v>34749</v>
      </c>
      <c r="D5437" s="28" t="s">
        <v>34867</v>
      </c>
      <c r="P5437">
        <v>1179</v>
      </c>
      <c r="Q5437" t="s">
        <v>13402</v>
      </c>
      <c r="R5437" s="28" t="s">
        <v>13403</v>
      </c>
      <c r="S5437" t="s">
        <v>13022</v>
      </c>
    </row>
    <row r="5438" spans="1:19" x14ac:dyDescent="0.25">
      <c r="A5438" s="27" t="s">
        <v>193</v>
      </c>
      <c r="C5438" s="27" t="s">
        <v>34749</v>
      </c>
      <c r="D5438" s="28" t="s">
        <v>34867</v>
      </c>
      <c r="P5438">
        <v>1180</v>
      </c>
      <c r="Q5438" t="s">
        <v>4982</v>
      </c>
      <c r="R5438" s="28" t="s">
        <v>4983</v>
      </c>
      <c r="S5438" t="s">
        <v>13022</v>
      </c>
    </row>
    <row r="5439" spans="1:19" x14ac:dyDescent="0.25">
      <c r="A5439" s="27" t="s">
        <v>193</v>
      </c>
      <c r="C5439" s="27" t="s">
        <v>34749</v>
      </c>
      <c r="D5439" s="28" t="s">
        <v>34867</v>
      </c>
      <c r="P5439">
        <v>1181</v>
      </c>
      <c r="Q5439" t="s">
        <v>4988</v>
      </c>
      <c r="R5439" s="28" t="s">
        <v>4989</v>
      </c>
      <c r="S5439" t="s">
        <v>13022</v>
      </c>
    </row>
    <row r="5440" spans="1:19" x14ac:dyDescent="0.25">
      <c r="A5440" s="27" t="s">
        <v>193</v>
      </c>
      <c r="C5440" s="27" t="s">
        <v>34749</v>
      </c>
      <c r="D5440" s="28" t="s">
        <v>34867</v>
      </c>
      <c r="P5440">
        <v>1182</v>
      </c>
      <c r="Q5440" t="s">
        <v>4985</v>
      </c>
      <c r="R5440" s="28" t="s">
        <v>4986</v>
      </c>
      <c r="S5440" t="s">
        <v>13022</v>
      </c>
    </row>
    <row r="5441" spans="1:19" x14ac:dyDescent="0.25">
      <c r="A5441" s="27" t="s">
        <v>193</v>
      </c>
      <c r="C5441" s="27" t="s">
        <v>34749</v>
      </c>
      <c r="D5441" s="28" t="s">
        <v>34867</v>
      </c>
      <c r="P5441">
        <v>1183</v>
      </c>
      <c r="Q5441" t="s">
        <v>13404</v>
      </c>
      <c r="R5441" s="28" t="s">
        <v>5424</v>
      </c>
      <c r="S5441" t="s">
        <v>13022</v>
      </c>
    </row>
    <row r="5442" spans="1:19" x14ac:dyDescent="0.25">
      <c r="A5442" s="27" t="s">
        <v>193</v>
      </c>
      <c r="C5442" s="27" t="s">
        <v>34749</v>
      </c>
      <c r="D5442" s="28" t="s">
        <v>34867</v>
      </c>
      <c r="P5442">
        <v>1184</v>
      </c>
      <c r="Q5442" t="s">
        <v>13405</v>
      </c>
      <c r="R5442" s="28" t="s">
        <v>13406</v>
      </c>
      <c r="S5442" t="s">
        <v>13022</v>
      </c>
    </row>
    <row r="5443" spans="1:19" x14ac:dyDescent="0.25">
      <c r="A5443" s="27" t="s">
        <v>193</v>
      </c>
      <c r="C5443" s="27" t="s">
        <v>34749</v>
      </c>
      <c r="D5443" s="28" t="s">
        <v>34867</v>
      </c>
      <c r="P5443">
        <v>1185</v>
      </c>
      <c r="Q5443" t="s">
        <v>13407</v>
      </c>
      <c r="R5443" s="28" t="s">
        <v>13408</v>
      </c>
      <c r="S5443" t="s">
        <v>13022</v>
      </c>
    </row>
    <row r="5444" spans="1:19" x14ac:dyDescent="0.25">
      <c r="A5444" s="27" t="s">
        <v>193</v>
      </c>
      <c r="C5444" s="27" t="s">
        <v>34749</v>
      </c>
      <c r="D5444" s="28" t="s">
        <v>34867</v>
      </c>
      <c r="P5444">
        <v>1186</v>
      </c>
      <c r="Q5444" t="s">
        <v>13409</v>
      </c>
      <c r="R5444" s="28" t="s">
        <v>13410</v>
      </c>
      <c r="S5444" t="s">
        <v>13022</v>
      </c>
    </row>
    <row r="5445" spans="1:19" x14ac:dyDescent="0.25">
      <c r="A5445" s="27" t="s">
        <v>193</v>
      </c>
      <c r="C5445" s="27" t="s">
        <v>34749</v>
      </c>
      <c r="D5445" s="28" t="s">
        <v>34867</v>
      </c>
      <c r="P5445">
        <v>1187</v>
      </c>
      <c r="Q5445" t="s">
        <v>3451</v>
      </c>
      <c r="R5445" s="28" t="s">
        <v>3452</v>
      </c>
      <c r="S5445" t="s">
        <v>13022</v>
      </c>
    </row>
    <row r="5446" spans="1:19" x14ac:dyDescent="0.25">
      <c r="A5446" s="27" t="s">
        <v>193</v>
      </c>
      <c r="C5446" s="27" t="s">
        <v>34749</v>
      </c>
      <c r="D5446" s="28" t="s">
        <v>34867</v>
      </c>
      <c r="P5446">
        <v>1188</v>
      </c>
      <c r="Q5446" t="s">
        <v>7092</v>
      </c>
      <c r="R5446" s="28" t="s">
        <v>7093</v>
      </c>
      <c r="S5446" t="s">
        <v>13022</v>
      </c>
    </row>
    <row r="5447" spans="1:19" x14ac:dyDescent="0.25">
      <c r="A5447" s="27" t="s">
        <v>193</v>
      </c>
      <c r="C5447" s="27" t="s">
        <v>34749</v>
      </c>
      <c r="D5447" s="28" t="s">
        <v>34867</v>
      </c>
      <c r="P5447">
        <v>1189</v>
      </c>
      <c r="Q5447" t="s">
        <v>13411</v>
      </c>
      <c r="R5447" s="28" t="s">
        <v>13412</v>
      </c>
      <c r="S5447" t="s">
        <v>13022</v>
      </c>
    </row>
    <row r="5448" spans="1:19" x14ac:dyDescent="0.25">
      <c r="A5448" s="27" t="s">
        <v>193</v>
      </c>
      <c r="C5448" s="27" t="s">
        <v>34749</v>
      </c>
      <c r="D5448" s="28" t="s">
        <v>34867</v>
      </c>
      <c r="P5448">
        <v>1191</v>
      </c>
      <c r="Q5448" t="s">
        <v>13413</v>
      </c>
      <c r="R5448" s="28" t="s">
        <v>13414</v>
      </c>
      <c r="S5448" t="s">
        <v>13022</v>
      </c>
    </row>
    <row r="5449" spans="1:19" x14ac:dyDescent="0.25">
      <c r="A5449" s="27" t="s">
        <v>193</v>
      </c>
      <c r="C5449" s="27" t="s">
        <v>34749</v>
      </c>
      <c r="D5449" s="28" t="s">
        <v>34867</v>
      </c>
      <c r="P5449">
        <v>1192</v>
      </c>
      <c r="Q5449" t="s">
        <v>13415</v>
      </c>
      <c r="S5449" t="s">
        <v>13022</v>
      </c>
    </row>
    <row r="5450" spans="1:19" x14ac:dyDescent="0.25">
      <c r="A5450" s="27" t="s">
        <v>193</v>
      </c>
      <c r="C5450" s="27" t="s">
        <v>34749</v>
      </c>
      <c r="D5450" s="28" t="s">
        <v>34867</v>
      </c>
      <c r="P5450">
        <v>1193</v>
      </c>
      <c r="Q5450" t="s">
        <v>6575</v>
      </c>
      <c r="R5450" s="28" t="s">
        <v>6576</v>
      </c>
      <c r="S5450" t="s">
        <v>13022</v>
      </c>
    </row>
    <row r="5451" spans="1:19" x14ac:dyDescent="0.25">
      <c r="A5451" s="27" t="s">
        <v>193</v>
      </c>
      <c r="C5451" s="27" t="s">
        <v>34749</v>
      </c>
      <c r="D5451" s="28" t="s">
        <v>34867</v>
      </c>
      <c r="P5451">
        <v>1194</v>
      </c>
      <c r="Q5451" t="s">
        <v>6725</v>
      </c>
      <c r="R5451" s="28" t="s">
        <v>6726</v>
      </c>
      <c r="S5451" t="s">
        <v>13022</v>
      </c>
    </row>
    <row r="5452" spans="1:19" x14ac:dyDescent="0.25">
      <c r="A5452" s="27" t="s">
        <v>193</v>
      </c>
      <c r="C5452" s="27" t="s">
        <v>34749</v>
      </c>
      <c r="D5452" s="28" t="s">
        <v>34867</v>
      </c>
      <c r="P5452">
        <v>1195</v>
      </c>
      <c r="Q5452" t="s">
        <v>6755</v>
      </c>
      <c r="R5452" s="28" t="s">
        <v>6756</v>
      </c>
      <c r="S5452" t="s">
        <v>13022</v>
      </c>
    </row>
    <row r="5453" spans="1:19" x14ac:dyDescent="0.25">
      <c r="A5453" s="27" t="s">
        <v>193</v>
      </c>
      <c r="C5453" s="27" t="s">
        <v>34749</v>
      </c>
      <c r="D5453" s="28" t="s">
        <v>34867</v>
      </c>
      <c r="P5453">
        <v>1196</v>
      </c>
      <c r="Q5453" t="s">
        <v>13416</v>
      </c>
      <c r="R5453" s="28" t="s">
        <v>13417</v>
      </c>
      <c r="S5453" t="s">
        <v>13022</v>
      </c>
    </row>
    <row r="5454" spans="1:19" x14ac:dyDescent="0.25">
      <c r="A5454" s="27" t="s">
        <v>193</v>
      </c>
      <c r="C5454" s="27" t="s">
        <v>34749</v>
      </c>
      <c r="D5454" s="28" t="s">
        <v>34867</v>
      </c>
      <c r="P5454">
        <v>1197</v>
      </c>
      <c r="Q5454" t="s">
        <v>13418</v>
      </c>
      <c r="R5454" s="28" t="s">
        <v>13419</v>
      </c>
      <c r="S5454" t="s">
        <v>13022</v>
      </c>
    </row>
    <row r="5455" spans="1:19" x14ac:dyDescent="0.25">
      <c r="A5455" s="27" t="s">
        <v>193</v>
      </c>
      <c r="C5455" s="27" t="s">
        <v>34749</v>
      </c>
      <c r="D5455" s="28" t="s">
        <v>34867</v>
      </c>
      <c r="P5455">
        <v>1198</v>
      </c>
      <c r="Q5455" t="s">
        <v>13420</v>
      </c>
      <c r="R5455" s="28" t="s">
        <v>13421</v>
      </c>
      <c r="S5455" t="s">
        <v>13022</v>
      </c>
    </row>
    <row r="5456" spans="1:19" x14ac:dyDescent="0.25">
      <c r="A5456" s="27" t="s">
        <v>193</v>
      </c>
      <c r="C5456" s="27" t="s">
        <v>34749</v>
      </c>
      <c r="D5456" s="28" t="s">
        <v>34867</v>
      </c>
      <c r="P5456">
        <v>1199</v>
      </c>
      <c r="Q5456" t="s">
        <v>13422</v>
      </c>
      <c r="R5456" s="28" t="s">
        <v>13423</v>
      </c>
      <c r="S5456" t="s">
        <v>13022</v>
      </c>
    </row>
    <row r="5457" spans="1:19" x14ac:dyDescent="0.25">
      <c r="A5457" s="27" t="s">
        <v>193</v>
      </c>
      <c r="C5457" s="27" t="s">
        <v>34749</v>
      </c>
      <c r="D5457" s="28" t="s">
        <v>34867</v>
      </c>
      <c r="P5457">
        <v>1200</v>
      </c>
      <c r="Q5457" t="s">
        <v>13424</v>
      </c>
      <c r="R5457" s="28" t="s">
        <v>13425</v>
      </c>
      <c r="S5457" t="s">
        <v>13022</v>
      </c>
    </row>
    <row r="5458" spans="1:19" x14ac:dyDescent="0.25">
      <c r="A5458" s="27" t="s">
        <v>193</v>
      </c>
      <c r="C5458" s="27" t="s">
        <v>34749</v>
      </c>
      <c r="D5458" s="28" t="s">
        <v>34867</v>
      </c>
      <c r="P5458">
        <v>1201</v>
      </c>
      <c r="Q5458" t="s">
        <v>13426</v>
      </c>
      <c r="R5458" s="28" t="s">
        <v>13427</v>
      </c>
      <c r="S5458" t="s">
        <v>13022</v>
      </c>
    </row>
    <row r="5459" spans="1:19" x14ac:dyDescent="0.25">
      <c r="A5459" s="27" t="s">
        <v>193</v>
      </c>
      <c r="C5459" s="27" t="s">
        <v>34749</v>
      </c>
      <c r="D5459" s="28" t="s">
        <v>34867</v>
      </c>
      <c r="P5459">
        <v>1202</v>
      </c>
      <c r="Q5459" t="s">
        <v>6578</v>
      </c>
      <c r="R5459" s="28" t="s">
        <v>6579</v>
      </c>
      <c r="S5459" t="s">
        <v>13022</v>
      </c>
    </row>
    <row r="5460" spans="1:19" x14ac:dyDescent="0.25">
      <c r="A5460" s="27" t="s">
        <v>193</v>
      </c>
      <c r="C5460" s="27" t="s">
        <v>34749</v>
      </c>
      <c r="D5460" s="28" t="s">
        <v>34867</v>
      </c>
      <c r="P5460">
        <v>1203</v>
      </c>
      <c r="Q5460" t="s">
        <v>13428</v>
      </c>
      <c r="R5460" s="28" t="s">
        <v>13429</v>
      </c>
      <c r="S5460" t="s">
        <v>13022</v>
      </c>
    </row>
    <row r="5461" spans="1:19" x14ac:dyDescent="0.25">
      <c r="A5461" s="27" t="s">
        <v>193</v>
      </c>
      <c r="C5461" s="27" t="s">
        <v>34749</v>
      </c>
      <c r="D5461" s="28" t="s">
        <v>34867</v>
      </c>
      <c r="P5461">
        <v>1204</v>
      </c>
      <c r="Q5461" t="s">
        <v>13430</v>
      </c>
      <c r="R5461" s="28" t="s">
        <v>13431</v>
      </c>
      <c r="S5461" t="s">
        <v>13022</v>
      </c>
    </row>
    <row r="5462" spans="1:19" x14ac:dyDescent="0.25">
      <c r="A5462" s="27" t="s">
        <v>193</v>
      </c>
      <c r="C5462" s="27" t="s">
        <v>34749</v>
      </c>
      <c r="D5462" s="28" t="s">
        <v>34867</v>
      </c>
      <c r="P5462">
        <v>1205</v>
      </c>
      <c r="Q5462" t="s">
        <v>13432</v>
      </c>
      <c r="R5462" s="28" t="s">
        <v>13433</v>
      </c>
      <c r="S5462" t="s">
        <v>13022</v>
      </c>
    </row>
    <row r="5463" spans="1:19" x14ac:dyDescent="0.25">
      <c r="A5463" s="27" t="s">
        <v>193</v>
      </c>
      <c r="C5463" s="27" t="s">
        <v>34749</v>
      </c>
      <c r="D5463" s="28" t="s">
        <v>34867</v>
      </c>
      <c r="P5463">
        <v>1206</v>
      </c>
      <c r="Q5463" t="s">
        <v>6623</v>
      </c>
      <c r="R5463" s="28" t="s">
        <v>6624</v>
      </c>
      <c r="S5463" t="s">
        <v>13022</v>
      </c>
    </row>
    <row r="5464" spans="1:19" x14ac:dyDescent="0.25">
      <c r="A5464" s="27" t="s">
        <v>193</v>
      </c>
      <c r="C5464" s="27" t="s">
        <v>34749</v>
      </c>
      <c r="D5464" s="28" t="s">
        <v>34867</v>
      </c>
      <c r="P5464">
        <v>1207</v>
      </c>
      <c r="Q5464" t="s">
        <v>13434</v>
      </c>
      <c r="R5464" s="28" t="s">
        <v>13435</v>
      </c>
      <c r="S5464" t="s">
        <v>13022</v>
      </c>
    </row>
    <row r="5465" spans="1:19" x14ac:dyDescent="0.25">
      <c r="A5465" s="27" t="s">
        <v>193</v>
      </c>
      <c r="C5465" s="27" t="s">
        <v>34749</v>
      </c>
      <c r="D5465" s="28" t="s">
        <v>34867</v>
      </c>
      <c r="P5465">
        <v>1208</v>
      </c>
      <c r="Q5465" t="s">
        <v>13436</v>
      </c>
      <c r="R5465" s="28" t="s">
        <v>13437</v>
      </c>
      <c r="S5465" t="s">
        <v>13022</v>
      </c>
    </row>
    <row r="5466" spans="1:19" x14ac:dyDescent="0.25">
      <c r="A5466" s="27" t="s">
        <v>193</v>
      </c>
      <c r="C5466" s="27" t="s">
        <v>34749</v>
      </c>
      <c r="D5466" s="28" t="s">
        <v>34867</v>
      </c>
      <c r="P5466">
        <v>1209</v>
      </c>
      <c r="Q5466" t="s">
        <v>6665</v>
      </c>
      <c r="R5466" s="28" t="s">
        <v>6666</v>
      </c>
      <c r="S5466" t="s">
        <v>13022</v>
      </c>
    </row>
    <row r="5467" spans="1:19" x14ac:dyDescent="0.25">
      <c r="A5467" s="27" t="s">
        <v>193</v>
      </c>
      <c r="C5467" s="27" t="s">
        <v>34749</v>
      </c>
      <c r="D5467" s="28" t="s">
        <v>34867</v>
      </c>
      <c r="P5467">
        <v>1210</v>
      </c>
      <c r="Q5467" t="s">
        <v>6692</v>
      </c>
      <c r="R5467" s="28" t="s">
        <v>6693</v>
      </c>
      <c r="S5467" t="s">
        <v>13022</v>
      </c>
    </row>
    <row r="5468" spans="1:19" x14ac:dyDescent="0.25">
      <c r="A5468" s="27" t="s">
        <v>193</v>
      </c>
      <c r="C5468" s="27" t="s">
        <v>34749</v>
      </c>
      <c r="D5468" s="28" t="s">
        <v>34867</v>
      </c>
      <c r="P5468">
        <v>1211</v>
      </c>
      <c r="Q5468" t="s">
        <v>13438</v>
      </c>
      <c r="R5468" s="28" t="s">
        <v>13439</v>
      </c>
      <c r="S5468" t="s">
        <v>13022</v>
      </c>
    </row>
    <row r="5469" spans="1:19" x14ac:dyDescent="0.25">
      <c r="A5469" s="27" t="s">
        <v>193</v>
      </c>
      <c r="C5469" s="27" t="s">
        <v>34749</v>
      </c>
      <c r="D5469" s="28" t="s">
        <v>34867</v>
      </c>
      <c r="P5469">
        <v>1212</v>
      </c>
      <c r="Q5469" t="s">
        <v>6728</v>
      </c>
      <c r="R5469" s="28" t="s">
        <v>6729</v>
      </c>
      <c r="S5469" t="s">
        <v>13022</v>
      </c>
    </row>
    <row r="5470" spans="1:19" x14ac:dyDescent="0.25">
      <c r="A5470" s="27" t="s">
        <v>193</v>
      </c>
      <c r="C5470" s="27" t="s">
        <v>34749</v>
      </c>
      <c r="D5470" s="28" t="s">
        <v>34867</v>
      </c>
      <c r="P5470">
        <v>1213</v>
      </c>
      <c r="Q5470" t="s">
        <v>6749</v>
      </c>
      <c r="R5470" s="28" t="s">
        <v>6750</v>
      </c>
      <c r="S5470" t="s">
        <v>13022</v>
      </c>
    </row>
    <row r="5471" spans="1:19" x14ac:dyDescent="0.25">
      <c r="A5471" s="27" t="s">
        <v>193</v>
      </c>
      <c r="C5471" s="27" t="s">
        <v>34749</v>
      </c>
      <c r="D5471" s="28" t="s">
        <v>34867</v>
      </c>
      <c r="P5471">
        <v>1214</v>
      </c>
      <c r="Q5471" t="s">
        <v>13440</v>
      </c>
      <c r="R5471" s="28" t="s">
        <v>13441</v>
      </c>
      <c r="S5471" t="s">
        <v>13022</v>
      </c>
    </row>
    <row r="5472" spans="1:19" x14ac:dyDescent="0.25">
      <c r="A5472" s="27" t="s">
        <v>193</v>
      </c>
      <c r="C5472" s="27" t="s">
        <v>34749</v>
      </c>
      <c r="D5472" s="28" t="s">
        <v>34867</v>
      </c>
      <c r="P5472">
        <v>1215</v>
      </c>
      <c r="Q5472" t="s">
        <v>13442</v>
      </c>
      <c r="R5472" s="28" t="s">
        <v>13443</v>
      </c>
      <c r="S5472" t="s">
        <v>13022</v>
      </c>
    </row>
    <row r="5473" spans="1:19" x14ac:dyDescent="0.25">
      <c r="A5473" s="27" t="s">
        <v>193</v>
      </c>
      <c r="C5473" s="27" t="s">
        <v>34749</v>
      </c>
      <c r="D5473" s="28" t="s">
        <v>34867</v>
      </c>
      <c r="P5473">
        <v>1216</v>
      </c>
      <c r="Q5473" t="s">
        <v>13444</v>
      </c>
      <c r="R5473" s="28" t="s">
        <v>13445</v>
      </c>
      <c r="S5473" t="s">
        <v>13022</v>
      </c>
    </row>
    <row r="5474" spans="1:19" x14ac:dyDescent="0.25">
      <c r="A5474" s="27" t="s">
        <v>193</v>
      </c>
      <c r="C5474" s="27" t="s">
        <v>34749</v>
      </c>
      <c r="D5474" s="28" t="s">
        <v>34867</v>
      </c>
      <c r="P5474">
        <v>1217</v>
      </c>
      <c r="Q5474" t="s">
        <v>13446</v>
      </c>
      <c r="R5474" s="28" t="s">
        <v>13447</v>
      </c>
      <c r="S5474" t="s">
        <v>13022</v>
      </c>
    </row>
    <row r="5475" spans="1:19" x14ac:dyDescent="0.25">
      <c r="A5475" s="27" t="s">
        <v>193</v>
      </c>
      <c r="C5475" s="27" t="s">
        <v>34749</v>
      </c>
      <c r="D5475" s="28" t="s">
        <v>34867</v>
      </c>
      <c r="P5475">
        <v>1218</v>
      </c>
      <c r="Q5475" t="s">
        <v>13448</v>
      </c>
      <c r="R5475" s="28" t="s">
        <v>13449</v>
      </c>
      <c r="S5475" t="s">
        <v>13022</v>
      </c>
    </row>
    <row r="5476" spans="1:19" x14ac:dyDescent="0.25">
      <c r="A5476" s="27" t="s">
        <v>193</v>
      </c>
      <c r="C5476" s="27" t="s">
        <v>34749</v>
      </c>
      <c r="D5476" s="28" t="s">
        <v>34867</v>
      </c>
      <c r="P5476">
        <v>1219</v>
      </c>
      <c r="Q5476" t="s">
        <v>13450</v>
      </c>
      <c r="R5476" s="28" t="s">
        <v>13451</v>
      </c>
      <c r="S5476" t="s">
        <v>13022</v>
      </c>
    </row>
    <row r="5477" spans="1:19" x14ac:dyDescent="0.25">
      <c r="A5477" s="27" t="s">
        <v>193</v>
      </c>
      <c r="C5477" s="27" t="s">
        <v>34749</v>
      </c>
      <c r="D5477" s="28" t="s">
        <v>34867</v>
      </c>
      <c r="P5477">
        <v>1220</v>
      </c>
      <c r="Q5477" t="s">
        <v>6752</v>
      </c>
      <c r="R5477" s="28" t="s">
        <v>6753</v>
      </c>
      <c r="S5477" t="s">
        <v>13022</v>
      </c>
    </row>
    <row r="5478" spans="1:19" x14ac:dyDescent="0.25">
      <c r="A5478" s="27" t="s">
        <v>193</v>
      </c>
      <c r="C5478" s="27" t="s">
        <v>34749</v>
      </c>
      <c r="D5478" s="28" t="s">
        <v>34867</v>
      </c>
      <c r="P5478">
        <v>1221</v>
      </c>
      <c r="Q5478" t="s">
        <v>13452</v>
      </c>
      <c r="R5478" s="28" t="s">
        <v>13453</v>
      </c>
      <c r="S5478" t="s">
        <v>13022</v>
      </c>
    </row>
    <row r="5479" spans="1:19" x14ac:dyDescent="0.25">
      <c r="A5479" s="27" t="s">
        <v>193</v>
      </c>
      <c r="C5479" s="27" t="s">
        <v>34749</v>
      </c>
      <c r="D5479" s="28" t="s">
        <v>34867</v>
      </c>
      <c r="P5479">
        <v>1222</v>
      </c>
      <c r="Q5479" t="s">
        <v>6758</v>
      </c>
      <c r="R5479" s="28" t="s">
        <v>6759</v>
      </c>
      <c r="S5479" t="s">
        <v>13022</v>
      </c>
    </row>
    <row r="5480" spans="1:19" x14ac:dyDescent="0.25">
      <c r="A5480" s="27" t="s">
        <v>193</v>
      </c>
      <c r="C5480" s="27" t="s">
        <v>34749</v>
      </c>
      <c r="D5480" s="28" t="s">
        <v>34867</v>
      </c>
      <c r="P5480">
        <v>1223</v>
      </c>
      <c r="Q5480" t="s">
        <v>6761</v>
      </c>
      <c r="R5480" s="28" t="s">
        <v>6762</v>
      </c>
      <c r="S5480" t="s">
        <v>13022</v>
      </c>
    </row>
    <row r="5481" spans="1:19" x14ac:dyDescent="0.25">
      <c r="A5481" s="27" t="s">
        <v>193</v>
      </c>
      <c r="C5481" s="27" t="s">
        <v>34749</v>
      </c>
      <c r="D5481" s="28" t="s">
        <v>34867</v>
      </c>
      <c r="P5481">
        <v>1224</v>
      </c>
      <c r="Q5481" t="s">
        <v>13454</v>
      </c>
      <c r="R5481" s="28" t="s">
        <v>13455</v>
      </c>
      <c r="S5481" t="s">
        <v>13022</v>
      </c>
    </row>
    <row r="5482" spans="1:19" x14ac:dyDescent="0.25">
      <c r="A5482" s="27" t="s">
        <v>193</v>
      </c>
      <c r="C5482" s="27" t="s">
        <v>34749</v>
      </c>
      <c r="D5482" s="28" t="s">
        <v>34867</v>
      </c>
      <c r="P5482">
        <v>1225</v>
      </c>
      <c r="Q5482" t="s">
        <v>13456</v>
      </c>
      <c r="R5482" s="28" t="s">
        <v>13457</v>
      </c>
      <c r="S5482" t="s">
        <v>13022</v>
      </c>
    </row>
    <row r="5483" spans="1:19" x14ac:dyDescent="0.25">
      <c r="A5483" s="27" t="s">
        <v>193</v>
      </c>
      <c r="C5483" s="27" t="s">
        <v>34749</v>
      </c>
      <c r="D5483" s="28" t="s">
        <v>34867</v>
      </c>
      <c r="P5483">
        <v>1226</v>
      </c>
      <c r="Q5483" t="s">
        <v>13458</v>
      </c>
      <c r="R5483" s="28" t="s">
        <v>13459</v>
      </c>
      <c r="S5483" t="s">
        <v>13022</v>
      </c>
    </row>
    <row r="5484" spans="1:19" x14ac:dyDescent="0.25">
      <c r="A5484" s="27" t="s">
        <v>193</v>
      </c>
      <c r="C5484" s="27" t="s">
        <v>34749</v>
      </c>
      <c r="D5484" s="28" t="s">
        <v>34867</v>
      </c>
      <c r="P5484">
        <v>1227</v>
      </c>
      <c r="Q5484" t="s">
        <v>13460</v>
      </c>
      <c r="R5484" s="28" t="s">
        <v>13461</v>
      </c>
      <c r="S5484" t="s">
        <v>13022</v>
      </c>
    </row>
    <row r="5485" spans="1:19" x14ac:dyDescent="0.25">
      <c r="A5485" s="27" t="s">
        <v>193</v>
      </c>
      <c r="C5485" s="27" t="s">
        <v>34749</v>
      </c>
      <c r="D5485" s="28" t="s">
        <v>34867</v>
      </c>
      <c r="P5485">
        <v>1228</v>
      </c>
      <c r="Q5485" t="s">
        <v>13462</v>
      </c>
      <c r="R5485" s="28" t="s">
        <v>13463</v>
      </c>
      <c r="S5485" t="s">
        <v>13022</v>
      </c>
    </row>
    <row r="5486" spans="1:19" x14ac:dyDescent="0.25">
      <c r="A5486" s="27" t="s">
        <v>193</v>
      </c>
      <c r="C5486" s="27" t="s">
        <v>34749</v>
      </c>
      <c r="D5486" s="28" t="s">
        <v>34867</v>
      </c>
      <c r="P5486">
        <v>1229</v>
      </c>
      <c r="Q5486" t="s">
        <v>13464</v>
      </c>
      <c r="R5486" s="28" t="s">
        <v>13465</v>
      </c>
      <c r="S5486" t="s">
        <v>13022</v>
      </c>
    </row>
    <row r="5487" spans="1:19" x14ac:dyDescent="0.25">
      <c r="A5487" s="27" t="s">
        <v>193</v>
      </c>
      <c r="C5487" s="27" t="s">
        <v>34749</v>
      </c>
      <c r="D5487" s="28" t="s">
        <v>34867</v>
      </c>
      <c r="P5487">
        <v>1230</v>
      </c>
      <c r="Q5487" t="s">
        <v>13466</v>
      </c>
      <c r="R5487" s="28" t="s">
        <v>13467</v>
      </c>
      <c r="S5487" t="s">
        <v>13022</v>
      </c>
    </row>
    <row r="5488" spans="1:19" x14ac:dyDescent="0.25">
      <c r="A5488" s="27" t="s">
        <v>193</v>
      </c>
      <c r="C5488" s="27" t="s">
        <v>34749</v>
      </c>
      <c r="D5488" s="28" t="s">
        <v>34867</v>
      </c>
      <c r="P5488">
        <v>1231</v>
      </c>
      <c r="Q5488" t="s">
        <v>13468</v>
      </c>
      <c r="R5488" s="28" t="s">
        <v>13469</v>
      </c>
      <c r="S5488" t="s">
        <v>13022</v>
      </c>
    </row>
    <row r="5489" spans="1:19" x14ac:dyDescent="0.25">
      <c r="A5489" s="27" t="s">
        <v>193</v>
      </c>
      <c r="C5489" s="27" t="s">
        <v>34749</v>
      </c>
      <c r="D5489" s="28" t="s">
        <v>34867</v>
      </c>
      <c r="P5489">
        <v>1232</v>
      </c>
      <c r="Q5489" t="s">
        <v>13470</v>
      </c>
      <c r="R5489" s="28" t="s">
        <v>13471</v>
      </c>
      <c r="S5489" t="s">
        <v>13022</v>
      </c>
    </row>
    <row r="5490" spans="1:19" x14ac:dyDescent="0.25">
      <c r="A5490" s="27" t="s">
        <v>193</v>
      </c>
      <c r="C5490" s="27" t="s">
        <v>34749</v>
      </c>
      <c r="D5490" s="28" t="s">
        <v>34867</v>
      </c>
      <c r="P5490">
        <v>1233</v>
      </c>
      <c r="Q5490" t="s">
        <v>13472</v>
      </c>
      <c r="R5490" s="28" t="s">
        <v>13473</v>
      </c>
      <c r="S5490" t="s">
        <v>13022</v>
      </c>
    </row>
    <row r="5491" spans="1:19" x14ac:dyDescent="0.25">
      <c r="A5491" s="27" t="s">
        <v>193</v>
      </c>
      <c r="C5491" s="27" t="s">
        <v>34749</v>
      </c>
      <c r="D5491" s="28" t="s">
        <v>34867</v>
      </c>
      <c r="P5491">
        <v>1234</v>
      </c>
      <c r="Q5491" t="s">
        <v>13474</v>
      </c>
      <c r="R5491" s="28" t="s">
        <v>13475</v>
      </c>
      <c r="S5491" t="s">
        <v>13022</v>
      </c>
    </row>
    <row r="5492" spans="1:19" x14ac:dyDescent="0.25">
      <c r="A5492" s="27" t="s">
        <v>193</v>
      </c>
      <c r="C5492" s="27" t="s">
        <v>34749</v>
      </c>
      <c r="D5492" s="28" t="s">
        <v>34867</v>
      </c>
      <c r="P5492">
        <v>1235</v>
      </c>
      <c r="Q5492" t="s">
        <v>13476</v>
      </c>
      <c r="R5492" s="28" t="s">
        <v>13477</v>
      </c>
      <c r="S5492" t="s">
        <v>13022</v>
      </c>
    </row>
    <row r="5493" spans="1:19" x14ac:dyDescent="0.25">
      <c r="A5493" s="27" t="s">
        <v>193</v>
      </c>
      <c r="C5493" s="27" t="s">
        <v>34749</v>
      </c>
      <c r="D5493" s="28" t="s">
        <v>34867</v>
      </c>
      <c r="P5493">
        <v>1236</v>
      </c>
      <c r="Q5493" t="s">
        <v>6764</v>
      </c>
      <c r="R5493" s="28" t="s">
        <v>6765</v>
      </c>
      <c r="S5493" t="s">
        <v>13022</v>
      </c>
    </row>
    <row r="5494" spans="1:19" x14ac:dyDescent="0.25">
      <c r="A5494" s="27" t="s">
        <v>193</v>
      </c>
      <c r="C5494" s="27" t="s">
        <v>34749</v>
      </c>
      <c r="D5494" s="28" t="s">
        <v>34867</v>
      </c>
      <c r="P5494">
        <v>1237</v>
      </c>
      <c r="Q5494" t="s">
        <v>13478</v>
      </c>
      <c r="R5494" s="28" t="s">
        <v>13479</v>
      </c>
      <c r="S5494" t="s">
        <v>13022</v>
      </c>
    </row>
    <row r="5495" spans="1:19" x14ac:dyDescent="0.25">
      <c r="A5495" s="27" t="s">
        <v>193</v>
      </c>
      <c r="C5495" s="27" t="s">
        <v>34749</v>
      </c>
      <c r="D5495" s="28" t="s">
        <v>34867</v>
      </c>
      <c r="P5495">
        <v>1238</v>
      </c>
      <c r="Q5495" t="s">
        <v>13480</v>
      </c>
      <c r="R5495" s="28" t="s">
        <v>13481</v>
      </c>
      <c r="S5495" t="s">
        <v>13022</v>
      </c>
    </row>
    <row r="5496" spans="1:19" x14ac:dyDescent="0.25">
      <c r="A5496" s="27" t="s">
        <v>193</v>
      </c>
      <c r="C5496" s="27" t="s">
        <v>34749</v>
      </c>
      <c r="D5496" s="28" t="s">
        <v>34867</v>
      </c>
      <c r="P5496">
        <v>1239</v>
      </c>
      <c r="Q5496" t="s">
        <v>6767</v>
      </c>
      <c r="R5496" s="28" t="s">
        <v>6768</v>
      </c>
      <c r="S5496" t="s">
        <v>13022</v>
      </c>
    </row>
    <row r="5497" spans="1:19" x14ac:dyDescent="0.25">
      <c r="A5497" s="27" t="s">
        <v>193</v>
      </c>
      <c r="C5497" s="27" t="s">
        <v>34749</v>
      </c>
      <c r="D5497" s="28" t="s">
        <v>34867</v>
      </c>
      <c r="P5497">
        <v>1240</v>
      </c>
      <c r="Q5497" t="s">
        <v>13482</v>
      </c>
      <c r="R5497" s="28" t="s">
        <v>13483</v>
      </c>
      <c r="S5497" t="s">
        <v>13022</v>
      </c>
    </row>
    <row r="5498" spans="1:19" x14ac:dyDescent="0.25">
      <c r="A5498" s="27" t="s">
        <v>193</v>
      </c>
      <c r="C5498" s="27" t="s">
        <v>34749</v>
      </c>
      <c r="D5498" s="28" t="s">
        <v>34867</v>
      </c>
      <c r="P5498">
        <v>1241</v>
      </c>
      <c r="Q5498" t="s">
        <v>6770</v>
      </c>
      <c r="R5498" s="28" t="s">
        <v>6771</v>
      </c>
      <c r="S5498" t="s">
        <v>13022</v>
      </c>
    </row>
    <row r="5499" spans="1:19" x14ac:dyDescent="0.25">
      <c r="A5499" s="27" t="s">
        <v>193</v>
      </c>
      <c r="C5499" s="27" t="s">
        <v>34749</v>
      </c>
      <c r="D5499" s="28" t="s">
        <v>34867</v>
      </c>
      <c r="P5499">
        <v>1242</v>
      </c>
      <c r="Q5499" t="s">
        <v>6773</v>
      </c>
      <c r="R5499" s="28" t="s">
        <v>6774</v>
      </c>
      <c r="S5499" t="s">
        <v>13022</v>
      </c>
    </row>
    <row r="5500" spans="1:19" x14ac:dyDescent="0.25">
      <c r="A5500" s="27" t="s">
        <v>193</v>
      </c>
      <c r="C5500" s="27" t="s">
        <v>34749</v>
      </c>
      <c r="D5500" s="28" t="s">
        <v>34867</v>
      </c>
      <c r="P5500">
        <v>1243</v>
      </c>
      <c r="Q5500" t="s">
        <v>13484</v>
      </c>
      <c r="R5500" s="28" t="s">
        <v>13485</v>
      </c>
      <c r="S5500" t="s">
        <v>13022</v>
      </c>
    </row>
    <row r="5501" spans="1:19" x14ac:dyDescent="0.25">
      <c r="A5501" s="27" t="s">
        <v>193</v>
      </c>
      <c r="C5501" s="27" t="s">
        <v>34749</v>
      </c>
      <c r="D5501" s="28" t="s">
        <v>34867</v>
      </c>
      <c r="P5501">
        <v>1244</v>
      </c>
      <c r="Q5501" t="s">
        <v>6776</v>
      </c>
      <c r="R5501" s="28" t="s">
        <v>6777</v>
      </c>
      <c r="S5501" t="s">
        <v>13022</v>
      </c>
    </row>
    <row r="5502" spans="1:19" x14ac:dyDescent="0.25">
      <c r="A5502" s="27" t="s">
        <v>193</v>
      </c>
      <c r="C5502" s="27" t="s">
        <v>34749</v>
      </c>
      <c r="D5502" s="28" t="s">
        <v>34867</v>
      </c>
      <c r="P5502">
        <v>1245</v>
      </c>
      <c r="Q5502" t="s">
        <v>13486</v>
      </c>
      <c r="R5502" s="28" t="s">
        <v>13487</v>
      </c>
      <c r="S5502" t="s">
        <v>13022</v>
      </c>
    </row>
    <row r="5503" spans="1:19" x14ac:dyDescent="0.25">
      <c r="A5503" s="27" t="s">
        <v>193</v>
      </c>
      <c r="C5503" s="27" t="s">
        <v>34749</v>
      </c>
      <c r="D5503" s="28" t="s">
        <v>34867</v>
      </c>
      <c r="P5503">
        <v>1246</v>
      </c>
      <c r="Q5503" t="s">
        <v>13488</v>
      </c>
      <c r="R5503" s="28" t="s">
        <v>13489</v>
      </c>
      <c r="S5503" t="s">
        <v>13022</v>
      </c>
    </row>
    <row r="5504" spans="1:19" x14ac:dyDescent="0.25">
      <c r="A5504" s="27" t="s">
        <v>193</v>
      </c>
      <c r="C5504" s="27" t="s">
        <v>34749</v>
      </c>
      <c r="D5504" s="28" t="s">
        <v>34867</v>
      </c>
      <c r="P5504">
        <v>1247</v>
      </c>
      <c r="Q5504" t="s">
        <v>6779</v>
      </c>
      <c r="R5504" s="28" t="s">
        <v>6780</v>
      </c>
      <c r="S5504" t="s">
        <v>13022</v>
      </c>
    </row>
    <row r="5505" spans="1:19" x14ac:dyDescent="0.25">
      <c r="A5505" s="27" t="s">
        <v>193</v>
      </c>
      <c r="C5505" s="27" t="s">
        <v>34749</v>
      </c>
      <c r="D5505" s="28" t="s">
        <v>34867</v>
      </c>
      <c r="P5505">
        <v>1248</v>
      </c>
      <c r="Q5505" t="s">
        <v>6782</v>
      </c>
      <c r="R5505" s="28" t="s">
        <v>6783</v>
      </c>
      <c r="S5505" t="s">
        <v>13022</v>
      </c>
    </row>
    <row r="5506" spans="1:19" x14ac:dyDescent="0.25">
      <c r="A5506" s="27" t="s">
        <v>193</v>
      </c>
      <c r="C5506" s="27" t="s">
        <v>34749</v>
      </c>
      <c r="D5506" s="28" t="s">
        <v>34867</v>
      </c>
      <c r="P5506">
        <v>1249</v>
      </c>
      <c r="Q5506" t="s">
        <v>13490</v>
      </c>
      <c r="R5506" s="28" t="s">
        <v>13491</v>
      </c>
      <c r="S5506" t="s">
        <v>13022</v>
      </c>
    </row>
    <row r="5507" spans="1:19" x14ac:dyDescent="0.25">
      <c r="A5507" s="27" t="s">
        <v>193</v>
      </c>
      <c r="C5507" s="27" t="s">
        <v>34749</v>
      </c>
      <c r="D5507" s="28" t="s">
        <v>34867</v>
      </c>
      <c r="P5507">
        <v>1250</v>
      </c>
      <c r="Q5507" t="s">
        <v>13492</v>
      </c>
      <c r="R5507" s="28" t="s">
        <v>13493</v>
      </c>
      <c r="S5507" t="s">
        <v>13022</v>
      </c>
    </row>
    <row r="5508" spans="1:19" x14ac:dyDescent="0.25">
      <c r="A5508" s="27" t="s">
        <v>193</v>
      </c>
      <c r="C5508" s="27" t="s">
        <v>34749</v>
      </c>
      <c r="D5508" s="28" t="s">
        <v>34867</v>
      </c>
      <c r="P5508">
        <v>1251</v>
      </c>
      <c r="Q5508" t="s">
        <v>13494</v>
      </c>
      <c r="R5508" s="28" t="s">
        <v>13495</v>
      </c>
      <c r="S5508" t="s">
        <v>13022</v>
      </c>
    </row>
    <row r="5509" spans="1:19" x14ac:dyDescent="0.25">
      <c r="A5509" s="27" t="s">
        <v>193</v>
      </c>
      <c r="C5509" s="27" t="s">
        <v>34749</v>
      </c>
      <c r="D5509" s="28" t="s">
        <v>34867</v>
      </c>
      <c r="P5509">
        <v>1252</v>
      </c>
      <c r="Q5509" t="s">
        <v>13496</v>
      </c>
      <c r="R5509" s="28" t="s">
        <v>13497</v>
      </c>
      <c r="S5509" t="s">
        <v>13022</v>
      </c>
    </row>
    <row r="5510" spans="1:19" x14ac:dyDescent="0.25">
      <c r="A5510" s="27" t="s">
        <v>193</v>
      </c>
      <c r="C5510" s="27" t="s">
        <v>34749</v>
      </c>
      <c r="D5510" s="28" t="s">
        <v>34867</v>
      </c>
      <c r="P5510">
        <v>1253</v>
      </c>
      <c r="Q5510" t="s">
        <v>13498</v>
      </c>
      <c r="R5510" s="28" t="s">
        <v>13499</v>
      </c>
      <c r="S5510" t="s">
        <v>13022</v>
      </c>
    </row>
    <row r="5511" spans="1:19" x14ac:dyDescent="0.25">
      <c r="A5511" s="27" t="s">
        <v>193</v>
      </c>
      <c r="C5511" s="27" t="s">
        <v>34749</v>
      </c>
      <c r="D5511" s="28" t="s">
        <v>34867</v>
      </c>
      <c r="P5511">
        <v>1254</v>
      </c>
      <c r="Q5511" t="s">
        <v>13500</v>
      </c>
      <c r="R5511" s="28" t="s">
        <v>13501</v>
      </c>
      <c r="S5511" t="s">
        <v>13022</v>
      </c>
    </row>
    <row r="5512" spans="1:19" x14ac:dyDescent="0.25">
      <c r="A5512" s="27" t="s">
        <v>193</v>
      </c>
      <c r="C5512" s="27" t="s">
        <v>34749</v>
      </c>
      <c r="D5512" s="28" t="s">
        <v>34867</v>
      </c>
      <c r="P5512">
        <v>1255</v>
      </c>
      <c r="Q5512" t="s">
        <v>13502</v>
      </c>
      <c r="R5512" s="28" t="s">
        <v>13503</v>
      </c>
      <c r="S5512" t="s">
        <v>13022</v>
      </c>
    </row>
    <row r="5513" spans="1:19" x14ac:dyDescent="0.25">
      <c r="A5513" s="27" t="s">
        <v>193</v>
      </c>
      <c r="C5513" s="27" t="s">
        <v>34749</v>
      </c>
      <c r="D5513" s="28" t="s">
        <v>34867</v>
      </c>
      <c r="P5513">
        <v>1256</v>
      </c>
      <c r="Q5513" t="s">
        <v>6785</v>
      </c>
      <c r="R5513" s="28" t="s">
        <v>6786</v>
      </c>
      <c r="S5513" t="s">
        <v>13022</v>
      </c>
    </row>
    <row r="5514" spans="1:19" x14ac:dyDescent="0.25">
      <c r="A5514" s="27" t="s">
        <v>193</v>
      </c>
      <c r="C5514" s="27" t="s">
        <v>34749</v>
      </c>
      <c r="D5514" s="28" t="s">
        <v>34867</v>
      </c>
      <c r="P5514">
        <v>1257</v>
      </c>
      <c r="Q5514" t="s">
        <v>13504</v>
      </c>
      <c r="R5514" s="28" t="s">
        <v>13505</v>
      </c>
      <c r="S5514" t="s">
        <v>13022</v>
      </c>
    </row>
    <row r="5515" spans="1:19" x14ac:dyDescent="0.25">
      <c r="A5515" s="27" t="s">
        <v>193</v>
      </c>
      <c r="C5515" s="27" t="s">
        <v>34749</v>
      </c>
      <c r="D5515" s="28" t="s">
        <v>34867</v>
      </c>
      <c r="P5515">
        <v>1258</v>
      </c>
      <c r="Q5515" t="s">
        <v>13506</v>
      </c>
      <c r="R5515" s="28" t="s">
        <v>6789</v>
      </c>
      <c r="S5515" t="s">
        <v>13022</v>
      </c>
    </row>
    <row r="5516" spans="1:19" x14ac:dyDescent="0.25">
      <c r="A5516" s="27" t="s">
        <v>193</v>
      </c>
      <c r="C5516" s="27" t="s">
        <v>34749</v>
      </c>
      <c r="D5516" s="28" t="s">
        <v>34867</v>
      </c>
      <c r="P5516">
        <v>1259</v>
      </c>
      <c r="Q5516" t="s">
        <v>13507</v>
      </c>
      <c r="R5516" s="28" t="s">
        <v>13508</v>
      </c>
      <c r="S5516" t="s">
        <v>13022</v>
      </c>
    </row>
    <row r="5517" spans="1:19" x14ac:dyDescent="0.25">
      <c r="A5517" s="27" t="s">
        <v>193</v>
      </c>
      <c r="C5517" s="27" t="s">
        <v>34749</v>
      </c>
      <c r="D5517" s="28" t="s">
        <v>34867</v>
      </c>
      <c r="P5517">
        <v>1260</v>
      </c>
      <c r="Q5517" t="s">
        <v>13509</v>
      </c>
      <c r="R5517" s="28" t="s">
        <v>13510</v>
      </c>
      <c r="S5517" t="s">
        <v>13022</v>
      </c>
    </row>
    <row r="5518" spans="1:19" x14ac:dyDescent="0.25">
      <c r="A5518" s="27" t="s">
        <v>193</v>
      </c>
      <c r="C5518" s="27" t="s">
        <v>34749</v>
      </c>
      <c r="D5518" s="28" t="s">
        <v>34867</v>
      </c>
      <c r="P5518">
        <v>1261</v>
      </c>
      <c r="Q5518" t="s">
        <v>13511</v>
      </c>
      <c r="R5518" s="28" t="s">
        <v>13512</v>
      </c>
      <c r="S5518" t="s">
        <v>13022</v>
      </c>
    </row>
    <row r="5519" spans="1:19" x14ac:dyDescent="0.25">
      <c r="A5519" s="27" t="s">
        <v>193</v>
      </c>
      <c r="C5519" s="27" t="s">
        <v>34749</v>
      </c>
      <c r="D5519" s="28" t="s">
        <v>34867</v>
      </c>
      <c r="P5519">
        <v>1262</v>
      </c>
      <c r="Q5519" t="s">
        <v>6791</v>
      </c>
      <c r="R5519" s="28" t="s">
        <v>6792</v>
      </c>
      <c r="S5519" t="s">
        <v>13022</v>
      </c>
    </row>
    <row r="5520" spans="1:19" x14ac:dyDescent="0.25">
      <c r="A5520" s="27" t="s">
        <v>193</v>
      </c>
      <c r="C5520" s="27" t="s">
        <v>34749</v>
      </c>
      <c r="D5520" s="28" t="s">
        <v>34867</v>
      </c>
      <c r="P5520">
        <v>1263</v>
      </c>
      <c r="Q5520" t="s">
        <v>13513</v>
      </c>
      <c r="R5520" s="28" t="s">
        <v>13514</v>
      </c>
      <c r="S5520" t="s">
        <v>13022</v>
      </c>
    </row>
    <row r="5521" spans="1:19" x14ac:dyDescent="0.25">
      <c r="A5521" s="27" t="s">
        <v>193</v>
      </c>
      <c r="C5521" s="27" t="s">
        <v>34749</v>
      </c>
      <c r="D5521" s="28" t="s">
        <v>34867</v>
      </c>
      <c r="P5521">
        <v>1264</v>
      </c>
      <c r="Q5521" t="s">
        <v>6794</v>
      </c>
      <c r="R5521" s="28" t="s">
        <v>6795</v>
      </c>
      <c r="S5521" t="s">
        <v>13022</v>
      </c>
    </row>
    <row r="5522" spans="1:19" x14ac:dyDescent="0.25">
      <c r="A5522" s="27" t="s">
        <v>193</v>
      </c>
      <c r="C5522" s="27" t="s">
        <v>34749</v>
      </c>
      <c r="D5522" s="28" t="s">
        <v>34867</v>
      </c>
      <c r="P5522">
        <v>1265</v>
      </c>
      <c r="Q5522" t="s">
        <v>13515</v>
      </c>
      <c r="R5522" s="28" t="s">
        <v>13516</v>
      </c>
      <c r="S5522" t="s">
        <v>13022</v>
      </c>
    </row>
    <row r="5523" spans="1:19" x14ac:dyDescent="0.25">
      <c r="A5523" s="27" t="s">
        <v>193</v>
      </c>
      <c r="C5523" s="27" t="s">
        <v>34749</v>
      </c>
      <c r="D5523" s="28" t="s">
        <v>34867</v>
      </c>
      <c r="P5523">
        <v>1266</v>
      </c>
      <c r="Q5523" t="s">
        <v>6797</v>
      </c>
      <c r="R5523" s="28" t="s">
        <v>6798</v>
      </c>
      <c r="S5523" t="s">
        <v>13022</v>
      </c>
    </row>
    <row r="5524" spans="1:19" x14ac:dyDescent="0.25">
      <c r="A5524" s="27" t="s">
        <v>193</v>
      </c>
      <c r="C5524" s="27" t="s">
        <v>34749</v>
      </c>
      <c r="D5524" s="28" t="s">
        <v>34867</v>
      </c>
      <c r="P5524">
        <v>1267</v>
      </c>
      <c r="Q5524" t="s">
        <v>13517</v>
      </c>
      <c r="R5524" s="28" t="s">
        <v>13518</v>
      </c>
      <c r="S5524" t="s">
        <v>13022</v>
      </c>
    </row>
    <row r="5525" spans="1:19" x14ac:dyDescent="0.25">
      <c r="A5525" s="27" t="s">
        <v>193</v>
      </c>
      <c r="C5525" s="27" t="s">
        <v>34749</v>
      </c>
      <c r="D5525" s="28" t="s">
        <v>34867</v>
      </c>
      <c r="P5525">
        <v>1268</v>
      </c>
      <c r="Q5525" t="s">
        <v>13519</v>
      </c>
      <c r="R5525" s="28" t="s">
        <v>13520</v>
      </c>
      <c r="S5525" t="s">
        <v>13022</v>
      </c>
    </row>
    <row r="5526" spans="1:19" x14ac:dyDescent="0.25">
      <c r="A5526" s="27" t="s">
        <v>193</v>
      </c>
      <c r="C5526" s="27" t="s">
        <v>34749</v>
      </c>
      <c r="D5526" s="28" t="s">
        <v>34867</v>
      </c>
      <c r="P5526">
        <v>1269</v>
      </c>
      <c r="Q5526" t="s">
        <v>6800</v>
      </c>
      <c r="R5526" s="28" t="s">
        <v>6801</v>
      </c>
      <c r="S5526" t="s">
        <v>13022</v>
      </c>
    </row>
    <row r="5527" spans="1:19" x14ac:dyDescent="0.25">
      <c r="A5527" s="27" t="s">
        <v>193</v>
      </c>
      <c r="C5527" s="27" t="s">
        <v>34749</v>
      </c>
      <c r="D5527" s="28" t="s">
        <v>34867</v>
      </c>
      <c r="P5527">
        <v>1270</v>
      </c>
      <c r="Q5527" t="s">
        <v>6803</v>
      </c>
      <c r="R5527" s="28" t="s">
        <v>6804</v>
      </c>
      <c r="S5527" t="s">
        <v>13022</v>
      </c>
    </row>
    <row r="5528" spans="1:19" x14ac:dyDescent="0.25">
      <c r="A5528" s="27" t="s">
        <v>193</v>
      </c>
      <c r="C5528" s="27" t="s">
        <v>34749</v>
      </c>
      <c r="D5528" s="28" t="s">
        <v>34867</v>
      </c>
      <c r="P5528">
        <v>1271</v>
      </c>
      <c r="Q5528" t="s">
        <v>13521</v>
      </c>
      <c r="R5528" s="28" t="s">
        <v>13522</v>
      </c>
      <c r="S5528" t="s">
        <v>13022</v>
      </c>
    </row>
    <row r="5529" spans="1:19" x14ac:dyDescent="0.25">
      <c r="A5529" s="27" t="s">
        <v>193</v>
      </c>
      <c r="C5529" s="27" t="s">
        <v>34749</v>
      </c>
      <c r="D5529" s="28" t="s">
        <v>34867</v>
      </c>
      <c r="P5529">
        <v>1272</v>
      </c>
      <c r="Q5529" t="s">
        <v>13523</v>
      </c>
      <c r="R5529" s="28" t="s">
        <v>13524</v>
      </c>
      <c r="S5529" t="s">
        <v>13022</v>
      </c>
    </row>
    <row r="5530" spans="1:19" x14ac:dyDescent="0.25">
      <c r="A5530" s="27" t="s">
        <v>193</v>
      </c>
      <c r="C5530" s="27" t="s">
        <v>34749</v>
      </c>
      <c r="D5530" s="28" t="s">
        <v>34867</v>
      </c>
      <c r="P5530">
        <v>1273</v>
      </c>
      <c r="Q5530" t="s">
        <v>13525</v>
      </c>
      <c r="R5530" s="28" t="s">
        <v>6807</v>
      </c>
      <c r="S5530" t="s">
        <v>13022</v>
      </c>
    </row>
    <row r="5531" spans="1:19" x14ac:dyDescent="0.25">
      <c r="A5531" s="27" t="s">
        <v>193</v>
      </c>
      <c r="C5531" s="27" t="s">
        <v>34749</v>
      </c>
      <c r="D5531" s="28" t="s">
        <v>34867</v>
      </c>
      <c r="P5531">
        <v>1274</v>
      </c>
      <c r="Q5531" t="s">
        <v>13526</v>
      </c>
      <c r="R5531" s="28" t="s">
        <v>13527</v>
      </c>
      <c r="S5531" t="s">
        <v>13022</v>
      </c>
    </row>
    <row r="5532" spans="1:19" x14ac:dyDescent="0.25">
      <c r="A5532" s="27" t="s">
        <v>193</v>
      </c>
      <c r="C5532" s="27" t="s">
        <v>34749</v>
      </c>
      <c r="D5532" s="28" t="s">
        <v>34867</v>
      </c>
      <c r="P5532">
        <v>1275</v>
      </c>
      <c r="Q5532" t="s">
        <v>13528</v>
      </c>
      <c r="R5532" s="28" t="s">
        <v>13529</v>
      </c>
      <c r="S5532" t="s">
        <v>13022</v>
      </c>
    </row>
    <row r="5533" spans="1:19" x14ac:dyDescent="0.25">
      <c r="A5533" s="27" t="s">
        <v>193</v>
      </c>
      <c r="C5533" s="27" t="s">
        <v>34749</v>
      </c>
      <c r="D5533" s="28" t="s">
        <v>34867</v>
      </c>
      <c r="P5533">
        <v>1276</v>
      </c>
      <c r="Q5533" t="s">
        <v>13530</v>
      </c>
      <c r="R5533" s="28" t="s">
        <v>13531</v>
      </c>
      <c r="S5533" t="s">
        <v>13022</v>
      </c>
    </row>
    <row r="5534" spans="1:19" x14ac:dyDescent="0.25">
      <c r="A5534" s="27" t="s">
        <v>193</v>
      </c>
      <c r="C5534" s="27" t="s">
        <v>34749</v>
      </c>
      <c r="D5534" s="28" t="s">
        <v>34867</v>
      </c>
      <c r="P5534">
        <v>1277</v>
      </c>
      <c r="Q5534" t="s">
        <v>6809</v>
      </c>
      <c r="R5534" s="28" t="s">
        <v>6810</v>
      </c>
      <c r="S5534" t="s">
        <v>13022</v>
      </c>
    </row>
    <row r="5535" spans="1:19" x14ac:dyDescent="0.25">
      <c r="A5535" s="27" t="s">
        <v>193</v>
      </c>
      <c r="C5535" s="27" t="s">
        <v>34749</v>
      </c>
      <c r="D5535" s="28" t="s">
        <v>34867</v>
      </c>
      <c r="P5535">
        <v>1278</v>
      </c>
      <c r="Q5535" t="s">
        <v>13532</v>
      </c>
      <c r="R5535" s="28" t="s">
        <v>13533</v>
      </c>
      <c r="S5535" t="s">
        <v>13022</v>
      </c>
    </row>
    <row r="5536" spans="1:19" x14ac:dyDescent="0.25">
      <c r="A5536" s="27" t="s">
        <v>193</v>
      </c>
      <c r="C5536" s="27" t="s">
        <v>34749</v>
      </c>
      <c r="D5536" s="28" t="s">
        <v>34867</v>
      </c>
      <c r="P5536">
        <v>1279</v>
      </c>
      <c r="Q5536" t="s">
        <v>6812</v>
      </c>
      <c r="R5536" s="28" t="s">
        <v>6813</v>
      </c>
      <c r="S5536" t="s">
        <v>13022</v>
      </c>
    </row>
    <row r="5537" spans="1:19" x14ac:dyDescent="0.25">
      <c r="A5537" s="27" t="s">
        <v>193</v>
      </c>
      <c r="C5537" s="27" t="s">
        <v>34749</v>
      </c>
      <c r="D5537" s="28" t="s">
        <v>34867</v>
      </c>
      <c r="P5537">
        <v>1280</v>
      </c>
      <c r="Q5537" t="s">
        <v>13534</v>
      </c>
      <c r="R5537" s="28" t="s">
        <v>13535</v>
      </c>
      <c r="S5537" t="s">
        <v>13022</v>
      </c>
    </row>
    <row r="5538" spans="1:19" x14ac:dyDescent="0.25">
      <c r="A5538" s="27" t="s">
        <v>193</v>
      </c>
      <c r="C5538" s="27" t="s">
        <v>34749</v>
      </c>
      <c r="D5538" s="28" t="s">
        <v>34867</v>
      </c>
      <c r="P5538">
        <v>1281</v>
      </c>
      <c r="Q5538" t="s">
        <v>13536</v>
      </c>
      <c r="R5538" s="28" t="s">
        <v>13537</v>
      </c>
      <c r="S5538" t="s">
        <v>13022</v>
      </c>
    </row>
    <row r="5539" spans="1:19" x14ac:dyDescent="0.25">
      <c r="A5539" s="27" t="s">
        <v>193</v>
      </c>
      <c r="C5539" s="27" t="s">
        <v>34749</v>
      </c>
      <c r="D5539" s="28" t="s">
        <v>34867</v>
      </c>
      <c r="P5539">
        <v>1282</v>
      </c>
      <c r="Q5539" t="s">
        <v>13538</v>
      </c>
      <c r="R5539" s="28" t="s">
        <v>13539</v>
      </c>
      <c r="S5539" t="s">
        <v>13022</v>
      </c>
    </row>
    <row r="5540" spans="1:19" x14ac:dyDescent="0.25">
      <c r="A5540" s="27" t="s">
        <v>193</v>
      </c>
      <c r="C5540" s="27" t="s">
        <v>34749</v>
      </c>
      <c r="D5540" s="28" t="s">
        <v>34867</v>
      </c>
      <c r="P5540">
        <v>1283</v>
      </c>
      <c r="Q5540" t="s">
        <v>13540</v>
      </c>
      <c r="R5540" s="28" t="s">
        <v>13541</v>
      </c>
      <c r="S5540" t="s">
        <v>13022</v>
      </c>
    </row>
    <row r="5541" spans="1:19" x14ac:dyDescent="0.25">
      <c r="A5541" s="27" t="s">
        <v>193</v>
      </c>
      <c r="C5541" s="27" t="s">
        <v>34749</v>
      </c>
      <c r="D5541" s="28" t="s">
        <v>34867</v>
      </c>
      <c r="P5541">
        <v>1284</v>
      </c>
      <c r="Q5541" t="s">
        <v>6815</v>
      </c>
      <c r="R5541" s="28" t="s">
        <v>6816</v>
      </c>
      <c r="S5541" t="s">
        <v>13022</v>
      </c>
    </row>
    <row r="5542" spans="1:19" x14ac:dyDescent="0.25">
      <c r="A5542" s="27" t="s">
        <v>193</v>
      </c>
      <c r="C5542" s="27" t="s">
        <v>34749</v>
      </c>
      <c r="D5542" s="28" t="s">
        <v>34867</v>
      </c>
      <c r="P5542">
        <v>1285</v>
      </c>
      <c r="Q5542" t="s">
        <v>13542</v>
      </c>
      <c r="R5542" s="28" t="s">
        <v>13543</v>
      </c>
      <c r="S5542" t="s">
        <v>13022</v>
      </c>
    </row>
    <row r="5543" spans="1:19" x14ac:dyDescent="0.25">
      <c r="A5543" s="27" t="s">
        <v>193</v>
      </c>
      <c r="C5543" s="27" t="s">
        <v>34749</v>
      </c>
      <c r="D5543" s="28" t="s">
        <v>34867</v>
      </c>
      <c r="P5543">
        <v>1286</v>
      </c>
      <c r="Q5543" t="s">
        <v>13544</v>
      </c>
      <c r="R5543" s="28" t="s">
        <v>13545</v>
      </c>
      <c r="S5543" t="s">
        <v>13022</v>
      </c>
    </row>
    <row r="5544" spans="1:19" x14ac:dyDescent="0.25">
      <c r="A5544" s="27" t="s">
        <v>193</v>
      </c>
      <c r="C5544" s="27" t="s">
        <v>34749</v>
      </c>
      <c r="D5544" s="28" t="s">
        <v>34867</v>
      </c>
      <c r="P5544">
        <v>1287</v>
      </c>
      <c r="Q5544" t="s">
        <v>6818</v>
      </c>
      <c r="R5544" s="28" t="s">
        <v>6819</v>
      </c>
      <c r="S5544" t="s">
        <v>13022</v>
      </c>
    </row>
    <row r="5545" spans="1:19" x14ac:dyDescent="0.25">
      <c r="A5545" s="27" t="s">
        <v>193</v>
      </c>
      <c r="C5545" s="27" t="s">
        <v>34749</v>
      </c>
      <c r="D5545" s="28" t="s">
        <v>34867</v>
      </c>
      <c r="P5545">
        <v>1288</v>
      </c>
      <c r="Q5545" t="s">
        <v>13546</v>
      </c>
      <c r="R5545" s="28" t="s">
        <v>13547</v>
      </c>
      <c r="S5545" t="s">
        <v>13022</v>
      </c>
    </row>
    <row r="5546" spans="1:19" x14ac:dyDescent="0.25">
      <c r="A5546" s="27" t="s">
        <v>193</v>
      </c>
      <c r="C5546" s="27" t="s">
        <v>34749</v>
      </c>
      <c r="D5546" s="28" t="s">
        <v>34867</v>
      </c>
      <c r="P5546">
        <v>1289</v>
      </c>
      <c r="Q5546" t="s">
        <v>6821</v>
      </c>
      <c r="R5546" s="28" t="s">
        <v>13548</v>
      </c>
      <c r="S5546" t="s">
        <v>13022</v>
      </c>
    </row>
    <row r="5547" spans="1:19" x14ac:dyDescent="0.25">
      <c r="A5547" s="27" t="s">
        <v>193</v>
      </c>
      <c r="C5547" s="27" t="s">
        <v>34749</v>
      </c>
      <c r="D5547" s="28" t="s">
        <v>34867</v>
      </c>
      <c r="P5547">
        <v>1290</v>
      </c>
      <c r="Q5547" t="s">
        <v>13549</v>
      </c>
      <c r="R5547" s="28" t="s">
        <v>13550</v>
      </c>
      <c r="S5547" t="s">
        <v>13022</v>
      </c>
    </row>
    <row r="5548" spans="1:19" x14ac:dyDescent="0.25">
      <c r="A5548" s="27" t="s">
        <v>193</v>
      </c>
      <c r="C5548" s="27" t="s">
        <v>34749</v>
      </c>
      <c r="D5548" s="28" t="s">
        <v>34867</v>
      </c>
      <c r="P5548">
        <v>1291</v>
      </c>
      <c r="Q5548" t="s">
        <v>6824</v>
      </c>
      <c r="R5548" s="28" t="s">
        <v>6825</v>
      </c>
      <c r="S5548" t="s">
        <v>13022</v>
      </c>
    </row>
    <row r="5549" spans="1:19" x14ac:dyDescent="0.25">
      <c r="A5549" s="27" t="s">
        <v>193</v>
      </c>
      <c r="C5549" s="27" t="s">
        <v>34749</v>
      </c>
      <c r="D5549" s="28" t="s">
        <v>34867</v>
      </c>
      <c r="P5549">
        <v>1292</v>
      </c>
      <c r="Q5549" t="s">
        <v>13551</v>
      </c>
      <c r="R5549" s="28" t="s">
        <v>13552</v>
      </c>
      <c r="S5549" t="s">
        <v>13022</v>
      </c>
    </row>
    <row r="5550" spans="1:19" x14ac:dyDescent="0.25">
      <c r="A5550" s="27" t="s">
        <v>193</v>
      </c>
      <c r="C5550" s="27" t="s">
        <v>34749</v>
      </c>
      <c r="D5550" s="28" t="s">
        <v>34867</v>
      </c>
      <c r="P5550">
        <v>1293</v>
      </c>
      <c r="Q5550" t="s">
        <v>6581</v>
      </c>
      <c r="R5550" s="28" t="s">
        <v>6582</v>
      </c>
      <c r="S5550" t="s">
        <v>13022</v>
      </c>
    </row>
    <row r="5551" spans="1:19" x14ac:dyDescent="0.25">
      <c r="A5551" s="27" t="s">
        <v>193</v>
      </c>
      <c r="C5551" s="27" t="s">
        <v>34749</v>
      </c>
      <c r="D5551" s="28" t="s">
        <v>34867</v>
      </c>
      <c r="P5551">
        <v>1294</v>
      </c>
      <c r="Q5551" t="s">
        <v>13553</v>
      </c>
      <c r="R5551" s="28" t="s">
        <v>13554</v>
      </c>
      <c r="S5551" t="s">
        <v>13022</v>
      </c>
    </row>
    <row r="5552" spans="1:19" x14ac:dyDescent="0.25">
      <c r="A5552" s="27" t="s">
        <v>193</v>
      </c>
      <c r="C5552" s="27" t="s">
        <v>34749</v>
      </c>
      <c r="D5552" s="28" t="s">
        <v>34867</v>
      </c>
      <c r="P5552">
        <v>1295</v>
      </c>
      <c r="Q5552" t="s">
        <v>13555</v>
      </c>
      <c r="R5552" s="28" t="s">
        <v>13556</v>
      </c>
      <c r="S5552" t="s">
        <v>13022</v>
      </c>
    </row>
    <row r="5553" spans="1:19" x14ac:dyDescent="0.25">
      <c r="A5553" s="27" t="s">
        <v>193</v>
      </c>
      <c r="C5553" s="27" t="s">
        <v>34749</v>
      </c>
      <c r="D5553" s="28" t="s">
        <v>34867</v>
      </c>
      <c r="P5553">
        <v>1296</v>
      </c>
      <c r="Q5553" t="s">
        <v>6584</v>
      </c>
      <c r="R5553" s="28" t="s">
        <v>6585</v>
      </c>
      <c r="S5553" t="s">
        <v>13022</v>
      </c>
    </row>
    <row r="5554" spans="1:19" x14ac:dyDescent="0.25">
      <c r="A5554" s="27" t="s">
        <v>193</v>
      </c>
      <c r="C5554" s="27" t="s">
        <v>34749</v>
      </c>
      <c r="D5554" s="28" t="s">
        <v>34867</v>
      </c>
      <c r="P5554">
        <v>1297</v>
      </c>
      <c r="Q5554" t="s">
        <v>6587</v>
      </c>
      <c r="R5554" s="28" t="s">
        <v>6588</v>
      </c>
      <c r="S5554" t="s">
        <v>13022</v>
      </c>
    </row>
    <row r="5555" spans="1:19" x14ac:dyDescent="0.25">
      <c r="A5555" s="27" t="s">
        <v>193</v>
      </c>
      <c r="C5555" s="27" t="s">
        <v>34749</v>
      </c>
      <c r="D5555" s="28" t="s">
        <v>34867</v>
      </c>
      <c r="P5555">
        <v>1298</v>
      </c>
      <c r="Q5555" t="s">
        <v>6590</v>
      </c>
      <c r="R5555" s="28" t="s">
        <v>6591</v>
      </c>
      <c r="S5555" t="s">
        <v>13022</v>
      </c>
    </row>
    <row r="5556" spans="1:19" x14ac:dyDescent="0.25">
      <c r="A5556" s="27" t="s">
        <v>193</v>
      </c>
      <c r="C5556" s="27" t="s">
        <v>34749</v>
      </c>
      <c r="D5556" s="28" t="s">
        <v>34867</v>
      </c>
      <c r="P5556">
        <v>1299</v>
      </c>
      <c r="Q5556" t="s">
        <v>13557</v>
      </c>
      <c r="R5556" s="28" t="s">
        <v>13558</v>
      </c>
      <c r="S5556" t="s">
        <v>13022</v>
      </c>
    </row>
    <row r="5557" spans="1:19" x14ac:dyDescent="0.25">
      <c r="A5557" s="27" t="s">
        <v>193</v>
      </c>
      <c r="C5557" s="27" t="s">
        <v>34749</v>
      </c>
      <c r="D5557" s="28" t="s">
        <v>34867</v>
      </c>
      <c r="P5557">
        <v>1300</v>
      </c>
      <c r="Q5557" t="s">
        <v>13559</v>
      </c>
      <c r="R5557" s="28" t="s">
        <v>13560</v>
      </c>
      <c r="S5557" t="s">
        <v>13022</v>
      </c>
    </row>
    <row r="5558" spans="1:19" x14ac:dyDescent="0.25">
      <c r="A5558" s="27" t="s">
        <v>193</v>
      </c>
      <c r="C5558" s="27" t="s">
        <v>34749</v>
      </c>
      <c r="D5558" s="28" t="s">
        <v>34867</v>
      </c>
      <c r="P5558">
        <v>1301</v>
      </c>
      <c r="Q5558" t="s">
        <v>13561</v>
      </c>
      <c r="R5558" s="28" t="s">
        <v>13562</v>
      </c>
      <c r="S5558" t="s">
        <v>13022</v>
      </c>
    </row>
    <row r="5559" spans="1:19" x14ac:dyDescent="0.25">
      <c r="A5559" s="27" t="s">
        <v>193</v>
      </c>
      <c r="C5559" s="27" t="s">
        <v>34749</v>
      </c>
      <c r="D5559" s="28" t="s">
        <v>34867</v>
      </c>
      <c r="P5559">
        <v>1302</v>
      </c>
      <c r="Q5559" t="s">
        <v>6593</v>
      </c>
      <c r="R5559" s="28" t="s">
        <v>6594</v>
      </c>
      <c r="S5559" t="s">
        <v>13022</v>
      </c>
    </row>
    <row r="5560" spans="1:19" x14ac:dyDescent="0.25">
      <c r="A5560" s="27" t="s">
        <v>193</v>
      </c>
      <c r="C5560" s="27" t="s">
        <v>34749</v>
      </c>
      <c r="D5560" s="28" t="s">
        <v>34867</v>
      </c>
      <c r="P5560">
        <v>1303</v>
      </c>
      <c r="Q5560" t="s">
        <v>13563</v>
      </c>
      <c r="R5560" s="28" t="s">
        <v>13564</v>
      </c>
      <c r="S5560" t="s">
        <v>13022</v>
      </c>
    </row>
    <row r="5561" spans="1:19" x14ac:dyDescent="0.25">
      <c r="A5561" s="27" t="s">
        <v>193</v>
      </c>
      <c r="C5561" s="27" t="s">
        <v>34749</v>
      </c>
      <c r="D5561" s="28" t="s">
        <v>34867</v>
      </c>
      <c r="P5561">
        <v>1304</v>
      </c>
      <c r="Q5561" t="s">
        <v>13565</v>
      </c>
      <c r="R5561" s="28" t="s">
        <v>13566</v>
      </c>
      <c r="S5561" t="s">
        <v>13022</v>
      </c>
    </row>
    <row r="5562" spans="1:19" x14ac:dyDescent="0.25">
      <c r="A5562" s="27" t="s">
        <v>193</v>
      </c>
      <c r="C5562" s="27" t="s">
        <v>34749</v>
      </c>
      <c r="D5562" s="28" t="s">
        <v>34867</v>
      </c>
      <c r="P5562">
        <v>1305</v>
      </c>
      <c r="Q5562" t="s">
        <v>13567</v>
      </c>
      <c r="R5562" s="28" t="s">
        <v>13568</v>
      </c>
      <c r="S5562" t="s">
        <v>13022</v>
      </c>
    </row>
    <row r="5563" spans="1:19" x14ac:dyDescent="0.25">
      <c r="A5563" s="27" t="s">
        <v>193</v>
      </c>
      <c r="C5563" s="27" t="s">
        <v>34749</v>
      </c>
      <c r="D5563" s="28" t="s">
        <v>34867</v>
      </c>
      <c r="P5563">
        <v>1306</v>
      </c>
      <c r="Q5563" t="s">
        <v>6596</v>
      </c>
      <c r="R5563" s="28" t="s">
        <v>6597</v>
      </c>
      <c r="S5563" t="s">
        <v>13022</v>
      </c>
    </row>
    <row r="5564" spans="1:19" x14ac:dyDescent="0.25">
      <c r="A5564" s="27" t="s">
        <v>193</v>
      </c>
      <c r="C5564" s="27" t="s">
        <v>34749</v>
      </c>
      <c r="D5564" s="28" t="s">
        <v>34867</v>
      </c>
      <c r="P5564">
        <v>1307</v>
      </c>
      <c r="Q5564" t="s">
        <v>13569</v>
      </c>
      <c r="R5564" s="28" t="s">
        <v>13570</v>
      </c>
      <c r="S5564" t="s">
        <v>13022</v>
      </c>
    </row>
    <row r="5565" spans="1:19" x14ac:dyDescent="0.25">
      <c r="A5565" s="27" t="s">
        <v>193</v>
      </c>
      <c r="C5565" s="27" t="s">
        <v>34749</v>
      </c>
      <c r="D5565" s="28" t="s">
        <v>34867</v>
      </c>
      <c r="P5565">
        <v>1308</v>
      </c>
      <c r="Q5565" t="s">
        <v>13571</v>
      </c>
      <c r="R5565" s="28" t="s">
        <v>13572</v>
      </c>
      <c r="S5565" t="s">
        <v>13022</v>
      </c>
    </row>
    <row r="5566" spans="1:19" x14ac:dyDescent="0.25">
      <c r="A5566" s="27" t="s">
        <v>193</v>
      </c>
      <c r="C5566" s="27" t="s">
        <v>34749</v>
      </c>
      <c r="D5566" s="28" t="s">
        <v>34867</v>
      </c>
      <c r="P5566">
        <v>1309</v>
      </c>
      <c r="Q5566" t="s">
        <v>13573</v>
      </c>
      <c r="R5566" s="28" t="s">
        <v>13574</v>
      </c>
      <c r="S5566" t="s">
        <v>13022</v>
      </c>
    </row>
    <row r="5567" spans="1:19" x14ac:dyDescent="0.25">
      <c r="A5567" s="27" t="s">
        <v>193</v>
      </c>
      <c r="C5567" s="27" t="s">
        <v>34749</v>
      </c>
      <c r="D5567" s="28" t="s">
        <v>34867</v>
      </c>
      <c r="P5567">
        <v>1310</v>
      </c>
      <c r="Q5567" t="s">
        <v>6599</v>
      </c>
      <c r="R5567" s="28" t="s">
        <v>6600</v>
      </c>
      <c r="S5567" t="s">
        <v>13022</v>
      </c>
    </row>
    <row r="5568" spans="1:19" x14ac:dyDescent="0.25">
      <c r="A5568" s="27" t="s">
        <v>193</v>
      </c>
      <c r="C5568" s="27" t="s">
        <v>34749</v>
      </c>
      <c r="D5568" s="28" t="s">
        <v>34867</v>
      </c>
      <c r="P5568">
        <v>1311</v>
      </c>
      <c r="Q5568" t="s">
        <v>13575</v>
      </c>
      <c r="R5568" s="28" t="s">
        <v>13576</v>
      </c>
      <c r="S5568" t="s">
        <v>13022</v>
      </c>
    </row>
    <row r="5569" spans="1:19" x14ac:dyDescent="0.25">
      <c r="A5569" s="27" t="s">
        <v>193</v>
      </c>
      <c r="C5569" s="27" t="s">
        <v>34749</v>
      </c>
      <c r="D5569" s="28" t="s">
        <v>34867</v>
      </c>
      <c r="P5569">
        <v>1312</v>
      </c>
      <c r="Q5569" t="s">
        <v>13577</v>
      </c>
      <c r="R5569" s="28" t="s">
        <v>13578</v>
      </c>
      <c r="S5569" t="s">
        <v>13022</v>
      </c>
    </row>
    <row r="5570" spans="1:19" x14ac:dyDescent="0.25">
      <c r="A5570" s="27" t="s">
        <v>193</v>
      </c>
      <c r="C5570" s="27" t="s">
        <v>34749</v>
      </c>
      <c r="D5570" s="28" t="s">
        <v>34867</v>
      </c>
      <c r="P5570">
        <v>1313</v>
      </c>
      <c r="Q5570" t="s">
        <v>13579</v>
      </c>
      <c r="R5570" s="28" t="s">
        <v>13580</v>
      </c>
      <c r="S5570" t="s">
        <v>13022</v>
      </c>
    </row>
    <row r="5571" spans="1:19" x14ac:dyDescent="0.25">
      <c r="A5571" s="27" t="s">
        <v>193</v>
      </c>
      <c r="C5571" s="27" t="s">
        <v>34749</v>
      </c>
      <c r="D5571" s="28" t="s">
        <v>34867</v>
      </c>
      <c r="P5571">
        <v>1314</v>
      </c>
      <c r="Q5571" t="s">
        <v>13581</v>
      </c>
      <c r="R5571" s="28" t="s">
        <v>13582</v>
      </c>
      <c r="S5571" t="s">
        <v>13022</v>
      </c>
    </row>
    <row r="5572" spans="1:19" x14ac:dyDescent="0.25">
      <c r="A5572" s="27" t="s">
        <v>193</v>
      </c>
      <c r="C5572" s="27" t="s">
        <v>34749</v>
      </c>
      <c r="D5572" s="28" t="s">
        <v>34867</v>
      </c>
      <c r="P5572">
        <v>1315</v>
      </c>
      <c r="Q5572" t="s">
        <v>6602</v>
      </c>
      <c r="R5572" s="28" t="s">
        <v>6603</v>
      </c>
      <c r="S5572" t="s">
        <v>13022</v>
      </c>
    </row>
    <row r="5573" spans="1:19" x14ac:dyDescent="0.25">
      <c r="A5573" s="27" t="s">
        <v>193</v>
      </c>
      <c r="C5573" s="27" t="s">
        <v>34749</v>
      </c>
      <c r="D5573" s="28" t="s">
        <v>34867</v>
      </c>
      <c r="P5573">
        <v>1316</v>
      </c>
      <c r="Q5573" t="s">
        <v>13583</v>
      </c>
      <c r="R5573" s="28" t="s">
        <v>13584</v>
      </c>
      <c r="S5573" t="s">
        <v>13022</v>
      </c>
    </row>
    <row r="5574" spans="1:19" x14ac:dyDescent="0.25">
      <c r="A5574" s="27" t="s">
        <v>193</v>
      </c>
      <c r="C5574" s="27" t="s">
        <v>34749</v>
      </c>
      <c r="D5574" s="28" t="s">
        <v>34867</v>
      </c>
      <c r="P5574">
        <v>1317</v>
      </c>
      <c r="Q5574" t="s">
        <v>13585</v>
      </c>
      <c r="R5574" s="28" t="s">
        <v>13586</v>
      </c>
      <c r="S5574" t="s">
        <v>13022</v>
      </c>
    </row>
    <row r="5575" spans="1:19" x14ac:dyDescent="0.25">
      <c r="A5575" s="27" t="s">
        <v>193</v>
      </c>
      <c r="C5575" s="27" t="s">
        <v>34749</v>
      </c>
      <c r="D5575" s="28" t="s">
        <v>34867</v>
      </c>
      <c r="P5575">
        <v>1318</v>
      </c>
      <c r="Q5575" t="s">
        <v>6605</v>
      </c>
      <c r="R5575" s="28" t="s">
        <v>6606</v>
      </c>
      <c r="S5575" t="s">
        <v>13022</v>
      </c>
    </row>
    <row r="5576" spans="1:19" x14ac:dyDescent="0.25">
      <c r="A5576" s="27" t="s">
        <v>193</v>
      </c>
      <c r="C5576" s="27" t="s">
        <v>34749</v>
      </c>
      <c r="D5576" s="28" t="s">
        <v>34867</v>
      </c>
      <c r="P5576">
        <v>1319</v>
      </c>
      <c r="Q5576" t="s">
        <v>13587</v>
      </c>
      <c r="R5576" s="28" t="s">
        <v>13588</v>
      </c>
      <c r="S5576" t="s">
        <v>13022</v>
      </c>
    </row>
    <row r="5577" spans="1:19" x14ac:dyDescent="0.25">
      <c r="A5577" s="27" t="s">
        <v>193</v>
      </c>
      <c r="C5577" s="27" t="s">
        <v>34749</v>
      </c>
      <c r="D5577" s="28" t="s">
        <v>34867</v>
      </c>
      <c r="P5577">
        <v>1320</v>
      </c>
      <c r="Q5577" t="s">
        <v>6608</v>
      </c>
      <c r="R5577" s="28" t="s">
        <v>6609</v>
      </c>
      <c r="S5577" t="s">
        <v>13022</v>
      </c>
    </row>
    <row r="5578" spans="1:19" x14ac:dyDescent="0.25">
      <c r="A5578" s="27" t="s">
        <v>193</v>
      </c>
      <c r="C5578" s="27" t="s">
        <v>34749</v>
      </c>
      <c r="D5578" s="28" t="s">
        <v>34867</v>
      </c>
      <c r="P5578">
        <v>1321</v>
      </c>
      <c r="Q5578" t="s">
        <v>13589</v>
      </c>
      <c r="R5578" s="28" t="s">
        <v>13590</v>
      </c>
      <c r="S5578" t="s">
        <v>13022</v>
      </c>
    </row>
    <row r="5579" spans="1:19" x14ac:dyDescent="0.25">
      <c r="A5579" s="27" t="s">
        <v>193</v>
      </c>
      <c r="C5579" s="27" t="s">
        <v>34749</v>
      </c>
      <c r="D5579" s="28" t="s">
        <v>34867</v>
      </c>
      <c r="P5579">
        <v>1322</v>
      </c>
      <c r="Q5579" t="s">
        <v>6611</v>
      </c>
      <c r="R5579" s="28" t="s">
        <v>6612</v>
      </c>
      <c r="S5579" t="s">
        <v>13022</v>
      </c>
    </row>
    <row r="5580" spans="1:19" x14ac:dyDescent="0.25">
      <c r="A5580" s="27" t="s">
        <v>193</v>
      </c>
      <c r="C5580" s="27" t="s">
        <v>34749</v>
      </c>
      <c r="D5580" s="28" t="s">
        <v>34867</v>
      </c>
      <c r="P5580">
        <v>1323</v>
      </c>
      <c r="Q5580" t="s">
        <v>13591</v>
      </c>
      <c r="R5580" s="28" t="s">
        <v>13592</v>
      </c>
      <c r="S5580" t="s">
        <v>13022</v>
      </c>
    </row>
    <row r="5581" spans="1:19" x14ac:dyDescent="0.25">
      <c r="A5581" s="27" t="s">
        <v>193</v>
      </c>
      <c r="C5581" s="27" t="s">
        <v>34749</v>
      </c>
      <c r="D5581" s="28" t="s">
        <v>34867</v>
      </c>
      <c r="P5581">
        <v>1324</v>
      </c>
      <c r="Q5581" t="s">
        <v>6614</v>
      </c>
      <c r="R5581" s="28" t="s">
        <v>6615</v>
      </c>
      <c r="S5581" t="s">
        <v>13022</v>
      </c>
    </row>
    <row r="5582" spans="1:19" x14ac:dyDescent="0.25">
      <c r="A5582" s="27" t="s">
        <v>193</v>
      </c>
      <c r="C5582" s="27" t="s">
        <v>34749</v>
      </c>
      <c r="D5582" s="28" t="s">
        <v>34867</v>
      </c>
      <c r="P5582">
        <v>1325</v>
      </c>
      <c r="Q5582" t="s">
        <v>13593</v>
      </c>
      <c r="R5582" s="28" t="s">
        <v>13594</v>
      </c>
      <c r="S5582" t="s">
        <v>13022</v>
      </c>
    </row>
    <row r="5583" spans="1:19" x14ac:dyDescent="0.25">
      <c r="A5583" s="27" t="s">
        <v>193</v>
      </c>
      <c r="C5583" s="27" t="s">
        <v>34749</v>
      </c>
      <c r="D5583" s="28" t="s">
        <v>34867</v>
      </c>
      <c r="P5583">
        <v>1326</v>
      </c>
      <c r="Q5583" t="s">
        <v>13595</v>
      </c>
      <c r="R5583" s="28" t="s">
        <v>13596</v>
      </c>
      <c r="S5583" t="s">
        <v>13022</v>
      </c>
    </row>
    <row r="5584" spans="1:19" x14ac:dyDescent="0.25">
      <c r="A5584" s="27" t="s">
        <v>193</v>
      </c>
      <c r="C5584" s="27" t="s">
        <v>34749</v>
      </c>
      <c r="D5584" s="28" t="s">
        <v>34867</v>
      </c>
      <c r="P5584">
        <v>1327</v>
      </c>
      <c r="Q5584" t="s">
        <v>13597</v>
      </c>
      <c r="R5584" s="28" t="s">
        <v>13598</v>
      </c>
      <c r="S5584" t="s">
        <v>13022</v>
      </c>
    </row>
    <row r="5585" spans="1:19" x14ac:dyDescent="0.25">
      <c r="A5585" s="27" t="s">
        <v>193</v>
      </c>
      <c r="C5585" s="27" t="s">
        <v>34749</v>
      </c>
      <c r="D5585" s="28" t="s">
        <v>34867</v>
      </c>
      <c r="P5585">
        <v>1328</v>
      </c>
      <c r="Q5585" t="s">
        <v>13599</v>
      </c>
      <c r="R5585" s="28" t="s">
        <v>13600</v>
      </c>
      <c r="S5585" t="s">
        <v>13022</v>
      </c>
    </row>
    <row r="5586" spans="1:19" x14ac:dyDescent="0.25">
      <c r="A5586" s="27" t="s">
        <v>193</v>
      </c>
      <c r="C5586" s="27" t="s">
        <v>34749</v>
      </c>
      <c r="D5586" s="28" t="s">
        <v>34867</v>
      </c>
      <c r="P5586">
        <v>1329</v>
      </c>
      <c r="Q5586" t="s">
        <v>6617</v>
      </c>
      <c r="R5586" s="28" t="s">
        <v>6618</v>
      </c>
      <c r="S5586" t="s">
        <v>13022</v>
      </c>
    </row>
    <row r="5587" spans="1:19" x14ac:dyDescent="0.25">
      <c r="A5587" s="27" t="s">
        <v>193</v>
      </c>
      <c r="C5587" s="27" t="s">
        <v>34749</v>
      </c>
      <c r="D5587" s="28" t="s">
        <v>34867</v>
      </c>
      <c r="P5587">
        <v>1330</v>
      </c>
      <c r="Q5587" t="s">
        <v>6620</v>
      </c>
      <c r="R5587" s="28" t="s">
        <v>6621</v>
      </c>
      <c r="S5587" t="s">
        <v>13022</v>
      </c>
    </row>
    <row r="5588" spans="1:19" x14ac:dyDescent="0.25">
      <c r="A5588" s="27" t="s">
        <v>193</v>
      </c>
      <c r="C5588" s="27" t="s">
        <v>34749</v>
      </c>
      <c r="D5588" s="28" t="s">
        <v>34867</v>
      </c>
      <c r="P5588">
        <v>1331</v>
      </c>
      <c r="Q5588" t="s">
        <v>13601</v>
      </c>
      <c r="R5588" s="28" t="s">
        <v>13602</v>
      </c>
      <c r="S5588" t="s">
        <v>13022</v>
      </c>
    </row>
    <row r="5589" spans="1:19" x14ac:dyDescent="0.25">
      <c r="A5589" s="27" t="s">
        <v>193</v>
      </c>
      <c r="C5589" s="27" t="s">
        <v>34749</v>
      </c>
      <c r="D5589" s="28" t="s">
        <v>34867</v>
      </c>
      <c r="P5589">
        <v>1332</v>
      </c>
      <c r="Q5589" t="s">
        <v>13603</v>
      </c>
      <c r="R5589" s="28" t="s">
        <v>13604</v>
      </c>
      <c r="S5589" t="s">
        <v>13022</v>
      </c>
    </row>
    <row r="5590" spans="1:19" x14ac:dyDescent="0.25">
      <c r="A5590" s="27" t="s">
        <v>193</v>
      </c>
      <c r="C5590" s="27" t="s">
        <v>34749</v>
      </c>
      <c r="D5590" s="28" t="s">
        <v>34867</v>
      </c>
      <c r="P5590">
        <v>1333</v>
      </c>
      <c r="Q5590" t="s">
        <v>6626</v>
      </c>
      <c r="R5590" s="28" t="s">
        <v>6627</v>
      </c>
      <c r="S5590" t="s">
        <v>13022</v>
      </c>
    </row>
    <row r="5591" spans="1:19" x14ac:dyDescent="0.25">
      <c r="A5591" s="27" t="s">
        <v>193</v>
      </c>
      <c r="C5591" s="27" t="s">
        <v>34749</v>
      </c>
      <c r="D5591" s="28" t="s">
        <v>34867</v>
      </c>
      <c r="P5591">
        <v>1334</v>
      </c>
      <c r="Q5591" t="s">
        <v>13605</v>
      </c>
      <c r="R5591" s="28" t="s">
        <v>13606</v>
      </c>
      <c r="S5591" t="s">
        <v>13022</v>
      </c>
    </row>
    <row r="5592" spans="1:19" x14ac:dyDescent="0.25">
      <c r="A5592" s="27" t="s">
        <v>193</v>
      </c>
      <c r="C5592" s="27" t="s">
        <v>34749</v>
      </c>
      <c r="D5592" s="28" t="s">
        <v>34867</v>
      </c>
      <c r="P5592">
        <v>1335</v>
      </c>
      <c r="Q5592" t="s">
        <v>13607</v>
      </c>
      <c r="R5592" s="28" t="s">
        <v>13608</v>
      </c>
      <c r="S5592" t="s">
        <v>13022</v>
      </c>
    </row>
    <row r="5593" spans="1:19" x14ac:dyDescent="0.25">
      <c r="A5593" s="27" t="s">
        <v>193</v>
      </c>
      <c r="C5593" s="27" t="s">
        <v>34749</v>
      </c>
      <c r="D5593" s="28" t="s">
        <v>34867</v>
      </c>
      <c r="P5593">
        <v>1336</v>
      </c>
      <c r="Q5593" t="s">
        <v>13609</v>
      </c>
      <c r="R5593" s="28" t="s">
        <v>13610</v>
      </c>
      <c r="S5593" t="s">
        <v>13022</v>
      </c>
    </row>
    <row r="5594" spans="1:19" x14ac:dyDescent="0.25">
      <c r="A5594" s="27" t="s">
        <v>193</v>
      </c>
      <c r="C5594" s="27" t="s">
        <v>34749</v>
      </c>
      <c r="D5594" s="28" t="s">
        <v>34867</v>
      </c>
      <c r="P5594">
        <v>1337</v>
      </c>
      <c r="Q5594" t="s">
        <v>6629</v>
      </c>
      <c r="R5594" s="28" t="s">
        <v>6630</v>
      </c>
      <c r="S5594" t="s">
        <v>13022</v>
      </c>
    </row>
    <row r="5595" spans="1:19" x14ac:dyDescent="0.25">
      <c r="A5595" s="27" t="s">
        <v>193</v>
      </c>
      <c r="C5595" s="27" t="s">
        <v>34749</v>
      </c>
      <c r="D5595" s="28" t="s">
        <v>34867</v>
      </c>
      <c r="P5595">
        <v>1338</v>
      </c>
      <c r="Q5595" t="s">
        <v>13611</v>
      </c>
      <c r="R5595" s="28" t="s">
        <v>13612</v>
      </c>
      <c r="S5595" t="s">
        <v>13022</v>
      </c>
    </row>
    <row r="5596" spans="1:19" x14ac:dyDescent="0.25">
      <c r="A5596" s="27" t="s">
        <v>193</v>
      </c>
      <c r="C5596" s="27" t="s">
        <v>34749</v>
      </c>
      <c r="D5596" s="28" t="s">
        <v>34867</v>
      </c>
      <c r="P5596">
        <v>1339</v>
      </c>
      <c r="Q5596" t="s">
        <v>13613</v>
      </c>
      <c r="R5596" s="28" t="s">
        <v>13614</v>
      </c>
      <c r="S5596" t="s">
        <v>13022</v>
      </c>
    </row>
    <row r="5597" spans="1:19" x14ac:dyDescent="0.25">
      <c r="A5597" s="27" t="s">
        <v>193</v>
      </c>
      <c r="C5597" s="27" t="s">
        <v>34749</v>
      </c>
      <c r="D5597" s="28" t="s">
        <v>34867</v>
      </c>
      <c r="P5597">
        <v>1340</v>
      </c>
      <c r="Q5597" t="s">
        <v>13615</v>
      </c>
      <c r="R5597" s="28" t="s">
        <v>13616</v>
      </c>
      <c r="S5597" t="s">
        <v>13022</v>
      </c>
    </row>
    <row r="5598" spans="1:19" x14ac:dyDescent="0.25">
      <c r="A5598" s="27" t="s">
        <v>193</v>
      </c>
      <c r="C5598" s="27" t="s">
        <v>34749</v>
      </c>
      <c r="D5598" s="28" t="s">
        <v>34867</v>
      </c>
      <c r="P5598">
        <v>1341</v>
      </c>
      <c r="Q5598" t="s">
        <v>6632</v>
      </c>
      <c r="R5598" s="28" t="s">
        <v>6633</v>
      </c>
      <c r="S5598" t="s">
        <v>13022</v>
      </c>
    </row>
    <row r="5599" spans="1:19" x14ac:dyDescent="0.25">
      <c r="A5599" s="27" t="s">
        <v>193</v>
      </c>
      <c r="C5599" s="27" t="s">
        <v>34749</v>
      </c>
      <c r="D5599" s="28" t="s">
        <v>34867</v>
      </c>
      <c r="P5599">
        <v>1342</v>
      </c>
      <c r="Q5599" t="s">
        <v>13617</v>
      </c>
      <c r="R5599" s="28" t="s">
        <v>13618</v>
      </c>
      <c r="S5599" t="s">
        <v>13022</v>
      </c>
    </row>
    <row r="5600" spans="1:19" x14ac:dyDescent="0.25">
      <c r="A5600" s="27" t="s">
        <v>193</v>
      </c>
      <c r="C5600" s="27" t="s">
        <v>34749</v>
      </c>
      <c r="D5600" s="28" t="s">
        <v>34867</v>
      </c>
      <c r="P5600">
        <v>1343</v>
      </c>
      <c r="Q5600" t="s">
        <v>6635</v>
      </c>
      <c r="R5600" s="28" t="s">
        <v>6636</v>
      </c>
      <c r="S5600" t="s">
        <v>13022</v>
      </c>
    </row>
    <row r="5601" spans="1:19" x14ac:dyDescent="0.25">
      <c r="A5601" s="27" t="s">
        <v>193</v>
      </c>
      <c r="C5601" s="27" t="s">
        <v>34749</v>
      </c>
      <c r="D5601" s="28" t="s">
        <v>34867</v>
      </c>
      <c r="P5601">
        <v>1344</v>
      </c>
      <c r="Q5601" t="s">
        <v>13619</v>
      </c>
      <c r="R5601" s="28" t="s">
        <v>13620</v>
      </c>
      <c r="S5601" t="s">
        <v>13022</v>
      </c>
    </row>
    <row r="5602" spans="1:19" x14ac:dyDescent="0.25">
      <c r="A5602" s="27" t="s">
        <v>193</v>
      </c>
      <c r="C5602" s="27" t="s">
        <v>34749</v>
      </c>
      <c r="D5602" s="28" t="s">
        <v>34867</v>
      </c>
      <c r="P5602">
        <v>1345</v>
      </c>
      <c r="Q5602" t="s">
        <v>6638</v>
      </c>
      <c r="R5602" s="28" t="s">
        <v>6639</v>
      </c>
      <c r="S5602" t="s">
        <v>13022</v>
      </c>
    </row>
    <row r="5603" spans="1:19" x14ac:dyDescent="0.25">
      <c r="A5603" s="27" t="s">
        <v>193</v>
      </c>
      <c r="C5603" s="27" t="s">
        <v>34749</v>
      </c>
      <c r="D5603" s="28" t="s">
        <v>34867</v>
      </c>
      <c r="P5603">
        <v>1346</v>
      </c>
      <c r="Q5603" t="s">
        <v>13621</v>
      </c>
      <c r="R5603" s="28" t="s">
        <v>13622</v>
      </c>
      <c r="S5603" t="s">
        <v>13022</v>
      </c>
    </row>
    <row r="5604" spans="1:19" x14ac:dyDescent="0.25">
      <c r="A5604" s="27" t="s">
        <v>193</v>
      </c>
      <c r="C5604" s="27" t="s">
        <v>34749</v>
      </c>
      <c r="D5604" s="28" t="s">
        <v>34867</v>
      </c>
      <c r="P5604">
        <v>1347</v>
      </c>
      <c r="Q5604" t="s">
        <v>6641</v>
      </c>
      <c r="R5604" s="28" t="s">
        <v>6642</v>
      </c>
      <c r="S5604" t="s">
        <v>13022</v>
      </c>
    </row>
    <row r="5605" spans="1:19" x14ac:dyDescent="0.25">
      <c r="A5605" s="27" t="s">
        <v>193</v>
      </c>
      <c r="C5605" s="27" t="s">
        <v>34749</v>
      </c>
      <c r="D5605" s="28" t="s">
        <v>34867</v>
      </c>
      <c r="P5605">
        <v>1348</v>
      </c>
      <c r="Q5605" t="s">
        <v>6644</v>
      </c>
      <c r="R5605" s="28" t="s">
        <v>6645</v>
      </c>
      <c r="S5605" t="s">
        <v>13022</v>
      </c>
    </row>
    <row r="5606" spans="1:19" x14ac:dyDescent="0.25">
      <c r="A5606" s="27" t="s">
        <v>193</v>
      </c>
      <c r="C5606" s="27" t="s">
        <v>34749</v>
      </c>
      <c r="D5606" s="28" t="s">
        <v>34867</v>
      </c>
      <c r="P5606">
        <v>1349</v>
      </c>
      <c r="Q5606" t="s">
        <v>6647</v>
      </c>
      <c r="R5606" s="28" t="s">
        <v>6648</v>
      </c>
      <c r="S5606" t="s">
        <v>13022</v>
      </c>
    </row>
    <row r="5607" spans="1:19" x14ac:dyDescent="0.25">
      <c r="A5607" s="27" t="s">
        <v>193</v>
      </c>
      <c r="C5607" s="27" t="s">
        <v>34749</v>
      </c>
      <c r="D5607" s="28" t="s">
        <v>34867</v>
      </c>
      <c r="P5607">
        <v>1350</v>
      </c>
      <c r="Q5607" t="s">
        <v>6650</v>
      </c>
      <c r="R5607" s="28" t="s">
        <v>6651</v>
      </c>
      <c r="S5607" t="s">
        <v>13022</v>
      </c>
    </row>
    <row r="5608" spans="1:19" x14ac:dyDescent="0.25">
      <c r="A5608" s="27" t="s">
        <v>193</v>
      </c>
      <c r="C5608" s="27" t="s">
        <v>34749</v>
      </c>
      <c r="D5608" s="28" t="s">
        <v>34867</v>
      </c>
      <c r="P5608">
        <v>1351</v>
      </c>
      <c r="Q5608" t="s">
        <v>13623</v>
      </c>
      <c r="R5608" s="28" t="s">
        <v>13624</v>
      </c>
      <c r="S5608" t="s">
        <v>13022</v>
      </c>
    </row>
    <row r="5609" spans="1:19" x14ac:dyDescent="0.25">
      <c r="A5609" s="27" t="s">
        <v>193</v>
      </c>
      <c r="C5609" s="27" t="s">
        <v>34749</v>
      </c>
      <c r="D5609" s="28" t="s">
        <v>34867</v>
      </c>
      <c r="P5609">
        <v>1352</v>
      </c>
      <c r="Q5609" t="s">
        <v>6653</v>
      </c>
      <c r="R5609" s="28" t="s">
        <v>6654</v>
      </c>
      <c r="S5609" t="s">
        <v>13022</v>
      </c>
    </row>
    <row r="5610" spans="1:19" x14ac:dyDescent="0.25">
      <c r="A5610" s="27" t="s">
        <v>193</v>
      </c>
      <c r="C5610" s="27" t="s">
        <v>34749</v>
      </c>
      <c r="D5610" s="28" t="s">
        <v>34867</v>
      </c>
      <c r="P5610">
        <v>1353</v>
      </c>
      <c r="Q5610" t="s">
        <v>13625</v>
      </c>
      <c r="R5610" s="28" t="s">
        <v>13626</v>
      </c>
      <c r="S5610" t="s">
        <v>13022</v>
      </c>
    </row>
    <row r="5611" spans="1:19" x14ac:dyDescent="0.25">
      <c r="A5611" s="27" t="s">
        <v>193</v>
      </c>
      <c r="C5611" s="27" t="s">
        <v>34749</v>
      </c>
      <c r="D5611" s="28" t="s">
        <v>34867</v>
      </c>
      <c r="P5611">
        <v>1354</v>
      </c>
      <c r="Q5611" t="s">
        <v>13627</v>
      </c>
      <c r="R5611" s="28" t="s">
        <v>13628</v>
      </c>
      <c r="S5611" t="s">
        <v>13022</v>
      </c>
    </row>
    <row r="5612" spans="1:19" x14ac:dyDescent="0.25">
      <c r="A5612" s="27" t="s">
        <v>193</v>
      </c>
      <c r="C5612" s="27" t="s">
        <v>34749</v>
      </c>
      <c r="D5612" s="28" t="s">
        <v>34867</v>
      </c>
      <c r="P5612">
        <v>1355</v>
      </c>
      <c r="Q5612" t="s">
        <v>13629</v>
      </c>
      <c r="R5612" s="28" t="s">
        <v>13630</v>
      </c>
      <c r="S5612" t="s">
        <v>13022</v>
      </c>
    </row>
    <row r="5613" spans="1:19" x14ac:dyDescent="0.25">
      <c r="A5613" s="27" t="s">
        <v>193</v>
      </c>
      <c r="C5613" s="27" t="s">
        <v>34749</v>
      </c>
      <c r="D5613" s="28" t="s">
        <v>34867</v>
      </c>
      <c r="P5613">
        <v>1356</v>
      </c>
      <c r="Q5613" t="s">
        <v>13631</v>
      </c>
      <c r="R5613" s="28" t="s">
        <v>13632</v>
      </c>
      <c r="S5613" t="s">
        <v>13022</v>
      </c>
    </row>
    <row r="5614" spans="1:19" x14ac:dyDescent="0.25">
      <c r="A5614" s="27" t="s">
        <v>193</v>
      </c>
      <c r="C5614" s="27" t="s">
        <v>34749</v>
      </c>
      <c r="D5614" s="28" t="s">
        <v>34867</v>
      </c>
      <c r="P5614">
        <v>1357</v>
      </c>
      <c r="Q5614" t="s">
        <v>13633</v>
      </c>
      <c r="R5614" s="28" t="s">
        <v>13634</v>
      </c>
      <c r="S5614" t="s">
        <v>13022</v>
      </c>
    </row>
    <row r="5615" spans="1:19" x14ac:dyDescent="0.25">
      <c r="A5615" s="27" t="s">
        <v>193</v>
      </c>
      <c r="C5615" s="27" t="s">
        <v>34749</v>
      </c>
      <c r="D5615" s="28" t="s">
        <v>34867</v>
      </c>
      <c r="P5615">
        <v>1358</v>
      </c>
      <c r="Q5615" t="s">
        <v>6656</v>
      </c>
      <c r="R5615" s="28" t="s">
        <v>6657</v>
      </c>
      <c r="S5615" t="s">
        <v>13022</v>
      </c>
    </row>
    <row r="5616" spans="1:19" x14ac:dyDescent="0.25">
      <c r="A5616" s="27" t="s">
        <v>193</v>
      </c>
      <c r="C5616" s="27" t="s">
        <v>34749</v>
      </c>
      <c r="D5616" s="28" t="s">
        <v>34867</v>
      </c>
      <c r="P5616">
        <v>1359</v>
      </c>
      <c r="Q5616" t="s">
        <v>6659</v>
      </c>
      <c r="R5616" s="28" t="s">
        <v>6660</v>
      </c>
      <c r="S5616" t="s">
        <v>13022</v>
      </c>
    </row>
    <row r="5617" spans="1:19" x14ac:dyDescent="0.25">
      <c r="A5617" s="27" t="s">
        <v>193</v>
      </c>
      <c r="C5617" s="27" t="s">
        <v>34749</v>
      </c>
      <c r="D5617" s="28" t="s">
        <v>34867</v>
      </c>
      <c r="P5617">
        <v>1360</v>
      </c>
      <c r="Q5617" t="s">
        <v>13635</v>
      </c>
      <c r="R5617" s="28" t="s">
        <v>13636</v>
      </c>
      <c r="S5617" t="s">
        <v>13022</v>
      </c>
    </row>
    <row r="5618" spans="1:19" x14ac:dyDescent="0.25">
      <c r="A5618" s="27" t="s">
        <v>193</v>
      </c>
      <c r="C5618" s="27" t="s">
        <v>34749</v>
      </c>
      <c r="D5618" s="28" t="s">
        <v>34867</v>
      </c>
      <c r="P5618">
        <v>1361</v>
      </c>
      <c r="Q5618" t="s">
        <v>6662</v>
      </c>
      <c r="R5618" s="28" t="s">
        <v>6663</v>
      </c>
      <c r="S5618" t="s">
        <v>13022</v>
      </c>
    </row>
    <row r="5619" spans="1:19" x14ac:dyDescent="0.25">
      <c r="A5619" s="27" t="s">
        <v>193</v>
      </c>
      <c r="C5619" s="27" t="s">
        <v>34749</v>
      </c>
      <c r="D5619" s="28" t="s">
        <v>34867</v>
      </c>
      <c r="P5619">
        <v>1362</v>
      </c>
      <c r="Q5619" t="s">
        <v>6668</v>
      </c>
      <c r="R5619" s="28" t="s">
        <v>6669</v>
      </c>
      <c r="S5619" t="s">
        <v>13022</v>
      </c>
    </row>
    <row r="5620" spans="1:19" x14ac:dyDescent="0.25">
      <c r="A5620" s="27" t="s">
        <v>193</v>
      </c>
      <c r="C5620" s="27" t="s">
        <v>34749</v>
      </c>
      <c r="D5620" s="28" t="s">
        <v>34867</v>
      </c>
      <c r="P5620">
        <v>1363</v>
      </c>
      <c r="Q5620" t="s">
        <v>6671</v>
      </c>
      <c r="R5620" s="28" t="s">
        <v>6672</v>
      </c>
      <c r="S5620" t="s">
        <v>13022</v>
      </c>
    </row>
    <row r="5621" spans="1:19" x14ac:dyDescent="0.25">
      <c r="A5621" s="27" t="s">
        <v>193</v>
      </c>
      <c r="C5621" s="27" t="s">
        <v>34749</v>
      </c>
      <c r="D5621" s="28" t="s">
        <v>34867</v>
      </c>
      <c r="P5621">
        <v>1364</v>
      </c>
      <c r="Q5621" t="s">
        <v>6674</v>
      </c>
      <c r="R5621" s="28" t="s">
        <v>6675</v>
      </c>
      <c r="S5621" t="s">
        <v>13022</v>
      </c>
    </row>
    <row r="5622" spans="1:19" x14ac:dyDescent="0.25">
      <c r="A5622" s="27" t="s">
        <v>193</v>
      </c>
      <c r="C5622" s="27" t="s">
        <v>34749</v>
      </c>
      <c r="D5622" s="28" t="s">
        <v>34867</v>
      </c>
      <c r="P5622">
        <v>1365</v>
      </c>
      <c r="Q5622" t="s">
        <v>6680</v>
      </c>
      <c r="R5622" s="28" t="s">
        <v>13637</v>
      </c>
      <c r="S5622" t="s">
        <v>13022</v>
      </c>
    </row>
    <row r="5623" spans="1:19" x14ac:dyDescent="0.25">
      <c r="A5623" s="27" t="s">
        <v>193</v>
      </c>
      <c r="C5623" s="27" t="s">
        <v>34749</v>
      </c>
      <c r="D5623" s="28" t="s">
        <v>34867</v>
      </c>
      <c r="P5623">
        <v>1366</v>
      </c>
      <c r="Q5623" t="s">
        <v>6677</v>
      </c>
      <c r="R5623" s="28" t="s">
        <v>6678</v>
      </c>
      <c r="S5623" t="s">
        <v>13022</v>
      </c>
    </row>
    <row r="5624" spans="1:19" x14ac:dyDescent="0.25">
      <c r="A5624" s="27" t="s">
        <v>193</v>
      </c>
      <c r="C5624" s="27" t="s">
        <v>34749</v>
      </c>
      <c r="D5624" s="28" t="s">
        <v>34867</v>
      </c>
      <c r="P5624">
        <v>1367</v>
      </c>
      <c r="Q5624" t="s">
        <v>6686</v>
      </c>
      <c r="R5624" s="28" t="s">
        <v>6681</v>
      </c>
      <c r="S5624" t="s">
        <v>13022</v>
      </c>
    </row>
    <row r="5625" spans="1:19" x14ac:dyDescent="0.25">
      <c r="A5625" s="27" t="s">
        <v>193</v>
      </c>
      <c r="C5625" s="27" t="s">
        <v>34749</v>
      </c>
      <c r="D5625" s="28" t="s">
        <v>34867</v>
      </c>
      <c r="P5625">
        <v>1368</v>
      </c>
      <c r="Q5625" t="s">
        <v>6683</v>
      </c>
      <c r="R5625" s="28" t="s">
        <v>6684</v>
      </c>
      <c r="S5625" t="s">
        <v>13022</v>
      </c>
    </row>
    <row r="5626" spans="1:19" x14ac:dyDescent="0.25">
      <c r="A5626" s="27" t="s">
        <v>193</v>
      </c>
      <c r="C5626" s="27" t="s">
        <v>34749</v>
      </c>
      <c r="D5626" s="28" t="s">
        <v>34867</v>
      </c>
      <c r="P5626">
        <v>1369</v>
      </c>
      <c r="Q5626" t="s">
        <v>13638</v>
      </c>
      <c r="R5626" s="28" t="s">
        <v>6687</v>
      </c>
      <c r="S5626" t="s">
        <v>13022</v>
      </c>
    </row>
    <row r="5627" spans="1:19" x14ac:dyDescent="0.25">
      <c r="A5627" s="27" t="s">
        <v>193</v>
      </c>
      <c r="C5627" s="27" t="s">
        <v>34749</v>
      </c>
      <c r="D5627" s="28" t="s">
        <v>34867</v>
      </c>
      <c r="P5627">
        <v>1370</v>
      </c>
      <c r="Q5627" t="s">
        <v>6689</v>
      </c>
      <c r="R5627" s="28" t="s">
        <v>6690</v>
      </c>
      <c r="S5627" t="s">
        <v>13022</v>
      </c>
    </row>
    <row r="5628" spans="1:19" x14ac:dyDescent="0.25">
      <c r="A5628" s="27" t="s">
        <v>193</v>
      </c>
      <c r="C5628" s="27" t="s">
        <v>34749</v>
      </c>
      <c r="D5628" s="28" t="s">
        <v>34867</v>
      </c>
      <c r="P5628">
        <v>1371</v>
      </c>
      <c r="Q5628" t="s">
        <v>13639</v>
      </c>
      <c r="R5628" s="28" t="s">
        <v>13640</v>
      </c>
      <c r="S5628" t="s">
        <v>13022</v>
      </c>
    </row>
    <row r="5629" spans="1:19" x14ac:dyDescent="0.25">
      <c r="A5629" s="27" t="s">
        <v>193</v>
      </c>
      <c r="C5629" s="27" t="s">
        <v>34749</v>
      </c>
      <c r="D5629" s="28" t="s">
        <v>34867</v>
      </c>
      <c r="P5629">
        <v>1372</v>
      </c>
      <c r="Q5629" t="s">
        <v>6695</v>
      </c>
      <c r="R5629" s="28" t="s">
        <v>6696</v>
      </c>
      <c r="S5629" t="s">
        <v>13022</v>
      </c>
    </row>
    <row r="5630" spans="1:19" x14ac:dyDescent="0.25">
      <c r="A5630" s="27" t="s">
        <v>193</v>
      </c>
      <c r="C5630" s="27" t="s">
        <v>34749</v>
      </c>
      <c r="D5630" s="28" t="s">
        <v>34867</v>
      </c>
      <c r="P5630">
        <v>1373</v>
      </c>
      <c r="Q5630" t="s">
        <v>13641</v>
      </c>
      <c r="R5630" s="28" t="s">
        <v>13642</v>
      </c>
      <c r="S5630" t="s">
        <v>13022</v>
      </c>
    </row>
    <row r="5631" spans="1:19" x14ac:dyDescent="0.25">
      <c r="A5631" s="27" t="s">
        <v>193</v>
      </c>
      <c r="C5631" s="27" t="s">
        <v>34749</v>
      </c>
      <c r="D5631" s="28" t="s">
        <v>34867</v>
      </c>
      <c r="P5631">
        <v>1374</v>
      </c>
      <c r="Q5631" t="s">
        <v>13643</v>
      </c>
      <c r="R5631" s="28" t="s">
        <v>13644</v>
      </c>
      <c r="S5631" t="s">
        <v>13022</v>
      </c>
    </row>
    <row r="5632" spans="1:19" x14ac:dyDescent="0.25">
      <c r="A5632" s="27" t="s">
        <v>193</v>
      </c>
      <c r="C5632" s="27" t="s">
        <v>34749</v>
      </c>
      <c r="D5632" s="28" t="s">
        <v>34867</v>
      </c>
      <c r="P5632">
        <v>1375</v>
      </c>
      <c r="Q5632" t="s">
        <v>6698</v>
      </c>
      <c r="R5632" s="28" t="s">
        <v>6699</v>
      </c>
      <c r="S5632" t="s">
        <v>13022</v>
      </c>
    </row>
    <row r="5633" spans="1:19" x14ac:dyDescent="0.25">
      <c r="A5633" s="27" t="s">
        <v>193</v>
      </c>
      <c r="C5633" s="27" t="s">
        <v>34749</v>
      </c>
      <c r="D5633" s="28" t="s">
        <v>34867</v>
      </c>
      <c r="P5633">
        <v>1376</v>
      </c>
      <c r="Q5633" t="s">
        <v>13645</v>
      </c>
      <c r="R5633" s="28" t="s">
        <v>13646</v>
      </c>
      <c r="S5633" t="s">
        <v>13022</v>
      </c>
    </row>
    <row r="5634" spans="1:19" x14ac:dyDescent="0.25">
      <c r="A5634" s="27" t="s">
        <v>193</v>
      </c>
      <c r="C5634" s="27" t="s">
        <v>34749</v>
      </c>
      <c r="D5634" s="28" t="s">
        <v>34867</v>
      </c>
      <c r="P5634">
        <v>1377</v>
      </c>
      <c r="Q5634" t="s">
        <v>6701</v>
      </c>
      <c r="R5634" s="28" t="s">
        <v>6702</v>
      </c>
      <c r="S5634" t="s">
        <v>13022</v>
      </c>
    </row>
    <row r="5635" spans="1:19" x14ac:dyDescent="0.25">
      <c r="A5635" s="27" t="s">
        <v>193</v>
      </c>
      <c r="C5635" s="27" t="s">
        <v>34749</v>
      </c>
      <c r="D5635" s="28" t="s">
        <v>34867</v>
      </c>
      <c r="P5635">
        <v>1378</v>
      </c>
      <c r="Q5635" t="s">
        <v>13647</v>
      </c>
      <c r="R5635" s="28" t="s">
        <v>13648</v>
      </c>
      <c r="S5635" t="s">
        <v>13022</v>
      </c>
    </row>
    <row r="5636" spans="1:19" x14ac:dyDescent="0.25">
      <c r="A5636" s="27" t="s">
        <v>193</v>
      </c>
      <c r="C5636" s="27" t="s">
        <v>34749</v>
      </c>
      <c r="D5636" s="28" t="s">
        <v>34867</v>
      </c>
      <c r="P5636">
        <v>1379</v>
      </c>
      <c r="Q5636" t="s">
        <v>6704</v>
      </c>
      <c r="R5636" s="28" t="s">
        <v>6705</v>
      </c>
      <c r="S5636" t="s">
        <v>13022</v>
      </c>
    </row>
    <row r="5637" spans="1:19" x14ac:dyDescent="0.25">
      <c r="A5637" s="27" t="s">
        <v>193</v>
      </c>
      <c r="C5637" s="27" t="s">
        <v>34749</v>
      </c>
      <c r="D5637" s="28" t="s">
        <v>34867</v>
      </c>
      <c r="P5637">
        <v>1380</v>
      </c>
      <c r="Q5637" t="s">
        <v>13649</v>
      </c>
      <c r="R5637" s="28" t="s">
        <v>13650</v>
      </c>
      <c r="S5637" t="s">
        <v>13022</v>
      </c>
    </row>
    <row r="5638" spans="1:19" x14ac:dyDescent="0.25">
      <c r="A5638" s="27" t="s">
        <v>193</v>
      </c>
      <c r="C5638" s="27" t="s">
        <v>34749</v>
      </c>
      <c r="D5638" s="28" t="s">
        <v>34867</v>
      </c>
      <c r="P5638">
        <v>1381</v>
      </c>
      <c r="Q5638" t="s">
        <v>13651</v>
      </c>
      <c r="R5638" s="28" t="s">
        <v>6708</v>
      </c>
      <c r="S5638" t="s">
        <v>13022</v>
      </c>
    </row>
    <row r="5639" spans="1:19" x14ac:dyDescent="0.25">
      <c r="A5639" s="27" t="s">
        <v>193</v>
      </c>
      <c r="C5639" s="27" t="s">
        <v>34749</v>
      </c>
      <c r="D5639" s="28" t="s">
        <v>34867</v>
      </c>
      <c r="P5639">
        <v>1382</v>
      </c>
      <c r="Q5639" t="s">
        <v>6710</v>
      </c>
      <c r="R5639" s="28" t="s">
        <v>6711</v>
      </c>
      <c r="S5639" t="s">
        <v>13022</v>
      </c>
    </row>
    <row r="5640" spans="1:19" x14ac:dyDescent="0.25">
      <c r="A5640" s="27" t="s">
        <v>193</v>
      </c>
      <c r="C5640" s="27" t="s">
        <v>34749</v>
      </c>
      <c r="D5640" s="28" t="s">
        <v>34867</v>
      </c>
      <c r="P5640">
        <v>1383</v>
      </c>
      <c r="Q5640" t="s">
        <v>13652</v>
      </c>
      <c r="R5640" s="28" t="s">
        <v>13653</v>
      </c>
      <c r="S5640" t="s">
        <v>13022</v>
      </c>
    </row>
    <row r="5641" spans="1:19" x14ac:dyDescent="0.25">
      <c r="A5641" s="27" t="s">
        <v>193</v>
      </c>
      <c r="C5641" s="27" t="s">
        <v>34749</v>
      </c>
      <c r="D5641" s="28" t="s">
        <v>34867</v>
      </c>
      <c r="P5641">
        <v>1384</v>
      </c>
      <c r="Q5641" t="s">
        <v>13654</v>
      </c>
      <c r="R5641" s="28" t="s">
        <v>13655</v>
      </c>
      <c r="S5641" t="s">
        <v>13022</v>
      </c>
    </row>
    <row r="5642" spans="1:19" x14ac:dyDescent="0.25">
      <c r="A5642" s="27" t="s">
        <v>193</v>
      </c>
      <c r="C5642" s="27" t="s">
        <v>34749</v>
      </c>
      <c r="D5642" s="28" t="s">
        <v>34867</v>
      </c>
      <c r="P5642">
        <v>1385</v>
      </c>
      <c r="Q5642" t="s">
        <v>13656</v>
      </c>
      <c r="R5642" s="28" t="s">
        <v>13657</v>
      </c>
      <c r="S5642" t="s">
        <v>13022</v>
      </c>
    </row>
    <row r="5643" spans="1:19" x14ac:dyDescent="0.25">
      <c r="A5643" s="27" t="s">
        <v>193</v>
      </c>
      <c r="C5643" s="27" t="s">
        <v>34749</v>
      </c>
      <c r="D5643" s="28" t="s">
        <v>34867</v>
      </c>
      <c r="P5643">
        <v>1386</v>
      </c>
      <c r="Q5643" t="s">
        <v>6713</v>
      </c>
      <c r="R5643" s="28" t="s">
        <v>6714</v>
      </c>
      <c r="S5643" t="s">
        <v>13022</v>
      </c>
    </row>
    <row r="5644" spans="1:19" x14ac:dyDescent="0.25">
      <c r="A5644" s="27" t="s">
        <v>193</v>
      </c>
      <c r="C5644" s="27" t="s">
        <v>34749</v>
      </c>
      <c r="D5644" s="28" t="s">
        <v>34867</v>
      </c>
      <c r="P5644">
        <v>1387</v>
      </c>
      <c r="Q5644" t="s">
        <v>6716</v>
      </c>
      <c r="R5644" s="28" t="s">
        <v>6717</v>
      </c>
      <c r="S5644" t="s">
        <v>13022</v>
      </c>
    </row>
    <row r="5645" spans="1:19" x14ac:dyDescent="0.25">
      <c r="A5645" s="27" t="s">
        <v>193</v>
      </c>
      <c r="C5645" s="27" t="s">
        <v>34749</v>
      </c>
      <c r="D5645" s="28" t="s">
        <v>34867</v>
      </c>
      <c r="P5645">
        <v>1388</v>
      </c>
      <c r="Q5645" t="s">
        <v>6719</v>
      </c>
      <c r="R5645" s="28" t="s">
        <v>6720</v>
      </c>
      <c r="S5645" t="s">
        <v>13022</v>
      </c>
    </row>
    <row r="5646" spans="1:19" x14ac:dyDescent="0.25">
      <c r="A5646" s="27" t="s">
        <v>193</v>
      </c>
      <c r="C5646" s="27" t="s">
        <v>34749</v>
      </c>
      <c r="D5646" s="28" t="s">
        <v>34867</v>
      </c>
      <c r="P5646">
        <v>1389</v>
      </c>
      <c r="Q5646" t="s">
        <v>13658</v>
      </c>
      <c r="R5646" s="28" t="s">
        <v>13659</v>
      </c>
      <c r="S5646" t="s">
        <v>13022</v>
      </c>
    </row>
    <row r="5647" spans="1:19" x14ac:dyDescent="0.25">
      <c r="A5647" s="27" t="s">
        <v>193</v>
      </c>
      <c r="C5647" s="27" t="s">
        <v>34749</v>
      </c>
      <c r="D5647" s="28" t="s">
        <v>34867</v>
      </c>
      <c r="P5647">
        <v>1390</v>
      </c>
      <c r="Q5647" t="s">
        <v>13660</v>
      </c>
      <c r="R5647" s="28" t="s">
        <v>13661</v>
      </c>
      <c r="S5647" t="s">
        <v>13022</v>
      </c>
    </row>
    <row r="5648" spans="1:19" x14ac:dyDescent="0.25">
      <c r="A5648" s="27" t="s">
        <v>193</v>
      </c>
      <c r="C5648" s="27" t="s">
        <v>34749</v>
      </c>
      <c r="D5648" s="28" t="s">
        <v>34867</v>
      </c>
      <c r="P5648">
        <v>1391</v>
      </c>
      <c r="Q5648" t="s">
        <v>13662</v>
      </c>
      <c r="R5648" s="28" t="s">
        <v>13663</v>
      </c>
      <c r="S5648" t="s">
        <v>13022</v>
      </c>
    </row>
    <row r="5649" spans="1:19" x14ac:dyDescent="0.25">
      <c r="A5649" s="27" t="s">
        <v>193</v>
      </c>
      <c r="C5649" s="27" t="s">
        <v>34749</v>
      </c>
      <c r="D5649" s="28" t="s">
        <v>34867</v>
      </c>
      <c r="P5649">
        <v>1392</v>
      </c>
      <c r="Q5649" t="s">
        <v>6722</v>
      </c>
      <c r="R5649" s="28" t="s">
        <v>6723</v>
      </c>
      <c r="S5649" t="s">
        <v>13022</v>
      </c>
    </row>
    <row r="5650" spans="1:19" x14ac:dyDescent="0.25">
      <c r="A5650" s="27" t="s">
        <v>193</v>
      </c>
      <c r="C5650" s="27" t="s">
        <v>34749</v>
      </c>
      <c r="D5650" s="28" t="s">
        <v>34867</v>
      </c>
      <c r="P5650">
        <v>1393</v>
      </c>
      <c r="Q5650" t="s">
        <v>6731</v>
      </c>
      <c r="R5650" s="28" t="s">
        <v>6732</v>
      </c>
      <c r="S5650" t="s">
        <v>13022</v>
      </c>
    </row>
    <row r="5651" spans="1:19" x14ac:dyDescent="0.25">
      <c r="A5651" s="27" t="s">
        <v>193</v>
      </c>
      <c r="C5651" s="27" t="s">
        <v>34749</v>
      </c>
      <c r="D5651" s="28" t="s">
        <v>34867</v>
      </c>
      <c r="P5651">
        <v>1394</v>
      </c>
      <c r="Q5651" t="s">
        <v>6734</v>
      </c>
      <c r="R5651" s="28" t="s">
        <v>6735</v>
      </c>
      <c r="S5651" t="s">
        <v>13022</v>
      </c>
    </row>
    <row r="5652" spans="1:19" x14ac:dyDescent="0.25">
      <c r="A5652" s="27" t="s">
        <v>193</v>
      </c>
      <c r="C5652" s="27" t="s">
        <v>34749</v>
      </c>
      <c r="D5652" s="28" t="s">
        <v>34867</v>
      </c>
      <c r="P5652">
        <v>1395</v>
      </c>
      <c r="Q5652" t="s">
        <v>13664</v>
      </c>
      <c r="R5652" s="28" t="s">
        <v>13665</v>
      </c>
      <c r="S5652" t="s">
        <v>13022</v>
      </c>
    </row>
    <row r="5653" spans="1:19" x14ac:dyDescent="0.25">
      <c r="A5653" s="27" t="s">
        <v>193</v>
      </c>
      <c r="C5653" s="27" t="s">
        <v>34749</v>
      </c>
      <c r="D5653" s="28" t="s">
        <v>34867</v>
      </c>
      <c r="P5653">
        <v>1396</v>
      </c>
      <c r="Q5653" t="s">
        <v>6737</v>
      </c>
      <c r="R5653" s="28" t="s">
        <v>6738</v>
      </c>
      <c r="S5653" t="s">
        <v>13022</v>
      </c>
    </row>
    <row r="5654" spans="1:19" x14ac:dyDescent="0.25">
      <c r="A5654" s="27" t="s">
        <v>193</v>
      </c>
      <c r="C5654" s="27" t="s">
        <v>34749</v>
      </c>
      <c r="D5654" s="28" t="s">
        <v>34867</v>
      </c>
      <c r="P5654">
        <v>1397</v>
      </c>
      <c r="Q5654" t="s">
        <v>13666</v>
      </c>
      <c r="R5654" s="28" t="s">
        <v>13667</v>
      </c>
      <c r="S5654" t="s">
        <v>13022</v>
      </c>
    </row>
    <row r="5655" spans="1:19" x14ac:dyDescent="0.25">
      <c r="A5655" s="27" t="s">
        <v>193</v>
      </c>
      <c r="C5655" s="27" t="s">
        <v>34749</v>
      </c>
      <c r="D5655" s="28" t="s">
        <v>34867</v>
      </c>
      <c r="P5655">
        <v>1398</v>
      </c>
      <c r="Q5655" t="s">
        <v>6740</v>
      </c>
      <c r="R5655" s="28" t="s">
        <v>6741</v>
      </c>
      <c r="S5655" t="s">
        <v>13022</v>
      </c>
    </row>
    <row r="5656" spans="1:19" x14ac:dyDescent="0.25">
      <c r="A5656" s="27" t="s">
        <v>193</v>
      </c>
      <c r="C5656" s="27" t="s">
        <v>34749</v>
      </c>
      <c r="D5656" s="28" t="s">
        <v>34867</v>
      </c>
      <c r="P5656">
        <v>1399</v>
      </c>
      <c r="Q5656" t="s">
        <v>6743</v>
      </c>
      <c r="R5656" s="28" t="s">
        <v>6744</v>
      </c>
      <c r="S5656" t="s">
        <v>13022</v>
      </c>
    </row>
    <row r="5657" spans="1:19" x14ac:dyDescent="0.25">
      <c r="A5657" s="27" t="s">
        <v>193</v>
      </c>
      <c r="C5657" s="27" t="s">
        <v>34749</v>
      </c>
      <c r="D5657" s="28" t="s">
        <v>34867</v>
      </c>
      <c r="P5657">
        <v>1400</v>
      </c>
      <c r="Q5657" t="s">
        <v>13668</v>
      </c>
      <c r="R5657" s="28" t="s">
        <v>13669</v>
      </c>
      <c r="S5657" t="s">
        <v>13022</v>
      </c>
    </row>
    <row r="5658" spans="1:19" x14ac:dyDescent="0.25">
      <c r="A5658" s="27" t="s">
        <v>193</v>
      </c>
      <c r="C5658" s="27" t="s">
        <v>34749</v>
      </c>
      <c r="D5658" s="28" t="s">
        <v>34867</v>
      </c>
      <c r="P5658">
        <v>1401</v>
      </c>
      <c r="Q5658" t="s">
        <v>6746</v>
      </c>
      <c r="R5658" s="28" t="s">
        <v>6747</v>
      </c>
      <c r="S5658" t="s">
        <v>13022</v>
      </c>
    </row>
    <row r="5659" spans="1:19" x14ac:dyDescent="0.25">
      <c r="A5659" s="27" t="s">
        <v>193</v>
      </c>
      <c r="C5659" s="27" t="s">
        <v>34749</v>
      </c>
      <c r="D5659" s="28" t="s">
        <v>34867</v>
      </c>
      <c r="P5659">
        <v>1402</v>
      </c>
      <c r="Q5659" t="s">
        <v>13670</v>
      </c>
      <c r="S5659" t="s">
        <v>13022</v>
      </c>
    </row>
    <row r="5660" spans="1:19" x14ac:dyDescent="0.25">
      <c r="A5660" s="27" t="s">
        <v>193</v>
      </c>
      <c r="C5660" s="27" t="s">
        <v>34749</v>
      </c>
      <c r="D5660" s="28" t="s">
        <v>34867</v>
      </c>
      <c r="P5660">
        <v>1403</v>
      </c>
      <c r="Q5660" t="s">
        <v>13671</v>
      </c>
      <c r="R5660" s="28" t="s">
        <v>10168</v>
      </c>
      <c r="S5660" t="s">
        <v>13022</v>
      </c>
    </row>
    <row r="5661" spans="1:19" x14ac:dyDescent="0.25">
      <c r="A5661" s="27" t="s">
        <v>193</v>
      </c>
      <c r="C5661" s="27" t="s">
        <v>34749</v>
      </c>
      <c r="D5661" s="28" t="s">
        <v>34867</v>
      </c>
      <c r="P5661">
        <v>1404</v>
      </c>
      <c r="Q5661" t="s">
        <v>13672</v>
      </c>
      <c r="R5661" s="28" t="s">
        <v>11231</v>
      </c>
      <c r="S5661" t="s">
        <v>13022</v>
      </c>
    </row>
    <row r="5662" spans="1:19" x14ac:dyDescent="0.25">
      <c r="A5662" s="27" t="s">
        <v>193</v>
      </c>
      <c r="C5662" s="27" t="s">
        <v>34749</v>
      </c>
      <c r="D5662" s="28" t="s">
        <v>34867</v>
      </c>
      <c r="P5662">
        <v>1405</v>
      </c>
      <c r="Q5662" t="s">
        <v>13673</v>
      </c>
      <c r="R5662" s="28" t="s">
        <v>8134</v>
      </c>
      <c r="S5662" t="s">
        <v>13022</v>
      </c>
    </row>
    <row r="5663" spans="1:19" x14ac:dyDescent="0.25">
      <c r="A5663" s="27" t="s">
        <v>193</v>
      </c>
      <c r="C5663" s="27" t="s">
        <v>34749</v>
      </c>
      <c r="D5663" s="28" t="s">
        <v>34867</v>
      </c>
      <c r="P5663">
        <v>1406</v>
      </c>
      <c r="Q5663" t="s">
        <v>13674</v>
      </c>
      <c r="S5663" t="s">
        <v>13022</v>
      </c>
    </row>
    <row r="5664" spans="1:19" x14ac:dyDescent="0.25">
      <c r="A5664" s="27" t="s">
        <v>193</v>
      </c>
      <c r="C5664" s="27" t="s">
        <v>34749</v>
      </c>
      <c r="D5664" s="28" t="s">
        <v>34867</v>
      </c>
      <c r="P5664">
        <v>1407</v>
      </c>
      <c r="Q5664" t="s">
        <v>13675</v>
      </c>
      <c r="S5664" t="s">
        <v>13022</v>
      </c>
    </row>
    <row r="5665" spans="1:19" x14ac:dyDescent="0.25">
      <c r="A5665" s="27" t="s">
        <v>193</v>
      </c>
      <c r="C5665" s="27" t="s">
        <v>34749</v>
      </c>
      <c r="D5665" s="28" t="s">
        <v>34867</v>
      </c>
      <c r="P5665">
        <v>1408</v>
      </c>
      <c r="Q5665" t="s">
        <v>13676</v>
      </c>
      <c r="R5665" s="28" t="s">
        <v>8800</v>
      </c>
      <c r="S5665" t="s">
        <v>13022</v>
      </c>
    </row>
    <row r="5666" spans="1:19" x14ac:dyDescent="0.25">
      <c r="A5666" s="27" t="s">
        <v>193</v>
      </c>
      <c r="C5666" s="27" t="s">
        <v>34749</v>
      </c>
      <c r="D5666" s="28" t="s">
        <v>34867</v>
      </c>
      <c r="P5666">
        <v>1409</v>
      </c>
      <c r="Q5666" t="s">
        <v>13677</v>
      </c>
      <c r="R5666" s="28" t="s">
        <v>13678</v>
      </c>
      <c r="S5666" t="s">
        <v>13022</v>
      </c>
    </row>
    <row r="5667" spans="1:19" x14ac:dyDescent="0.25">
      <c r="A5667" s="27" t="s">
        <v>193</v>
      </c>
      <c r="C5667" s="27" t="s">
        <v>34749</v>
      </c>
      <c r="D5667" s="28" t="s">
        <v>34867</v>
      </c>
      <c r="P5667">
        <v>1410</v>
      </c>
      <c r="Q5667" t="s">
        <v>13679</v>
      </c>
      <c r="R5667" s="28" t="s">
        <v>13680</v>
      </c>
      <c r="S5667" t="s">
        <v>13022</v>
      </c>
    </row>
    <row r="5668" spans="1:19" x14ac:dyDescent="0.25">
      <c r="A5668" s="27" t="s">
        <v>193</v>
      </c>
      <c r="C5668" s="27" t="s">
        <v>34749</v>
      </c>
      <c r="D5668" s="28" t="s">
        <v>34867</v>
      </c>
      <c r="P5668">
        <v>1411</v>
      </c>
      <c r="Q5668" t="s">
        <v>13681</v>
      </c>
      <c r="S5668" t="s">
        <v>13022</v>
      </c>
    </row>
    <row r="5669" spans="1:19" x14ac:dyDescent="0.25">
      <c r="A5669" s="27" t="s">
        <v>193</v>
      </c>
      <c r="C5669" s="27" t="s">
        <v>34749</v>
      </c>
      <c r="D5669" s="28" t="s">
        <v>34867</v>
      </c>
      <c r="P5669">
        <v>1412</v>
      </c>
      <c r="Q5669" t="s">
        <v>13682</v>
      </c>
      <c r="S5669" t="s">
        <v>13022</v>
      </c>
    </row>
    <row r="5670" spans="1:19" x14ac:dyDescent="0.25">
      <c r="A5670" s="27" t="s">
        <v>193</v>
      </c>
      <c r="C5670" s="27" t="s">
        <v>34749</v>
      </c>
      <c r="D5670" s="28" t="s">
        <v>34867</v>
      </c>
      <c r="P5670">
        <v>1413</v>
      </c>
      <c r="Q5670" t="s">
        <v>13683</v>
      </c>
      <c r="R5670" s="28" t="s">
        <v>10210</v>
      </c>
      <c r="S5670" t="s">
        <v>13022</v>
      </c>
    </row>
    <row r="5671" spans="1:19" x14ac:dyDescent="0.25">
      <c r="A5671" s="27" t="s">
        <v>193</v>
      </c>
      <c r="C5671" s="27" t="s">
        <v>34749</v>
      </c>
      <c r="D5671" s="28" t="s">
        <v>34867</v>
      </c>
      <c r="P5671">
        <v>1414</v>
      </c>
      <c r="Q5671" t="s">
        <v>13684</v>
      </c>
      <c r="S5671" t="s">
        <v>13022</v>
      </c>
    </row>
    <row r="5672" spans="1:19" x14ac:dyDescent="0.25">
      <c r="A5672" s="27" t="s">
        <v>193</v>
      </c>
      <c r="C5672" s="27" t="s">
        <v>34749</v>
      </c>
      <c r="D5672" s="28" t="s">
        <v>34867</v>
      </c>
      <c r="P5672">
        <v>1415</v>
      </c>
      <c r="Q5672" t="s">
        <v>13685</v>
      </c>
      <c r="R5672" s="28" t="s">
        <v>13686</v>
      </c>
      <c r="S5672" t="s">
        <v>13022</v>
      </c>
    </row>
    <row r="5673" spans="1:19" x14ac:dyDescent="0.25">
      <c r="A5673" s="27" t="s">
        <v>193</v>
      </c>
      <c r="C5673" s="27" t="s">
        <v>34749</v>
      </c>
      <c r="D5673" s="28" t="s">
        <v>34867</v>
      </c>
      <c r="P5673">
        <v>1416</v>
      </c>
      <c r="Q5673" t="s">
        <v>13687</v>
      </c>
      <c r="R5673" s="28" t="s">
        <v>13688</v>
      </c>
      <c r="S5673" t="s">
        <v>13022</v>
      </c>
    </row>
    <row r="5674" spans="1:19" x14ac:dyDescent="0.25">
      <c r="A5674" s="27" t="s">
        <v>193</v>
      </c>
      <c r="C5674" s="27" t="s">
        <v>34749</v>
      </c>
      <c r="D5674" s="28" t="s">
        <v>34867</v>
      </c>
      <c r="P5674">
        <v>1417</v>
      </c>
      <c r="Q5674" t="s">
        <v>13689</v>
      </c>
      <c r="R5674" s="28" t="s">
        <v>13690</v>
      </c>
      <c r="S5674" t="s">
        <v>13022</v>
      </c>
    </row>
    <row r="5675" spans="1:19" x14ac:dyDescent="0.25">
      <c r="A5675" s="27" t="s">
        <v>193</v>
      </c>
      <c r="C5675" s="27" t="s">
        <v>34749</v>
      </c>
      <c r="D5675" s="28" t="s">
        <v>34867</v>
      </c>
      <c r="P5675">
        <v>1418</v>
      </c>
      <c r="Q5675" t="s">
        <v>13691</v>
      </c>
      <c r="S5675" t="s">
        <v>13022</v>
      </c>
    </row>
    <row r="5676" spans="1:19" x14ac:dyDescent="0.25">
      <c r="A5676" s="27" t="s">
        <v>193</v>
      </c>
      <c r="C5676" s="27" t="s">
        <v>34749</v>
      </c>
      <c r="D5676" s="28" t="s">
        <v>34867</v>
      </c>
      <c r="P5676">
        <v>1419</v>
      </c>
      <c r="Q5676" t="s">
        <v>13692</v>
      </c>
      <c r="R5676" s="28" t="s">
        <v>13693</v>
      </c>
      <c r="S5676" t="s">
        <v>13022</v>
      </c>
    </row>
    <row r="5677" spans="1:19" x14ac:dyDescent="0.25">
      <c r="A5677" s="27" t="s">
        <v>193</v>
      </c>
      <c r="C5677" s="27" t="s">
        <v>34749</v>
      </c>
      <c r="D5677" s="28" t="s">
        <v>34867</v>
      </c>
      <c r="P5677">
        <v>1420</v>
      </c>
      <c r="Q5677" t="s">
        <v>9636</v>
      </c>
      <c r="R5677" s="28" t="s">
        <v>9637</v>
      </c>
      <c r="S5677" t="s">
        <v>13022</v>
      </c>
    </row>
    <row r="5678" spans="1:19" x14ac:dyDescent="0.25">
      <c r="A5678" s="27" t="s">
        <v>193</v>
      </c>
      <c r="C5678" s="27" t="s">
        <v>34749</v>
      </c>
      <c r="D5678" s="28" t="s">
        <v>34867</v>
      </c>
      <c r="P5678">
        <v>1421</v>
      </c>
      <c r="Q5678" t="s">
        <v>13694</v>
      </c>
      <c r="R5678" s="28" t="s">
        <v>3668</v>
      </c>
      <c r="S5678" t="s">
        <v>13022</v>
      </c>
    </row>
    <row r="5679" spans="1:19" x14ac:dyDescent="0.25">
      <c r="A5679" s="27" t="s">
        <v>193</v>
      </c>
      <c r="C5679" s="27" t="s">
        <v>34749</v>
      </c>
      <c r="D5679" s="28" t="s">
        <v>34867</v>
      </c>
      <c r="P5679">
        <v>1422</v>
      </c>
      <c r="Q5679" t="s">
        <v>13695</v>
      </c>
      <c r="R5679" s="28" t="s">
        <v>13696</v>
      </c>
      <c r="S5679" t="s">
        <v>13022</v>
      </c>
    </row>
    <row r="5680" spans="1:19" x14ac:dyDescent="0.25">
      <c r="A5680" s="27" t="s">
        <v>193</v>
      </c>
      <c r="C5680" s="27" t="s">
        <v>34749</v>
      </c>
      <c r="D5680" s="28" t="s">
        <v>34867</v>
      </c>
      <c r="P5680">
        <v>1423</v>
      </c>
      <c r="Q5680" t="s">
        <v>13697</v>
      </c>
      <c r="S5680" t="s">
        <v>13022</v>
      </c>
    </row>
    <row r="5681" spans="1:19" x14ac:dyDescent="0.25">
      <c r="A5681" s="27" t="s">
        <v>193</v>
      </c>
      <c r="C5681" s="27" t="s">
        <v>34749</v>
      </c>
      <c r="D5681" s="28" t="s">
        <v>34867</v>
      </c>
      <c r="P5681">
        <v>1424</v>
      </c>
      <c r="Q5681" t="s">
        <v>13698</v>
      </c>
      <c r="R5681" s="28" t="s">
        <v>13699</v>
      </c>
      <c r="S5681" t="s">
        <v>13022</v>
      </c>
    </row>
    <row r="5682" spans="1:19" x14ac:dyDescent="0.25">
      <c r="A5682" s="27" t="s">
        <v>193</v>
      </c>
      <c r="C5682" s="27" t="s">
        <v>34749</v>
      </c>
      <c r="D5682" s="28" t="s">
        <v>34867</v>
      </c>
      <c r="P5682">
        <v>1425</v>
      </c>
      <c r="Q5682" t="s">
        <v>13700</v>
      </c>
      <c r="R5682" s="28" t="s">
        <v>13701</v>
      </c>
      <c r="S5682" t="s">
        <v>13022</v>
      </c>
    </row>
    <row r="5683" spans="1:19" x14ac:dyDescent="0.25">
      <c r="A5683" s="27" t="s">
        <v>193</v>
      </c>
      <c r="C5683" s="27" t="s">
        <v>34749</v>
      </c>
      <c r="D5683" s="28" t="s">
        <v>34867</v>
      </c>
      <c r="P5683">
        <v>1426</v>
      </c>
      <c r="Q5683" t="s">
        <v>13702</v>
      </c>
      <c r="S5683" t="s">
        <v>13022</v>
      </c>
    </row>
    <row r="5684" spans="1:19" x14ac:dyDescent="0.25">
      <c r="A5684" s="27" t="s">
        <v>193</v>
      </c>
      <c r="C5684" s="27" t="s">
        <v>34749</v>
      </c>
      <c r="D5684" s="28" t="s">
        <v>34867</v>
      </c>
      <c r="P5684">
        <v>1427</v>
      </c>
      <c r="Q5684" t="s">
        <v>13703</v>
      </c>
      <c r="S5684" t="s">
        <v>13022</v>
      </c>
    </row>
    <row r="5685" spans="1:19" x14ac:dyDescent="0.25">
      <c r="A5685" s="27" t="s">
        <v>193</v>
      </c>
      <c r="C5685" s="27" t="s">
        <v>34749</v>
      </c>
      <c r="D5685" s="28" t="s">
        <v>34867</v>
      </c>
      <c r="P5685">
        <v>1428</v>
      </c>
      <c r="Q5685" t="s">
        <v>4608</v>
      </c>
      <c r="R5685" s="28" t="s">
        <v>4609</v>
      </c>
      <c r="S5685" t="s">
        <v>13022</v>
      </c>
    </row>
    <row r="5686" spans="1:19" x14ac:dyDescent="0.25">
      <c r="A5686" s="27" t="s">
        <v>193</v>
      </c>
      <c r="C5686" s="27" t="s">
        <v>34749</v>
      </c>
      <c r="D5686" s="28" t="s">
        <v>34867</v>
      </c>
      <c r="P5686">
        <v>1429</v>
      </c>
      <c r="Q5686" t="s">
        <v>13704</v>
      </c>
      <c r="R5686" s="28" t="s">
        <v>13705</v>
      </c>
      <c r="S5686" t="s">
        <v>13022</v>
      </c>
    </row>
    <row r="5687" spans="1:19" x14ac:dyDescent="0.25">
      <c r="A5687" s="27" t="s">
        <v>193</v>
      </c>
      <c r="C5687" s="27" t="s">
        <v>34749</v>
      </c>
      <c r="D5687" s="28" t="s">
        <v>34867</v>
      </c>
      <c r="P5687">
        <v>1430</v>
      </c>
      <c r="Q5687" t="s">
        <v>13706</v>
      </c>
      <c r="S5687" t="s">
        <v>13022</v>
      </c>
    </row>
    <row r="5688" spans="1:19" x14ac:dyDescent="0.25">
      <c r="A5688" s="27" t="s">
        <v>193</v>
      </c>
      <c r="C5688" s="27" t="s">
        <v>34749</v>
      </c>
      <c r="D5688" s="28" t="s">
        <v>34867</v>
      </c>
      <c r="P5688">
        <v>1431</v>
      </c>
      <c r="Q5688" t="s">
        <v>13707</v>
      </c>
      <c r="R5688" s="28" t="s">
        <v>13708</v>
      </c>
      <c r="S5688" t="s">
        <v>13022</v>
      </c>
    </row>
    <row r="5689" spans="1:19" x14ac:dyDescent="0.25">
      <c r="A5689" s="27" t="s">
        <v>193</v>
      </c>
      <c r="C5689" s="27" t="s">
        <v>34749</v>
      </c>
      <c r="D5689" s="28" t="s">
        <v>34867</v>
      </c>
      <c r="P5689">
        <v>1432</v>
      </c>
      <c r="Q5689" t="s">
        <v>4136</v>
      </c>
      <c r="R5689" s="28" t="s">
        <v>4137</v>
      </c>
      <c r="S5689" t="s">
        <v>13022</v>
      </c>
    </row>
    <row r="5690" spans="1:19" x14ac:dyDescent="0.25">
      <c r="A5690" s="27" t="s">
        <v>193</v>
      </c>
      <c r="C5690" s="27" t="s">
        <v>34749</v>
      </c>
      <c r="D5690" s="28" t="s">
        <v>34867</v>
      </c>
      <c r="P5690">
        <v>1433</v>
      </c>
      <c r="Q5690" t="s">
        <v>13709</v>
      </c>
      <c r="S5690" t="s">
        <v>13022</v>
      </c>
    </row>
    <row r="5691" spans="1:19" x14ac:dyDescent="0.25">
      <c r="A5691" s="27" t="s">
        <v>193</v>
      </c>
      <c r="C5691" s="27" t="s">
        <v>34749</v>
      </c>
      <c r="D5691" s="28" t="s">
        <v>34867</v>
      </c>
      <c r="P5691">
        <v>1434</v>
      </c>
      <c r="Q5691" t="s">
        <v>13710</v>
      </c>
      <c r="S5691" t="s">
        <v>13022</v>
      </c>
    </row>
    <row r="5692" spans="1:19" x14ac:dyDescent="0.25">
      <c r="A5692" s="27" t="s">
        <v>193</v>
      </c>
      <c r="C5692" s="27" t="s">
        <v>34749</v>
      </c>
      <c r="D5692" s="28" t="s">
        <v>34867</v>
      </c>
      <c r="P5692">
        <v>1435</v>
      </c>
      <c r="Q5692" t="s">
        <v>13711</v>
      </c>
      <c r="R5692" s="28" t="s">
        <v>13712</v>
      </c>
      <c r="S5692" t="s">
        <v>13022</v>
      </c>
    </row>
    <row r="5693" spans="1:19" x14ac:dyDescent="0.25">
      <c r="A5693" s="27" t="s">
        <v>193</v>
      </c>
      <c r="C5693" s="27" t="s">
        <v>34749</v>
      </c>
      <c r="D5693" s="28" t="s">
        <v>34867</v>
      </c>
      <c r="P5693">
        <v>1436</v>
      </c>
      <c r="Q5693" t="s">
        <v>13713</v>
      </c>
      <c r="R5693" s="28" t="s">
        <v>13714</v>
      </c>
      <c r="S5693" t="s">
        <v>13022</v>
      </c>
    </row>
    <row r="5694" spans="1:19" x14ac:dyDescent="0.25">
      <c r="A5694" s="27" t="s">
        <v>193</v>
      </c>
      <c r="C5694" s="27" t="s">
        <v>34749</v>
      </c>
      <c r="D5694" s="28" t="s">
        <v>34867</v>
      </c>
      <c r="P5694">
        <v>1437</v>
      </c>
      <c r="Q5694" t="s">
        <v>13715</v>
      </c>
      <c r="R5694" s="28" t="s">
        <v>13716</v>
      </c>
      <c r="S5694" t="s">
        <v>13022</v>
      </c>
    </row>
    <row r="5695" spans="1:19" x14ac:dyDescent="0.25">
      <c r="A5695" s="27" t="s">
        <v>193</v>
      </c>
      <c r="C5695" s="27" t="s">
        <v>34749</v>
      </c>
      <c r="D5695" s="28" t="s">
        <v>34867</v>
      </c>
      <c r="P5695">
        <v>1438</v>
      </c>
      <c r="Q5695" t="s">
        <v>13717</v>
      </c>
      <c r="R5695" s="28" t="s">
        <v>13718</v>
      </c>
      <c r="S5695" t="s">
        <v>13022</v>
      </c>
    </row>
    <row r="5696" spans="1:19" x14ac:dyDescent="0.25">
      <c r="A5696" s="27" t="s">
        <v>193</v>
      </c>
      <c r="C5696" s="27" t="s">
        <v>34749</v>
      </c>
      <c r="D5696" s="28" t="s">
        <v>34867</v>
      </c>
      <c r="P5696">
        <v>1439</v>
      </c>
      <c r="Q5696" t="s">
        <v>13719</v>
      </c>
      <c r="R5696" s="28" t="s">
        <v>13720</v>
      </c>
      <c r="S5696" t="s">
        <v>13022</v>
      </c>
    </row>
    <row r="5697" spans="1:19" x14ac:dyDescent="0.25">
      <c r="A5697" s="27" t="s">
        <v>193</v>
      </c>
      <c r="C5697" s="27" t="s">
        <v>34749</v>
      </c>
      <c r="D5697" s="28" t="s">
        <v>34867</v>
      </c>
      <c r="P5697">
        <v>1440</v>
      </c>
      <c r="Q5697" t="s">
        <v>13721</v>
      </c>
      <c r="R5697" s="28" t="s">
        <v>13722</v>
      </c>
      <c r="S5697" t="s">
        <v>13022</v>
      </c>
    </row>
    <row r="5698" spans="1:19" x14ac:dyDescent="0.25">
      <c r="A5698" s="27" t="s">
        <v>193</v>
      </c>
      <c r="C5698" s="27" t="s">
        <v>34749</v>
      </c>
      <c r="D5698" s="28" t="s">
        <v>34867</v>
      </c>
      <c r="P5698">
        <v>1441</v>
      </c>
      <c r="Q5698" t="s">
        <v>13723</v>
      </c>
      <c r="R5698" s="28" t="s">
        <v>13724</v>
      </c>
      <c r="S5698" t="s">
        <v>13022</v>
      </c>
    </row>
    <row r="5699" spans="1:19" x14ac:dyDescent="0.25">
      <c r="A5699" s="27" t="s">
        <v>193</v>
      </c>
      <c r="C5699" s="27" t="s">
        <v>34749</v>
      </c>
      <c r="D5699" s="28" t="s">
        <v>34867</v>
      </c>
      <c r="P5699">
        <v>1442</v>
      </c>
      <c r="Q5699" t="s">
        <v>13725</v>
      </c>
      <c r="R5699" s="28" t="s">
        <v>13726</v>
      </c>
      <c r="S5699" t="s">
        <v>13022</v>
      </c>
    </row>
    <row r="5700" spans="1:19" x14ac:dyDescent="0.25">
      <c r="A5700" s="27" t="s">
        <v>193</v>
      </c>
      <c r="C5700" s="27" t="s">
        <v>34749</v>
      </c>
      <c r="D5700" s="28" t="s">
        <v>34867</v>
      </c>
      <c r="P5700">
        <v>1443</v>
      </c>
      <c r="Q5700" t="s">
        <v>13727</v>
      </c>
      <c r="R5700" s="28" t="s">
        <v>13728</v>
      </c>
      <c r="S5700" t="s">
        <v>13022</v>
      </c>
    </row>
    <row r="5701" spans="1:19" x14ac:dyDescent="0.25">
      <c r="A5701" s="27" t="s">
        <v>193</v>
      </c>
      <c r="C5701" s="27" t="s">
        <v>34749</v>
      </c>
      <c r="D5701" s="28" t="s">
        <v>34867</v>
      </c>
      <c r="P5701">
        <v>1444</v>
      </c>
      <c r="Q5701" t="s">
        <v>13729</v>
      </c>
      <c r="S5701" t="s">
        <v>13022</v>
      </c>
    </row>
    <row r="5702" spans="1:19" x14ac:dyDescent="0.25">
      <c r="A5702" s="27" t="s">
        <v>193</v>
      </c>
      <c r="C5702" s="27" t="s">
        <v>34749</v>
      </c>
      <c r="D5702" s="28" t="s">
        <v>34867</v>
      </c>
      <c r="P5702">
        <v>1445</v>
      </c>
      <c r="Q5702" t="s">
        <v>13730</v>
      </c>
      <c r="R5702" s="28" t="s">
        <v>13731</v>
      </c>
      <c r="S5702" t="s">
        <v>13022</v>
      </c>
    </row>
    <row r="5703" spans="1:19" x14ac:dyDescent="0.25">
      <c r="A5703" s="27" t="s">
        <v>193</v>
      </c>
      <c r="C5703" s="27" t="s">
        <v>34749</v>
      </c>
      <c r="D5703" s="28" t="s">
        <v>34867</v>
      </c>
      <c r="P5703">
        <v>1446</v>
      </c>
      <c r="Q5703" t="s">
        <v>13732</v>
      </c>
      <c r="R5703" s="28" t="s">
        <v>13733</v>
      </c>
      <c r="S5703" t="s">
        <v>13022</v>
      </c>
    </row>
    <row r="5704" spans="1:19" x14ac:dyDescent="0.25">
      <c r="A5704" s="27" t="s">
        <v>193</v>
      </c>
      <c r="C5704" s="27" t="s">
        <v>34749</v>
      </c>
      <c r="D5704" s="28" t="s">
        <v>34867</v>
      </c>
      <c r="P5704">
        <v>1448</v>
      </c>
      <c r="Q5704" t="s">
        <v>13734</v>
      </c>
      <c r="S5704" t="s">
        <v>13022</v>
      </c>
    </row>
    <row r="5705" spans="1:19" x14ac:dyDescent="0.25">
      <c r="A5705" s="27" t="s">
        <v>193</v>
      </c>
      <c r="C5705" s="27" t="s">
        <v>34749</v>
      </c>
      <c r="D5705" s="28" t="s">
        <v>34867</v>
      </c>
      <c r="P5705">
        <v>1449</v>
      </c>
      <c r="Q5705" t="s">
        <v>13735</v>
      </c>
      <c r="S5705" t="s">
        <v>13022</v>
      </c>
    </row>
    <row r="5706" spans="1:19" x14ac:dyDescent="0.25">
      <c r="A5706" s="27" t="s">
        <v>193</v>
      </c>
      <c r="C5706" s="27" t="s">
        <v>34749</v>
      </c>
      <c r="D5706" s="28" t="s">
        <v>34867</v>
      </c>
      <c r="P5706">
        <v>1450</v>
      </c>
      <c r="Q5706" t="s">
        <v>13736</v>
      </c>
      <c r="R5706" s="28" t="s">
        <v>13737</v>
      </c>
      <c r="S5706" t="s">
        <v>13022</v>
      </c>
    </row>
    <row r="5707" spans="1:19" x14ac:dyDescent="0.25">
      <c r="A5707" s="27" t="s">
        <v>193</v>
      </c>
      <c r="C5707" s="27" t="s">
        <v>34749</v>
      </c>
      <c r="D5707" s="28" t="s">
        <v>34867</v>
      </c>
      <c r="P5707">
        <v>1451</v>
      </c>
      <c r="Q5707" t="s">
        <v>13738</v>
      </c>
      <c r="R5707" s="28" t="s">
        <v>13739</v>
      </c>
      <c r="S5707" t="s">
        <v>13022</v>
      </c>
    </row>
    <row r="5708" spans="1:19" x14ac:dyDescent="0.25">
      <c r="A5708" s="27" t="s">
        <v>193</v>
      </c>
      <c r="C5708" s="27" t="s">
        <v>34749</v>
      </c>
      <c r="D5708" s="28" t="s">
        <v>34867</v>
      </c>
      <c r="P5708">
        <v>1452</v>
      </c>
      <c r="Q5708" t="s">
        <v>13740</v>
      </c>
      <c r="R5708" s="28" t="s">
        <v>13741</v>
      </c>
      <c r="S5708" t="s">
        <v>13022</v>
      </c>
    </row>
    <row r="5709" spans="1:19" x14ac:dyDescent="0.25">
      <c r="A5709" s="27" t="s">
        <v>193</v>
      </c>
      <c r="C5709" s="27" t="s">
        <v>34749</v>
      </c>
      <c r="D5709" s="28" t="s">
        <v>34867</v>
      </c>
      <c r="P5709">
        <v>1453</v>
      </c>
      <c r="Q5709" t="s">
        <v>3700</v>
      </c>
      <c r="R5709" s="28" t="s">
        <v>13742</v>
      </c>
      <c r="S5709" t="s">
        <v>13022</v>
      </c>
    </row>
    <row r="5710" spans="1:19" x14ac:dyDescent="0.25">
      <c r="A5710" s="27" t="s">
        <v>193</v>
      </c>
      <c r="C5710" s="27" t="s">
        <v>34749</v>
      </c>
      <c r="D5710" s="28" t="s">
        <v>34867</v>
      </c>
      <c r="P5710">
        <v>1454</v>
      </c>
      <c r="Q5710" t="s">
        <v>13743</v>
      </c>
      <c r="S5710" t="s">
        <v>13022</v>
      </c>
    </row>
    <row r="5711" spans="1:19" x14ac:dyDescent="0.25">
      <c r="A5711" s="27" t="s">
        <v>193</v>
      </c>
      <c r="C5711" s="27" t="s">
        <v>34749</v>
      </c>
      <c r="D5711" s="28" t="s">
        <v>34867</v>
      </c>
      <c r="P5711">
        <v>1455</v>
      </c>
      <c r="Q5711" t="s">
        <v>3643</v>
      </c>
      <c r="R5711" s="28" t="s">
        <v>3644</v>
      </c>
      <c r="S5711" t="s">
        <v>13022</v>
      </c>
    </row>
    <row r="5712" spans="1:19" x14ac:dyDescent="0.25">
      <c r="A5712" s="27" t="s">
        <v>193</v>
      </c>
      <c r="C5712" s="27" t="s">
        <v>34749</v>
      </c>
      <c r="D5712" s="28" t="s">
        <v>34867</v>
      </c>
      <c r="P5712">
        <v>1456</v>
      </c>
      <c r="Q5712" t="s">
        <v>13744</v>
      </c>
      <c r="R5712" s="28" t="s">
        <v>13745</v>
      </c>
      <c r="S5712" t="s">
        <v>13022</v>
      </c>
    </row>
    <row r="5713" spans="1:19" x14ac:dyDescent="0.25">
      <c r="A5713" s="27" t="s">
        <v>193</v>
      </c>
      <c r="C5713" s="27" t="s">
        <v>34749</v>
      </c>
      <c r="D5713" s="28" t="s">
        <v>34867</v>
      </c>
      <c r="P5713">
        <v>1457</v>
      </c>
      <c r="Q5713" t="s">
        <v>13746</v>
      </c>
      <c r="R5713" s="28" t="s">
        <v>7566</v>
      </c>
      <c r="S5713" t="s">
        <v>13022</v>
      </c>
    </row>
    <row r="5714" spans="1:19" x14ac:dyDescent="0.25">
      <c r="A5714" s="27" t="s">
        <v>193</v>
      </c>
      <c r="C5714" s="27" t="s">
        <v>34749</v>
      </c>
      <c r="D5714" s="28" t="s">
        <v>34867</v>
      </c>
      <c r="P5714">
        <v>1458</v>
      </c>
      <c r="Q5714" t="s">
        <v>13747</v>
      </c>
      <c r="S5714" t="s">
        <v>13022</v>
      </c>
    </row>
    <row r="5715" spans="1:19" x14ac:dyDescent="0.25">
      <c r="A5715" s="27" t="s">
        <v>193</v>
      </c>
      <c r="C5715" s="27" t="s">
        <v>34749</v>
      </c>
      <c r="D5715" s="28" t="s">
        <v>34867</v>
      </c>
      <c r="P5715">
        <v>1459</v>
      </c>
      <c r="Q5715" t="s">
        <v>13748</v>
      </c>
      <c r="R5715" s="28" t="s">
        <v>13749</v>
      </c>
      <c r="S5715" t="s">
        <v>13022</v>
      </c>
    </row>
    <row r="5716" spans="1:19" x14ac:dyDescent="0.25">
      <c r="A5716" s="27" t="s">
        <v>193</v>
      </c>
      <c r="C5716" s="27" t="s">
        <v>34749</v>
      </c>
      <c r="D5716" s="28" t="s">
        <v>34867</v>
      </c>
      <c r="P5716">
        <v>1460</v>
      </c>
      <c r="Q5716" t="s">
        <v>13750</v>
      </c>
      <c r="R5716" s="28" t="s">
        <v>13751</v>
      </c>
      <c r="S5716" t="s">
        <v>13022</v>
      </c>
    </row>
    <row r="5717" spans="1:19" x14ac:dyDescent="0.25">
      <c r="A5717" s="27" t="s">
        <v>193</v>
      </c>
      <c r="C5717" s="27" t="s">
        <v>34749</v>
      </c>
      <c r="D5717" s="28" t="s">
        <v>34867</v>
      </c>
      <c r="P5717">
        <v>1461</v>
      </c>
      <c r="Q5717" t="s">
        <v>13752</v>
      </c>
      <c r="R5717" s="28" t="s">
        <v>13753</v>
      </c>
      <c r="S5717" t="s">
        <v>13022</v>
      </c>
    </row>
    <row r="5718" spans="1:19" x14ac:dyDescent="0.25">
      <c r="A5718" s="27" t="s">
        <v>193</v>
      </c>
      <c r="C5718" s="27" t="s">
        <v>34749</v>
      </c>
      <c r="D5718" s="28" t="s">
        <v>34867</v>
      </c>
      <c r="P5718">
        <v>1462</v>
      </c>
      <c r="Q5718" t="s">
        <v>13754</v>
      </c>
      <c r="R5718" s="28" t="s">
        <v>13755</v>
      </c>
      <c r="S5718" t="s">
        <v>13022</v>
      </c>
    </row>
    <row r="5719" spans="1:19" x14ac:dyDescent="0.25">
      <c r="A5719" s="27" t="s">
        <v>193</v>
      </c>
      <c r="C5719" s="27" t="s">
        <v>34749</v>
      </c>
      <c r="D5719" s="28" t="s">
        <v>34867</v>
      </c>
      <c r="P5719">
        <v>1463</v>
      </c>
      <c r="Q5719" t="s">
        <v>13756</v>
      </c>
      <c r="R5719" s="28" t="s">
        <v>1384</v>
      </c>
      <c r="S5719" t="s">
        <v>13022</v>
      </c>
    </row>
    <row r="5720" spans="1:19" x14ac:dyDescent="0.25">
      <c r="A5720" s="27" t="s">
        <v>193</v>
      </c>
      <c r="C5720" s="27" t="s">
        <v>34749</v>
      </c>
      <c r="D5720" s="28" t="s">
        <v>34867</v>
      </c>
      <c r="P5720">
        <v>1464</v>
      </c>
      <c r="Q5720" t="s">
        <v>13757</v>
      </c>
      <c r="R5720" s="28" t="s">
        <v>13758</v>
      </c>
      <c r="S5720" t="s">
        <v>13022</v>
      </c>
    </row>
    <row r="5721" spans="1:19" x14ac:dyDescent="0.25">
      <c r="A5721" s="27" t="s">
        <v>193</v>
      </c>
      <c r="C5721" s="27" t="s">
        <v>34749</v>
      </c>
      <c r="D5721" s="28" t="s">
        <v>34867</v>
      </c>
      <c r="P5721">
        <v>1465</v>
      </c>
      <c r="Q5721" t="s">
        <v>13759</v>
      </c>
      <c r="R5721" s="28" t="s">
        <v>13760</v>
      </c>
      <c r="S5721" t="s">
        <v>13022</v>
      </c>
    </row>
    <row r="5722" spans="1:19" x14ac:dyDescent="0.25">
      <c r="A5722" s="27" t="s">
        <v>193</v>
      </c>
      <c r="C5722" s="27" t="s">
        <v>34749</v>
      </c>
      <c r="D5722" s="28" t="s">
        <v>34867</v>
      </c>
      <c r="P5722">
        <v>1466</v>
      </c>
      <c r="Q5722" t="s">
        <v>13761</v>
      </c>
      <c r="S5722" t="s">
        <v>13022</v>
      </c>
    </row>
    <row r="5723" spans="1:19" x14ac:dyDescent="0.25">
      <c r="A5723" s="27" t="s">
        <v>193</v>
      </c>
      <c r="C5723" s="27" t="s">
        <v>34749</v>
      </c>
      <c r="D5723" s="28" t="s">
        <v>34867</v>
      </c>
      <c r="P5723">
        <v>1467</v>
      </c>
      <c r="Q5723" t="s">
        <v>13762</v>
      </c>
      <c r="R5723" s="28" t="s">
        <v>4305</v>
      </c>
      <c r="S5723" t="s">
        <v>13022</v>
      </c>
    </row>
    <row r="5724" spans="1:19" x14ac:dyDescent="0.25">
      <c r="A5724" s="27" t="s">
        <v>193</v>
      </c>
      <c r="C5724" s="27" t="s">
        <v>34749</v>
      </c>
      <c r="D5724" s="28" t="s">
        <v>34867</v>
      </c>
      <c r="P5724">
        <v>1468</v>
      </c>
      <c r="Q5724" t="s">
        <v>13763</v>
      </c>
      <c r="R5724" s="28" t="s">
        <v>13764</v>
      </c>
      <c r="S5724" t="s">
        <v>13022</v>
      </c>
    </row>
    <row r="5725" spans="1:19" x14ac:dyDescent="0.25">
      <c r="A5725" s="27" t="s">
        <v>193</v>
      </c>
      <c r="C5725" s="27" t="s">
        <v>34749</v>
      </c>
      <c r="D5725" s="28" t="s">
        <v>34867</v>
      </c>
      <c r="P5725">
        <v>1469</v>
      </c>
      <c r="Q5725" t="s">
        <v>13765</v>
      </c>
      <c r="S5725" t="s">
        <v>13022</v>
      </c>
    </row>
    <row r="5726" spans="1:19" x14ac:dyDescent="0.25">
      <c r="A5726" s="27" t="s">
        <v>193</v>
      </c>
      <c r="C5726" s="27" t="s">
        <v>34749</v>
      </c>
      <c r="D5726" s="28" t="s">
        <v>34867</v>
      </c>
      <c r="P5726">
        <v>1470</v>
      </c>
      <c r="Q5726" t="s">
        <v>13766</v>
      </c>
      <c r="S5726" t="s">
        <v>13022</v>
      </c>
    </row>
    <row r="5727" spans="1:19" x14ac:dyDescent="0.25">
      <c r="A5727" s="27" t="s">
        <v>193</v>
      </c>
      <c r="C5727" s="27" t="s">
        <v>34749</v>
      </c>
      <c r="D5727" s="28" t="s">
        <v>34867</v>
      </c>
      <c r="P5727">
        <v>1471</v>
      </c>
      <c r="Q5727" t="s">
        <v>13767</v>
      </c>
      <c r="S5727" t="s">
        <v>13022</v>
      </c>
    </row>
    <row r="5728" spans="1:19" x14ac:dyDescent="0.25">
      <c r="A5728" s="27" t="s">
        <v>193</v>
      </c>
      <c r="C5728" s="27" t="s">
        <v>34749</v>
      </c>
      <c r="D5728" s="28" t="s">
        <v>34867</v>
      </c>
      <c r="P5728">
        <v>1472</v>
      </c>
      <c r="Q5728" t="s">
        <v>8592</v>
      </c>
      <c r="R5728" s="28" t="s">
        <v>8593</v>
      </c>
      <c r="S5728" t="s">
        <v>13022</v>
      </c>
    </row>
    <row r="5729" spans="1:19" x14ac:dyDescent="0.25">
      <c r="A5729" s="27" t="s">
        <v>193</v>
      </c>
      <c r="C5729" s="27" t="s">
        <v>34749</v>
      </c>
      <c r="D5729" s="28" t="s">
        <v>34867</v>
      </c>
      <c r="P5729">
        <v>1473</v>
      </c>
      <c r="Q5729" t="s">
        <v>13768</v>
      </c>
      <c r="R5729" s="28" t="s">
        <v>2551</v>
      </c>
      <c r="S5729" t="s">
        <v>13022</v>
      </c>
    </row>
    <row r="5730" spans="1:19" x14ac:dyDescent="0.25">
      <c r="A5730" s="27" t="s">
        <v>193</v>
      </c>
      <c r="C5730" s="27" t="s">
        <v>34749</v>
      </c>
      <c r="D5730" s="28" t="s">
        <v>34867</v>
      </c>
      <c r="P5730">
        <v>1474</v>
      </c>
      <c r="Q5730" t="s">
        <v>13769</v>
      </c>
      <c r="S5730" t="s">
        <v>13022</v>
      </c>
    </row>
    <row r="5731" spans="1:19" x14ac:dyDescent="0.25">
      <c r="A5731" s="27" t="s">
        <v>193</v>
      </c>
      <c r="C5731" s="27" t="s">
        <v>34749</v>
      </c>
      <c r="D5731" s="28" t="s">
        <v>34867</v>
      </c>
      <c r="P5731">
        <v>1475</v>
      </c>
      <c r="Q5731" t="s">
        <v>13770</v>
      </c>
      <c r="S5731" t="s">
        <v>13022</v>
      </c>
    </row>
    <row r="5732" spans="1:19" x14ac:dyDescent="0.25">
      <c r="A5732" s="27" t="s">
        <v>193</v>
      </c>
      <c r="C5732" s="27" t="s">
        <v>34749</v>
      </c>
      <c r="D5732" s="28" t="s">
        <v>34867</v>
      </c>
      <c r="P5732">
        <v>1476</v>
      </c>
      <c r="Q5732" t="s">
        <v>13771</v>
      </c>
      <c r="S5732" t="s">
        <v>13022</v>
      </c>
    </row>
    <row r="5733" spans="1:19" x14ac:dyDescent="0.25">
      <c r="A5733" s="27" t="s">
        <v>193</v>
      </c>
      <c r="C5733" s="27" t="s">
        <v>34749</v>
      </c>
      <c r="D5733" s="28" t="s">
        <v>34867</v>
      </c>
      <c r="P5733">
        <v>1477</v>
      </c>
      <c r="Q5733" t="s">
        <v>13772</v>
      </c>
      <c r="S5733" t="s">
        <v>13022</v>
      </c>
    </row>
    <row r="5734" spans="1:19" x14ac:dyDescent="0.25">
      <c r="A5734" s="27" t="s">
        <v>193</v>
      </c>
      <c r="C5734" s="27" t="s">
        <v>34749</v>
      </c>
      <c r="D5734" s="28" t="s">
        <v>34867</v>
      </c>
      <c r="P5734">
        <v>1478</v>
      </c>
      <c r="Q5734" t="s">
        <v>13773</v>
      </c>
      <c r="S5734" t="s">
        <v>13022</v>
      </c>
    </row>
    <row r="5735" spans="1:19" x14ac:dyDescent="0.25">
      <c r="A5735" s="27" t="s">
        <v>193</v>
      </c>
      <c r="C5735" s="27" t="s">
        <v>34749</v>
      </c>
      <c r="D5735" s="28" t="s">
        <v>34867</v>
      </c>
      <c r="P5735">
        <v>1479</v>
      </c>
      <c r="Q5735" t="s">
        <v>9123</v>
      </c>
      <c r="R5735" s="28" t="s">
        <v>9124</v>
      </c>
      <c r="S5735" t="s">
        <v>13022</v>
      </c>
    </row>
    <row r="5736" spans="1:19" x14ac:dyDescent="0.25">
      <c r="A5736" s="27" t="s">
        <v>193</v>
      </c>
      <c r="C5736" s="27" t="s">
        <v>34749</v>
      </c>
      <c r="D5736" s="28" t="s">
        <v>34867</v>
      </c>
      <c r="P5736">
        <v>1480</v>
      </c>
      <c r="Q5736" t="s">
        <v>13774</v>
      </c>
      <c r="S5736" t="s">
        <v>13022</v>
      </c>
    </row>
    <row r="5737" spans="1:19" x14ac:dyDescent="0.25">
      <c r="A5737" s="27" t="s">
        <v>193</v>
      </c>
      <c r="C5737" s="27" t="s">
        <v>34749</v>
      </c>
      <c r="D5737" s="28" t="s">
        <v>34867</v>
      </c>
      <c r="P5737">
        <v>1481</v>
      </c>
      <c r="Q5737" t="s">
        <v>13775</v>
      </c>
      <c r="R5737" s="28" t="s">
        <v>13776</v>
      </c>
      <c r="S5737" t="s">
        <v>13022</v>
      </c>
    </row>
    <row r="5738" spans="1:19" x14ac:dyDescent="0.25">
      <c r="A5738" s="27" t="s">
        <v>193</v>
      </c>
      <c r="C5738" s="27" t="s">
        <v>34749</v>
      </c>
      <c r="D5738" s="28" t="s">
        <v>34867</v>
      </c>
      <c r="P5738">
        <v>1482</v>
      </c>
      <c r="Q5738" t="s">
        <v>13777</v>
      </c>
      <c r="S5738" t="s">
        <v>13022</v>
      </c>
    </row>
    <row r="5739" spans="1:19" x14ac:dyDescent="0.25">
      <c r="A5739" s="27" t="s">
        <v>193</v>
      </c>
      <c r="C5739" s="27" t="s">
        <v>34749</v>
      </c>
      <c r="D5739" s="28" t="s">
        <v>34867</v>
      </c>
      <c r="P5739">
        <v>1483</v>
      </c>
      <c r="Q5739" t="s">
        <v>13778</v>
      </c>
      <c r="R5739" s="28" t="s">
        <v>13779</v>
      </c>
      <c r="S5739" t="s">
        <v>13022</v>
      </c>
    </row>
    <row r="5740" spans="1:19" x14ac:dyDescent="0.25">
      <c r="A5740" s="27" t="s">
        <v>193</v>
      </c>
      <c r="C5740" s="27" t="s">
        <v>34749</v>
      </c>
      <c r="D5740" s="28" t="s">
        <v>34867</v>
      </c>
      <c r="P5740">
        <v>1484</v>
      </c>
      <c r="Q5740" t="s">
        <v>13780</v>
      </c>
      <c r="R5740" s="28" t="s">
        <v>1099</v>
      </c>
      <c r="S5740" t="s">
        <v>13022</v>
      </c>
    </row>
    <row r="5741" spans="1:19" x14ac:dyDescent="0.25">
      <c r="A5741" s="27" t="s">
        <v>193</v>
      </c>
      <c r="C5741" s="27" t="s">
        <v>34749</v>
      </c>
      <c r="D5741" s="28" t="s">
        <v>34867</v>
      </c>
      <c r="P5741">
        <v>1485</v>
      </c>
      <c r="Q5741" t="s">
        <v>13781</v>
      </c>
      <c r="S5741" t="s">
        <v>13022</v>
      </c>
    </row>
    <row r="5742" spans="1:19" x14ac:dyDescent="0.25">
      <c r="A5742" s="27" t="s">
        <v>193</v>
      </c>
      <c r="C5742" s="27" t="s">
        <v>34749</v>
      </c>
      <c r="D5742" s="28" t="s">
        <v>34867</v>
      </c>
      <c r="P5742">
        <v>1486</v>
      </c>
      <c r="Q5742" t="s">
        <v>13782</v>
      </c>
      <c r="R5742" s="28" t="s">
        <v>3064</v>
      </c>
      <c r="S5742" t="s">
        <v>13022</v>
      </c>
    </row>
    <row r="5743" spans="1:19" x14ac:dyDescent="0.25">
      <c r="A5743" s="27" t="s">
        <v>193</v>
      </c>
      <c r="C5743" s="27" t="s">
        <v>34749</v>
      </c>
      <c r="D5743" s="28" t="s">
        <v>34867</v>
      </c>
      <c r="P5743">
        <v>1487</v>
      </c>
      <c r="Q5743" t="s">
        <v>13783</v>
      </c>
      <c r="R5743" s="28" t="s">
        <v>13784</v>
      </c>
      <c r="S5743" t="s">
        <v>13022</v>
      </c>
    </row>
    <row r="5744" spans="1:19" x14ac:dyDescent="0.25">
      <c r="A5744" s="27" t="s">
        <v>193</v>
      </c>
      <c r="C5744" s="27" t="s">
        <v>34749</v>
      </c>
      <c r="D5744" s="28" t="s">
        <v>34867</v>
      </c>
      <c r="P5744">
        <v>1488</v>
      </c>
      <c r="Q5744" t="s">
        <v>13785</v>
      </c>
      <c r="S5744" t="s">
        <v>13022</v>
      </c>
    </row>
    <row r="5745" spans="1:19" x14ac:dyDescent="0.25">
      <c r="A5745" s="27" t="s">
        <v>193</v>
      </c>
      <c r="C5745" s="27" t="s">
        <v>34749</v>
      </c>
      <c r="D5745" s="28" t="s">
        <v>34867</v>
      </c>
      <c r="P5745">
        <v>1489</v>
      </c>
      <c r="Q5745" t="s">
        <v>13786</v>
      </c>
      <c r="S5745" t="s">
        <v>13022</v>
      </c>
    </row>
    <row r="5746" spans="1:19" x14ac:dyDescent="0.25">
      <c r="A5746" s="27" t="s">
        <v>193</v>
      </c>
      <c r="C5746" s="27" t="s">
        <v>34749</v>
      </c>
      <c r="D5746" s="28" t="s">
        <v>34867</v>
      </c>
      <c r="P5746">
        <v>1490</v>
      </c>
      <c r="Q5746" t="s">
        <v>13787</v>
      </c>
      <c r="R5746" s="28" t="s">
        <v>5005</v>
      </c>
      <c r="S5746" t="s">
        <v>13022</v>
      </c>
    </row>
    <row r="5747" spans="1:19" x14ac:dyDescent="0.25">
      <c r="A5747" s="27" t="s">
        <v>193</v>
      </c>
      <c r="C5747" s="27" t="s">
        <v>34749</v>
      </c>
      <c r="D5747" s="28" t="s">
        <v>34867</v>
      </c>
      <c r="P5747">
        <v>1491</v>
      </c>
      <c r="Q5747" t="s">
        <v>13788</v>
      </c>
      <c r="S5747" t="s">
        <v>13022</v>
      </c>
    </row>
    <row r="5748" spans="1:19" x14ac:dyDescent="0.25">
      <c r="A5748" s="27" t="s">
        <v>193</v>
      </c>
      <c r="C5748" s="27" t="s">
        <v>34749</v>
      </c>
      <c r="D5748" s="28" t="s">
        <v>34867</v>
      </c>
      <c r="P5748">
        <v>1492</v>
      </c>
      <c r="Q5748" t="s">
        <v>13789</v>
      </c>
      <c r="S5748" t="s">
        <v>13022</v>
      </c>
    </row>
    <row r="5749" spans="1:19" x14ac:dyDescent="0.25">
      <c r="A5749" s="27" t="s">
        <v>193</v>
      </c>
      <c r="C5749" s="27" t="s">
        <v>34749</v>
      </c>
      <c r="D5749" s="28" t="s">
        <v>34867</v>
      </c>
      <c r="P5749">
        <v>1493</v>
      </c>
      <c r="Q5749" t="s">
        <v>13790</v>
      </c>
      <c r="S5749" t="s">
        <v>13022</v>
      </c>
    </row>
    <row r="5750" spans="1:19" x14ac:dyDescent="0.25">
      <c r="A5750" s="27" t="s">
        <v>193</v>
      </c>
      <c r="C5750" s="27" t="s">
        <v>34749</v>
      </c>
      <c r="D5750" s="28" t="s">
        <v>34867</v>
      </c>
      <c r="P5750">
        <v>1494</v>
      </c>
      <c r="Q5750" t="s">
        <v>13791</v>
      </c>
      <c r="R5750" s="28" t="s">
        <v>13792</v>
      </c>
      <c r="S5750" t="s">
        <v>13022</v>
      </c>
    </row>
    <row r="5751" spans="1:19" x14ac:dyDescent="0.25">
      <c r="A5751" s="27" t="s">
        <v>193</v>
      </c>
      <c r="C5751" s="27" t="s">
        <v>34749</v>
      </c>
      <c r="D5751" s="28" t="s">
        <v>34867</v>
      </c>
      <c r="P5751">
        <v>1495</v>
      </c>
      <c r="Q5751" t="s">
        <v>13793</v>
      </c>
      <c r="S5751" t="s">
        <v>13022</v>
      </c>
    </row>
    <row r="5752" spans="1:19" x14ac:dyDescent="0.25">
      <c r="A5752" s="27" t="s">
        <v>193</v>
      </c>
      <c r="C5752" s="27" t="s">
        <v>34749</v>
      </c>
      <c r="D5752" s="28" t="s">
        <v>34867</v>
      </c>
      <c r="P5752">
        <v>1496</v>
      </c>
      <c r="Q5752" t="s">
        <v>13794</v>
      </c>
      <c r="R5752" s="28" t="s">
        <v>13795</v>
      </c>
      <c r="S5752" t="s">
        <v>13022</v>
      </c>
    </row>
    <row r="5753" spans="1:19" x14ac:dyDescent="0.25">
      <c r="A5753" s="27" t="s">
        <v>193</v>
      </c>
      <c r="C5753" s="27" t="s">
        <v>34749</v>
      </c>
      <c r="D5753" s="28" t="s">
        <v>34867</v>
      </c>
      <c r="P5753">
        <v>1497</v>
      </c>
      <c r="Q5753" t="s">
        <v>13796</v>
      </c>
      <c r="S5753" t="s">
        <v>13022</v>
      </c>
    </row>
    <row r="5754" spans="1:19" x14ac:dyDescent="0.25">
      <c r="A5754" s="27" t="s">
        <v>193</v>
      </c>
      <c r="C5754" s="27" t="s">
        <v>34749</v>
      </c>
      <c r="D5754" s="28" t="s">
        <v>34867</v>
      </c>
      <c r="P5754">
        <v>1498</v>
      </c>
      <c r="Q5754" t="s">
        <v>13797</v>
      </c>
      <c r="R5754" s="28" t="s">
        <v>13798</v>
      </c>
      <c r="S5754" t="s">
        <v>13022</v>
      </c>
    </row>
    <row r="5755" spans="1:19" x14ac:dyDescent="0.25">
      <c r="A5755" s="27" t="s">
        <v>193</v>
      </c>
      <c r="C5755" s="27" t="s">
        <v>34749</v>
      </c>
      <c r="D5755" s="28" t="s">
        <v>34867</v>
      </c>
      <c r="P5755">
        <v>1499</v>
      </c>
      <c r="Q5755" t="s">
        <v>13799</v>
      </c>
      <c r="S5755" t="s">
        <v>13022</v>
      </c>
    </row>
    <row r="5756" spans="1:19" x14ac:dyDescent="0.25">
      <c r="A5756" s="27" t="s">
        <v>193</v>
      </c>
      <c r="C5756" s="27" t="s">
        <v>34749</v>
      </c>
      <c r="D5756" s="28" t="s">
        <v>34867</v>
      </c>
      <c r="P5756">
        <v>1500</v>
      </c>
      <c r="Q5756" t="s">
        <v>13800</v>
      </c>
      <c r="R5756" s="28" t="s">
        <v>13801</v>
      </c>
      <c r="S5756" t="s">
        <v>13022</v>
      </c>
    </row>
    <row r="5757" spans="1:19" x14ac:dyDescent="0.25">
      <c r="A5757" s="27" t="s">
        <v>193</v>
      </c>
      <c r="C5757" s="27" t="s">
        <v>34749</v>
      </c>
      <c r="D5757" s="28" t="s">
        <v>34867</v>
      </c>
      <c r="P5757">
        <v>1501</v>
      </c>
      <c r="Q5757" t="s">
        <v>13802</v>
      </c>
      <c r="S5757" t="s">
        <v>13022</v>
      </c>
    </row>
    <row r="5758" spans="1:19" x14ac:dyDescent="0.25">
      <c r="A5758" s="27" t="s">
        <v>193</v>
      </c>
      <c r="C5758" s="27" t="s">
        <v>34749</v>
      </c>
      <c r="D5758" s="28" t="s">
        <v>34867</v>
      </c>
      <c r="P5758">
        <v>1502</v>
      </c>
      <c r="Q5758" t="s">
        <v>4991</v>
      </c>
      <c r="R5758" s="28" t="s">
        <v>4992</v>
      </c>
      <c r="S5758" t="s">
        <v>13022</v>
      </c>
    </row>
    <row r="5759" spans="1:19" x14ac:dyDescent="0.25">
      <c r="A5759" s="27" t="s">
        <v>193</v>
      </c>
      <c r="C5759" s="27" t="s">
        <v>34749</v>
      </c>
      <c r="D5759" s="28" t="s">
        <v>34867</v>
      </c>
      <c r="P5759">
        <v>1503</v>
      </c>
      <c r="Q5759" t="s">
        <v>13803</v>
      </c>
      <c r="S5759" t="s">
        <v>13022</v>
      </c>
    </row>
    <row r="5760" spans="1:19" x14ac:dyDescent="0.25">
      <c r="A5760" s="27" t="s">
        <v>193</v>
      </c>
      <c r="C5760" s="27" t="s">
        <v>34749</v>
      </c>
      <c r="D5760" s="28" t="s">
        <v>34867</v>
      </c>
      <c r="P5760">
        <v>1504</v>
      </c>
      <c r="Q5760" t="s">
        <v>13804</v>
      </c>
      <c r="R5760" s="28" t="s">
        <v>13805</v>
      </c>
      <c r="S5760" t="s">
        <v>13022</v>
      </c>
    </row>
    <row r="5761" spans="1:19" x14ac:dyDescent="0.25">
      <c r="A5761" s="27" t="s">
        <v>193</v>
      </c>
      <c r="C5761" s="27" t="s">
        <v>34749</v>
      </c>
      <c r="D5761" s="28" t="s">
        <v>34867</v>
      </c>
      <c r="P5761">
        <v>1505</v>
      </c>
      <c r="Q5761" t="s">
        <v>13806</v>
      </c>
      <c r="R5761" s="28" t="s">
        <v>13807</v>
      </c>
      <c r="S5761" t="s">
        <v>13022</v>
      </c>
    </row>
    <row r="5762" spans="1:19" x14ac:dyDescent="0.25">
      <c r="A5762" s="27" t="s">
        <v>193</v>
      </c>
      <c r="C5762" s="27" t="s">
        <v>34749</v>
      </c>
      <c r="D5762" s="28" t="s">
        <v>34867</v>
      </c>
      <c r="P5762">
        <v>1506</v>
      </c>
      <c r="Q5762" t="s">
        <v>13808</v>
      </c>
      <c r="S5762" t="s">
        <v>13022</v>
      </c>
    </row>
    <row r="5763" spans="1:19" x14ac:dyDescent="0.25">
      <c r="A5763" s="27" t="s">
        <v>193</v>
      </c>
      <c r="C5763" s="27" t="s">
        <v>34749</v>
      </c>
      <c r="D5763" s="28" t="s">
        <v>34867</v>
      </c>
      <c r="P5763">
        <v>1507</v>
      </c>
      <c r="Q5763" t="s">
        <v>13809</v>
      </c>
      <c r="R5763" s="28" t="s">
        <v>13810</v>
      </c>
      <c r="S5763" t="s">
        <v>13022</v>
      </c>
    </row>
    <row r="5764" spans="1:19" x14ac:dyDescent="0.25">
      <c r="A5764" s="27" t="s">
        <v>193</v>
      </c>
      <c r="C5764" s="27" t="s">
        <v>34749</v>
      </c>
      <c r="D5764" s="28" t="s">
        <v>34867</v>
      </c>
      <c r="P5764">
        <v>1508</v>
      </c>
      <c r="Q5764" t="s">
        <v>13811</v>
      </c>
      <c r="R5764" s="28" t="s">
        <v>13812</v>
      </c>
      <c r="S5764" t="s">
        <v>13022</v>
      </c>
    </row>
    <row r="5765" spans="1:19" x14ac:dyDescent="0.25">
      <c r="A5765" s="27" t="s">
        <v>193</v>
      </c>
      <c r="C5765" s="27" t="s">
        <v>34749</v>
      </c>
      <c r="D5765" s="28" t="s">
        <v>34867</v>
      </c>
      <c r="P5765">
        <v>1509</v>
      </c>
      <c r="Q5765" t="s">
        <v>13813</v>
      </c>
      <c r="R5765" s="28" t="s">
        <v>13814</v>
      </c>
      <c r="S5765" t="s">
        <v>13022</v>
      </c>
    </row>
    <row r="5766" spans="1:19" x14ac:dyDescent="0.25">
      <c r="A5766" s="27" t="s">
        <v>193</v>
      </c>
      <c r="C5766" s="27" t="s">
        <v>34749</v>
      </c>
      <c r="D5766" s="28" t="s">
        <v>34867</v>
      </c>
      <c r="P5766">
        <v>1510</v>
      </c>
      <c r="Q5766" t="s">
        <v>13815</v>
      </c>
      <c r="S5766" t="s">
        <v>13022</v>
      </c>
    </row>
    <row r="5767" spans="1:19" x14ac:dyDescent="0.25">
      <c r="A5767" s="27" t="s">
        <v>193</v>
      </c>
      <c r="C5767" s="27" t="s">
        <v>34749</v>
      </c>
      <c r="D5767" s="28" t="s">
        <v>34867</v>
      </c>
      <c r="P5767">
        <v>1511</v>
      </c>
      <c r="Q5767" t="s">
        <v>13816</v>
      </c>
      <c r="R5767" s="28" t="s">
        <v>8299</v>
      </c>
      <c r="S5767" t="s">
        <v>13022</v>
      </c>
    </row>
    <row r="5768" spans="1:19" x14ac:dyDescent="0.25">
      <c r="A5768" s="27" t="s">
        <v>193</v>
      </c>
      <c r="C5768" s="27" t="s">
        <v>34749</v>
      </c>
      <c r="D5768" s="28" t="s">
        <v>34867</v>
      </c>
      <c r="P5768">
        <v>1512</v>
      </c>
      <c r="Q5768" t="s">
        <v>13817</v>
      </c>
      <c r="R5768" s="28" t="s">
        <v>13818</v>
      </c>
      <c r="S5768" t="s">
        <v>13022</v>
      </c>
    </row>
    <row r="5769" spans="1:19" x14ac:dyDescent="0.25">
      <c r="A5769" s="27" t="s">
        <v>193</v>
      </c>
      <c r="C5769" s="27" t="s">
        <v>34749</v>
      </c>
      <c r="D5769" s="28" t="s">
        <v>34867</v>
      </c>
      <c r="P5769">
        <v>1513</v>
      </c>
      <c r="Q5769" t="s">
        <v>13819</v>
      </c>
      <c r="R5769" s="28" t="s">
        <v>13820</v>
      </c>
      <c r="S5769" t="s">
        <v>13022</v>
      </c>
    </row>
    <row r="5770" spans="1:19" x14ac:dyDescent="0.25">
      <c r="A5770" s="27" t="s">
        <v>193</v>
      </c>
      <c r="C5770" s="27" t="s">
        <v>34749</v>
      </c>
      <c r="D5770" s="28" t="s">
        <v>34867</v>
      </c>
      <c r="P5770">
        <v>1514</v>
      </c>
      <c r="Q5770" t="s">
        <v>13821</v>
      </c>
      <c r="S5770" t="s">
        <v>13022</v>
      </c>
    </row>
    <row r="5771" spans="1:19" x14ac:dyDescent="0.25">
      <c r="A5771" s="27" t="s">
        <v>193</v>
      </c>
      <c r="C5771" s="27" t="s">
        <v>34749</v>
      </c>
      <c r="D5771" s="28" t="s">
        <v>34867</v>
      </c>
      <c r="P5771">
        <v>1515</v>
      </c>
      <c r="Q5771" t="s">
        <v>13822</v>
      </c>
      <c r="R5771" s="28" t="s">
        <v>13823</v>
      </c>
      <c r="S5771" t="s">
        <v>13022</v>
      </c>
    </row>
    <row r="5772" spans="1:19" x14ac:dyDescent="0.25">
      <c r="A5772" s="27" t="s">
        <v>193</v>
      </c>
      <c r="C5772" s="27" t="s">
        <v>34749</v>
      </c>
      <c r="D5772" s="28" t="s">
        <v>34867</v>
      </c>
      <c r="P5772">
        <v>1516</v>
      </c>
      <c r="Q5772" t="s">
        <v>13824</v>
      </c>
      <c r="R5772" s="28" t="s">
        <v>13825</v>
      </c>
      <c r="S5772" t="s">
        <v>13022</v>
      </c>
    </row>
    <row r="5773" spans="1:19" x14ac:dyDescent="0.25">
      <c r="A5773" s="27" t="s">
        <v>193</v>
      </c>
      <c r="C5773" s="27" t="s">
        <v>34749</v>
      </c>
      <c r="D5773" s="28" t="s">
        <v>34867</v>
      </c>
      <c r="P5773">
        <v>1517</v>
      </c>
      <c r="Q5773" t="s">
        <v>13826</v>
      </c>
      <c r="R5773" s="28" t="s">
        <v>13827</v>
      </c>
      <c r="S5773" t="s">
        <v>13022</v>
      </c>
    </row>
    <row r="5774" spans="1:19" x14ac:dyDescent="0.25">
      <c r="A5774" s="27" t="s">
        <v>193</v>
      </c>
      <c r="C5774" s="27" t="s">
        <v>34749</v>
      </c>
      <c r="D5774" s="28" t="s">
        <v>34867</v>
      </c>
      <c r="P5774">
        <v>1518</v>
      </c>
      <c r="Q5774" t="s">
        <v>13828</v>
      </c>
      <c r="S5774" t="s">
        <v>13022</v>
      </c>
    </row>
    <row r="5775" spans="1:19" x14ac:dyDescent="0.25">
      <c r="A5775" s="27" t="s">
        <v>193</v>
      </c>
      <c r="C5775" s="27" t="s">
        <v>34749</v>
      </c>
      <c r="D5775" s="28" t="s">
        <v>34867</v>
      </c>
      <c r="P5775">
        <v>1519</v>
      </c>
      <c r="Q5775" t="s">
        <v>3763</v>
      </c>
      <c r="R5775" s="28" t="s">
        <v>3764</v>
      </c>
      <c r="S5775" t="s">
        <v>13022</v>
      </c>
    </row>
    <row r="5776" spans="1:19" x14ac:dyDescent="0.25">
      <c r="A5776" s="27" t="s">
        <v>193</v>
      </c>
      <c r="C5776" s="27" t="s">
        <v>34749</v>
      </c>
      <c r="D5776" s="28" t="s">
        <v>34867</v>
      </c>
      <c r="P5776">
        <v>1520</v>
      </c>
      <c r="Q5776" t="s">
        <v>13829</v>
      </c>
      <c r="S5776" t="s">
        <v>13022</v>
      </c>
    </row>
    <row r="5777" spans="1:19" x14ac:dyDescent="0.25">
      <c r="A5777" s="27" t="s">
        <v>193</v>
      </c>
      <c r="C5777" s="27" t="s">
        <v>34749</v>
      </c>
      <c r="D5777" s="28" t="s">
        <v>34867</v>
      </c>
      <c r="P5777">
        <v>1521</v>
      </c>
      <c r="Q5777" t="s">
        <v>13830</v>
      </c>
      <c r="R5777" s="28" t="s">
        <v>13831</v>
      </c>
      <c r="S5777" t="s">
        <v>13022</v>
      </c>
    </row>
    <row r="5778" spans="1:19" x14ac:dyDescent="0.25">
      <c r="A5778" s="27" t="s">
        <v>193</v>
      </c>
      <c r="C5778" s="27" t="s">
        <v>34749</v>
      </c>
      <c r="D5778" s="28" t="s">
        <v>34867</v>
      </c>
      <c r="P5778">
        <v>1522</v>
      </c>
      <c r="Q5778" t="s">
        <v>13832</v>
      </c>
      <c r="R5778" s="28" t="s">
        <v>13833</v>
      </c>
      <c r="S5778" t="s">
        <v>13022</v>
      </c>
    </row>
    <row r="5779" spans="1:19" x14ac:dyDescent="0.25">
      <c r="A5779" s="27" t="s">
        <v>193</v>
      </c>
      <c r="C5779" s="27" t="s">
        <v>34749</v>
      </c>
      <c r="D5779" s="28" t="s">
        <v>34867</v>
      </c>
      <c r="P5779">
        <v>1523</v>
      </c>
      <c r="Q5779" t="s">
        <v>13834</v>
      </c>
      <c r="R5779" s="28" t="s">
        <v>13835</v>
      </c>
      <c r="S5779" t="s">
        <v>13022</v>
      </c>
    </row>
    <row r="5780" spans="1:19" x14ac:dyDescent="0.25">
      <c r="A5780" s="27" t="s">
        <v>193</v>
      </c>
      <c r="C5780" s="27" t="s">
        <v>34749</v>
      </c>
      <c r="D5780" s="28" t="s">
        <v>34867</v>
      </c>
      <c r="P5780">
        <v>1524</v>
      </c>
      <c r="Q5780" t="s">
        <v>13836</v>
      </c>
      <c r="R5780" s="28" t="s">
        <v>13837</v>
      </c>
      <c r="S5780" t="s">
        <v>13022</v>
      </c>
    </row>
    <row r="5781" spans="1:19" x14ac:dyDescent="0.25">
      <c r="A5781" s="27" t="s">
        <v>193</v>
      </c>
      <c r="C5781" s="27" t="s">
        <v>34749</v>
      </c>
      <c r="D5781" s="28" t="s">
        <v>34867</v>
      </c>
      <c r="P5781">
        <v>1525</v>
      </c>
      <c r="Q5781" t="s">
        <v>13838</v>
      </c>
      <c r="S5781" t="s">
        <v>13022</v>
      </c>
    </row>
    <row r="5782" spans="1:19" x14ac:dyDescent="0.25">
      <c r="A5782" s="27" t="s">
        <v>193</v>
      </c>
      <c r="C5782" s="27" t="s">
        <v>34749</v>
      </c>
      <c r="D5782" s="28" t="s">
        <v>34867</v>
      </c>
      <c r="P5782">
        <v>1526</v>
      </c>
      <c r="Q5782" t="s">
        <v>13839</v>
      </c>
      <c r="R5782" s="28" t="s">
        <v>2602</v>
      </c>
      <c r="S5782" t="s">
        <v>13022</v>
      </c>
    </row>
    <row r="5783" spans="1:19" x14ac:dyDescent="0.25">
      <c r="A5783" s="27" t="s">
        <v>193</v>
      </c>
      <c r="C5783" s="27" t="s">
        <v>34749</v>
      </c>
      <c r="D5783" s="28" t="s">
        <v>34867</v>
      </c>
      <c r="P5783">
        <v>1527</v>
      </c>
      <c r="Q5783" t="s">
        <v>13840</v>
      </c>
      <c r="S5783" t="s">
        <v>13022</v>
      </c>
    </row>
    <row r="5784" spans="1:19" x14ac:dyDescent="0.25">
      <c r="A5784" s="27" t="s">
        <v>193</v>
      </c>
      <c r="C5784" s="27" t="s">
        <v>34749</v>
      </c>
      <c r="D5784" s="28" t="s">
        <v>34867</v>
      </c>
      <c r="P5784">
        <v>1528</v>
      </c>
      <c r="Q5784" t="s">
        <v>2385</v>
      </c>
      <c r="R5784" s="28" t="s">
        <v>2386</v>
      </c>
      <c r="S5784" t="s">
        <v>13022</v>
      </c>
    </row>
    <row r="5785" spans="1:19" x14ac:dyDescent="0.25">
      <c r="A5785" s="27" t="s">
        <v>193</v>
      </c>
      <c r="C5785" s="27" t="s">
        <v>34749</v>
      </c>
      <c r="D5785" s="28" t="s">
        <v>34867</v>
      </c>
      <c r="P5785">
        <v>1529</v>
      </c>
      <c r="Q5785" t="s">
        <v>2598</v>
      </c>
      <c r="R5785" s="28" t="s">
        <v>2599</v>
      </c>
      <c r="S5785" t="s">
        <v>13022</v>
      </c>
    </row>
    <row r="5786" spans="1:19" x14ac:dyDescent="0.25">
      <c r="A5786" s="27" t="s">
        <v>193</v>
      </c>
      <c r="C5786" s="27" t="s">
        <v>34749</v>
      </c>
      <c r="D5786" s="28" t="s">
        <v>34867</v>
      </c>
      <c r="P5786">
        <v>1530</v>
      </c>
      <c r="Q5786" t="s">
        <v>13841</v>
      </c>
      <c r="S5786" t="s">
        <v>13022</v>
      </c>
    </row>
    <row r="5787" spans="1:19" x14ac:dyDescent="0.25">
      <c r="A5787" s="27" t="s">
        <v>193</v>
      </c>
      <c r="C5787" s="27" t="s">
        <v>34749</v>
      </c>
      <c r="D5787" s="28" t="s">
        <v>34867</v>
      </c>
      <c r="P5787">
        <v>1531</v>
      </c>
      <c r="Q5787" t="s">
        <v>1476</v>
      </c>
      <c r="R5787" s="28" t="s">
        <v>1477</v>
      </c>
      <c r="S5787" t="s">
        <v>13022</v>
      </c>
    </row>
    <row r="5788" spans="1:19" x14ac:dyDescent="0.25">
      <c r="A5788" s="27" t="s">
        <v>193</v>
      </c>
      <c r="C5788" s="27" t="s">
        <v>34749</v>
      </c>
      <c r="D5788" s="28" t="s">
        <v>34867</v>
      </c>
      <c r="P5788">
        <v>1532</v>
      </c>
      <c r="Q5788" t="s">
        <v>1677</v>
      </c>
      <c r="R5788" s="28" t="s">
        <v>1678</v>
      </c>
      <c r="S5788" t="s">
        <v>13022</v>
      </c>
    </row>
    <row r="5789" spans="1:19" x14ac:dyDescent="0.25">
      <c r="A5789" s="27" t="s">
        <v>193</v>
      </c>
      <c r="C5789" s="27" t="s">
        <v>34749</v>
      </c>
      <c r="D5789" s="28" t="s">
        <v>34867</v>
      </c>
      <c r="P5789">
        <v>1533</v>
      </c>
      <c r="Q5789" t="s">
        <v>1740</v>
      </c>
      <c r="R5789" s="28" t="s">
        <v>1741</v>
      </c>
      <c r="S5789" t="s">
        <v>13022</v>
      </c>
    </row>
    <row r="5790" spans="1:19" x14ac:dyDescent="0.25">
      <c r="A5790" s="27" t="s">
        <v>193</v>
      </c>
      <c r="C5790" s="27" t="s">
        <v>34749</v>
      </c>
      <c r="D5790" s="28" t="s">
        <v>34867</v>
      </c>
      <c r="P5790">
        <v>1534</v>
      </c>
      <c r="Q5790" t="s">
        <v>2250</v>
      </c>
      <c r="R5790" s="28" t="s">
        <v>2251</v>
      </c>
      <c r="S5790" t="s">
        <v>13022</v>
      </c>
    </row>
    <row r="5791" spans="1:19" x14ac:dyDescent="0.25">
      <c r="A5791" s="27" t="s">
        <v>193</v>
      </c>
      <c r="C5791" s="27" t="s">
        <v>34749</v>
      </c>
      <c r="D5791" s="28" t="s">
        <v>34867</v>
      </c>
      <c r="P5791">
        <v>1535</v>
      </c>
      <c r="Q5791" t="s">
        <v>2277</v>
      </c>
      <c r="R5791" s="28" t="s">
        <v>2278</v>
      </c>
      <c r="S5791" t="s">
        <v>13022</v>
      </c>
    </row>
    <row r="5792" spans="1:19" x14ac:dyDescent="0.25">
      <c r="A5792" s="27" t="s">
        <v>193</v>
      </c>
      <c r="C5792" s="27" t="s">
        <v>34749</v>
      </c>
      <c r="D5792" s="28" t="s">
        <v>34867</v>
      </c>
      <c r="P5792">
        <v>1536</v>
      </c>
      <c r="Q5792" t="s">
        <v>13842</v>
      </c>
      <c r="S5792" t="s">
        <v>13022</v>
      </c>
    </row>
    <row r="5793" spans="1:19" x14ac:dyDescent="0.25">
      <c r="A5793" s="27" t="s">
        <v>193</v>
      </c>
      <c r="C5793" s="27" t="s">
        <v>34749</v>
      </c>
      <c r="D5793" s="28" t="s">
        <v>34867</v>
      </c>
      <c r="P5793">
        <v>1537</v>
      </c>
      <c r="Q5793" t="s">
        <v>1401</v>
      </c>
      <c r="R5793" s="28" t="s">
        <v>1402</v>
      </c>
      <c r="S5793" t="s">
        <v>13022</v>
      </c>
    </row>
    <row r="5794" spans="1:19" x14ac:dyDescent="0.25">
      <c r="A5794" s="27" t="s">
        <v>193</v>
      </c>
      <c r="C5794" s="27" t="s">
        <v>34749</v>
      </c>
      <c r="D5794" s="28" t="s">
        <v>34867</v>
      </c>
      <c r="P5794">
        <v>1538</v>
      </c>
      <c r="Q5794" t="s">
        <v>1407</v>
      </c>
      <c r="R5794" s="28" t="s">
        <v>1408</v>
      </c>
      <c r="S5794" t="s">
        <v>13022</v>
      </c>
    </row>
    <row r="5795" spans="1:19" x14ac:dyDescent="0.25">
      <c r="A5795" s="27" t="s">
        <v>193</v>
      </c>
      <c r="C5795" s="27" t="s">
        <v>34749</v>
      </c>
      <c r="D5795" s="28" t="s">
        <v>34867</v>
      </c>
      <c r="P5795">
        <v>1539</v>
      </c>
      <c r="Q5795" t="s">
        <v>1425</v>
      </c>
      <c r="R5795" s="28" t="s">
        <v>1426</v>
      </c>
      <c r="S5795" t="s">
        <v>13022</v>
      </c>
    </row>
    <row r="5796" spans="1:19" x14ac:dyDescent="0.25">
      <c r="A5796" s="27" t="s">
        <v>193</v>
      </c>
      <c r="C5796" s="27" t="s">
        <v>34749</v>
      </c>
      <c r="D5796" s="28" t="s">
        <v>34867</v>
      </c>
      <c r="P5796">
        <v>1540</v>
      </c>
      <c r="Q5796" t="s">
        <v>13843</v>
      </c>
      <c r="S5796" t="s">
        <v>13022</v>
      </c>
    </row>
    <row r="5797" spans="1:19" x14ac:dyDescent="0.25">
      <c r="A5797" s="27" t="s">
        <v>193</v>
      </c>
      <c r="C5797" s="27" t="s">
        <v>34749</v>
      </c>
      <c r="D5797" s="28" t="s">
        <v>34867</v>
      </c>
      <c r="P5797">
        <v>1541</v>
      </c>
      <c r="Q5797" t="s">
        <v>1419</v>
      </c>
      <c r="R5797" s="28" t="s">
        <v>1420</v>
      </c>
      <c r="S5797" t="s">
        <v>13022</v>
      </c>
    </row>
    <row r="5798" spans="1:19" x14ac:dyDescent="0.25">
      <c r="A5798" s="27" t="s">
        <v>193</v>
      </c>
      <c r="C5798" s="27" t="s">
        <v>34749</v>
      </c>
      <c r="D5798" s="28" t="s">
        <v>34867</v>
      </c>
      <c r="P5798">
        <v>1542</v>
      </c>
      <c r="Q5798" t="s">
        <v>1434</v>
      </c>
      <c r="R5798" s="28" t="s">
        <v>1435</v>
      </c>
      <c r="S5798" t="s">
        <v>13022</v>
      </c>
    </row>
    <row r="5799" spans="1:19" x14ac:dyDescent="0.25">
      <c r="A5799" s="27" t="s">
        <v>193</v>
      </c>
      <c r="C5799" s="27" t="s">
        <v>34749</v>
      </c>
      <c r="D5799" s="28" t="s">
        <v>34867</v>
      </c>
      <c r="P5799">
        <v>1543</v>
      </c>
      <c r="Q5799" t="s">
        <v>1446</v>
      </c>
      <c r="R5799" s="28" t="s">
        <v>1447</v>
      </c>
      <c r="S5799" t="s">
        <v>13022</v>
      </c>
    </row>
    <row r="5800" spans="1:19" x14ac:dyDescent="0.25">
      <c r="A5800" s="27" t="s">
        <v>193</v>
      </c>
      <c r="C5800" s="27" t="s">
        <v>34749</v>
      </c>
      <c r="D5800" s="28" t="s">
        <v>34867</v>
      </c>
      <c r="P5800">
        <v>1544</v>
      </c>
      <c r="Q5800" t="s">
        <v>2220</v>
      </c>
      <c r="R5800" s="28" t="s">
        <v>2221</v>
      </c>
      <c r="S5800" t="s">
        <v>13022</v>
      </c>
    </row>
    <row r="5801" spans="1:19" x14ac:dyDescent="0.25">
      <c r="A5801" s="27" t="s">
        <v>193</v>
      </c>
      <c r="C5801" s="27" t="s">
        <v>34749</v>
      </c>
      <c r="D5801" s="28" t="s">
        <v>34867</v>
      </c>
      <c r="P5801">
        <v>1545</v>
      </c>
      <c r="Q5801" t="s">
        <v>13844</v>
      </c>
      <c r="R5801" s="28" t="s">
        <v>13845</v>
      </c>
      <c r="S5801" t="s">
        <v>13022</v>
      </c>
    </row>
    <row r="5802" spans="1:19" x14ac:dyDescent="0.25">
      <c r="A5802" s="27" t="s">
        <v>193</v>
      </c>
      <c r="C5802" s="27" t="s">
        <v>34749</v>
      </c>
      <c r="D5802" s="28" t="s">
        <v>34867</v>
      </c>
      <c r="P5802">
        <v>1546</v>
      </c>
      <c r="Q5802" t="s">
        <v>13846</v>
      </c>
      <c r="R5802" s="28" t="s">
        <v>13847</v>
      </c>
      <c r="S5802" t="s">
        <v>13022</v>
      </c>
    </row>
    <row r="5803" spans="1:19" x14ac:dyDescent="0.25">
      <c r="A5803" s="27" t="s">
        <v>193</v>
      </c>
      <c r="C5803" s="27" t="s">
        <v>34749</v>
      </c>
      <c r="D5803" s="28" t="s">
        <v>34867</v>
      </c>
      <c r="P5803">
        <v>1547</v>
      </c>
      <c r="Q5803" t="s">
        <v>13848</v>
      </c>
      <c r="S5803" t="s">
        <v>13022</v>
      </c>
    </row>
    <row r="5804" spans="1:19" x14ac:dyDescent="0.25">
      <c r="A5804" s="27" t="s">
        <v>193</v>
      </c>
      <c r="C5804" s="27" t="s">
        <v>34749</v>
      </c>
      <c r="D5804" s="28" t="s">
        <v>34867</v>
      </c>
      <c r="P5804">
        <v>1548</v>
      </c>
      <c r="Q5804" t="s">
        <v>13849</v>
      </c>
      <c r="R5804" s="28" t="s">
        <v>13850</v>
      </c>
      <c r="S5804" t="s">
        <v>13022</v>
      </c>
    </row>
    <row r="5805" spans="1:19" x14ac:dyDescent="0.25">
      <c r="A5805" s="27" t="s">
        <v>193</v>
      </c>
      <c r="C5805" s="27" t="s">
        <v>34749</v>
      </c>
      <c r="D5805" s="28" t="s">
        <v>34867</v>
      </c>
      <c r="P5805">
        <v>1549</v>
      </c>
      <c r="Q5805" t="s">
        <v>13851</v>
      </c>
      <c r="S5805" t="s">
        <v>13022</v>
      </c>
    </row>
    <row r="5806" spans="1:19" x14ac:dyDescent="0.25">
      <c r="A5806" s="27" t="s">
        <v>193</v>
      </c>
      <c r="C5806" s="27" t="s">
        <v>34749</v>
      </c>
      <c r="D5806" s="28" t="s">
        <v>34867</v>
      </c>
      <c r="P5806">
        <v>1550</v>
      </c>
      <c r="Q5806" t="s">
        <v>13852</v>
      </c>
      <c r="S5806" t="s">
        <v>13022</v>
      </c>
    </row>
    <row r="5807" spans="1:19" x14ac:dyDescent="0.25">
      <c r="A5807" s="27" t="s">
        <v>193</v>
      </c>
      <c r="C5807" s="27" t="s">
        <v>34749</v>
      </c>
      <c r="D5807" s="28" t="s">
        <v>34867</v>
      </c>
      <c r="P5807">
        <v>1551</v>
      </c>
      <c r="Q5807" t="s">
        <v>13853</v>
      </c>
      <c r="S5807" t="s">
        <v>13022</v>
      </c>
    </row>
    <row r="5808" spans="1:19" x14ac:dyDescent="0.25">
      <c r="A5808" s="27" t="s">
        <v>193</v>
      </c>
      <c r="C5808" s="27" t="s">
        <v>34749</v>
      </c>
      <c r="D5808" s="28" t="s">
        <v>34867</v>
      </c>
      <c r="P5808">
        <v>1552</v>
      </c>
      <c r="Q5808" t="s">
        <v>13854</v>
      </c>
      <c r="R5808" s="28" t="s">
        <v>13855</v>
      </c>
      <c r="S5808" t="s">
        <v>13022</v>
      </c>
    </row>
    <row r="5809" spans="1:19" x14ac:dyDescent="0.25">
      <c r="A5809" s="27" t="s">
        <v>193</v>
      </c>
      <c r="C5809" s="27" t="s">
        <v>34749</v>
      </c>
      <c r="D5809" s="28" t="s">
        <v>34867</v>
      </c>
      <c r="P5809">
        <v>1553</v>
      </c>
      <c r="Q5809" t="s">
        <v>13856</v>
      </c>
      <c r="R5809" s="28" t="s">
        <v>13857</v>
      </c>
      <c r="S5809" t="s">
        <v>13022</v>
      </c>
    </row>
    <row r="5810" spans="1:19" x14ac:dyDescent="0.25">
      <c r="A5810" s="27" t="s">
        <v>193</v>
      </c>
      <c r="C5810" s="27" t="s">
        <v>34749</v>
      </c>
      <c r="D5810" s="28" t="s">
        <v>34867</v>
      </c>
      <c r="P5810">
        <v>1554</v>
      </c>
      <c r="Q5810" t="s">
        <v>13858</v>
      </c>
      <c r="R5810" s="28" t="s">
        <v>4490</v>
      </c>
      <c r="S5810" t="s">
        <v>13022</v>
      </c>
    </row>
    <row r="5811" spans="1:19" x14ac:dyDescent="0.25">
      <c r="A5811" s="27" t="s">
        <v>193</v>
      </c>
      <c r="C5811" s="27" t="s">
        <v>34749</v>
      </c>
      <c r="D5811" s="28" t="s">
        <v>34867</v>
      </c>
      <c r="P5811">
        <v>1555</v>
      </c>
      <c r="Q5811" t="s">
        <v>13859</v>
      </c>
      <c r="S5811" t="s">
        <v>13022</v>
      </c>
    </row>
    <row r="5812" spans="1:19" x14ac:dyDescent="0.25">
      <c r="A5812" s="27" t="s">
        <v>193</v>
      </c>
      <c r="C5812" s="27" t="s">
        <v>34749</v>
      </c>
      <c r="D5812" s="28" t="s">
        <v>34867</v>
      </c>
      <c r="P5812">
        <v>1556</v>
      </c>
      <c r="Q5812" t="s">
        <v>13860</v>
      </c>
      <c r="S5812" t="s">
        <v>13022</v>
      </c>
    </row>
    <row r="5813" spans="1:19" x14ac:dyDescent="0.25">
      <c r="A5813" s="27" t="s">
        <v>193</v>
      </c>
      <c r="C5813" s="27" t="s">
        <v>34749</v>
      </c>
      <c r="D5813" s="28" t="s">
        <v>34867</v>
      </c>
      <c r="P5813">
        <v>1557</v>
      </c>
      <c r="Q5813" t="s">
        <v>13861</v>
      </c>
      <c r="S5813" t="s">
        <v>13022</v>
      </c>
    </row>
    <row r="5814" spans="1:19" x14ac:dyDescent="0.25">
      <c r="A5814" s="27" t="s">
        <v>193</v>
      </c>
      <c r="C5814" s="27" t="s">
        <v>34749</v>
      </c>
      <c r="D5814" s="28" t="s">
        <v>34867</v>
      </c>
      <c r="P5814">
        <v>1559</v>
      </c>
      <c r="Q5814" t="s">
        <v>13862</v>
      </c>
      <c r="S5814" t="s">
        <v>13022</v>
      </c>
    </row>
    <row r="5815" spans="1:19" x14ac:dyDescent="0.25">
      <c r="A5815" s="27" t="s">
        <v>193</v>
      </c>
      <c r="C5815" s="27" t="s">
        <v>34749</v>
      </c>
      <c r="D5815" s="28" t="s">
        <v>34867</v>
      </c>
      <c r="P5815">
        <v>1560</v>
      </c>
      <c r="Q5815" t="s">
        <v>13863</v>
      </c>
      <c r="R5815" s="28" t="s">
        <v>13864</v>
      </c>
      <c r="S5815" t="s">
        <v>13022</v>
      </c>
    </row>
    <row r="5816" spans="1:19" x14ac:dyDescent="0.25">
      <c r="A5816" s="27" t="s">
        <v>193</v>
      </c>
      <c r="C5816" s="27" t="s">
        <v>34749</v>
      </c>
      <c r="D5816" s="28" t="s">
        <v>34867</v>
      </c>
      <c r="P5816">
        <v>1561</v>
      </c>
      <c r="Q5816" t="s">
        <v>13865</v>
      </c>
      <c r="R5816" s="28" t="s">
        <v>13866</v>
      </c>
      <c r="S5816" t="s">
        <v>13022</v>
      </c>
    </row>
    <row r="5817" spans="1:19" x14ac:dyDescent="0.25">
      <c r="A5817" s="27" t="s">
        <v>193</v>
      </c>
      <c r="C5817" s="27" t="s">
        <v>34749</v>
      </c>
      <c r="D5817" s="28" t="s">
        <v>34867</v>
      </c>
      <c r="P5817">
        <v>1562</v>
      </c>
      <c r="Q5817" t="s">
        <v>13867</v>
      </c>
      <c r="S5817" t="s">
        <v>13022</v>
      </c>
    </row>
    <row r="5818" spans="1:19" x14ac:dyDescent="0.25">
      <c r="A5818" s="27" t="s">
        <v>193</v>
      </c>
      <c r="C5818" s="27" t="s">
        <v>34749</v>
      </c>
      <c r="D5818" s="28" t="s">
        <v>34867</v>
      </c>
      <c r="P5818">
        <v>1564</v>
      </c>
      <c r="Q5818" t="s">
        <v>13868</v>
      </c>
      <c r="S5818" t="s">
        <v>13022</v>
      </c>
    </row>
    <row r="5819" spans="1:19" x14ac:dyDescent="0.25">
      <c r="A5819" s="27" t="s">
        <v>193</v>
      </c>
      <c r="C5819" s="27" t="s">
        <v>34749</v>
      </c>
      <c r="D5819" s="28" t="s">
        <v>34867</v>
      </c>
      <c r="P5819">
        <v>1565</v>
      </c>
      <c r="Q5819" t="s">
        <v>13869</v>
      </c>
      <c r="R5819" s="28" t="s">
        <v>10853</v>
      </c>
      <c r="S5819" t="s">
        <v>13022</v>
      </c>
    </row>
    <row r="5820" spans="1:19" x14ac:dyDescent="0.25">
      <c r="A5820" s="27" t="s">
        <v>193</v>
      </c>
      <c r="C5820" s="27" t="s">
        <v>34749</v>
      </c>
      <c r="D5820" s="28" t="s">
        <v>34867</v>
      </c>
      <c r="P5820">
        <v>1566</v>
      </c>
      <c r="Q5820" t="s">
        <v>13870</v>
      </c>
      <c r="R5820" s="28" t="s">
        <v>7609</v>
      </c>
      <c r="S5820" t="s">
        <v>13022</v>
      </c>
    </row>
    <row r="5821" spans="1:19" x14ac:dyDescent="0.25">
      <c r="A5821" s="27" t="s">
        <v>193</v>
      </c>
      <c r="C5821" s="27" t="s">
        <v>34749</v>
      </c>
      <c r="D5821" s="28" t="s">
        <v>34867</v>
      </c>
      <c r="P5821">
        <v>1567</v>
      </c>
      <c r="Q5821" t="s">
        <v>13871</v>
      </c>
      <c r="R5821" s="28" t="s">
        <v>3665</v>
      </c>
      <c r="S5821" t="s">
        <v>13022</v>
      </c>
    </row>
    <row r="5822" spans="1:19" x14ac:dyDescent="0.25">
      <c r="A5822" s="27" t="s">
        <v>193</v>
      </c>
      <c r="C5822" s="27" t="s">
        <v>34749</v>
      </c>
      <c r="D5822" s="28" t="s">
        <v>34867</v>
      </c>
      <c r="P5822">
        <v>1569</v>
      </c>
      <c r="Q5822" t="s">
        <v>13872</v>
      </c>
      <c r="R5822" s="28" t="s">
        <v>1711</v>
      </c>
      <c r="S5822" t="s">
        <v>13022</v>
      </c>
    </row>
    <row r="5823" spans="1:19" x14ac:dyDescent="0.25">
      <c r="A5823" s="27" t="s">
        <v>193</v>
      </c>
      <c r="C5823" s="27" t="s">
        <v>34749</v>
      </c>
      <c r="D5823" s="28" t="s">
        <v>34867</v>
      </c>
      <c r="P5823">
        <v>1570</v>
      </c>
      <c r="Q5823" t="s">
        <v>13873</v>
      </c>
      <c r="S5823" t="s">
        <v>13022</v>
      </c>
    </row>
    <row r="5824" spans="1:19" x14ac:dyDescent="0.25">
      <c r="A5824" s="27" t="s">
        <v>193</v>
      </c>
      <c r="C5824" s="27" t="s">
        <v>34749</v>
      </c>
      <c r="D5824" s="28" t="s">
        <v>34867</v>
      </c>
      <c r="P5824">
        <v>1571</v>
      </c>
      <c r="Q5824" t="s">
        <v>13874</v>
      </c>
      <c r="R5824" s="28" t="s">
        <v>13875</v>
      </c>
      <c r="S5824" t="s">
        <v>13022</v>
      </c>
    </row>
    <row r="5825" spans="1:19" x14ac:dyDescent="0.25">
      <c r="A5825" s="27" t="s">
        <v>193</v>
      </c>
      <c r="C5825" s="27" t="s">
        <v>34749</v>
      </c>
      <c r="D5825" s="28" t="s">
        <v>34867</v>
      </c>
      <c r="P5825">
        <v>1572</v>
      </c>
      <c r="Q5825" t="s">
        <v>13876</v>
      </c>
      <c r="S5825" t="s">
        <v>13022</v>
      </c>
    </row>
    <row r="5826" spans="1:19" x14ac:dyDescent="0.25">
      <c r="A5826" s="27" t="s">
        <v>193</v>
      </c>
      <c r="C5826" s="27" t="s">
        <v>34749</v>
      </c>
      <c r="D5826" s="28" t="s">
        <v>34867</v>
      </c>
      <c r="P5826">
        <v>1573</v>
      </c>
      <c r="Q5826" t="s">
        <v>13877</v>
      </c>
      <c r="R5826" s="28" t="s">
        <v>13878</v>
      </c>
      <c r="S5826" t="s">
        <v>13022</v>
      </c>
    </row>
    <row r="5827" spans="1:19" x14ac:dyDescent="0.25">
      <c r="A5827" s="27" t="s">
        <v>193</v>
      </c>
      <c r="C5827" s="27" t="s">
        <v>34749</v>
      </c>
      <c r="D5827" s="28" t="s">
        <v>34867</v>
      </c>
      <c r="P5827">
        <v>1574</v>
      </c>
      <c r="Q5827" t="s">
        <v>13879</v>
      </c>
      <c r="R5827" s="28" t="s">
        <v>3698</v>
      </c>
      <c r="S5827" t="s">
        <v>13022</v>
      </c>
    </row>
    <row r="5828" spans="1:19" x14ac:dyDescent="0.25">
      <c r="A5828" s="27" t="s">
        <v>193</v>
      </c>
      <c r="C5828" s="27" t="s">
        <v>34749</v>
      </c>
      <c r="D5828" s="28" t="s">
        <v>34867</v>
      </c>
      <c r="P5828">
        <v>1575</v>
      </c>
      <c r="Q5828" t="s">
        <v>13880</v>
      </c>
      <c r="R5828" s="28" t="s">
        <v>13881</v>
      </c>
      <c r="S5828" t="s">
        <v>13022</v>
      </c>
    </row>
    <row r="5829" spans="1:19" x14ac:dyDescent="0.25">
      <c r="A5829" s="27" t="s">
        <v>193</v>
      </c>
      <c r="C5829" s="27" t="s">
        <v>34749</v>
      </c>
      <c r="D5829" s="28" t="s">
        <v>34867</v>
      </c>
      <c r="P5829">
        <v>1576</v>
      </c>
      <c r="Q5829" t="s">
        <v>13882</v>
      </c>
      <c r="S5829" t="s">
        <v>13022</v>
      </c>
    </row>
    <row r="5830" spans="1:19" x14ac:dyDescent="0.25">
      <c r="A5830" s="27" t="s">
        <v>193</v>
      </c>
      <c r="C5830" s="27" t="s">
        <v>34749</v>
      </c>
      <c r="D5830" s="28" t="s">
        <v>34867</v>
      </c>
      <c r="P5830">
        <v>1577</v>
      </c>
      <c r="Q5830" t="s">
        <v>8172</v>
      </c>
      <c r="R5830" s="28" t="s">
        <v>8173</v>
      </c>
      <c r="S5830" t="s">
        <v>13022</v>
      </c>
    </row>
    <row r="5831" spans="1:19" x14ac:dyDescent="0.25">
      <c r="A5831" s="27" t="s">
        <v>193</v>
      </c>
      <c r="C5831" s="27" t="s">
        <v>34749</v>
      </c>
      <c r="D5831" s="28" t="s">
        <v>34867</v>
      </c>
      <c r="P5831">
        <v>1578</v>
      </c>
      <c r="Q5831" t="s">
        <v>13883</v>
      </c>
      <c r="R5831" s="28" t="s">
        <v>13884</v>
      </c>
      <c r="S5831" t="s">
        <v>13022</v>
      </c>
    </row>
    <row r="5832" spans="1:19" x14ac:dyDescent="0.25">
      <c r="A5832" s="27" t="s">
        <v>193</v>
      </c>
      <c r="C5832" s="27" t="s">
        <v>34749</v>
      </c>
      <c r="D5832" s="28" t="s">
        <v>34867</v>
      </c>
      <c r="P5832">
        <v>1579</v>
      </c>
      <c r="Q5832" t="s">
        <v>3187</v>
      </c>
      <c r="R5832" s="28" t="s">
        <v>3188</v>
      </c>
      <c r="S5832" t="s">
        <v>13022</v>
      </c>
    </row>
    <row r="5833" spans="1:19" x14ac:dyDescent="0.25">
      <c r="A5833" s="27" t="s">
        <v>193</v>
      </c>
      <c r="C5833" s="27" t="s">
        <v>34749</v>
      </c>
      <c r="D5833" s="28" t="s">
        <v>34867</v>
      </c>
      <c r="P5833">
        <v>1580</v>
      </c>
      <c r="Q5833" t="s">
        <v>13885</v>
      </c>
      <c r="R5833" s="28" t="s">
        <v>13886</v>
      </c>
      <c r="S5833" t="s">
        <v>13022</v>
      </c>
    </row>
    <row r="5834" spans="1:19" x14ac:dyDescent="0.25">
      <c r="A5834" s="27" t="s">
        <v>193</v>
      </c>
      <c r="C5834" s="27" t="s">
        <v>34749</v>
      </c>
      <c r="D5834" s="28" t="s">
        <v>34867</v>
      </c>
      <c r="P5834">
        <v>1581</v>
      </c>
      <c r="Q5834" t="s">
        <v>13887</v>
      </c>
      <c r="S5834" t="s">
        <v>13022</v>
      </c>
    </row>
    <row r="5835" spans="1:19" x14ac:dyDescent="0.25">
      <c r="A5835" s="27" t="s">
        <v>193</v>
      </c>
      <c r="C5835" s="27" t="s">
        <v>34749</v>
      </c>
      <c r="D5835" s="28" t="s">
        <v>34867</v>
      </c>
      <c r="P5835">
        <v>1582</v>
      </c>
      <c r="Q5835" t="s">
        <v>9126</v>
      </c>
      <c r="R5835" s="28" t="s">
        <v>9127</v>
      </c>
      <c r="S5835" t="s">
        <v>13022</v>
      </c>
    </row>
    <row r="5836" spans="1:19" x14ac:dyDescent="0.25">
      <c r="A5836" s="27" t="s">
        <v>193</v>
      </c>
      <c r="C5836" s="27" t="s">
        <v>34749</v>
      </c>
      <c r="D5836" s="28" t="s">
        <v>34867</v>
      </c>
      <c r="P5836">
        <v>1583</v>
      </c>
      <c r="Q5836" t="s">
        <v>13888</v>
      </c>
      <c r="R5836" s="28" t="s">
        <v>13889</v>
      </c>
      <c r="S5836" t="s">
        <v>13022</v>
      </c>
    </row>
    <row r="5837" spans="1:19" x14ac:dyDescent="0.25">
      <c r="A5837" s="27" t="s">
        <v>193</v>
      </c>
      <c r="C5837" s="27" t="s">
        <v>34749</v>
      </c>
      <c r="D5837" s="28" t="s">
        <v>34867</v>
      </c>
      <c r="P5837">
        <v>1584</v>
      </c>
      <c r="Q5837" t="s">
        <v>13890</v>
      </c>
      <c r="R5837" s="28" t="s">
        <v>1759</v>
      </c>
      <c r="S5837" t="s">
        <v>13022</v>
      </c>
    </row>
    <row r="5838" spans="1:19" x14ac:dyDescent="0.25">
      <c r="A5838" s="27" t="s">
        <v>193</v>
      </c>
      <c r="C5838" s="27" t="s">
        <v>34749</v>
      </c>
      <c r="D5838" s="28" t="s">
        <v>34867</v>
      </c>
      <c r="P5838">
        <v>1585</v>
      </c>
      <c r="Q5838" t="s">
        <v>13891</v>
      </c>
      <c r="R5838" s="28" t="s">
        <v>13892</v>
      </c>
      <c r="S5838" t="s">
        <v>13022</v>
      </c>
    </row>
    <row r="5839" spans="1:19" x14ac:dyDescent="0.25">
      <c r="A5839" s="27" t="s">
        <v>193</v>
      </c>
      <c r="C5839" s="27" t="s">
        <v>34749</v>
      </c>
      <c r="D5839" s="28" t="s">
        <v>34867</v>
      </c>
      <c r="P5839">
        <v>1586</v>
      </c>
      <c r="Q5839" t="s">
        <v>13893</v>
      </c>
      <c r="S5839" t="s">
        <v>13022</v>
      </c>
    </row>
    <row r="5840" spans="1:19" x14ac:dyDescent="0.25">
      <c r="A5840" s="27" t="s">
        <v>193</v>
      </c>
      <c r="C5840" s="27" t="s">
        <v>34749</v>
      </c>
      <c r="D5840" s="28" t="s">
        <v>34867</v>
      </c>
      <c r="P5840">
        <v>1587</v>
      </c>
      <c r="Q5840" t="s">
        <v>13894</v>
      </c>
      <c r="R5840" s="28" t="s">
        <v>13895</v>
      </c>
      <c r="S5840" t="s">
        <v>13022</v>
      </c>
    </row>
    <row r="5841" spans="1:19" x14ac:dyDescent="0.25">
      <c r="A5841" s="27" t="s">
        <v>193</v>
      </c>
      <c r="C5841" s="27" t="s">
        <v>34749</v>
      </c>
      <c r="D5841" s="28" t="s">
        <v>34867</v>
      </c>
      <c r="P5841">
        <v>1588</v>
      </c>
      <c r="Q5841" t="s">
        <v>13896</v>
      </c>
      <c r="R5841" s="28" t="s">
        <v>13897</v>
      </c>
      <c r="S5841" t="s">
        <v>13022</v>
      </c>
    </row>
    <row r="5842" spans="1:19" x14ac:dyDescent="0.25">
      <c r="A5842" s="27" t="s">
        <v>193</v>
      </c>
      <c r="C5842" s="27" t="s">
        <v>34749</v>
      </c>
      <c r="D5842" s="28" t="s">
        <v>34867</v>
      </c>
      <c r="P5842">
        <v>1589</v>
      </c>
      <c r="Q5842" t="s">
        <v>13898</v>
      </c>
      <c r="S5842" t="s">
        <v>13022</v>
      </c>
    </row>
    <row r="5843" spans="1:19" x14ac:dyDescent="0.25">
      <c r="A5843" s="27" t="s">
        <v>193</v>
      </c>
      <c r="C5843" s="27" t="s">
        <v>34749</v>
      </c>
      <c r="D5843" s="28" t="s">
        <v>34867</v>
      </c>
      <c r="P5843">
        <v>1590</v>
      </c>
      <c r="Q5843" t="s">
        <v>13899</v>
      </c>
      <c r="R5843" s="28" t="s">
        <v>13900</v>
      </c>
      <c r="S5843" t="s">
        <v>13022</v>
      </c>
    </row>
    <row r="5844" spans="1:19" x14ac:dyDescent="0.25">
      <c r="A5844" s="27" t="s">
        <v>193</v>
      </c>
      <c r="C5844" s="27" t="s">
        <v>34749</v>
      </c>
      <c r="D5844" s="28" t="s">
        <v>34867</v>
      </c>
      <c r="P5844">
        <v>1591</v>
      </c>
      <c r="Q5844" t="s">
        <v>13901</v>
      </c>
      <c r="S5844" t="s">
        <v>13022</v>
      </c>
    </row>
    <row r="5845" spans="1:19" x14ac:dyDescent="0.25">
      <c r="A5845" s="27" t="s">
        <v>193</v>
      </c>
      <c r="C5845" s="27" t="s">
        <v>34749</v>
      </c>
      <c r="D5845" s="28" t="s">
        <v>34867</v>
      </c>
      <c r="P5845">
        <v>1592</v>
      </c>
      <c r="Q5845" t="s">
        <v>13902</v>
      </c>
      <c r="S5845" t="s">
        <v>13022</v>
      </c>
    </row>
    <row r="5846" spans="1:19" x14ac:dyDescent="0.25">
      <c r="A5846" s="27" t="s">
        <v>193</v>
      </c>
      <c r="C5846" s="27" t="s">
        <v>34749</v>
      </c>
      <c r="D5846" s="28" t="s">
        <v>34867</v>
      </c>
      <c r="P5846">
        <v>1593</v>
      </c>
      <c r="Q5846" t="s">
        <v>13903</v>
      </c>
      <c r="S5846" t="s">
        <v>13022</v>
      </c>
    </row>
    <row r="5847" spans="1:19" x14ac:dyDescent="0.25">
      <c r="A5847" s="27" t="s">
        <v>193</v>
      </c>
      <c r="C5847" s="27" t="s">
        <v>34749</v>
      </c>
      <c r="D5847" s="28" t="s">
        <v>34867</v>
      </c>
      <c r="P5847">
        <v>1594</v>
      </c>
      <c r="Q5847" t="s">
        <v>13904</v>
      </c>
      <c r="S5847" t="s">
        <v>13022</v>
      </c>
    </row>
    <row r="5848" spans="1:19" x14ac:dyDescent="0.25">
      <c r="A5848" s="27" t="s">
        <v>193</v>
      </c>
      <c r="C5848" s="27" t="s">
        <v>34749</v>
      </c>
      <c r="D5848" s="28" t="s">
        <v>34867</v>
      </c>
      <c r="P5848">
        <v>1596</v>
      </c>
      <c r="Q5848" t="s">
        <v>13905</v>
      </c>
      <c r="R5848" s="28" t="s">
        <v>2776</v>
      </c>
      <c r="S5848" t="s">
        <v>13022</v>
      </c>
    </row>
    <row r="5849" spans="1:19" x14ac:dyDescent="0.25">
      <c r="A5849" s="27" t="s">
        <v>193</v>
      </c>
      <c r="C5849" s="27" t="s">
        <v>34749</v>
      </c>
      <c r="D5849" s="28" t="s">
        <v>34867</v>
      </c>
      <c r="P5849">
        <v>1597</v>
      </c>
      <c r="Q5849" t="s">
        <v>13906</v>
      </c>
      <c r="S5849" t="s">
        <v>13022</v>
      </c>
    </row>
    <row r="5850" spans="1:19" x14ac:dyDescent="0.25">
      <c r="A5850" s="27" t="s">
        <v>193</v>
      </c>
      <c r="C5850" s="27" t="s">
        <v>34749</v>
      </c>
      <c r="D5850" s="28" t="s">
        <v>34867</v>
      </c>
      <c r="P5850">
        <v>1598</v>
      </c>
      <c r="Q5850" t="s">
        <v>13907</v>
      </c>
      <c r="R5850" s="28" t="s">
        <v>13908</v>
      </c>
      <c r="S5850" t="s">
        <v>13022</v>
      </c>
    </row>
    <row r="5851" spans="1:19" x14ac:dyDescent="0.25">
      <c r="A5851" s="27" t="s">
        <v>193</v>
      </c>
      <c r="C5851" s="27" t="s">
        <v>34749</v>
      </c>
      <c r="D5851" s="28" t="s">
        <v>34867</v>
      </c>
      <c r="P5851">
        <v>1599</v>
      </c>
      <c r="Q5851" t="s">
        <v>13909</v>
      </c>
      <c r="S5851" t="s">
        <v>13022</v>
      </c>
    </row>
    <row r="5852" spans="1:19" x14ac:dyDescent="0.25">
      <c r="A5852" s="27" t="s">
        <v>193</v>
      </c>
      <c r="C5852" s="27" t="s">
        <v>34749</v>
      </c>
      <c r="D5852" s="28" t="s">
        <v>34867</v>
      </c>
      <c r="P5852">
        <v>1600</v>
      </c>
      <c r="Q5852" t="s">
        <v>13910</v>
      </c>
      <c r="R5852" s="28" t="s">
        <v>13911</v>
      </c>
      <c r="S5852" t="s">
        <v>13022</v>
      </c>
    </row>
    <row r="5853" spans="1:19" x14ac:dyDescent="0.25">
      <c r="A5853" s="27" t="s">
        <v>193</v>
      </c>
      <c r="C5853" s="27" t="s">
        <v>34749</v>
      </c>
      <c r="D5853" s="28" t="s">
        <v>34867</v>
      </c>
      <c r="P5853">
        <v>1601</v>
      </c>
      <c r="Q5853" t="s">
        <v>13912</v>
      </c>
      <c r="S5853" t="s">
        <v>13022</v>
      </c>
    </row>
    <row r="5854" spans="1:19" x14ac:dyDescent="0.25">
      <c r="A5854" s="27" t="s">
        <v>193</v>
      </c>
      <c r="C5854" s="27" t="s">
        <v>34749</v>
      </c>
      <c r="D5854" s="28" t="s">
        <v>34867</v>
      </c>
      <c r="P5854">
        <v>1602</v>
      </c>
      <c r="Q5854" t="s">
        <v>13913</v>
      </c>
      <c r="R5854" s="28" t="s">
        <v>13914</v>
      </c>
      <c r="S5854" t="s">
        <v>13022</v>
      </c>
    </row>
    <row r="5855" spans="1:19" x14ac:dyDescent="0.25">
      <c r="A5855" s="27" t="s">
        <v>193</v>
      </c>
      <c r="C5855" s="27" t="s">
        <v>34749</v>
      </c>
      <c r="D5855" s="28" t="s">
        <v>34867</v>
      </c>
      <c r="P5855">
        <v>1603</v>
      </c>
      <c r="Q5855" t="s">
        <v>13915</v>
      </c>
      <c r="S5855" t="s">
        <v>13022</v>
      </c>
    </row>
    <row r="5856" spans="1:19" x14ac:dyDescent="0.25">
      <c r="A5856" s="27" t="s">
        <v>193</v>
      </c>
      <c r="C5856" s="27" t="s">
        <v>34749</v>
      </c>
      <c r="D5856" s="28" t="s">
        <v>34867</v>
      </c>
      <c r="P5856">
        <v>1604</v>
      </c>
      <c r="Q5856" t="s">
        <v>13916</v>
      </c>
      <c r="R5856" s="28" t="s">
        <v>10144</v>
      </c>
      <c r="S5856" t="s">
        <v>13022</v>
      </c>
    </row>
    <row r="5857" spans="1:19" x14ac:dyDescent="0.25">
      <c r="A5857" s="27" t="s">
        <v>193</v>
      </c>
      <c r="C5857" s="27" t="s">
        <v>34749</v>
      </c>
      <c r="D5857" s="28" t="s">
        <v>34867</v>
      </c>
      <c r="P5857">
        <v>1605</v>
      </c>
      <c r="Q5857" t="s">
        <v>13917</v>
      </c>
      <c r="S5857" t="s">
        <v>13022</v>
      </c>
    </row>
    <row r="5858" spans="1:19" x14ac:dyDescent="0.25">
      <c r="A5858" s="27" t="s">
        <v>193</v>
      </c>
      <c r="C5858" s="27" t="s">
        <v>34749</v>
      </c>
      <c r="D5858" s="28" t="s">
        <v>34867</v>
      </c>
      <c r="P5858">
        <v>1606</v>
      </c>
      <c r="Q5858" t="s">
        <v>13918</v>
      </c>
      <c r="S5858" t="s">
        <v>13022</v>
      </c>
    </row>
    <row r="5859" spans="1:19" x14ac:dyDescent="0.25">
      <c r="A5859" s="27" t="s">
        <v>193</v>
      </c>
      <c r="C5859" s="27" t="s">
        <v>34749</v>
      </c>
      <c r="D5859" s="28" t="s">
        <v>34867</v>
      </c>
      <c r="P5859">
        <v>1607</v>
      </c>
      <c r="Q5859" t="s">
        <v>13919</v>
      </c>
      <c r="S5859" t="s">
        <v>13022</v>
      </c>
    </row>
    <row r="5860" spans="1:19" x14ac:dyDescent="0.25">
      <c r="A5860" s="27" t="s">
        <v>193</v>
      </c>
      <c r="C5860" s="27" t="s">
        <v>34749</v>
      </c>
      <c r="D5860" s="28" t="s">
        <v>34867</v>
      </c>
      <c r="P5860">
        <v>1608</v>
      </c>
      <c r="Q5860" t="s">
        <v>13920</v>
      </c>
      <c r="S5860" t="s">
        <v>13022</v>
      </c>
    </row>
    <row r="5861" spans="1:19" x14ac:dyDescent="0.25">
      <c r="A5861" s="27" t="s">
        <v>193</v>
      </c>
      <c r="C5861" s="27" t="s">
        <v>34749</v>
      </c>
      <c r="D5861" s="28" t="s">
        <v>34867</v>
      </c>
      <c r="P5861">
        <v>1609</v>
      </c>
      <c r="Q5861" t="s">
        <v>13921</v>
      </c>
      <c r="R5861" s="28" t="s">
        <v>13922</v>
      </c>
      <c r="S5861" t="s">
        <v>13022</v>
      </c>
    </row>
    <row r="5862" spans="1:19" x14ac:dyDescent="0.25">
      <c r="A5862" s="27" t="s">
        <v>193</v>
      </c>
      <c r="C5862" s="27" t="s">
        <v>34749</v>
      </c>
      <c r="D5862" s="28" t="s">
        <v>34867</v>
      </c>
      <c r="P5862">
        <v>1610</v>
      </c>
      <c r="Q5862" t="s">
        <v>13923</v>
      </c>
      <c r="R5862" s="28" t="s">
        <v>13924</v>
      </c>
      <c r="S5862" t="s">
        <v>13022</v>
      </c>
    </row>
    <row r="5863" spans="1:19" x14ac:dyDescent="0.25">
      <c r="A5863" s="27" t="s">
        <v>193</v>
      </c>
      <c r="C5863" s="27" t="s">
        <v>34749</v>
      </c>
      <c r="D5863" s="28" t="s">
        <v>34867</v>
      </c>
      <c r="P5863">
        <v>1611</v>
      </c>
      <c r="Q5863" t="s">
        <v>13925</v>
      </c>
      <c r="S5863" t="s">
        <v>13022</v>
      </c>
    </row>
    <row r="5864" spans="1:19" x14ac:dyDescent="0.25">
      <c r="A5864" s="27" t="s">
        <v>193</v>
      </c>
      <c r="C5864" s="27" t="s">
        <v>34749</v>
      </c>
      <c r="D5864" s="28" t="s">
        <v>34867</v>
      </c>
      <c r="P5864">
        <v>1612</v>
      </c>
      <c r="Q5864" t="s">
        <v>13926</v>
      </c>
      <c r="R5864" s="28" t="s">
        <v>7358</v>
      </c>
      <c r="S5864" t="s">
        <v>13022</v>
      </c>
    </row>
    <row r="5865" spans="1:19" x14ac:dyDescent="0.25">
      <c r="A5865" s="27" t="s">
        <v>193</v>
      </c>
      <c r="C5865" s="27" t="s">
        <v>34749</v>
      </c>
      <c r="D5865" s="28" t="s">
        <v>34867</v>
      </c>
      <c r="P5865">
        <v>1613</v>
      </c>
      <c r="Q5865" t="s">
        <v>8733</v>
      </c>
      <c r="R5865" s="28" t="s">
        <v>8734</v>
      </c>
      <c r="S5865" t="s">
        <v>13022</v>
      </c>
    </row>
    <row r="5866" spans="1:19" x14ac:dyDescent="0.25">
      <c r="A5866" s="27" t="s">
        <v>193</v>
      </c>
      <c r="C5866" s="27" t="s">
        <v>34749</v>
      </c>
      <c r="D5866" s="28" t="s">
        <v>34867</v>
      </c>
      <c r="P5866">
        <v>1614</v>
      </c>
      <c r="Q5866" t="s">
        <v>13927</v>
      </c>
      <c r="R5866" s="28" t="s">
        <v>13928</v>
      </c>
      <c r="S5866" t="s">
        <v>13022</v>
      </c>
    </row>
    <row r="5867" spans="1:19" x14ac:dyDescent="0.25">
      <c r="A5867" s="27" t="s">
        <v>193</v>
      </c>
      <c r="C5867" s="27" t="s">
        <v>34749</v>
      </c>
      <c r="D5867" s="28" t="s">
        <v>34867</v>
      </c>
      <c r="P5867">
        <v>1615</v>
      </c>
      <c r="Q5867" t="s">
        <v>13929</v>
      </c>
      <c r="S5867" t="s">
        <v>13022</v>
      </c>
    </row>
    <row r="5868" spans="1:19" x14ac:dyDescent="0.25">
      <c r="A5868" s="27" t="s">
        <v>193</v>
      </c>
      <c r="C5868" s="27" t="s">
        <v>34749</v>
      </c>
      <c r="D5868" s="28" t="s">
        <v>34867</v>
      </c>
      <c r="P5868">
        <v>1616</v>
      </c>
      <c r="Q5868" t="s">
        <v>13930</v>
      </c>
      <c r="S5868" t="s">
        <v>13022</v>
      </c>
    </row>
    <row r="5869" spans="1:19" x14ac:dyDescent="0.25">
      <c r="A5869" s="27" t="s">
        <v>193</v>
      </c>
      <c r="C5869" s="27" t="s">
        <v>34749</v>
      </c>
      <c r="D5869" s="28" t="s">
        <v>34867</v>
      </c>
      <c r="P5869">
        <v>1617</v>
      </c>
      <c r="Q5869" t="s">
        <v>13931</v>
      </c>
      <c r="S5869" t="s">
        <v>13022</v>
      </c>
    </row>
    <row r="5870" spans="1:19" x14ac:dyDescent="0.25">
      <c r="A5870" s="27" t="s">
        <v>193</v>
      </c>
      <c r="C5870" s="27" t="s">
        <v>34749</v>
      </c>
      <c r="D5870" s="28" t="s">
        <v>34867</v>
      </c>
      <c r="P5870">
        <v>1618</v>
      </c>
      <c r="Q5870" t="s">
        <v>13932</v>
      </c>
      <c r="S5870" t="s">
        <v>13022</v>
      </c>
    </row>
    <row r="5871" spans="1:19" x14ac:dyDescent="0.25">
      <c r="A5871" s="27" t="s">
        <v>193</v>
      </c>
      <c r="C5871" s="27" t="s">
        <v>34749</v>
      </c>
      <c r="D5871" s="28" t="s">
        <v>34867</v>
      </c>
      <c r="P5871">
        <v>1619</v>
      </c>
      <c r="Q5871" t="s">
        <v>13933</v>
      </c>
      <c r="R5871" s="28" t="s">
        <v>8599</v>
      </c>
      <c r="S5871" t="s">
        <v>13022</v>
      </c>
    </row>
    <row r="5872" spans="1:19" x14ac:dyDescent="0.25">
      <c r="A5872" s="27" t="s">
        <v>193</v>
      </c>
      <c r="C5872" s="27" t="s">
        <v>34749</v>
      </c>
      <c r="D5872" s="28" t="s">
        <v>34867</v>
      </c>
      <c r="P5872">
        <v>1620</v>
      </c>
      <c r="Q5872" t="s">
        <v>13934</v>
      </c>
      <c r="R5872" s="28" t="s">
        <v>13935</v>
      </c>
      <c r="S5872" t="s">
        <v>13022</v>
      </c>
    </row>
    <row r="5873" spans="1:19" x14ac:dyDescent="0.25">
      <c r="A5873" s="27" t="s">
        <v>193</v>
      </c>
      <c r="C5873" s="27" t="s">
        <v>34749</v>
      </c>
      <c r="D5873" s="28" t="s">
        <v>34867</v>
      </c>
      <c r="P5873">
        <v>1621</v>
      </c>
      <c r="Q5873" t="s">
        <v>13936</v>
      </c>
      <c r="R5873" s="28" t="s">
        <v>13937</v>
      </c>
      <c r="S5873" t="s">
        <v>13022</v>
      </c>
    </row>
    <row r="5874" spans="1:19" x14ac:dyDescent="0.25">
      <c r="A5874" s="27" t="s">
        <v>193</v>
      </c>
      <c r="C5874" s="27" t="s">
        <v>34749</v>
      </c>
      <c r="D5874" s="28" t="s">
        <v>34867</v>
      </c>
      <c r="P5874">
        <v>1622</v>
      </c>
      <c r="Q5874" t="s">
        <v>13938</v>
      </c>
      <c r="R5874" s="28" t="s">
        <v>13939</v>
      </c>
      <c r="S5874" t="s">
        <v>13022</v>
      </c>
    </row>
    <row r="5875" spans="1:19" x14ac:dyDescent="0.25">
      <c r="A5875" s="27" t="s">
        <v>193</v>
      </c>
      <c r="C5875" s="27" t="s">
        <v>34749</v>
      </c>
      <c r="D5875" s="28" t="s">
        <v>34867</v>
      </c>
      <c r="P5875">
        <v>1623</v>
      </c>
      <c r="Q5875" t="s">
        <v>13940</v>
      </c>
      <c r="S5875" t="s">
        <v>13022</v>
      </c>
    </row>
    <row r="5876" spans="1:19" x14ac:dyDescent="0.25">
      <c r="A5876" s="27" t="s">
        <v>193</v>
      </c>
      <c r="C5876" s="27" t="s">
        <v>34749</v>
      </c>
      <c r="D5876" s="28" t="s">
        <v>34867</v>
      </c>
      <c r="P5876">
        <v>1624</v>
      </c>
      <c r="Q5876" t="s">
        <v>13941</v>
      </c>
      <c r="R5876" s="28" t="s">
        <v>13942</v>
      </c>
      <c r="S5876" t="s">
        <v>13022</v>
      </c>
    </row>
    <row r="5877" spans="1:19" x14ac:dyDescent="0.25">
      <c r="A5877" s="27" t="s">
        <v>193</v>
      </c>
      <c r="C5877" s="27" t="s">
        <v>34749</v>
      </c>
      <c r="D5877" s="28" t="s">
        <v>34867</v>
      </c>
      <c r="P5877">
        <v>1625</v>
      </c>
      <c r="Q5877" t="s">
        <v>3307</v>
      </c>
      <c r="R5877" s="28" t="s">
        <v>3308</v>
      </c>
      <c r="S5877" t="s">
        <v>13022</v>
      </c>
    </row>
    <row r="5878" spans="1:19" x14ac:dyDescent="0.25">
      <c r="A5878" s="27" t="s">
        <v>193</v>
      </c>
      <c r="C5878" s="27" t="s">
        <v>34749</v>
      </c>
      <c r="D5878" s="28" t="s">
        <v>34867</v>
      </c>
      <c r="P5878">
        <v>1626</v>
      </c>
      <c r="Q5878" t="s">
        <v>13943</v>
      </c>
      <c r="R5878" s="28" t="s">
        <v>5124</v>
      </c>
      <c r="S5878" t="s">
        <v>13022</v>
      </c>
    </row>
    <row r="5879" spans="1:19" x14ac:dyDescent="0.25">
      <c r="A5879" s="27" t="s">
        <v>193</v>
      </c>
      <c r="C5879" s="27" t="s">
        <v>34749</v>
      </c>
      <c r="D5879" s="28" t="s">
        <v>34867</v>
      </c>
      <c r="P5879">
        <v>1627</v>
      </c>
      <c r="Q5879" t="s">
        <v>13944</v>
      </c>
      <c r="R5879" s="28" t="s">
        <v>13945</v>
      </c>
      <c r="S5879" t="s">
        <v>13022</v>
      </c>
    </row>
    <row r="5880" spans="1:19" x14ac:dyDescent="0.25">
      <c r="A5880" s="27" t="s">
        <v>193</v>
      </c>
      <c r="C5880" s="27" t="s">
        <v>34749</v>
      </c>
      <c r="D5880" s="28" t="s">
        <v>34867</v>
      </c>
      <c r="P5880">
        <v>1628</v>
      </c>
      <c r="Q5880" t="s">
        <v>13946</v>
      </c>
      <c r="R5880" s="28" t="s">
        <v>13947</v>
      </c>
      <c r="S5880" t="s">
        <v>13022</v>
      </c>
    </row>
    <row r="5881" spans="1:19" x14ac:dyDescent="0.25">
      <c r="A5881" s="27" t="s">
        <v>193</v>
      </c>
      <c r="C5881" s="27" t="s">
        <v>34749</v>
      </c>
      <c r="D5881" s="28" t="s">
        <v>34867</v>
      </c>
      <c r="P5881">
        <v>1629</v>
      </c>
      <c r="Q5881" t="s">
        <v>13948</v>
      </c>
      <c r="R5881" s="28" t="s">
        <v>13949</v>
      </c>
      <c r="S5881" t="s">
        <v>13022</v>
      </c>
    </row>
    <row r="5882" spans="1:19" x14ac:dyDescent="0.25">
      <c r="A5882" s="27" t="s">
        <v>193</v>
      </c>
      <c r="C5882" s="27" t="s">
        <v>34749</v>
      </c>
      <c r="D5882" s="28" t="s">
        <v>34867</v>
      </c>
      <c r="P5882">
        <v>1630</v>
      </c>
      <c r="Q5882" t="s">
        <v>13950</v>
      </c>
      <c r="R5882" s="28" t="s">
        <v>13951</v>
      </c>
      <c r="S5882" t="s">
        <v>13022</v>
      </c>
    </row>
    <row r="5883" spans="1:19" x14ac:dyDescent="0.25">
      <c r="A5883" s="27" t="s">
        <v>193</v>
      </c>
      <c r="C5883" s="27" t="s">
        <v>34749</v>
      </c>
      <c r="D5883" s="28" t="s">
        <v>34867</v>
      </c>
      <c r="P5883">
        <v>1631</v>
      </c>
      <c r="Q5883" t="s">
        <v>13952</v>
      </c>
      <c r="R5883" s="28" t="s">
        <v>13953</v>
      </c>
      <c r="S5883" t="s">
        <v>13022</v>
      </c>
    </row>
    <row r="5884" spans="1:19" x14ac:dyDescent="0.25">
      <c r="A5884" s="27" t="s">
        <v>193</v>
      </c>
      <c r="C5884" s="27" t="s">
        <v>34749</v>
      </c>
      <c r="D5884" s="28" t="s">
        <v>34867</v>
      </c>
      <c r="P5884">
        <v>1632</v>
      </c>
      <c r="Q5884" t="s">
        <v>3724</v>
      </c>
      <c r="R5884" s="28" t="s">
        <v>3725</v>
      </c>
      <c r="S5884" t="s">
        <v>13022</v>
      </c>
    </row>
    <row r="5885" spans="1:19" x14ac:dyDescent="0.25">
      <c r="A5885" s="27" t="s">
        <v>193</v>
      </c>
      <c r="C5885" s="27" t="s">
        <v>34749</v>
      </c>
      <c r="D5885" s="28" t="s">
        <v>34867</v>
      </c>
      <c r="P5885">
        <v>1633</v>
      </c>
      <c r="Q5885" t="s">
        <v>3349</v>
      </c>
      <c r="R5885" s="28" t="s">
        <v>3350</v>
      </c>
      <c r="S5885" t="s">
        <v>13022</v>
      </c>
    </row>
    <row r="5886" spans="1:19" x14ac:dyDescent="0.25">
      <c r="A5886" s="27" t="s">
        <v>193</v>
      </c>
      <c r="C5886" s="27" t="s">
        <v>34749</v>
      </c>
      <c r="D5886" s="28" t="s">
        <v>34867</v>
      </c>
      <c r="P5886">
        <v>1634</v>
      </c>
      <c r="Q5886" t="s">
        <v>3712</v>
      </c>
      <c r="R5886" s="28" t="s">
        <v>3713</v>
      </c>
      <c r="S5886" t="s">
        <v>13022</v>
      </c>
    </row>
    <row r="5887" spans="1:19" x14ac:dyDescent="0.25">
      <c r="A5887" s="27" t="s">
        <v>193</v>
      </c>
      <c r="C5887" s="27" t="s">
        <v>34749</v>
      </c>
      <c r="D5887" s="28" t="s">
        <v>34867</v>
      </c>
      <c r="P5887">
        <v>1635</v>
      </c>
      <c r="Q5887" t="s">
        <v>3343</v>
      </c>
      <c r="R5887" s="28" t="s">
        <v>3344</v>
      </c>
      <c r="S5887" t="s">
        <v>13022</v>
      </c>
    </row>
    <row r="5888" spans="1:19" x14ac:dyDescent="0.25">
      <c r="A5888" s="27" t="s">
        <v>193</v>
      </c>
      <c r="C5888" s="27" t="s">
        <v>34749</v>
      </c>
      <c r="D5888" s="28" t="s">
        <v>34867</v>
      </c>
      <c r="P5888">
        <v>1636</v>
      </c>
      <c r="Q5888" t="s">
        <v>3355</v>
      </c>
      <c r="R5888" s="28" t="s">
        <v>3356</v>
      </c>
      <c r="S5888" t="s">
        <v>13022</v>
      </c>
    </row>
    <row r="5889" spans="1:19" x14ac:dyDescent="0.25">
      <c r="A5889" s="27" t="s">
        <v>193</v>
      </c>
      <c r="C5889" s="27" t="s">
        <v>34749</v>
      </c>
      <c r="D5889" s="28" t="s">
        <v>34867</v>
      </c>
      <c r="P5889">
        <v>1637</v>
      </c>
      <c r="Q5889" t="s">
        <v>13954</v>
      </c>
      <c r="R5889" s="28" t="s">
        <v>12239</v>
      </c>
      <c r="S5889" t="s">
        <v>13022</v>
      </c>
    </row>
    <row r="5890" spans="1:19" x14ac:dyDescent="0.25">
      <c r="A5890" s="27" t="s">
        <v>193</v>
      </c>
      <c r="C5890" s="27" t="s">
        <v>34749</v>
      </c>
      <c r="D5890" s="28" t="s">
        <v>34867</v>
      </c>
      <c r="P5890">
        <v>1638</v>
      </c>
      <c r="Q5890" t="s">
        <v>3340</v>
      </c>
      <c r="R5890" s="28" t="s">
        <v>3341</v>
      </c>
      <c r="S5890" t="s">
        <v>13022</v>
      </c>
    </row>
    <row r="5891" spans="1:19" x14ac:dyDescent="0.25">
      <c r="A5891" s="27" t="s">
        <v>193</v>
      </c>
      <c r="C5891" s="27" t="s">
        <v>34749</v>
      </c>
      <c r="D5891" s="28" t="s">
        <v>34867</v>
      </c>
      <c r="P5891">
        <v>1639</v>
      </c>
      <c r="Q5891" t="s">
        <v>13955</v>
      </c>
      <c r="R5891" s="28" t="s">
        <v>11096</v>
      </c>
      <c r="S5891" t="s">
        <v>13022</v>
      </c>
    </row>
    <row r="5892" spans="1:19" x14ac:dyDescent="0.25">
      <c r="A5892" s="27" t="s">
        <v>193</v>
      </c>
      <c r="C5892" s="27" t="s">
        <v>34749</v>
      </c>
      <c r="D5892" s="28" t="s">
        <v>34867</v>
      </c>
      <c r="P5892">
        <v>1640</v>
      </c>
      <c r="Q5892" t="s">
        <v>3331</v>
      </c>
      <c r="R5892" s="28" t="s">
        <v>3332</v>
      </c>
      <c r="S5892" t="s">
        <v>13022</v>
      </c>
    </row>
    <row r="5893" spans="1:19" x14ac:dyDescent="0.25">
      <c r="A5893" s="27" t="s">
        <v>193</v>
      </c>
      <c r="C5893" s="27" t="s">
        <v>34749</v>
      </c>
      <c r="D5893" s="28" t="s">
        <v>34867</v>
      </c>
      <c r="P5893">
        <v>1641</v>
      </c>
      <c r="Q5893" t="s">
        <v>13956</v>
      </c>
      <c r="R5893" s="28" t="s">
        <v>8482</v>
      </c>
      <c r="S5893" t="s">
        <v>13022</v>
      </c>
    </row>
    <row r="5894" spans="1:19" x14ac:dyDescent="0.25">
      <c r="A5894" s="27" t="s">
        <v>193</v>
      </c>
      <c r="C5894" s="27" t="s">
        <v>34749</v>
      </c>
      <c r="D5894" s="28" t="s">
        <v>34867</v>
      </c>
      <c r="P5894">
        <v>1642</v>
      </c>
      <c r="Q5894" t="s">
        <v>13957</v>
      </c>
      <c r="R5894" s="28" t="s">
        <v>13958</v>
      </c>
      <c r="S5894" t="s">
        <v>13022</v>
      </c>
    </row>
    <row r="5895" spans="1:19" x14ac:dyDescent="0.25">
      <c r="A5895" s="27" t="s">
        <v>193</v>
      </c>
      <c r="C5895" s="27" t="s">
        <v>34749</v>
      </c>
      <c r="D5895" s="28" t="s">
        <v>34867</v>
      </c>
      <c r="P5895">
        <v>1643</v>
      </c>
      <c r="Q5895" t="s">
        <v>13959</v>
      </c>
      <c r="R5895" s="28" t="s">
        <v>13960</v>
      </c>
      <c r="S5895" t="s">
        <v>13022</v>
      </c>
    </row>
    <row r="5896" spans="1:19" x14ac:dyDescent="0.25">
      <c r="A5896" s="27" t="s">
        <v>193</v>
      </c>
      <c r="C5896" s="27" t="s">
        <v>34749</v>
      </c>
      <c r="D5896" s="28" t="s">
        <v>34867</v>
      </c>
      <c r="P5896">
        <v>1644</v>
      </c>
      <c r="Q5896" t="s">
        <v>13961</v>
      </c>
      <c r="R5896" s="28" t="s">
        <v>8449</v>
      </c>
      <c r="S5896" t="s">
        <v>13022</v>
      </c>
    </row>
    <row r="5897" spans="1:19" x14ac:dyDescent="0.25">
      <c r="A5897" s="27" t="s">
        <v>193</v>
      </c>
      <c r="C5897" s="27" t="s">
        <v>34749</v>
      </c>
      <c r="D5897" s="28" t="s">
        <v>34867</v>
      </c>
      <c r="P5897">
        <v>1645</v>
      </c>
      <c r="Q5897" t="s">
        <v>4265</v>
      </c>
      <c r="R5897" s="28" t="s">
        <v>4266</v>
      </c>
      <c r="S5897" t="s">
        <v>13022</v>
      </c>
    </row>
    <row r="5898" spans="1:19" x14ac:dyDescent="0.25">
      <c r="A5898" s="27" t="s">
        <v>193</v>
      </c>
      <c r="C5898" s="27" t="s">
        <v>34749</v>
      </c>
      <c r="D5898" s="28" t="s">
        <v>34867</v>
      </c>
      <c r="P5898">
        <v>1646</v>
      </c>
      <c r="Q5898" t="s">
        <v>4217</v>
      </c>
      <c r="R5898" s="28" t="s">
        <v>4218</v>
      </c>
      <c r="S5898" t="s">
        <v>13022</v>
      </c>
    </row>
    <row r="5899" spans="1:19" x14ac:dyDescent="0.25">
      <c r="A5899" s="27" t="s">
        <v>193</v>
      </c>
      <c r="C5899" s="27" t="s">
        <v>34749</v>
      </c>
      <c r="D5899" s="28" t="s">
        <v>34867</v>
      </c>
      <c r="P5899">
        <v>1647</v>
      </c>
      <c r="Q5899" t="s">
        <v>13962</v>
      </c>
      <c r="R5899" s="28" t="s">
        <v>4348</v>
      </c>
      <c r="S5899" t="s">
        <v>13022</v>
      </c>
    </row>
    <row r="5900" spans="1:19" x14ac:dyDescent="0.25">
      <c r="A5900" s="27" t="s">
        <v>193</v>
      </c>
      <c r="C5900" s="27" t="s">
        <v>34749</v>
      </c>
      <c r="D5900" s="28" t="s">
        <v>34867</v>
      </c>
      <c r="P5900">
        <v>1648</v>
      </c>
      <c r="Q5900" t="s">
        <v>4169</v>
      </c>
      <c r="R5900" s="28" t="s">
        <v>4170</v>
      </c>
      <c r="S5900" t="s">
        <v>13022</v>
      </c>
    </row>
    <row r="5901" spans="1:19" x14ac:dyDescent="0.25">
      <c r="A5901" s="27" t="s">
        <v>193</v>
      </c>
      <c r="C5901" s="27" t="s">
        <v>34749</v>
      </c>
      <c r="D5901" s="28" t="s">
        <v>34867</v>
      </c>
      <c r="P5901">
        <v>1649</v>
      </c>
      <c r="Q5901" t="s">
        <v>13963</v>
      </c>
      <c r="R5901" s="28" t="s">
        <v>4287</v>
      </c>
      <c r="S5901" t="s">
        <v>13022</v>
      </c>
    </row>
    <row r="5902" spans="1:19" x14ac:dyDescent="0.25">
      <c r="A5902" s="27" t="s">
        <v>193</v>
      </c>
      <c r="C5902" s="27" t="s">
        <v>34749</v>
      </c>
      <c r="D5902" s="28" t="s">
        <v>34867</v>
      </c>
      <c r="P5902">
        <v>1650</v>
      </c>
      <c r="Q5902" t="s">
        <v>13964</v>
      </c>
      <c r="S5902" t="s">
        <v>13022</v>
      </c>
    </row>
    <row r="5903" spans="1:19" x14ac:dyDescent="0.25">
      <c r="A5903" s="27" t="s">
        <v>193</v>
      </c>
      <c r="C5903" s="27" t="s">
        <v>34749</v>
      </c>
      <c r="D5903" s="28" t="s">
        <v>34867</v>
      </c>
      <c r="P5903">
        <v>1651</v>
      </c>
      <c r="Q5903" t="s">
        <v>13965</v>
      </c>
      <c r="R5903" s="28" t="s">
        <v>13966</v>
      </c>
      <c r="S5903" t="s">
        <v>13022</v>
      </c>
    </row>
    <row r="5904" spans="1:19" x14ac:dyDescent="0.25">
      <c r="A5904" s="27" t="s">
        <v>193</v>
      </c>
      <c r="C5904" s="27" t="s">
        <v>34749</v>
      </c>
      <c r="D5904" s="28" t="s">
        <v>34867</v>
      </c>
      <c r="P5904">
        <v>1652</v>
      </c>
      <c r="Q5904" t="s">
        <v>13967</v>
      </c>
      <c r="S5904" t="s">
        <v>13022</v>
      </c>
    </row>
    <row r="5905" spans="1:19" x14ac:dyDescent="0.25">
      <c r="A5905" s="27" t="s">
        <v>193</v>
      </c>
      <c r="C5905" s="27" t="s">
        <v>34749</v>
      </c>
      <c r="D5905" s="28" t="s">
        <v>34867</v>
      </c>
      <c r="P5905">
        <v>1653</v>
      </c>
      <c r="Q5905" t="s">
        <v>13968</v>
      </c>
      <c r="S5905" t="s">
        <v>13022</v>
      </c>
    </row>
    <row r="5906" spans="1:19" x14ac:dyDescent="0.25">
      <c r="A5906" s="27" t="s">
        <v>193</v>
      </c>
      <c r="C5906" s="27" t="s">
        <v>34749</v>
      </c>
      <c r="D5906" s="28" t="s">
        <v>34867</v>
      </c>
      <c r="P5906">
        <v>1654</v>
      </c>
      <c r="Q5906" t="s">
        <v>13969</v>
      </c>
      <c r="R5906" s="28" t="s">
        <v>13970</v>
      </c>
      <c r="S5906" t="s">
        <v>13022</v>
      </c>
    </row>
    <row r="5907" spans="1:19" x14ac:dyDescent="0.25">
      <c r="A5907" s="27" t="s">
        <v>193</v>
      </c>
      <c r="C5907" s="27" t="s">
        <v>34749</v>
      </c>
      <c r="D5907" s="28" t="s">
        <v>34867</v>
      </c>
      <c r="P5907">
        <v>1655</v>
      </c>
      <c r="Q5907" t="s">
        <v>13971</v>
      </c>
      <c r="S5907" t="s">
        <v>13022</v>
      </c>
    </row>
    <row r="5908" spans="1:19" x14ac:dyDescent="0.25">
      <c r="A5908" s="27" t="s">
        <v>193</v>
      </c>
      <c r="C5908" s="27" t="s">
        <v>34749</v>
      </c>
      <c r="D5908" s="28" t="s">
        <v>34867</v>
      </c>
      <c r="P5908">
        <v>1656</v>
      </c>
      <c r="Q5908" t="s">
        <v>13972</v>
      </c>
      <c r="R5908" s="28" t="s">
        <v>13973</v>
      </c>
      <c r="S5908" t="s">
        <v>13022</v>
      </c>
    </row>
    <row r="5909" spans="1:19" x14ac:dyDescent="0.25">
      <c r="A5909" s="27" t="s">
        <v>193</v>
      </c>
      <c r="C5909" s="27" t="s">
        <v>34749</v>
      </c>
      <c r="D5909" s="28" t="s">
        <v>34867</v>
      </c>
      <c r="P5909">
        <v>1657</v>
      </c>
      <c r="Q5909" t="s">
        <v>13974</v>
      </c>
      <c r="R5909" s="28" t="s">
        <v>13975</v>
      </c>
      <c r="S5909" t="s">
        <v>13022</v>
      </c>
    </row>
    <row r="5910" spans="1:19" x14ac:dyDescent="0.25">
      <c r="A5910" s="27" t="s">
        <v>193</v>
      </c>
      <c r="C5910" s="27" t="s">
        <v>34749</v>
      </c>
      <c r="D5910" s="28" t="s">
        <v>34867</v>
      </c>
      <c r="P5910">
        <v>1658</v>
      </c>
      <c r="Q5910" t="s">
        <v>13976</v>
      </c>
      <c r="R5910" s="28" t="s">
        <v>13977</v>
      </c>
      <c r="S5910" t="s">
        <v>13022</v>
      </c>
    </row>
    <row r="5911" spans="1:19" x14ac:dyDescent="0.25">
      <c r="A5911" s="27" t="s">
        <v>193</v>
      </c>
      <c r="C5911" s="27" t="s">
        <v>34749</v>
      </c>
      <c r="D5911" s="28" t="s">
        <v>34867</v>
      </c>
      <c r="P5911">
        <v>1659</v>
      </c>
      <c r="Q5911" t="s">
        <v>13978</v>
      </c>
      <c r="R5911" s="28" t="s">
        <v>13979</v>
      </c>
      <c r="S5911" t="s">
        <v>13022</v>
      </c>
    </row>
    <row r="5912" spans="1:19" x14ac:dyDescent="0.25">
      <c r="A5912" s="27" t="s">
        <v>193</v>
      </c>
      <c r="C5912" s="27" t="s">
        <v>34749</v>
      </c>
      <c r="D5912" s="28" t="s">
        <v>34867</v>
      </c>
      <c r="P5912">
        <v>1660</v>
      </c>
      <c r="Q5912" t="s">
        <v>13980</v>
      </c>
      <c r="S5912" t="s">
        <v>13022</v>
      </c>
    </row>
    <row r="5913" spans="1:19" x14ac:dyDescent="0.25">
      <c r="A5913" s="27" t="s">
        <v>193</v>
      </c>
      <c r="C5913" s="27" t="s">
        <v>34749</v>
      </c>
      <c r="D5913" s="28" t="s">
        <v>34867</v>
      </c>
      <c r="P5913">
        <v>1661</v>
      </c>
      <c r="Q5913" t="s">
        <v>13981</v>
      </c>
      <c r="R5913" s="28" t="s">
        <v>13982</v>
      </c>
      <c r="S5913" t="s">
        <v>13022</v>
      </c>
    </row>
    <row r="5914" spans="1:19" x14ac:dyDescent="0.25">
      <c r="A5914" s="27" t="s">
        <v>193</v>
      </c>
      <c r="C5914" s="27" t="s">
        <v>34749</v>
      </c>
      <c r="D5914" s="28" t="s">
        <v>34867</v>
      </c>
      <c r="P5914">
        <v>1662</v>
      </c>
      <c r="Q5914" t="s">
        <v>13983</v>
      </c>
      <c r="R5914" s="28" t="s">
        <v>13984</v>
      </c>
      <c r="S5914" t="s">
        <v>13022</v>
      </c>
    </row>
    <row r="5915" spans="1:19" x14ac:dyDescent="0.25">
      <c r="A5915" s="27" t="s">
        <v>193</v>
      </c>
      <c r="C5915" s="27" t="s">
        <v>34749</v>
      </c>
      <c r="D5915" s="28" t="s">
        <v>34867</v>
      </c>
      <c r="P5915">
        <v>1664</v>
      </c>
      <c r="Q5915" t="s">
        <v>13985</v>
      </c>
      <c r="S5915" t="s">
        <v>13022</v>
      </c>
    </row>
    <row r="5916" spans="1:19" x14ac:dyDescent="0.25">
      <c r="A5916" s="27" t="s">
        <v>193</v>
      </c>
      <c r="C5916" s="27" t="s">
        <v>34749</v>
      </c>
      <c r="D5916" s="28" t="s">
        <v>34867</v>
      </c>
      <c r="P5916">
        <v>1665</v>
      </c>
      <c r="Q5916" t="s">
        <v>13986</v>
      </c>
      <c r="R5916" s="28" t="s">
        <v>9943</v>
      </c>
      <c r="S5916" t="s">
        <v>13022</v>
      </c>
    </row>
    <row r="5917" spans="1:19" x14ac:dyDescent="0.25">
      <c r="A5917" s="27" t="s">
        <v>193</v>
      </c>
      <c r="C5917" s="27" t="s">
        <v>34749</v>
      </c>
      <c r="D5917" s="28" t="s">
        <v>34867</v>
      </c>
      <c r="P5917">
        <v>1666</v>
      </c>
      <c r="Q5917" t="s">
        <v>13987</v>
      </c>
      <c r="R5917" s="28" t="s">
        <v>13988</v>
      </c>
      <c r="S5917" t="s">
        <v>13022</v>
      </c>
    </row>
    <row r="5918" spans="1:19" x14ac:dyDescent="0.25">
      <c r="A5918" s="27" t="s">
        <v>193</v>
      </c>
      <c r="C5918" s="27" t="s">
        <v>34749</v>
      </c>
      <c r="D5918" s="28" t="s">
        <v>34867</v>
      </c>
      <c r="P5918">
        <v>1667</v>
      </c>
      <c r="Q5918" t="s">
        <v>13989</v>
      </c>
      <c r="S5918" t="s">
        <v>13022</v>
      </c>
    </row>
    <row r="5919" spans="1:19" x14ac:dyDescent="0.25">
      <c r="A5919" s="27" t="s">
        <v>193</v>
      </c>
      <c r="C5919" s="27" t="s">
        <v>34749</v>
      </c>
      <c r="D5919" s="28" t="s">
        <v>34867</v>
      </c>
      <c r="P5919">
        <v>1668</v>
      </c>
      <c r="Q5919" t="s">
        <v>9876</v>
      </c>
      <c r="R5919" s="28" t="s">
        <v>9877</v>
      </c>
      <c r="S5919" t="s">
        <v>13022</v>
      </c>
    </row>
    <row r="5920" spans="1:19" x14ac:dyDescent="0.25">
      <c r="A5920" s="27" t="s">
        <v>193</v>
      </c>
      <c r="C5920" s="27" t="s">
        <v>34749</v>
      </c>
      <c r="D5920" s="28" t="s">
        <v>34867</v>
      </c>
      <c r="P5920">
        <v>1670</v>
      </c>
      <c r="Q5920" t="s">
        <v>13990</v>
      </c>
      <c r="S5920" t="s">
        <v>13022</v>
      </c>
    </row>
    <row r="5921" spans="1:19" x14ac:dyDescent="0.25">
      <c r="A5921" s="27" t="s">
        <v>193</v>
      </c>
      <c r="C5921" s="27" t="s">
        <v>34749</v>
      </c>
      <c r="D5921" s="28" t="s">
        <v>34867</v>
      </c>
      <c r="P5921">
        <v>1671</v>
      </c>
      <c r="Q5921" t="s">
        <v>13991</v>
      </c>
      <c r="R5921" s="28" t="s">
        <v>13992</v>
      </c>
      <c r="S5921" t="s">
        <v>13022</v>
      </c>
    </row>
    <row r="5922" spans="1:19" x14ac:dyDescent="0.25">
      <c r="A5922" s="27" t="s">
        <v>193</v>
      </c>
      <c r="C5922" s="27" t="s">
        <v>34749</v>
      </c>
      <c r="D5922" s="28" t="s">
        <v>34867</v>
      </c>
      <c r="P5922">
        <v>1672</v>
      </c>
      <c r="Q5922" t="s">
        <v>13993</v>
      </c>
      <c r="R5922" s="28" t="s">
        <v>7499</v>
      </c>
      <c r="S5922" t="s">
        <v>13022</v>
      </c>
    </row>
    <row r="5923" spans="1:19" x14ac:dyDescent="0.25">
      <c r="A5923" s="27" t="s">
        <v>193</v>
      </c>
      <c r="C5923" s="27" t="s">
        <v>34749</v>
      </c>
      <c r="D5923" s="28" t="s">
        <v>34867</v>
      </c>
      <c r="P5923">
        <v>1673</v>
      </c>
      <c r="Q5923" t="s">
        <v>13994</v>
      </c>
      <c r="R5923" s="28" t="s">
        <v>13995</v>
      </c>
      <c r="S5923" t="s">
        <v>13022</v>
      </c>
    </row>
    <row r="5924" spans="1:19" x14ac:dyDescent="0.25">
      <c r="A5924" s="27" t="s">
        <v>193</v>
      </c>
      <c r="C5924" s="27" t="s">
        <v>34749</v>
      </c>
      <c r="D5924" s="28" t="s">
        <v>34867</v>
      </c>
      <c r="P5924">
        <v>1674</v>
      </c>
      <c r="Q5924" t="s">
        <v>13996</v>
      </c>
      <c r="R5924" s="28" t="s">
        <v>13997</v>
      </c>
      <c r="S5924" t="s">
        <v>13022</v>
      </c>
    </row>
    <row r="5925" spans="1:19" x14ac:dyDescent="0.25">
      <c r="A5925" s="27" t="s">
        <v>193</v>
      </c>
      <c r="C5925" s="27" t="s">
        <v>34749</v>
      </c>
      <c r="D5925" s="28" t="s">
        <v>34867</v>
      </c>
      <c r="P5925">
        <v>1675</v>
      </c>
      <c r="Q5925" t="s">
        <v>13998</v>
      </c>
      <c r="R5925" s="28" t="s">
        <v>13999</v>
      </c>
      <c r="S5925" t="s">
        <v>13022</v>
      </c>
    </row>
    <row r="5926" spans="1:19" x14ac:dyDescent="0.25">
      <c r="A5926" s="27" t="s">
        <v>193</v>
      </c>
      <c r="C5926" s="27" t="s">
        <v>34749</v>
      </c>
      <c r="D5926" s="28" t="s">
        <v>34867</v>
      </c>
      <c r="P5926">
        <v>1676</v>
      </c>
      <c r="Q5926" t="s">
        <v>14000</v>
      </c>
      <c r="R5926" s="28" t="s">
        <v>14001</v>
      </c>
      <c r="S5926" t="s">
        <v>13022</v>
      </c>
    </row>
    <row r="5927" spans="1:19" x14ac:dyDescent="0.25">
      <c r="A5927" s="27" t="s">
        <v>193</v>
      </c>
      <c r="C5927" s="27" t="s">
        <v>34749</v>
      </c>
      <c r="D5927" s="28" t="s">
        <v>34867</v>
      </c>
      <c r="P5927">
        <v>1677</v>
      </c>
      <c r="Q5927" t="s">
        <v>14002</v>
      </c>
      <c r="R5927" s="28" t="s">
        <v>14003</v>
      </c>
      <c r="S5927" t="s">
        <v>13022</v>
      </c>
    </row>
    <row r="5928" spans="1:19" x14ac:dyDescent="0.25">
      <c r="A5928" s="27" t="s">
        <v>193</v>
      </c>
      <c r="C5928" s="27" t="s">
        <v>34749</v>
      </c>
      <c r="D5928" s="28" t="s">
        <v>34867</v>
      </c>
      <c r="P5928">
        <v>1678</v>
      </c>
      <c r="Q5928" t="s">
        <v>14004</v>
      </c>
      <c r="R5928" s="28" t="s">
        <v>14005</v>
      </c>
      <c r="S5928" t="s">
        <v>13022</v>
      </c>
    </row>
    <row r="5929" spans="1:19" x14ac:dyDescent="0.25">
      <c r="A5929" s="27" t="s">
        <v>193</v>
      </c>
      <c r="C5929" s="27" t="s">
        <v>34749</v>
      </c>
      <c r="D5929" s="28" t="s">
        <v>34867</v>
      </c>
      <c r="P5929">
        <v>1679</v>
      </c>
      <c r="Q5929" t="s">
        <v>14006</v>
      </c>
      <c r="S5929" t="s">
        <v>13022</v>
      </c>
    </row>
    <row r="5930" spans="1:19" x14ac:dyDescent="0.25">
      <c r="A5930" s="27" t="s">
        <v>193</v>
      </c>
      <c r="C5930" s="27" t="s">
        <v>34749</v>
      </c>
      <c r="D5930" s="28" t="s">
        <v>34867</v>
      </c>
      <c r="P5930">
        <v>1680</v>
      </c>
      <c r="Q5930" t="s">
        <v>14007</v>
      </c>
      <c r="R5930" s="28" t="s">
        <v>14008</v>
      </c>
      <c r="S5930" t="s">
        <v>13022</v>
      </c>
    </row>
    <row r="5931" spans="1:19" x14ac:dyDescent="0.25">
      <c r="A5931" s="27" t="s">
        <v>193</v>
      </c>
      <c r="C5931" s="27" t="s">
        <v>34749</v>
      </c>
      <c r="D5931" s="28" t="s">
        <v>34867</v>
      </c>
      <c r="P5931">
        <v>1681</v>
      </c>
      <c r="Q5931" t="s">
        <v>14009</v>
      </c>
      <c r="R5931" s="28" t="s">
        <v>7505</v>
      </c>
      <c r="S5931" t="s">
        <v>13022</v>
      </c>
    </row>
    <row r="5932" spans="1:19" x14ac:dyDescent="0.25">
      <c r="A5932" s="27" t="s">
        <v>193</v>
      </c>
      <c r="C5932" s="27" t="s">
        <v>34749</v>
      </c>
      <c r="D5932" s="28" t="s">
        <v>34867</v>
      </c>
      <c r="P5932">
        <v>1682</v>
      </c>
      <c r="Q5932" t="s">
        <v>14010</v>
      </c>
      <c r="S5932" t="s">
        <v>13022</v>
      </c>
    </row>
    <row r="5933" spans="1:19" x14ac:dyDescent="0.25">
      <c r="A5933" s="27" t="s">
        <v>193</v>
      </c>
      <c r="C5933" s="27" t="s">
        <v>34749</v>
      </c>
      <c r="D5933" s="28" t="s">
        <v>34867</v>
      </c>
      <c r="P5933">
        <v>1683</v>
      </c>
      <c r="Q5933" t="s">
        <v>2999</v>
      </c>
      <c r="R5933" s="28" t="s">
        <v>3000</v>
      </c>
      <c r="S5933" t="s">
        <v>13022</v>
      </c>
    </row>
    <row r="5934" spans="1:19" x14ac:dyDescent="0.25">
      <c r="A5934" s="27" t="s">
        <v>193</v>
      </c>
      <c r="C5934" s="27" t="s">
        <v>34749</v>
      </c>
      <c r="D5934" s="28" t="s">
        <v>34867</v>
      </c>
      <c r="P5934">
        <v>1684</v>
      </c>
      <c r="Q5934" t="s">
        <v>14011</v>
      </c>
      <c r="S5934" t="s">
        <v>13022</v>
      </c>
    </row>
    <row r="5935" spans="1:19" x14ac:dyDescent="0.25">
      <c r="A5935" s="27" t="s">
        <v>193</v>
      </c>
      <c r="C5935" s="27" t="s">
        <v>34749</v>
      </c>
      <c r="D5935" s="28" t="s">
        <v>34867</v>
      </c>
      <c r="P5935">
        <v>1685</v>
      </c>
      <c r="Q5935" t="s">
        <v>14012</v>
      </c>
      <c r="R5935" s="28" t="s">
        <v>14013</v>
      </c>
      <c r="S5935" t="s">
        <v>13022</v>
      </c>
    </row>
    <row r="5936" spans="1:19" x14ac:dyDescent="0.25">
      <c r="A5936" s="27" t="s">
        <v>193</v>
      </c>
      <c r="C5936" s="27" t="s">
        <v>34749</v>
      </c>
      <c r="D5936" s="28" t="s">
        <v>34867</v>
      </c>
      <c r="P5936">
        <v>1686</v>
      </c>
      <c r="Q5936" t="s">
        <v>14014</v>
      </c>
      <c r="S5936" t="s">
        <v>13022</v>
      </c>
    </row>
    <row r="5937" spans="1:19" x14ac:dyDescent="0.25">
      <c r="A5937" s="27" t="s">
        <v>193</v>
      </c>
      <c r="C5937" s="27" t="s">
        <v>34749</v>
      </c>
      <c r="D5937" s="28" t="s">
        <v>34867</v>
      </c>
      <c r="P5937">
        <v>1687</v>
      </c>
      <c r="Q5937" t="s">
        <v>14015</v>
      </c>
      <c r="R5937" s="28" t="s">
        <v>14016</v>
      </c>
      <c r="S5937" t="s">
        <v>13022</v>
      </c>
    </row>
    <row r="5938" spans="1:19" x14ac:dyDescent="0.25">
      <c r="A5938" s="27" t="s">
        <v>193</v>
      </c>
      <c r="C5938" s="27" t="s">
        <v>34749</v>
      </c>
      <c r="D5938" s="28" t="s">
        <v>34867</v>
      </c>
      <c r="P5938">
        <v>1688</v>
      </c>
      <c r="Q5938" t="s">
        <v>14017</v>
      </c>
      <c r="R5938" s="28" t="s">
        <v>14018</v>
      </c>
      <c r="S5938" t="s">
        <v>13022</v>
      </c>
    </row>
    <row r="5939" spans="1:19" x14ac:dyDescent="0.25">
      <c r="A5939" s="27" t="s">
        <v>193</v>
      </c>
      <c r="C5939" s="27" t="s">
        <v>34749</v>
      </c>
      <c r="D5939" s="28" t="s">
        <v>34867</v>
      </c>
      <c r="P5939">
        <v>1689</v>
      </c>
      <c r="Q5939" t="s">
        <v>4358</v>
      </c>
      <c r="R5939" s="28" t="s">
        <v>4359</v>
      </c>
      <c r="S5939" t="s">
        <v>13022</v>
      </c>
    </row>
    <row r="5940" spans="1:19" x14ac:dyDescent="0.25">
      <c r="A5940" s="27" t="s">
        <v>193</v>
      </c>
      <c r="C5940" s="27" t="s">
        <v>34749</v>
      </c>
      <c r="D5940" s="28" t="s">
        <v>34867</v>
      </c>
      <c r="P5940">
        <v>1690</v>
      </c>
      <c r="Q5940" t="s">
        <v>14019</v>
      </c>
      <c r="S5940" t="s">
        <v>13022</v>
      </c>
    </row>
    <row r="5941" spans="1:19" x14ac:dyDescent="0.25">
      <c r="A5941" s="27" t="s">
        <v>193</v>
      </c>
      <c r="C5941" s="27" t="s">
        <v>34749</v>
      </c>
      <c r="D5941" s="28" t="s">
        <v>34867</v>
      </c>
      <c r="P5941">
        <v>1692</v>
      </c>
      <c r="Q5941" t="s">
        <v>14020</v>
      </c>
      <c r="R5941" s="28" t="s">
        <v>14021</v>
      </c>
      <c r="S5941" t="s">
        <v>13022</v>
      </c>
    </row>
    <row r="5942" spans="1:19" x14ac:dyDescent="0.25">
      <c r="A5942" s="27" t="s">
        <v>193</v>
      </c>
      <c r="C5942" s="27" t="s">
        <v>34749</v>
      </c>
      <c r="D5942" s="28" t="s">
        <v>34867</v>
      </c>
      <c r="P5942">
        <v>1693</v>
      </c>
      <c r="Q5942" t="s">
        <v>14022</v>
      </c>
      <c r="R5942" s="28" t="s">
        <v>14023</v>
      </c>
      <c r="S5942" t="s">
        <v>13022</v>
      </c>
    </row>
    <row r="5943" spans="1:19" x14ac:dyDescent="0.25">
      <c r="A5943" s="27" t="s">
        <v>193</v>
      </c>
      <c r="C5943" s="27" t="s">
        <v>34749</v>
      </c>
      <c r="D5943" s="28" t="s">
        <v>34867</v>
      </c>
      <c r="P5943">
        <v>1694</v>
      </c>
      <c r="Q5943" t="s">
        <v>14024</v>
      </c>
      <c r="S5943" t="s">
        <v>13022</v>
      </c>
    </row>
    <row r="5944" spans="1:19" x14ac:dyDescent="0.25">
      <c r="A5944" s="27" t="s">
        <v>193</v>
      </c>
      <c r="C5944" s="27" t="s">
        <v>34749</v>
      </c>
      <c r="D5944" s="28" t="s">
        <v>34867</v>
      </c>
      <c r="P5944">
        <v>1695</v>
      </c>
      <c r="Q5944" t="s">
        <v>14025</v>
      </c>
      <c r="S5944" t="s">
        <v>13022</v>
      </c>
    </row>
    <row r="5945" spans="1:19" x14ac:dyDescent="0.25">
      <c r="A5945" s="27" t="s">
        <v>193</v>
      </c>
      <c r="C5945" s="27" t="s">
        <v>34749</v>
      </c>
      <c r="D5945" s="28" t="s">
        <v>34867</v>
      </c>
      <c r="P5945">
        <v>1696</v>
      </c>
      <c r="Q5945" t="s">
        <v>14026</v>
      </c>
      <c r="S5945" t="s">
        <v>13022</v>
      </c>
    </row>
    <row r="5946" spans="1:19" x14ac:dyDescent="0.25">
      <c r="A5946" s="27" t="s">
        <v>193</v>
      </c>
      <c r="C5946" s="27" t="s">
        <v>34749</v>
      </c>
      <c r="D5946" s="28" t="s">
        <v>34867</v>
      </c>
      <c r="P5946">
        <v>1697</v>
      </c>
      <c r="Q5946" t="s">
        <v>14027</v>
      </c>
      <c r="S5946" t="s">
        <v>13022</v>
      </c>
    </row>
    <row r="5947" spans="1:19" x14ac:dyDescent="0.25">
      <c r="A5947" s="27" t="s">
        <v>193</v>
      </c>
      <c r="C5947" s="27" t="s">
        <v>34749</v>
      </c>
      <c r="D5947" s="28" t="s">
        <v>34867</v>
      </c>
      <c r="P5947">
        <v>1698</v>
      </c>
      <c r="Q5947" t="s">
        <v>14028</v>
      </c>
      <c r="R5947" s="28" t="s">
        <v>14029</v>
      </c>
      <c r="S5947" t="s">
        <v>13022</v>
      </c>
    </row>
    <row r="5948" spans="1:19" x14ac:dyDescent="0.25">
      <c r="A5948" s="27" t="s">
        <v>193</v>
      </c>
      <c r="C5948" s="27" t="s">
        <v>34749</v>
      </c>
      <c r="D5948" s="28" t="s">
        <v>34867</v>
      </c>
      <c r="P5948">
        <v>1699</v>
      </c>
      <c r="Q5948" t="s">
        <v>14030</v>
      </c>
      <c r="S5948" t="s">
        <v>13022</v>
      </c>
    </row>
    <row r="5949" spans="1:19" x14ac:dyDescent="0.25">
      <c r="A5949" s="27" t="s">
        <v>193</v>
      </c>
      <c r="C5949" s="27" t="s">
        <v>34749</v>
      </c>
      <c r="D5949" s="28" t="s">
        <v>34867</v>
      </c>
      <c r="P5949">
        <v>1700</v>
      </c>
      <c r="Q5949" t="s">
        <v>14031</v>
      </c>
      <c r="R5949" s="28" t="s">
        <v>3404</v>
      </c>
      <c r="S5949" t="s">
        <v>13022</v>
      </c>
    </row>
    <row r="5950" spans="1:19" x14ac:dyDescent="0.25">
      <c r="A5950" s="27" t="s">
        <v>193</v>
      </c>
      <c r="C5950" s="27" t="s">
        <v>34749</v>
      </c>
      <c r="D5950" s="28" t="s">
        <v>34867</v>
      </c>
      <c r="P5950">
        <v>1701</v>
      </c>
      <c r="Q5950" t="s">
        <v>14032</v>
      </c>
      <c r="S5950" t="s">
        <v>13022</v>
      </c>
    </row>
    <row r="5951" spans="1:19" x14ac:dyDescent="0.25">
      <c r="A5951" s="27" t="s">
        <v>193</v>
      </c>
      <c r="C5951" s="27" t="s">
        <v>34749</v>
      </c>
      <c r="D5951" s="28" t="s">
        <v>34867</v>
      </c>
      <c r="P5951">
        <v>1702</v>
      </c>
      <c r="Q5951" t="s">
        <v>14033</v>
      </c>
      <c r="R5951" s="28" t="s">
        <v>14034</v>
      </c>
      <c r="S5951" t="s">
        <v>13022</v>
      </c>
    </row>
    <row r="5952" spans="1:19" x14ac:dyDescent="0.25">
      <c r="A5952" s="27" t="s">
        <v>193</v>
      </c>
      <c r="C5952" s="27" t="s">
        <v>34749</v>
      </c>
      <c r="D5952" s="28" t="s">
        <v>34867</v>
      </c>
      <c r="P5952">
        <v>1703</v>
      </c>
      <c r="Q5952" t="s">
        <v>14035</v>
      </c>
      <c r="S5952" t="s">
        <v>13022</v>
      </c>
    </row>
    <row r="5953" spans="1:19" x14ac:dyDescent="0.25">
      <c r="A5953" s="27" t="s">
        <v>193</v>
      </c>
      <c r="C5953" s="27" t="s">
        <v>34749</v>
      </c>
      <c r="D5953" s="28" t="s">
        <v>34867</v>
      </c>
      <c r="P5953">
        <v>1704</v>
      </c>
      <c r="Q5953" t="s">
        <v>1860</v>
      </c>
      <c r="R5953" s="28" t="s">
        <v>1861</v>
      </c>
      <c r="S5953" t="s">
        <v>13022</v>
      </c>
    </row>
    <row r="5954" spans="1:19" x14ac:dyDescent="0.25">
      <c r="A5954" s="27" t="s">
        <v>193</v>
      </c>
      <c r="C5954" s="27" t="s">
        <v>34749</v>
      </c>
      <c r="D5954" s="28" t="s">
        <v>34867</v>
      </c>
      <c r="P5954">
        <v>1705</v>
      </c>
      <c r="Q5954" t="s">
        <v>2376</v>
      </c>
      <c r="R5954" s="28" t="s">
        <v>2377</v>
      </c>
      <c r="S5954" t="s">
        <v>13022</v>
      </c>
    </row>
    <row r="5955" spans="1:19" x14ac:dyDescent="0.25">
      <c r="A5955" s="27" t="s">
        <v>193</v>
      </c>
      <c r="C5955" s="27" t="s">
        <v>34749</v>
      </c>
      <c r="D5955" s="28" t="s">
        <v>34867</v>
      </c>
      <c r="P5955">
        <v>1706</v>
      </c>
      <c r="Q5955" t="s">
        <v>14036</v>
      </c>
      <c r="S5955" t="s">
        <v>13022</v>
      </c>
    </row>
    <row r="5956" spans="1:19" x14ac:dyDescent="0.25">
      <c r="A5956" s="27" t="s">
        <v>193</v>
      </c>
      <c r="C5956" s="27" t="s">
        <v>34749</v>
      </c>
      <c r="D5956" s="28" t="s">
        <v>34867</v>
      </c>
      <c r="P5956">
        <v>1707</v>
      </c>
      <c r="Q5956" t="s">
        <v>14037</v>
      </c>
      <c r="S5956" t="s">
        <v>13022</v>
      </c>
    </row>
    <row r="5957" spans="1:19" x14ac:dyDescent="0.25">
      <c r="A5957" s="27" t="s">
        <v>193</v>
      </c>
      <c r="C5957" s="27" t="s">
        <v>34749</v>
      </c>
      <c r="D5957" s="28" t="s">
        <v>34867</v>
      </c>
      <c r="P5957">
        <v>1708</v>
      </c>
      <c r="Q5957" t="s">
        <v>1464</v>
      </c>
      <c r="R5957" s="28" t="s">
        <v>1465</v>
      </c>
      <c r="S5957" t="s">
        <v>13022</v>
      </c>
    </row>
    <row r="5958" spans="1:19" x14ac:dyDescent="0.25">
      <c r="A5958" s="27" t="s">
        <v>193</v>
      </c>
      <c r="C5958" s="27" t="s">
        <v>34749</v>
      </c>
      <c r="D5958" s="28" t="s">
        <v>34867</v>
      </c>
      <c r="P5958">
        <v>1709</v>
      </c>
      <c r="Q5958" t="s">
        <v>1674</v>
      </c>
      <c r="R5958" s="28" t="s">
        <v>1675</v>
      </c>
      <c r="S5958" t="s">
        <v>13022</v>
      </c>
    </row>
    <row r="5959" spans="1:19" x14ac:dyDescent="0.25">
      <c r="A5959" s="27" t="s">
        <v>193</v>
      </c>
      <c r="C5959" s="27" t="s">
        <v>34749</v>
      </c>
      <c r="D5959" s="28" t="s">
        <v>34867</v>
      </c>
      <c r="P5959">
        <v>1710</v>
      </c>
      <c r="Q5959" t="s">
        <v>14038</v>
      </c>
      <c r="S5959" t="s">
        <v>13022</v>
      </c>
    </row>
    <row r="5960" spans="1:19" x14ac:dyDescent="0.25">
      <c r="A5960" s="27" t="s">
        <v>193</v>
      </c>
      <c r="C5960" s="27" t="s">
        <v>34749</v>
      </c>
      <c r="D5960" s="28" t="s">
        <v>34867</v>
      </c>
      <c r="P5960">
        <v>1711</v>
      </c>
      <c r="Q5960" t="s">
        <v>14039</v>
      </c>
      <c r="S5960" t="s">
        <v>13022</v>
      </c>
    </row>
    <row r="5961" spans="1:19" x14ac:dyDescent="0.25">
      <c r="A5961" s="27" t="s">
        <v>193</v>
      </c>
      <c r="C5961" s="27" t="s">
        <v>34749</v>
      </c>
      <c r="D5961" s="28" t="s">
        <v>34867</v>
      </c>
      <c r="P5961">
        <v>1712</v>
      </c>
      <c r="Q5961" t="s">
        <v>14040</v>
      </c>
      <c r="S5961" t="s">
        <v>13022</v>
      </c>
    </row>
    <row r="5962" spans="1:19" x14ac:dyDescent="0.25">
      <c r="A5962" s="27" t="s">
        <v>193</v>
      </c>
      <c r="C5962" s="27" t="s">
        <v>34749</v>
      </c>
      <c r="D5962" s="28" t="s">
        <v>34867</v>
      </c>
      <c r="P5962">
        <v>1713</v>
      </c>
      <c r="Q5962" t="s">
        <v>1416</v>
      </c>
      <c r="R5962" s="28" t="s">
        <v>1417</v>
      </c>
      <c r="S5962" t="s">
        <v>13022</v>
      </c>
    </row>
    <row r="5963" spans="1:19" x14ac:dyDescent="0.25">
      <c r="A5963" s="27" t="s">
        <v>193</v>
      </c>
      <c r="C5963" s="27" t="s">
        <v>34749</v>
      </c>
      <c r="D5963" s="28" t="s">
        <v>34867</v>
      </c>
      <c r="P5963">
        <v>1714</v>
      </c>
      <c r="Q5963" t="s">
        <v>1431</v>
      </c>
      <c r="R5963" s="28" t="s">
        <v>1432</v>
      </c>
      <c r="S5963" t="s">
        <v>13022</v>
      </c>
    </row>
    <row r="5964" spans="1:19" x14ac:dyDescent="0.25">
      <c r="A5964" s="27" t="s">
        <v>193</v>
      </c>
      <c r="C5964" s="27" t="s">
        <v>34749</v>
      </c>
      <c r="D5964" s="28" t="s">
        <v>34867</v>
      </c>
      <c r="P5964">
        <v>1715</v>
      </c>
      <c r="Q5964" t="s">
        <v>1443</v>
      </c>
      <c r="R5964" s="28" t="s">
        <v>1444</v>
      </c>
      <c r="S5964" t="s">
        <v>13022</v>
      </c>
    </row>
    <row r="5965" spans="1:19" x14ac:dyDescent="0.25">
      <c r="A5965" s="27" t="s">
        <v>193</v>
      </c>
      <c r="C5965" s="27" t="s">
        <v>34749</v>
      </c>
      <c r="D5965" s="28" t="s">
        <v>34867</v>
      </c>
      <c r="P5965">
        <v>1716</v>
      </c>
      <c r="Q5965" t="s">
        <v>1509</v>
      </c>
      <c r="R5965" s="28" t="s">
        <v>1510</v>
      </c>
      <c r="S5965" t="s">
        <v>13022</v>
      </c>
    </row>
    <row r="5966" spans="1:19" x14ac:dyDescent="0.25">
      <c r="A5966" s="27" t="s">
        <v>193</v>
      </c>
      <c r="C5966" s="27" t="s">
        <v>34749</v>
      </c>
      <c r="D5966" s="28" t="s">
        <v>34867</v>
      </c>
      <c r="P5966">
        <v>1717</v>
      </c>
      <c r="Q5966" t="s">
        <v>1530</v>
      </c>
      <c r="R5966" s="28" t="s">
        <v>1531</v>
      </c>
      <c r="S5966" t="s">
        <v>13022</v>
      </c>
    </row>
    <row r="5967" spans="1:19" x14ac:dyDescent="0.25">
      <c r="A5967" s="27" t="s">
        <v>193</v>
      </c>
      <c r="C5967" s="27" t="s">
        <v>34749</v>
      </c>
      <c r="D5967" s="28" t="s">
        <v>34867</v>
      </c>
      <c r="P5967">
        <v>1718</v>
      </c>
      <c r="Q5967" t="s">
        <v>2217</v>
      </c>
      <c r="R5967" s="28" t="s">
        <v>2218</v>
      </c>
      <c r="S5967" t="s">
        <v>13022</v>
      </c>
    </row>
    <row r="5968" spans="1:19" x14ac:dyDescent="0.25">
      <c r="A5968" s="27" t="s">
        <v>193</v>
      </c>
      <c r="C5968" s="27" t="s">
        <v>34749</v>
      </c>
      <c r="D5968" s="28" t="s">
        <v>34867</v>
      </c>
      <c r="P5968">
        <v>1719</v>
      </c>
      <c r="Q5968" t="s">
        <v>14041</v>
      </c>
      <c r="S5968" t="s">
        <v>13022</v>
      </c>
    </row>
    <row r="5969" spans="1:19" x14ac:dyDescent="0.25">
      <c r="A5969" s="27" t="s">
        <v>193</v>
      </c>
      <c r="C5969" s="27" t="s">
        <v>34749</v>
      </c>
      <c r="D5969" s="28" t="s">
        <v>34867</v>
      </c>
      <c r="P5969">
        <v>1720</v>
      </c>
      <c r="Q5969" t="s">
        <v>1404</v>
      </c>
      <c r="R5969" s="28" t="s">
        <v>1405</v>
      </c>
      <c r="S5969" t="s">
        <v>13022</v>
      </c>
    </row>
    <row r="5970" spans="1:19" x14ac:dyDescent="0.25">
      <c r="A5970" s="27" t="s">
        <v>193</v>
      </c>
      <c r="C5970" s="27" t="s">
        <v>34749</v>
      </c>
      <c r="D5970" s="28" t="s">
        <v>34867</v>
      </c>
      <c r="P5970">
        <v>1722</v>
      </c>
      <c r="Q5970" t="s">
        <v>14042</v>
      </c>
      <c r="S5970" t="s">
        <v>13022</v>
      </c>
    </row>
    <row r="5971" spans="1:19" x14ac:dyDescent="0.25">
      <c r="A5971" s="27" t="s">
        <v>193</v>
      </c>
      <c r="C5971" s="27" t="s">
        <v>34749</v>
      </c>
      <c r="D5971" s="28" t="s">
        <v>34867</v>
      </c>
      <c r="P5971">
        <v>1723</v>
      </c>
      <c r="Q5971" t="s">
        <v>14043</v>
      </c>
      <c r="S5971" t="s">
        <v>13022</v>
      </c>
    </row>
    <row r="5972" spans="1:19" x14ac:dyDescent="0.25">
      <c r="A5972" s="27" t="s">
        <v>193</v>
      </c>
      <c r="C5972" s="27" t="s">
        <v>34749</v>
      </c>
      <c r="D5972" s="28" t="s">
        <v>34867</v>
      </c>
      <c r="P5972">
        <v>1724</v>
      </c>
      <c r="Q5972" t="s">
        <v>14044</v>
      </c>
      <c r="R5972" s="28" t="s">
        <v>14045</v>
      </c>
      <c r="S5972" t="s">
        <v>13022</v>
      </c>
    </row>
    <row r="5973" spans="1:19" x14ac:dyDescent="0.25">
      <c r="A5973" s="27" t="s">
        <v>193</v>
      </c>
      <c r="C5973" s="27" t="s">
        <v>34749</v>
      </c>
      <c r="D5973" s="28" t="s">
        <v>34867</v>
      </c>
      <c r="P5973">
        <v>1725</v>
      </c>
      <c r="Q5973" t="s">
        <v>14046</v>
      </c>
      <c r="S5973" t="s">
        <v>13022</v>
      </c>
    </row>
    <row r="5974" spans="1:19" x14ac:dyDescent="0.25">
      <c r="A5974" s="27" t="s">
        <v>193</v>
      </c>
      <c r="C5974" s="27" t="s">
        <v>34749</v>
      </c>
      <c r="D5974" s="28" t="s">
        <v>34867</v>
      </c>
      <c r="P5974">
        <v>1726</v>
      </c>
      <c r="Q5974" t="s">
        <v>14047</v>
      </c>
      <c r="R5974" s="28" t="s">
        <v>1165</v>
      </c>
      <c r="S5974" t="s">
        <v>13022</v>
      </c>
    </row>
    <row r="5975" spans="1:19" x14ac:dyDescent="0.25">
      <c r="A5975" s="27" t="s">
        <v>193</v>
      </c>
      <c r="C5975" s="27" t="s">
        <v>34749</v>
      </c>
      <c r="D5975" s="28" t="s">
        <v>34867</v>
      </c>
      <c r="P5975">
        <v>1727</v>
      </c>
      <c r="Q5975" t="s">
        <v>14048</v>
      </c>
      <c r="R5975" s="28" t="s">
        <v>5889</v>
      </c>
      <c r="S5975" t="s">
        <v>13022</v>
      </c>
    </row>
    <row r="5976" spans="1:19" x14ac:dyDescent="0.25">
      <c r="A5976" s="27" t="s">
        <v>193</v>
      </c>
      <c r="C5976" s="27" t="s">
        <v>34749</v>
      </c>
      <c r="D5976" s="28" t="s">
        <v>34867</v>
      </c>
      <c r="P5976">
        <v>1728</v>
      </c>
      <c r="Q5976" t="s">
        <v>14049</v>
      </c>
      <c r="R5976" s="28" t="s">
        <v>4191</v>
      </c>
      <c r="S5976" t="s">
        <v>13022</v>
      </c>
    </row>
    <row r="5977" spans="1:19" x14ac:dyDescent="0.25">
      <c r="A5977" s="27" t="s">
        <v>193</v>
      </c>
      <c r="C5977" s="27" t="s">
        <v>34749</v>
      </c>
      <c r="D5977" s="28" t="s">
        <v>34867</v>
      </c>
      <c r="P5977">
        <v>1729</v>
      </c>
      <c r="Q5977" t="s">
        <v>14050</v>
      </c>
      <c r="R5977" s="28" t="s">
        <v>14051</v>
      </c>
      <c r="S5977" t="s">
        <v>13022</v>
      </c>
    </row>
    <row r="5978" spans="1:19" x14ac:dyDescent="0.25">
      <c r="A5978" s="27" t="s">
        <v>193</v>
      </c>
      <c r="C5978" s="27" t="s">
        <v>34749</v>
      </c>
      <c r="D5978" s="28" t="s">
        <v>34867</v>
      </c>
      <c r="P5978">
        <v>1730</v>
      </c>
      <c r="Q5978" t="s">
        <v>14052</v>
      </c>
      <c r="S5978" t="s">
        <v>13022</v>
      </c>
    </row>
    <row r="5979" spans="1:19" x14ac:dyDescent="0.25">
      <c r="A5979" s="27" t="s">
        <v>193</v>
      </c>
      <c r="C5979" s="27" t="s">
        <v>34749</v>
      </c>
      <c r="D5979" s="28" t="s">
        <v>34867</v>
      </c>
      <c r="P5979">
        <v>1731</v>
      </c>
      <c r="Q5979" t="s">
        <v>14053</v>
      </c>
      <c r="R5979" s="28" t="s">
        <v>14054</v>
      </c>
      <c r="S5979" t="s">
        <v>13022</v>
      </c>
    </row>
    <row r="5980" spans="1:19" x14ac:dyDescent="0.25">
      <c r="A5980" s="27" t="s">
        <v>193</v>
      </c>
      <c r="C5980" s="27" t="s">
        <v>34749</v>
      </c>
      <c r="D5980" s="28" t="s">
        <v>34867</v>
      </c>
      <c r="P5980">
        <v>1732</v>
      </c>
      <c r="Q5980" t="s">
        <v>14055</v>
      </c>
      <c r="S5980" t="s">
        <v>13022</v>
      </c>
    </row>
    <row r="5981" spans="1:19" x14ac:dyDescent="0.25">
      <c r="A5981" s="27" t="s">
        <v>193</v>
      </c>
      <c r="C5981" s="27" t="s">
        <v>34749</v>
      </c>
      <c r="D5981" s="28" t="s">
        <v>34867</v>
      </c>
      <c r="P5981">
        <v>1733</v>
      </c>
      <c r="Q5981" t="s">
        <v>14056</v>
      </c>
      <c r="R5981" s="28" t="s">
        <v>14057</v>
      </c>
      <c r="S5981" t="s">
        <v>13022</v>
      </c>
    </row>
    <row r="5982" spans="1:19" x14ac:dyDescent="0.25">
      <c r="A5982" s="27" t="s">
        <v>193</v>
      </c>
      <c r="C5982" s="27" t="s">
        <v>34749</v>
      </c>
      <c r="D5982" s="28" t="s">
        <v>34867</v>
      </c>
      <c r="P5982">
        <v>1734</v>
      </c>
      <c r="Q5982" t="s">
        <v>14058</v>
      </c>
      <c r="R5982" s="28" t="s">
        <v>14059</v>
      </c>
      <c r="S5982" t="s">
        <v>13022</v>
      </c>
    </row>
    <row r="5983" spans="1:19" x14ac:dyDescent="0.25">
      <c r="A5983" s="27" t="s">
        <v>193</v>
      </c>
      <c r="C5983" s="27" t="s">
        <v>34749</v>
      </c>
      <c r="D5983" s="28" t="s">
        <v>34867</v>
      </c>
      <c r="P5983">
        <v>1735</v>
      </c>
      <c r="Q5983" t="s">
        <v>14060</v>
      </c>
      <c r="R5983" s="28" t="s">
        <v>14061</v>
      </c>
      <c r="S5983" t="s">
        <v>13022</v>
      </c>
    </row>
    <row r="5984" spans="1:19" x14ac:dyDescent="0.25">
      <c r="A5984" s="27" t="s">
        <v>193</v>
      </c>
      <c r="C5984" s="27" t="s">
        <v>34749</v>
      </c>
      <c r="D5984" s="28" t="s">
        <v>34867</v>
      </c>
      <c r="P5984">
        <v>1736</v>
      </c>
      <c r="Q5984" t="s">
        <v>14062</v>
      </c>
      <c r="S5984" t="s">
        <v>13022</v>
      </c>
    </row>
    <row r="5985" spans="1:19" x14ac:dyDescent="0.25">
      <c r="A5985" s="27" t="s">
        <v>193</v>
      </c>
      <c r="C5985" s="27" t="s">
        <v>34749</v>
      </c>
      <c r="D5985" s="28" t="s">
        <v>34867</v>
      </c>
      <c r="P5985">
        <v>1737</v>
      </c>
      <c r="Q5985" t="s">
        <v>14063</v>
      </c>
      <c r="S5985" t="s">
        <v>13022</v>
      </c>
    </row>
    <row r="5986" spans="1:19" x14ac:dyDescent="0.25">
      <c r="A5986" s="27" t="s">
        <v>193</v>
      </c>
      <c r="C5986" s="27" t="s">
        <v>34749</v>
      </c>
      <c r="D5986" s="28" t="s">
        <v>34867</v>
      </c>
      <c r="P5986">
        <v>1738</v>
      </c>
      <c r="Q5986" t="s">
        <v>14064</v>
      </c>
      <c r="S5986" t="s">
        <v>13022</v>
      </c>
    </row>
    <row r="5987" spans="1:19" x14ac:dyDescent="0.25">
      <c r="A5987" s="27" t="s">
        <v>193</v>
      </c>
      <c r="C5987" s="27" t="s">
        <v>34749</v>
      </c>
      <c r="D5987" s="28" t="s">
        <v>34867</v>
      </c>
      <c r="P5987">
        <v>1739</v>
      </c>
      <c r="Q5987" t="s">
        <v>14065</v>
      </c>
      <c r="R5987" s="28" t="s">
        <v>14066</v>
      </c>
      <c r="S5987" t="s">
        <v>13022</v>
      </c>
    </row>
    <row r="5988" spans="1:19" x14ac:dyDescent="0.25">
      <c r="A5988" s="27" t="s">
        <v>193</v>
      </c>
      <c r="C5988" s="27" t="s">
        <v>34749</v>
      </c>
      <c r="D5988" s="28" t="s">
        <v>34867</v>
      </c>
      <c r="P5988">
        <v>1740</v>
      </c>
      <c r="Q5988" t="s">
        <v>14067</v>
      </c>
      <c r="R5988" s="28" t="s">
        <v>14068</v>
      </c>
      <c r="S5988" t="s">
        <v>13022</v>
      </c>
    </row>
    <row r="5989" spans="1:19" x14ac:dyDescent="0.25">
      <c r="A5989" s="27" t="s">
        <v>193</v>
      </c>
      <c r="C5989" s="27" t="s">
        <v>34749</v>
      </c>
      <c r="D5989" s="28" t="s">
        <v>34867</v>
      </c>
      <c r="P5989">
        <v>1741</v>
      </c>
      <c r="Q5989" t="s">
        <v>8496</v>
      </c>
      <c r="R5989" s="28" t="s">
        <v>8497</v>
      </c>
      <c r="S5989" t="s">
        <v>13022</v>
      </c>
    </row>
    <row r="5990" spans="1:19" x14ac:dyDescent="0.25">
      <c r="A5990" s="27" t="s">
        <v>193</v>
      </c>
      <c r="C5990" s="27" t="s">
        <v>34749</v>
      </c>
      <c r="D5990" s="28" t="s">
        <v>34867</v>
      </c>
      <c r="P5990">
        <v>1742</v>
      </c>
      <c r="Q5990" t="s">
        <v>14069</v>
      </c>
      <c r="R5990" s="28" t="s">
        <v>14070</v>
      </c>
      <c r="S5990" t="s">
        <v>13022</v>
      </c>
    </row>
    <row r="5991" spans="1:19" x14ac:dyDescent="0.25">
      <c r="A5991" s="27" t="s">
        <v>193</v>
      </c>
      <c r="C5991" s="27" t="s">
        <v>34749</v>
      </c>
      <c r="D5991" s="28" t="s">
        <v>34867</v>
      </c>
      <c r="P5991">
        <v>1743</v>
      </c>
      <c r="Q5991" t="s">
        <v>14071</v>
      </c>
      <c r="S5991" t="s">
        <v>13022</v>
      </c>
    </row>
    <row r="5992" spans="1:19" x14ac:dyDescent="0.25">
      <c r="A5992" s="27" t="s">
        <v>193</v>
      </c>
      <c r="C5992" s="27" t="s">
        <v>34749</v>
      </c>
      <c r="D5992" s="28" t="s">
        <v>34867</v>
      </c>
      <c r="P5992">
        <v>1744</v>
      </c>
      <c r="Q5992" t="s">
        <v>14072</v>
      </c>
      <c r="R5992" s="28" t="s">
        <v>14073</v>
      </c>
      <c r="S5992" t="s">
        <v>13022</v>
      </c>
    </row>
    <row r="5993" spans="1:19" x14ac:dyDescent="0.25">
      <c r="A5993" s="27" t="s">
        <v>193</v>
      </c>
      <c r="C5993" s="27" t="s">
        <v>34749</v>
      </c>
      <c r="D5993" s="28" t="s">
        <v>34867</v>
      </c>
      <c r="P5993">
        <v>1746</v>
      </c>
      <c r="Q5993" t="s">
        <v>14074</v>
      </c>
      <c r="R5993" s="28" t="s">
        <v>3677</v>
      </c>
      <c r="S5993" t="s">
        <v>13022</v>
      </c>
    </row>
    <row r="5994" spans="1:19" x14ac:dyDescent="0.25">
      <c r="A5994" s="27" t="s">
        <v>193</v>
      </c>
      <c r="C5994" s="27" t="s">
        <v>34749</v>
      </c>
      <c r="D5994" s="28" t="s">
        <v>34867</v>
      </c>
      <c r="P5994">
        <v>1747</v>
      </c>
      <c r="Q5994" t="s">
        <v>14075</v>
      </c>
      <c r="S5994" t="s">
        <v>13022</v>
      </c>
    </row>
    <row r="5995" spans="1:19" x14ac:dyDescent="0.25">
      <c r="A5995" s="27" t="s">
        <v>193</v>
      </c>
      <c r="C5995" s="27" t="s">
        <v>34749</v>
      </c>
      <c r="D5995" s="28" t="s">
        <v>34867</v>
      </c>
      <c r="P5995">
        <v>1748</v>
      </c>
      <c r="Q5995" t="s">
        <v>14076</v>
      </c>
      <c r="R5995" s="28" t="s">
        <v>14077</v>
      </c>
      <c r="S5995" t="s">
        <v>13022</v>
      </c>
    </row>
    <row r="5996" spans="1:19" x14ac:dyDescent="0.25">
      <c r="A5996" s="27" t="s">
        <v>193</v>
      </c>
      <c r="C5996" s="27" t="s">
        <v>34749</v>
      </c>
      <c r="D5996" s="28" t="s">
        <v>34867</v>
      </c>
      <c r="P5996">
        <v>1749</v>
      </c>
      <c r="Q5996" t="s">
        <v>14078</v>
      </c>
      <c r="R5996" s="28" t="s">
        <v>14079</v>
      </c>
      <c r="S5996" t="s">
        <v>13022</v>
      </c>
    </row>
    <row r="5997" spans="1:19" x14ac:dyDescent="0.25">
      <c r="A5997" s="27" t="s">
        <v>193</v>
      </c>
      <c r="C5997" s="27" t="s">
        <v>34749</v>
      </c>
      <c r="D5997" s="28" t="s">
        <v>34867</v>
      </c>
      <c r="P5997">
        <v>1750</v>
      </c>
      <c r="Q5997" t="s">
        <v>14080</v>
      </c>
      <c r="R5997" s="28" t="s">
        <v>14081</v>
      </c>
      <c r="S5997" t="s">
        <v>13022</v>
      </c>
    </row>
    <row r="5998" spans="1:19" x14ac:dyDescent="0.25">
      <c r="A5998" s="27" t="s">
        <v>193</v>
      </c>
      <c r="C5998" s="27" t="s">
        <v>34749</v>
      </c>
      <c r="D5998" s="28" t="s">
        <v>34867</v>
      </c>
      <c r="P5998">
        <v>1751</v>
      </c>
      <c r="Q5998" t="s">
        <v>14082</v>
      </c>
      <c r="R5998" s="28" t="s">
        <v>14083</v>
      </c>
      <c r="S5998" t="s">
        <v>13022</v>
      </c>
    </row>
    <row r="5999" spans="1:19" x14ac:dyDescent="0.25">
      <c r="A5999" s="27" t="s">
        <v>193</v>
      </c>
      <c r="C5999" s="27" t="s">
        <v>34749</v>
      </c>
      <c r="D5999" s="28" t="s">
        <v>34867</v>
      </c>
      <c r="P5999">
        <v>1752</v>
      </c>
      <c r="Q5999" t="s">
        <v>4581</v>
      </c>
      <c r="R5999" s="28" t="s">
        <v>4582</v>
      </c>
      <c r="S5999" t="s">
        <v>13022</v>
      </c>
    </row>
    <row r="6000" spans="1:19" x14ac:dyDescent="0.25">
      <c r="A6000" s="27" t="s">
        <v>193</v>
      </c>
      <c r="C6000" s="27" t="s">
        <v>34749</v>
      </c>
      <c r="D6000" s="28" t="s">
        <v>34867</v>
      </c>
      <c r="P6000">
        <v>1753</v>
      </c>
      <c r="Q6000" t="s">
        <v>4160</v>
      </c>
      <c r="R6000" s="28" t="s">
        <v>4161</v>
      </c>
      <c r="S6000" t="s">
        <v>13022</v>
      </c>
    </row>
    <row r="6001" spans="1:19" x14ac:dyDescent="0.25">
      <c r="A6001" s="27" t="s">
        <v>193</v>
      </c>
      <c r="C6001" s="27" t="s">
        <v>34749</v>
      </c>
      <c r="D6001" s="28" t="s">
        <v>34867</v>
      </c>
      <c r="P6001">
        <v>1754</v>
      </c>
      <c r="Q6001" t="s">
        <v>4175</v>
      </c>
      <c r="R6001" s="28" t="s">
        <v>4176</v>
      </c>
      <c r="S6001" t="s">
        <v>13022</v>
      </c>
    </row>
    <row r="6002" spans="1:19" x14ac:dyDescent="0.25">
      <c r="A6002" s="27" t="s">
        <v>193</v>
      </c>
      <c r="C6002" s="27" t="s">
        <v>34749</v>
      </c>
      <c r="D6002" s="28" t="s">
        <v>34867</v>
      </c>
      <c r="P6002">
        <v>1755</v>
      </c>
      <c r="Q6002" t="s">
        <v>4187</v>
      </c>
      <c r="R6002" s="28" t="s">
        <v>4188</v>
      </c>
      <c r="S6002" t="s">
        <v>13022</v>
      </c>
    </row>
    <row r="6003" spans="1:19" x14ac:dyDescent="0.25">
      <c r="A6003" s="27" t="s">
        <v>193</v>
      </c>
      <c r="C6003" s="27" t="s">
        <v>34749</v>
      </c>
      <c r="D6003" s="28" t="s">
        <v>34867</v>
      </c>
      <c r="P6003">
        <v>1756</v>
      </c>
      <c r="Q6003" t="s">
        <v>14084</v>
      </c>
      <c r="R6003" s="28" t="s">
        <v>14085</v>
      </c>
      <c r="S6003" t="s">
        <v>13022</v>
      </c>
    </row>
    <row r="6004" spans="1:19" x14ac:dyDescent="0.25">
      <c r="A6004" s="27" t="s">
        <v>193</v>
      </c>
      <c r="C6004" s="27" t="s">
        <v>34749</v>
      </c>
      <c r="D6004" s="28" t="s">
        <v>34867</v>
      </c>
      <c r="P6004">
        <v>1757</v>
      </c>
      <c r="Q6004" t="s">
        <v>14086</v>
      </c>
      <c r="R6004" s="28" t="s">
        <v>1924</v>
      </c>
      <c r="S6004" t="s">
        <v>13022</v>
      </c>
    </row>
    <row r="6005" spans="1:19" x14ac:dyDescent="0.25">
      <c r="A6005" s="27" t="s">
        <v>193</v>
      </c>
      <c r="C6005" s="27" t="s">
        <v>34749</v>
      </c>
      <c r="D6005" s="28" t="s">
        <v>34867</v>
      </c>
      <c r="P6005">
        <v>1758</v>
      </c>
      <c r="Q6005" t="s">
        <v>14087</v>
      </c>
      <c r="R6005" s="28" t="s">
        <v>14088</v>
      </c>
      <c r="S6005" t="s">
        <v>13022</v>
      </c>
    </row>
    <row r="6006" spans="1:19" x14ac:dyDescent="0.25">
      <c r="A6006" s="27" t="s">
        <v>193</v>
      </c>
      <c r="C6006" s="27" t="s">
        <v>34749</v>
      </c>
      <c r="D6006" s="28" t="s">
        <v>34867</v>
      </c>
      <c r="P6006">
        <v>1759</v>
      </c>
      <c r="Q6006" t="s">
        <v>14089</v>
      </c>
      <c r="S6006" t="s">
        <v>13022</v>
      </c>
    </row>
    <row r="6007" spans="1:19" x14ac:dyDescent="0.25">
      <c r="A6007" s="27" t="s">
        <v>193</v>
      </c>
      <c r="C6007" s="27" t="s">
        <v>34749</v>
      </c>
      <c r="D6007" s="28" t="s">
        <v>34867</v>
      </c>
      <c r="P6007">
        <v>1760</v>
      </c>
      <c r="Q6007" t="s">
        <v>14090</v>
      </c>
      <c r="R6007" s="28" t="s">
        <v>14091</v>
      </c>
      <c r="S6007" t="s">
        <v>13022</v>
      </c>
    </row>
    <row r="6008" spans="1:19" x14ac:dyDescent="0.25">
      <c r="A6008" s="27" t="s">
        <v>193</v>
      </c>
      <c r="C6008" s="27" t="s">
        <v>34749</v>
      </c>
      <c r="D6008" s="28" t="s">
        <v>34867</v>
      </c>
      <c r="P6008">
        <v>1761</v>
      </c>
      <c r="Q6008" t="s">
        <v>14092</v>
      </c>
      <c r="R6008" s="28" t="s">
        <v>14093</v>
      </c>
      <c r="S6008" t="s">
        <v>13022</v>
      </c>
    </row>
    <row r="6009" spans="1:19" x14ac:dyDescent="0.25">
      <c r="A6009" s="27" t="s">
        <v>193</v>
      </c>
      <c r="C6009" s="27" t="s">
        <v>34749</v>
      </c>
      <c r="D6009" s="28" t="s">
        <v>34867</v>
      </c>
      <c r="P6009">
        <v>1763</v>
      </c>
      <c r="Q6009" t="s">
        <v>14094</v>
      </c>
      <c r="R6009" s="28" t="s">
        <v>14095</v>
      </c>
      <c r="S6009" t="s">
        <v>13022</v>
      </c>
    </row>
    <row r="6010" spans="1:19" x14ac:dyDescent="0.25">
      <c r="A6010" s="27" t="s">
        <v>193</v>
      </c>
      <c r="C6010" s="27" t="s">
        <v>34749</v>
      </c>
      <c r="D6010" s="28" t="s">
        <v>34867</v>
      </c>
      <c r="P6010">
        <v>1764</v>
      </c>
      <c r="Q6010" t="s">
        <v>7507</v>
      </c>
      <c r="R6010" s="28" t="s">
        <v>7508</v>
      </c>
      <c r="S6010" t="s">
        <v>13022</v>
      </c>
    </row>
    <row r="6011" spans="1:19" x14ac:dyDescent="0.25">
      <c r="A6011" s="27" t="s">
        <v>193</v>
      </c>
      <c r="C6011" s="27" t="s">
        <v>34749</v>
      </c>
      <c r="D6011" s="28" t="s">
        <v>34867</v>
      </c>
      <c r="P6011">
        <v>1765</v>
      </c>
      <c r="Q6011" t="s">
        <v>7486</v>
      </c>
      <c r="R6011" s="28" t="s">
        <v>7487</v>
      </c>
      <c r="S6011" t="s">
        <v>13022</v>
      </c>
    </row>
    <row r="6012" spans="1:19" x14ac:dyDescent="0.25">
      <c r="A6012" s="27" t="s">
        <v>193</v>
      </c>
      <c r="C6012" s="27" t="s">
        <v>34749</v>
      </c>
      <c r="D6012" s="28" t="s">
        <v>34867</v>
      </c>
      <c r="P6012">
        <v>1766</v>
      </c>
      <c r="Q6012" t="s">
        <v>14096</v>
      </c>
      <c r="S6012" t="s">
        <v>13022</v>
      </c>
    </row>
    <row r="6013" spans="1:19" x14ac:dyDescent="0.25">
      <c r="A6013" s="27" t="s">
        <v>193</v>
      </c>
      <c r="C6013" s="27" t="s">
        <v>34749</v>
      </c>
      <c r="D6013" s="28" t="s">
        <v>34867</v>
      </c>
      <c r="P6013">
        <v>1767</v>
      </c>
      <c r="Q6013" t="s">
        <v>7579</v>
      </c>
      <c r="R6013" s="28" t="s">
        <v>7580</v>
      </c>
      <c r="S6013" t="s">
        <v>13022</v>
      </c>
    </row>
    <row r="6014" spans="1:19" x14ac:dyDescent="0.25">
      <c r="A6014" s="27" t="s">
        <v>193</v>
      </c>
      <c r="C6014" s="27" t="s">
        <v>34749</v>
      </c>
      <c r="D6014" s="28" t="s">
        <v>34867</v>
      </c>
      <c r="P6014">
        <v>1768</v>
      </c>
      <c r="Q6014" t="s">
        <v>14097</v>
      </c>
      <c r="R6014" s="28" t="s">
        <v>7612</v>
      </c>
      <c r="S6014" t="s">
        <v>13022</v>
      </c>
    </row>
    <row r="6015" spans="1:19" x14ac:dyDescent="0.25">
      <c r="A6015" s="27" t="s">
        <v>193</v>
      </c>
      <c r="C6015" s="27" t="s">
        <v>34749</v>
      </c>
      <c r="D6015" s="28" t="s">
        <v>34867</v>
      </c>
      <c r="P6015">
        <v>1769</v>
      </c>
      <c r="Q6015" t="s">
        <v>7805</v>
      </c>
      <c r="R6015" s="28" t="s">
        <v>7806</v>
      </c>
      <c r="S6015" t="s">
        <v>13022</v>
      </c>
    </row>
    <row r="6016" spans="1:19" x14ac:dyDescent="0.25">
      <c r="A6016" s="27" t="s">
        <v>193</v>
      </c>
      <c r="C6016" s="27" t="s">
        <v>34749</v>
      </c>
      <c r="D6016" s="28" t="s">
        <v>34867</v>
      </c>
      <c r="P6016">
        <v>1770</v>
      </c>
      <c r="Q6016" t="s">
        <v>14098</v>
      </c>
      <c r="S6016" t="s">
        <v>13022</v>
      </c>
    </row>
    <row r="6017" spans="1:19" x14ac:dyDescent="0.25">
      <c r="A6017" s="27" t="s">
        <v>193</v>
      </c>
      <c r="C6017" s="27" t="s">
        <v>34749</v>
      </c>
      <c r="D6017" s="28" t="s">
        <v>34867</v>
      </c>
      <c r="P6017">
        <v>1771</v>
      </c>
      <c r="Q6017" t="s">
        <v>7465</v>
      </c>
      <c r="R6017" s="28" t="s">
        <v>7466</v>
      </c>
      <c r="S6017" t="s">
        <v>13022</v>
      </c>
    </row>
    <row r="6018" spans="1:19" x14ac:dyDescent="0.25">
      <c r="A6018" s="27" t="s">
        <v>193</v>
      </c>
      <c r="C6018" s="27" t="s">
        <v>34749</v>
      </c>
      <c r="D6018" s="28" t="s">
        <v>34867</v>
      </c>
      <c r="P6018">
        <v>1772</v>
      </c>
      <c r="Q6018" t="s">
        <v>7474</v>
      </c>
      <c r="R6018" s="28" t="s">
        <v>7475</v>
      </c>
      <c r="S6018" t="s">
        <v>13022</v>
      </c>
    </row>
    <row r="6019" spans="1:19" x14ac:dyDescent="0.25">
      <c r="A6019" s="27" t="s">
        <v>193</v>
      </c>
      <c r="C6019" s="27" t="s">
        <v>34749</v>
      </c>
      <c r="D6019" s="28" t="s">
        <v>34867</v>
      </c>
      <c r="P6019">
        <v>1773</v>
      </c>
      <c r="Q6019" t="s">
        <v>14099</v>
      </c>
      <c r="S6019" t="s">
        <v>13022</v>
      </c>
    </row>
    <row r="6020" spans="1:19" x14ac:dyDescent="0.25">
      <c r="A6020" s="27" t="s">
        <v>193</v>
      </c>
      <c r="C6020" s="27" t="s">
        <v>34749</v>
      </c>
      <c r="D6020" s="28" t="s">
        <v>34867</v>
      </c>
      <c r="P6020">
        <v>1774</v>
      </c>
      <c r="Q6020" t="s">
        <v>14100</v>
      </c>
      <c r="R6020" s="28" t="s">
        <v>14101</v>
      </c>
      <c r="S6020" t="s">
        <v>13022</v>
      </c>
    </row>
    <row r="6021" spans="1:19" x14ac:dyDescent="0.25">
      <c r="A6021" s="27" t="s">
        <v>193</v>
      </c>
      <c r="C6021" s="27" t="s">
        <v>34749</v>
      </c>
      <c r="D6021" s="28" t="s">
        <v>34867</v>
      </c>
      <c r="P6021">
        <v>1775</v>
      </c>
      <c r="Q6021" t="s">
        <v>7522</v>
      </c>
      <c r="R6021" s="28" t="s">
        <v>7523</v>
      </c>
      <c r="S6021" t="s">
        <v>13022</v>
      </c>
    </row>
    <row r="6022" spans="1:19" x14ac:dyDescent="0.25">
      <c r="A6022" s="27" t="s">
        <v>193</v>
      </c>
      <c r="C6022" s="27" t="s">
        <v>34749</v>
      </c>
      <c r="D6022" s="28" t="s">
        <v>34867</v>
      </c>
      <c r="P6022">
        <v>1776</v>
      </c>
      <c r="Q6022" t="s">
        <v>14102</v>
      </c>
      <c r="R6022" s="28" t="s">
        <v>14103</v>
      </c>
      <c r="S6022" t="s">
        <v>13022</v>
      </c>
    </row>
    <row r="6023" spans="1:19" x14ac:dyDescent="0.25">
      <c r="A6023" s="27" t="s">
        <v>193</v>
      </c>
      <c r="C6023" s="27" t="s">
        <v>34749</v>
      </c>
      <c r="D6023" s="28" t="s">
        <v>34867</v>
      </c>
      <c r="P6023">
        <v>1777</v>
      </c>
      <c r="Q6023" t="s">
        <v>14104</v>
      </c>
      <c r="R6023" s="28" t="s">
        <v>14105</v>
      </c>
      <c r="S6023" t="s">
        <v>13022</v>
      </c>
    </row>
    <row r="6024" spans="1:19" x14ac:dyDescent="0.25">
      <c r="A6024" s="27" t="s">
        <v>193</v>
      </c>
      <c r="C6024" s="27" t="s">
        <v>34749</v>
      </c>
      <c r="D6024" s="28" t="s">
        <v>34867</v>
      </c>
      <c r="P6024">
        <v>1779</v>
      </c>
      <c r="Q6024" t="s">
        <v>8499</v>
      </c>
      <c r="R6024" s="28" t="s">
        <v>8500</v>
      </c>
      <c r="S6024" t="s">
        <v>13022</v>
      </c>
    </row>
    <row r="6025" spans="1:19" x14ac:dyDescent="0.25">
      <c r="A6025" s="27" t="s">
        <v>193</v>
      </c>
      <c r="C6025" s="27" t="s">
        <v>34749</v>
      </c>
      <c r="D6025" s="28" t="s">
        <v>34867</v>
      </c>
      <c r="P6025">
        <v>1780</v>
      </c>
      <c r="Q6025" t="s">
        <v>14106</v>
      </c>
      <c r="R6025" s="28" t="s">
        <v>3674</v>
      </c>
      <c r="S6025" t="s">
        <v>13022</v>
      </c>
    </row>
    <row r="6026" spans="1:19" x14ac:dyDescent="0.25">
      <c r="A6026" s="27" t="s">
        <v>193</v>
      </c>
      <c r="C6026" s="27" t="s">
        <v>34749</v>
      </c>
      <c r="D6026" s="28" t="s">
        <v>34867</v>
      </c>
      <c r="P6026">
        <v>1781</v>
      </c>
      <c r="Q6026" t="s">
        <v>14107</v>
      </c>
      <c r="R6026" s="28" t="s">
        <v>14108</v>
      </c>
      <c r="S6026" t="s">
        <v>13022</v>
      </c>
    </row>
    <row r="6027" spans="1:19" x14ac:dyDescent="0.25">
      <c r="A6027" s="27" t="s">
        <v>193</v>
      </c>
      <c r="C6027" s="27" t="s">
        <v>34749</v>
      </c>
      <c r="D6027" s="28" t="s">
        <v>34867</v>
      </c>
      <c r="P6027">
        <v>1782</v>
      </c>
      <c r="Q6027" t="s">
        <v>14109</v>
      </c>
      <c r="S6027" t="s">
        <v>13022</v>
      </c>
    </row>
    <row r="6028" spans="1:19" x14ac:dyDescent="0.25">
      <c r="A6028" s="27" t="s">
        <v>193</v>
      </c>
      <c r="C6028" s="27" t="s">
        <v>34749</v>
      </c>
      <c r="D6028" s="28" t="s">
        <v>34867</v>
      </c>
      <c r="P6028">
        <v>1783</v>
      </c>
      <c r="Q6028" t="s">
        <v>14110</v>
      </c>
      <c r="S6028" t="s">
        <v>13022</v>
      </c>
    </row>
    <row r="6029" spans="1:19" x14ac:dyDescent="0.25">
      <c r="A6029" s="27" t="s">
        <v>193</v>
      </c>
      <c r="C6029" s="27" t="s">
        <v>34749</v>
      </c>
      <c r="D6029" s="28" t="s">
        <v>34867</v>
      </c>
      <c r="P6029">
        <v>1784</v>
      </c>
      <c r="Q6029" t="s">
        <v>8688</v>
      </c>
      <c r="R6029" s="28" t="s">
        <v>8689</v>
      </c>
      <c r="S6029" t="s">
        <v>13022</v>
      </c>
    </row>
    <row r="6030" spans="1:19" x14ac:dyDescent="0.25">
      <c r="A6030" s="27" t="s">
        <v>193</v>
      </c>
      <c r="C6030" s="27" t="s">
        <v>34749</v>
      </c>
      <c r="D6030" s="28" t="s">
        <v>34867</v>
      </c>
      <c r="P6030">
        <v>1785</v>
      </c>
      <c r="Q6030" t="s">
        <v>14111</v>
      </c>
      <c r="R6030" s="28" t="s">
        <v>11946</v>
      </c>
      <c r="S6030" t="s">
        <v>13022</v>
      </c>
    </row>
    <row r="6031" spans="1:19" x14ac:dyDescent="0.25">
      <c r="A6031" s="27" t="s">
        <v>193</v>
      </c>
      <c r="C6031" s="27" t="s">
        <v>34749</v>
      </c>
      <c r="D6031" s="28" t="s">
        <v>34867</v>
      </c>
      <c r="P6031">
        <v>1786</v>
      </c>
      <c r="Q6031" t="s">
        <v>2316</v>
      </c>
      <c r="R6031" s="28" t="s">
        <v>2317</v>
      </c>
      <c r="S6031" t="s">
        <v>13022</v>
      </c>
    </row>
    <row r="6032" spans="1:19" x14ac:dyDescent="0.25">
      <c r="A6032" s="27" t="s">
        <v>193</v>
      </c>
      <c r="C6032" s="27" t="s">
        <v>34749</v>
      </c>
      <c r="D6032" s="28" t="s">
        <v>34867</v>
      </c>
      <c r="P6032">
        <v>1787</v>
      </c>
      <c r="Q6032" t="s">
        <v>2514</v>
      </c>
      <c r="R6032" s="28" t="s">
        <v>2515</v>
      </c>
      <c r="S6032" t="s">
        <v>13022</v>
      </c>
    </row>
    <row r="6033" spans="1:19" x14ac:dyDescent="0.25">
      <c r="A6033" s="27" t="s">
        <v>193</v>
      </c>
      <c r="C6033" s="27" t="s">
        <v>34749</v>
      </c>
      <c r="D6033" s="28" t="s">
        <v>34867</v>
      </c>
      <c r="P6033">
        <v>1788</v>
      </c>
      <c r="Q6033" t="s">
        <v>14112</v>
      </c>
      <c r="R6033" s="28" t="s">
        <v>14113</v>
      </c>
      <c r="S6033" t="s">
        <v>13022</v>
      </c>
    </row>
    <row r="6034" spans="1:19" x14ac:dyDescent="0.25">
      <c r="A6034" s="27" t="s">
        <v>193</v>
      </c>
      <c r="C6034" s="27" t="s">
        <v>34749</v>
      </c>
      <c r="D6034" s="28" t="s">
        <v>34867</v>
      </c>
      <c r="P6034">
        <v>1789</v>
      </c>
      <c r="Q6034" t="s">
        <v>14114</v>
      </c>
      <c r="R6034" s="28" t="s">
        <v>14115</v>
      </c>
      <c r="S6034" t="s">
        <v>13022</v>
      </c>
    </row>
    <row r="6035" spans="1:19" x14ac:dyDescent="0.25">
      <c r="A6035" s="27" t="s">
        <v>193</v>
      </c>
      <c r="C6035" s="27" t="s">
        <v>34749</v>
      </c>
      <c r="D6035" s="28" t="s">
        <v>34867</v>
      </c>
      <c r="P6035">
        <v>1792</v>
      </c>
      <c r="Q6035" t="s">
        <v>14116</v>
      </c>
      <c r="R6035" s="28" t="s">
        <v>11967</v>
      </c>
      <c r="S6035" t="s">
        <v>13022</v>
      </c>
    </row>
    <row r="6036" spans="1:19" x14ac:dyDescent="0.25">
      <c r="A6036" s="27" t="s">
        <v>193</v>
      </c>
      <c r="C6036" s="27" t="s">
        <v>34749</v>
      </c>
      <c r="D6036" s="28" t="s">
        <v>34867</v>
      </c>
      <c r="P6036">
        <v>1793</v>
      </c>
      <c r="Q6036" t="s">
        <v>14117</v>
      </c>
      <c r="R6036" s="28" t="s">
        <v>5954</v>
      </c>
      <c r="S6036" t="s">
        <v>13022</v>
      </c>
    </row>
    <row r="6037" spans="1:19" x14ac:dyDescent="0.25">
      <c r="A6037" s="27" t="s">
        <v>193</v>
      </c>
      <c r="C6037" s="27" t="s">
        <v>34749</v>
      </c>
      <c r="D6037" s="28" t="s">
        <v>34867</v>
      </c>
      <c r="P6037">
        <v>1794</v>
      </c>
      <c r="Q6037" t="s">
        <v>14118</v>
      </c>
      <c r="R6037" s="28" t="s">
        <v>4736</v>
      </c>
      <c r="S6037" t="s">
        <v>13022</v>
      </c>
    </row>
    <row r="6038" spans="1:19" x14ac:dyDescent="0.25">
      <c r="A6038" s="27" t="s">
        <v>193</v>
      </c>
      <c r="C6038" s="27" t="s">
        <v>34749</v>
      </c>
      <c r="D6038" s="28" t="s">
        <v>34867</v>
      </c>
      <c r="P6038">
        <v>1795</v>
      </c>
      <c r="Q6038" t="s">
        <v>14119</v>
      </c>
      <c r="R6038" s="28" t="s">
        <v>14120</v>
      </c>
      <c r="S6038" t="s">
        <v>13022</v>
      </c>
    </row>
    <row r="6039" spans="1:19" x14ac:dyDescent="0.25">
      <c r="A6039" s="27" t="s">
        <v>193</v>
      </c>
      <c r="C6039" s="27" t="s">
        <v>34749</v>
      </c>
      <c r="D6039" s="28" t="s">
        <v>34867</v>
      </c>
      <c r="P6039">
        <v>1796</v>
      </c>
      <c r="Q6039" t="s">
        <v>14121</v>
      </c>
      <c r="R6039" s="28" t="s">
        <v>14122</v>
      </c>
      <c r="S6039" t="s">
        <v>13022</v>
      </c>
    </row>
    <row r="6040" spans="1:19" x14ac:dyDescent="0.25">
      <c r="A6040" s="27" t="s">
        <v>193</v>
      </c>
      <c r="C6040" s="27" t="s">
        <v>34749</v>
      </c>
      <c r="D6040" s="28" t="s">
        <v>34867</v>
      </c>
      <c r="P6040">
        <v>1797</v>
      </c>
      <c r="Q6040" t="s">
        <v>14123</v>
      </c>
      <c r="R6040" s="28" t="s">
        <v>9091</v>
      </c>
      <c r="S6040" t="s">
        <v>13022</v>
      </c>
    </row>
    <row r="6041" spans="1:19" x14ac:dyDescent="0.25">
      <c r="A6041" s="27" t="s">
        <v>193</v>
      </c>
      <c r="C6041" s="27" t="s">
        <v>34749</v>
      </c>
      <c r="D6041" s="28" t="s">
        <v>34867</v>
      </c>
      <c r="P6041">
        <v>1798</v>
      </c>
      <c r="Q6041" t="s">
        <v>14124</v>
      </c>
      <c r="R6041" s="28" t="s">
        <v>1228</v>
      </c>
      <c r="S6041" t="s">
        <v>13022</v>
      </c>
    </row>
    <row r="6042" spans="1:19" x14ac:dyDescent="0.25">
      <c r="A6042" s="27" t="s">
        <v>193</v>
      </c>
      <c r="C6042" s="27" t="s">
        <v>34749</v>
      </c>
      <c r="D6042" s="28" t="s">
        <v>34867</v>
      </c>
      <c r="P6042">
        <v>1800</v>
      </c>
      <c r="Q6042" t="s">
        <v>14125</v>
      </c>
      <c r="R6042" s="28" t="s">
        <v>14126</v>
      </c>
      <c r="S6042" t="s">
        <v>13022</v>
      </c>
    </row>
    <row r="6043" spans="1:19" x14ac:dyDescent="0.25">
      <c r="A6043" s="27" t="s">
        <v>193</v>
      </c>
      <c r="C6043" s="27" t="s">
        <v>34749</v>
      </c>
      <c r="D6043" s="28" t="s">
        <v>34867</v>
      </c>
      <c r="P6043">
        <v>1801</v>
      </c>
      <c r="Q6043" t="s">
        <v>14127</v>
      </c>
      <c r="R6043" s="28" t="s">
        <v>14128</v>
      </c>
      <c r="S6043" t="s">
        <v>13022</v>
      </c>
    </row>
    <row r="6044" spans="1:19" x14ac:dyDescent="0.25">
      <c r="A6044" s="27" t="s">
        <v>193</v>
      </c>
      <c r="C6044" s="27" t="s">
        <v>34749</v>
      </c>
      <c r="D6044" s="28" t="s">
        <v>34867</v>
      </c>
      <c r="P6044">
        <v>1802</v>
      </c>
      <c r="Q6044" t="s">
        <v>1071</v>
      </c>
      <c r="R6044" s="28" t="s">
        <v>1072</v>
      </c>
      <c r="S6044" t="s">
        <v>13022</v>
      </c>
    </row>
    <row r="6045" spans="1:19" x14ac:dyDescent="0.25">
      <c r="A6045" s="27" t="s">
        <v>193</v>
      </c>
      <c r="C6045" s="27" t="s">
        <v>34749</v>
      </c>
      <c r="D6045" s="28" t="s">
        <v>34867</v>
      </c>
      <c r="P6045">
        <v>1803</v>
      </c>
      <c r="Q6045" t="s">
        <v>14129</v>
      </c>
      <c r="S6045" t="s">
        <v>13022</v>
      </c>
    </row>
    <row r="6046" spans="1:19" x14ac:dyDescent="0.25">
      <c r="A6046" s="27" t="s">
        <v>193</v>
      </c>
      <c r="C6046" s="27" t="s">
        <v>34749</v>
      </c>
      <c r="D6046" s="28" t="s">
        <v>34867</v>
      </c>
      <c r="P6046">
        <v>1804</v>
      </c>
      <c r="Q6046" t="s">
        <v>1371</v>
      </c>
      <c r="R6046" s="28" t="s">
        <v>1372</v>
      </c>
      <c r="S6046" t="s">
        <v>13022</v>
      </c>
    </row>
    <row r="6047" spans="1:19" x14ac:dyDescent="0.25">
      <c r="A6047" s="27" t="s">
        <v>193</v>
      </c>
      <c r="C6047" s="27" t="s">
        <v>34749</v>
      </c>
      <c r="D6047" s="28" t="s">
        <v>34867</v>
      </c>
      <c r="P6047">
        <v>1805</v>
      </c>
      <c r="Q6047" t="s">
        <v>14130</v>
      </c>
      <c r="S6047" t="s">
        <v>13022</v>
      </c>
    </row>
    <row r="6048" spans="1:19" x14ac:dyDescent="0.25">
      <c r="A6048" s="27" t="s">
        <v>193</v>
      </c>
      <c r="C6048" s="27" t="s">
        <v>34749</v>
      </c>
      <c r="D6048" s="28" t="s">
        <v>34867</v>
      </c>
      <c r="P6048">
        <v>1806</v>
      </c>
      <c r="Q6048" t="s">
        <v>14131</v>
      </c>
      <c r="S6048" t="s">
        <v>13022</v>
      </c>
    </row>
    <row r="6049" spans="1:19" x14ac:dyDescent="0.25">
      <c r="A6049" s="27" t="s">
        <v>193</v>
      </c>
      <c r="C6049" s="27" t="s">
        <v>34749</v>
      </c>
      <c r="D6049" s="28" t="s">
        <v>34867</v>
      </c>
      <c r="P6049">
        <v>1807</v>
      </c>
      <c r="Q6049" t="s">
        <v>14132</v>
      </c>
      <c r="R6049" s="28" t="s">
        <v>14133</v>
      </c>
      <c r="S6049" t="s">
        <v>13022</v>
      </c>
    </row>
    <row r="6050" spans="1:19" x14ac:dyDescent="0.25">
      <c r="A6050" s="27" t="s">
        <v>193</v>
      </c>
      <c r="C6050" s="27" t="s">
        <v>34749</v>
      </c>
      <c r="D6050" s="28" t="s">
        <v>34867</v>
      </c>
      <c r="P6050">
        <v>1809</v>
      </c>
      <c r="Q6050" t="s">
        <v>14134</v>
      </c>
      <c r="R6050" s="28" t="s">
        <v>14135</v>
      </c>
      <c r="S6050" t="s">
        <v>13022</v>
      </c>
    </row>
    <row r="6051" spans="1:19" x14ac:dyDescent="0.25">
      <c r="A6051" s="27" t="s">
        <v>193</v>
      </c>
      <c r="C6051" s="27" t="s">
        <v>34749</v>
      </c>
      <c r="D6051" s="28" t="s">
        <v>34867</v>
      </c>
      <c r="P6051">
        <v>1810</v>
      </c>
      <c r="Q6051" t="s">
        <v>14136</v>
      </c>
      <c r="R6051" s="28" t="s">
        <v>14137</v>
      </c>
      <c r="S6051" t="s">
        <v>13022</v>
      </c>
    </row>
    <row r="6052" spans="1:19" x14ac:dyDescent="0.25">
      <c r="A6052" s="27" t="s">
        <v>193</v>
      </c>
      <c r="C6052" s="27" t="s">
        <v>34749</v>
      </c>
      <c r="D6052" s="28" t="s">
        <v>34867</v>
      </c>
      <c r="P6052">
        <v>1811</v>
      </c>
      <c r="Q6052" t="s">
        <v>3757</v>
      </c>
      <c r="R6052" s="28" t="s">
        <v>3758</v>
      </c>
      <c r="S6052" t="s">
        <v>13022</v>
      </c>
    </row>
    <row r="6053" spans="1:19" x14ac:dyDescent="0.25">
      <c r="A6053" s="27" t="s">
        <v>193</v>
      </c>
      <c r="C6053" s="27" t="s">
        <v>34749</v>
      </c>
      <c r="D6053" s="28" t="s">
        <v>34867</v>
      </c>
      <c r="P6053">
        <v>1812</v>
      </c>
      <c r="Q6053" t="s">
        <v>14138</v>
      </c>
      <c r="R6053" s="28" t="s">
        <v>3740</v>
      </c>
      <c r="S6053" t="s">
        <v>13022</v>
      </c>
    </row>
    <row r="6054" spans="1:19" x14ac:dyDescent="0.25">
      <c r="A6054" s="27" t="s">
        <v>193</v>
      </c>
      <c r="C6054" s="27" t="s">
        <v>34749</v>
      </c>
      <c r="D6054" s="28" t="s">
        <v>34867</v>
      </c>
      <c r="P6054">
        <v>1813</v>
      </c>
      <c r="Q6054" t="s">
        <v>14139</v>
      </c>
      <c r="R6054" s="28" t="s">
        <v>2503</v>
      </c>
      <c r="S6054" t="s">
        <v>13022</v>
      </c>
    </row>
    <row r="6055" spans="1:19" x14ac:dyDescent="0.25">
      <c r="A6055" s="27" t="s">
        <v>193</v>
      </c>
      <c r="C6055" s="27" t="s">
        <v>34749</v>
      </c>
      <c r="D6055" s="28" t="s">
        <v>34867</v>
      </c>
      <c r="P6055">
        <v>1814</v>
      </c>
      <c r="Q6055" t="s">
        <v>14140</v>
      </c>
      <c r="R6055" s="28" t="s">
        <v>14141</v>
      </c>
      <c r="S6055" t="s">
        <v>13022</v>
      </c>
    </row>
    <row r="6056" spans="1:19" x14ac:dyDescent="0.25">
      <c r="A6056" s="27" t="s">
        <v>193</v>
      </c>
      <c r="C6056" s="27" t="s">
        <v>34749</v>
      </c>
      <c r="D6056" s="28" t="s">
        <v>34867</v>
      </c>
      <c r="P6056">
        <v>1815</v>
      </c>
      <c r="Q6056" t="s">
        <v>14142</v>
      </c>
      <c r="S6056" t="s">
        <v>13022</v>
      </c>
    </row>
    <row r="6057" spans="1:19" x14ac:dyDescent="0.25">
      <c r="A6057" s="27" t="s">
        <v>193</v>
      </c>
      <c r="C6057" s="27" t="s">
        <v>34749</v>
      </c>
      <c r="D6057" s="28" t="s">
        <v>34867</v>
      </c>
      <c r="P6057">
        <v>1816</v>
      </c>
      <c r="Q6057" t="s">
        <v>14143</v>
      </c>
      <c r="S6057" t="s">
        <v>13022</v>
      </c>
    </row>
    <row r="6058" spans="1:19" x14ac:dyDescent="0.25">
      <c r="A6058" s="27" t="s">
        <v>193</v>
      </c>
      <c r="C6058" s="27" t="s">
        <v>34749</v>
      </c>
      <c r="D6058" s="28" t="s">
        <v>34867</v>
      </c>
      <c r="P6058">
        <v>1818</v>
      </c>
      <c r="Q6058" t="s">
        <v>14144</v>
      </c>
      <c r="S6058" t="s">
        <v>13022</v>
      </c>
    </row>
    <row r="6059" spans="1:19" x14ac:dyDescent="0.25">
      <c r="A6059" s="27" t="s">
        <v>193</v>
      </c>
      <c r="C6059" s="27" t="s">
        <v>34749</v>
      </c>
      <c r="D6059" s="28" t="s">
        <v>34867</v>
      </c>
      <c r="P6059">
        <v>1819</v>
      </c>
      <c r="Q6059" t="s">
        <v>14145</v>
      </c>
      <c r="S6059" t="s">
        <v>13022</v>
      </c>
    </row>
    <row r="6060" spans="1:19" x14ac:dyDescent="0.25">
      <c r="A6060" s="27" t="s">
        <v>193</v>
      </c>
      <c r="C6060" s="27" t="s">
        <v>34749</v>
      </c>
      <c r="D6060" s="28" t="s">
        <v>34867</v>
      </c>
      <c r="P6060">
        <v>1820</v>
      </c>
      <c r="Q6060" t="s">
        <v>14146</v>
      </c>
      <c r="S6060" t="s">
        <v>13022</v>
      </c>
    </row>
    <row r="6061" spans="1:19" x14ac:dyDescent="0.25">
      <c r="A6061" s="27" t="s">
        <v>193</v>
      </c>
      <c r="C6061" s="27" t="s">
        <v>34749</v>
      </c>
      <c r="D6061" s="28" t="s">
        <v>34867</v>
      </c>
      <c r="P6061">
        <v>1821</v>
      </c>
      <c r="Q6061" t="s">
        <v>14147</v>
      </c>
      <c r="R6061" s="28" t="s">
        <v>1912</v>
      </c>
      <c r="S6061" t="s">
        <v>13022</v>
      </c>
    </row>
    <row r="6062" spans="1:19" x14ac:dyDescent="0.25">
      <c r="A6062" s="27" t="s">
        <v>193</v>
      </c>
      <c r="C6062" s="27" t="s">
        <v>34749</v>
      </c>
      <c r="D6062" s="28" t="s">
        <v>34867</v>
      </c>
      <c r="P6062">
        <v>1822</v>
      </c>
      <c r="Q6062" t="s">
        <v>14148</v>
      </c>
      <c r="R6062" s="28" t="s">
        <v>3743</v>
      </c>
      <c r="S6062" t="s">
        <v>13022</v>
      </c>
    </row>
    <row r="6063" spans="1:19" x14ac:dyDescent="0.25">
      <c r="A6063" s="27" t="s">
        <v>193</v>
      </c>
      <c r="C6063" s="27" t="s">
        <v>34749</v>
      </c>
      <c r="D6063" s="28" t="s">
        <v>34867</v>
      </c>
      <c r="P6063">
        <v>1823</v>
      </c>
      <c r="Q6063" t="s">
        <v>14149</v>
      </c>
      <c r="S6063" t="s">
        <v>13022</v>
      </c>
    </row>
    <row r="6064" spans="1:19" x14ac:dyDescent="0.25">
      <c r="A6064" s="27" t="s">
        <v>193</v>
      </c>
      <c r="C6064" s="27" t="s">
        <v>34749</v>
      </c>
      <c r="D6064" s="28" t="s">
        <v>34867</v>
      </c>
      <c r="P6064">
        <v>1824</v>
      </c>
      <c r="Q6064" t="s">
        <v>3601</v>
      </c>
      <c r="R6064" s="28" t="s">
        <v>3602</v>
      </c>
      <c r="S6064" t="s">
        <v>13022</v>
      </c>
    </row>
    <row r="6065" spans="1:19" x14ac:dyDescent="0.25">
      <c r="A6065" s="27" t="s">
        <v>193</v>
      </c>
      <c r="C6065" s="27" t="s">
        <v>34749</v>
      </c>
      <c r="D6065" s="28" t="s">
        <v>34867</v>
      </c>
      <c r="P6065">
        <v>1825</v>
      </c>
      <c r="Q6065" t="s">
        <v>14150</v>
      </c>
      <c r="S6065" t="s">
        <v>13022</v>
      </c>
    </row>
    <row r="6066" spans="1:19" x14ac:dyDescent="0.25">
      <c r="A6066" s="27" t="s">
        <v>193</v>
      </c>
      <c r="C6066" s="27" t="s">
        <v>34749</v>
      </c>
      <c r="D6066" s="28" t="s">
        <v>34867</v>
      </c>
      <c r="P6066">
        <v>1826</v>
      </c>
      <c r="Q6066" t="s">
        <v>14151</v>
      </c>
      <c r="R6066" s="28" t="s">
        <v>7490</v>
      </c>
      <c r="S6066" t="s">
        <v>13022</v>
      </c>
    </row>
    <row r="6067" spans="1:19" x14ac:dyDescent="0.25">
      <c r="A6067" s="27" t="s">
        <v>193</v>
      </c>
      <c r="C6067" s="27" t="s">
        <v>34749</v>
      </c>
      <c r="D6067" s="28" t="s">
        <v>34867</v>
      </c>
      <c r="P6067">
        <v>1827</v>
      </c>
      <c r="Q6067" t="s">
        <v>14152</v>
      </c>
      <c r="R6067" s="28" t="s">
        <v>14153</v>
      </c>
      <c r="S6067" t="s">
        <v>13022</v>
      </c>
    </row>
    <row r="6068" spans="1:19" x14ac:dyDescent="0.25">
      <c r="A6068" s="27" t="s">
        <v>193</v>
      </c>
      <c r="C6068" s="27" t="s">
        <v>34749</v>
      </c>
      <c r="D6068" s="28" t="s">
        <v>34867</v>
      </c>
      <c r="P6068">
        <v>1828</v>
      </c>
      <c r="Q6068" t="s">
        <v>8679</v>
      </c>
      <c r="R6068" s="28" t="s">
        <v>8680</v>
      </c>
      <c r="S6068" t="s">
        <v>13022</v>
      </c>
    </row>
    <row r="6069" spans="1:19" x14ac:dyDescent="0.25">
      <c r="A6069" s="27" t="s">
        <v>193</v>
      </c>
      <c r="C6069" s="27" t="s">
        <v>34749</v>
      </c>
      <c r="D6069" s="28" t="s">
        <v>34867</v>
      </c>
      <c r="P6069">
        <v>1829</v>
      </c>
      <c r="Q6069" t="s">
        <v>11939</v>
      </c>
      <c r="R6069" s="28" t="s">
        <v>11940</v>
      </c>
      <c r="S6069" t="s">
        <v>13022</v>
      </c>
    </row>
    <row r="6070" spans="1:19" x14ac:dyDescent="0.25">
      <c r="A6070" s="27" t="s">
        <v>193</v>
      </c>
      <c r="C6070" s="27" t="s">
        <v>34749</v>
      </c>
      <c r="D6070" s="28" t="s">
        <v>34867</v>
      </c>
      <c r="P6070">
        <v>1830</v>
      </c>
      <c r="Q6070" t="s">
        <v>14154</v>
      </c>
      <c r="R6070" s="28" t="s">
        <v>14155</v>
      </c>
      <c r="S6070" t="s">
        <v>13022</v>
      </c>
    </row>
    <row r="6071" spans="1:19" x14ac:dyDescent="0.25">
      <c r="A6071" s="27" t="s">
        <v>193</v>
      </c>
      <c r="C6071" s="27" t="s">
        <v>34749</v>
      </c>
      <c r="D6071" s="28" t="s">
        <v>34867</v>
      </c>
      <c r="P6071">
        <v>1832</v>
      </c>
      <c r="Q6071" t="s">
        <v>990</v>
      </c>
      <c r="R6071" s="28" t="s">
        <v>991</v>
      </c>
      <c r="S6071" t="s">
        <v>13022</v>
      </c>
    </row>
    <row r="6072" spans="1:19" x14ac:dyDescent="0.25">
      <c r="A6072" s="27" t="s">
        <v>193</v>
      </c>
      <c r="C6072" s="27" t="s">
        <v>34749</v>
      </c>
      <c r="D6072" s="28" t="s">
        <v>34867</v>
      </c>
      <c r="P6072">
        <v>1834</v>
      </c>
      <c r="Q6072" t="s">
        <v>7414</v>
      </c>
      <c r="R6072" s="28" t="s">
        <v>7415</v>
      </c>
      <c r="S6072" t="s">
        <v>13022</v>
      </c>
    </row>
    <row r="6073" spans="1:19" x14ac:dyDescent="0.25">
      <c r="A6073" s="27" t="s">
        <v>193</v>
      </c>
      <c r="C6073" s="27" t="s">
        <v>34749</v>
      </c>
      <c r="D6073" s="28" t="s">
        <v>34867</v>
      </c>
      <c r="P6073">
        <v>1835</v>
      </c>
      <c r="Q6073" t="s">
        <v>3181</v>
      </c>
      <c r="R6073" s="28" t="s">
        <v>3182</v>
      </c>
      <c r="S6073" t="s">
        <v>13022</v>
      </c>
    </row>
    <row r="6074" spans="1:19" x14ac:dyDescent="0.25">
      <c r="A6074" s="27" t="s">
        <v>193</v>
      </c>
      <c r="C6074" s="27" t="s">
        <v>34749</v>
      </c>
      <c r="D6074" s="28" t="s">
        <v>34867</v>
      </c>
      <c r="P6074">
        <v>1836</v>
      </c>
      <c r="Q6074" t="s">
        <v>14156</v>
      </c>
      <c r="R6074" s="28" t="s">
        <v>14157</v>
      </c>
      <c r="S6074" t="s">
        <v>13022</v>
      </c>
    </row>
    <row r="6075" spans="1:19" x14ac:dyDescent="0.25">
      <c r="A6075" s="27" t="s">
        <v>193</v>
      </c>
      <c r="C6075" s="27" t="s">
        <v>34749</v>
      </c>
      <c r="D6075" s="28" t="s">
        <v>34867</v>
      </c>
      <c r="P6075">
        <v>1837</v>
      </c>
      <c r="Q6075" t="s">
        <v>14158</v>
      </c>
      <c r="R6075" s="28" t="s">
        <v>14159</v>
      </c>
      <c r="S6075" t="s">
        <v>13022</v>
      </c>
    </row>
    <row r="6076" spans="1:19" x14ac:dyDescent="0.25">
      <c r="A6076" s="27" t="s">
        <v>193</v>
      </c>
      <c r="C6076" s="27" t="s">
        <v>34749</v>
      </c>
      <c r="D6076" s="28" t="s">
        <v>34867</v>
      </c>
      <c r="P6076">
        <v>1838</v>
      </c>
      <c r="Q6076" t="s">
        <v>14160</v>
      </c>
      <c r="R6076" s="28" t="s">
        <v>1840</v>
      </c>
      <c r="S6076" t="s">
        <v>13022</v>
      </c>
    </row>
    <row r="6077" spans="1:19" x14ac:dyDescent="0.25">
      <c r="A6077" s="27" t="s">
        <v>193</v>
      </c>
      <c r="C6077" s="27" t="s">
        <v>34749</v>
      </c>
      <c r="D6077" s="28" t="s">
        <v>34867</v>
      </c>
      <c r="P6077">
        <v>1839</v>
      </c>
      <c r="Q6077" t="s">
        <v>14161</v>
      </c>
      <c r="R6077" s="28" t="s">
        <v>14162</v>
      </c>
      <c r="S6077" t="s">
        <v>13022</v>
      </c>
    </row>
    <row r="6078" spans="1:19" x14ac:dyDescent="0.25">
      <c r="A6078" s="27" t="s">
        <v>193</v>
      </c>
      <c r="C6078" s="27" t="s">
        <v>34749</v>
      </c>
      <c r="D6078" s="28" t="s">
        <v>34867</v>
      </c>
      <c r="P6078">
        <v>1840</v>
      </c>
      <c r="Q6078" t="s">
        <v>14163</v>
      </c>
      <c r="S6078" t="s">
        <v>13022</v>
      </c>
    </row>
    <row r="6079" spans="1:19" x14ac:dyDescent="0.25">
      <c r="A6079" s="27" t="s">
        <v>193</v>
      </c>
      <c r="C6079" s="27" t="s">
        <v>34749</v>
      </c>
      <c r="D6079" s="28" t="s">
        <v>34867</v>
      </c>
      <c r="P6079">
        <v>1841</v>
      </c>
      <c r="Q6079" t="s">
        <v>14164</v>
      </c>
      <c r="S6079" t="s">
        <v>13022</v>
      </c>
    </row>
    <row r="6080" spans="1:19" x14ac:dyDescent="0.25">
      <c r="A6080" s="27" t="s">
        <v>193</v>
      </c>
      <c r="C6080" s="27" t="s">
        <v>34749</v>
      </c>
      <c r="D6080" s="28" t="s">
        <v>34867</v>
      </c>
      <c r="P6080">
        <v>1842</v>
      </c>
      <c r="Q6080" t="s">
        <v>14165</v>
      </c>
      <c r="R6080" s="28" t="s">
        <v>14166</v>
      </c>
      <c r="S6080" t="s">
        <v>13022</v>
      </c>
    </row>
    <row r="6081" spans="1:19" x14ac:dyDescent="0.25">
      <c r="A6081" s="27" t="s">
        <v>193</v>
      </c>
      <c r="C6081" s="27" t="s">
        <v>34749</v>
      </c>
      <c r="D6081" s="28" t="s">
        <v>34867</v>
      </c>
      <c r="P6081">
        <v>1843</v>
      </c>
      <c r="Q6081" t="s">
        <v>14167</v>
      </c>
      <c r="R6081" s="28" t="s">
        <v>14168</v>
      </c>
      <c r="S6081" t="s">
        <v>13022</v>
      </c>
    </row>
    <row r="6082" spans="1:19" x14ac:dyDescent="0.25">
      <c r="A6082" s="27" t="s">
        <v>193</v>
      </c>
      <c r="C6082" s="27" t="s">
        <v>34749</v>
      </c>
      <c r="D6082" s="28" t="s">
        <v>34867</v>
      </c>
      <c r="P6082">
        <v>1844</v>
      </c>
      <c r="Q6082" t="s">
        <v>14169</v>
      </c>
      <c r="S6082" t="s">
        <v>13022</v>
      </c>
    </row>
    <row r="6083" spans="1:19" x14ac:dyDescent="0.25">
      <c r="A6083" s="27" t="s">
        <v>193</v>
      </c>
      <c r="C6083" s="27" t="s">
        <v>34749</v>
      </c>
      <c r="D6083" s="28" t="s">
        <v>34867</v>
      </c>
      <c r="P6083">
        <v>1845</v>
      </c>
      <c r="Q6083" t="s">
        <v>14170</v>
      </c>
      <c r="S6083" t="s">
        <v>13022</v>
      </c>
    </row>
    <row r="6084" spans="1:19" x14ac:dyDescent="0.25">
      <c r="A6084" s="27" t="s">
        <v>193</v>
      </c>
      <c r="C6084" s="27" t="s">
        <v>34749</v>
      </c>
      <c r="D6084" s="28" t="s">
        <v>34867</v>
      </c>
      <c r="P6084">
        <v>1846</v>
      </c>
      <c r="Q6084" t="s">
        <v>14171</v>
      </c>
      <c r="S6084" t="s">
        <v>13022</v>
      </c>
    </row>
    <row r="6085" spans="1:19" x14ac:dyDescent="0.25">
      <c r="A6085" s="27" t="s">
        <v>193</v>
      </c>
      <c r="C6085" s="27" t="s">
        <v>34749</v>
      </c>
      <c r="D6085" s="28" t="s">
        <v>34867</v>
      </c>
      <c r="P6085">
        <v>1847</v>
      </c>
      <c r="Q6085" t="s">
        <v>2403</v>
      </c>
      <c r="R6085" s="28" t="s">
        <v>2404</v>
      </c>
      <c r="S6085" t="s">
        <v>13022</v>
      </c>
    </row>
    <row r="6086" spans="1:19" x14ac:dyDescent="0.25">
      <c r="A6086" s="27" t="s">
        <v>193</v>
      </c>
      <c r="C6086" s="27" t="s">
        <v>34749</v>
      </c>
      <c r="D6086" s="28" t="s">
        <v>34867</v>
      </c>
      <c r="P6086">
        <v>1848</v>
      </c>
      <c r="Q6086" t="s">
        <v>14172</v>
      </c>
      <c r="R6086" s="28" t="s">
        <v>14173</v>
      </c>
      <c r="S6086" t="s">
        <v>13022</v>
      </c>
    </row>
    <row r="6087" spans="1:19" x14ac:dyDescent="0.25">
      <c r="A6087" s="27" t="s">
        <v>193</v>
      </c>
      <c r="C6087" s="27" t="s">
        <v>34749</v>
      </c>
      <c r="D6087" s="28" t="s">
        <v>34867</v>
      </c>
      <c r="P6087">
        <v>1849</v>
      </c>
      <c r="Q6087" t="s">
        <v>14174</v>
      </c>
      <c r="R6087" s="28" t="s">
        <v>14175</v>
      </c>
      <c r="S6087" t="s">
        <v>13022</v>
      </c>
    </row>
    <row r="6088" spans="1:19" x14ac:dyDescent="0.25">
      <c r="A6088" s="27" t="s">
        <v>193</v>
      </c>
      <c r="C6088" s="27" t="s">
        <v>34749</v>
      </c>
      <c r="D6088" s="28" t="s">
        <v>34867</v>
      </c>
      <c r="P6088">
        <v>1850</v>
      </c>
      <c r="Q6088" t="s">
        <v>14176</v>
      </c>
      <c r="R6088" s="28" t="s">
        <v>14177</v>
      </c>
      <c r="S6088" t="s">
        <v>13022</v>
      </c>
    </row>
    <row r="6089" spans="1:19" x14ac:dyDescent="0.25">
      <c r="A6089" s="27" t="s">
        <v>193</v>
      </c>
      <c r="C6089" s="27" t="s">
        <v>34749</v>
      </c>
      <c r="D6089" s="28" t="s">
        <v>34867</v>
      </c>
      <c r="P6089">
        <v>1851</v>
      </c>
      <c r="Q6089" t="s">
        <v>14178</v>
      </c>
      <c r="R6089" s="28" t="s">
        <v>14179</v>
      </c>
      <c r="S6089" t="s">
        <v>13022</v>
      </c>
    </row>
    <row r="6090" spans="1:19" x14ac:dyDescent="0.25">
      <c r="A6090" s="27" t="s">
        <v>193</v>
      </c>
      <c r="C6090" s="27" t="s">
        <v>34749</v>
      </c>
      <c r="D6090" s="28" t="s">
        <v>34867</v>
      </c>
      <c r="P6090">
        <v>1852</v>
      </c>
      <c r="Q6090" t="s">
        <v>14180</v>
      </c>
      <c r="R6090" s="28" t="s">
        <v>14181</v>
      </c>
      <c r="S6090" t="s">
        <v>13022</v>
      </c>
    </row>
    <row r="6091" spans="1:19" x14ac:dyDescent="0.25">
      <c r="A6091" s="27" t="s">
        <v>193</v>
      </c>
      <c r="C6091" s="27" t="s">
        <v>34749</v>
      </c>
      <c r="D6091" s="28" t="s">
        <v>34867</v>
      </c>
      <c r="P6091">
        <v>1853</v>
      </c>
      <c r="Q6091" t="s">
        <v>14182</v>
      </c>
      <c r="S6091" t="s">
        <v>13022</v>
      </c>
    </row>
    <row r="6092" spans="1:19" x14ac:dyDescent="0.25">
      <c r="A6092" s="27" t="s">
        <v>193</v>
      </c>
      <c r="C6092" s="27" t="s">
        <v>34749</v>
      </c>
      <c r="D6092" s="28" t="s">
        <v>34867</v>
      </c>
      <c r="P6092">
        <v>1854</v>
      </c>
      <c r="Q6092" t="s">
        <v>14183</v>
      </c>
      <c r="S6092" t="s">
        <v>13022</v>
      </c>
    </row>
    <row r="6093" spans="1:19" x14ac:dyDescent="0.25">
      <c r="A6093" s="27" t="s">
        <v>193</v>
      </c>
      <c r="C6093" s="27" t="s">
        <v>34749</v>
      </c>
      <c r="D6093" s="28" t="s">
        <v>34867</v>
      </c>
      <c r="P6093">
        <v>1855</v>
      </c>
      <c r="Q6093" t="s">
        <v>14184</v>
      </c>
      <c r="S6093" t="s">
        <v>13022</v>
      </c>
    </row>
    <row r="6094" spans="1:19" x14ac:dyDescent="0.25">
      <c r="A6094" s="27" t="s">
        <v>193</v>
      </c>
      <c r="C6094" s="27" t="s">
        <v>34749</v>
      </c>
      <c r="D6094" s="28" t="s">
        <v>34867</v>
      </c>
      <c r="P6094">
        <v>1856</v>
      </c>
      <c r="Q6094" t="s">
        <v>14185</v>
      </c>
      <c r="R6094" s="28" t="s">
        <v>14186</v>
      </c>
      <c r="S6094" t="s">
        <v>13022</v>
      </c>
    </row>
    <row r="6095" spans="1:19" x14ac:dyDescent="0.25">
      <c r="A6095" s="27" t="s">
        <v>193</v>
      </c>
      <c r="C6095" s="27" t="s">
        <v>34749</v>
      </c>
      <c r="D6095" s="28" t="s">
        <v>34867</v>
      </c>
      <c r="P6095">
        <v>1857</v>
      </c>
      <c r="Q6095" t="s">
        <v>14187</v>
      </c>
      <c r="S6095" t="s">
        <v>13022</v>
      </c>
    </row>
    <row r="6096" spans="1:19" x14ac:dyDescent="0.25">
      <c r="A6096" s="27" t="s">
        <v>193</v>
      </c>
      <c r="C6096" s="27" t="s">
        <v>34749</v>
      </c>
      <c r="D6096" s="28" t="s">
        <v>34867</v>
      </c>
      <c r="P6096">
        <v>1858</v>
      </c>
      <c r="Q6096" t="s">
        <v>14188</v>
      </c>
      <c r="R6096" s="28" t="s">
        <v>14189</v>
      </c>
      <c r="S6096" t="s">
        <v>13022</v>
      </c>
    </row>
    <row r="6097" spans="1:19" x14ac:dyDescent="0.25">
      <c r="A6097" s="27" t="s">
        <v>193</v>
      </c>
      <c r="C6097" s="27" t="s">
        <v>34749</v>
      </c>
      <c r="D6097" s="28" t="s">
        <v>34867</v>
      </c>
      <c r="P6097">
        <v>1859</v>
      </c>
      <c r="Q6097" t="s">
        <v>14190</v>
      </c>
      <c r="S6097" t="s">
        <v>13022</v>
      </c>
    </row>
    <row r="6098" spans="1:19" x14ac:dyDescent="0.25">
      <c r="A6098" s="27" t="s">
        <v>193</v>
      </c>
      <c r="C6098" s="27" t="s">
        <v>34749</v>
      </c>
      <c r="D6098" s="28" t="s">
        <v>34867</v>
      </c>
      <c r="P6098">
        <v>1860</v>
      </c>
      <c r="Q6098" t="s">
        <v>8784</v>
      </c>
      <c r="R6098" s="28" t="s">
        <v>8785</v>
      </c>
      <c r="S6098" t="s">
        <v>13022</v>
      </c>
    </row>
    <row r="6099" spans="1:19" x14ac:dyDescent="0.25">
      <c r="A6099" s="27" t="s">
        <v>193</v>
      </c>
      <c r="C6099" s="27" t="s">
        <v>34749</v>
      </c>
      <c r="D6099" s="28" t="s">
        <v>34867</v>
      </c>
      <c r="P6099">
        <v>1861</v>
      </c>
      <c r="Q6099" t="s">
        <v>14191</v>
      </c>
      <c r="S6099" t="s">
        <v>13022</v>
      </c>
    </row>
    <row r="6100" spans="1:19" x14ac:dyDescent="0.25">
      <c r="A6100" s="27" t="s">
        <v>193</v>
      </c>
      <c r="C6100" s="27" t="s">
        <v>34749</v>
      </c>
      <c r="D6100" s="28" t="s">
        <v>34867</v>
      </c>
      <c r="P6100">
        <v>1862</v>
      </c>
      <c r="Q6100" t="s">
        <v>5885</v>
      </c>
      <c r="R6100" s="28" t="s">
        <v>5886</v>
      </c>
      <c r="S6100" t="s">
        <v>13022</v>
      </c>
    </row>
    <row r="6101" spans="1:19" x14ac:dyDescent="0.25">
      <c r="A6101" s="27" t="s">
        <v>193</v>
      </c>
      <c r="C6101" s="27" t="s">
        <v>34749</v>
      </c>
      <c r="D6101" s="28" t="s">
        <v>34867</v>
      </c>
      <c r="P6101">
        <v>1864</v>
      </c>
      <c r="Q6101" t="s">
        <v>14192</v>
      </c>
      <c r="R6101" s="28" t="s">
        <v>3575</v>
      </c>
      <c r="S6101" t="s">
        <v>13022</v>
      </c>
    </row>
    <row r="6102" spans="1:19" x14ac:dyDescent="0.25">
      <c r="A6102" s="27" t="s">
        <v>193</v>
      </c>
      <c r="C6102" s="27" t="s">
        <v>34749</v>
      </c>
      <c r="D6102" s="28" t="s">
        <v>34867</v>
      </c>
      <c r="P6102">
        <v>1866</v>
      </c>
      <c r="Q6102" t="s">
        <v>14193</v>
      </c>
      <c r="R6102" s="28" t="s">
        <v>14194</v>
      </c>
      <c r="S6102" t="s">
        <v>13022</v>
      </c>
    </row>
    <row r="6103" spans="1:19" x14ac:dyDescent="0.25">
      <c r="A6103" s="27" t="s">
        <v>193</v>
      </c>
      <c r="C6103" s="27" t="s">
        <v>34749</v>
      </c>
      <c r="D6103" s="28" t="s">
        <v>34867</v>
      </c>
      <c r="P6103">
        <v>1870</v>
      </c>
      <c r="Q6103" t="s">
        <v>14195</v>
      </c>
      <c r="S6103" t="s">
        <v>13022</v>
      </c>
    </row>
    <row r="6104" spans="1:19" x14ac:dyDescent="0.25">
      <c r="A6104" s="27" t="s">
        <v>193</v>
      </c>
      <c r="C6104" s="27" t="s">
        <v>34749</v>
      </c>
      <c r="D6104" s="28" t="s">
        <v>34867</v>
      </c>
      <c r="P6104">
        <v>1871</v>
      </c>
      <c r="Q6104" t="s">
        <v>7351</v>
      </c>
      <c r="R6104" s="28" t="s">
        <v>7352</v>
      </c>
      <c r="S6104" t="s">
        <v>13022</v>
      </c>
    </row>
    <row r="6105" spans="1:19" x14ac:dyDescent="0.25">
      <c r="A6105" s="27" t="s">
        <v>193</v>
      </c>
      <c r="C6105" s="27" t="s">
        <v>34749</v>
      </c>
      <c r="D6105" s="28" t="s">
        <v>34867</v>
      </c>
      <c r="P6105">
        <v>1872</v>
      </c>
      <c r="Q6105" t="s">
        <v>14196</v>
      </c>
      <c r="R6105" s="28" t="s">
        <v>14197</v>
      </c>
      <c r="S6105" t="s">
        <v>13022</v>
      </c>
    </row>
    <row r="6106" spans="1:19" x14ac:dyDescent="0.25">
      <c r="A6106" s="27" t="s">
        <v>193</v>
      </c>
      <c r="C6106" s="27" t="s">
        <v>34749</v>
      </c>
      <c r="D6106" s="28" t="s">
        <v>34867</v>
      </c>
      <c r="P6106">
        <v>1873</v>
      </c>
      <c r="Q6106" t="s">
        <v>14198</v>
      </c>
      <c r="R6106" s="28" t="s">
        <v>14199</v>
      </c>
      <c r="S6106" t="s">
        <v>13022</v>
      </c>
    </row>
    <row r="6107" spans="1:19" x14ac:dyDescent="0.25">
      <c r="A6107" s="27" t="s">
        <v>193</v>
      </c>
      <c r="C6107" s="27" t="s">
        <v>34749</v>
      </c>
      <c r="D6107" s="28" t="s">
        <v>34867</v>
      </c>
      <c r="P6107">
        <v>1874</v>
      </c>
      <c r="Q6107" t="s">
        <v>14200</v>
      </c>
      <c r="S6107" t="s">
        <v>13022</v>
      </c>
    </row>
    <row r="6108" spans="1:19" x14ac:dyDescent="0.25">
      <c r="A6108" s="27" t="s">
        <v>193</v>
      </c>
      <c r="C6108" s="27" t="s">
        <v>34749</v>
      </c>
      <c r="D6108" s="28" t="s">
        <v>34867</v>
      </c>
      <c r="P6108">
        <v>1875</v>
      </c>
      <c r="Q6108" t="s">
        <v>14201</v>
      </c>
      <c r="R6108" s="28" t="s">
        <v>14202</v>
      </c>
      <c r="S6108" t="s">
        <v>13022</v>
      </c>
    </row>
    <row r="6109" spans="1:19" x14ac:dyDescent="0.25">
      <c r="A6109" s="27" t="s">
        <v>193</v>
      </c>
      <c r="C6109" s="27" t="s">
        <v>34749</v>
      </c>
      <c r="D6109" s="28" t="s">
        <v>34867</v>
      </c>
      <c r="P6109">
        <v>1877</v>
      </c>
      <c r="Q6109" t="s">
        <v>14203</v>
      </c>
      <c r="R6109" s="28" t="s">
        <v>14204</v>
      </c>
      <c r="S6109" t="s">
        <v>13022</v>
      </c>
    </row>
    <row r="6110" spans="1:19" x14ac:dyDescent="0.25">
      <c r="A6110" s="27" t="s">
        <v>193</v>
      </c>
      <c r="C6110" s="27" t="s">
        <v>34749</v>
      </c>
      <c r="D6110" s="28" t="s">
        <v>34867</v>
      </c>
      <c r="P6110">
        <v>1878</v>
      </c>
      <c r="Q6110" t="s">
        <v>14205</v>
      </c>
      <c r="R6110" s="28" t="s">
        <v>14206</v>
      </c>
      <c r="S6110" t="s">
        <v>13022</v>
      </c>
    </row>
    <row r="6111" spans="1:19" x14ac:dyDescent="0.25">
      <c r="A6111" s="27" t="s">
        <v>193</v>
      </c>
      <c r="C6111" s="27" t="s">
        <v>34749</v>
      </c>
      <c r="D6111" s="28" t="s">
        <v>34867</v>
      </c>
      <c r="P6111">
        <v>1879</v>
      </c>
      <c r="Q6111" t="s">
        <v>14207</v>
      </c>
      <c r="R6111" s="28" t="s">
        <v>14208</v>
      </c>
      <c r="S6111" t="s">
        <v>13022</v>
      </c>
    </row>
    <row r="6112" spans="1:19" x14ac:dyDescent="0.25">
      <c r="A6112" s="27" t="s">
        <v>193</v>
      </c>
      <c r="C6112" s="27" t="s">
        <v>34749</v>
      </c>
      <c r="D6112" s="28" t="s">
        <v>34867</v>
      </c>
      <c r="P6112">
        <v>1880</v>
      </c>
      <c r="Q6112" t="s">
        <v>14209</v>
      </c>
      <c r="S6112" t="s">
        <v>13022</v>
      </c>
    </row>
    <row r="6113" spans="1:19" x14ac:dyDescent="0.25">
      <c r="A6113" s="27" t="s">
        <v>193</v>
      </c>
      <c r="C6113" s="27" t="s">
        <v>34749</v>
      </c>
      <c r="D6113" s="28" t="s">
        <v>34867</v>
      </c>
      <c r="P6113">
        <v>1881</v>
      </c>
      <c r="Q6113" t="s">
        <v>14210</v>
      </c>
      <c r="R6113" s="28" t="s">
        <v>12185</v>
      </c>
      <c r="S6113" t="s">
        <v>13022</v>
      </c>
    </row>
    <row r="6114" spans="1:19" x14ac:dyDescent="0.25">
      <c r="A6114" s="27" t="s">
        <v>193</v>
      </c>
      <c r="C6114" s="27" t="s">
        <v>34749</v>
      </c>
      <c r="D6114" s="28" t="s">
        <v>34867</v>
      </c>
      <c r="P6114">
        <v>1882</v>
      </c>
      <c r="Q6114" t="s">
        <v>14211</v>
      </c>
      <c r="R6114" s="28" t="s">
        <v>14212</v>
      </c>
      <c r="S6114" t="s">
        <v>13022</v>
      </c>
    </row>
    <row r="6115" spans="1:19" x14ac:dyDescent="0.25">
      <c r="A6115" s="27" t="s">
        <v>193</v>
      </c>
      <c r="C6115" s="27" t="s">
        <v>34749</v>
      </c>
      <c r="D6115" s="28" t="s">
        <v>34867</v>
      </c>
      <c r="P6115">
        <v>1883</v>
      </c>
      <c r="Q6115" t="s">
        <v>14213</v>
      </c>
      <c r="R6115" s="28" t="s">
        <v>14214</v>
      </c>
      <c r="S6115" t="s">
        <v>13022</v>
      </c>
    </row>
    <row r="6116" spans="1:19" x14ac:dyDescent="0.25">
      <c r="A6116" s="27" t="s">
        <v>193</v>
      </c>
      <c r="C6116" s="27" t="s">
        <v>34749</v>
      </c>
      <c r="D6116" s="28" t="s">
        <v>34867</v>
      </c>
      <c r="P6116">
        <v>1884</v>
      </c>
      <c r="Q6116" t="s">
        <v>14215</v>
      </c>
      <c r="S6116" t="s">
        <v>13022</v>
      </c>
    </row>
    <row r="6117" spans="1:19" x14ac:dyDescent="0.25">
      <c r="A6117" s="27" t="s">
        <v>193</v>
      </c>
      <c r="C6117" s="27" t="s">
        <v>34749</v>
      </c>
      <c r="D6117" s="28" t="s">
        <v>34867</v>
      </c>
      <c r="P6117">
        <v>1885</v>
      </c>
      <c r="Q6117" t="s">
        <v>14216</v>
      </c>
      <c r="S6117" t="s">
        <v>13022</v>
      </c>
    </row>
    <row r="6118" spans="1:19" x14ac:dyDescent="0.25">
      <c r="A6118" s="27" t="s">
        <v>193</v>
      </c>
      <c r="C6118" s="27" t="s">
        <v>34749</v>
      </c>
      <c r="D6118" s="28" t="s">
        <v>34867</v>
      </c>
      <c r="P6118">
        <v>1886</v>
      </c>
      <c r="Q6118" t="s">
        <v>14217</v>
      </c>
      <c r="R6118" s="28" t="s">
        <v>1708</v>
      </c>
      <c r="S6118" t="s">
        <v>13022</v>
      </c>
    </row>
    <row r="6119" spans="1:19" x14ac:dyDescent="0.25">
      <c r="A6119" s="27" t="s">
        <v>193</v>
      </c>
      <c r="C6119" s="27" t="s">
        <v>34749</v>
      </c>
      <c r="D6119" s="28" t="s">
        <v>34867</v>
      </c>
      <c r="P6119">
        <v>1887</v>
      </c>
      <c r="Q6119" t="s">
        <v>14218</v>
      </c>
      <c r="R6119" s="28" t="s">
        <v>14219</v>
      </c>
      <c r="S6119" t="s">
        <v>13022</v>
      </c>
    </row>
    <row r="6120" spans="1:19" x14ac:dyDescent="0.25">
      <c r="A6120" s="27" t="s">
        <v>193</v>
      </c>
      <c r="C6120" s="27" t="s">
        <v>34749</v>
      </c>
      <c r="D6120" s="28" t="s">
        <v>34867</v>
      </c>
      <c r="P6120">
        <v>1888</v>
      </c>
      <c r="Q6120" t="s">
        <v>14220</v>
      </c>
      <c r="R6120" s="28" t="s">
        <v>14221</v>
      </c>
      <c r="S6120" t="s">
        <v>13022</v>
      </c>
    </row>
    <row r="6121" spans="1:19" x14ac:dyDescent="0.25">
      <c r="A6121" s="27" t="s">
        <v>193</v>
      </c>
      <c r="C6121" s="27" t="s">
        <v>34749</v>
      </c>
      <c r="D6121" s="28" t="s">
        <v>34867</v>
      </c>
      <c r="P6121">
        <v>1889</v>
      </c>
      <c r="Q6121" t="s">
        <v>14222</v>
      </c>
      <c r="R6121" s="28" t="s">
        <v>14223</v>
      </c>
      <c r="S6121" t="s">
        <v>13022</v>
      </c>
    </row>
    <row r="6122" spans="1:19" x14ac:dyDescent="0.25">
      <c r="A6122" s="27" t="s">
        <v>193</v>
      </c>
      <c r="C6122" s="27" t="s">
        <v>34749</v>
      </c>
      <c r="D6122" s="28" t="s">
        <v>34867</v>
      </c>
      <c r="P6122">
        <v>1890</v>
      </c>
      <c r="Q6122" t="s">
        <v>14224</v>
      </c>
      <c r="S6122" t="s">
        <v>13022</v>
      </c>
    </row>
    <row r="6123" spans="1:19" x14ac:dyDescent="0.25">
      <c r="A6123" s="27" t="s">
        <v>193</v>
      </c>
      <c r="C6123" s="27" t="s">
        <v>34749</v>
      </c>
      <c r="D6123" s="28" t="s">
        <v>34867</v>
      </c>
      <c r="P6123">
        <v>1891</v>
      </c>
      <c r="Q6123" t="s">
        <v>14225</v>
      </c>
      <c r="S6123" t="s">
        <v>13022</v>
      </c>
    </row>
    <row r="6124" spans="1:19" x14ac:dyDescent="0.25">
      <c r="A6124" s="27" t="s">
        <v>193</v>
      </c>
      <c r="C6124" s="27" t="s">
        <v>34749</v>
      </c>
      <c r="D6124" s="28" t="s">
        <v>34867</v>
      </c>
      <c r="P6124">
        <v>1892</v>
      </c>
      <c r="Q6124" t="s">
        <v>14226</v>
      </c>
      <c r="S6124" t="s">
        <v>13022</v>
      </c>
    </row>
    <row r="6125" spans="1:19" x14ac:dyDescent="0.25">
      <c r="A6125" s="27" t="s">
        <v>193</v>
      </c>
      <c r="C6125" s="27" t="s">
        <v>34749</v>
      </c>
      <c r="D6125" s="28" t="s">
        <v>34867</v>
      </c>
      <c r="P6125">
        <v>1893</v>
      </c>
      <c r="Q6125" t="s">
        <v>14227</v>
      </c>
      <c r="S6125" t="s">
        <v>13022</v>
      </c>
    </row>
    <row r="6126" spans="1:19" x14ac:dyDescent="0.25">
      <c r="A6126" s="27" t="s">
        <v>193</v>
      </c>
      <c r="C6126" s="27" t="s">
        <v>34749</v>
      </c>
      <c r="D6126" s="28" t="s">
        <v>34867</v>
      </c>
      <c r="P6126">
        <v>1894</v>
      </c>
      <c r="Q6126" t="s">
        <v>14228</v>
      </c>
      <c r="S6126" t="s">
        <v>13022</v>
      </c>
    </row>
    <row r="6127" spans="1:19" x14ac:dyDescent="0.25">
      <c r="A6127" s="27" t="s">
        <v>193</v>
      </c>
      <c r="C6127" s="27" t="s">
        <v>34749</v>
      </c>
      <c r="D6127" s="28" t="s">
        <v>34867</v>
      </c>
      <c r="P6127">
        <v>1895</v>
      </c>
      <c r="Q6127" t="s">
        <v>14229</v>
      </c>
      <c r="S6127" t="s">
        <v>13022</v>
      </c>
    </row>
    <row r="6128" spans="1:19" x14ac:dyDescent="0.25">
      <c r="A6128" s="27" t="s">
        <v>193</v>
      </c>
      <c r="C6128" s="27" t="s">
        <v>34749</v>
      </c>
      <c r="D6128" s="28" t="s">
        <v>34867</v>
      </c>
      <c r="P6128">
        <v>1896</v>
      </c>
      <c r="Q6128" t="s">
        <v>14230</v>
      </c>
      <c r="S6128" t="s">
        <v>13022</v>
      </c>
    </row>
    <row r="6129" spans="1:19" x14ac:dyDescent="0.25">
      <c r="A6129" s="27" t="s">
        <v>193</v>
      </c>
      <c r="C6129" s="27" t="s">
        <v>34749</v>
      </c>
      <c r="D6129" s="28" t="s">
        <v>34867</v>
      </c>
      <c r="P6129">
        <v>1897</v>
      </c>
      <c r="Q6129" t="s">
        <v>14231</v>
      </c>
      <c r="R6129" s="28" t="s">
        <v>14232</v>
      </c>
      <c r="S6129" t="s">
        <v>13022</v>
      </c>
    </row>
    <row r="6130" spans="1:19" x14ac:dyDescent="0.25">
      <c r="A6130" s="27" t="s">
        <v>193</v>
      </c>
      <c r="C6130" s="27" t="s">
        <v>34749</v>
      </c>
      <c r="D6130" s="28" t="s">
        <v>34867</v>
      </c>
      <c r="P6130">
        <v>1898</v>
      </c>
      <c r="Q6130" t="s">
        <v>14233</v>
      </c>
      <c r="S6130" t="s">
        <v>13022</v>
      </c>
    </row>
    <row r="6131" spans="1:19" x14ac:dyDescent="0.25">
      <c r="A6131" s="27" t="s">
        <v>193</v>
      </c>
      <c r="C6131" s="27" t="s">
        <v>34749</v>
      </c>
      <c r="D6131" s="28" t="s">
        <v>34867</v>
      </c>
      <c r="P6131">
        <v>1899</v>
      </c>
      <c r="Q6131" t="s">
        <v>14234</v>
      </c>
      <c r="R6131" s="28" t="s">
        <v>14235</v>
      </c>
      <c r="S6131" t="s">
        <v>13022</v>
      </c>
    </row>
    <row r="6132" spans="1:19" x14ac:dyDescent="0.25">
      <c r="A6132" s="27" t="s">
        <v>193</v>
      </c>
      <c r="C6132" s="27" t="s">
        <v>34749</v>
      </c>
      <c r="D6132" s="28" t="s">
        <v>34867</v>
      </c>
      <c r="P6132">
        <v>1900</v>
      </c>
      <c r="Q6132" t="s">
        <v>14236</v>
      </c>
      <c r="R6132" s="28" t="s">
        <v>14237</v>
      </c>
      <c r="S6132" t="s">
        <v>13022</v>
      </c>
    </row>
    <row r="6133" spans="1:19" x14ac:dyDescent="0.25">
      <c r="A6133" s="27" t="s">
        <v>193</v>
      </c>
      <c r="C6133" s="27" t="s">
        <v>34749</v>
      </c>
      <c r="D6133" s="28" t="s">
        <v>34867</v>
      </c>
      <c r="P6133">
        <v>1901</v>
      </c>
      <c r="Q6133" t="s">
        <v>14238</v>
      </c>
      <c r="S6133" t="s">
        <v>13022</v>
      </c>
    </row>
    <row r="6134" spans="1:19" x14ac:dyDescent="0.25">
      <c r="A6134" s="27" t="s">
        <v>193</v>
      </c>
      <c r="C6134" s="27" t="s">
        <v>34749</v>
      </c>
      <c r="D6134" s="28" t="s">
        <v>34867</v>
      </c>
      <c r="P6134">
        <v>1902</v>
      </c>
      <c r="Q6134" t="s">
        <v>9489</v>
      </c>
      <c r="R6134" s="28" t="s">
        <v>9490</v>
      </c>
      <c r="S6134" t="s">
        <v>13022</v>
      </c>
    </row>
    <row r="6135" spans="1:19" x14ac:dyDescent="0.25">
      <c r="A6135" s="27" t="s">
        <v>193</v>
      </c>
      <c r="C6135" s="27" t="s">
        <v>34749</v>
      </c>
      <c r="D6135" s="28" t="s">
        <v>34867</v>
      </c>
      <c r="P6135">
        <v>1903</v>
      </c>
      <c r="Q6135" t="s">
        <v>14239</v>
      </c>
      <c r="S6135" t="s">
        <v>13022</v>
      </c>
    </row>
    <row r="6136" spans="1:19" x14ac:dyDescent="0.25">
      <c r="A6136" s="27" t="s">
        <v>193</v>
      </c>
      <c r="C6136" s="27" t="s">
        <v>34749</v>
      </c>
      <c r="D6136" s="28" t="s">
        <v>34867</v>
      </c>
      <c r="P6136">
        <v>1904</v>
      </c>
      <c r="Q6136" t="s">
        <v>14240</v>
      </c>
      <c r="S6136" t="s">
        <v>13022</v>
      </c>
    </row>
    <row r="6137" spans="1:19" x14ac:dyDescent="0.25">
      <c r="A6137" s="27" t="s">
        <v>193</v>
      </c>
      <c r="C6137" s="27" t="s">
        <v>34749</v>
      </c>
      <c r="D6137" s="28" t="s">
        <v>34867</v>
      </c>
      <c r="P6137">
        <v>1905</v>
      </c>
      <c r="Q6137" t="s">
        <v>14241</v>
      </c>
      <c r="S6137" t="s">
        <v>13022</v>
      </c>
    </row>
    <row r="6138" spans="1:19" x14ac:dyDescent="0.25">
      <c r="A6138" s="27" t="s">
        <v>193</v>
      </c>
      <c r="C6138" s="27" t="s">
        <v>34749</v>
      </c>
      <c r="D6138" s="28" t="s">
        <v>34867</v>
      </c>
      <c r="P6138">
        <v>1906</v>
      </c>
      <c r="Q6138" t="s">
        <v>14242</v>
      </c>
      <c r="S6138" t="s">
        <v>13022</v>
      </c>
    </row>
    <row r="6139" spans="1:19" x14ac:dyDescent="0.25">
      <c r="A6139" s="27" t="s">
        <v>193</v>
      </c>
      <c r="C6139" s="27" t="s">
        <v>34749</v>
      </c>
      <c r="D6139" s="28" t="s">
        <v>34867</v>
      </c>
      <c r="P6139">
        <v>1907</v>
      </c>
      <c r="Q6139" t="s">
        <v>14243</v>
      </c>
      <c r="R6139" s="28" t="s">
        <v>14244</v>
      </c>
      <c r="S6139" t="s">
        <v>13022</v>
      </c>
    </row>
    <row r="6140" spans="1:19" x14ac:dyDescent="0.25">
      <c r="A6140" s="27" t="s">
        <v>193</v>
      </c>
      <c r="C6140" s="27" t="s">
        <v>34749</v>
      </c>
      <c r="D6140" s="28" t="s">
        <v>34867</v>
      </c>
      <c r="P6140">
        <v>1908</v>
      </c>
      <c r="Q6140" t="s">
        <v>14245</v>
      </c>
      <c r="R6140" s="28" t="s">
        <v>14246</v>
      </c>
      <c r="S6140" t="s">
        <v>13022</v>
      </c>
    </row>
    <row r="6141" spans="1:19" x14ac:dyDescent="0.25">
      <c r="A6141" s="27" t="s">
        <v>193</v>
      </c>
      <c r="C6141" s="27" t="s">
        <v>34749</v>
      </c>
      <c r="D6141" s="28" t="s">
        <v>34867</v>
      </c>
      <c r="P6141">
        <v>1909</v>
      </c>
      <c r="Q6141" t="s">
        <v>14247</v>
      </c>
      <c r="R6141" s="28" t="s">
        <v>14248</v>
      </c>
      <c r="S6141" t="s">
        <v>13022</v>
      </c>
    </row>
    <row r="6142" spans="1:19" x14ac:dyDescent="0.25">
      <c r="A6142" s="27" t="s">
        <v>193</v>
      </c>
      <c r="C6142" s="27" t="s">
        <v>34749</v>
      </c>
      <c r="D6142" s="28" t="s">
        <v>34867</v>
      </c>
      <c r="P6142">
        <v>1910</v>
      </c>
      <c r="Q6142" t="s">
        <v>6452</v>
      </c>
      <c r="R6142" s="28" t="s">
        <v>6453</v>
      </c>
      <c r="S6142" t="s">
        <v>13022</v>
      </c>
    </row>
    <row r="6143" spans="1:19" x14ac:dyDescent="0.25">
      <c r="A6143" s="27" t="s">
        <v>193</v>
      </c>
      <c r="C6143" s="27" t="s">
        <v>34749</v>
      </c>
      <c r="D6143" s="28" t="s">
        <v>34867</v>
      </c>
      <c r="P6143">
        <v>1911</v>
      </c>
      <c r="Q6143" t="s">
        <v>14249</v>
      </c>
      <c r="S6143" t="s">
        <v>13022</v>
      </c>
    </row>
    <row r="6144" spans="1:19" x14ac:dyDescent="0.25">
      <c r="A6144" s="27" t="s">
        <v>193</v>
      </c>
      <c r="C6144" s="27" t="s">
        <v>34749</v>
      </c>
      <c r="D6144" s="28" t="s">
        <v>34867</v>
      </c>
      <c r="P6144">
        <v>1912</v>
      </c>
      <c r="Q6144" t="s">
        <v>5322</v>
      </c>
      <c r="R6144" s="28" t="s">
        <v>5323</v>
      </c>
      <c r="S6144" t="s">
        <v>13022</v>
      </c>
    </row>
    <row r="6145" spans="1:19" x14ac:dyDescent="0.25">
      <c r="A6145" s="27" t="s">
        <v>193</v>
      </c>
      <c r="C6145" s="27" t="s">
        <v>34749</v>
      </c>
      <c r="D6145" s="28" t="s">
        <v>34867</v>
      </c>
      <c r="P6145">
        <v>1914</v>
      </c>
      <c r="Q6145" t="s">
        <v>14250</v>
      </c>
      <c r="R6145" s="28" t="s">
        <v>14251</v>
      </c>
      <c r="S6145" t="s">
        <v>13022</v>
      </c>
    </row>
    <row r="6146" spans="1:19" x14ac:dyDescent="0.25">
      <c r="A6146" s="27" t="s">
        <v>193</v>
      </c>
      <c r="C6146" s="27" t="s">
        <v>34749</v>
      </c>
      <c r="D6146" s="28" t="s">
        <v>34867</v>
      </c>
      <c r="P6146">
        <v>1915</v>
      </c>
      <c r="Q6146" t="s">
        <v>14252</v>
      </c>
      <c r="R6146" s="28" t="s">
        <v>14253</v>
      </c>
      <c r="S6146" t="s">
        <v>13022</v>
      </c>
    </row>
    <row r="6147" spans="1:19" x14ac:dyDescent="0.25">
      <c r="A6147" s="27" t="s">
        <v>193</v>
      </c>
      <c r="C6147" s="27" t="s">
        <v>34749</v>
      </c>
      <c r="D6147" s="28" t="s">
        <v>34867</v>
      </c>
      <c r="P6147">
        <v>1916</v>
      </c>
      <c r="Q6147" t="s">
        <v>14254</v>
      </c>
      <c r="R6147" s="28" t="s">
        <v>2254</v>
      </c>
      <c r="S6147" t="s">
        <v>13022</v>
      </c>
    </row>
    <row r="6148" spans="1:19" x14ac:dyDescent="0.25">
      <c r="A6148" s="27" t="s">
        <v>193</v>
      </c>
      <c r="C6148" s="27" t="s">
        <v>34749</v>
      </c>
      <c r="D6148" s="28" t="s">
        <v>34867</v>
      </c>
      <c r="P6148">
        <v>1917</v>
      </c>
      <c r="Q6148" t="s">
        <v>14255</v>
      </c>
      <c r="R6148" s="28" t="s">
        <v>14256</v>
      </c>
      <c r="S6148" t="s">
        <v>13022</v>
      </c>
    </row>
    <row r="6149" spans="1:19" x14ac:dyDescent="0.25">
      <c r="A6149" s="27" t="s">
        <v>193</v>
      </c>
      <c r="C6149" s="27" t="s">
        <v>34749</v>
      </c>
      <c r="D6149" s="28" t="s">
        <v>34867</v>
      </c>
      <c r="P6149">
        <v>1918</v>
      </c>
      <c r="Q6149" t="s">
        <v>14257</v>
      </c>
      <c r="R6149" s="28" t="s">
        <v>14258</v>
      </c>
      <c r="S6149" t="s">
        <v>13022</v>
      </c>
    </row>
    <row r="6150" spans="1:19" x14ac:dyDescent="0.25">
      <c r="A6150" s="27" t="s">
        <v>193</v>
      </c>
      <c r="C6150" s="27" t="s">
        <v>34749</v>
      </c>
      <c r="D6150" s="28" t="s">
        <v>34867</v>
      </c>
      <c r="P6150">
        <v>1919</v>
      </c>
      <c r="Q6150" t="s">
        <v>14259</v>
      </c>
      <c r="R6150" s="28" t="s">
        <v>6978</v>
      </c>
      <c r="S6150" t="s">
        <v>13022</v>
      </c>
    </row>
    <row r="6151" spans="1:19" x14ac:dyDescent="0.25">
      <c r="A6151" s="27" t="s">
        <v>193</v>
      </c>
      <c r="C6151" s="27" t="s">
        <v>34749</v>
      </c>
      <c r="D6151" s="28" t="s">
        <v>34867</v>
      </c>
      <c r="P6151">
        <v>1920</v>
      </c>
      <c r="Q6151" t="s">
        <v>14260</v>
      </c>
      <c r="R6151" s="28" t="s">
        <v>14261</v>
      </c>
      <c r="S6151" t="s">
        <v>13022</v>
      </c>
    </row>
    <row r="6152" spans="1:19" x14ac:dyDescent="0.25">
      <c r="A6152" s="27" t="s">
        <v>193</v>
      </c>
      <c r="C6152" s="27" t="s">
        <v>34749</v>
      </c>
      <c r="D6152" s="28" t="s">
        <v>34867</v>
      </c>
      <c r="P6152">
        <v>1921</v>
      </c>
      <c r="Q6152" t="s">
        <v>14262</v>
      </c>
      <c r="S6152" t="s">
        <v>13022</v>
      </c>
    </row>
    <row r="6153" spans="1:19" x14ac:dyDescent="0.25">
      <c r="A6153" s="27" t="s">
        <v>193</v>
      </c>
      <c r="C6153" s="27" t="s">
        <v>34749</v>
      </c>
      <c r="D6153" s="28" t="s">
        <v>34867</v>
      </c>
      <c r="P6153">
        <v>1922</v>
      </c>
      <c r="Q6153" t="s">
        <v>14263</v>
      </c>
      <c r="R6153" s="28" t="s">
        <v>14264</v>
      </c>
      <c r="S6153" t="s">
        <v>13022</v>
      </c>
    </row>
    <row r="6154" spans="1:19" x14ac:dyDescent="0.25">
      <c r="A6154" s="27" t="s">
        <v>193</v>
      </c>
      <c r="C6154" s="27" t="s">
        <v>34749</v>
      </c>
      <c r="D6154" s="28" t="s">
        <v>34867</v>
      </c>
      <c r="P6154">
        <v>1923</v>
      </c>
      <c r="Q6154" t="s">
        <v>14265</v>
      </c>
      <c r="R6154" s="28" t="s">
        <v>14266</v>
      </c>
      <c r="S6154" t="s">
        <v>13022</v>
      </c>
    </row>
    <row r="6155" spans="1:19" x14ac:dyDescent="0.25">
      <c r="A6155" s="27" t="s">
        <v>193</v>
      </c>
      <c r="C6155" s="27" t="s">
        <v>34749</v>
      </c>
      <c r="D6155" s="28" t="s">
        <v>34867</v>
      </c>
      <c r="P6155">
        <v>1924</v>
      </c>
      <c r="Q6155" t="s">
        <v>1845</v>
      </c>
      <c r="R6155" s="28" t="s">
        <v>1846</v>
      </c>
      <c r="S6155" t="s">
        <v>13022</v>
      </c>
    </row>
    <row r="6156" spans="1:19" x14ac:dyDescent="0.25">
      <c r="A6156" s="27" t="s">
        <v>193</v>
      </c>
      <c r="C6156" s="27" t="s">
        <v>34749</v>
      </c>
      <c r="D6156" s="28" t="s">
        <v>34867</v>
      </c>
      <c r="P6156">
        <v>1925</v>
      </c>
      <c r="Q6156" t="s">
        <v>14267</v>
      </c>
      <c r="R6156" s="28" t="s">
        <v>14268</v>
      </c>
      <c r="S6156" t="s">
        <v>13022</v>
      </c>
    </row>
    <row r="6157" spans="1:19" x14ac:dyDescent="0.25">
      <c r="A6157" s="27" t="s">
        <v>193</v>
      </c>
      <c r="C6157" s="27" t="s">
        <v>34749</v>
      </c>
      <c r="D6157" s="28" t="s">
        <v>34867</v>
      </c>
      <c r="P6157">
        <v>1926</v>
      </c>
      <c r="Q6157" t="s">
        <v>14269</v>
      </c>
      <c r="S6157" t="s">
        <v>13022</v>
      </c>
    </row>
    <row r="6158" spans="1:19" x14ac:dyDescent="0.25">
      <c r="A6158" s="27" t="s">
        <v>193</v>
      </c>
      <c r="C6158" s="27" t="s">
        <v>34749</v>
      </c>
      <c r="D6158" s="28" t="s">
        <v>34867</v>
      </c>
      <c r="P6158">
        <v>1927</v>
      </c>
      <c r="Q6158" t="s">
        <v>14270</v>
      </c>
      <c r="R6158" s="28" t="s">
        <v>14271</v>
      </c>
      <c r="S6158" t="s">
        <v>13022</v>
      </c>
    </row>
    <row r="6159" spans="1:19" x14ac:dyDescent="0.25">
      <c r="A6159" s="27" t="s">
        <v>193</v>
      </c>
      <c r="C6159" s="27" t="s">
        <v>34749</v>
      </c>
      <c r="D6159" s="28" t="s">
        <v>34867</v>
      </c>
      <c r="P6159">
        <v>1928</v>
      </c>
      <c r="Q6159" t="s">
        <v>14272</v>
      </c>
      <c r="R6159" s="28" t="s">
        <v>14273</v>
      </c>
      <c r="S6159" t="s">
        <v>13022</v>
      </c>
    </row>
    <row r="6160" spans="1:19" x14ac:dyDescent="0.25">
      <c r="A6160" s="27" t="s">
        <v>193</v>
      </c>
      <c r="C6160" s="27" t="s">
        <v>34749</v>
      </c>
      <c r="D6160" s="28" t="s">
        <v>34867</v>
      </c>
      <c r="P6160">
        <v>1929</v>
      </c>
      <c r="Q6160" t="s">
        <v>14274</v>
      </c>
      <c r="R6160" s="28" t="s">
        <v>14275</v>
      </c>
      <c r="S6160" t="s">
        <v>13022</v>
      </c>
    </row>
    <row r="6161" spans="1:19" x14ac:dyDescent="0.25">
      <c r="A6161" s="27" t="s">
        <v>193</v>
      </c>
      <c r="C6161" s="27" t="s">
        <v>34749</v>
      </c>
      <c r="D6161" s="28" t="s">
        <v>34867</v>
      </c>
      <c r="P6161">
        <v>1931</v>
      </c>
      <c r="Q6161" t="s">
        <v>14276</v>
      </c>
      <c r="S6161" t="s">
        <v>13022</v>
      </c>
    </row>
    <row r="6162" spans="1:19" x14ac:dyDescent="0.25">
      <c r="A6162" s="27" t="s">
        <v>193</v>
      </c>
      <c r="C6162" s="27" t="s">
        <v>34749</v>
      </c>
      <c r="D6162" s="28" t="s">
        <v>34867</v>
      </c>
      <c r="P6162">
        <v>1932</v>
      </c>
      <c r="Q6162" t="s">
        <v>14277</v>
      </c>
      <c r="S6162" t="s">
        <v>13022</v>
      </c>
    </row>
    <row r="6163" spans="1:19" x14ac:dyDescent="0.25">
      <c r="A6163" s="27" t="s">
        <v>193</v>
      </c>
      <c r="C6163" s="27" t="s">
        <v>34749</v>
      </c>
      <c r="D6163" s="28" t="s">
        <v>34867</v>
      </c>
      <c r="P6163">
        <v>1933</v>
      </c>
      <c r="Q6163" t="s">
        <v>14278</v>
      </c>
      <c r="R6163" s="28" t="s">
        <v>14279</v>
      </c>
      <c r="S6163" t="s">
        <v>13022</v>
      </c>
    </row>
    <row r="6164" spans="1:19" x14ac:dyDescent="0.25">
      <c r="A6164" s="27" t="s">
        <v>193</v>
      </c>
      <c r="C6164" s="27" t="s">
        <v>34749</v>
      </c>
      <c r="D6164" s="28" t="s">
        <v>34867</v>
      </c>
      <c r="P6164">
        <v>1934</v>
      </c>
      <c r="Q6164" t="s">
        <v>14280</v>
      </c>
      <c r="R6164" s="28" t="s">
        <v>14281</v>
      </c>
      <c r="S6164" t="s">
        <v>13022</v>
      </c>
    </row>
    <row r="6165" spans="1:19" x14ac:dyDescent="0.25">
      <c r="A6165" s="27" t="s">
        <v>193</v>
      </c>
      <c r="C6165" s="27" t="s">
        <v>34749</v>
      </c>
      <c r="D6165" s="28" t="s">
        <v>34867</v>
      </c>
      <c r="P6165">
        <v>1935</v>
      </c>
      <c r="Q6165" t="s">
        <v>14282</v>
      </c>
      <c r="R6165" s="28" t="s">
        <v>14283</v>
      </c>
      <c r="S6165" t="s">
        <v>13022</v>
      </c>
    </row>
    <row r="6166" spans="1:19" x14ac:dyDescent="0.25">
      <c r="A6166" s="27" t="s">
        <v>193</v>
      </c>
      <c r="C6166" s="27" t="s">
        <v>34749</v>
      </c>
      <c r="D6166" s="28" t="s">
        <v>34867</v>
      </c>
      <c r="P6166">
        <v>1936</v>
      </c>
      <c r="Q6166" t="s">
        <v>14284</v>
      </c>
      <c r="R6166" s="28" t="s">
        <v>14285</v>
      </c>
      <c r="S6166" t="s">
        <v>13022</v>
      </c>
    </row>
    <row r="6167" spans="1:19" x14ac:dyDescent="0.25">
      <c r="A6167" s="27" t="s">
        <v>193</v>
      </c>
      <c r="C6167" s="27" t="s">
        <v>34749</v>
      </c>
      <c r="D6167" s="28" t="s">
        <v>34867</v>
      </c>
      <c r="P6167">
        <v>1937</v>
      </c>
      <c r="Q6167" t="s">
        <v>14286</v>
      </c>
      <c r="S6167" t="s">
        <v>13022</v>
      </c>
    </row>
    <row r="6168" spans="1:19" x14ac:dyDescent="0.25">
      <c r="A6168" s="27" t="s">
        <v>193</v>
      </c>
      <c r="C6168" s="27" t="s">
        <v>34749</v>
      </c>
      <c r="D6168" s="28" t="s">
        <v>34867</v>
      </c>
      <c r="P6168">
        <v>1938</v>
      </c>
      <c r="Q6168" t="s">
        <v>14287</v>
      </c>
      <c r="S6168" t="s">
        <v>13022</v>
      </c>
    </row>
    <row r="6169" spans="1:19" x14ac:dyDescent="0.25">
      <c r="A6169" s="27" t="s">
        <v>193</v>
      </c>
      <c r="C6169" s="27" t="s">
        <v>34749</v>
      </c>
      <c r="D6169" s="28" t="s">
        <v>34867</v>
      </c>
      <c r="P6169">
        <v>1939</v>
      </c>
      <c r="Q6169" t="s">
        <v>14288</v>
      </c>
      <c r="S6169" t="s">
        <v>13022</v>
      </c>
    </row>
    <row r="6170" spans="1:19" x14ac:dyDescent="0.25">
      <c r="A6170" s="27" t="s">
        <v>193</v>
      </c>
      <c r="C6170" s="27" t="s">
        <v>34749</v>
      </c>
      <c r="D6170" s="28" t="s">
        <v>34867</v>
      </c>
      <c r="P6170">
        <v>1940</v>
      </c>
      <c r="Q6170" t="s">
        <v>14289</v>
      </c>
      <c r="R6170" s="28" t="s">
        <v>1351</v>
      </c>
      <c r="S6170" t="s">
        <v>13022</v>
      </c>
    </row>
    <row r="6171" spans="1:19" x14ac:dyDescent="0.25">
      <c r="A6171" s="27" t="s">
        <v>193</v>
      </c>
      <c r="C6171" s="27" t="s">
        <v>34749</v>
      </c>
      <c r="D6171" s="28" t="s">
        <v>34867</v>
      </c>
      <c r="P6171">
        <v>1941</v>
      </c>
      <c r="Q6171" t="s">
        <v>14290</v>
      </c>
      <c r="R6171" s="28" t="s">
        <v>14291</v>
      </c>
      <c r="S6171" t="s">
        <v>13022</v>
      </c>
    </row>
    <row r="6172" spans="1:19" x14ac:dyDescent="0.25">
      <c r="A6172" s="27" t="s">
        <v>193</v>
      </c>
      <c r="C6172" s="27" t="s">
        <v>34749</v>
      </c>
      <c r="D6172" s="28" t="s">
        <v>34867</v>
      </c>
      <c r="P6172">
        <v>1942</v>
      </c>
      <c r="Q6172" t="s">
        <v>14292</v>
      </c>
      <c r="R6172" s="28" t="s">
        <v>14293</v>
      </c>
      <c r="S6172" t="s">
        <v>13022</v>
      </c>
    </row>
    <row r="6173" spans="1:19" x14ac:dyDescent="0.25">
      <c r="A6173" s="27" t="s">
        <v>193</v>
      </c>
      <c r="C6173" s="27" t="s">
        <v>34749</v>
      </c>
      <c r="D6173" s="28" t="s">
        <v>34867</v>
      </c>
      <c r="P6173">
        <v>1943</v>
      </c>
      <c r="Q6173" t="s">
        <v>14294</v>
      </c>
      <c r="R6173" s="28" t="s">
        <v>14295</v>
      </c>
      <c r="S6173" t="s">
        <v>13022</v>
      </c>
    </row>
    <row r="6174" spans="1:19" x14ac:dyDescent="0.25">
      <c r="A6174" s="27" t="s">
        <v>193</v>
      </c>
      <c r="C6174" s="27" t="s">
        <v>34749</v>
      </c>
      <c r="D6174" s="28" t="s">
        <v>34867</v>
      </c>
      <c r="P6174">
        <v>1944</v>
      </c>
      <c r="Q6174" t="s">
        <v>14296</v>
      </c>
      <c r="R6174" s="28" t="s">
        <v>14297</v>
      </c>
      <c r="S6174" t="s">
        <v>13022</v>
      </c>
    </row>
    <row r="6175" spans="1:19" x14ac:dyDescent="0.25">
      <c r="A6175" s="27" t="s">
        <v>193</v>
      </c>
      <c r="C6175" s="27" t="s">
        <v>34749</v>
      </c>
      <c r="D6175" s="28" t="s">
        <v>34867</v>
      </c>
      <c r="P6175">
        <v>1946</v>
      </c>
      <c r="Q6175" t="s">
        <v>14298</v>
      </c>
      <c r="R6175" s="28" t="s">
        <v>14299</v>
      </c>
      <c r="S6175" t="s">
        <v>13022</v>
      </c>
    </row>
    <row r="6176" spans="1:19" x14ac:dyDescent="0.25">
      <c r="A6176" s="27" t="s">
        <v>193</v>
      </c>
      <c r="C6176" s="27" t="s">
        <v>34749</v>
      </c>
      <c r="D6176" s="28" t="s">
        <v>34867</v>
      </c>
      <c r="P6176">
        <v>1948</v>
      </c>
      <c r="Q6176" t="s">
        <v>14300</v>
      </c>
      <c r="R6176" s="28" t="s">
        <v>2677</v>
      </c>
      <c r="S6176" t="s">
        <v>13022</v>
      </c>
    </row>
    <row r="6177" spans="1:19" x14ac:dyDescent="0.25">
      <c r="A6177" s="27" t="s">
        <v>193</v>
      </c>
      <c r="C6177" s="27" t="s">
        <v>34749</v>
      </c>
      <c r="D6177" s="28" t="s">
        <v>34867</v>
      </c>
      <c r="P6177">
        <v>1949</v>
      </c>
      <c r="Q6177" t="s">
        <v>14301</v>
      </c>
      <c r="R6177" s="28" t="s">
        <v>14302</v>
      </c>
      <c r="S6177" t="s">
        <v>13022</v>
      </c>
    </row>
    <row r="6178" spans="1:19" x14ac:dyDescent="0.25">
      <c r="A6178" s="27" t="s">
        <v>193</v>
      </c>
      <c r="C6178" s="27" t="s">
        <v>34749</v>
      </c>
      <c r="D6178" s="28" t="s">
        <v>34867</v>
      </c>
      <c r="P6178">
        <v>1950</v>
      </c>
      <c r="Q6178" t="s">
        <v>14303</v>
      </c>
      <c r="R6178" s="28" t="s">
        <v>14304</v>
      </c>
      <c r="S6178" t="s">
        <v>13022</v>
      </c>
    </row>
    <row r="6179" spans="1:19" x14ac:dyDescent="0.25">
      <c r="A6179" s="27" t="s">
        <v>193</v>
      </c>
      <c r="C6179" s="27" t="s">
        <v>34749</v>
      </c>
      <c r="D6179" s="28" t="s">
        <v>34867</v>
      </c>
      <c r="P6179">
        <v>1951</v>
      </c>
      <c r="Q6179" t="s">
        <v>909</v>
      </c>
      <c r="R6179" s="28" t="s">
        <v>910</v>
      </c>
      <c r="S6179" t="s">
        <v>13022</v>
      </c>
    </row>
    <row r="6180" spans="1:19" x14ac:dyDescent="0.25">
      <c r="A6180" s="27" t="s">
        <v>193</v>
      </c>
      <c r="C6180" s="27" t="s">
        <v>34749</v>
      </c>
      <c r="D6180" s="28" t="s">
        <v>34867</v>
      </c>
      <c r="P6180">
        <v>1952</v>
      </c>
      <c r="Q6180" t="s">
        <v>888</v>
      </c>
      <c r="R6180" s="28" t="s">
        <v>889</v>
      </c>
      <c r="S6180" t="s">
        <v>13022</v>
      </c>
    </row>
    <row r="6181" spans="1:19" x14ac:dyDescent="0.25">
      <c r="A6181" s="27" t="s">
        <v>193</v>
      </c>
      <c r="C6181" s="27" t="s">
        <v>34749</v>
      </c>
      <c r="D6181" s="28" t="s">
        <v>34867</v>
      </c>
      <c r="P6181">
        <v>1954</v>
      </c>
      <c r="Q6181" t="s">
        <v>816</v>
      </c>
      <c r="R6181" s="28" t="s">
        <v>817</v>
      </c>
      <c r="S6181" t="s">
        <v>13022</v>
      </c>
    </row>
    <row r="6182" spans="1:19" x14ac:dyDescent="0.25">
      <c r="A6182" s="27" t="s">
        <v>193</v>
      </c>
      <c r="C6182" s="27" t="s">
        <v>34749</v>
      </c>
      <c r="D6182" s="28" t="s">
        <v>34867</v>
      </c>
      <c r="P6182">
        <v>1955</v>
      </c>
      <c r="Q6182" t="s">
        <v>825</v>
      </c>
      <c r="R6182" s="28" t="s">
        <v>826</v>
      </c>
      <c r="S6182" t="s">
        <v>13022</v>
      </c>
    </row>
    <row r="6183" spans="1:19" x14ac:dyDescent="0.25">
      <c r="A6183" s="27" t="s">
        <v>193</v>
      </c>
      <c r="C6183" s="27" t="s">
        <v>34749</v>
      </c>
      <c r="D6183" s="28" t="s">
        <v>34867</v>
      </c>
      <c r="P6183">
        <v>1956</v>
      </c>
      <c r="Q6183" t="s">
        <v>2349</v>
      </c>
      <c r="R6183" s="28" t="s">
        <v>2350</v>
      </c>
      <c r="S6183" t="s">
        <v>13022</v>
      </c>
    </row>
    <row r="6184" spans="1:19" x14ac:dyDescent="0.25">
      <c r="A6184" s="27" t="s">
        <v>193</v>
      </c>
      <c r="C6184" s="27" t="s">
        <v>34749</v>
      </c>
      <c r="D6184" s="28" t="s">
        <v>34867</v>
      </c>
      <c r="P6184">
        <v>1957</v>
      </c>
      <c r="Q6184" t="s">
        <v>2544</v>
      </c>
      <c r="R6184" s="28" t="s">
        <v>2545</v>
      </c>
      <c r="S6184" t="s">
        <v>13022</v>
      </c>
    </row>
    <row r="6185" spans="1:19" x14ac:dyDescent="0.25">
      <c r="A6185" s="27" t="s">
        <v>193</v>
      </c>
      <c r="C6185" s="27" t="s">
        <v>34749</v>
      </c>
      <c r="D6185" s="28" t="s">
        <v>34867</v>
      </c>
      <c r="P6185">
        <v>1958</v>
      </c>
      <c r="Q6185" t="s">
        <v>1935</v>
      </c>
      <c r="R6185" s="28" t="s">
        <v>1936</v>
      </c>
      <c r="S6185" t="s">
        <v>13022</v>
      </c>
    </row>
    <row r="6186" spans="1:19" x14ac:dyDescent="0.25">
      <c r="A6186" s="27" t="s">
        <v>193</v>
      </c>
      <c r="C6186" s="27" t="s">
        <v>34749</v>
      </c>
      <c r="D6186" s="28" t="s">
        <v>34867</v>
      </c>
      <c r="P6186">
        <v>1959</v>
      </c>
      <c r="Q6186" t="s">
        <v>2607</v>
      </c>
      <c r="R6186" s="28" t="s">
        <v>2608</v>
      </c>
      <c r="S6186" t="s">
        <v>13022</v>
      </c>
    </row>
    <row r="6187" spans="1:19" x14ac:dyDescent="0.25">
      <c r="A6187" s="27" t="s">
        <v>193</v>
      </c>
      <c r="C6187" s="27" t="s">
        <v>34749</v>
      </c>
      <c r="D6187" s="28" t="s">
        <v>34867</v>
      </c>
      <c r="P6187">
        <v>1960</v>
      </c>
      <c r="Q6187" t="s">
        <v>14305</v>
      </c>
      <c r="R6187" s="28" t="s">
        <v>1330</v>
      </c>
      <c r="S6187" t="s">
        <v>13022</v>
      </c>
    </row>
    <row r="6188" spans="1:19" x14ac:dyDescent="0.25">
      <c r="A6188" s="27" t="s">
        <v>193</v>
      </c>
      <c r="C6188" s="27" t="s">
        <v>34749</v>
      </c>
      <c r="D6188" s="28" t="s">
        <v>34867</v>
      </c>
      <c r="P6188">
        <v>1961</v>
      </c>
      <c r="Q6188" t="s">
        <v>7420</v>
      </c>
      <c r="R6188" s="28" t="s">
        <v>7421</v>
      </c>
      <c r="S6188" t="s">
        <v>13022</v>
      </c>
    </row>
    <row r="6189" spans="1:19" x14ac:dyDescent="0.25">
      <c r="A6189" s="27" t="s">
        <v>193</v>
      </c>
      <c r="C6189" s="27" t="s">
        <v>34749</v>
      </c>
      <c r="D6189" s="28" t="s">
        <v>34867</v>
      </c>
      <c r="P6189">
        <v>1962</v>
      </c>
      <c r="Q6189" t="s">
        <v>790</v>
      </c>
      <c r="R6189" s="28" t="s">
        <v>791</v>
      </c>
      <c r="S6189" t="s">
        <v>13022</v>
      </c>
    </row>
    <row r="6190" spans="1:19" x14ac:dyDescent="0.25">
      <c r="A6190" s="27" t="s">
        <v>193</v>
      </c>
      <c r="C6190" s="27" t="s">
        <v>34749</v>
      </c>
      <c r="D6190" s="28" t="s">
        <v>34867</v>
      </c>
      <c r="P6190">
        <v>1963</v>
      </c>
      <c r="Q6190" t="s">
        <v>14306</v>
      </c>
      <c r="R6190" s="28" t="s">
        <v>14307</v>
      </c>
      <c r="S6190" t="s">
        <v>13022</v>
      </c>
    </row>
    <row r="6191" spans="1:19" x14ac:dyDescent="0.25">
      <c r="A6191" s="27" t="s">
        <v>193</v>
      </c>
      <c r="C6191" s="27" t="s">
        <v>34749</v>
      </c>
      <c r="D6191" s="28" t="s">
        <v>34867</v>
      </c>
      <c r="P6191">
        <v>1964</v>
      </c>
      <c r="Q6191" t="s">
        <v>14308</v>
      </c>
      <c r="R6191" s="28" t="s">
        <v>14309</v>
      </c>
      <c r="S6191" t="s">
        <v>13022</v>
      </c>
    </row>
    <row r="6192" spans="1:19" x14ac:dyDescent="0.25">
      <c r="A6192" s="27" t="s">
        <v>193</v>
      </c>
      <c r="C6192" s="27" t="s">
        <v>34749</v>
      </c>
      <c r="D6192" s="28" t="s">
        <v>34867</v>
      </c>
      <c r="P6192">
        <v>1965</v>
      </c>
      <c r="Q6192" t="s">
        <v>1293</v>
      </c>
      <c r="R6192" s="28" t="s">
        <v>1294</v>
      </c>
      <c r="S6192" t="s">
        <v>13022</v>
      </c>
    </row>
    <row r="6193" spans="1:19" x14ac:dyDescent="0.25">
      <c r="A6193" s="27" t="s">
        <v>193</v>
      </c>
      <c r="C6193" s="27" t="s">
        <v>34749</v>
      </c>
      <c r="D6193" s="28" t="s">
        <v>34867</v>
      </c>
      <c r="P6193">
        <v>1968</v>
      </c>
      <c r="Q6193" t="s">
        <v>7573</v>
      </c>
      <c r="R6193" s="28" t="s">
        <v>7574</v>
      </c>
      <c r="S6193" t="s">
        <v>13022</v>
      </c>
    </row>
    <row r="6194" spans="1:19" x14ac:dyDescent="0.25">
      <c r="A6194" s="27" t="s">
        <v>193</v>
      </c>
      <c r="C6194" s="27" t="s">
        <v>34749</v>
      </c>
      <c r="D6194" s="28" t="s">
        <v>34867</v>
      </c>
      <c r="P6194">
        <v>1969</v>
      </c>
      <c r="Q6194" t="s">
        <v>3544</v>
      </c>
      <c r="R6194" s="28" t="s">
        <v>3545</v>
      </c>
      <c r="S6194" t="s">
        <v>13022</v>
      </c>
    </row>
    <row r="6195" spans="1:19" x14ac:dyDescent="0.25">
      <c r="A6195" s="27" t="s">
        <v>193</v>
      </c>
      <c r="C6195" s="27" t="s">
        <v>34749</v>
      </c>
      <c r="D6195" s="28" t="s">
        <v>34867</v>
      </c>
      <c r="P6195">
        <v>1970</v>
      </c>
      <c r="Q6195" t="s">
        <v>14310</v>
      </c>
      <c r="R6195" s="28" t="s">
        <v>3931</v>
      </c>
      <c r="S6195" t="s">
        <v>13022</v>
      </c>
    </row>
    <row r="6196" spans="1:19" x14ac:dyDescent="0.25">
      <c r="A6196" s="27" t="s">
        <v>193</v>
      </c>
      <c r="C6196" s="27" t="s">
        <v>34749</v>
      </c>
      <c r="D6196" s="28" t="s">
        <v>34867</v>
      </c>
      <c r="P6196">
        <v>1971</v>
      </c>
      <c r="Q6196" t="s">
        <v>4307</v>
      </c>
      <c r="R6196" s="28" t="s">
        <v>4308</v>
      </c>
      <c r="S6196" t="s">
        <v>13022</v>
      </c>
    </row>
    <row r="6197" spans="1:19" x14ac:dyDescent="0.25">
      <c r="A6197" s="27" t="s">
        <v>193</v>
      </c>
      <c r="C6197" s="27" t="s">
        <v>34749</v>
      </c>
      <c r="D6197" s="28" t="s">
        <v>34867</v>
      </c>
      <c r="P6197">
        <v>1972</v>
      </c>
      <c r="Q6197" t="s">
        <v>14311</v>
      </c>
      <c r="R6197" s="28" t="s">
        <v>3239</v>
      </c>
      <c r="S6197" t="s">
        <v>13022</v>
      </c>
    </row>
    <row r="6198" spans="1:19" x14ac:dyDescent="0.25">
      <c r="A6198" s="27" t="s">
        <v>193</v>
      </c>
      <c r="C6198" s="27" t="s">
        <v>34749</v>
      </c>
      <c r="D6198" s="28" t="s">
        <v>34867</v>
      </c>
      <c r="P6198">
        <v>1973</v>
      </c>
      <c r="Q6198" t="s">
        <v>4130</v>
      </c>
      <c r="R6198" s="28" t="s">
        <v>4131</v>
      </c>
      <c r="S6198" t="s">
        <v>13022</v>
      </c>
    </row>
    <row r="6199" spans="1:19" x14ac:dyDescent="0.25">
      <c r="A6199" s="27" t="s">
        <v>193</v>
      </c>
      <c r="C6199" s="27" t="s">
        <v>34749</v>
      </c>
      <c r="D6199" s="28" t="s">
        <v>34867</v>
      </c>
      <c r="P6199">
        <v>1974</v>
      </c>
      <c r="Q6199" t="s">
        <v>7456</v>
      </c>
      <c r="R6199" s="28" t="s">
        <v>7457</v>
      </c>
      <c r="S6199" t="s">
        <v>13022</v>
      </c>
    </row>
    <row r="6200" spans="1:19" x14ac:dyDescent="0.25">
      <c r="A6200" s="27" t="s">
        <v>193</v>
      </c>
      <c r="C6200" s="27" t="s">
        <v>34749</v>
      </c>
      <c r="D6200" s="28" t="s">
        <v>34867</v>
      </c>
      <c r="P6200">
        <v>1975</v>
      </c>
      <c r="Q6200" t="s">
        <v>3232</v>
      </c>
      <c r="R6200" s="28" t="s">
        <v>3233</v>
      </c>
      <c r="S6200" t="s">
        <v>13022</v>
      </c>
    </row>
    <row r="6201" spans="1:19" x14ac:dyDescent="0.25">
      <c r="A6201" s="27" t="s">
        <v>193</v>
      </c>
      <c r="C6201" s="27" t="s">
        <v>34749</v>
      </c>
      <c r="D6201" s="28" t="s">
        <v>34867</v>
      </c>
      <c r="P6201">
        <v>1976</v>
      </c>
      <c r="Q6201" t="s">
        <v>3235</v>
      </c>
      <c r="R6201" s="28" t="s">
        <v>3236</v>
      </c>
      <c r="S6201" t="s">
        <v>13022</v>
      </c>
    </row>
    <row r="6202" spans="1:19" x14ac:dyDescent="0.25">
      <c r="A6202" s="27" t="s">
        <v>193</v>
      </c>
      <c r="C6202" s="27" t="s">
        <v>34749</v>
      </c>
      <c r="D6202" s="28" t="s">
        <v>34867</v>
      </c>
      <c r="P6202">
        <v>1977</v>
      </c>
      <c r="Q6202" t="s">
        <v>14312</v>
      </c>
      <c r="R6202" s="28" t="s">
        <v>4128</v>
      </c>
      <c r="S6202" t="s">
        <v>13022</v>
      </c>
    </row>
    <row r="6203" spans="1:19" x14ac:dyDescent="0.25">
      <c r="A6203" s="27" t="s">
        <v>193</v>
      </c>
      <c r="C6203" s="27" t="s">
        <v>34749</v>
      </c>
      <c r="D6203" s="28" t="s">
        <v>34867</v>
      </c>
      <c r="P6203">
        <v>1978</v>
      </c>
      <c r="Q6203" t="s">
        <v>14313</v>
      </c>
      <c r="R6203" s="28" t="s">
        <v>1471</v>
      </c>
      <c r="S6203" t="s">
        <v>13022</v>
      </c>
    </row>
    <row r="6204" spans="1:19" x14ac:dyDescent="0.25">
      <c r="A6204" s="27" t="s">
        <v>193</v>
      </c>
      <c r="C6204" s="27" t="s">
        <v>34749</v>
      </c>
      <c r="D6204" s="28" t="s">
        <v>34867</v>
      </c>
      <c r="P6204">
        <v>1979</v>
      </c>
      <c r="Q6204" t="s">
        <v>1521</v>
      </c>
      <c r="R6204" s="28" t="s">
        <v>1522</v>
      </c>
      <c r="S6204" t="s">
        <v>13022</v>
      </c>
    </row>
    <row r="6205" spans="1:19" x14ac:dyDescent="0.25">
      <c r="A6205" s="27" t="s">
        <v>193</v>
      </c>
      <c r="C6205" s="27" t="s">
        <v>34749</v>
      </c>
      <c r="D6205" s="28" t="s">
        <v>34867</v>
      </c>
      <c r="P6205">
        <v>1980</v>
      </c>
      <c r="Q6205" t="s">
        <v>14314</v>
      </c>
      <c r="R6205" s="28" t="s">
        <v>10841</v>
      </c>
      <c r="S6205" t="s">
        <v>13022</v>
      </c>
    </row>
    <row r="6206" spans="1:19" x14ac:dyDescent="0.25">
      <c r="A6206" s="27" t="s">
        <v>193</v>
      </c>
      <c r="C6206" s="27" t="s">
        <v>34749</v>
      </c>
      <c r="D6206" s="28" t="s">
        <v>34867</v>
      </c>
      <c r="P6206">
        <v>1981</v>
      </c>
      <c r="Q6206" t="s">
        <v>14315</v>
      </c>
      <c r="R6206" s="28" t="s">
        <v>8140</v>
      </c>
      <c r="S6206" t="s">
        <v>13022</v>
      </c>
    </row>
    <row r="6207" spans="1:19" x14ac:dyDescent="0.25">
      <c r="A6207" s="27" t="s">
        <v>193</v>
      </c>
      <c r="C6207" s="27" t="s">
        <v>34749</v>
      </c>
      <c r="D6207" s="28" t="s">
        <v>34867</v>
      </c>
      <c r="P6207">
        <v>1982</v>
      </c>
      <c r="Q6207" t="s">
        <v>14316</v>
      </c>
      <c r="R6207" s="28" t="s">
        <v>4362</v>
      </c>
      <c r="S6207" t="s">
        <v>13022</v>
      </c>
    </row>
    <row r="6208" spans="1:19" x14ac:dyDescent="0.25">
      <c r="A6208" s="27" t="s">
        <v>193</v>
      </c>
      <c r="C6208" s="27" t="s">
        <v>34749</v>
      </c>
      <c r="D6208" s="28" t="s">
        <v>34867</v>
      </c>
      <c r="P6208">
        <v>1983</v>
      </c>
      <c r="Q6208" t="s">
        <v>1281</v>
      </c>
      <c r="R6208" s="28" t="s">
        <v>1282</v>
      </c>
      <c r="S6208" t="s">
        <v>13022</v>
      </c>
    </row>
    <row r="6209" spans="1:19" x14ac:dyDescent="0.25">
      <c r="A6209" s="27" t="s">
        <v>193</v>
      </c>
      <c r="C6209" s="27" t="s">
        <v>34749</v>
      </c>
      <c r="D6209" s="28" t="s">
        <v>34867</v>
      </c>
      <c r="P6209">
        <v>1984</v>
      </c>
      <c r="Q6209" t="s">
        <v>2118</v>
      </c>
      <c r="R6209" s="28" t="s">
        <v>2119</v>
      </c>
      <c r="S6209" t="s">
        <v>13022</v>
      </c>
    </row>
    <row r="6210" spans="1:19" x14ac:dyDescent="0.25">
      <c r="A6210" s="27" t="s">
        <v>193</v>
      </c>
      <c r="C6210" s="27" t="s">
        <v>34749</v>
      </c>
      <c r="D6210" s="28" t="s">
        <v>34867</v>
      </c>
      <c r="P6210">
        <v>1985</v>
      </c>
      <c r="Q6210" t="s">
        <v>14317</v>
      </c>
      <c r="R6210" s="28" t="s">
        <v>1756</v>
      </c>
      <c r="S6210" t="s">
        <v>13022</v>
      </c>
    </row>
    <row r="6211" spans="1:19" x14ac:dyDescent="0.25">
      <c r="A6211" s="27" t="s">
        <v>193</v>
      </c>
      <c r="C6211" s="27" t="s">
        <v>34749</v>
      </c>
      <c r="D6211" s="28" t="s">
        <v>34867</v>
      </c>
      <c r="P6211">
        <v>1986</v>
      </c>
      <c r="Q6211" t="s">
        <v>14318</v>
      </c>
      <c r="R6211" s="28" t="s">
        <v>14319</v>
      </c>
      <c r="S6211" t="s">
        <v>13022</v>
      </c>
    </row>
    <row r="6212" spans="1:19" x14ac:dyDescent="0.25">
      <c r="A6212" s="27" t="s">
        <v>193</v>
      </c>
      <c r="C6212" s="27" t="s">
        <v>34749</v>
      </c>
      <c r="D6212" s="28" t="s">
        <v>34867</v>
      </c>
      <c r="P6212">
        <v>1987</v>
      </c>
      <c r="Q6212" t="s">
        <v>14320</v>
      </c>
      <c r="R6212" s="28" t="s">
        <v>14321</v>
      </c>
      <c r="S6212" t="s">
        <v>13022</v>
      </c>
    </row>
    <row r="6213" spans="1:19" x14ac:dyDescent="0.25">
      <c r="A6213" t="s">
        <v>655</v>
      </c>
      <c r="P6213">
        <v>1988</v>
      </c>
      <c r="Q6213" t="s">
        <v>14323</v>
      </c>
      <c r="R6213" s="28" t="s">
        <v>14324</v>
      </c>
      <c r="S6213" t="s">
        <v>14322</v>
      </c>
    </row>
    <row r="6214" spans="1:19" x14ac:dyDescent="0.25">
      <c r="A6214" s="27" t="s">
        <v>193</v>
      </c>
      <c r="C6214" s="27" t="s">
        <v>34749</v>
      </c>
      <c r="D6214" s="28" t="s">
        <v>34867</v>
      </c>
      <c r="P6214">
        <v>1989</v>
      </c>
      <c r="Q6214" t="s">
        <v>14325</v>
      </c>
      <c r="R6214" s="28" t="s">
        <v>14326</v>
      </c>
      <c r="S6214" t="s">
        <v>14322</v>
      </c>
    </row>
    <row r="6215" spans="1:19" x14ac:dyDescent="0.25">
      <c r="A6215" s="27" t="s">
        <v>193</v>
      </c>
      <c r="C6215" s="27" t="s">
        <v>34749</v>
      </c>
      <c r="D6215" s="28" t="s">
        <v>34867</v>
      </c>
      <c r="P6215">
        <v>1991</v>
      </c>
      <c r="Q6215" t="s">
        <v>14327</v>
      </c>
      <c r="R6215" s="28" t="s">
        <v>14328</v>
      </c>
      <c r="S6215" t="s">
        <v>13022</v>
      </c>
    </row>
    <row r="6216" spans="1:19" x14ac:dyDescent="0.25">
      <c r="A6216" s="27" t="s">
        <v>193</v>
      </c>
      <c r="C6216" s="27" t="s">
        <v>34749</v>
      </c>
      <c r="D6216" s="28" t="s">
        <v>34867</v>
      </c>
      <c r="P6216">
        <v>1992</v>
      </c>
      <c r="Q6216" t="s">
        <v>1881</v>
      </c>
      <c r="R6216" s="28" t="s">
        <v>1882</v>
      </c>
      <c r="S6216" t="s">
        <v>13022</v>
      </c>
    </row>
    <row r="6217" spans="1:19" x14ac:dyDescent="0.25">
      <c r="A6217" s="27" t="s">
        <v>193</v>
      </c>
      <c r="C6217" s="27" t="s">
        <v>34749</v>
      </c>
      <c r="D6217" s="28" t="s">
        <v>34867</v>
      </c>
      <c r="P6217">
        <v>1993</v>
      </c>
      <c r="Q6217" t="s">
        <v>1200</v>
      </c>
      <c r="R6217" s="28" t="s">
        <v>1201</v>
      </c>
      <c r="S6217" t="s">
        <v>13022</v>
      </c>
    </row>
    <row r="6218" spans="1:19" x14ac:dyDescent="0.25">
      <c r="A6218" s="27" t="s">
        <v>193</v>
      </c>
      <c r="C6218" s="27" t="s">
        <v>34749</v>
      </c>
      <c r="D6218" s="28" t="s">
        <v>34867</v>
      </c>
      <c r="P6218">
        <v>1994</v>
      </c>
      <c r="Q6218" t="s">
        <v>14329</v>
      </c>
      <c r="R6218" s="28" t="s">
        <v>14330</v>
      </c>
      <c r="S6218" t="s">
        <v>13022</v>
      </c>
    </row>
    <row r="6219" spans="1:19" x14ac:dyDescent="0.25">
      <c r="A6219" s="27" t="s">
        <v>193</v>
      </c>
      <c r="C6219" s="27" t="s">
        <v>34749</v>
      </c>
      <c r="D6219" s="28" t="s">
        <v>34867</v>
      </c>
      <c r="P6219">
        <v>1995</v>
      </c>
      <c r="Q6219" t="s">
        <v>14331</v>
      </c>
      <c r="R6219" s="28" t="s">
        <v>14332</v>
      </c>
      <c r="S6219" t="s">
        <v>13022</v>
      </c>
    </row>
    <row r="6220" spans="1:19" x14ac:dyDescent="0.25">
      <c r="A6220" s="27" t="s">
        <v>193</v>
      </c>
      <c r="C6220" s="27" t="s">
        <v>34749</v>
      </c>
      <c r="D6220" s="28" t="s">
        <v>34867</v>
      </c>
      <c r="P6220">
        <v>1996</v>
      </c>
      <c r="Q6220" t="s">
        <v>14333</v>
      </c>
      <c r="R6220" s="28" t="s">
        <v>14334</v>
      </c>
      <c r="S6220" t="s">
        <v>13022</v>
      </c>
    </row>
    <row r="6221" spans="1:19" x14ac:dyDescent="0.25">
      <c r="A6221" s="27" t="s">
        <v>193</v>
      </c>
      <c r="C6221" s="27" t="s">
        <v>34749</v>
      </c>
      <c r="D6221" s="28" t="s">
        <v>34867</v>
      </c>
      <c r="P6221">
        <v>1997</v>
      </c>
      <c r="Q6221" t="s">
        <v>2406</v>
      </c>
      <c r="R6221" s="28" t="s">
        <v>2407</v>
      </c>
      <c r="S6221" t="s">
        <v>13022</v>
      </c>
    </row>
    <row r="6222" spans="1:19" x14ac:dyDescent="0.25">
      <c r="A6222" s="27" t="s">
        <v>193</v>
      </c>
      <c r="C6222" s="27" t="s">
        <v>34749</v>
      </c>
      <c r="D6222" s="28" t="s">
        <v>34867</v>
      </c>
      <c r="P6222">
        <v>1998</v>
      </c>
      <c r="Q6222" t="s">
        <v>14335</v>
      </c>
      <c r="R6222" s="28" t="s">
        <v>12209</v>
      </c>
      <c r="S6222" t="s">
        <v>13022</v>
      </c>
    </row>
    <row r="6223" spans="1:19" x14ac:dyDescent="0.25">
      <c r="A6223" s="27" t="s">
        <v>193</v>
      </c>
      <c r="C6223" s="27" t="s">
        <v>34749</v>
      </c>
      <c r="D6223" s="28" t="s">
        <v>34867</v>
      </c>
      <c r="P6223">
        <v>1999</v>
      </c>
      <c r="Q6223" t="s">
        <v>14336</v>
      </c>
      <c r="R6223" s="28" t="s">
        <v>14337</v>
      </c>
      <c r="S6223" t="s">
        <v>13022</v>
      </c>
    </row>
    <row r="6224" spans="1:19" x14ac:dyDescent="0.25">
      <c r="A6224" s="27" t="s">
        <v>193</v>
      </c>
      <c r="C6224" s="27" t="s">
        <v>34749</v>
      </c>
      <c r="D6224" s="28" t="s">
        <v>34867</v>
      </c>
      <c r="P6224">
        <v>2000</v>
      </c>
      <c r="Q6224" t="s">
        <v>2643</v>
      </c>
      <c r="R6224" s="28" t="s">
        <v>2644</v>
      </c>
      <c r="S6224" t="s">
        <v>13022</v>
      </c>
    </row>
    <row r="6225" spans="1:19" x14ac:dyDescent="0.25">
      <c r="A6225" s="27" t="s">
        <v>193</v>
      </c>
      <c r="C6225" s="27" t="s">
        <v>34749</v>
      </c>
      <c r="D6225" s="28" t="s">
        <v>34867</v>
      </c>
      <c r="P6225">
        <v>2001</v>
      </c>
      <c r="Q6225" t="s">
        <v>11239</v>
      </c>
      <c r="R6225" s="28" t="s">
        <v>11240</v>
      </c>
      <c r="S6225" t="s">
        <v>13022</v>
      </c>
    </row>
    <row r="6226" spans="1:19" x14ac:dyDescent="0.25">
      <c r="A6226" s="27" t="s">
        <v>193</v>
      </c>
      <c r="C6226" s="27" t="s">
        <v>34749</v>
      </c>
      <c r="D6226" s="28" t="s">
        <v>34867</v>
      </c>
      <c r="P6226">
        <v>2002</v>
      </c>
      <c r="Q6226" t="s">
        <v>14338</v>
      </c>
      <c r="R6226" s="28" t="s">
        <v>1111</v>
      </c>
      <c r="S6226" t="s">
        <v>13022</v>
      </c>
    </row>
    <row r="6227" spans="1:19" x14ac:dyDescent="0.25">
      <c r="A6227" s="27" t="s">
        <v>193</v>
      </c>
      <c r="C6227" s="27" t="s">
        <v>34749</v>
      </c>
      <c r="D6227" s="28" t="s">
        <v>34867</v>
      </c>
      <c r="P6227">
        <v>2003</v>
      </c>
      <c r="Q6227" t="s">
        <v>14339</v>
      </c>
      <c r="R6227" s="28" t="s">
        <v>4452</v>
      </c>
      <c r="S6227" t="s">
        <v>13022</v>
      </c>
    </row>
    <row r="6228" spans="1:19" x14ac:dyDescent="0.25">
      <c r="A6228" s="27" t="s">
        <v>193</v>
      </c>
      <c r="C6228" s="27" t="s">
        <v>34749</v>
      </c>
      <c r="D6228" s="28" t="s">
        <v>34867</v>
      </c>
      <c r="P6228">
        <v>2004</v>
      </c>
      <c r="Q6228" t="s">
        <v>14340</v>
      </c>
      <c r="S6228" t="s">
        <v>13022</v>
      </c>
    </row>
    <row r="6229" spans="1:19" x14ac:dyDescent="0.25">
      <c r="A6229" s="27" t="s">
        <v>193</v>
      </c>
      <c r="C6229" s="27" t="s">
        <v>34749</v>
      </c>
      <c r="D6229" s="28" t="s">
        <v>34867</v>
      </c>
      <c r="P6229">
        <v>2005</v>
      </c>
      <c r="Q6229" t="s">
        <v>14341</v>
      </c>
      <c r="R6229" s="28" t="s">
        <v>10766</v>
      </c>
      <c r="S6229" t="s">
        <v>13022</v>
      </c>
    </row>
    <row r="6230" spans="1:19" x14ac:dyDescent="0.25">
      <c r="A6230" s="27" t="s">
        <v>193</v>
      </c>
      <c r="C6230" s="27" t="s">
        <v>34749</v>
      </c>
      <c r="D6230" s="28" t="s">
        <v>34867</v>
      </c>
      <c r="P6230">
        <v>2007</v>
      </c>
      <c r="Q6230" t="s">
        <v>14342</v>
      </c>
      <c r="R6230" s="28" t="s">
        <v>14343</v>
      </c>
      <c r="S6230" t="s">
        <v>13022</v>
      </c>
    </row>
    <row r="6231" spans="1:19" x14ac:dyDescent="0.25">
      <c r="A6231" s="27" t="s">
        <v>193</v>
      </c>
      <c r="C6231" s="27" t="s">
        <v>34749</v>
      </c>
      <c r="D6231" s="28" t="s">
        <v>34867</v>
      </c>
      <c r="P6231">
        <v>2008</v>
      </c>
      <c r="Q6231" t="s">
        <v>1458</v>
      </c>
      <c r="R6231" s="28" t="s">
        <v>1459</v>
      </c>
      <c r="S6231" t="s">
        <v>13022</v>
      </c>
    </row>
    <row r="6232" spans="1:19" x14ac:dyDescent="0.25">
      <c r="A6232" s="27" t="s">
        <v>193</v>
      </c>
      <c r="C6232" s="27" t="s">
        <v>34749</v>
      </c>
      <c r="D6232" s="28" t="s">
        <v>34867</v>
      </c>
      <c r="P6232">
        <v>2009</v>
      </c>
      <c r="Q6232" t="s">
        <v>1662</v>
      </c>
      <c r="R6232" s="28" t="s">
        <v>1663</v>
      </c>
      <c r="S6232" t="s">
        <v>13022</v>
      </c>
    </row>
    <row r="6233" spans="1:19" x14ac:dyDescent="0.25">
      <c r="A6233" s="27" t="s">
        <v>193</v>
      </c>
      <c r="C6233" s="27" t="s">
        <v>34749</v>
      </c>
      <c r="D6233" s="28" t="s">
        <v>34867</v>
      </c>
      <c r="P6233">
        <v>2010</v>
      </c>
      <c r="Q6233" t="s">
        <v>1713</v>
      </c>
      <c r="R6233" s="28" t="s">
        <v>1714</v>
      </c>
      <c r="S6233" t="s">
        <v>13022</v>
      </c>
    </row>
    <row r="6234" spans="1:19" x14ac:dyDescent="0.25">
      <c r="A6234" s="27" t="s">
        <v>193</v>
      </c>
      <c r="C6234" s="27" t="s">
        <v>34749</v>
      </c>
      <c r="D6234" s="28" t="s">
        <v>34867</v>
      </c>
      <c r="P6234">
        <v>2011</v>
      </c>
      <c r="Q6234" t="s">
        <v>2232</v>
      </c>
      <c r="R6234" s="28" t="s">
        <v>2233</v>
      </c>
      <c r="S6234" t="s">
        <v>13022</v>
      </c>
    </row>
    <row r="6235" spans="1:19" x14ac:dyDescent="0.25">
      <c r="A6235" s="27" t="s">
        <v>193</v>
      </c>
      <c r="C6235" s="27" t="s">
        <v>34749</v>
      </c>
      <c r="D6235" s="28" t="s">
        <v>34867</v>
      </c>
      <c r="P6235">
        <v>2012</v>
      </c>
      <c r="Q6235" t="s">
        <v>2265</v>
      </c>
      <c r="R6235" s="28" t="s">
        <v>2266</v>
      </c>
      <c r="S6235" t="s">
        <v>13022</v>
      </c>
    </row>
    <row r="6236" spans="1:19" x14ac:dyDescent="0.25">
      <c r="A6236" s="27" t="s">
        <v>193</v>
      </c>
      <c r="C6236" s="27" t="s">
        <v>34749</v>
      </c>
      <c r="D6236" s="28" t="s">
        <v>34867</v>
      </c>
      <c r="P6236">
        <v>2013</v>
      </c>
      <c r="Q6236" t="s">
        <v>855</v>
      </c>
      <c r="R6236" s="28" t="s">
        <v>856</v>
      </c>
      <c r="S6236" t="s">
        <v>13022</v>
      </c>
    </row>
    <row r="6237" spans="1:19" x14ac:dyDescent="0.25">
      <c r="A6237" s="27" t="s">
        <v>193</v>
      </c>
      <c r="C6237" s="27" t="s">
        <v>34749</v>
      </c>
      <c r="D6237" s="28" t="s">
        <v>34867</v>
      </c>
      <c r="P6237">
        <v>2014</v>
      </c>
      <c r="Q6237" t="s">
        <v>3223</v>
      </c>
      <c r="R6237" s="28" t="s">
        <v>3224</v>
      </c>
      <c r="S6237" t="s">
        <v>13022</v>
      </c>
    </row>
    <row r="6238" spans="1:19" x14ac:dyDescent="0.25">
      <c r="A6238" s="27" t="s">
        <v>193</v>
      </c>
      <c r="C6238" s="27" t="s">
        <v>34749</v>
      </c>
      <c r="D6238" s="28" t="s">
        <v>34867</v>
      </c>
      <c r="P6238">
        <v>2015</v>
      </c>
      <c r="Q6238" t="s">
        <v>3915</v>
      </c>
      <c r="R6238" s="28" t="s">
        <v>3916</v>
      </c>
      <c r="S6238" t="s">
        <v>13022</v>
      </c>
    </row>
    <row r="6239" spans="1:19" x14ac:dyDescent="0.25">
      <c r="A6239" s="27" t="s">
        <v>193</v>
      </c>
      <c r="C6239" s="27" t="s">
        <v>34749</v>
      </c>
      <c r="D6239" s="28" t="s">
        <v>34867</v>
      </c>
      <c r="P6239">
        <v>2016</v>
      </c>
      <c r="Q6239" t="s">
        <v>3912</v>
      </c>
      <c r="R6239" s="28" t="s">
        <v>3913</v>
      </c>
      <c r="S6239" t="s">
        <v>13022</v>
      </c>
    </row>
    <row r="6240" spans="1:19" x14ac:dyDescent="0.25">
      <c r="A6240" s="27" t="s">
        <v>193</v>
      </c>
      <c r="C6240" s="27" t="s">
        <v>34749</v>
      </c>
      <c r="D6240" s="28" t="s">
        <v>34867</v>
      </c>
      <c r="P6240">
        <v>2017</v>
      </c>
      <c r="Q6240" t="s">
        <v>14344</v>
      </c>
      <c r="R6240" s="28" t="s">
        <v>3794</v>
      </c>
      <c r="S6240" t="s">
        <v>13022</v>
      </c>
    </row>
    <row r="6241" spans="1:19" x14ac:dyDescent="0.25">
      <c r="A6241" s="27" t="s">
        <v>193</v>
      </c>
      <c r="C6241" s="27" t="s">
        <v>34749</v>
      </c>
      <c r="D6241" s="28" t="s">
        <v>34867</v>
      </c>
      <c r="P6241">
        <v>2018</v>
      </c>
      <c r="Q6241" t="s">
        <v>14345</v>
      </c>
      <c r="R6241" s="28" t="s">
        <v>10090</v>
      </c>
      <c r="S6241" t="s">
        <v>13022</v>
      </c>
    </row>
    <row r="6242" spans="1:19" x14ac:dyDescent="0.25">
      <c r="A6242" s="27" t="s">
        <v>193</v>
      </c>
      <c r="C6242" s="27" t="s">
        <v>34749</v>
      </c>
      <c r="D6242" s="28" t="s">
        <v>34867</v>
      </c>
      <c r="P6242">
        <v>2019</v>
      </c>
      <c r="Q6242" t="s">
        <v>3775</v>
      </c>
      <c r="R6242" s="28" t="s">
        <v>3776</v>
      </c>
      <c r="S6242" t="s">
        <v>13022</v>
      </c>
    </row>
    <row r="6243" spans="1:19" x14ac:dyDescent="0.25">
      <c r="A6243" s="27" t="s">
        <v>193</v>
      </c>
      <c r="C6243" s="27" t="s">
        <v>34749</v>
      </c>
      <c r="D6243" s="28" t="s">
        <v>34867</v>
      </c>
      <c r="P6243">
        <v>2020</v>
      </c>
      <c r="Q6243" t="s">
        <v>14346</v>
      </c>
      <c r="S6243" t="s">
        <v>13022</v>
      </c>
    </row>
    <row r="6244" spans="1:19" x14ac:dyDescent="0.25">
      <c r="A6244" s="27" t="s">
        <v>193</v>
      </c>
      <c r="C6244" s="27" t="s">
        <v>34749</v>
      </c>
      <c r="D6244" s="28" t="s">
        <v>34867</v>
      </c>
      <c r="P6244">
        <v>2021</v>
      </c>
      <c r="Q6244" t="s">
        <v>14347</v>
      </c>
      <c r="S6244" t="s">
        <v>13022</v>
      </c>
    </row>
    <row r="6245" spans="1:19" x14ac:dyDescent="0.25">
      <c r="A6245" s="27" t="s">
        <v>193</v>
      </c>
      <c r="C6245" s="27" t="s">
        <v>34749</v>
      </c>
      <c r="D6245" s="28" t="s">
        <v>34867</v>
      </c>
      <c r="P6245">
        <v>2022</v>
      </c>
      <c r="Q6245" t="s">
        <v>14348</v>
      </c>
      <c r="S6245" t="s">
        <v>13022</v>
      </c>
    </row>
    <row r="6246" spans="1:19" x14ac:dyDescent="0.25">
      <c r="A6246" s="27" t="s">
        <v>193</v>
      </c>
      <c r="C6246" s="27" t="s">
        <v>34749</v>
      </c>
      <c r="D6246" s="28" t="s">
        <v>34867</v>
      </c>
      <c r="P6246">
        <v>2023</v>
      </c>
      <c r="Q6246" t="s">
        <v>14349</v>
      </c>
      <c r="R6246" s="28" t="s">
        <v>2659</v>
      </c>
      <c r="S6246" t="s">
        <v>13022</v>
      </c>
    </row>
    <row r="6247" spans="1:19" x14ac:dyDescent="0.25">
      <c r="A6247" s="27" t="s">
        <v>193</v>
      </c>
      <c r="C6247" s="27" t="s">
        <v>34749</v>
      </c>
      <c r="D6247" s="28" t="s">
        <v>34867</v>
      </c>
      <c r="P6247">
        <v>2024</v>
      </c>
      <c r="Q6247" t="s">
        <v>14350</v>
      </c>
      <c r="R6247" s="28" t="s">
        <v>1654</v>
      </c>
      <c r="S6247" t="s">
        <v>13022</v>
      </c>
    </row>
    <row r="6248" spans="1:19" x14ac:dyDescent="0.25">
      <c r="A6248" s="27" t="s">
        <v>193</v>
      </c>
      <c r="C6248" s="27" t="s">
        <v>34749</v>
      </c>
      <c r="D6248" s="28" t="s">
        <v>34867</v>
      </c>
      <c r="P6248">
        <v>2025</v>
      </c>
      <c r="Q6248" t="s">
        <v>14351</v>
      </c>
      <c r="R6248" s="28" t="s">
        <v>1693</v>
      </c>
      <c r="S6248" t="s">
        <v>13022</v>
      </c>
    </row>
    <row r="6249" spans="1:19" x14ac:dyDescent="0.25">
      <c r="A6249" s="27" t="s">
        <v>193</v>
      </c>
      <c r="C6249" s="27" t="s">
        <v>34749</v>
      </c>
      <c r="D6249" s="28" t="s">
        <v>34867</v>
      </c>
      <c r="P6249">
        <v>2026</v>
      </c>
      <c r="Q6249" t="s">
        <v>2262</v>
      </c>
      <c r="R6249" s="28" t="s">
        <v>2263</v>
      </c>
      <c r="S6249" t="s">
        <v>13022</v>
      </c>
    </row>
    <row r="6250" spans="1:19" x14ac:dyDescent="0.25">
      <c r="A6250" s="27" t="s">
        <v>193</v>
      </c>
      <c r="C6250" s="27" t="s">
        <v>34749</v>
      </c>
      <c r="D6250" s="28" t="s">
        <v>34867</v>
      </c>
      <c r="P6250">
        <v>2027</v>
      </c>
      <c r="Q6250" t="s">
        <v>2229</v>
      </c>
      <c r="R6250" s="28" t="s">
        <v>2230</v>
      </c>
      <c r="S6250" t="s">
        <v>13022</v>
      </c>
    </row>
    <row r="6251" spans="1:19" x14ac:dyDescent="0.25">
      <c r="A6251" s="27" t="s">
        <v>193</v>
      </c>
      <c r="C6251" s="27" t="s">
        <v>34749</v>
      </c>
      <c r="D6251" s="28" t="s">
        <v>34867</v>
      </c>
      <c r="P6251">
        <v>2028</v>
      </c>
      <c r="Q6251" t="s">
        <v>14352</v>
      </c>
      <c r="R6251" s="28" t="s">
        <v>1498</v>
      </c>
      <c r="S6251" t="s">
        <v>13022</v>
      </c>
    </row>
    <row r="6252" spans="1:19" x14ac:dyDescent="0.25">
      <c r="A6252" s="27" t="s">
        <v>193</v>
      </c>
      <c r="C6252" s="27" t="s">
        <v>34749</v>
      </c>
      <c r="D6252" s="28" t="s">
        <v>34867</v>
      </c>
      <c r="P6252">
        <v>2029</v>
      </c>
      <c r="Q6252" t="s">
        <v>2367</v>
      </c>
      <c r="R6252" s="28" t="s">
        <v>2368</v>
      </c>
      <c r="S6252" t="s">
        <v>13022</v>
      </c>
    </row>
    <row r="6253" spans="1:19" x14ac:dyDescent="0.25">
      <c r="A6253" s="27" t="s">
        <v>193</v>
      </c>
      <c r="C6253" s="27" t="s">
        <v>34749</v>
      </c>
      <c r="D6253" s="28" t="s">
        <v>34867</v>
      </c>
      <c r="P6253">
        <v>2030</v>
      </c>
      <c r="Q6253" t="s">
        <v>14353</v>
      </c>
      <c r="R6253" s="28" t="s">
        <v>2569</v>
      </c>
      <c r="S6253" t="s">
        <v>13022</v>
      </c>
    </row>
    <row r="6254" spans="1:19" x14ac:dyDescent="0.25">
      <c r="A6254" s="27" t="s">
        <v>193</v>
      </c>
      <c r="C6254" s="27" t="s">
        <v>34749</v>
      </c>
      <c r="D6254" s="28" t="s">
        <v>34867</v>
      </c>
      <c r="P6254">
        <v>2031</v>
      </c>
      <c r="Q6254" t="s">
        <v>2709</v>
      </c>
      <c r="R6254" s="28" t="s">
        <v>2710</v>
      </c>
      <c r="S6254" t="s">
        <v>13022</v>
      </c>
    </row>
    <row r="6255" spans="1:19" x14ac:dyDescent="0.25">
      <c r="A6255" s="27" t="s">
        <v>193</v>
      </c>
      <c r="C6255" s="27" t="s">
        <v>34749</v>
      </c>
      <c r="D6255" s="28" t="s">
        <v>34867</v>
      </c>
      <c r="P6255">
        <v>2032</v>
      </c>
      <c r="Q6255" t="s">
        <v>2364</v>
      </c>
      <c r="R6255" s="28" t="s">
        <v>2365</v>
      </c>
      <c r="S6255" t="s">
        <v>13022</v>
      </c>
    </row>
    <row r="6256" spans="1:19" x14ac:dyDescent="0.25">
      <c r="A6256" s="27" t="s">
        <v>193</v>
      </c>
      <c r="C6256" s="27" t="s">
        <v>34749</v>
      </c>
      <c r="D6256" s="28" t="s">
        <v>34867</v>
      </c>
      <c r="P6256">
        <v>2033</v>
      </c>
      <c r="Q6256" t="s">
        <v>2487</v>
      </c>
      <c r="R6256" s="28" t="s">
        <v>2488</v>
      </c>
      <c r="S6256" t="s">
        <v>13022</v>
      </c>
    </row>
    <row r="6257" spans="1:19" x14ac:dyDescent="0.25">
      <c r="A6257" s="27" t="s">
        <v>193</v>
      </c>
      <c r="C6257" s="27" t="s">
        <v>34749</v>
      </c>
      <c r="D6257" s="28" t="s">
        <v>34867</v>
      </c>
      <c r="P6257">
        <v>2034</v>
      </c>
      <c r="Q6257" t="s">
        <v>2106</v>
      </c>
      <c r="R6257" s="28" t="s">
        <v>2107</v>
      </c>
      <c r="S6257" t="s">
        <v>13022</v>
      </c>
    </row>
    <row r="6258" spans="1:19" x14ac:dyDescent="0.25">
      <c r="A6258" s="27" t="s">
        <v>193</v>
      </c>
      <c r="C6258" s="27" t="s">
        <v>34749</v>
      </c>
      <c r="D6258" s="28" t="s">
        <v>34867</v>
      </c>
      <c r="P6258">
        <v>2035</v>
      </c>
      <c r="Q6258" t="s">
        <v>2400</v>
      </c>
      <c r="R6258" s="28" t="s">
        <v>2401</v>
      </c>
      <c r="S6258" t="s">
        <v>13022</v>
      </c>
    </row>
    <row r="6259" spans="1:19" x14ac:dyDescent="0.25">
      <c r="A6259" s="27" t="s">
        <v>193</v>
      </c>
      <c r="C6259" s="27" t="s">
        <v>34749</v>
      </c>
      <c r="D6259" s="28" t="s">
        <v>34867</v>
      </c>
      <c r="P6259">
        <v>2036</v>
      </c>
      <c r="Q6259" t="s">
        <v>2508</v>
      </c>
      <c r="R6259" s="28" t="s">
        <v>2509</v>
      </c>
      <c r="S6259" t="s">
        <v>13022</v>
      </c>
    </row>
    <row r="6260" spans="1:19" x14ac:dyDescent="0.25">
      <c r="A6260" s="27" t="s">
        <v>193</v>
      </c>
      <c r="C6260" s="27" t="s">
        <v>34749</v>
      </c>
      <c r="D6260" s="28" t="s">
        <v>34867</v>
      </c>
      <c r="P6260">
        <v>2037</v>
      </c>
      <c r="Q6260" t="s">
        <v>1791</v>
      </c>
      <c r="R6260" s="28" t="s">
        <v>1792</v>
      </c>
      <c r="S6260" t="s">
        <v>13022</v>
      </c>
    </row>
    <row r="6261" spans="1:19" x14ac:dyDescent="0.25">
      <c r="A6261" s="27" t="s">
        <v>193</v>
      </c>
      <c r="C6261" s="27" t="s">
        <v>34749</v>
      </c>
      <c r="D6261" s="28" t="s">
        <v>34867</v>
      </c>
      <c r="P6261">
        <v>2038</v>
      </c>
      <c r="Q6261" t="s">
        <v>14354</v>
      </c>
      <c r="R6261" s="28" t="s">
        <v>2086</v>
      </c>
      <c r="S6261" t="s">
        <v>13022</v>
      </c>
    </row>
    <row r="6262" spans="1:19" x14ac:dyDescent="0.25">
      <c r="A6262" s="27" t="s">
        <v>193</v>
      </c>
      <c r="C6262" s="27" t="s">
        <v>34749</v>
      </c>
      <c r="D6262" s="28" t="s">
        <v>34867</v>
      </c>
      <c r="P6262">
        <v>2039</v>
      </c>
      <c r="Q6262" t="s">
        <v>14355</v>
      </c>
      <c r="S6262" t="s">
        <v>13022</v>
      </c>
    </row>
    <row r="6263" spans="1:19" x14ac:dyDescent="0.25">
      <c r="A6263" s="27" t="s">
        <v>193</v>
      </c>
      <c r="C6263" s="27" t="s">
        <v>34749</v>
      </c>
      <c r="D6263" s="28" t="s">
        <v>34867</v>
      </c>
      <c r="P6263">
        <v>2040</v>
      </c>
      <c r="Q6263" t="s">
        <v>2061</v>
      </c>
      <c r="R6263" s="28" t="s">
        <v>2062</v>
      </c>
      <c r="S6263" t="s">
        <v>13022</v>
      </c>
    </row>
    <row r="6264" spans="1:19" x14ac:dyDescent="0.25">
      <c r="A6264" s="27" t="s">
        <v>193</v>
      </c>
      <c r="C6264" s="27" t="s">
        <v>34749</v>
      </c>
      <c r="D6264" s="28" t="s">
        <v>34867</v>
      </c>
      <c r="P6264">
        <v>2041</v>
      </c>
      <c r="Q6264" t="s">
        <v>14356</v>
      </c>
      <c r="R6264" s="28" t="s">
        <v>5133</v>
      </c>
      <c r="S6264" t="s">
        <v>13022</v>
      </c>
    </row>
    <row r="6265" spans="1:19" x14ac:dyDescent="0.25">
      <c r="A6265" s="28" t="s">
        <v>14843</v>
      </c>
      <c r="P6265">
        <v>2042</v>
      </c>
      <c r="Q6265" t="s">
        <v>14358</v>
      </c>
      <c r="S6265" t="s">
        <v>14357</v>
      </c>
    </row>
    <row r="6266" spans="1:19" x14ac:dyDescent="0.25">
      <c r="A6266" s="27" t="s">
        <v>193</v>
      </c>
      <c r="C6266" s="27" t="s">
        <v>34749</v>
      </c>
      <c r="D6266" s="28" t="s">
        <v>34867</v>
      </c>
      <c r="P6266">
        <v>2043</v>
      </c>
      <c r="Q6266" t="s">
        <v>14359</v>
      </c>
      <c r="R6266" s="28" t="s">
        <v>14360</v>
      </c>
      <c r="S6266" t="s">
        <v>13022</v>
      </c>
    </row>
    <row r="6267" spans="1:19" x14ac:dyDescent="0.25">
      <c r="A6267" s="27" t="s">
        <v>193</v>
      </c>
      <c r="C6267" s="27" t="s">
        <v>34749</v>
      </c>
      <c r="D6267" s="28" t="s">
        <v>34867</v>
      </c>
      <c r="P6267">
        <v>2046</v>
      </c>
      <c r="Q6267" t="s">
        <v>2208</v>
      </c>
      <c r="R6267" s="28" t="s">
        <v>2209</v>
      </c>
      <c r="S6267" t="s">
        <v>13022</v>
      </c>
    </row>
    <row r="6268" spans="1:19" x14ac:dyDescent="0.25">
      <c r="A6268" s="27" t="s">
        <v>193</v>
      </c>
      <c r="C6268" s="27" t="s">
        <v>34749</v>
      </c>
      <c r="D6268" s="28" t="s">
        <v>34867</v>
      </c>
      <c r="P6268">
        <v>2047</v>
      </c>
      <c r="Q6268" t="s">
        <v>8445</v>
      </c>
      <c r="R6268" s="28" t="s">
        <v>8446</v>
      </c>
      <c r="S6268" t="s">
        <v>13022</v>
      </c>
    </row>
    <row r="6269" spans="1:19" x14ac:dyDescent="0.25">
      <c r="A6269" s="27" t="s">
        <v>193</v>
      </c>
      <c r="C6269" s="27" t="s">
        <v>34749</v>
      </c>
      <c r="D6269" s="28" t="s">
        <v>34867</v>
      </c>
      <c r="P6269">
        <v>2048</v>
      </c>
      <c r="Q6269" t="s">
        <v>14361</v>
      </c>
      <c r="S6269" t="s">
        <v>13022</v>
      </c>
    </row>
    <row r="6270" spans="1:19" x14ac:dyDescent="0.25">
      <c r="A6270" s="27" t="s">
        <v>193</v>
      </c>
      <c r="C6270" s="27" t="s">
        <v>34749</v>
      </c>
      <c r="D6270" s="28" t="s">
        <v>34867</v>
      </c>
      <c r="P6270">
        <v>2049</v>
      </c>
      <c r="Q6270" t="s">
        <v>4477</v>
      </c>
      <c r="R6270" s="28" t="s">
        <v>4478</v>
      </c>
      <c r="S6270" t="s">
        <v>13022</v>
      </c>
    </row>
    <row r="6271" spans="1:19" x14ac:dyDescent="0.25">
      <c r="A6271" s="27" t="s">
        <v>193</v>
      </c>
      <c r="C6271" s="27" t="s">
        <v>34749</v>
      </c>
      <c r="D6271" s="28" t="s">
        <v>34867</v>
      </c>
      <c r="P6271">
        <v>2050</v>
      </c>
      <c r="Q6271" t="s">
        <v>7677</v>
      </c>
      <c r="R6271" s="28" t="s">
        <v>7678</v>
      </c>
      <c r="S6271" t="s">
        <v>13022</v>
      </c>
    </row>
    <row r="6272" spans="1:19" x14ac:dyDescent="0.25">
      <c r="A6272" s="27" t="s">
        <v>193</v>
      </c>
      <c r="C6272" s="27" t="s">
        <v>34749</v>
      </c>
      <c r="D6272" s="28" t="s">
        <v>34867</v>
      </c>
      <c r="P6272">
        <v>2051</v>
      </c>
      <c r="Q6272" t="s">
        <v>14362</v>
      </c>
      <c r="R6272" s="28" t="s">
        <v>1822</v>
      </c>
      <c r="S6272" t="s">
        <v>13022</v>
      </c>
    </row>
    <row r="6273" spans="1:19" x14ac:dyDescent="0.25">
      <c r="A6273" s="27" t="s">
        <v>193</v>
      </c>
      <c r="C6273" s="27" t="s">
        <v>34749</v>
      </c>
      <c r="D6273" s="28" t="s">
        <v>34867</v>
      </c>
      <c r="P6273">
        <v>2052</v>
      </c>
      <c r="Q6273" t="s">
        <v>14363</v>
      </c>
      <c r="S6273" t="s">
        <v>13022</v>
      </c>
    </row>
    <row r="6274" spans="1:19" x14ac:dyDescent="0.25">
      <c r="A6274" s="27" t="s">
        <v>193</v>
      </c>
      <c r="C6274" s="27" t="s">
        <v>34749</v>
      </c>
      <c r="D6274" s="28" t="s">
        <v>34867</v>
      </c>
      <c r="P6274">
        <v>2053</v>
      </c>
      <c r="Q6274" t="s">
        <v>5882</v>
      </c>
      <c r="R6274" s="28" t="s">
        <v>5883</v>
      </c>
      <c r="S6274" t="s">
        <v>13022</v>
      </c>
    </row>
    <row r="6275" spans="1:19" x14ac:dyDescent="0.25">
      <c r="A6275" s="27" t="s">
        <v>193</v>
      </c>
      <c r="C6275" s="27" t="s">
        <v>34749</v>
      </c>
      <c r="D6275" s="28" t="s">
        <v>34867</v>
      </c>
      <c r="P6275">
        <v>2054</v>
      </c>
      <c r="Q6275" t="s">
        <v>14364</v>
      </c>
      <c r="S6275" t="s">
        <v>13022</v>
      </c>
    </row>
    <row r="6276" spans="1:19" x14ac:dyDescent="0.25">
      <c r="A6276" s="27" t="s">
        <v>193</v>
      </c>
      <c r="C6276" s="27" t="s">
        <v>34749</v>
      </c>
      <c r="D6276" s="28" t="s">
        <v>34867</v>
      </c>
      <c r="P6276">
        <v>2055</v>
      </c>
      <c r="Q6276" t="s">
        <v>14365</v>
      </c>
      <c r="S6276" t="s">
        <v>13022</v>
      </c>
    </row>
    <row r="6277" spans="1:19" x14ac:dyDescent="0.25">
      <c r="A6277" s="27" t="s">
        <v>193</v>
      </c>
      <c r="C6277" s="27" t="s">
        <v>34749</v>
      </c>
      <c r="D6277" s="28" t="s">
        <v>34867</v>
      </c>
      <c r="P6277">
        <v>2057</v>
      </c>
      <c r="Q6277" t="s">
        <v>14366</v>
      </c>
      <c r="S6277" t="s">
        <v>13022</v>
      </c>
    </row>
    <row r="6278" spans="1:19" x14ac:dyDescent="0.25">
      <c r="A6278" s="27" t="s">
        <v>193</v>
      </c>
      <c r="C6278" s="27" t="s">
        <v>34749</v>
      </c>
      <c r="D6278" s="28" t="s">
        <v>34867</v>
      </c>
      <c r="P6278">
        <v>2058</v>
      </c>
      <c r="Q6278" t="s">
        <v>14367</v>
      </c>
      <c r="R6278" s="28" t="s">
        <v>2134</v>
      </c>
      <c r="S6278" t="s">
        <v>13022</v>
      </c>
    </row>
    <row r="6279" spans="1:19" x14ac:dyDescent="0.25">
      <c r="A6279" s="27" t="s">
        <v>193</v>
      </c>
      <c r="C6279" s="27" t="s">
        <v>34749</v>
      </c>
      <c r="D6279" s="28" t="s">
        <v>34867</v>
      </c>
      <c r="P6279">
        <v>2059</v>
      </c>
      <c r="Q6279" t="s">
        <v>14368</v>
      </c>
      <c r="S6279" t="s">
        <v>13022</v>
      </c>
    </row>
    <row r="6280" spans="1:19" x14ac:dyDescent="0.25">
      <c r="A6280" s="27" t="s">
        <v>193</v>
      </c>
      <c r="C6280" s="27" t="s">
        <v>34749</v>
      </c>
      <c r="D6280" s="28" t="s">
        <v>34867</v>
      </c>
      <c r="P6280">
        <v>2060</v>
      </c>
      <c r="Q6280" t="s">
        <v>14369</v>
      </c>
      <c r="S6280" t="s">
        <v>13022</v>
      </c>
    </row>
    <row r="6281" spans="1:19" x14ac:dyDescent="0.25">
      <c r="A6281" s="27" t="s">
        <v>193</v>
      </c>
      <c r="C6281" s="27" t="s">
        <v>34749</v>
      </c>
      <c r="D6281" s="28" t="s">
        <v>34867</v>
      </c>
      <c r="P6281">
        <v>2061</v>
      </c>
      <c r="Q6281" t="s">
        <v>14370</v>
      </c>
      <c r="R6281" s="28" t="s">
        <v>10337</v>
      </c>
      <c r="S6281" t="s">
        <v>13022</v>
      </c>
    </row>
    <row r="6282" spans="1:19" x14ac:dyDescent="0.25">
      <c r="A6282" s="27" t="s">
        <v>193</v>
      </c>
      <c r="C6282" s="27" t="s">
        <v>34749</v>
      </c>
      <c r="D6282" s="28" t="s">
        <v>34867</v>
      </c>
      <c r="P6282">
        <v>2062</v>
      </c>
      <c r="Q6282" t="s">
        <v>14371</v>
      </c>
      <c r="R6282" s="28" t="s">
        <v>2452</v>
      </c>
      <c r="S6282" t="s">
        <v>13022</v>
      </c>
    </row>
    <row r="6283" spans="1:19" x14ac:dyDescent="0.25">
      <c r="A6283" s="27" t="s">
        <v>193</v>
      </c>
      <c r="C6283" s="27" t="s">
        <v>34749</v>
      </c>
      <c r="D6283" s="28" t="s">
        <v>34867</v>
      </c>
      <c r="P6283">
        <v>2063</v>
      </c>
      <c r="Q6283" t="s">
        <v>14372</v>
      </c>
      <c r="R6283" s="28" t="s">
        <v>14373</v>
      </c>
      <c r="S6283" t="s">
        <v>13022</v>
      </c>
    </row>
    <row r="6284" spans="1:19" x14ac:dyDescent="0.25">
      <c r="A6284" s="27" t="s">
        <v>193</v>
      </c>
      <c r="C6284" s="27" t="s">
        <v>34749</v>
      </c>
      <c r="D6284" s="28" t="s">
        <v>34867</v>
      </c>
      <c r="P6284">
        <v>2064</v>
      </c>
      <c r="Q6284" t="s">
        <v>14374</v>
      </c>
      <c r="S6284" t="s">
        <v>13022</v>
      </c>
    </row>
    <row r="6285" spans="1:19" x14ac:dyDescent="0.25">
      <c r="A6285" s="27" t="s">
        <v>193</v>
      </c>
      <c r="C6285" s="27" t="s">
        <v>34749</v>
      </c>
      <c r="D6285" s="28" t="s">
        <v>34867</v>
      </c>
      <c r="P6285">
        <v>2066</v>
      </c>
      <c r="Q6285" t="s">
        <v>14375</v>
      </c>
      <c r="S6285" t="s">
        <v>13022</v>
      </c>
    </row>
    <row r="6286" spans="1:19" x14ac:dyDescent="0.25">
      <c r="A6286" s="27" t="s">
        <v>193</v>
      </c>
      <c r="C6286" s="27" t="s">
        <v>34749</v>
      </c>
      <c r="D6286" s="28" t="s">
        <v>34867</v>
      </c>
      <c r="P6286">
        <v>2067</v>
      </c>
      <c r="Q6286" t="s">
        <v>14376</v>
      </c>
      <c r="S6286" t="s">
        <v>13022</v>
      </c>
    </row>
    <row r="6287" spans="1:19" x14ac:dyDescent="0.25">
      <c r="A6287" s="27" t="s">
        <v>193</v>
      </c>
      <c r="C6287" s="27" t="s">
        <v>34749</v>
      </c>
      <c r="D6287" s="28" t="s">
        <v>34867</v>
      </c>
      <c r="P6287">
        <v>2068</v>
      </c>
      <c r="Q6287" t="s">
        <v>14377</v>
      </c>
      <c r="S6287" t="s">
        <v>13022</v>
      </c>
    </row>
    <row r="6288" spans="1:19" x14ac:dyDescent="0.25">
      <c r="A6288" s="27" t="s">
        <v>193</v>
      </c>
      <c r="C6288" s="27" t="s">
        <v>34749</v>
      </c>
      <c r="D6288" s="28" t="s">
        <v>34867</v>
      </c>
      <c r="P6288">
        <v>2069</v>
      </c>
      <c r="Q6288" t="s">
        <v>14378</v>
      </c>
      <c r="S6288" t="s">
        <v>13022</v>
      </c>
    </row>
    <row r="6289" spans="1:19" x14ac:dyDescent="0.25">
      <c r="A6289" s="27" t="s">
        <v>193</v>
      </c>
      <c r="C6289" s="27" t="s">
        <v>34749</v>
      </c>
      <c r="D6289" s="28" t="s">
        <v>34867</v>
      </c>
      <c r="P6289">
        <v>2070</v>
      </c>
      <c r="Q6289" t="s">
        <v>14379</v>
      </c>
      <c r="R6289" s="28" t="s">
        <v>2554</v>
      </c>
      <c r="S6289" t="s">
        <v>13022</v>
      </c>
    </row>
    <row r="6290" spans="1:19" x14ac:dyDescent="0.25">
      <c r="A6290" s="27" t="s">
        <v>193</v>
      </c>
      <c r="C6290" s="27" t="s">
        <v>34749</v>
      </c>
      <c r="D6290" s="28" t="s">
        <v>34867</v>
      </c>
      <c r="P6290">
        <v>2071</v>
      </c>
      <c r="Q6290" t="s">
        <v>14380</v>
      </c>
      <c r="R6290" s="28" t="s">
        <v>14381</v>
      </c>
      <c r="S6290" t="s">
        <v>13022</v>
      </c>
    </row>
    <row r="6291" spans="1:19" x14ac:dyDescent="0.25">
      <c r="A6291" s="27" t="s">
        <v>193</v>
      </c>
      <c r="C6291" s="27" t="s">
        <v>34749</v>
      </c>
      <c r="D6291" s="28" t="s">
        <v>34867</v>
      </c>
      <c r="P6291">
        <v>2072</v>
      </c>
      <c r="Q6291" t="s">
        <v>14382</v>
      </c>
      <c r="R6291" s="28" t="s">
        <v>8566</v>
      </c>
      <c r="S6291" t="s">
        <v>13022</v>
      </c>
    </row>
    <row r="6292" spans="1:19" x14ac:dyDescent="0.25">
      <c r="A6292" s="27" t="s">
        <v>193</v>
      </c>
      <c r="C6292" s="27" t="s">
        <v>34749</v>
      </c>
      <c r="D6292" s="28" t="s">
        <v>34867</v>
      </c>
      <c r="P6292">
        <v>2073</v>
      </c>
      <c r="Q6292" t="s">
        <v>1146</v>
      </c>
      <c r="R6292" s="28" t="s">
        <v>1147</v>
      </c>
      <c r="S6292" t="s">
        <v>13022</v>
      </c>
    </row>
    <row r="6293" spans="1:19" x14ac:dyDescent="0.25">
      <c r="A6293" s="27" t="s">
        <v>193</v>
      </c>
      <c r="C6293" s="27" t="s">
        <v>34749</v>
      </c>
      <c r="D6293" s="28" t="s">
        <v>34867</v>
      </c>
      <c r="P6293">
        <v>2074</v>
      </c>
      <c r="Q6293" t="s">
        <v>9417</v>
      </c>
      <c r="R6293" s="28" t="s">
        <v>9418</v>
      </c>
      <c r="S6293" t="s">
        <v>13022</v>
      </c>
    </row>
    <row r="6294" spans="1:19" x14ac:dyDescent="0.25">
      <c r="A6294" s="27" t="s">
        <v>193</v>
      </c>
      <c r="C6294" s="27" t="s">
        <v>34749</v>
      </c>
      <c r="D6294" s="28" t="s">
        <v>34867</v>
      </c>
      <c r="P6294">
        <v>2075</v>
      </c>
      <c r="Q6294" t="s">
        <v>14383</v>
      </c>
      <c r="R6294" s="28" t="s">
        <v>10769</v>
      </c>
      <c r="S6294" t="s">
        <v>13022</v>
      </c>
    </row>
    <row r="6295" spans="1:19" x14ac:dyDescent="0.25">
      <c r="A6295" s="27" t="s">
        <v>193</v>
      </c>
      <c r="C6295" s="27" t="s">
        <v>34749</v>
      </c>
      <c r="D6295" s="28" t="s">
        <v>34867</v>
      </c>
      <c r="P6295">
        <v>2076</v>
      </c>
      <c r="Q6295" t="s">
        <v>14384</v>
      </c>
      <c r="R6295" s="28" t="s">
        <v>14385</v>
      </c>
      <c r="S6295" t="s">
        <v>13022</v>
      </c>
    </row>
    <row r="6296" spans="1:19" x14ac:dyDescent="0.25">
      <c r="A6296" s="27" t="s">
        <v>193</v>
      </c>
      <c r="C6296" s="27" t="s">
        <v>34749</v>
      </c>
      <c r="D6296" s="28" t="s">
        <v>34867</v>
      </c>
      <c r="P6296">
        <v>2077</v>
      </c>
      <c r="Q6296" t="s">
        <v>14386</v>
      </c>
      <c r="R6296" s="28" t="s">
        <v>14387</v>
      </c>
      <c r="S6296" t="s">
        <v>13022</v>
      </c>
    </row>
    <row r="6297" spans="1:19" x14ac:dyDescent="0.25">
      <c r="A6297" s="27" t="s">
        <v>193</v>
      </c>
      <c r="C6297" s="27" t="s">
        <v>34749</v>
      </c>
      <c r="D6297" s="28" t="s">
        <v>34867</v>
      </c>
      <c r="P6297">
        <v>2078</v>
      </c>
      <c r="Q6297" t="s">
        <v>11035</v>
      </c>
      <c r="R6297" s="28" t="s">
        <v>11036</v>
      </c>
      <c r="S6297" t="s">
        <v>13022</v>
      </c>
    </row>
    <row r="6298" spans="1:19" x14ac:dyDescent="0.25">
      <c r="A6298" s="27" t="s">
        <v>193</v>
      </c>
      <c r="C6298" s="27" t="s">
        <v>34749</v>
      </c>
      <c r="D6298" s="28" t="s">
        <v>34867</v>
      </c>
      <c r="P6298">
        <v>2079</v>
      </c>
      <c r="Q6298" t="s">
        <v>10411</v>
      </c>
      <c r="R6298" s="28" t="s">
        <v>10412</v>
      </c>
      <c r="S6298" t="s">
        <v>13022</v>
      </c>
    </row>
    <row r="6299" spans="1:19" x14ac:dyDescent="0.25">
      <c r="A6299" s="27" t="s">
        <v>193</v>
      </c>
      <c r="C6299" s="27" t="s">
        <v>34749</v>
      </c>
      <c r="D6299" s="28" t="s">
        <v>34867</v>
      </c>
      <c r="P6299">
        <v>2080</v>
      </c>
      <c r="Q6299" t="s">
        <v>14388</v>
      </c>
      <c r="S6299" t="s">
        <v>13022</v>
      </c>
    </row>
    <row r="6300" spans="1:19" x14ac:dyDescent="0.25">
      <c r="A6300" s="27" t="s">
        <v>193</v>
      </c>
      <c r="C6300" s="27" t="s">
        <v>34749</v>
      </c>
      <c r="D6300" s="28" t="s">
        <v>34867</v>
      </c>
      <c r="P6300">
        <v>2081</v>
      </c>
      <c r="Q6300" t="s">
        <v>1932</v>
      </c>
      <c r="R6300" s="28" t="s">
        <v>1933</v>
      </c>
      <c r="S6300" t="s">
        <v>13022</v>
      </c>
    </row>
    <row r="6301" spans="1:19" x14ac:dyDescent="0.25">
      <c r="A6301" s="27" t="s">
        <v>193</v>
      </c>
      <c r="C6301" s="27" t="s">
        <v>34749</v>
      </c>
      <c r="D6301" s="28" t="s">
        <v>34867</v>
      </c>
      <c r="P6301">
        <v>2082</v>
      </c>
      <c r="Q6301" t="s">
        <v>14389</v>
      </c>
      <c r="R6301" s="28" t="s">
        <v>14390</v>
      </c>
      <c r="S6301" t="s">
        <v>13022</v>
      </c>
    </row>
    <row r="6302" spans="1:19" x14ac:dyDescent="0.25">
      <c r="A6302" s="27" t="s">
        <v>193</v>
      </c>
      <c r="C6302" s="27" t="s">
        <v>34749</v>
      </c>
      <c r="D6302" s="28" t="s">
        <v>34867</v>
      </c>
      <c r="P6302">
        <v>2084</v>
      </c>
      <c r="Q6302" t="s">
        <v>14391</v>
      </c>
      <c r="R6302" s="28" t="s">
        <v>11856</v>
      </c>
      <c r="S6302" t="s">
        <v>13022</v>
      </c>
    </row>
    <row r="6303" spans="1:19" x14ac:dyDescent="0.25">
      <c r="A6303" s="27" t="s">
        <v>193</v>
      </c>
      <c r="C6303" s="27" t="s">
        <v>34749</v>
      </c>
      <c r="D6303" s="28" t="s">
        <v>34867</v>
      </c>
      <c r="P6303">
        <v>2085</v>
      </c>
      <c r="Q6303" t="s">
        <v>14392</v>
      </c>
      <c r="R6303" s="28" t="s">
        <v>2680</v>
      </c>
      <c r="S6303" t="s">
        <v>13022</v>
      </c>
    </row>
    <row r="6304" spans="1:19" x14ac:dyDescent="0.25">
      <c r="A6304" s="27" t="s">
        <v>193</v>
      </c>
      <c r="C6304" s="27" t="s">
        <v>34749</v>
      </c>
      <c r="D6304" s="28" t="s">
        <v>34867</v>
      </c>
      <c r="P6304">
        <v>2086</v>
      </c>
      <c r="Q6304" t="s">
        <v>936</v>
      </c>
      <c r="R6304" s="28" t="s">
        <v>937</v>
      </c>
      <c r="S6304" t="s">
        <v>13022</v>
      </c>
    </row>
    <row r="6305" spans="1:19" x14ac:dyDescent="0.25">
      <c r="A6305" s="27" t="s">
        <v>193</v>
      </c>
      <c r="C6305" s="27" t="s">
        <v>34749</v>
      </c>
      <c r="D6305" s="28" t="s">
        <v>34867</v>
      </c>
      <c r="P6305">
        <v>2087</v>
      </c>
      <c r="Q6305" t="s">
        <v>14393</v>
      </c>
      <c r="R6305" s="28" t="s">
        <v>3671</v>
      </c>
      <c r="S6305" t="s">
        <v>13022</v>
      </c>
    </row>
    <row r="6306" spans="1:19" x14ac:dyDescent="0.25">
      <c r="A6306" s="27" t="s">
        <v>193</v>
      </c>
      <c r="C6306" s="27" t="s">
        <v>34749</v>
      </c>
      <c r="D6306" s="28" t="s">
        <v>34867</v>
      </c>
      <c r="P6306">
        <v>2088</v>
      </c>
      <c r="Q6306" t="s">
        <v>933</v>
      </c>
      <c r="R6306" s="28" t="s">
        <v>934</v>
      </c>
      <c r="S6306" t="s">
        <v>13022</v>
      </c>
    </row>
    <row r="6307" spans="1:19" x14ac:dyDescent="0.25">
      <c r="A6307" s="27" t="s">
        <v>193</v>
      </c>
      <c r="C6307" s="27" t="s">
        <v>34749</v>
      </c>
      <c r="D6307" s="28" t="s">
        <v>34867</v>
      </c>
      <c r="P6307">
        <v>2090</v>
      </c>
      <c r="Q6307" t="s">
        <v>14394</v>
      </c>
      <c r="R6307" s="28" t="s">
        <v>8179</v>
      </c>
      <c r="S6307" t="s">
        <v>13022</v>
      </c>
    </row>
    <row r="6308" spans="1:19" x14ac:dyDescent="0.25">
      <c r="A6308" s="27" t="s">
        <v>193</v>
      </c>
      <c r="C6308" s="27" t="s">
        <v>34749</v>
      </c>
      <c r="D6308" s="28" t="s">
        <v>34867</v>
      </c>
      <c r="P6308">
        <v>2091</v>
      </c>
      <c r="Q6308" t="s">
        <v>14395</v>
      </c>
      <c r="R6308" s="28" t="s">
        <v>1975</v>
      </c>
      <c r="S6308" t="s">
        <v>13022</v>
      </c>
    </row>
    <row r="6309" spans="1:19" x14ac:dyDescent="0.25">
      <c r="A6309" s="27" t="s">
        <v>193</v>
      </c>
      <c r="C6309" s="27" t="s">
        <v>34749</v>
      </c>
      <c r="D6309" s="28" t="s">
        <v>34867</v>
      </c>
      <c r="P6309">
        <v>2092</v>
      </c>
      <c r="Q6309" t="s">
        <v>3514</v>
      </c>
      <c r="R6309" s="28" t="s">
        <v>3515</v>
      </c>
      <c r="S6309" t="s">
        <v>13022</v>
      </c>
    </row>
    <row r="6310" spans="1:19" x14ac:dyDescent="0.25">
      <c r="A6310" s="27" t="s">
        <v>193</v>
      </c>
      <c r="C6310" s="27" t="s">
        <v>34749</v>
      </c>
      <c r="D6310" s="28" t="s">
        <v>34867</v>
      </c>
      <c r="P6310">
        <v>2093</v>
      </c>
      <c r="Q6310" t="s">
        <v>1971</v>
      </c>
      <c r="R6310" s="28" t="s">
        <v>1972</v>
      </c>
      <c r="S6310" t="s">
        <v>13022</v>
      </c>
    </row>
    <row r="6311" spans="1:19" x14ac:dyDescent="0.25">
      <c r="A6311" s="27" t="s">
        <v>193</v>
      </c>
      <c r="C6311" s="27" t="s">
        <v>34749</v>
      </c>
      <c r="D6311" s="28" t="s">
        <v>34867</v>
      </c>
      <c r="P6311">
        <v>2094</v>
      </c>
      <c r="Q6311" t="s">
        <v>14396</v>
      </c>
      <c r="R6311" s="28" t="s">
        <v>1543</v>
      </c>
      <c r="S6311" t="s">
        <v>13022</v>
      </c>
    </row>
    <row r="6312" spans="1:19" x14ac:dyDescent="0.25">
      <c r="A6312" s="27" t="s">
        <v>193</v>
      </c>
      <c r="C6312" s="27" t="s">
        <v>34749</v>
      </c>
      <c r="D6312" s="28" t="s">
        <v>34867</v>
      </c>
      <c r="P6312">
        <v>2095</v>
      </c>
      <c r="Q6312" t="s">
        <v>4617</v>
      </c>
      <c r="R6312" s="28" t="s">
        <v>4618</v>
      </c>
      <c r="S6312" t="s">
        <v>13022</v>
      </c>
    </row>
    <row r="6313" spans="1:19" x14ac:dyDescent="0.25">
      <c r="A6313" s="27" t="s">
        <v>193</v>
      </c>
      <c r="C6313" s="27" t="s">
        <v>34749</v>
      </c>
      <c r="D6313" s="28" t="s">
        <v>34867</v>
      </c>
      <c r="P6313">
        <v>2096</v>
      </c>
      <c r="Q6313" t="s">
        <v>8484</v>
      </c>
      <c r="R6313" s="28" t="s">
        <v>8485</v>
      </c>
      <c r="S6313" t="s">
        <v>13022</v>
      </c>
    </row>
    <row r="6314" spans="1:19" x14ac:dyDescent="0.25">
      <c r="A6314" s="27" t="s">
        <v>193</v>
      </c>
      <c r="C6314" s="27" t="s">
        <v>34749</v>
      </c>
      <c r="D6314" s="28" t="s">
        <v>34867</v>
      </c>
      <c r="P6314">
        <v>2097</v>
      </c>
      <c r="Q6314" t="s">
        <v>7440</v>
      </c>
      <c r="R6314" s="28" t="s">
        <v>7442</v>
      </c>
      <c r="S6314" t="s">
        <v>13022</v>
      </c>
    </row>
    <row r="6315" spans="1:19" x14ac:dyDescent="0.25">
      <c r="A6315" s="27" t="s">
        <v>193</v>
      </c>
      <c r="C6315" s="27" t="s">
        <v>34749</v>
      </c>
      <c r="D6315" s="28" t="s">
        <v>34867</v>
      </c>
      <c r="P6315">
        <v>2098</v>
      </c>
      <c r="Q6315" t="s">
        <v>1047</v>
      </c>
      <c r="R6315" s="28" t="s">
        <v>1048</v>
      </c>
      <c r="S6315" t="s">
        <v>13022</v>
      </c>
    </row>
    <row r="6316" spans="1:19" x14ac:dyDescent="0.25">
      <c r="A6316" s="27" t="s">
        <v>193</v>
      </c>
      <c r="C6316" s="27" t="s">
        <v>34749</v>
      </c>
      <c r="D6316" s="28" t="s">
        <v>34867</v>
      </c>
      <c r="P6316">
        <v>2099</v>
      </c>
      <c r="Q6316" t="s">
        <v>10459</v>
      </c>
      <c r="R6316" s="28" t="s">
        <v>10460</v>
      </c>
      <c r="S6316" t="s">
        <v>13022</v>
      </c>
    </row>
    <row r="6317" spans="1:19" x14ac:dyDescent="0.25">
      <c r="A6317" s="27" t="s">
        <v>193</v>
      </c>
      <c r="C6317" s="27" t="s">
        <v>34749</v>
      </c>
      <c r="D6317" s="28" t="s">
        <v>34867</v>
      </c>
      <c r="P6317">
        <v>2100</v>
      </c>
      <c r="Q6317" t="s">
        <v>14397</v>
      </c>
      <c r="R6317" s="28" t="s">
        <v>1354</v>
      </c>
      <c r="S6317" t="s">
        <v>13022</v>
      </c>
    </row>
    <row r="6318" spans="1:19" x14ac:dyDescent="0.25">
      <c r="A6318" s="27" t="s">
        <v>193</v>
      </c>
      <c r="C6318" s="27" t="s">
        <v>34749</v>
      </c>
      <c r="D6318" s="28" t="s">
        <v>34867</v>
      </c>
      <c r="P6318">
        <v>2101</v>
      </c>
      <c r="Q6318" t="s">
        <v>1575</v>
      </c>
      <c r="R6318" s="28" t="s">
        <v>1576</v>
      </c>
      <c r="S6318" t="s">
        <v>13022</v>
      </c>
    </row>
    <row r="6319" spans="1:19" x14ac:dyDescent="0.25">
      <c r="A6319" s="27" t="s">
        <v>193</v>
      </c>
      <c r="C6319" s="27" t="s">
        <v>34749</v>
      </c>
      <c r="D6319" s="28" t="s">
        <v>34867</v>
      </c>
      <c r="P6319">
        <v>2102</v>
      </c>
      <c r="Q6319" t="s">
        <v>14398</v>
      </c>
      <c r="R6319" s="28" t="s">
        <v>8743</v>
      </c>
      <c r="S6319" t="s">
        <v>13022</v>
      </c>
    </row>
    <row r="6320" spans="1:19" x14ac:dyDescent="0.25">
      <c r="A6320" s="27" t="s">
        <v>193</v>
      </c>
      <c r="C6320" s="27" t="s">
        <v>34749</v>
      </c>
      <c r="D6320" s="28" t="s">
        <v>34867</v>
      </c>
      <c r="P6320">
        <v>2103</v>
      </c>
      <c r="Q6320" t="s">
        <v>1716</v>
      </c>
      <c r="R6320" s="28" t="s">
        <v>1717</v>
      </c>
      <c r="S6320" t="s">
        <v>13022</v>
      </c>
    </row>
    <row r="6321" spans="1:19" x14ac:dyDescent="0.25">
      <c r="A6321" s="27" t="s">
        <v>193</v>
      </c>
      <c r="C6321" s="27" t="s">
        <v>34749</v>
      </c>
      <c r="D6321" s="28" t="s">
        <v>34867</v>
      </c>
      <c r="P6321">
        <v>2104</v>
      </c>
      <c r="Q6321" t="s">
        <v>14399</v>
      </c>
      <c r="R6321" s="28" t="s">
        <v>10760</v>
      </c>
      <c r="S6321" t="s">
        <v>13022</v>
      </c>
    </row>
    <row r="6322" spans="1:19" x14ac:dyDescent="0.25">
      <c r="A6322" s="27" t="s">
        <v>193</v>
      </c>
      <c r="C6322" s="27" t="s">
        <v>34749</v>
      </c>
      <c r="D6322" s="28" t="s">
        <v>34867</v>
      </c>
      <c r="P6322">
        <v>2105</v>
      </c>
      <c r="Q6322" t="s">
        <v>4241</v>
      </c>
      <c r="R6322" s="28" t="s">
        <v>4242</v>
      </c>
      <c r="S6322" t="s">
        <v>13022</v>
      </c>
    </row>
    <row r="6323" spans="1:19" x14ac:dyDescent="0.25">
      <c r="A6323" s="27" t="s">
        <v>193</v>
      </c>
      <c r="C6323" s="27" t="s">
        <v>34749</v>
      </c>
      <c r="D6323" s="28" t="s">
        <v>34867</v>
      </c>
      <c r="P6323">
        <v>2106</v>
      </c>
      <c r="Q6323" t="s">
        <v>14400</v>
      </c>
      <c r="R6323" s="28" t="s">
        <v>2650</v>
      </c>
      <c r="S6323" t="s">
        <v>13022</v>
      </c>
    </row>
    <row r="6324" spans="1:19" x14ac:dyDescent="0.25">
      <c r="A6324" s="27" t="s">
        <v>193</v>
      </c>
      <c r="C6324" s="27" t="s">
        <v>34749</v>
      </c>
      <c r="D6324" s="28" t="s">
        <v>34867</v>
      </c>
      <c r="P6324">
        <v>2107</v>
      </c>
      <c r="Q6324" t="s">
        <v>11844</v>
      </c>
      <c r="R6324" s="28" t="s">
        <v>14401</v>
      </c>
      <c r="S6324" t="s">
        <v>13022</v>
      </c>
    </row>
    <row r="6325" spans="1:19" x14ac:dyDescent="0.25">
      <c r="A6325" s="27" t="s">
        <v>193</v>
      </c>
      <c r="C6325" s="27" t="s">
        <v>34749</v>
      </c>
      <c r="D6325" s="28" t="s">
        <v>34867</v>
      </c>
      <c r="P6325">
        <v>2108</v>
      </c>
      <c r="Q6325" t="s">
        <v>14402</v>
      </c>
      <c r="R6325" s="28" t="s">
        <v>7544</v>
      </c>
      <c r="S6325" t="s">
        <v>13022</v>
      </c>
    </row>
    <row r="6326" spans="1:19" x14ac:dyDescent="0.25">
      <c r="A6326" s="27" t="s">
        <v>193</v>
      </c>
      <c r="C6326" s="27" t="s">
        <v>34749</v>
      </c>
      <c r="D6326" s="28" t="s">
        <v>34867</v>
      </c>
      <c r="P6326">
        <v>2109</v>
      </c>
      <c r="Q6326" t="s">
        <v>6545</v>
      </c>
      <c r="R6326" s="28" t="s">
        <v>6546</v>
      </c>
      <c r="S6326" t="s">
        <v>13022</v>
      </c>
    </row>
    <row r="6327" spans="1:19" x14ac:dyDescent="0.25">
      <c r="A6327" s="27" t="s">
        <v>193</v>
      </c>
      <c r="C6327" s="27" t="s">
        <v>34749</v>
      </c>
      <c r="D6327" s="28" t="s">
        <v>34867</v>
      </c>
      <c r="P6327">
        <v>2110</v>
      </c>
      <c r="Q6327" t="s">
        <v>6548</v>
      </c>
      <c r="R6327" s="28" t="s">
        <v>6549</v>
      </c>
      <c r="S6327" t="s">
        <v>13022</v>
      </c>
    </row>
    <row r="6328" spans="1:19" x14ac:dyDescent="0.25">
      <c r="A6328" s="27" t="s">
        <v>193</v>
      </c>
      <c r="C6328" s="27" t="s">
        <v>34749</v>
      </c>
      <c r="D6328" s="28" t="s">
        <v>34867</v>
      </c>
      <c r="P6328">
        <v>2111</v>
      </c>
      <c r="Q6328" t="s">
        <v>6566</v>
      </c>
      <c r="R6328" s="28" t="s">
        <v>6567</v>
      </c>
      <c r="S6328" t="s">
        <v>13022</v>
      </c>
    </row>
    <row r="6329" spans="1:19" x14ac:dyDescent="0.25">
      <c r="A6329" s="27" t="s">
        <v>193</v>
      </c>
      <c r="C6329" s="27" t="s">
        <v>34749</v>
      </c>
      <c r="D6329" s="28" t="s">
        <v>34867</v>
      </c>
      <c r="P6329">
        <v>2112</v>
      </c>
      <c r="Q6329" t="s">
        <v>6569</v>
      </c>
      <c r="R6329" s="28" t="s">
        <v>6570</v>
      </c>
      <c r="S6329" t="s">
        <v>13022</v>
      </c>
    </row>
    <row r="6330" spans="1:19" x14ac:dyDescent="0.25">
      <c r="A6330" s="27" t="s">
        <v>193</v>
      </c>
      <c r="C6330" s="27" t="s">
        <v>34749</v>
      </c>
      <c r="D6330" s="28" t="s">
        <v>34867</v>
      </c>
      <c r="P6330">
        <v>2113</v>
      </c>
      <c r="Q6330" t="s">
        <v>6515</v>
      </c>
      <c r="R6330" s="28" t="s">
        <v>6516</v>
      </c>
      <c r="S6330" t="s">
        <v>13022</v>
      </c>
    </row>
    <row r="6331" spans="1:19" x14ac:dyDescent="0.25">
      <c r="A6331" s="27" t="s">
        <v>193</v>
      </c>
      <c r="C6331" s="27" t="s">
        <v>34749</v>
      </c>
      <c r="D6331" s="28" t="s">
        <v>34867</v>
      </c>
      <c r="P6331">
        <v>2114</v>
      </c>
      <c r="Q6331" t="s">
        <v>6524</v>
      </c>
      <c r="R6331" s="28" t="s">
        <v>6525</v>
      </c>
      <c r="S6331" t="s">
        <v>13022</v>
      </c>
    </row>
    <row r="6332" spans="1:19" x14ac:dyDescent="0.25">
      <c r="A6332" s="27" t="s">
        <v>193</v>
      </c>
      <c r="C6332" s="27" t="s">
        <v>34749</v>
      </c>
      <c r="D6332" s="28" t="s">
        <v>34867</v>
      </c>
      <c r="P6332">
        <v>2115</v>
      </c>
      <c r="Q6332" t="s">
        <v>6527</v>
      </c>
      <c r="R6332" s="28" t="s">
        <v>6528</v>
      </c>
      <c r="S6332" t="s">
        <v>13022</v>
      </c>
    </row>
    <row r="6333" spans="1:19" x14ac:dyDescent="0.25">
      <c r="A6333" s="27" t="s">
        <v>193</v>
      </c>
      <c r="C6333" s="27" t="s">
        <v>34749</v>
      </c>
      <c r="D6333" s="28" t="s">
        <v>34867</v>
      </c>
      <c r="P6333">
        <v>2116</v>
      </c>
      <c r="Q6333" t="s">
        <v>14403</v>
      </c>
      <c r="R6333" s="28" t="s">
        <v>7511</v>
      </c>
      <c r="S6333" t="s">
        <v>13022</v>
      </c>
    </row>
    <row r="6334" spans="1:19" x14ac:dyDescent="0.25">
      <c r="A6334" s="27" t="s">
        <v>193</v>
      </c>
      <c r="C6334" s="27" t="s">
        <v>34749</v>
      </c>
      <c r="D6334" s="28" t="s">
        <v>34867</v>
      </c>
      <c r="P6334">
        <v>2117</v>
      </c>
      <c r="Q6334" t="s">
        <v>1779</v>
      </c>
      <c r="R6334" s="28" t="s">
        <v>1780</v>
      </c>
      <c r="S6334" t="s">
        <v>13022</v>
      </c>
    </row>
    <row r="6335" spans="1:19" x14ac:dyDescent="0.25">
      <c r="A6335" s="27" t="s">
        <v>193</v>
      </c>
      <c r="C6335" s="27" t="s">
        <v>34749</v>
      </c>
      <c r="D6335" s="28" t="s">
        <v>34867</v>
      </c>
      <c r="P6335">
        <v>2118</v>
      </c>
      <c r="Q6335" t="s">
        <v>8478</v>
      </c>
      <c r="R6335" s="28" t="s">
        <v>8479</v>
      </c>
      <c r="S6335" t="s">
        <v>13022</v>
      </c>
    </row>
    <row r="6336" spans="1:19" x14ac:dyDescent="0.25">
      <c r="A6336" s="27" t="s">
        <v>193</v>
      </c>
      <c r="C6336" s="27" t="s">
        <v>34749</v>
      </c>
      <c r="D6336" s="28" t="s">
        <v>34867</v>
      </c>
      <c r="P6336">
        <v>2119</v>
      </c>
      <c r="Q6336" t="s">
        <v>8451</v>
      </c>
      <c r="R6336" s="28" t="s">
        <v>8452</v>
      </c>
      <c r="S6336" t="s">
        <v>13022</v>
      </c>
    </row>
    <row r="6337" spans="1:19" x14ac:dyDescent="0.25">
      <c r="A6337" s="27" t="s">
        <v>193</v>
      </c>
      <c r="C6337" s="27" t="s">
        <v>34749</v>
      </c>
      <c r="D6337" s="28" t="s">
        <v>34867</v>
      </c>
      <c r="P6337">
        <v>2121</v>
      </c>
      <c r="Q6337" t="s">
        <v>1272</v>
      </c>
      <c r="R6337" s="28" t="s">
        <v>1273</v>
      </c>
      <c r="S6337" t="s">
        <v>13022</v>
      </c>
    </row>
    <row r="6338" spans="1:19" x14ac:dyDescent="0.25">
      <c r="A6338" s="27" t="s">
        <v>193</v>
      </c>
      <c r="C6338" s="27" t="s">
        <v>34749</v>
      </c>
      <c r="D6338" s="28" t="s">
        <v>34867</v>
      </c>
      <c r="P6338">
        <v>2122</v>
      </c>
      <c r="Q6338" t="s">
        <v>2049</v>
      </c>
      <c r="R6338" s="28" t="s">
        <v>2050</v>
      </c>
      <c r="S6338" t="s">
        <v>13022</v>
      </c>
    </row>
    <row r="6339" spans="1:19" x14ac:dyDescent="0.25">
      <c r="A6339" s="27" t="s">
        <v>193</v>
      </c>
      <c r="C6339" s="27" t="s">
        <v>34749</v>
      </c>
      <c r="D6339" s="28" t="s">
        <v>34867</v>
      </c>
      <c r="P6339">
        <v>2123</v>
      </c>
      <c r="Q6339" t="s">
        <v>14404</v>
      </c>
      <c r="R6339" s="28" t="s">
        <v>2575</v>
      </c>
      <c r="S6339" t="s">
        <v>13022</v>
      </c>
    </row>
    <row r="6340" spans="1:19" x14ac:dyDescent="0.25">
      <c r="A6340" s="27" t="s">
        <v>193</v>
      </c>
      <c r="C6340" s="27" t="s">
        <v>34749</v>
      </c>
      <c r="D6340" s="28" t="s">
        <v>34867</v>
      </c>
      <c r="P6340">
        <v>2124</v>
      </c>
      <c r="Q6340" t="s">
        <v>1275</v>
      </c>
      <c r="R6340" s="28" t="s">
        <v>1276</v>
      </c>
      <c r="S6340" t="s">
        <v>13022</v>
      </c>
    </row>
    <row r="6341" spans="1:19" x14ac:dyDescent="0.25">
      <c r="A6341" s="27" t="s">
        <v>193</v>
      </c>
      <c r="C6341" s="27" t="s">
        <v>34749</v>
      </c>
      <c r="D6341" s="28" t="s">
        <v>34867</v>
      </c>
      <c r="P6341">
        <v>2125</v>
      </c>
      <c r="Q6341" t="s">
        <v>1278</v>
      </c>
      <c r="R6341" s="28" t="s">
        <v>1279</v>
      </c>
      <c r="S6341" t="s">
        <v>13022</v>
      </c>
    </row>
    <row r="6342" spans="1:19" x14ac:dyDescent="0.25">
      <c r="A6342" s="27" t="s">
        <v>193</v>
      </c>
      <c r="C6342" s="27" t="s">
        <v>34749</v>
      </c>
      <c r="D6342" s="28" t="s">
        <v>34867</v>
      </c>
      <c r="P6342">
        <v>2126</v>
      </c>
      <c r="Q6342" t="s">
        <v>2577</v>
      </c>
      <c r="R6342" s="28" t="s">
        <v>2578</v>
      </c>
      <c r="S6342" t="s">
        <v>13022</v>
      </c>
    </row>
    <row r="6343" spans="1:19" x14ac:dyDescent="0.25">
      <c r="A6343" s="27" t="s">
        <v>193</v>
      </c>
      <c r="C6343" s="27" t="s">
        <v>34749</v>
      </c>
      <c r="D6343" s="28" t="s">
        <v>34867</v>
      </c>
      <c r="P6343">
        <v>2127</v>
      </c>
      <c r="Q6343" t="s">
        <v>2013</v>
      </c>
      <c r="R6343" s="28" t="s">
        <v>2014</v>
      </c>
      <c r="S6343" t="s">
        <v>13022</v>
      </c>
    </row>
    <row r="6344" spans="1:19" x14ac:dyDescent="0.25">
      <c r="A6344" s="27" t="s">
        <v>193</v>
      </c>
      <c r="C6344" s="27" t="s">
        <v>34749</v>
      </c>
      <c r="D6344" s="28" t="s">
        <v>34867</v>
      </c>
      <c r="P6344">
        <v>2128</v>
      </c>
      <c r="Q6344" t="s">
        <v>2040</v>
      </c>
      <c r="R6344" s="28" t="s">
        <v>2041</v>
      </c>
      <c r="S6344" t="s">
        <v>13022</v>
      </c>
    </row>
    <row r="6345" spans="1:19" x14ac:dyDescent="0.25">
      <c r="A6345" s="27" t="s">
        <v>193</v>
      </c>
      <c r="C6345" s="27" t="s">
        <v>34749</v>
      </c>
      <c r="D6345" s="28" t="s">
        <v>34867</v>
      </c>
      <c r="P6345">
        <v>2129</v>
      </c>
      <c r="Q6345" t="s">
        <v>2592</v>
      </c>
      <c r="R6345" s="28" t="s">
        <v>2593</v>
      </c>
      <c r="S6345" t="s">
        <v>13022</v>
      </c>
    </row>
    <row r="6346" spans="1:19" x14ac:dyDescent="0.25">
      <c r="A6346" s="27" t="s">
        <v>193</v>
      </c>
      <c r="C6346" s="27" t="s">
        <v>34749</v>
      </c>
      <c r="D6346" s="28" t="s">
        <v>34867</v>
      </c>
      <c r="P6346">
        <v>2130</v>
      </c>
      <c r="Q6346" t="s">
        <v>2715</v>
      </c>
      <c r="R6346" s="28" t="s">
        <v>2716</v>
      </c>
      <c r="S6346" t="s">
        <v>13022</v>
      </c>
    </row>
    <row r="6347" spans="1:19" x14ac:dyDescent="0.25">
      <c r="A6347" s="27" t="s">
        <v>193</v>
      </c>
      <c r="C6347" s="27" t="s">
        <v>34749</v>
      </c>
      <c r="D6347" s="28" t="s">
        <v>34867</v>
      </c>
      <c r="P6347">
        <v>2131</v>
      </c>
      <c r="Q6347" t="s">
        <v>14405</v>
      </c>
      <c r="R6347" s="28" t="s">
        <v>4021</v>
      </c>
      <c r="S6347" t="s">
        <v>13022</v>
      </c>
    </row>
    <row r="6348" spans="1:19" x14ac:dyDescent="0.25">
      <c r="A6348" s="27" t="s">
        <v>193</v>
      </c>
      <c r="C6348" s="27" t="s">
        <v>34749</v>
      </c>
      <c r="D6348" s="28" t="s">
        <v>34867</v>
      </c>
      <c r="P6348">
        <v>2132</v>
      </c>
      <c r="Q6348" t="s">
        <v>14406</v>
      </c>
      <c r="R6348" s="28" t="s">
        <v>2383</v>
      </c>
      <c r="S6348" t="s">
        <v>13022</v>
      </c>
    </row>
    <row r="6349" spans="1:19" x14ac:dyDescent="0.25">
      <c r="A6349" s="27" t="s">
        <v>193</v>
      </c>
      <c r="C6349" s="27" t="s">
        <v>34749</v>
      </c>
      <c r="D6349" s="28" t="s">
        <v>34867</v>
      </c>
      <c r="P6349">
        <v>2133</v>
      </c>
      <c r="Q6349" t="s">
        <v>14407</v>
      </c>
      <c r="R6349" s="28" t="s">
        <v>2008</v>
      </c>
      <c r="S6349" t="s">
        <v>13022</v>
      </c>
    </row>
    <row r="6350" spans="1:19" x14ac:dyDescent="0.25">
      <c r="A6350" s="27" t="s">
        <v>193</v>
      </c>
      <c r="C6350" s="27" t="s">
        <v>34749</v>
      </c>
      <c r="D6350" s="28" t="s">
        <v>34867</v>
      </c>
      <c r="P6350">
        <v>2135</v>
      </c>
      <c r="Q6350" t="s">
        <v>1020</v>
      </c>
      <c r="R6350" s="28" t="s">
        <v>1021</v>
      </c>
      <c r="S6350" t="s">
        <v>13022</v>
      </c>
    </row>
    <row r="6351" spans="1:19" x14ac:dyDescent="0.25">
      <c r="A6351" s="27" t="s">
        <v>193</v>
      </c>
      <c r="C6351" s="27" t="s">
        <v>34749</v>
      </c>
      <c r="D6351" s="28" t="s">
        <v>34867</v>
      </c>
      <c r="P6351">
        <v>2136</v>
      </c>
      <c r="Q6351" t="s">
        <v>4208</v>
      </c>
      <c r="R6351" s="28" t="s">
        <v>4209</v>
      </c>
      <c r="S6351" t="s">
        <v>13022</v>
      </c>
    </row>
    <row r="6352" spans="1:19" x14ac:dyDescent="0.25">
      <c r="A6352" s="27" t="s">
        <v>193</v>
      </c>
      <c r="C6352" s="27" t="s">
        <v>34749</v>
      </c>
      <c r="D6352" s="28" t="s">
        <v>34867</v>
      </c>
      <c r="P6352">
        <v>2137</v>
      </c>
      <c r="Q6352" t="s">
        <v>4139</v>
      </c>
      <c r="R6352" s="28" t="s">
        <v>4140</v>
      </c>
      <c r="S6352" t="s">
        <v>13022</v>
      </c>
    </row>
    <row r="6353" spans="1:19" x14ac:dyDescent="0.25">
      <c r="A6353" s="27" t="s">
        <v>193</v>
      </c>
      <c r="C6353" s="27" t="s">
        <v>34749</v>
      </c>
      <c r="D6353" s="28" t="s">
        <v>34867</v>
      </c>
      <c r="P6353">
        <v>2138</v>
      </c>
      <c r="Q6353" t="s">
        <v>14408</v>
      </c>
      <c r="S6353" t="s">
        <v>13022</v>
      </c>
    </row>
    <row r="6354" spans="1:19" x14ac:dyDescent="0.25">
      <c r="A6354" s="27" t="s">
        <v>193</v>
      </c>
      <c r="C6354" s="27" t="s">
        <v>34749</v>
      </c>
      <c r="D6354" s="28" t="s">
        <v>34867</v>
      </c>
      <c r="P6354">
        <v>2144</v>
      </c>
      <c r="Q6354" t="s">
        <v>14409</v>
      </c>
      <c r="S6354" t="s">
        <v>13022</v>
      </c>
    </row>
    <row r="6355" spans="1:19" x14ac:dyDescent="0.25">
      <c r="A6355" s="27" t="s">
        <v>193</v>
      </c>
      <c r="C6355" s="27" t="s">
        <v>34749</v>
      </c>
      <c r="D6355" s="28" t="s">
        <v>34867</v>
      </c>
      <c r="P6355">
        <v>2145</v>
      </c>
      <c r="Q6355" t="s">
        <v>14410</v>
      </c>
      <c r="R6355" s="28" t="s">
        <v>3539</v>
      </c>
      <c r="S6355" t="s">
        <v>13022</v>
      </c>
    </row>
    <row r="6356" spans="1:19" x14ac:dyDescent="0.25">
      <c r="A6356" s="27" t="s">
        <v>193</v>
      </c>
      <c r="C6356" s="27" t="s">
        <v>34749</v>
      </c>
      <c r="D6356" s="28" t="s">
        <v>34867</v>
      </c>
      <c r="P6356">
        <v>2146</v>
      </c>
      <c r="Q6356" t="s">
        <v>14411</v>
      </c>
      <c r="R6356" s="28" t="s">
        <v>6450</v>
      </c>
      <c r="S6356" t="s">
        <v>13022</v>
      </c>
    </row>
    <row r="6357" spans="1:19" x14ac:dyDescent="0.25">
      <c r="A6357" s="27" t="s">
        <v>193</v>
      </c>
      <c r="C6357" s="27" t="s">
        <v>34749</v>
      </c>
      <c r="D6357" s="28" t="s">
        <v>34867</v>
      </c>
      <c r="P6357">
        <v>2147</v>
      </c>
      <c r="Q6357" t="s">
        <v>14412</v>
      </c>
      <c r="R6357" s="28" t="s">
        <v>3823</v>
      </c>
      <c r="S6357" t="s">
        <v>13022</v>
      </c>
    </row>
    <row r="6358" spans="1:19" x14ac:dyDescent="0.25">
      <c r="A6358" s="27" t="s">
        <v>193</v>
      </c>
      <c r="C6358" s="27" t="s">
        <v>34749</v>
      </c>
      <c r="D6358" s="28" t="s">
        <v>34867</v>
      </c>
      <c r="P6358">
        <v>2151</v>
      </c>
      <c r="Q6358" t="s">
        <v>1482</v>
      </c>
      <c r="R6358" s="28" t="s">
        <v>1483</v>
      </c>
      <c r="S6358" t="s">
        <v>13022</v>
      </c>
    </row>
    <row r="6359" spans="1:19" x14ac:dyDescent="0.25">
      <c r="A6359" s="27" t="s">
        <v>193</v>
      </c>
      <c r="C6359" s="27" t="s">
        <v>34749</v>
      </c>
      <c r="D6359" s="28" t="s">
        <v>34867</v>
      </c>
      <c r="P6359">
        <v>2152</v>
      </c>
      <c r="Q6359" t="s">
        <v>1614</v>
      </c>
      <c r="R6359" s="28" t="s">
        <v>1615</v>
      </c>
      <c r="S6359" t="s">
        <v>13022</v>
      </c>
    </row>
    <row r="6360" spans="1:19" x14ac:dyDescent="0.25">
      <c r="A6360" s="27" t="s">
        <v>193</v>
      </c>
      <c r="C6360" s="27" t="s">
        <v>34749</v>
      </c>
      <c r="D6360" s="28" t="s">
        <v>34867</v>
      </c>
      <c r="P6360">
        <v>2153</v>
      </c>
      <c r="Q6360" t="s">
        <v>1680</v>
      </c>
      <c r="R6360" s="28" t="s">
        <v>1681</v>
      </c>
      <c r="S6360" t="s">
        <v>13022</v>
      </c>
    </row>
    <row r="6361" spans="1:19" x14ac:dyDescent="0.25">
      <c r="A6361" s="27" t="s">
        <v>193</v>
      </c>
      <c r="C6361" s="27" t="s">
        <v>34749</v>
      </c>
      <c r="D6361" s="28" t="s">
        <v>34867</v>
      </c>
      <c r="P6361">
        <v>2154</v>
      </c>
      <c r="Q6361" t="s">
        <v>14413</v>
      </c>
      <c r="R6361" s="28" t="s">
        <v>2359</v>
      </c>
      <c r="S6361" t="s">
        <v>13022</v>
      </c>
    </row>
    <row r="6362" spans="1:19" x14ac:dyDescent="0.25">
      <c r="A6362" s="27" t="s">
        <v>193</v>
      </c>
      <c r="C6362" s="27" t="s">
        <v>34749</v>
      </c>
      <c r="D6362" s="28" t="s">
        <v>34867</v>
      </c>
      <c r="P6362">
        <v>2155</v>
      </c>
      <c r="Q6362" t="s">
        <v>2373</v>
      </c>
      <c r="R6362" s="28" t="s">
        <v>2374</v>
      </c>
      <c r="S6362" t="s">
        <v>13022</v>
      </c>
    </row>
    <row r="6363" spans="1:19" x14ac:dyDescent="0.25">
      <c r="A6363" s="27" t="s">
        <v>193</v>
      </c>
      <c r="C6363" s="27" t="s">
        <v>34749</v>
      </c>
      <c r="D6363" s="28" t="s">
        <v>34867</v>
      </c>
      <c r="P6363">
        <v>2156</v>
      </c>
      <c r="Q6363" t="s">
        <v>14414</v>
      </c>
      <c r="R6363" s="28" t="s">
        <v>8557</v>
      </c>
      <c r="S6363" t="s">
        <v>13022</v>
      </c>
    </row>
    <row r="6364" spans="1:19" x14ac:dyDescent="0.25">
      <c r="A6364" s="27" t="s">
        <v>193</v>
      </c>
      <c r="C6364" s="27" t="s">
        <v>34749</v>
      </c>
      <c r="D6364" s="28" t="s">
        <v>34867</v>
      </c>
      <c r="P6364">
        <v>2157</v>
      </c>
      <c r="Q6364" t="s">
        <v>14415</v>
      </c>
      <c r="R6364" s="28" t="s">
        <v>14416</v>
      </c>
      <c r="S6364" t="s">
        <v>13022</v>
      </c>
    </row>
    <row r="6365" spans="1:19" x14ac:dyDescent="0.25">
      <c r="A6365" s="27" t="s">
        <v>193</v>
      </c>
      <c r="C6365" s="27" t="s">
        <v>34749</v>
      </c>
      <c r="D6365" s="28" t="s">
        <v>34867</v>
      </c>
      <c r="P6365">
        <v>2158</v>
      </c>
      <c r="Q6365" t="s">
        <v>14417</v>
      </c>
      <c r="R6365" s="28" t="s">
        <v>14418</v>
      </c>
      <c r="S6365" t="s">
        <v>13022</v>
      </c>
    </row>
    <row r="6366" spans="1:19" x14ac:dyDescent="0.25">
      <c r="A6366" s="27" t="s">
        <v>193</v>
      </c>
      <c r="C6366" s="27" t="s">
        <v>34749</v>
      </c>
      <c r="D6366" s="28" t="s">
        <v>34867</v>
      </c>
      <c r="P6366">
        <v>2159</v>
      </c>
      <c r="Q6366" t="s">
        <v>14419</v>
      </c>
      <c r="R6366" s="28" t="s">
        <v>14420</v>
      </c>
      <c r="S6366" t="s">
        <v>13022</v>
      </c>
    </row>
    <row r="6367" spans="1:19" x14ac:dyDescent="0.25">
      <c r="A6367" s="27" t="s">
        <v>193</v>
      </c>
      <c r="C6367" s="27" t="s">
        <v>34749</v>
      </c>
      <c r="D6367" s="28" t="s">
        <v>34867</v>
      </c>
      <c r="P6367">
        <v>2160</v>
      </c>
      <c r="Q6367" t="s">
        <v>14421</v>
      </c>
      <c r="S6367" t="s">
        <v>13022</v>
      </c>
    </row>
    <row r="6368" spans="1:19" x14ac:dyDescent="0.25">
      <c r="A6368" s="27" t="s">
        <v>193</v>
      </c>
      <c r="C6368" s="27" t="s">
        <v>34749</v>
      </c>
      <c r="D6368" s="28" t="s">
        <v>34867</v>
      </c>
      <c r="P6368">
        <v>2161</v>
      </c>
      <c r="Q6368" t="s">
        <v>14422</v>
      </c>
      <c r="R6368" s="28" t="s">
        <v>9043</v>
      </c>
      <c r="S6368" t="s">
        <v>13022</v>
      </c>
    </row>
    <row r="6369" spans="1:19" x14ac:dyDescent="0.25">
      <c r="A6369" s="27" t="s">
        <v>193</v>
      </c>
      <c r="C6369" s="27" t="s">
        <v>34749</v>
      </c>
      <c r="D6369" s="28" t="s">
        <v>34867</v>
      </c>
      <c r="P6369">
        <v>2162</v>
      </c>
      <c r="Q6369" t="s">
        <v>14423</v>
      </c>
      <c r="S6369" t="s">
        <v>13022</v>
      </c>
    </row>
    <row r="6370" spans="1:19" x14ac:dyDescent="0.25">
      <c r="A6370" s="27" t="s">
        <v>193</v>
      </c>
      <c r="C6370" s="27" t="s">
        <v>34749</v>
      </c>
      <c r="D6370" s="28" t="s">
        <v>34867</v>
      </c>
      <c r="P6370">
        <v>2163</v>
      </c>
      <c r="Q6370" t="s">
        <v>12187</v>
      </c>
      <c r="R6370" s="28" t="s">
        <v>12188</v>
      </c>
      <c r="S6370" t="s">
        <v>13022</v>
      </c>
    </row>
    <row r="6371" spans="1:19" x14ac:dyDescent="0.25">
      <c r="A6371" s="27" t="s">
        <v>193</v>
      </c>
      <c r="C6371" s="27" t="s">
        <v>34749</v>
      </c>
      <c r="D6371" s="28" t="s">
        <v>34867</v>
      </c>
      <c r="P6371">
        <v>2164</v>
      </c>
      <c r="Q6371" t="s">
        <v>14424</v>
      </c>
      <c r="R6371" s="28" t="s">
        <v>14425</v>
      </c>
      <c r="S6371" t="s">
        <v>13022</v>
      </c>
    </row>
    <row r="6372" spans="1:19" x14ac:dyDescent="0.25">
      <c r="A6372" s="27" t="s">
        <v>193</v>
      </c>
      <c r="C6372" s="27" t="s">
        <v>34749</v>
      </c>
      <c r="D6372" s="28" t="s">
        <v>34867</v>
      </c>
      <c r="P6372">
        <v>2165</v>
      </c>
      <c r="Q6372" t="s">
        <v>14426</v>
      </c>
      <c r="R6372" s="28" t="s">
        <v>5332</v>
      </c>
      <c r="S6372" t="s">
        <v>13022</v>
      </c>
    </row>
    <row r="6373" spans="1:19" x14ac:dyDescent="0.25">
      <c r="A6373" s="27" t="s">
        <v>193</v>
      </c>
      <c r="C6373" s="27" t="s">
        <v>34749</v>
      </c>
      <c r="D6373" s="28" t="s">
        <v>34867</v>
      </c>
      <c r="P6373">
        <v>2167</v>
      </c>
      <c r="Q6373" t="s">
        <v>14427</v>
      </c>
      <c r="R6373" s="28" t="s">
        <v>14428</v>
      </c>
      <c r="S6373" t="s">
        <v>13022</v>
      </c>
    </row>
    <row r="6374" spans="1:19" x14ac:dyDescent="0.25">
      <c r="A6374" s="27" t="s">
        <v>193</v>
      </c>
      <c r="C6374" s="27" t="s">
        <v>34749</v>
      </c>
      <c r="D6374" s="28" t="s">
        <v>34867</v>
      </c>
      <c r="P6374">
        <v>2168</v>
      </c>
      <c r="Q6374" t="s">
        <v>14429</v>
      </c>
      <c r="R6374" s="28" t="s">
        <v>1903</v>
      </c>
      <c r="S6374" t="s">
        <v>13022</v>
      </c>
    </row>
    <row r="6375" spans="1:19" x14ac:dyDescent="0.25">
      <c r="A6375" s="27" t="s">
        <v>193</v>
      </c>
      <c r="C6375" s="27" t="s">
        <v>34749</v>
      </c>
      <c r="D6375" s="28" t="s">
        <v>34867</v>
      </c>
      <c r="P6375">
        <v>2169</v>
      </c>
      <c r="Q6375" t="s">
        <v>14430</v>
      </c>
      <c r="R6375" s="28" t="s">
        <v>6531</v>
      </c>
      <c r="S6375" t="s">
        <v>13022</v>
      </c>
    </row>
    <row r="6376" spans="1:19" x14ac:dyDescent="0.25">
      <c r="A6376" s="27" t="s">
        <v>193</v>
      </c>
      <c r="C6376" s="27" t="s">
        <v>34749</v>
      </c>
      <c r="D6376" s="28" t="s">
        <v>34867</v>
      </c>
      <c r="P6376">
        <v>2170</v>
      </c>
      <c r="Q6376" t="s">
        <v>6521</v>
      </c>
      <c r="R6376" s="28" t="s">
        <v>6522</v>
      </c>
      <c r="S6376" t="s">
        <v>13022</v>
      </c>
    </row>
    <row r="6377" spans="1:19" x14ac:dyDescent="0.25">
      <c r="A6377" s="27" t="s">
        <v>193</v>
      </c>
      <c r="C6377" s="27" t="s">
        <v>34749</v>
      </c>
      <c r="D6377" s="28" t="s">
        <v>34867</v>
      </c>
      <c r="P6377">
        <v>2171</v>
      </c>
      <c r="Q6377" t="s">
        <v>4459</v>
      </c>
      <c r="R6377" s="28" t="s">
        <v>4460</v>
      </c>
      <c r="S6377" t="s">
        <v>13022</v>
      </c>
    </row>
    <row r="6378" spans="1:19" x14ac:dyDescent="0.25">
      <c r="A6378" s="27" t="s">
        <v>193</v>
      </c>
      <c r="C6378" s="27" t="s">
        <v>34749</v>
      </c>
      <c r="D6378" s="28" t="s">
        <v>34867</v>
      </c>
      <c r="P6378">
        <v>2172</v>
      </c>
      <c r="Q6378" t="s">
        <v>14431</v>
      </c>
      <c r="S6378" t="s">
        <v>13022</v>
      </c>
    </row>
    <row r="6379" spans="1:19" x14ac:dyDescent="0.25">
      <c r="A6379" s="27" t="s">
        <v>193</v>
      </c>
      <c r="C6379" s="27" t="s">
        <v>34749</v>
      </c>
      <c r="D6379" s="28" t="s">
        <v>34867</v>
      </c>
      <c r="P6379">
        <v>2173</v>
      </c>
      <c r="Q6379" t="s">
        <v>14432</v>
      </c>
      <c r="R6379" s="28" t="s">
        <v>1657</v>
      </c>
      <c r="S6379" t="s">
        <v>13022</v>
      </c>
    </row>
    <row r="6380" spans="1:19" x14ac:dyDescent="0.25">
      <c r="A6380" s="27" t="s">
        <v>193</v>
      </c>
      <c r="C6380" s="27" t="s">
        <v>34749</v>
      </c>
      <c r="D6380" s="28" t="s">
        <v>34867</v>
      </c>
      <c r="P6380">
        <v>2175</v>
      </c>
      <c r="Q6380" t="s">
        <v>1506</v>
      </c>
      <c r="R6380" s="28" t="s">
        <v>1507</v>
      </c>
      <c r="S6380" t="s">
        <v>13022</v>
      </c>
    </row>
    <row r="6381" spans="1:19" x14ac:dyDescent="0.25">
      <c r="A6381" s="27" t="s">
        <v>193</v>
      </c>
      <c r="C6381" s="27" t="s">
        <v>34749</v>
      </c>
      <c r="D6381" s="28" t="s">
        <v>34867</v>
      </c>
      <c r="P6381">
        <v>2176</v>
      </c>
      <c r="Q6381" t="s">
        <v>14433</v>
      </c>
      <c r="S6381" t="s">
        <v>13022</v>
      </c>
    </row>
    <row r="6382" spans="1:19" x14ac:dyDescent="0.25">
      <c r="A6382" s="27" t="s">
        <v>193</v>
      </c>
      <c r="C6382" s="27" t="s">
        <v>34749</v>
      </c>
      <c r="D6382" s="28" t="s">
        <v>34867</v>
      </c>
      <c r="P6382">
        <v>2177</v>
      </c>
      <c r="Q6382" t="s">
        <v>14434</v>
      </c>
      <c r="S6382" t="s">
        <v>13022</v>
      </c>
    </row>
    <row r="6383" spans="1:19" x14ac:dyDescent="0.25">
      <c r="A6383" s="27" t="s">
        <v>193</v>
      </c>
      <c r="C6383" s="27" t="s">
        <v>34749</v>
      </c>
      <c r="D6383" s="28" t="s">
        <v>34867</v>
      </c>
      <c r="P6383">
        <v>2178</v>
      </c>
      <c r="Q6383" t="s">
        <v>2346</v>
      </c>
      <c r="R6383" s="28" t="s">
        <v>2347</v>
      </c>
      <c r="S6383" t="s">
        <v>13022</v>
      </c>
    </row>
    <row r="6384" spans="1:19" x14ac:dyDescent="0.25">
      <c r="A6384" s="27" t="s">
        <v>193</v>
      </c>
      <c r="C6384" s="27" t="s">
        <v>34749</v>
      </c>
      <c r="D6384" s="28" t="s">
        <v>34867</v>
      </c>
      <c r="P6384">
        <v>2179</v>
      </c>
      <c r="Q6384" t="s">
        <v>2541</v>
      </c>
      <c r="R6384" s="28" t="s">
        <v>2542</v>
      </c>
      <c r="S6384" t="s">
        <v>13022</v>
      </c>
    </row>
    <row r="6385" spans="1:19" x14ac:dyDescent="0.25">
      <c r="A6385" s="27" t="s">
        <v>193</v>
      </c>
      <c r="C6385" s="27" t="s">
        <v>34749</v>
      </c>
      <c r="D6385" s="28" t="s">
        <v>34867</v>
      </c>
      <c r="P6385">
        <v>2181</v>
      </c>
      <c r="Q6385" t="s">
        <v>2664</v>
      </c>
      <c r="R6385" s="28" t="s">
        <v>2665</v>
      </c>
      <c r="S6385" t="s">
        <v>13022</v>
      </c>
    </row>
    <row r="6386" spans="1:19" x14ac:dyDescent="0.25">
      <c r="A6386" s="27" t="s">
        <v>193</v>
      </c>
      <c r="C6386" s="27" t="s">
        <v>34749</v>
      </c>
      <c r="D6386" s="28" t="s">
        <v>34867</v>
      </c>
      <c r="P6386">
        <v>2183</v>
      </c>
      <c r="Q6386" t="s">
        <v>14435</v>
      </c>
      <c r="R6386" s="28" t="s">
        <v>901</v>
      </c>
      <c r="S6386" t="s">
        <v>13022</v>
      </c>
    </row>
    <row r="6387" spans="1:19" x14ac:dyDescent="0.25">
      <c r="A6387" s="27" t="s">
        <v>193</v>
      </c>
      <c r="C6387" s="27" t="s">
        <v>34749</v>
      </c>
      <c r="D6387" s="28" t="s">
        <v>34867</v>
      </c>
      <c r="P6387">
        <v>2184</v>
      </c>
      <c r="Q6387" t="s">
        <v>14436</v>
      </c>
      <c r="R6387" s="28" t="s">
        <v>2689</v>
      </c>
      <c r="S6387" t="s">
        <v>13022</v>
      </c>
    </row>
    <row r="6388" spans="1:19" x14ac:dyDescent="0.25">
      <c r="A6388" s="27" t="s">
        <v>193</v>
      </c>
      <c r="C6388" s="27" t="s">
        <v>34749</v>
      </c>
      <c r="D6388" s="28" t="s">
        <v>34867</v>
      </c>
      <c r="P6388">
        <v>2185</v>
      </c>
      <c r="Q6388" t="s">
        <v>14437</v>
      </c>
      <c r="R6388" s="28" t="s">
        <v>14438</v>
      </c>
      <c r="S6388" t="s">
        <v>13022</v>
      </c>
    </row>
    <row r="6389" spans="1:19" x14ac:dyDescent="0.25">
      <c r="A6389" s="27" t="s">
        <v>193</v>
      </c>
      <c r="C6389" s="27" t="s">
        <v>34749</v>
      </c>
      <c r="D6389" s="28" t="s">
        <v>34867</v>
      </c>
      <c r="P6389">
        <v>2186</v>
      </c>
      <c r="Q6389" t="s">
        <v>14439</v>
      </c>
      <c r="R6389" s="28" t="s">
        <v>14440</v>
      </c>
      <c r="S6389" t="s">
        <v>13022</v>
      </c>
    </row>
    <row r="6390" spans="1:19" x14ac:dyDescent="0.25">
      <c r="A6390" s="27" t="s">
        <v>193</v>
      </c>
      <c r="C6390" s="27" t="s">
        <v>34749</v>
      </c>
      <c r="D6390" s="28" t="s">
        <v>34867</v>
      </c>
      <c r="P6390">
        <v>2187</v>
      </c>
      <c r="Q6390" t="s">
        <v>14441</v>
      </c>
      <c r="R6390" s="28" t="s">
        <v>14442</v>
      </c>
      <c r="S6390" t="s">
        <v>13022</v>
      </c>
    </row>
    <row r="6391" spans="1:19" x14ac:dyDescent="0.25">
      <c r="A6391" s="27" t="s">
        <v>193</v>
      </c>
      <c r="C6391" s="27" t="s">
        <v>34749</v>
      </c>
      <c r="D6391" s="28" t="s">
        <v>34867</v>
      </c>
      <c r="P6391">
        <v>2188</v>
      </c>
      <c r="Q6391" t="s">
        <v>14443</v>
      </c>
      <c r="R6391" s="28" t="s">
        <v>14444</v>
      </c>
      <c r="S6391" t="s">
        <v>13022</v>
      </c>
    </row>
    <row r="6392" spans="1:19" x14ac:dyDescent="0.25">
      <c r="A6392" s="27" t="s">
        <v>193</v>
      </c>
      <c r="C6392" s="27" t="s">
        <v>34749</v>
      </c>
      <c r="D6392" s="28" t="s">
        <v>34867</v>
      </c>
      <c r="P6392">
        <v>2189</v>
      </c>
      <c r="Q6392" t="s">
        <v>14445</v>
      </c>
      <c r="R6392" s="28" t="s">
        <v>14446</v>
      </c>
      <c r="S6392" t="s">
        <v>13022</v>
      </c>
    </row>
    <row r="6393" spans="1:19" x14ac:dyDescent="0.25">
      <c r="A6393" s="27" t="s">
        <v>193</v>
      </c>
      <c r="C6393" s="27" t="s">
        <v>34749</v>
      </c>
      <c r="D6393" s="28" t="s">
        <v>34867</v>
      </c>
      <c r="P6393">
        <v>2190</v>
      </c>
      <c r="Q6393" t="s">
        <v>14447</v>
      </c>
      <c r="R6393" s="28" t="s">
        <v>14448</v>
      </c>
      <c r="S6393" t="s">
        <v>13022</v>
      </c>
    </row>
    <row r="6394" spans="1:19" x14ac:dyDescent="0.25">
      <c r="A6394" s="27" t="s">
        <v>193</v>
      </c>
      <c r="C6394" s="27" t="s">
        <v>34749</v>
      </c>
      <c r="D6394" s="28" t="s">
        <v>34867</v>
      </c>
      <c r="P6394">
        <v>2191</v>
      </c>
      <c r="Q6394" t="s">
        <v>14449</v>
      </c>
      <c r="R6394" s="28" t="s">
        <v>14450</v>
      </c>
      <c r="S6394" t="s">
        <v>13022</v>
      </c>
    </row>
    <row r="6395" spans="1:19" x14ac:dyDescent="0.25">
      <c r="A6395" s="27" t="s">
        <v>193</v>
      </c>
      <c r="C6395" s="27" t="s">
        <v>34749</v>
      </c>
      <c r="D6395" s="28" t="s">
        <v>34867</v>
      </c>
      <c r="P6395">
        <v>2192</v>
      </c>
      <c r="Q6395" t="s">
        <v>14451</v>
      </c>
      <c r="R6395" s="28" t="s">
        <v>14452</v>
      </c>
      <c r="S6395" t="s">
        <v>13022</v>
      </c>
    </row>
    <row r="6396" spans="1:19" x14ac:dyDescent="0.25">
      <c r="A6396" s="27" t="s">
        <v>193</v>
      </c>
      <c r="C6396" s="27" t="s">
        <v>34749</v>
      </c>
      <c r="D6396" s="28" t="s">
        <v>34867</v>
      </c>
      <c r="P6396">
        <v>2193</v>
      </c>
      <c r="Q6396" t="s">
        <v>14453</v>
      </c>
      <c r="R6396" s="28" t="s">
        <v>14454</v>
      </c>
      <c r="S6396" t="s">
        <v>13022</v>
      </c>
    </row>
    <row r="6397" spans="1:19" x14ac:dyDescent="0.25">
      <c r="A6397" s="27" t="s">
        <v>193</v>
      </c>
      <c r="C6397" s="27" t="s">
        <v>34749</v>
      </c>
      <c r="D6397" s="28" t="s">
        <v>34867</v>
      </c>
      <c r="P6397">
        <v>2194</v>
      </c>
      <c r="Q6397" t="s">
        <v>14455</v>
      </c>
      <c r="R6397" s="28" t="s">
        <v>14456</v>
      </c>
      <c r="S6397" t="s">
        <v>13022</v>
      </c>
    </row>
    <row r="6398" spans="1:19" x14ac:dyDescent="0.25">
      <c r="A6398" s="27" t="s">
        <v>193</v>
      </c>
      <c r="C6398" s="27" t="s">
        <v>34749</v>
      </c>
      <c r="D6398" s="28" t="s">
        <v>34867</v>
      </c>
      <c r="P6398">
        <v>2195</v>
      </c>
      <c r="Q6398" t="s">
        <v>14457</v>
      </c>
      <c r="S6398" t="s">
        <v>13022</v>
      </c>
    </row>
    <row r="6399" spans="1:19" x14ac:dyDescent="0.25">
      <c r="A6399" s="27" t="s">
        <v>193</v>
      </c>
      <c r="C6399" s="27" t="s">
        <v>34749</v>
      </c>
      <c r="D6399" s="28" t="s">
        <v>34867</v>
      </c>
      <c r="P6399">
        <v>2196</v>
      </c>
      <c r="Q6399" t="s">
        <v>7381</v>
      </c>
      <c r="R6399" s="28" t="s">
        <v>7382</v>
      </c>
      <c r="S6399" t="s">
        <v>13022</v>
      </c>
    </row>
    <row r="6400" spans="1:19" x14ac:dyDescent="0.25">
      <c r="A6400" s="27" t="s">
        <v>193</v>
      </c>
      <c r="C6400" s="27" t="s">
        <v>34749</v>
      </c>
      <c r="D6400" s="28" t="s">
        <v>34867</v>
      </c>
      <c r="P6400">
        <v>2197</v>
      </c>
      <c r="Q6400" t="s">
        <v>14458</v>
      </c>
      <c r="R6400" s="28" t="s">
        <v>14459</v>
      </c>
      <c r="S6400" t="s">
        <v>13022</v>
      </c>
    </row>
    <row r="6401" spans="1:19" x14ac:dyDescent="0.25">
      <c r="A6401" s="27" t="s">
        <v>193</v>
      </c>
      <c r="C6401" s="27" t="s">
        <v>34749</v>
      </c>
      <c r="D6401" s="28" t="s">
        <v>34867</v>
      </c>
      <c r="P6401">
        <v>2198</v>
      </c>
      <c r="Q6401" t="s">
        <v>14460</v>
      </c>
      <c r="R6401" s="28" t="s">
        <v>14461</v>
      </c>
      <c r="S6401" t="s">
        <v>13022</v>
      </c>
    </row>
    <row r="6402" spans="1:19" x14ac:dyDescent="0.25">
      <c r="A6402" s="27" t="s">
        <v>193</v>
      </c>
      <c r="C6402" s="27" t="s">
        <v>34749</v>
      </c>
      <c r="D6402" s="28" t="s">
        <v>34867</v>
      </c>
      <c r="P6402">
        <v>2199</v>
      </c>
      <c r="Q6402" t="s">
        <v>14462</v>
      </c>
      <c r="R6402" s="28" t="s">
        <v>14463</v>
      </c>
      <c r="S6402" t="s">
        <v>13022</v>
      </c>
    </row>
    <row r="6403" spans="1:19" x14ac:dyDescent="0.25">
      <c r="A6403" s="27" t="s">
        <v>193</v>
      </c>
      <c r="C6403" s="27" t="s">
        <v>34749</v>
      </c>
      <c r="D6403" s="28" t="s">
        <v>34867</v>
      </c>
      <c r="P6403">
        <v>2200</v>
      </c>
      <c r="Q6403" t="s">
        <v>14464</v>
      </c>
      <c r="R6403" s="28" t="s">
        <v>14465</v>
      </c>
      <c r="S6403" t="s">
        <v>13022</v>
      </c>
    </row>
    <row r="6404" spans="1:19" x14ac:dyDescent="0.25">
      <c r="A6404" s="27" t="s">
        <v>193</v>
      </c>
      <c r="C6404" s="27" t="s">
        <v>34749</v>
      </c>
      <c r="D6404" s="28" t="s">
        <v>34867</v>
      </c>
      <c r="P6404">
        <v>2201</v>
      </c>
      <c r="Q6404" t="s">
        <v>14466</v>
      </c>
      <c r="R6404" s="28" t="s">
        <v>14467</v>
      </c>
      <c r="S6404" t="s">
        <v>13022</v>
      </c>
    </row>
    <row r="6405" spans="1:19" x14ac:dyDescent="0.25">
      <c r="A6405" s="27" t="s">
        <v>193</v>
      </c>
      <c r="C6405" s="27" t="s">
        <v>34749</v>
      </c>
      <c r="D6405" s="28" t="s">
        <v>34867</v>
      </c>
      <c r="P6405">
        <v>2202</v>
      </c>
      <c r="Q6405" t="s">
        <v>14468</v>
      </c>
      <c r="R6405" s="28" t="s">
        <v>14469</v>
      </c>
      <c r="S6405" t="s">
        <v>13022</v>
      </c>
    </row>
    <row r="6406" spans="1:19" x14ac:dyDescent="0.25">
      <c r="A6406" s="27" t="s">
        <v>193</v>
      </c>
      <c r="C6406" s="27" t="s">
        <v>34749</v>
      </c>
      <c r="D6406" s="28" t="s">
        <v>34867</v>
      </c>
      <c r="P6406">
        <v>2203</v>
      </c>
      <c r="Q6406" t="s">
        <v>14470</v>
      </c>
      <c r="R6406" s="28" t="s">
        <v>14471</v>
      </c>
      <c r="S6406" t="s">
        <v>13022</v>
      </c>
    </row>
    <row r="6407" spans="1:19" x14ac:dyDescent="0.25">
      <c r="A6407" s="27" t="s">
        <v>193</v>
      </c>
      <c r="C6407" s="27" t="s">
        <v>34749</v>
      </c>
      <c r="D6407" s="28" t="s">
        <v>34867</v>
      </c>
      <c r="P6407">
        <v>2204</v>
      </c>
      <c r="Q6407" t="s">
        <v>14472</v>
      </c>
      <c r="R6407" s="28" t="s">
        <v>14473</v>
      </c>
      <c r="S6407" t="s">
        <v>13022</v>
      </c>
    </row>
    <row r="6408" spans="1:19" x14ac:dyDescent="0.25">
      <c r="A6408" s="27" t="s">
        <v>193</v>
      </c>
      <c r="C6408" s="27" t="s">
        <v>34749</v>
      </c>
      <c r="D6408" s="28" t="s">
        <v>34867</v>
      </c>
      <c r="P6408">
        <v>2205</v>
      </c>
      <c r="Q6408" t="s">
        <v>14474</v>
      </c>
      <c r="R6408" s="28" t="s">
        <v>14475</v>
      </c>
      <c r="S6408" t="s">
        <v>13022</v>
      </c>
    </row>
    <row r="6409" spans="1:19" x14ac:dyDescent="0.25">
      <c r="A6409" s="27" t="s">
        <v>193</v>
      </c>
      <c r="C6409" s="27" t="s">
        <v>34749</v>
      </c>
      <c r="D6409" s="28" t="s">
        <v>34867</v>
      </c>
      <c r="P6409">
        <v>2206</v>
      </c>
      <c r="Q6409" t="s">
        <v>14476</v>
      </c>
      <c r="R6409" s="28" t="s">
        <v>14477</v>
      </c>
      <c r="S6409" t="s">
        <v>13022</v>
      </c>
    </row>
    <row r="6410" spans="1:19" x14ac:dyDescent="0.25">
      <c r="A6410" s="27" t="s">
        <v>193</v>
      </c>
      <c r="C6410" s="27" t="s">
        <v>34749</v>
      </c>
      <c r="D6410" s="28" t="s">
        <v>34867</v>
      </c>
      <c r="P6410">
        <v>2207</v>
      </c>
      <c r="Q6410" t="s">
        <v>14478</v>
      </c>
      <c r="R6410" s="28" t="s">
        <v>14479</v>
      </c>
      <c r="S6410" t="s">
        <v>13022</v>
      </c>
    </row>
    <row r="6411" spans="1:19" x14ac:dyDescent="0.25">
      <c r="A6411" s="27" t="s">
        <v>193</v>
      </c>
      <c r="C6411" s="27" t="s">
        <v>34749</v>
      </c>
      <c r="D6411" s="28" t="s">
        <v>34867</v>
      </c>
      <c r="P6411">
        <v>2208</v>
      </c>
      <c r="Q6411" t="s">
        <v>14480</v>
      </c>
      <c r="R6411" s="28" t="s">
        <v>14481</v>
      </c>
      <c r="S6411" t="s">
        <v>13022</v>
      </c>
    </row>
    <row r="6412" spans="1:19" x14ac:dyDescent="0.25">
      <c r="A6412" s="27" t="s">
        <v>193</v>
      </c>
      <c r="C6412" s="27" t="s">
        <v>34749</v>
      </c>
      <c r="D6412" s="28" t="s">
        <v>34867</v>
      </c>
      <c r="P6412">
        <v>2209</v>
      </c>
      <c r="Q6412" t="s">
        <v>14482</v>
      </c>
      <c r="R6412" s="28" t="s">
        <v>14483</v>
      </c>
      <c r="S6412" t="s">
        <v>13022</v>
      </c>
    </row>
    <row r="6413" spans="1:19" x14ac:dyDescent="0.25">
      <c r="A6413" s="27" t="s">
        <v>193</v>
      </c>
      <c r="C6413" s="27" t="s">
        <v>34749</v>
      </c>
      <c r="D6413" s="28" t="s">
        <v>34867</v>
      </c>
      <c r="P6413">
        <v>2210</v>
      </c>
      <c r="Q6413" t="s">
        <v>14484</v>
      </c>
      <c r="R6413" s="28" t="s">
        <v>14485</v>
      </c>
      <c r="S6413" t="s">
        <v>13022</v>
      </c>
    </row>
    <row r="6414" spans="1:19" x14ac:dyDescent="0.25">
      <c r="A6414" s="27" t="s">
        <v>193</v>
      </c>
      <c r="C6414" s="27" t="s">
        <v>34749</v>
      </c>
      <c r="D6414" s="28" t="s">
        <v>34867</v>
      </c>
      <c r="P6414">
        <v>2211</v>
      </c>
      <c r="Q6414" t="s">
        <v>14486</v>
      </c>
      <c r="R6414" s="28" t="s">
        <v>14487</v>
      </c>
      <c r="S6414" t="s">
        <v>13022</v>
      </c>
    </row>
    <row r="6415" spans="1:19" x14ac:dyDescent="0.25">
      <c r="A6415" s="27" t="s">
        <v>193</v>
      </c>
      <c r="C6415" s="27" t="s">
        <v>34749</v>
      </c>
      <c r="D6415" s="28" t="s">
        <v>34867</v>
      </c>
      <c r="P6415">
        <v>2212</v>
      </c>
      <c r="Q6415" t="s">
        <v>14488</v>
      </c>
      <c r="R6415" s="28" t="s">
        <v>14489</v>
      </c>
      <c r="S6415" t="s">
        <v>13022</v>
      </c>
    </row>
    <row r="6416" spans="1:19" x14ac:dyDescent="0.25">
      <c r="A6416" s="27" t="s">
        <v>193</v>
      </c>
      <c r="C6416" s="27" t="s">
        <v>34749</v>
      </c>
      <c r="D6416" s="28" t="s">
        <v>34867</v>
      </c>
      <c r="P6416">
        <v>2213</v>
      </c>
      <c r="Q6416" t="s">
        <v>14490</v>
      </c>
      <c r="R6416" s="28" t="s">
        <v>14491</v>
      </c>
      <c r="S6416" t="s">
        <v>13022</v>
      </c>
    </row>
    <row r="6417" spans="1:19" x14ac:dyDescent="0.25">
      <c r="A6417" s="27" t="s">
        <v>193</v>
      </c>
      <c r="C6417" s="27" t="s">
        <v>34749</v>
      </c>
      <c r="D6417" s="28" t="s">
        <v>34867</v>
      </c>
      <c r="P6417">
        <v>2214</v>
      </c>
      <c r="Q6417" t="s">
        <v>14492</v>
      </c>
      <c r="R6417" s="28" t="s">
        <v>14493</v>
      </c>
      <c r="S6417" t="s">
        <v>13022</v>
      </c>
    </row>
    <row r="6418" spans="1:19" x14ac:dyDescent="0.25">
      <c r="A6418" s="27" t="s">
        <v>193</v>
      </c>
      <c r="C6418" s="27" t="s">
        <v>34749</v>
      </c>
      <c r="D6418" s="28" t="s">
        <v>34867</v>
      </c>
      <c r="P6418">
        <v>2215</v>
      </c>
      <c r="Q6418" t="s">
        <v>14494</v>
      </c>
      <c r="R6418" s="28" t="s">
        <v>14495</v>
      </c>
      <c r="S6418" t="s">
        <v>13022</v>
      </c>
    </row>
    <row r="6419" spans="1:19" x14ac:dyDescent="0.25">
      <c r="A6419" s="27" t="s">
        <v>193</v>
      </c>
      <c r="C6419" s="27" t="s">
        <v>34749</v>
      </c>
      <c r="D6419" s="28" t="s">
        <v>34867</v>
      </c>
      <c r="P6419">
        <v>2216</v>
      </c>
      <c r="Q6419" t="s">
        <v>14496</v>
      </c>
      <c r="R6419" s="28" t="s">
        <v>14497</v>
      </c>
      <c r="S6419" t="s">
        <v>13022</v>
      </c>
    </row>
    <row r="6420" spans="1:19" x14ac:dyDescent="0.25">
      <c r="A6420" s="27" t="s">
        <v>193</v>
      </c>
      <c r="C6420" s="27" t="s">
        <v>34749</v>
      </c>
      <c r="D6420" s="28" t="s">
        <v>34867</v>
      </c>
      <c r="P6420">
        <v>2217</v>
      </c>
      <c r="Q6420" t="s">
        <v>14498</v>
      </c>
      <c r="R6420" s="28" t="s">
        <v>14499</v>
      </c>
      <c r="S6420" t="s">
        <v>13022</v>
      </c>
    </row>
    <row r="6421" spans="1:19" x14ac:dyDescent="0.25">
      <c r="A6421" s="27" t="s">
        <v>193</v>
      </c>
      <c r="C6421" s="27" t="s">
        <v>34749</v>
      </c>
      <c r="D6421" s="28" t="s">
        <v>34867</v>
      </c>
      <c r="P6421">
        <v>2218</v>
      </c>
      <c r="Q6421" t="s">
        <v>14500</v>
      </c>
      <c r="R6421" s="28" t="s">
        <v>14501</v>
      </c>
      <c r="S6421" t="s">
        <v>13022</v>
      </c>
    </row>
    <row r="6422" spans="1:19" x14ac:dyDescent="0.25">
      <c r="A6422" s="27" t="s">
        <v>193</v>
      </c>
      <c r="C6422" s="27" t="s">
        <v>34749</v>
      </c>
      <c r="D6422" s="28" t="s">
        <v>34867</v>
      </c>
      <c r="P6422">
        <v>2219</v>
      </c>
      <c r="Q6422" t="s">
        <v>14502</v>
      </c>
      <c r="R6422" s="28" t="s">
        <v>14503</v>
      </c>
      <c r="S6422" t="s">
        <v>13022</v>
      </c>
    </row>
    <row r="6423" spans="1:19" x14ac:dyDescent="0.25">
      <c r="A6423" s="27" t="s">
        <v>193</v>
      </c>
      <c r="C6423" s="27" t="s">
        <v>34749</v>
      </c>
      <c r="D6423" s="28" t="s">
        <v>34867</v>
      </c>
      <c r="P6423">
        <v>2220</v>
      </c>
      <c r="Q6423" t="s">
        <v>14504</v>
      </c>
      <c r="R6423" s="28" t="s">
        <v>14505</v>
      </c>
      <c r="S6423" t="s">
        <v>13022</v>
      </c>
    </row>
    <row r="6424" spans="1:19" x14ac:dyDescent="0.25">
      <c r="A6424" s="27" t="s">
        <v>193</v>
      </c>
      <c r="C6424" s="27" t="s">
        <v>34749</v>
      </c>
      <c r="D6424" s="28" t="s">
        <v>34867</v>
      </c>
      <c r="P6424">
        <v>2221</v>
      </c>
      <c r="Q6424" t="s">
        <v>14506</v>
      </c>
      <c r="R6424" s="28" t="s">
        <v>14507</v>
      </c>
      <c r="S6424" t="s">
        <v>13022</v>
      </c>
    </row>
    <row r="6425" spans="1:19" x14ac:dyDescent="0.25">
      <c r="A6425" s="27" t="s">
        <v>193</v>
      </c>
      <c r="C6425" s="27" t="s">
        <v>34749</v>
      </c>
      <c r="D6425" s="28" t="s">
        <v>34867</v>
      </c>
      <c r="P6425">
        <v>2222</v>
      </c>
      <c r="Q6425" t="s">
        <v>14508</v>
      </c>
      <c r="S6425" t="s">
        <v>13022</v>
      </c>
    </row>
    <row r="6426" spans="1:19" x14ac:dyDescent="0.25">
      <c r="A6426" s="27" t="s">
        <v>193</v>
      </c>
      <c r="C6426" s="27" t="s">
        <v>34749</v>
      </c>
      <c r="D6426" s="28" t="s">
        <v>34867</v>
      </c>
      <c r="P6426">
        <v>2223</v>
      </c>
      <c r="Q6426" t="s">
        <v>14509</v>
      </c>
      <c r="R6426" s="28" t="s">
        <v>14510</v>
      </c>
      <c r="S6426" t="s">
        <v>13022</v>
      </c>
    </row>
    <row r="6427" spans="1:19" x14ac:dyDescent="0.25">
      <c r="A6427" s="27" t="s">
        <v>193</v>
      </c>
      <c r="C6427" s="27" t="s">
        <v>34749</v>
      </c>
      <c r="D6427" s="28" t="s">
        <v>34867</v>
      </c>
      <c r="P6427">
        <v>2224</v>
      </c>
      <c r="Q6427" t="s">
        <v>14511</v>
      </c>
      <c r="R6427" s="28" t="s">
        <v>14512</v>
      </c>
      <c r="S6427" t="s">
        <v>13022</v>
      </c>
    </row>
    <row r="6428" spans="1:19" x14ac:dyDescent="0.25">
      <c r="A6428" s="27" t="s">
        <v>193</v>
      </c>
      <c r="C6428" s="27" t="s">
        <v>34749</v>
      </c>
      <c r="D6428" s="28" t="s">
        <v>34867</v>
      </c>
      <c r="P6428">
        <v>2225</v>
      </c>
      <c r="Q6428" t="s">
        <v>14513</v>
      </c>
      <c r="R6428" s="28" t="s">
        <v>14514</v>
      </c>
      <c r="S6428" t="s">
        <v>13022</v>
      </c>
    </row>
    <row r="6429" spans="1:19" x14ac:dyDescent="0.25">
      <c r="A6429" s="27" t="s">
        <v>193</v>
      </c>
      <c r="C6429" s="27" t="s">
        <v>34749</v>
      </c>
      <c r="D6429" s="28" t="s">
        <v>34867</v>
      </c>
      <c r="P6429">
        <v>2226</v>
      </c>
      <c r="Q6429" t="s">
        <v>14515</v>
      </c>
      <c r="R6429" s="28" t="s">
        <v>14516</v>
      </c>
      <c r="S6429" t="s">
        <v>13022</v>
      </c>
    </row>
    <row r="6430" spans="1:19" x14ac:dyDescent="0.25">
      <c r="A6430" s="27" t="s">
        <v>193</v>
      </c>
      <c r="C6430" s="27" t="s">
        <v>34749</v>
      </c>
      <c r="D6430" s="28" t="s">
        <v>34867</v>
      </c>
      <c r="P6430">
        <v>2227</v>
      </c>
      <c r="Q6430" t="s">
        <v>14517</v>
      </c>
      <c r="R6430" s="28" t="s">
        <v>14518</v>
      </c>
      <c r="S6430" t="s">
        <v>13022</v>
      </c>
    </row>
    <row r="6431" spans="1:19" x14ac:dyDescent="0.25">
      <c r="A6431" s="27" t="s">
        <v>193</v>
      </c>
      <c r="C6431" s="27" t="s">
        <v>34749</v>
      </c>
      <c r="D6431" s="28" t="s">
        <v>34867</v>
      </c>
      <c r="P6431">
        <v>2228</v>
      </c>
      <c r="Q6431" t="s">
        <v>14519</v>
      </c>
      <c r="R6431" s="28" t="s">
        <v>14520</v>
      </c>
      <c r="S6431" t="s">
        <v>13022</v>
      </c>
    </row>
    <row r="6432" spans="1:19" x14ac:dyDescent="0.25">
      <c r="A6432" s="27" t="s">
        <v>193</v>
      </c>
      <c r="C6432" s="27" t="s">
        <v>34749</v>
      </c>
      <c r="D6432" s="28" t="s">
        <v>34867</v>
      </c>
      <c r="P6432">
        <v>2229</v>
      </c>
      <c r="Q6432" t="s">
        <v>14521</v>
      </c>
      <c r="R6432" s="28" t="s">
        <v>14522</v>
      </c>
      <c r="S6432" t="s">
        <v>13022</v>
      </c>
    </row>
    <row r="6433" spans="1:19" x14ac:dyDescent="0.25">
      <c r="A6433" s="27" t="s">
        <v>193</v>
      </c>
      <c r="C6433" s="27" t="s">
        <v>34749</v>
      </c>
      <c r="D6433" s="28" t="s">
        <v>34867</v>
      </c>
      <c r="P6433">
        <v>2230</v>
      </c>
      <c r="Q6433" t="s">
        <v>14523</v>
      </c>
      <c r="R6433" s="28" t="s">
        <v>14524</v>
      </c>
      <c r="S6433" t="s">
        <v>13022</v>
      </c>
    </row>
    <row r="6434" spans="1:19" x14ac:dyDescent="0.25">
      <c r="A6434" s="27" t="s">
        <v>193</v>
      </c>
      <c r="C6434" s="27" t="s">
        <v>34749</v>
      </c>
      <c r="D6434" s="28" t="s">
        <v>34867</v>
      </c>
      <c r="P6434">
        <v>2231</v>
      </c>
      <c r="Q6434" t="s">
        <v>14525</v>
      </c>
      <c r="R6434" s="28" t="s">
        <v>14526</v>
      </c>
      <c r="S6434" t="s">
        <v>13022</v>
      </c>
    </row>
    <row r="6435" spans="1:19" x14ac:dyDescent="0.25">
      <c r="A6435" s="27" t="s">
        <v>193</v>
      </c>
      <c r="C6435" s="27" t="s">
        <v>34749</v>
      </c>
      <c r="D6435" s="28" t="s">
        <v>34867</v>
      </c>
      <c r="P6435">
        <v>2232</v>
      </c>
      <c r="Q6435" t="s">
        <v>14527</v>
      </c>
      <c r="R6435" s="28" t="s">
        <v>14528</v>
      </c>
      <c r="S6435" t="s">
        <v>13022</v>
      </c>
    </row>
    <row r="6436" spans="1:19" x14ac:dyDescent="0.25">
      <c r="A6436" s="27" t="s">
        <v>193</v>
      </c>
      <c r="C6436" s="27" t="s">
        <v>34749</v>
      </c>
      <c r="D6436" s="28" t="s">
        <v>34867</v>
      </c>
      <c r="P6436">
        <v>2233</v>
      </c>
      <c r="Q6436" t="s">
        <v>14529</v>
      </c>
      <c r="R6436" s="28" t="s">
        <v>14530</v>
      </c>
      <c r="S6436" t="s">
        <v>13022</v>
      </c>
    </row>
    <row r="6437" spans="1:19" x14ac:dyDescent="0.25">
      <c r="A6437" s="27" t="s">
        <v>193</v>
      </c>
      <c r="C6437" s="27" t="s">
        <v>34749</v>
      </c>
      <c r="D6437" s="28" t="s">
        <v>34867</v>
      </c>
      <c r="P6437">
        <v>2234</v>
      </c>
      <c r="Q6437" t="s">
        <v>14531</v>
      </c>
      <c r="R6437" s="28" t="s">
        <v>14532</v>
      </c>
      <c r="S6437" t="s">
        <v>13022</v>
      </c>
    </row>
    <row r="6438" spans="1:19" x14ac:dyDescent="0.25">
      <c r="A6438" s="27" t="s">
        <v>193</v>
      </c>
      <c r="C6438" s="27" t="s">
        <v>34749</v>
      </c>
      <c r="D6438" s="28" t="s">
        <v>34867</v>
      </c>
      <c r="P6438">
        <v>2235</v>
      </c>
      <c r="Q6438" t="s">
        <v>14533</v>
      </c>
      <c r="R6438" s="28" t="s">
        <v>14534</v>
      </c>
      <c r="S6438" t="s">
        <v>13022</v>
      </c>
    </row>
    <row r="6439" spans="1:19" x14ac:dyDescent="0.25">
      <c r="A6439" s="27" t="s">
        <v>193</v>
      </c>
      <c r="C6439" s="27" t="s">
        <v>34749</v>
      </c>
      <c r="D6439" s="28" t="s">
        <v>34867</v>
      </c>
      <c r="P6439">
        <v>2236</v>
      </c>
      <c r="Q6439" t="s">
        <v>14535</v>
      </c>
      <c r="S6439" t="s">
        <v>13022</v>
      </c>
    </row>
    <row r="6440" spans="1:19" x14ac:dyDescent="0.25">
      <c r="A6440" s="27" t="s">
        <v>193</v>
      </c>
      <c r="C6440" s="27" t="s">
        <v>34749</v>
      </c>
      <c r="D6440" s="28" t="s">
        <v>34867</v>
      </c>
      <c r="P6440">
        <v>2237</v>
      </c>
      <c r="Q6440" t="s">
        <v>14536</v>
      </c>
      <c r="S6440" t="s">
        <v>13022</v>
      </c>
    </row>
    <row r="6441" spans="1:19" x14ac:dyDescent="0.25">
      <c r="A6441" s="27" t="s">
        <v>193</v>
      </c>
      <c r="C6441" s="27" t="s">
        <v>34749</v>
      </c>
      <c r="D6441" s="28" t="s">
        <v>34867</v>
      </c>
      <c r="P6441">
        <v>2238</v>
      </c>
      <c r="Q6441" t="s">
        <v>14537</v>
      </c>
      <c r="R6441" s="28" t="s">
        <v>14538</v>
      </c>
      <c r="S6441" t="s">
        <v>13022</v>
      </c>
    </row>
    <row r="6442" spans="1:19" x14ac:dyDescent="0.25">
      <c r="A6442" s="27" t="s">
        <v>193</v>
      </c>
      <c r="C6442" s="27" t="s">
        <v>34749</v>
      </c>
      <c r="D6442" s="28" t="s">
        <v>34867</v>
      </c>
      <c r="P6442">
        <v>2239</v>
      </c>
      <c r="Q6442" t="s">
        <v>14539</v>
      </c>
      <c r="S6442" t="s">
        <v>13022</v>
      </c>
    </row>
    <row r="6443" spans="1:19" x14ac:dyDescent="0.25">
      <c r="A6443" s="27" t="s">
        <v>193</v>
      </c>
      <c r="C6443" s="27" t="s">
        <v>34749</v>
      </c>
      <c r="D6443" s="28" t="s">
        <v>34867</v>
      </c>
      <c r="P6443">
        <v>2240</v>
      </c>
      <c r="Q6443" t="s">
        <v>14540</v>
      </c>
      <c r="R6443" s="28" t="s">
        <v>14541</v>
      </c>
      <c r="S6443" t="s">
        <v>13022</v>
      </c>
    </row>
    <row r="6444" spans="1:19" x14ac:dyDescent="0.25">
      <c r="A6444" s="27" t="s">
        <v>193</v>
      </c>
      <c r="C6444" s="27" t="s">
        <v>34749</v>
      </c>
      <c r="D6444" s="28" t="s">
        <v>34867</v>
      </c>
      <c r="P6444">
        <v>2241</v>
      </c>
      <c r="Q6444" t="s">
        <v>14542</v>
      </c>
      <c r="S6444" t="s">
        <v>13022</v>
      </c>
    </row>
    <row r="6445" spans="1:19" x14ac:dyDescent="0.25">
      <c r="A6445" s="27" t="s">
        <v>193</v>
      </c>
      <c r="C6445" s="27" t="s">
        <v>34749</v>
      </c>
      <c r="D6445" s="28" t="s">
        <v>34867</v>
      </c>
      <c r="P6445">
        <v>2242</v>
      </c>
      <c r="Q6445" t="s">
        <v>14543</v>
      </c>
      <c r="S6445" t="s">
        <v>13022</v>
      </c>
    </row>
    <row r="6446" spans="1:19" x14ac:dyDescent="0.25">
      <c r="A6446" s="27" t="s">
        <v>193</v>
      </c>
      <c r="C6446" s="27" t="s">
        <v>34749</v>
      </c>
      <c r="D6446" s="28" t="s">
        <v>34867</v>
      </c>
      <c r="P6446">
        <v>2244</v>
      </c>
      <c r="Q6446" t="s">
        <v>14544</v>
      </c>
      <c r="R6446" s="28" t="s">
        <v>1816</v>
      </c>
      <c r="S6446" t="s">
        <v>13022</v>
      </c>
    </row>
    <row r="6447" spans="1:19" x14ac:dyDescent="0.25">
      <c r="A6447" s="27" t="s">
        <v>193</v>
      </c>
      <c r="C6447" s="27" t="s">
        <v>34749</v>
      </c>
      <c r="D6447" s="28" t="s">
        <v>34867</v>
      </c>
      <c r="P6447">
        <v>2246</v>
      </c>
      <c r="Q6447" t="s">
        <v>6933</v>
      </c>
      <c r="R6447" s="28" t="s">
        <v>6934</v>
      </c>
      <c r="S6447" t="s">
        <v>13022</v>
      </c>
    </row>
    <row r="6448" spans="1:19" x14ac:dyDescent="0.25">
      <c r="A6448" s="27" t="s">
        <v>193</v>
      </c>
      <c r="C6448" s="27" t="s">
        <v>34749</v>
      </c>
      <c r="D6448" s="28" t="s">
        <v>34867</v>
      </c>
      <c r="P6448">
        <v>2247</v>
      </c>
      <c r="Q6448" t="s">
        <v>6948</v>
      </c>
      <c r="R6448" s="28" t="s">
        <v>6949</v>
      </c>
      <c r="S6448" t="s">
        <v>13022</v>
      </c>
    </row>
    <row r="6449" spans="1:19" x14ac:dyDescent="0.25">
      <c r="A6449" s="27" t="s">
        <v>193</v>
      </c>
      <c r="C6449" s="27" t="s">
        <v>34749</v>
      </c>
      <c r="D6449" s="28" t="s">
        <v>34867</v>
      </c>
      <c r="P6449">
        <v>2248</v>
      </c>
      <c r="Q6449" t="s">
        <v>1683</v>
      </c>
      <c r="R6449" s="28" t="s">
        <v>1684</v>
      </c>
      <c r="S6449" t="s">
        <v>13022</v>
      </c>
    </row>
    <row r="6450" spans="1:19" x14ac:dyDescent="0.25">
      <c r="A6450" s="27" t="s">
        <v>193</v>
      </c>
      <c r="C6450" s="27" t="s">
        <v>34749</v>
      </c>
      <c r="D6450" s="28" t="s">
        <v>34867</v>
      </c>
      <c r="P6450">
        <v>2249</v>
      </c>
      <c r="Q6450" t="s">
        <v>1752</v>
      </c>
      <c r="R6450" s="28" t="s">
        <v>1753</v>
      </c>
      <c r="S6450" t="s">
        <v>13022</v>
      </c>
    </row>
    <row r="6451" spans="1:19" x14ac:dyDescent="0.25">
      <c r="A6451" s="27" t="s">
        <v>193</v>
      </c>
      <c r="C6451" s="27" t="s">
        <v>34749</v>
      </c>
      <c r="D6451" s="28" t="s">
        <v>34867</v>
      </c>
      <c r="P6451">
        <v>2250</v>
      </c>
      <c r="Q6451" t="s">
        <v>2256</v>
      </c>
      <c r="R6451" s="28" t="s">
        <v>2257</v>
      </c>
      <c r="S6451" t="s">
        <v>13022</v>
      </c>
    </row>
    <row r="6452" spans="1:19" x14ac:dyDescent="0.25">
      <c r="A6452" s="27" t="s">
        <v>193</v>
      </c>
      <c r="C6452" s="27" t="s">
        <v>34749</v>
      </c>
      <c r="D6452" s="28" t="s">
        <v>34867</v>
      </c>
      <c r="P6452">
        <v>2251</v>
      </c>
      <c r="Q6452" t="s">
        <v>14545</v>
      </c>
      <c r="R6452" s="28" t="s">
        <v>4203</v>
      </c>
      <c r="S6452" t="s">
        <v>13022</v>
      </c>
    </row>
    <row r="6453" spans="1:19" x14ac:dyDescent="0.25">
      <c r="A6453" s="27" t="s">
        <v>193</v>
      </c>
      <c r="C6453" s="27" t="s">
        <v>34749</v>
      </c>
      <c r="D6453" s="28" t="s">
        <v>34867</v>
      </c>
      <c r="P6453">
        <v>2252</v>
      </c>
      <c r="Q6453" t="s">
        <v>8121</v>
      </c>
      <c r="R6453" s="28" t="s">
        <v>8122</v>
      </c>
      <c r="S6453" t="s">
        <v>13022</v>
      </c>
    </row>
    <row r="6454" spans="1:19" x14ac:dyDescent="0.25">
      <c r="A6454" s="27" t="s">
        <v>193</v>
      </c>
      <c r="C6454" s="27" t="s">
        <v>34749</v>
      </c>
      <c r="D6454" s="28" t="s">
        <v>34867</v>
      </c>
      <c r="P6454">
        <v>2253</v>
      </c>
      <c r="Q6454" t="s">
        <v>4247</v>
      </c>
      <c r="R6454" s="28" t="s">
        <v>4248</v>
      </c>
      <c r="S6454" t="s">
        <v>13022</v>
      </c>
    </row>
    <row r="6455" spans="1:19" x14ac:dyDescent="0.25">
      <c r="A6455" s="27" t="s">
        <v>193</v>
      </c>
      <c r="C6455" s="27" t="s">
        <v>34749</v>
      </c>
      <c r="D6455" s="28" t="s">
        <v>34867</v>
      </c>
      <c r="P6455">
        <v>2254</v>
      </c>
      <c r="Q6455" t="s">
        <v>4280</v>
      </c>
      <c r="R6455" s="28" t="s">
        <v>4281</v>
      </c>
      <c r="S6455" t="s">
        <v>13022</v>
      </c>
    </row>
    <row r="6456" spans="1:19" x14ac:dyDescent="0.25">
      <c r="A6456" s="27" t="s">
        <v>193</v>
      </c>
      <c r="C6456" s="27" t="s">
        <v>34749</v>
      </c>
      <c r="D6456" s="28" t="s">
        <v>34867</v>
      </c>
      <c r="P6456">
        <v>2256</v>
      </c>
      <c r="Q6456" t="s">
        <v>2496</v>
      </c>
      <c r="R6456" s="28" t="s">
        <v>2497</v>
      </c>
      <c r="S6456" t="s">
        <v>13022</v>
      </c>
    </row>
    <row r="6457" spans="1:19" x14ac:dyDescent="0.25">
      <c r="A6457" s="27" t="s">
        <v>193</v>
      </c>
      <c r="C6457" s="27" t="s">
        <v>34749</v>
      </c>
      <c r="D6457" s="28" t="s">
        <v>34867</v>
      </c>
      <c r="P6457">
        <v>2257</v>
      </c>
      <c r="Q6457" t="s">
        <v>14546</v>
      </c>
      <c r="R6457" s="28" t="s">
        <v>14547</v>
      </c>
      <c r="S6457" t="s">
        <v>13022</v>
      </c>
    </row>
    <row r="6458" spans="1:19" x14ac:dyDescent="0.25">
      <c r="A6458" s="27" t="s">
        <v>193</v>
      </c>
      <c r="C6458" s="27" t="s">
        <v>34749</v>
      </c>
      <c r="D6458" s="28" t="s">
        <v>34867</v>
      </c>
      <c r="P6458">
        <v>2258</v>
      </c>
      <c r="Q6458" t="s">
        <v>14548</v>
      </c>
      <c r="R6458" s="28" t="s">
        <v>14549</v>
      </c>
      <c r="S6458" t="s">
        <v>13022</v>
      </c>
    </row>
    <row r="6459" spans="1:19" x14ac:dyDescent="0.25">
      <c r="A6459" s="27" t="s">
        <v>193</v>
      </c>
      <c r="C6459" s="27" t="s">
        <v>34749</v>
      </c>
      <c r="D6459" s="28" t="s">
        <v>34867</v>
      </c>
      <c r="P6459">
        <v>2259</v>
      </c>
      <c r="Q6459" t="s">
        <v>14550</v>
      </c>
      <c r="R6459" s="28" t="s">
        <v>14551</v>
      </c>
      <c r="S6459" t="s">
        <v>13022</v>
      </c>
    </row>
    <row r="6460" spans="1:19" x14ac:dyDescent="0.25">
      <c r="A6460" s="27" t="s">
        <v>193</v>
      </c>
      <c r="C6460" s="27" t="s">
        <v>34749</v>
      </c>
      <c r="D6460" s="28" t="s">
        <v>34867</v>
      </c>
      <c r="P6460">
        <v>2260</v>
      </c>
      <c r="Q6460" t="s">
        <v>14552</v>
      </c>
      <c r="R6460" s="28" t="s">
        <v>14553</v>
      </c>
      <c r="S6460" t="s">
        <v>13022</v>
      </c>
    </row>
    <row r="6461" spans="1:19" x14ac:dyDescent="0.25">
      <c r="A6461" s="27" t="s">
        <v>193</v>
      </c>
      <c r="C6461" s="27" t="s">
        <v>34749</v>
      </c>
      <c r="D6461" s="28" t="s">
        <v>34867</v>
      </c>
      <c r="P6461">
        <v>2261</v>
      </c>
      <c r="Q6461" t="s">
        <v>6969</v>
      </c>
      <c r="R6461" s="28" t="s">
        <v>6970</v>
      </c>
      <c r="S6461" t="s">
        <v>13022</v>
      </c>
    </row>
    <row r="6462" spans="1:19" x14ac:dyDescent="0.25">
      <c r="A6462" s="27" t="s">
        <v>193</v>
      </c>
      <c r="C6462" s="27" t="s">
        <v>34749</v>
      </c>
      <c r="D6462" s="28" t="s">
        <v>34867</v>
      </c>
      <c r="P6462">
        <v>2262</v>
      </c>
      <c r="Q6462" t="s">
        <v>6960</v>
      </c>
      <c r="R6462" s="28" t="s">
        <v>6961</v>
      </c>
      <c r="S6462" t="s">
        <v>13022</v>
      </c>
    </row>
    <row r="6463" spans="1:19" x14ac:dyDescent="0.25">
      <c r="A6463" s="27" t="s">
        <v>193</v>
      </c>
      <c r="C6463" s="27" t="s">
        <v>34749</v>
      </c>
      <c r="D6463" s="28" t="s">
        <v>34867</v>
      </c>
      <c r="P6463">
        <v>2263</v>
      </c>
      <c r="Q6463" t="s">
        <v>6927</v>
      </c>
      <c r="R6463" s="28" t="s">
        <v>6928</v>
      </c>
      <c r="S6463" t="s">
        <v>13022</v>
      </c>
    </row>
    <row r="6464" spans="1:19" x14ac:dyDescent="0.25">
      <c r="A6464" s="27" t="s">
        <v>193</v>
      </c>
      <c r="C6464" s="27" t="s">
        <v>34749</v>
      </c>
      <c r="D6464" s="28" t="s">
        <v>34867</v>
      </c>
      <c r="P6464">
        <v>2264</v>
      </c>
      <c r="Q6464" t="s">
        <v>6921</v>
      </c>
      <c r="R6464" s="28" t="s">
        <v>6922</v>
      </c>
      <c r="S6464" t="s">
        <v>13022</v>
      </c>
    </row>
    <row r="6465" spans="1:19" x14ac:dyDescent="0.25">
      <c r="A6465" s="27" t="s">
        <v>193</v>
      </c>
      <c r="C6465" s="27" t="s">
        <v>34749</v>
      </c>
      <c r="D6465" s="28" t="s">
        <v>34867</v>
      </c>
      <c r="P6465">
        <v>2265</v>
      </c>
      <c r="Q6465" t="s">
        <v>6918</v>
      </c>
      <c r="R6465" s="28" t="s">
        <v>6919</v>
      </c>
      <c r="S6465" t="s">
        <v>13022</v>
      </c>
    </row>
    <row r="6466" spans="1:19" x14ac:dyDescent="0.25">
      <c r="A6466" s="27" t="s">
        <v>193</v>
      </c>
      <c r="C6466" s="27" t="s">
        <v>34749</v>
      </c>
      <c r="D6466" s="28" t="s">
        <v>34867</v>
      </c>
      <c r="P6466">
        <v>2266</v>
      </c>
      <c r="Q6466" t="s">
        <v>6900</v>
      </c>
      <c r="R6466" s="28" t="s">
        <v>6901</v>
      </c>
      <c r="S6466" t="s">
        <v>13022</v>
      </c>
    </row>
    <row r="6467" spans="1:19" x14ac:dyDescent="0.25">
      <c r="A6467" s="27" t="s">
        <v>193</v>
      </c>
      <c r="C6467" s="27" t="s">
        <v>34749</v>
      </c>
      <c r="D6467" s="28" t="s">
        <v>34867</v>
      </c>
      <c r="P6467">
        <v>2267</v>
      </c>
      <c r="Q6467" t="s">
        <v>6924</v>
      </c>
      <c r="R6467" s="28" t="s">
        <v>6925</v>
      </c>
      <c r="S6467" t="s">
        <v>13022</v>
      </c>
    </row>
    <row r="6468" spans="1:19" x14ac:dyDescent="0.25">
      <c r="A6468" s="27" t="s">
        <v>193</v>
      </c>
      <c r="C6468" s="27" t="s">
        <v>34749</v>
      </c>
      <c r="D6468" s="28" t="s">
        <v>34867</v>
      </c>
      <c r="P6468">
        <v>2268</v>
      </c>
      <c r="Q6468" t="s">
        <v>6930</v>
      </c>
      <c r="R6468" s="28" t="s">
        <v>6931</v>
      </c>
      <c r="S6468" t="s">
        <v>13022</v>
      </c>
    </row>
    <row r="6469" spans="1:19" x14ac:dyDescent="0.25">
      <c r="A6469" s="27" t="s">
        <v>193</v>
      </c>
      <c r="C6469" s="27" t="s">
        <v>34749</v>
      </c>
      <c r="D6469" s="28" t="s">
        <v>34867</v>
      </c>
      <c r="P6469">
        <v>2269</v>
      </c>
      <c r="Q6469" t="s">
        <v>6966</v>
      </c>
      <c r="R6469" s="28" t="s">
        <v>6967</v>
      </c>
      <c r="S6469" t="s">
        <v>13022</v>
      </c>
    </row>
    <row r="6470" spans="1:19" x14ac:dyDescent="0.25">
      <c r="A6470" s="27" t="s">
        <v>193</v>
      </c>
      <c r="C6470" s="27" t="s">
        <v>34749</v>
      </c>
      <c r="D6470" s="28" t="s">
        <v>34867</v>
      </c>
      <c r="P6470">
        <v>2270</v>
      </c>
      <c r="Q6470" t="s">
        <v>14554</v>
      </c>
      <c r="R6470" s="28" t="s">
        <v>14555</v>
      </c>
      <c r="S6470" t="s">
        <v>13022</v>
      </c>
    </row>
    <row r="6471" spans="1:19" x14ac:dyDescent="0.25">
      <c r="A6471" s="27" t="s">
        <v>193</v>
      </c>
      <c r="C6471" s="27" t="s">
        <v>34749</v>
      </c>
      <c r="D6471" s="28" t="s">
        <v>34867</v>
      </c>
      <c r="P6471">
        <v>2271</v>
      </c>
      <c r="Q6471" t="s">
        <v>6963</v>
      </c>
      <c r="R6471" s="28" t="s">
        <v>6964</v>
      </c>
      <c r="S6471" t="s">
        <v>13022</v>
      </c>
    </row>
    <row r="6472" spans="1:19" x14ac:dyDescent="0.25">
      <c r="A6472" s="27" t="s">
        <v>193</v>
      </c>
      <c r="C6472" s="27" t="s">
        <v>34749</v>
      </c>
      <c r="D6472" s="28" t="s">
        <v>34867</v>
      </c>
      <c r="P6472">
        <v>2272</v>
      </c>
      <c r="Q6472" t="s">
        <v>14556</v>
      </c>
      <c r="R6472" s="28" t="s">
        <v>1900</v>
      </c>
      <c r="S6472" t="s">
        <v>13022</v>
      </c>
    </row>
    <row r="6473" spans="1:19" x14ac:dyDescent="0.25">
      <c r="A6473" s="27" t="s">
        <v>193</v>
      </c>
      <c r="C6473" s="27" t="s">
        <v>34749</v>
      </c>
      <c r="D6473" s="28" t="s">
        <v>34867</v>
      </c>
      <c r="P6473">
        <v>2273</v>
      </c>
      <c r="Q6473" t="s">
        <v>14557</v>
      </c>
      <c r="R6473" s="28" t="s">
        <v>2098</v>
      </c>
      <c r="S6473" t="s">
        <v>13022</v>
      </c>
    </row>
    <row r="6474" spans="1:19" x14ac:dyDescent="0.25">
      <c r="A6474" s="27" t="s">
        <v>193</v>
      </c>
      <c r="C6474" s="27" t="s">
        <v>34749</v>
      </c>
      <c r="D6474" s="28" t="s">
        <v>34867</v>
      </c>
      <c r="P6474">
        <v>2275</v>
      </c>
      <c r="Q6474" t="s">
        <v>1116</v>
      </c>
      <c r="R6474" s="28" t="s">
        <v>1117</v>
      </c>
      <c r="S6474" t="s">
        <v>13022</v>
      </c>
    </row>
    <row r="6475" spans="1:19" x14ac:dyDescent="0.25">
      <c r="A6475" s="27" t="s">
        <v>193</v>
      </c>
      <c r="C6475" s="27" t="s">
        <v>34749</v>
      </c>
      <c r="D6475" s="28" t="s">
        <v>34867</v>
      </c>
      <c r="P6475">
        <v>2276</v>
      </c>
      <c r="Q6475" t="s">
        <v>14558</v>
      </c>
      <c r="R6475" s="28" t="s">
        <v>14559</v>
      </c>
      <c r="S6475" t="s">
        <v>13022</v>
      </c>
    </row>
    <row r="6476" spans="1:19" x14ac:dyDescent="0.25">
      <c r="A6476" s="27" t="s">
        <v>193</v>
      </c>
      <c r="C6476" s="27" t="s">
        <v>34749</v>
      </c>
      <c r="D6476" s="28" t="s">
        <v>34867</v>
      </c>
      <c r="P6476">
        <v>2277</v>
      </c>
      <c r="Q6476" t="s">
        <v>11867</v>
      </c>
      <c r="R6476" s="28" t="s">
        <v>11868</v>
      </c>
      <c r="S6476" t="s">
        <v>13022</v>
      </c>
    </row>
    <row r="6477" spans="1:19" x14ac:dyDescent="0.25">
      <c r="A6477" s="27" t="s">
        <v>193</v>
      </c>
      <c r="C6477" s="27" t="s">
        <v>34749</v>
      </c>
      <c r="D6477" s="28" t="s">
        <v>34867</v>
      </c>
      <c r="P6477">
        <v>2278</v>
      </c>
      <c r="Q6477" t="s">
        <v>11664</v>
      </c>
      <c r="R6477" s="28" t="s">
        <v>11665</v>
      </c>
      <c r="S6477" t="s">
        <v>13022</v>
      </c>
    </row>
    <row r="6478" spans="1:19" x14ac:dyDescent="0.25">
      <c r="A6478" s="27" t="s">
        <v>193</v>
      </c>
      <c r="C6478" s="27" t="s">
        <v>34749</v>
      </c>
      <c r="D6478" s="28" t="s">
        <v>34867</v>
      </c>
      <c r="P6478">
        <v>2279</v>
      </c>
      <c r="Q6478" t="s">
        <v>8331</v>
      </c>
      <c r="R6478" s="28" t="s">
        <v>8332</v>
      </c>
      <c r="S6478" t="s">
        <v>13022</v>
      </c>
    </row>
    <row r="6479" spans="1:19" x14ac:dyDescent="0.25">
      <c r="A6479" s="27" t="s">
        <v>193</v>
      </c>
      <c r="C6479" s="27" t="s">
        <v>34749</v>
      </c>
      <c r="D6479" s="28" t="s">
        <v>34867</v>
      </c>
      <c r="P6479">
        <v>2280</v>
      </c>
      <c r="Q6479" t="s">
        <v>9138</v>
      </c>
      <c r="R6479" s="28" t="s">
        <v>9139</v>
      </c>
      <c r="S6479" t="s">
        <v>13022</v>
      </c>
    </row>
    <row r="6480" spans="1:19" x14ac:dyDescent="0.25">
      <c r="A6480" s="27" t="s">
        <v>193</v>
      </c>
      <c r="C6480" s="27" t="s">
        <v>34749</v>
      </c>
      <c r="D6480" s="28" t="s">
        <v>34867</v>
      </c>
      <c r="P6480">
        <v>2281</v>
      </c>
      <c r="Q6480" t="s">
        <v>14560</v>
      </c>
      <c r="R6480" s="28" t="s">
        <v>8161</v>
      </c>
      <c r="S6480" t="s">
        <v>13022</v>
      </c>
    </row>
    <row r="6481" spans="1:19" x14ac:dyDescent="0.25">
      <c r="A6481" s="27" t="s">
        <v>193</v>
      </c>
      <c r="C6481" s="27" t="s">
        <v>34749</v>
      </c>
      <c r="D6481" s="28" t="s">
        <v>34867</v>
      </c>
      <c r="P6481">
        <v>2302</v>
      </c>
      <c r="Q6481" t="s">
        <v>14562</v>
      </c>
      <c r="R6481" s="28" t="s">
        <v>4173</v>
      </c>
      <c r="S6481" t="s">
        <v>14561</v>
      </c>
    </row>
    <row r="6482" spans="1:19" x14ac:dyDescent="0.25">
      <c r="A6482" s="27" t="s">
        <v>193</v>
      </c>
      <c r="C6482" s="27" t="s">
        <v>34749</v>
      </c>
      <c r="D6482" s="28" t="s">
        <v>34867</v>
      </c>
      <c r="P6482">
        <v>2303</v>
      </c>
      <c r="Q6482" t="s">
        <v>5894</v>
      </c>
      <c r="R6482" s="28" t="s">
        <v>5895</v>
      </c>
      <c r="S6482" t="s">
        <v>14561</v>
      </c>
    </row>
    <row r="6483" spans="1:19" x14ac:dyDescent="0.25">
      <c r="A6483" s="27" t="s">
        <v>193</v>
      </c>
      <c r="C6483" s="27" t="s">
        <v>34749</v>
      </c>
      <c r="D6483" s="28" t="s">
        <v>34867</v>
      </c>
      <c r="P6483">
        <v>2304</v>
      </c>
      <c r="Q6483" t="s">
        <v>14563</v>
      </c>
      <c r="R6483" s="28" t="s">
        <v>14564</v>
      </c>
      <c r="S6483" t="s">
        <v>14561</v>
      </c>
    </row>
    <row r="6484" spans="1:19" x14ac:dyDescent="0.25">
      <c r="A6484" s="27" t="s">
        <v>193</v>
      </c>
      <c r="C6484" s="27" t="s">
        <v>34749</v>
      </c>
      <c r="D6484" s="28" t="s">
        <v>34867</v>
      </c>
      <c r="P6484">
        <v>2305</v>
      </c>
      <c r="Q6484" t="s">
        <v>14565</v>
      </c>
      <c r="R6484" s="28" t="s">
        <v>5926</v>
      </c>
      <c r="S6484" t="s">
        <v>14561</v>
      </c>
    </row>
    <row r="6485" spans="1:19" x14ac:dyDescent="0.25">
      <c r="A6485" s="27" t="s">
        <v>193</v>
      </c>
      <c r="C6485" s="27" t="s">
        <v>34749</v>
      </c>
      <c r="D6485" s="28" t="s">
        <v>34867</v>
      </c>
      <c r="P6485">
        <v>2306</v>
      </c>
      <c r="Q6485" t="s">
        <v>14566</v>
      </c>
      <c r="R6485" s="28" t="s">
        <v>14567</v>
      </c>
      <c r="S6485" t="s">
        <v>14561</v>
      </c>
    </row>
    <row r="6486" spans="1:19" x14ac:dyDescent="0.25">
      <c r="A6486" s="27" t="s">
        <v>193</v>
      </c>
      <c r="C6486" s="27" t="s">
        <v>34749</v>
      </c>
      <c r="D6486" s="28" t="s">
        <v>34867</v>
      </c>
      <c r="P6486">
        <v>2307</v>
      </c>
      <c r="Q6486" t="s">
        <v>14568</v>
      </c>
      <c r="R6486" s="28" t="s">
        <v>14569</v>
      </c>
      <c r="S6486" t="s">
        <v>14561</v>
      </c>
    </row>
    <row r="6487" spans="1:19" x14ac:dyDescent="0.25">
      <c r="A6487" s="27" t="s">
        <v>193</v>
      </c>
      <c r="C6487" s="27" t="s">
        <v>34749</v>
      </c>
      <c r="D6487" s="28" t="s">
        <v>34867</v>
      </c>
      <c r="P6487">
        <v>2308</v>
      </c>
      <c r="Q6487" t="s">
        <v>14570</v>
      </c>
      <c r="R6487" s="28" t="s">
        <v>4251</v>
      </c>
      <c r="S6487" t="s">
        <v>14561</v>
      </c>
    </row>
    <row r="6488" spans="1:19" x14ac:dyDescent="0.25">
      <c r="A6488" s="27" t="s">
        <v>193</v>
      </c>
      <c r="C6488" s="27" t="s">
        <v>34749</v>
      </c>
      <c r="D6488" s="28" t="s">
        <v>34867</v>
      </c>
      <c r="P6488">
        <v>2309</v>
      </c>
      <c r="Q6488" t="s">
        <v>14571</v>
      </c>
      <c r="R6488" s="28" t="s">
        <v>14572</v>
      </c>
      <c r="S6488" t="s">
        <v>14561</v>
      </c>
    </row>
    <row r="6489" spans="1:19" x14ac:dyDescent="0.25">
      <c r="A6489" s="27" t="s">
        <v>193</v>
      </c>
      <c r="C6489" s="27" t="s">
        <v>34749</v>
      </c>
      <c r="D6489" s="28" t="s">
        <v>34867</v>
      </c>
      <c r="P6489">
        <v>2312</v>
      </c>
      <c r="Q6489" t="s">
        <v>1797</v>
      </c>
      <c r="R6489" s="28" t="s">
        <v>1798</v>
      </c>
      <c r="S6489" t="s">
        <v>13022</v>
      </c>
    </row>
    <row r="6490" spans="1:19" x14ac:dyDescent="0.25">
      <c r="A6490" s="27" t="s">
        <v>193</v>
      </c>
      <c r="C6490" s="27" t="s">
        <v>34749</v>
      </c>
      <c r="D6490" s="28" t="s">
        <v>34867</v>
      </c>
      <c r="P6490">
        <v>2314</v>
      </c>
      <c r="Q6490" t="s">
        <v>14573</v>
      </c>
      <c r="R6490" s="28" t="s">
        <v>5241</v>
      </c>
      <c r="S6490" t="s">
        <v>13022</v>
      </c>
    </row>
    <row r="6491" spans="1:19" x14ac:dyDescent="0.25">
      <c r="A6491" s="27" t="s">
        <v>193</v>
      </c>
      <c r="C6491" s="27" t="s">
        <v>34749</v>
      </c>
      <c r="D6491" s="28" t="s">
        <v>34867</v>
      </c>
      <c r="P6491">
        <v>2315</v>
      </c>
      <c r="Q6491" t="s">
        <v>14574</v>
      </c>
      <c r="R6491" s="28" t="s">
        <v>2131</v>
      </c>
      <c r="S6491" t="s">
        <v>13022</v>
      </c>
    </row>
    <row r="6492" spans="1:19" x14ac:dyDescent="0.25">
      <c r="A6492" s="27" t="s">
        <v>193</v>
      </c>
      <c r="C6492" s="27" t="s">
        <v>34749</v>
      </c>
      <c r="D6492" s="28" t="s">
        <v>34867</v>
      </c>
      <c r="P6492">
        <v>2316</v>
      </c>
      <c r="Q6492" t="s">
        <v>6903</v>
      </c>
      <c r="R6492" s="28" t="s">
        <v>6907</v>
      </c>
      <c r="S6492" t="s">
        <v>13022</v>
      </c>
    </row>
    <row r="6493" spans="1:19" x14ac:dyDescent="0.25">
      <c r="A6493" s="27" t="s">
        <v>193</v>
      </c>
      <c r="C6493" s="27" t="s">
        <v>34749</v>
      </c>
      <c r="D6493" s="28" t="s">
        <v>34867</v>
      </c>
      <c r="P6493">
        <v>2317</v>
      </c>
      <c r="Q6493" t="s">
        <v>6906</v>
      </c>
      <c r="R6493" s="28" t="s">
        <v>6904</v>
      </c>
      <c r="S6493" t="s">
        <v>13022</v>
      </c>
    </row>
    <row r="6494" spans="1:19" x14ac:dyDescent="0.25">
      <c r="A6494" s="27" t="s">
        <v>193</v>
      </c>
      <c r="C6494" s="27" t="s">
        <v>34749</v>
      </c>
      <c r="D6494" s="28" t="s">
        <v>34867</v>
      </c>
      <c r="P6494">
        <v>2318</v>
      </c>
      <c r="Q6494" t="s">
        <v>6951</v>
      </c>
      <c r="R6494" s="28" t="s">
        <v>6952</v>
      </c>
      <c r="S6494" t="s">
        <v>13022</v>
      </c>
    </row>
    <row r="6495" spans="1:19" x14ac:dyDescent="0.25">
      <c r="A6495" s="27" t="s">
        <v>193</v>
      </c>
      <c r="C6495" s="27" t="s">
        <v>34749</v>
      </c>
      <c r="D6495" s="28" t="s">
        <v>34867</v>
      </c>
      <c r="P6495">
        <v>2319</v>
      </c>
      <c r="Q6495" t="s">
        <v>14575</v>
      </c>
      <c r="R6495" s="28" t="s">
        <v>1993</v>
      </c>
      <c r="S6495" t="s">
        <v>13022</v>
      </c>
    </row>
    <row r="6496" spans="1:19" x14ac:dyDescent="0.25">
      <c r="A6496" s="27" t="s">
        <v>193</v>
      </c>
      <c r="C6496" s="27" t="s">
        <v>34749</v>
      </c>
      <c r="D6496" s="28" t="s">
        <v>34867</v>
      </c>
      <c r="P6496">
        <v>2320</v>
      </c>
      <c r="Q6496" t="s">
        <v>14576</v>
      </c>
      <c r="R6496" s="28" t="s">
        <v>1951</v>
      </c>
      <c r="S6496" t="s">
        <v>13022</v>
      </c>
    </row>
    <row r="6497" spans="1:19" x14ac:dyDescent="0.25">
      <c r="A6497" s="27" t="s">
        <v>193</v>
      </c>
      <c r="C6497" s="27" t="s">
        <v>34749</v>
      </c>
      <c r="D6497" s="28" t="s">
        <v>34867</v>
      </c>
      <c r="P6497">
        <v>2321</v>
      </c>
      <c r="Q6497" t="s">
        <v>3541</v>
      </c>
      <c r="R6497" s="28" t="s">
        <v>3542</v>
      </c>
      <c r="S6497" t="s">
        <v>13022</v>
      </c>
    </row>
    <row r="6498" spans="1:19" x14ac:dyDescent="0.25">
      <c r="A6498" s="27" t="s">
        <v>193</v>
      </c>
      <c r="C6498" s="27" t="s">
        <v>34749</v>
      </c>
      <c r="D6498" s="28" t="s">
        <v>34867</v>
      </c>
      <c r="P6498">
        <v>2322</v>
      </c>
      <c r="Q6498" t="s">
        <v>14577</v>
      </c>
      <c r="R6498" s="28" t="s">
        <v>11219</v>
      </c>
      <c r="S6498" t="s">
        <v>13022</v>
      </c>
    </row>
    <row r="6499" spans="1:19" x14ac:dyDescent="0.25">
      <c r="A6499" s="27" t="s">
        <v>193</v>
      </c>
      <c r="C6499" s="27" t="s">
        <v>34749</v>
      </c>
      <c r="D6499" s="28" t="s">
        <v>34867</v>
      </c>
      <c r="P6499">
        <v>2323</v>
      </c>
      <c r="Q6499" t="s">
        <v>3367</v>
      </c>
      <c r="R6499" s="28" t="s">
        <v>3368</v>
      </c>
      <c r="S6499" t="s">
        <v>13022</v>
      </c>
    </row>
    <row r="6500" spans="1:19" x14ac:dyDescent="0.25">
      <c r="A6500" s="27" t="s">
        <v>193</v>
      </c>
      <c r="C6500" s="27" t="s">
        <v>34749</v>
      </c>
      <c r="D6500" s="28" t="s">
        <v>34867</v>
      </c>
      <c r="P6500">
        <v>2324</v>
      </c>
      <c r="Q6500" t="s">
        <v>14578</v>
      </c>
      <c r="R6500" s="28" t="s">
        <v>12203</v>
      </c>
      <c r="S6500" t="s">
        <v>13022</v>
      </c>
    </row>
    <row r="6501" spans="1:19" x14ac:dyDescent="0.25">
      <c r="A6501" s="27" t="s">
        <v>193</v>
      </c>
      <c r="C6501" s="27" t="s">
        <v>34749</v>
      </c>
      <c r="D6501" s="28" t="s">
        <v>34867</v>
      </c>
      <c r="P6501">
        <v>2325</v>
      </c>
      <c r="Q6501" t="s">
        <v>14579</v>
      </c>
      <c r="R6501" s="28" t="s">
        <v>1864</v>
      </c>
      <c r="S6501" t="s">
        <v>13022</v>
      </c>
    </row>
    <row r="6502" spans="1:19" x14ac:dyDescent="0.25">
      <c r="A6502" s="27" t="s">
        <v>193</v>
      </c>
      <c r="C6502" s="27" t="s">
        <v>34749</v>
      </c>
      <c r="D6502" s="28" t="s">
        <v>34867</v>
      </c>
      <c r="P6502">
        <v>2326</v>
      </c>
      <c r="Q6502" t="s">
        <v>14580</v>
      </c>
      <c r="R6502" s="28" t="s">
        <v>1006</v>
      </c>
      <c r="S6502" t="s">
        <v>13022</v>
      </c>
    </row>
    <row r="6503" spans="1:19" x14ac:dyDescent="0.25">
      <c r="A6503" s="27" t="s">
        <v>193</v>
      </c>
      <c r="C6503" s="27" t="s">
        <v>34749</v>
      </c>
      <c r="D6503" s="28" t="s">
        <v>34867</v>
      </c>
      <c r="P6503">
        <v>2327</v>
      </c>
      <c r="Q6503" t="s">
        <v>14581</v>
      </c>
      <c r="R6503" s="28" t="s">
        <v>4826</v>
      </c>
      <c r="S6503" t="s">
        <v>13022</v>
      </c>
    </row>
    <row r="6504" spans="1:19" x14ac:dyDescent="0.25">
      <c r="A6504" s="27" t="s">
        <v>193</v>
      </c>
      <c r="C6504" s="27" t="s">
        <v>34749</v>
      </c>
      <c r="D6504" s="28" t="s">
        <v>34867</v>
      </c>
      <c r="P6504">
        <v>2328</v>
      </c>
      <c r="Q6504" t="s">
        <v>14582</v>
      </c>
      <c r="R6504" s="28" t="s">
        <v>3395</v>
      </c>
      <c r="S6504" t="s">
        <v>13022</v>
      </c>
    </row>
    <row r="6505" spans="1:19" x14ac:dyDescent="0.25">
      <c r="A6505" s="27" t="s">
        <v>193</v>
      </c>
      <c r="C6505" s="27" t="s">
        <v>34749</v>
      </c>
      <c r="D6505" s="28" t="s">
        <v>34867</v>
      </c>
      <c r="P6505">
        <v>2329</v>
      </c>
      <c r="Q6505" t="s">
        <v>14583</v>
      </c>
      <c r="R6505" s="28" t="s">
        <v>14584</v>
      </c>
      <c r="S6505" t="s">
        <v>13022</v>
      </c>
    </row>
    <row r="6506" spans="1:19" x14ac:dyDescent="0.25">
      <c r="A6506" s="27" t="s">
        <v>193</v>
      </c>
      <c r="C6506" s="27" t="s">
        <v>34749</v>
      </c>
      <c r="D6506" s="28" t="s">
        <v>34867</v>
      </c>
      <c r="P6506">
        <v>2330</v>
      </c>
      <c r="Q6506" t="s">
        <v>14585</v>
      </c>
      <c r="R6506" s="28" t="s">
        <v>14586</v>
      </c>
      <c r="S6506" t="s">
        <v>13022</v>
      </c>
    </row>
    <row r="6507" spans="1:19" x14ac:dyDescent="0.25">
      <c r="A6507" s="27" t="s">
        <v>193</v>
      </c>
      <c r="C6507" s="27" t="s">
        <v>34749</v>
      </c>
      <c r="D6507" s="28" t="s">
        <v>34867</v>
      </c>
      <c r="P6507">
        <v>2331</v>
      </c>
      <c r="Q6507" t="s">
        <v>14587</v>
      </c>
      <c r="R6507" s="28" t="s">
        <v>14588</v>
      </c>
      <c r="S6507" t="s">
        <v>13022</v>
      </c>
    </row>
    <row r="6508" spans="1:19" x14ac:dyDescent="0.25">
      <c r="A6508" s="27" t="s">
        <v>193</v>
      </c>
      <c r="C6508" s="27" t="s">
        <v>34749</v>
      </c>
      <c r="D6508" s="28" t="s">
        <v>34867</v>
      </c>
      <c r="P6508">
        <v>2332</v>
      </c>
      <c r="Q6508" t="s">
        <v>1035</v>
      </c>
      <c r="R6508" s="28" t="s">
        <v>1036</v>
      </c>
      <c r="S6508" t="s">
        <v>13022</v>
      </c>
    </row>
    <row r="6509" spans="1:19" x14ac:dyDescent="0.25">
      <c r="A6509" s="27" t="s">
        <v>193</v>
      </c>
      <c r="C6509" s="27" t="s">
        <v>34749</v>
      </c>
      <c r="D6509" s="28" t="s">
        <v>34867</v>
      </c>
      <c r="P6509">
        <v>2333</v>
      </c>
      <c r="Q6509" t="s">
        <v>14589</v>
      </c>
      <c r="R6509" s="28" t="s">
        <v>1996</v>
      </c>
      <c r="S6509" t="s">
        <v>13022</v>
      </c>
    </row>
    <row r="6510" spans="1:19" x14ac:dyDescent="0.25">
      <c r="A6510" s="27" t="s">
        <v>193</v>
      </c>
      <c r="C6510" s="27" t="s">
        <v>34749</v>
      </c>
      <c r="D6510" s="28" t="s">
        <v>34867</v>
      </c>
      <c r="P6510">
        <v>2334</v>
      </c>
      <c r="Q6510" t="s">
        <v>14590</v>
      </c>
      <c r="R6510" s="28" t="s">
        <v>14591</v>
      </c>
      <c r="S6510" t="s">
        <v>13022</v>
      </c>
    </row>
    <row r="6511" spans="1:19" x14ac:dyDescent="0.25">
      <c r="A6511" s="27" t="s">
        <v>193</v>
      </c>
      <c r="C6511" s="27" t="s">
        <v>34749</v>
      </c>
      <c r="D6511" s="28" t="s">
        <v>34867</v>
      </c>
      <c r="P6511">
        <v>2335</v>
      </c>
      <c r="Q6511" t="s">
        <v>14592</v>
      </c>
      <c r="R6511" s="28" t="s">
        <v>2458</v>
      </c>
      <c r="S6511" t="s">
        <v>13022</v>
      </c>
    </row>
    <row r="6512" spans="1:19" x14ac:dyDescent="0.25">
      <c r="A6512" s="27" t="s">
        <v>193</v>
      </c>
      <c r="C6512" s="27" t="s">
        <v>34749</v>
      </c>
      <c r="D6512" s="28" t="s">
        <v>34867</v>
      </c>
      <c r="P6512">
        <v>2336</v>
      </c>
      <c r="Q6512" t="s">
        <v>14593</v>
      </c>
      <c r="R6512" s="28" t="s">
        <v>10216</v>
      </c>
      <c r="S6512" t="s">
        <v>13022</v>
      </c>
    </row>
    <row r="6513" spans="1:19" x14ac:dyDescent="0.25">
      <c r="A6513" s="27" t="s">
        <v>193</v>
      </c>
      <c r="C6513" s="27" t="s">
        <v>34749</v>
      </c>
      <c r="D6513" s="28" t="s">
        <v>34867</v>
      </c>
      <c r="P6513">
        <v>2340</v>
      </c>
      <c r="Q6513" t="s">
        <v>14594</v>
      </c>
      <c r="S6513" t="s">
        <v>13022</v>
      </c>
    </row>
    <row r="6514" spans="1:19" x14ac:dyDescent="0.25">
      <c r="A6514" s="27" t="s">
        <v>193</v>
      </c>
      <c r="C6514" s="27" t="s">
        <v>34749</v>
      </c>
      <c r="D6514" s="28" t="s">
        <v>34867</v>
      </c>
      <c r="P6514">
        <v>2341</v>
      </c>
      <c r="Q6514" t="s">
        <v>14595</v>
      </c>
      <c r="S6514" t="s">
        <v>13022</v>
      </c>
    </row>
    <row r="6515" spans="1:19" x14ac:dyDescent="0.25">
      <c r="A6515" s="27" t="s">
        <v>193</v>
      </c>
      <c r="C6515" s="27" t="s">
        <v>34749</v>
      </c>
      <c r="D6515" s="28" t="s">
        <v>34867</v>
      </c>
      <c r="P6515">
        <v>2342</v>
      </c>
      <c r="Q6515" t="s">
        <v>14596</v>
      </c>
      <c r="S6515" t="s">
        <v>13022</v>
      </c>
    </row>
    <row r="6516" spans="1:19" x14ac:dyDescent="0.25">
      <c r="A6516" s="27" t="s">
        <v>193</v>
      </c>
      <c r="C6516" s="27" t="s">
        <v>34749</v>
      </c>
      <c r="D6516" s="28" t="s">
        <v>34867</v>
      </c>
      <c r="P6516">
        <v>2343</v>
      </c>
      <c r="Q6516" t="s">
        <v>14597</v>
      </c>
      <c r="R6516" s="28" t="s">
        <v>12191</v>
      </c>
      <c r="S6516" t="s">
        <v>13022</v>
      </c>
    </row>
    <row r="6517" spans="1:19" x14ac:dyDescent="0.25">
      <c r="A6517" s="27" t="s">
        <v>193</v>
      </c>
      <c r="C6517" s="27" t="s">
        <v>34749</v>
      </c>
      <c r="D6517" s="28" t="s">
        <v>34867</v>
      </c>
      <c r="P6517">
        <v>2344</v>
      </c>
      <c r="Q6517" t="s">
        <v>14598</v>
      </c>
      <c r="S6517" t="s">
        <v>13022</v>
      </c>
    </row>
    <row r="6518" spans="1:19" x14ac:dyDescent="0.25">
      <c r="A6518" s="27" t="s">
        <v>193</v>
      </c>
      <c r="C6518" s="27" t="s">
        <v>34749</v>
      </c>
      <c r="D6518" s="28" t="s">
        <v>34867</v>
      </c>
      <c r="P6518">
        <v>2345</v>
      </c>
      <c r="Q6518" t="s">
        <v>14599</v>
      </c>
      <c r="S6518" t="s">
        <v>13022</v>
      </c>
    </row>
    <row r="6519" spans="1:19" x14ac:dyDescent="0.25">
      <c r="A6519" s="27" t="s">
        <v>193</v>
      </c>
      <c r="C6519" s="27" t="s">
        <v>34749</v>
      </c>
      <c r="D6519" s="28" t="s">
        <v>34867</v>
      </c>
      <c r="P6519">
        <v>2346</v>
      </c>
      <c r="Q6519" t="s">
        <v>14600</v>
      </c>
      <c r="R6519" s="28" t="s">
        <v>6543</v>
      </c>
      <c r="S6519" t="s">
        <v>13022</v>
      </c>
    </row>
    <row r="6520" spans="1:19" x14ac:dyDescent="0.25">
      <c r="A6520" s="27" t="s">
        <v>193</v>
      </c>
      <c r="C6520" s="27" t="s">
        <v>34749</v>
      </c>
      <c r="D6520" s="28" t="s">
        <v>34867</v>
      </c>
      <c r="P6520">
        <v>2347</v>
      </c>
      <c r="Q6520" t="s">
        <v>14601</v>
      </c>
      <c r="R6520" s="28" t="s">
        <v>4505</v>
      </c>
      <c r="S6520" t="s">
        <v>13022</v>
      </c>
    </row>
    <row r="6521" spans="1:19" x14ac:dyDescent="0.25">
      <c r="A6521" s="27" t="s">
        <v>193</v>
      </c>
      <c r="C6521" s="27" t="s">
        <v>34749</v>
      </c>
      <c r="D6521" s="28" t="s">
        <v>34867</v>
      </c>
      <c r="P6521">
        <v>2348</v>
      </c>
      <c r="Q6521" t="s">
        <v>14602</v>
      </c>
      <c r="R6521" s="28" t="s">
        <v>4278</v>
      </c>
      <c r="S6521" t="s">
        <v>13022</v>
      </c>
    </row>
    <row r="6522" spans="1:19" x14ac:dyDescent="0.25">
      <c r="A6522" s="27" t="s">
        <v>193</v>
      </c>
      <c r="C6522" s="27" t="s">
        <v>34749</v>
      </c>
      <c r="D6522" s="28" t="s">
        <v>34867</v>
      </c>
      <c r="P6522">
        <v>2352</v>
      </c>
      <c r="Q6522" t="s">
        <v>14603</v>
      </c>
      <c r="R6522" s="28" t="s">
        <v>14604</v>
      </c>
      <c r="S6522" t="s">
        <v>13022</v>
      </c>
    </row>
    <row r="6523" spans="1:19" x14ac:dyDescent="0.25">
      <c r="A6523" s="27" t="s">
        <v>193</v>
      </c>
      <c r="C6523" s="27" t="s">
        <v>34749</v>
      </c>
      <c r="D6523" s="28" t="s">
        <v>34867</v>
      </c>
      <c r="P6523">
        <v>2353</v>
      </c>
      <c r="Q6523" t="s">
        <v>879</v>
      </c>
      <c r="R6523" s="28" t="s">
        <v>880</v>
      </c>
      <c r="S6523" t="s">
        <v>13022</v>
      </c>
    </row>
    <row r="6524" spans="1:19" x14ac:dyDescent="0.25">
      <c r="A6524" s="27" t="s">
        <v>193</v>
      </c>
      <c r="C6524" s="27" t="s">
        <v>34749</v>
      </c>
      <c r="D6524" s="28" t="s">
        <v>34867</v>
      </c>
      <c r="P6524">
        <v>2354</v>
      </c>
      <c r="Q6524" t="s">
        <v>903</v>
      </c>
      <c r="R6524" s="28" t="s">
        <v>904</v>
      </c>
      <c r="S6524" t="s">
        <v>13022</v>
      </c>
    </row>
    <row r="6525" spans="1:19" x14ac:dyDescent="0.25">
      <c r="A6525" s="27" t="s">
        <v>193</v>
      </c>
      <c r="C6525" s="27" t="s">
        <v>34749</v>
      </c>
      <c r="D6525" s="28" t="s">
        <v>34867</v>
      </c>
      <c r="P6525">
        <v>2355</v>
      </c>
      <c r="Q6525" t="s">
        <v>945</v>
      </c>
      <c r="R6525" s="28" t="s">
        <v>14605</v>
      </c>
      <c r="S6525" t="s">
        <v>13022</v>
      </c>
    </row>
    <row r="6526" spans="1:19" x14ac:dyDescent="0.25">
      <c r="A6526" s="27" t="s">
        <v>193</v>
      </c>
      <c r="C6526" s="27" t="s">
        <v>34749</v>
      </c>
      <c r="D6526" s="28" t="s">
        <v>34867</v>
      </c>
      <c r="P6526">
        <v>2356</v>
      </c>
      <c r="Q6526" t="s">
        <v>1017</v>
      </c>
      <c r="R6526" s="28" t="s">
        <v>1018</v>
      </c>
      <c r="S6526" t="s">
        <v>13022</v>
      </c>
    </row>
    <row r="6527" spans="1:19" x14ac:dyDescent="0.25">
      <c r="A6527" s="27" t="s">
        <v>193</v>
      </c>
      <c r="C6527" s="27" t="s">
        <v>34749</v>
      </c>
      <c r="D6527" s="28" t="s">
        <v>34867</v>
      </c>
      <c r="P6527">
        <v>2357</v>
      </c>
      <c r="Q6527" t="s">
        <v>1095</v>
      </c>
      <c r="R6527" s="28" t="s">
        <v>1096</v>
      </c>
      <c r="S6527" t="s">
        <v>13022</v>
      </c>
    </row>
    <row r="6528" spans="1:19" x14ac:dyDescent="0.25">
      <c r="A6528" s="27" t="s">
        <v>193</v>
      </c>
      <c r="C6528" s="27" t="s">
        <v>34749</v>
      </c>
      <c r="D6528" s="28" t="s">
        <v>34867</v>
      </c>
      <c r="P6528">
        <v>2358</v>
      </c>
      <c r="Q6528" t="s">
        <v>14606</v>
      </c>
      <c r="R6528" s="28" t="s">
        <v>14607</v>
      </c>
      <c r="S6528" t="s">
        <v>13022</v>
      </c>
    </row>
    <row r="6529" spans="1:19" x14ac:dyDescent="0.25">
      <c r="A6529" s="27" t="s">
        <v>193</v>
      </c>
      <c r="C6529" s="27" t="s">
        <v>34749</v>
      </c>
      <c r="D6529" s="28" t="s">
        <v>34867</v>
      </c>
      <c r="P6529">
        <v>2359</v>
      </c>
      <c r="Q6529" t="s">
        <v>2493</v>
      </c>
      <c r="R6529" s="28" t="s">
        <v>2494</v>
      </c>
      <c r="S6529" t="s">
        <v>13022</v>
      </c>
    </row>
    <row r="6530" spans="1:19" x14ac:dyDescent="0.25">
      <c r="A6530" s="27" t="s">
        <v>193</v>
      </c>
      <c r="C6530" s="27" t="s">
        <v>34749</v>
      </c>
      <c r="D6530" s="28" t="s">
        <v>34867</v>
      </c>
      <c r="P6530">
        <v>2360</v>
      </c>
      <c r="Q6530" t="s">
        <v>8142</v>
      </c>
      <c r="R6530" s="28" t="s">
        <v>8143</v>
      </c>
      <c r="S6530" t="s">
        <v>13022</v>
      </c>
    </row>
    <row r="6531" spans="1:19" x14ac:dyDescent="0.25">
      <c r="A6531" s="27" t="s">
        <v>193</v>
      </c>
      <c r="C6531" s="27" t="s">
        <v>34749</v>
      </c>
      <c r="D6531" s="28" t="s">
        <v>34867</v>
      </c>
      <c r="P6531">
        <v>2362</v>
      </c>
      <c r="Q6531" t="s">
        <v>14608</v>
      </c>
      <c r="R6531" s="28" t="s">
        <v>1360</v>
      </c>
      <c r="S6531" t="s">
        <v>13022</v>
      </c>
    </row>
    <row r="6532" spans="1:19" x14ac:dyDescent="0.25">
      <c r="A6532" s="27" t="s">
        <v>193</v>
      </c>
      <c r="C6532" s="27" t="s">
        <v>34749</v>
      </c>
      <c r="D6532" s="28" t="s">
        <v>34867</v>
      </c>
      <c r="P6532">
        <v>2363</v>
      </c>
      <c r="Q6532" t="s">
        <v>14609</v>
      </c>
      <c r="S6532" t="s">
        <v>13022</v>
      </c>
    </row>
    <row r="6533" spans="1:19" x14ac:dyDescent="0.25">
      <c r="A6533" s="27" t="s">
        <v>193</v>
      </c>
      <c r="C6533" s="27" t="s">
        <v>34749</v>
      </c>
      <c r="D6533" s="28" t="s">
        <v>34867</v>
      </c>
      <c r="P6533">
        <v>2364</v>
      </c>
      <c r="Q6533" t="s">
        <v>14610</v>
      </c>
      <c r="S6533" t="s">
        <v>13022</v>
      </c>
    </row>
    <row r="6534" spans="1:19" x14ac:dyDescent="0.25">
      <c r="A6534" s="27" t="s">
        <v>193</v>
      </c>
      <c r="C6534" s="27" t="s">
        <v>34749</v>
      </c>
      <c r="D6534" s="28" t="s">
        <v>34867</v>
      </c>
      <c r="P6534">
        <v>2365</v>
      </c>
      <c r="Q6534" t="s">
        <v>14611</v>
      </c>
      <c r="S6534" t="s">
        <v>13022</v>
      </c>
    </row>
    <row r="6535" spans="1:19" x14ac:dyDescent="0.25">
      <c r="A6535" s="27" t="s">
        <v>193</v>
      </c>
      <c r="C6535" s="27" t="s">
        <v>34749</v>
      </c>
      <c r="D6535" s="28" t="s">
        <v>34867</v>
      </c>
      <c r="P6535">
        <v>2366</v>
      </c>
      <c r="Q6535" t="s">
        <v>14612</v>
      </c>
      <c r="S6535" t="s">
        <v>13022</v>
      </c>
    </row>
    <row r="6536" spans="1:19" x14ac:dyDescent="0.25">
      <c r="A6536" s="27" t="s">
        <v>193</v>
      </c>
      <c r="C6536" s="27" t="s">
        <v>34749</v>
      </c>
      <c r="D6536" s="28" t="s">
        <v>34867</v>
      </c>
      <c r="P6536">
        <v>2367</v>
      </c>
      <c r="Q6536" t="s">
        <v>14613</v>
      </c>
      <c r="S6536" t="s">
        <v>13022</v>
      </c>
    </row>
    <row r="6537" spans="1:19" x14ac:dyDescent="0.25">
      <c r="A6537" s="27" t="s">
        <v>193</v>
      </c>
      <c r="C6537" s="27" t="s">
        <v>34749</v>
      </c>
      <c r="D6537" s="28" t="s">
        <v>34867</v>
      </c>
      <c r="P6537">
        <v>2368</v>
      </c>
      <c r="Q6537" t="s">
        <v>14614</v>
      </c>
      <c r="S6537" t="s">
        <v>13022</v>
      </c>
    </row>
    <row r="6538" spans="1:19" x14ac:dyDescent="0.25">
      <c r="A6538" s="27" t="s">
        <v>193</v>
      </c>
      <c r="C6538" s="27" t="s">
        <v>34749</v>
      </c>
      <c r="D6538" s="28" t="s">
        <v>34867</v>
      </c>
      <c r="P6538">
        <v>2369</v>
      </c>
      <c r="Q6538" t="s">
        <v>14615</v>
      </c>
      <c r="R6538" s="28" t="s">
        <v>14616</v>
      </c>
      <c r="S6538" t="s">
        <v>13022</v>
      </c>
    </row>
    <row r="6539" spans="1:19" x14ac:dyDescent="0.25">
      <c r="A6539" s="27" t="s">
        <v>193</v>
      </c>
      <c r="C6539" s="27" t="s">
        <v>34749</v>
      </c>
      <c r="D6539" s="28" t="s">
        <v>34867</v>
      </c>
      <c r="P6539">
        <v>2370</v>
      </c>
      <c r="Q6539" t="s">
        <v>14617</v>
      </c>
      <c r="R6539" s="28" t="s">
        <v>9341</v>
      </c>
      <c r="S6539" t="s">
        <v>13022</v>
      </c>
    </row>
    <row r="6540" spans="1:19" x14ac:dyDescent="0.25">
      <c r="A6540" s="27" t="s">
        <v>193</v>
      </c>
      <c r="C6540" s="27" t="s">
        <v>34749</v>
      </c>
      <c r="D6540" s="28" t="s">
        <v>34867</v>
      </c>
      <c r="P6540">
        <v>2371</v>
      </c>
      <c r="Q6540" t="s">
        <v>14618</v>
      </c>
      <c r="R6540" s="28" t="s">
        <v>14619</v>
      </c>
      <c r="S6540" t="s">
        <v>13022</v>
      </c>
    </row>
    <row r="6541" spans="1:19" x14ac:dyDescent="0.25">
      <c r="A6541" s="27" t="s">
        <v>193</v>
      </c>
      <c r="C6541" s="27" t="s">
        <v>34749</v>
      </c>
      <c r="D6541" s="28" t="s">
        <v>34867</v>
      </c>
      <c r="P6541">
        <v>2372</v>
      </c>
      <c r="Q6541" t="s">
        <v>14620</v>
      </c>
      <c r="R6541" s="28" t="s">
        <v>14621</v>
      </c>
      <c r="S6541" t="s">
        <v>13022</v>
      </c>
    </row>
    <row r="6542" spans="1:19" x14ac:dyDescent="0.25">
      <c r="A6542" s="27" t="s">
        <v>193</v>
      </c>
      <c r="C6542" s="27" t="s">
        <v>34749</v>
      </c>
      <c r="D6542" s="28" t="s">
        <v>34867</v>
      </c>
      <c r="P6542">
        <v>2373</v>
      </c>
      <c r="Q6542" t="s">
        <v>14622</v>
      </c>
      <c r="R6542" s="28" t="s">
        <v>14623</v>
      </c>
      <c r="S6542" t="s">
        <v>13022</v>
      </c>
    </row>
    <row r="6543" spans="1:19" x14ac:dyDescent="0.25">
      <c r="A6543" s="27" t="s">
        <v>193</v>
      </c>
      <c r="C6543" s="27" t="s">
        <v>34749</v>
      </c>
      <c r="D6543" s="28" t="s">
        <v>34867</v>
      </c>
      <c r="P6543">
        <v>2374</v>
      </c>
      <c r="Q6543" t="s">
        <v>1518</v>
      </c>
      <c r="R6543" s="28" t="s">
        <v>1519</v>
      </c>
      <c r="S6543" t="s">
        <v>13022</v>
      </c>
    </row>
    <row r="6544" spans="1:19" x14ac:dyDescent="0.25">
      <c r="A6544" s="27" t="s">
        <v>193</v>
      </c>
      <c r="C6544" s="27" t="s">
        <v>34749</v>
      </c>
      <c r="D6544" s="28" t="s">
        <v>34867</v>
      </c>
      <c r="P6544">
        <v>2375</v>
      </c>
      <c r="Q6544" t="s">
        <v>14624</v>
      </c>
      <c r="R6544" s="28" t="s">
        <v>14625</v>
      </c>
      <c r="S6544" t="s">
        <v>13022</v>
      </c>
    </row>
    <row r="6545" spans="1:19" x14ac:dyDescent="0.25">
      <c r="A6545" s="27" t="s">
        <v>193</v>
      </c>
      <c r="C6545" s="27" t="s">
        <v>34749</v>
      </c>
      <c r="D6545" s="28" t="s">
        <v>34867</v>
      </c>
      <c r="P6545">
        <v>2376</v>
      </c>
      <c r="Q6545" t="s">
        <v>14626</v>
      </c>
      <c r="R6545" s="28" t="s">
        <v>14627</v>
      </c>
      <c r="S6545" t="s">
        <v>13022</v>
      </c>
    </row>
    <row r="6546" spans="1:19" x14ac:dyDescent="0.25">
      <c r="A6546" s="27" t="s">
        <v>193</v>
      </c>
      <c r="C6546" s="27" t="s">
        <v>34749</v>
      </c>
      <c r="D6546" s="28" t="s">
        <v>34867</v>
      </c>
      <c r="P6546">
        <v>2377</v>
      </c>
      <c r="Q6546" t="s">
        <v>14628</v>
      </c>
      <c r="R6546" s="28" t="s">
        <v>14629</v>
      </c>
      <c r="S6546" t="s">
        <v>13022</v>
      </c>
    </row>
    <row r="6547" spans="1:19" x14ac:dyDescent="0.25">
      <c r="A6547" s="27" t="s">
        <v>193</v>
      </c>
      <c r="C6547" s="27" t="s">
        <v>34749</v>
      </c>
      <c r="D6547" s="28" t="s">
        <v>34867</v>
      </c>
      <c r="P6547">
        <v>2378</v>
      </c>
      <c r="Q6547" t="s">
        <v>14630</v>
      </c>
      <c r="R6547" s="28" t="s">
        <v>4194</v>
      </c>
      <c r="S6547" t="s">
        <v>13022</v>
      </c>
    </row>
    <row r="6548" spans="1:19" x14ac:dyDescent="0.25">
      <c r="A6548" s="27" t="s">
        <v>193</v>
      </c>
      <c r="C6548" s="27" t="s">
        <v>34749</v>
      </c>
      <c r="D6548" s="28" t="s">
        <v>34867</v>
      </c>
      <c r="P6548">
        <v>2379</v>
      </c>
      <c r="Q6548" t="s">
        <v>2505</v>
      </c>
      <c r="R6548" s="28" t="s">
        <v>2506</v>
      </c>
      <c r="S6548" t="s">
        <v>13022</v>
      </c>
    </row>
    <row r="6549" spans="1:19" x14ac:dyDescent="0.25">
      <c r="A6549" s="27" t="s">
        <v>193</v>
      </c>
      <c r="C6549" s="27" t="s">
        <v>34749</v>
      </c>
      <c r="D6549" s="28" t="s">
        <v>34867</v>
      </c>
      <c r="P6549">
        <v>2380</v>
      </c>
      <c r="Q6549" t="s">
        <v>14631</v>
      </c>
      <c r="R6549" s="28" t="s">
        <v>14632</v>
      </c>
      <c r="S6549" t="s">
        <v>13022</v>
      </c>
    </row>
    <row r="6550" spans="1:19" x14ac:dyDescent="0.25">
      <c r="A6550" s="27" t="s">
        <v>193</v>
      </c>
      <c r="C6550" s="27" t="s">
        <v>34749</v>
      </c>
      <c r="D6550" s="28" t="s">
        <v>34867</v>
      </c>
      <c r="P6550">
        <v>2381</v>
      </c>
      <c r="Q6550" t="s">
        <v>14633</v>
      </c>
      <c r="R6550" s="28" t="s">
        <v>14634</v>
      </c>
      <c r="S6550" t="s">
        <v>13022</v>
      </c>
    </row>
    <row r="6551" spans="1:19" x14ac:dyDescent="0.25">
      <c r="A6551" s="27" t="s">
        <v>193</v>
      </c>
      <c r="C6551" s="27" t="s">
        <v>34749</v>
      </c>
      <c r="D6551" s="28" t="s">
        <v>34867</v>
      </c>
      <c r="P6551">
        <v>2382</v>
      </c>
      <c r="Q6551" t="s">
        <v>14635</v>
      </c>
      <c r="R6551" s="28" t="s">
        <v>3785</v>
      </c>
      <c r="S6551" t="s">
        <v>13022</v>
      </c>
    </row>
    <row r="6552" spans="1:19" x14ac:dyDescent="0.25">
      <c r="A6552" s="27" t="s">
        <v>193</v>
      </c>
      <c r="C6552" s="27" t="s">
        <v>34749</v>
      </c>
      <c r="D6552" s="28" t="s">
        <v>34867</v>
      </c>
      <c r="P6552">
        <v>2383</v>
      </c>
      <c r="Q6552" t="s">
        <v>14636</v>
      </c>
      <c r="R6552" s="28" t="s">
        <v>6555</v>
      </c>
      <c r="S6552" t="s">
        <v>13022</v>
      </c>
    </row>
    <row r="6553" spans="1:19" x14ac:dyDescent="0.25">
      <c r="A6553" s="27" t="s">
        <v>193</v>
      </c>
      <c r="C6553" s="27" t="s">
        <v>34749</v>
      </c>
      <c r="D6553" s="28" t="s">
        <v>34867</v>
      </c>
      <c r="P6553">
        <v>2384</v>
      </c>
      <c r="Q6553" t="s">
        <v>14637</v>
      </c>
      <c r="R6553" s="28" t="s">
        <v>14638</v>
      </c>
      <c r="S6553" t="s">
        <v>13022</v>
      </c>
    </row>
    <row r="6554" spans="1:19" x14ac:dyDescent="0.25">
      <c r="A6554" s="27" t="s">
        <v>193</v>
      </c>
      <c r="C6554" s="27" t="s">
        <v>34749</v>
      </c>
      <c r="D6554" s="28" t="s">
        <v>34867</v>
      </c>
      <c r="P6554">
        <v>2385</v>
      </c>
      <c r="Q6554" t="s">
        <v>14639</v>
      </c>
      <c r="R6554" s="28" t="s">
        <v>14640</v>
      </c>
      <c r="S6554" t="s">
        <v>13022</v>
      </c>
    </row>
    <row r="6555" spans="1:19" x14ac:dyDescent="0.25">
      <c r="A6555" s="27" t="s">
        <v>193</v>
      </c>
      <c r="C6555" s="27" t="s">
        <v>34749</v>
      </c>
      <c r="D6555" s="28" t="s">
        <v>34867</v>
      </c>
      <c r="P6555">
        <v>2386</v>
      </c>
      <c r="Q6555" t="s">
        <v>14641</v>
      </c>
      <c r="R6555" s="28" t="s">
        <v>14642</v>
      </c>
      <c r="S6555" t="s">
        <v>13022</v>
      </c>
    </row>
    <row r="6556" spans="1:19" x14ac:dyDescent="0.25">
      <c r="A6556" s="27" t="s">
        <v>193</v>
      </c>
      <c r="C6556" s="27" t="s">
        <v>34749</v>
      </c>
      <c r="D6556" s="28" t="s">
        <v>34867</v>
      </c>
      <c r="P6556">
        <v>2387</v>
      </c>
      <c r="Q6556" t="s">
        <v>14643</v>
      </c>
      <c r="R6556" s="28" t="s">
        <v>4275</v>
      </c>
      <c r="S6556" t="s">
        <v>13022</v>
      </c>
    </row>
    <row r="6557" spans="1:19" x14ac:dyDescent="0.25">
      <c r="A6557" s="27" t="s">
        <v>193</v>
      </c>
      <c r="C6557" s="27" t="s">
        <v>34749</v>
      </c>
      <c r="D6557" s="28" t="s">
        <v>34867</v>
      </c>
      <c r="P6557">
        <v>2388</v>
      </c>
      <c r="Q6557" t="s">
        <v>14644</v>
      </c>
      <c r="R6557" s="28" t="s">
        <v>14645</v>
      </c>
      <c r="S6557" t="s">
        <v>13022</v>
      </c>
    </row>
    <row r="6558" spans="1:19" x14ac:dyDescent="0.25">
      <c r="A6558" s="27" t="s">
        <v>193</v>
      </c>
      <c r="C6558" s="27" t="s">
        <v>34749</v>
      </c>
      <c r="D6558" s="28" t="s">
        <v>34867</v>
      </c>
      <c r="P6558">
        <v>2389</v>
      </c>
      <c r="Q6558" t="s">
        <v>14646</v>
      </c>
      <c r="R6558" s="28" t="s">
        <v>14647</v>
      </c>
      <c r="S6558" t="s">
        <v>13022</v>
      </c>
    </row>
    <row r="6559" spans="1:19" x14ac:dyDescent="0.25">
      <c r="A6559" s="27" t="s">
        <v>193</v>
      </c>
      <c r="C6559" s="27" t="s">
        <v>34749</v>
      </c>
      <c r="D6559" s="28" t="s">
        <v>34867</v>
      </c>
      <c r="P6559">
        <v>2390</v>
      </c>
      <c r="Q6559" t="s">
        <v>14648</v>
      </c>
      <c r="R6559" s="28" t="s">
        <v>4612</v>
      </c>
      <c r="S6559" t="s">
        <v>13022</v>
      </c>
    </row>
    <row r="6560" spans="1:19" x14ac:dyDescent="0.25">
      <c r="A6560" s="27" t="s">
        <v>193</v>
      </c>
      <c r="C6560" s="27" t="s">
        <v>34749</v>
      </c>
      <c r="D6560" s="28" t="s">
        <v>34867</v>
      </c>
      <c r="P6560">
        <v>2391</v>
      </c>
      <c r="Q6560" t="s">
        <v>14649</v>
      </c>
      <c r="R6560" s="28" t="s">
        <v>14650</v>
      </c>
      <c r="S6560" t="s">
        <v>13022</v>
      </c>
    </row>
    <row r="6561" spans="1:19" x14ac:dyDescent="0.25">
      <c r="A6561" s="27" t="s">
        <v>193</v>
      </c>
      <c r="C6561" s="27" t="s">
        <v>34749</v>
      </c>
      <c r="D6561" s="28" t="s">
        <v>34867</v>
      </c>
      <c r="P6561">
        <v>2392</v>
      </c>
      <c r="Q6561" t="s">
        <v>14651</v>
      </c>
      <c r="R6561" s="28" t="s">
        <v>14652</v>
      </c>
      <c r="S6561" t="s">
        <v>13022</v>
      </c>
    </row>
    <row r="6562" spans="1:19" x14ac:dyDescent="0.25">
      <c r="A6562" s="27" t="s">
        <v>193</v>
      </c>
      <c r="C6562" s="27" t="s">
        <v>34749</v>
      </c>
      <c r="D6562" s="28" t="s">
        <v>34867</v>
      </c>
      <c r="P6562">
        <v>2393</v>
      </c>
      <c r="Q6562" t="s">
        <v>14653</v>
      </c>
      <c r="R6562" s="28" t="s">
        <v>4293</v>
      </c>
      <c r="S6562" t="s">
        <v>13022</v>
      </c>
    </row>
    <row r="6563" spans="1:19" x14ac:dyDescent="0.25">
      <c r="A6563" s="27" t="s">
        <v>193</v>
      </c>
      <c r="C6563" s="27" t="s">
        <v>34749</v>
      </c>
      <c r="D6563" s="28" t="s">
        <v>34867</v>
      </c>
      <c r="P6563">
        <v>2394</v>
      </c>
      <c r="Q6563" t="s">
        <v>14654</v>
      </c>
      <c r="R6563" s="28" t="s">
        <v>3077</v>
      </c>
      <c r="S6563" t="s">
        <v>13022</v>
      </c>
    </row>
    <row r="6564" spans="1:19" x14ac:dyDescent="0.25">
      <c r="A6564" s="27" t="s">
        <v>193</v>
      </c>
      <c r="C6564" s="27" t="s">
        <v>34749</v>
      </c>
      <c r="D6564" s="28" t="s">
        <v>34867</v>
      </c>
      <c r="P6564">
        <v>2395</v>
      </c>
      <c r="Q6564" t="s">
        <v>14655</v>
      </c>
      <c r="R6564" s="28" t="s">
        <v>5556</v>
      </c>
      <c r="S6564" t="s">
        <v>13022</v>
      </c>
    </row>
    <row r="6565" spans="1:19" x14ac:dyDescent="0.25">
      <c r="A6565" s="27" t="s">
        <v>193</v>
      </c>
      <c r="C6565" s="27" t="s">
        <v>34749</v>
      </c>
      <c r="D6565" s="28" t="s">
        <v>34867</v>
      </c>
      <c r="P6565">
        <v>2396</v>
      </c>
      <c r="Q6565" t="s">
        <v>14656</v>
      </c>
      <c r="R6565" s="28" t="s">
        <v>14657</v>
      </c>
      <c r="S6565" t="s">
        <v>13022</v>
      </c>
    </row>
    <row r="6566" spans="1:19" x14ac:dyDescent="0.25">
      <c r="A6566" s="27" t="s">
        <v>193</v>
      </c>
      <c r="C6566" s="27" t="s">
        <v>34749</v>
      </c>
      <c r="D6566" s="28" t="s">
        <v>34867</v>
      </c>
      <c r="P6566">
        <v>2397</v>
      </c>
      <c r="Q6566" t="s">
        <v>14658</v>
      </c>
      <c r="R6566" s="28" t="s">
        <v>14659</v>
      </c>
      <c r="S6566" t="s">
        <v>13022</v>
      </c>
    </row>
    <row r="6567" spans="1:19" x14ac:dyDescent="0.25">
      <c r="A6567" s="27" t="s">
        <v>193</v>
      </c>
      <c r="C6567" s="27" t="s">
        <v>34749</v>
      </c>
      <c r="D6567" s="28" t="s">
        <v>34867</v>
      </c>
      <c r="P6567">
        <v>2398</v>
      </c>
      <c r="Q6567" t="s">
        <v>14660</v>
      </c>
      <c r="R6567" s="28" t="s">
        <v>14661</v>
      </c>
      <c r="S6567" t="s">
        <v>13022</v>
      </c>
    </row>
    <row r="6568" spans="1:19" x14ac:dyDescent="0.25">
      <c r="A6568" s="27" t="s">
        <v>193</v>
      </c>
      <c r="C6568" s="27" t="s">
        <v>34749</v>
      </c>
      <c r="D6568" s="28" t="s">
        <v>34867</v>
      </c>
      <c r="P6568">
        <v>2399</v>
      </c>
      <c r="Q6568" t="s">
        <v>14662</v>
      </c>
      <c r="R6568" s="28" t="s">
        <v>6913</v>
      </c>
      <c r="S6568" t="s">
        <v>13022</v>
      </c>
    </row>
    <row r="6569" spans="1:19" x14ac:dyDescent="0.25">
      <c r="A6569" s="27" t="s">
        <v>193</v>
      </c>
      <c r="C6569" s="27" t="s">
        <v>34749</v>
      </c>
      <c r="D6569" s="28" t="s">
        <v>34867</v>
      </c>
      <c r="P6569">
        <v>2400</v>
      </c>
      <c r="Q6569" t="s">
        <v>14663</v>
      </c>
      <c r="R6569" s="28" t="s">
        <v>14664</v>
      </c>
      <c r="S6569" t="s">
        <v>13022</v>
      </c>
    </row>
    <row r="6570" spans="1:19" x14ac:dyDescent="0.25">
      <c r="A6570" s="27" t="s">
        <v>193</v>
      </c>
      <c r="C6570" s="27" t="s">
        <v>34749</v>
      </c>
      <c r="D6570" s="28" t="s">
        <v>34867</v>
      </c>
      <c r="P6570">
        <v>2401</v>
      </c>
      <c r="Q6570" t="s">
        <v>14665</v>
      </c>
      <c r="R6570" s="28" t="s">
        <v>5095</v>
      </c>
      <c r="S6570" t="s">
        <v>13022</v>
      </c>
    </row>
    <row r="6571" spans="1:19" x14ac:dyDescent="0.25">
      <c r="A6571" s="27" t="s">
        <v>193</v>
      </c>
      <c r="C6571" s="27" t="s">
        <v>34749</v>
      </c>
      <c r="D6571" s="28" t="s">
        <v>34867</v>
      </c>
      <c r="P6571">
        <v>2402</v>
      </c>
      <c r="Q6571" t="s">
        <v>14666</v>
      </c>
      <c r="R6571" s="28" t="s">
        <v>5089</v>
      </c>
      <c r="S6571" t="s">
        <v>13022</v>
      </c>
    </row>
    <row r="6572" spans="1:19" x14ac:dyDescent="0.25">
      <c r="A6572" s="27" t="s">
        <v>193</v>
      </c>
      <c r="C6572" s="27" t="s">
        <v>34749</v>
      </c>
      <c r="D6572" s="28" t="s">
        <v>34867</v>
      </c>
      <c r="P6572">
        <v>2403</v>
      </c>
      <c r="Q6572" t="s">
        <v>14667</v>
      </c>
      <c r="R6572" s="28" t="s">
        <v>5798</v>
      </c>
      <c r="S6572" t="s">
        <v>13022</v>
      </c>
    </row>
    <row r="6573" spans="1:19" x14ac:dyDescent="0.25">
      <c r="A6573" s="27" t="s">
        <v>193</v>
      </c>
      <c r="C6573" s="27" t="s">
        <v>34749</v>
      </c>
      <c r="D6573" s="28" t="s">
        <v>34867</v>
      </c>
      <c r="P6573">
        <v>2404</v>
      </c>
      <c r="Q6573" t="s">
        <v>14668</v>
      </c>
      <c r="R6573" s="28" t="s">
        <v>4787</v>
      </c>
      <c r="S6573" t="s">
        <v>13022</v>
      </c>
    </row>
    <row r="6574" spans="1:19" x14ac:dyDescent="0.25">
      <c r="A6574" s="27" t="s">
        <v>193</v>
      </c>
      <c r="C6574" s="27" t="s">
        <v>34749</v>
      </c>
      <c r="D6574" s="28" t="s">
        <v>34867</v>
      </c>
      <c r="P6574">
        <v>2405</v>
      </c>
      <c r="Q6574" t="s">
        <v>14669</v>
      </c>
      <c r="R6574" s="28" t="s">
        <v>1321</v>
      </c>
      <c r="S6574" t="s">
        <v>13022</v>
      </c>
    </row>
    <row r="6575" spans="1:19" x14ac:dyDescent="0.25">
      <c r="A6575" s="27" t="s">
        <v>193</v>
      </c>
      <c r="C6575" s="27" t="s">
        <v>34749</v>
      </c>
      <c r="D6575" s="28" t="s">
        <v>34867</v>
      </c>
      <c r="P6575">
        <v>2406</v>
      </c>
      <c r="Q6575" t="s">
        <v>14670</v>
      </c>
      <c r="R6575" s="28" t="s">
        <v>2125</v>
      </c>
      <c r="S6575" t="s">
        <v>13022</v>
      </c>
    </row>
    <row r="6576" spans="1:19" x14ac:dyDescent="0.25">
      <c r="A6576" s="27" t="s">
        <v>193</v>
      </c>
      <c r="C6576" s="27" t="s">
        <v>34749</v>
      </c>
      <c r="D6576" s="28" t="s">
        <v>34867</v>
      </c>
      <c r="P6576">
        <v>2407</v>
      </c>
      <c r="Q6576" t="s">
        <v>14671</v>
      </c>
      <c r="R6576" s="28" t="s">
        <v>3695</v>
      </c>
      <c r="S6576" t="s">
        <v>13022</v>
      </c>
    </row>
    <row r="6577" spans="1:19" x14ac:dyDescent="0.25">
      <c r="A6577" s="27" t="s">
        <v>193</v>
      </c>
      <c r="C6577" s="27" t="s">
        <v>34749</v>
      </c>
      <c r="D6577" s="28" t="s">
        <v>34867</v>
      </c>
      <c r="P6577">
        <v>2408</v>
      </c>
      <c r="Q6577" t="s">
        <v>14672</v>
      </c>
      <c r="R6577" s="28" t="s">
        <v>14673</v>
      </c>
      <c r="S6577" t="s">
        <v>13022</v>
      </c>
    </row>
    <row r="6578" spans="1:19" x14ac:dyDescent="0.25">
      <c r="A6578" s="27" t="s">
        <v>193</v>
      </c>
      <c r="C6578" s="27" t="s">
        <v>34749</v>
      </c>
      <c r="D6578" s="28" t="s">
        <v>34867</v>
      </c>
      <c r="P6578">
        <v>2409</v>
      </c>
      <c r="Q6578" t="s">
        <v>14674</v>
      </c>
      <c r="R6578" s="28" t="s">
        <v>3548</v>
      </c>
      <c r="S6578" t="s">
        <v>13022</v>
      </c>
    </row>
    <row r="6579" spans="1:19" x14ac:dyDescent="0.25">
      <c r="A6579" s="27" t="s">
        <v>193</v>
      </c>
      <c r="C6579" s="27" t="s">
        <v>34749</v>
      </c>
      <c r="D6579" s="28" t="s">
        <v>34867</v>
      </c>
      <c r="P6579">
        <v>2410</v>
      </c>
      <c r="Q6579" t="s">
        <v>14675</v>
      </c>
      <c r="R6579" s="28" t="s">
        <v>1051</v>
      </c>
      <c r="S6579" t="s">
        <v>13022</v>
      </c>
    </row>
    <row r="6580" spans="1:19" x14ac:dyDescent="0.25">
      <c r="A6580" s="27" t="s">
        <v>193</v>
      </c>
      <c r="C6580" s="27" t="s">
        <v>34749</v>
      </c>
      <c r="D6580" s="28" t="s">
        <v>34867</v>
      </c>
      <c r="P6580">
        <v>2411</v>
      </c>
      <c r="Q6580" t="s">
        <v>14676</v>
      </c>
      <c r="R6580" s="28" t="s">
        <v>1189</v>
      </c>
      <c r="S6580" t="s">
        <v>13022</v>
      </c>
    </row>
    <row r="6581" spans="1:19" x14ac:dyDescent="0.25">
      <c r="A6581" s="27" t="s">
        <v>193</v>
      </c>
      <c r="C6581" s="27" t="s">
        <v>34749</v>
      </c>
      <c r="D6581" s="28" t="s">
        <v>34867</v>
      </c>
      <c r="P6581">
        <v>2412</v>
      </c>
      <c r="Q6581" t="s">
        <v>14677</v>
      </c>
      <c r="R6581" s="28" t="s">
        <v>14678</v>
      </c>
      <c r="S6581" t="s">
        <v>13022</v>
      </c>
    </row>
    <row r="6582" spans="1:19" x14ac:dyDescent="0.25">
      <c r="A6582" s="27" t="s">
        <v>193</v>
      </c>
      <c r="C6582" s="27" t="s">
        <v>34749</v>
      </c>
      <c r="D6582" s="28" t="s">
        <v>34867</v>
      </c>
      <c r="P6582">
        <v>2413</v>
      </c>
      <c r="Q6582" t="s">
        <v>14679</v>
      </c>
      <c r="R6582" s="28" t="s">
        <v>14680</v>
      </c>
      <c r="S6582" t="s">
        <v>13022</v>
      </c>
    </row>
    <row r="6583" spans="1:19" x14ac:dyDescent="0.25">
      <c r="A6583" s="27" t="s">
        <v>193</v>
      </c>
      <c r="C6583" s="27" t="s">
        <v>34749</v>
      </c>
      <c r="D6583" s="28" t="s">
        <v>34867</v>
      </c>
      <c r="P6583">
        <v>2414</v>
      </c>
      <c r="Q6583" t="s">
        <v>14681</v>
      </c>
      <c r="R6583" s="28" t="s">
        <v>14682</v>
      </c>
      <c r="S6583" t="s">
        <v>13022</v>
      </c>
    </row>
    <row r="6584" spans="1:19" x14ac:dyDescent="0.25">
      <c r="A6584" s="27" t="s">
        <v>193</v>
      </c>
      <c r="C6584" s="27" t="s">
        <v>34749</v>
      </c>
      <c r="D6584" s="28" t="s">
        <v>34867</v>
      </c>
      <c r="P6584">
        <v>2415</v>
      </c>
      <c r="Q6584" t="s">
        <v>14683</v>
      </c>
      <c r="R6584" s="28" t="s">
        <v>14684</v>
      </c>
      <c r="S6584" t="s">
        <v>13022</v>
      </c>
    </row>
    <row r="6585" spans="1:19" x14ac:dyDescent="0.25">
      <c r="A6585" s="27" t="s">
        <v>193</v>
      </c>
      <c r="C6585" s="27" t="s">
        <v>34749</v>
      </c>
      <c r="D6585" s="28" t="s">
        <v>34867</v>
      </c>
      <c r="P6585">
        <v>6000</v>
      </c>
      <c r="Q6585" t="s">
        <v>8286</v>
      </c>
      <c r="R6585" s="28" t="s">
        <v>8287</v>
      </c>
      <c r="S6585" t="s">
        <v>13022</v>
      </c>
    </row>
    <row r="6586" spans="1:19" x14ac:dyDescent="0.25">
      <c r="A6586" s="27" t="s">
        <v>193</v>
      </c>
      <c r="C6586" s="27" t="s">
        <v>34749</v>
      </c>
      <c r="D6586" s="28" t="s">
        <v>34867</v>
      </c>
      <c r="P6586">
        <v>6001</v>
      </c>
      <c r="Q6586" t="s">
        <v>8259</v>
      </c>
      <c r="R6586" s="28" t="s">
        <v>8260</v>
      </c>
      <c r="S6586" t="s">
        <v>13022</v>
      </c>
    </row>
    <row r="6587" spans="1:19" x14ac:dyDescent="0.25">
      <c r="A6587" s="27" t="s">
        <v>193</v>
      </c>
      <c r="C6587" s="27" t="s">
        <v>34749</v>
      </c>
      <c r="D6587" s="28" t="s">
        <v>34867</v>
      </c>
      <c r="P6587">
        <v>6002</v>
      </c>
      <c r="Q6587" t="s">
        <v>8289</v>
      </c>
      <c r="R6587" s="28" t="s">
        <v>8290</v>
      </c>
      <c r="S6587" t="s">
        <v>13022</v>
      </c>
    </row>
    <row r="6588" spans="1:19" x14ac:dyDescent="0.25">
      <c r="A6588" s="27" t="s">
        <v>193</v>
      </c>
      <c r="C6588" s="27" t="s">
        <v>34749</v>
      </c>
      <c r="D6588" s="28" t="s">
        <v>34867</v>
      </c>
      <c r="P6588">
        <v>6003</v>
      </c>
      <c r="Q6588" t="s">
        <v>3963</v>
      </c>
      <c r="R6588" s="28" t="s">
        <v>3964</v>
      </c>
      <c r="S6588" t="s">
        <v>13022</v>
      </c>
    </row>
    <row r="6589" spans="1:19" x14ac:dyDescent="0.25">
      <c r="A6589" s="27" t="s">
        <v>193</v>
      </c>
      <c r="C6589" s="27" t="s">
        <v>34749</v>
      </c>
      <c r="D6589" s="28" t="s">
        <v>34867</v>
      </c>
      <c r="P6589">
        <v>6004</v>
      </c>
      <c r="Q6589" t="s">
        <v>3948</v>
      </c>
      <c r="R6589" s="28" t="s">
        <v>3949</v>
      </c>
      <c r="S6589" t="s">
        <v>13022</v>
      </c>
    </row>
    <row r="6590" spans="1:19" x14ac:dyDescent="0.25">
      <c r="A6590" s="27" t="s">
        <v>193</v>
      </c>
      <c r="C6590" s="27" t="s">
        <v>34749</v>
      </c>
      <c r="D6590" s="28" t="s">
        <v>34867</v>
      </c>
      <c r="P6590">
        <v>6005</v>
      </c>
      <c r="Q6590" t="s">
        <v>8934</v>
      </c>
      <c r="R6590" s="28" t="s">
        <v>8935</v>
      </c>
      <c r="S6590" t="s">
        <v>13022</v>
      </c>
    </row>
    <row r="6591" spans="1:19" x14ac:dyDescent="0.25">
      <c r="A6591" s="27" t="s">
        <v>193</v>
      </c>
      <c r="C6591" s="27" t="s">
        <v>34749</v>
      </c>
      <c r="D6591" s="28" t="s">
        <v>34867</v>
      </c>
      <c r="P6591">
        <v>6006</v>
      </c>
      <c r="Q6591" t="s">
        <v>14685</v>
      </c>
      <c r="R6591" s="28" t="s">
        <v>8962</v>
      </c>
      <c r="S6591" t="s">
        <v>13022</v>
      </c>
    </row>
    <row r="6592" spans="1:19" x14ac:dyDescent="0.25">
      <c r="A6592" s="27" t="s">
        <v>193</v>
      </c>
      <c r="C6592" s="27" t="s">
        <v>34749</v>
      </c>
      <c r="D6592" s="28" t="s">
        <v>34867</v>
      </c>
      <c r="P6592">
        <v>6007</v>
      </c>
      <c r="Q6592" t="s">
        <v>8985</v>
      </c>
      <c r="R6592" s="28" t="s">
        <v>8986</v>
      </c>
      <c r="S6592" t="s">
        <v>13022</v>
      </c>
    </row>
    <row r="6593" spans="1:19" x14ac:dyDescent="0.25">
      <c r="A6593" s="27" t="s">
        <v>193</v>
      </c>
      <c r="C6593" s="27" t="s">
        <v>34749</v>
      </c>
      <c r="D6593" s="28" t="s">
        <v>34867</v>
      </c>
      <c r="P6593">
        <v>6008</v>
      </c>
      <c r="Q6593" t="s">
        <v>9027</v>
      </c>
      <c r="R6593" s="28" t="s">
        <v>9028</v>
      </c>
      <c r="S6593" t="s">
        <v>13022</v>
      </c>
    </row>
    <row r="6594" spans="1:19" x14ac:dyDescent="0.25">
      <c r="A6594" s="27" t="s">
        <v>193</v>
      </c>
      <c r="C6594" s="27" t="s">
        <v>34749</v>
      </c>
      <c r="D6594" s="28" t="s">
        <v>34867</v>
      </c>
      <c r="P6594">
        <v>6009</v>
      </c>
      <c r="Q6594" t="s">
        <v>9214</v>
      </c>
      <c r="R6594" s="28" t="s">
        <v>9215</v>
      </c>
      <c r="S6594" t="s">
        <v>13022</v>
      </c>
    </row>
    <row r="6595" spans="1:19" x14ac:dyDescent="0.25">
      <c r="A6595" s="27" t="s">
        <v>193</v>
      </c>
      <c r="C6595" s="27" t="s">
        <v>34749</v>
      </c>
      <c r="D6595" s="28" t="s">
        <v>34867</v>
      </c>
      <c r="P6595">
        <v>6010</v>
      </c>
      <c r="Q6595" t="s">
        <v>4533</v>
      </c>
      <c r="R6595" s="28" t="s">
        <v>4534</v>
      </c>
      <c r="S6595" t="s">
        <v>13022</v>
      </c>
    </row>
    <row r="6596" spans="1:19" x14ac:dyDescent="0.25">
      <c r="A6596" s="27" t="s">
        <v>193</v>
      </c>
      <c r="C6596" s="27" t="s">
        <v>34749</v>
      </c>
      <c r="D6596" s="28" t="s">
        <v>34867</v>
      </c>
      <c r="P6596">
        <v>6011</v>
      </c>
      <c r="Q6596" t="s">
        <v>9319</v>
      </c>
      <c r="R6596" s="28" t="s">
        <v>9320</v>
      </c>
      <c r="S6596" t="s">
        <v>13022</v>
      </c>
    </row>
    <row r="6597" spans="1:19" x14ac:dyDescent="0.25">
      <c r="A6597" s="27" t="s">
        <v>193</v>
      </c>
      <c r="C6597" s="27" t="s">
        <v>34749</v>
      </c>
      <c r="D6597" s="28" t="s">
        <v>34867</v>
      </c>
      <c r="P6597">
        <v>6012</v>
      </c>
      <c r="Q6597" t="s">
        <v>9390</v>
      </c>
      <c r="R6597" s="28" t="s">
        <v>9391</v>
      </c>
      <c r="S6597" t="s">
        <v>13022</v>
      </c>
    </row>
    <row r="6598" spans="1:19" x14ac:dyDescent="0.25">
      <c r="A6598" s="27" t="s">
        <v>193</v>
      </c>
      <c r="C6598" s="27" t="s">
        <v>34749</v>
      </c>
      <c r="D6598" s="28" t="s">
        <v>34867</v>
      </c>
      <c r="P6598">
        <v>6013</v>
      </c>
      <c r="Q6598" t="s">
        <v>9387</v>
      </c>
      <c r="R6598" s="28" t="s">
        <v>9388</v>
      </c>
      <c r="S6598" t="s">
        <v>13022</v>
      </c>
    </row>
    <row r="6599" spans="1:19" x14ac:dyDescent="0.25">
      <c r="A6599" s="27" t="s">
        <v>193</v>
      </c>
      <c r="C6599" s="27" t="s">
        <v>34749</v>
      </c>
      <c r="D6599" s="28" t="s">
        <v>34867</v>
      </c>
      <c r="P6599">
        <v>6014</v>
      </c>
      <c r="Q6599" t="s">
        <v>14686</v>
      </c>
      <c r="R6599" s="28" t="s">
        <v>9415</v>
      </c>
      <c r="S6599" t="s">
        <v>13022</v>
      </c>
    </row>
    <row r="6600" spans="1:19" x14ac:dyDescent="0.25">
      <c r="A6600" s="27" t="s">
        <v>193</v>
      </c>
      <c r="C6600" s="27" t="s">
        <v>34749</v>
      </c>
      <c r="D6600" s="28" t="s">
        <v>34867</v>
      </c>
      <c r="P6600">
        <v>6015</v>
      </c>
      <c r="Q6600" t="s">
        <v>9900</v>
      </c>
      <c r="R6600" s="28" t="s">
        <v>9901</v>
      </c>
      <c r="S6600" t="s">
        <v>13022</v>
      </c>
    </row>
    <row r="6601" spans="1:19" x14ac:dyDescent="0.25">
      <c r="A6601" s="27" t="s">
        <v>193</v>
      </c>
      <c r="C6601" s="27" t="s">
        <v>34749</v>
      </c>
      <c r="D6601" s="28" t="s">
        <v>34867</v>
      </c>
      <c r="P6601">
        <v>6016</v>
      </c>
      <c r="Q6601" t="s">
        <v>10426</v>
      </c>
      <c r="R6601" s="28" t="s">
        <v>10427</v>
      </c>
      <c r="S6601" t="s">
        <v>13022</v>
      </c>
    </row>
    <row r="6602" spans="1:19" x14ac:dyDescent="0.25">
      <c r="A6602" s="27" t="s">
        <v>193</v>
      </c>
      <c r="C6602" s="27" t="s">
        <v>34749</v>
      </c>
      <c r="D6602" s="28" t="s">
        <v>34867</v>
      </c>
      <c r="P6602">
        <v>6017</v>
      </c>
      <c r="Q6602" t="s">
        <v>10546</v>
      </c>
      <c r="R6602" s="28" t="s">
        <v>10547</v>
      </c>
      <c r="S6602" t="s">
        <v>13022</v>
      </c>
    </row>
    <row r="6603" spans="1:19" x14ac:dyDescent="0.25">
      <c r="A6603" s="27" t="s">
        <v>193</v>
      </c>
      <c r="C6603" s="27" t="s">
        <v>34749</v>
      </c>
      <c r="D6603" s="28" t="s">
        <v>34867</v>
      </c>
      <c r="P6603">
        <v>6018</v>
      </c>
      <c r="Q6603" t="s">
        <v>10687</v>
      </c>
      <c r="R6603" s="28" t="s">
        <v>10688</v>
      </c>
      <c r="S6603" t="s">
        <v>13022</v>
      </c>
    </row>
    <row r="6604" spans="1:19" x14ac:dyDescent="0.25">
      <c r="A6604" s="27" t="s">
        <v>193</v>
      </c>
      <c r="C6604" s="27" t="s">
        <v>34749</v>
      </c>
      <c r="D6604" s="28" t="s">
        <v>34867</v>
      </c>
      <c r="P6604">
        <v>6019</v>
      </c>
      <c r="Q6604" t="s">
        <v>10744</v>
      </c>
      <c r="R6604" s="28" t="s">
        <v>10745</v>
      </c>
      <c r="S6604" t="s">
        <v>13022</v>
      </c>
    </row>
    <row r="6605" spans="1:19" x14ac:dyDescent="0.25">
      <c r="A6605" s="27" t="s">
        <v>193</v>
      </c>
      <c r="C6605" s="27" t="s">
        <v>34749</v>
      </c>
      <c r="D6605" s="28" t="s">
        <v>34867</v>
      </c>
      <c r="P6605">
        <v>6020</v>
      </c>
      <c r="Q6605" t="s">
        <v>10774</v>
      </c>
      <c r="R6605" s="28" t="s">
        <v>10775</v>
      </c>
      <c r="S6605" t="s">
        <v>13022</v>
      </c>
    </row>
    <row r="6606" spans="1:19" x14ac:dyDescent="0.25">
      <c r="A6606" s="27" t="s">
        <v>193</v>
      </c>
      <c r="C6606" s="27" t="s">
        <v>34749</v>
      </c>
      <c r="D6606" s="28" t="s">
        <v>34867</v>
      </c>
      <c r="P6606">
        <v>6021</v>
      </c>
      <c r="Q6606" t="s">
        <v>14687</v>
      </c>
      <c r="R6606" s="28" t="s">
        <v>10781</v>
      </c>
      <c r="S6606" t="s">
        <v>13022</v>
      </c>
    </row>
    <row r="6607" spans="1:19" x14ac:dyDescent="0.25">
      <c r="A6607" s="27" t="s">
        <v>193</v>
      </c>
      <c r="C6607" s="27" t="s">
        <v>34749</v>
      </c>
      <c r="D6607" s="28" t="s">
        <v>34867</v>
      </c>
      <c r="P6607">
        <v>6022</v>
      </c>
      <c r="Q6607" t="s">
        <v>6434</v>
      </c>
      <c r="R6607" s="28" t="s">
        <v>6435</v>
      </c>
      <c r="S6607" t="s">
        <v>13022</v>
      </c>
    </row>
    <row r="6608" spans="1:19" x14ac:dyDescent="0.25">
      <c r="A6608" s="27" t="s">
        <v>193</v>
      </c>
      <c r="C6608" s="27" t="s">
        <v>34749</v>
      </c>
      <c r="D6608" s="28" t="s">
        <v>34867</v>
      </c>
      <c r="P6608">
        <v>6023</v>
      </c>
      <c r="Q6608" t="s">
        <v>6479</v>
      </c>
      <c r="R6608" s="28" t="s">
        <v>6480</v>
      </c>
      <c r="S6608" t="s">
        <v>13022</v>
      </c>
    </row>
    <row r="6609" spans="1:19" x14ac:dyDescent="0.25">
      <c r="A6609" s="27" t="s">
        <v>193</v>
      </c>
      <c r="C6609" s="27" t="s">
        <v>34749</v>
      </c>
      <c r="D6609" s="28" t="s">
        <v>34867</v>
      </c>
      <c r="P6609">
        <v>6024</v>
      </c>
      <c r="Q6609" t="s">
        <v>10882</v>
      </c>
      <c r="R6609" s="28" t="s">
        <v>10883</v>
      </c>
      <c r="S6609" t="s">
        <v>13022</v>
      </c>
    </row>
    <row r="6610" spans="1:19" x14ac:dyDescent="0.25">
      <c r="A6610" s="27" t="s">
        <v>193</v>
      </c>
      <c r="C6610" s="27" t="s">
        <v>34749</v>
      </c>
      <c r="D6610" s="28" t="s">
        <v>34867</v>
      </c>
      <c r="P6610">
        <v>6025</v>
      </c>
      <c r="Q6610" t="s">
        <v>10885</v>
      </c>
      <c r="R6610" s="28" t="s">
        <v>10886</v>
      </c>
      <c r="S6610" t="s">
        <v>13022</v>
      </c>
    </row>
    <row r="6611" spans="1:19" x14ac:dyDescent="0.25">
      <c r="A6611" s="27" t="s">
        <v>193</v>
      </c>
      <c r="C6611" s="27" t="s">
        <v>34749</v>
      </c>
      <c r="D6611" s="28" t="s">
        <v>34867</v>
      </c>
      <c r="P6611">
        <v>6026</v>
      </c>
      <c r="Q6611" t="s">
        <v>11275</v>
      </c>
      <c r="R6611" s="28" t="s">
        <v>11276</v>
      </c>
      <c r="S6611" t="s">
        <v>13022</v>
      </c>
    </row>
    <row r="6612" spans="1:19" x14ac:dyDescent="0.25">
      <c r="A6612" s="27" t="s">
        <v>193</v>
      </c>
      <c r="C6612" s="27" t="s">
        <v>34749</v>
      </c>
      <c r="D6612" s="28" t="s">
        <v>34867</v>
      </c>
      <c r="P6612">
        <v>6027</v>
      </c>
      <c r="Q6612" t="s">
        <v>14688</v>
      </c>
      <c r="R6612" s="28" t="s">
        <v>11288</v>
      </c>
      <c r="S6612" t="s">
        <v>13022</v>
      </c>
    </row>
    <row r="6613" spans="1:19" x14ac:dyDescent="0.25">
      <c r="A6613" s="27" t="s">
        <v>193</v>
      </c>
      <c r="C6613" s="27" t="s">
        <v>34749</v>
      </c>
      <c r="D6613" s="28" t="s">
        <v>34867</v>
      </c>
      <c r="P6613">
        <v>6028</v>
      </c>
      <c r="Q6613" t="s">
        <v>11823</v>
      </c>
      <c r="R6613" s="28" t="s">
        <v>11824</v>
      </c>
      <c r="S6613" t="s">
        <v>13022</v>
      </c>
    </row>
    <row r="6614" spans="1:19" x14ac:dyDescent="0.25">
      <c r="A6614" s="27" t="s">
        <v>193</v>
      </c>
      <c r="C6614" s="27" t="s">
        <v>34749</v>
      </c>
      <c r="D6614" s="28" t="s">
        <v>34867</v>
      </c>
      <c r="P6614">
        <v>6029</v>
      </c>
      <c r="Q6614" t="s">
        <v>11885</v>
      </c>
      <c r="R6614" s="28" t="s">
        <v>11886</v>
      </c>
      <c r="S6614" t="s">
        <v>13022</v>
      </c>
    </row>
    <row r="6615" spans="1:19" x14ac:dyDescent="0.25">
      <c r="A6615" s="27" t="s">
        <v>193</v>
      </c>
      <c r="C6615" s="27" t="s">
        <v>34749</v>
      </c>
      <c r="D6615" s="28" t="s">
        <v>34867</v>
      </c>
      <c r="P6615">
        <v>6030</v>
      </c>
      <c r="Q6615" t="s">
        <v>11888</v>
      </c>
      <c r="R6615" s="28" t="s">
        <v>11889</v>
      </c>
      <c r="S6615" t="s">
        <v>13022</v>
      </c>
    </row>
    <row r="6616" spans="1:19" x14ac:dyDescent="0.25">
      <c r="A6616" s="27" t="s">
        <v>193</v>
      </c>
      <c r="C6616" s="27" t="s">
        <v>34749</v>
      </c>
      <c r="D6616" s="28" t="s">
        <v>34867</v>
      </c>
      <c r="P6616">
        <v>6031</v>
      </c>
      <c r="Q6616" t="s">
        <v>14689</v>
      </c>
      <c r="R6616" s="28" t="s">
        <v>11898</v>
      </c>
      <c r="S6616" t="s">
        <v>13022</v>
      </c>
    </row>
    <row r="6617" spans="1:19" x14ac:dyDescent="0.25">
      <c r="A6617" s="27" t="s">
        <v>193</v>
      </c>
      <c r="C6617" s="27" t="s">
        <v>34749</v>
      </c>
      <c r="D6617" s="28" t="s">
        <v>34867</v>
      </c>
      <c r="P6617">
        <v>6032</v>
      </c>
      <c r="Q6617" t="s">
        <v>11900</v>
      </c>
      <c r="R6617" s="28" t="s">
        <v>11901</v>
      </c>
      <c r="S6617" t="s">
        <v>13022</v>
      </c>
    </row>
    <row r="6618" spans="1:19" x14ac:dyDescent="0.25">
      <c r="A6618" s="27" t="s">
        <v>193</v>
      </c>
      <c r="C6618" s="27" t="s">
        <v>34749</v>
      </c>
      <c r="D6618" s="28" t="s">
        <v>34867</v>
      </c>
      <c r="P6618">
        <v>6033</v>
      </c>
      <c r="Q6618" t="s">
        <v>7423</v>
      </c>
      <c r="R6618" s="28" t="s">
        <v>7424</v>
      </c>
      <c r="S6618" t="s">
        <v>13022</v>
      </c>
    </row>
    <row r="6619" spans="1:19" x14ac:dyDescent="0.25">
      <c r="A6619" s="27" t="s">
        <v>193</v>
      </c>
      <c r="C6619" s="27" t="s">
        <v>34749</v>
      </c>
      <c r="D6619" s="28" t="s">
        <v>34867</v>
      </c>
      <c r="P6619">
        <v>6034</v>
      </c>
      <c r="Q6619" t="s">
        <v>7834</v>
      </c>
      <c r="R6619" s="28" t="s">
        <v>7835</v>
      </c>
      <c r="S6619" t="s">
        <v>13022</v>
      </c>
    </row>
    <row r="6620" spans="1:19" x14ac:dyDescent="0.25">
      <c r="A6620" s="27" t="s">
        <v>193</v>
      </c>
      <c r="C6620" s="27" t="s">
        <v>34749</v>
      </c>
      <c r="D6620" s="28" t="s">
        <v>34867</v>
      </c>
      <c r="P6620">
        <v>6035</v>
      </c>
      <c r="Q6620" t="s">
        <v>12217</v>
      </c>
      <c r="R6620" s="28" t="s">
        <v>12218</v>
      </c>
      <c r="S6620" t="s">
        <v>13022</v>
      </c>
    </row>
    <row r="6621" spans="1:19" x14ac:dyDescent="0.25">
      <c r="A6621" s="27" t="s">
        <v>193</v>
      </c>
      <c r="C6621" s="27" t="s">
        <v>34749</v>
      </c>
      <c r="D6621" s="28" t="s">
        <v>34867</v>
      </c>
      <c r="P6621">
        <v>6036</v>
      </c>
      <c r="Q6621" t="s">
        <v>12280</v>
      </c>
      <c r="R6621" s="28" t="s">
        <v>12281</v>
      </c>
      <c r="S6621" t="s">
        <v>13022</v>
      </c>
    </row>
    <row r="6622" spans="1:19" x14ac:dyDescent="0.25">
      <c r="A6622" s="27" t="s">
        <v>193</v>
      </c>
      <c r="C6622" s="27" t="s">
        <v>34749</v>
      </c>
      <c r="D6622" s="28" t="s">
        <v>34867</v>
      </c>
      <c r="P6622">
        <v>6037</v>
      </c>
      <c r="Q6622" t="s">
        <v>9135</v>
      </c>
      <c r="R6622" s="28" t="s">
        <v>9136</v>
      </c>
      <c r="S6622" t="s">
        <v>13022</v>
      </c>
    </row>
    <row r="6623" spans="1:19" x14ac:dyDescent="0.25">
      <c r="A6623" s="27" t="s">
        <v>193</v>
      </c>
      <c r="C6623" s="27" t="s">
        <v>34749</v>
      </c>
      <c r="D6623" s="28" t="s">
        <v>34867</v>
      </c>
      <c r="P6623">
        <v>6038</v>
      </c>
      <c r="Q6623" t="s">
        <v>10131</v>
      </c>
      <c r="R6623" s="28" t="s">
        <v>10132</v>
      </c>
      <c r="S6623" t="s">
        <v>13022</v>
      </c>
    </row>
    <row r="6624" spans="1:19" x14ac:dyDescent="0.25">
      <c r="A6624" s="27" t="s">
        <v>193</v>
      </c>
      <c r="C6624" s="27" t="s">
        <v>34749</v>
      </c>
      <c r="D6624" s="28" t="s">
        <v>34867</v>
      </c>
      <c r="P6624">
        <v>6039</v>
      </c>
      <c r="Q6624" t="s">
        <v>8970</v>
      </c>
      <c r="R6624" s="28" t="s">
        <v>8971</v>
      </c>
      <c r="S6624" t="s">
        <v>13022</v>
      </c>
    </row>
    <row r="6625" spans="1:19" x14ac:dyDescent="0.25">
      <c r="A6625" s="27" t="s">
        <v>193</v>
      </c>
      <c r="C6625" s="27" t="s">
        <v>34749</v>
      </c>
      <c r="D6625" s="28" t="s">
        <v>34867</v>
      </c>
      <c r="P6625">
        <v>6040</v>
      </c>
      <c r="Q6625" t="s">
        <v>11673</v>
      </c>
      <c r="R6625" s="28" t="s">
        <v>11674</v>
      </c>
      <c r="S6625" t="s">
        <v>13022</v>
      </c>
    </row>
    <row r="6626" spans="1:19" x14ac:dyDescent="0.25">
      <c r="A6626" s="27" t="s">
        <v>193</v>
      </c>
      <c r="C6626" s="27" t="s">
        <v>34749</v>
      </c>
      <c r="D6626" s="28" t="s">
        <v>34867</v>
      </c>
      <c r="P6626">
        <v>6041</v>
      </c>
      <c r="Q6626" t="s">
        <v>12047</v>
      </c>
      <c r="R6626" s="28" t="s">
        <v>12048</v>
      </c>
      <c r="S6626" t="s">
        <v>13022</v>
      </c>
    </row>
    <row r="6627" spans="1:19" x14ac:dyDescent="0.25">
      <c r="A6627" s="27" t="s">
        <v>193</v>
      </c>
      <c r="C6627" s="27" t="s">
        <v>34749</v>
      </c>
      <c r="D6627" s="28" t="s">
        <v>34867</v>
      </c>
      <c r="P6627">
        <v>6042</v>
      </c>
      <c r="Q6627" t="s">
        <v>8337</v>
      </c>
      <c r="R6627" s="28" t="s">
        <v>8338</v>
      </c>
      <c r="S6627" t="s">
        <v>13022</v>
      </c>
    </row>
    <row r="6628" spans="1:19" x14ac:dyDescent="0.25">
      <c r="A6628" s="27" t="s">
        <v>193</v>
      </c>
      <c r="C6628" s="27" t="s">
        <v>34749</v>
      </c>
      <c r="D6628" s="28" t="s">
        <v>34867</v>
      </c>
      <c r="P6628">
        <v>6043</v>
      </c>
      <c r="Q6628" t="s">
        <v>8529</v>
      </c>
      <c r="R6628" s="28" t="s">
        <v>8530</v>
      </c>
      <c r="S6628" t="s">
        <v>13022</v>
      </c>
    </row>
    <row r="6629" spans="1:19" x14ac:dyDescent="0.25">
      <c r="A6629" s="27" t="s">
        <v>193</v>
      </c>
      <c r="C6629" s="27" t="s">
        <v>34749</v>
      </c>
      <c r="D6629" s="28" t="s">
        <v>34867</v>
      </c>
      <c r="P6629">
        <v>6044</v>
      </c>
      <c r="Q6629" t="s">
        <v>8577</v>
      </c>
      <c r="R6629" s="28" t="s">
        <v>8578</v>
      </c>
      <c r="S6629" t="s">
        <v>13022</v>
      </c>
    </row>
    <row r="6630" spans="1:19" x14ac:dyDescent="0.25">
      <c r="A6630" s="27" t="s">
        <v>193</v>
      </c>
      <c r="C6630" s="27" t="s">
        <v>34749</v>
      </c>
      <c r="D6630" s="28" t="s">
        <v>34867</v>
      </c>
      <c r="P6630">
        <v>6045</v>
      </c>
      <c r="Q6630" t="s">
        <v>10558</v>
      </c>
      <c r="R6630" s="28" t="s">
        <v>10559</v>
      </c>
      <c r="S6630" t="s">
        <v>13022</v>
      </c>
    </row>
    <row r="6631" spans="1:19" x14ac:dyDescent="0.25">
      <c r="A6631" s="27" t="s">
        <v>193</v>
      </c>
      <c r="C6631" s="27" t="s">
        <v>34749</v>
      </c>
      <c r="D6631" s="28" t="s">
        <v>34867</v>
      </c>
      <c r="P6631">
        <v>6046</v>
      </c>
      <c r="Q6631" t="s">
        <v>10936</v>
      </c>
      <c r="R6631" s="28" t="s">
        <v>10937</v>
      </c>
      <c r="S6631" t="s">
        <v>13022</v>
      </c>
    </row>
    <row r="6632" spans="1:19" x14ac:dyDescent="0.25">
      <c r="A6632" s="27" t="s">
        <v>193</v>
      </c>
      <c r="C6632" s="27" t="s">
        <v>34749</v>
      </c>
      <c r="D6632" s="28" t="s">
        <v>34867</v>
      </c>
      <c r="P6632">
        <v>6047</v>
      </c>
      <c r="Q6632" t="s">
        <v>11086</v>
      </c>
      <c r="R6632" s="28" t="s">
        <v>11087</v>
      </c>
      <c r="S6632" t="s">
        <v>13022</v>
      </c>
    </row>
    <row r="6633" spans="1:19" x14ac:dyDescent="0.25">
      <c r="A6633" s="27" t="s">
        <v>193</v>
      </c>
      <c r="C6633" s="27" t="s">
        <v>34749</v>
      </c>
      <c r="D6633" s="28" t="s">
        <v>34867</v>
      </c>
      <c r="P6633">
        <v>6048</v>
      </c>
      <c r="Q6633" t="s">
        <v>11800</v>
      </c>
      <c r="R6633" s="28" t="s">
        <v>11801</v>
      </c>
      <c r="S6633" t="s">
        <v>13022</v>
      </c>
    </row>
    <row r="6634" spans="1:19" x14ac:dyDescent="0.25">
      <c r="A6634" s="27" t="s">
        <v>193</v>
      </c>
      <c r="C6634" s="27" t="s">
        <v>34749</v>
      </c>
      <c r="D6634" s="28" t="s">
        <v>34867</v>
      </c>
      <c r="P6634">
        <v>6049</v>
      </c>
      <c r="Q6634" t="s">
        <v>10996</v>
      </c>
      <c r="R6634" s="28" t="s">
        <v>14690</v>
      </c>
      <c r="S6634" t="s">
        <v>13022</v>
      </c>
    </row>
    <row r="6635" spans="1:19" x14ac:dyDescent="0.25">
      <c r="A6635" s="27" t="s">
        <v>193</v>
      </c>
      <c r="C6635" s="27" t="s">
        <v>34749</v>
      </c>
      <c r="D6635" s="28" t="s">
        <v>34867</v>
      </c>
      <c r="P6635">
        <v>6050</v>
      </c>
      <c r="Q6635" t="s">
        <v>14691</v>
      </c>
      <c r="R6635" s="28" t="s">
        <v>12248</v>
      </c>
      <c r="S6635" t="s">
        <v>13022</v>
      </c>
    </row>
    <row r="6636" spans="1:19" x14ac:dyDescent="0.25">
      <c r="A6636" s="27" t="s">
        <v>193</v>
      </c>
      <c r="C6636" s="27" t="s">
        <v>34749</v>
      </c>
      <c r="D6636" s="28" t="s">
        <v>34867</v>
      </c>
      <c r="P6636">
        <v>6051</v>
      </c>
      <c r="Q6636" t="s">
        <v>14692</v>
      </c>
      <c r="R6636" s="28" t="s">
        <v>8248</v>
      </c>
      <c r="S6636" t="s">
        <v>13022</v>
      </c>
    </row>
    <row r="6637" spans="1:19" x14ac:dyDescent="0.25">
      <c r="A6637" s="27" t="s">
        <v>193</v>
      </c>
      <c r="C6637" s="27" t="s">
        <v>34749</v>
      </c>
      <c r="D6637" s="28" t="s">
        <v>34867</v>
      </c>
      <c r="P6637">
        <v>6052</v>
      </c>
      <c r="Q6637" t="s">
        <v>10254</v>
      </c>
      <c r="R6637" s="28" t="s">
        <v>10255</v>
      </c>
      <c r="S6637" t="s">
        <v>13022</v>
      </c>
    </row>
    <row r="6638" spans="1:19" x14ac:dyDescent="0.25">
      <c r="A6638" s="27" t="s">
        <v>193</v>
      </c>
      <c r="C6638" s="27" t="s">
        <v>34749</v>
      </c>
      <c r="D6638" s="28" t="s">
        <v>34867</v>
      </c>
      <c r="P6638">
        <v>6053</v>
      </c>
      <c r="Q6638" t="s">
        <v>10257</v>
      </c>
      <c r="R6638" s="28" t="s">
        <v>10258</v>
      </c>
      <c r="S6638" t="s">
        <v>13022</v>
      </c>
    </row>
    <row r="6639" spans="1:19" x14ac:dyDescent="0.25">
      <c r="A6639" s="27" t="s">
        <v>193</v>
      </c>
      <c r="C6639" s="27" t="s">
        <v>34749</v>
      </c>
      <c r="D6639" s="28" t="s">
        <v>34867</v>
      </c>
      <c r="P6639">
        <v>6054</v>
      </c>
      <c r="Q6639" t="s">
        <v>10260</v>
      </c>
      <c r="R6639" s="28" t="s">
        <v>10261</v>
      </c>
      <c r="S6639" t="s">
        <v>13022</v>
      </c>
    </row>
    <row r="6640" spans="1:19" x14ac:dyDescent="0.25">
      <c r="A6640" s="27" t="s">
        <v>193</v>
      </c>
      <c r="C6640" s="27" t="s">
        <v>34749</v>
      </c>
      <c r="D6640" s="28" t="s">
        <v>34867</v>
      </c>
      <c r="P6640">
        <v>6055</v>
      </c>
      <c r="Q6640" t="s">
        <v>10266</v>
      </c>
      <c r="R6640" s="28" t="s">
        <v>14693</v>
      </c>
      <c r="S6640" t="s">
        <v>13022</v>
      </c>
    </row>
    <row r="6641" spans="1:19" x14ac:dyDescent="0.25">
      <c r="A6641" s="27" t="s">
        <v>193</v>
      </c>
      <c r="C6641" s="27" t="s">
        <v>34749</v>
      </c>
      <c r="D6641" s="28" t="s">
        <v>34867</v>
      </c>
      <c r="P6641">
        <v>6056</v>
      </c>
      <c r="Q6641" t="s">
        <v>14694</v>
      </c>
      <c r="R6641" s="28" t="s">
        <v>10270</v>
      </c>
      <c r="S6641" t="s">
        <v>13022</v>
      </c>
    </row>
    <row r="6642" spans="1:19" x14ac:dyDescent="0.25">
      <c r="A6642" s="27" t="s">
        <v>193</v>
      </c>
      <c r="C6642" s="27" t="s">
        <v>34749</v>
      </c>
      <c r="D6642" s="28" t="s">
        <v>34867</v>
      </c>
      <c r="P6642">
        <v>6057</v>
      </c>
      <c r="Q6642" t="s">
        <v>10263</v>
      </c>
      <c r="R6642" s="28" t="s">
        <v>10264</v>
      </c>
      <c r="S6642" t="s">
        <v>13022</v>
      </c>
    </row>
    <row r="6643" spans="1:19" x14ac:dyDescent="0.25">
      <c r="A6643" s="27" t="s">
        <v>193</v>
      </c>
      <c r="C6643" s="27" t="s">
        <v>34749</v>
      </c>
      <c r="D6643" s="28" t="s">
        <v>34867</v>
      </c>
      <c r="P6643">
        <v>6058</v>
      </c>
      <c r="Q6643" t="s">
        <v>10272</v>
      </c>
      <c r="R6643" s="28" t="s">
        <v>10273</v>
      </c>
      <c r="S6643" t="s">
        <v>13022</v>
      </c>
    </row>
    <row r="6644" spans="1:19" x14ac:dyDescent="0.25">
      <c r="A6644" s="27" t="s">
        <v>193</v>
      </c>
      <c r="C6644" s="27" t="s">
        <v>34749</v>
      </c>
      <c r="D6644" s="28" t="s">
        <v>34867</v>
      </c>
      <c r="P6644">
        <v>6059</v>
      </c>
      <c r="Q6644" t="s">
        <v>10275</v>
      </c>
      <c r="R6644" s="28" t="s">
        <v>10276</v>
      </c>
      <c r="S6644" t="s">
        <v>13022</v>
      </c>
    </row>
    <row r="6645" spans="1:19" x14ac:dyDescent="0.25">
      <c r="A6645" s="27" t="s">
        <v>193</v>
      </c>
      <c r="C6645" s="27" t="s">
        <v>34749</v>
      </c>
      <c r="D6645" s="28" t="s">
        <v>34867</v>
      </c>
      <c r="P6645">
        <v>6060</v>
      </c>
      <c r="Q6645" t="s">
        <v>10278</v>
      </c>
      <c r="R6645" s="28" t="s">
        <v>10279</v>
      </c>
      <c r="S6645" t="s">
        <v>13022</v>
      </c>
    </row>
    <row r="6646" spans="1:19" x14ac:dyDescent="0.25">
      <c r="A6646" s="27" t="s">
        <v>193</v>
      </c>
      <c r="C6646" s="27" t="s">
        <v>34749</v>
      </c>
      <c r="D6646" s="28" t="s">
        <v>34867</v>
      </c>
      <c r="P6646">
        <v>6061</v>
      </c>
      <c r="Q6646" t="s">
        <v>8532</v>
      </c>
      <c r="R6646" s="28" t="s">
        <v>8533</v>
      </c>
      <c r="S6646" t="s">
        <v>13022</v>
      </c>
    </row>
    <row r="6647" spans="1:19" x14ac:dyDescent="0.25">
      <c r="A6647" s="27" t="s">
        <v>193</v>
      </c>
      <c r="C6647" s="27" t="s">
        <v>34749</v>
      </c>
      <c r="D6647" s="28" t="s">
        <v>34867</v>
      </c>
      <c r="P6647">
        <v>6062</v>
      </c>
      <c r="Q6647" t="s">
        <v>9000</v>
      </c>
      <c r="R6647" s="28" t="s">
        <v>9001</v>
      </c>
      <c r="S6647" t="s">
        <v>13022</v>
      </c>
    </row>
    <row r="6648" spans="1:19" x14ac:dyDescent="0.25">
      <c r="A6648" s="27" t="s">
        <v>193</v>
      </c>
      <c r="C6648" s="27" t="s">
        <v>34749</v>
      </c>
      <c r="D6648" s="28" t="s">
        <v>34867</v>
      </c>
      <c r="P6648">
        <v>6063</v>
      </c>
      <c r="Q6648" t="s">
        <v>9432</v>
      </c>
      <c r="R6648" s="28" t="s">
        <v>9433</v>
      </c>
      <c r="S6648" t="s">
        <v>13022</v>
      </c>
    </row>
    <row r="6649" spans="1:19" x14ac:dyDescent="0.25">
      <c r="A6649" s="27" t="s">
        <v>193</v>
      </c>
      <c r="C6649" s="27" t="s">
        <v>34749</v>
      </c>
      <c r="D6649" s="28" t="s">
        <v>34867</v>
      </c>
      <c r="P6649">
        <v>6064</v>
      </c>
      <c r="Q6649" t="s">
        <v>9552</v>
      </c>
      <c r="R6649" s="28" t="s">
        <v>9553</v>
      </c>
      <c r="S6649" t="s">
        <v>13022</v>
      </c>
    </row>
    <row r="6650" spans="1:19" x14ac:dyDescent="0.25">
      <c r="A6650" s="27" t="s">
        <v>193</v>
      </c>
      <c r="C6650" s="27" t="s">
        <v>34749</v>
      </c>
      <c r="D6650" s="28" t="s">
        <v>34867</v>
      </c>
      <c r="P6650">
        <v>6065</v>
      </c>
      <c r="Q6650" t="s">
        <v>9549</v>
      </c>
      <c r="R6650" s="28" t="s">
        <v>9550</v>
      </c>
      <c r="S6650" t="s">
        <v>13022</v>
      </c>
    </row>
    <row r="6651" spans="1:19" x14ac:dyDescent="0.25">
      <c r="A6651" s="27" t="s">
        <v>193</v>
      </c>
      <c r="C6651" s="27" t="s">
        <v>34749</v>
      </c>
      <c r="D6651" s="28" t="s">
        <v>34867</v>
      </c>
      <c r="P6651">
        <v>6066</v>
      </c>
      <c r="Q6651" t="s">
        <v>9936</v>
      </c>
      <c r="R6651" s="28" t="s">
        <v>9937</v>
      </c>
      <c r="S6651" t="s">
        <v>13022</v>
      </c>
    </row>
    <row r="6652" spans="1:19" x14ac:dyDescent="0.25">
      <c r="A6652" s="27" t="s">
        <v>193</v>
      </c>
      <c r="C6652" s="27" t="s">
        <v>34749</v>
      </c>
      <c r="D6652" s="28" t="s">
        <v>34867</v>
      </c>
      <c r="P6652">
        <v>6067</v>
      </c>
      <c r="Q6652" t="s">
        <v>11765</v>
      </c>
      <c r="R6652" s="28" t="s">
        <v>11766</v>
      </c>
      <c r="S6652" t="s">
        <v>13022</v>
      </c>
    </row>
    <row r="6653" spans="1:19" x14ac:dyDescent="0.25">
      <c r="A6653" s="27" t="s">
        <v>193</v>
      </c>
      <c r="C6653" s="27" t="s">
        <v>34749</v>
      </c>
      <c r="D6653" s="28" t="s">
        <v>34867</v>
      </c>
      <c r="P6653">
        <v>6068</v>
      </c>
      <c r="Q6653" t="s">
        <v>4530</v>
      </c>
      <c r="R6653" s="28" t="s">
        <v>4531</v>
      </c>
      <c r="S6653" t="s">
        <v>13022</v>
      </c>
    </row>
    <row r="6654" spans="1:19" x14ac:dyDescent="0.25">
      <c r="A6654" s="27" t="s">
        <v>193</v>
      </c>
      <c r="C6654" s="27" t="s">
        <v>34749</v>
      </c>
      <c r="D6654" s="28" t="s">
        <v>34867</v>
      </c>
      <c r="P6654">
        <v>6069</v>
      </c>
      <c r="Q6654" t="s">
        <v>14695</v>
      </c>
      <c r="R6654" s="28" t="s">
        <v>3012</v>
      </c>
      <c r="S6654" t="s">
        <v>13022</v>
      </c>
    </row>
    <row r="6655" spans="1:19" x14ac:dyDescent="0.25">
      <c r="A6655" s="27" t="s">
        <v>193</v>
      </c>
      <c r="C6655" s="27" t="s">
        <v>34749</v>
      </c>
      <c r="D6655" s="28" t="s">
        <v>34867</v>
      </c>
      <c r="P6655">
        <v>6070</v>
      </c>
      <c r="Q6655" t="s">
        <v>9576</v>
      </c>
      <c r="R6655" s="28" t="s">
        <v>9577</v>
      </c>
      <c r="S6655" t="s">
        <v>13022</v>
      </c>
    </row>
    <row r="6656" spans="1:19" x14ac:dyDescent="0.25">
      <c r="A6656" s="27" t="s">
        <v>193</v>
      </c>
      <c r="C6656" s="27" t="s">
        <v>34749</v>
      </c>
      <c r="D6656" s="28" t="s">
        <v>34867</v>
      </c>
      <c r="P6656">
        <v>6071</v>
      </c>
      <c r="Q6656" t="s">
        <v>10113</v>
      </c>
      <c r="R6656" s="28" t="s">
        <v>10114</v>
      </c>
      <c r="S6656" t="s">
        <v>13022</v>
      </c>
    </row>
    <row r="6657" spans="1:19" x14ac:dyDescent="0.25">
      <c r="A6657" s="27" t="s">
        <v>193</v>
      </c>
      <c r="C6657" s="27" t="s">
        <v>34749</v>
      </c>
      <c r="D6657" s="28" t="s">
        <v>34867</v>
      </c>
      <c r="P6657">
        <v>6072</v>
      </c>
      <c r="Q6657" t="s">
        <v>10176</v>
      </c>
      <c r="R6657" s="28" t="s">
        <v>10177</v>
      </c>
      <c r="S6657" t="s">
        <v>13022</v>
      </c>
    </row>
    <row r="6658" spans="1:19" x14ac:dyDescent="0.25">
      <c r="A6658" s="27" t="s">
        <v>193</v>
      </c>
      <c r="C6658" s="27" t="s">
        <v>34749</v>
      </c>
      <c r="D6658" s="28" t="s">
        <v>34867</v>
      </c>
      <c r="P6658">
        <v>6073</v>
      </c>
      <c r="Q6658" t="s">
        <v>10287</v>
      </c>
      <c r="R6658" s="28" t="s">
        <v>10288</v>
      </c>
      <c r="S6658" t="s">
        <v>13022</v>
      </c>
    </row>
    <row r="6659" spans="1:19" x14ac:dyDescent="0.25">
      <c r="A6659" s="27" t="s">
        <v>193</v>
      </c>
      <c r="C6659" s="27" t="s">
        <v>34749</v>
      </c>
      <c r="D6659" s="28" t="s">
        <v>34867</v>
      </c>
      <c r="P6659">
        <v>6074</v>
      </c>
      <c r="Q6659" t="s">
        <v>10699</v>
      </c>
      <c r="R6659" s="28" t="s">
        <v>10700</v>
      </c>
      <c r="S6659" t="s">
        <v>13022</v>
      </c>
    </row>
    <row r="6660" spans="1:19" x14ac:dyDescent="0.25">
      <c r="A6660" s="27" t="s">
        <v>193</v>
      </c>
      <c r="C6660" s="27" t="s">
        <v>34749</v>
      </c>
      <c r="D6660" s="28" t="s">
        <v>34867</v>
      </c>
      <c r="P6660">
        <v>6075</v>
      </c>
      <c r="Q6660" t="s">
        <v>14696</v>
      </c>
      <c r="R6660" s="28" t="s">
        <v>14697</v>
      </c>
      <c r="S6660" t="s">
        <v>13022</v>
      </c>
    </row>
    <row r="6661" spans="1:19" x14ac:dyDescent="0.25">
      <c r="A6661" s="27" t="s">
        <v>193</v>
      </c>
      <c r="C6661" s="27" t="s">
        <v>34749</v>
      </c>
      <c r="D6661" s="28" t="s">
        <v>34867</v>
      </c>
      <c r="P6661">
        <v>6076</v>
      </c>
      <c r="Q6661" t="s">
        <v>11062</v>
      </c>
      <c r="R6661" s="28" t="s">
        <v>11063</v>
      </c>
      <c r="S6661" t="s">
        <v>13022</v>
      </c>
    </row>
    <row r="6662" spans="1:19" x14ac:dyDescent="0.25">
      <c r="A6662" s="27" t="s">
        <v>193</v>
      </c>
      <c r="C6662" s="27" t="s">
        <v>34749</v>
      </c>
      <c r="D6662" s="28" t="s">
        <v>34867</v>
      </c>
      <c r="P6662">
        <v>6077</v>
      </c>
      <c r="Q6662" t="s">
        <v>14698</v>
      </c>
      <c r="R6662" s="28" t="s">
        <v>8329</v>
      </c>
      <c r="S6662" t="s">
        <v>13022</v>
      </c>
    </row>
    <row r="6663" spans="1:19" x14ac:dyDescent="0.25">
      <c r="A6663" s="27" t="s">
        <v>193</v>
      </c>
      <c r="C6663" s="27" t="s">
        <v>34749</v>
      </c>
      <c r="D6663" s="28" t="s">
        <v>34867</v>
      </c>
      <c r="P6663">
        <v>6078</v>
      </c>
      <c r="Q6663" t="s">
        <v>14699</v>
      </c>
      <c r="R6663" s="28" t="s">
        <v>8377</v>
      </c>
      <c r="S6663" t="s">
        <v>13022</v>
      </c>
    </row>
    <row r="6664" spans="1:19" x14ac:dyDescent="0.25">
      <c r="A6664" s="27" t="s">
        <v>193</v>
      </c>
      <c r="C6664" s="27" t="s">
        <v>34749</v>
      </c>
      <c r="D6664" s="28" t="s">
        <v>34867</v>
      </c>
      <c r="P6664">
        <v>6079</v>
      </c>
      <c r="Q6664" t="s">
        <v>10345</v>
      </c>
      <c r="R6664" s="28" t="s">
        <v>10346</v>
      </c>
      <c r="S6664" t="s">
        <v>13022</v>
      </c>
    </row>
    <row r="6665" spans="1:19" x14ac:dyDescent="0.25">
      <c r="A6665" s="27" t="s">
        <v>193</v>
      </c>
      <c r="C6665" s="27" t="s">
        <v>34749</v>
      </c>
      <c r="D6665" s="28" t="s">
        <v>34867</v>
      </c>
      <c r="P6665">
        <v>6080</v>
      </c>
      <c r="Q6665" t="s">
        <v>12148</v>
      </c>
      <c r="R6665" s="28" t="s">
        <v>12149</v>
      </c>
      <c r="S6665" t="s">
        <v>13022</v>
      </c>
    </row>
    <row r="6666" spans="1:19" x14ac:dyDescent="0.25">
      <c r="A6666" s="27" t="s">
        <v>193</v>
      </c>
      <c r="C6666" s="27" t="s">
        <v>34749</v>
      </c>
      <c r="D6666" s="28" t="s">
        <v>34867</v>
      </c>
      <c r="P6666">
        <v>6081</v>
      </c>
      <c r="Q6666" t="s">
        <v>2475</v>
      </c>
      <c r="R6666" s="28" t="s">
        <v>2476</v>
      </c>
      <c r="S6666" t="s">
        <v>13022</v>
      </c>
    </row>
    <row r="6667" spans="1:19" x14ac:dyDescent="0.25">
      <c r="A6667" s="27" t="s">
        <v>193</v>
      </c>
      <c r="C6667" s="27" t="s">
        <v>34749</v>
      </c>
      <c r="D6667" s="28" t="s">
        <v>34867</v>
      </c>
      <c r="P6667">
        <v>6082</v>
      </c>
      <c r="Q6667" t="s">
        <v>9621</v>
      </c>
      <c r="R6667" s="28" t="s">
        <v>9622</v>
      </c>
      <c r="S6667" t="s">
        <v>13022</v>
      </c>
    </row>
    <row r="6668" spans="1:19" x14ac:dyDescent="0.25">
      <c r="A6668" s="27" t="s">
        <v>193</v>
      </c>
      <c r="C6668" s="27" t="s">
        <v>34749</v>
      </c>
      <c r="D6668" s="28" t="s">
        <v>34867</v>
      </c>
      <c r="P6668">
        <v>6083</v>
      </c>
      <c r="Q6668" t="s">
        <v>10641</v>
      </c>
      <c r="R6668" s="28" t="s">
        <v>10642</v>
      </c>
      <c r="S6668" t="s">
        <v>13022</v>
      </c>
    </row>
    <row r="6669" spans="1:19" x14ac:dyDescent="0.25">
      <c r="A6669" s="27" t="s">
        <v>193</v>
      </c>
      <c r="C6669" s="27" t="s">
        <v>34749</v>
      </c>
      <c r="D6669" s="28" t="s">
        <v>34867</v>
      </c>
      <c r="P6669">
        <v>6085</v>
      </c>
      <c r="Q6669" t="s">
        <v>11011</v>
      </c>
      <c r="R6669" s="28" t="s">
        <v>11012</v>
      </c>
      <c r="S6669" t="s">
        <v>13022</v>
      </c>
    </row>
    <row r="6670" spans="1:19" x14ac:dyDescent="0.25">
      <c r="A6670" s="27" t="s">
        <v>193</v>
      </c>
      <c r="C6670" s="27" t="s">
        <v>34749</v>
      </c>
      <c r="D6670" s="28" t="s">
        <v>34867</v>
      </c>
      <c r="P6670">
        <v>6086</v>
      </c>
      <c r="Q6670" t="s">
        <v>12101</v>
      </c>
      <c r="R6670" s="28" t="s">
        <v>12102</v>
      </c>
      <c r="S6670" t="s">
        <v>13022</v>
      </c>
    </row>
    <row r="6671" spans="1:19" x14ac:dyDescent="0.25">
      <c r="A6671" s="27" t="s">
        <v>193</v>
      </c>
      <c r="C6671" s="27" t="s">
        <v>34749</v>
      </c>
      <c r="D6671" s="28" t="s">
        <v>34867</v>
      </c>
      <c r="P6671">
        <v>6087</v>
      </c>
      <c r="Q6671" t="s">
        <v>14700</v>
      </c>
      <c r="R6671" s="28" t="s">
        <v>14701</v>
      </c>
      <c r="S6671" t="s">
        <v>13022</v>
      </c>
    </row>
    <row r="6672" spans="1:19" x14ac:dyDescent="0.25">
      <c r="A6672" s="27" t="s">
        <v>193</v>
      </c>
      <c r="C6672" s="27" t="s">
        <v>34749</v>
      </c>
      <c r="D6672" s="28" t="s">
        <v>34867</v>
      </c>
      <c r="P6672">
        <v>6088</v>
      </c>
      <c r="Q6672" t="s">
        <v>14702</v>
      </c>
      <c r="R6672" s="28" t="s">
        <v>14703</v>
      </c>
      <c r="S6672" t="s">
        <v>13022</v>
      </c>
    </row>
    <row r="6673" spans="1:19" x14ac:dyDescent="0.25">
      <c r="A6673" s="27" t="s">
        <v>193</v>
      </c>
      <c r="C6673" s="27" t="s">
        <v>34749</v>
      </c>
      <c r="D6673" s="28" t="s">
        <v>34867</v>
      </c>
      <c r="P6673">
        <v>6089</v>
      </c>
      <c r="Q6673" t="s">
        <v>14704</v>
      </c>
      <c r="R6673" s="28" t="s">
        <v>10481</v>
      </c>
      <c r="S6673" t="s">
        <v>13022</v>
      </c>
    </row>
    <row r="6674" spans="1:19" x14ac:dyDescent="0.25">
      <c r="A6674" s="27" t="s">
        <v>193</v>
      </c>
      <c r="C6674" s="27" t="s">
        <v>34749</v>
      </c>
      <c r="D6674" s="28" t="s">
        <v>34867</v>
      </c>
      <c r="P6674">
        <v>6090</v>
      </c>
      <c r="Q6674" t="s">
        <v>14705</v>
      </c>
      <c r="R6674" s="28" t="s">
        <v>10739</v>
      </c>
      <c r="S6674" t="s">
        <v>13022</v>
      </c>
    </row>
    <row r="6675" spans="1:19" x14ac:dyDescent="0.25">
      <c r="A6675" s="27" t="s">
        <v>193</v>
      </c>
      <c r="C6675" s="27" t="s">
        <v>34749</v>
      </c>
      <c r="D6675" s="28" t="s">
        <v>34867</v>
      </c>
      <c r="P6675">
        <v>6091</v>
      </c>
      <c r="Q6675" t="s">
        <v>11909</v>
      </c>
      <c r="R6675" s="28" t="s">
        <v>11910</v>
      </c>
      <c r="S6675" t="s">
        <v>13022</v>
      </c>
    </row>
    <row r="6676" spans="1:19" x14ac:dyDescent="0.25">
      <c r="A6676" s="27" t="s">
        <v>193</v>
      </c>
      <c r="C6676" s="27" t="s">
        <v>34749</v>
      </c>
      <c r="D6676" s="28" t="s">
        <v>34867</v>
      </c>
      <c r="P6676">
        <v>6092</v>
      </c>
      <c r="Q6676" t="s">
        <v>11876</v>
      </c>
      <c r="R6676" s="28" t="s">
        <v>11877</v>
      </c>
      <c r="S6676" t="s">
        <v>13022</v>
      </c>
    </row>
    <row r="6677" spans="1:19" x14ac:dyDescent="0.25">
      <c r="A6677" s="27" t="s">
        <v>193</v>
      </c>
      <c r="C6677" s="27" t="s">
        <v>34749</v>
      </c>
      <c r="D6677" s="28" t="s">
        <v>34867</v>
      </c>
      <c r="P6677">
        <v>6093</v>
      </c>
      <c r="Q6677" t="s">
        <v>11891</v>
      </c>
      <c r="R6677" s="28" t="s">
        <v>11892</v>
      </c>
      <c r="S6677" t="s">
        <v>13022</v>
      </c>
    </row>
    <row r="6678" spans="1:19" x14ac:dyDescent="0.25">
      <c r="A6678" s="27" t="s">
        <v>193</v>
      </c>
      <c r="C6678" s="27" t="s">
        <v>34749</v>
      </c>
      <c r="D6678" s="28" t="s">
        <v>34867</v>
      </c>
      <c r="P6678">
        <v>6094</v>
      </c>
      <c r="Q6678" t="s">
        <v>9003</v>
      </c>
      <c r="R6678" s="28" t="s">
        <v>9004</v>
      </c>
      <c r="S6678" t="s">
        <v>13022</v>
      </c>
    </row>
    <row r="6679" spans="1:19" x14ac:dyDescent="0.25">
      <c r="A6679" s="27" t="s">
        <v>193</v>
      </c>
      <c r="C6679" s="27" t="s">
        <v>34749</v>
      </c>
      <c r="D6679" s="28" t="s">
        <v>34867</v>
      </c>
      <c r="P6679">
        <v>6095</v>
      </c>
      <c r="Q6679" t="s">
        <v>14706</v>
      </c>
      <c r="R6679" s="28" t="s">
        <v>14707</v>
      </c>
      <c r="S6679" t="s">
        <v>13022</v>
      </c>
    </row>
    <row r="6680" spans="1:19" x14ac:dyDescent="0.25">
      <c r="A6680" s="27" t="s">
        <v>193</v>
      </c>
      <c r="C6680" s="27" t="s">
        <v>34749</v>
      </c>
      <c r="D6680" s="28" t="s">
        <v>34867</v>
      </c>
      <c r="P6680">
        <v>6096</v>
      </c>
      <c r="Q6680" t="s">
        <v>11894</v>
      </c>
      <c r="R6680" s="28" t="s">
        <v>11895</v>
      </c>
      <c r="S6680" t="s">
        <v>13022</v>
      </c>
    </row>
    <row r="6681" spans="1:19" x14ac:dyDescent="0.25">
      <c r="A6681" s="27" t="s">
        <v>193</v>
      </c>
      <c r="C6681" s="27" t="s">
        <v>34749</v>
      </c>
      <c r="D6681" s="28" t="s">
        <v>34867</v>
      </c>
      <c r="P6681">
        <v>6097</v>
      </c>
      <c r="Q6681" t="s">
        <v>11906</v>
      </c>
      <c r="R6681" s="28" t="s">
        <v>11907</v>
      </c>
      <c r="S6681" t="s">
        <v>13022</v>
      </c>
    </row>
    <row r="6682" spans="1:19" x14ac:dyDescent="0.25">
      <c r="A6682" s="27" t="s">
        <v>193</v>
      </c>
      <c r="C6682" s="27" t="s">
        <v>34749</v>
      </c>
      <c r="D6682" s="28" t="s">
        <v>34867</v>
      </c>
      <c r="P6682">
        <v>6098</v>
      </c>
      <c r="Q6682" t="s">
        <v>14708</v>
      </c>
      <c r="R6682" s="28" t="s">
        <v>14709</v>
      </c>
      <c r="S6682" t="s">
        <v>13022</v>
      </c>
    </row>
    <row r="6683" spans="1:19" x14ac:dyDescent="0.25">
      <c r="A6683" s="27" t="s">
        <v>193</v>
      </c>
      <c r="C6683" s="27" t="s">
        <v>34749</v>
      </c>
      <c r="D6683" s="28" t="s">
        <v>34867</v>
      </c>
      <c r="P6683">
        <v>6099</v>
      </c>
      <c r="Q6683" t="s">
        <v>14710</v>
      </c>
      <c r="R6683" s="28" t="s">
        <v>14711</v>
      </c>
      <c r="S6683" t="s">
        <v>13022</v>
      </c>
    </row>
    <row r="6684" spans="1:19" x14ac:dyDescent="0.25">
      <c r="A6684" s="27" t="s">
        <v>193</v>
      </c>
      <c r="C6684" s="27" t="s">
        <v>34749</v>
      </c>
      <c r="D6684" s="28" t="s">
        <v>34867</v>
      </c>
      <c r="P6684">
        <v>6100</v>
      </c>
      <c r="Q6684" t="s">
        <v>9744</v>
      </c>
      <c r="R6684" s="28" t="s">
        <v>9745</v>
      </c>
      <c r="S6684" t="s">
        <v>13022</v>
      </c>
    </row>
    <row r="6685" spans="1:19" x14ac:dyDescent="0.25">
      <c r="A6685" s="27" t="s">
        <v>193</v>
      </c>
      <c r="C6685" s="27" t="s">
        <v>34749</v>
      </c>
      <c r="D6685" s="28" t="s">
        <v>34867</v>
      </c>
      <c r="P6685">
        <v>6101</v>
      </c>
      <c r="Q6685" t="s">
        <v>14712</v>
      </c>
      <c r="R6685" s="28" t="s">
        <v>14713</v>
      </c>
      <c r="S6685" t="s">
        <v>13022</v>
      </c>
    </row>
    <row r="6686" spans="1:19" x14ac:dyDescent="0.25">
      <c r="A6686" s="27" t="s">
        <v>193</v>
      </c>
      <c r="C6686" s="27" t="s">
        <v>34749</v>
      </c>
      <c r="D6686" s="28" t="s">
        <v>34867</v>
      </c>
      <c r="P6686">
        <v>6102</v>
      </c>
      <c r="Q6686" t="s">
        <v>14714</v>
      </c>
      <c r="R6686" s="28" t="s">
        <v>14715</v>
      </c>
      <c r="S6686" t="s">
        <v>13022</v>
      </c>
    </row>
    <row r="6687" spans="1:19" x14ac:dyDescent="0.25">
      <c r="A6687" s="27" t="s">
        <v>193</v>
      </c>
      <c r="C6687" s="27" t="s">
        <v>34749</v>
      </c>
      <c r="D6687" s="28" t="s">
        <v>34867</v>
      </c>
      <c r="P6687">
        <v>6103</v>
      </c>
      <c r="Q6687" t="s">
        <v>14716</v>
      </c>
      <c r="R6687" s="28" t="s">
        <v>14717</v>
      </c>
      <c r="S6687" t="s">
        <v>13022</v>
      </c>
    </row>
    <row r="6688" spans="1:19" x14ac:dyDescent="0.25">
      <c r="A6688" s="27" t="s">
        <v>193</v>
      </c>
      <c r="C6688" s="27" t="s">
        <v>34749</v>
      </c>
      <c r="D6688" s="28" t="s">
        <v>34867</v>
      </c>
      <c r="P6688">
        <v>6104</v>
      </c>
      <c r="Q6688" t="s">
        <v>14718</v>
      </c>
      <c r="R6688" s="28" t="s">
        <v>14719</v>
      </c>
      <c r="S6688" t="s">
        <v>13022</v>
      </c>
    </row>
    <row r="6689" spans="1:19" x14ac:dyDescent="0.25">
      <c r="A6689" s="27" t="s">
        <v>193</v>
      </c>
      <c r="C6689" s="27" t="s">
        <v>34749</v>
      </c>
      <c r="D6689" s="28" t="s">
        <v>34867</v>
      </c>
      <c r="P6689">
        <v>6105</v>
      </c>
      <c r="Q6689" t="s">
        <v>14720</v>
      </c>
      <c r="R6689" s="28" t="s">
        <v>14721</v>
      </c>
      <c r="S6689" t="s">
        <v>13022</v>
      </c>
    </row>
    <row r="6690" spans="1:19" x14ac:dyDescent="0.25">
      <c r="A6690" s="27" t="s">
        <v>193</v>
      </c>
      <c r="C6690" s="27" t="s">
        <v>34749</v>
      </c>
      <c r="D6690" s="28" t="s">
        <v>34867</v>
      </c>
      <c r="P6690">
        <v>6106</v>
      </c>
      <c r="Q6690" t="s">
        <v>14722</v>
      </c>
      <c r="S6690" t="s">
        <v>13022</v>
      </c>
    </row>
    <row r="6691" spans="1:19" x14ac:dyDescent="0.25">
      <c r="A6691" s="27" t="s">
        <v>193</v>
      </c>
      <c r="C6691" s="27" t="s">
        <v>34749</v>
      </c>
      <c r="D6691" s="28" t="s">
        <v>34867</v>
      </c>
      <c r="P6691">
        <v>6107</v>
      </c>
      <c r="Q6691" t="s">
        <v>14723</v>
      </c>
      <c r="R6691" s="28" t="s">
        <v>14724</v>
      </c>
      <c r="S6691" t="s">
        <v>13022</v>
      </c>
    </row>
    <row r="6692" spans="1:19" x14ac:dyDescent="0.25">
      <c r="A6692" s="27" t="s">
        <v>193</v>
      </c>
      <c r="C6692" s="27" t="s">
        <v>34749</v>
      </c>
      <c r="D6692" s="28" t="s">
        <v>34867</v>
      </c>
      <c r="P6692">
        <v>6108</v>
      </c>
      <c r="Q6692" t="s">
        <v>14725</v>
      </c>
      <c r="R6692" s="28" t="s">
        <v>14726</v>
      </c>
      <c r="S6692" t="s">
        <v>13022</v>
      </c>
    </row>
    <row r="6693" spans="1:19" x14ac:dyDescent="0.25">
      <c r="A6693" s="27" t="s">
        <v>193</v>
      </c>
      <c r="C6693" s="27" t="s">
        <v>34749</v>
      </c>
      <c r="D6693" s="28" t="s">
        <v>34867</v>
      </c>
      <c r="P6693">
        <v>6109</v>
      </c>
      <c r="Q6693" t="s">
        <v>14727</v>
      </c>
      <c r="R6693" s="28" t="s">
        <v>12081</v>
      </c>
      <c r="S6693" t="s">
        <v>13022</v>
      </c>
    </row>
    <row r="6694" spans="1:19" x14ac:dyDescent="0.25">
      <c r="A6694" s="27" t="s">
        <v>193</v>
      </c>
      <c r="C6694" s="27" t="s">
        <v>34749</v>
      </c>
      <c r="D6694" s="28" t="s">
        <v>34867</v>
      </c>
      <c r="P6694">
        <v>6111</v>
      </c>
      <c r="Q6694" t="s">
        <v>10360</v>
      </c>
      <c r="R6694" s="28" t="s">
        <v>10361</v>
      </c>
      <c r="S6694" t="s">
        <v>13022</v>
      </c>
    </row>
    <row r="6695" spans="1:19" x14ac:dyDescent="0.25">
      <c r="A6695" s="27" t="s">
        <v>193</v>
      </c>
      <c r="C6695" s="27" t="s">
        <v>34749</v>
      </c>
      <c r="D6695" s="28" t="s">
        <v>34867</v>
      </c>
      <c r="P6695">
        <v>6112</v>
      </c>
      <c r="Q6695" t="s">
        <v>9384</v>
      </c>
      <c r="R6695" s="28" t="s">
        <v>9385</v>
      </c>
      <c r="S6695" t="s">
        <v>13022</v>
      </c>
    </row>
    <row r="6696" spans="1:19" x14ac:dyDescent="0.25">
      <c r="A6696" s="27" t="s">
        <v>193</v>
      </c>
      <c r="C6696" s="27" t="s">
        <v>34749</v>
      </c>
      <c r="D6696" s="28" t="s">
        <v>34867</v>
      </c>
      <c r="P6696">
        <v>6113</v>
      </c>
      <c r="Q6696" t="s">
        <v>14728</v>
      </c>
      <c r="R6696" s="28" t="s">
        <v>9245</v>
      </c>
      <c r="S6696" t="s">
        <v>13022</v>
      </c>
    </row>
    <row r="6697" spans="1:19" x14ac:dyDescent="0.25">
      <c r="A6697" s="27" t="s">
        <v>193</v>
      </c>
      <c r="C6697" s="27" t="s">
        <v>34749</v>
      </c>
      <c r="D6697" s="28" t="s">
        <v>34867</v>
      </c>
      <c r="P6697">
        <v>6114</v>
      </c>
      <c r="Q6697" t="s">
        <v>14729</v>
      </c>
      <c r="R6697" s="28" t="s">
        <v>14730</v>
      </c>
      <c r="S6697" t="s">
        <v>13022</v>
      </c>
    </row>
    <row r="6698" spans="1:19" x14ac:dyDescent="0.25">
      <c r="A6698" s="27" t="s">
        <v>193</v>
      </c>
      <c r="C6698" s="27" t="s">
        <v>34749</v>
      </c>
      <c r="D6698" s="28" t="s">
        <v>34867</v>
      </c>
      <c r="P6698">
        <v>6115</v>
      </c>
      <c r="Q6698" t="s">
        <v>10819</v>
      </c>
      <c r="R6698" s="28" t="s">
        <v>10820</v>
      </c>
      <c r="S6698" t="s">
        <v>13022</v>
      </c>
    </row>
    <row r="6699" spans="1:19" x14ac:dyDescent="0.25">
      <c r="A6699" s="27" t="s">
        <v>193</v>
      </c>
      <c r="C6699" s="27" t="s">
        <v>34749</v>
      </c>
      <c r="D6699" s="28" t="s">
        <v>34867</v>
      </c>
      <c r="P6699">
        <v>6116</v>
      </c>
      <c r="Q6699" t="s">
        <v>12023</v>
      </c>
      <c r="R6699" s="28" t="s">
        <v>12024</v>
      </c>
      <c r="S6699" t="s">
        <v>13022</v>
      </c>
    </row>
    <row r="6700" spans="1:19" x14ac:dyDescent="0.25">
      <c r="A6700" s="27" t="s">
        <v>193</v>
      </c>
      <c r="C6700" s="27" t="s">
        <v>34749</v>
      </c>
      <c r="D6700" s="28" t="s">
        <v>34867</v>
      </c>
      <c r="P6700">
        <v>6117</v>
      </c>
      <c r="Q6700" t="s">
        <v>8343</v>
      </c>
      <c r="R6700" s="28" t="s">
        <v>8344</v>
      </c>
      <c r="S6700" t="s">
        <v>13022</v>
      </c>
    </row>
    <row r="6701" spans="1:19" x14ac:dyDescent="0.25">
      <c r="A6701" s="27" t="s">
        <v>193</v>
      </c>
      <c r="C6701" s="27" t="s">
        <v>34749</v>
      </c>
      <c r="D6701" s="28" t="s">
        <v>34867</v>
      </c>
      <c r="P6701">
        <v>6118</v>
      </c>
      <c r="Q6701" t="s">
        <v>11005</v>
      </c>
      <c r="R6701" s="28" t="s">
        <v>11006</v>
      </c>
      <c r="S6701" t="s">
        <v>13022</v>
      </c>
    </row>
    <row r="6702" spans="1:19" x14ac:dyDescent="0.25">
      <c r="A6702" s="27" t="s">
        <v>193</v>
      </c>
      <c r="C6702" s="27" t="s">
        <v>34749</v>
      </c>
      <c r="D6702" s="28" t="s">
        <v>34867</v>
      </c>
      <c r="P6702">
        <v>6119</v>
      </c>
      <c r="Q6702" t="s">
        <v>14731</v>
      </c>
      <c r="R6702" s="28" t="s">
        <v>2752</v>
      </c>
      <c r="S6702" t="s">
        <v>13022</v>
      </c>
    </row>
    <row r="6703" spans="1:19" x14ac:dyDescent="0.25">
      <c r="A6703" s="27" t="s">
        <v>193</v>
      </c>
      <c r="C6703" s="27" t="s">
        <v>34749</v>
      </c>
      <c r="D6703" s="28" t="s">
        <v>34867</v>
      </c>
      <c r="P6703">
        <v>6120</v>
      </c>
      <c r="Q6703" t="s">
        <v>9609</v>
      </c>
      <c r="R6703" s="28" t="s">
        <v>9610</v>
      </c>
      <c r="S6703" t="s">
        <v>13022</v>
      </c>
    </row>
    <row r="6704" spans="1:19" x14ac:dyDescent="0.25">
      <c r="A6704" s="27" t="s">
        <v>193</v>
      </c>
      <c r="C6704" s="27" t="s">
        <v>34749</v>
      </c>
      <c r="D6704" s="28" t="s">
        <v>34867</v>
      </c>
      <c r="P6704">
        <v>6121</v>
      </c>
      <c r="Q6704" t="s">
        <v>9531</v>
      </c>
      <c r="R6704" s="28" t="s">
        <v>9532</v>
      </c>
      <c r="S6704" t="s">
        <v>13022</v>
      </c>
    </row>
    <row r="6705" spans="1:19" x14ac:dyDescent="0.25">
      <c r="A6705" s="27" t="s">
        <v>193</v>
      </c>
      <c r="C6705" s="27" t="s">
        <v>34749</v>
      </c>
      <c r="D6705" s="28" t="s">
        <v>34867</v>
      </c>
      <c r="P6705">
        <v>6122</v>
      </c>
      <c r="Q6705" t="s">
        <v>14732</v>
      </c>
      <c r="R6705" s="28" t="s">
        <v>14733</v>
      </c>
      <c r="S6705" t="s">
        <v>13022</v>
      </c>
    </row>
    <row r="6706" spans="1:19" x14ac:dyDescent="0.25">
      <c r="A6706" s="27" t="s">
        <v>193</v>
      </c>
      <c r="C6706" s="27" t="s">
        <v>34749</v>
      </c>
      <c r="D6706" s="28" t="s">
        <v>34867</v>
      </c>
      <c r="P6706">
        <v>6123</v>
      </c>
      <c r="Q6706" t="s">
        <v>10647</v>
      </c>
      <c r="R6706" s="28" t="s">
        <v>10648</v>
      </c>
      <c r="S6706" t="s">
        <v>13022</v>
      </c>
    </row>
    <row r="6707" spans="1:19" x14ac:dyDescent="0.25">
      <c r="A6707" s="27" t="s">
        <v>193</v>
      </c>
      <c r="C6707" s="27" t="s">
        <v>34749</v>
      </c>
      <c r="D6707" s="28" t="s">
        <v>34867</v>
      </c>
      <c r="P6707">
        <v>6124</v>
      </c>
      <c r="Q6707" t="s">
        <v>14734</v>
      </c>
      <c r="R6707" s="28" t="s">
        <v>14735</v>
      </c>
      <c r="S6707" t="s">
        <v>13022</v>
      </c>
    </row>
    <row r="6708" spans="1:19" x14ac:dyDescent="0.25">
      <c r="A6708" s="27" t="s">
        <v>193</v>
      </c>
      <c r="C6708" s="27" t="s">
        <v>34749</v>
      </c>
      <c r="D6708" s="28" t="s">
        <v>34867</v>
      </c>
      <c r="P6708">
        <v>6125</v>
      </c>
      <c r="Q6708" t="s">
        <v>14736</v>
      </c>
      <c r="R6708" s="28" t="s">
        <v>14737</v>
      </c>
      <c r="S6708" t="s">
        <v>13022</v>
      </c>
    </row>
    <row r="6709" spans="1:19" x14ac:dyDescent="0.25">
      <c r="A6709" s="27" t="s">
        <v>193</v>
      </c>
      <c r="C6709" s="27" t="s">
        <v>34749</v>
      </c>
      <c r="D6709" s="28" t="s">
        <v>34867</v>
      </c>
      <c r="P6709">
        <v>6126</v>
      </c>
      <c r="Q6709" t="s">
        <v>14738</v>
      </c>
      <c r="R6709" s="28" t="s">
        <v>9052</v>
      </c>
      <c r="S6709" t="s">
        <v>13022</v>
      </c>
    </row>
    <row r="6710" spans="1:19" x14ac:dyDescent="0.25">
      <c r="A6710" s="27" t="s">
        <v>193</v>
      </c>
      <c r="C6710" s="27" t="s">
        <v>34749</v>
      </c>
      <c r="D6710" s="28" t="s">
        <v>34867</v>
      </c>
      <c r="P6710">
        <v>6127</v>
      </c>
      <c r="Q6710" t="s">
        <v>14739</v>
      </c>
      <c r="R6710" s="28" t="s">
        <v>14740</v>
      </c>
      <c r="S6710" t="s">
        <v>13022</v>
      </c>
    </row>
    <row r="6711" spans="1:19" x14ac:dyDescent="0.25">
      <c r="A6711" s="27" t="s">
        <v>193</v>
      </c>
      <c r="C6711" s="27" t="s">
        <v>34749</v>
      </c>
      <c r="D6711" s="28" t="s">
        <v>34867</v>
      </c>
      <c r="P6711">
        <v>6128</v>
      </c>
      <c r="Q6711" t="s">
        <v>10900</v>
      </c>
      <c r="R6711" s="28" t="s">
        <v>10901</v>
      </c>
      <c r="S6711" t="s">
        <v>13022</v>
      </c>
    </row>
    <row r="6712" spans="1:19" x14ac:dyDescent="0.25">
      <c r="A6712" s="27" t="s">
        <v>193</v>
      </c>
      <c r="C6712" s="27" t="s">
        <v>34749</v>
      </c>
      <c r="D6712" s="28" t="s">
        <v>34867</v>
      </c>
      <c r="P6712">
        <v>6129</v>
      </c>
      <c r="Q6712" t="s">
        <v>14741</v>
      </c>
      <c r="R6712" s="28" t="s">
        <v>14742</v>
      </c>
      <c r="S6712" t="s">
        <v>13022</v>
      </c>
    </row>
    <row r="6713" spans="1:19" x14ac:dyDescent="0.25">
      <c r="A6713" s="27" t="s">
        <v>193</v>
      </c>
      <c r="C6713" s="27" t="s">
        <v>34749</v>
      </c>
      <c r="D6713" s="28" t="s">
        <v>34867</v>
      </c>
      <c r="P6713">
        <v>6130</v>
      </c>
      <c r="Q6713" t="s">
        <v>14743</v>
      </c>
      <c r="R6713" s="28" t="s">
        <v>14744</v>
      </c>
      <c r="S6713" t="s">
        <v>13022</v>
      </c>
    </row>
    <row r="6714" spans="1:19" x14ac:dyDescent="0.25">
      <c r="A6714" s="27" t="s">
        <v>193</v>
      </c>
      <c r="C6714" s="27" t="s">
        <v>34749</v>
      </c>
      <c r="D6714" s="28" t="s">
        <v>34867</v>
      </c>
      <c r="P6714">
        <v>6133</v>
      </c>
      <c r="Q6714" t="s">
        <v>10855</v>
      </c>
      <c r="R6714" s="28" t="s">
        <v>10856</v>
      </c>
      <c r="S6714" t="s">
        <v>13022</v>
      </c>
    </row>
    <row r="6715" spans="1:19" x14ac:dyDescent="0.25">
      <c r="A6715" s="27" t="s">
        <v>193</v>
      </c>
      <c r="C6715" s="27" t="s">
        <v>34749</v>
      </c>
      <c r="D6715" s="28" t="s">
        <v>34867</v>
      </c>
      <c r="P6715">
        <v>6134</v>
      </c>
      <c r="Q6715" t="s">
        <v>11676</v>
      </c>
      <c r="R6715" s="28" t="s">
        <v>11677</v>
      </c>
      <c r="S6715" t="s">
        <v>13022</v>
      </c>
    </row>
    <row r="6716" spans="1:19" x14ac:dyDescent="0.25">
      <c r="A6716" s="27" t="s">
        <v>193</v>
      </c>
      <c r="C6716" s="27" t="s">
        <v>34749</v>
      </c>
      <c r="D6716" s="28" t="s">
        <v>34867</v>
      </c>
      <c r="P6716">
        <v>6135</v>
      </c>
      <c r="Q6716" t="s">
        <v>14745</v>
      </c>
      <c r="R6716" s="28" t="s">
        <v>14746</v>
      </c>
      <c r="S6716" t="s">
        <v>13022</v>
      </c>
    </row>
    <row r="6717" spans="1:19" x14ac:dyDescent="0.25">
      <c r="A6717" s="27" t="s">
        <v>193</v>
      </c>
      <c r="C6717" s="27" t="s">
        <v>34749</v>
      </c>
      <c r="D6717" s="28" t="s">
        <v>34867</v>
      </c>
      <c r="P6717">
        <v>6136</v>
      </c>
      <c r="Q6717" t="s">
        <v>14747</v>
      </c>
      <c r="R6717" s="28" t="s">
        <v>14748</v>
      </c>
      <c r="S6717" t="s">
        <v>13022</v>
      </c>
    </row>
    <row r="6718" spans="1:19" x14ac:dyDescent="0.25">
      <c r="A6718" s="27" t="s">
        <v>193</v>
      </c>
      <c r="C6718" s="27" t="s">
        <v>34749</v>
      </c>
      <c r="D6718" s="28" t="s">
        <v>34867</v>
      </c>
      <c r="P6718">
        <v>6137</v>
      </c>
      <c r="Q6718" t="s">
        <v>14749</v>
      </c>
      <c r="R6718" s="28" t="s">
        <v>14750</v>
      </c>
      <c r="S6718" t="s">
        <v>13022</v>
      </c>
    </row>
    <row r="6719" spans="1:19" x14ac:dyDescent="0.25">
      <c r="A6719" s="27" t="s">
        <v>193</v>
      </c>
      <c r="C6719" s="27" t="s">
        <v>34749</v>
      </c>
      <c r="D6719" s="28" t="s">
        <v>34867</v>
      </c>
      <c r="P6719">
        <v>6138</v>
      </c>
      <c r="Q6719" t="s">
        <v>14751</v>
      </c>
      <c r="R6719" s="28" t="s">
        <v>14752</v>
      </c>
      <c r="S6719" t="s">
        <v>13022</v>
      </c>
    </row>
    <row r="6720" spans="1:19" x14ac:dyDescent="0.25">
      <c r="A6720" s="27" t="s">
        <v>193</v>
      </c>
      <c r="C6720" s="27" t="s">
        <v>34749</v>
      </c>
      <c r="D6720" s="28" t="s">
        <v>34867</v>
      </c>
      <c r="P6720">
        <v>6139</v>
      </c>
      <c r="Q6720" t="s">
        <v>8253</v>
      </c>
      <c r="R6720" s="28" t="s">
        <v>8254</v>
      </c>
      <c r="S6720" t="s">
        <v>13022</v>
      </c>
    </row>
    <row r="6721" spans="1:19" x14ac:dyDescent="0.25">
      <c r="A6721" s="27" t="s">
        <v>193</v>
      </c>
      <c r="C6721" s="27" t="s">
        <v>34749</v>
      </c>
      <c r="D6721" s="28" t="s">
        <v>34867</v>
      </c>
      <c r="P6721">
        <v>6140</v>
      </c>
      <c r="Q6721" t="s">
        <v>14753</v>
      </c>
      <c r="R6721" s="28" t="s">
        <v>14754</v>
      </c>
      <c r="S6721" t="s">
        <v>13022</v>
      </c>
    </row>
    <row r="6722" spans="1:19" x14ac:dyDescent="0.25">
      <c r="A6722" s="27" t="s">
        <v>193</v>
      </c>
      <c r="C6722" s="27" t="s">
        <v>34749</v>
      </c>
      <c r="D6722" s="28" t="s">
        <v>34867</v>
      </c>
      <c r="P6722">
        <v>6141</v>
      </c>
      <c r="Q6722" t="s">
        <v>14755</v>
      </c>
      <c r="R6722" s="28" t="s">
        <v>14756</v>
      </c>
      <c r="S6722" t="s">
        <v>13022</v>
      </c>
    </row>
    <row r="6723" spans="1:19" x14ac:dyDescent="0.25">
      <c r="A6723" s="27" t="s">
        <v>193</v>
      </c>
      <c r="C6723" s="27" t="s">
        <v>34749</v>
      </c>
      <c r="D6723" s="28" t="s">
        <v>34867</v>
      </c>
      <c r="P6723">
        <v>6142</v>
      </c>
      <c r="Q6723" t="s">
        <v>14757</v>
      </c>
      <c r="R6723" s="28" t="s">
        <v>2227</v>
      </c>
      <c r="S6723" t="s">
        <v>13022</v>
      </c>
    </row>
    <row r="6724" spans="1:19" x14ac:dyDescent="0.25">
      <c r="A6724" s="27" t="s">
        <v>193</v>
      </c>
      <c r="C6724" s="27" t="s">
        <v>34749</v>
      </c>
      <c r="D6724" s="28" t="s">
        <v>34867</v>
      </c>
      <c r="P6724">
        <v>6143</v>
      </c>
      <c r="Q6724" t="s">
        <v>14758</v>
      </c>
      <c r="R6724" s="28" t="s">
        <v>14759</v>
      </c>
      <c r="S6724" t="s">
        <v>13022</v>
      </c>
    </row>
    <row r="6725" spans="1:19" x14ac:dyDescent="0.25">
      <c r="A6725" s="27" t="s">
        <v>193</v>
      </c>
      <c r="C6725" s="27" t="s">
        <v>34749</v>
      </c>
      <c r="D6725" s="28" t="s">
        <v>34867</v>
      </c>
      <c r="P6725">
        <v>6144</v>
      </c>
      <c r="Q6725" t="s">
        <v>14760</v>
      </c>
      <c r="R6725" s="28" t="s">
        <v>2224</v>
      </c>
      <c r="S6725" t="s">
        <v>13022</v>
      </c>
    </row>
    <row r="6726" spans="1:19" x14ac:dyDescent="0.25">
      <c r="A6726" s="27" t="s">
        <v>193</v>
      </c>
      <c r="C6726" s="27" t="s">
        <v>34749</v>
      </c>
      <c r="D6726" s="28" t="s">
        <v>34867</v>
      </c>
      <c r="P6726">
        <v>6145</v>
      </c>
      <c r="Q6726" t="s">
        <v>14761</v>
      </c>
      <c r="R6726" s="28" t="s">
        <v>14762</v>
      </c>
      <c r="S6726" t="s">
        <v>13022</v>
      </c>
    </row>
    <row r="6727" spans="1:19" x14ac:dyDescent="0.25">
      <c r="A6727" s="27" t="s">
        <v>193</v>
      </c>
      <c r="C6727" s="27" t="s">
        <v>34749</v>
      </c>
      <c r="D6727" s="28" t="s">
        <v>34867</v>
      </c>
      <c r="P6727">
        <v>6146</v>
      </c>
      <c r="Q6727" t="s">
        <v>9271</v>
      </c>
      <c r="R6727" s="28" t="s">
        <v>9272</v>
      </c>
      <c r="S6727" t="s">
        <v>13022</v>
      </c>
    </row>
    <row r="6728" spans="1:19" x14ac:dyDescent="0.25">
      <c r="A6728" s="27" t="s">
        <v>193</v>
      </c>
      <c r="C6728" s="27" t="s">
        <v>34749</v>
      </c>
      <c r="D6728" s="28" t="s">
        <v>34867</v>
      </c>
      <c r="P6728">
        <v>6147</v>
      </c>
      <c r="Q6728" t="s">
        <v>14763</v>
      </c>
      <c r="R6728" s="28" t="s">
        <v>14764</v>
      </c>
      <c r="S6728" t="s">
        <v>13022</v>
      </c>
    </row>
    <row r="6729" spans="1:19" x14ac:dyDescent="0.25">
      <c r="A6729" s="27" t="s">
        <v>193</v>
      </c>
      <c r="C6729" s="27" t="s">
        <v>34749</v>
      </c>
      <c r="D6729" s="28" t="s">
        <v>34867</v>
      </c>
      <c r="P6729">
        <v>6148</v>
      </c>
      <c r="Q6729" t="s">
        <v>14765</v>
      </c>
      <c r="R6729" s="28" t="s">
        <v>14766</v>
      </c>
      <c r="S6729" t="s">
        <v>13022</v>
      </c>
    </row>
    <row r="6730" spans="1:19" x14ac:dyDescent="0.25">
      <c r="A6730" s="27" t="s">
        <v>193</v>
      </c>
      <c r="C6730" s="27" t="s">
        <v>34749</v>
      </c>
      <c r="D6730" s="28" t="s">
        <v>34867</v>
      </c>
      <c r="P6730">
        <v>6149</v>
      </c>
      <c r="Q6730" t="s">
        <v>14767</v>
      </c>
      <c r="R6730" s="28" t="s">
        <v>9049</v>
      </c>
      <c r="S6730" t="s">
        <v>13022</v>
      </c>
    </row>
    <row r="6731" spans="1:19" x14ac:dyDescent="0.25">
      <c r="A6731" s="27" t="s">
        <v>193</v>
      </c>
      <c r="C6731" s="27" t="s">
        <v>34749</v>
      </c>
      <c r="D6731" s="28" t="s">
        <v>34867</v>
      </c>
      <c r="P6731">
        <v>6150</v>
      </c>
      <c r="Q6731" t="s">
        <v>8244</v>
      </c>
      <c r="R6731" s="28" t="s">
        <v>8245</v>
      </c>
      <c r="S6731" t="s">
        <v>13022</v>
      </c>
    </row>
    <row r="6732" spans="1:19" x14ac:dyDescent="0.25">
      <c r="A6732" s="27" t="s">
        <v>193</v>
      </c>
      <c r="C6732" s="27" t="s">
        <v>34749</v>
      </c>
      <c r="D6732" s="28" t="s">
        <v>34867</v>
      </c>
      <c r="P6732">
        <v>6151</v>
      </c>
      <c r="Q6732" t="s">
        <v>14768</v>
      </c>
      <c r="R6732" s="28" t="s">
        <v>14769</v>
      </c>
      <c r="S6732" t="s">
        <v>13022</v>
      </c>
    </row>
    <row r="6733" spans="1:19" x14ac:dyDescent="0.25">
      <c r="A6733" s="27" t="s">
        <v>193</v>
      </c>
      <c r="C6733" s="27" t="s">
        <v>34749</v>
      </c>
      <c r="D6733" s="28" t="s">
        <v>34867</v>
      </c>
      <c r="P6733">
        <v>6152</v>
      </c>
      <c r="Q6733" t="s">
        <v>8517</v>
      </c>
      <c r="R6733" s="28" t="s">
        <v>8518</v>
      </c>
      <c r="S6733" t="s">
        <v>13022</v>
      </c>
    </row>
    <row r="6734" spans="1:19" x14ac:dyDescent="0.25">
      <c r="A6734" s="27" t="s">
        <v>193</v>
      </c>
      <c r="C6734" s="27" t="s">
        <v>34749</v>
      </c>
      <c r="D6734" s="28" t="s">
        <v>34867</v>
      </c>
      <c r="P6734">
        <v>6153</v>
      </c>
      <c r="Q6734" t="s">
        <v>14770</v>
      </c>
      <c r="R6734" s="28" t="s">
        <v>14771</v>
      </c>
      <c r="S6734" t="s">
        <v>13022</v>
      </c>
    </row>
    <row r="6735" spans="1:19" x14ac:dyDescent="0.25">
      <c r="A6735" s="27" t="s">
        <v>193</v>
      </c>
      <c r="C6735" s="27" t="s">
        <v>34749</v>
      </c>
      <c r="D6735" s="28" t="s">
        <v>34867</v>
      </c>
      <c r="P6735">
        <v>6154</v>
      </c>
      <c r="Q6735" t="s">
        <v>14772</v>
      </c>
      <c r="R6735" s="28" t="s">
        <v>14773</v>
      </c>
      <c r="S6735" t="s">
        <v>13022</v>
      </c>
    </row>
    <row r="6736" spans="1:19" x14ac:dyDescent="0.25">
      <c r="A6736" s="27" t="s">
        <v>193</v>
      </c>
      <c r="C6736" s="27" t="s">
        <v>34749</v>
      </c>
      <c r="D6736" s="28" t="s">
        <v>34867</v>
      </c>
      <c r="P6736">
        <v>6155</v>
      </c>
      <c r="Q6736" t="s">
        <v>9057</v>
      </c>
      <c r="R6736" s="28" t="s">
        <v>9058</v>
      </c>
      <c r="S6736" t="s">
        <v>13022</v>
      </c>
    </row>
    <row r="6737" spans="1:19" x14ac:dyDescent="0.25">
      <c r="A6737" s="27" t="s">
        <v>193</v>
      </c>
      <c r="C6737" s="27" t="s">
        <v>34749</v>
      </c>
      <c r="D6737" s="28" t="s">
        <v>34867</v>
      </c>
      <c r="P6737">
        <v>6156</v>
      </c>
      <c r="Q6737" t="s">
        <v>14774</v>
      </c>
      <c r="R6737" s="28" t="s">
        <v>10529</v>
      </c>
      <c r="S6737" t="s">
        <v>13022</v>
      </c>
    </row>
    <row r="6738" spans="1:19" x14ac:dyDescent="0.25">
      <c r="A6738" s="27" t="s">
        <v>193</v>
      </c>
      <c r="C6738" s="27" t="s">
        <v>34749</v>
      </c>
      <c r="D6738" s="28" t="s">
        <v>34867</v>
      </c>
      <c r="P6738">
        <v>6157</v>
      </c>
      <c r="Q6738" t="s">
        <v>7638</v>
      </c>
      <c r="R6738" s="28" t="s">
        <v>7639</v>
      </c>
      <c r="S6738" t="s">
        <v>13022</v>
      </c>
    </row>
    <row r="6739" spans="1:19" x14ac:dyDescent="0.25">
      <c r="A6739" s="27" t="s">
        <v>193</v>
      </c>
      <c r="C6739" s="27" t="s">
        <v>34749</v>
      </c>
      <c r="D6739" s="28" t="s">
        <v>34867</v>
      </c>
      <c r="P6739">
        <v>6158</v>
      </c>
      <c r="Q6739" t="s">
        <v>14775</v>
      </c>
      <c r="R6739" s="28" t="s">
        <v>14776</v>
      </c>
      <c r="S6739" t="s">
        <v>13022</v>
      </c>
    </row>
    <row r="6740" spans="1:19" x14ac:dyDescent="0.25">
      <c r="A6740" s="27" t="s">
        <v>193</v>
      </c>
      <c r="C6740" s="27" t="s">
        <v>34749</v>
      </c>
      <c r="D6740" s="28" t="s">
        <v>34867</v>
      </c>
      <c r="P6740">
        <v>6159</v>
      </c>
      <c r="Q6740" t="s">
        <v>14777</v>
      </c>
      <c r="R6740" s="28" t="s">
        <v>14778</v>
      </c>
      <c r="S6740" t="s">
        <v>13022</v>
      </c>
    </row>
    <row r="6741" spans="1:19" x14ac:dyDescent="0.25">
      <c r="A6741" s="27" t="s">
        <v>193</v>
      </c>
      <c r="C6741" s="27" t="s">
        <v>34749</v>
      </c>
      <c r="D6741" s="28" t="s">
        <v>34867</v>
      </c>
      <c r="P6741">
        <v>6160</v>
      </c>
      <c r="Q6741" t="s">
        <v>14779</v>
      </c>
      <c r="R6741" s="28" t="s">
        <v>14780</v>
      </c>
      <c r="S6741" t="s">
        <v>13022</v>
      </c>
    </row>
    <row r="6742" spans="1:19" x14ac:dyDescent="0.25">
      <c r="A6742" s="27" t="s">
        <v>193</v>
      </c>
      <c r="C6742" s="27" t="s">
        <v>34749</v>
      </c>
      <c r="D6742" s="28" t="s">
        <v>34867</v>
      </c>
      <c r="P6742">
        <v>6161</v>
      </c>
      <c r="Q6742" t="s">
        <v>14781</v>
      </c>
      <c r="R6742" s="28" t="s">
        <v>14782</v>
      </c>
      <c r="S6742" t="s">
        <v>13022</v>
      </c>
    </row>
    <row r="6743" spans="1:19" x14ac:dyDescent="0.25">
      <c r="A6743" s="27" t="s">
        <v>193</v>
      </c>
      <c r="C6743" s="27" t="s">
        <v>34749</v>
      </c>
      <c r="D6743" s="28" t="s">
        <v>34867</v>
      </c>
      <c r="P6743">
        <v>6162</v>
      </c>
      <c r="Q6743" t="s">
        <v>10284</v>
      </c>
      <c r="R6743" s="28" t="s">
        <v>14783</v>
      </c>
      <c r="S6743" t="s">
        <v>13022</v>
      </c>
    </row>
    <row r="6744" spans="1:19" x14ac:dyDescent="0.25">
      <c r="A6744" s="27" t="s">
        <v>193</v>
      </c>
      <c r="C6744" s="27" t="s">
        <v>34749</v>
      </c>
      <c r="D6744" s="28" t="s">
        <v>34867</v>
      </c>
      <c r="P6744">
        <v>6163</v>
      </c>
      <c r="Q6744" t="s">
        <v>11008</v>
      </c>
      <c r="R6744" s="28" t="s">
        <v>11009</v>
      </c>
      <c r="S6744" t="s">
        <v>13022</v>
      </c>
    </row>
    <row r="6745" spans="1:19" x14ac:dyDescent="0.25">
      <c r="A6745" s="27" t="s">
        <v>193</v>
      </c>
      <c r="C6745" s="27" t="s">
        <v>34749</v>
      </c>
      <c r="D6745" s="28" t="s">
        <v>34867</v>
      </c>
      <c r="P6745">
        <v>6164</v>
      </c>
      <c r="Q6745" t="s">
        <v>14784</v>
      </c>
      <c r="R6745" s="28" t="s">
        <v>14785</v>
      </c>
      <c r="S6745" t="s">
        <v>13022</v>
      </c>
    </row>
    <row r="6746" spans="1:19" x14ac:dyDescent="0.25">
      <c r="A6746" s="27" t="s">
        <v>193</v>
      </c>
      <c r="C6746" s="27" t="s">
        <v>34749</v>
      </c>
      <c r="D6746" s="28" t="s">
        <v>34867</v>
      </c>
      <c r="P6746">
        <v>6165</v>
      </c>
      <c r="Q6746" t="s">
        <v>10516</v>
      </c>
      <c r="R6746" s="28" t="s">
        <v>10517</v>
      </c>
      <c r="S6746" t="s">
        <v>13022</v>
      </c>
    </row>
    <row r="6747" spans="1:19" x14ac:dyDescent="0.25">
      <c r="A6747" s="27" t="s">
        <v>193</v>
      </c>
      <c r="C6747" s="27" t="s">
        <v>34749</v>
      </c>
      <c r="D6747" s="28" t="s">
        <v>34867</v>
      </c>
      <c r="P6747">
        <v>6166</v>
      </c>
      <c r="Q6747" t="s">
        <v>14786</v>
      </c>
      <c r="R6747" s="28" t="s">
        <v>14787</v>
      </c>
      <c r="S6747" t="s">
        <v>13022</v>
      </c>
    </row>
    <row r="6748" spans="1:19" x14ac:dyDescent="0.25">
      <c r="A6748" s="27" t="s">
        <v>193</v>
      </c>
      <c r="C6748" s="27" t="s">
        <v>34749</v>
      </c>
      <c r="D6748" s="28" t="s">
        <v>34867</v>
      </c>
      <c r="P6748">
        <v>6167</v>
      </c>
      <c r="Q6748" t="s">
        <v>14788</v>
      </c>
      <c r="R6748" s="28" t="s">
        <v>14789</v>
      </c>
      <c r="S6748" t="s">
        <v>13022</v>
      </c>
    </row>
    <row r="6749" spans="1:19" x14ac:dyDescent="0.25">
      <c r="A6749" s="27" t="s">
        <v>193</v>
      </c>
      <c r="C6749" s="27" t="s">
        <v>34749</v>
      </c>
      <c r="D6749" s="28" t="s">
        <v>34867</v>
      </c>
      <c r="P6749">
        <v>6168</v>
      </c>
      <c r="Q6749" t="s">
        <v>10522</v>
      </c>
      <c r="R6749" s="28" t="s">
        <v>10523</v>
      </c>
      <c r="S6749" t="s">
        <v>13022</v>
      </c>
    </row>
    <row r="6750" spans="1:19" x14ac:dyDescent="0.25">
      <c r="A6750" s="27" t="s">
        <v>193</v>
      </c>
      <c r="C6750" s="27" t="s">
        <v>34749</v>
      </c>
      <c r="D6750" s="28" t="s">
        <v>34867</v>
      </c>
      <c r="P6750">
        <v>6169</v>
      </c>
      <c r="Q6750" t="s">
        <v>9894</v>
      </c>
      <c r="R6750" s="28" t="s">
        <v>9895</v>
      </c>
      <c r="S6750" t="s">
        <v>13022</v>
      </c>
    </row>
    <row r="6751" spans="1:19" x14ac:dyDescent="0.25">
      <c r="A6751" s="27" t="s">
        <v>193</v>
      </c>
      <c r="C6751" s="27" t="s">
        <v>34749</v>
      </c>
      <c r="D6751" s="28" t="s">
        <v>34867</v>
      </c>
      <c r="P6751">
        <v>6170</v>
      </c>
      <c r="Q6751" t="s">
        <v>9762</v>
      </c>
      <c r="R6751" s="28" t="s">
        <v>9763</v>
      </c>
      <c r="S6751" t="s">
        <v>13022</v>
      </c>
    </row>
    <row r="6752" spans="1:19" x14ac:dyDescent="0.25">
      <c r="A6752" s="27" t="s">
        <v>193</v>
      </c>
      <c r="C6752" s="27" t="s">
        <v>34749</v>
      </c>
      <c r="D6752" s="28" t="s">
        <v>34867</v>
      </c>
      <c r="P6752">
        <v>6171</v>
      </c>
      <c r="Q6752" t="s">
        <v>14790</v>
      </c>
      <c r="R6752" s="28" t="s">
        <v>5220</v>
      </c>
      <c r="S6752" t="s">
        <v>13022</v>
      </c>
    </row>
    <row r="6753" spans="1:19" x14ac:dyDescent="0.25">
      <c r="A6753" s="27" t="s">
        <v>193</v>
      </c>
      <c r="C6753" s="27" t="s">
        <v>34749</v>
      </c>
      <c r="D6753" s="28" t="s">
        <v>34867</v>
      </c>
      <c r="P6753">
        <v>6172</v>
      </c>
      <c r="Q6753" t="s">
        <v>10861</v>
      </c>
      <c r="R6753" s="28" t="s">
        <v>10862</v>
      </c>
      <c r="S6753" t="s">
        <v>13022</v>
      </c>
    </row>
    <row r="6754" spans="1:19" x14ac:dyDescent="0.25">
      <c r="A6754" s="27" t="s">
        <v>193</v>
      </c>
      <c r="C6754" s="27" t="s">
        <v>34749</v>
      </c>
      <c r="D6754" s="28" t="s">
        <v>34867</v>
      </c>
      <c r="P6754">
        <v>6175</v>
      </c>
      <c r="Q6754" t="s">
        <v>9999</v>
      </c>
      <c r="R6754" s="28" t="s">
        <v>14791</v>
      </c>
      <c r="S6754" t="s">
        <v>13022</v>
      </c>
    </row>
    <row r="6755" spans="1:19" x14ac:dyDescent="0.25">
      <c r="A6755" s="27" t="s">
        <v>193</v>
      </c>
      <c r="C6755" s="27" t="s">
        <v>34749</v>
      </c>
      <c r="D6755" s="28" t="s">
        <v>34867</v>
      </c>
      <c r="P6755">
        <v>6177</v>
      </c>
      <c r="Q6755" t="s">
        <v>14792</v>
      </c>
      <c r="R6755" s="28" t="s">
        <v>14793</v>
      </c>
      <c r="S6755" t="s">
        <v>13022</v>
      </c>
    </row>
    <row r="6756" spans="1:19" x14ac:dyDescent="0.25">
      <c r="A6756" s="27" t="s">
        <v>193</v>
      </c>
      <c r="C6756" s="27" t="s">
        <v>34749</v>
      </c>
      <c r="D6756" s="28" t="s">
        <v>34867</v>
      </c>
      <c r="P6756">
        <v>6178</v>
      </c>
      <c r="Q6756" t="s">
        <v>14794</v>
      </c>
      <c r="R6756" s="28" t="s">
        <v>14795</v>
      </c>
      <c r="S6756" t="s">
        <v>13022</v>
      </c>
    </row>
    <row r="6757" spans="1:19" x14ac:dyDescent="0.25">
      <c r="A6757" s="27" t="s">
        <v>193</v>
      </c>
      <c r="C6757" s="27" t="s">
        <v>34749</v>
      </c>
      <c r="D6757" s="28" t="s">
        <v>34867</v>
      </c>
      <c r="P6757">
        <v>6179</v>
      </c>
      <c r="Q6757" t="s">
        <v>14796</v>
      </c>
      <c r="S6757" t="s">
        <v>13022</v>
      </c>
    </row>
    <row r="6758" spans="1:19" x14ac:dyDescent="0.25">
      <c r="A6758" s="27" t="s">
        <v>193</v>
      </c>
      <c r="C6758" s="27" t="s">
        <v>34749</v>
      </c>
      <c r="D6758" s="28" t="s">
        <v>34867</v>
      </c>
      <c r="P6758">
        <v>6365</v>
      </c>
      <c r="Q6758" t="s">
        <v>14797</v>
      </c>
      <c r="S6758" t="s">
        <v>13022</v>
      </c>
    </row>
    <row r="6759" spans="1:19" x14ac:dyDescent="0.25">
      <c r="A6759" s="27" t="s">
        <v>193</v>
      </c>
      <c r="C6759" s="27" t="s">
        <v>34749</v>
      </c>
      <c r="D6759" s="28" t="s">
        <v>34867</v>
      </c>
      <c r="P6759">
        <v>6366</v>
      </c>
      <c r="Q6759" t="s">
        <v>14798</v>
      </c>
      <c r="R6759" s="28" t="s">
        <v>1144</v>
      </c>
      <c r="S6759" t="s">
        <v>13022</v>
      </c>
    </row>
    <row r="6760" spans="1:19" x14ac:dyDescent="0.25">
      <c r="A6760" s="27" t="s">
        <v>193</v>
      </c>
      <c r="C6760" s="27" t="s">
        <v>34749</v>
      </c>
      <c r="D6760" s="28" t="s">
        <v>34867</v>
      </c>
      <c r="P6760">
        <v>6368</v>
      </c>
      <c r="Q6760" t="s">
        <v>14799</v>
      </c>
      <c r="R6760" s="28" t="s">
        <v>9031</v>
      </c>
      <c r="S6760" t="s">
        <v>13022</v>
      </c>
    </row>
    <row r="6761" spans="1:19" x14ac:dyDescent="0.25">
      <c r="A6761" s="27" t="s">
        <v>193</v>
      </c>
      <c r="C6761" s="27" t="s">
        <v>34749</v>
      </c>
      <c r="D6761" s="28" t="s">
        <v>34867</v>
      </c>
      <c r="P6761">
        <v>6369</v>
      </c>
      <c r="Q6761" t="s">
        <v>14800</v>
      </c>
      <c r="R6761" s="28" t="s">
        <v>4693</v>
      </c>
      <c r="S6761" t="s">
        <v>13022</v>
      </c>
    </row>
    <row r="6762" spans="1:19" x14ac:dyDescent="0.25">
      <c r="A6762" s="27" t="s">
        <v>193</v>
      </c>
      <c r="C6762" s="27" t="s">
        <v>34749</v>
      </c>
      <c r="D6762" s="28" t="s">
        <v>34867</v>
      </c>
      <c r="P6762">
        <v>6370</v>
      </c>
      <c r="Q6762" t="s">
        <v>14801</v>
      </c>
      <c r="R6762" s="28" t="s">
        <v>9910</v>
      </c>
      <c r="S6762" t="s">
        <v>13022</v>
      </c>
    </row>
    <row r="6763" spans="1:19" x14ac:dyDescent="0.25">
      <c r="A6763" s="27" t="s">
        <v>193</v>
      </c>
      <c r="C6763" s="27" t="s">
        <v>34749</v>
      </c>
      <c r="D6763" s="28" t="s">
        <v>34867</v>
      </c>
      <c r="P6763">
        <v>6371</v>
      </c>
      <c r="Q6763" t="s">
        <v>14802</v>
      </c>
      <c r="R6763" s="28" t="s">
        <v>9934</v>
      </c>
      <c r="S6763" t="s">
        <v>13022</v>
      </c>
    </row>
    <row r="6764" spans="1:19" x14ac:dyDescent="0.25">
      <c r="A6764" s="27" t="s">
        <v>193</v>
      </c>
      <c r="C6764" s="27" t="s">
        <v>34749</v>
      </c>
      <c r="D6764" s="28" t="s">
        <v>34867</v>
      </c>
      <c r="P6764">
        <v>6372</v>
      </c>
      <c r="Q6764" t="s">
        <v>14803</v>
      </c>
      <c r="R6764" s="28" t="s">
        <v>10574</v>
      </c>
      <c r="S6764" t="s">
        <v>13022</v>
      </c>
    </row>
    <row r="6765" spans="1:19" x14ac:dyDescent="0.25">
      <c r="A6765" s="27" t="s">
        <v>193</v>
      </c>
      <c r="C6765" s="27" t="s">
        <v>34749</v>
      </c>
      <c r="D6765" s="28" t="s">
        <v>34867</v>
      </c>
      <c r="P6765">
        <v>6373</v>
      </c>
      <c r="Q6765" t="s">
        <v>14804</v>
      </c>
      <c r="R6765" s="28" t="s">
        <v>10940</v>
      </c>
      <c r="S6765" t="s">
        <v>13022</v>
      </c>
    </row>
    <row r="6766" spans="1:19" x14ac:dyDescent="0.25">
      <c r="A6766" s="27" t="s">
        <v>193</v>
      </c>
      <c r="C6766" s="27" t="s">
        <v>34749</v>
      </c>
      <c r="D6766" s="28" t="s">
        <v>34867</v>
      </c>
      <c r="P6766">
        <v>6374</v>
      </c>
      <c r="Q6766" t="s">
        <v>14805</v>
      </c>
      <c r="R6766" s="28" t="s">
        <v>11222</v>
      </c>
      <c r="S6766" t="s">
        <v>13022</v>
      </c>
    </row>
    <row r="6767" spans="1:19" x14ac:dyDescent="0.25">
      <c r="A6767" s="27" t="s">
        <v>193</v>
      </c>
      <c r="C6767" s="27" t="s">
        <v>34749</v>
      </c>
      <c r="D6767" s="28" t="s">
        <v>34867</v>
      </c>
      <c r="P6767">
        <v>6375</v>
      </c>
      <c r="Q6767" t="s">
        <v>14806</v>
      </c>
      <c r="R6767" s="28" t="s">
        <v>14807</v>
      </c>
      <c r="S6767" t="s">
        <v>13022</v>
      </c>
    </row>
    <row r="6768" spans="1:19" x14ac:dyDescent="0.25">
      <c r="A6768" s="27" t="s">
        <v>193</v>
      </c>
      <c r="C6768" s="27" t="s">
        <v>34749</v>
      </c>
      <c r="D6768" s="28" t="s">
        <v>34867</v>
      </c>
      <c r="P6768">
        <v>6376</v>
      </c>
      <c r="Q6768" t="s">
        <v>14808</v>
      </c>
      <c r="S6768" t="s">
        <v>13022</v>
      </c>
    </row>
    <row r="6769" spans="1:19" x14ac:dyDescent="0.25">
      <c r="A6769" s="27" t="s">
        <v>193</v>
      </c>
      <c r="C6769" s="27" t="s">
        <v>34749</v>
      </c>
      <c r="D6769" s="28" t="s">
        <v>34867</v>
      </c>
      <c r="P6769">
        <v>6377</v>
      </c>
      <c r="Q6769" t="s">
        <v>14809</v>
      </c>
      <c r="S6769" t="s">
        <v>13022</v>
      </c>
    </row>
    <row r="6770" spans="1:19" x14ac:dyDescent="0.25">
      <c r="A6770" s="27" t="s">
        <v>193</v>
      </c>
      <c r="C6770" s="27" t="s">
        <v>34749</v>
      </c>
      <c r="D6770" s="28" t="s">
        <v>34867</v>
      </c>
      <c r="P6770">
        <v>6378</v>
      </c>
      <c r="Q6770" t="s">
        <v>14810</v>
      </c>
      <c r="R6770" s="28" t="s">
        <v>11973</v>
      </c>
      <c r="S6770" t="s">
        <v>13022</v>
      </c>
    </row>
    <row r="6771" spans="1:19" x14ac:dyDescent="0.25">
      <c r="A6771" s="27" t="s">
        <v>193</v>
      </c>
      <c r="C6771" s="27" t="s">
        <v>34749</v>
      </c>
      <c r="D6771" s="28" t="s">
        <v>34867</v>
      </c>
      <c r="P6771">
        <v>6379</v>
      </c>
      <c r="Q6771" t="s">
        <v>14811</v>
      </c>
      <c r="R6771" s="28" t="s">
        <v>12176</v>
      </c>
      <c r="S6771" t="s">
        <v>13022</v>
      </c>
    </row>
    <row r="6772" spans="1:19" x14ac:dyDescent="0.25">
      <c r="A6772" s="27" t="s">
        <v>193</v>
      </c>
      <c r="C6772" s="27" t="s">
        <v>34749</v>
      </c>
      <c r="D6772" s="28" t="s">
        <v>34867</v>
      </c>
      <c r="P6772">
        <v>6380</v>
      </c>
      <c r="Q6772" t="s">
        <v>14812</v>
      </c>
      <c r="R6772" s="28" t="s">
        <v>12242</v>
      </c>
      <c r="S6772" t="s">
        <v>13022</v>
      </c>
    </row>
    <row r="6773" spans="1:19" x14ac:dyDescent="0.25">
      <c r="A6773" s="27" t="s">
        <v>193</v>
      </c>
      <c r="C6773" s="27" t="s">
        <v>34749</v>
      </c>
      <c r="D6773" s="28" t="s">
        <v>34867</v>
      </c>
      <c r="P6773">
        <v>6381</v>
      </c>
      <c r="Q6773" t="s">
        <v>14813</v>
      </c>
      <c r="R6773" s="28" t="s">
        <v>12272</v>
      </c>
      <c r="S6773" t="s">
        <v>13022</v>
      </c>
    </row>
    <row r="6774" spans="1:19" x14ac:dyDescent="0.25">
      <c r="A6774" s="27" t="s">
        <v>193</v>
      </c>
      <c r="C6774" s="27" t="s">
        <v>34749</v>
      </c>
      <c r="D6774" s="28" t="s">
        <v>34867</v>
      </c>
      <c r="P6774">
        <v>6382</v>
      </c>
      <c r="Q6774" t="s">
        <v>14814</v>
      </c>
      <c r="R6774" s="28" t="s">
        <v>9781</v>
      </c>
      <c r="S6774" t="s">
        <v>13022</v>
      </c>
    </row>
    <row r="6775" spans="1:19" x14ac:dyDescent="0.25">
      <c r="A6775" s="27" t="s">
        <v>193</v>
      </c>
      <c r="C6775" s="27" t="s">
        <v>34749</v>
      </c>
      <c r="D6775" s="28" t="s">
        <v>34867</v>
      </c>
      <c r="P6775">
        <v>6383</v>
      </c>
      <c r="Q6775" t="s">
        <v>14815</v>
      </c>
      <c r="R6775" s="28" t="s">
        <v>8830</v>
      </c>
      <c r="S6775" t="s">
        <v>13022</v>
      </c>
    </row>
    <row r="6776" spans="1:19" x14ac:dyDescent="0.25">
      <c r="A6776" s="27" t="s">
        <v>193</v>
      </c>
      <c r="C6776" s="27" t="s">
        <v>34749</v>
      </c>
      <c r="D6776" s="28" t="s">
        <v>34867</v>
      </c>
      <c r="P6776">
        <v>6384</v>
      </c>
      <c r="Q6776" t="s">
        <v>14816</v>
      </c>
      <c r="R6776" s="28" t="s">
        <v>14817</v>
      </c>
      <c r="S6776" t="s">
        <v>13022</v>
      </c>
    </row>
    <row r="6777" spans="1:19" x14ac:dyDescent="0.25">
      <c r="A6777" s="27" t="s">
        <v>193</v>
      </c>
      <c r="C6777" s="27" t="s">
        <v>34749</v>
      </c>
      <c r="D6777" s="28" t="s">
        <v>34867</v>
      </c>
      <c r="P6777">
        <v>6385</v>
      </c>
      <c r="Q6777" t="s">
        <v>14818</v>
      </c>
      <c r="R6777" s="28" t="s">
        <v>7704</v>
      </c>
      <c r="S6777" t="s">
        <v>13022</v>
      </c>
    </row>
    <row r="6778" spans="1:19" x14ac:dyDescent="0.25">
      <c r="A6778" s="27" t="s">
        <v>193</v>
      </c>
      <c r="C6778" s="27" t="s">
        <v>34749</v>
      </c>
      <c r="D6778" s="28" t="s">
        <v>34867</v>
      </c>
      <c r="P6778">
        <v>6386</v>
      </c>
      <c r="Q6778" t="s">
        <v>14819</v>
      </c>
      <c r="R6778" s="28" t="s">
        <v>8476</v>
      </c>
      <c r="S6778" t="s">
        <v>13022</v>
      </c>
    </row>
    <row r="6779" spans="1:19" x14ac:dyDescent="0.25">
      <c r="A6779" s="27" t="s">
        <v>193</v>
      </c>
      <c r="C6779" s="27" t="s">
        <v>34749</v>
      </c>
      <c r="D6779" s="28" t="s">
        <v>34867</v>
      </c>
      <c r="P6779">
        <v>6387</v>
      </c>
      <c r="Q6779" t="s">
        <v>14820</v>
      </c>
      <c r="R6779" s="28" t="s">
        <v>14821</v>
      </c>
      <c r="S6779" t="s">
        <v>13022</v>
      </c>
    </row>
    <row r="6780" spans="1:19" x14ac:dyDescent="0.25">
      <c r="A6780" s="27" t="s">
        <v>193</v>
      </c>
      <c r="C6780" s="27" t="s">
        <v>34749</v>
      </c>
      <c r="D6780" s="28" t="s">
        <v>34867</v>
      </c>
      <c r="P6780">
        <v>6388</v>
      </c>
      <c r="Q6780" t="s">
        <v>14822</v>
      </c>
      <c r="R6780" s="28" t="s">
        <v>4630</v>
      </c>
      <c r="S6780" t="s">
        <v>13022</v>
      </c>
    </row>
    <row r="6781" spans="1:19" x14ac:dyDescent="0.25">
      <c r="A6781" s="27" t="s">
        <v>193</v>
      </c>
      <c r="C6781" s="27" t="s">
        <v>34749</v>
      </c>
      <c r="D6781" s="28" t="s">
        <v>34867</v>
      </c>
      <c r="P6781">
        <v>6389</v>
      </c>
      <c r="Q6781" t="s">
        <v>14823</v>
      </c>
      <c r="R6781" s="28" t="s">
        <v>9475</v>
      </c>
      <c r="S6781" t="s">
        <v>13022</v>
      </c>
    </row>
    <row r="6782" spans="1:19" x14ac:dyDescent="0.25">
      <c r="A6782" s="27" t="s">
        <v>193</v>
      </c>
      <c r="C6782" s="27" t="s">
        <v>34749</v>
      </c>
      <c r="D6782" s="28" t="s">
        <v>34867</v>
      </c>
      <c r="P6782">
        <v>6390</v>
      </c>
      <c r="Q6782" t="s">
        <v>14824</v>
      </c>
      <c r="R6782" s="28" t="s">
        <v>10213</v>
      </c>
      <c r="S6782" t="s">
        <v>13022</v>
      </c>
    </row>
    <row r="6783" spans="1:19" x14ac:dyDescent="0.25">
      <c r="A6783" s="27" t="s">
        <v>193</v>
      </c>
      <c r="C6783" s="27" t="s">
        <v>34749</v>
      </c>
      <c r="D6783" s="28" t="s">
        <v>34867</v>
      </c>
      <c r="P6783">
        <v>6391</v>
      </c>
      <c r="Q6783" t="s">
        <v>14825</v>
      </c>
      <c r="R6783" s="28" t="s">
        <v>10331</v>
      </c>
      <c r="S6783" t="s">
        <v>13022</v>
      </c>
    </row>
    <row r="6784" spans="1:19" x14ac:dyDescent="0.25">
      <c r="A6784" s="27" t="s">
        <v>193</v>
      </c>
      <c r="C6784" s="27" t="s">
        <v>34749</v>
      </c>
      <c r="D6784" s="28" t="s">
        <v>34867</v>
      </c>
      <c r="P6784">
        <v>6392</v>
      </c>
      <c r="Q6784" t="s">
        <v>14826</v>
      </c>
      <c r="R6784" s="28" t="s">
        <v>10415</v>
      </c>
      <c r="S6784" t="s">
        <v>13022</v>
      </c>
    </row>
    <row r="6785" spans="1:19" x14ac:dyDescent="0.25">
      <c r="A6785" s="27" t="s">
        <v>193</v>
      </c>
      <c r="C6785" s="27" t="s">
        <v>34749</v>
      </c>
      <c r="D6785" s="28" t="s">
        <v>34867</v>
      </c>
      <c r="P6785">
        <v>6393</v>
      </c>
      <c r="Q6785" t="s">
        <v>14827</v>
      </c>
      <c r="R6785" s="28" t="s">
        <v>8752</v>
      </c>
      <c r="S6785" t="s">
        <v>13022</v>
      </c>
    </row>
    <row r="6786" spans="1:19" x14ac:dyDescent="0.25">
      <c r="A6786" s="27" t="s">
        <v>193</v>
      </c>
      <c r="C6786" s="27" t="s">
        <v>34749</v>
      </c>
      <c r="D6786" s="28" t="s">
        <v>34867</v>
      </c>
      <c r="P6786">
        <v>6394</v>
      </c>
      <c r="Q6786" t="s">
        <v>14828</v>
      </c>
      <c r="R6786" s="28" t="s">
        <v>14829</v>
      </c>
      <c r="S6786" t="s">
        <v>13022</v>
      </c>
    </row>
    <row r="6787" spans="1:19" x14ac:dyDescent="0.25">
      <c r="A6787" s="27" t="s">
        <v>193</v>
      </c>
      <c r="C6787" s="27" t="s">
        <v>34749</v>
      </c>
      <c r="D6787" s="28" t="s">
        <v>34867</v>
      </c>
      <c r="P6787">
        <v>6395</v>
      </c>
      <c r="Q6787" t="s">
        <v>14830</v>
      </c>
      <c r="R6787" s="28" t="s">
        <v>9913</v>
      </c>
      <c r="S6787" t="s">
        <v>13022</v>
      </c>
    </row>
    <row r="6788" spans="1:19" x14ac:dyDescent="0.25">
      <c r="A6788" s="27" t="s">
        <v>193</v>
      </c>
      <c r="C6788" s="27" t="s">
        <v>34749</v>
      </c>
      <c r="D6788" s="28" t="s">
        <v>34867</v>
      </c>
      <c r="P6788">
        <v>6396</v>
      </c>
      <c r="Q6788" t="s">
        <v>14831</v>
      </c>
      <c r="R6788" s="28" t="s">
        <v>10310</v>
      </c>
      <c r="S6788" t="s">
        <v>13022</v>
      </c>
    </row>
    <row r="6789" spans="1:19" x14ac:dyDescent="0.25">
      <c r="A6789" s="27" t="s">
        <v>193</v>
      </c>
      <c r="C6789" s="27" t="s">
        <v>34749</v>
      </c>
      <c r="D6789" s="28" t="s">
        <v>34867</v>
      </c>
      <c r="P6789">
        <v>6397</v>
      </c>
      <c r="Q6789" t="s">
        <v>14832</v>
      </c>
      <c r="R6789" s="28" t="s">
        <v>6050</v>
      </c>
      <c r="S6789" t="s">
        <v>13022</v>
      </c>
    </row>
    <row r="6790" spans="1:19" x14ac:dyDescent="0.25">
      <c r="A6790" s="27" t="s">
        <v>193</v>
      </c>
      <c r="C6790" s="27" t="s">
        <v>34749</v>
      </c>
      <c r="D6790" s="28" t="s">
        <v>34867</v>
      </c>
      <c r="P6790">
        <v>6398</v>
      </c>
      <c r="Q6790" t="s">
        <v>14833</v>
      </c>
      <c r="R6790" s="28" t="s">
        <v>2656</v>
      </c>
      <c r="S6790" t="s">
        <v>13022</v>
      </c>
    </row>
    <row r="6791" spans="1:19" x14ac:dyDescent="0.25">
      <c r="A6791" s="27" t="s">
        <v>193</v>
      </c>
      <c r="C6791" s="27" t="s">
        <v>34749</v>
      </c>
      <c r="D6791" s="28" t="s">
        <v>34867</v>
      </c>
      <c r="P6791">
        <v>6399</v>
      </c>
      <c r="Q6791" t="s">
        <v>14834</v>
      </c>
      <c r="R6791" s="28" t="s">
        <v>6492</v>
      </c>
      <c r="S6791" t="s">
        <v>13022</v>
      </c>
    </row>
    <row r="6792" spans="1:19" x14ac:dyDescent="0.25">
      <c r="A6792" s="27" t="s">
        <v>193</v>
      </c>
      <c r="C6792" s="27" t="s">
        <v>34749</v>
      </c>
      <c r="D6792" s="28" t="s">
        <v>34867</v>
      </c>
      <c r="P6792">
        <v>6400</v>
      </c>
      <c r="Q6792" t="s">
        <v>14835</v>
      </c>
      <c r="R6792" s="28" t="s">
        <v>11775</v>
      </c>
      <c r="S6792" t="s">
        <v>13022</v>
      </c>
    </row>
    <row r="6793" spans="1:19" x14ac:dyDescent="0.25">
      <c r="A6793" s="27" t="s">
        <v>193</v>
      </c>
      <c r="C6793" s="27" t="s">
        <v>34749</v>
      </c>
      <c r="D6793" s="28" t="s">
        <v>34867</v>
      </c>
      <c r="P6793">
        <v>6401</v>
      </c>
      <c r="Q6793" t="s">
        <v>14836</v>
      </c>
      <c r="R6793" s="28" t="s">
        <v>12015</v>
      </c>
      <c r="S6793" t="s">
        <v>13022</v>
      </c>
    </row>
    <row r="6794" spans="1:19" x14ac:dyDescent="0.25">
      <c r="A6794" s="27" t="s">
        <v>193</v>
      </c>
      <c r="C6794" s="27" t="s">
        <v>34749</v>
      </c>
      <c r="D6794" s="28" t="s">
        <v>34867</v>
      </c>
      <c r="P6794">
        <v>6402</v>
      </c>
      <c r="Q6794" t="s">
        <v>14837</v>
      </c>
      <c r="R6794" s="28" t="s">
        <v>12245</v>
      </c>
      <c r="S6794" t="s">
        <v>13022</v>
      </c>
    </row>
    <row r="6795" spans="1:19" x14ac:dyDescent="0.25">
      <c r="A6795" s="27" t="s">
        <v>193</v>
      </c>
      <c r="C6795" s="27" t="s">
        <v>34749</v>
      </c>
      <c r="D6795" s="28" t="s">
        <v>34867</v>
      </c>
      <c r="P6795">
        <v>6403</v>
      </c>
      <c r="Q6795" t="s">
        <v>14838</v>
      </c>
      <c r="R6795" s="28" t="s">
        <v>814</v>
      </c>
      <c r="S6795" t="s">
        <v>13022</v>
      </c>
    </row>
    <row r="6796" spans="1:19" x14ac:dyDescent="0.25">
      <c r="A6796" s="27" t="s">
        <v>193</v>
      </c>
      <c r="C6796" s="27" t="s">
        <v>34749</v>
      </c>
      <c r="D6796" s="28" t="s">
        <v>34867</v>
      </c>
      <c r="P6796">
        <v>6404</v>
      </c>
      <c r="Q6796" t="s">
        <v>14839</v>
      </c>
      <c r="R6796" s="28" t="s">
        <v>14840</v>
      </c>
      <c r="S6796" t="s">
        <v>13022</v>
      </c>
    </row>
    <row r="6797" spans="1:19" x14ac:dyDescent="0.25">
      <c r="A6797" s="27" t="s">
        <v>193</v>
      </c>
      <c r="C6797" s="27" t="s">
        <v>34749</v>
      </c>
      <c r="D6797" s="28" t="s">
        <v>34867</v>
      </c>
      <c r="P6797">
        <v>6405</v>
      </c>
      <c r="Q6797" t="s">
        <v>14841</v>
      </c>
      <c r="R6797" s="28" t="s">
        <v>14842</v>
      </c>
      <c r="S6797" t="s">
        <v>13022</v>
      </c>
    </row>
    <row r="6798" spans="1:19" x14ac:dyDescent="0.25">
      <c r="A6798" t="s">
        <v>14843</v>
      </c>
      <c r="P6798">
        <v>6700</v>
      </c>
      <c r="Q6798" t="s">
        <v>14844</v>
      </c>
      <c r="S6798" t="s">
        <v>14843</v>
      </c>
    </row>
    <row r="6799" spans="1:19" x14ac:dyDescent="0.25">
      <c r="A6799" t="s">
        <v>14843</v>
      </c>
      <c r="P6799">
        <v>6701</v>
      </c>
      <c r="Q6799" t="s">
        <v>14845</v>
      </c>
      <c r="S6799" t="s">
        <v>14843</v>
      </c>
    </row>
    <row r="6800" spans="1:19" x14ac:dyDescent="0.25">
      <c r="A6800" t="s">
        <v>14843</v>
      </c>
      <c r="P6800">
        <v>6702</v>
      </c>
      <c r="Q6800" t="s">
        <v>14846</v>
      </c>
      <c r="S6800" t="s">
        <v>14843</v>
      </c>
    </row>
    <row r="6801" spans="1:19" x14ac:dyDescent="0.25">
      <c r="A6801" s="27" t="s">
        <v>193</v>
      </c>
      <c r="C6801" s="27" t="s">
        <v>34749</v>
      </c>
      <c r="D6801" s="28" t="s">
        <v>34867</v>
      </c>
      <c r="P6801">
        <v>6703</v>
      </c>
      <c r="Q6801" t="s">
        <v>14847</v>
      </c>
      <c r="S6801" t="s">
        <v>14322</v>
      </c>
    </row>
    <row r="6802" spans="1:19" x14ac:dyDescent="0.25">
      <c r="A6802" s="27" t="s">
        <v>193</v>
      </c>
      <c r="C6802" s="27" t="s">
        <v>34749</v>
      </c>
      <c r="D6802" s="28" t="s">
        <v>34867</v>
      </c>
      <c r="P6802">
        <v>6704</v>
      </c>
      <c r="Q6802" t="s">
        <v>14848</v>
      </c>
      <c r="S6802" t="s">
        <v>14322</v>
      </c>
    </row>
    <row r="6803" spans="1:19" x14ac:dyDescent="0.25">
      <c r="A6803" s="27" t="s">
        <v>193</v>
      </c>
      <c r="C6803" s="27" t="s">
        <v>34749</v>
      </c>
      <c r="D6803" s="28" t="s">
        <v>34867</v>
      </c>
      <c r="P6803">
        <v>6705</v>
      </c>
      <c r="Q6803" t="s">
        <v>14849</v>
      </c>
      <c r="R6803" s="28" t="s">
        <v>8953</v>
      </c>
      <c r="S6803" t="s">
        <v>13022</v>
      </c>
    </row>
    <row r="6804" spans="1:19" x14ac:dyDescent="0.25">
      <c r="A6804" s="27" t="s">
        <v>193</v>
      </c>
      <c r="C6804" s="27" t="s">
        <v>34749</v>
      </c>
      <c r="D6804" s="28" t="s">
        <v>34867</v>
      </c>
      <c r="P6804">
        <v>6706</v>
      </c>
      <c r="Q6804" t="s">
        <v>14850</v>
      </c>
      <c r="R6804" s="28" t="s">
        <v>12257</v>
      </c>
      <c r="S6804" t="s">
        <v>13022</v>
      </c>
    </row>
    <row r="6805" spans="1:19" x14ac:dyDescent="0.25">
      <c r="A6805" s="27" t="s">
        <v>193</v>
      </c>
      <c r="C6805" s="27" t="s">
        <v>34749</v>
      </c>
      <c r="D6805" s="28" t="s">
        <v>34867</v>
      </c>
      <c r="P6805">
        <v>6707</v>
      </c>
      <c r="Q6805" t="s">
        <v>14851</v>
      </c>
      <c r="R6805" s="28" t="s">
        <v>14852</v>
      </c>
      <c r="S6805" t="s">
        <v>13022</v>
      </c>
    </row>
    <row r="6806" spans="1:19" x14ac:dyDescent="0.25">
      <c r="A6806" s="27" t="s">
        <v>193</v>
      </c>
      <c r="C6806" s="27" t="s">
        <v>34749</v>
      </c>
      <c r="D6806" s="28" t="s">
        <v>34867</v>
      </c>
      <c r="P6806">
        <v>6708</v>
      </c>
      <c r="Q6806" t="s">
        <v>14853</v>
      </c>
      <c r="R6806" s="28" t="s">
        <v>14854</v>
      </c>
      <c r="S6806" t="s">
        <v>13022</v>
      </c>
    </row>
    <row r="6807" spans="1:19" x14ac:dyDescent="0.25">
      <c r="A6807" s="27" t="s">
        <v>193</v>
      </c>
      <c r="C6807" s="27" t="s">
        <v>34749</v>
      </c>
      <c r="D6807" s="28" t="s">
        <v>34867</v>
      </c>
      <c r="P6807">
        <v>6709</v>
      </c>
      <c r="Q6807" t="s">
        <v>14855</v>
      </c>
      <c r="R6807" s="28" t="s">
        <v>8782</v>
      </c>
      <c r="S6807" t="s">
        <v>13022</v>
      </c>
    </row>
    <row r="6808" spans="1:19" x14ac:dyDescent="0.25">
      <c r="A6808" s="27" t="s">
        <v>193</v>
      </c>
      <c r="C6808" s="27" t="s">
        <v>34749</v>
      </c>
      <c r="D6808" s="28" t="s">
        <v>34867</v>
      </c>
      <c r="P6808">
        <v>6710</v>
      </c>
      <c r="Q6808" t="s">
        <v>14856</v>
      </c>
      <c r="R6808" s="28" t="s">
        <v>14857</v>
      </c>
      <c r="S6808" t="s">
        <v>13022</v>
      </c>
    </row>
    <row r="6809" spans="1:19" x14ac:dyDescent="0.25">
      <c r="A6809" s="27" t="s">
        <v>193</v>
      </c>
      <c r="C6809" s="27" t="s">
        <v>34749</v>
      </c>
      <c r="D6809" s="28" t="s">
        <v>34867</v>
      </c>
      <c r="P6809">
        <v>6711</v>
      </c>
      <c r="Q6809" t="s">
        <v>14858</v>
      </c>
      <c r="R6809" s="28" t="s">
        <v>14859</v>
      </c>
      <c r="S6809" t="s">
        <v>13022</v>
      </c>
    </row>
    <row r="6810" spans="1:19" x14ac:dyDescent="0.25">
      <c r="A6810" t="s">
        <v>12927</v>
      </c>
      <c r="P6810">
        <v>7000</v>
      </c>
      <c r="Q6810" t="s">
        <v>14860</v>
      </c>
      <c r="S6810" t="s">
        <v>12927</v>
      </c>
    </row>
    <row r="6811" spans="1:19" x14ac:dyDescent="0.25">
      <c r="A6811" s="28" t="s">
        <v>14843</v>
      </c>
      <c r="P6811">
        <v>7010</v>
      </c>
      <c r="Q6811" t="s">
        <v>14862</v>
      </c>
      <c r="S6811" t="s">
        <v>14861</v>
      </c>
    </row>
    <row r="6812" spans="1:19" x14ac:dyDescent="0.25">
      <c r="A6812" s="28" t="s">
        <v>14843</v>
      </c>
      <c r="P6812">
        <v>7012</v>
      </c>
      <c r="Q6812" t="s">
        <v>14863</v>
      </c>
      <c r="S6812" t="s">
        <v>14861</v>
      </c>
    </row>
    <row r="6813" spans="1:19" x14ac:dyDescent="0.25">
      <c r="A6813" s="28" t="s">
        <v>14843</v>
      </c>
      <c r="P6813">
        <v>7014</v>
      </c>
      <c r="Q6813" t="s">
        <v>14864</v>
      </c>
      <c r="S6813" t="s">
        <v>14861</v>
      </c>
    </row>
    <row r="6814" spans="1:19" x14ac:dyDescent="0.25">
      <c r="A6814" s="28" t="s">
        <v>14843</v>
      </c>
      <c r="P6814">
        <v>7016</v>
      </c>
      <c r="Q6814" t="s">
        <v>14865</v>
      </c>
      <c r="S6814" t="s">
        <v>14861</v>
      </c>
    </row>
    <row r="6815" spans="1:19" x14ac:dyDescent="0.25">
      <c r="A6815" s="28" t="s">
        <v>14843</v>
      </c>
      <c r="P6815">
        <v>7018</v>
      </c>
      <c r="Q6815" t="s">
        <v>14866</v>
      </c>
      <c r="S6815" t="s">
        <v>14861</v>
      </c>
    </row>
    <row r="6816" spans="1:19" x14ac:dyDescent="0.25">
      <c r="A6816" s="28" t="s">
        <v>14843</v>
      </c>
      <c r="P6816">
        <v>7020</v>
      </c>
      <c r="Q6816" t="s">
        <v>14867</v>
      </c>
      <c r="S6816" t="s">
        <v>14861</v>
      </c>
    </row>
    <row r="6817" spans="1:19" x14ac:dyDescent="0.25">
      <c r="A6817" s="28" t="s">
        <v>14843</v>
      </c>
      <c r="P6817">
        <v>7022</v>
      </c>
      <c r="Q6817" t="s">
        <v>14868</v>
      </c>
      <c r="S6817" t="s">
        <v>14861</v>
      </c>
    </row>
    <row r="6818" spans="1:19" x14ac:dyDescent="0.25">
      <c r="A6818" s="27" t="s">
        <v>193</v>
      </c>
      <c r="C6818" s="27" t="s">
        <v>34749</v>
      </c>
      <c r="D6818" s="28" t="s">
        <v>34867</v>
      </c>
      <c r="P6818">
        <v>7100</v>
      </c>
      <c r="Q6818" t="s">
        <v>3801</v>
      </c>
      <c r="S6818" t="s">
        <v>13022</v>
      </c>
    </row>
    <row r="6819" spans="1:19" x14ac:dyDescent="0.25">
      <c r="A6819" s="27" t="s">
        <v>193</v>
      </c>
      <c r="C6819" s="27" t="s">
        <v>34749</v>
      </c>
      <c r="D6819" s="28" t="s">
        <v>34867</v>
      </c>
      <c r="P6819">
        <v>7101</v>
      </c>
      <c r="Q6819" t="s">
        <v>14869</v>
      </c>
      <c r="S6819" t="s">
        <v>13022</v>
      </c>
    </row>
    <row r="6820" spans="1:19" x14ac:dyDescent="0.25">
      <c r="A6820" s="27" t="s">
        <v>193</v>
      </c>
      <c r="C6820" s="27" t="s">
        <v>34749</v>
      </c>
      <c r="D6820" s="28" t="s">
        <v>34867</v>
      </c>
      <c r="P6820">
        <v>7110</v>
      </c>
      <c r="Q6820" t="s">
        <v>14870</v>
      </c>
      <c r="S6820" t="s">
        <v>13022</v>
      </c>
    </row>
    <row r="6821" spans="1:19" x14ac:dyDescent="0.25">
      <c r="A6821" t="s">
        <v>14871</v>
      </c>
      <c r="P6821">
        <v>7115</v>
      </c>
      <c r="Q6821" t="s">
        <v>14872</v>
      </c>
      <c r="S6821" t="s">
        <v>14871</v>
      </c>
    </row>
    <row r="6822" spans="1:19" x14ac:dyDescent="0.25">
      <c r="A6822" t="s">
        <v>659</v>
      </c>
      <c r="P6822">
        <v>7120</v>
      </c>
      <c r="Q6822" t="s">
        <v>14874</v>
      </c>
      <c r="S6822" t="s">
        <v>14873</v>
      </c>
    </row>
    <row r="6823" spans="1:19" x14ac:dyDescent="0.25">
      <c r="A6823" s="27" t="s">
        <v>659</v>
      </c>
      <c r="P6823">
        <v>7121</v>
      </c>
      <c r="Q6823" t="s">
        <v>14875</v>
      </c>
      <c r="S6823" t="s">
        <v>14873</v>
      </c>
    </row>
    <row r="6824" spans="1:19" x14ac:dyDescent="0.25">
      <c r="A6824" s="27" t="s">
        <v>659</v>
      </c>
      <c r="P6824">
        <v>7122</v>
      </c>
      <c r="Q6824" t="s">
        <v>14876</v>
      </c>
      <c r="S6824" t="s">
        <v>14873</v>
      </c>
    </row>
    <row r="6825" spans="1:19" x14ac:dyDescent="0.25">
      <c r="A6825" s="27" t="s">
        <v>659</v>
      </c>
      <c r="P6825">
        <v>7123</v>
      </c>
      <c r="Q6825" t="s">
        <v>14877</v>
      </c>
      <c r="S6825" t="s">
        <v>14873</v>
      </c>
    </row>
    <row r="6826" spans="1:19" x14ac:dyDescent="0.25">
      <c r="A6826" s="27" t="s">
        <v>659</v>
      </c>
      <c r="P6826">
        <v>7125</v>
      </c>
      <c r="Q6826" t="s">
        <v>14878</v>
      </c>
      <c r="S6826" t="s">
        <v>14873</v>
      </c>
    </row>
    <row r="6827" spans="1:19" x14ac:dyDescent="0.25">
      <c r="A6827" s="27" t="s">
        <v>659</v>
      </c>
      <c r="P6827">
        <v>7127</v>
      </c>
      <c r="Q6827" t="s">
        <v>14879</v>
      </c>
      <c r="S6827" t="s">
        <v>14873</v>
      </c>
    </row>
    <row r="6828" spans="1:19" x14ac:dyDescent="0.25">
      <c r="A6828" s="28" t="s">
        <v>14843</v>
      </c>
      <c r="P6828">
        <v>7130</v>
      </c>
      <c r="Q6828" t="s">
        <v>14880</v>
      </c>
      <c r="S6828" t="s">
        <v>12922</v>
      </c>
    </row>
    <row r="6829" spans="1:19" x14ac:dyDescent="0.25">
      <c r="A6829" s="28" t="s">
        <v>14843</v>
      </c>
      <c r="P6829">
        <v>7132</v>
      </c>
      <c r="Q6829" t="s">
        <v>14881</v>
      </c>
      <c r="S6829" t="s">
        <v>12922</v>
      </c>
    </row>
    <row r="6830" spans="1:19" x14ac:dyDescent="0.25">
      <c r="A6830" s="28" t="s">
        <v>14843</v>
      </c>
      <c r="P6830">
        <v>7135</v>
      </c>
      <c r="Q6830" t="s">
        <v>14882</v>
      </c>
      <c r="S6830" t="s">
        <v>12922</v>
      </c>
    </row>
    <row r="6831" spans="1:19" x14ac:dyDescent="0.25">
      <c r="A6831" s="28" t="s">
        <v>14843</v>
      </c>
      <c r="P6831">
        <v>7137</v>
      </c>
      <c r="Q6831" t="s">
        <v>14883</v>
      </c>
      <c r="S6831" t="s">
        <v>12922</v>
      </c>
    </row>
    <row r="6832" spans="1:19" x14ac:dyDescent="0.25">
      <c r="A6832" s="28" t="s">
        <v>14843</v>
      </c>
      <c r="P6832">
        <v>7140</v>
      </c>
      <c r="Q6832" t="s">
        <v>14884</v>
      </c>
      <c r="S6832" t="s">
        <v>12922</v>
      </c>
    </row>
    <row r="6833" spans="1:19" x14ac:dyDescent="0.25">
      <c r="A6833" s="28" t="s">
        <v>14843</v>
      </c>
      <c r="P6833">
        <v>7142</v>
      </c>
      <c r="Q6833" t="s">
        <v>14885</v>
      </c>
      <c r="S6833" t="s">
        <v>12922</v>
      </c>
    </row>
    <row r="6834" spans="1:19" x14ac:dyDescent="0.25">
      <c r="A6834" s="28" t="s">
        <v>14843</v>
      </c>
      <c r="P6834">
        <v>7145</v>
      </c>
      <c r="Q6834" t="s">
        <v>14886</v>
      </c>
      <c r="S6834" t="s">
        <v>12922</v>
      </c>
    </row>
    <row r="6835" spans="1:19" x14ac:dyDescent="0.25">
      <c r="A6835" s="28" t="s">
        <v>14843</v>
      </c>
      <c r="P6835">
        <v>7147</v>
      </c>
      <c r="Q6835" t="s">
        <v>14887</v>
      </c>
      <c r="S6835" t="s">
        <v>12922</v>
      </c>
    </row>
    <row r="6836" spans="1:19" x14ac:dyDescent="0.25">
      <c r="A6836" s="28" t="s">
        <v>14843</v>
      </c>
      <c r="P6836">
        <v>7150</v>
      </c>
      <c r="Q6836" t="s">
        <v>14888</v>
      </c>
      <c r="S6836" t="s">
        <v>12922</v>
      </c>
    </row>
    <row r="6837" spans="1:19" x14ac:dyDescent="0.25">
      <c r="A6837" s="28" t="s">
        <v>14843</v>
      </c>
      <c r="P6837">
        <v>7152</v>
      </c>
      <c r="Q6837" t="s">
        <v>14889</v>
      </c>
      <c r="S6837" t="s">
        <v>12922</v>
      </c>
    </row>
    <row r="6838" spans="1:19" x14ac:dyDescent="0.25">
      <c r="A6838" s="28" t="s">
        <v>14843</v>
      </c>
      <c r="P6838">
        <v>7155</v>
      </c>
      <c r="Q6838" t="s">
        <v>14890</v>
      </c>
      <c r="S6838" t="s">
        <v>12922</v>
      </c>
    </row>
    <row r="6839" spans="1:19" x14ac:dyDescent="0.25">
      <c r="A6839" s="28" t="s">
        <v>14843</v>
      </c>
      <c r="P6839">
        <v>7157</v>
      </c>
      <c r="Q6839" t="s">
        <v>14891</v>
      </c>
      <c r="S6839" t="s">
        <v>12922</v>
      </c>
    </row>
    <row r="6840" spans="1:19" x14ac:dyDescent="0.25">
      <c r="A6840" s="28" t="s">
        <v>14843</v>
      </c>
      <c r="P6840">
        <v>7159</v>
      </c>
      <c r="Q6840" t="s">
        <v>14892</v>
      </c>
      <c r="S6840" t="s">
        <v>12922</v>
      </c>
    </row>
    <row r="6841" spans="1:19" x14ac:dyDescent="0.25">
      <c r="A6841" s="28" t="s">
        <v>14843</v>
      </c>
      <c r="P6841">
        <v>7160</v>
      </c>
      <c r="Q6841" t="s">
        <v>14893</v>
      </c>
      <c r="S6841" t="s">
        <v>12922</v>
      </c>
    </row>
    <row r="6842" spans="1:19" x14ac:dyDescent="0.25">
      <c r="A6842" s="28" t="s">
        <v>14843</v>
      </c>
      <c r="P6842">
        <v>7162</v>
      </c>
      <c r="Q6842" t="s">
        <v>14894</v>
      </c>
      <c r="S6842" t="s">
        <v>12922</v>
      </c>
    </row>
    <row r="6843" spans="1:19" x14ac:dyDescent="0.25">
      <c r="A6843" s="28" t="s">
        <v>14843</v>
      </c>
      <c r="P6843">
        <v>7165</v>
      </c>
      <c r="Q6843" t="s">
        <v>14895</v>
      </c>
      <c r="S6843" t="s">
        <v>12922</v>
      </c>
    </row>
    <row r="6844" spans="1:19" x14ac:dyDescent="0.25">
      <c r="A6844" s="28" t="s">
        <v>14843</v>
      </c>
      <c r="P6844">
        <v>7167</v>
      </c>
      <c r="Q6844" t="s">
        <v>14896</v>
      </c>
      <c r="S6844" t="s">
        <v>12922</v>
      </c>
    </row>
    <row r="6845" spans="1:19" x14ac:dyDescent="0.25">
      <c r="A6845" s="28" t="s">
        <v>14843</v>
      </c>
      <c r="P6845">
        <v>7170</v>
      </c>
      <c r="Q6845" t="s">
        <v>14897</v>
      </c>
      <c r="S6845" t="s">
        <v>12922</v>
      </c>
    </row>
    <row r="6846" spans="1:19" x14ac:dyDescent="0.25">
      <c r="A6846" s="27" t="s">
        <v>655</v>
      </c>
      <c r="P6846">
        <v>7200</v>
      </c>
      <c r="Q6846" t="s">
        <v>14899</v>
      </c>
      <c r="S6846" t="s">
        <v>14898</v>
      </c>
    </row>
    <row r="6847" spans="1:19" x14ac:dyDescent="0.25">
      <c r="A6847" s="27" t="s">
        <v>655</v>
      </c>
      <c r="P6847">
        <v>7220</v>
      </c>
      <c r="Q6847" t="s">
        <v>14900</v>
      </c>
      <c r="S6847" t="s">
        <v>14898</v>
      </c>
    </row>
    <row r="6848" spans="1:19" x14ac:dyDescent="0.25">
      <c r="A6848" s="27" t="s">
        <v>655</v>
      </c>
      <c r="P6848">
        <v>7240</v>
      </c>
      <c r="Q6848" t="s">
        <v>14901</v>
      </c>
      <c r="S6848" t="s">
        <v>14898</v>
      </c>
    </row>
    <row r="6849" spans="1:19" x14ac:dyDescent="0.25">
      <c r="A6849" s="28" t="s">
        <v>14843</v>
      </c>
      <c r="P6849">
        <v>7242</v>
      </c>
      <c r="Q6849" t="s">
        <v>14903</v>
      </c>
      <c r="S6849" t="s">
        <v>14902</v>
      </c>
    </row>
    <row r="6850" spans="1:19" x14ac:dyDescent="0.25">
      <c r="A6850" s="28" t="s">
        <v>14843</v>
      </c>
      <c r="P6850">
        <v>7243</v>
      </c>
      <c r="Q6850" t="s">
        <v>14903</v>
      </c>
      <c r="S6850" t="s">
        <v>14904</v>
      </c>
    </row>
    <row r="6851" spans="1:19" x14ac:dyDescent="0.25">
      <c r="A6851" t="s">
        <v>2789</v>
      </c>
      <c r="P6851">
        <v>7244</v>
      </c>
      <c r="Q6851" t="s">
        <v>2948</v>
      </c>
      <c r="S6851" t="s">
        <v>14905</v>
      </c>
    </row>
    <row r="6852" spans="1:19" x14ac:dyDescent="0.25">
      <c r="A6852" s="28" t="s">
        <v>14843</v>
      </c>
      <c r="P6852">
        <v>7245</v>
      </c>
      <c r="Q6852" t="s">
        <v>14906</v>
      </c>
      <c r="S6852" t="s">
        <v>14904</v>
      </c>
    </row>
    <row r="6853" spans="1:19" x14ac:dyDescent="0.25">
      <c r="A6853" s="27" t="s">
        <v>2789</v>
      </c>
      <c r="P6853">
        <v>7246</v>
      </c>
      <c r="Q6853" t="s">
        <v>14907</v>
      </c>
      <c r="S6853" t="s">
        <v>14905</v>
      </c>
    </row>
    <row r="6854" spans="1:19" x14ac:dyDescent="0.25">
      <c r="A6854" s="27" t="s">
        <v>655</v>
      </c>
      <c r="P6854">
        <v>7248</v>
      </c>
      <c r="Q6854" t="s">
        <v>14909</v>
      </c>
      <c r="S6854" t="s">
        <v>14908</v>
      </c>
    </row>
    <row r="6855" spans="1:19" x14ac:dyDescent="0.25">
      <c r="A6855" s="27" t="s">
        <v>655</v>
      </c>
      <c r="P6855">
        <v>7250</v>
      </c>
      <c r="Q6855" t="s">
        <v>2837</v>
      </c>
      <c r="S6855" t="s">
        <v>14910</v>
      </c>
    </row>
    <row r="6856" spans="1:19" x14ac:dyDescent="0.25">
      <c r="A6856" s="28" t="s">
        <v>14843</v>
      </c>
      <c r="P6856">
        <v>7251</v>
      </c>
      <c r="Q6856" t="s">
        <v>14911</v>
      </c>
      <c r="S6856" t="s">
        <v>14904</v>
      </c>
    </row>
    <row r="6857" spans="1:19" x14ac:dyDescent="0.25">
      <c r="A6857" s="27" t="s">
        <v>655</v>
      </c>
      <c r="P6857">
        <v>7252</v>
      </c>
      <c r="Q6857" t="s">
        <v>14912</v>
      </c>
      <c r="S6857" t="s">
        <v>14910</v>
      </c>
    </row>
    <row r="6858" spans="1:19" x14ac:dyDescent="0.25">
      <c r="A6858" s="27" t="s">
        <v>655</v>
      </c>
      <c r="P6858">
        <v>7254</v>
      </c>
      <c r="Q6858" t="s">
        <v>14913</v>
      </c>
      <c r="S6858" t="s">
        <v>14910</v>
      </c>
    </row>
    <row r="6859" spans="1:19" x14ac:dyDescent="0.25">
      <c r="A6859" s="28" t="s">
        <v>14843</v>
      </c>
      <c r="P6859">
        <v>7255</v>
      </c>
      <c r="Q6859" t="s">
        <v>14914</v>
      </c>
      <c r="S6859" t="s">
        <v>14904</v>
      </c>
    </row>
    <row r="6860" spans="1:19" x14ac:dyDescent="0.25">
      <c r="A6860" s="27" t="s">
        <v>193</v>
      </c>
      <c r="C6860" s="27" t="s">
        <v>34749</v>
      </c>
      <c r="D6860" s="28" t="s">
        <v>34867</v>
      </c>
      <c r="P6860">
        <v>7256</v>
      </c>
      <c r="Q6860" t="s">
        <v>14915</v>
      </c>
      <c r="S6860" t="s">
        <v>13022</v>
      </c>
    </row>
    <row r="6861" spans="1:19" x14ac:dyDescent="0.25">
      <c r="A6861" s="27" t="s">
        <v>193</v>
      </c>
      <c r="C6861" s="27" t="s">
        <v>34749</v>
      </c>
      <c r="D6861" s="28" t="s">
        <v>34867</v>
      </c>
      <c r="P6861">
        <v>7257</v>
      </c>
      <c r="Q6861" t="s">
        <v>14916</v>
      </c>
      <c r="S6861" t="s">
        <v>13022</v>
      </c>
    </row>
    <row r="6862" spans="1:19" x14ac:dyDescent="0.25">
      <c r="A6862" s="27" t="s">
        <v>655</v>
      </c>
      <c r="P6862">
        <v>7260</v>
      </c>
      <c r="Q6862" t="s">
        <v>14917</v>
      </c>
      <c r="S6862" t="s">
        <v>14898</v>
      </c>
    </row>
    <row r="6863" spans="1:19" x14ac:dyDescent="0.25">
      <c r="A6863" s="27" t="s">
        <v>655</v>
      </c>
      <c r="P6863">
        <v>7280</v>
      </c>
      <c r="Q6863" t="s">
        <v>14918</v>
      </c>
      <c r="S6863" t="s">
        <v>14898</v>
      </c>
    </row>
    <row r="6864" spans="1:19" x14ac:dyDescent="0.25">
      <c r="A6864" s="27" t="s">
        <v>655</v>
      </c>
      <c r="P6864">
        <v>7300</v>
      </c>
      <c r="Q6864" t="s">
        <v>14919</v>
      </c>
      <c r="S6864" t="s">
        <v>14898</v>
      </c>
    </row>
    <row r="6865" spans="1:19" x14ac:dyDescent="0.25">
      <c r="A6865" s="27" t="s">
        <v>655</v>
      </c>
      <c r="P6865">
        <v>7320</v>
      </c>
      <c r="Q6865" t="s">
        <v>14920</v>
      </c>
      <c r="S6865" t="s">
        <v>14898</v>
      </c>
    </row>
    <row r="6866" spans="1:19" x14ac:dyDescent="0.25">
      <c r="A6866" s="27" t="s">
        <v>655</v>
      </c>
      <c r="P6866">
        <v>7340</v>
      </c>
      <c r="Q6866" t="s">
        <v>14921</v>
      </c>
      <c r="S6866" t="s">
        <v>14898</v>
      </c>
    </row>
    <row r="6867" spans="1:19" x14ac:dyDescent="0.25">
      <c r="A6867" s="27" t="s">
        <v>655</v>
      </c>
      <c r="P6867">
        <v>7360</v>
      </c>
      <c r="Q6867" t="s">
        <v>14922</v>
      </c>
      <c r="S6867" t="s">
        <v>14898</v>
      </c>
    </row>
    <row r="6868" spans="1:19" x14ac:dyDescent="0.25">
      <c r="A6868" s="27" t="s">
        <v>655</v>
      </c>
      <c r="P6868">
        <v>7500</v>
      </c>
      <c r="Q6868" t="s">
        <v>14923</v>
      </c>
      <c r="S6868" t="s">
        <v>13235</v>
      </c>
    </row>
    <row r="6869" spans="1:19" x14ac:dyDescent="0.25">
      <c r="A6869" s="27" t="s">
        <v>655</v>
      </c>
      <c r="P6869">
        <v>7501</v>
      </c>
      <c r="Q6869" t="s">
        <v>14923</v>
      </c>
      <c r="S6869" t="s">
        <v>14924</v>
      </c>
    </row>
    <row r="6870" spans="1:19" x14ac:dyDescent="0.25">
      <c r="A6870" s="27" t="s">
        <v>655</v>
      </c>
      <c r="P6870">
        <v>7505</v>
      </c>
      <c r="Q6870" t="s">
        <v>14925</v>
      </c>
      <c r="S6870" t="s">
        <v>13235</v>
      </c>
    </row>
    <row r="6871" spans="1:19" x14ac:dyDescent="0.25">
      <c r="A6871" s="27" t="s">
        <v>655</v>
      </c>
      <c r="P6871">
        <v>7506</v>
      </c>
      <c r="Q6871" t="s">
        <v>14925</v>
      </c>
      <c r="S6871" t="s">
        <v>14924</v>
      </c>
    </row>
    <row r="6872" spans="1:19" x14ac:dyDescent="0.25">
      <c r="A6872" s="27" t="s">
        <v>655</v>
      </c>
      <c r="P6872">
        <v>7507</v>
      </c>
      <c r="Q6872" t="s">
        <v>14926</v>
      </c>
      <c r="S6872" t="s">
        <v>13235</v>
      </c>
    </row>
    <row r="6873" spans="1:19" x14ac:dyDescent="0.25">
      <c r="A6873" s="27" t="s">
        <v>655</v>
      </c>
      <c r="P6873">
        <v>7508</v>
      </c>
      <c r="Q6873" t="s">
        <v>14927</v>
      </c>
      <c r="S6873" t="s">
        <v>14924</v>
      </c>
    </row>
    <row r="6874" spans="1:19" x14ac:dyDescent="0.25">
      <c r="A6874" s="27" t="s">
        <v>655</v>
      </c>
      <c r="P6874">
        <v>7510</v>
      </c>
      <c r="Q6874" t="s">
        <v>14928</v>
      </c>
      <c r="S6874" t="s">
        <v>13235</v>
      </c>
    </row>
    <row r="6875" spans="1:19" x14ac:dyDescent="0.25">
      <c r="A6875" s="27" t="s">
        <v>655</v>
      </c>
      <c r="P6875">
        <v>7511</v>
      </c>
      <c r="Q6875" t="s">
        <v>14928</v>
      </c>
      <c r="S6875" t="s">
        <v>14924</v>
      </c>
    </row>
    <row r="6876" spans="1:19" x14ac:dyDescent="0.25">
      <c r="A6876" s="27" t="s">
        <v>655</v>
      </c>
      <c r="P6876">
        <v>7520</v>
      </c>
      <c r="Q6876" t="s">
        <v>14929</v>
      </c>
      <c r="S6876" t="s">
        <v>13235</v>
      </c>
    </row>
    <row r="6877" spans="1:19" x14ac:dyDescent="0.25">
      <c r="A6877" s="27" t="s">
        <v>655</v>
      </c>
      <c r="P6877">
        <v>7521</v>
      </c>
      <c r="Q6877" t="s">
        <v>14929</v>
      </c>
      <c r="S6877" t="s">
        <v>14924</v>
      </c>
    </row>
    <row r="6878" spans="1:19" x14ac:dyDescent="0.25">
      <c r="A6878" s="27" t="s">
        <v>655</v>
      </c>
      <c r="P6878">
        <v>7530</v>
      </c>
      <c r="Q6878" t="s">
        <v>14930</v>
      </c>
      <c r="S6878" t="s">
        <v>13235</v>
      </c>
    </row>
    <row r="6879" spans="1:19" x14ac:dyDescent="0.25">
      <c r="A6879" s="27" t="s">
        <v>655</v>
      </c>
      <c r="P6879">
        <v>7531</v>
      </c>
      <c r="Q6879" t="s">
        <v>14930</v>
      </c>
      <c r="S6879" t="s">
        <v>14924</v>
      </c>
    </row>
    <row r="6880" spans="1:19" x14ac:dyDescent="0.25">
      <c r="A6880" s="27" t="s">
        <v>655</v>
      </c>
      <c r="P6880">
        <v>7540</v>
      </c>
      <c r="Q6880" t="s">
        <v>14931</v>
      </c>
      <c r="S6880" t="s">
        <v>13235</v>
      </c>
    </row>
    <row r="6881" spans="1:19" x14ac:dyDescent="0.25">
      <c r="A6881" s="27" t="s">
        <v>655</v>
      </c>
      <c r="P6881">
        <v>7541</v>
      </c>
      <c r="Q6881" t="s">
        <v>14931</v>
      </c>
      <c r="S6881" t="s">
        <v>14924</v>
      </c>
    </row>
    <row r="6882" spans="1:19" x14ac:dyDescent="0.25">
      <c r="A6882" s="27" t="s">
        <v>655</v>
      </c>
      <c r="P6882">
        <v>7550</v>
      </c>
      <c r="Q6882" t="s">
        <v>14932</v>
      </c>
      <c r="S6882" t="s">
        <v>13235</v>
      </c>
    </row>
    <row r="6883" spans="1:19" x14ac:dyDescent="0.25">
      <c r="A6883" s="27" t="s">
        <v>655</v>
      </c>
      <c r="P6883">
        <v>7551</v>
      </c>
      <c r="Q6883" t="s">
        <v>14932</v>
      </c>
      <c r="S6883" t="s">
        <v>14924</v>
      </c>
    </row>
    <row r="6884" spans="1:19" x14ac:dyDescent="0.25">
      <c r="A6884" s="27" t="s">
        <v>655</v>
      </c>
      <c r="P6884">
        <v>7580</v>
      </c>
      <c r="Q6884" t="s">
        <v>14933</v>
      </c>
      <c r="S6884" t="s">
        <v>13235</v>
      </c>
    </row>
    <row r="6885" spans="1:19" x14ac:dyDescent="0.25">
      <c r="A6885" s="27" t="s">
        <v>655</v>
      </c>
      <c r="P6885">
        <v>7581</v>
      </c>
      <c r="Q6885" t="s">
        <v>14933</v>
      </c>
      <c r="S6885" t="s">
        <v>14924</v>
      </c>
    </row>
    <row r="6886" spans="1:19" x14ac:dyDescent="0.25">
      <c r="A6886" s="27" t="s">
        <v>655</v>
      </c>
    </row>
    <row r="6887" spans="1:19" x14ac:dyDescent="0.25">
      <c r="A6887" s="27" t="s">
        <v>655</v>
      </c>
    </row>
    <row r="6888" spans="1:19" x14ac:dyDescent="0.25">
      <c r="A6888" s="27" t="s">
        <v>655</v>
      </c>
    </row>
    <row r="6889" spans="1:19" x14ac:dyDescent="0.25">
      <c r="A6889" s="27" t="s">
        <v>655</v>
      </c>
    </row>
    <row r="6890" spans="1:19" x14ac:dyDescent="0.25">
      <c r="A6890" s="27" t="s">
        <v>655</v>
      </c>
    </row>
    <row r="6891" spans="1:19" x14ac:dyDescent="0.25">
      <c r="A6891" s="27" t="s">
        <v>655</v>
      </c>
    </row>
    <row r="6892" spans="1:19" x14ac:dyDescent="0.25">
      <c r="A6892" s="27" t="s">
        <v>655</v>
      </c>
      <c r="P6892">
        <v>7600</v>
      </c>
      <c r="Q6892" t="s">
        <v>14942</v>
      </c>
      <c r="S6892" t="s">
        <v>13235</v>
      </c>
    </row>
    <row r="6893" spans="1:19" x14ac:dyDescent="0.25">
      <c r="A6893" s="27" t="s">
        <v>655</v>
      </c>
      <c r="P6893">
        <v>7601</v>
      </c>
      <c r="Q6893" t="s">
        <v>14942</v>
      </c>
      <c r="S6893" t="s">
        <v>14924</v>
      </c>
    </row>
    <row r="6894" spans="1:19" x14ac:dyDescent="0.25">
      <c r="A6894" s="27" t="s">
        <v>655</v>
      </c>
      <c r="P6894">
        <v>7610</v>
      </c>
      <c r="Q6894" t="s">
        <v>14943</v>
      </c>
      <c r="S6894" t="s">
        <v>13235</v>
      </c>
    </row>
    <row r="6895" spans="1:19" x14ac:dyDescent="0.25">
      <c r="A6895" s="27" t="s">
        <v>655</v>
      </c>
      <c r="P6895">
        <v>7611</v>
      </c>
      <c r="Q6895" t="s">
        <v>14943</v>
      </c>
      <c r="S6895" t="s">
        <v>14924</v>
      </c>
    </row>
    <row r="6896" spans="1:19" x14ac:dyDescent="0.25">
      <c r="A6896" s="27" t="s">
        <v>655</v>
      </c>
      <c r="P6896">
        <v>7620</v>
      </c>
      <c r="Q6896" t="s">
        <v>14944</v>
      </c>
      <c r="S6896" t="s">
        <v>13235</v>
      </c>
    </row>
    <row r="6897" spans="1:19" x14ac:dyDescent="0.25">
      <c r="A6897" s="27" t="s">
        <v>655</v>
      </c>
      <c r="P6897">
        <v>7621</v>
      </c>
      <c r="Q6897" t="s">
        <v>14944</v>
      </c>
      <c r="S6897" t="s">
        <v>14924</v>
      </c>
    </row>
    <row r="6898" spans="1:19" x14ac:dyDescent="0.25">
      <c r="A6898" s="27" t="s">
        <v>655</v>
      </c>
      <c r="P6898">
        <v>7630</v>
      </c>
      <c r="Q6898" t="s">
        <v>14945</v>
      </c>
      <c r="S6898" t="s">
        <v>13235</v>
      </c>
    </row>
    <row r="6899" spans="1:19" x14ac:dyDescent="0.25">
      <c r="A6899" s="27" t="s">
        <v>655</v>
      </c>
      <c r="P6899">
        <v>7631</v>
      </c>
      <c r="Q6899" t="s">
        <v>14945</v>
      </c>
      <c r="S6899" t="s">
        <v>14924</v>
      </c>
    </row>
    <row r="6900" spans="1:19" x14ac:dyDescent="0.25">
      <c r="A6900" s="27" t="s">
        <v>655</v>
      </c>
      <c r="P6900">
        <v>7640</v>
      </c>
      <c r="Q6900" t="s">
        <v>14946</v>
      </c>
      <c r="S6900" t="s">
        <v>13235</v>
      </c>
    </row>
    <row r="6901" spans="1:19" x14ac:dyDescent="0.25">
      <c r="A6901" s="27" t="s">
        <v>655</v>
      </c>
      <c r="P6901">
        <v>7641</v>
      </c>
      <c r="Q6901" t="s">
        <v>14946</v>
      </c>
      <c r="S6901" t="s">
        <v>14924</v>
      </c>
    </row>
    <row r="6902" spans="1:19" x14ac:dyDescent="0.25">
      <c r="A6902" s="27" t="s">
        <v>655</v>
      </c>
      <c r="P6902">
        <v>7650</v>
      </c>
      <c r="Q6902" t="s">
        <v>14947</v>
      </c>
      <c r="S6902" t="s">
        <v>13235</v>
      </c>
    </row>
    <row r="6903" spans="1:19" x14ac:dyDescent="0.25">
      <c r="A6903" s="27" t="s">
        <v>655</v>
      </c>
      <c r="P6903">
        <v>7651</v>
      </c>
      <c r="Q6903" t="s">
        <v>14947</v>
      </c>
      <c r="S6903" t="s">
        <v>14924</v>
      </c>
    </row>
    <row r="6904" spans="1:19" x14ac:dyDescent="0.25">
      <c r="A6904" s="27" t="s">
        <v>655</v>
      </c>
      <c r="P6904">
        <v>7660</v>
      </c>
      <c r="Q6904" t="s">
        <v>14948</v>
      </c>
      <c r="S6904" t="s">
        <v>13235</v>
      </c>
    </row>
    <row r="6905" spans="1:19" x14ac:dyDescent="0.25">
      <c r="A6905" s="27" t="s">
        <v>655</v>
      </c>
      <c r="P6905">
        <v>7661</v>
      </c>
      <c r="Q6905" t="s">
        <v>14948</v>
      </c>
      <c r="S6905" t="s">
        <v>14924</v>
      </c>
    </row>
    <row r="6906" spans="1:19" x14ac:dyDescent="0.25">
      <c r="A6906" s="27" t="s">
        <v>655</v>
      </c>
      <c r="P6906">
        <v>7670</v>
      </c>
      <c r="Q6906" t="s">
        <v>14949</v>
      </c>
      <c r="S6906" t="s">
        <v>13235</v>
      </c>
    </row>
    <row r="6907" spans="1:19" x14ac:dyDescent="0.25">
      <c r="A6907" s="27" t="s">
        <v>655</v>
      </c>
      <c r="P6907">
        <v>7671</v>
      </c>
      <c r="Q6907" t="s">
        <v>14949</v>
      </c>
      <c r="S6907" t="s">
        <v>14924</v>
      </c>
    </row>
    <row r="6908" spans="1:19" x14ac:dyDescent="0.25">
      <c r="A6908" s="27" t="s">
        <v>655</v>
      </c>
      <c r="P6908">
        <v>7680</v>
      </c>
      <c r="Q6908" t="s">
        <v>14950</v>
      </c>
      <c r="S6908" t="s">
        <v>13235</v>
      </c>
    </row>
    <row r="6909" spans="1:19" x14ac:dyDescent="0.25">
      <c r="A6909" s="27" t="s">
        <v>655</v>
      </c>
      <c r="P6909">
        <v>7681</v>
      </c>
      <c r="Q6909" t="s">
        <v>14950</v>
      </c>
      <c r="S6909" t="s">
        <v>14924</v>
      </c>
    </row>
    <row r="6910" spans="1:19" x14ac:dyDescent="0.25">
      <c r="A6910" s="27" t="s">
        <v>655</v>
      </c>
      <c r="P6910">
        <v>7690</v>
      </c>
      <c r="Q6910" t="s">
        <v>14951</v>
      </c>
      <c r="S6910" t="s">
        <v>13235</v>
      </c>
    </row>
    <row r="6911" spans="1:19" x14ac:dyDescent="0.25">
      <c r="A6911" s="27" t="s">
        <v>655</v>
      </c>
      <c r="P6911">
        <v>7691</v>
      </c>
      <c r="Q6911" t="s">
        <v>14952</v>
      </c>
      <c r="S6911" t="s">
        <v>13235</v>
      </c>
    </row>
    <row r="6912" spans="1:19" x14ac:dyDescent="0.25">
      <c r="A6912" s="27" t="s">
        <v>655</v>
      </c>
      <c r="P6912">
        <v>7692</v>
      </c>
      <c r="Q6912" t="s">
        <v>14953</v>
      </c>
      <c r="S6912" t="s">
        <v>13235</v>
      </c>
    </row>
    <row r="6913" spans="1:19" x14ac:dyDescent="0.25">
      <c r="A6913" s="27" t="s">
        <v>655</v>
      </c>
      <c r="P6913">
        <v>7695</v>
      </c>
      <c r="Q6913" t="s">
        <v>14951</v>
      </c>
      <c r="S6913" t="s">
        <v>14924</v>
      </c>
    </row>
    <row r="6914" spans="1:19" x14ac:dyDescent="0.25">
      <c r="A6914" s="27" t="s">
        <v>655</v>
      </c>
      <c r="P6914">
        <v>7696</v>
      </c>
      <c r="Q6914" t="s">
        <v>14952</v>
      </c>
      <c r="S6914" t="s">
        <v>14924</v>
      </c>
    </row>
    <row r="6915" spans="1:19" x14ac:dyDescent="0.25">
      <c r="A6915" s="27" t="s">
        <v>655</v>
      </c>
      <c r="P6915">
        <v>7697</v>
      </c>
      <c r="Q6915" t="s">
        <v>14953</v>
      </c>
      <c r="S6915" t="s">
        <v>14924</v>
      </c>
    </row>
    <row r="6916" spans="1:19" x14ac:dyDescent="0.25">
      <c r="A6916" s="27" t="s">
        <v>655</v>
      </c>
      <c r="P6916">
        <v>7700</v>
      </c>
      <c r="Q6916" t="s">
        <v>14954</v>
      </c>
      <c r="S6916" t="s">
        <v>13235</v>
      </c>
    </row>
    <row r="6917" spans="1:19" x14ac:dyDescent="0.25">
      <c r="A6917" s="27" t="s">
        <v>655</v>
      </c>
      <c r="P6917">
        <v>7701</v>
      </c>
      <c r="Q6917" t="s">
        <v>14954</v>
      </c>
      <c r="S6917" t="s">
        <v>14924</v>
      </c>
    </row>
    <row r="6918" spans="1:19" x14ac:dyDescent="0.25">
      <c r="A6918" s="27" t="s">
        <v>655</v>
      </c>
      <c r="P6918">
        <v>7710</v>
      </c>
      <c r="Q6918" t="s">
        <v>14955</v>
      </c>
      <c r="S6918" t="s">
        <v>13235</v>
      </c>
    </row>
    <row r="6919" spans="1:19" x14ac:dyDescent="0.25">
      <c r="A6919" s="27" t="s">
        <v>655</v>
      </c>
      <c r="P6919">
        <v>7711</v>
      </c>
      <c r="Q6919" t="s">
        <v>14955</v>
      </c>
      <c r="S6919" t="s">
        <v>14924</v>
      </c>
    </row>
    <row r="6920" spans="1:19" x14ac:dyDescent="0.25">
      <c r="A6920" s="27" t="s">
        <v>655</v>
      </c>
      <c r="P6920">
        <v>7720</v>
      </c>
      <c r="Q6920" t="s">
        <v>14956</v>
      </c>
      <c r="S6920" t="s">
        <v>13235</v>
      </c>
    </row>
    <row r="6921" spans="1:19" x14ac:dyDescent="0.25">
      <c r="A6921" s="27" t="s">
        <v>655</v>
      </c>
      <c r="P6921">
        <v>7721</v>
      </c>
      <c r="Q6921" t="s">
        <v>14956</v>
      </c>
      <c r="S6921" t="s">
        <v>14924</v>
      </c>
    </row>
    <row r="6922" spans="1:19" x14ac:dyDescent="0.25">
      <c r="A6922" s="27" t="s">
        <v>655</v>
      </c>
      <c r="P6922">
        <v>7730</v>
      </c>
      <c r="Q6922" t="s">
        <v>14957</v>
      </c>
      <c r="S6922" t="s">
        <v>13235</v>
      </c>
    </row>
    <row r="6923" spans="1:19" x14ac:dyDescent="0.25">
      <c r="A6923" s="27" t="s">
        <v>655</v>
      </c>
      <c r="P6923">
        <v>7731</v>
      </c>
      <c r="Q6923" t="s">
        <v>14957</v>
      </c>
      <c r="S6923" t="s">
        <v>14924</v>
      </c>
    </row>
    <row r="6924" spans="1:19" x14ac:dyDescent="0.25">
      <c r="A6924" s="27" t="s">
        <v>655</v>
      </c>
      <c r="P6924">
        <v>7734</v>
      </c>
      <c r="Q6924" t="s">
        <v>14958</v>
      </c>
      <c r="S6924" t="s">
        <v>14924</v>
      </c>
    </row>
    <row r="6925" spans="1:19" x14ac:dyDescent="0.25">
      <c r="A6925" s="27" t="s">
        <v>655</v>
      </c>
      <c r="P6925">
        <v>7735</v>
      </c>
      <c r="Q6925" t="s">
        <v>14958</v>
      </c>
      <c r="S6925" t="s">
        <v>13235</v>
      </c>
    </row>
    <row r="6926" spans="1:19" x14ac:dyDescent="0.25">
      <c r="A6926" s="27" t="s">
        <v>655</v>
      </c>
      <c r="P6926">
        <v>7736</v>
      </c>
      <c r="Q6926" t="s">
        <v>14959</v>
      </c>
      <c r="S6926" t="s">
        <v>13235</v>
      </c>
    </row>
    <row r="6927" spans="1:19" x14ac:dyDescent="0.25">
      <c r="A6927" s="27" t="s">
        <v>655</v>
      </c>
      <c r="P6927">
        <v>7737</v>
      </c>
      <c r="Q6927" t="s">
        <v>14959</v>
      </c>
      <c r="S6927" t="s">
        <v>14924</v>
      </c>
    </row>
    <row r="6928" spans="1:19" x14ac:dyDescent="0.25">
      <c r="A6928" s="27" t="s">
        <v>655</v>
      </c>
      <c r="P6928">
        <v>7740</v>
      </c>
      <c r="Q6928" t="s">
        <v>14960</v>
      </c>
      <c r="S6928" t="s">
        <v>13235</v>
      </c>
    </row>
    <row r="6929" spans="1:19" x14ac:dyDescent="0.25">
      <c r="A6929" s="27" t="s">
        <v>655</v>
      </c>
      <c r="P6929">
        <v>7741</v>
      </c>
      <c r="Q6929" t="s">
        <v>14960</v>
      </c>
      <c r="S6929" t="s">
        <v>14924</v>
      </c>
    </row>
    <row r="6930" spans="1:19" x14ac:dyDescent="0.25">
      <c r="A6930" s="27" t="s">
        <v>655</v>
      </c>
      <c r="P6930">
        <v>7744</v>
      </c>
      <c r="Q6930" t="s">
        <v>14961</v>
      </c>
      <c r="S6930" t="s">
        <v>14924</v>
      </c>
    </row>
    <row r="6931" spans="1:19" x14ac:dyDescent="0.25">
      <c r="A6931" s="27" t="s">
        <v>655</v>
      </c>
      <c r="P6931">
        <v>7745</v>
      </c>
      <c r="Q6931" t="s">
        <v>14961</v>
      </c>
      <c r="S6931" t="s">
        <v>13235</v>
      </c>
    </row>
    <row r="6932" spans="1:19" x14ac:dyDescent="0.25">
      <c r="A6932" s="27" t="s">
        <v>655</v>
      </c>
      <c r="P6932">
        <v>7746</v>
      </c>
      <c r="Q6932" t="s">
        <v>14962</v>
      </c>
      <c r="S6932" t="s">
        <v>13235</v>
      </c>
    </row>
    <row r="6933" spans="1:19" x14ac:dyDescent="0.25">
      <c r="A6933" s="27" t="s">
        <v>655</v>
      </c>
      <c r="P6933">
        <v>7747</v>
      </c>
      <c r="Q6933" t="s">
        <v>14963</v>
      </c>
      <c r="S6933" t="s">
        <v>14924</v>
      </c>
    </row>
    <row r="6934" spans="1:19" x14ac:dyDescent="0.25">
      <c r="A6934" s="27" t="s">
        <v>655</v>
      </c>
      <c r="P6934">
        <v>7750</v>
      </c>
      <c r="Q6934" t="s">
        <v>14964</v>
      </c>
      <c r="S6934" t="s">
        <v>13235</v>
      </c>
    </row>
    <row r="6935" spans="1:19" x14ac:dyDescent="0.25">
      <c r="A6935" s="27" t="s">
        <v>655</v>
      </c>
      <c r="P6935">
        <v>7751</v>
      </c>
      <c r="Q6935" t="s">
        <v>14964</v>
      </c>
      <c r="S6935" t="s">
        <v>14924</v>
      </c>
    </row>
    <row r="6936" spans="1:19" x14ac:dyDescent="0.25">
      <c r="A6936" s="27" t="s">
        <v>655</v>
      </c>
      <c r="P6936">
        <v>7755</v>
      </c>
      <c r="Q6936" t="s">
        <v>14965</v>
      </c>
      <c r="S6936" t="s">
        <v>13235</v>
      </c>
    </row>
    <row r="6937" spans="1:19" x14ac:dyDescent="0.25">
      <c r="A6937" s="27" t="s">
        <v>655</v>
      </c>
      <c r="P6937">
        <v>7756</v>
      </c>
      <c r="Q6937" t="s">
        <v>14965</v>
      </c>
      <c r="S6937" t="s">
        <v>14924</v>
      </c>
    </row>
    <row r="6938" spans="1:19" x14ac:dyDescent="0.25">
      <c r="A6938" s="27" t="s">
        <v>655</v>
      </c>
      <c r="P6938">
        <v>7760</v>
      </c>
      <c r="Q6938" t="s">
        <v>14966</v>
      </c>
      <c r="S6938" t="s">
        <v>13235</v>
      </c>
    </row>
    <row r="6939" spans="1:19" x14ac:dyDescent="0.25">
      <c r="A6939" s="27" t="s">
        <v>655</v>
      </c>
      <c r="P6939">
        <v>7761</v>
      </c>
      <c r="Q6939" t="s">
        <v>14966</v>
      </c>
      <c r="S6939" t="s">
        <v>14924</v>
      </c>
    </row>
    <row r="6940" spans="1:19" x14ac:dyDescent="0.25">
      <c r="A6940" s="27" t="s">
        <v>655</v>
      </c>
      <c r="P6940">
        <v>7764</v>
      </c>
      <c r="Q6940" t="s">
        <v>14967</v>
      </c>
      <c r="S6940" t="s">
        <v>14924</v>
      </c>
    </row>
    <row r="6941" spans="1:19" x14ac:dyDescent="0.25">
      <c r="A6941" s="27" t="s">
        <v>655</v>
      </c>
      <c r="P6941">
        <v>7765</v>
      </c>
      <c r="Q6941" t="s">
        <v>14967</v>
      </c>
      <c r="S6941" t="s">
        <v>13235</v>
      </c>
    </row>
    <row r="6942" spans="1:19" x14ac:dyDescent="0.25">
      <c r="A6942" s="27" t="s">
        <v>655</v>
      </c>
      <c r="P6942">
        <v>7766</v>
      </c>
      <c r="Q6942" t="s">
        <v>14968</v>
      </c>
      <c r="S6942" t="s">
        <v>13235</v>
      </c>
    </row>
    <row r="6943" spans="1:19" x14ac:dyDescent="0.25">
      <c r="A6943" s="27" t="s">
        <v>655</v>
      </c>
      <c r="P6943">
        <v>7767</v>
      </c>
      <c r="Q6943" t="s">
        <v>14968</v>
      </c>
      <c r="S6943" t="s">
        <v>14924</v>
      </c>
    </row>
    <row r="6944" spans="1:19" x14ac:dyDescent="0.25">
      <c r="A6944" s="27" t="s">
        <v>655</v>
      </c>
      <c r="P6944">
        <v>7768</v>
      </c>
      <c r="Q6944" t="s">
        <v>14969</v>
      </c>
      <c r="S6944" t="s">
        <v>13235</v>
      </c>
    </row>
    <row r="6945" spans="1:19" x14ac:dyDescent="0.25">
      <c r="A6945" s="27" t="s">
        <v>655</v>
      </c>
      <c r="P6945">
        <v>7769</v>
      </c>
      <c r="Q6945" t="s">
        <v>14969</v>
      </c>
      <c r="S6945" t="s">
        <v>14924</v>
      </c>
    </row>
    <row r="6946" spans="1:19" x14ac:dyDescent="0.25">
      <c r="A6946" s="27" t="s">
        <v>655</v>
      </c>
      <c r="P6946">
        <v>7770</v>
      </c>
      <c r="Q6946" t="s">
        <v>14970</v>
      </c>
      <c r="S6946" t="s">
        <v>13235</v>
      </c>
    </row>
    <row r="6947" spans="1:19" x14ac:dyDescent="0.25">
      <c r="A6947" s="27" t="s">
        <v>655</v>
      </c>
      <c r="P6947">
        <v>7771</v>
      </c>
      <c r="Q6947" t="s">
        <v>14970</v>
      </c>
      <c r="S6947" t="s">
        <v>14924</v>
      </c>
    </row>
    <row r="6948" spans="1:19" x14ac:dyDescent="0.25">
      <c r="A6948" s="27" t="s">
        <v>655</v>
      </c>
      <c r="P6948">
        <v>7800</v>
      </c>
      <c r="Q6948" t="s">
        <v>14971</v>
      </c>
      <c r="S6948" t="s">
        <v>13235</v>
      </c>
    </row>
    <row r="6949" spans="1:19" x14ac:dyDescent="0.25">
      <c r="A6949" s="27" t="s">
        <v>655</v>
      </c>
      <c r="P6949">
        <v>7801</v>
      </c>
      <c r="Q6949" t="s">
        <v>14971</v>
      </c>
      <c r="S6949" t="s">
        <v>14924</v>
      </c>
    </row>
    <row r="6950" spans="1:19" x14ac:dyDescent="0.25">
      <c r="A6950" s="27" t="s">
        <v>655</v>
      </c>
      <c r="P6950">
        <v>7900</v>
      </c>
      <c r="Q6950" t="s">
        <v>14972</v>
      </c>
      <c r="S6950" t="s">
        <v>14322</v>
      </c>
    </row>
    <row r="6951" spans="1:19" x14ac:dyDescent="0.25">
      <c r="A6951" s="27" t="s">
        <v>193</v>
      </c>
      <c r="C6951" s="27" t="s">
        <v>34749</v>
      </c>
      <c r="D6951" s="28" t="s">
        <v>34867</v>
      </c>
      <c r="P6951">
        <v>8000</v>
      </c>
      <c r="Q6951" t="s">
        <v>8136</v>
      </c>
      <c r="R6951" s="28" t="s">
        <v>8137</v>
      </c>
      <c r="S6951" t="s">
        <v>13022</v>
      </c>
    </row>
    <row r="6952" spans="1:19" x14ac:dyDescent="0.25">
      <c r="A6952" s="27" t="s">
        <v>193</v>
      </c>
      <c r="C6952" s="27" t="s">
        <v>34749</v>
      </c>
      <c r="D6952" s="28" t="s">
        <v>34867</v>
      </c>
      <c r="P6952">
        <v>8001</v>
      </c>
      <c r="Q6952" t="s">
        <v>8148</v>
      </c>
      <c r="R6952" s="28" t="s">
        <v>8149</v>
      </c>
      <c r="S6952" t="s">
        <v>13022</v>
      </c>
    </row>
    <row r="6953" spans="1:19" x14ac:dyDescent="0.25">
      <c r="A6953" s="27" t="s">
        <v>193</v>
      </c>
      <c r="C6953" s="27" t="s">
        <v>34749</v>
      </c>
      <c r="D6953" s="28" t="s">
        <v>34867</v>
      </c>
      <c r="P6953">
        <v>8002</v>
      </c>
      <c r="Q6953" t="s">
        <v>8199</v>
      </c>
      <c r="R6953" s="28" t="s">
        <v>8200</v>
      </c>
      <c r="S6953" t="s">
        <v>13022</v>
      </c>
    </row>
    <row r="6954" spans="1:19" x14ac:dyDescent="0.25">
      <c r="A6954" s="27" t="s">
        <v>193</v>
      </c>
      <c r="C6954" s="27" t="s">
        <v>34749</v>
      </c>
      <c r="D6954" s="28" t="s">
        <v>34867</v>
      </c>
      <c r="P6954">
        <v>8003</v>
      </c>
      <c r="Q6954" t="s">
        <v>8205</v>
      </c>
      <c r="R6954" s="28" t="s">
        <v>8206</v>
      </c>
      <c r="S6954" t="s">
        <v>13022</v>
      </c>
    </row>
    <row r="6955" spans="1:19" x14ac:dyDescent="0.25">
      <c r="A6955" s="27" t="s">
        <v>193</v>
      </c>
      <c r="C6955" s="27" t="s">
        <v>34749</v>
      </c>
      <c r="D6955" s="28" t="s">
        <v>34867</v>
      </c>
      <c r="P6955">
        <v>8004</v>
      </c>
      <c r="Q6955" t="s">
        <v>14973</v>
      </c>
      <c r="R6955" s="28" t="s">
        <v>8209</v>
      </c>
      <c r="S6955" t="s">
        <v>13022</v>
      </c>
    </row>
    <row r="6956" spans="1:19" x14ac:dyDescent="0.25">
      <c r="A6956" s="27" t="s">
        <v>193</v>
      </c>
      <c r="C6956" s="27" t="s">
        <v>34749</v>
      </c>
      <c r="D6956" s="28" t="s">
        <v>34867</v>
      </c>
      <c r="P6956">
        <v>8005</v>
      </c>
      <c r="Q6956" t="s">
        <v>14974</v>
      </c>
      <c r="R6956" s="28" t="s">
        <v>8203</v>
      </c>
      <c r="S6956" t="s">
        <v>13022</v>
      </c>
    </row>
    <row r="6957" spans="1:19" x14ac:dyDescent="0.25">
      <c r="A6957" s="27" t="s">
        <v>193</v>
      </c>
      <c r="C6957" s="27" t="s">
        <v>34749</v>
      </c>
      <c r="D6957" s="28" t="s">
        <v>34867</v>
      </c>
      <c r="P6957">
        <v>8006</v>
      </c>
      <c r="Q6957" t="s">
        <v>8211</v>
      </c>
      <c r="R6957" s="28" t="s">
        <v>8212</v>
      </c>
      <c r="S6957" t="s">
        <v>13022</v>
      </c>
    </row>
    <row r="6958" spans="1:19" x14ac:dyDescent="0.25">
      <c r="A6958" s="27" t="s">
        <v>193</v>
      </c>
      <c r="C6958" s="27" t="s">
        <v>34749</v>
      </c>
      <c r="D6958" s="28" t="s">
        <v>34867</v>
      </c>
      <c r="P6958">
        <v>8007</v>
      </c>
      <c r="Q6958" t="s">
        <v>14975</v>
      </c>
      <c r="R6958" s="28" t="s">
        <v>8155</v>
      </c>
      <c r="S6958" t="s">
        <v>13022</v>
      </c>
    </row>
    <row r="6959" spans="1:19" x14ac:dyDescent="0.25">
      <c r="A6959" s="27" t="s">
        <v>193</v>
      </c>
      <c r="C6959" s="27" t="s">
        <v>34749</v>
      </c>
      <c r="D6959" s="28" t="s">
        <v>34867</v>
      </c>
      <c r="P6959">
        <v>8009</v>
      </c>
      <c r="Q6959" t="s">
        <v>8226</v>
      </c>
      <c r="R6959" s="28" t="s">
        <v>8227</v>
      </c>
      <c r="S6959" t="s">
        <v>13022</v>
      </c>
    </row>
    <row r="6960" spans="1:19" x14ac:dyDescent="0.25">
      <c r="A6960" s="27" t="s">
        <v>193</v>
      </c>
      <c r="C6960" s="27" t="s">
        <v>34749</v>
      </c>
      <c r="D6960" s="28" t="s">
        <v>34867</v>
      </c>
      <c r="P6960">
        <v>8010</v>
      </c>
      <c r="Q6960" t="s">
        <v>14976</v>
      </c>
      <c r="R6960" s="28" t="s">
        <v>8230</v>
      </c>
      <c r="S6960" t="s">
        <v>13022</v>
      </c>
    </row>
    <row r="6961" spans="1:19" x14ac:dyDescent="0.25">
      <c r="A6961" s="27" t="s">
        <v>193</v>
      </c>
      <c r="C6961" s="27" t="s">
        <v>34749</v>
      </c>
      <c r="D6961" s="28" t="s">
        <v>34867</v>
      </c>
      <c r="P6961">
        <v>8011</v>
      </c>
      <c r="Q6961" t="s">
        <v>8220</v>
      </c>
      <c r="R6961" s="28" t="s">
        <v>8221</v>
      </c>
      <c r="S6961" t="s">
        <v>13022</v>
      </c>
    </row>
    <row r="6962" spans="1:19" x14ac:dyDescent="0.25">
      <c r="A6962" s="27" t="s">
        <v>193</v>
      </c>
      <c r="C6962" s="27" t="s">
        <v>34749</v>
      </c>
      <c r="D6962" s="28" t="s">
        <v>34867</v>
      </c>
      <c r="P6962">
        <v>8012</v>
      </c>
      <c r="Q6962" t="s">
        <v>2987</v>
      </c>
      <c r="R6962" s="28" t="s">
        <v>2988</v>
      </c>
      <c r="S6962" t="s">
        <v>13022</v>
      </c>
    </row>
    <row r="6963" spans="1:19" x14ac:dyDescent="0.25">
      <c r="A6963" s="27" t="s">
        <v>193</v>
      </c>
      <c r="C6963" s="27" t="s">
        <v>34749</v>
      </c>
      <c r="D6963" s="28" t="s">
        <v>34867</v>
      </c>
      <c r="P6963">
        <v>8013</v>
      </c>
      <c r="Q6963" t="s">
        <v>8274</v>
      </c>
      <c r="R6963" s="28" t="s">
        <v>8275</v>
      </c>
      <c r="S6963" t="s">
        <v>13022</v>
      </c>
    </row>
    <row r="6964" spans="1:19" x14ac:dyDescent="0.25">
      <c r="A6964" s="27" t="s">
        <v>193</v>
      </c>
      <c r="C6964" s="27" t="s">
        <v>34749</v>
      </c>
      <c r="D6964" s="28" t="s">
        <v>34867</v>
      </c>
      <c r="P6964">
        <v>8015</v>
      </c>
      <c r="Q6964" t="s">
        <v>14977</v>
      </c>
      <c r="R6964" s="28" t="s">
        <v>14978</v>
      </c>
      <c r="S6964" t="s">
        <v>13022</v>
      </c>
    </row>
    <row r="6965" spans="1:19" x14ac:dyDescent="0.25">
      <c r="A6965" s="27" t="s">
        <v>193</v>
      </c>
      <c r="C6965" s="27" t="s">
        <v>34749</v>
      </c>
      <c r="D6965" s="28" t="s">
        <v>34867</v>
      </c>
      <c r="P6965">
        <v>8017</v>
      </c>
      <c r="Q6965" t="s">
        <v>14979</v>
      </c>
      <c r="R6965" s="28" t="s">
        <v>14980</v>
      </c>
      <c r="S6965" t="s">
        <v>13022</v>
      </c>
    </row>
    <row r="6966" spans="1:19" x14ac:dyDescent="0.25">
      <c r="A6966" s="27" t="s">
        <v>193</v>
      </c>
      <c r="C6966" s="27" t="s">
        <v>34749</v>
      </c>
      <c r="D6966" s="28" t="s">
        <v>34867</v>
      </c>
      <c r="P6966">
        <v>8018</v>
      </c>
      <c r="Q6966" t="s">
        <v>8283</v>
      </c>
      <c r="R6966" s="28" t="s">
        <v>8284</v>
      </c>
      <c r="S6966" t="s">
        <v>13022</v>
      </c>
    </row>
    <row r="6967" spans="1:19" x14ac:dyDescent="0.25">
      <c r="A6967" s="27" t="s">
        <v>193</v>
      </c>
      <c r="C6967" s="27" t="s">
        <v>34749</v>
      </c>
      <c r="D6967" s="28" t="s">
        <v>34867</v>
      </c>
      <c r="P6967">
        <v>8019</v>
      </c>
      <c r="Q6967" t="s">
        <v>8271</v>
      </c>
      <c r="R6967" s="28" t="s">
        <v>8272</v>
      </c>
      <c r="S6967" t="s">
        <v>13022</v>
      </c>
    </row>
    <row r="6968" spans="1:19" x14ac:dyDescent="0.25">
      <c r="A6968" s="27" t="s">
        <v>193</v>
      </c>
      <c r="C6968" s="27" t="s">
        <v>34749</v>
      </c>
      <c r="D6968" s="28" t="s">
        <v>34867</v>
      </c>
      <c r="P6968">
        <v>8020</v>
      </c>
      <c r="Q6968" t="s">
        <v>8292</v>
      </c>
      <c r="R6968" s="28" t="s">
        <v>8293</v>
      </c>
      <c r="S6968" t="s">
        <v>13022</v>
      </c>
    </row>
    <row r="6969" spans="1:19" x14ac:dyDescent="0.25">
      <c r="A6969" s="27" t="s">
        <v>193</v>
      </c>
      <c r="C6969" s="27" t="s">
        <v>34749</v>
      </c>
      <c r="D6969" s="28" t="s">
        <v>34867</v>
      </c>
      <c r="P6969">
        <v>8021</v>
      </c>
      <c r="Q6969" t="s">
        <v>14981</v>
      </c>
      <c r="R6969" s="28" t="s">
        <v>8296</v>
      </c>
      <c r="S6969" t="s">
        <v>13022</v>
      </c>
    </row>
    <row r="6970" spans="1:19" x14ac:dyDescent="0.25">
      <c r="A6970" s="27" t="s">
        <v>193</v>
      </c>
      <c r="C6970" s="27" t="s">
        <v>34749</v>
      </c>
      <c r="D6970" s="28" t="s">
        <v>34867</v>
      </c>
      <c r="P6970">
        <v>8022</v>
      </c>
      <c r="Q6970" t="s">
        <v>14982</v>
      </c>
      <c r="R6970" s="28" t="s">
        <v>14983</v>
      </c>
      <c r="S6970" t="s">
        <v>13022</v>
      </c>
    </row>
    <row r="6971" spans="1:19" x14ac:dyDescent="0.25">
      <c r="A6971" s="27" t="s">
        <v>193</v>
      </c>
      <c r="C6971" s="27" t="s">
        <v>34749</v>
      </c>
      <c r="D6971" s="28" t="s">
        <v>34867</v>
      </c>
      <c r="P6971">
        <v>8023</v>
      </c>
      <c r="Q6971" t="s">
        <v>14984</v>
      </c>
      <c r="R6971" s="28" t="s">
        <v>8302</v>
      </c>
      <c r="S6971" t="s">
        <v>13022</v>
      </c>
    </row>
    <row r="6972" spans="1:19" x14ac:dyDescent="0.25">
      <c r="A6972" s="27" t="s">
        <v>193</v>
      </c>
      <c r="C6972" s="27" t="s">
        <v>34749</v>
      </c>
      <c r="D6972" s="28" t="s">
        <v>34867</v>
      </c>
      <c r="P6972">
        <v>8024</v>
      </c>
      <c r="Q6972" t="s">
        <v>14985</v>
      </c>
      <c r="R6972" s="28" t="s">
        <v>10078</v>
      </c>
      <c r="S6972" t="s">
        <v>13022</v>
      </c>
    </row>
    <row r="6973" spans="1:19" x14ac:dyDescent="0.25">
      <c r="A6973" s="27" t="s">
        <v>193</v>
      </c>
      <c r="C6973" s="27" t="s">
        <v>34749</v>
      </c>
      <c r="D6973" s="28" t="s">
        <v>34867</v>
      </c>
      <c r="P6973">
        <v>8025</v>
      </c>
      <c r="Q6973" t="s">
        <v>8325</v>
      </c>
      <c r="R6973" s="28" t="s">
        <v>8326</v>
      </c>
      <c r="S6973" t="s">
        <v>13022</v>
      </c>
    </row>
    <row r="6974" spans="1:19" x14ac:dyDescent="0.25">
      <c r="A6974" s="27" t="s">
        <v>193</v>
      </c>
      <c r="C6974" s="27" t="s">
        <v>34749</v>
      </c>
      <c r="D6974" s="28" t="s">
        <v>34867</v>
      </c>
      <c r="P6974">
        <v>8026</v>
      </c>
      <c r="Q6974" t="s">
        <v>14986</v>
      </c>
      <c r="R6974" s="28" t="s">
        <v>8347</v>
      </c>
      <c r="S6974" t="s">
        <v>13022</v>
      </c>
    </row>
    <row r="6975" spans="1:19" x14ac:dyDescent="0.25">
      <c r="A6975" s="27" t="s">
        <v>193</v>
      </c>
      <c r="C6975" s="27" t="s">
        <v>34749</v>
      </c>
      <c r="D6975" s="28" t="s">
        <v>34867</v>
      </c>
      <c r="P6975">
        <v>8027</v>
      </c>
      <c r="Q6975" t="s">
        <v>8364</v>
      </c>
      <c r="R6975" s="28" t="s">
        <v>8365</v>
      </c>
      <c r="S6975" t="s">
        <v>13022</v>
      </c>
    </row>
    <row r="6976" spans="1:19" x14ac:dyDescent="0.25">
      <c r="A6976" s="27" t="s">
        <v>193</v>
      </c>
      <c r="C6976" s="27" t="s">
        <v>34749</v>
      </c>
      <c r="D6976" s="28" t="s">
        <v>34867</v>
      </c>
      <c r="P6976">
        <v>8028</v>
      </c>
      <c r="Q6976" t="s">
        <v>14987</v>
      </c>
      <c r="R6976" s="28" t="s">
        <v>3605</v>
      </c>
      <c r="S6976" t="s">
        <v>13022</v>
      </c>
    </row>
    <row r="6977" spans="1:19" x14ac:dyDescent="0.25">
      <c r="A6977" s="27" t="s">
        <v>193</v>
      </c>
      <c r="C6977" s="27" t="s">
        <v>34749</v>
      </c>
      <c r="D6977" s="28" t="s">
        <v>34867</v>
      </c>
      <c r="P6977">
        <v>8029</v>
      </c>
      <c r="Q6977" t="s">
        <v>14988</v>
      </c>
      <c r="R6977" s="28" t="s">
        <v>3473</v>
      </c>
      <c r="S6977" t="s">
        <v>13022</v>
      </c>
    </row>
    <row r="6978" spans="1:19" x14ac:dyDescent="0.25">
      <c r="A6978" s="27" t="s">
        <v>193</v>
      </c>
      <c r="C6978" s="27" t="s">
        <v>34749</v>
      </c>
      <c r="D6978" s="28" t="s">
        <v>34867</v>
      </c>
      <c r="P6978">
        <v>8030</v>
      </c>
      <c r="Q6978" t="s">
        <v>8370</v>
      </c>
      <c r="R6978" s="28" t="s">
        <v>8371</v>
      </c>
      <c r="S6978" t="s">
        <v>13022</v>
      </c>
    </row>
    <row r="6979" spans="1:19" x14ac:dyDescent="0.25">
      <c r="A6979" s="27" t="s">
        <v>193</v>
      </c>
      <c r="C6979" s="27" t="s">
        <v>34749</v>
      </c>
      <c r="D6979" s="28" t="s">
        <v>34867</v>
      </c>
      <c r="P6979">
        <v>8031</v>
      </c>
      <c r="Q6979" t="s">
        <v>8349</v>
      </c>
      <c r="R6979" s="28" t="s">
        <v>8350</v>
      </c>
      <c r="S6979" t="s">
        <v>13022</v>
      </c>
    </row>
    <row r="6980" spans="1:19" x14ac:dyDescent="0.25">
      <c r="A6980" s="27" t="s">
        <v>193</v>
      </c>
      <c r="C6980" s="27" t="s">
        <v>34749</v>
      </c>
      <c r="D6980" s="28" t="s">
        <v>34867</v>
      </c>
      <c r="P6980">
        <v>8032</v>
      </c>
      <c r="Q6980" t="s">
        <v>14989</v>
      </c>
      <c r="R6980" s="28" t="s">
        <v>14990</v>
      </c>
      <c r="S6980" t="s">
        <v>13022</v>
      </c>
    </row>
    <row r="6981" spans="1:19" x14ac:dyDescent="0.25">
      <c r="A6981" s="27" t="s">
        <v>193</v>
      </c>
      <c r="C6981" s="27" t="s">
        <v>34749</v>
      </c>
      <c r="D6981" s="28" t="s">
        <v>34867</v>
      </c>
      <c r="P6981">
        <v>8033</v>
      </c>
      <c r="Q6981" t="s">
        <v>14991</v>
      </c>
      <c r="R6981" s="28" t="s">
        <v>10123</v>
      </c>
      <c r="S6981" t="s">
        <v>13022</v>
      </c>
    </row>
    <row r="6982" spans="1:19" x14ac:dyDescent="0.25">
      <c r="A6982" s="27" t="s">
        <v>193</v>
      </c>
      <c r="C6982" s="27" t="s">
        <v>34749</v>
      </c>
      <c r="D6982" s="28" t="s">
        <v>34867</v>
      </c>
      <c r="P6982">
        <v>8034</v>
      </c>
      <c r="Q6982" t="s">
        <v>14992</v>
      </c>
      <c r="R6982" s="28" t="s">
        <v>14993</v>
      </c>
      <c r="S6982" t="s">
        <v>13022</v>
      </c>
    </row>
    <row r="6983" spans="1:19" x14ac:dyDescent="0.25">
      <c r="A6983" s="27" t="s">
        <v>193</v>
      </c>
      <c r="C6983" s="27" t="s">
        <v>34749</v>
      </c>
      <c r="D6983" s="28" t="s">
        <v>34867</v>
      </c>
      <c r="P6983">
        <v>8035</v>
      </c>
      <c r="Q6983" t="s">
        <v>8397</v>
      </c>
      <c r="R6983" s="28" t="s">
        <v>8398</v>
      </c>
      <c r="S6983" t="s">
        <v>13022</v>
      </c>
    </row>
    <row r="6984" spans="1:19" x14ac:dyDescent="0.25">
      <c r="A6984" s="27" t="s">
        <v>193</v>
      </c>
      <c r="C6984" s="27" t="s">
        <v>34749</v>
      </c>
      <c r="D6984" s="28" t="s">
        <v>34867</v>
      </c>
      <c r="P6984">
        <v>8036</v>
      </c>
      <c r="Q6984" t="s">
        <v>8415</v>
      </c>
      <c r="R6984" s="28" t="s">
        <v>8416</v>
      </c>
      <c r="S6984" t="s">
        <v>13022</v>
      </c>
    </row>
    <row r="6985" spans="1:19" x14ac:dyDescent="0.25">
      <c r="A6985" s="27" t="s">
        <v>193</v>
      </c>
      <c r="C6985" s="27" t="s">
        <v>34749</v>
      </c>
      <c r="D6985" s="28" t="s">
        <v>34867</v>
      </c>
      <c r="P6985">
        <v>8037</v>
      </c>
      <c r="Q6985" t="s">
        <v>14994</v>
      </c>
      <c r="R6985" s="28" t="s">
        <v>14995</v>
      </c>
      <c r="S6985" t="s">
        <v>13022</v>
      </c>
    </row>
    <row r="6986" spans="1:19" x14ac:dyDescent="0.25">
      <c r="A6986" s="27" t="s">
        <v>193</v>
      </c>
      <c r="C6986" s="27" t="s">
        <v>34749</v>
      </c>
      <c r="D6986" s="28" t="s">
        <v>34867</v>
      </c>
      <c r="P6986">
        <v>8038</v>
      </c>
      <c r="Q6986" t="s">
        <v>14996</v>
      </c>
      <c r="R6986" s="28" t="s">
        <v>8494</v>
      </c>
      <c r="S6986" t="s">
        <v>13022</v>
      </c>
    </row>
    <row r="6987" spans="1:19" x14ac:dyDescent="0.25">
      <c r="A6987" s="27" t="s">
        <v>193</v>
      </c>
      <c r="C6987" s="27" t="s">
        <v>34749</v>
      </c>
      <c r="D6987" s="28" t="s">
        <v>34867</v>
      </c>
      <c r="P6987">
        <v>8039</v>
      </c>
      <c r="Q6987" t="s">
        <v>14997</v>
      </c>
      <c r="S6987" t="s">
        <v>13022</v>
      </c>
    </row>
    <row r="6988" spans="1:19" x14ac:dyDescent="0.25">
      <c r="A6988" s="27" t="s">
        <v>193</v>
      </c>
      <c r="C6988" s="27" t="s">
        <v>34749</v>
      </c>
      <c r="D6988" s="28" t="s">
        <v>34867</v>
      </c>
      <c r="P6988">
        <v>8040</v>
      </c>
      <c r="Q6988" t="s">
        <v>8406</v>
      </c>
      <c r="R6988" s="28" t="s">
        <v>8407</v>
      </c>
      <c r="S6988" t="s">
        <v>13022</v>
      </c>
    </row>
    <row r="6989" spans="1:19" x14ac:dyDescent="0.25">
      <c r="A6989" s="27" t="s">
        <v>193</v>
      </c>
      <c r="C6989" s="27" t="s">
        <v>34749</v>
      </c>
      <c r="D6989" s="28" t="s">
        <v>34867</v>
      </c>
      <c r="P6989">
        <v>8041</v>
      </c>
      <c r="Q6989" t="s">
        <v>14998</v>
      </c>
      <c r="R6989" s="28" t="s">
        <v>8410</v>
      </c>
      <c r="S6989" t="s">
        <v>13022</v>
      </c>
    </row>
    <row r="6990" spans="1:19" x14ac:dyDescent="0.25">
      <c r="A6990" s="27" t="s">
        <v>193</v>
      </c>
      <c r="C6990" s="27" t="s">
        <v>34749</v>
      </c>
      <c r="D6990" s="28" t="s">
        <v>34867</v>
      </c>
      <c r="P6990">
        <v>8042</v>
      </c>
      <c r="Q6990" t="s">
        <v>8412</v>
      </c>
      <c r="R6990" s="28" t="s">
        <v>8413</v>
      </c>
      <c r="S6990" t="s">
        <v>13022</v>
      </c>
    </row>
    <row r="6991" spans="1:19" x14ac:dyDescent="0.25">
      <c r="A6991" s="27" t="s">
        <v>193</v>
      </c>
      <c r="C6991" s="27" t="s">
        <v>34749</v>
      </c>
      <c r="D6991" s="28" t="s">
        <v>34867</v>
      </c>
      <c r="P6991">
        <v>8043</v>
      </c>
      <c r="Q6991" t="s">
        <v>8421</v>
      </c>
      <c r="R6991" s="28" t="s">
        <v>8422</v>
      </c>
      <c r="S6991" t="s">
        <v>13022</v>
      </c>
    </row>
    <row r="6992" spans="1:19" x14ac:dyDescent="0.25">
      <c r="A6992" s="27" t="s">
        <v>193</v>
      </c>
      <c r="C6992" s="27" t="s">
        <v>34749</v>
      </c>
      <c r="D6992" s="28" t="s">
        <v>34867</v>
      </c>
      <c r="P6992">
        <v>8044</v>
      </c>
      <c r="Q6992" t="s">
        <v>8436</v>
      </c>
      <c r="R6992" s="28" t="s">
        <v>8437</v>
      </c>
      <c r="S6992" t="s">
        <v>13022</v>
      </c>
    </row>
    <row r="6993" spans="1:19" x14ac:dyDescent="0.25">
      <c r="A6993" s="27" t="s">
        <v>193</v>
      </c>
      <c r="C6993" s="27" t="s">
        <v>34749</v>
      </c>
      <c r="D6993" s="28" t="s">
        <v>34867</v>
      </c>
      <c r="P6993">
        <v>8045</v>
      </c>
      <c r="Q6993" t="s">
        <v>8508</v>
      </c>
      <c r="R6993" s="28" t="s">
        <v>8509</v>
      </c>
      <c r="S6993" t="s">
        <v>13022</v>
      </c>
    </row>
    <row r="6994" spans="1:19" x14ac:dyDescent="0.25">
      <c r="A6994" s="27" t="s">
        <v>193</v>
      </c>
      <c r="C6994" s="27" t="s">
        <v>34749</v>
      </c>
      <c r="D6994" s="28" t="s">
        <v>34867</v>
      </c>
      <c r="P6994">
        <v>8046</v>
      </c>
      <c r="Q6994" t="s">
        <v>8526</v>
      </c>
      <c r="R6994" s="28" t="s">
        <v>8527</v>
      </c>
      <c r="S6994" t="s">
        <v>13022</v>
      </c>
    </row>
    <row r="6995" spans="1:19" x14ac:dyDescent="0.25">
      <c r="A6995" s="27" t="s">
        <v>193</v>
      </c>
      <c r="C6995" s="27" t="s">
        <v>34749</v>
      </c>
      <c r="D6995" s="28" t="s">
        <v>34867</v>
      </c>
      <c r="P6995">
        <v>8047</v>
      </c>
      <c r="Q6995" t="s">
        <v>8502</v>
      </c>
      <c r="R6995" s="28" t="s">
        <v>8503</v>
      </c>
      <c r="S6995" t="s">
        <v>13022</v>
      </c>
    </row>
    <row r="6996" spans="1:19" x14ac:dyDescent="0.25">
      <c r="A6996" s="27" t="s">
        <v>193</v>
      </c>
      <c r="C6996" s="27" t="s">
        <v>34749</v>
      </c>
      <c r="D6996" s="28" t="s">
        <v>34867</v>
      </c>
      <c r="P6996">
        <v>8048</v>
      </c>
      <c r="Q6996" t="s">
        <v>14999</v>
      </c>
      <c r="R6996" s="28" t="s">
        <v>3991</v>
      </c>
      <c r="S6996" t="s">
        <v>13022</v>
      </c>
    </row>
    <row r="6997" spans="1:19" x14ac:dyDescent="0.25">
      <c r="A6997" s="27" t="s">
        <v>193</v>
      </c>
      <c r="C6997" s="27" t="s">
        <v>34749</v>
      </c>
      <c r="D6997" s="28" t="s">
        <v>34867</v>
      </c>
      <c r="P6997">
        <v>8049</v>
      </c>
      <c r="Q6997" t="s">
        <v>8535</v>
      </c>
      <c r="R6997" s="28" t="s">
        <v>8536</v>
      </c>
      <c r="S6997" t="s">
        <v>13022</v>
      </c>
    </row>
    <row r="6998" spans="1:19" x14ac:dyDescent="0.25">
      <c r="A6998" s="27" t="s">
        <v>193</v>
      </c>
      <c r="C6998" s="27" t="s">
        <v>34749</v>
      </c>
      <c r="D6998" s="28" t="s">
        <v>34867</v>
      </c>
      <c r="P6998">
        <v>8050</v>
      </c>
      <c r="Q6998" t="s">
        <v>8544</v>
      </c>
      <c r="R6998" s="28" t="s">
        <v>8545</v>
      </c>
      <c r="S6998" t="s">
        <v>13022</v>
      </c>
    </row>
    <row r="6999" spans="1:19" x14ac:dyDescent="0.25">
      <c r="A6999" s="27" t="s">
        <v>193</v>
      </c>
      <c r="C6999" s="27" t="s">
        <v>34749</v>
      </c>
      <c r="D6999" s="28" t="s">
        <v>34867</v>
      </c>
      <c r="P6999">
        <v>8051</v>
      </c>
      <c r="Q6999" t="s">
        <v>8547</v>
      </c>
      <c r="R6999" s="28" t="s">
        <v>8548</v>
      </c>
      <c r="S6999" t="s">
        <v>13022</v>
      </c>
    </row>
    <row r="7000" spans="1:19" x14ac:dyDescent="0.25">
      <c r="A7000" s="27" t="s">
        <v>193</v>
      </c>
      <c r="C7000" s="27" t="s">
        <v>34749</v>
      </c>
      <c r="D7000" s="28" t="s">
        <v>34867</v>
      </c>
      <c r="P7000">
        <v>8053</v>
      </c>
      <c r="Q7000" t="s">
        <v>15000</v>
      </c>
      <c r="R7000" s="28" t="s">
        <v>8551</v>
      </c>
      <c r="S7000" t="s">
        <v>13022</v>
      </c>
    </row>
    <row r="7001" spans="1:19" x14ac:dyDescent="0.25">
      <c r="A7001" s="27" t="s">
        <v>193</v>
      </c>
      <c r="C7001" s="27" t="s">
        <v>34749</v>
      </c>
      <c r="D7001" s="28" t="s">
        <v>34867</v>
      </c>
      <c r="P7001">
        <v>8054</v>
      </c>
      <c r="Q7001" t="s">
        <v>8580</v>
      </c>
      <c r="R7001" s="28" t="s">
        <v>8581</v>
      </c>
      <c r="S7001" t="s">
        <v>13022</v>
      </c>
    </row>
    <row r="7002" spans="1:19" x14ac:dyDescent="0.25">
      <c r="A7002" s="27" t="s">
        <v>193</v>
      </c>
      <c r="C7002" s="27" t="s">
        <v>34749</v>
      </c>
      <c r="D7002" s="28" t="s">
        <v>34867</v>
      </c>
      <c r="P7002">
        <v>8055</v>
      </c>
      <c r="Q7002" t="s">
        <v>15001</v>
      </c>
      <c r="R7002" s="28" t="s">
        <v>15002</v>
      </c>
      <c r="S7002" t="s">
        <v>13022</v>
      </c>
    </row>
    <row r="7003" spans="1:19" x14ac:dyDescent="0.25">
      <c r="A7003" s="27" t="s">
        <v>193</v>
      </c>
      <c r="C7003" s="27" t="s">
        <v>34749</v>
      </c>
      <c r="D7003" s="28" t="s">
        <v>34867</v>
      </c>
      <c r="P7003">
        <v>8056</v>
      </c>
      <c r="Q7003" t="s">
        <v>15003</v>
      </c>
      <c r="R7003" s="28" t="s">
        <v>15004</v>
      </c>
      <c r="S7003" t="s">
        <v>13022</v>
      </c>
    </row>
    <row r="7004" spans="1:19" x14ac:dyDescent="0.25">
      <c r="A7004" s="27" t="s">
        <v>193</v>
      </c>
      <c r="C7004" s="27" t="s">
        <v>34749</v>
      </c>
      <c r="D7004" s="28" t="s">
        <v>34867</v>
      </c>
      <c r="P7004">
        <v>8057</v>
      </c>
      <c r="Q7004" t="s">
        <v>8610</v>
      </c>
      <c r="R7004" s="28" t="s">
        <v>8611</v>
      </c>
      <c r="S7004" t="s">
        <v>13022</v>
      </c>
    </row>
    <row r="7005" spans="1:19" x14ac:dyDescent="0.25">
      <c r="A7005" s="27" t="s">
        <v>193</v>
      </c>
      <c r="C7005" s="27" t="s">
        <v>34749</v>
      </c>
      <c r="D7005" s="28" t="s">
        <v>34867</v>
      </c>
      <c r="P7005">
        <v>8058</v>
      </c>
      <c r="Q7005" t="s">
        <v>8616</v>
      </c>
      <c r="R7005" s="28" t="s">
        <v>8617</v>
      </c>
      <c r="S7005" t="s">
        <v>13022</v>
      </c>
    </row>
    <row r="7006" spans="1:19" x14ac:dyDescent="0.25">
      <c r="A7006" s="27" t="s">
        <v>193</v>
      </c>
      <c r="C7006" s="27" t="s">
        <v>34749</v>
      </c>
      <c r="D7006" s="28" t="s">
        <v>34867</v>
      </c>
      <c r="P7006">
        <v>8059</v>
      </c>
      <c r="Q7006" t="s">
        <v>15005</v>
      </c>
      <c r="R7006" s="28" t="s">
        <v>3407</v>
      </c>
      <c r="S7006" t="s">
        <v>13022</v>
      </c>
    </row>
    <row r="7007" spans="1:19" x14ac:dyDescent="0.25">
      <c r="A7007" s="27" t="s">
        <v>193</v>
      </c>
      <c r="C7007" s="27" t="s">
        <v>34749</v>
      </c>
      <c r="D7007" s="28" t="s">
        <v>34867</v>
      </c>
      <c r="P7007">
        <v>8060</v>
      </c>
      <c r="Q7007" t="s">
        <v>15006</v>
      </c>
      <c r="R7007" s="28" t="s">
        <v>3581</v>
      </c>
      <c r="S7007" t="s">
        <v>13022</v>
      </c>
    </row>
    <row r="7008" spans="1:19" x14ac:dyDescent="0.25">
      <c r="A7008" s="27" t="s">
        <v>193</v>
      </c>
      <c r="C7008" s="27" t="s">
        <v>34749</v>
      </c>
      <c r="D7008" s="28" t="s">
        <v>34867</v>
      </c>
      <c r="P7008">
        <v>8061</v>
      </c>
      <c r="Q7008" t="s">
        <v>15007</v>
      </c>
      <c r="R7008" s="28" t="s">
        <v>3251</v>
      </c>
      <c r="S7008" t="s">
        <v>13022</v>
      </c>
    </row>
    <row r="7009" spans="1:19" x14ac:dyDescent="0.25">
      <c r="A7009" s="27" t="s">
        <v>193</v>
      </c>
      <c r="C7009" s="27" t="s">
        <v>34749</v>
      </c>
      <c r="D7009" s="28" t="s">
        <v>34867</v>
      </c>
      <c r="P7009">
        <v>8062</v>
      </c>
      <c r="Q7009" t="s">
        <v>15008</v>
      </c>
      <c r="R7009" s="28" t="s">
        <v>15009</v>
      </c>
      <c r="S7009" t="s">
        <v>13022</v>
      </c>
    </row>
    <row r="7010" spans="1:19" x14ac:dyDescent="0.25">
      <c r="A7010" s="27" t="s">
        <v>193</v>
      </c>
      <c r="C7010" s="27" t="s">
        <v>34749</v>
      </c>
      <c r="D7010" s="28" t="s">
        <v>34867</v>
      </c>
      <c r="P7010">
        <v>8063</v>
      </c>
      <c r="Q7010" t="s">
        <v>15010</v>
      </c>
      <c r="R7010" s="28" t="s">
        <v>2482</v>
      </c>
      <c r="S7010" t="s">
        <v>13022</v>
      </c>
    </row>
    <row r="7011" spans="1:19" x14ac:dyDescent="0.25">
      <c r="A7011" s="27" t="s">
        <v>193</v>
      </c>
      <c r="C7011" s="27" t="s">
        <v>34749</v>
      </c>
      <c r="D7011" s="28" t="s">
        <v>34867</v>
      </c>
      <c r="P7011">
        <v>8064</v>
      </c>
      <c r="Q7011" t="s">
        <v>15011</v>
      </c>
      <c r="R7011" s="28" t="s">
        <v>15012</v>
      </c>
      <c r="S7011" t="s">
        <v>13022</v>
      </c>
    </row>
    <row r="7012" spans="1:19" x14ac:dyDescent="0.25">
      <c r="A7012" s="27" t="s">
        <v>193</v>
      </c>
      <c r="C7012" s="27" t="s">
        <v>34749</v>
      </c>
      <c r="D7012" s="28" t="s">
        <v>34867</v>
      </c>
      <c r="P7012">
        <v>8065</v>
      </c>
      <c r="Q7012" t="s">
        <v>3262</v>
      </c>
      <c r="R7012" s="28" t="s">
        <v>3263</v>
      </c>
      <c r="S7012" t="s">
        <v>13022</v>
      </c>
    </row>
    <row r="7013" spans="1:19" x14ac:dyDescent="0.25">
      <c r="A7013" s="27" t="s">
        <v>193</v>
      </c>
      <c r="C7013" s="27" t="s">
        <v>34749</v>
      </c>
      <c r="D7013" s="28" t="s">
        <v>34867</v>
      </c>
      <c r="P7013">
        <v>8066</v>
      </c>
      <c r="Q7013" t="s">
        <v>3268</v>
      </c>
      <c r="R7013" s="28" t="s">
        <v>3269</v>
      </c>
      <c r="S7013" t="s">
        <v>13022</v>
      </c>
    </row>
    <row r="7014" spans="1:19" x14ac:dyDescent="0.25">
      <c r="A7014" s="27" t="s">
        <v>193</v>
      </c>
      <c r="C7014" s="27" t="s">
        <v>34749</v>
      </c>
      <c r="D7014" s="28" t="s">
        <v>34867</v>
      </c>
      <c r="P7014">
        <v>8067</v>
      </c>
      <c r="Q7014" t="s">
        <v>8643</v>
      </c>
      <c r="R7014" s="28" t="s">
        <v>8644</v>
      </c>
      <c r="S7014" t="s">
        <v>13022</v>
      </c>
    </row>
    <row r="7015" spans="1:19" x14ac:dyDescent="0.25">
      <c r="A7015" s="27" t="s">
        <v>193</v>
      </c>
      <c r="C7015" s="27" t="s">
        <v>34749</v>
      </c>
      <c r="D7015" s="28" t="s">
        <v>34867</v>
      </c>
      <c r="P7015">
        <v>8068</v>
      </c>
      <c r="Q7015" t="s">
        <v>8649</v>
      </c>
      <c r="R7015" s="28" t="s">
        <v>8650</v>
      </c>
      <c r="S7015" t="s">
        <v>13022</v>
      </c>
    </row>
    <row r="7016" spans="1:19" x14ac:dyDescent="0.25">
      <c r="A7016" s="27" t="s">
        <v>193</v>
      </c>
      <c r="C7016" s="27" t="s">
        <v>34749</v>
      </c>
      <c r="D7016" s="28" t="s">
        <v>34867</v>
      </c>
      <c r="P7016">
        <v>8069</v>
      </c>
      <c r="Q7016" t="s">
        <v>15013</v>
      </c>
      <c r="R7016" s="28" t="s">
        <v>8656</v>
      </c>
      <c r="S7016" t="s">
        <v>13022</v>
      </c>
    </row>
    <row r="7017" spans="1:19" x14ac:dyDescent="0.25">
      <c r="A7017" s="27" t="s">
        <v>193</v>
      </c>
      <c r="C7017" s="27" t="s">
        <v>34749</v>
      </c>
      <c r="D7017" s="28" t="s">
        <v>34867</v>
      </c>
      <c r="P7017">
        <v>8070</v>
      </c>
      <c r="Q7017" t="s">
        <v>8661</v>
      </c>
      <c r="R7017" s="28" t="s">
        <v>8662</v>
      </c>
      <c r="S7017" t="s">
        <v>13022</v>
      </c>
    </row>
    <row r="7018" spans="1:19" x14ac:dyDescent="0.25">
      <c r="A7018" s="27" t="s">
        <v>193</v>
      </c>
      <c r="C7018" s="27" t="s">
        <v>34749</v>
      </c>
      <c r="D7018" s="28" t="s">
        <v>34867</v>
      </c>
      <c r="P7018">
        <v>8071</v>
      </c>
      <c r="Q7018" t="s">
        <v>8658</v>
      </c>
      <c r="R7018" s="28" t="s">
        <v>8659</v>
      </c>
      <c r="S7018" t="s">
        <v>13022</v>
      </c>
    </row>
    <row r="7019" spans="1:19" x14ac:dyDescent="0.25">
      <c r="A7019" s="27" t="s">
        <v>193</v>
      </c>
      <c r="C7019" s="27" t="s">
        <v>34749</v>
      </c>
      <c r="D7019" s="28" t="s">
        <v>34867</v>
      </c>
      <c r="P7019">
        <v>8072</v>
      </c>
      <c r="Q7019" t="s">
        <v>3688</v>
      </c>
      <c r="R7019" s="28" t="s">
        <v>3689</v>
      </c>
      <c r="S7019" t="s">
        <v>13022</v>
      </c>
    </row>
    <row r="7020" spans="1:19" x14ac:dyDescent="0.25">
      <c r="A7020" s="27" t="s">
        <v>193</v>
      </c>
      <c r="C7020" s="27" t="s">
        <v>34749</v>
      </c>
      <c r="D7020" s="28" t="s">
        <v>34867</v>
      </c>
      <c r="P7020">
        <v>8073</v>
      </c>
      <c r="Q7020" t="s">
        <v>15014</v>
      </c>
      <c r="R7020" s="28" t="s">
        <v>15015</v>
      </c>
      <c r="S7020" t="s">
        <v>13022</v>
      </c>
    </row>
    <row r="7021" spans="1:19" x14ac:dyDescent="0.25">
      <c r="A7021" s="27" t="s">
        <v>193</v>
      </c>
      <c r="C7021" s="27" t="s">
        <v>34749</v>
      </c>
      <c r="D7021" s="28" t="s">
        <v>34867</v>
      </c>
      <c r="P7021">
        <v>8074</v>
      </c>
      <c r="Q7021" t="s">
        <v>8757</v>
      </c>
      <c r="R7021" s="28" t="s">
        <v>15016</v>
      </c>
      <c r="S7021" t="s">
        <v>13022</v>
      </c>
    </row>
    <row r="7022" spans="1:19" x14ac:dyDescent="0.25">
      <c r="A7022" s="27" t="s">
        <v>193</v>
      </c>
      <c r="C7022" s="27" t="s">
        <v>34749</v>
      </c>
      <c r="D7022" s="28" t="s">
        <v>34867</v>
      </c>
      <c r="P7022">
        <v>8075</v>
      </c>
      <c r="Q7022" t="s">
        <v>8760</v>
      </c>
      <c r="R7022" s="28" t="s">
        <v>8761</v>
      </c>
      <c r="S7022" t="s">
        <v>13022</v>
      </c>
    </row>
    <row r="7023" spans="1:19" x14ac:dyDescent="0.25">
      <c r="A7023" s="27" t="s">
        <v>193</v>
      </c>
      <c r="C7023" s="27" t="s">
        <v>34749</v>
      </c>
      <c r="D7023" s="28" t="s">
        <v>34867</v>
      </c>
      <c r="P7023">
        <v>8076</v>
      </c>
      <c r="Q7023" t="s">
        <v>8790</v>
      </c>
      <c r="R7023" s="28" t="s">
        <v>8791</v>
      </c>
      <c r="S7023" t="s">
        <v>13022</v>
      </c>
    </row>
    <row r="7024" spans="1:19" x14ac:dyDescent="0.25">
      <c r="A7024" s="27" t="s">
        <v>193</v>
      </c>
      <c r="C7024" s="27" t="s">
        <v>34749</v>
      </c>
      <c r="D7024" s="28" t="s">
        <v>34867</v>
      </c>
      <c r="P7024">
        <v>8077</v>
      </c>
      <c r="Q7024" t="s">
        <v>15017</v>
      </c>
      <c r="R7024" s="28" t="s">
        <v>10568</v>
      </c>
      <c r="S7024" t="s">
        <v>13022</v>
      </c>
    </row>
    <row r="7025" spans="1:19" x14ac:dyDescent="0.25">
      <c r="A7025" s="27" t="s">
        <v>193</v>
      </c>
      <c r="C7025" s="27" t="s">
        <v>34749</v>
      </c>
      <c r="D7025" s="28" t="s">
        <v>34867</v>
      </c>
      <c r="P7025">
        <v>8078</v>
      </c>
      <c r="Q7025" t="s">
        <v>15018</v>
      </c>
      <c r="R7025" s="28" t="s">
        <v>8797</v>
      </c>
      <c r="S7025" t="s">
        <v>13022</v>
      </c>
    </row>
    <row r="7026" spans="1:19" x14ac:dyDescent="0.25">
      <c r="A7026" s="27" t="s">
        <v>193</v>
      </c>
      <c r="C7026" s="27" t="s">
        <v>34749</v>
      </c>
      <c r="D7026" s="28" t="s">
        <v>34867</v>
      </c>
      <c r="P7026">
        <v>8079</v>
      </c>
      <c r="Q7026" t="s">
        <v>8769</v>
      </c>
      <c r="R7026" s="28" t="s">
        <v>8770</v>
      </c>
      <c r="S7026" t="s">
        <v>13022</v>
      </c>
    </row>
    <row r="7027" spans="1:19" x14ac:dyDescent="0.25">
      <c r="A7027" s="27" t="s">
        <v>193</v>
      </c>
      <c r="C7027" s="27" t="s">
        <v>34749</v>
      </c>
      <c r="D7027" s="28" t="s">
        <v>34867</v>
      </c>
      <c r="P7027">
        <v>8080</v>
      </c>
      <c r="Q7027" t="s">
        <v>15019</v>
      </c>
      <c r="S7027" t="s">
        <v>13022</v>
      </c>
    </row>
    <row r="7028" spans="1:19" x14ac:dyDescent="0.25">
      <c r="A7028" s="27" t="s">
        <v>193</v>
      </c>
      <c r="C7028" s="27" t="s">
        <v>34749</v>
      </c>
      <c r="D7028" s="28" t="s">
        <v>34867</v>
      </c>
      <c r="P7028">
        <v>8081</v>
      </c>
      <c r="Q7028" t="s">
        <v>8772</v>
      </c>
      <c r="R7028" s="28" t="s">
        <v>8773</v>
      </c>
      <c r="S7028" t="s">
        <v>13022</v>
      </c>
    </row>
    <row r="7029" spans="1:19" x14ac:dyDescent="0.25">
      <c r="A7029" s="27" t="s">
        <v>193</v>
      </c>
      <c r="C7029" s="27" t="s">
        <v>34749</v>
      </c>
      <c r="D7029" s="28" t="s">
        <v>34867</v>
      </c>
      <c r="P7029">
        <v>8082</v>
      </c>
      <c r="Q7029" t="s">
        <v>8775</v>
      </c>
      <c r="R7029" s="28" t="s">
        <v>8776</v>
      </c>
      <c r="S7029" t="s">
        <v>13022</v>
      </c>
    </row>
    <row r="7030" spans="1:19" x14ac:dyDescent="0.25">
      <c r="A7030" s="27" t="s">
        <v>193</v>
      </c>
      <c r="C7030" s="27" t="s">
        <v>34749</v>
      </c>
      <c r="D7030" s="28" t="s">
        <v>34867</v>
      </c>
      <c r="P7030">
        <v>8083</v>
      </c>
      <c r="Q7030" t="s">
        <v>8793</v>
      </c>
      <c r="R7030" s="28" t="s">
        <v>8794</v>
      </c>
      <c r="S7030" t="s">
        <v>13022</v>
      </c>
    </row>
    <row r="7031" spans="1:19" x14ac:dyDescent="0.25">
      <c r="A7031" s="27" t="s">
        <v>193</v>
      </c>
      <c r="C7031" s="27" t="s">
        <v>34749</v>
      </c>
      <c r="D7031" s="28" t="s">
        <v>34867</v>
      </c>
      <c r="P7031">
        <v>8084</v>
      </c>
      <c r="Q7031" t="s">
        <v>8763</v>
      </c>
      <c r="R7031" s="28" t="s">
        <v>8764</v>
      </c>
      <c r="S7031" t="s">
        <v>13022</v>
      </c>
    </row>
    <row r="7032" spans="1:19" x14ac:dyDescent="0.25">
      <c r="A7032" s="27" t="s">
        <v>193</v>
      </c>
      <c r="C7032" s="27" t="s">
        <v>34749</v>
      </c>
      <c r="D7032" s="28" t="s">
        <v>34867</v>
      </c>
      <c r="P7032">
        <v>8085</v>
      </c>
      <c r="Q7032" t="s">
        <v>15020</v>
      </c>
      <c r="S7032" t="s">
        <v>13022</v>
      </c>
    </row>
    <row r="7033" spans="1:19" x14ac:dyDescent="0.25">
      <c r="A7033" s="27" t="s">
        <v>193</v>
      </c>
      <c r="C7033" s="27" t="s">
        <v>34749</v>
      </c>
      <c r="D7033" s="28" t="s">
        <v>34867</v>
      </c>
      <c r="P7033">
        <v>8086</v>
      </c>
      <c r="Q7033" t="s">
        <v>15021</v>
      </c>
      <c r="S7033" t="s">
        <v>13022</v>
      </c>
    </row>
    <row r="7034" spans="1:19" x14ac:dyDescent="0.25">
      <c r="A7034" s="27" t="s">
        <v>193</v>
      </c>
      <c r="C7034" s="27" t="s">
        <v>34749</v>
      </c>
      <c r="D7034" s="28" t="s">
        <v>34867</v>
      </c>
      <c r="P7034">
        <v>8087</v>
      </c>
      <c r="Q7034" t="s">
        <v>15022</v>
      </c>
      <c r="R7034" s="28" t="s">
        <v>15023</v>
      </c>
      <c r="S7034" t="s">
        <v>13022</v>
      </c>
    </row>
    <row r="7035" spans="1:19" x14ac:dyDescent="0.25">
      <c r="A7035" s="27" t="s">
        <v>193</v>
      </c>
      <c r="C7035" s="27" t="s">
        <v>34749</v>
      </c>
      <c r="D7035" s="28" t="s">
        <v>34867</v>
      </c>
      <c r="P7035">
        <v>8088</v>
      </c>
      <c r="Q7035" t="s">
        <v>8859</v>
      </c>
      <c r="R7035" s="28" t="s">
        <v>8860</v>
      </c>
      <c r="S7035" t="s">
        <v>13022</v>
      </c>
    </row>
    <row r="7036" spans="1:19" x14ac:dyDescent="0.25">
      <c r="A7036" s="27" t="s">
        <v>193</v>
      </c>
      <c r="C7036" s="27" t="s">
        <v>34749</v>
      </c>
      <c r="D7036" s="28" t="s">
        <v>34867</v>
      </c>
      <c r="P7036">
        <v>8089</v>
      </c>
      <c r="Q7036" t="s">
        <v>15024</v>
      </c>
      <c r="R7036" s="28" t="s">
        <v>15025</v>
      </c>
      <c r="S7036" t="s">
        <v>13022</v>
      </c>
    </row>
    <row r="7037" spans="1:19" x14ac:dyDescent="0.25">
      <c r="A7037" s="27" t="s">
        <v>193</v>
      </c>
      <c r="C7037" s="27" t="s">
        <v>34749</v>
      </c>
      <c r="D7037" s="28" t="s">
        <v>34867</v>
      </c>
      <c r="P7037">
        <v>8090</v>
      </c>
      <c r="Q7037" t="s">
        <v>15026</v>
      </c>
      <c r="R7037" s="28" t="s">
        <v>15027</v>
      </c>
      <c r="S7037" t="s">
        <v>13022</v>
      </c>
    </row>
    <row r="7038" spans="1:19" x14ac:dyDescent="0.25">
      <c r="A7038" s="27" t="s">
        <v>193</v>
      </c>
      <c r="C7038" s="27" t="s">
        <v>34749</v>
      </c>
      <c r="D7038" s="28" t="s">
        <v>34867</v>
      </c>
      <c r="P7038">
        <v>8091</v>
      </c>
      <c r="Q7038" t="s">
        <v>15028</v>
      </c>
      <c r="S7038" t="s">
        <v>13022</v>
      </c>
    </row>
    <row r="7039" spans="1:19" x14ac:dyDescent="0.25">
      <c r="A7039" s="27" t="s">
        <v>193</v>
      </c>
      <c r="C7039" s="27" t="s">
        <v>34749</v>
      </c>
      <c r="D7039" s="28" t="s">
        <v>34867</v>
      </c>
      <c r="P7039">
        <v>8092</v>
      </c>
      <c r="Q7039" t="s">
        <v>15029</v>
      </c>
      <c r="R7039" s="28" t="s">
        <v>2299</v>
      </c>
      <c r="S7039" t="s">
        <v>13022</v>
      </c>
    </row>
    <row r="7040" spans="1:19" x14ac:dyDescent="0.25">
      <c r="A7040" s="27" t="s">
        <v>193</v>
      </c>
      <c r="C7040" s="27" t="s">
        <v>34749</v>
      </c>
      <c r="D7040" s="28" t="s">
        <v>34867</v>
      </c>
      <c r="P7040">
        <v>8094</v>
      </c>
      <c r="Q7040" t="s">
        <v>2046</v>
      </c>
      <c r="R7040" s="28" t="s">
        <v>2047</v>
      </c>
      <c r="S7040" t="s">
        <v>13022</v>
      </c>
    </row>
    <row r="7041" spans="1:19" x14ac:dyDescent="0.25">
      <c r="A7041" s="27" t="s">
        <v>193</v>
      </c>
      <c r="C7041" s="27" t="s">
        <v>34749</v>
      </c>
      <c r="D7041" s="28" t="s">
        <v>34867</v>
      </c>
      <c r="P7041">
        <v>8095</v>
      </c>
      <c r="Q7041" t="s">
        <v>3975</v>
      </c>
      <c r="R7041" s="28" t="s">
        <v>3976</v>
      </c>
      <c r="S7041" t="s">
        <v>13022</v>
      </c>
    </row>
    <row r="7042" spans="1:19" x14ac:dyDescent="0.25">
      <c r="A7042" s="27" t="s">
        <v>193</v>
      </c>
      <c r="C7042" s="27" t="s">
        <v>34749</v>
      </c>
      <c r="D7042" s="28" t="s">
        <v>34867</v>
      </c>
      <c r="P7042">
        <v>8096</v>
      </c>
      <c r="Q7042" t="s">
        <v>15030</v>
      </c>
      <c r="R7042" s="28" t="s">
        <v>3569</v>
      </c>
      <c r="S7042" t="s">
        <v>13022</v>
      </c>
    </row>
    <row r="7043" spans="1:19" x14ac:dyDescent="0.25">
      <c r="A7043" s="27" t="s">
        <v>193</v>
      </c>
      <c r="C7043" s="27" t="s">
        <v>34749</v>
      </c>
      <c r="D7043" s="28" t="s">
        <v>34867</v>
      </c>
      <c r="P7043">
        <v>8097</v>
      </c>
      <c r="Q7043" t="s">
        <v>3972</v>
      </c>
      <c r="R7043" s="28" t="s">
        <v>3973</v>
      </c>
      <c r="S7043" t="s">
        <v>13022</v>
      </c>
    </row>
    <row r="7044" spans="1:19" x14ac:dyDescent="0.25">
      <c r="A7044" s="27" t="s">
        <v>193</v>
      </c>
      <c r="C7044" s="27" t="s">
        <v>34749</v>
      </c>
      <c r="D7044" s="28" t="s">
        <v>34867</v>
      </c>
      <c r="P7044">
        <v>8098</v>
      </c>
      <c r="Q7044" t="s">
        <v>15031</v>
      </c>
      <c r="S7044" t="s">
        <v>13022</v>
      </c>
    </row>
    <row r="7045" spans="1:19" x14ac:dyDescent="0.25">
      <c r="A7045" s="27" t="s">
        <v>193</v>
      </c>
      <c r="C7045" s="27" t="s">
        <v>34749</v>
      </c>
      <c r="D7045" s="28" t="s">
        <v>34867</v>
      </c>
      <c r="P7045">
        <v>8099</v>
      </c>
      <c r="Q7045" t="s">
        <v>3969</v>
      </c>
      <c r="R7045" s="28" t="s">
        <v>3970</v>
      </c>
      <c r="S7045" t="s">
        <v>13022</v>
      </c>
    </row>
    <row r="7046" spans="1:19" x14ac:dyDescent="0.25">
      <c r="A7046" s="27" t="s">
        <v>193</v>
      </c>
      <c r="C7046" s="27" t="s">
        <v>34749</v>
      </c>
      <c r="D7046" s="28" t="s">
        <v>34867</v>
      </c>
      <c r="P7046">
        <v>8101</v>
      </c>
      <c r="Q7046" t="s">
        <v>8964</v>
      </c>
      <c r="R7046" s="28" t="s">
        <v>8965</v>
      </c>
      <c r="S7046" t="s">
        <v>13022</v>
      </c>
    </row>
    <row r="7047" spans="1:19" x14ac:dyDescent="0.25">
      <c r="A7047" s="27" t="s">
        <v>193</v>
      </c>
      <c r="C7047" s="27" t="s">
        <v>34749</v>
      </c>
      <c r="D7047" s="28" t="s">
        <v>34867</v>
      </c>
      <c r="P7047">
        <v>8102</v>
      </c>
      <c r="Q7047" t="s">
        <v>8976</v>
      </c>
      <c r="R7047" s="28" t="s">
        <v>8977</v>
      </c>
      <c r="S7047" t="s">
        <v>13022</v>
      </c>
    </row>
    <row r="7048" spans="1:19" x14ac:dyDescent="0.25">
      <c r="A7048" s="27" t="s">
        <v>193</v>
      </c>
      <c r="C7048" s="27" t="s">
        <v>34749</v>
      </c>
      <c r="D7048" s="28" t="s">
        <v>34867</v>
      </c>
      <c r="P7048">
        <v>8103</v>
      </c>
      <c r="Q7048" t="s">
        <v>15032</v>
      </c>
      <c r="R7048" s="28" t="s">
        <v>15033</v>
      </c>
      <c r="S7048" t="s">
        <v>13022</v>
      </c>
    </row>
    <row r="7049" spans="1:19" x14ac:dyDescent="0.25">
      <c r="A7049" s="27" t="s">
        <v>193</v>
      </c>
      <c r="C7049" s="27" t="s">
        <v>34749</v>
      </c>
      <c r="D7049" s="28" t="s">
        <v>34867</v>
      </c>
      <c r="P7049">
        <v>8104</v>
      </c>
      <c r="Q7049" t="s">
        <v>2058</v>
      </c>
      <c r="R7049" s="28" t="s">
        <v>2059</v>
      </c>
      <c r="S7049" t="s">
        <v>13022</v>
      </c>
    </row>
    <row r="7050" spans="1:19" x14ac:dyDescent="0.25">
      <c r="A7050" s="27" t="s">
        <v>193</v>
      </c>
      <c r="C7050" s="27" t="s">
        <v>34749</v>
      </c>
      <c r="D7050" s="28" t="s">
        <v>34867</v>
      </c>
      <c r="P7050">
        <v>8105</v>
      </c>
      <c r="Q7050" t="s">
        <v>2562</v>
      </c>
      <c r="R7050" s="28" t="s">
        <v>2563</v>
      </c>
      <c r="S7050" t="s">
        <v>13022</v>
      </c>
    </row>
    <row r="7051" spans="1:19" x14ac:dyDescent="0.25">
      <c r="A7051" s="27" t="s">
        <v>193</v>
      </c>
      <c r="C7051" s="27" t="s">
        <v>34749</v>
      </c>
      <c r="D7051" s="28" t="s">
        <v>34867</v>
      </c>
      <c r="P7051">
        <v>8106</v>
      </c>
      <c r="Q7051" t="s">
        <v>15034</v>
      </c>
      <c r="R7051" s="28" t="s">
        <v>15035</v>
      </c>
      <c r="S7051" t="s">
        <v>13022</v>
      </c>
    </row>
    <row r="7052" spans="1:19" x14ac:dyDescent="0.25">
      <c r="A7052" s="27" t="s">
        <v>193</v>
      </c>
      <c r="C7052" s="27" t="s">
        <v>34749</v>
      </c>
      <c r="D7052" s="28" t="s">
        <v>34867</v>
      </c>
      <c r="P7052">
        <v>8107</v>
      </c>
      <c r="Q7052" t="s">
        <v>3993</v>
      </c>
      <c r="R7052" s="28" t="s">
        <v>3994</v>
      </c>
      <c r="S7052" t="s">
        <v>13022</v>
      </c>
    </row>
    <row r="7053" spans="1:19" x14ac:dyDescent="0.25">
      <c r="A7053" s="27" t="s">
        <v>193</v>
      </c>
      <c r="C7053" s="27" t="s">
        <v>34749</v>
      </c>
      <c r="D7053" s="28" t="s">
        <v>34867</v>
      </c>
      <c r="P7053">
        <v>8109</v>
      </c>
      <c r="Q7053" t="s">
        <v>15036</v>
      </c>
      <c r="S7053" t="s">
        <v>13022</v>
      </c>
    </row>
    <row r="7054" spans="1:19" x14ac:dyDescent="0.25">
      <c r="A7054" s="27" t="s">
        <v>193</v>
      </c>
      <c r="C7054" s="27" t="s">
        <v>34749</v>
      </c>
      <c r="D7054" s="28" t="s">
        <v>34867</v>
      </c>
      <c r="P7054">
        <v>8110</v>
      </c>
      <c r="Q7054" t="s">
        <v>8979</v>
      </c>
      <c r="R7054" s="28" t="s">
        <v>8980</v>
      </c>
      <c r="S7054" t="s">
        <v>13022</v>
      </c>
    </row>
    <row r="7055" spans="1:19" x14ac:dyDescent="0.25">
      <c r="A7055" s="27" t="s">
        <v>193</v>
      </c>
      <c r="C7055" s="27" t="s">
        <v>34749</v>
      </c>
      <c r="D7055" s="28" t="s">
        <v>34867</v>
      </c>
      <c r="P7055">
        <v>8111</v>
      </c>
      <c r="Q7055" t="s">
        <v>15037</v>
      </c>
      <c r="S7055" t="s">
        <v>13022</v>
      </c>
    </row>
    <row r="7056" spans="1:19" x14ac:dyDescent="0.25">
      <c r="A7056" s="27" t="s">
        <v>193</v>
      </c>
      <c r="C7056" s="27" t="s">
        <v>34749</v>
      </c>
      <c r="D7056" s="28" t="s">
        <v>34867</v>
      </c>
      <c r="P7056">
        <v>8112</v>
      </c>
      <c r="Q7056" t="s">
        <v>15038</v>
      </c>
      <c r="R7056" s="28" t="s">
        <v>3428</v>
      </c>
      <c r="S7056" t="s">
        <v>13022</v>
      </c>
    </row>
    <row r="7057" spans="1:19" x14ac:dyDescent="0.25">
      <c r="A7057" s="27" t="s">
        <v>193</v>
      </c>
      <c r="C7057" s="27" t="s">
        <v>34749</v>
      </c>
      <c r="D7057" s="28" t="s">
        <v>34867</v>
      </c>
      <c r="P7057">
        <v>8113</v>
      </c>
      <c r="Q7057" t="s">
        <v>2571</v>
      </c>
      <c r="R7057" s="28" t="s">
        <v>2572</v>
      </c>
      <c r="S7057" t="s">
        <v>13022</v>
      </c>
    </row>
    <row r="7058" spans="1:19" x14ac:dyDescent="0.25">
      <c r="A7058" s="27" t="s">
        <v>193</v>
      </c>
      <c r="C7058" s="27" t="s">
        <v>34749</v>
      </c>
      <c r="D7058" s="28" t="s">
        <v>34867</v>
      </c>
      <c r="P7058">
        <v>8114</v>
      </c>
      <c r="Q7058" t="s">
        <v>2586</v>
      </c>
      <c r="R7058" s="28" t="s">
        <v>2587</v>
      </c>
      <c r="S7058" t="s">
        <v>13022</v>
      </c>
    </row>
    <row r="7059" spans="1:19" x14ac:dyDescent="0.25">
      <c r="A7059" s="27" t="s">
        <v>193</v>
      </c>
      <c r="C7059" s="27" t="s">
        <v>34749</v>
      </c>
      <c r="D7059" s="28" t="s">
        <v>34867</v>
      </c>
      <c r="P7059">
        <v>8115</v>
      </c>
      <c r="Q7059" t="s">
        <v>2595</v>
      </c>
      <c r="R7059" s="28" t="s">
        <v>2596</v>
      </c>
      <c r="S7059" t="s">
        <v>13022</v>
      </c>
    </row>
    <row r="7060" spans="1:19" x14ac:dyDescent="0.25">
      <c r="A7060" s="27" t="s">
        <v>193</v>
      </c>
      <c r="C7060" s="27" t="s">
        <v>34749</v>
      </c>
      <c r="D7060" s="28" t="s">
        <v>34867</v>
      </c>
      <c r="P7060">
        <v>8116</v>
      </c>
      <c r="Q7060" t="s">
        <v>4029</v>
      </c>
      <c r="R7060" s="28" t="s">
        <v>4030</v>
      </c>
      <c r="S7060" t="s">
        <v>13022</v>
      </c>
    </row>
    <row r="7061" spans="1:19" x14ac:dyDescent="0.25">
      <c r="A7061" s="27" t="s">
        <v>193</v>
      </c>
      <c r="C7061" s="27" t="s">
        <v>34749</v>
      </c>
      <c r="D7061" s="28" t="s">
        <v>34867</v>
      </c>
      <c r="P7061">
        <v>8117</v>
      </c>
      <c r="Q7061" t="s">
        <v>9036</v>
      </c>
      <c r="R7061" s="28" t="s">
        <v>9037</v>
      </c>
      <c r="S7061" t="s">
        <v>13022</v>
      </c>
    </row>
    <row r="7062" spans="1:19" x14ac:dyDescent="0.25">
      <c r="A7062" s="27" t="s">
        <v>193</v>
      </c>
      <c r="C7062" s="27" t="s">
        <v>34749</v>
      </c>
      <c r="D7062" s="28" t="s">
        <v>34867</v>
      </c>
      <c r="P7062">
        <v>8118</v>
      </c>
      <c r="Q7062" t="s">
        <v>15039</v>
      </c>
      <c r="R7062" s="28" t="s">
        <v>9034</v>
      </c>
      <c r="S7062" t="s">
        <v>13022</v>
      </c>
    </row>
    <row r="7063" spans="1:19" x14ac:dyDescent="0.25">
      <c r="A7063" s="27" t="s">
        <v>193</v>
      </c>
      <c r="C7063" s="27" t="s">
        <v>34749</v>
      </c>
      <c r="D7063" s="28" t="s">
        <v>34867</v>
      </c>
      <c r="P7063">
        <v>8119</v>
      </c>
      <c r="Q7063" t="s">
        <v>4035</v>
      </c>
      <c r="R7063" s="28" t="s">
        <v>4036</v>
      </c>
      <c r="S7063" t="s">
        <v>13022</v>
      </c>
    </row>
    <row r="7064" spans="1:19" x14ac:dyDescent="0.25">
      <c r="A7064" s="27" t="s">
        <v>193</v>
      </c>
      <c r="C7064" s="27" t="s">
        <v>34749</v>
      </c>
      <c r="D7064" s="28" t="s">
        <v>34867</v>
      </c>
      <c r="P7064">
        <v>8120</v>
      </c>
      <c r="Q7064" t="s">
        <v>4032</v>
      </c>
      <c r="R7064" s="28" t="s">
        <v>4033</v>
      </c>
      <c r="S7064" t="s">
        <v>13022</v>
      </c>
    </row>
    <row r="7065" spans="1:19" x14ac:dyDescent="0.25">
      <c r="A7065" s="27" t="s">
        <v>193</v>
      </c>
      <c r="C7065" s="27" t="s">
        <v>34749</v>
      </c>
      <c r="D7065" s="28" t="s">
        <v>34867</v>
      </c>
      <c r="P7065">
        <v>8121</v>
      </c>
      <c r="Q7065" t="s">
        <v>9039</v>
      </c>
      <c r="R7065" s="28" t="s">
        <v>9040</v>
      </c>
      <c r="S7065" t="s">
        <v>13022</v>
      </c>
    </row>
    <row r="7066" spans="1:19" x14ac:dyDescent="0.25">
      <c r="A7066" s="27" t="s">
        <v>193</v>
      </c>
      <c r="C7066" s="27" t="s">
        <v>34749</v>
      </c>
      <c r="D7066" s="28" t="s">
        <v>34867</v>
      </c>
      <c r="P7066">
        <v>8122</v>
      </c>
      <c r="Q7066" t="s">
        <v>4038</v>
      </c>
      <c r="R7066" s="28" t="s">
        <v>4039</v>
      </c>
      <c r="S7066" t="s">
        <v>13022</v>
      </c>
    </row>
    <row r="7067" spans="1:19" x14ac:dyDescent="0.25">
      <c r="A7067" s="27" t="s">
        <v>193</v>
      </c>
      <c r="C7067" s="27" t="s">
        <v>34749</v>
      </c>
      <c r="D7067" s="28" t="s">
        <v>34867</v>
      </c>
      <c r="P7067">
        <v>8123</v>
      </c>
      <c r="Q7067" t="s">
        <v>15040</v>
      </c>
      <c r="R7067" s="28" t="s">
        <v>15041</v>
      </c>
      <c r="S7067" t="s">
        <v>13022</v>
      </c>
    </row>
    <row r="7068" spans="1:19" x14ac:dyDescent="0.25">
      <c r="A7068" s="27" t="s">
        <v>193</v>
      </c>
      <c r="C7068" s="27" t="s">
        <v>34749</v>
      </c>
      <c r="D7068" s="28" t="s">
        <v>34867</v>
      </c>
      <c r="P7068">
        <v>8124</v>
      </c>
      <c r="Q7068" t="s">
        <v>15042</v>
      </c>
      <c r="R7068" s="28" t="s">
        <v>8863</v>
      </c>
      <c r="S7068" t="s">
        <v>13022</v>
      </c>
    </row>
    <row r="7069" spans="1:19" x14ac:dyDescent="0.25">
      <c r="A7069" s="27" t="s">
        <v>193</v>
      </c>
      <c r="C7069" s="27" t="s">
        <v>34749</v>
      </c>
      <c r="D7069" s="28" t="s">
        <v>34867</v>
      </c>
      <c r="P7069">
        <v>8125</v>
      </c>
      <c r="Q7069" t="s">
        <v>15043</v>
      </c>
      <c r="R7069" s="28" t="s">
        <v>3967</v>
      </c>
      <c r="S7069" t="s">
        <v>13022</v>
      </c>
    </row>
    <row r="7070" spans="1:19" x14ac:dyDescent="0.25">
      <c r="A7070" s="27" t="s">
        <v>193</v>
      </c>
      <c r="C7070" s="27" t="s">
        <v>34749</v>
      </c>
      <c r="D7070" s="28" t="s">
        <v>34867</v>
      </c>
      <c r="P7070">
        <v>8126</v>
      </c>
      <c r="Q7070" t="s">
        <v>15044</v>
      </c>
      <c r="R7070" s="28" t="s">
        <v>15045</v>
      </c>
      <c r="S7070" t="s">
        <v>13022</v>
      </c>
    </row>
    <row r="7071" spans="1:19" x14ac:dyDescent="0.25">
      <c r="A7071" s="27" t="s">
        <v>193</v>
      </c>
      <c r="C7071" s="27" t="s">
        <v>34749</v>
      </c>
      <c r="D7071" s="28" t="s">
        <v>34867</v>
      </c>
      <c r="P7071">
        <v>8127</v>
      </c>
      <c r="Q7071" t="s">
        <v>3999</v>
      </c>
      <c r="R7071" s="28" t="s">
        <v>4000</v>
      </c>
      <c r="S7071" t="s">
        <v>13022</v>
      </c>
    </row>
    <row r="7072" spans="1:19" x14ac:dyDescent="0.25">
      <c r="A7072" s="27" t="s">
        <v>193</v>
      </c>
      <c r="C7072" s="27" t="s">
        <v>34749</v>
      </c>
      <c r="D7072" s="28" t="s">
        <v>34867</v>
      </c>
      <c r="P7072">
        <v>8128</v>
      </c>
      <c r="Q7072" t="s">
        <v>4002</v>
      </c>
      <c r="R7072" s="28" t="s">
        <v>4003</v>
      </c>
      <c r="S7072" t="s">
        <v>13022</v>
      </c>
    </row>
    <row r="7073" spans="1:19" x14ac:dyDescent="0.25">
      <c r="A7073" s="27" t="s">
        <v>193</v>
      </c>
      <c r="C7073" s="27" t="s">
        <v>34749</v>
      </c>
      <c r="D7073" s="28" t="s">
        <v>34867</v>
      </c>
      <c r="P7073">
        <v>8130</v>
      </c>
      <c r="Q7073" t="s">
        <v>4008</v>
      </c>
      <c r="R7073" s="28" t="s">
        <v>4009</v>
      </c>
      <c r="S7073" t="s">
        <v>13022</v>
      </c>
    </row>
    <row r="7074" spans="1:19" x14ac:dyDescent="0.25">
      <c r="A7074" s="27" t="s">
        <v>193</v>
      </c>
      <c r="C7074" s="27" t="s">
        <v>34749</v>
      </c>
      <c r="D7074" s="28" t="s">
        <v>34867</v>
      </c>
      <c r="P7074">
        <v>8131</v>
      </c>
      <c r="Q7074" t="s">
        <v>9015</v>
      </c>
      <c r="R7074" s="28" t="s">
        <v>9016</v>
      </c>
      <c r="S7074" t="s">
        <v>13022</v>
      </c>
    </row>
    <row r="7075" spans="1:19" x14ac:dyDescent="0.25">
      <c r="A7075" s="27" t="s">
        <v>193</v>
      </c>
      <c r="C7075" s="27" t="s">
        <v>34749</v>
      </c>
      <c r="D7075" s="28" t="s">
        <v>34867</v>
      </c>
      <c r="P7075">
        <v>8132</v>
      </c>
      <c r="Q7075" t="s">
        <v>15046</v>
      </c>
      <c r="R7075" s="28" t="s">
        <v>15047</v>
      </c>
      <c r="S7075" t="s">
        <v>13022</v>
      </c>
    </row>
    <row r="7076" spans="1:19" x14ac:dyDescent="0.25">
      <c r="A7076" s="27" t="s">
        <v>193</v>
      </c>
      <c r="C7076" s="27" t="s">
        <v>34749</v>
      </c>
      <c r="D7076" s="28" t="s">
        <v>34867</v>
      </c>
      <c r="P7076">
        <v>8133</v>
      </c>
      <c r="Q7076" t="s">
        <v>9060</v>
      </c>
      <c r="R7076" s="28" t="s">
        <v>9061</v>
      </c>
      <c r="S7076" t="s">
        <v>13022</v>
      </c>
    </row>
    <row r="7077" spans="1:19" x14ac:dyDescent="0.25">
      <c r="A7077" s="27" t="s">
        <v>193</v>
      </c>
      <c r="C7077" s="27" t="s">
        <v>34749</v>
      </c>
      <c r="D7077" s="28" t="s">
        <v>34867</v>
      </c>
      <c r="P7077">
        <v>8134</v>
      </c>
      <c r="Q7077" t="s">
        <v>9075</v>
      </c>
      <c r="R7077" s="28" t="s">
        <v>9076</v>
      </c>
      <c r="S7077" t="s">
        <v>13022</v>
      </c>
    </row>
    <row r="7078" spans="1:19" x14ac:dyDescent="0.25">
      <c r="A7078" s="27" t="s">
        <v>193</v>
      </c>
      <c r="C7078" s="27" t="s">
        <v>34749</v>
      </c>
      <c r="D7078" s="28" t="s">
        <v>34867</v>
      </c>
      <c r="P7078">
        <v>8135</v>
      </c>
      <c r="Q7078" t="s">
        <v>15048</v>
      </c>
      <c r="R7078" s="28" t="s">
        <v>15049</v>
      </c>
      <c r="S7078" t="s">
        <v>13022</v>
      </c>
    </row>
    <row r="7079" spans="1:19" x14ac:dyDescent="0.25">
      <c r="A7079" s="27" t="s">
        <v>193</v>
      </c>
      <c r="C7079" s="27" t="s">
        <v>34749</v>
      </c>
      <c r="D7079" s="28" t="s">
        <v>34867</v>
      </c>
      <c r="P7079">
        <v>8136</v>
      </c>
      <c r="Q7079" t="s">
        <v>9087</v>
      </c>
      <c r="R7079" s="28" t="s">
        <v>9088</v>
      </c>
      <c r="S7079" t="s">
        <v>13022</v>
      </c>
    </row>
    <row r="7080" spans="1:19" x14ac:dyDescent="0.25">
      <c r="A7080" s="27" t="s">
        <v>193</v>
      </c>
      <c r="C7080" s="27" t="s">
        <v>34749</v>
      </c>
      <c r="D7080" s="28" t="s">
        <v>34867</v>
      </c>
      <c r="P7080">
        <v>8138</v>
      </c>
      <c r="Q7080" t="s">
        <v>15050</v>
      </c>
      <c r="R7080" s="28" t="s">
        <v>3818</v>
      </c>
      <c r="S7080" t="s">
        <v>13022</v>
      </c>
    </row>
    <row r="7081" spans="1:19" x14ac:dyDescent="0.25">
      <c r="A7081" s="27" t="s">
        <v>193</v>
      </c>
      <c r="C7081" s="27" t="s">
        <v>34749</v>
      </c>
      <c r="D7081" s="28" t="s">
        <v>34867</v>
      </c>
      <c r="P7081">
        <v>8139</v>
      </c>
      <c r="Q7081" t="s">
        <v>9132</v>
      </c>
      <c r="R7081" s="28" t="s">
        <v>9133</v>
      </c>
      <c r="S7081" t="s">
        <v>13022</v>
      </c>
    </row>
    <row r="7082" spans="1:19" x14ac:dyDescent="0.25">
      <c r="A7082" s="27" t="s">
        <v>193</v>
      </c>
      <c r="C7082" s="27" t="s">
        <v>34749</v>
      </c>
      <c r="D7082" s="28" t="s">
        <v>34867</v>
      </c>
      <c r="P7082">
        <v>8140</v>
      </c>
      <c r="Q7082" t="s">
        <v>9120</v>
      </c>
      <c r="R7082" s="28" t="s">
        <v>9121</v>
      </c>
      <c r="S7082" t="s">
        <v>13022</v>
      </c>
    </row>
    <row r="7083" spans="1:19" x14ac:dyDescent="0.25">
      <c r="A7083" s="27" t="s">
        <v>193</v>
      </c>
      <c r="C7083" s="27" t="s">
        <v>34749</v>
      </c>
      <c r="D7083" s="28" t="s">
        <v>34867</v>
      </c>
      <c r="P7083">
        <v>8141</v>
      </c>
      <c r="Q7083" t="s">
        <v>9144</v>
      </c>
      <c r="R7083" s="28" t="s">
        <v>9145</v>
      </c>
      <c r="S7083" t="s">
        <v>13022</v>
      </c>
    </row>
    <row r="7084" spans="1:19" x14ac:dyDescent="0.25">
      <c r="A7084" s="27" t="s">
        <v>193</v>
      </c>
      <c r="C7084" s="27" t="s">
        <v>34749</v>
      </c>
      <c r="D7084" s="28" t="s">
        <v>34867</v>
      </c>
      <c r="P7084">
        <v>8142</v>
      </c>
      <c r="Q7084" t="s">
        <v>9159</v>
      </c>
      <c r="R7084" s="28" t="s">
        <v>9160</v>
      </c>
      <c r="S7084" t="s">
        <v>13022</v>
      </c>
    </row>
    <row r="7085" spans="1:19" x14ac:dyDescent="0.25">
      <c r="A7085" s="27" t="s">
        <v>193</v>
      </c>
      <c r="C7085" s="27" t="s">
        <v>34749</v>
      </c>
      <c r="D7085" s="28" t="s">
        <v>34867</v>
      </c>
      <c r="P7085">
        <v>8143</v>
      </c>
      <c r="Q7085" t="s">
        <v>9165</v>
      </c>
      <c r="R7085" s="28" t="s">
        <v>9166</v>
      </c>
      <c r="S7085" t="s">
        <v>13022</v>
      </c>
    </row>
    <row r="7086" spans="1:19" x14ac:dyDescent="0.25">
      <c r="A7086" s="27" t="s">
        <v>193</v>
      </c>
      <c r="C7086" s="27" t="s">
        <v>34749</v>
      </c>
      <c r="D7086" s="28" t="s">
        <v>34867</v>
      </c>
      <c r="P7086">
        <v>8144</v>
      </c>
      <c r="Q7086" t="s">
        <v>9168</v>
      </c>
      <c r="R7086" s="28" t="s">
        <v>9169</v>
      </c>
      <c r="S7086" t="s">
        <v>13022</v>
      </c>
    </row>
    <row r="7087" spans="1:19" x14ac:dyDescent="0.25">
      <c r="A7087" s="27" t="s">
        <v>193</v>
      </c>
      <c r="C7087" s="27" t="s">
        <v>34749</v>
      </c>
      <c r="D7087" s="28" t="s">
        <v>34867</v>
      </c>
      <c r="P7087">
        <v>8145</v>
      </c>
      <c r="Q7087" t="s">
        <v>9171</v>
      </c>
      <c r="R7087" s="28" t="s">
        <v>9172</v>
      </c>
      <c r="S7087" t="s">
        <v>13022</v>
      </c>
    </row>
    <row r="7088" spans="1:19" x14ac:dyDescent="0.25">
      <c r="A7088" s="27" t="s">
        <v>193</v>
      </c>
      <c r="C7088" s="27" t="s">
        <v>34749</v>
      </c>
      <c r="D7088" s="28" t="s">
        <v>34867</v>
      </c>
      <c r="P7088">
        <v>8146</v>
      </c>
      <c r="Q7088" t="s">
        <v>15051</v>
      </c>
      <c r="R7088" s="28" t="s">
        <v>15052</v>
      </c>
      <c r="S7088" t="s">
        <v>13022</v>
      </c>
    </row>
    <row r="7089" spans="1:19" x14ac:dyDescent="0.25">
      <c r="A7089" s="27" t="s">
        <v>193</v>
      </c>
      <c r="C7089" s="27" t="s">
        <v>34749</v>
      </c>
      <c r="D7089" s="28" t="s">
        <v>34867</v>
      </c>
      <c r="P7089">
        <v>8147</v>
      </c>
      <c r="Q7089" t="s">
        <v>9189</v>
      </c>
      <c r="R7089" s="28" t="s">
        <v>9190</v>
      </c>
      <c r="S7089" t="s">
        <v>13022</v>
      </c>
    </row>
    <row r="7090" spans="1:19" x14ac:dyDescent="0.25">
      <c r="A7090" s="27" t="s">
        <v>193</v>
      </c>
      <c r="C7090" s="27" t="s">
        <v>34749</v>
      </c>
      <c r="D7090" s="28" t="s">
        <v>34867</v>
      </c>
      <c r="P7090">
        <v>8148</v>
      </c>
      <c r="Q7090" t="s">
        <v>9186</v>
      </c>
      <c r="R7090" s="28" t="s">
        <v>9187</v>
      </c>
      <c r="S7090" t="s">
        <v>13022</v>
      </c>
    </row>
    <row r="7091" spans="1:19" x14ac:dyDescent="0.25">
      <c r="A7091" s="27" t="s">
        <v>193</v>
      </c>
      <c r="C7091" s="27" t="s">
        <v>34749</v>
      </c>
      <c r="D7091" s="28" t="s">
        <v>34867</v>
      </c>
      <c r="P7091">
        <v>8149</v>
      </c>
      <c r="Q7091" t="s">
        <v>9192</v>
      </c>
      <c r="R7091" s="28" t="s">
        <v>9193</v>
      </c>
      <c r="S7091" t="s">
        <v>13022</v>
      </c>
    </row>
    <row r="7092" spans="1:19" x14ac:dyDescent="0.25">
      <c r="A7092" s="27" t="s">
        <v>193</v>
      </c>
      <c r="C7092" s="27" t="s">
        <v>34749</v>
      </c>
      <c r="D7092" s="28" t="s">
        <v>34867</v>
      </c>
      <c r="P7092">
        <v>8150</v>
      </c>
      <c r="Q7092" t="s">
        <v>1548</v>
      </c>
      <c r="R7092" s="28" t="s">
        <v>1549</v>
      </c>
      <c r="S7092" t="s">
        <v>13022</v>
      </c>
    </row>
    <row r="7093" spans="1:19" x14ac:dyDescent="0.25">
      <c r="A7093" s="27" t="s">
        <v>193</v>
      </c>
      <c r="C7093" s="27" t="s">
        <v>34749</v>
      </c>
      <c r="D7093" s="28" t="s">
        <v>34867</v>
      </c>
      <c r="P7093">
        <v>8151</v>
      </c>
      <c r="Q7093" t="s">
        <v>15053</v>
      </c>
      <c r="R7093" s="28" t="s">
        <v>1570</v>
      </c>
      <c r="S7093" t="s">
        <v>13022</v>
      </c>
    </row>
    <row r="7094" spans="1:19" x14ac:dyDescent="0.25">
      <c r="A7094" s="27" t="s">
        <v>193</v>
      </c>
      <c r="C7094" s="27" t="s">
        <v>34749</v>
      </c>
      <c r="D7094" s="28" t="s">
        <v>34867</v>
      </c>
      <c r="P7094">
        <v>8152</v>
      </c>
      <c r="Q7094" t="s">
        <v>15054</v>
      </c>
      <c r="R7094" s="28" t="s">
        <v>1603</v>
      </c>
      <c r="S7094" t="s">
        <v>13022</v>
      </c>
    </row>
    <row r="7095" spans="1:19" x14ac:dyDescent="0.25">
      <c r="A7095" s="27" t="s">
        <v>193</v>
      </c>
      <c r="C7095" s="27" t="s">
        <v>34749</v>
      </c>
      <c r="D7095" s="28" t="s">
        <v>34867</v>
      </c>
      <c r="P7095">
        <v>8153</v>
      </c>
      <c r="Q7095" t="s">
        <v>15055</v>
      </c>
      <c r="R7095" s="28" t="s">
        <v>1600</v>
      </c>
      <c r="S7095" t="s">
        <v>13022</v>
      </c>
    </row>
    <row r="7096" spans="1:19" x14ac:dyDescent="0.25">
      <c r="A7096" s="27" t="s">
        <v>193</v>
      </c>
      <c r="C7096" s="27" t="s">
        <v>34749</v>
      </c>
      <c r="D7096" s="28" t="s">
        <v>34867</v>
      </c>
      <c r="P7096">
        <v>8154</v>
      </c>
      <c r="Q7096" t="s">
        <v>15056</v>
      </c>
      <c r="R7096" s="28" t="s">
        <v>15057</v>
      </c>
      <c r="S7096" t="s">
        <v>13022</v>
      </c>
    </row>
    <row r="7097" spans="1:19" x14ac:dyDescent="0.25">
      <c r="A7097" s="27" t="s">
        <v>193</v>
      </c>
      <c r="C7097" s="27" t="s">
        <v>34749</v>
      </c>
      <c r="D7097" s="28" t="s">
        <v>34867</v>
      </c>
      <c r="P7097">
        <v>8155</v>
      </c>
      <c r="Q7097" t="s">
        <v>15058</v>
      </c>
      <c r="R7097" s="28" t="s">
        <v>15059</v>
      </c>
      <c r="S7097" t="s">
        <v>13022</v>
      </c>
    </row>
    <row r="7098" spans="1:19" x14ac:dyDescent="0.25">
      <c r="A7098" s="27" t="s">
        <v>193</v>
      </c>
      <c r="C7098" s="27" t="s">
        <v>34749</v>
      </c>
      <c r="D7098" s="28" t="s">
        <v>34867</v>
      </c>
      <c r="P7098">
        <v>8156</v>
      </c>
      <c r="Q7098" t="s">
        <v>15060</v>
      </c>
      <c r="R7098" s="28" t="s">
        <v>15061</v>
      </c>
      <c r="S7098" t="s">
        <v>13022</v>
      </c>
    </row>
    <row r="7099" spans="1:19" x14ac:dyDescent="0.25">
      <c r="A7099" s="27" t="s">
        <v>193</v>
      </c>
      <c r="C7099" s="27" t="s">
        <v>34749</v>
      </c>
      <c r="D7099" s="28" t="s">
        <v>34867</v>
      </c>
      <c r="P7099">
        <v>8157</v>
      </c>
      <c r="Q7099" t="s">
        <v>15062</v>
      </c>
      <c r="R7099" s="28" t="s">
        <v>15063</v>
      </c>
      <c r="S7099" t="s">
        <v>13022</v>
      </c>
    </row>
    <row r="7100" spans="1:19" x14ac:dyDescent="0.25">
      <c r="A7100" s="27" t="s">
        <v>193</v>
      </c>
      <c r="C7100" s="27" t="s">
        <v>34749</v>
      </c>
      <c r="D7100" s="28" t="s">
        <v>34867</v>
      </c>
      <c r="P7100">
        <v>8158</v>
      </c>
      <c r="Q7100" t="s">
        <v>15064</v>
      </c>
      <c r="R7100" s="28" t="s">
        <v>1390</v>
      </c>
      <c r="S7100" t="s">
        <v>13022</v>
      </c>
    </row>
    <row r="7101" spans="1:19" x14ac:dyDescent="0.25">
      <c r="A7101" s="27" t="s">
        <v>193</v>
      </c>
      <c r="C7101" s="27" t="s">
        <v>34749</v>
      </c>
      <c r="D7101" s="28" t="s">
        <v>34867</v>
      </c>
      <c r="P7101">
        <v>8159</v>
      </c>
      <c r="Q7101" t="s">
        <v>9208</v>
      </c>
      <c r="R7101" s="28" t="s">
        <v>9209</v>
      </c>
      <c r="S7101" t="s">
        <v>13022</v>
      </c>
    </row>
    <row r="7102" spans="1:19" x14ac:dyDescent="0.25">
      <c r="A7102" s="27" t="s">
        <v>193</v>
      </c>
      <c r="C7102" s="27" t="s">
        <v>34749</v>
      </c>
      <c r="D7102" s="28" t="s">
        <v>34867</v>
      </c>
      <c r="P7102">
        <v>8160</v>
      </c>
      <c r="Q7102" t="s">
        <v>9220</v>
      </c>
      <c r="R7102" s="28" t="s">
        <v>9221</v>
      </c>
      <c r="S7102" t="s">
        <v>13022</v>
      </c>
    </row>
    <row r="7103" spans="1:19" x14ac:dyDescent="0.25">
      <c r="A7103" s="27" t="s">
        <v>193</v>
      </c>
      <c r="C7103" s="27" t="s">
        <v>34749</v>
      </c>
      <c r="D7103" s="28" t="s">
        <v>34867</v>
      </c>
      <c r="P7103">
        <v>8162</v>
      </c>
      <c r="Q7103" t="s">
        <v>15065</v>
      </c>
      <c r="R7103" s="28" t="s">
        <v>1621</v>
      </c>
      <c r="S7103" t="s">
        <v>13022</v>
      </c>
    </row>
    <row r="7104" spans="1:19" x14ac:dyDescent="0.25">
      <c r="A7104" s="27" t="s">
        <v>193</v>
      </c>
      <c r="C7104" s="27" t="s">
        <v>34749</v>
      </c>
      <c r="D7104" s="28" t="s">
        <v>34867</v>
      </c>
      <c r="P7104">
        <v>8163</v>
      </c>
      <c r="Q7104" t="s">
        <v>15066</v>
      </c>
      <c r="R7104" s="28" t="s">
        <v>2443</v>
      </c>
      <c r="S7104" t="s">
        <v>13022</v>
      </c>
    </row>
    <row r="7105" spans="1:19" x14ac:dyDescent="0.25">
      <c r="A7105" s="27" t="s">
        <v>193</v>
      </c>
      <c r="C7105" s="27" t="s">
        <v>34749</v>
      </c>
      <c r="D7105" s="28" t="s">
        <v>34867</v>
      </c>
      <c r="P7105">
        <v>8164</v>
      </c>
      <c r="Q7105" t="s">
        <v>15067</v>
      </c>
      <c r="R7105" s="28" t="s">
        <v>1624</v>
      </c>
      <c r="S7105" t="s">
        <v>13022</v>
      </c>
    </row>
    <row r="7106" spans="1:19" x14ac:dyDescent="0.25">
      <c r="A7106" s="27" t="s">
        <v>193</v>
      </c>
      <c r="C7106" s="27" t="s">
        <v>34749</v>
      </c>
      <c r="D7106" s="28" t="s">
        <v>34867</v>
      </c>
      <c r="P7106">
        <v>8165</v>
      </c>
      <c r="Q7106" t="s">
        <v>15068</v>
      </c>
      <c r="R7106" s="28" t="s">
        <v>2446</v>
      </c>
      <c r="S7106" t="s">
        <v>13022</v>
      </c>
    </row>
    <row r="7107" spans="1:19" x14ac:dyDescent="0.25">
      <c r="A7107" s="27" t="s">
        <v>193</v>
      </c>
      <c r="C7107" s="27" t="s">
        <v>34749</v>
      </c>
      <c r="D7107" s="28" t="s">
        <v>34867</v>
      </c>
      <c r="P7107">
        <v>8166</v>
      </c>
      <c r="Q7107" t="s">
        <v>15069</v>
      </c>
      <c r="R7107" s="28" t="s">
        <v>1627</v>
      </c>
      <c r="S7107" t="s">
        <v>13022</v>
      </c>
    </row>
    <row r="7108" spans="1:19" x14ac:dyDescent="0.25">
      <c r="A7108" s="27" t="s">
        <v>193</v>
      </c>
      <c r="C7108" s="27" t="s">
        <v>34749</v>
      </c>
      <c r="D7108" s="28" t="s">
        <v>34867</v>
      </c>
      <c r="P7108">
        <v>8167</v>
      </c>
      <c r="Q7108" t="s">
        <v>15070</v>
      </c>
      <c r="R7108" s="28" t="s">
        <v>2449</v>
      </c>
      <c r="S7108" t="s">
        <v>13022</v>
      </c>
    </row>
    <row r="7109" spans="1:19" x14ac:dyDescent="0.25">
      <c r="A7109" s="27" t="s">
        <v>193</v>
      </c>
      <c r="C7109" s="27" t="s">
        <v>34749</v>
      </c>
      <c r="D7109" s="28" t="s">
        <v>34867</v>
      </c>
      <c r="P7109">
        <v>8168</v>
      </c>
      <c r="Q7109" t="s">
        <v>15071</v>
      </c>
      <c r="R7109" s="28" t="s">
        <v>15072</v>
      </c>
      <c r="S7109" t="s">
        <v>13022</v>
      </c>
    </row>
    <row r="7110" spans="1:19" x14ac:dyDescent="0.25">
      <c r="A7110" s="27" t="s">
        <v>193</v>
      </c>
      <c r="C7110" s="27" t="s">
        <v>34749</v>
      </c>
      <c r="D7110" s="28" t="s">
        <v>34867</v>
      </c>
      <c r="P7110">
        <v>8169</v>
      </c>
      <c r="Q7110" t="s">
        <v>4344</v>
      </c>
      <c r="R7110" s="28" t="s">
        <v>4345</v>
      </c>
      <c r="S7110" t="s">
        <v>13022</v>
      </c>
    </row>
    <row r="7111" spans="1:19" x14ac:dyDescent="0.25">
      <c r="A7111" s="27" t="s">
        <v>193</v>
      </c>
      <c r="C7111" s="27" t="s">
        <v>34749</v>
      </c>
      <c r="D7111" s="28" t="s">
        <v>34867</v>
      </c>
      <c r="P7111">
        <v>8170</v>
      </c>
      <c r="Q7111" t="s">
        <v>9301</v>
      </c>
      <c r="R7111" s="28" t="s">
        <v>9302</v>
      </c>
      <c r="S7111" t="s">
        <v>13022</v>
      </c>
    </row>
    <row r="7112" spans="1:19" x14ac:dyDescent="0.25">
      <c r="A7112" s="27" t="s">
        <v>193</v>
      </c>
      <c r="C7112" s="27" t="s">
        <v>34749</v>
      </c>
      <c r="D7112" s="28" t="s">
        <v>34867</v>
      </c>
      <c r="P7112">
        <v>8171</v>
      </c>
      <c r="Q7112" t="s">
        <v>9226</v>
      </c>
      <c r="R7112" s="28" t="s">
        <v>9227</v>
      </c>
      <c r="S7112" t="s">
        <v>13022</v>
      </c>
    </row>
    <row r="7113" spans="1:19" x14ac:dyDescent="0.25">
      <c r="A7113" s="27" t="s">
        <v>193</v>
      </c>
      <c r="C7113" s="27" t="s">
        <v>34749</v>
      </c>
      <c r="D7113" s="28" t="s">
        <v>34867</v>
      </c>
      <c r="P7113">
        <v>8172</v>
      </c>
      <c r="Q7113" t="s">
        <v>15073</v>
      </c>
      <c r="R7113" s="28" t="s">
        <v>15074</v>
      </c>
      <c r="S7113" t="s">
        <v>13022</v>
      </c>
    </row>
    <row r="7114" spans="1:19" x14ac:dyDescent="0.25">
      <c r="A7114" s="27" t="s">
        <v>193</v>
      </c>
      <c r="C7114" s="27" t="s">
        <v>34749</v>
      </c>
      <c r="D7114" s="28" t="s">
        <v>34867</v>
      </c>
      <c r="P7114">
        <v>8173</v>
      </c>
      <c r="Q7114" t="s">
        <v>9229</v>
      </c>
      <c r="R7114" s="28" t="s">
        <v>9230</v>
      </c>
      <c r="S7114" t="s">
        <v>13022</v>
      </c>
    </row>
    <row r="7115" spans="1:19" x14ac:dyDescent="0.25">
      <c r="A7115" s="27" t="s">
        <v>193</v>
      </c>
      <c r="C7115" s="27" t="s">
        <v>34749</v>
      </c>
      <c r="D7115" s="28" t="s">
        <v>34867</v>
      </c>
      <c r="P7115">
        <v>8174</v>
      </c>
      <c r="Q7115" t="s">
        <v>9232</v>
      </c>
      <c r="R7115" s="28" t="s">
        <v>9233</v>
      </c>
      <c r="S7115" t="s">
        <v>13022</v>
      </c>
    </row>
    <row r="7116" spans="1:19" x14ac:dyDescent="0.25">
      <c r="A7116" s="27" t="s">
        <v>193</v>
      </c>
      <c r="C7116" s="27" t="s">
        <v>34749</v>
      </c>
      <c r="D7116" s="28" t="s">
        <v>34867</v>
      </c>
      <c r="P7116">
        <v>8176</v>
      </c>
      <c r="Q7116" t="s">
        <v>15075</v>
      </c>
      <c r="R7116" s="28" t="s">
        <v>9248</v>
      </c>
      <c r="S7116" t="s">
        <v>13022</v>
      </c>
    </row>
    <row r="7117" spans="1:19" x14ac:dyDescent="0.25">
      <c r="A7117" s="27" t="s">
        <v>193</v>
      </c>
      <c r="C7117" s="27" t="s">
        <v>34749</v>
      </c>
      <c r="D7117" s="28" t="s">
        <v>34867</v>
      </c>
      <c r="P7117">
        <v>8177</v>
      </c>
      <c r="Q7117" t="s">
        <v>15076</v>
      </c>
      <c r="S7117" t="s">
        <v>13022</v>
      </c>
    </row>
    <row r="7118" spans="1:19" x14ac:dyDescent="0.25">
      <c r="A7118" s="27" t="s">
        <v>193</v>
      </c>
      <c r="C7118" s="27" t="s">
        <v>34749</v>
      </c>
      <c r="D7118" s="28" t="s">
        <v>34867</v>
      </c>
      <c r="P7118">
        <v>8178</v>
      </c>
      <c r="Q7118" t="s">
        <v>15077</v>
      </c>
      <c r="R7118" s="28" t="s">
        <v>9263</v>
      </c>
      <c r="S7118" t="s">
        <v>13022</v>
      </c>
    </row>
    <row r="7119" spans="1:19" x14ac:dyDescent="0.25">
      <c r="A7119" s="27" t="s">
        <v>193</v>
      </c>
      <c r="C7119" s="27" t="s">
        <v>34749</v>
      </c>
      <c r="D7119" s="28" t="s">
        <v>34867</v>
      </c>
      <c r="P7119">
        <v>8179</v>
      </c>
      <c r="Q7119" t="s">
        <v>9265</v>
      </c>
      <c r="R7119" s="28" t="s">
        <v>9266</v>
      </c>
      <c r="S7119" t="s">
        <v>13022</v>
      </c>
    </row>
    <row r="7120" spans="1:19" x14ac:dyDescent="0.25">
      <c r="A7120" s="27" t="s">
        <v>193</v>
      </c>
      <c r="C7120" s="27" t="s">
        <v>34749</v>
      </c>
      <c r="D7120" s="28" t="s">
        <v>34867</v>
      </c>
      <c r="P7120">
        <v>8180</v>
      </c>
      <c r="Q7120" t="s">
        <v>9268</v>
      </c>
      <c r="R7120" s="28" t="s">
        <v>9269</v>
      </c>
      <c r="S7120" t="s">
        <v>13022</v>
      </c>
    </row>
    <row r="7121" spans="1:19" x14ac:dyDescent="0.25">
      <c r="A7121" s="27" t="s">
        <v>193</v>
      </c>
      <c r="C7121" s="27" t="s">
        <v>34749</v>
      </c>
      <c r="D7121" s="28" t="s">
        <v>34867</v>
      </c>
      <c r="P7121">
        <v>8182</v>
      </c>
      <c r="Q7121" t="s">
        <v>4462</v>
      </c>
      <c r="R7121" s="28" t="s">
        <v>4463</v>
      </c>
      <c r="S7121" t="s">
        <v>13022</v>
      </c>
    </row>
    <row r="7122" spans="1:19" x14ac:dyDescent="0.25">
      <c r="A7122" s="27" t="s">
        <v>193</v>
      </c>
      <c r="C7122" s="27" t="s">
        <v>34749</v>
      </c>
      <c r="D7122" s="28" t="s">
        <v>34867</v>
      </c>
      <c r="P7122">
        <v>8183</v>
      </c>
      <c r="Q7122" t="s">
        <v>15078</v>
      </c>
      <c r="R7122" s="28" t="s">
        <v>15079</v>
      </c>
      <c r="S7122" t="s">
        <v>13022</v>
      </c>
    </row>
    <row r="7123" spans="1:19" x14ac:dyDescent="0.25">
      <c r="A7123" s="27" t="s">
        <v>193</v>
      </c>
      <c r="C7123" s="27" t="s">
        <v>34749</v>
      </c>
      <c r="D7123" s="28" t="s">
        <v>34867</v>
      </c>
      <c r="P7123">
        <v>8184</v>
      </c>
      <c r="Q7123" t="s">
        <v>4465</v>
      </c>
      <c r="R7123" s="28" t="s">
        <v>4466</v>
      </c>
      <c r="S7123" t="s">
        <v>13022</v>
      </c>
    </row>
    <row r="7124" spans="1:19" x14ac:dyDescent="0.25">
      <c r="A7124" s="27" t="s">
        <v>193</v>
      </c>
      <c r="C7124" s="27" t="s">
        <v>34749</v>
      </c>
      <c r="D7124" s="28" t="s">
        <v>34867</v>
      </c>
      <c r="P7124">
        <v>8185</v>
      </c>
      <c r="Q7124" t="s">
        <v>4474</v>
      </c>
      <c r="R7124" s="28" t="s">
        <v>4475</v>
      </c>
      <c r="S7124" t="s">
        <v>13022</v>
      </c>
    </row>
    <row r="7125" spans="1:19" x14ac:dyDescent="0.25">
      <c r="A7125" s="27" t="s">
        <v>193</v>
      </c>
      <c r="C7125" s="27" t="s">
        <v>34749</v>
      </c>
      <c r="D7125" s="28" t="s">
        <v>34867</v>
      </c>
      <c r="P7125">
        <v>8188</v>
      </c>
      <c r="Q7125" t="s">
        <v>4495</v>
      </c>
      <c r="R7125" s="28" t="s">
        <v>4496</v>
      </c>
      <c r="S7125" t="s">
        <v>13022</v>
      </c>
    </row>
    <row r="7126" spans="1:19" x14ac:dyDescent="0.25">
      <c r="A7126" s="27" t="s">
        <v>193</v>
      </c>
      <c r="C7126" s="27" t="s">
        <v>34749</v>
      </c>
      <c r="D7126" s="28" t="s">
        <v>34867</v>
      </c>
      <c r="P7126">
        <v>8189</v>
      </c>
      <c r="Q7126" t="s">
        <v>4498</v>
      </c>
      <c r="R7126" s="28" t="s">
        <v>4499</v>
      </c>
      <c r="S7126" t="s">
        <v>13022</v>
      </c>
    </row>
    <row r="7127" spans="1:19" x14ac:dyDescent="0.25">
      <c r="A7127" s="27" t="s">
        <v>193</v>
      </c>
      <c r="C7127" s="27" t="s">
        <v>34749</v>
      </c>
      <c r="D7127" s="28" t="s">
        <v>34867</v>
      </c>
      <c r="P7127">
        <v>8190</v>
      </c>
      <c r="Q7127" t="s">
        <v>4527</v>
      </c>
      <c r="R7127" s="28" t="s">
        <v>4528</v>
      </c>
      <c r="S7127" t="s">
        <v>13022</v>
      </c>
    </row>
    <row r="7128" spans="1:19" x14ac:dyDescent="0.25">
      <c r="A7128" s="27" t="s">
        <v>193</v>
      </c>
      <c r="C7128" s="27" t="s">
        <v>34749</v>
      </c>
      <c r="D7128" s="28" t="s">
        <v>34867</v>
      </c>
      <c r="P7128">
        <v>8191</v>
      </c>
      <c r="Q7128" t="s">
        <v>4518</v>
      </c>
      <c r="R7128" s="28" t="s">
        <v>4519</v>
      </c>
      <c r="S7128" t="s">
        <v>13022</v>
      </c>
    </row>
    <row r="7129" spans="1:19" x14ac:dyDescent="0.25">
      <c r="A7129" s="27" t="s">
        <v>193</v>
      </c>
      <c r="C7129" s="27" t="s">
        <v>34749</v>
      </c>
      <c r="D7129" s="28" t="s">
        <v>34867</v>
      </c>
      <c r="P7129">
        <v>8192</v>
      </c>
      <c r="Q7129" t="s">
        <v>15080</v>
      </c>
      <c r="S7129" t="s">
        <v>13022</v>
      </c>
    </row>
    <row r="7130" spans="1:19" x14ac:dyDescent="0.25">
      <c r="A7130" s="27" t="s">
        <v>193</v>
      </c>
      <c r="C7130" s="27" t="s">
        <v>34749</v>
      </c>
      <c r="D7130" s="28" t="s">
        <v>34867</v>
      </c>
      <c r="P7130">
        <v>8193</v>
      </c>
      <c r="Q7130" t="s">
        <v>15081</v>
      </c>
      <c r="R7130" s="28" t="s">
        <v>15082</v>
      </c>
      <c r="S7130" t="s">
        <v>13022</v>
      </c>
    </row>
    <row r="7131" spans="1:19" x14ac:dyDescent="0.25">
      <c r="A7131" s="27" t="s">
        <v>193</v>
      </c>
      <c r="C7131" s="27" t="s">
        <v>34749</v>
      </c>
      <c r="D7131" s="28" t="s">
        <v>34867</v>
      </c>
      <c r="P7131">
        <v>8194</v>
      </c>
      <c r="Q7131" t="s">
        <v>15083</v>
      </c>
      <c r="R7131" s="28" t="s">
        <v>15084</v>
      </c>
      <c r="S7131" t="s">
        <v>13022</v>
      </c>
    </row>
    <row r="7132" spans="1:19" x14ac:dyDescent="0.25">
      <c r="A7132" s="27" t="s">
        <v>193</v>
      </c>
      <c r="C7132" s="27" t="s">
        <v>34749</v>
      </c>
      <c r="D7132" s="28" t="s">
        <v>34867</v>
      </c>
      <c r="P7132">
        <v>8195</v>
      </c>
      <c r="Q7132" t="s">
        <v>1608</v>
      </c>
      <c r="R7132" s="28" t="s">
        <v>1609</v>
      </c>
      <c r="S7132" t="s">
        <v>13022</v>
      </c>
    </row>
    <row r="7133" spans="1:19" x14ac:dyDescent="0.25">
      <c r="A7133" s="27" t="s">
        <v>193</v>
      </c>
      <c r="C7133" s="27" t="s">
        <v>34749</v>
      </c>
      <c r="D7133" s="28" t="s">
        <v>34867</v>
      </c>
      <c r="P7133">
        <v>8196</v>
      </c>
      <c r="Q7133" t="s">
        <v>1734</v>
      </c>
      <c r="R7133" s="28" t="s">
        <v>1735</v>
      </c>
      <c r="S7133" t="s">
        <v>13022</v>
      </c>
    </row>
    <row r="7134" spans="1:19" x14ac:dyDescent="0.25">
      <c r="A7134" s="27" t="s">
        <v>193</v>
      </c>
      <c r="C7134" s="27" t="s">
        <v>34749</v>
      </c>
      <c r="D7134" s="28" t="s">
        <v>34867</v>
      </c>
      <c r="P7134">
        <v>8197</v>
      </c>
      <c r="Q7134" t="s">
        <v>2244</v>
      </c>
      <c r="R7134" s="28" t="s">
        <v>2245</v>
      </c>
      <c r="S7134" t="s">
        <v>13022</v>
      </c>
    </row>
    <row r="7135" spans="1:19" x14ac:dyDescent="0.25">
      <c r="A7135" s="27" t="s">
        <v>193</v>
      </c>
      <c r="C7135" s="27" t="s">
        <v>34749</v>
      </c>
      <c r="D7135" s="28" t="s">
        <v>34867</v>
      </c>
      <c r="P7135">
        <v>8198</v>
      </c>
      <c r="Q7135" t="s">
        <v>2274</v>
      </c>
      <c r="R7135" s="28" t="s">
        <v>2275</v>
      </c>
      <c r="S7135" t="s">
        <v>13022</v>
      </c>
    </row>
    <row r="7136" spans="1:19" x14ac:dyDescent="0.25">
      <c r="A7136" s="27" t="s">
        <v>193</v>
      </c>
      <c r="C7136" s="27" t="s">
        <v>34749</v>
      </c>
      <c r="D7136" s="28" t="s">
        <v>34867</v>
      </c>
      <c r="P7136">
        <v>8199</v>
      </c>
      <c r="Q7136" t="s">
        <v>1737</v>
      </c>
      <c r="R7136" s="28" t="s">
        <v>1738</v>
      </c>
      <c r="S7136" t="s">
        <v>13022</v>
      </c>
    </row>
    <row r="7137" spans="1:19" x14ac:dyDescent="0.25">
      <c r="A7137" s="27" t="s">
        <v>193</v>
      </c>
      <c r="C7137" s="27" t="s">
        <v>34749</v>
      </c>
      <c r="D7137" s="28" t="s">
        <v>34867</v>
      </c>
      <c r="P7137">
        <v>8200</v>
      </c>
      <c r="Q7137" t="s">
        <v>15085</v>
      </c>
      <c r="R7137" s="28" t="s">
        <v>15086</v>
      </c>
      <c r="S7137" t="s">
        <v>13022</v>
      </c>
    </row>
    <row r="7138" spans="1:19" x14ac:dyDescent="0.25">
      <c r="A7138" s="27" t="s">
        <v>193</v>
      </c>
      <c r="C7138" s="27" t="s">
        <v>34749</v>
      </c>
      <c r="D7138" s="28" t="s">
        <v>34867</v>
      </c>
      <c r="P7138">
        <v>8201</v>
      </c>
      <c r="Q7138" t="s">
        <v>15087</v>
      </c>
      <c r="S7138" t="s">
        <v>13022</v>
      </c>
    </row>
    <row r="7139" spans="1:19" x14ac:dyDescent="0.25">
      <c r="A7139" s="27" t="s">
        <v>193</v>
      </c>
      <c r="C7139" s="27" t="s">
        <v>34749</v>
      </c>
      <c r="D7139" s="28" t="s">
        <v>34867</v>
      </c>
      <c r="P7139">
        <v>8202</v>
      </c>
      <c r="Q7139" t="s">
        <v>1611</v>
      </c>
      <c r="R7139" s="28" t="s">
        <v>1612</v>
      </c>
      <c r="S7139" t="s">
        <v>13022</v>
      </c>
    </row>
    <row r="7140" spans="1:19" x14ac:dyDescent="0.25">
      <c r="A7140" s="27" t="s">
        <v>193</v>
      </c>
      <c r="C7140" s="27" t="s">
        <v>34749</v>
      </c>
      <c r="D7140" s="28" t="s">
        <v>34867</v>
      </c>
      <c r="P7140">
        <v>8203</v>
      </c>
      <c r="Q7140" t="s">
        <v>15088</v>
      </c>
      <c r="S7140" t="s">
        <v>13022</v>
      </c>
    </row>
    <row r="7141" spans="1:19" x14ac:dyDescent="0.25">
      <c r="A7141" s="27" t="s">
        <v>193</v>
      </c>
      <c r="C7141" s="27" t="s">
        <v>34749</v>
      </c>
      <c r="D7141" s="28" t="s">
        <v>34867</v>
      </c>
      <c r="P7141">
        <v>8204</v>
      </c>
      <c r="Q7141" t="s">
        <v>15089</v>
      </c>
      <c r="R7141" s="28" t="s">
        <v>1642</v>
      </c>
      <c r="S7141" t="s">
        <v>13022</v>
      </c>
    </row>
    <row r="7142" spans="1:19" x14ac:dyDescent="0.25">
      <c r="A7142" s="27" t="s">
        <v>193</v>
      </c>
      <c r="C7142" s="27" t="s">
        <v>34749</v>
      </c>
      <c r="D7142" s="28" t="s">
        <v>34867</v>
      </c>
      <c r="P7142">
        <v>8205</v>
      </c>
      <c r="Q7142" t="s">
        <v>957</v>
      </c>
      <c r="R7142" s="28" t="s">
        <v>958</v>
      </c>
      <c r="S7142" t="s">
        <v>13022</v>
      </c>
    </row>
    <row r="7143" spans="1:19" x14ac:dyDescent="0.25">
      <c r="A7143" s="27" t="s">
        <v>193</v>
      </c>
      <c r="C7143" s="27" t="s">
        <v>34749</v>
      </c>
      <c r="D7143" s="28" t="s">
        <v>34867</v>
      </c>
      <c r="P7143">
        <v>8206</v>
      </c>
      <c r="Q7143" t="s">
        <v>1029</v>
      </c>
      <c r="R7143" s="28" t="s">
        <v>1030</v>
      </c>
      <c r="S7143" t="s">
        <v>13022</v>
      </c>
    </row>
    <row r="7144" spans="1:19" x14ac:dyDescent="0.25">
      <c r="A7144" s="27" t="s">
        <v>193</v>
      </c>
      <c r="C7144" s="27" t="s">
        <v>34749</v>
      </c>
      <c r="D7144" s="28" t="s">
        <v>34867</v>
      </c>
      <c r="P7144">
        <v>8207</v>
      </c>
      <c r="Q7144" t="s">
        <v>1032</v>
      </c>
      <c r="R7144" s="28" t="s">
        <v>1033</v>
      </c>
      <c r="S7144" t="s">
        <v>13022</v>
      </c>
    </row>
    <row r="7145" spans="1:19" x14ac:dyDescent="0.25">
      <c r="A7145" s="27" t="s">
        <v>193</v>
      </c>
      <c r="C7145" s="27" t="s">
        <v>34749</v>
      </c>
      <c r="D7145" s="28" t="s">
        <v>34867</v>
      </c>
      <c r="P7145">
        <v>8208</v>
      </c>
      <c r="Q7145" t="s">
        <v>15090</v>
      </c>
      <c r="R7145" s="28" t="s">
        <v>15091</v>
      </c>
      <c r="S7145" t="s">
        <v>13022</v>
      </c>
    </row>
    <row r="7146" spans="1:19" x14ac:dyDescent="0.25">
      <c r="A7146" s="27" t="s">
        <v>193</v>
      </c>
      <c r="C7146" s="27" t="s">
        <v>34749</v>
      </c>
      <c r="D7146" s="28" t="s">
        <v>34867</v>
      </c>
      <c r="P7146">
        <v>8209</v>
      </c>
      <c r="Q7146" t="s">
        <v>4319</v>
      </c>
      <c r="R7146" s="28" t="s">
        <v>4320</v>
      </c>
      <c r="S7146" t="s">
        <v>13022</v>
      </c>
    </row>
    <row r="7147" spans="1:19" x14ac:dyDescent="0.25">
      <c r="A7147" s="27" t="s">
        <v>193</v>
      </c>
      <c r="C7147" s="27" t="s">
        <v>34749</v>
      </c>
      <c r="D7147" s="28" t="s">
        <v>34867</v>
      </c>
      <c r="P7147">
        <v>8210</v>
      </c>
      <c r="Q7147" t="s">
        <v>15092</v>
      </c>
      <c r="R7147" s="28" t="s">
        <v>4314</v>
      </c>
      <c r="S7147" t="s">
        <v>13022</v>
      </c>
    </row>
    <row r="7148" spans="1:19" x14ac:dyDescent="0.25">
      <c r="A7148" s="27" t="s">
        <v>193</v>
      </c>
      <c r="C7148" s="27" t="s">
        <v>34749</v>
      </c>
      <c r="D7148" s="28" t="s">
        <v>34867</v>
      </c>
      <c r="P7148">
        <v>8211</v>
      </c>
      <c r="Q7148" t="s">
        <v>15093</v>
      </c>
      <c r="R7148" s="28" t="s">
        <v>15094</v>
      </c>
      <c r="S7148" t="s">
        <v>13022</v>
      </c>
    </row>
    <row r="7149" spans="1:19" x14ac:dyDescent="0.25">
      <c r="A7149" s="27" t="s">
        <v>193</v>
      </c>
      <c r="C7149" s="27" t="s">
        <v>34749</v>
      </c>
      <c r="D7149" s="28" t="s">
        <v>34867</v>
      </c>
      <c r="P7149">
        <v>8212</v>
      </c>
      <c r="Q7149" t="s">
        <v>15095</v>
      </c>
      <c r="R7149" s="28" t="s">
        <v>4502</v>
      </c>
      <c r="S7149" t="s">
        <v>13022</v>
      </c>
    </row>
    <row r="7150" spans="1:19" x14ac:dyDescent="0.25">
      <c r="A7150" s="27" t="s">
        <v>193</v>
      </c>
      <c r="C7150" s="27" t="s">
        <v>34749</v>
      </c>
      <c r="D7150" s="28" t="s">
        <v>34867</v>
      </c>
      <c r="P7150">
        <v>8213</v>
      </c>
      <c r="Q7150" t="s">
        <v>4524</v>
      </c>
      <c r="R7150" s="28" t="s">
        <v>4525</v>
      </c>
      <c r="S7150" t="s">
        <v>13022</v>
      </c>
    </row>
    <row r="7151" spans="1:19" x14ac:dyDescent="0.25">
      <c r="A7151" s="27" t="s">
        <v>193</v>
      </c>
      <c r="C7151" s="27" t="s">
        <v>34749</v>
      </c>
      <c r="D7151" s="28" t="s">
        <v>34867</v>
      </c>
      <c r="P7151">
        <v>8214</v>
      </c>
      <c r="Q7151" t="s">
        <v>4515</v>
      </c>
      <c r="R7151" s="28" t="s">
        <v>4516</v>
      </c>
      <c r="S7151" t="s">
        <v>13022</v>
      </c>
    </row>
    <row r="7152" spans="1:19" x14ac:dyDescent="0.25">
      <c r="A7152" s="27" t="s">
        <v>193</v>
      </c>
      <c r="C7152" s="27" t="s">
        <v>34749</v>
      </c>
      <c r="D7152" s="28" t="s">
        <v>34867</v>
      </c>
      <c r="P7152">
        <v>8215</v>
      </c>
      <c r="Q7152" t="s">
        <v>4521</v>
      </c>
      <c r="R7152" s="28" t="s">
        <v>4522</v>
      </c>
      <c r="S7152" t="s">
        <v>13022</v>
      </c>
    </row>
    <row r="7153" spans="1:19" x14ac:dyDescent="0.25">
      <c r="A7153" s="27" t="s">
        <v>193</v>
      </c>
      <c r="C7153" s="27" t="s">
        <v>34749</v>
      </c>
      <c r="D7153" s="28" t="s">
        <v>34867</v>
      </c>
      <c r="P7153">
        <v>8216</v>
      </c>
      <c r="Q7153" t="s">
        <v>4536</v>
      </c>
      <c r="R7153" s="28" t="s">
        <v>4537</v>
      </c>
      <c r="S7153" t="s">
        <v>13022</v>
      </c>
    </row>
    <row r="7154" spans="1:19" x14ac:dyDescent="0.25">
      <c r="A7154" s="27" t="s">
        <v>193</v>
      </c>
      <c r="C7154" s="27" t="s">
        <v>34749</v>
      </c>
      <c r="D7154" s="28" t="s">
        <v>34867</v>
      </c>
      <c r="P7154">
        <v>8217</v>
      </c>
      <c r="Q7154" t="s">
        <v>9277</v>
      </c>
      <c r="R7154" s="28" t="s">
        <v>9278</v>
      </c>
      <c r="S7154" t="s">
        <v>13022</v>
      </c>
    </row>
    <row r="7155" spans="1:19" x14ac:dyDescent="0.25">
      <c r="A7155" s="27" t="s">
        <v>193</v>
      </c>
      <c r="C7155" s="27" t="s">
        <v>34749</v>
      </c>
      <c r="D7155" s="28" t="s">
        <v>34867</v>
      </c>
      <c r="P7155">
        <v>8218</v>
      </c>
      <c r="Q7155" t="s">
        <v>4539</v>
      </c>
      <c r="R7155" s="28" t="s">
        <v>4540</v>
      </c>
      <c r="S7155" t="s">
        <v>13022</v>
      </c>
    </row>
    <row r="7156" spans="1:19" x14ac:dyDescent="0.25">
      <c r="A7156" s="27" t="s">
        <v>193</v>
      </c>
      <c r="C7156" s="27" t="s">
        <v>34749</v>
      </c>
      <c r="D7156" s="28" t="s">
        <v>34867</v>
      </c>
      <c r="P7156">
        <v>8219</v>
      </c>
      <c r="Q7156" t="s">
        <v>15096</v>
      </c>
      <c r="S7156" t="s">
        <v>13022</v>
      </c>
    </row>
    <row r="7157" spans="1:19" x14ac:dyDescent="0.25">
      <c r="A7157" s="27" t="s">
        <v>193</v>
      </c>
      <c r="C7157" s="27" t="s">
        <v>34749</v>
      </c>
      <c r="D7157" s="28" t="s">
        <v>34867</v>
      </c>
      <c r="P7157">
        <v>8221</v>
      </c>
      <c r="Q7157" t="s">
        <v>4545</v>
      </c>
      <c r="R7157" s="28" t="s">
        <v>4546</v>
      </c>
      <c r="S7157" t="s">
        <v>13022</v>
      </c>
    </row>
    <row r="7158" spans="1:19" x14ac:dyDescent="0.25">
      <c r="A7158" s="27" t="s">
        <v>193</v>
      </c>
      <c r="C7158" s="27" t="s">
        <v>34749</v>
      </c>
      <c r="D7158" s="28" t="s">
        <v>34867</v>
      </c>
      <c r="P7158">
        <v>8222</v>
      </c>
      <c r="Q7158" t="s">
        <v>1722</v>
      </c>
      <c r="R7158" s="28" t="s">
        <v>1723</v>
      </c>
      <c r="S7158" t="s">
        <v>13022</v>
      </c>
    </row>
    <row r="7159" spans="1:19" x14ac:dyDescent="0.25">
      <c r="A7159" s="27" t="s">
        <v>193</v>
      </c>
      <c r="C7159" s="27" t="s">
        <v>34749</v>
      </c>
      <c r="D7159" s="28" t="s">
        <v>34867</v>
      </c>
      <c r="P7159">
        <v>8223</v>
      </c>
      <c r="Q7159" t="s">
        <v>15097</v>
      </c>
      <c r="S7159" t="s">
        <v>13022</v>
      </c>
    </row>
    <row r="7160" spans="1:19" x14ac:dyDescent="0.25">
      <c r="A7160" s="27" t="s">
        <v>193</v>
      </c>
      <c r="C7160" s="27" t="s">
        <v>34749</v>
      </c>
      <c r="D7160" s="28" t="s">
        <v>34867</v>
      </c>
      <c r="P7160">
        <v>8225</v>
      </c>
      <c r="Q7160" t="s">
        <v>4554</v>
      </c>
      <c r="R7160" s="28" t="s">
        <v>4555</v>
      </c>
      <c r="S7160" t="s">
        <v>13022</v>
      </c>
    </row>
    <row r="7161" spans="1:19" x14ac:dyDescent="0.25">
      <c r="A7161" s="27" t="s">
        <v>193</v>
      </c>
      <c r="C7161" s="27" t="s">
        <v>34749</v>
      </c>
      <c r="D7161" s="28" t="s">
        <v>34867</v>
      </c>
      <c r="P7161">
        <v>8226</v>
      </c>
      <c r="Q7161" t="s">
        <v>4572</v>
      </c>
      <c r="R7161" s="28" t="s">
        <v>4573</v>
      </c>
      <c r="S7161" t="s">
        <v>13022</v>
      </c>
    </row>
    <row r="7162" spans="1:19" x14ac:dyDescent="0.25">
      <c r="A7162" s="27" t="s">
        <v>193</v>
      </c>
      <c r="C7162" s="27" t="s">
        <v>34749</v>
      </c>
      <c r="D7162" s="28" t="s">
        <v>34867</v>
      </c>
      <c r="P7162">
        <v>8227</v>
      </c>
      <c r="Q7162" t="s">
        <v>15098</v>
      </c>
      <c r="R7162" s="28" t="s">
        <v>15099</v>
      </c>
      <c r="S7162" t="s">
        <v>13022</v>
      </c>
    </row>
    <row r="7163" spans="1:19" x14ac:dyDescent="0.25">
      <c r="A7163" s="27" t="s">
        <v>193</v>
      </c>
      <c r="C7163" s="27" t="s">
        <v>34749</v>
      </c>
      <c r="D7163" s="28" t="s">
        <v>34867</v>
      </c>
      <c r="P7163">
        <v>8228</v>
      </c>
      <c r="Q7163" t="s">
        <v>4584</v>
      </c>
      <c r="R7163" s="28" t="s">
        <v>4585</v>
      </c>
      <c r="S7163" t="s">
        <v>13022</v>
      </c>
    </row>
    <row r="7164" spans="1:19" x14ac:dyDescent="0.25">
      <c r="A7164" s="27" t="s">
        <v>193</v>
      </c>
      <c r="C7164" s="27" t="s">
        <v>34749</v>
      </c>
      <c r="D7164" s="28" t="s">
        <v>34867</v>
      </c>
      <c r="P7164">
        <v>8229</v>
      </c>
      <c r="Q7164" t="s">
        <v>4557</v>
      </c>
      <c r="R7164" s="28" t="s">
        <v>4558</v>
      </c>
      <c r="S7164" t="s">
        <v>13022</v>
      </c>
    </row>
    <row r="7165" spans="1:19" x14ac:dyDescent="0.25">
      <c r="A7165" s="27" t="s">
        <v>193</v>
      </c>
      <c r="C7165" s="27" t="s">
        <v>34749</v>
      </c>
      <c r="D7165" s="28" t="s">
        <v>34867</v>
      </c>
      <c r="P7165">
        <v>8231</v>
      </c>
      <c r="Q7165" t="s">
        <v>9280</v>
      </c>
      <c r="R7165" s="28" t="s">
        <v>9281</v>
      </c>
      <c r="S7165" t="s">
        <v>13022</v>
      </c>
    </row>
    <row r="7166" spans="1:19" x14ac:dyDescent="0.25">
      <c r="A7166" s="27" t="s">
        <v>193</v>
      </c>
      <c r="C7166" s="27" t="s">
        <v>34749</v>
      </c>
      <c r="D7166" s="28" t="s">
        <v>34867</v>
      </c>
      <c r="P7166">
        <v>8232</v>
      </c>
      <c r="Q7166" t="s">
        <v>15100</v>
      </c>
      <c r="R7166" s="28" t="s">
        <v>15101</v>
      </c>
      <c r="S7166" t="s">
        <v>13022</v>
      </c>
    </row>
    <row r="7167" spans="1:19" x14ac:dyDescent="0.25">
      <c r="A7167" s="27" t="s">
        <v>193</v>
      </c>
      <c r="C7167" s="27" t="s">
        <v>34749</v>
      </c>
      <c r="D7167" s="28" t="s">
        <v>34867</v>
      </c>
      <c r="P7167">
        <v>8233</v>
      </c>
      <c r="Q7167" t="s">
        <v>4632</v>
      </c>
      <c r="R7167" s="28" t="s">
        <v>4633</v>
      </c>
      <c r="S7167" t="s">
        <v>13022</v>
      </c>
    </row>
    <row r="7168" spans="1:19" x14ac:dyDescent="0.25">
      <c r="A7168" s="27" t="s">
        <v>193</v>
      </c>
      <c r="C7168" s="27" t="s">
        <v>34749</v>
      </c>
      <c r="D7168" s="28" t="s">
        <v>34867</v>
      </c>
      <c r="P7168">
        <v>8234</v>
      </c>
      <c r="Q7168" t="s">
        <v>15102</v>
      </c>
      <c r="R7168" s="28" t="s">
        <v>15103</v>
      </c>
      <c r="S7168" t="s">
        <v>13022</v>
      </c>
    </row>
    <row r="7169" spans="1:19" x14ac:dyDescent="0.25">
      <c r="A7169" s="27" t="s">
        <v>193</v>
      </c>
      <c r="C7169" s="27" t="s">
        <v>34749</v>
      </c>
      <c r="D7169" s="28" t="s">
        <v>34867</v>
      </c>
      <c r="P7169">
        <v>8235</v>
      </c>
      <c r="Q7169" t="s">
        <v>4638</v>
      </c>
      <c r="R7169" s="28" t="s">
        <v>4639</v>
      </c>
      <c r="S7169" t="s">
        <v>13022</v>
      </c>
    </row>
    <row r="7170" spans="1:19" x14ac:dyDescent="0.25">
      <c r="A7170" s="27" t="s">
        <v>193</v>
      </c>
      <c r="C7170" s="27" t="s">
        <v>34749</v>
      </c>
      <c r="D7170" s="28" t="s">
        <v>34867</v>
      </c>
      <c r="P7170">
        <v>8236</v>
      </c>
      <c r="Q7170" t="s">
        <v>4656</v>
      </c>
      <c r="R7170" s="28" t="s">
        <v>4657</v>
      </c>
      <c r="S7170" t="s">
        <v>13022</v>
      </c>
    </row>
    <row r="7171" spans="1:19" x14ac:dyDescent="0.25">
      <c r="A7171" s="27" t="s">
        <v>193</v>
      </c>
      <c r="C7171" s="27" t="s">
        <v>34749</v>
      </c>
      <c r="D7171" s="28" t="s">
        <v>34867</v>
      </c>
      <c r="P7171">
        <v>8237</v>
      </c>
      <c r="Q7171" t="s">
        <v>4659</v>
      </c>
      <c r="R7171" s="28" t="s">
        <v>4660</v>
      </c>
      <c r="S7171" t="s">
        <v>13022</v>
      </c>
    </row>
    <row r="7172" spans="1:19" x14ac:dyDescent="0.25">
      <c r="A7172" s="27" t="s">
        <v>193</v>
      </c>
      <c r="C7172" s="27" t="s">
        <v>34749</v>
      </c>
      <c r="D7172" s="28" t="s">
        <v>34867</v>
      </c>
      <c r="P7172">
        <v>8238</v>
      </c>
      <c r="Q7172" t="s">
        <v>4641</v>
      </c>
      <c r="R7172" s="28" t="s">
        <v>4642</v>
      </c>
      <c r="S7172" t="s">
        <v>13022</v>
      </c>
    </row>
    <row r="7173" spans="1:19" x14ac:dyDescent="0.25">
      <c r="A7173" s="27" t="s">
        <v>193</v>
      </c>
      <c r="C7173" s="27" t="s">
        <v>34749</v>
      </c>
      <c r="D7173" s="28" t="s">
        <v>34867</v>
      </c>
      <c r="P7173">
        <v>8239</v>
      </c>
      <c r="Q7173" t="s">
        <v>15104</v>
      </c>
      <c r="R7173" s="28" t="s">
        <v>1771</v>
      </c>
      <c r="S7173" t="s">
        <v>13022</v>
      </c>
    </row>
    <row r="7174" spans="1:19" x14ac:dyDescent="0.25">
      <c r="A7174" s="27" t="s">
        <v>193</v>
      </c>
      <c r="C7174" s="27" t="s">
        <v>34749</v>
      </c>
      <c r="D7174" s="28" t="s">
        <v>34867</v>
      </c>
      <c r="P7174">
        <v>8240</v>
      </c>
      <c r="Q7174" t="s">
        <v>1587</v>
      </c>
      <c r="R7174" s="28" t="s">
        <v>1588</v>
      </c>
      <c r="S7174" t="s">
        <v>13022</v>
      </c>
    </row>
    <row r="7175" spans="1:19" x14ac:dyDescent="0.25">
      <c r="A7175" s="27" t="s">
        <v>193</v>
      </c>
      <c r="C7175" s="27" t="s">
        <v>34749</v>
      </c>
      <c r="D7175" s="28" t="s">
        <v>34867</v>
      </c>
      <c r="P7175">
        <v>8242</v>
      </c>
      <c r="Q7175" t="s">
        <v>15105</v>
      </c>
      <c r="R7175" s="28" t="s">
        <v>15106</v>
      </c>
      <c r="S7175" t="s">
        <v>13022</v>
      </c>
    </row>
    <row r="7176" spans="1:19" x14ac:dyDescent="0.25">
      <c r="A7176" s="27" t="s">
        <v>193</v>
      </c>
      <c r="C7176" s="27" t="s">
        <v>34749</v>
      </c>
      <c r="D7176" s="28" t="s">
        <v>34867</v>
      </c>
      <c r="P7176">
        <v>8243</v>
      </c>
      <c r="Q7176" t="s">
        <v>15107</v>
      </c>
      <c r="R7176" s="28" t="s">
        <v>4669</v>
      </c>
      <c r="S7176" t="s">
        <v>13022</v>
      </c>
    </row>
    <row r="7177" spans="1:19" x14ac:dyDescent="0.25">
      <c r="A7177" s="27" t="s">
        <v>193</v>
      </c>
      <c r="C7177" s="27" t="s">
        <v>34749</v>
      </c>
      <c r="D7177" s="28" t="s">
        <v>34867</v>
      </c>
      <c r="P7177">
        <v>8244</v>
      </c>
      <c r="Q7177" t="s">
        <v>1632</v>
      </c>
      <c r="R7177" s="28" t="s">
        <v>1633</v>
      </c>
      <c r="S7177" t="s">
        <v>13022</v>
      </c>
    </row>
    <row r="7178" spans="1:19" x14ac:dyDescent="0.25">
      <c r="A7178" s="27" t="s">
        <v>193</v>
      </c>
      <c r="C7178" s="27" t="s">
        <v>34749</v>
      </c>
      <c r="D7178" s="28" t="s">
        <v>34867</v>
      </c>
      <c r="P7178">
        <v>8245</v>
      </c>
      <c r="Q7178" t="s">
        <v>15108</v>
      </c>
      <c r="R7178" s="28" t="s">
        <v>15109</v>
      </c>
      <c r="S7178" t="s">
        <v>13022</v>
      </c>
    </row>
    <row r="7179" spans="1:19" x14ac:dyDescent="0.25">
      <c r="A7179" s="27" t="s">
        <v>193</v>
      </c>
      <c r="C7179" s="27" t="s">
        <v>34749</v>
      </c>
      <c r="D7179" s="28" t="s">
        <v>34867</v>
      </c>
      <c r="P7179">
        <v>8246</v>
      </c>
      <c r="Q7179" t="s">
        <v>4665</v>
      </c>
      <c r="R7179" s="28" t="s">
        <v>4666</v>
      </c>
      <c r="S7179" t="s">
        <v>13022</v>
      </c>
    </row>
    <row r="7180" spans="1:19" x14ac:dyDescent="0.25">
      <c r="A7180" s="27" t="s">
        <v>193</v>
      </c>
      <c r="C7180" s="27" t="s">
        <v>34749</v>
      </c>
      <c r="D7180" s="28" t="s">
        <v>34867</v>
      </c>
      <c r="P7180">
        <v>8247</v>
      </c>
      <c r="Q7180" t="s">
        <v>4671</v>
      </c>
      <c r="R7180" s="28" t="s">
        <v>4672</v>
      </c>
      <c r="S7180" t="s">
        <v>13022</v>
      </c>
    </row>
    <row r="7181" spans="1:19" x14ac:dyDescent="0.25">
      <c r="A7181" s="27" t="s">
        <v>193</v>
      </c>
      <c r="C7181" s="27" t="s">
        <v>34749</v>
      </c>
      <c r="D7181" s="28" t="s">
        <v>34867</v>
      </c>
      <c r="P7181">
        <v>8248</v>
      </c>
      <c r="Q7181" t="s">
        <v>15110</v>
      </c>
      <c r="R7181" s="28" t="s">
        <v>4678</v>
      </c>
      <c r="S7181" t="s">
        <v>13022</v>
      </c>
    </row>
    <row r="7182" spans="1:19" x14ac:dyDescent="0.25">
      <c r="A7182" s="27" t="s">
        <v>193</v>
      </c>
      <c r="C7182" s="27" t="s">
        <v>34749</v>
      </c>
      <c r="D7182" s="28" t="s">
        <v>34867</v>
      </c>
      <c r="P7182">
        <v>8249</v>
      </c>
      <c r="Q7182" t="s">
        <v>4674</v>
      </c>
      <c r="R7182" s="28" t="s">
        <v>4675</v>
      </c>
      <c r="S7182" t="s">
        <v>13022</v>
      </c>
    </row>
    <row r="7183" spans="1:19" x14ac:dyDescent="0.25">
      <c r="A7183" s="27" t="s">
        <v>193</v>
      </c>
      <c r="C7183" s="27" t="s">
        <v>34749</v>
      </c>
      <c r="D7183" s="28" t="s">
        <v>34867</v>
      </c>
      <c r="P7183">
        <v>8250</v>
      </c>
      <c r="Q7183" t="s">
        <v>15111</v>
      </c>
      <c r="R7183" s="28" t="s">
        <v>4681</v>
      </c>
      <c r="S7183" t="s">
        <v>13022</v>
      </c>
    </row>
    <row r="7184" spans="1:19" x14ac:dyDescent="0.25">
      <c r="A7184" s="27" t="s">
        <v>193</v>
      </c>
      <c r="C7184" s="27" t="s">
        <v>34749</v>
      </c>
      <c r="D7184" s="28" t="s">
        <v>34867</v>
      </c>
      <c r="P7184">
        <v>8251</v>
      </c>
      <c r="Q7184" t="s">
        <v>4419</v>
      </c>
      <c r="R7184" s="28" t="s">
        <v>4420</v>
      </c>
      <c r="S7184" t="s">
        <v>13022</v>
      </c>
    </row>
    <row r="7185" spans="1:19" x14ac:dyDescent="0.25">
      <c r="A7185" s="27" t="s">
        <v>193</v>
      </c>
      <c r="C7185" s="27" t="s">
        <v>34749</v>
      </c>
      <c r="D7185" s="28" t="s">
        <v>34867</v>
      </c>
      <c r="P7185">
        <v>8252</v>
      </c>
      <c r="Q7185" t="s">
        <v>4425</v>
      </c>
      <c r="R7185" s="28" t="s">
        <v>4426</v>
      </c>
      <c r="S7185" t="s">
        <v>13022</v>
      </c>
    </row>
    <row r="7186" spans="1:19" x14ac:dyDescent="0.25">
      <c r="A7186" s="27" t="s">
        <v>193</v>
      </c>
      <c r="C7186" s="27" t="s">
        <v>34749</v>
      </c>
      <c r="D7186" s="28" t="s">
        <v>34867</v>
      </c>
      <c r="P7186">
        <v>8253</v>
      </c>
      <c r="Q7186" t="s">
        <v>15112</v>
      </c>
      <c r="R7186" s="28" t="s">
        <v>4257</v>
      </c>
      <c r="S7186" t="s">
        <v>13022</v>
      </c>
    </row>
    <row r="7187" spans="1:19" x14ac:dyDescent="0.25">
      <c r="A7187" s="27" t="s">
        <v>193</v>
      </c>
      <c r="C7187" s="27" t="s">
        <v>34749</v>
      </c>
      <c r="D7187" s="28" t="s">
        <v>34867</v>
      </c>
      <c r="P7187">
        <v>8254</v>
      </c>
      <c r="Q7187" t="s">
        <v>4701</v>
      </c>
      <c r="R7187" s="28" t="s">
        <v>4702</v>
      </c>
      <c r="S7187" t="s">
        <v>13022</v>
      </c>
    </row>
    <row r="7188" spans="1:19" x14ac:dyDescent="0.25">
      <c r="A7188" s="27" t="s">
        <v>193</v>
      </c>
      <c r="C7188" s="27" t="s">
        <v>34749</v>
      </c>
      <c r="D7188" s="28" t="s">
        <v>34867</v>
      </c>
      <c r="P7188">
        <v>8255</v>
      </c>
      <c r="Q7188" t="s">
        <v>4707</v>
      </c>
      <c r="R7188" s="28" t="s">
        <v>4708</v>
      </c>
      <c r="S7188" t="s">
        <v>13022</v>
      </c>
    </row>
    <row r="7189" spans="1:19" x14ac:dyDescent="0.25">
      <c r="A7189" s="27" t="s">
        <v>193</v>
      </c>
      <c r="C7189" s="27" t="s">
        <v>34749</v>
      </c>
      <c r="D7189" s="28" t="s">
        <v>34867</v>
      </c>
      <c r="P7189">
        <v>8256</v>
      </c>
      <c r="Q7189" t="s">
        <v>4716</v>
      </c>
      <c r="R7189" s="28" t="s">
        <v>4717</v>
      </c>
      <c r="S7189" t="s">
        <v>13022</v>
      </c>
    </row>
    <row r="7190" spans="1:19" x14ac:dyDescent="0.25">
      <c r="A7190" s="27" t="s">
        <v>193</v>
      </c>
      <c r="C7190" s="27" t="s">
        <v>34749</v>
      </c>
      <c r="D7190" s="28" t="s">
        <v>34867</v>
      </c>
      <c r="P7190">
        <v>8257</v>
      </c>
      <c r="Q7190" t="s">
        <v>4713</v>
      </c>
      <c r="R7190" s="28" t="s">
        <v>4714</v>
      </c>
      <c r="S7190" t="s">
        <v>13022</v>
      </c>
    </row>
    <row r="7191" spans="1:19" x14ac:dyDescent="0.25">
      <c r="A7191" s="27" t="s">
        <v>193</v>
      </c>
      <c r="C7191" s="27" t="s">
        <v>34749</v>
      </c>
      <c r="D7191" s="28" t="s">
        <v>34867</v>
      </c>
      <c r="P7191">
        <v>8258</v>
      </c>
      <c r="Q7191" t="s">
        <v>4722</v>
      </c>
      <c r="R7191" s="28" t="s">
        <v>4723</v>
      </c>
      <c r="S7191" t="s">
        <v>13022</v>
      </c>
    </row>
    <row r="7192" spans="1:19" x14ac:dyDescent="0.25">
      <c r="A7192" s="27" t="s">
        <v>193</v>
      </c>
      <c r="C7192" s="27" t="s">
        <v>34749</v>
      </c>
      <c r="D7192" s="28" t="s">
        <v>34867</v>
      </c>
      <c r="P7192">
        <v>8259</v>
      </c>
      <c r="Q7192" t="s">
        <v>15113</v>
      </c>
      <c r="R7192" s="28" t="s">
        <v>4399</v>
      </c>
      <c r="S7192" t="s">
        <v>13022</v>
      </c>
    </row>
    <row r="7193" spans="1:19" x14ac:dyDescent="0.25">
      <c r="A7193" s="27" t="s">
        <v>193</v>
      </c>
      <c r="C7193" s="27" t="s">
        <v>34749</v>
      </c>
      <c r="D7193" s="28" t="s">
        <v>34867</v>
      </c>
      <c r="P7193">
        <v>8260</v>
      </c>
      <c r="Q7193" t="s">
        <v>9310</v>
      </c>
      <c r="R7193" s="28" t="s">
        <v>9311</v>
      </c>
      <c r="S7193" t="s">
        <v>13022</v>
      </c>
    </row>
    <row r="7194" spans="1:19" x14ac:dyDescent="0.25">
      <c r="A7194" s="27" t="s">
        <v>193</v>
      </c>
      <c r="C7194" s="27" t="s">
        <v>34749</v>
      </c>
      <c r="D7194" s="28" t="s">
        <v>34867</v>
      </c>
      <c r="P7194">
        <v>8261</v>
      </c>
      <c r="Q7194" t="s">
        <v>9313</v>
      </c>
      <c r="R7194" s="28" t="s">
        <v>15114</v>
      </c>
      <c r="S7194" t="s">
        <v>13022</v>
      </c>
    </row>
    <row r="7195" spans="1:19" x14ac:dyDescent="0.25">
      <c r="A7195" s="27" t="s">
        <v>193</v>
      </c>
      <c r="C7195" s="27" t="s">
        <v>34749</v>
      </c>
      <c r="D7195" s="28" t="s">
        <v>34867</v>
      </c>
      <c r="P7195">
        <v>8263</v>
      </c>
      <c r="Q7195" t="s">
        <v>8190</v>
      </c>
      <c r="R7195" s="28" t="s">
        <v>8191</v>
      </c>
      <c r="S7195" t="s">
        <v>13022</v>
      </c>
    </row>
    <row r="7196" spans="1:19" x14ac:dyDescent="0.25">
      <c r="A7196" s="27" t="s">
        <v>193</v>
      </c>
      <c r="C7196" s="27" t="s">
        <v>34749</v>
      </c>
      <c r="D7196" s="28" t="s">
        <v>34867</v>
      </c>
      <c r="P7196">
        <v>8264</v>
      </c>
      <c r="Q7196" t="s">
        <v>8400</v>
      </c>
      <c r="R7196" s="28" t="s">
        <v>8401</v>
      </c>
      <c r="S7196" t="s">
        <v>13022</v>
      </c>
    </row>
    <row r="7197" spans="1:19" x14ac:dyDescent="0.25">
      <c r="A7197" s="27" t="s">
        <v>193</v>
      </c>
      <c r="C7197" s="27" t="s">
        <v>34749</v>
      </c>
      <c r="D7197" s="28" t="s">
        <v>34867</v>
      </c>
      <c r="P7197">
        <v>8265</v>
      </c>
      <c r="Q7197" t="s">
        <v>9369</v>
      </c>
      <c r="R7197" s="28" t="s">
        <v>9370</v>
      </c>
      <c r="S7197" t="s">
        <v>13022</v>
      </c>
    </row>
    <row r="7198" spans="1:19" x14ac:dyDescent="0.25">
      <c r="A7198" s="27" t="s">
        <v>193</v>
      </c>
      <c r="C7198" s="27" t="s">
        <v>34749</v>
      </c>
      <c r="D7198" s="28" t="s">
        <v>34867</v>
      </c>
      <c r="P7198">
        <v>8266</v>
      </c>
      <c r="Q7198" t="s">
        <v>15115</v>
      </c>
      <c r="R7198" s="28" t="s">
        <v>15116</v>
      </c>
      <c r="S7198" t="s">
        <v>13022</v>
      </c>
    </row>
    <row r="7199" spans="1:19" x14ac:dyDescent="0.25">
      <c r="A7199" s="27" t="s">
        <v>193</v>
      </c>
      <c r="C7199" s="27" t="s">
        <v>34749</v>
      </c>
      <c r="D7199" s="28" t="s">
        <v>34867</v>
      </c>
      <c r="P7199">
        <v>8267</v>
      </c>
      <c r="Q7199" t="s">
        <v>15117</v>
      </c>
      <c r="R7199" s="28" t="s">
        <v>15118</v>
      </c>
      <c r="S7199" t="s">
        <v>13022</v>
      </c>
    </row>
    <row r="7200" spans="1:19" x14ac:dyDescent="0.25">
      <c r="A7200" s="27" t="s">
        <v>193</v>
      </c>
      <c r="C7200" s="27" t="s">
        <v>34749</v>
      </c>
      <c r="D7200" s="28" t="s">
        <v>34867</v>
      </c>
      <c r="P7200">
        <v>8268</v>
      </c>
      <c r="Q7200" t="s">
        <v>9366</v>
      </c>
      <c r="R7200" s="28" t="s">
        <v>9367</v>
      </c>
      <c r="S7200" t="s">
        <v>13022</v>
      </c>
    </row>
    <row r="7201" spans="1:19" x14ac:dyDescent="0.25">
      <c r="A7201" s="27" t="s">
        <v>193</v>
      </c>
      <c r="C7201" s="27" t="s">
        <v>34749</v>
      </c>
      <c r="D7201" s="28" t="s">
        <v>34867</v>
      </c>
      <c r="P7201">
        <v>8269</v>
      </c>
      <c r="Q7201" t="s">
        <v>9396</v>
      </c>
      <c r="R7201" s="28" t="s">
        <v>9397</v>
      </c>
      <c r="S7201" t="s">
        <v>13022</v>
      </c>
    </row>
    <row r="7202" spans="1:19" x14ac:dyDescent="0.25">
      <c r="A7202" s="27" t="s">
        <v>193</v>
      </c>
      <c r="C7202" s="27" t="s">
        <v>34749</v>
      </c>
      <c r="D7202" s="28" t="s">
        <v>34867</v>
      </c>
      <c r="P7202">
        <v>8270</v>
      </c>
      <c r="Q7202" t="s">
        <v>4750</v>
      </c>
      <c r="R7202" s="28" t="s">
        <v>4752</v>
      </c>
      <c r="S7202" t="s">
        <v>13022</v>
      </c>
    </row>
    <row r="7203" spans="1:19" x14ac:dyDescent="0.25">
      <c r="A7203" s="27" t="s">
        <v>193</v>
      </c>
      <c r="C7203" s="27" t="s">
        <v>34749</v>
      </c>
      <c r="D7203" s="28" t="s">
        <v>34867</v>
      </c>
      <c r="P7203">
        <v>8271</v>
      </c>
      <c r="Q7203" t="s">
        <v>4753</v>
      </c>
      <c r="R7203" s="28" t="s">
        <v>4755</v>
      </c>
      <c r="S7203" t="s">
        <v>13022</v>
      </c>
    </row>
    <row r="7204" spans="1:19" x14ac:dyDescent="0.25">
      <c r="A7204" s="27" t="s">
        <v>193</v>
      </c>
      <c r="C7204" s="27" t="s">
        <v>34749</v>
      </c>
      <c r="D7204" s="28" t="s">
        <v>34867</v>
      </c>
      <c r="P7204">
        <v>8272</v>
      </c>
      <c r="Q7204" t="s">
        <v>9411</v>
      </c>
      <c r="R7204" s="28" t="s">
        <v>9412</v>
      </c>
      <c r="S7204" t="s">
        <v>13022</v>
      </c>
    </row>
    <row r="7205" spans="1:19" x14ac:dyDescent="0.25">
      <c r="A7205" s="27" t="s">
        <v>193</v>
      </c>
      <c r="C7205" s="27" t="s">
        <v>34749</v>
      </c>
      <c r="D7205" s="28" t="s">
        <v>34867</v>
      </c>
      <c r="P7205">
        <v>8273</v>
      </c>
      <c r="Q7205" t="s">
        <v>9420</v>
      </c>
      <c r="R7205" s="28" t="s">
        <v>9421</v>
      </c>
      <c r="S7205" t="s">
        <v>13022</v>
      </c>
    </row>
    <row r="7206" spans="1:19" x14ac:dyDescent="0.25">
      <c r="A7206" s="27" t="s">
        <v>193</v>
      </c>
      <c r="C7206" s="27" t="s">
        <v>34749</v>
      </c>
      <c r="D7206" s="28" t="s">
        <v>34867</v>
      </c>
      <c r="P7206">
        <v>8274</v>
      </c>
      <c r="Q7206" t="s">
        <v>15119</v>
      </c>
      <c r="R7206" s="28" t="s">
        <v>15120</v>
      </c>
      <c r="S7206" t="s">
        <v>13022</v>
      </c>
    </row>
    <row r="7207" spans="1:19" x14ac:dyDescent="0.25">
      <c r="A7207" s="27" t="s">
        <v>193</v>
      </c>
      <c r="C7207" s="27" t="s">
        <v>34749</v>
      </c>
      <c r="D7207" s="28" t="s">
        <v>34867</v>
      </c>
      <c r="P7207">
        <v>8275</v>
      </c>
      <c r="Q7207" t="s">
        <v>9438</v>
      </c>
      <c r="R7207" s="28" t="s">
        <v>9439</v>
      </c>
      <c r="S7207" t="s">
        <v>13022</v>
      </c>
    </row>
    <row r="7208" spans="1:19" x14ac:dyDescent="0.25">
      <c r="A7208" s="27" t="s">
        <v>193</v>
      </c>
      <c r="C7208" s="27" t="s">
        <v>34749</v>
      </c>
      <c r="D7208" s="28" t="s">
        <v>34867</v>
      </c>
      <c r="P7208">
        <v>8276</v>
      </c>
      <c r="Q7208" t="s">
        <v>9429</v>
      </c>
      <c r="R7208" s="28" t="s">
        <v>9430</v>
      </c>
      <c r="S7208" t="s">
        <v>13022</v>
      </c>
    </row>
    <row r="7209" spans="1:19" x14ac:dyDescent="0.25">
      <c r="A7209" s="27" t="s">
        <v>193</v>
      </c>
      <c r="C7209" s="27" t="s">
        <v>34749</v>
      </c>
      <c r="D7209" s="28" t="s">
        <v>34867</v>
      </c>
      <c r="P7209">
        <v>8277</v>
      </c>
      <c r="Q7209" t="s">
        <v>9453</v>
      </c>
      <c r="R7209" s="28" t="s">
        <v>9454</v>
      </c>
      <c r="S7209" t="s">
        <v>13022</v>
      </c>
    </row>
    <row r="7210" spans="1:19" x14ac:dyDescent="0.25">
      <c r="A7210" s="27" t="s">
        <v>193</v>
      </c>
      <c r="C7210" s="27" t="s">
        <v>34749</v>
      </c>
      <c r="D7210" s="28" t="s">
        <v>34867</v>
      </c>
      <c r="P7210">
        <v>8278</v>
      </c>
      <c r="Q7210" t="s">
        <v>9465</v>
      </c>
      <c r="R7210" s="28" t="s">
        <v>9466</v>
      </c>
      <c r="S7210" t="s">
        <v>13022</v>
      </c>
    </row>
    <row r="7211" spans="1:19" x14ac:dyDescent="0.25">
      <c r="A7211" s="27" t="s">
        <v>193</v>
      </c>
      <c r="C7211" s="27" t="s">
        <v>34749</v>
      </c>
      <c r="D7211" s="28" t="s">
        <v>34867</v>
      </c>
      <c r="P7211">
        <v>8279</v>
      </c>
      <c r="Q7211" t="s">
        <v>9477</v>
      </c>
      <c r="R7211" s="28" t="s">
        <v>9478</v>
      </c>
      <c r="S7211" t="s">
        <v>13022</v>
      </c>
    </row>
    <row r="7212" spans="1:19" x14ac:dyDescent="0.25">
      <c r="A7212" s="27" t="s">
        <v>193</v>
      </c>
      <c r="C7212" s="27" t="s">
        <v>34749</v>
      </c>
      <c r="D7212" s="28" t="s">
        <v>34867</v>
      </c>
      <c r="P7212">
        <v>8280</v>
      </c>
      <c r="Q7212" t="s">
        <v>9435</v>
      </c>
      <c r="R7212" s="28" t="s">
        <v>9436</v>
      </c>
      <c r="S7212" t="s">
        <v>13022</v>
      </c>
    </row>
    <row r="7213" spans="1:19" x14ac:dyDescent="0.25">
      <c r="A7213" s="27" t="s">
        <v>193</v>
      </c>
      <c r="C7213" s="27" t="s">
        <v>34749</v>
      </c>
      <c r="D7213" s="28" t="s">
        <v>34867</v>
      </c>
      <c r="P7213">
        <v>8281</v>
      </c>
      <c r="Q7213" t="s">
        <v>9468</v>
      </c>
      <c r="R7213" s="28" t="s">
        <v>9469</v>
      </c>
      <c r="S7213" t="s">
        <v>13022</v>
      </c>
    </row>
    <row r="7214" spans="1:19" x14ac:dyDescent="0.25">
      <c r="A7214" s="27" t="s">
        <v>193</v>
      </c>
      <c r="C7214" s="27" t="s">
        <v>34749</v>
      </c>
      <c r="D7214" s="28" t="s">
        <v>34867</v>
      </c>
      <c r="P7214">
        <v>8283</v>
      </c>
      <c r="Q7214" t="s">
        <v>15121</v>
      </c>
      <c r="R7214" s="28" t="s">
        <v>9484</v>
      </c>
      <c r="S7214" t="s">
        <v>13022</v>
      </c>
    </row>
    <row r="7215" spans="1:19" x14ac:dyDescent="0.25">
      <c r="A7215" s="27" t="s">
        <v>193</v>
      </c>
      <c r="C7215" s="27" t="s">
        <v>34749</v>
      </c>
      <c r="D7215" s="28" t="s">
        <v>34867</v>
      </c>
      <c r="P7215">
        <v>8284</v>
      </c>
      <c r="Q7215" t="s">
        <v>15122</v>
      </c>
      <c r="R7215" s="28" t="s">
        <v>9976</v>
      </c>
      <c r="S7215" t="s">
        <v>13022</v>
      </c>
    </row>
    <row r="7216" spans="1:19" x14ac:dyDescent="0.25">
      <c r="A7216" s="27" t="s">
        <v>193</v>
      </c>
      <c r="C7216" s="27" t="s">
        <v>34749</v>
      </c>
      <c r="D7216" s="28" t="s">
        <v>34867</v>
      </c>
      <c r="P7216">
        <v>8285</v>
      </c>
      <c r="Q7216" t="s">
        <v>3625</v>
      </c>
      <c r="R7216" s="28" t="s">
        <v>3626</v>
      </c>
      <c r="S7216" t="s">
        <v>13022</v>
      </c>
    </row>
    <row r="7217" spans="1:19" x14ac:dyDescent="0.25">
      <c r="A7217" s="27" t="s">
        <v>193</v>
      </c>
      <c r="C7217" s="27" t="s">
        <v>34749</v>
      </c>
      <c r="D7217" s="28" t="s">
        <v>34867</v>
      </c>
      <c r="P7217">
        <v>8286</v>
      </c>
      <c r="Q7217" t="s">
        <v>15123</v>
      </c>
      <c r="R7217" s="28" t="s">
        <v>15124</v>
      </c>
      <c r="S7217" t="s">
        <v>13022</v>
      </c>
    </row>
    <row r="7218" spans="1:19" x14ac:dyDescent="0.25">
      <c r="A7218" s="27" t="s">
        <v>193</v>
      </c>
      <c r="C7218" s="27" t="s">
        <v>34749</v>
      </c>
      <c r="D7218" s="28" t="s">
        <v>34867</v>
      </c>
      <c r="P7218">
        <v>8287</v>
      </c>
      <c r="Q7218" t="s">
        <v>3592</v>
      </c>
      <c r="R7218" s="28" t="s">
        <v>3593</v>
      </c>
      <c r="S7218" t="s">
        <v>13022</v>
      </c>
    </row>
    <row r="7219" spans="1:19" x14ac:dyDescent="0.25">
      <c r="A7219" s="27" t="s">
        <v>193</v>
      </c>
      <c r="C7219" s="27" t="s">
        <v>34749</v>
      </c>
      <c r="D7219" s="28" t="s">
        <v>34867</v>
      </c>
      <c r="P7219">
        <v>8288</v>
      </c>
      <c r="Q7219" t="s">
        <v>15125</v>
      </c>
      <c r="R7219" s="28" t="s">
        <v>9338</v>
      </c>
      <c r="S7219" t="s">
        <v>13022</v>
      </c>
    </row>
    <row r="7220" spans="1:19" x14ac:dyDescent="0.25">
      <c r="A7220" s="27" t="s">
        <v>193</v>
      </c>
      <c r="C7220" s="27" t="s">
        <v>34749</v>
      </c>
      <c r="D7220" s="28" t="s">
        <v>34867</v>
      </c>
      <c r="P7220">
        <v>8289</v>
      </c>
      <c r="Q7220" t="s">
        <v>9444</v>
      </c>
      <c r="R7220" s="28" t="s">
        <v>9445</v>
      </c>
      <c r="S7220" t="s">
        <v>13022</v>
      </c>
    </row>
    <row r="7221" spans="1:19" x14ac:dyDescent="0.25">
      <c r="A7221" s="27" t="s">
        <v>193</v>
      </c>
      <c r="C7221" s="27" t="s">
        <v>34749</v>
      </c>
      <c r="D7221" s="28" t="s">
        <v>34867</v>
      </c>
      <c r="P7221">
        <v>8290</v>
      </c>
      <c r="Q7221" t="s">
        <v>9522</v>
      </c>
      <c r="R7221" s="28" t="s">
        <v>9523</v>
      </c>
      <c r="S7221" t="s">
        <v>13022</v>
      </c>
    </row>
    <row r="7222" spans="1:19" x14ac:dyDescent="0.25">
      <c r="A7222" s="27" t="s">
        <v>193</v>
      </c>
      <c r="C7222" s="27" t="s">
        <v>34749</v>
      </c>
      <c r="D7222" s="28" t="s">
        <v>34867</v>
      </c>
      <c r="P7222">
        <v>8291</v>
      </c>
      <c r="Q7222" t="s">
        <v>9567</v>
      </c>
      <c r="R7222" s="28" t="s">
        <v>9568</v>
      </c>
      <c r="S7222" t="s">
        <v>13022</v>
      </c>
    </row>
    <row r="7223" spans="1:19" x14ac:dyDescent="0.25">
      <c r="A7223" s="27" t="s">
        <v>193</v>
      </c>
      <c r="C7223" s="27" t="s">
        <v>34749</v>
      </c>
      <c r="D7223" s="28" t="s">
        <v>34867</v>
      </c>
      <c r="P7223">
        <v>8292</v>
      </c>
      <c r="Q7223" t="s">
        <v>9528</v>
      </c>
      <c r="R7223" s="28" t="s">
        <v>9529</v>
      </c>
      <c r="S7223" t="s">
        <v>13022</v>
      </c>
    </row>
    <row r="7224" spans="1:19" x14ac:dyDescent="0.25">
      <c r="A7224" s="27" t="s">
        <v>193</v>
      </c>
      <c r="C7224" s="27" t="s">
        <v>34749</v>
      </c>
      <c r="D7224" s="28" t="s">
        <v>34867</v>
      </c>
      <c r="P7224">
        <v>8293</v>
      </c>
      <c r="Q7224" t="s">
        <v>15126</v>
      </c>
      <c r="S7224" t="s">
        <v>13022</v>
      </c>
    </row>
    <row r="7225" spans="1:19" x14ac:dyDescent="0.25">
      <c r="A7225" s="27" t="s">
        <v>193</v>
      </c>
      <c r="C7225" s="27" t="s">
        <v>34749</v>
      </c>
      <c r="D7225" s="28" t="s">
        <v>34867</v>
      </c>
      <c r="P7225">
        <v>8294</v>
      </c>
      <c r="Q7225" t="s">
        <v>15127</v>
      </c>
      <c r="S7225" t="s">
        <v>13022</v>
      </c>
    </row>
    <row r="7226" spans="1:19" x14ac:dyDescent="0.25">
      <c r="A7226" s="27" t="s">
        <v>193</v>
      </c>
      <c r="C7226" s="27" t="s">
        <v>34749</v>
      </c>
      <c r="D7226" s="28" t="s">
        <v>34867</v>
      </c>
      <c r="P7226">
        <v>8295</v>
      </c>
      <c r="Q7226" t="s">
        <v>9543</v>
      </c>
      <c r="R7226" s="28" t="s">
        <v>9544</v>
      </c>
      <c r="S7226" t="s">
        <v>13022</v>
      </c>
    </row>
    <row r="7227" spans="1:19" x14ac:dyDescent="0.25">
      <c r="A7227" s="27" t="s">
        <v>193</v>
      </c>
      <c r="C7227" s="27" t="s">
        <v>34749</v>
      </c>
      <c r="D7227" s="28" t="s">
        <v>34867</v>
      </c>
      <c r="P7227">
        <v>8296</v>
      </c>
      <c r="Q7227" t="s">
        <v>15128</v>
      </c>
      <c r="R7227" s="28" t="s">
        <v>9511</v>
      </c>
      <c r="S7227" t="s">
        <v>13022</v>
      </c>
    </row>
    <row r="7228" spans="1:19" x14ac:dyDescent="0.25">
      <c r="A7228" s="27" t="s">
        <v>193</v>
      </c>
      <c r="C7228" s="27" t="s">
        <v>34749</v>
      </c>
      <c r="D7228" s="28" t="s">
        <v>34867</v>
      </c>
      <c r="P7228">
        <v>8297</v>
      </c>
      <c r="Q7228" t="s">
        <v>9555</v>
      </c>
      <c r="R7228" s="28" t="s">
        <v>9556</v>
      </c>
      <c r="S7228" t="s">
        <v>13022</v>
      </c>
    </row>
    <row r="7229" spans="1:19" x14ac:dyDescent="0.25">
      <c r="A7229" s="27" t="s">
        <v>193</v>
      </c>
      <c r="C7229" s="27" t="s">
        <v>34749</v>
      </c>
      <c r="D7229" s="28" t="s">
        <v>34867</v>
      </c>
      <c r="P7229">
        <v>8298</v>
      </c>
      <c r="Q7229" t="s">
        <v>9504</v>
      </c>
      <c r="R7229" s="28" t="s">
        <v>9505</v>
      </c>
      <c r="S7229" t="s">
        <v>13022</v>
      </c>
    </row>
    <row r="7230" spans="1:19" x14ac:dyDescent="0.25">
      <c r="A7230" s="27" t="s">
        <v>193</v>
      </c>
      <c r="C7230" s="27" t="s">
        <v>34749</v>
      </c>
      <c r="D7230" s="28" t="s">
        <v>34867</v>
      </c>
      <c r="P7230">
        <v>8300</v>
      </c>
      <c r="Q7230" t="s">
        <v>9561</v>
      </c>
      <c r="R7230" s="28" t="s">
        <v>9562</v>
      </c>
      <c r="S7230" t="s">
        <v>13022</v>
      </c>
    </row>
    <row r="7231" spans="1:19" x14ac:dyDescent="0.25">
      <c r="A7231" s="27" t="s">
        <v>193</v>
      </c>
      <c r="C7231" s="27" t="s">
        <v>34749</v>
      </c>
      <c r="D7231" s="28" t="s">
        <v>34867</v>
      </c>
      <c r="P7231">
        <v>8301</v>
      </c>
      <c r="Q7231" t="s">
        <v>15129</v>
      </c>
      <c r="R7231" s="28" t="s">
        <v>15130</v>
      </c>
      <c r="S7231" t="s">
        <v>13022</v>
      </c>
    </row>
    <row r="7232" spans="1:19" x14ac:dyDescent="0.25">
      <c r="A7232" s="27" t="s">
        <v>193</v>
      </c>
      <c r="C7232" s="27" t="s">
        <v>34749</v>
      </c>
      <c r="D7232" s="28" t="s">
        <v>34867</v>
      </c>
      <c r="P7232">
        <v>8302</v>
      </c>
      <c r="Q7232" t="s">
        <v>15131</v>
      </c>
      <c r="R7232" s="28" t="s">
        <v>9607</v>
      </c>
      <c r="S7232" t="s">
        <v>13022</v>
      </c>
    </row>
    <row r="7233" spans="1:19" x14ac:dyDescent="0.25">
      <c r="A7233" s="27" t="s">
        <v>193</v>
      </c>
      <c r="C7233" s="27" t="s">
        <v>34749</v>
      </c>
      <c r="D7233" s="28" t="s">
        <v>34867</v>
      </c>
      <c r="P7233">
        <v>8303</v>
      </c>
      <c r="Q7233" t="s">
        <v>15132</v>
      </c>
      <c r="R7233" s="28" t="s">
        <v>15133</v>
      </c>
      <c r="S7233" t="s">
        <v>13022</v>
      </c>
    </row>
    <row r="7234" spans="1:19" x14ac:dyDescent="0.25">
      <c r="A7234" s="27" t="s">
        <v>193</v>
      </c>
      <c r="C7234" s="27" t="s">
        <v>34749</v>
      </c>
      <c r="D7234" s="28" t="s">
        <v>34867</v>
      </c>
      <c r="P7234">
        <v>8304</v>
      </c>
      <c r="Q7234" t="s">
        <v>9516</v>
      </c>
      <c r="R7234" s="28" t="s">
        <v>9517</v>
      </c>
      <c r="S7234" t="s">
        <v>13022</v>
      </c>
    </row>
    <row r="7235" spans="1:19" x14ac:dyDescent="0.25">
      <c r="A7235" s="27" t="s">
        <v>193</v>
      </c>
      <c r="C7235" s="27" t="s">
        <v>34749</v>
      </c>
      <c r="D7235" s="28" t="s">
        <v>34867</v>
      </c>
      <c r="P7235">
        <v>8305</v>
      </c>
      <c r="Q7235" t="s">
        <v>9573</v>
      </c>
      <c r="R7235" s="28" t="s">
        <v>9574</v>
      </c>
      <c r="S7235" t="s">
        <v>13022</v>
      </c>
    </row>
    <row r="7236" spans="1:19" x14ac:dyDescent="0.25">
      <c r="A7236" s="27" t="s">
        <v>193</v>
      </c>
      <c r="C7236" s="27" t="s">
        <v>34749</v>
      </c>
      <c r="D7236" s="28" t="s">
        <v>34867</v>
      </c>
      <c r="P7236">
        <v>8306</v>
      </c>
      <c r="Q7236" t="s">
        <v>9588</v>
      </c>
      <c r="R7236" s="28" t="s">
        <v>15134</v>
      </c>
      <c r="S7236" t="s">
        <v>13022</v>
      </c>
    </row>
    <row r="7237" spans="1:19" x14ac:dyDescent="0.25">
      <c r="A7237" s="27" t="s">
        <v>193</v>
      </c>
      <c r="C7237" s="27" t="s">
        <v>34749</v>
      </c>
      <c r="D7237" s="28" t="s">
        <v>34867</v>
      </c>
      <c r="P7237">
        <v>8307</v>
      </c>
      <c r="Q7237" t="s">
        <v>9582</v>
      </c>
      <c r="R7237" s="28" t="s">
        <v>9583</v>
      </c>
      <c r="S7237" t="s">
        <v>13022</v>
      </c>
    </row>
    <row r="7238" spans="1:19" x14ac:dyDescent="0.25">
      <c r="A7238" s="27" t="s">
        <v>193</v>
      </c>
      <c r="C7238" s="27" t="s">
        <v>34749</v>
      </c>
      <c r="D7238" s="28" t="s">
        <v>34867</v>
      </c>
      <c r="P7238">
        <v>8308</v>
      </c>
      <c r="Q7238" t="s">
        <v>15135</v>
      </c>
      <c r="R7238" s="28" t="s">
        <v>15136</v>
      </c>
      <c r="S7238" t="s">
        <v>13022</v>
      </c>
    </row>
    <row r="7239" spans="1:19" x14ac:dyDescent="0.25">
      <c r="A7239" s="27" t="s">
        <v>193</v>
      </c>
      <c r="C7239" s="27" t="s">
        <v>34749</v>
      </c>
      <c r="D7239" s="28" t="s">
        <v>34867</v>
      </c>
      <c r="P7239">
        <v>8309</v>
      </c>
      <c r="Q7239" t="s">
        <v>9615</v>
      </c>
      <c r="R7239" s="28" t="s">
        <v>9616</v>
      </c>
      <c r="S7239" t="s">
        <v>13022</v>
      </c>
    </row>
    <row r="7240" spans="1:19" x14ac:dyDescent="0.25">
      <c r="A7240" s="27" t="s">
        <v>193</v>
      </c>
      <c r="C7240" s="27" t="s">
        <v>34749</v>
      </c>
      <c r="D7240" s="28" t="s">
        <v>34867</v>
      </c>
      <c r="P7240">
        <v>8310</v>
      </c>
      <c r="Q7240" t="s">
        <v>9603</v>
      </c>
      <c r="R7240" s="28" t="s">
        <v>15137</v>
      </c>
      <c r="S7240" t="s">
        <v>13022</v>
      </c>
    </row>
    <row r="7241" spans="1:19" x14ac:dyDescent="0.25">
      <c r="A7241" s="27" t="s">
        <v>193</v>
      </c>
      <c r="C7241" s="27" t="s">
        <v>34749</v>
      </c>
      <c r="D7241" s="28" t="s">
        <v>34867</v>
      </c>
      <c r="P7241">
        <v>8311</v>
      </c>
      <c r="Q7241" t="s">
        <v>9600</v>
      </c>
      <c r="R7241" s="28" t="s">
        <v>9601</v>
      </c>
      <c r="S7241" t="s">
        <v>13022</v>
      </c>
    </row>
    <row r="7242" spans="1:19" x14ac:dyDescent="0.25">
      <c r="A7242" s="27" t="s">
        <v>193</v>
      </c>
      <c r="C7242" s="27" t="s">
        <v>34749</v>
      </c>
      <c r="D7242" s="28" t="s">
        <v>34867</v>
      </c>
      <c r="P7242">
        <v>8312</v>
      </c>
      <c r="Q7242" t="s">
        <v>15138</v>
      </c>
      <c r="R7242" s="28" t="s">
        <v>15139</v>
      </c>
      <c r="S7242" t="s">
        <v>13022</v>
      </c>
    </row>
    <row r="7243" spans="1:19" x14ac:dyDescent="0.25">
      <c r="A7243" s="27" t="s">
        <v>193</v>
      </c>
      <c r="C7243" s="27" t="s">
        <v>34749</v>
      </c>
      <c r="D7243" s="28" t="s">
        <v>34867</v>
      </c>
      <c r="P7243">
        <v>8313</v>
      </c>
      <c r="Q7243" t="s">
        <v>9624</v>
      </c>
      <c r="R7243" s="28" t="s">
        <v>9625</v>
      </c>
      <c r="S7243" t="s">
        <v>13022</v>
      </c>
    </row>
    <row r="7244" spans="1:19" x14ac:dyDescent="0.25">
      <c r="A7244" s="27" t="s">
        <v>193</v>
      </c>
      <c r="C7244" s="27" t="s">
        <v>34749</v>
      </c>
      <c r="D7244" s="28" t="s">
        <v>34867</v>
      </c>
      <c r="P7244">
        <v>8314</v>
      </c>
      <c r="Q7244" t="s">
        <v>15140</v>
      </c>
      <c r="R7244" s="28" t="s">
        <v>2083</v>
      </c>
      <c r="S7244" t="s">
        <v>13022</v>
      </c>
    </row>
    <row r="7245" spans="1:19" x14ac:dyDescent="0.25">
      <c r="A7245" s="27" t="s">
        <v>193</v>
      </c>
      <c r="C7245" s="27" t="s">
        <v>34749</v>
      </c>
      <c r="D7245" s="28" t="s">
        <v>34867</v>
      </c>
      <c r="P7245">
        <v>8315</v>
      </c>
      <c r="Q7245" t="s">
        <v>15141</v>
      </c>
      <c r="R7245" s="28" t="s">
        <v>11165</v>
      </c>
      <c r="S7245" t="s">
        <v>13022</v>
      </c>
    </row>
    <row r="7246" spans="1:19" x14ac:dyDescent="0.25">
      <c r="A7246" s="27" t="s">
        <v>193</v>
      </c>
      <c r="C7246" s="27" t="s">
        <v>34749</v>
      </c>
      <c r="D7246" s="28" t="s">
        <v>34867</v>
      </c>
      <c r="P7246">
        <v>8316</v>
      </c>
      <c r="Q7246" t="s">
        <v>15142</v>
      </c>
      <c r="S7246" t="s">
        <v>13022</v>
      </c>
    </row>
    <row r="7247" spans="1:19" x14ac:dyDescent="0.25">
      <c r="A7247" s="27" t="s">
        <v>193</v>
      </c>
      <c r="C7247" s="27" t="s">
        <v>34749</v>
      </c>
      <c r="D7247" s="28" t="s">
        <v>34867</v>
      </c>
      <c r="P7247">
        <v>8317</v>
      </c>
      <c r="Q7247" t="s">
        <v>15143</v>
      </c>
      <c r="S7247" t="s">
        <v>13022</v>
      </c>
    </row>
    <row r="7248" spans="1:19" x14ac:dyDescent="0.25">
      <c r="A7248" s="27" t="s">
        <v>193</v>
      </c>
      <c r="C7248" s="27" t="s">
        <v>34749</v>
      </c>
      <c r="D7248" s="28" t="s">
        <v>34867</v>
      </c>
      <c r="P7248">
        <v>8318</v>
      </c>
      <c r="Q7248" t="s">
        <v>9633</v>
      </c>
      <c r="R7248" s="28" t="s">
        <v>9634</v>
      </c>
      <c r="S7248" t="s">
        <v>13022</v>
      </c>
    </row>
    <row r="7249" spans="1:19" x14ac:dyDescent="0.25">
      <c r="A7249" s="27" t="s">
        <v>193</v>
      </c>
      <c r="C7249" s="27" t="s">
        <v>34749</v>
      </c>
      <c r="D7249" s="28" t="s">
        <v>34867</v>
      </c>
      <c r="P7249">
        <v>8319</v>
      </c>
      <c r="Q7249" t="s">
        <v>15144</v>
      </c>
      <c r="R7249" s="28" t="s">
        <v>10081</v>
      </c>
      <c r="S7249" t="s">
        <v>13022</v>
      </c>
    </row>
    <row r="7250" spans="1:19" x14ac:dyDescent="0.25">
      <c r="A7250" s="27" t="s">
        <v>193</v>
      </c>
      <c r="C7250" s="27" t="s">
        <v>34749</v>
      </c>
      <c r="D7250" s="28" t="s">
        <v>34867</v>
      </c>
      <c r="P7250">
        <v>8320</v>
      </c>
      <c r="Q7250" t="s">
        <v>15145</v>
      </c>
      <c r="R7250" s="28" t="s">
        <v>3497</v>
      </c>
      <c r="S7250" t="s">
        <v>13022</v>
      </c>
    </row>
    <row r="7251" spans="1:19" x14ac:dyDescent="0.25">
      <c r="A7251" s="27" t="s">
        <v>193</v>
      </c>
      <c r="C7251" s="27" t="s">
        <v>34749</v>
      </c>
      <c r="D7251" s="28" t="s">
        <v>34867</v>
      </c>
      <c r="P7251">
        <v>8321</v>
      </c>
      <c r="Q7251" t="s">
        <v>9687</v>
      </c>
      <c r="R7251" s="28" t="s">
        <v>9688</v>
      </c>
      <c r="S7251" t="s">
        <v>13022</v>
      </c>
    </row>
    <row r="7252" spans="1:19" x14ac:dyDescent="0.25">
      <c r="A7252" s="27" t="s">
        <v>193</v>
      </c>
      <c r="C7252" s="27" t="s">
        <v>34749</v>
      </c>
      <c r="D7252" s="28" t="s">
        <v>34867</v>
      </c>
      <c r="P7252">
        <v>8322</v>
      </c>
      <c r="Q7252" t="s">
        <v>9711</v>
      </c>
      <c r="R7252" s="28" t="s">
        <v>9712</v>
      </c>
      <c r="S7252" t="s">
        <v>13022</v>
      </c>
    </row>
    <row r="7253" spans="1:19" x14ac:dyDescent="0.25">
      <c r="A7253" s="27" t="s">
        <v>193</v>
      </c>
      <c r="C7253" s="27" t="s">
        <v>34749</v>
      </c>
      <c r="D7253" s="28" t="s">
        <v>34867</v>
      </c>
      <c r="P7253">
        <v>8323</v>
      </c>
      <c r="Q7253" t="s">
        <v>15146</v>
      </c>
      <c r="R7253" s="28" t="s">
        <v>9727</v>
      </c>
      <c r="S7253" t="s">
        <v>13022</v>
      </c>
    </row>
    <row r="7254" spans="1:19" x14ac:dyDescent="0.25">
      <c r="A7254" s="27" t="s">
        <v>193</v>
      </c>
      <c r="C7254" s="27" t="s">
        <v>34749</v>
      </c>
      <c r="D7254" s="28" t="s">
        <v>34867</v>
      </c>
      <c r="P7254">
        <v>8324</v>
      </c>
      <c r="Q7254" t="s">
        <v>15147</v>
      </c>
      <c r="S7254" t="s">
        <v>13022</v>
      </c>
    </row>
    <row r="7255" spans="1:19" x14ac:dyDescent="0.25">
      <c r="A7255" s="27" t="s">
        <v>193</v>
      </c>
      <c r="C7255" s="27" t="s">
        <v>34749</v>
      </c>
      <c r="D7255" s="28" t="s">
        <v>34867</v>
      </c>
      <c r="P7255">
        <v>8326</v>
      </c>
      <c r="Q7255" t="s">
        <v>9750</v>
      </c>
      <c r="R7255" s="28" t="s">
        <v>9751</v>
      </c>
      <c r="S7255" t="s">
        <v>13022</v>
      </c>
    </row>
    <row r="7256" spans="1:19" x14ac:dyDescent="0.25">
      <c r="A7256" s="27" t="s">
        <v>193</v>
      </c>
      <c r="C7256" s="27" t="s">
        <v>34749</v>
      </c>
      <c r="D7256" s="28" t="s">
        <v>34867</v>
      </c>
      <c r="P7256">
        <v>8327</v>
      </c>
      <c r="Q7256" t="s">
        <v>15148</v>
      </c>
      <c r="R7256" s="28" t="s">
        <v>9784</v>
      </c>
      <c r="S7256" t="s">
        <v>13022</v>
      </c>
    </row>
    <row r="7257" spans="1:19" x14ac:dyDescent="0.25">
      <c r="A7257" s="27" t="s">
        <v>193</v>
      </c>
      <c r="C7257" s="27" t="s">
        <v>34749</v>
      </c>
      <c r="D7257" s="28" t="s">
        <v>34867</v>
      </c>
      <c r="P7257">
        <v>8328</v>
      </c>
      <c r="Q7257" t="s">
        <v>15149</v>
      </c>
      <c r="R7257" s="28" t="s">
        <v>15150</v>
      </c>
      <c r="S7257" t="s">
        <v>13022</v>
      </c>
    </row>
    <row r="7258" spans="1:19" x14ac:dyDescent="0.25">
      <c r="A7258" s="27" t="s">
        <v>193</v>
      </c>
      <c r="C7258" s="27" t="s">
        <v>34749</v>
      </c>
      <c r="D7258" s="28" t="s">
        <v>34867</v>
      </c>
      <c r="P7258">
        <v>8329</v>
      </c>
      <c r="Q7258" t="s">
        <v>9792</v>
      </c>
      <c r="R7258" s="28" t="s">
        <v>9793</v>
      </c>
      <c r="S7258" t="s">
        <v>13022</v>
      </c>
    </row>
    <row r="7259" spans="1:19" x14ac:dyDescent="0.25">
      <c r="A7259" s="27" t="s">
        <v>193</v>
      </c>
      <c r="C7259" s="27" t="s">
        <v>34749</v>
      </c>
      <c r="D7259" s="28" t="s">
        <v>34867</v>
      </c>
      <c r="P7259">
        <v>8330</v>
      </c>
      <c r="Q7259" t="s">
        <v>9777</v>
      </c>
      <c r="R7259" s="28" t="s">
        <v>9778</v>
      </c>
      <c r="S7259" t="s">
        <v>13022</v>
      </c>
    </row>
    <row r="7260" spans="1:19" x14ac:dyDescent="0.25">
      <c r="A7260" s="27" t="s">
        <v>193</v>
      </c>
      <c r="C7260" s="27" t="s">
        <v>34749</v>
      </c>
      <c r="D7260" s="28" t="s">
        <v>34867</v>
      </c>
      <c r="P7260">
        <v>8331</v>
      </c>
      <c r="Q7260" t="s">
        <v>15151</v>
      </c>
      <c r="R7260" s="28" t="s">
        <v>9802</v>
      </c>
      <c r="S7260" t="s">
        <v>13022</v>
      </c>
    </row>
    <row r="7261" spans="1:19" x14ac:dyDescent="0.25">
      <c r="A7261" s="27" t="s">
        <v>193</v>
      </c>
      <c r="C7261" s="27" t="s">
        <v>34749</v>
      </c>
      <c r="D7261" s="28" t="s">
        <v>34867</v>
      </c>
      <c r="P7261">
        <v>8332</v>
      </c>
      <c r="Q7261" t="s">
        <v>9678</v>
      </c>
      <c r="R7261" s="28" t="s">
        <v>9679</v>
      </c>
      <c r="S7261" t="s">
        <v>13022</v>
      </c>
    </row>
    <row r="7262" spans="1:19" x14ac:dyDescent="0.25">
      <c r="A7262" s="27" t="s">
        <v>193</v>
      </c>
      <c r="C7262" s="27" t="s">
        <v>34749</v>
      </c>
      <c r="D7262" s="28" t="s">
        <v>34867</v>
      </c>
      <c r="P7262">
        <v>8333</v>
      </c>
      <c r="Q7262" t="s">
        <v>9684</v>
      </c>
      <c r="R7262" s="28" t="s">
        <v>9685</v>
      </c>
      <c r="S7262" t="s">
        <v>13022</v>
      </c>
    </row>
    <row r="7263" spans="1:19" x14ac:dyDescent="0.25">
      <c r="A7263" s="27" t="s">
        <v>193</v>
      </c>
      <c r="C7263" s="27" t="s">
        <v>34749</v>
      </c>
      <c r="D7263" s="28" t="s">
        <v>34867</v>
      </c>
      <c r="P7263">
        <v>8334</v>
      </c>
      <c r="Q7263" t="s">
        <v>9816</v>
      </c>
      <c r="R7263" s="28" t="s">
        <v>9817</v>
      </c>
      <c r="S7263" t="s">
        <v>13022</v>
      </c>
    </row>
    <row r="7264" spans="1:19" x14ac:dyDescent="0.25">
      <c r="A7264" s="27" t="s">
        <v>193</v>
      </c>
      <c r="C7264" s="27" t="s">
        <v>34749</v>
      </c>
      <c r="D7264" s="28" t="s">
        <v>34867</v>
      </c>
      <c r="P7264">
        <v>8335</v>
      </c>
      <c r="Q7264" t="s">
        <v>9822</v>
      </c>
      <c r="R7264" s="28" t="s">
        <v>9823</v>
      </c>
      <c r="S7264" t="s">
        <v>13022</v>
      </c>
    </row>
    <row r="7265" spans="1:19" x14ac:dyDescent="0.25">
      <c r="A7265" s="27" t="s">
        <v>193</v>
      </c>
      <c r="C7265" s="27" t="s">
        <v>34749</v>
      </c>
      <c r="D7265" s="28" t="s">
        <v>34867</v>
      </c>
      <c r="P7265">
        <v>8336</v>
      </c>
      <c r="Q7265" t="s">
        <v>9846</v>
      </c>
      <c r="R7265" s="28" t="s">
        <v>9847</v>
      </c>
      <c r="S7265" t="s">
        <v>13022</v>
      </c>
    </row>
    <row r="7266" spans="1:19" x14ac:dyDescent="0.25">
      <c r="A7266" s="27" t="s">
        <v>193</v>
      </c>
      <c r="C7266" s="27" t="s">
        <v>34749</v>
      </c>
      <c r="D7266" s="28" t="s">
        <v>34867</v>
      </c>
      <c r="P7266">
        <v>8337</v>
      </c>
      <c r="Q7266" t="s">
        <v>15152</v>
      </c>
      <c r="R7266" s="28" t="s">
        <v>3359</v>
      </c>
      <c r="S7266" t="s">
        <v>13022</v>
      </c>
    </row>
    <row r="7267" spans="1:19" x14ac:dyDescent="0.25">
      <c r="A7267" s="27" t="s">
        <v>193</v>
      </c>
      <c r="C7267" s="27" t="s">
        <v>34749</v>
      </c>
      <c r="D7267" s="28" t="s">
        <v>34867</v>
      </c>
      <c r="P7267">
        <v>8338</v>
      </c>
      <c r="Q7267" t="s">
        <v>9837</v>
      </c>
      <c r="R7267" s="28" t="s">
        <v>9838</v>
      </c>
      <c r="S7267" t="s">
        <v>13022</v>
      </c>
    </row>
    <row r="7268" spans="1:19" x14ac:dyDescent="0.25">
      <c r="A7268" s="27" t="s">
        <v>193</v>
      </c>
      <c r="C7268" s="27" t="s">
        <v>34749</v>
      </c>
      <c r="D7268" s="28" t="s">
        <v>34867</v>
      </c>
      <c r="P7268">
        <v>8339</v>
      </c>
      <c r="Q7268" t="s">
        <v>9840</v>
      </c>
      <c r="R7268" s="28" t="s">
        <v>9841</v>
      </c>
      <c r="S7268" t="s">
        <v>13022</v>
      </c>
    </row>
    <row r="7269" spans="1:19" x14ac:dyDescent="0.25">
      <c r="A7269" s="27" t="s">
        <v>193</v>
      </c>
      <c r="C7269" s="27" t="s">
        <v>34749</v>
      </c>
      <c r="D7269" s="28" t="s">
        <v>34867</v>
      </c>
      <c r="P7269">
        <v>8340</v>
      </c>
      <c r="Q7269" t="s">
        <v>9861</v>
      </c>
      <c r="R7269" s="28" t="s">
        <v>9862</v>
      </c>
      <c r="S7269" t="s">
        <v>13022</v>
      </c>
    </row>
    <row r="7270" spans="1:19" x14ac:dyDescent="0.25">
      <c r="A7270" s="27" t="s">
        <v>193</v>
      </c>
      <c r="C7270" s="27" t="s">
        <v>34749</v>
      </c>
      <c r="D7270" s="28" t="s">
        <v>34867</v>
      </c>
      <c r="P7270">
        <v>8341</v>
      </c>
      <c r="Q7270" t="s">
        <v>9873</v>
      </c>
      <c r="R7270" s="28" t="s">
        <v>9874</v>
      </c>
      <c r="S7270" t="s">
        <v>13022</v>
      </c>
    </row>
    <row r="7271" spans="1:19" x14ac:dyDescent="0.25">
      <c r="A7271" s="27" t="s">
        <v>193</v>
      </c>
      <c r="C7271" s="27" t="s">
        <v>34749</v>
      </c>
      <c r="D7271" s="28" t="s">
        <v>34867</v>
      </c>
      <c r="P7271">
        <v>8342</v>
      </c>
      <c r="Q7271" t="s">
        <v>9849</v>
      </c>
      <c r="R7271" s="28" t="s">
        <v>9850</v>
      </c>
      <c r="S7271" t="s">
        <v>13022</v>
      </c>
    </row>
    <row r="7272" spans="1:19" x14ac:dyDescent="0.25">
      <c r="A7272" s="27" t="s">
        <v>193</v>
      </c>
      <c r="C7272" s="27" t="s">
        <v>34749</v>
      </c>
      <c r="D7272" s="28" t="s">
        <v>34867</v>
      </c>
      <c r="P7272">
        <v>8344</v>
      </c>
      <c r="Q7272" t="s">
        <v>15153</v>
      </c>
      <c r="R7272" s="28" t="s">
        <v>6495</v>
      </c>
      <c r="S7272" t="s">
        <v>13022</v>
      </c>
    </row>
    <row r="7273" spans="1:19" x14ac:dyDescent="0.25">
      <c r="A7273" s="27" t="s">
        <v>193</v>
      </c>
      <c r="C7273" s="27" t="s">
        <v>34749</v>
      </c>
      <c r="D7273" s="28" t="s">
        <v>34867</v>
      </c>
      <c r="P7273">
        <v>8345</v>
      </c>
      <c r="Q7273" t="s">
        <v>9867</v>
      </c>
      <c r="R7273" s="28" t="s">
        <v>9868</v>
      </c>
      <c r="S7273" t="s">
        <v>13022</v>
      </c>
    </row>
    <row r="7274" spans="1:19" x14ac:dyDescent="0.25">
      <c r="A7274" s="27" t="s">
        <v>193</v>
      </c>
      <c r="C7274" s="27" t="s">
        <v>34749</v>
      </c>
      <c r="D7274" s="28" t="s">
        <v>34867</v>
      </c>
      <c r="P7274">
        <v>8346</v>
      </c>
      <c r="Q7274" t="s">
        <v>9492</v>
      </c>
      <c r="R7274" s="28" t="s">
        <v>9493</v>
      </c>
      <c r="S7274" t="s">
        <v>13022</v>
      </c>
    </row>
    <row r="7275" spans="1:19" x14ac:dyDescent="0.25">
      <c r="A7275" s="27" t="s">
        <v>193</v>
      </c>
      <c r="C7275" s="27" t="s">
        <v>34749</v>
      </c>
      <c r="D7275" s="28" t="s">
        <v>34867</v>
      </c>
      <c r="P7275">
        <v>8347</v>
      </c>
      <c r="Q7275" t="s">
        <v>9882</v>
      </c>
      <c r="R7275" s="28" t="s">
        <v>9883</v>
      </c>
      <c r="S7275" t="s">
        <v>13022</v>
      </c>
    </row>
    <row r="7276" spans="1:19" x14ac:dyDescent="0.25">
      <c r="A7276" s="27" t="s">
        <v>193</v>
      </c>
      <c r="C7276" s="27" t="s">
        <v>34749</v>
      </c>
      <c r="D7276" s="28" t="s">
        <v>34867</v>
      </c>
      <c r="P7276">
        <v>8348</v>
      </c>
      <c r="Q7276" t="s">
        <v>9888</v>
      </c>
      <c r="R7276" s="28" t="s">
        <v>9889</v>
      </c>
      <c r="S7276" t="s">
        <v>13022</v>
      </c>
    </row>
    <row r="7277" spans="1:19" x14ac:dyDescent="0.25">
      <c r="A7277" s="27" t="s">
        <v>193</v>
      </c>
      <c r="C7277" s="27" t="s">
        <v>34749</v>
      </c>
      <c r="D7277" s="28" t="s">
        <v>34867</v>
      </c>
      <c r="P7277">
        <v>8349</v>
      </c>
      <c r="Q7277" t="s">
        <v>9897</v>
      </c>
      <c r="R7277" s="28" t="s">
        <v>9898</v>
      </c>
      <c r="S7277" t="s">
        <v>13022</v>
      </c>
    </row>
    <row r="7278" spans="1:19" x14ac:dyDescent="0.25">
      <c r="A7278" s="27" t="s">
        <v>193</v>
      </c>
      <c r="C7278" s="27" t="s">
        <v>34749</v>
      </c>
      <c r="D7278" s="28" t="s">
        <v>34867</v>
      </c>
      <c r="P7278">
        <v>8350</v>
      </c>
      <c r="Q7278" t="s">
        <v>9891</v>
      </c>
      <c r="R7278" s="28" t="s">
        <v>9892</v>
      </c>
      <c r="S7278" t="s">
        <v>13022</v>
      </c>
    </row>
    <row r="7279" spans="1:19" x14ac:dyDescent="0.25">
      <c r="A7279" s="27" t="s">
        <v>193</v>
      </c>
      <c r="C7279" s="27" t="s">
        <v>34749</v>
      </c>
      <c r="D7279" s="28" t="s">
        <v>34867</v>
      </c>
      <c r="P7279">
        <v>8351</v>
      </c>
      <c r="Q7279" t="s">
        <v>9915</v>
      </c>
      <c r="R7279" s="28" t="s">
        <v>9916</v>
      </c>
      <c r="S7279" t="s">
        <v>13022</v>
      </c>
    </row>
    <row r="7280" spans="1:19" x14ac:dyDescent="0.25">
      <c r="A7280" s="27" t="s">
        <v>193</v>
      </c>
      <c r="C7280" s="27" t="s">
        <v>34749</v>
      </c>
      <c r="D7280" s="28" t="s">
        <v>34867</v>
      </c>
      <c r="P7280">
        <v>8352</v>
      </c>
      <c r="Q7280" t="s">
        <v>9963</v>
      </c>
      <c r="R7280" s="28" t="s">
        <v>9964</v>
      </c>
      <c r="S7280" t="s">
        <v>13022</v>
      </c>
    </row>
    <row r="7281" spans="1:19" x14ac:dyDescent="0.25">
      <c r="A7281" s="27" t="s">
        <v>193</v>
      </c>
      <c r="C7281" s="27" t="s">
        <v>34749</v>
      </c>
      <c r="D7281" s="28" t="s">
        <v>34867</v>
      </c>
      <c r="P7281">
        <v>8354</v>
      </c>
      <c r="Q7281" t="s">
        <v>9993</v>
      </c>
      <c r="R7281" s="28" t="s">
        <v>9994</v>
      </c>
      <c r="S7281" t="s">
        <v>13022</v>
      </c>
    </row>
    <row r="7282" spans="1:19" x14ac:dyDescent="0.25">
      <c r="A7282" s="27" t="s">
        <v>193</v>
      </c>
      <c r="C7282" s="27" t="s">
        <v>34749</v>
      </c>
      <c r="D7282" s="28" t="s">
        <v>34867</v>
      </c>
      <c r="P7282">
        <v>8355</v>
      </c>
      <c r="Q7282" t="s">
        <v>15154</v>
      </c>
      <c r="S7282" t="s">
        <v>13022</v>
      </c>
    </row>
    <row r="7283" spans="1:19" x14ac:dyDescent="0.25">
      <c r="A7283" s="27" t="s">
        <v>193</v>
      </c>
      <c r="C7283" s="27" t="s">
        <v>34749</v>
      </c>
      <c r="D7283" s="28" t="s">
        <v>34867</v>
      </c>
      <c r="P7283">
        <v>8356</v>
      </c>
      <c r="Q7283" t="s">
        <v>10002</v>
      </c>
      <c r="S7283" t="s">
        <v>13022</v>
      </c>
    </row>
    <row r="7284" spans="1:19" x14ac:dyDescent="0.25">
      <c r="A7284" s="27" t="s">
        <v>193</v>
      </c>
      <c r="C7284" s="27" t="s">
        <v>34749</v>
      </c>
      <c r="D7284" s="28" t="s">
        <v>34867</v>
      </c>
      <c r="P7284">
        <v>8357</v>
      </c>
      <c r="Q7284" t="s">
        <v>10011</v>
      </c>
      <c r="R7284" s="28" t="s">
        <v>10012</v>
      </c>
      <c r="S7284" t="s">
        <v>13022</v>
      </c>
    </row>
    <row r="7285" spans="1:19" x14ac:dyDescent="0.25">
      <c r="A7285" s="27" t="s">
        <v>193</v>
      </c>
      <c r="C7285" s="27" t="s">
        <v>34749</v>
      </c>
      <c r="D7285" s="28" t="s">
        <v>34867</v>
      </c>
      <c r="P7285">
        <v>8358</v>
      </c>
      <c r="Q7285" t="s">
        <v>5304</v>
      </c>
      <c r="R7285" s="28" t="s">
        <v>5305</v>
      </c>
      <c r="S7285" t="s">
        <v>13022</v>
      </c>
    </row>
    <row r="7286" spans="1:19" x14ac:dyDescent="0.25">
      <c r="A7286" s="27" t="s">
        <v>193</v>
      </c>
      <c r="C7286" s="27" t="s">
        <v>34749</v>
      </c>
      <c r="D7286" s="28" t="s">
        <v>34867</v>
      </c>
      <c r="P7286">
        <v>8359</v>
      </c>
      <c r="Q7286" t="s">
        <v>15155</v>
      </c>
      <c r="S7286" t="s">
        <v>13022</v>
      </c>
    </row>
    <row r="7287" spans="1:19" x14ac:dyDescent="0.25">
      <c r="A7287" s="27" t="s">
        <v>193</v>
      </c>
      <c r="C7287" s="27" t="s">
        <v>34749</v>
      </c>
      <c r="D7287" s="28" t="s">
        <v>34867</v>
      </c>
      <c r="P7287">
        <v>8360</v>
      </c>
      <c r="Q7287" t="s">
        <v>10044</v>
      </c>
      <c r="R7287" s="28" t="s">
        <v>10045</v>
      </c>
      <c r="S7287" t="s">
        <v>13022</v>
      </c>
    </row>
    <row r="7288" spans="1:19" x14ac:dyDescent="0.25">
      <c r="A7288" s="27" t="s">
        <v>193</v>
      </c>
      <c r="C7288" s="27" t="s">
        <v>34749</v>
      </c>
      <c r="D7288" s="28" t="s">
        <v>34867</v>
      </c>
      <c r="P7288">
        <v>8361</v>
      </c>
      <c r="Q7288" t="s">
        <v>15156</v>
      </c>
      <c r="R7288" s="28" t="s">
        <v>5130</v>
      </c>
      <c r="S7288" t="s">
        <v>13022</v>
      </c>
    </row>
    <row r="7289" spans="1:19" x14ac:dyDescent="0.25">
      <c r="A7289" s="27" t="s">
        <v>193</v>
      </c>
      <c r="C7289" s="27" t="s">
        <v>34749</v>
      </c>
      <c r="D7289" s="28" t="s">
        <v>34867</v>
      </c>
      <c r="P7289">
        <v>8362</v>
      </c>
      <c r="Q7289" t="s">
        <v>8109</v>
      </c>
      <c r="R7289" s="28" t="s">
        <v>8110</v>
      </c>
      <c r="S7289" t="s">
        <v>13022</v>
      </c>
    </row>
    <row r="7290" spans="1:19" x14ac:dyDescent="0.25">
      <c r="A7290" s="27" t="s">
        <v>193</v>
      </c>
      <c r="C7290" s="27" t="s">
        <v>34749</v>
      </c>
      <c r="D7290" s="28" t="s">
        <v>34867</v>
      </c>
      <c r="P7290">
        <v>8363</v>
      </c>
      <c r="Q7290" t="s">
        <v>8388</v>
      </c>
      <c r="R7290" s="28" t="s">
        <v>8389</v>
      </c>
      <c r="S7290" t="s">
        <v>13022</v>
      </c>
    </row>
    <row r="7291" spans="1:19" x14ac:dyDescent="0.25">
      <c r="A7291" s="27" t="s">
        <v>193</v>
      </c>
      <c r="C7291" s="27" t="s">
        <v>34749</v>
      </c>
      <c r="D7291" s="28" t="s">
        <v>34867</v>
      </c>
      <c r="P7291">
        <v>8364</v>
      </c>
      <c r="Q7291" t="s">
        <v>5349</v>
      </c>
      <c r="R7291" s="28" t="s">
        <v>5350</v>
      </c>
      <c r="S7291" t="s">
        <v>13022</v>
      </c>
    </row>
    <row r="7292" spans="1:19" x14ac:dyDescent="0.25">
      <c r="A7292" s="27" t="s">
        <v>193</v>
      </c>
      <c r="C7292" s="27" t="s">
        <v>34749</v>
      </c>
      <c r="D7292" s="28" t="s">
        <v>34867</v>
      </c>
      <c r="P7292">
        <v>8365</v>
      </c>
      <c r="Q7292" t="s">
        <v>15157</v>
      </c>
      <c r="R7292" s="28" t="s">
        <v>15158</v>
      </c>
      <c r="S7292" t="s">
        <v>13022</v>
      </c>
    </row>
    <row r="7293" spans="1:19" x14ac:dyDescent="0.25">
      <c r="A7293" s="27" t="s">
        <v>193</v>
      </c>
      <c r="C7293" s="27" t="s">
        <v>34749</v>
      </c>
      <c r="D7293" s="28" t="s">
        <v>34867</v>
      </c>
      <c r="P7293">
        <v>8366</v>
      </c>
      <c r="Q7293" t="s">
        <v>5355</v>
      </c>
      <c r="R7293" s="28" t="s">
        <v>5356</v>
      </c>
      <c r="S7293" t="s">
        <v>13022</v>
      </c>
    </row>
    <row r="7294" spans="1:19" x14ac:dyDescent="0.25">
      <c r="A7294" s="27" t="s">
        <v>193</v>
      </c>
      <c r="C7294" s="27" t="s">
        <v>34749</v>
      </c>
      <c r="D7294" s="28" t="s">
        <v>34867</v>
      </c>
      <c r="P7294">
        <v>8367</v>
      </c>
      <c r="Q7294" t="s">
        <v>15159</v>
      </c>
      <c r="R7294" s="28" t="s">
        <v>3719</v>
      </c>
      <c r="S7294" t="s">
        <v>13022</v>
      </c>
    </row>
    <row r="7295" spans="1:19" x14ac:dyDescent="0.25">
      <c r="A7295" s="27" t="s">
        <v>193</v>
      </c>
      <c r="C7295" s="27" t="s">
        <v>34749</v>
      </c>
      <c r="D7295" s="28" t="s">
        <v>34867</v>
      </c>
      <c r="P7295">
        <v>8368</v>
      </c>
      <c r="Q7295" t="s">
        <v>10050</v>
      </c>
      <c r="R7295" s="28" t="s">
        <v>10051</v>
      </c>
      <c r="S7295" t="s">
        <v>13022</v>
      </c>
    </row>
    <row r="7296" spans="1:19" x14ac:dyDescent="0.25">
      <c r="A7296" s="27" t="s">
        <v>193</v>
      </c>
      <c r="C7296" s="27" t="s">
        <v>34749</v>
      </c>
      <c r="D7296" s="28" t="s">
        <v>34867</v>
      </c>
      <c r="P7296">
        <v>8369</v>
      </c>
      <c r="Q7296" t="s">
        <v>15160</v>
      </c>
      <c r="S7296" t="s">
        <v>13022</v>
      </c>
    </row>
    <row r="7297" spans="1:19" x14ac:dyDescent="0.25">
      <c r="A7297" s="27" t="s">
        <v>193</v>
      </c>
      <c r="C7297" s="27" t="s">
        <v>34749</v>
      </c>
      <c r="D7297" s="28" t="s">
        <v>34867</v>
      </c>
      <c r="P7297">
        <v>8370</v>
      </c>
      <c r="Q7297" t="s">
        <v>15161</v>
      </c>
      <c r="R7297" s="28" t="s">
        <v>2764</v>
      </c>
      <c r="S7297" t="s">
        <v>13022</v>
      </c>
    </row>
    <row r="7298" spans="1:19" x14ac:dyDescent="0.25">
      <c r="A7298" s="27" t="s">
        <v>193</v>
      </c>
      <c r="C7298" s="27" t="s">
        <v>34749</v>
      </c>
      <c r="D7298" s="28" t="s">
        <v>34867</v>
      </c>
      <c r="P7298">
        <v>8371</v>
      </c>
      <c r="Q7298" t="s">
        <v>15162</v>
      </c>
      <c r="R7298" s="28" t="s">
        <v>2089</v>
      </c>
      <c r="S7298" t="s">
        <v>13022</v>
      </c>
    </row>
    <row r="7299" spans="1:19" x14ac:dyDescent="0.25">
      <c r="A7299" s="27" t="s">
        <v>193</v>
      </c>
      <c r="C7299" s="27" t="s">
        <v>34749</v>
      </c>
      <c r="D7299" s="28" t="s">
        <v>34867</v>
      </c>
      <c r="P7299">
        <v>8372</v>
      </c>
      <c r="Q7299" t="s">
        <v>10062</v>
      </c>
      <c r="R7299" s="28" t="s">
        <v>10063</v>
      </c>
      <c r="S7299" t="s">
        <v>13022</v>
      </c>
    </row>
    <row r="7300" spans="1:19" x14ac:dyDescent="0.25">
      <c r="A7300" s="27" t="s">
        <v>193</v>
      </c>
      <c r="C7300" s="27" t="s">
        <v>34749</v>
      </c>
      <c r="D7300" s="28" t="s">
        <v>34867</v>
      </c>
      <c r="P7300">
        <v>8373</v>
      </c>
      <c r="Q7300" t="s">
        <v>10152</v>
      </c>
      <c r="R7300" s="28" t="s">
        <v>10153</v>
      </c>
      <c r="S7300" t="s">
        <v>13022</v>
      </c>
    </row>
    <row r="7301" spans="1:19" x14ac:dyDescent="0.25">
      <c r="A7301" s="27" t="s">
        <v>193</v>
      </c>
      <c r="C7301" s="27" t="s">
        <v>34749</v>
      </c>
      <c r="D7301" s="28" t="s">
        <v>34867</v>
      </c>
      <c r="P7301">
        <v>8374</v>
      </c>
      <c r="Q7301" t="s">
        <v>15163</v>
      </c>
      <c r="R7301" s="28" t="s">
        <v>15164</v>
      </c>
      <c r="S7301" t="s">
        <v>13022</v>
      </c>
    </row>
    <row r="7302" spans="1:19" x14ac:dyDescent="0.25">
      <c r="A7302" s="27" t="s">
        <v>193</v>
      </c>
      <c r="C7302" s="27" t="s">
        <v>34749</v>
      </c>
      <c r="D7302" s="28" t="s">
        <v>34867</v>
      </c>
      <c r="P7302">
        <v>8376</v>
      </c>
      <c r="Q7302" t="s">
        <v>10188</v>
      </c>
      <c r="R7302" s="28" t="s">
        <v>10189</v>
      </c>
      <c r="S7302" t="s">
        <v>13022</v>
      </c>
    </row>
    <row r="7303" spans="1:19" x14ac:dyDescent="0.25">
      <c r="A7303" s="27" t="s">
        <v>193</v>
      </c>
      <c r="C7303" s="27" t="s">
        <v>34749</v>
      </c>
      <c r="D7303" s="28" t="s">
        <v>34867</v>
      </c>
      <c r="P7303">
        <v>8377</v>
      </c>
      <c r="Q7303" t="s">
        <v>10230</v>
      </c>
      <c r="R7303" s="28" t="s">
        <v>10231</v>
      </c>
      <c r="S7303" t="s">
        <v>13022</v>
      </c>
    </row>
    <row r="7304" spans="1:19" x14ac:dyDescent="0.25">
      <c r="A7304" s="27" t="s">
        <v>193</v>
      </c>
      <c r="C7304" s="27" t="s">
        <v>34749</v>
      </c>
      <c r="D7304" s="28" t="s">
        <v>34867</v>
      </c>
      <c r="P7304">
        <v>8378</v>
      </c>
      <c r="Q7304" t="s">
        <v>15165</v>
      </c>
      <c r="R7304" s="28" t="s">
        <v>15166</v>
      </c>
      <c r="S7304" t="s">
        <v>13022</v>
      </c>
    </row>
    <row r="7305" spans="1:19" x14ac:dyDescent="0.25">
      <c r="A7305" s="27" t="s">
        <v>193</v>
      </c>
      <c r="C7305" s="27" t="s">
        <v>34749</v>
      </c>
      <c r="D7305" s="28" t="s">
        <v>34867</v>
      </c>
      <c r="P7305">
        <v>8379</v>
      </c>
      <c r="Q7305" t="s">
        <v>10128</v>
      </c>
      <c r="R7305" s="28" t="s">
        <v>10129</v>
      </c>
      <c r="S7305" t="s">
        <v>13022</v>
      </c>
    </row>
    <row r="7306" spans="1:19" x14ac:dyDescent="0.25">
      <c r="A7306" s="27" t="s">
        <v>193</v>
      </c>
      <c r="C7306" s="27" t="s">
        <v>34749</v>
      </c>
      <c r="D7306" s="28" t="s">
        <v>34867</v>
      </c>
      <c r="P7306">
        <v>8380</v>
      </c>
      <c r="Q7306" t="s">
        <v>10137</v>
      </c>
      <c r="R7306" s="28" t="s">
        <v>10138</v>
      </c>
      <c r="S7306" t="s">
        <v>13022</v>
      </c>
    </row>
    <row r="7307" spans="1:19" x14ac:dyDescent="0.25">
      <c r="A7307" s="27" t="s">
        <v>193</v>
      </c>
      <c r="C7307" s="27" t="s">
        <v>34749</v>
      </c>
      <c r="D7307" s="28" t="s">
        <v>34867</v>
      </c>
      <c r="P7307">
        <v>8381</v>
      </c>
      <c r="Q7307" t="s">
        <v>15167</v>
      </c>
      <c r="R7307" s="28" t="s">
        <v>15168</v>
      </c>
      <c r="S7307" t="s">
        <v>13022</v>
      </c>
    </row>
    <row r="7308" spans="1:19" x14ac:dyDescent="0.25">
      <c r="A7308" s="27" t="s">
        <v>193</v>
      </c>
      <c r="C7308" s="27" t="s">
        <v>34749</v>
      </c>
      <c r="D7308" s="28" t="s">
        <v>34867</v>
      </c>
      <c r="P7308">
        <v>8382</v>
      </c>
      <c r="Q7308" t="s">
        <v>10203</v>
      </c>
      <c r="R7308" s="28" t="s">
        <v>10204</v>
      </c>
      <c r="S7308" t="s">
        <v>13022</v>
      </c>
    </row>
    <row r="7309" spans="1:19" x14ac:dyDescent="0.25">
      <c r="A7309" s="27" t="s">
        <v>193</v>
      </c>
      <c r="C7309" s="27" t="s">
        <v>34749</v>
      </c>
      <c r="D7309" s="28" t="s">
        <v>34867</v>
      </c>
      <c r="P7309">
        <v>8383</v>
      </c>
      <c r="Q7309" t="s">
        <v>15169</v>
      </c>
      <c r="R7309" s="28" t="s">
        <v>15170</v>
      </c>
      <c r="S7309" t="s">
        <v>13022</v>
      </c>
    </row>
    <row r="7310" spans="1:19" x14ac:dyDescent="0.25">
      <c r="A7310" s="27" t="s">
        <v>193</v>
      </c>
      <c r="C7310" s="27" t="s">
        <v>34749</v>
      </c>
      <c r="D7310" s="28" t="s">
        <v>34867</v>
      </c>
      <c r="P7310">
        <v>8384</v>
      </c>
      <c r="Q7310" t="s">
        <v>10227</v>
      </c>
      <c r="R7310" s="28" t="s">
        <v>10228</v>
      </c>
      <c r="S7310" t="s">
        <v>13022</v>
      </c>
    </row>
    <row r="7311" spans="1:19" x14ac:dyDescent="0.25">
      <c r="A7311" s="27" t="s">
        <v>193</v>
      </c>
      <c r="C7311" s="27" t="s">
        <v>34749</v>
      </c>
      <c r="D7311" s="28" t="s">
        <v>34867</v>
      </c>
      <c r="P7311">
        <v>8385</v>
      </c>
      <c r="Q7311" t="s">
        <v>15171</v>
      </c>
      <c r="R7311" s="28" t="s">
        <v>10249</v>
      </c>
      <c r="S7311" t="s">
        <v>13022</v>
      </c>
    </row>
    <row r="7312" spans="1:19" x14ac:dyDescent="0.25">
      <c r="A7312" s="27" t="s">
        <v>193</v>
      </c>
      <c r="C7312" s="27" t="s">
        <v>34749</v>
      </c>
      <c r="D7312" s="28" t="s">
        <v>34867</v>
      </c>
      <c r="P7312">
        <v>8386</v>
      </c>
      <c r="Q7312" t="s">
        <v>10281</v>
      </c>
      <c r="R7312" s="28" t="s">
        <v>10282</v>
      </c>
      <c r="S7312" t="s">
        <v>13022</v>
      </c>
    </row>
    <row r="7313" spans="1:19" x14ac:dyDescent="0.25">
      <c r="A7313" s="27" t="s">
        <v>193</v>
      </c>
      <c r="C7313" s="27" t="s">
        <v>34749</v>
      </c>
      <c r="D7313" s="28" t="s">
        <v>34867</v>
      </c>
      <c r="P7313">
        <v>8387</v>
      </c>
      <c r="Q7313" t="s">
        <v>15172</v>
      </c>
      <c r="R7313" s="28" t="s">
        <v>15173</v>
      </c>
      <c r="S7313" t="s">
        <v>13022</v>
      </c>
    </row>
    <row r="7314" spans="1:19" x14ac:dyDescent="0.25">
      <c r="A7314" s="27" t="s">
        <v>193</v>
      </c>
      <c r="C7314" s="27" t="s">
        <v>34749</v>
      </c>
      <c r="D7314" s="28" t="s">
        <v>34867</v>
      </c>
      <c r="P7314">
        <v>8388</v>
      </c>
      <c r="Q7314" t="s">
        <v>15174</v>
      </c>
      <c r="R7314" s="28" t="s">
        <v>15175</v>
      </c>
      <c r="S7314" t="s">
        <v>13022</v>
      </c>
    </row>
    <row r="7315" spans="1:19" x14ac:dyDescent="0.25">
      <c r="A7315" s="27" t="s">
        <v>193</v>
      </c>
      <c r="C7315" s="27" t="s">
        <v>34749</v>
      </c>
      <c r="D7315" s="28" t="s">
        <v>34867</v>
      </c>
      <c r="P7315">
        <v>8389</v>
      </c>
      <c r="Q7315" t="s">
        <v>15176</v>
      </c>
      <c r="S7315" t="s">
        <v>13022</v>
      </c>
    </row>
    <row r="7316" spans="1:19" x14ac:dyDescent="0.25">
      <c r="A7316" s="27" t="s">
        <v>193</v>
      </c>
      <c r="C7316" s="27" t="s">
        <v>34749</v>
      </c>
      <c r="D7316" s="28" t="s">
        <v>34867</v>
      </c>
      <c r="P7316">
        <v>8390</v>
      </c>
      <c r="Q7316" t="s">
        <v>15177</v>
      </c>
      <c r="R7316" s="28" t="s">
        <v>15178</v>
      </c>
      <c r="S7316" t="s">
        <v>13022</v>
      </c>
    </row>
    <row r="7317" spans="1:19" x14ac:dyDescent="0.25">
      <c r="A7317" s="27" t="s">
        <v>193</v>
      </c>
      <c r="C7317" s="27" t="s">
        <v>34749</v>
      </c>
      <c r="D7317" s="28" t="s">
        <v>34867</v>
      </c>
      <c r="P7317">
        <v>8391</v>
      </c>
      <c r="Q7317" t="s">
        <v>15179</v>
      </c>
      <c r="R7317" s="28" t="s">
        <v>4326</v>
      </c>
      <c r="S7317" t="s">
        <v>13022</v>
      </c>
    </row>
    <row r="7318" spans="1:19" x14ac:dyDescent="0.25">
      <c r="A7318" s="27" t="s">
        <v>193</v>
      </c>
      <c r="C7318" s="27" t="s">
        <v>34749</v>
      </c>
      <c r="D7318" s="28" t="s">
        <v>34867</v>
      </c>
      <c r="P7318">
        <v>8392</v>
      </c>
      <c r="Q7318" t="s">
        <v>10318</v>
      </c>
      <c r="R7318" s="28" t="s">
        <v>15180</v>
      </c>
      <c r="S7318" t="s">
        <v>13022</v>
      </c>
    </row>
    <row r="7319" spans="1:19" x14ac:dyDescent="0.25">
      <c r="A7319" s="27" t="s">
        <v>193</v>
      </c>
      <c r="C7319" s="27" t="s">
        <v>34749</v>
      </c>
      <c r="D7319" s="28" t="s">
        <v>34867</v>
      </c>
      <c r="P7319">
        <v>8393</v>
      </c>
      <c r="Q7319" t="s">
        <v>15181</v>
      </c>
      <c r="R7319" s="28" t="s">
        <v>8719</v>
      </c>
      <c r="S7319" t="s">
        <v>13022</v>
      </c>
    </row>
    <row r="7320" spans="1:19" x14ac:dyDescent="0.25">
      <c r="A7320" s="27" t="s">
        <v>193</v>
      </c>
      <c r="C7320" s="27" t="s">
        <v>34749</v>
      </c>
      <c r="D7320" s="28" t="s">
        <v>34867</v>
      </c>
      <c r="P7320">
        <v>8394</v>
      </c>
      <c r="Q7320" t="s">
        <v>10348</v>
      </c>
      <c r="R7320" s="28" t="s">
        <v>10349</v>
      </c>
      <c r="S7320" t="s">
        <v>13022</v>
      </c>
    </row>
    <row r="7321" spans="1:19" x14ac:dyDescent="0.25">
      <c r="A7321" s="27" t="s">
        <v>193</v>
      </c>
      <c r="C7321" s="27" t="s">
        <v>34749</v>
      </c>
      <c r="D7321" s="28" t="s">
        <v>34867</v>
      </c>
      <c r="P7321">
        <v>8395</v>
      </c>
      <c r="Q7321" t="s">
        <v>15182</v>
      </c>
      <c r="R7321" s="28" t="s">
        <v>15183</v>
      </c>
      <c r="S7321" t="s">
        <v>13022</v>
      </c>
    </row>
    <row r="7322" spans="1:19" x14ac:dyDescent="0.25">
      <c r="A7322" s="27" t="s">
        <v>193</v>
      </c>
      <c r="C7322" s="27" t="s">
        <v>34749</v>
      </c>
      <c r="D7322" s="28" t="s">
        <v>34867</v>
      </c>
      <c r="P7322">
        <v>8396</v>
      </c>
      <c r="Q7322" t="s">
        <v>10387</v>
      </c>
      <c r="R7322" s="28" t="s">
        <v>10388</v>
      </c>
      <c r="S7322" t="s">
        <v>13022</v>
      </c>
    </row>
    <row r="7323" spans="1:19" x14ac:dyDescent="0.25">
      <c r="A7323" s="27" t="s">
        <v>193</v>
      </c>
      <c r="C7323" s="27" t="s">
        <v>34749</v>
      </c>
      <c r="D7323" s="28" t="s">
        <v>34867</v>
      </c>
      <c r="P7323">
        <v>8397</v>
      </c>
      <c r="Q7323" t="s">
        <v>10375</v>
      </c>
      <c r="R7323" s="28" t="s">
        <v>10376</v>
      </c>
      <c r="S7323" t="s">
        <v>13022</v>
      </c>
    </row>
    <row r="7324" spans="1:19" x14ac:dyDescent="0.25">
      <c r="A7324" s="27" t="s">
        <v>193</v>
      </c>
      <c r="C7324" s="27" t="s">
        <v>34749</v>
      </c>
      <c r="D7324" s="28" t="s">
        <v>34867</v>
      </c>
      <c r="P7324">
        <v>8398</v>
      </c>
      <c r="Q7324" t="s">
        <v>10402</v>
      </c>
      <c r="R7324" s="28" t="s">
        <v>10403</v>
      </c>
      <c r="S7324" t="s">
        <v>13022</v>
      </c>
    </row>
    <row r="7325" spans="1:19" x14ac:dyDescent="0.25">
      <c r="A7325" s="27" t="s">
        <v>193</v>
      </c>
      <c r="C7325" s="27" t="s">
        <v>34749</v>
      </c>
      <c r="D7325" s="28" t="s">
        <v>34867</v>
      </c>
      <c r="P7325">
        <v>8399</v>
      </c>
      <c r="Q7325" t="s">
        <v>10393</v>
      </c>
      <c r="R7325" s="28" t="s">
        <v>15184</v>
      </c>
      <c r="S7325" t="s">
        <v>13022</v>
      </c>
    </row>
    <row r="7326" spans="1:19" x14ac:dyDescent="0.25">
      <c r="A7326" s="27" t="s">
        <v>193</v>
      </c>
      <c r="C7326" s="27" t="s">
        <v>34749</v>
      </c>
      <c r="D7326" s="28" t="s">
        <v>34867</v>
      </c>
      <c r="P7326">
        <v>8400</v>
      </c>
      <c r="Q7326" t="s">
        <v>10390</v>
      </c>
      <c r="R7326" s="28" t="s">
        <v>10391</v>
      </c>
      <c r="S7326" t="s">
        <v>13022</v>
      </c>
    </row>
    <row r="7327" spans="1:19" x14ac:dyDescent="0.25">
      <c r="A7327" s="27" t="s">
        <v>193</v>
      </c>
      <c r="C7327" s="27" t="s">
        <v>34749</v>
      </c>
      <c r="D7327" s="28" t="s">
        <v>34867</v>
      </c>
      <c r="P7327">
        <v>8401</v>
      </c>
      <c r="Q7327" t="s">
        <v>15185</v>
      </c>
      <c r="R7327" s="28" t="s">
        <v>5702</v>
      </c>
      <c r="S7327" t="s">
        <v>13022</v>
      </c>
    </row>
    <row r="7328" spans="1:19" x14ac:dyDescent="0.25">
      <c r="A7328" s="27" t="s">
        <v>193</v>
      </c>
      <c r="C7328" s="27" t="s">
        <v>34749</v>
      </c>
      <c r="D7328" s="28" t="s">
        <v>34867</v>
      </c>
      <c r="P7328">
        <v>8402</v>
      </c>
      <c r="Q7328" t="s">
        <v>15186</v>
      </c>
      <c r="R7328" s="28" t="s">
        <v>5708</v>
      </c>
      <c r="S7328" t="s">
        <v>13022</v>
      </c>
    </row>
    <row r="7329" spans="1:19" x14ac:dyDescent="0.25">
      <c r="A7329" s="27" t="s">
        <v>193</v>
      </c>
      <c r="C7329" s="27" t="s">
        <v>34749</v>
      </c>
      <c r="D7329" s="28" t="s">
        <v>34867</v>
      </c>
      <c r="P7329">
        <v>8403</v>
      </c>
      <c r="Q7329" t="s">
        <v>10423</v>
      </c>
      <c r="R7329" s="28" t="s">
        <v>10424</v>
      </c>
      <c r="S7329" t="s">
        <v>13022</v>
      </c>
    </row>
    <row r="7330" spans="1:19" x14ac:dyDescent="0.25">
      <c r="A7330" s="27" t="s">
        <v>193</v>
      </c>
      <c r="C7330" s="27" t="s">
        <v>34749</v>
      </c>
      <c r="D7330" s="28" t="s">
        <v>34867</v>
      </c>
      <c r="P7330">
        <v>8404</v>
      </c>
      <c r="Q7330" t="s">
        <v>810</v>
      </c>
      <c r="R7330" s="28" t="s">
        <v>15187</v>
      </c>
      <c r="S7330" t="s">
        <v>13022</v>
      </c>
    </row>
    <row r="7331" spans="1:19" x14ac:dyDescent="0.25">
      <c r="A7331" s="27" t="s">
        <v>193</v>
      </c>
      <c r="C7331" s="27" t="s">
        <v>34749</v>
      </c>
      <c r="D7331" s="28" t="s">
        <v>34867</v>
      </c>
      <c r="P7331">
        <v>8405</v>
      </c>
      <c r="Q7331" t="s">
        <v>10444</v>
      </c>
      <c r="R7331" s="28" t="s">
        <v>10445</v>
      </c>
      <c r="S7331" t="s">
        <v>13022</v>
      </c>
    </row>
    <row r="7332" spans="1:19" x14ac:dyDescent="0.25">
      <c r="A7332" s="27" t="s">
        <v>193</v>
      </c>
      <c r="C7332" s="27" t="s">
        <v>34749</v>
      </c>
      <c r="D7332" s="28" t="s">
        <v>34867</v>
      </c>
      <c r="P7332">
        <v>8406</v>
      </c>
      <c r="Q7332" t="s">
        <v>15188</v>
      </c>
      <c r="R7332" s="28" t="s">
        <v>3374</v>
      </c>
      <c r="S7332" t="s">
        <v>13022</v>
      </c>
    </row>
    <row r="7333" spans="1:19" x14ac:dyDescent="0.25">
      <c r="A7333" s="27" t="s">
        <v>193</v>
      </c>
      <c r="C7333" s="27" t="s">
        <v>34749</v>
      </c>
      <c r="D7333" s="28" t="s">
        <v>34867</v>
      </c>
      <c r="P7333">
        <v>8407</v>
      </c>
      <c r="Q7333" t="s">
        <v>15189</v>
      </c>
      <c r="R7333" s="28" t="s">
        <v>15190</v>
      </c>
      <c r="S7333" t="s">
        <v>13022</v>
      </c>
    </row>
    <row r="7334" spans="1:19" x14ac:dyDescent="0.25">
      <c r="A7334" s="27" t="s">
        <v>193</v>
      </c>
      <c r="C7334" s="27" t="s">
        <v>34749</v>
      </c>
      <c r="D7334" s="28" t="s">
        <v>34867</v>
      </c>
      <c r="P7334">
        <v>8408</v>
      </c>
      <c r="Q7334" t="s">
        <v>15191</v>
      </c>
      <c r="R7334" s="28" t="s">
        <v>10469</v>
      </c>
      <c r="S7334" t="s">
        <v>13022</v>
      </c>
    </row>
    <row r="7335" spans="1:19" x14ac:dyDescent="0.25">
      <c r="A7335" s="27" t="s">
        <v>193</v>
      </c>
      <c r="C7335" s="27" t="s">
        <v>34749</v>
      </c>
      <c r="D7335" s="28" t="s">
        <v>34867</v>
      </c>
      <c r="P7335">
        <v>8409</v>
      </c>
      <c r="Q7335" t="s">
        <v>10462</v>
      </c>
      <c r="R7335" s="28" t="s">
        <v>10463</v>
      </c>
      <c r="S7335" t="s">
        <v>13022</v>
      </c>
    </row>
    <row r="7336" spans="1:19" x14ac:dyDescent="0.25">
      <c r="A7336" s="27" t="s">
        <v>193</v>
      </c>
      <c r="C7336" s="27" t="s">
        <v>34749</v>
      </c>
      <c r="D7336" s="28" t="s">
        <v>34867</v>
      </c>
      <c r="P7336">
        <v>8411</v>
      </c>
      <c r="Q7336" t="s">
        <v>15192</v>
      </c>
      <c r="S7336" t="s">
        <v>13022</v>
      </c>
    </row>
    <row r="7337" spans="1:19" x14ac:dyDescent="0.25">
      <c r="A7337" s="27" t="s">
        <v>193</v>
      </c>
      <c r="C7337" s="27" t="s">
        <v>34749</v>
      </c>
      <c r="D7337" s="28" t="s">
        <v>34867</v>
      </c>
      <c r="P7337">
        <v>8412</v>
      </c>
      <c r="Q7337" t="s">
        <v>10620</v>
      </c>
      <c r="R7337" s="28" t="s">
        <v>10621</v>
      </c>
      <c r="S7337" t="s">
        <v>13022</v>
      </c>
    </row>
    <row r="7338" spans="1:19" x14ac:dyDescent="0.25">
      <c r="A7338" s="27" t="s">
        <v>193</v>
      </c>
      <c r="C7338" s="27" t="s">
        <v>34749</v>
      </c>
      <c r="D7338" s="28" t="s">
        <v>34867</v>
      </c>
      <c r="P7338">
        <v>8413</v>
      </c>
      <c r="Q7338" t="s">
        <v>10366</v>
      </c>
      <c r="R7338" s="28" t="s">
        <v>6573</v>
      </c>
      <c r="S7338" t="s">
        <v>13022</v>
      </c>
    </row>
    <row r="7339" spans="1:19" x14ac:dyDescent="0.25">
      <c r="A7339" s="27" t="s">
        <v>193</v>
      </c>
      <c r="C7339" s="27" t="s">
        <v>34749</v>
      </c>
      <c r="D7339" s="28" t="s">
        <v>34867</v>
      </c>
      <c r="P7339">
        <v>8414</v>
      </c>
      <c r="Q7339" t="s">
        <v>15193</v>
      </c>
      <c r="R7339" s="28" t="s">
        <v>15194</v>
      </c>
      <c r="S7339" t="s">
        <v>13022</v>
      </c>
    </row>
    <row r="7340" spans="1:19" x14ac:dyDescent="0.25">
      <c r="A7340" s="27" t="s">
        <v>193</v>
      </c>
      <c r="C7340" s="27" t="s">
        <v>34749</v>
      </c>
      <c r="D7340" s="28" t="s">
        <v>34867</v>
      </c>
      <c r="P7340">
        <v>8415</v>
      </c>
      <c r="Q7340" t="s">
        <v>10626</v>
      </c>
      <c r="R7340" s="28" t="s">
        <v>10627</v>
      </c>
      <c r="S7340" t="s">
        <v>13022</v>
      </c>
    </row>
    <row r="7341" spans="1:19" x14ac:dyDescent="0.25">
      <c r="A7341" s="27" t="s">
        <v>193</v>
      </c>
      <c r="C7341" s="27" t="s">
        <v>34749</v>
      </c>
      <c r="D7341" s="28" t="s">
        <v>34867</v>
      </c>
      <c r="P7341">
        <v>8416</v>
      </c>
      <c r="Q7341" t="s">
        <v>15195</v>
      </c>
      <c r="R7341" s="28" t="s">
        <v>10493</v>
      </c>
      <c r="S7341" t="s">
        <v>13022</v>
      </c>
    </row>
    <row r="7342" spans="1:19" x14ac:dyDescent="0.25">
      <c r="A7342" s="27" t="s">
        <v>193</v>
      </c>
      <c r="C7342" s="27" t="s">
        <v>34749</v>
      </c>
      <c r="D7342" s="28" t="s">
        <v>34867</v>
      </c>
      <c r="P7342">
        <v>8417</v>
      </c>
      <c r="Q7342" t="s">
        <v>10681</v>
      </c>
      <c r="R7342" s="28" t="s">
        <v>10682</v>
      </c>
      <c r="S7342" t="s">
        <v>13022</v>
      </c>
    </row>
    <row r="7343" spans="1:19" x14ac:dyDescent="0.25">
      <c r="A7343" s="27" t="s">
        <v>193</v>
      </c>
      <c r="C7343" s="27" t="s">
        <v>34749</v>
      </c>
      <c r="D7343" s="28" t="s">
        <v>34867</v>
      </c>
      <c r="P7343">
        <v>8418</v>
      </c>
      <c r="Q7343" t="s">
        <v>15196</v>
      </c>
      <c r="R7343" s="28" t="s">
        <v>10502</v>
      </c>
      <c r="S7343" t="s">
        <v>13022</v>
      </c>
    </row>
    <row r="7344" spans="1:19" x14ac:dyDescent="0.25">
      <c r="A7344" s="27" t="s">
        <v>193</v>
      </c>
      <c r="C7344" s="27" t="s">
        <v>34749</v>
      </c>
      <c r="D7344" s="28" t="s">
        <v>34867</v>
      </c>
      <c r="P7344">
        <v>8420</v>
      </c>
      <c r="Q7344" t="s">
        <v>10660</v>
      </c>
      <c r="R7344" s="28" t="s">
        <v>10661</v>
      </c>
      <c r="S7344" t="s">
        <v>13022</v>
      </c>
    </row>
    <row r="7345" spans="1:19" x14ac:dyDescent="0.25">
      <c r="A7345" s="27" t="s">
        <v>193</v>
      </c>
      <c r="C7345" s="27" t="s">
        <v>34749</v>
      </c>
      <c r="D7345" s="28" t="s">
        <v>34867</v>
      </c>
      <c r="P7345">
        <v>8421</v>
      </c>
      <c r="Q7345" t="s">
        <v>10585</v>
      </c>
      <c r="R7345" s="28" t="s">
        <v>10586</v>
      </c>
      <c r="S7345" t="s">
        <v>13022</v>
      </c>
    </row>
    <row r="7346" spans="1:19" x14ac:dyDescent="0.25">
      <c r="A7346" s="27" t="s">
        <v>193</v>
      </c>
      <c r="C7346" s="27" t="s">
        <v>34749</v>
      </c>
      <c r="D7346" s="28" t="s">
        <v>34867</v>
      </c>
      <c r="P7346">
        <v>8422</v>
      </c>
      <c r="Q7346" t="s">
        <v>15197</v>
      </c>
      <c r="R7346" s="28" t="s">
        <v>15198</v>
      </c>
      <c r="S7346" t="s">
        <v>13022</v>
      </c>
    </row>
    <row r="7347" spans="1:19" x14ac:dyDescent="0.25">
      <c r="A7347" s="27" t="s">
        <v>193</v>
      </c>
      <c r="C7347" s="27" t="s">
        <v>34749</v>
      </c>
      <c r="D7347" s="28" t="s">
        <v>34867</v>
      </c>
      <c r="P7347">
        <v>8423</v>
      </c>
      <c r="Q7347" t="s">
        <v>10519</v>
      </c>
      <c r="R7347" s="28" t="s">
        <v>10520</v>
      </c>
      <c r="S7347" t="s">
        <v>13022</v>
      </c>
    </row>
    <row r="7348" spans="1:19" x14ac:dyDescent="0.25">
      <c r="A7348" s="27" t="s">
        <v>193</v>
      </c>
      <c r="C7348" s="27" t="s">
        <v>34749</v>
      </c>
      <c r="D7348" s="28" t="s">
        <v>34867</v>
      </c>
      <c r="P7348">
        <v>8424</v>
      </c>
      <c r="Q7348" t="s">
        <v>10549</v>
      </c>
      <c r="R7348" s="28" t="s">
        <v>10550</v>
      </c>
      <c r="S7348" t="s">
        <v>13022</v>
      </c>
    </row>
    <row r="7349" spans="1:19" x14ac:dyDescent="0.25">
      <c r="A7349" s="27" t="s">
        <v>193</v>
      </c>
      <c r="C7349" s="27" t="s">
        <v>34749</v>
      </c>
      <c r="D7349" s="28" t="s">
        <v>34867</v>
      </c>
      <c r="P7349">
        <v>8425</v>
      </c>
      <c r="Q7349" t="s">
        <v>10543</v>
      </c>
      <c r="R7349" s="28" t="s">
        <v>10544</v>
      </c>
      <c r="S7349" t="s">
        <v>13022</v>
      </c>
    </row>
    <row r="7350" spans="1:19" x14ac:dyDescent="0.25">
      <c r="A7350" s="27" t="s">
        <v>193</v>
      </c>
      <c r="C7350" s="27" t="s">
        <v>34749</v>
      </c>
      <c r="D7350" s="28" t="s">
        <v>34867</v>
      </c>
      <c r="P7350">
        <v>8426</v>
      </c>
      <c r="Q7350" t="s">
        <v>15199</v>
      </c>
      <c r="R7350" s="28" t="s">
        <v>10562</v>
      </c>
      <c r="S7350" t="s">
        <v>13022</v>
      </c>
    </row>
    <row r="7351" spans="1:19" x14ac:dyDescent="0.25">
      <c r="A7351" s="27" t="s">
        <v>193</v>
      </c>
      <c r="C7351" s="27" t="s">
        <v>34749</v>
      </c>
      <c r="D7351" s="28" t="s">
        <v>34867</v>
      </c>
      <c r="P7351">
        <v>8427</v>
      </c>
      <c r="Q7351" t="s">
        <v>15200</v>
      </c>
      <c r="R7351" s="28" t="s">
        <v>10565</v>
      </c>
      <c r="S7351" t="s">
        <v>13022</v>
      </c>
    </row>
    <row r="7352" spans="1:19" x14ac:dyDescent="0.25">
      <c r="A7352" s="27" t="s">
        <v>193</v>
      </c>
      <c r="C7352" s="27" t="s">
        <v>34749</v>
      </c>
      <c r="D7352" s="28" t="s">
        <v>34867</v>
      </c>
      <c r="P7352">
        <v>8428</v>
      </c>
      <c r="Q7352" t="s">
        <v>3379</v>
      </c>
      <c r="R7352" s="28" t="s">
        <v>3380</v>
      </c>
      <c r="S7352" t="s">
        <v>13022</v>
      </c>
    </row>
    <row r="7353" spans="1:19" x14ac:dyDescent="0.25">
      <c r="A7353" s="27" t="s">
        <v>193</v>
      </c>
      <c r="C7353" s="27" t="s">
        <v>34749</v>
      </c>
      <c r="D7353" s="28" t="s">
        <v>34867</v>
      </c>
      <c r="P7353">
        <v>8429</v>
      </c>
      <c r="Q7353" t="s">
        <v>15201</v>
      </c>
      <c r="R7353" s="28" t="s">
        <v>3227</v>
      </c>
      <c r="S7353" t="s">
        <v>13022</v>
      </c>
    </row>
    <row r="7354" spans="1:19" x14ac:dyDescent="0.25">
      <c r="A7354" s="27" t="s">
        <v>193</v>
      </c>
      <c r="C7354" s="27" t="s">
        <v>34749</v>
      </c>
      <c r="D7354" s="28" t="s">
        <v>34867</v>
      </c>
      <c r="P7354">
        <v>8430</v>
      </c>
      <c r="Q7354" t="s">
        <v>15202</v>
      </c>
      <c r="R7354" s="28" t="s">
        <v>3509</v>
      </c>
      <c r="S7354" t="s">
        <v>13022</v>
      </c>
    </row>
    <row r="7355" spans="1:19" x14ac:dyDescent="0.25">
      <c r="A7355" s="27" t="s">
        <v>193</v>
      </c>
      <c r="C7355" s="27" t="s">
        <v>34749</v>
      </c>
      <c r="D7355" s="28" t="s">
        <v>34867</v>
      </c>
      <c r="P7355">
        <v>8431</v>
      </c>
      <c r="Q7355" t="s">
        <v>15203</v>
      </c>
      <c r="R7355" s="28" t="s">
        <v>15204</v>
      </c>
      <c r="S7355" t="s">
        <v>13022</v>
      </c>
    </row>
    <row r="7356" spans="1:19" x14ac:dyDescent="0.25">
      <c r="A7356" s="27" t="s">
        <v>193</v>
      </c>
      <c r="C7356" s="27" t="s">
        <v>34749</v>
      </c>
      <c r="D7356" s="28" t="s">
        <v>34867</v>
      </c>
      <c r="P7356">
        <v>8432</v>
      </c>
      <c r="Q7356" t="s">
        <v>15205</v>
      </c>
      <c r="R7356" s="28" t="s">
        <v>15206</v>
      </c>
      <c r="S7356" t="s">
        <v>13022</v>
      </c>
    </row>
    <row r="7357" spans="1:19" x14ac:dyDescent="0.25">
      <c r="A7357" s="27" t="s">
        <v>193</v>
      </c>
      <c r="C7357" s="27" t="s">
        <v>34749</v>
      </c>
      <c r="D7357" s="28" t="s">
        <v>34867</v>
      </c>
      <c r="P7357">
        <v>8434</v>
      </c>
      <c r="Q7357" t="s">
        <v>10498</v>
      </c>
      <c r="R7357" s="28" t="s">
        <v>10499</v>
      </c>
      <c r="S7357" t="s">
        <v>13022</v>
      </c>
    </row>
    <row r="7358" spans="1:19" x14ac:dyDescent="0.25">
      <c r="A7358" s="27" t="s">
        <v>193</v>
      </c>
      <c r="C7358" s="27" t="s">
        <v>34749</v>
      </c>
      <c r="D7358" s="28" t="s">
        <v>34867</v>
      </c>
      <c r="P7358">
        <v>8435</v>
      </c>
      <c r="Q7358" t="s">
        <v>10534</v>
      </c>
      <c r="R7358" s="28" t="s">
        <v>10535</v>
      </c>
      <c r="S7358" t="s">
        <v>13022</v>
      </c>
    </row>
    <row r="7359" spans="1:19" x14ac:dyDescent="0.25">
      <c r="A7359" s="27" t="s">
        <v>193</v>
      </c>
      <c r="C7359" s="27" t="s">
        <v>34749</v>
      </c>
      <c r="D7359" s="28" t="s">
        <v>34867</v>
      </c>
      <c r="P7359">
        <v>8436</v>
      </c>
      <c r="Q7359" t="s">
        <v>10576</v>
      </c>
      <c r="R7359" s="28" t="s">
        <v>10577</v>
      </c>
      <c r="S7359" t="s">
        <v>13022</v>
      </c>
    </row>
    <row r="7360" spans="1:19" x14ac:dyDescent="0.25">
      <c r="A7360" s="27" t="s">
        <v>193</v>
      </c>
      <c r="C7360" s="27" t="s">
        <v>34749</v>
      </c>
      <c r="D7360" s="28" t="s">
        <v>34867</v>
      </c>
      <c r="P7360">
        <v>8437</v>
      </c>
      <c r="Q7360" t="s">
        <v>10504</v>
      </c>
      <c r="R7360" s="28" t="s">
        <v>10505</v>
      </c>
      <c r="S7360" t="s">
        <v>13022</v>
      </c>
    </row>
    <row r="7361" spans="1:19" x14ac:dyDescent="0.25">
      <c r="A7361" s="27" t="s">
        <v>193</v>
      </c>
      <c r="C7361" s="27" t="s">
        <v>34749</v>
      </c>
      <c r="D7361" s="28" t="s">
        <v>34867</v>
      </c>
      <c r="P7361">
        <v>8438</v>
      </c>
      <c r="Q7361" t="s">
        <v>15207</v>
      </c>
      <c r="R7361" s="28" t="s">
        <v>3512</v>
      </c>
      <c r="S7361" t="s">
        <v>13022</v>
      </c>
    </row>
    <row r="7362" spans="1:19" x14ac:dyDescent="0.25">
      <c r="A7362" s="27" t="s">
        <v>193</v>
      </c>
      <c r="C7362" s="27" t="s">
        <v>34749</v>
      </c>
      <c r="D7362" s="28" t="s">
        <v>34867</v>
      </c>
      <c r="P7362">
        <v>8439</v>
      </c>
      <c r="Q7362" t="s">
        <v>15208</v>
      </c>
      <c r="S7362" t="s">
        <v>13022</v>
      </c>
    </row>
    <row r="7363" spans="1:19" x14ac:dyDescent="0.25">
      <c r="A7363" s="27" t="s">
        <v>193</v>
      </c>
      <c r="C7363" s="27" t="s">
        <v>34749</v>
      </c>
      <c r="D7363" s="28" t="s">
        <v>34867</v>
      </c>
      <c r="P7363">
        <v>8440</v>
      </c>
      <c r="Q7363" t="s">
        <v>15209</v>
      </c>
      <c r="R7363" s="28" t="s">
        <v>3365</v>
      </c>
      <c r="S7363" t="s">
        <v>13022</v>
      </c>
    </row>
    <row r="7364" spans="1:19" x14ac:dyDescent="0.25">
      <c r="A7364" s="27" t="s">
        <v>193</v>
      </c>
      <c r="C7364" s="27" t="s">
        <v>34749</v>
      </c>
      <c r="D7364" s="28" t="s">
        <v>34867</v>
      </c>
      <c r="P7364">
        <v>8441</v>
      </c>
      <c r="Q7364" t="s">
        <v>10617</v>
      </c>
      <c r="R7364" s="28" t="s">
        <v>10618</v>
      </c>
      <c r="S7364" t="s">
        <v>13022</v>
      </c>
    </row>
    <row r="7365" spans="1:19" x14ac:dyDescent="0.25">
      <c r="A7365" s="27" t="s">
        <v>193</v>
      </c>
      <c r="C7365" s="27" t="s">
        <v>34749</v>
      </c>
      <c r="D7365" s="28" t="s">
        <v>34867</v>
      </c>
      <c r="P7365">
        <v>8443</v>
      </c>
      <c r="Q7365" t="s">
        <v>10629</v>
      </c>
      <c r="R7365" s="28" t="s">
        <v>10630</v>
      </c>
      <c r="S7365" t="s">
        <v>13022</v>
      </c>
    </row>
    <row r="7366" spans="1:19" x14ac:dyDescent="0.25">
      <c r="A7366" s="27" t="s">
        <v>193</v>
      </c>
      <c r="C7366" s="27" t="s">
        <v>34749</v>
      </c>
      <c r="D7366" s="28" t="s">
        <v>34867</v>
      </c>
      <c r="P7366">
        <v>8444</v>
      </c>
      <c r="Q7366" t="s">
        <v>10632</v>
      </c>
      <c r="R7366" s="28" t="s">
        <v>10633</v>
      </c>
      <c r="S7366" t="s">
        <v>13022</v>
      </c>
    </row>
    <row r="7367" spans="1:19" x14ac:dyDescent="0.25">
      <c r="A7367" s="27" t="s">
        <v>193</v>
      </c>
      <c r="C7367" s="27" t="s">
        <v>34749</v>
      </c>
      <c r="D7367" s="28" t="s">
        <v>34867</v>
      </c>
      <c r="P7367">
        <v>8445</v>
      </c>
      <c r="Q7367" t="s">
        <v>5761</v>
      </c>
      <c r="R7367" s="28" t="s">
        <v>5762</v>
      </c>
      <c r="S7367" t="s">
        <v>13022</v>
      </c>
    </row>
    <row r="7368" spans="1:19" x14ac:dyDescent="0.25">
      <c r="A7368" s="27" t="s">
        <v>193</v>
      </c>
      <c r="C7368" s="27" t="s">
        <v>34749</v>
      </c>
      <c r="D7368" s="28" t="s">
        <v>34867</v>
      </c>
      <c r="P7368">
        <v>8446</v>
      </c>
      <c r="Q7368" t="s">
        <v>5782</v>
      </c>
      <c r="R7368" s="28" t="s">
        <v>5783</v>
      </c>
      <c r="S7368" t="s">
        <v>13022</v>
      </c>
    </row>
    <row r="7369" spans="1:19" x14ac:dyDescent="0.25">
      <c r="A7369" s="27" t="s">
        <v>193</v>
      </c>
      <c r="C7369" s="27" t="s">
        <v>34749</v>
      </c>
      <c r="D7369" s="28" t="s">
        <v>34867</v>
      </c>
      <c r="P7369">
        <v>8447</v>
      </c>
      <c r="Q7369" t="s">
        <v>10635</v>
      </c>
      <c r="R7369" s="28" t="s">
        <v>10636</v>
      </c>
      <c r="S7369" t="s">
        <v>13022</v>
      </c>
    </row>
    <row r="7370" spans="1:19" x14ac:dyDescent="0.25">
      <c r="A7370" s="27" t="s">
        <v>193</v>
      </c>
      <c r="C7370" s="27" t="s">
        <v>34749</v>
      </c>
      <c r="D7370" s="28" t="s">
        <v>34867</v>
      </c>
      <c r="P7370">
        <v>8448</v>
      </c>
      <c r="Q7370" t="s">
        <v>10672</v>
      </c>
      <c r="R7370" s="28" t="s">
        <v>10673</v>
      </c>
      <c r="S7370" t="s">
        <v>13022</v>
      </c>
    </row>
    <row r="7371" spans="1:19" x14ac:dyDescent="0.25">
      <c r="A7371" s="27" t="s">
        <v>193</v>
      </c>
      <c r="C7371" s="27" t="s">
        <v>34749</v>
      </c>
      <c r="D7371" s="28" t="s">
        <v>34867</v>
      </c>
      <c r="P7371">
        <v>8449</v>
      </c>
      <c r="Q7371" t="s">
        <v>10684</v>
      </c>
      <c r="R7371" s="28" t="s">
        <v>10685</v>
      </c>
      <c r="S7371" t="s">
        <v>13022</v>
      </c>
    </row>
    <row r="7372" spans="1:19" x14ac:dyDescent="0.25">
      <c r="A7372" s="27" t="s">
        <v>193</v>
      </c>
      <c r="C7372" s="27" t="s">
        <v>34749</v>
      </c>
      <c r="D7372" s="28" t="s">
        <v>34867</v>
      </c>
      <c r="P7372">
        <v>8450</v>
      </c>
      <c r="Q7372" t="s">
        <v>6052</v>
      </c>
      <c r="R7372" s="28" t="s">
        <v>6053</v>
      </c>
      <c r="S7372" t="s">
        <v>13022</v>
      </c>
    </row>
    <row r="7373" spans="1:19" x14ac:dyDescent="0.25">
      <c r="A7373" s="27" t="s">
        <v>193</v>
      </c>
      <c r="C7373" s="27" t="s">
        <v>34749</v>
      </c>
      <c r="D7373" s="28" t="s">
        <v>34867</v>
      </c>
      <c r="P7373">
        <v>8451</v>
      </c>
      <c r="Q7373" t="s">
        <v>15210</v>
      </c>
      <c r="R7373" s="28" t="s">
        <v>15211</v>
      </c>
      <c r="S7373" t="s">
        <v>13022</v>
      </c>
    </row>
    <row r="7374" spans="1:19" x14ac:dyDescent="0.25">
      <c r="A7374" s="27" t="s">
        <v>193</v>
      </c>
      <c r="C7374" s="27" t="s">
        <v>34749</v>
      </c>
      <c r="D7374" s="28" t="s">
        <v>34867</v>
      </c>
      <c r="P7374">
        <v>8452</v>
      </c>
      <c r="Q7374" t="s">
        <v>10690</v>
      </c>
      <c r="R7374" s="28" t="s">
        <v>10691</v>
      </c>
      <c r="S7374" t="s">
        <v>13022</v>
      </c>
    </row>
    <row r="7375" spans="1:19" x14ac:dyDescent="0.25">
      <c r="A7375" s="27" t="s">
        <v>193</v>
      </c>
      <c r="C7375" s="27" t="s">
        <v>34749</v>
      </c>
      <c r="D7375" s="28" t="s">
        <v>34867</v>
      </c>
      <c r="P7375">
        <v>8453</v>
      </c>
      <c r="Q7375" t="s">
        <v>10693</v>
      </c>
      <c r="R7375" s="28" t="s">
        <v>10694</v>
      </c>
      <c r="S7375" t="s">
        <v>13022</v>
      </c>
    </row>
    <row r="7376" spans="1:19" x14ac:dyDescent="0.25">
      <c r="A7376" s="27" t="s">
        <v>193</v>
      </c>
      <c r="C7376" s="27" t="s">
        <v>34749</v>
      </c>
      <c r="D7376" s="28" t="s">
        <v>34867</v>
      </c>
      <c r="P7376">
        <v>8454</v>
      </c>
      <c r="Q7376" t="s">
        <v>15212</v>
      </c>
      <c r="R7376" s="28" t="s">
        <v>10697</v>
      </c>
      <c r="S7376" t="s">
        <v>13022</v>
      </c>
    </row>
    <row r="7377" spans="1:19" x14ac:dyDescent="0.25">
      <c r="A7377" s="27" t="s">
        <v>193</v>
      </c>
      <c r="C7377" s="27" t="s">
        <v>34749</v>
      </c>
      <c r="D7377" s="28" t="s">
        <v>34867</v>
      </c>
      <c r="P7377">
        <v>8455</v>
      </c>
      <c r="Q7377" t="s">
        <v>15213</v>
      </c>
      <c r="R7377" s="28" t="s">
        <v>5999</v>
      </c>
      <c r="S7377" t="s">
        <v>13022</v>
      </c>
    </row>
    <row r="7378" spans="1:19" x14ac:dyDescent="0.25">
      <c r="A7378" s="27" t="s">
        <v>193</v>
      </c>
      <c r="C7378" s="27" t="s">
        <v>34749</v>
      </c>
      <c r="D7378" s="28" t="s">
        <v>34867</v>
      </c>
      <c r="P7378">
        <v>8456</v>
      </c>
      <c r="Q7378" t="s">
        <v>10708</v>
      </c>
      <c r="R7378" s="28" t="s">
        <v>10709</v>
      </c>
      <c r="S7378" t="s">
        <v>13022</v>
      </c>
    </row>
    <row r="7379" spans="1:19" x14ac:dyDescent="0.25">
      <c r="A7379" s="27" t="s">
        <v>193</v>
      </c>
      <c r="C7379" s="27" t="s">
        <v>34749</v>
      </c>
      <c r="D7379" s="28" t="s">
        <v>34867</v>
      </c>
      <c r="P7379">
        <v>8457</v>
      </c>
      <c r="Q7379" t="s">
        <v>10723</v>
      </c>
      <c r="R7379" s="28" t="s">
        <v>10724</v>
      </c>
      <c r="S7379" t="s">
        <v>13022</v>
      </c>
    </row>
    <row r="7380" spans="1:19" x14ac:dyDescent="0.25">
      <c r="A7380" s="27" t="s">
        <v>193</v>
      </c>
      <c r="C7380" s="27" t="s">
        <v>34749</v>
      </c>
      <c r="D7380" s="28" t="s">
        <v>34867</v>
      </c>
      <c r="P7380">
        <v>8458</v>
      </c>
      <c r="Q7380" t="s">
        <v>15214</v>
      </c>
      <c r="R7380" s="28" t="s">
        <v>15215</v>
      </c>
      <c r="S7380" t="s">
        <v>13022</v>
      </c>
    </row>
    <row r="7381" spans="1:19" x14ac:dyDescent="0.25">
      <c r="A7381" s="27" t="s">
        <v>193</v>
      </c>
      <c r="C7381" s="27" t="s">
        <v>34749</v>
      </c>
      <c r="D7381" s="28" t="s">
        <v>34867</v>
      </c>
      <c r="P7381">
        <v>8459</v>
      </c>
      <c r="Q7381" t="s">
        <v>15216</v>
      </c>
      <c r="R7381" s="28" t="s">
        <v>5910</v>
      </c>
      <c r="S7381" t="s">
        <v>13022</v>
      </c>
    </row>
    <row r="7382" spans="1:19" x14ac:dyDescent="0.25">
      <c r="A7382" s="27" t="s">
        <v>193</v>
      </c>
      <c r="C7382" s="27" t="s">
        <v>34749</v>
      </c>
      <c r="D7382" s="28" t="s">
        <v>34867</v>
      </c>
      <c r="P7382">
        <v>8460</v>
      </c>
      <c r="Q7382" t="s">
        <v>2115</v>
      </c>
      <c r="R7382" s="28" t="s">
        <v>2116</v>
      </c>
      <c r="S7382" t="s">
        <v>13022</v>
      </c>
    </row>
    <row r="7383" spans="1:19" x14ac:dyDescent="0.25">
      <c r="A7383" s="27" t="s">
        <v>193</v>
      </c>
      <c r="C7383" s="27" t="s">
        <v>34749</v>
      </c>
      <c r="D7383" s="28" t="s">
        <v>34867</v>
      </c>
      <c r="P7383">
        <v>8461</v>
      </c>
      <c r="Q7383" t="s">
        <v>2640</v>
      </c>
      <c r="R7383" s="28" t="s">
        <v>2641</v>
      </c>
      <c r="S7383" t="s">
        <v>13022</v>
      </c>
    </row>
    <row r="7384" spans="1:19" x14ac:dyDescent="0.25">
      <c r="A7384" s="27" t="s">
        <v>193</v>
      </c>
      <c r="C7384" s="27" t="s">
        <v>34749</v>
      </c>
      <c r="D7384" s="28" t="s">
        <v>34867</v>
      </c>
      <c r="P7384">
        <v>8462</v>
      </c>
      <c r="Q7384" t="s">
        <v>10729</v>
      </c>
      <c r="R7384" s="28" t="s">
        <v>10730</v>
      </c>
      <c r="S7384" t="s">
        <v>13022</v>
      </c>
    </row>
    <row r="7385" spans="1:19" x14ac:dyDescent="0.25">
      <c r="A7385" s="27" t="s">
        <v>193</v>
      </c>
      <c r="C7385" s="27" t="s">
        <v>34749</v>
      </c>
      <c r="D7385" s="28" t="s">
        <v>34867</v>
      </c>
      <c r="P7385">
        <v>8463</v>
      </c>
      <c r="Q7385" t="s">
        <v>15217</v>
      </c>
      <c r="S7385" t="s">
        <v>13022</v>
      </c>
    </row>
    <row r="7386" spans="1:19" x14ac:dyDescent="0.25">
      <c r="A7386" s="27" t="s">
        <v>193</v>
      </c>
      <c r="C7386" s="27" t="s">
        <v>34749</v>
      </c>
      <c r="D7386" s="28" t="s">
        <v>34867</v>
      </c>
      <c r="P7386">
        <v>8464</v>
      </c>
      <c r="Q7386" t="s">
        <v>15218</v>
      </c>
      <c r="S7386" t="s">
        <v>13022</v>
      </c>
    </row>
    <row r="7387" spans="1:19" x14ac:dyDescent="0.25">
      <c r="A7387" s="27" t="s">
        <v>193</v>
      </c>
      <c r="C7387" s="27" t="s">
        <v>34749</v>
      </c>
      <c r="D7387" s="28" t="s">
        <v>34867</v>
      </c>
      <c r="P7387">
        <v>8465</v>
      </c>
      <c r="Q7387" t="s">
        <v>10741</v>
      </c>
      <c r="R7387" s="28" t="s">
        <v>10742</v>
      </c>
      <c r="S7387" t="s">
        <v>13022</v>
      </c>
    </row>
    <row r="7388" spans="1:19" x14ac:dyDescent="0.25">
      <c r="A7388" s="27" t="s">
        <v>193</v>
      </c>
      <c r="C7388" s="27" t="s">
        <v>34749</v>
      </c>
      <c r="D7388" s="28" t="s">
        <v>34867</v>
      </c>
      <c r="P7388">
        <v>8466</v>
      </c>
      <c r="Q7388" t="s">
        <v>10750</v>
      </c>
      <c r="R7388" s="28" t="s">
        <v>10751</v>
      </c>
      <c r="S7388" t="s">
        <v>13022</v>
      </c>
    </row>
    <row r="7389" spans="1:19" x14ac:dyDescent="0.25">
      <c r="A7389" s="27" t="s">
        <v>193</v>
      </c>
      <c r="C7389" s="27" t="s">
        <v>34749</v>
      </c>
      <c r="D7389" s="28" t="s">
        <v>34867</v>
      </c>
      <c r="P7389">
        <v>8467</v>
      </c>
      <c r="Q7389" t="s">
        <v>15219</v>
      </c>
      <c r="R7389" s="28" t="s">
        <v>10772</v>
      </c>
      <c r="S7389" t="s">
        <v>13022</v>
      </c>
    </row>
    <row r="7390" spans="1:19" x14ac:dyDescent="0.25">
      <c r="A7390" s="27" t="s">
        <v>193</v>
      </c>
      <c r="C7390" s="27" t="s">
        <v>34749</v>
      </c>
      <c r="D7390" s="28" t="s">
        <v>34867</v>
      </c>
      <c r="P7390">
        <v>8468</v>
      </c>
      <c r="Q7390" t="s">
        <v>10789</v>
      </c>
      <c r="R7390" s="28" t="s">
        <v>10790</v>
      </c>
      <c r="S7390" t="s">
        <v>13022</v>
      </c>
    </row>
    <row r="7391" spans="1:19" x14ac:dyDescent="0.25">
      <c r="A7391" s="27" t="s">
        <v>193</v>
      </c>
      <c r="C7391" s="27" t="s">
        <v>34749</v>
      </c>
      <c r="D7391" s="28" t="s">
        <v>34867</v>
      </c>
      <c r="P7391">
        <v>8469</v>
      </c>
      <c r="Q7391" t="s">
        <v>10792</v>
      </c>
      <c r="R7391" s="28" t="s">
        <v>10793</v>
      </c>
      <c r="S7391" t="s">
        <v>13022</v>
      </c>
    </row>
    <row r="7392" spans="1:19" x14ac:dyDescent="0.25">
      <c r="A7392" s="27" t="s">
        <v>193</v>
      </c>
      <c r="C7392" s="27" t="s">
        <v>34749</v>
      </c>
      <c r="D7392" s="28" t="s">
        <v>34867</v>
      </c>
      <c r="P7392">
        <v>8470</v>
      </c>
      <c r="Q7392" t="s">
        <v>10801</v>
      </c>
      <c r="R7392" s="28" t="s">
        <v>10802</v>
      </c>
      <c r="S7392" t="s">
        <v>13022</v>
      </c>
    </row>
    <row r="7393" spans="1:19" x14ac:dyDescent="0.25">
      <c r="A7393" s="27" t="s">
        <v>193</v>
      </c>
      <c r="C7393" s="27" t="s">
        <v>34749</v>
      </c>
      <c r="D7393" s="28" t="s">
        <v>34867</v>
      </c>
      <c r="P7393">
        <v>8471</v>
      </c>
      <c r="Q7393" t="s">
        <v>6428</v>
      </c>
      <c r="R7393" s="28" t="s">
        <v>6429</v>
      </c>
      <c r="S7393" t="s">
        <v>13022</v>
      </c>
    </row>
    <row r="7394" spans="1:19" x14ac:dyDescent="0.25">
      <c r="A7394" s="27" t="s">
        <v>193</v>
      </c>
      <c r="C7394" s="27" t="s">
        <v>34749</v>
      </c>
      <c r="D7394" s="28" t="s">
        <v>34867</v>
      </c>
      <c r="P7394">
        <v>8472</v>
      </c>
      <c r="Q7394" t="s">
        <v>6431</v>
      </c>
      <c r="R7394" s="28" t="s">
        <v>6432</v>
      </c>
      <c r="S7394" t="s">
        <v>13022</v>
      </c>
    </row>
    <row r="7395" spans="1:19" x14ac:dyDescent="0.25">
      <c r="A7395" s="27" t="s">
        <v>193</v>
      </c>
      <c r="C7395" s="27" t="s">
        <v>34749</v>
      </c>
      <c r="D7395" s="28" t="s">
        <v>34867</v>
      </c>
      <c r="P7395">
        <v>8473</v>
      </c>
      <c r="Q7395" t="s">
        <v>6440</v>
      </c>
      <c r="R7395" s="28" t="s">
        <v>6441</v>
      </c>
      <c r="S7395" t="s">
        <v>13022</v>
      </c>
    </row>
    <row r="7396" spans="1:19" x14ac:dyDescent="0.25">
      <c r="A7396" s="27" t="s">
        <v>193</v>
      </c>
      <c r="C7396" s="27" t="s">
        <v>34749</v>
      </c>
      <c r="D7396" s="28" t="s">
        <v>34867</v>
      </c>
      <c r="P7396">
        <v>8474</v>
      </c>
      <c r="Q7396" t="s">
        <v>15220</v>
      </c>
      <c r="R7396" s="28" t="s">
        <v>6483</v>
      </c>
      <c r="S7396" t="s">
        <v>13022</v>
      </c>
    </row>
    <row r="7397" spans="1:19" x14ac:dyDescent="0.25">
      <c r="A7397" s="27" t="s">
        <v>193</v>
      </c>
      <c r="C7397" s="27" t="s">
        <v>34749</v>
      </c>
      <c r="D7397" s="28" t="s">
        <v>34867</v>
      </c>
      <c r="P7397">
        <v>8475</v>
      </c>
      <c r="Q7397" t="s">
        <v>15221</v>
      </c>
      <c r="R7397" s="28" t="s">
        <v>3455</v>
      </c>
      <c r="S7397" t="s">
        <v>13022</v>
      </c>
    </row>
    <row r="7398" spans="1:19" x14ac:dyDescent="0.25">
      <c r="A7398" s="27" t="s">
        <v>193</v>
      </c>
      <c r="C7398" s="27" t="s">
        <v>34749</v>
      </c>
      <c r="D7398" s="28" t="s">
        <v>34867</v>
      </c>
      <c r="P7398">
        <v>8476</v>
      </c>
      <c r="Q7398" t="s">
        <v>15222</v>
      </c>
      <c r="R7398" s="28" t="s">
        <v>6474</v>
      </c>
      <c r="S7398" t="s">
        <v>13022</v>
      </c>
    </row>
    <row r="7399" spans="1:19" x14ac:dyDescent="0.25">
      <c r="A7399" s="27" t="s">
        <v>193</v>
      </c>
      <c r="C7399" s="27" t="s">
        <v>34749</v>
      </c>
      <c r="D7399" s="28" t="s">
        <v>34867</v>
      </c>
      <c r="P7399">
        <v>8478</v>
      </c>
      <c r="Q7399" t="s">
        <v>10843</v>
      </c>
      <c r="R7399" s="28" t="s">
        <v>10844</v>
      </c>
      <c r="S7399" t="s">
        <v>13022</v>
      </c>
    </row>
    <row r="7400" spans="1:19" x14ac:dyDescent="0.25">
      <c r="A7400" s="27" t="s">
        <v>193</v>
      </c>
      <c r="C7400" s="27" t="s">
        <v>34749</v>
      </c>
      <c r="D7400" s="28" t="s">
        <v>34867</v>
      </c>
      <c r="P7400">
        <v>8479</v>
      </c>
      <c r="Q7400" t="s">
        <v>10867</v>
      </c>
      <c r="R7400" s="28" t="s">
        <v>10868</v>
      </c>
      <c r="S7400" t="s">
        <v>13022</v>
      </c>
    </row>
    <row r="7401" spans="1:19" x14ac:dyDescent="0.25">
      <c r="A7401" s="27" t="s">
        <v>193</v>
      </c>
      <c r="C7401" s="27" t="s">
        <v>34749</v>
      </c>
      <c r="D7401" s="28" t="s">
        <v>34867</v>
      </c>
      <c r="P7401">
        <v>8480</v>
      </c>
      <c r="Q7401" t="s">
        <v>10864</v>
      </c>
      <c r="R7401" s="28" t="s">
        <v>10865</v>
      </c>
      <c r="S7401" t="s">
        <v>13022</v>
      </c>
    </row>
    <row r="7402" spans="1:19" x14ac:dyDescent="0.25">
      <c r="A7402" s="27" t="s">
        <v>193</v>
      </c>
      <c r="C7402" s="27" t="s">
        <v>34749</v>
      </c>
      <c r="D7402" s="28" t="s">
        <v>34867</v>
      </c>
      <c r="P7402">
        <v>8481</v>
      </c>
      <c r="Q7402" t="s">
        <v>10870</v>
      </c>
      <c r="R7402" s="28" t="s">
        <v>10871</v>
      </c>
      <c r="S7402" t="s">
        <v>13022</v>
      </c>
    </row>
    <row r="7403" spans="1:19" x14ac:dyDescent="0.25">
      <c r="A7403" s="27" t="s">
        <v>193</v>
      </c>
      <c r="C7403" s="27" t="s">
        <v>34749</v>
      </c>
      <c r="D7403" s="28" t="s">
        <v>34867</v>
      </c>
      <c r="P7403">
        <v>8482</v>
      </c>
      <c r="Q7403" t="s">
        <v>15223</v>
      </c>
      <c r="R7403" s="28" t="s">
        <v>3635</v>
      </c>
      <c r="S7403" t="s">
        <v>13022</v>
      </c>
    </row>
    <row r="7404" spans="1:19" x14ac:dyDescent="0.25">
      <c r="A7404" s="27" t="s">
        <v>193</v>
      </c>
      <c r="C7404" s="27" t="s">
        <v>34749</v>
      </c>
      <c r="D7404" s="28" t="s">
        <v>34867</v>
      </c>
      <c r="P7404">
        <v>8483</v>
      </c>
      <c r="Q7404" t="s">
        <v>15224</v>
      </c>
      <c r="R7404" s="28" t="s">
        <v>3524</v>
      </c>
      <c r="S7404" t="s">
        <v>13022</v>
      </c>
    </row>
    <row r="7405" spans="1:19" x14ac:dyDescent="0.25">
      <c r="A7405" s="27" t="s">
        <v>193</v>
      </c>
      <c r="C7405" s="27" t="s">
        <v>34749</v>
      </c>
      <c r="D7405" s="28" t="s">
        <v>34867</v>
      </c>
      <c r="P7405">
        <v>8484</v>
      </c>
      <c r="Q7405" t="s">
        <v>15225</v>
      </c>
      <c r="R7405" s="28" t="s">
        <v>15226</v>
      </c>
      <c r="S7405" t="s">
        <v>13022</v>
      </c>
    </row>
    <row r="7406" spans="1:19" x14ac:dyDescent="0.25">
      <c r="A7406" s="27" t="s">
        <v>193</v>
      </c>
      <c r="C7406" s="27" t="s">
        <v>34749</v>
      </c>
      <c r="D7406" s="28" t="s">
        <v>34867</v>
      </c>
      <c r="P7406">
        <v>8485</v>
      </c>
      <c r="Q7406" t="s">
        <v>10876</v>
      </c>
      <c r="R7406" s="28" t="s">
        <v>10877</v>
      </c>
      <c r="S7406" t="s">
        <v>13022</v>
      </c>
    </row>
    <row r="7407" spans="1:19" x14ac:dyDescent="0.25">
      <c r="A7407" s="27" t="s">
        <v>193</v>
      </c>
      <c r="C7407" s="27" t="s">
        <v>34749</v>
      </c>
      <c r="D7407" s="28" t="s">
        <v>34867</v>
      </c>
      <c r="P7407">
        <v>8486</v>
      </c>
      <c r="Q7407" t="s">
        <v>10888</v>
      </c>
      <c r="R7407" s="28" t="s">
        <v>10889</v>
      </c>
      <c r="S7407" t="s">
        <v>13022</v>
      </c>
    </row>
    <row r="7408" spans="1:19" x14ac:dyDescent="0.25">
      <c r="A7408" s="27" t="s">
        <v>193</v>
      </c>
      <c r="C7408" s="27" t="s">
        <v>34749</v>
      </c>
      <c r="D7408" s="28" t="s">
        <v>34867</v>
      </c>
      <c r="P7408">
        <v>8487</v>
      </c>
      <c r="Q7408" t="s">
        <v>10879</v>
      </c>
      <c r="R7408" s="28" t="s">
        <v>10880</v>
      </c>
      <c r="S7408" t="s">
        <v>13022</v>
      </c>
    </row>
    <row r="7409" spans="1:19" x14ac:dyDescent="0.25">
      <c r="A7409" s="27" t="s">
        <v>193</v>
      </c>
      <c r="C7409" s="27" t="s">
        <v>34749</v>
      </c>
      <c r="D7409" s="28" t="s">
        <v>34867</v>
      </c>
      <c r="P7409">
        <v>8488</v>
      </c>
      <c r="Q7409" t="s">
        <v>10891</v>
      </c>
      <c r="R7409" s="28" t="s">
        <v>10892</v>
      </c>
      <c r="S7409" t="s">
        <v>13022</v>
      </c>
    </row>
    <row r="7410" spans="1:19" x14ac:dyDescent="0.25">
      <c r="A7410" s="27" t="s">
        <v>193</v>
      </c>
      <c r="C7410" s="27" t="s">
        <v>34749</v>
      </c>
      <c r="D7410" s="28" t="s">
        <v>34867</v>
      </c>
      <c r="P7410">
        <v>8489</v>
      </c>
      <c r="Q7410" t="s">
        <v>7039</v>
      </c>
      <c r="R7410" s="28" t="s">
        <v>7040</v>
      </c>
      <c r="S7410" t="s">
        <v>13022</v>
      </c>
    </row>
    <row r="7411" spans="1:19" x14ac:dyDescent="0.25">
      <c r="A7411" s="27" t="s">
        <v>193</v>
      </c>
      <c r="C7411" s="27" t="s">
        <v>34749</v>
      </c>
      <c r="D7411" s="28" t="s">
        <v>34867</v>
      </c>
      <c r="P7411">
        <v>8490</v>
      </c>
      <c r="Q7411" t="s">
        <v>15227</v>
      </c>
      <c r="R7411" s="28" t="s">
        <v>6888</v>
      </c>
      <c r="S7411" t="s">
        <v>13022</v>
      </c>
    </row>
    <row r="7412" spans="1:19" x14ac:dyDescent="0.25">
      <c r="A7412" s="27" t="s">
        <v>193</v>
      </c>
      <c r="C7412" s="27" t="s">
        <v>34749</v>
      </c>
      <c r="D7412" s="28" t="s">
        <v>34867</v>
      </c>
      <c r="P7412">
        <v>8491</v>
      </c>
      <c r="Q7412" t="s">
        <v>7051</v>
      </c>
      <c r="R7412" s="28" t="s">
        <v>7052</v>
      </c>
      <c r="S7412" t="s">
        <v>13022</v>
      </c>
    </row>
    <row r="7413" spans="1:19" x14ac:dyDescent="0.25">
      <c r="A7413" s="27" t="s">
        <v>193</v>
      </c>
      <c r="C7413" s="27" t="s">
        <v>34749</v>
      </c>
      <c r="D7413" s="28" t="s">
        <v>34867</v>
      </c>
      <c r="P7413">
        <v>8492</v>
      </c>
      <c r="Q7413" t="s">
        <v>10915</v>
      </c>
      <c r="R7413" s="28" t="s">
        <v>10916</v>
      </c>
      <c r="S7413" t="s">
        <v>13022</v>
      </c>
    </row>
    <row r="7414" spans="1:19" x14ac:dyDescent="0.25">
      <c r="A7414" s="27" t="s">
        <v>193</v>
      </c>
      <c r="C7414" s="27" t="s">
        <v>34749</v>
      </c>
      <c r="D7414" s="28" t="s">
        <v>34867</v>
      </c>
      <c r="P7414">
        <v>8493</v>
      </c>
      <c r="Q7414" t="s">
        <v>15228</v>
      </c>
      <c r="R7414" s="28" t="s">
        <v>10919</v>
      </c>
      <c r="S7414" t="s">
        <v>13022</v>
      </c>
    </row>
    <row r="7415" spans="1:19" x14ac:dyDescent="0.25">
      <c r="A7415" s="27" t="s">
        <v>193</v>
      </c>
      <c r="C7415" s="27" t="s">
        <v>34749</v>
      </c>
      <c r="D7415" s="28" t="s">
        <v>34867</v>
      </c>
      <c r="P7415">
        <v>8495</v>
      </c>
      <c r="Q7415" t="s">
        <v>15229</v>
      </c>
      <c r="R7415" s="28" t="s">
        <v>15230</v>
      </c>
      <c r="S7415" t="s">
        <v>13022</v>
      </c>
    </row>
    <row r="7416" spans="1:19" x14ac:dyDescent="0.25">
      <c r="A7416" s="27" t="s">
        <v>193</v>
      </c>
      <c r="C7416" s="27" t="s">
        <v>34749</v>
      </c>
      <c r="D7416" s="28" t="s">
        <v>34867</v>
      </c>
      <c r="P7416">
        <v>8496</v>
      </c>
      <c r="Q7416" t="s">
        <v>10927</v>
      </c>
      <c r="R7416" s="28" t="s">
        <v>15231</v>
      </c>
      <c r="S7416" t="s">
        <v>13022</v>
      </c>
    </row>
    <row r="7417" spans="1:19" x14ac:dyDescent="0.25">
      <c r="A7417" s="27" t="s">
        <v>193</v>
      </c>
      <c r="C7417" s="27" t="s">
        <v>34749</v>
      </c>
      <c r="D7417" s="28" t="s">
        <v>34867</v>
      </c>
      <c r="P7417">
        <v>8497</v>
      </c>
      <c r="Q7417" t="s">
        <v>15232</v>
      </c>
      <c r="R7417" s="28" t="s">
        <v>10943</v>
      </c>
      <c r="S7417" t="s">
        <v>13022</v>
      </c>
    </row>
    <row r="7418" spans="1:19" x14ac:dyDescent="0.25">
      <c r="A7418" s="27" t="s">
        <v>193</v>
      </c>
      <c r="C7418" s="27" t="s">
        <v>34749</v>
      </c>
      <c r="D7418" s="28" t="s">
        <v>34867</v>
      </c>
      <c r="P7418">
        <v>8498</v>
      </c>
      <c r="Q7418" t="s">
        <v>15233</v>
      </c>
      <c r="R7418" s="28" t="s">
        <v>15234</v>
      </c>
      <c r="S7418" t="s">
        <v>13022</v>
      </c>
    </row>
    <row r="7419" spans="1:19" x14ac:dyDescent="0.25">
      <c r="A7419" s="27" t="s">
        <v>193</v>
      </c>
      <c r="C7419" s="27" t="s">
        <v>34749</v>
      </c>
      <c r="D7419" s="28" t="s">
        <v>34867</v>
      </c>
      <c r="P7419">
        <v>8499</v>
      </c>
      <c r="Q7419" t="s">
        <v>10951</v>
      </c>
      <c r="R7419" s="28" t="s">
        <v>10952</v>
      </c>
      <c r="S7419" t="s">
        <v>13022</v>
      </c>
    </row>
    <row r="7420" spans="1:19" x14ac:dyDescent="0.25">
      <c r="A7420" s="27" t="s">
        <v>193</v>
      </c>
      <c r="C7420" s="27" t="s">
        <v>34749</v>
      </c>
      <c r="D7420" s="28" t="s">
        <v>34867</v>
      </c>
      <c r="P7420">
        <v>8500</v>
      </c>
      <c r="Q7420" t="s">
        <v>15235</v>
      </c>
      <c r="R7420" s="28" t="s">
        <v>3632</v>
      </c>
      <c r="S7420" t="s">
        <v>13022</v>
      </c>
    </row>
    <row r="7421" spans="1:19" x14ac:dyDescent="0.25">
      <c r="A7421" s="27" t="s">
        <v>193</v>
      </c>
      <c r="C7421" s="27" t="s">
        <v>34749</v>
      </c>
      <c r="D7421" s="28" t="s">
        <v>34867</v>
      </c>
      <c r="P7421">
        <v>8501</v>
      </c>
      <c r="Q7421" t="s">
        <v>15236</v>
      </c>
      <c r="R7421" s="28" t="s">
        <v>3521</v>
      </c>
      <c r="S7421" t="s">
        <v>13022</v>
      </c>
    </row>
    <row r="7422" spans="1:19" x14ac:dyDescent="0.25">
      <c r="A7422" s="27" t="s">
        <v>193</v>
      </c>
      <c r="C7422" s="27" t="s">
        <v>34749</v>
      </c>
      <c r="D7422" s="28" t="s">
        <v>34867</v>
      </c>
      <c r="P7422">
        <v>8502</v>
      </c>
      <c r="Q7422" t="s">
        <v>10969</v>
      </c>
      <c r="R7422" s="28" t="s">
        <v>10970</v>
      </c>
      <c r="S7422" t="s">
        <v>13022</v>
      </c>
    </row>
    <row r="7423" spans="1:19" x14ac:dyDescent="0.25">
      <c r="A7423" s="27" t="s">
        <v>193</v>
      </c>
      <c r="C7423" s="27" t="s">
        <v>34749</v>
      </c>
      <c r="D7423" s="28" t="s">
        <v>34867</v>
      </c>
      <c r="P7423">
        <v>8503</v>
      </c>
      <c r="Q7423" t="s">
        <v>15237</v>
      </c>
      <c r="S7423" t="s">
        <v>13022</v>
      </c>
    </row>
    <row r="7424" spans="1:19" x14ac:dyDescent="0.25">
      <c r="A7424" s="27" t="s">
        <v>193</v>
      </c>
      <c r="C7424" s="27" t="s">
        <v>34749</v>
      </c>
      <c r="D7424" s="28" t="s">
        <v>34867</v>
      </c>
      <c r="P7424">
        <v>8504</v>
      </c>
      <c r="Q7424" t="s">
        <v>15238</v>
      </c>
      <c r="R7424" s="28" t="s">
        <v>15239</v>
      </c>
      <c r="S7424" t="s">
        <v>13022</v>
      </c>
    </row>
    <row r="7425" spans="1:19" x14ac:dyDescent="0.25">
      <c r="A7425" s="27" t="s">
        <v>193</v>
      </c>
      <c r="C7425" s="27" t="s">
        <v>34749</v>
      </c>
      <c r="D7425" s="28" t="s">
        <v>34867</v>
      </c>
      <c r="P7425">
        <v>8505</v>
      </c>
      <c r="Q7425" t="s">
        <v>11014</v>
      </c>
      <c r="R7425" s="28" t="s">
        <v>11015</v>
      </c>
      <c r="S7425" t="s">
        <v>13022</v>
      </c>
    </row>
    <row r="7426" spans="1:19" x14ac:dyDescent="0.25">
      <c r="A7426" s="27" t="s">
        <v>193</v>
      </c>
      <c r="C7426" s="27" t="s">
        <v>34749</v>
      </c>
      <c r="D7426" s="28" t="s">
        <v>34867</v>
      </c>
      <c r="P7426">
        <v>8506</v>
      </c>
      <c r="Q7426" t="s">
        <v>11020</v>
      </c>
      <c r="R7426" s="28" t="s">
        <v>11021</v>
      </c>
      <c r="S7426" t="s">
        <v>13022</v>
      </c>
    </row>
    <row r="7427" spans="1:19" x14ac:dyDescent="0.25">
      <c r="A7427" s="27" t="s">
        <v>193</v>
      </c>
      <c r="C7427" s="27" t="s">
        <v>34749</v>
      </c>
      <c r="D7427" s="28" t="s">
        <v>34867</v>
      </c>
      <c r="P7427">
        <v>8507</v>
      </c>
      <c r="Q7427" t="s">
        <v>11023</v>
      </c>
      <c r="R7427" s="28" t="s">
        <v>11024</v>
      </c>
      <c r="S7427" t="s">
        <v>13022</v>
      </c>
    </row>
    <row r="7428" spans="1:19" x14ac:dyDescent="0.25">
      <c r="A7428" s="27" t="s">
        <v>193</v>
      </c>
      <c r="C7428" s="27" t="s">
        <v>34749</v>
      </c>
      <c r="D7428" s="28" t="s">
        <v>34867</v>
      </c>
      <c r="P7428">
        <v>8508</v>
      </c>
      <c r="Q7428" t="s">
        <v>15240</v>
      </c>
      <c r="R7428" s="28" t="s">
        <v>15241</v>
      </c>
      <c r="S7428" t="s">
        <v>13022</v>
      </c>
    </row>
    <row r="7429" spans="1:19" x14ac:dyDescent="0.25">
      <c r="A7429" s="27" t="s">
        <v>193</v>
      </c>
      <c r="C7429" s="27" t="s">
        <v>34749</v>
      </c>
      <c r="D7429" s="28" t="s">
        <v>34867</v>
      </c>
      <c r="P7429">
        <v>8509</v>
      </c>
      <c r="Q7429" t="s">
        <v>11026</v>
      </c>
      <c r="R7429" s="28" t="s">
        <v>11027</v>
      </c>
      <c r="S7429" t="s">
        <v>13022</v>
      </c>
    </row>
    <row r="7430" spans="1:19" x14ac:dyDescent="0.25">
      <c r="A7430" s="27" t="s">
        <v>193</v>
      </c>
      <c r="C7430" s="27" t="s">
        <v>34749</v>
      </c>
      <c r="D7430" s="28" t="s">
        <v>34867</v>
      </c>
      <c r="P7430">
        <v>8510</v>
      </c>
      <c r="Q7430" t="s">
        <v>11029</v>
      </c>
      <c r="R7430" s="28" t="s">
        <v>11030</v>
      </c>
      <c r="S7430" t="s">
        <v>13022</v>
      </c>
    </row>
    <row r="7431" spans="1:19" x14ac:dyDescent="0.25">
      <c r="A7431" s="27" t="s">
        <v>193</v>
      </c>
      <c r="C7431" s="27" t="s">
        <v>34749</v>
      </c>
      <c r="D7431" s="28" t="s">
        <v>34867</v>
      </c>
      <c r="P7431">
        <v>8511</v>
      </c>
      <c r="Q7431" t="s">
        <v>11038</v>
      </c>
      <c r="R7431" s="28" t="s">
        <v>11039</v>
      </c>
      <c r="S7431" t="s">
        <v>13022</v>
      </c>
    </row>
    <row r="7432" spans="1:19" x14ac:dyDescent="0.25">
      <c r="A7432" s="27" t="s">
        <v>193</v>
      </c>
      <c r="C7432" s="27" t="s">
        <v>34749</v>
      </c>
      <c r="D7432" s="28" t="s">
        <v>34867</v>
      </c>
      <c r="P7432">
        <v>8512</v>
      </c>
      <c r="Q7432" t="s">
        <v>15242</v>
      </c>
      <c r="R7432" s="28" t="s">
        <v>11045</v>
      </c>
      <c r="S7432" t="s">
        <v>13022</v>
      </c>
    </row>
    <row r="7433" spans="1:19" x14ac:dyDescent="0.25">
      <c r="A7433" s="27" t="s">
        <v>193</v>
      </c>
      <c r="C7433" s="27" t="s">
        <v>34749</v>
      </c>
      <c r="D7433" s="28" t="s">
        <v>34867</v>
      </c>
      <c r="P7433">
        <v>8513</v>
      </c>
      <c r="Q7433" t="s">
        <v>11053</v>
      </c>
      <c r="R7433" s="28" t="s">
        <v>11054</v>
      </c>
      <c r="S7433" t="s">
        <v>13022</v>
      </c>
    </row>
    <row r="7434" spans="1:19" x14ac:dyDescent="0.25">
      <c r="A7434" s="27" t="s">
        <v>193</v>
      </c>
      <c r="C7434" s="27" t="s">
        <v>34749</v>
      </c>
      <c r="D7434" s="28" t="s">
        <v>34867</v>
      </c>
      <c r="P7434">
        <v>8514</v>
      </c>
      <c r="Q7434" t="s">
        <v>11074</v>
      </c>
      <c r="R7434" s="28" t="s">
        <v>11075</v>
      </c>
      <c r="S7434" t="s">
        <v>13022</v>
      </c>
    </row>
    <row r="7435" spans="1:19" x14ac:dyDescent="0.25">
      <c r="A7435" s="27" t="s">
        <v>193</v>
      </c>
      <c r="C7435" s="27" t="s">
        <v>34749</v>
      </c>
      <c r="D7435" s="28" t="s">
        <v>34867</v>
      </c>
      <c r="P7435">
        <v>8515</v>
      </c>
      <c r="Q7435" t="s">
        <v>11083</v>
      </c>
      <c r="R7435" s="28" t="s">
        <v>11084</v>
      </c>
      <c r="S7435" t="s">
        <v>13022</v>
      </c>
    </row>
    <row r="7436" spans="1:19" x14ac:dyDescent="0.25">
      <c r="A7436" s="27" t="s">
        <v>193</v>
      </c>
      <c r="C7436" s="27" t="s">
        <v>34749</v>
      </c>
      <c r="D7436" s="28" t="s">
        <v>34867</v>
      </c>
      <c r="P7436">
        <v>8516</v>
      </c>
      <c r="Q7436" t="s">
        <v>15243</v>
      </c>
      <c r="R7436" s="28" t="s">
        <v>11072</v>
      </c>
      <c r="S7436" t="s">
        <v>13022</v>
      </c>
    </row>
    <row r="7437" spans="1:19" x14ac:dyDescent="0.25">
      <c r="A7437" s="27" t="s">
        <v>193</v>
      </c>
      <c r="C7437" s="27" t="s">
        <v>34749</v>
      </c>
      <c r="D7437" s="28" t="s">
        <v>34867</v>
      </c>
      <c r="P7437">
        <v>8517</v>
      </c>
      <c r="Q7437" t="s">
        <v>15244</v>
      </c>
      <c r="R7437" s="28" t="s">
        <v>11111</v>
      </c>
      <c r="S7437" t="s">
        <v>13022</v>
      </c>
    </row>
    <row r="7438" spans="1:19" x14ac:dyDescent="0.25">
      <c r="A7438" s="27" t="s">
        <v>193</v>
      </c>
      <c r="C7438" s="27" t="s">
        <v>34749</v>
      </c>
      <c r="D7438" s="28" t="s">
        <v>34867</v>
      </c>
      <c r="P7438">
        <v>8518</v>
      </c>
      <c r="Q7438" t="s">
        <v>11101</v>
      </c>
      <c r="R7438" s="28" t="s">
        <v>11102</v>
      </c>
      <c r="S7438" t="s">
        <v>13022</v>
      </c>
    </row>
    <row r="7439" spans="1:19" x14ac:dyDescent="0.25">
      <c r="A7439" s="27" t="s">
        <v>193</v>
      </c>
      <c r="C7439" s="27" t="s">
        <v>34749</v>
      </c>
      <c r="D7439" s="28" t="s">
        <v>34867</v>
      </c>
      <c r="P7439">
        <v>8519</v>
      </c>
      <c r="Q7439" t="s">
        <v>15245</v>
      </c>
      <c r="R7439" s="28" t="s">
        <v>11057</v>
      </c>
      <c r="S7439" t="s">
        <v>13022</v>
      </c>
    </row>
    <row r="7440" spans="1:19" x14ac:dyDescent="0.25">
      <c r="A7440" s="27" t="s">
        <v>193</v>
      </c>
      <c r="C7440" s="27" t="s">
        <v>34749</v>
      </c>
      <c r="D7440" s="28" t="s">
        <v>34867</v>
      </c>
      <c r="P7440">
        <v>8520</v>
      </c>
      <c r="Q7440" t="s">
        <v>11080</v>
      </c>
      <c r="R7440" s="28" t="s">
        <v>11081</v>
      </c>
      <c r="S7440" t="s">
        <v>13022</v>
      </c>
    </row>
    <row r="7441" spans="1:19" x14ac:dyDescent="0.25">
      <c r="A7441" s="27" t="s">
        <v>193</v>
      </c>
      <c r="C7441" s="27" t="s">
        <v>34749</v>
      </c>
      <c r="D7441" s="28" t="s">
        <v>34867</v>
      </c>
      <c r="P7441">
        <v>8521</v>
      </c>
      <c r="Q7441" t="s">
        <v>11107</v>
      </c>
      <c r="R7441" s="28" t="s">
        <v>11108</v>
      </c>
      <c r="S7441" t="s">
        <v>13022</v>
      </c>
    </row>
    <row r="7442" spans="1:19" x14ac:dyDescent="0.25">
      <c r="A7442" s="27" t="s">
        <v>193</v>
      </c>
      <c r="C7442" s="27" t="s">
        <v>34749</v>
      </c>
      <c r="D7442" s="28" t="s">
        <v>34867</v>
      </c>
      <c r="P7442">
        <v>8522</v>
      </c>
      <c r="Q7442" t="s">
        <v>11050</v>
      </c>
      <c r="R7442" s="28" t="s">
        <v>11051</v>
      </c>
      <c r="S7442" t="s">
        <v>13022</v>
      </c>
    </row>
    <row r="7443" spans="1:19" x14ac:dyDescent="0.25">
      <c r="A7443" s="27" t="s">
        <v>193</v>
      </c>
      <c r="C7443" s="27" t="s">
        <v>34749</v>
      </c>
      <c r="D7443" s="28" t="s">
        <v>34867</v>
      </c>
      <c r="P7443">
        <v>8523</v>
      </c>
      <c r="Q7443" t="s">
        <v>11122</v>
      </c>
      <c r="R7443" s="28" t="s">
        <v>11123</v>
      </c>
      <c r="S7443" t="s">
        <v>13022</v>
      </c>
    </row>
    <row r="7444" spans="1:19" x14ac:dyDescent="0.25">
      <c r="A7444" s="27" t="s">
        <v>193</v>
      </c>
      <c r="C7444" s="27" t="s">
        <v>34749</v>
      </c>
      <c r="D7444" s="28" t="s">
        <v>34867</v>
      </c>
      <c r="P7444">
        <v>8524</v>
      </c>
      <c r="Q7444" t="s">
        <v>15246</v>
      </c>
      <c r="R7444" s="28" t="s">
        <v>11153</v>
      </c>
      <c r="S7444" t="s">
        <v>13022</v>
      </c>
    </row>
    <row r="7445" spans="1:19" x14ac:dyDescent="0.25">
      <c r="A7445" s="27" t="s">
        <v>193</v>
      </c>
      <c r="C7445" s="27" t="s">
        <v>34749</v>
      </c>
      <c r="D7445" s="28" t="s">
        <v>34867</v>
      </c>
      <c r="P7445">
        <v>8525</v>
      </c>
      <c r="Q7445" t="s">
        <v>15247</v>
      </c>
      <c r="S7445" t="s">
        <v>13022</v>
      </c>
    </row>
    <row r="7446" spans="1:19" x14ac:dyDescent="0.25">
      <c r="A7446" s="27" t="s">
        <v>193</v>
      </c>
      <c r="C7446" s="27" t="s">
        <v>34749</v>
      </c>
      <c r="D7446" s="28" t="s">
        <v>34867</v>
      </c>
      <c r="P7446">
        <v>8526</v>
      </c>
      <c r="Q7446" t="s">
        <v>11146</v>
      </c>
      <c r="R7446" s="28" t="s">
        <v>11147</v>
      </c>
      <c r="S7446" t="s">
        <v>13022</v>
      </c>
    </row>
    <row r="7447" spans="1:19" x14ac:dyDescent="0.25">
      <c r="A7447" s="27" t="s">
        <v>193</v>
      </c>
      <c r="C7447" s="27" t="s">
        <v>34749</v>
      </c>
      <c r="D7447" s="28" t="s">
        <v>34867</v>
      </c>
      <c r="P7447">
        <v>8527</v>
      </c>
      <c r="Q7447" t="s">
        <v>11176</v>
      </c>
      <c r="R7447" s="28" t="s">
        <v>11177</v>
      </c>
      <c r="S7447" t="s">
        <v>13022</v>
      </c>
    </row>
    <row r="7448" spans="1:19" x14ac:dyDescent="0.25">
      <c r="A7448" s="27" t="s">
        <v>193</v>
      </c>
      <c r="C7448" s="27" t="s">
        <v>34749</v>
      </c>
      <c r="D7448" s="28" t="s">
        <v>34867</v>
      </c>
      <c r="P7448">
        <v>8528</v>
      </c>
      <c r="Q7448" t="s">
        <v>11173</v>
      </c>
      <c r="R7448" s="28" t="s">
        <v>11174</v>
      </c>
      <c r="S7448" t="s">
        <v>13022</v>
      </c>
    </row>
    <row r="7449" spans="1:19" x14ac:dyDescent="0.25">
      <c r="A7449" s="27" t="s">
        <v>193</v>
      </c>
      <c r="C7449" s="27" t="s">
        <v>34749</v>
      </c>
      <c r="D7449" s="28" t="s">
        <v>34867</v>
      </c>
      <c r="P7449">
        <v>8529</v>
      </c>
      <c r="Q7449" t="s">
        <v>11185</v>
      </c>
      <c r="R7449" s="28" t="s">
        <v>11186</v>
      </c>
      <c r="S7449" t="s">
        <v>13022</v>
      </c>
    </row>
    <row r="7450" spans="1:19" x14ac:dyDescent="0.25">
      <c r="A7450" s="27" t="s">
        <v>193</v>
      </c>
      <c r="C7450" s="27" t="s">
        <v>34749</v>
      </c>
      <c r="D7450" s="28" t="s">
        <v>34867</v>
      </c>
      <c r="P7450">
        <v>8530</v>
      </c>
      <c r="Q7450" t="s">
        <v>15248</v>
      </c>
      <c r="R7450" s="28" t="s">
        <v>15249</v>
      </c>
      <c r="S7450" t="s">
        <v>13022</v>
      </c>
    </row>
    <row r="7451" spans="1:19" x14ac:dyDescent="0.25">
      <c r="A7451" s="27" t="s">
        <v>193</v>
      </c>
      <c r="C7451" s="27" t="s">
        <v>34749</v>
      </c>
      <c r="D7451" s="28" t="s">
        <v>34867</v>
      </c>
      <c r="P7451">
        <v>8531</v>
      </c>
      <c r="Q7451" t="s">
        <v>15250</v>
      </c>
      <c r="R7451" s="28" t="s">
        <v>11228</v>
      </c>
      <c r="S7451" t="s">
        <v>13022</v>
      </c>
    </row>
    <row r="7452" spans="1:19" x14ac:dyDescent="0.25">
      <c r="A7452" s="27" t="s">
        <v>193</v>
      </c>
      <c r="C7452" s="27" t="s">
        <v>34749</v>
      </c>
      <c r="D7452" s="28" t="s">
        <v>34867</v>
      </c>
      <c r="P7452">
        <v>8532</v>
      </c>
      <c r="Q7452" t="s">
        <v>15251</v>
      </c>
      <c r="R7452" s="28" t="s">
        <v>8851</v>
      </c>
      <c r="S7452" t="s">
        <v>13022</v>
      </c>
    </row>
    <row r="7453" spans="1:19" x14ac:dyDescent="0.25">
      <c r="A7453" s="27" t="s">
        <v>193</v>
      </c>
      <c r="C7453" s="27" t="s">
        <v>34749</v>
      </c>
      <c r="D7453" s="28" t="s">
        <v>34867</v>
      </c>
      <c r="P7453">
        <v>8533</v>
      </c>
      <c r="Q7453" t="s">
        <v>15252</v>
      </c>
      <c r="R7453" s="28" t="s">
        <v>15253</v>
      </c>
      <c r="S7453" t="s">
        <v>13022</v>
      </c>
    </row>
    <row r="7454" spans="1:19" x14ac:dyDescent="0.25">
      <c r="A7454" s="27" t="s">
        <v>193</v>
      </c>
      <c r="C7454" s="27" t="s">
        <v>34749</v>
      </c>
      <c r="D7454" s="28" t="s">
        <v>34867</v>
      </c>
      <c r="P7454">
        <v>8534</v>
      </c>
      <c r="Q7454" t="s">
        <v>11245</v>
      </c>
      <c r="R7454" s="28" t="s">
        <v>11246</v>
      </c>
      <c r="S7454" t="s">
        <v>13022</v>
      </c>
    </row>
    <row r="7455" spans="1:19" x14ac:dyDescent="0.25">
      <c r="A7455" s="27" t="s">
        <v>193</v>
      </c>
      <c r="C7455" s="27" t="s">
        <v>34749</v>
      </c>
      <c r="D7455" s="28" t="s">
        <v>34867</v>
      </c>
      <c r="P7455">
        <v>8535</v>
      </c>
      <c r="Q7455" t="s">
        <v>11260</v>
      </c>
      <c r="R7455" s="28" t="s">
        <v>11261</v>
      </c>
      <c r="S7455" t="s">
        <v>13022</v>
      </c>
    </row>
    <row r="7456" spans="1:19" x14ac:dyDescent="0.25">
      <c r="A7456" s="27" t="s">
        <v>193</v>
      </c>
      <c r="C7456" s="27" t="s">
        <v>34749</v>
      </c>
      <c r="D7456" s="28" t="s">
        <v>34867</v>
      </c>
      <c r="P7456">
        <v>8536</v>
      </c>
      <c r="Q7456" t="s">
        <v>11284</v>
      </c>
      <c r="R7456" s="28" t="s">
        <v>11285</v>
      </c>
      <c r="S7456" t="s">
        <v>13022</v>
      </c>
    </row>
    <row r="7457" spans="1:19" x14ac:dyDescent="0.25">
      <c r="A7457" s="27" t="s">
        <v>193</v>
      </c>
      <c r="C7457" s="27" t="s">
        <v>34749</v>
      </c>
      <c r="D7457" s="28" t="s">
        <v>34867</v>
      </c>
      <c r="P7457">
        <v>8538</v>
      </c>
      <c r="Q7457" t="s">
        <v>15254</v>
      </c>
      <c r="R7457" s="28" t="s">
        <v>15255</v>
      </c>
      <c r="S7457" t="s">
        <v>13022</v>
      </c>
    </row>
    <row r="7458" spans="1:19" x14ac:dyDescent="0.25">
      <c r="A7458" s="27" t="s">
        <v>193</v>
      </c>
      <c r="C7458" s="27" t="s">
        <v>34749</v>
      </c>
      <c r="D7458" s="28" t="s">
        <v>34867</v>
      </c>
      <c r="P7458">
        <v>8539</v>
      </c>
      <c r="Q7458" t="s">
        <v>15256</v>
      </c>
      <c r="R7458" s="28" t="s">
        <v>15257</v>
      </c>
      <c r="S7458" t="s">
        <v>13022</v>
      </c>
    </row>
    <row r="7459" spans="1:19" x14ac:dyDescent="0.25">
      <c r="A7459" s="27" t="s">
        <v>193</v>
      </c>
      <c r="C7459" s="27" t="s">
        <v>34749</v>
      </c>
      <c r="D7459" s="28" t="s">
        <v>34867</v>
      </c>
      <c r="P7459">
        <v>8540</v>
      </c>
      <c r="Q7459" t="s">
        <v>15258</v>
      </c>
      <c r="R7459" s="28" t="s">
        <v>15259</v>
      </c>
      <c r="S7459" t="s">
        <v>13022</v>
      </c>
    </row>
    <row r="7460" spans="1:19" x14ac:dyDescent="0.25">
      <c r="A7460" s="27" t="s">
        <v>193</v>
      </c>
      <c r="C7460" s="27" t="s">
        <v>34749</v>
      </c>
      <c r="D7460" s="28" t="s">
        <v>34867</v>
      </c>
      <c r="P7460">
        <v>8541</v>
      </c>
      <c r="Q7460" t="s">
        <v>15260</v>
      </c>
      <c r="S7460" t="s">
        <v>13022</v>
      </c>
    </row>
    <row r="7461" spans="1:19" x14ac:dyDescent="0.25">
      <c r="A7461" s="27" t="s">
        <v>193</v>
      </c>
      <c r="C7461" s="27" t="s">
        <v>34749</v>
      </c>
      <c r="D7461" s="28" t="s">
        <v>34867</v>
      </c>
      <c r="P7461">
        <v>8542</v>
      </c>
      <c r="Q7461" t="s">
        <v>15261</v>
      </c>
      <c r="R7461" s="28" t="s">
        <v>15262</v>
      </c>
      <c r="S7461" t="s">
        <v>13022</v>
      </c>
    </row>
    <row r="7462" spans="1:19" x14ac:dyDescent="0.25">
      <c r="A7462" s="27" t="s">
        <v>193</v>
      </c>
      <c r="C7462" s="27" t="s">
        <v>34749</v>
      </c>
      <c r="D7462" s="28" t="s">
        <v>34867</v>
      </c>
      <c r="P7462">
        <v>8543</v>
      </c>
      <c r="Q7462" t="s">
        <v>11727</v>
      </c>
      <c r="R7462" s="28" t="s">
        <v>11728</v>
      </c>
      <c r="S7462" t="s">
        <v>13022</v>
      </c>
    </row>
    <row r="7463" spans="1:19" x14ac:dyDescent="0.25">
      <c r="A7463" s="27" t="s">
        <v>193</v>
      </c>
      <c r="C7463" s="27" t="s">
        <v>34749</v>
      </c>
      <c r="D7463" s="28" t="s">
        <v>34867</v>
      </c>
      <c r="P7463">
        <v>8544</v>
      </c>
      <c r="Q7463" t="s">
        <v>15263</v>
      </c>
      <c r="S7463" t="s">
        <v>13022</v>
      </c>
    </row>
    <row r="7464" spans="1:19" x14ac:dyDescent="0.25">
      <c r="A7464" s="27" t="s">
        <v>193</v>
      </c>
      <c r="C7464" s="27" t="s">
        <v>34749</v>
      </c>
      <c r="D7464" s="28" t="s">
        <v>34867</v>
      </c>
      <c r="P7464">
        <v>8545</v>
      </c>
      <c r="Q7464" t="s">
        <v>11375</v>
      </c>
      <c r="R7464" s="28" t="s">
        <v>11376</v>
      </c>
      <c r="S7464" t="s">
        <v>13022</v>
      </c>
    </row>
    <row r="7465" spans="1:19" x14ac:dyDescent="0.25">
      <c r="A7465" s="27" t="s">
        <v>193</v>
      </c>
      <c r="C7465" s="27" t="s">
        <v>34749</v>
      </c>
      <c r="D7465" s="28" t="s">
        <v>34867</v>
      </c>
      <c r="P7465">
        <v>8546</v>
      </c>
      <c r="Q7465" t="s">
        <v>15264</v>
      </c>
      <c r="R7465" s="28" t="s">
        <v>15265</v>
      </c>
      <c r="S7465" t="s">
        <v>13022</v>
      </c>
    </row>
    <row r="7466" spans="1:19" x14ac:dyDescent="0.25">
      <c r="A7466" s="27" t="s">
        <v>193</v>
      </c>
      <c r="C7466" s="27" t="s">
        <v>34749</v>
      </c>
      <c r="D7466" s="28" t="s">
        <v>34867</v>
      </c>
      <c r="P7466">
        <v>8547</v>
      </c>
      <c r="Q7466" t="s">
        <v>15266</v>
      </c>
      <c r="R7466" s="28" t="s">
        <v>11769</v>
      </c>
      <c r="S7466" t="s">
        <v>13022</v>
      </c>
    </row>
    <row r="7467" spans="1:19" x14ac:dyDescent="0.25">
      <c r="A7467" s="27" t="s">
        <v>193</v>
      </c>
      <c r="C7467" s="27" t="s">
        <v>34749</v>
      </c>
      <c r="D7467" s="28" t="s">
        <v>34867</v>
      </c>
      <c r="P7467">
        <v>8548</v>
      </c>
      <c r="Q7467" t="s">
        <v>11852</v>
      </c>
      <c r="R7467" s="28" t="s">
        <v>11853</v>
      </c>
      <c r="S7467" t="s">
        <v>13022</v>
      </c>
    </row>
    <row r="7468" spans="1:19" x14ac:dyDescent="0.25">
      <c r="A7468" s="27" t="s">
        <v>193</v>
      </c>
      <c r="C7468" s="27" t="s">
        <v>34749</v>
      </c>
      <c r="D7468" s="28" t="s">
        <v>34867</v>
      </c>
      <c r="P7468">
        <v>8549</v>
      </c>
      <c r="Q7468" t="s">
        <v>15267</v>
      </c>
      <c r="R7468" s="28" t="s">
        <v>15268</v>
      </c>
      <c r="S7468" t="s">
        <v>13022</v>
      </c>
    </row>
    <row r="7469" spans="1:19" x14ac:dyDescent="0.25">
      <c r="A7469" s="27" t="s">
        <v>193</v>
      </c>
      <c r="C7469" s="27" t="s">
        <v>34749</v>
      </c>
      <c r="D7469" s="28" t="s">
        <v>34867</v>
      </c>
      <c r="P7469">
        <v>8550</v>
      </c>
      <c r="Q7469" t="s">
        <v>11918</v>
      </c>
      <c r="R7469" s="28" t="s">
        <v>11919</v>
      </c>
      <c r="S7469" t="s">
        <v>13022</v>
      </c>
    </row>
    <row r="7470" spans="1:19" x14ac:dyDescent="0.25">
      <c r="A7470" s="27" t="s">
        <v>193</v>
      </c>
      <c r="C7470" s="27" t="s">
        <v>34749</v>
      </c>
      <c r="D7470" s="28" t="s">
        <v>34867</v>
      </c>
      <c r="P7470">
        <v>8551</v>
      </c>
      <c r="Q7470" t="s">
        <v>15269</v>
      </c>
      <c r="R7470" s="28" t="s">
        <v>1504</v>
      </c>
      <c r="S7470" t="s">
        <v>13022</v>
      </c>
    </row>
    <row r="7471" spans="1:19" x14ac:dyDescent="0.25">
      <c r="A7471" s="27" t="s">
        <v>193</v>
      </c>
      <c r="C7471" s="27" t="s">
        <v>34749</v>
      </c>
      <c r="D7471" s="28" t="s">
        <v>34867</v>
      </c>
      <c r="P7471">
        <v>8552</v>
      </c>
      <c r="Q7471" t="s">
        <v>15270</v>
      </c>
      <c r="R7471" s="28" t="s">
        <v>15271</v>
      </c>
      <c r="S7471" t="s">
        <v>13022</v>
      </c>
    </row>
    <row r="7472" spans="1:19" x14ac:dyDescent="0.25">
      <c r="A7472" s="27" t="s">
        <v>193</v>
      </c>
      <c r="C7472" s="27" t="s">
        <v>34749</v>
      </c>
      <c r="D7472" s="28" t="s">
        <v>34867</v>
      </c>
      <c r="P7472">
        <v>8553</v>
      </c>
      <c r="Q7472" t="s">
        <v>7546</v>
      </c>
      <c r="R7472" s="28" t="s">
        <v>7547</v>
      </c>
      <c r="S7472" t="s">
        <v>13022</v>
      </c>
    </row>
    <row r="7473" spans="1:19" x14ac:dyDescent="0.25">
      <c r="A7473" s="27" t="s">
        <v>193</v>
      </c>
      <c r="C7473" s="27" t="s">
        <v>34749</v>
      </c>
      <c r="D7473" s="28" t="s">
        <v>34867</v>
      </c>
      <c r="P7473">
        <v>8554</v>
      </c>
      <c r="Q7473" t="s">
        <v>11993</v>
      </c>
      <c r="R7473" s="28" t="s">
        <v>11994</v>
      </c>
      <c r="S7473" t="s">
        <v>13022</v>
      </c>
    </row>
    <row r="7474" spans="1:19" x14ac:dyDescent="0.25">
      <c r="A7474" s="27" t="s">
        <v>193</v>
      </c>
      <c r="C7474" s="27" t="s">
        <v>34749</v>
      </c>
      <c r="D7474" s="28" t="s">
        <v>34867</v>
      </c>
      <c r="P7474">
        <v>8555</v>
      </c>
      <c r="Q7474" t="s">
        <v>11996</v>
      </c>
      <c r="R7474" s="28" t="s">
        <v>11997</v>
      </c>
      <c r="S7474" t="s">
        <v>13022</v>
      </c>
    </row>
    <row r="7475" spans="1:19" x14ac:dyDescent="0.25">
      <c r="A7475" s="27" t="s">
        <v>193</v>
      </c>
      <c r="C7475" s="27" t="s">
        <v>34749</v>
      </c>
      <c r="D7475" s="28" t="s">
        <v>34867</v>
      </c>
      <c r="P7475">
        <v>8556</v>
      </c>
      <c r="Q7475" t="s">
        <v>11999</v>
      </c>
      <c r="R7475" s="28" t="s">
        <v>12000</v>
      </c>
      <c r="S7475" t="s">
        <v>13022</v>
      </c>
    </row>
    <row r="7476" spans="1:19" x14ac:dyDescent="0.25">
      <c r="A7476" s="27" t="s">
        <v>193</v>
      </c>
      <c r="C7476" s="27" t="s">
        <v>34749</v>
      </c>
      <c r="D7476" s="28" t="s">
        <v>34867</v>
      </c>
      <c r="P7476">
        <v>8557</v>
      </c>
      <c r="Q7476" t="s">
        <v>15272</v>
      </c>
      <c r="R7476" s="28" t="s">
        <v>15273</v>
      </c>
      <c r="S7476" t="s">
        <v>13022</v>
      </c>
    </row>
    <row r="7477" spans="1:19" x14ac:dyDescent="0.25">
      <c r="A7477" s="27" t="s">
        <v>193</v>
      </c>
      <c r="C7477" s="27" t="s">
        <v>34749</v>
      </c>
      <c r="D7477" s="28" t="s">
        <v>34867</v>
      </c>
      <c r="P7477">
        <v>8558</v>
      </c>
      <c r="Q7477" t="s">
        <v>12005</v>
      </c>
      <c r="R7477" s="28" t="s">
        <v>12006</v>
      </c>
      <c r="S7477" t="s">
        <v>13022</v>
      </c>
    </row>
    <row r="7478" spans="1:19" x14ac:dyDescent="0.25">
      <c r="A7478" s="27" t="s">
        <v>193</v>
      </c>
      <c r="C7478" s="27" t="s">
        <v>34749</v>
      </c>
      <c r="D7478" s="28" t="s">
        <v>34867</v>
      </c>
      <c r="P7478">
        <v>8559</v>
      </c>
      <c r="Q7478" t="s">
        <v>15274</v>
      </c>
      <c r="R7478" s="28" t="s">
        <v>12009</v>
      </c>
      <c r="S7478" t="s">
        <v>13022</v>
      </c>
    </row>
    <row r="7479" spans="1:19" x14ac:dyDescent="0.25">
      <c r="A7479" s="27" t="s">
        <v>193</v>
      </c>
      <c r="C7479" s="27" t="s">
        <v>34749</v>
      </c>
      <c r="D7479" s="28" t="s">
        <v>34867</v>
      </c>
      <c r="P7479">
        <v>8560</v>
      </c>
      <c r="Q7479" t="s">
        <v>15275</v>
      </c>
      <c r="R7479" s="28" t="s">
        <v>12012</v>
      </c>
      <c r="S7479" t="s">
        <v>13022</v>
      </c>
    </row>
    <row r="7480" spans="1:19" x14ac:dyDescent="0.25">
      <c r="A7480" s="27" t="s">
        <v>193</v>
      </c>
      <c r="C7480" s="27" t="s">
        <v>34749</v>
      </c>
      <c r="D7480" s="28" t="s">
        <v>34867</v>
      </c>
      <c r="P7480">
        <v>8561</v>
      </c>
      <c r="Q7480" t="s">
        <v>12020</v>
      </c>
      <c r="R7480" s="28" t="s">
        <v>12021</v>
      </c>
      <c r="S7480" t="s">
        <v>13022</v>
      </c>
    </row>
    <row r="7481" spans="1:19" x14ac:dyDescent="0.25">
      <c r="A7481" s="27" t="s">
        <v>193</v>
      </c>
      <c r="C7481" s="27" t="s">
        <v>34749</v>
      </c>
      <c r="D7481" s="28" t="s">
        <v>34867</v>
      </c>
      <c r="P7481">
        <v>8562</v>
      </c>
      <c r="Q7481" t="s">
        <v>15276</v>
      </c>
      <c r="R7481" s="28" t="s">
        <v>7571</v>
      </c>
      <c r="S7481" t="s">
        <v>13022</v>
      </c>
    </row>
    <row r="7482" spans="1:19" x14ac:dyDescent="0.25">
      <c r="A7482" s="27" t="s">
        <v>193</v>
      </c>
      <c r="C7482" s="27" t="s">
        <v>34749</v>
      </c>
      <c r="D7482" s="28" t="s">
        <v>34867</v>
      </c>
      <c r="P7482">
        <v>8563</v>
      </c>
      <c r="Q7482" t="s">
        <v>12032</v>
      </c>
      <c r="R7482" s="28" t="s">
        <v>12033</v>
      </c>
      <c r="S7482" t="s">
        <v>13022</v>
      </c>
    </row>
    <row r="7483" spans="1:19" x14ac:dyDescent="0.25">
      <c r="A7483" s="27" t="s">
        <v>193</v>
      </c>
      <c r="C7483" s="27" t="s">
        <v>34749</v>
      </c>
      <c r="D7483" s="28" t="s">
        <v>34867</v>
      </c>
      <c r="P7483">
        <v>8564</v>
      </c>
      <c r="Q7483" t="s">
        <v>15277</v>
      </c>
      <c r="R7483" s="28" t="s">
        <v>11982</v>
      </c>
      <c r="S7483" t="s">
        <v>13022</v>
      </c>
    </row>
    <row r="7484" spans="1:19" x14ac:dyDescent="0.25">
      <c r="A7484" s="27" t="s">
        <v>193</v>
      </c>
      <c r="C7484" s="27" t="s">
        <v>34749</v>
      </c>
      <c r="D7484" s="28" t="s">
        <v>34867</v>
      </c>
      <c r="P7484">
        <v>8565</v>
      </c>
      <c r="Q7484" t="s">
        <v>12044</v>
      </c>
      <c r="R7484" s="28" t="s">
        <v>12045</v>
      </c>
      <c r="S7484" t="s">
        <v>13022</v>
      </c>
    </row>
    <row r="7485" spans="1:19" x14ac:dyDescent="0.25">
      <c r="A7485" s="27" t="s">
        <v>193</v>
      </c>
      <c r="C7485" s="27" t="s">
        <v>34749</v>
      </c>
      <c r="D7485" s="28" t="s">
        <v>34867</v>
      </c>
      <c r="P7485">
        <v>8566</v>
      </c>
      <c r="Q7485" t="s">
        <v>12038</v>
      </c>
      <c r="R7485" s="28" t="s">
        <v>12039</v>
      </c>
      <c r="S7485" t="s">
        <v>13022</v>
      </c>
    </row>
    <row r="7486" spans="1:19" x14ac:dyDescent="0.25">
      <c r="A7486" s="27" t="s">
        <v>193</v>
      </c>
      <c r="C7486" s="27" t="s">
        <v>34749</v>
      </c>
      <c r="D7486" s="28" t="s">
        <v>34867</v>
      </c>
      <c r="P7486">
        <v>8567</v>
      </c>
      <c r="Q7486" t="s">
        <v>15278</v>
      </c>
      <c r="R7486" s="28" t="s">
        <v>12051</v>
      </c>
      <c r="S7486" t="s">
        <v>13022</v>
      </c>
    </row>
    <row r="7487" spans="1:19" x14ac:dyDescent="0.25">
      <c r="A7487" s="27" t="s">
        <v>193</v>
      </c>
      <c r="C7487" s="27" t="s">
        <v>34749</v>
      </c>
      <c r="D7487" s="28" t="s">
        <v>34867</v>
      </c>
      <c r="P7487">
        <v>8568</v>
      </c>
      <c r="Q7487" t="s">
        <v>12029</v>
      </c>
      <c r="R7487" s="28" t="s">
        <v>12030</v>
      </c>
      <c r="S7487" t="s">
        <v>13022</v>
      </c>
    </row>
    <row r="7488" spans="1:19" x14ac:dyDescent="0.25">
      <c r="A7488" s="27" t="s">
        <v>193</v>
      </c>
      <c r="C7488" s="27" t="s">
        <v>34749</v>
      </c>
      <c r="D7488" s="28" t="s">
        <v>34867</v>
      </c>
      <c r="P7488">
        <v>8569</v>
      </c>
      <c r="Q7488" t="s">
        <v>15279</v>
      </c>
      <c r="R7488" s="28" t="s">
        <v>15280</v>
      </c>
      <c r="S7488" t="s">
        <v>13022</v>
      </c>
    </row>
    <row r="7489" spans="1:19" x14ac:dyDescent="0.25">
      <c r="A7489" s="27" t="s">
        <v>193</v>
      </c>
      <c r="C7489" s="27" t="s">
        <v>34749</v>
      </c>
      <c r="D7489" s="28" t="s">
        <v>34867</v>
      </c>
      <c r="P7489">
        <v>8570</v>
      </c>
      <c r="Q7489" t="s">
        <v>1398</v>
      </c>
      <c r="R7489" s="28" t="s">
        <v>1399</v>
      </c>
      <c r="S7489" t="s">
        <v>13022</v>
      </c>
    </row>
    <row r="7490" spans="1:19" x14ac:dyDescent="0.25">
      <c r="A7490" s="27" t="s">
        <v>193</v>
      </c>
      <c r="C7490" s="27" t="s">
        <v>34749</v>
      </c>
      <c r="D7490" s="28" t="s">
        <v>34867</v>
      </c>
      <c r="P7490">
        <v>8571</v>
      </c>
      <c r="Q7490" t="s">
        <v>1422</v>
      </c>
      <c r="R7490" s="28" t="s">
        <v>1423</v>
      </c>
      <c r="S7490" t="s">
        <v>13022</v>
      </c>
    </row>
    <row r="7491" spans="1:19" x14ac:dyDescent="0.25">
      <c r="A7491" s="27" t="s">
        <v>193</v>
      </c>
      <c r="C7491" s="27" t="s">
        <v>34749</v>
      </c>
      <c r="D7491" s="28" t="s">
        <v>34867</v>
      </c>
      <c r="P7491">
        <v>8572</v>
      </c>
      <c r="Q7491" t="s">
        <v>15281</v>
      </c>
      <c r="R7491" s="28" t="s">
        <v>7403</v>
      </c>
      <c r="S7491" t="s">
        <v>13022</v>
      </c>
    </row>
    <row r="7492" spans="1:19" x14ac:dyDescent="0.25">
      <c r="A7492" s="27" t="s">
        <v>193</v>
      </c>
      <c r="C7492" s="27" t="s">
        <v>34749</v>
      </c>
      <c r="D7492" s="28" t="s">
        <v>34867</v>
      </c>
      <c r="P7492">
        <v>8573</v>
      </c>
      <c r="Q7492" t="s">
        <v>7405</v>
      </c>
      <c r="R7492" s="28" t="s">
        <v>7406</v>
      </c>
      <c r="S7492" t="s">
        <v>13022</v>
      </c>
    </row>
    <row r="7493" spans="1:19" x14ac:dyDescent="0.25">
      <c r="A7493" s="27" t="s">
        <v>193</v>
      </c>
      <c r="C7493" s="27" t="s">
        <v>34749</v>
      </c>
      <c r="D7493" s="28" t="s">
        <v>34867</v>
      </c>
      <c r="P7493">
        <v>8574</v>
      </c>
      <c r="Q7493" t="s">
        <v>7435</v>
      </c>
      <c r="R7493" s="28" t="s">
        <v>7436</v>
      </c>
      <c r="S7493" t="s">
        <v>13022</v>
      </c>
    </row>
    <row r="7494" spans="1:19" x14ac:dyDescent="0.25">
      <c r="A7494" s="27" t="s">
        <v>193</v>
      </c>
      <c r="C7494" s="27" t="s">
        <v>34749</v>
      </c>
      <c r="D7494" s="28" t="s">
        <v>34867</v>
      </c>
      <c r="P7494">
        <v>8575</v>
      </c>
      <c r="Q7494" t="s">
        <v>7438</v>
      </c>
      <c r="R7494" s="28" t="s">
        <v>7439</v>
      </c>
      <c r="S7494" t="s">
        <v>13022</v>
      </c>
    </row>
    <row r="7495" spans="1:19" x14ac:dyDescent="0.25">
      <c r="A7495" s="27" t="s">
        <v>193</v>
      </c>
      <c r="C7495" s="27" t="s">
        <v>34749</v>
      </c>
      <c r="D7495" s="28" t="s">
        <v>34867</v>
      </c>
      <c r="P7495">
        <v>8576</v>
      </c>
      <c r="Q7495" t="s">
        <v>11969</v>
      </c>
      <c r="R7495" s="28" t="s">
        <v>11970</v>
      </c>
      <c r="S7495" t="s">
        <v>13022</v>
      </c>
    </row>
    <row r="7496" spans="1:19" x14ac:dyDescent="0.25">
      <c r="A7496" s="27" t="s">
        <v>193</v>
      </c>
      <c r="C7496" s="27" t="s">
        <v>34749</v>
      </c>
      <c r="D7496" s="28" t="s">
        <v>34867</v>
      </c>
      <c r="P7496">
        <v>8577</v>
      </c>
      <c r="Q7496" t="s">
        <v>15282</v>
      </c>
      <c r="R7496" s="28" t="s">
        <v>12093</v>
      </c>
      <c r="S7496" t="s">
        <v>13022</v>
      </c>
    </row>
    <row r="7497" spans="1:19" x14ac:dyDescent="0.25">
      <c r="A7497" s="27" t="s">
        <v>193</v>
      </c>
      <c r="C7497" s="27" t="s">
        <v>34749</v>
      </c>
      <c r="D7497" s="28" t="s">
        <v>34867</v>
      </c>
      <c r="P7497">
        <v>8578</v>
      </c>
      <c r="Q7497" t="s">
        <v>15283</v>
      </c>
      <c r="R7497" s="28" t="s">
        <v>12096</v>
      </c>
      <c r="S7497" t="s">
        <v>13022</v>
      </c>
    </row>
    <row r="7498" spans="1:19" x14ac:dyDescent="0.25">
      <c r="A7498" s="27" t="s">
        <v>193</v>
      </c>
      <c r="C7498" s="27" t="s">
        <v>34749</v>
      </c>
      <c r="D7498" s="28" t="s">
        <v>34867</v>
      </c>
      <c r="P7498">
        <v>8579</v>
      </c>
      <c r="Q7498" t="s">
        <v>12089</v>
      </c>
      <c r="R7498" s="28" t="s">
        <v>12090</v>
      </c>
      <c r="S7498" t="s">
        <v>13022</v>
      </c>
    </row>
    <row r="7499" spans="1:19" x14ac:dyDescent="0.25">
      <c r="A7499" s="27" t="s">
        <v>193</v>
      </c>
      <c r="C7499" s="27" t="s">
        <v>34749</v>
      </c>
      <c r="D7499" s="28" t="s">
        <v>34867</v>
      </c>
      <c r="P7499">
        <v>8580</v>
      </c>
      <c r="Q7499" t="s">
        <v>15284</v>
      </c>
      <c r="R7499" s="28" t="s">
        <v>15285</v>
      </c>
      <c r="S7499" t="s">
        <v>13022</v>
      </c>
    </row>
    <row r="7500" spans="1:19" x14ac:dyDescent="0.25">
      <c r="A7500" s="27" t="s">
        <v>193</v>
      </c>
      <c r="C7500" s="27" t="s">
        <v>34749</v>
      </c>
      <c r="D7500" s="28" t="s">
        <v>34867</v>
      </c>
      <c r="P7500">
        <v>8581</v>
      </c>
      <c r="Q7500" t="s">
        <v>15286</v>
      </c>
      <c r="R7500" s="28" t="s">
        <v>7529</v>
      </c>
      <c r="S7500" t="s">
        <v>13022</v>
      </c>
    </row>
    <row r="7501" spans="1:19" x14ac:dyDescent="0.25">
      <c r="A7501" s="27" t="s">
        <v>193</v>
      </c>
      <c r="C7501" s="27" t="s">
        <v>34749</v>
      </c>
      <c r="D7501" s="28" t="s">
        <v>34867</v>
      </c>
      <c r="P7501">
        <v>8582</v>
      </c>
      <c r="Q7501" t="s">
        <v>15287</v>
      </c>
      <c r="R7501" s="28" t="s">
        <v>15288</v>
      </c>
      <c r="S7501" t="s">
        <v>13022</v>
      </c>
    </row>
    <row r="7502" spans="1:19" x14ac:dyDescent="0.25">
      <c r="A7502" s="27" t="s">
        <v>193</v>
      </c>
      <c r="C7502" s="27" t="s">
        <v>34749</v>
      </c>
      <c r="D7502" s="28" t="s">
        <v>34867</v>
      </c>
      <c r="P7502">
        <v>8583</v>
      </c>
      <c r="Q7502" t="s">
        <v>12112</v>
      </c>
      <c r="R7502" s="28" t="s">
        <v>12113</v>
      </c>
      <c r="S7502" t="s">
        <v>13022</v>
      </c>
    </row>
    <row r="7503" spans="1:19" x14ac:dyDescent="0.25">
      <c r="A7503" s="27" t="s">
        <v>193</v>
      </c>
      <c r="C7503" s="27" t="s">
        <v>34749</v>
      </c>
      <c r="D7503" s="28" t="s">
        <v>34867</v>
      </c>
      <c r="P7503">
        <v>8584</v>
      </c>
      <c r="Q7503" t="s">
        <v>12127</v>
      </c>
      <c r="R7503" s="28" t="s">
        <v>12128</v>
      </c>
      <c r="S7503" t="s">
        <v>13022</v>
      </c>
    </row>
    <row r="7504" spans="1:19" x14ac:dyDescent="0.25">
      <c r="A7504" s="27" t="s">
        <v>193</v>
      </c>
      <c r="C7504" s="27" t="s">
        <v>34749</v>
      </c>
      <c r="D7504" s="28" t="s">
        <v>34867</v>
      </c>
      <c r="P7504">
        <v>8585</v>
      </c>
      <c r="Q7504" t="s">
        <v>12139</v>
      </c>
      <c r="R7504" s="28" t="s">
        <v>12140</v>
      </c>
      <c r="S7504" t="s">
        <v>13022</v>
      </c>
    </row>
    <row r="7505" spans="1:19" x14ac:dyDescent="0.25">
      <c r="A7505" s="27" t="s">
        <v>193</v>
      </c>
      <c r="C7505" s="27" t="s">
        <v>34749</v>
      </c>
      <c r="D7505" s="28" t="s">
        <v>34867</v>
      </c>
      <c r="P7505">
        <v>8586</v>
      </c>
      <c r="Q7505" t="s">
        <v>12154</v>
      </c>
      <c r="R7505" s="28" t="s">
        <v>12155</v>
      </c>
      <c r="S7505" t="s">
        <v>13022</v>
      </c>
    </row>
    <row r="7506" spans="1:19" x14ac:dyDescent="0.25">
      <c r="A7506" s="27" t="s">
        <v>193</v>
      </c>
      <c r="C7506" s="27" t="s">
        <v>34749</v>
      </c>
      <c r="D7506" s="28" t="s">
        <v>34867</v>
      </c>
      <c r="P7506">
        <v>8587</v>
      </c>
      <c r="Q7506" t="s">
        <v>15289</v>
      </c>
      <c r="R7506" s="28" t="s">
        <v>15290</v>
      </c>
      <c r="S7506" t="s">
        <v>13022</v>
      </c>
    </row>
    <row r="7507" spans="1:19" x14ac:dyDescent="0.25">
      <c r="A7507" s="27" t="s">
        <v>193</v>
      </c>
      <c r="C7507" s="27" t="s">
        <v>34749</v>
      </c>
      <c r="D7507" s="28" t="s">
        <v>34867</v>
      </c>
      <c r="P7507">
        <v>8588</v>
      </c>
      <c r="Q7507" t="s">
        <v>12098</v>
      </c>
      <c r="R7507" s="28" t="s">
        <v>12099</v>
      </c>
      <c r="S7507" t="s">
        <v>13022</v>
      </c>
    </row>
    <row r="7508" spans="1:19" x14ac:dyDescent="0.25">
      <c r="A7508" s="27" t="s">
        <v>193</v>
      </c>
      <c r="C7508" s="27" t="s">
        <v>34749</v>
      </c>
      <c r="D7508" s="28" t="s">
        <v>34867</v>
      </c>
      <c r="P7508">
        <v>8589</v>
      </c>
      <c r="Q7508" t="s">
        <v>15291</v>
      </c>
      <c r="S7508" t="s">
        <v>13022</v>
      </c>
    </row>
    <row r="7509" spans="1:19" x14ac:dyDescent="0.25">
      <c r="A7509" s="27" t="s">
        <v>193</v>
      </c>
      <c r="C7509" s="27" t="s">
        <v>34749</v>
      </c>
      <c r="D7509" s="28" t="s">
        <v>34867</v>
      </c>
      <c r="P7509">
        <v>8590</v>
      </c>
      <c r="Q7509" t="s">
        <v>12145</v>
      </c>
      <c r="R7509" s="28" t="s">
        <v>12146</v>
      </c>
      <c r="S7509" t="s">
        <v>13022</v>
      </c>
    </row>
    <row r="7510" spans="1:19" x14ac:dyDescent="0.25">
      <c r="A7510" s="27" t="s">
        <v>193</v>
      </c>
      <c r="C7510" s="27" t="s">
        <v>34749</v>
      </c>
      <c r="D7510" s="28" t="s">
        <v>34867</v>
      </c>
      <c r="P7510">
        <v>8591</v>
      </c>
      <c r="Q7510" t="s">
        <v>12151</v>
      </c>
      <c r="R7510" s="28" t="s">
        <v>12152</v>
      </c>
      <c r="S7510" t="s">
        <v>13022</v>
      </c>
    </row>
    <row r="7511" spans="1:19" x14ac:dyDescent="0.25">
      <c r="A7511" s="27" t="s">
        <v>193</v>
      </c>
      <c r="C7511" s="27" t="s">
        <v>34749</v>
      </c>
      <c r="D7511" s="28" t="s">
        <v>34867</v>
      </c>
      <c r="P7511">
        <v>8592</v>
      </c>
      <c r="Q7511" t="s">
        <v>12166</v>
      </c>
      <c r="R7511" s="28" t="s">
        <v>12167</v>
      </c>
      <c r="S7511" t="s">
        <v>13022</v>
      </c>
    </row>
    <row r="7512" spans="1:19" x14ac:dyDescent="0.25">
      <c r="A7512" s="27" t="s">
        <v>193</v>
      </c>
      <c r="C7512" s="27" t="s">
        <v>34749</v>
      </c>
      <c r="D7512" s="28" t="s">
        <v>34867</v>
      </c>
      <c r="P7512">
        <v>8593</v>
      </c>
      <c r="Q7512" t="s">
        <v>15292</v>
      </c>
      <c r="R7512" s="28" t="s">
        <v>1516</v>
      </c>
      <c r="S7512" t="s">
        <v>13022</v>
      </c>
    </row>
    <row r="7513" spans="1:19" x14ac:dyDescent="0.25">
      <c r="A7513" s="27" t="s">
        <v>193</v>
      </c>
      <c r="C7513" s="27" t="s">
        <v>34749</v>
      </c>
      <c r="D7513" s="28" t="s">
        <v>34867</v>
      </c>
      <c r="P7513">
        <v>8594</v>
      </c>
      <c r="Q7513" t="s">
        <v>15293</v>
      </c>
      <c r="R7513" s="28" t="s">
        <v>15294</v>
      </c>
      <c r="S7513" t="s">
        <v>13022</v>
      </c>
    </row>
    <row r="7514" spans="1:19" x14ac:dyDescent="0.25">
      <c r="A7514" s="27" t="s">
        <v>193</v>
      </c>
      <c r="C7514" s="27" t="s">
        <v>34749</v>
      </c>
      <c r="D7514" s="28" t="s">
        <v>34867</v>
      </c>
      <c r="P7514">
        <v>8595</v>
      </c>
      <c r="Q7514" t="s">
        <v>7644</v>
      </c>
      <c r="R7514" s="28" t="s">
        <v>7645</v>
      </c>
      <c r="S7514" t="s">
        <v>13022</v>
      </c>
    </row>
    <row r="7515" spans="1:19" x14ac:dyDescent="0.25">
      <c r="A7515" s="27" t="s">
        <v>193</v>
      </c>
      <c r="C7515" s="27" t="s">
        <v>34749</v>
      </c>
      <c r="D7515" s="28" t="s">
        <v>34867</v>
      </c>
      <c r="P7515">
        <v>8596</v>
      </c>
      <c r="Q7515" t="s">
        <v>7647</v>
      </c>
      <c r="R7515" s="28" t="s">
        <v>7648</v>
      </c>
      <c r="S7515" t="s">
        <v>13022</v>
      </c>
    </row>
    <row r="7516" spans="1:19" x14ac:dyDescent="0.25">
      <c r="A7516" s="27" t="s">
        <v>193</v>
      </c>
      <c r="C7516" s="27" t="s">
        <v>34749</v>
      </c>
      <c r="D7516" s="28" t="s">
        <v>34867</v>
      </c>
      <c r="P7516">
        <v>8597</v>
      </c>
      <c r="Q7516" t="s">
        <v>7650</v>
      </c>
      <c r="R7516" s="28" t="s">
        <v>7651</v>
      </c>
      <c r="S7516" t="s">
        <v>13022</v>
      </c>
    </row>
    <row r="7517" spans="1:19" x14ac:dyDescent="0.25">
      <c r="A7517" s="27" t="s">
        <v>193</v>
      </c>
      <c r="C7517" s="27" t="s">
        <v>34749</v>
      </c>
      <c r="D7517" s="28" t="s">
        <v>34867</v>
      </c>
      <c r="P7517">
        <v>8598</v>
      </c>
      <c r="Q7517" t="s">
        <v>7653</v>
      </c>
      <c r="R7517" s="28" t="s">
        <v>7654</v>
      </c>
      <c r="S7517" t="s">
        <v>13022</v>
      </c>
    </row>
    <row r="7518" spans="1:19" x14ac:dyDescent="0.25">
      <c r="A7518" s="27" t="s">
        <v>193</v>
      </c>
      <c r="C7518" s="27" t="s">
        <v>34749</v>
      </c>
      <c r="D7518" s="28" t="s">
        <v>34867</v>
      </c>
      <c r="P7518">
        <v>8599</v>
      </c>
      <c r="Q7518" t="s">
        <v>15295</v>
      </c>
      <c r="S7518" t="s">
        <v>13022</v>
      </c>
    </row>
    <row r="7519" spans="1:19" x14ac:dyDescent="0.25">
      <c r="A7519" s="27" t="s">
        <v>193</v>
      </c>
      <c r="C7519" s="27" t="s">
        <v>34749</v>
      </c>
      <c r="D7519" s="28" t="s">
        <v>34867</v>
      </c>
      <c r="P7519">
        <v>8600</v>
      </c>
      <c r="Q7519" t="s">
        <v>7668</v>
      </c>
      <c r="R7519" s="28" t="s">
        <v>7669</v>
      </c>
      <c r="S7519" t="s">
        <v>13022</v>
      </c>
    </row>
    <row r="7520" spans="1:19" x14ac:dyDescent="0.25">
      <c r="A7520" s="27" t="s">
        <v>193</v>
      </c>
      <c r="C7520" s="27" t="s">
        <v>34749</v>
      </c>
      <c r="D7520" s="28" t="s">
        <v>34867</v>
      </c>
      <c r="P7520">
        <v>8601</v>
      </c>
      <c r="Q7520" t="s">
        <v>7709</v>
      </c>
      <c r="R7520" s="28" t="s">
        <v>7710</v>
      </c>
      <c r="S7520" t="s">
        <v>13022</v>
      </c>
    </row>
    <row r="7521" spans="1:19" x14ac:dyDescent="0.25">
      <c r="A7521" s="27" t="s">
        <v>193</v>
      </c>
      <c r="C7521" s="27" t="s">
        <v>34749</v>
      </c>
      <c r="D7521" s="28" t="s">
        <v>34867</v>
      </c>
      <c r="P7521">
        <v>8602</v>
      </c>
      <c r="Q7521" t="s">
        <v>1512</v>
      </c>
      <c r="R7521" s="28" t="s">
        <v>1513</v>
      </c>
      <c r="S7521" t="s">
        <v>13022</v>
      </c>
    </row>
    <row r="7522" spans="1:19" x14ac:dyDescent="0.25">
      <c r="A7522" s="27" t="s">
        <v>193</v>
      </c>
      <c r="C7522" s="27" t="s">
        <v>34749</v>
      </c>
      <c r="D7522" s="28" t="s">
        <v>34867</v>
      </c>
      <c r="P7522">
        <v>8603</v>
      </c>
      <c r="Q7522" t="s">
        <v>1533</v>
      </c>
      <c r="R7522" s="28" t="s">
        <v>1534</v>
      </c>
      <c r="S7522" t="s">
        <v>13022</v>
      </c>
    </row>
    <row r="7523" spans="1:19" x14ac:dyDescent="0.25">
      <c r="A7523" s="27" t="s">
        <v>193</v>
      </c>
      <c r="C7523" s="27" t="s">
        <v>34749</v>
      </c>
      <c r="D7523" s="28" t="s">
        <v>34867</v>
      </c>
      <c r="P7523">
        <v>8604</v>
      </c>
      <c r="Q7523" t="s">
        <v>7552</v>
      </c>
      <c r="R7523" s="28" t="s">
        <v>7553</v>
      </c>
      <c r="S7523" t="s">
        <v>13022</v>
      </c>
    </row>
    <row r="7524" spans="1:19" x14ac:dyDescent="0.25">
      <c r="A7524" s="27" t="s">
        <v>193</v>
      </c>
      <c r="C7524" s="27" t="s">
        <v>34749</v>
      </c>
      <c r="D7524" s="28" t="s">
        <v>34867</v>
      </c>
      <c r="P7524">
        <v>8605</v>
      </c>
      <c r="Q7524" t="s">
        <v>15296</v>
      </c>
      <c r="R7524" s="28" t="s">
        <v>15297</v>
      </c>
      <c r="S7524" t="s">
        <v>13022</v>
      </c>
    </row>
    <row r="7525" spans="1:19" x14ac:dyDescent="0.25">
      <c r="A7525" s="27" t="s">
        <v>193</v>
      </c>
      <c r="C7525" s="27" t="s">
        <v>34749</v>
      </c>
      <c r="D7525" s="28" t="s">
        <v>34867</v>
      </c>
      <c r="P7525">
        <v>8606</v>
      </c>
      <c r="Q7525" t="s">
        <v>7558</v>
      </c>
      <c r="R7525" s="28" t="s">
        <v>7559</v>
      </c>
      <c r="S7525" t="s">
        <v>13022</v>
      </c>
    </row>
    <row r="7526" spans="1:19" x14ac:dyDescent="0.25">
      <c r="A7526" s="27" t="s">
        <v>193</v>
      </c>
      <c r="C7526" s="27" t="s">
        <v>34749</v>
      </c>
      <c r="D7526" s="28" t="s">
        <v>34867</v>
      </c>
      <c r="P7526">
        <v>8607</v>
      </c>
      <c r="Q7526" t="s">
        <v>7715</v>
      </c>
      <c r="R7526" s="28" t="s">
        <v>7716</v>
      </c>
      <c r="S7526" t="s">
        <v>13022</v>
      </c>
    </row>
    <row r="7527" spans="1:19" x14ac:dyDescent="0.25">
      <c r="A7527" s="27" t="s">
        <v>193</v>
      </c>
      <c r="C7527" s="27" t="s">
        <v>34749</v>
      </c>
      <c r="D7527" s="28" t="s">
        <v>34867</v>
      </c>
      <c r="P7527">
        <v>8608</v>
      </c>
      <c r="Q7527" t="s">
        <v>7727</v>
      </c>
      <c r="R7527" s="28" t="s">
        <v>7728</v>
      </c>
      <c r="S7527" t="s">
        <v>13022</v>
      </c>
    </row>
    <row r="7528" spans="1:19" x14ac:dyDescent="0.25">
      <c r="A7528" s="27" t="s">
        <v>193</v>
      </c>
      <c r="C7528" s="27" t="s">
        <v>34749</v>
      </c>
      <c r="D7528" s="28" t="s">
        <v>34867</v>
      </c>
      <c r="P7528">
        <v>8609</v>
      </c>
      <c r="Q7528" t="s">
        <v>15298</v>
      </c>
      <c r="R7528" s="28" t="s">
        <v>7747</v>
      </c>
      <c r="S7528" t="s">
        <v>13022</v>
      </c>
    </row>
    <row r="7529" spans="1:19" x14ac:dyDescent="0.25">
      <c r="A7529" s="27" t="s">
        <v>193</v>
      </c>
      <c r="C7529" s="27" t="s">
        <v>34749</v>
      </c>
      <c r="D7529" s="28" t="s">
        <v>34867</v>
      </c>
      <c r="P7529">
        <v>8610</v>
      </c>
      <c r="Q7529" t="s">
        <v>7749</v>
      </c>
      <c r="R7529" s="28" t="s">
        <v>7750</v>
      </c>
      <c r="S7529" t="s">
        <v>13022</v>
      </c>
    </row>
    <row r="7530" spans="1:19" x14ac:dyDescent="0.25">
      <c r="A7530" s="27" t="s">
        <v>193</v>
      </c>
      <c r="C7530" s="27" t="s">
        <v>34749</v>
      </c>
      <c r="D7530" s="28" t="s">
        <v>34867</v>
      </c>
      <c r="P7530">
        <v>8612</v>
      </c>
      <c r="Q7530" t="s">
        <v>15299</v>
      </c>
      <c r="R7530" s="28" t="s">
        <v>7759</v>
      </c>
      <c r="S7530" t="s">
        <v>13022</v>
      </c>
    </row>
    <row r="7531" spans="1:19" x14ac:dyDescent="0.25">
      <c r="A7531" s="27" t="s">
        <v>193</v>
      </c>
      <c r="C7531" s="27" t="s">
        <v>34749</v>
      </c>
      <c r="D7531" s="28" t="s">
        <v>34867</v>
      </c>
      <c r="P7531">
        <v>8613</v>
      </c>
      <c r="Q7531" t="s">
        <v>7761</v>
      </c>
      <c r="R7531" s="28" t="s">
        <v>7762</v>
      </c>
      <c r="S7531" t="s">
        <v>13022</v>
      </c>
    </row>
    <row r="7532" spans="1:19" x14ac:dyDescent="0.25">
      <c r="A7532" s="27" t="s">
        <v>193</v>
      </c>
      <c r="C7532" s="27" t="s">
        <v>34749</v>
      </c>
      <c r="D7532" s="28" t="s">
        <v>34867</v>
      </c>
      <c r="P7532">
        <v>8615</v>
      </c>
      <c r="Q7532" t="s">
        <v>15300</v>
      </c>
      <c r="R7532" s="28" t="s">
        <v>15301</v>
      </c>
      <c r="S7532" t="s">
        <v>13022</v>
      </c>
    </row>
    <row r="7533" spans="1:19" x14ac:dyDescent="0.25">
      <c r="A7533" s="27" t="s">
        <v>193</v>
      </c>
      <c r="C7533" s="27" t="s">
        <v>34749</v>
      </c>
      <c r="D7533" s="28" t="s">
        <v>34867</v>
      </c>
      <c r="P7533">
        <v>8616</v>
      </c>
      <c r="Q7533" t="s">
        <v>12229</v>
      </c>
      <c r="R7533" s="28" t="s">
        <v>12230</v>
      </c>
      <c r="S7533" t="s">
        <v>13022</v>
      </c>
    </row>
    <row r="7534" spans="1:19" x14ac:dyDescent="0.25">
      <c r="A7534" s="27" t="s">
        <v>193</v>
      </c>
      <c r="C7534" s="27" t="s">
        <v>34749</v>
      </c>
      <c r="D7534" s="28" t="s">
        <v>34867</v>
      </c>
      <c r="P7534">
        <v>8617</v>
      </c>
      <c r="Q7534" t="s">
        <v>12250</v>
      </c>
      <c r="R7534" s="28" t="s">
        <v>12251</v>
      </c>
      <c r="S7534" t="s">
        <v>13022</v>
      </c>
    </row>
    <row r="7535" spans="1:19" x14ac:dyDescent="0.25">
      <c r="A7535" s="27" t="s">
        <v>193</v>
      </c>
      <c r="C7535" s="27" t="s">
        <v>34749</v>
      </c>
      <c r="D7535" s="28" t="s">
        <v>34867</v>
      </c>
      <c r="P7535">
        <v>8618</v>
      </c>
      <c r="Q7535" t="s">
        <v>12262</v>
      </c>
      <c r="R7535" s="28" t="s">
        <v>12263</v>
      </c>
      <c r="S7535" t="s">
        <v>13022</v>
      </c>
    </row>
    <row r="7536" spans="1:19" x14ac:dyDescent="0.25">
      <c r="A7536" s="27" t="s">
        <v>193</v>
      </c>
      <c r="C7536" s="27" t="s">
        <v>34749</v>
      </c>
      <c r="D7536" s="28" t="s">
        <v>34867</v>
      </c>
      <c r="P7536">
        <v>8619</v>
      </c>
      <c r="Q7536" t="s">
        <v>15302</v>
      </c>
      <c r="R7536" s="28" t="s">
        <v>12278</v>
      </c>
      <c r="S7536" t="s">
        <v>13022</v>
      </c>
    </row>
    <row r="7537" spans="1:19" x14ac:dyDescent="0.25">
      <c r="A7537" s="27" t="s">
        <v>193</v>
      </c>
      <c r="C7537" s="27" t="s">
        <v>34749</v>
      </c>
      <c r="D7537" s="28" t="s">
        <v>34867</v>
      </c>
      <c r="P7537">
        <v>8620</v>
      </c>
      <c r="Q7537" t="s">
        <v>12286</v>
      </c>
      <c r="R7537" s="28" t="s">
        <v>12287</v>
      </c>
      <c r="S7537" t="s">
        <v>13022</v>
      </c>
    </row>
    <row r="7538" spans="1:19" x14ac:dyDescent="0.25">
      <c r="A7538" s="27" t="s">
        <v>193</v>
      </c>
      <c r="C7538" s="27" t="s">
        <v>34749</v>
      </c>
      <c r="D7538" s="28" t="s">
        <v>34867</v>
      </c>
      <c r="P7538">
        <v>8621</v>
      </c>
      <c r="Q7538" t="s">
        <v>12292</v>
      </c>
      <c r="R7538" s="28" t="s">
        <v>12293</v>
      </c>
      <c r="S7538" t="s">
        <v>13022</v>
      </c>
    </row>
    <row r="7539" spans="1:19" x14ac:dyDescent="0.25">
      <c r="A7539" s="27" t="s">
        <v>193</v>
      </c>
      <c r="C7539" s="27" t="s">
        <v>34749</v>
      </c>
      <c r="D7539" s="28" t="s">
        <v>34867</v>
      </c>
      <c r="P7539">
        <v>8622</v>
      </c>
      <c r="Q7539" t="s">
        <v>15303</v>
      </c>
      <c r="R7539" s="28" t="s">
        <v>15304</v>
      </c>
      <c r="S7539" t="s">
        <v>13022</v>
      </c>
    </row>
    <row r="7540" spans="1:19" x14ac:dyDescent="0.25">
      <c r="A7540" s="27" t="s">
        <v>193</v>
      </c>
      <c r="C7540" s="27" t="s">
        <v>34749</v>
      </c>
      <c r="D7540" s="28" t="s">
        <v>34867</v>
      </c>
      <c r="P7540">
        <v>8623</v>
      </c>
      <c r="Q7540" t="s">
        <v>12295</v>
      </c>
      <c r="R7540" s="28" t="s">
        <v>12296</v>
      </c>
      <c r="S7540" t="s">
        <v>13022</v>
      </c>
    </row>
    <row r="7541" spans="1:19" x14ac:dyDescent="0.25">
      <c r="A7541" s="27" t="s">
        <v>193</v>
      </c>
      <c r="C7541" s="27" t="s">
        <v>34749</v>
      </c>
      <c r="D7541" s="28" t="s">
        <v>34867</v>
      </c>
      <c r="P7541">
        <v>8624</v>
      </c>
      <c r="Q7541" t="s">
        <v>15305</v>
      </c>
      <c r="R7541" s="28" t="s">
        <v>7162</v>
      </c>
      <c r="S7541" t="s">
        <v>13022</v>
      </c>
    </row>
    <row r="7542" spans="1:19" x14ac:dyDescent="0.25">
      <c r="A7542" s="27" t="s">
        <v>193</v>
      </c>
      <c r="C7542" s="27" t="s">
        <v>34749</v>
      </c>
      <c r="D7542" s="28" t="s">
        <v>34867</v>
      </c>
      <c r="P7542">
        <v>8625</v>
      </c>
      <c r="Q7542" t="s">
        <v>15306</v>
      </c>
      <c r="R7542" s="28" t="s">
        <v>3835</v>
      </c>
      <c r="S7542" t="s">
        <v>13022</v>
      </c>
    </row>
    <row r="7543" spans="1:19" x14ac:dyDescent="0.25">
      <c r="A7543" s="27" t="s">
        <v>193</v>
      </c>
      <c r="C7543" s="27" t="s">
        <v>34749</v>
      </c>
      <c r="D7543" s="28" t="s">
        <v>34867</v>
      </c>
      <c r="P7543">
        <v>8626</v>
      </c>
      <c r="Q7543" t="s">
        <v>4014</v>
      </c>
      <c r="R7543" s="28" t="s">
        <v>4015</v>
      </c>
      <c r="S7543" t="s">
        <v>13022</v>
      </c>
    </row>
    <row r="7544" spans="1:19" x14ac:dyDescent="0.25">
      <c r="A7544" s="27" t="s">
        <v>193</v>
      </c>
      <c r="C7544" s="27" t="s">
        <v>34749</v>
      </c>
      <c r="D7544" s="28" t="s">
        <v>34867</v>
      </c>
      <c r="P7544">
        <v>8628</v>
      </c>
      <c r="Q7544" t="s">
        <v>15307</v>
      </c>
      <c r="S7544" t="s">
        <v>13022</v>
      </c>
    </row>
    <row r="7545" spans="1:19" x14ac:dyDescent="0.25">
      <c r="A7545" s="27" t="s">
        <v>193</v>
      </c>
      <c r="C7545" s="27" t="s">
        <v>34749</v>
      </c>
      <c r="D7545" s="28" t="s">
        <v>34867</v>
      </c>
      <c r="P7545">
        <v>8629</v>
      </c>
      <c r="Q7545" t="s">
        <v>15308</v>
      </c>
      <c r="R7545" s="28" t="s">
        <v>9199</v>
      </c>
      <c r="S7545" t="s">
        <v>13022</v>
      </c>
    </row>
    <row r="7546" spans="1:19" x14ac:dyDescent="0.25">
      <c r="A7546" s="27" t="s">
        <v>193</v>
      </c>
      <c r="C7546" s="27" t="s">
        <v>34749</v>
      </c>
      <c r="D7546" s="28" t="s">
        <v>34867</v>
      </c>
      <c r="P7546">
        <v>8630</v>
      </c>
      <c r="Q7546" t="s">
        <v>8721</v>
      </c>
      <c r="R7546" s="28" t="s">
        <v>8722</v>
      </c>
      <c r="S7546" t="s">
        <v>13022</v>
      </c>
    </row>
    <row r="7547" spans="1:19" x14ac:dyDescent="0.25">
      <c r="A7547" s="27" t="s">
        <v>193</v>
      </c>
      <c r="C7547" s="27" t="s">
        <v>34749</v>
      </c>
      <c r="D7547" s="28" t="s">
        <v>34867</v>
      </c>
      <c r="P7547">
        <v>8631</v>
      </c>
      <c r="Q7547" t="s">
        <v>11960</v>
      </c>
      <c r="R7547" s="28" t="s">
        <v>11961</v>
      </c>
      <c r="S7547" t="s">
        <v>13022</v>
      </c>
    </row>
    <row r="7548" spans="1:19" x14ac:dyDescent="0.25">
      <c r="A7548" s="27" t="s">
        <v>193</v>
      </c>
      <c r="C7548" s="27" t="s">
        <v>34749</v>
      </c>
      <c r="D7548" s="28" t="s">
        <v>34867</v>
      </c>
      <c r="P7548">
        <v>8632</v>
      </c>
      <c r="Q7548" t="s">
        <v>2834</v>
      </c>
      <c r="R7548" s="28" t="s">
        <v>2835</v>
      </c>
      <c r="S7548" t="s">
        <v>13022</v>
      </c>
    </row>
    <row r="7549" spans="1:19" x14ac:dyDescent="0.25">
      <c r="A7549" s="27" t="s">
        <v>193</v>
      </c>
      <c r="C7549" s="27" t="s">
        <v>34749</v>
      </c>
      <c r="D7549" s="28" t="s">
        <v>34867</v>
      </c>
      <c r="P7549">
        <v>8633</v>
      </c>
      <c r="Q7549" t="s">
        <v>9363</v>
      </c>
      <c r="R7549" s="28" t="s">
        <v>9364</v>
      </c>
      <c r="S7549" t="s">
        <v>13022</v>
      </c>
    </row>
    <row r="7550" spans="1:19" x14ac:dyDescent="0.25">
      <c r="A7550" s="27" t="s">
        <v>193</v>
      </c>
      <c r="C7550" s="27" t="s">
        <v>34749</v>
      </c>
      <c r="D7550" s="28" t="s">
        <v>34867</v>
      </c>
      <c r="P7550">
        <v>8634</v>
      </c>
      <c r="Q7550" t="s">
        <v>15309</v>
      </c>
      <c r="R7550" s="28" t="s">
        <v>8653</v>
      </c>
      <c r="S7550" t="s">
        <v>13022</v>
      </c>
    </row>
    <row r="7551" spans="1:19" x14ac:dyDescent="0.25">
      <c r="A7551" s="27" t="s">
        <v>193</v>
      </c>
      <c r="C7551" s="27" t="s">
        <v>34749</v>
      </c>
      <c r="D7551" s="28" t="s">
        <v>34867</v>
      </c>
      <c r="P7551">
        <v>8635</v>
      </c>
      <c r="Q7551" t="s">
        <v>9456</v>
      </c>
      <c r="R7551" s="28" t="s">
        <v>9457</v>
      </c>
      <c r="S7551" t="s">
        <v>13022</v>
      </c>
    </row>
    <row r="7552" spans="1:19" x14ac:dyDescent="0.25">
      <c r="A7552" s="27" t="s">
        <v>193</v>
      </c>
      <c r="C7552" s="27" t="s">
        <v>34749</v>
      </c>
      <c r="D7552" s="28" t="s">
        <v>34867</v>
      </c>
      <c r="P7552">
        <v>8636</v>
      </c>
      <c r="Q7552" t="s">
        <v>10555</v>
      </c>
      <c r="R7552" s="28" t="s">
        <v>10556</v>
      </c>
      <c r="S7552" t="s">
        <v>13022</v>
      </c>
    </row>
    <row r="7553" spans="1:19" x14ac:dyDescent="0.25">
      <c r="A7553" s="27" t="s">
        <v>193</v>
      </c>
      <c r="C7553" s="27" t="s">
        <v>34749</v>
      </c>
      <c r="D7553" s="28" t="s">
        <v>34867</v>
      </c>
      <c r="P7553">
        <v>8637</v>
      </c>
      <c r="Q7553" t="s">
        <v>15310</v>
      </c>
      <c r="R7553" s="28" t="s">
        <v>12134</v>
      </c>
      <c r="S7553" t="s">
        <v>13022</v>
      </c>
    </row>
    <row r="7554" spans="1:19" x14ac:dyDescent="0.25">
      <c r="A7554" s="27" t="s">
        <v>193</v>
      </c>
      <c r="C7554" s="27" t="s">
        <v>34749</v>
      </c>
      <c r="D7554" s="28" t="s">
        <v>34867</v>
      </c>
      <c r="P7554">
        <v>8638</v>
      </c>
      <c r="Q7554" t="s">
        <v>15311</v>
      </c>
      <c r="R7554" s="28" t="s">
        <v>12137</v>
      </c>
      <c r="S7554" t="s">
        <v>13022</v>
      </c>
    </row>
    <row r="7555" spans="1:19" x14ac:dyDescent="0.25">
      <c r="A7555" s="27" t="s">
        <v>193</v>
      </c>
      <c r="C7555" s="27" t="s">
        <v>34749</v>
      </c>
      <c r="D7555" s="28" t="s">
        <v>34867</v>
      </c>
      <c r="P7555">
        <v>8639</v>
      </c>
      <c r="Q7555" t="s">
        <v>2397</v>
      </c>
      <c r="R7555" s="28" t="s">
        <v>2398</v>
      </c>
      <c r="S7555" t="s">
        <v>13022</v>
      </c>
    </row>
    <row r="7556" spans="1:19" x14ac:dyDescent="0.25">
      <c r="A7556" s="27" t="s">
        <v>193</v>
      </c>
      <c r="C7556" s="27" t="s">
        <v>34749</v>
      </c>
      <c r="D7556" s="28" t="s">
        <v>34867</v>
      </c>
      <c r="P7556">
        <v>8640</v>
      </c>
      <c r="Q7556" t="s">
        <v>8709</v>
      </c>
      <c r="R7556" s="28" t="s">
        <v>8710</v>
      </c>
      <c r="S7556" t="s">
        <v>13022</v>
      </c>
    </row>
    <row r="7557" spans="1:19" x14ac:dyDescent="0.25">
      <c r="A7557" s="27" t="s">
        <v>193</v>
      </c>
      <c r="C7557" s="27" t="s">
        <v>34749</v>
      </c>
      <c r="D7557" s="28" t="s">
        <v>34867</v>
      </c>
      <c r="P7557">
        <v>8641</v>
      </c>
      <c r="Q7557" t="s">
        <v>11957</v>
      </c>
      <c r="R7557" s="28" t="s">
        <v>11958</v>
      </c>
      <c r="S7557" t="s">
        <v>13022</v>
      </c>
    </row>
    <row r="7558" spans="1:19" x14ac:dyDescent="0.25">
      <c r="A7558" s="27" t="s">
        <v>193</v>
      </c>
      <c r="C7558" s="27" t="s">
        <v>34749</v>
      </c>
      <c r="D7558" s="28" t="s">
        <v>34867</v>
      </c>
      <c r="P7558">
        <v>8642</v>
      </c>
      <c r="Q7558" t="s">
        <v>15312</v>
      </c>
      <c r="R7558" s="28" t="s">
        <v>3997</v>
      </c>
      <c r="S7558" t="s">
        <v>13022</v>
      </c>
    </row>
    <row r="7559" spans="1:19" x14ac:dyDescent="0.25">
      <c r="A7559" s="27" t="s">
        <v>193</v>
      </c>
      <c r="C7559" s="27" t="s">
        <v>34749</v>
      </c>
      <c r="D7559" s="28" t="s">
        <v>34867</v>
      </c>
      <c r="P7559">
        <v>8643</v>
      </c>
      <c r="Q7559" t="s">
        <v>15313</v>
      </c>
      <c r="S7559" t="s">
        <v>13022</v>
      </c>
    </row>
    <row r="7560" spans="1:19" x14ac:dyDescent="0.25">
      <c r="A7560" s="27" t="s">
        <v>193</v>
      </c>
      <c r="C7560" s="27" t="s">
        <v>34749</v>
      </c>
      <c r="D7560" s="28" t="s">
        <v>34867</v>
      </c>
      <c r="P7560">
        <v>8644</v>
      </c>
      <c r="Q7560" t="s">
        <v>9045</v>
      </c>
      <c r="R7560" s="28" t="s">
        <v>9046</v>
      </c>
      <c r="S7560" t="s">
        <v>13022</v>
      </c>
    </row>
    <row r="7561" spans="1:19" x14ac:dyDescent="0.25">
      <c r="A7561" s="27" t="s">
        <v>193</v>
      </c>
      <c r="C7561" s="27" t="s">
        <v>34749</v>
      </c>
      <c r="D7561" s="28" t="s">
        <v>34867</v>
      </c>
      <c r="P7561">
        <v>8645</v>
      </c>
      <c r="Q7561" t="s">
        <v>12107</v>
      </c>
      <c r="R7561" s="28" t="s">
        <v>12108</v>
      </c>
      <c r="S7561" t="s">
        <v>13022</v>
      </c>
    </row>
    <row r="7562" spans="1:19" x14ac:dyDescent="0.25">
      <c r="A7562" s="27" t="s">
        <v>193</v>
      </c>
      <c r="C7562" s="27" t="s">
        <v>34749</v>
      </c>
      <c r="D7562" s="28" t="s">
        <v>34867</v>
      </c>
      <c r="P7562">
        <v>8646</v>
      </c>
      <c r="Q7562" t="s">
        <v>8847</v>
      </c>
      <c r="R7562" s="28" t="s">
        <v>8848</v>
      </c>
      <c r="S7562" t="s">
        <v>13022</v>
      </c>
    </row>
    <row r="7563" spans="1:19" x14ac:dyDescent="0.25">
      <c r="A7563" s="27" t="s">
        <v>193</v>
      </c>
      <c r="C7563" s="27" t="s">
        <v>34749</v>
      </c>
      <c r="D7563" s="28" t="s">
        <v>34867</v>
      </c>
      <c r="P7563">
        <v>8647</v>
      </c>
      <c r="Q7563" t="s">
        <v>12071</v>
      </c>
      <c r="R7563" s="28" t="s">
        <v>12072</v>
      </c>
      <c r="S7563" t="s">
        <v>13022</v>
      </c>
    </row>
    <row r="7564" spans="1:19" x14ac:dyDescent="0.25">
      <c r="A7564" s="27" t="s">
        <v>193</v>
      </c>
      <c r="C7564" s="27" t="s">
        <v>34749</v>
      </c>
      <c r="D7564" s="28" t="s">
        <v>34867</v>
      </c>
      <c r="P7564">
        <v>8648</v>
      </c>
      <c r="Q7564" t="s">
        <v>15314</v>
      </c>
      <c r="R7564" s="28" t="s">
        <v>15315</v>
      </c>
      <c r="S7564" t="s">
        <v>13022</v>
      </c>
    </row>
    <row r="7565" spans="1:19" x14ac:dyDescent="0.25">
      <c r="A7565" s="27" t="s">
        <v>193</v>
      </c>
      <c r="C7565" s="27" t="s">
        <v>34749</v>
      </c>
      <c r="D7565" s="28" t="s">
        <v>34867</v>
      </c>
      <c r="P7565">
        <v>8649</v>
      </c>
      <c r="Q7565" t="s">
        <v>11116</v>
      </c>
      <c r="R7565" s="28" t="s">
        <v>11117</v>
      </c>
      <c r="S7565" t="s">
        <v>13022</v>
      </c>
    </row>
    <row r="7566" spans="1:19" x14ac:dyDescent="0.25">
      <c r="A7566" s="27" t="s">
        <v>193</v>
      </c>
      <c r="C7566" s="27" t="s">
        <v>34749</v>
      </c>
      <c r="D7566" s="28" t="s">
        <v>34867</v>
      </c>
      <c r="P7566">
        <v>8652</v>
      </c>
      <c r="Q7566" t="s">
        <v>15316</v>
      </c>
      <c r="R7566" s="28" t="s">
        <v>3590</v>
      </c>
      <c r="S7566" t="s">
        <v>13022</v>
      </c>
    </row>
    <row r="7567" spans="1:19" x14ac:dyDescent="0.25">
      <c r="A7567" s="27" t="s">
        <v>193</v>
      </c>
      <c r="C7567" s="27" t="s">
        <v>34749</v>
      </c>
      <c r="D7567" s="28" t="s">
        <v>34867</v>
      </c>
      <c r="P7567">
        <v>8653</v>
      </c>
      <c r="Q7567" t="s">
        <v>15318</v>
      </c>
      <c r="R7567" s="28" t="s">
        <v>15319</v>
      </c>
      <c r="S7567" t="s">
        <v>15317</v>
      </c>
    </row>
    <row r="7568" spans="1:19" x14ac:dyDescent="0.25">
      <c r="A7568" s="27" t="s">
        <v>193</v>
      </c>
      <c r="C7568" s="27" t="s">
        <v>34749</v>
      </c>
      <c r="D7568" s="28" t="s">
        <v>34867</v>
      </c>
      <c r="P7568">
        <v>8654</v>
      </c>
      <c r="Q7568" t="s">
        <v>15320</v>
      </c>
      <c r="R7568" s="28" t="s">
        <v>5283</v>
      </c>
      <c r="S7568" t="s">
        <v>13022</v>
      </c>
    </row>
    <row r="7569" spans="1:19" x14ac:dyDescent="0.25">
      <c r="A7569" s="27" t="s">
        <v>193</v>
      </c>
      <c r="C7569" s="27" t="s">
        <v>34749</v>
      </c>
      <c r="D7569" s="28" t="s">
        <v>34867</v>
      </c>
      <c r="P7569">
        <v>8655</v>
      </c>
      <c r="Q7569" t="s">
        <v>6470</v>
      </c>
      <c r="R7569" s="28" t="s">
        <v>6471</v>
      </c>
      <c r="S7569" t="s">
        <v>13022</v>
      </c>
    </row>
    <row r="7570" spans="1:19" x14ac:dyDescent="0.25">
      <c r="A7570" s="27" t="s">
        <v>193</v>
      </c>
      <c r="C7570" s="27" t="s">
        <v>34749</v>
      </c>
      <c r="D7570" s="28" t="s">
        <v>34867</v>
      </c>
      <c r="P7570">
        <v>8656</v>
      </c>
      <c r="Q7570" t="s">
        <v>15321</v>
      </c>
      <c r="R7570" s="28" t="s">
        <v>15322</v>
      </c>
      <c r="S7570" t="s">
        <v>13022</v>
      </c>
    </row>
    <row r="7571" spans="1:19" x14ac:dyDescent="0.25">
      <c r="A7571" s="27" t="s">
        <v>193</v>
      </c>
      <c r="C7571" s="27" t="s">
        <v>34749</v>
      </c>
      <c r="D7571" s="28" t="s">
        <v>34867</v>
      </c>
      <c r="P7571">
        <v>8657</v>
      </c>
      <c r="Q7571" t="s">
        <v>4644</v>
      </c>
      <c r="R7571" s="28" t="s">
        <v>4645</v>
      </c>
      <c r="S7571" t="s">
        <v>13022</v>
      </c>
    </row>
    <row r="7572" spans="1:19" x14ac:dyDescent="0.25">
      <c r="A7572" s="27" t="s">
        <v>193</v>
      </c>
      <c r="C7572" s="27" t="s">
        <v>34749</v>
      </c>
      <c r="D7572" s="28" t="s">
        <v>34867</v>
      </c>
      <c r="P7572">
        <v>8658</v>
      </c>
      <c r="Q7572" t="s">
        <v>15323</v>
      </c>
      <c r="R7572" s="28" t="s">
        <v>4396</v>
      </c>
      <c r="S7572" t="s">
        <v>13022</v>
      </c>
    </row>
    <row r="7573" spans="1:19" x14ac:dyDescent="0.25">
      <c r="A7573" s="27" t="s">
        <v>193</v>
      </c>
      <c r="C7573" s="27" t="s">
        <v>34749</v>
      </c>
      <c r="D7573" s="28" t="s">
        <v>34867</v>
      </c>
      <c r="P7573">
        <v>8659</v>
      </c>
      <c r="Q7573" t="s">
        <v>9405</v>
      </c>
      <c r="R7573" s="28" t="s">
        <v>15324</v>
      </c>
      <c r="S7573" t="s">
        <v>13022</v>
      </c>
    </row>
    <row r="7574" spans="1:19" x14ac:dyDescent="0.25">
      <c r="A7574" s="27" t="s">
        <v>193</v>
      </c>
      <c r="C7574" s="27" t="s">
        <v>34749</v>
      </c>
      <c r="D7574" s="28" t="s">
        <v>34867</v>
      </c>
      <c r="P7574">
        <v>8660</v>
      </c>
      <c r="Q7574" t="s">
        <v>9807</v>
      </c>
      <c r="R7574" s="28" t="s">
        <v>9808</v>
      </c>
      <c r="S7574" t="s">
        <v>13022</v>
      </c>
    </row>
    <row r="7575" spans="1:19" x14ac:dyDescent="0.25">
      <c r="A7575" s="27" t="s">
        <v>193</v>
      </c>
      <c r="C7575" s="27" t="s">
        <v>34749</v>
      </c>
      <c r="D7575" s="28" t="s">
        <v>34867</v>
      </c>
      <c r="P7575">
        <v>8661</v>
      </c>
      <c r="Q7575" t="s">
        <v>11194</v>
      </c>
      <c r="R7575" s="28" t="s">
        <v>11195</v>
      </c>
      <c r="S7575" t="s">
        <v>13022</v>
      </c>
    </row>
    <row r="7576" spans="1:19" x14ac:dyDescent="0.25">
      <c r="A7576" s="27" t="s">
        <v>193</v>
      </c>
      <c r="C7576" s="27" t="s">
        <v>34749</v>
      </c>
      <c r="D7576" s="28" t="s">
        <v>34867</v>
      </c>
      <c r="P7576">
        <v>8662</v>
      </c>
      <c r="Q7576" t="s">
        <v>11987</v>
      </c>
      <c r="R7576" s="28" t="s">
        <v>11988</v>
      </c>
      <c r="S7576" t="s">
        <v>13022</v>
      </c>
    </row>
    <row r="7577" spans="1:19" x14ac:dyDescent="0.25">
      <c r="A7577" s="27" t="s">
        <v>193</v>
      </c>
      <c r="C7577" s="27" t="s">
        <v>34749</v>
      </c>
      <c r="D7577" s="28" t="s">
        <v>34867</v>
      </c>
      <c r="P7577">
        <v>8663</v>
      </c>
      <c r="Q7577" t="s">
        <v>7411</v>
      </c>
      <c r="R7577" s="28" t="s">
        <v>7412</v>
      </c>
      <c r="S7577" t="s">
        <v>13022</v>
      </c>
    </row>
    <row r="7578" spans="1:19" x14ac:dyDescent="0.25">
      <c r="A7578" s="27" t="s">
        <v>193</v>
      </c>
      <c r="C7578" s="27" t="s">
        <v>34749</v>
      </c>
      <c r="D7578" s="28" t="s">
        <v>34867</v>
      </c>
      <c r="P7578">
        <v>8664</v>
      </c>
      <c r="Q7578" t="s">
        <v>10297</v>
      </c>
      <c r="R7578" s="28" t="s">
        <v>10298</v>
      </c>
      <c r="S7578" t="s">
        <v>13022</v>
      </c>
    </row>
    <row r="7579" spans="1:19" x14ac:dyDescent="0.25">
      <c r="A7579" s="27" t="s">
        <v>193</v>
      </c>
      <c r="C7579" s="27" t="s">
        <v>34749</v>
      </c>
      <c r="D7579" s="28" t="s">
        <v>34867</v>
      </c>
      <c r="P7579">
        <v>8665</v>
      </c>
      <c r="Q7579" t="s">
        <v>1074</v>
      </c>
      <c r="R7579" s="28" t="s">
        <v>1075</v>
      </c>
      <c r="S7579" t="s">
        <v>13022</v>
      </c>
    </row>
    <row r="7580" spans="1:19" x14ac:dyDescent="0.25">
      <c r="A7580" s="27" t="s">
        <v>193</v>
      </c>
      <c r="C7580" s="27" t="s">
        <v>34749</v>
      </c>
      <c r="D7580" s="28" t="s">
        <v>34867</v>
      </c>
      <c r="P7580">
        <v>8666</v>
      </c>
      <c r="Q7580" t="s">
        <v>15325</v>
      </c>
      <c r="R7580" s="28" t="s">
        <v>2371</v>
      </c>
      <c r="S7580" t="s">
        <v>13022</v>
      </c>
    </row>
    <row r="7581" spans="1:19" x14ac:dyDescent="0.25">
      <c r="A7581" s="27" t="s">
        <v>193</v>
      </c>
      <c r="C7581" s="27" t="s">
        <v>34749</v>
      </c>
      <c r="D7581" s="28" t="s">
        <v>34867</v>
      </c>
      <c r="P7581">
        <v>8667</v>
      </c>
      <c r="Q7581" t="s">
        <v>1128</v>
      </c>
      <c r="R7581" s="28" t="s">
        <v>1129</v>
      </c>
      <c r="S7581" t="s">
        <v>13022</v>
      </c>
    </row>
    <row r="7582" spans="1:19" x14ac:dyDescent="0.25">
      <c r="A7582" s="27" t="s">
        <v>193</v>
      </c>
      <c r="C7582" s="27" t="s">
        <v>34749</v>
      </c>
      <c r="D7582" s="28" t="s">
        <v>34867</v>
      </c>
      <c r="P7582">
        <v>8668</v>
      </c>
      <c r="Q7582" t="s">
        <v>1125</v>
      </c>
      <c r="R7582" s="28" t="s">
        <v>1126</v>
      </c>
      <c r="S7582" t="s">
        <v>13022</v>
      </c>
    </row>
    <row r="7583" spans="1:19" x14ac:dyDescent="0.25">
      <c r="A7583" s="27" t="s">
        <v>193</v>
      </c>
      <c r="C7583" s="27" t="s">
        <v>34749</v>
      </c>
      <c r="D7583" s="28" t="s">
        <v>34867</v>
      </c>
      <c r="P7583">
        <v>8669</v>
      </c>
      <c r="Q7583" t="s">
        <v>984</v>
      </c>
      <c r="R7583" s="28" t="s">
        <v>15326</v>
      </c>
      <c r="S7583" t="s">
        <v>13022</v>
      </c>
    </row>
    <row r="7584" spans="1:19" x14ac:dyDescent="0.25">
      <c r="A7584" s="27" t="s">
        <v>193</v>
      </c>
      <c r="C7584" s="27" t="s">
        <v>34749</v>
      </c>
      <c r="D7584" s="28" t="s">
        <v>34867</v>
      </c>
      <c r="P7584">
        <v>8670</v>
      </c>
      <c r="Q7584" t="s">
        <v>981</v>
      </c>
      <c r="R7584" s="28" t="s">
        <v>982</v>
      </c>
      <c r="S7584" t="s">
        <v>13022</v>
      </c>
    </row>
    <row r="7585" spans="1:19" x14ac:dyDescent="0.25">
      <c r="A7585" s="27" t="s">
        <v>193</v>
      </c>
      <c r="C7585" s="27" t="s">
        <v>34749</v>
      </c>
      <c r="D7585" s="28" t="s">
        <v>34867</v>
      </c>
      <c r="P7585">
        <v>8671</v>
      </c>
      <c r="Q7585" t="s">
        <v>15327</v>
      </c>
      <c r="S7585" t="s">
        <v>13022</v>
      </c>
    </row>
    <row r="7586" spans="1:19" x14ac:dyDescent="0.25">
      <c r="A7586" s="27" t="s">
        <v>193</v>
      </c>
      <c r="C7586" s="27" t="s">
        <v>34749</v>
      </c>
      <c r="D7586" s="28" t="s">
        <v>34867</v>
      </c>
      <c r="P7586">
        <v>8672</v>
      </c>
      <c r="Q7586" t="s">
        <v>8604</v>
      </c>
      <c r="R7586" s="28" t="s">
        <v>8605</v>
      </c>
      <c r="S7586" t="s">
        <v>13022</v>
      </c>
    </row>
    <row r="7587" spans="1:19" x14ac:dyDescent="0.25">
      <c r="A7587" s="27" t="s">
        <v>193</v>
      </c>
      <c r="C7587" s="27" t="s">
        <v>34749</v>
      </c>
      <c r="D7587" s="28" t="s">
        <v>34867</v>
      </c>
      <c r="P7587">
        <v>8674</v>
      </c>
      <c r="Q7587" t="s">
        <v>4560</v>
      </c>
      <c r="R7587" s="28" t="s">
        <v>4561</v>
      </c>
      <c r="S7587" t="s">
        <v>13022</v>
      </c>
    </row>
    <row r="7588" spans="1:19" x14ac:dyDescent="0.25">
      <c r="A7588" s="27" t="s">
        <v>193</v>
      </c>
      <c r="C7588" s="27" t="s">
        <v>34749</v>
      </c>
      <c r="D7588" s="28" t="s">
        <v>34867</v>
      </c>
      <c r="P7588">
        <v>8675</v>
      </c>
      <c r="Q7588" t="s">
        <v>10017</v>
      </c>
      <c r="R7588" s="28" t="s">
        <v>10018</v>
      </c>
      <c r="S7588" t="s">
        <v>13022</v>
      </c>
    </row>
    <row r="7589" spans="1:19" x14ac:dyDescent="0.25">
      <c r="A7589" s="27" t="s">
        <v>193</v>
      </c>
      <c r="C7589" s="27" t="s">
        <v>34749</v>
      </c>
      <c r="D7589" s="28" t="s">
        <v>34867</v>
      </c>
      <c r="P7589">
        <v>8676</v>
      </c>
      <c r="Q7589" t="s">
        <v>9693</v>
      </c>
      <c r="R7589" s="28" t="s">
        <v>9694</v>
      </c>
      <c r="S7589" t="s">
        <v>13022</v>
      </c>
    </row>
    <row r="7590" spans="1:19" x14ac:dyDescent="0.25">
      <c r="A7590" s="27" t="s">
        <v>193</v>
      </c>
      <c r="C7590" s="27" t="s">
        <v>34749</v>
      </c>
      <c r="D7590" s="28" t="s">
        <v>34867</v>
      </c>
      <c r="P7590">
        <v>8677</v>
      </c>
      <c r="Q7590" t="s">
        <v>10107</v>
      </c>
      <c r="R7590" s="28" t="s">
        <v>10108</v>
      </c>
      <c r="S7590" t="s">
        <v>13022</v>
      </c>
    </row>
    <row r="7591" spans="1:19" x14ac:dyDescent="0.25">
      <c r="A7591" s="27" t="s">
        <v>193</v>
      </c>
      <c r="C7591" s="27" t="s">
        <v>34749</v>
      </c>
      <c r="D7591" s="28" t="s">
        <v>34867</v>
      </c>
      <c r="P7591">
        <v>8679</v>
      </c>
      <c r="Q7591" t="s">
        <v>15328</v>
      </c>
      <c r="R7591" s="28" t="s">
        <v>1744</v>
      </c>
      <c r="S7591" t="s">
        <v>13022</v>
      </c>
    </row>
    <row r="7592" spans="1:19" x14ac:dyDescent="0.25">
      <c r="A7592" s="27" t="s">
        <v>193</v>
      </c>
      <c r="C7592" s="27" t="s">
        <v>34749</v>
      </c>
      <c r="D7592" s="28" t="s">
        <v>34867</v>
      </c>
      <c r="P7592">
        <v>8680</v>
      </c>
      <c r="Q7592" t="s">
        <v>9343</v>
      </c>
      <c r="R7592" s="28" t="s">
        <v>9344</v>
      </c>
      <c r="S7592" t="s">
        <v>13022</v>
      </c>
    </row>
    <row r="7593" spans="1:19" x14ac:dyDescent="0.25">
      <c r="A7593" s="27" t="s">
        <v>193</v>
      </c>
      <c r="C7593" s="27" t="s">
        <v>34749</v>
      </c>
      <c r="D7593" s="28" t="s">
        <v>34867</v>
      </c>
      <c r="P7593">
        <v>8681</v>
      </c>
      <c r="Q7593" t="s">
        <v>9253</v>
      </c>
      <c r="R7593" s="28" t="s">
        <v>9254</v>
      </c>
      <c r="S7593" t="s">
        <v>13022</v>
      </c>
    </row>
    <row r="7594" spans="1:19" x14ac:dyDescent="0.25">
      <c r="A7594" s="27" t="s">
        <v>193</v>
      </c>
      <c r="C7594" s="27" t="s">
        <v>34749</v>
      </c>
      <c r="D7594" s="28" t="s">
        <v>34867</v>
      </c>
      <c r="P7594">
        <v>8682</v>
      </c>
      <c r="Q7594" t="s">
        <v>15329</v>
      </c>
      <c r="R7594" s="28" t="s">
        <v>4636</v>
      </c>
      <c r="S7594" t="s">
        <v>13022</v>
      </c>
    </row>
    <row r="7595" spans="1:19" x14ac:dyDescent="0.25">
      <c r="A7595" s="27" t="s">
        <v>193</v>
      </c>
      <c r="C7595" s="27" t="s">
        <v>34749</v>
      </c>
      <c r="D7595" s="28" t="s">
        <v>34867</v>
      </c>
      <c r="P7595">
        <v>8683</v>
      </c>
      <c r="Q7595" t="s">
        <v>15330</v>
      </c>
      <c r="R7595" s="28" t="s">
        <v>15331</v>
      </c>
      <c r="S7595" t="s">
        <v>13022</v>
      </c>
    </row>
    <row r="7596" spans="1:19" x14ac:dyDescent="0.25">
      <c r="A7596" s="27" t="s">
        <v>193</v>
      </c>
      <c r="C7596" s="27" t="s">
        <v>34749</v>
      </c>
      <c r="D7596" s="28" t="s">
        <v>34867</v>
      </c>
      <c r="P7596">
        <v>8684</v>
      </c>
      <c r="Q7596" t="s">
        <v>10101</v>
      </c>
      <c r="R7596" s="28" t="s">
        <v>10102</v>
      </c>
      <c r="S7596" t="s">
        <v>13022</v>
      </c>
    </row>
    <row r="7597" spans="1:19" x14ac:dyDescent="0.25">
      <c r="A7597" s="27" t="s">
        <v>193</v>
      </c>
      <c r="C7597" s="27" t="s">
        <v>34749</v>
      </c>
      <c r="D7597" s="28" t="s">
        <v>34867</v>
      </c>
      <c r="P7597">
        <v>8685</v>
      </c>
      <c r="Q7597" t="s">
        <v>15332</v>
      </c>
      <c r="S7597" t="s">
        <v>13022</v>
      </c>
    </row>
    <row r="7598" spans="1:19" x14ac:dyDescent="0.25">
      <c r="A7598" s="27" t="s">
        <v>193</v>
      </c>
      <c r="C7598" s="27" t="s">
        <v>34749</v>
      </c>
      <c r="D7598" s="28" t="s">
        <v>34867</v>
      </c>
      <c r="P7598">
        <v>8686</v>
      </c>
      <c r="Q7598" t="s">
        <v>11715</v>
      </c>
      <c r="R7598" s="28" t="s">
        <v>11716</v>
      </c>
      <c r="S7598" t="s">
        <v>13022</v>
      </c>
    </row>
    <row r="7599" spans="1:19" x14ac:dyDescent="0.25">
      <c r="A7599" s="27" t="s">
        <v>193</v>
      </c>
      <c r="C7599" s="27" t="s">
        <v>34749</v>
      </c>
      <c r="D7599" s="28" t="s">
        <v>34867</v>
      </c>
      <c r="P7599">
        <v>8688</v>
      </c>
      <c r="Q7599" t="s">
        <v>15333</v>
      </c>
      <c r="R7599" s="28" t="s">
        <v>15334</v>
      </c>
      <c r="S7599" t="s">
        <v>13022</v>
      </c>
    </row>
    <row r="7600" spans="1:19" x14ac:dyDescent="0.25">
      <c r="A7600" s="27" t="s">
        <v>193</v>
      </c>
      <c r="C7600" s="27" t="s">
        <v>34749</v>
      </c>
      <c r="D7600" s="28" t="s">
        <v>34867</v>
      </c>
      <c r="P7600">
        <v>8689</v>
      </c>
      <c r="Q7600" t="s">
        <v>10008</v>
      </c>
      <c r="R7600" s="28" t="s">
        <v>10009</v>
      </c>
      <c r="S7600" t="s">
        <v>13022</v>
      </c>
    </row>
    <row r="7601" spans="1:19" x14ac:dyDescent="0.25">
      <c r="A7601" s="27" t="s">
        <v>193</v>
      </c>
      <c r="C7601" s="27" t="s">
        <v>34749</v>
      </c>
      <c r="D7601" s="28" t="s">
        <v>34867</v>
      </c>
      <c r="P7601">
        <v>8690</v>
      </c>
      <c r="Q7601" t="s">
        <v>4569</v>
      </c>
      <c r="R7601" s="28" t="s">
        <v>4570</v>
      </c>
      <c r="S7601" t="s">
        <v>13022</v>
      </c>
    </row>
    <row r="7602" spans="1:19" x14ac:dyDescent="0.25">
      <c r="A7602" s="27" t="s">
        <v>193</v>
      </c>
      <c r="C7602" s="27" t="s">
        <v>34749</v>
      </c>
      <c r="D7602" s="28" t="s">
        <v>34867</v>
      </c>
      <c r="P7602">
        <v>8691</v>
      </c>
      <c r="Q7602" t="s">
        <v>11161</v>
      </c>
      <c r="R7602" s="28" t="s">
        <v>11162</v>
      </c>
      <c r="S7602" t="s">
        <v>13022</v>
      </c>
    </row>
    <row r="7603" spans="1:19" x14ac:dyDescent="0.25">
      <c r="A7603" s="27" t="s">
        <v>193</v>
      </c>
      <c r="C7603" s="27" t="s">
        <v>34749</v>
      </c>
      <c r="D7603" s="28" t="s">
        <v>34867</v>
      </c>
      <c r="P7603">
        <v>8692</v>
      </c>
      <c r="Q7603" t="s">
        <v>11200</v>
      </c>
      <c r="R7603" s="28" t="s">
        <v>11201</v>
      </c>
      <c r="S7603" t="s">
        <v>13022</v>
      </c>
    </row>
    <row r="7604" spans="1:19" x14ac:dyDescent="0.25">
      <c r="A7604" s="27" t="s">
        <v>193</v>
      </c>
      <c r="C7604" s="27" t="s">
        <v>34749</v>
      </c>
      <c r="D7604" s="28" t="s">
        <v>34867</v>
      </c>
      <c r="P7604">
        <v>8693</v>
      </c>
      <c r="Q7604" t="s">
        <v>9594</v>
      </c>
      <c r="R7604" s="28" t="s">
        <v>9595</v>
      </c>
      <c r="S7604" t="s">
        <v>13022</v>
      </c>
    </row>
    <row r="7605" spans="1:19" x14ac:dyDescent="0.25">
      <c r="A7605" s="27" t="s">
        <v>193</v>
      </c>
      <c r="C7605" s="27" t="s">
        <v>34749</v>
      </c>
      <c r="D7605" s="28" t="s">
        <v>34867</v>
      </c>
      <c r="P7605">
        <v>8694</v>
      </c>
      <c r="Q7605" t="s">
        <v>9702</v>
      </c>
      <c r="R7605" s="28" t="s">
        <v>9703</v>
      </c>
      <c r="S7605" t="s">
        <v>13022</v>
      </c>
    </row>
    <row r="7606" spans="1:19" x14ac:dyDescent="0.25">
      <c r="A7606" s="27" t="s">
        <v>193</v>
      </c>
      <c r="C7606" s="27" t="s">
        <v>34749</v>
      </c>
      <c r="D7606" s="28" t="s">
        <v>34867</v>
      </c>
      <c r="P7606">
        <v>8695</v>
      </c>
      <c r="Q7606" t="s">
        <v>3942</v>
      </c>
      <c r="R7606" s="28" t="s">
        <v>3943</v>
      </c>
      <c r="S7606" t="s">
        <v>13022</v>
      </c>
    </row>
    <row r="7607" spans="1:19" x14ac:dyDescent="0.25">
      <c r="A7607" s="27" t="s">
        <v>193</v>
      </c>
      <c r="C7607" s="27" t="s">
        <v>34749</v>
      </c>
      <c r="D7607" s="28" t="s">
        <v>34867</v>
      </c>
      <c r="P7607">
        <v>8696</v>
      </c>
      <c r="Q7607" t="s">
        <v>9147</v>
      </c>
      <c r="R7607" s="28" t="s">
        <v>9148</v>
      </c>
      <c r="S7607" t="s">
        <v>13022</v>
      </c>
    </row>
    <row r="7608" spans="1:19" x14ac:dyDescent="0.25">
      <c r="A7608" s="27" t="s">
        <v>193</v>
      </c>
      <c r="C7608" s="27" t="s">
        <v>34749</v>
      </c>
      <c r="D7608" s="28" t="s">
        <v>34867</v>
      </c>
      <c r="P7608">
        <v>8697</v>
      </c>
      <c r="Q7608" t="s">
        <v>8118</v>
      </c>
      <c r="R7608" s="28" t="s">
        <v>8119</v>
      </c>
      <c r="S7608" t="s">
        <v>13022</v>
      </c>
    </row>
    <row r="7609" spans="1:19" x14ac:dyDescent="0.25">
      <c r="A7609" s="27" t="s">
        <v>193</v>
      </c>
      <c r="C7609" s="27" t="s">
        <v>34749</v>
      </c>
      <c r="D7609" s="28" t="s">
        <v>34867</v>
      </c>
      <c r="P7609">
        <v>8698</v>
      </c>
      <c r="Q7609" t="s">
        <v>8352</v>
      </c>
      <c r="R7609" s="28" t="s">
        <v>8353</v>
      </c>
      <c r="S7609" t="s">
        <v>13022</v>
      </c>
    </row>
    <row r="7610" spans="1:19" x14ac:dyDescent="0.25">
      <c r="A7610" s="27" t="s">
        <v>193</v>
      </c>
      <c r="C7610" s="27" t="s">
        <v>34749</v>
      </c>
      <c r="D7610" s="28" t="s">
        <v>34867</v>
      </c>
      <c r="P7610">
        <v>8699</v>
      </c>
      <c r="Q7610" t="s">
        <v>15335</v>
      </c>
      <c r="R7610" s="28" t="s">
        <v>8368</v>
      </c>
      <c r="S7610" t="s">
        <v>13022</v>
      </c>
    </row>
    <row r="7611" spans="1:19" x14ac:dyDescent="0.25">
      <c r="A7611" s="27" t="s">
        <v>193</v>
      </c>
      <c r="C7611" s="27" t="s">
        <v>34749</v>
      </c>
      <c r="D7611" s="28" t="s">
        <v>34867</v>
      </c>
      <c r="P7611">
        <v>8700</v>
      </c>
      <c r="Q7611" t="s">
        <v>9183</v>
      </c>
      <c r="R7611" s="28" t="s">
        <v>9184</v>
      </c>
      <c r="S7611" t="s">
        <v>13022</v>
      </c>
    </row>
    <row r="7612" spans="1:19" x14ac:dyDescent="0.25">
      <c r="A7612" s="27" t="s">
        <v>193</v>
      </c>
      <c r="C7612" s="27" t="s">
        <v>34749</v>
      </c>
      <c r="D7612" s="28" t="s">
        <v>34867</v>
      </c>
      <c r="P7612">
        <v>8701</v>
      </c>
      <c r="Q7612" t="s">
        <v>15336</v>
      </c>
      <c r="R7612" s="28" t="s">
        <v>10150</v>
      </c>
      <c r="S7612" t="s">
        <v>13022</v>
      </c>
    </row>
    <row r="7613" spans="1:19" x14ac:dyDescent="0.25">
      <c r="A7613" s="27" t="s">
        <v>193</v>
      </c>
      <c r="C7613" s="27" t="s">
        <v>34749</v>
      </c>
      <c r="D7613" s="28" t="s">
        <v>34867</v>
      </c>
      <c r="P7613">
        <v>8702</v>
      </c>
      <c r="Q7613" t="s">
        <v>10720</v>
      </c>
      <c r="R7613" s="28" t="s">
        <v>10721</v>
      </c>
      <c r="S7613" t="s">
        <v>13022</v>
      </c>
    </row>
    <row r="7614" spans="1:19" x14ac:dyDescent="0.25">
      <c r="A7614" s="27" t="s">
        <v>193</v>
      </c>
      <c r="C7614" s="27" t="s">
        <v>34749</v>
      </c>
      <c r="D7614" s="28" t="s">
        <v>34867</v>
      </c>
      <c r="P7614">
        <v>8703</v>
      </c>
      <c r="Q7614" t="s">
        <v>11143</v>
      </c>
      <c r="R7614" s="28" t="s">
        <v>11144</v>
      </c>
      <c r="S7614" t="s">
        <v>13022</v>
      </c>
    </row>
    <row r="7615" spans="1:19" x14ac:dyDescent="0.25">
      <c r="A7615" s="27" t="s">
        <v>193</v>
      </c>
      <c r="C7615" s="27" t="s">
        <v>34749</v>
      </c>
      <c r="D7615" s="28" t="s">
        <v>34867</v>
      </c>
      <c r="P7615">
        <v>8704</v>
      </c>
      <c r="Q7615" t="s">
        <v>15337</v>
      </c>
      <c r="R7615" s="28" t="s">
        <v>11874</v>
      </c>
      <c r="S7615" t="s">
        <v>13022</v>
      </c>
    </row>
    <row r="7616" spans="1:19" x14ac:dyDescent="0.25">
      <c r="A7616" s="27" t="s">
        <v>193</v>
      </c>
      <c r="C7616" s="27" t="s">
        <v>34749</v>
      </c>
      <c r="D7616" s="28" t="s">
        <v>34867</v>
      </c>
      <c r="P7616">
        <v>8705</v>
      </c>
      <c r="Q7616" t="s">
        <v>8250</v>
      </c>
      <c r="R7616" s="28" t="s">
        <v>8251</v>
      </c>
      <c r="S7616" t="s">
        <v>13022</v>
      </c>
    </row>
    <row r="7617" spans="1:19" x14ac:dyDescent="0.25">
      <c r="A7617" s="27" t="s">
        <v>193</v>
      </c>
      <c r="C7617" s="27" t="s">
        <v>34749</v>
      </c>
      <c r="D7617" s="28" t="s">
        <v>34867</v>
      </c>
      <c r="P7617">
        <v>8706</v>
      </c>
      <c r="Q7617" t="s">
        <v>8373</v>
      </c>
      <c r="R7617" s="28" t="s">
        <v>8374</v>
      </c>
      <c r="S7617" t="s">
        <v>13022</v>
      </c>
    </row>
    <row r="7618" spans="1:19" x14ac:dyDescent="0.25">
      <c r="A7618" s="27" t="s">
        <v>193</v>
      </c>
      <c r="C7618" s="27" t="s">
        <v>34749</v>
      </c>
      <c r="D7618" s="28" t="s">
        <v>34867</v>
      </c>
      <c r="P7618">
        <v>8707</v>
      </c>
      <c r="Q7618" t="s">
        <v>15338</v>
      </c>
      <c r="R7618" s="28" t="s">
        <v>9010</v>
      </c>
      <c r="S7618" t="s">
        <v>13022</v>
      </c>
    </row>
    <row r="7619" spans="1:19" x14ac:dyDescent="0.25">
      <c r="A7619" s="27" t="s">
        <v>193</v>
      </c>
      <c r="C7619" s="27" t="s">
        <v>34749</v>
      </c>
      <c r="D7619" s="28" t="s">
        <v>34867</v>
      </c>
      <c r="P7619">
        <v>8708</v>
      </c>
      <c r="Q7619" t="s">
        <v>15339</v>
      </c>
      <c r="R7619" s="28" t="s">
        <v>4654</v>
      </c>
      <c r="S7619" t="s">
        <v>13022</v>
      </c>
    </row>
    <row r="7620" spans="1:19" x14ac:dyDescent="0.25">
      <c r="A7620" s="27" t="s">
        <v>193</v>
      </c>
      <c r="C7620" s="27" t="s">
        <v>34749</v>
      </c>
      <c r="D7620" s="28" t="s">
        <v>34867</v>
      </c>
      <c r="P7620">
        <v>8709</v>
      </c>
      <c r="Q7620" t="s">
        <v>3559</v>
      </c>
      <c r="R7620" s="28" t="s">
        <v>3560</v>
      </c>
      <c r="S7620" t="s">
        <v>13022</v>
      </c>
    </row>
    <row r="7621" spans="1:19" x14ac:dyDescent="0.25">
      <c r="A7621" s="27" t="s">
        <v>193</v>
      </c>
      <c r="C7621" s="27" t="s">
        <v>34749</v>
      </c>
      <c r="D7621" s="28" t="s">
        <v>34867</v>
      </c>
      <c r="P7621">
        <v>8710</v>
      </c>
      <c r="Q7621" t="s">
        <v>9798</v>
      </c>
      <c r="R7621" s="28" t="s">
        <v>9799</v>
      </c>
      <c r="S7621" t="s">
        <v>13022</v>
      </c>
    </row>
    <row r="7622" spans="1:19" x14ac:dyDescent="0.25">
      <c r="A7622" s="27" t="s">
        <v>193</v>
      </c>
      <c r="C7622" s="27" t="s">
        <v>34749</v>
      </c>
      <c r="D7622" s="28" t="s">
        <v>34867</v>
      </c>
      <c r="P7622">
        <v>8711</v>
      </c>
      <c r="Q7622" t="s">
        <v>9828</v>
      </c>
      <c r="R7622" s="28" t="s">
        <v>9829</v>
      </c>
      <c r="S7622" t="s">
        <v>13022</v>
      </c>
    </row>
    <row r="7623" spans="1:19" x14ac:dyDescent="0.25">
      <c r="A7623" s="27" t="s">
        <v>193</v>
      </c>
      <c r="C7623" s="27" t="s">
        <v>34749</v>
      </c>
      <c r="D7623" s="28" t="s">
        <v>34867</v>
      </c>
      <c r="P7623">
        <v>8712</v>
      </c>
      <c r="Q7623" t="s">
        <v>9870</v>
      </c>
      <c r="R7623" s="28" t="s">
        <v>9871</v>
      </c>
      <c r="S7623" t="s">
        <v>13022</v>
      </c>
    </row>
    <row r="7624" spans="1:19" x14ac:dyDescent="0.25">
      <c r="A7624" s="27" t="s">
        <v>193</v>
      </c>
      <c r="C7624" s="27" t="s">
        <v>34749</v>
      </c>
      <c r="D7624" s="28" t="s">
        <v>34867</v>
      </c>
      <c r="P7624">
        <v>8714</v>
      </c>
      <c r="Q7624" t="s">
        <v>15340</v>
      </c>
      <c r="R7624" s="28" t="s">
        <v>5442</v>
      </c>
      <c r="S7624" t="s">
        <v>13022</v>
      </c>
    </row>
    <row r="7625" spans="1:19" x14ac:dyDescent="0.25">
      <c r="A7625" s="27" t="s">
        <v>193</v>
      </c>
      <c r="C7625" s="27" t="s">
        <v>34749</v>
      </c>
      <c r="D7625" s="28" t="s">
        <v>34867</v>
      </c>
      <c r="P7625">
        <v>8715</v>
      </c>
      <c r="Q7625" t="s">
        <v>15341</v>
      </c>
      <c r="R7625" s="28" t="s">
        <v>10451</v>
      </c>
      <c r="S7625" t="s">
        <v>13022</v>
      </c>
    </row>
    <row r="7626" spans="1:19" x14ac:dyDescent="0.25">
      <c r="A7626" s="27" t="s">
        <v>193</v>
      </c>
      <c r="C7626" s="27" t="s">
        <v>34749</v>
      </c>
      <c r="D7626" s="28" t="s">
        <v>34867</v>
      </c>
      <c r="P7626">
        <v>8716</v>
      </c>
      <c r="Q7626" t="s">
        <v>10486</v>
      </c>
      <c r="R7626" s="28" t="s">
        <v>10487</v>
      </c>
      <c r="S7626" t="s">
        <v>13022</v>
      </c>
    </row>
    <row r="7627" spans="1:19" x14ac:dyDescent="0.25">
      <c r="A7627" s="27" t="s">
        <v>193</v>
      </c>
      <c r="C7627" s="27" t="s">
        <v>34749</v>
      </c>
      <c r="D7627" s="28" t="s">
        <v>34867</v>
      </c>
      <c r="P7627">
        <v>8718</v>
      </c>
      <c r="Q7627" t="s">
        <v>6443</v>
      </c>
      <c r="R7627" s="28" t="s">
        <v>6444</v>
      </c>
      <c r="S7627" t="s">
        <v>13022</v>
      </c>
    </row>
    <row r="7628" spans="1:19" x14ac:dyDescent="0.25">
      <c r="A7628" s="27" t="s">
        <v>193</v>
      </c>
      <c r="C7628" s="27" t="s">
        <v>34749</v>
      </c>
      <c r="D7628" s="28" t="s">
        <v>34867</v>
      </c>
      <c r="P7628">
        <v>8719</v>
      </c>
      <c r="Q7628" t="s">
        <v>11119</v>
      </c>
      <c r="R7628" s="28" t="s">
        <v>11120</v>
      </c>
      <c r="S7628" t="s">
        <v>13022</v>
      </c>
    </row>
    <row r="7629" spans="1:19" x14ac:dyDescent="0.25">
      <c r="A7629" s="27" t="s">
        <v>193</v>
      </c>
      <c r="C7629" s="27" t="s">
        <v>34749</v>
      </c>
      <c r="D7629" s="28" t="s">
        <v>34867</v>
      </c>
      <c r="P7629">
        <v>8722</v>
      </c>
      <c r="Q7629" t="s">
        <v>11158</v>
      </c>
      <c r="R7629" s="28" t="s">
        <v>11159</v>
      </c>
      <c r="S7629" t="s">
        <v>13022</v>
      </c>
    </row>
    <row r="7630" spans="1:19" x14ac:dyDescent="0.25">
      <c r="A7630" s="27" t="s">
        <v>193</v>
      </c>
      <c r="C7630" s="27" t="s">
        <v>34749</v>
      </c>
      <c r="D7630" s="28" t="s">
        <v>34867</v>
      </c>
      <c r="P7630">
        <v>8723</v>
      </c>
      <c r="Q7630" t="s">
        <v>11266</v>
      </c>
      <c r="R7630" s="28" t="s">
        <v>11267</v>
      </c>
      <c r="S7630" t="s">
        <v>13022</v>
      </c>
    </row>
    <row r="7631" spans="1:19" x14ac:dyDescent="0.25">
      <c r="A7631" s="27" t="s">
        <v>193</v>
      </c>
      <c r="C7631" s="27" t="s">
        <v>34749</v>
      </c>
      <c r="D7631" s="28" t="s">
        <v>34867</v>
      </c>
      <c r="P7631">
        <v>8725</v>
      </c>
      <c r="Q7631" t="s">
        <v>11915</v>
      </c>
      <c r="R7631" s="28" t="s">
        <v>11916</v>
      </c>
      <c r="S7631" t="s">
        <v>13022</v>
      </c>
    </row>
    <row r="7632" spans="1:19" x14ac:dyDescent="0.25">
      <c r="A7632" s="27" t="s">
        <v>193</v>
      </c>
      <c r="C7632" s="27" t="s">
        <v>34749</v>
      </c>
      <c r="D7632" s="28" t="s">
        <v>34867</v>
      </c>
      <c r="P7632">
        <v>8726</v>
      </c>
      <c r="Q7632" t="s">
        <v>12083</v>
      </c>
      <c r="R7632" s="28" t="s">
        <v>12084</v>
      </c>
      <c r="S7632" t="s">
        <v>13022</v>
      </c>
    </row>
    <row r="7633" spans="1:19" x14ac:dyDescent="0.25">
      <c r="A7633" s="27" t="s">
        <v>193</v>
      </c>
      <c r="C7633" s="27" t="s">
        <v>34749</v>
      </c>
      <c r="D7633" s="28" t="s">
        <v>34867</v>
      </c>
      <c r="P7633">
        <v>8727</v>
      </c>
      <c r="Q7633" t="s">
        <v>7764</v>
      </c>
      <c r="R7633" s="28" t="s">
        <v>7765</v>
      </c>
      <c r="S7633" t="s">
        <v>13022</v>
      </c>
    </row>
    <row r="7634" spans="1:19" x14ac:dyDescent="0.25">
      <c r="A7634" s="27" t="s">
        <v>193</v>
      </c>
      <c r="C7634" s="27" t="s">
        <v>34749</v>
      </c>
      <c r="D7634" s="28" t="s">
        <v>34867</v>
      </c>
      <c r="P7634">
        <v>8728</v>
      </c>
      <c r="Q7634" t="s">
        <v>9235</v>
      </c>
      <c r="R7634" s="28" t="s">
        <v>9236</v>
      </c>
      <c r="S7634" t="s">
        <v>13022</v>
      </c>
    </row>
    <row r="7635" spans="1:19" x14ac:dyDescent="0.25">
      <c r="A7635" s="27" t="s">
        <v>193</v>
      </c>
      <c r="C7635" s="27" t="s">
        <v>34749</v>
      </c>
      <c r="D7635" s="28" t="s">
        <v>34867</v>
      </c>
      <c r="P7635">
        <v>8729</v>
      </c>
      <c r="Q7635" t="s">
        <v>12196</v>
      </c>
      <c r="R7635" s="28" t="s">
        <v>12197</v>
      </c>
      <c r="S7635" t="s">
        <v>13022</v>
      </c>
    </row>
    <row r="7636" spans="1:19" x14ac:dyDescent="0.25">
      <c r="A7636" s="27" t="s">
        <v>193</v>
      </c>
      <c r="C7636" s="27" t="s">
        <v>34749</v>
      </c>
      <c r="D7636" s="28" t="s">
        <v>34867</v>
      </c>
      <c r="P7636">
        <v>8730</v>
      </c>
      <c r="Q7636" t="s">
        <v>3487</v>
      </c>
      <c r="R7636" s="28" t="s">
        <v>3488</v>
      </c>
      <c r="S7636" t="s">
        <v>13022</v>
      </c>
    </row>
    <row r="7637" spans="1:19" x14ac:dyDescent="0.25">
      <c r="A7637" s="27" t="s">
        <v>193</v>
      </c>
      <c r="C7637" s="27" t="s">
        <v>34749</v>
      </c>
      <c r="D7637" s="28" t="s">
        <v>34867</v>
      </c>
      <c r="P7637">
        <v>8731</v>
      </c>
      <c r="Q7637" t="s">
        <v>15342</v>
      </c>
      <c r="R7637" s="28" t="s">
        <v>15343</v>
      </c>
      <c r="S7637" t="s">
        <v>13022</v>
      </c>
    </row>
    <row r="7638" spans="1:19" x14ac:dyDescent="0.25">
      <c r="A7638" s="27" t="s">
        <v>193</v>
      </c>
      <c r="C7638" s="27" t="s">
        <v>34749</v>
      </c>
      <c r="D7638" s="28" t="s">
        <v>34867</v>
      </c>
      <c r="P7638">
        <v>8732</v>
      </c>
      <c r="Q7638" t="s">
        <v>9259</v>
      </c>
      <c r="R7638" s="28" t="s">
        <v>9260</v>
      </c>
      <c r="S7638" t="s">
        <v>13022</v>
      </c>
    </row>
    <row r="7639" spans="1:19" x14ac:dyDescent="0.25">
      <c r="A7639" s="27" t="s">
        <v>193</v>
      </c>
      <c r="C7639" s="27" t="s">
        <v>34749</v>
      </c>
      <c r="D7639" s="28" t="s">
        <v>34867</v>
      </c>
      <c r="P7639">
        <v>8733</v>
      </c>
      <c r="Q7639" t="s">
        <v>1488</v>
      </c>
      <c r="R7639" s="28" t="s">
        <v>1489</v>
      </c>
      <c r="S7639" t="s">
        <v>13022</v>
      </c>
    </row>
    <row r="7640" spans="1:19" x14ac:dyDescent="0.25">
      <c r="A7640" s="27" t="s">
        <v>193</v>
      </c>
      <c r="C7640" s="27" t="s">
        <v>34749</v>
      </c>
      <c r="D7640" s="28" t="s">
        <v>34867</v>
      </c>
      <c r="P7640">
        <v>8734</v>
      </c>
      <c r="Q7640" t="s">
        <v>10623</v>
      </c>
      <c r="R7640" s="28" t="s">
        <v>10624</v>
      </c>
      <c r="S7640" t="s">
        <v>13022</v>
      </c>
    </row>
    <row r="7641" spans="1:19" x14ac:dyDescent="0.25">
      <c r="A7641" s="27" t="s">
        <v>193</v>
      </c>
      <c r="C7641" s="27" t="s">
        <v>34749</v>
      </c>
      <c r="D7641" s="28" t="s">
        <v>34867</v>
      </c>
      <c r="P7641">
        <v>8735</v>
      </c>
      <c r="Q7641" t="s">
        <v>7327</v>
      </c>
      <c r="R7641" s="28" t="s">
        <v>7328</v>
      </c>
      <c r="S7641" t="s">
        <v>13022</v>
      </c>
    </row>
    <row r="7642" spans="1:19" x14ac:dyDescent="0.25">
      <c r="A7642" s="27" t="s">
        <v>193</v>
      </c>
      <c r="C7642" s="27" t="s">
        <v>34749</v>
      </c>
      <c r="D7642" s="28" t="s">
        <v>34867</v>
      </c>
      <c r="P7642">
        <v>8736</v>
      </c>
      <c r="Q7642" t="s">
        <v>10363</v>
      </c>
      <c r="R7642" s="28" t="s">
        <v>10364</v>
      </c>
      <c r="S7642" t="s">
        <v>13022</v>
      </c>
    </row>
    <row r="7643" spans="1:19" x14ac:dyDescent="0.25">
      <c r="A7643" s="27" t="s">
        <v>193</v>
      </c>
      <c r="C7643" s="27" t="s">
        <v>34749</v>
      </c>
      <c r="D7643" s="28" t="s">
        <v>34867</v>
      </c>
      <c r="P7643">
        <v>8737</v>
      </c>
      <c r="Q7643" t="s">
        <v>10930</v>
      </c>
      <c r="R7643" s="28" t="s">
        <v>10931</v>
      </c>
      <c r="S7643" t="s">
        <v>13022</v>
      </c>
    </row>
    <row r="7644" spans="1:19" x14ac:dyDescent="0.25">
      <c r="A7644" s="27" t="s">
        <v>193</v>
      </c>
      <c r="C7644" s="27" t="s">
        <v>34749</v>
      </c>
      <c r="D7644" s="28" t="s">
        <v>34867</v>
      </c>
      <c r="P7644">
        <v>8738</v>
      </c>
      <c r="Q7644" t="s">
        <v>9645</v>
      </c>
      <c r="R7644" s="28" t="s">
        <v>9646</v>
      </c>
      <c r="S7644" t="s">
        <v>13022</v>
      </c>
    </row>
    <row r="7645" spans="1:19" x14ac:dyDescent="0.25">
      <c r="A7645" s="27" t="s">
        <v>193</v>
      </c>
      <c r="C7645" s="27" t="s">
        <v>34749</v>
      </c>
      <c r="D7645" s="28" t="s">
        <v>34867</v>
      </c>
      <c r="P7645">
        <v>8739</v>
      </c>
      <c r="Q7645" t="s">
        <v>7767</v>
      </c>
      <c r="R7645" s="28" t="s">
        <v>7768</v>
      </c>
      <c r="S7645" t="s">
        <v>13022</v>
      </c>
    </row>
    <row r="7646" spans="1:19" x14ac:dyDescent="0.25">
      <c r="A7646" s="27" t="s">
        <v>193</v>
      </c>
      <c r="C7646" s="27" t="s">
        <v>34749</v>
      </c>
      <c r="D7646" s="28" t="s">
        <v>34867</v>
      </c>
      <c r="P7646">
        <v>8740</v>
      </c>
      <c r="Q7646" t="s">
        <v>11820</v>
      </c>
      <c r="R7646" s="28" t="s">
        <v>11821</v>
      </c>
      <c r="S7646" t="s">
        <v>13022</v>
      </c>
    </row>
    <row r="7647" spans="1:19" x14ac:dyDescent="0.25">
      <c r="A7647" s="27" t="s">
        <v>193</v>
      </c>
      <c r="C7647" s="27" t="s">
        <v>34749</v>
      </c>
      <c r="D7647" s="28" t="s">
        <v>34867</v>
      </c>
      <c r="P7647">
        <v>8741</v>
      </c>
      <c r="Q7647" t="s">
        <v>12289</v>
      </c>
      <c r="R7647" s="28" t="s">
        <v>12290</v>
      </c>
      <c r="S7647" t="s">
        <v>13022</v>
      </c>
    </row>
    <row r="7648" spans="1:19" x14ac:dyDescent="0.25">
      <c r="A7648" s="27" t="s">
        <v>193</v>
      </c>
      <c r="C7648" s="27" t="s">
        <v>34749</v>
      </c>
      <c r="D7648" s="28" t="s">
        <v>34867</v>
      </c>
      <c r="P7648">
        <v>8742</v>
      </c>
      <c r="Q7648" t="s">
        <v>9564</v>
      </c>
      <c r="R7648" s="28" t="s">
        <v>9565</v>
      </c>
      <c r="S7648" t="s">
        <v>13022</v>
      </c>
    </row>
    <row r="7649" spans="1:19" x14ac:dyDescent="0.25">
      <c r="A7649" s="27" t="s">
        <v>193</v>
      </c>
      <c r="C7649" s="27" t="s">
        <v>34749</v>
      </c>
      <c r="D7649" s="28" t="s">
        <v>34867</v>
      </c>
      <c r="P7649">
        <v>8744</v>
      </c>
      <c r="Q7649" t="s">
        <v>8595</v>
      </c>
      <c r="R7649" s="28" t="s">
        <v>8596</v>
      </c>
      <c r="S7649" t="s">
        <v>13022</v>
      </c>
    </row>
    <row r="7650" spans="1:19" x14ac:dyDescent="0.25">
      <c r="A7650" s="27" t="s">
        <v>193</v>
      </c>
      <c r="C7650" s="27" t="s">
        <v>34749</v>
      </c>
      <c r="D7650" s="28" t="s">
        <v>34867</v>
      </c>
      <c r="P7650">
        <v>8746</v>
      </c>
      <c r="Q7650" t="s">
        <v>15344</v>
      </c>
      <c r="R7650" s="28" t="s">
        <v>8635</v>
      </c>
      <c r="S7650" t="s">
        <v>13022</v>
      </c>
    </row>
    <row r="7651" spans="1:19" x14ac:dyDescent="0.25">
      <c r="A7651" s="27" t="s">
        <v>193</v>
      </c>
      <c r="C7651" s="27" t="s">
        <v>34749</v>
      </c>
      <c r="D7651" s="28" t="s">
        <v>34867</v>
      </c>
      <c r="P7651">
        <v>8747</v>
      </c>
      <c r="Q7651" t="s">
        <v>9675</v>
      </c>
      <c r="R7651" s="28" t="s">
        <v>9676</v>
      </c>
      <c r="S7651" t="s">
        <v>13022</v>
      </c>
    </row>
    <row r="7652" spans="1:19" x14ac:dyDescent="0.25">
      <c r="A7652" s="27" t="s">
        <v>193</v>
      </c>
      <c r="C7652" s="27" t="s">
        <v>34749</v>
      </c>
      <c r="D7652" s="28" t="s">
        <v>34867</v>
      </c>
      <c r="P7652">
        <v>8748</v>
      </c>
      <c r="Q7652" t="s">
        <v>9180</v>
      </c>
      <c r="R7652" s="28" t="s">
        <v>9181</v>
      </c>
      <c r="S7652" t="s">
        <v>13022</v>
      </c>
    </row>
    <row r="7653" spans="1:19" x14ac:dyDescent="0.25">
      <c r="A7653" s="27" t="s">
        <v>193</v>
      </c>
      <c r="C7653" s="27" t="s">
        <v>34749</v>
      </c>
      <c r="D7653" s="28" t="s">
        <v>34867</v>
      </c>
      <c r="P7653">
        <v>8749</v>
      </c>
      <c r="Q7653" t="s">
        <v>4710</v>
      </c>
      <c r="R7653" s="28" t="s">
        <v>15345</v>
      </c>
      <c r="S7653" t="s">
        <v>13022</v>
      </c>
    </row>
    <row r="7654" spans="1:19" x14ac:dyDescent="0.25">
      <c r="A7654" s="27" t="s">
        <v>193</v>
      </c>
      <c r="C7654" s="27" t="s">
        <v>34749</v>
      </c>
      <c r="D7654" s="28" t="s">
        <v>34867</v>
      </c>
      <c r="P7654">
        <v>8750</v>
      </c>
      <c r="Q7654" t="s">
        <v>4704</v>
      </c>
      <c r="R7654" s="28" t="s">
        <v>15346</v>
      </c>
      <c r="S7654" t="s">
        <v>13022</v>
      </c>
    </row>
    <row r="7655" spans="1:19" x14ac:dyDescent="0.25">
      <c r="A7655" s="27" t="s">
        <v>193</v>
      </c>
      <c r="C7655" s="27" t="s">
        <v>34749</v>
      </c>
      <c r="D7655" s="28" t="s">
        <v>34867</v>
      </c>
      <c r="P7655">
        <v>8751</v>
      </c>
      <c r="Q7655" t="s">
        <v>9825</v>
      </c>
      <c r="R7655" s="28" t="s">
        <v>15347</v>
      </c>
      <c r="S7655" t="s">
        <v>13022</v>
      </c>
    </row>
    <row r="7656" spans="1:19" x14ac:dyDescent="0.25">
      <c r="A7656" s="27" t="s">
        <v>193</v>
      </c>
      <c r="C7656" s="27" t="s">
        <v>34749</v>
      </c>
      <c r="D7656" s="28" t="s">
        <v>34867</v>
      </c>
      <c r="P7656">
        <v>8752</v>
      </c>
      <c r="Q7656" t="s">
        <v>9843</v>
      </c>
      <c r="R7656" s="28" t="s">
        <v>15348</v>
      </c>
      <c r="S7656" t="s">
        <v>13022</v>
      </c>
    </row>
    <row r="7657" spans="1:19" x14ac:dyDescent="0.25">
      <c r="A7657" s="27" t="s">
        <v>193</v>
      </c>
      <c r="C7657" s="27" t="s">
        <v>34749</v>
      </c>
      <c r="D7657" s="28" t="s">
        <v>34867</v>
      </c>
      <c r="P7657">
        <v>8753</v>
      </c>
      <c r="Q7657" t="s">
        <v>15349</v>
      </c>
      <c r="R7657" s="28" t="s">
        <v>15350</v>
      </c>
      <c r="S7657" t="s">
        <v>13022</v>
      </c>
    </row>
    <row r="7658" spans="1:19" x14ac:dyDescent="0.25">
      <c r="A7658" s="27" t="s">
        <v>193</v>
      </c>
      <c r="C7658" s="27" t="s">
        <v>34749</v>
      </c>
      <c r="D7658" s="28" t="s">
        <v>34867</v>
      </c>
      <c r="P7658">
        <v>8754</v>
      </c>
      <c r="Q7658" t="s">
        <v>9735</v>
      </c>
      <c r="R7658" s="28" t="s">
        <v>9736</v>
      </c>
      <c r="S7658" t="s">
        <v>13022</v>
      </c>
    </row>
    <row r="7659" spans="1:19" x14ac:dyDescent="0.25">
      <c r="A7659" s="27" t="s">
        <v>193</v>
      </c>
      <c r="C7659" s="27" t="s">
        <v>34749</v>
      </c>
      <c r="D7659" s="28" t="s">
        <v>34867</v>
      </c>
      <c r="P7659">
        <v>8755</v>
      </c>
      <c r="Q7659" t="s">
        <v>12035</v>
      </c>
      <c r="R7659" s="28" t="s">
        <v>12036</v>
      </c>
      <c r="S7659" t="s">
        <v>13022</v>
      </c>
    </row>
    <row r="7660" spans="1:19" x14ac:dyDescent="0.25">
      <c r="A7660" s="27" t="s">
        <v>193</v>
      </c>
      <c r="C7660" s="27" t="s">
        <v>34749</v>
      </c>
      <c r="D7660" s="28" t="s">
        <v>34867</v>
      </c>
      <c r="P7660">
        <v>8757</v>
      </c>
      <c r="Q7660" t="s">
        <v>11984</v>
      </c>
      <c r="R7660" s="28" t="s">
        <v>11985</v>
      </c>
      <c r="S7660" t="s">
        <v>13022</v>
      </c>
    </row>
    <row r="7661" spans="1:19" x14ac:dyDescent="0.25">
      <c r="A7661" s="27" t="s">
        <v>193</v>
      </c>
      <c r="C7661" s="27" t="s">
        <v>34749</v>
      </c>
      <c r="D7661" s="28" t="s">
        <v>34867</v>
      </c>
      <c r="P7661">
        <v>8758</v>
      </c>
      <c r="Q7661" t="s">
        <v>9717</v>
      </c>
      <c r="R7661" s="28" t="s">
        <v>9718</v>
      </c>
      <c r="S7661" t="s">
        <v>13022</v>
      </c>
    </row>
    <row r="7662" spans="1:19" x14ac:dyDescent="0.25">
      <c r="A7662" s="27" t="s">
        <v>193</v>
      </c>
      <c r="C7662" s="27" t="s">
        <v>34749</v>
      </c>
      <c r="D7662" s="28" t="s">
        <v>34867</v>
      </c>
      <c r="P7662">
        <v>8759</v>
      </c>
      <c r="Q7662" t="s">
        <v>9597</v>
      </c>
      <c r="R7662" s="28" t="s">
        <v>9598</v>
      </c>
      <c r="S7662" t="s">
        <v>13022</v>
      </c>
    </row>
    <row r="7663" spans="1:19" x14ac:dyDescent="0.25">
      <c r="A7663" s="27" t="s">
        <v>193</v>
      </c>
      <c r="C7663" s="27" t="s">
        <v>34749</v>
      </c>
      <c r="D7663" s="28" t="s">
        <v>34867</v>
      </c>
      <c r="P7663">
        <v>8760</v>
      </c>
      <c r="Q7663" t="s">
        <v>9558</v>
      </c>
      <c r="R7663" s="28" t="s">
        <v>9559</v>
      </c>
      <c r="S7663" t="s">
        <v>13022</v>
      </c>
    </row>
    <row r="7664" spans="1:19" x14ac:dyDescent="0.25">
      <c r="A7664" s="27" t="s">
        <v>193</v>
      </c>
      <c r="C7664" s="27" t="s">
        <v>34749</v>
      </c>
      <c r="D7664" s="28" t="s">
        <v>34867</v>
      </c>
      <c r="P7664">
        <v>8761</v>
      </c>
      <c r="Q7664" t="s">
        <v>15351</v>
      </c>
      <c r="R7664" s="28" t="s">
        <v>9499</v>
      </c>
      <c r="S7664" t="s">
        <v>13022</v>
      </c>
    </row>
    <row r="7665" spans="1:19" x14ac:dyDescent="0.25">
      <c r="A7665" s="27" t="s">
        <v>193</v>
      </c>
      <c r="C7665" s="27" t="s">
        <v>34749</v>
      </c>
      <c r="D7665" s="28" t="s">
        <v>34867</v>
      </c>
      <c r="P7665">
        <v>8762</v>
      </c>
      <c r="Q7665" t="s">
        <v>9591</v>
      </c>
      <c r="R7665" s="28" t="s">
        <v>9592</v>
      </c>
      <c r="S7665" t="s">
        <v>13022</v>
      </c>
    </row>
    <row r="7666" spans="1:19" x14ac:dyDescent="0.25">
      <c r="A7666" s="27" t="s">
        <v>193</v>
      </c>
      <c r="C7666" s="27" t="s">
        <v>34749</v>
      </c>
      <c r="D7666" s="28" t="s">
        <v>34867</v>
      </c>
      <c r="P7666">
        <v>8763</v>
      </c>
      <c r="Q7666" t="s">
        <v>5730</v>
      </c>
      <c r="R7666" s="28" t="s">
        <v>5731</v>
      </c>
      <c r="S7666" t="s">
        <v>13022</v>
      </c>
    </row>
    <row r="7667" spans="1:19" x14ac:dyDescent="0.25">
      <c r="A7667" s="27" t="s">
        <v>193</v>
      </c>
      <c r="C7667" s="27" t="s">
        <v>34749</v>
      </c>
      <c r="D7667" s="28" t="s">
        <v>34867</v>
      </c>
      <c r="P7667">
        <v>8764</v>
      </c>
      <c r="Q7667" t="s">
        <v>10924</v>
      </c>
      <c r="R7667" s="28" t="s">
        <v>10925</v>
      </c>
      <c r="S7667" t="s">
        <v>13022</v>
      </c>
    </row>
    <row r="7668" spans="1:19" x14ac:dyDescent="0.25">
      <c r="A7668" s="27" t="s">
        <v>193</v>
      </c>
      <c r="C7668" s="27" t="s">
        <v>34749</v>
      </c>
      <c r="D7668" s="28" t="s">
        <v>34867</v>
      </c>
      <c r="P7668">
        <v>8765</v>
      </c>
      <c r="Q7668" t="s">
        <v>11032</v>
      </c>
      <c r="R7668" s="28" t="s">
        <v>11033</v>
      </c>
      <c r="S7668" t="s">
        <v>13022</v>
      </c>
    </row>
    <row r="7669" spans="1:19" x14ac:dyDescent="0.25">
      <c r="A7669" s="27" t="s">
        <v>193</v>
      </c>
      <c r="C7669" s="27" t="s">
        <v>34749</v>
      </c>
      <c r="D7669" s="28" t="s">
        <v>34867</v>
      </c>
      <c r="P7669">
        <v>8766</v>
      </c>
      <c r="Q7669" t="s">
        <v>10206</v>
      </c>
      <c r="R7669" s="28" t="s">
        <v>10207</v>
      </c>
      <c r="S7669" t="s">
        <v>13022</v>
      </c>
    </row>
    <row r="7670" spans="1:19" x14ac:dyDescent="0.25">
      <c r="A7670" s="27" t="s">
        <v>193</v>
      </c>
      <c r="C7670" s="27" t="s">
        <v>34749</v>
      </c>
      <c r="D7670" s="28" t="s">
        <v>34867</v>
      </c>
      <c r="P7670">
        <v>8767</v>
      </c>
      <c r="Q7670" t="s">
        <v>10104</v>
      </c>
      <c r="R7670" s="28" t="s">
        <v>10105</v>
      </c>
      <c r="S7670" t="s">
        <v>13022</v>
      </c>
    </row>
    <row r="7671" spans="1:19" x14ac:dyDescent="0.25">
      <c r="A7671" s="27" t="s">
        <v>193</v>
      </c>
      <c r="C7671" s="27" t="s">
        <v>34749</v>
      </c>
      <c r="D7671" s="28" t="s">
        <v>34867</v>
      </c>
      <c r="P7671">
        <v>8768</v>
      </c>
      <c r="Q7671" t="s">
        <v>8541</v>
      </c>
      <c r="R7671" s="28" t="s">
        <v>8542</v>
      </c>
      <c r="S7671" t="s">
        <v>13022</v>
      </c>
    </row>
    <row r="7672" spans="1:19" x14ac:dyDescent="0.25">
      <c r="A7672" s="27" t="s">
        <v>193</v>
      </c>
      <c r="C7672" s="27" t="s">
        <v>34749</v>
      </c>
      <c r="D7672" s="28" t="s">
        <v>34867</v>
      </c>
      <c r="P7672">
        <v>8769</v>
      </c>
      <c r="Q7672" t="s">
        <v>15352</v>
      </c>
      <c r="R7672" s="28" t="s">
        <v>9664</v>
      </c>
      <c r="S7672" t="s">
        <v>13022</v>
      </c>
    </row>
    <row r="7673" spans="1:19" x14ac:dyDescent="0.25">
      <c r="A7673" s="27" t="s">
        <v>193</v>
      </c>
      <c r="C7673" s="27" t="s">
        <v>34749</v>
      </c>
      <c r="D7673" s="28" t="s">
        <v>34867</v>
      </c>
      <c r="P7673">
        <v>8770</v>
      </c>
      <c r="Q7673" t="s">
        <v>8175</v>
      </c>
      <c r="R7673" s="28" t="s">
        <v>15353</v>
      </c>
      <c r="S7673" t="s">
        <v>13022</v>
      </c>
    </row>
    <row r="7674" spans="1:19" x14ac:dyDescent="0.25">
      <c r="A7674" s="27" t="s">
        <v>193</v>
      </c>
      <c r="C7674" s="27" t="s">
        <v>34749</v>
      </c>
      <c r="D7674" s="28" t="s">
        <v>34867</v>
      </c>
      <c r="P7674">
        <v>8771</v>
      </c>
      <c r="Q7674" t="s">
        <v>3385</v>
      </c>
      <c r="R7674" s="28" t="s">
        <v>3386</v>
      </c>
      <c r="S7674" t="s">
        <v>13022</v>
      </c>
    </row>
    <row r="7675" spans="1:19" x14ac:dyDescent="0.25">
      <c r="A7675" s="27" t="s">
        <v>193</v>
      </c>
      <c r="C7675" s="27" t="s">
        <v>34749</v>
      </c>
      <c r="D7675" s="28" t="s">
        <v>34867</v>
      </c>
      <c r="P7675">
        <v>8772</v>
      </c>
      <c r="Q7675" t="s">
        <v>11811</v>
      </c>
      <c r="R7675" s="28" t="s">
        <v>11812</v>
      </c>
      <c r="S7675" t="s">
        <v>13022</v>
      </c>
    </row>
    <row r="7676" spans="1:19" x14ac:dyDescent="0.25">
      <c r="A7676" s="27" t="s">
        <v>193</v>
      </c>
      <c r="C7676" s="27" t="s">
        <v>34749</v>
      </c>
      <c r="D7676" s="28" t="s">
        <v>34867</v>
      </c>
      <c r="P7676">
        <v>8773</v>
      </c>
      <c r="Q7676" t="s">
        <v>15354</v>
      </c>
      <c r="R7676" s="28" t="s">
        <v>10180</v>
      </c>
      <c r="S7676" t="s">
        <v>13022</v>
      </c>
    </row>
    <row r="7677" spans="1:19" x14ac:dyDescent="0.25">
      <c r="A7677" s="27" t="s">
        <v>193</v>
      </c>
      <c r="C7677" s="27" t="s">
        <v>34749</v>
      </c>
      <c r="D7677" s="28" t="s">
        <v>34867</v>
      </c>
      <c r="P7677">
        <v>8774</v>
      </c>
      <c r="Q7677" t="s">
        <v>9021</v>
      </c>
      <c r="R7677" s="28" t="s">
        <v>9022</v>
      </c>
      <c r="S7677" t="s">
        <v>13022</v>
      </c>
    </row>
    <row r="7678" spans="1:19" x14ac:dyDescent="0.25">
      <c r="A7678" s="27" t="s">
        <v>193</v>
      </c>
      <c r="C7678" s="27" t="s">
        <v>34749</v>
      </c>
      <c r="D7678" s="28" t="s">
        <v>34867</v>
      </c>
      <c r="P7678">
        <v>8775</v>
      </c>
      <c r="Q7678" t="s">
        <v>15355</v>
      </c>
      <c r="R7678" s="28" t="s">
        <v>10955</v>
      </c>
      <c r="S7678" t="s">
        <v>13022</v>
      </c>
    </row>
    <row r="7679" spans="1:19" x14ac:dyDescent="0.25">
      <c r="A7679" s="27" t="s">
        <v>193</v>
      </c>
      <c r="C7679" s="27" t="s">
        <v>34749</v>
      </c>
      <c r="D7679" s="28" t="s">
        <v>34867</v>
      </c>
      <c r="P7679">
        <v>8776</v>
      </c>
      <c r="Q7679" t="s">
        <v>12124</v>
      </c>
      <c r="R7679" s="28" t="s">
        <v>12125</v>
      </c>
      <c r="S7679" t="s">
        <v>13022</v>
      </c>
    </row>
    <row r="7680" spans="1:19" x14ac:dyDescent="0.25">
      <c r="A7680" s="27" t="s">
        <v>193</v>
      </c>
      <c r="C7680" s="27" t="s">
        <v>34749</v>
      </c>
      <c r="D7680" s="28" t="s">
        <v>34867</v>
      </c>
      <c r="P7680">
        <v>8777</v>
      </c>
      <c r="Q7680" t="s">
        <v>9519</v>
      </c>
      <c r="R7680" s="28" t="s">
        <v>9520</v>
      </c>
      <c r="S7680" t="s">
        <v>13022</v>
      </c>
    </row>
    <row r="7681" spans="1:19" x14ac:dyDescent="0.25">
      <c r="A7681" s="27" t="s">
        <v>193</v>
      </c>
      <c r="C7681" s="27" t="s">
        <v>34749</v>
      </c>
      <c r="D7681" s="28" t="s">
        <v>34867</v>
      </c>
      <c r="P7681">
        <v>8778</v>
      </c>
      <c r="Q7681" t="s">
        <v>9525</v>
      </c>
      <c r="R7681" s="28" t="s">
        <v>9526</v>
      </c>
      <c r="S7681" t="s">
        <v>13022</v>
      </c>
    </row>
    <row r="7682" spans="1:19" x14ac:dyDescent="0.25">
      <c r="A7682" s="27" t="s">
        <v>193</v>
      </c>
      <c r="C7682" s="27" t="s">
        <v>34749</v>
      </c>
      <c r="D7682" s="28" t="s">
        <v>34867</v>
      </c>
      <c r="P7682">
        <v>8779</v>
      </c>
      <c r="Q7682" t="s">
        <v>9612</v>
      </c>
      <c r="R7682" s="28" t="s">
        <v>9613</v>
      </c>
      <c r="S7682" t="s">
        <v>13022</v>
      </c>
    </row>
    <row r="7683" spans="1:19" x14ac:dyDescent="0.25">
      <c r="A7683" s="27" t="s">
        <v>193</v>
      </c>
      <c r="C7683" s="27" t="s">
        <v>34749</v>
      </c>
      <c r="D7683" s="28" t="s">
        <v>34867</v>
      </c>
      <c r="P7683">
        <v>8780</v>
      </c>
      <c r="Q7683" t="s">
        <v>9618</v>
      </c>
      <c r="R7683" s="28" t="s">
        <v>9619</v>
      </c>
      <c r="S7683" t="s">
        <v>13022</v>
      </c>
    </row>
    <row r="7684" spans="1:19" x14ac:dyDescent="0.25">
      <c r="A7684" s="27" t="s">
        <v>193</v>
      </c>
      <c r="C7684" s="27" t="s">
        <v>34749</v>
      </c>
      <c r="D7684" s="28" t="s">
        <v>34867</v>
      </c>
      <c r="P7684">
        <v>8781</v>
      </c>
      <c r="Q7684" t="s">
        <v>7706</v>
      </c>
      <c r="R7684" s="28" t="s">
        <v>7707</v>
      </c>
      <c r="S7684" t="s">
        <v>13022</v>
      </c>
    </row>
    <row r="7685" spans="1:19" x14ac:dyDescent="0.25">
      <c r="A7685" s="27" t="s">
        <v>193</v>
      </c>
      <c r="C7685" s="27" t="s">
        <v>34749</v>
      </c>
      <c r="D7685" s="28" t="s">
        <v>34867</v>
      </c>
      <c r="P7685">
        <v>8782</v>
      </c>
      <c r="Q7685" t="s">
        <v>15356</v>
      </c>
      <c r="R7685" s="28" t="s">
        <v>9460</v>
      </c>
      <c r="S7685" t="s">
        <v>13022</v>
      </c>
    </row>
    <row r="7686" spans="1:19" x14ac:dyDescent="0.25">
      <c r="A7686" s="27" t="s">
        <v>193</v>
      </c>
      <c r="C7686" s="27" t="s">
        <v>34749</v>
      </c>
      <c r="D7686" s="28" t="s">
        <v>34867</v>
      </c>
      <c r="P7686">
        <v>8783</v>
      </c>
      <c r="Q7686" t="s">
        <v>12041</v>
      </c>
      <c r="R7686" s="28" t="s">
        <v>12042</v>
      </c>
      <c r="S7686" t="s">
        <v>13022</v>
      </c>
    </row>
    <row r="7687" spans="1:19" x14ac:dyDescent="0.25">
      <c r="A7687" s="27" t="s">
        <v>193</v>
      </c>
      <c r="C7687" s="27" t="s">
        <v>34749</v>
      </c>
      <c r="D7687" s="28" t="s">
        <v>34867</v>
      </c>
      <c r="P7687">
        <v>8784</v>
      </c>
      <c r="Q7687" t="s">
        <v>7752</v>
      </c>
      <c r="R7687" s="28" t="s">
        <v>7753</v>
      </c>
      <c r="S7687" t="s">
        <v>13022</v>
      </c>
    </row>
    <row r="7688" spans="1:19" x14ac:dyDescent="0.25">
      <c r="A7688" s="27" t="s">
        <v>193</v>
      </c>
      <c r="C7688" s="27" t="s">
        <v>34749</v>
      </c>
      <c r="D7688" s="28" t="s">
        <v>34867</v>
      </c>
      <c r="P7688">
        <v>8785</v>
      </c>
      <c r="Q7688" t="s">
        <v>3987</v>
      </c>
      <c r="R7688" s="28" t="s">
        <v>3988</v>
      </c>
      <c r="S7688" t="s">
        <v>13022</v>
      </c>
    </row>
    <row r="7689" spans="1:19" x14ac:dyDescent="0.25">
      <c r="A7689" s="27" t="s">
        <v>193</v>
      </c>
      <c r="C7689" s="27" t="s">
        <v>34749</v>
      </c>
      <c r="D7689" s="28" t="s">
        <v>34867</v>
      </c>
      <c r="P7689">
        <v>8786</v>
      </c>
      <c r="Q7689" t="s">
        <v>7662</v>
      </c>
      <c r="R7689" s="28" t="s">
        <v>7663</v>
      </c>
      <c r="S7689" t="s">
        <v>13022</v>
      </c>
    </row>
    <row r="7690" spans="1:19" x14ac:dyDescent="0.25">
      <c r="A7690" s="27" t="s">
        <v>193</v>
      </c>
      <c r="C7690" s="27" t="s">
        <v>34749</v>
      </c>
      <c r="D7690" s="28" t="s">
        <v>34867</v>
      </c>
      <c r="P7690">
        <v>8787</v>
      </c>
      <c r="Q7690" t="s">
        <v>5352</v>
      </c>
      <c r="R7690" s="28" t="s">
        <v>5353</v>
      </c>
      <c r="S7690" t="s">
        <v>13022</v>
      </c>
    </row>
    <row r="7691" spans="1:19" x14ac:dyDescent="0.25">
      <c r="A7691" s="27" t="s">
        <v>193</v>
      </c>
      <c r="C7691" s="27" t="s">
        <v>34749</v>
      </c>
      <c r="D7691" s="28" t="s">
        <v>34867</v>
      </c>
      <c r="P7691">
        <v>8788</v>
      </c>
      <c r="Q7691" t="s">
        <v>12086</v>
      </c>
      <c r="R7691" s="28" t="s">
        <v>12087</v>
      </c>
      <c r="S7691" t="s">
        <v>13022</v>
      </c>
    </row>
    <row r="7692" spans="1:19" x14ac:dyDescent="0.25">
      <c r="A7692" s="27" t="s">
        <v>193</v>
      </c>
      <c r="C7692" s="27" t="s">
        <v>34749</v>
      </c>
      <c r="D7692" s="28" t="s">
        <v>34867</v>
      </c>
      <c r="P7692">
        <v>8789</v>
      </c>
      <c r="Q7692" t="s">
        <v>15357</v>
      </c>
      <c r="S7692" t="s">
        <v>13022</v>
      </c>
    </row>
    <row r="7693" spans="1:19" x14ac:dyDescent="0.25">
      <c r="A7693" s="27" t="s">
        <v>193</v>
      </c>
      <c r="C7693" s="27" t="s">
        <v>34749</v>
      </c>
      <c r="D7693" s="28" t="s">
        <v>34867</v>
      </c>
      <c r="P7693">
        <v>8791</v>
      </c>
      <c r="Q7693" t="s">
        <v>15358</v>
      </c>
      <c r="S7693" t="s">
        <v>13022</v>
      </c>
    </row>
    <row r="7694" spans="1:19" x14ac:dyDescent="0.25">
      <c r="A7694" s="27" t="s">
        <v>193</v>
      </c>
      <c r="C7694" s="27" t="s">
        <v>34749</v>
      </c>
      <c r="D7694" s="28" t="s">
        <v>34867</v>
      </c>
      <c r="P7694">
        <v>8792</v>
      </c>
      <c r="Q7694" t="s">
        <v>15360</v>
      </c>
      <c r="S7694" t="s">
        <v>15359</v>
      </c>
    </row>
    <row r="7695" spans="1:19" x14ac:dyDescent="0.25">
      <c r="A7695" s="27" t="s">
        <v>193</v>
      </c>
      <c r="C7695" s="27" t="s">
        <v>34749</v>
      </c>
      <c r="D7695" s="28" t="s">
        <v>34867</v>
      </c>
      <c r="P7695">
        <v>8793</v>
      </c>
      <c r="Q7695" t="s">
        <v>15361</v>
      </c>
      <c r="R7695" s="28" t="s">
        <v>10156</v>
      </c>
      <c r="S7695" t="s">
        <v>13022</v>
      </c>
    </row>
    <row r="7696" spans="1:19" x14ac:dyDescent="0.25">
      <c r="A7696" s="27" t="s">
        <v>193</v>
      </c>
      <c r="C7696" s="27" t="s">
        <v>34749</v>
      </c>
      <c r="D7696" s="28" t="s">
        <v>34867</v>
      </c>
      <c r="P7696">
        <v>8794</v>
      </c>
      <c r="Q7696" t="s">
        <v>15362</v>
      </c>
      <c r="R7696" s="28" t="s">
        <v>8470</v>
      </c>
      <c r="S7696" t="s">
        <v>13022</v>
      </c>
    </row>
    <row r="7697" spans="1:19" x14ac:dyDescent="0.25">
      <c r="A7697" s="27" t="s">
        <v>193</v>
      </c>
      <c r="C7697" s="27" t="s">
        <v>34749</v>
      </c>
      <c r="D7697" s="28" t="s">
        <v>34867</v>
      </c>
      <c r="P7697">
        <v>8795</v>
      </c>
      <c r="Q7697" t="s">
        <v>8802</v>
      </c>
      <c r="R7697" s="28" t="s">
        <v>8803</v>
      </c>
      <c r="S7697" t="s">
        <v>13022</v>
      </c>
    </row>
    <row r="7698" spans="1:19" x14ac:dyDescent="0.25">
      <c r="A7698" s="27" t="s">
        <v>193</v>
      </c>
      <c r="C7698" s="27" t="s">
        <v>34749</v>
      </c>
      <c r="D7698" s="28" t="s">
        <v>34867</v>
      </c>
      <c r="P7698">
        <v>8796</v>
      </c>
      <c r="Q7698" t="s">
        <v>8997</v>
      </c>
      <c r="R7698" s="28" t="s">
        <v>8998</v>
      </c>
      <c r="S7698" t="s">
        <v>13022</v>
      </c>
    </row>
    <row r="7699" spans="1:19" x14ac:dyDescent="0.25">
      <c r="A7699" s="27" t="s">
        <v>193</v>
      </c>
      <c r="C7699" s="27" t="s">
        <v>34749</v>
      </c>
      <c r="D7699" s="28" t="s">
        <v>34867</v>
      </c>
      <c r="P7699">
        <v>8797</v>
      </c>
      <c r="Q7699" t="s">
        <v>9741</v>
      </c>
      <c r="R7699" s="28" t="s">
        <v>9742</v>
      </c>
      <c r="S7699" t="s">
        <v>13022</v>
      </c>
    </row>
    <row r="7700" spans="1:19" x14ac:dyDescent="0.25">
      <c r="A7700" s="27" t="s">
        <v>193</v>
      </c>
      <c r="C7700" s="27" t="s">
        <v>34749</v>
      </c>
      <c r="D7700" s="28" t="s">
        <v>34867</v>
      </c>
      <c r="P7700">
        <v>8798</v>
      </c>
      <c r="Q7700" t="s">
        <v>9753</v>
      </c>
      <c r="R7700" s="28" t="s">
        <v>9754</v>
      </c>
      <c r="S7700" t="s">
        <v>13022</v>
      </c>
    </row>
    <row r="7701" spans="1:19" x14ac:dyDescent="0.25">
      <c r="A7701" s="27" t="s">
        <v>193</v>
      </c>
      <c r="C7701" s="27" t="s">
        <v>34749</v>
      </c>
      <c r="D7701" s="28" t="s">
        <v>34867</v>
      </c>
      <c r="P7701">
        <v>8799</v>
      </c>
      <c r="Q7701" t="s">
        <v>15363</v>
      </c>
      <c r="R7701" s="28" t="s">
        <v>9760</v>
      </c>
      <c r="S7701" t="s">
        <v>13022</v>
      </c>
    </row>
    <row r="7702" spans="1:19" x14ac:dyDescent="0.25">
      <c r="A7702" s="27" t="s">
        <v>193</v>
      </c>
      <c r="C7702" s="27" t="s">
        <v>34749</v>
      </c>
      <c r="D7702" s="28" t="s">
        <v>34867</v>
      </c>
      <c r="P7702">
        <v>8800</v>
      </c>
      <c r="Q7702" t="s">
        <v>10933</v>
      </c>
      <c r="R7702" s="28" t="s">
        <v>10934</v>
      </c>
      <c r="S7702" t="s">
        <v>13022</v>
      </c>
    </row>
    <row r="7703" spans="1:19" x14ac:dyDescent="0.25">
      <c r="A7703" s="27" t="s">
        <v>193</v>
      </c>
      <c r="C7703" s="27" t="s">
        <v>34749</v>
      </c>
      <c r="D7703" s="28" t="s">
        <v>34867</v>
      </c>
      <c r="P7703">
        <v>8801</v>
      </c>
      <c r="Q7703" t="s">
        <v>15364</v>
      </c>
      <c r="R7703" s="28" t="s">
        <v>11225</v>
      </c>
      <c r="S7703" t="s">
        <v>13022</v>
      </c>
    </row>
    <row r="7704" spans="1:19" x14ac:dyDescent="0.25">
      <c r="A7704" s="27" t="s">
        <v>193</v>
      </c>
      <c r="C7704" s="27" t="s">
        <v>34749</v>
      </c>
      <c r="D7704" s="28" t="s">
        <v>34867</v>
      </c>
      <c r="P7704">
        <v>8802</v>
      </c>
      <c r="Q7704" t="s">
        <v>12026</v>
      </c>
      <c r="R7704" s="28" t="s">
        <v>12027</v>
      </c>
      <c r="S7704" t="s">
        <v>13022</v>
      </c>
    </row>
    <row r="7705" spans="1:19" x14ac:dyDescent="0.25">
      <c r="A7705" s="27" t="s">
        <v>193</v>
      </c>
      <c r="C7705" s="27" t="s">
        <v>34749</v>
      </c>
      <c r="D7705" s="28" t="s">
        <v>34867</v>
      </c>
      <c r="P7705">
        <v>8803</v>
      </c>
      <c r="Q7705" t="s">
        <v>15365</v>
      </c>
      <c r="S7705" t="s">
        <v>13022</v>
      </c>
    </row>
    <row r="7706" spans="1:19" x14ac:dyDescent="0.25">
      <c r="A7706" s="27" t="s">
        <v>193</v>
      </c>
      <c r="C7706" s="27" t="s">
        <v>34749</v>
      </c>
      <c r="D7706" s="28" t="s">
        <v>34867</v>
      </c>
      <c r="P7706">
        <v>8804</v>
      </c>
      <c r="Q7706" t="s">
        <v>15366</v>
      </c>
      <c r="S7706" t="s">
        <v>13022</v>
      </c>
    </row>
    <row r="7707" spans="1:19" x14ac:dyDescent="0.25">
      <c r="A7707" s="27" t="s">
        <v>193</v>
      </c>
      <c r="C7707" s="27" t="s">
        <v>34749</v>
      </c>
      <c r="D7707" s="28" t="s">
        <v>34867</v>
      </c>
      <c r="P7707">
        <v>8805</v>
      </c>
      <c r="Q7707" t="s">
        <v>15367</v>
      </c>
      <c r="R7707" s="28" t="s">
        <v>7832</v>
      </c>
      <c r="S7707" t="s">
        <v>13022</v>
      </c>
    </row>
    <row r="7708" spans="1:19" x14ac:dyDescent="0.25">
      <c r="A7708" s="27" t="s">
        <v>193</v>
      </c>
      <c r="C7708" s="27" t="s">
        <v>34749</v>
      </c>
      <c r="D7708" s="28" t="s">
        <v>34867</v>
      </c>
      <c r="P7708">
        <v>8806</v>
      </c>
      <c r="Q7708" t="s">
        <v>15368</v>
      </c>
      <c r="R7708" s="28" t="s">
        <v>8131</v>
      </c>
      <c r="S7708" t="s">
        <v>13022</v>
      </c>
    </row>
    <row r="7709" spans="1:19" x14ac:dyDescent="0.25">
      <c r="A7709" s="27" t="s">
        <v>193</v>
      </c>
      <c r="C7709" s="27" t="s">
        <v>34749</v>
      </c>
      <c r="D7709" s="28" t="s">
        <v>34867</v>
      </c>
      <c r="P7709">
        <v>8807</v>
      </c>
      <c r="Q7709" t="s">
        <v>8151</v>
      </c>
      <c r="R7709" s="28" t="s">
        <v>8152</v>
      </c>
      <c r="S7709" t="s">
        <v>13022</v>
      </c>
    </row>
    <row r="7710" spans="1:19" x14ac:dyDescent="0.25">
      <c r="A7710" s="27" t="s">
        <v>193</v>
      </c>
      <c r="C7710" s="27" t="s">
        <v>34749</v>
      </c>
      <c r="D7710" s="28" t="s">
        <v>34867</v>
      </c>
      <c r="P7710">
        <v>8808</v>
      </c>
      <c r="Q7710" t="s">
        <v>8232</v>
      </c>
      <c r="R7710" s="28" t="s">
        <v>8233</v>
      </c>
      <c r="S7710" t="s">
        <v>13022</v>
      </c>
    </row>
    <row r="7711" spans="1:19" x14ac:dyDescent="0.25">
      <c r="A7711" s="27" t="s">
        <v>193</v>
      </c>
      <c r="C7711" s="27" t="s">
        <v>34749</v>
      </c>
      <c r="D7711" s="28" t="s">
        <v>34867</v>
      </c>
      <c r="P7711">
        <v>8809</v>
      </c>
      <c r="Q7711" t="s">
        <v>3008</v>
      </c>
      <c r="R7711" s="28" t="s">
        <v>3009</v>
      </c>
      <c r="S7711" t="s">
        <v>13022</v>
      </c>
    </row>
    <row r="7712" spans="1:19" x14ac:dyDescent="0.25">
      <c r="A7712" s="27" t="s">
        <v>193</v>
      </c>
      <c r="C7712" s="27" t="s">
        <v>34749</v>
      </c>
      <c r="D7712" s="28" t="s">
        <v>34867</v>
      </c>
      <c r="P7712">
        <v>8810</v>
      </c>
      <c r="Q7712" t="s">
        <v>8262</v>
      </c>
      <c r="R7712" s="28" t="s">
        <v>8263</v>
      </c>
      <c r="S7712" t="s">
        <v>13022</v>
      </c>
    </row>
    <row r="7713" spans="1:19" x14ac:dyDescent="0.25">
      <c r="A7713" s="27" t="s">
        <v>193</v>
      </c>
      <c r="C7713" s="27" t="s">
        <v>34749</v>
      </c>
      <c r="D7713" s="28" t="s">
        <v>34867</v>
      </c>
      <c r="P7713">
        <v>8811</v>
      </c>
      <c r="Q7713" t="s">
        <v>15369</v>
      </c>
      <c r="S7713" t="s">
        <v>13022</v>
      </c>
    </row>
    <row r="7714" spans="1:19" x14ac:dyDescent="0.25">
      <c r="A7714" s="27" t="s">
        <v>193</v>
      </c>
      <c r="C7714" s="27" t="s">
        <v>34749</v>
      </c>
      <c r="D7714" s="28" t="s">
        <v>34867</v>
      </c>
      <c r="P7714">
        <v>8812</v>
      </c>
      <c r="Q7714" t="s">
        <v>8358</v>
      </c>
      <c r="R7714" s="28" t="s">
        <v>8359</v>
      </c>
      <c r="S7714" t="s">
        <v>13022</v>
      </c>
    </row>
    <row r="7715" spans="1:19" x14ac:dyDescent="0.25">
      <c r="A7715" s="27" t="s">
        <v>193</v>
      </c>
      <c r="C7715" s="27" t="s">
        <v>34749</v>
      </c>
      <c r="D7715" s="28" t="s">
        <v>34867</v>
      </c>
      <c r="P7715">
        <v>8813</v>
      </c>
      <c r="Q7715" t="s">
        <v>8424</v>
      </c>
      <c r="R7715" s="28" t="s">
        <v>8425</v>
      </c>
      <c r="S7715" t="s">
        <v>13022</v>
      </c>
    </row>
    <row r="7716" spans="1:19" x14ac:dyDescent="0.25">
      <c r="A7716" s="27" t="s">
        <v>193</v>
      </c>
      <c r="C7716" s="27" t="s">
        <v>34749</v>
      </c>
      <c r="D7716" s="28" t="s">
        <v>34867</v>
      </c>
      <c r="P7716">
        <v>8814</v>
      </c>
      <c r="Q7716" t="s">
        <v>15370</v>
      </c>
      <c r="R7716" s="28" t="s">
        <v>15371</v>
      </c>
      <c r="S7716" t="s">
        <v>13022</v>
      </c>
    </row>
    <row r="7717" spans="1:19" x14ac:dyDescent="0.25">
      <c r="A7717" s="27" t="s">
        <v>193</v>
      </c>
      <c r="C7717" s="27" t="s">
        <v>34749</v>
      </c>
      <c r="D7717" s="28" t="s">
        <v>34867</v>
      </c>
      <c r="P7717">
        <v>8815</v>
      </c>
      <c r="Q7717" t="s">
        <v>8430</v>
      </c>
      <c r="R7717" s="28" t="s">
        <v>8431</v>
      </c>
      <c r="S7717" t="s">
        <v>13022</v>
      </c>
    </row>
    <row r="7718" spans="1:19" x14ac:dyDescent="0.25">
      <c r="A7718" s="27" t="s">
        <v>193</v>
      </c>
      <c r="C7718" s="27" t="s">
        <v>34749</v>
      </c>
      <c r="D7718" s="28" t="s">
        <v>34867</v>
      </c>
      <c r="P7718">
        <v>8816</v>
      </c>
      <c r="Q7718" t="s">
        <v>8583</v>
      </c>
      <c r="R7718" s="28" t="s">
        <v>8584</v>
      </c>
      <c r="S7718" t="s">
        <v>13022</v>
      </c>
    </row>
    <row r="7719" spans="1:19" x14ac:dyDescent="0.25">
      <c r="A7719" s="27" t="s">
        <v>193</v>
      </c>
      <c r="C7719" s="27" t="s">
        <v>34749</v>
      </c>
      <c r="D7719" s="28" t="s">
        <v>34867</v>
      </c>
      <c r="P7719">
        <v>8817</v>
      </c>
      <c r="Q7719" t="s">
        <v>15372</v>
      </c>
      <c r="R7719" s="28" t="s">
        <v>3248</v>
      </c>
      <c r="S7719" t="s">
        <v>13022</v>
      </c>
    </row>
    <row r="7720" spans="1:19" x14ac:dyDescent="0.25">
      <c r="A7720" s="27" t="s">
        <v>193</v>
      </c>
      <c r="C7720" s="27" t="s">
        <v>34749</v>
      </c>
      <c r="D7720" s="28" t="s">
        <v>34867</v>
      </c>
      <c r="P7720">
        <v>8818</v>
      </c>
      <c r="Q7720" t="s">
        <v>8613</v>
      </c>
      <c r="R7720" s="28" t="s">
        <v>8614</v>
      </c>
      <c r="S7720" t="s">
        <v>13022</v>
      </c>
    </row>
    <row r="7721" spans="1:19" x14ac:dyDescent="0.25">
      <c r="A7721" s="27" t="s">
        <v>193</v>
      </c>
      <c r="C7721" s="27" t="s">
        <v>34749</v>
      </c>
      <c r="D7721" s="28" t="s">
        <v>34867</v>
      </c>
      <c r="P7721">
        <v>8819</v>
      </c>
      <c r="Q7721" t="s">
        <v>15373</v>
      </c>
      <c r="R7721" s="28" t="s">
        <v>3257</v>
      </c>
      <c r="S7721" t="s">
        <v>13022</v>
      </c>
    </row>
    <row r="7722" spans="1:19" x14ac:dyDescent="0.25">
      <c r="A7722" s="27" t="s">
        <v>193</v>
      </c>
      <c r="C7722" s="27" t="s">
        <v>34749</v>
      </c>
      <c r="D7722" s="28" t="s">
        <v>34867</v>
      </c>
      <c r="P7722">
        <v>8820</v>
      </c>
      <c r="Q7722" t="s">
        <v>15374</v>
      </c>
      <c r="R7722" s="28" t="s">
        <v>15375</v>
      </c>
      <c r="S7722" t="s">
        <v>13022</v>
      </c>
    </row>
    <row r="7723" spans="1:19" x14ac:dyDescent="0.25">
      <c r="A7723" s="27" t="s">
        <v>193</v>
      </c>
      <c r="C7723" s="27" t="s">
        <v>34749</v>
      </c>
      <c r="D7723" s="28" t="s">
        <v>34867</v>
      </c>
      <c r="P7723">
        <v>8821</v>
      </c>
      <c r="Q7723" t="s">
        <v>15376</v>
      </c>
      <c r="R7723" s="28" t="s">
        <v>8731</v>
      </c>
      <c r="S7723" t="s">
        <v>13022</v>
      </c>
    </row>
    <row r="7724" spans="1:19" x14ac:dyDescent="0.25">
      <c r="A7724" s="27" t="s">
        <v>193</v>
      </c>
      <c r="C7724" s="27" t="s">
        <v>34749</v>
      </c>
      <c r="D7724" s="28" t="s">
        <v>34867</v>
      </c>
      <c r="P7724">
        <v>8822</v>
      </c>
      <c r="Q7724" t="s">
        <v>15377</v>
      </c>
      <c r="R7724" s="28" t="s">
        <v>15378</v>
      </c>
      <c r="S7724" t="s">
        <v>13022</v>
      </c>
    </row>
    <row r="7725" spans="1:19" x14ac:dyDescent="0.25">
      <c r="A7725" s="27" t="s">
        <v>193</v>
      </c>
      <c r="C7725" s="27" t="s">
        <v>34749</v>
      </c>
      <c r="D7725" s="28" t="s">
        <v>34867</v>
      </c>
      <c r="P7725">
        <v>8823</v>
      </c>
      <c r="Q7725" t="s">
        <v>15379</v>
      </c>
      <c r="R7725" s="28" t="s">
        <v>2413</v>
      </c>
      <c r="S7725" t="s">
        <v>13022</v>
      </c>
    </row>
    <row r="7726" spans="1:19" x14ac:dyDescent="0.25">
      <c r="A7726" s="27" t="s">
        <v>193</v>
      </c>
      <c r="C7726" s="27" t="s">
        <v>34749</v>
      </c>
      <c r="D7726" s="28" t="s">
        <v>34867</v>
      </c>
      <c r="P7726">
        <v>8824</v>
      </c>
      <c r="Q7726" t="s">
        <v>15380</v>
      </c>
      <c r="R7726" s="28" t="s">
        <v>15381</v>
      </c>
      <c r="S7726" t="s">
        <v>13022</v>
      </c>
    </row>
    <row r="7727" spans="1:19" x14ac:dyDescent="0.25">
      <c r="A7727" s="27" t="s">
        <v>193</v>
      </c>
      <c r="C7727" s="27" t="s">
        <v>34749</v>
      </c>
      <c r="D7727" s="28" t="s">
        <v>34867</v>
      </c>
      <c r="P7727">
        <v>8825</v>
      </c>
      <c r="Q7727" t="s">
        <v>8805</v>
      </c>
      <c r="R7727" s="28" t="s">
        <v>8806</v>
      </c>
      <c r="S7727" t="s">
        <v>13022</v>
      </c>
    </row>
    <row r="7728" spans="1:19" x14ac:dyDescent="0.25">
      <c r="A7728" s="27" t="s">
        <v>193</v>
      </c>
      <c r="C7728" s="27" t="s">
        <v>34749</v>
      </c>
      <c r="D7728" s="28" t="s">
        <v>34867</v>
      </c>
      <c r="P7728">
        <v>8826</v>
      </c>
      <c r="Q7728" t="s">
        <v>8808</v>
      </c>
      <c r="R7728" s="28" t="s">
        <v>8809</v>
      </c>
      <c r="S7728" t="s">
        <v>13022</v>
      </c>
    </row>
    <row r="7729" spans="1:19" x14ac:dyDescent="0.25">
      <c r="A7729" s="27" t="s">
        <v>193</v>
      </c>
      <c r="C7729" s="27" t="s">
        <v>34749</v>
      </c>
      <c r="D7729" s="28" t="s">
        <v>34867</v>
      </c>
      <c r="P7729">
        <v>8827</v>
      </c>
      <c r="Q7729" t="s">
        <v>3984</v>
      </c>
      <c r="R7729" s="28" t="s">
        <v>3985</v>
      </c>
      <c r="S7729" t="s">
        <v>13022</v>
      </c>
    </row>
    <row r="7730" spans="1:19" x14ac:dyDescent="0.25">
      <c r="A7730" s="27" t="s">
        <v>193</v>
      </c>
      <c r="C7730" s="27" t="s">
        <v>34749</v>
      </c>
      <c r="D7730" s="28" t="s">
        <v>34867</v>
      </c>
      <c r="P7730">
        <v>8828</v>
      </c>
      <c r="Q7730" t="s">
        <v>15382</v>
      </c>
      <c r="S7730" t="s">
        <v>13022</v>
      </c>
    </row>
    <row r="7731" spans="1:19" x14ac:dyDescent="0.25">
      <c r="A7731" s="27" t="s">
        <v>193</v>
      </c>
      <c r="C7731" s="27" t="s">
        <v>34749</v>
      </c>
      <c r="D7731" s="28" t="s">
        <v>34867</v>
      </c>
      <c r="P7731">
        <v>8829</v>
      </c>
      <c r="Q7731" t="s">
        <v>15383</v>
      </c>
      <c r="S7731" t="s">
        <v>13022</v>
      </c>
    </row>
    <row r="7732" spans="1:19" x14ac:dyDescent="0.25">
      <c r="A7732" s="27" t="s">
        <v>193</v>
      </c>
      <c r="C7732" s="27" t="s">
        <v>34749</v>
      </c>
      <c r="D7732" s="28" t="s">
        <v>34867</v>
      </c>
      <c r="P7732">
        <v>8830</v>
      </c>
      <c r="Q7732" t="s">
        <v>15384</v>
      </c>
      <c r="R7732" s="28" t="s">
        <v>15385</v>
      </c>
      <c r="S7732" t="s">
        <v>13022</v>
      </c>
    </row>
    <row r="7733" spans="1:19" x14ac:dyDescent="0.25">
      <c r="A7733" s="27" t="s">
        <v>193</v>
      </c>
      <c r="C7733" s="27" t="s">
        <v>34749</v>
      </c>
      <c r="D7733" s="28" t="s">
        <v>34867</v>
      </c>
      <c r="P7733">
        <v>8831</v>
      </c>
      <c r="Q7733" t="s">
        <v>3918</v>
      </c>
      <c r="R7733" s="28" t="s">
        <v>15386</v>
      </c>
      <c r="S7733" t="s">
        <v>13022</v>
      </c>
    </row>
    <row r="7734" spans="1:19" x14ac:dyDescent="0.25">
      <c r="A7734" s="27" t="s">
        <v>193</v>
      </c>
      <c r="C7734" s="27" t="s">
        <v>34749</v>
      </c>
      <c r="D7734" s="28" t="s">
        <v>34867</v>
      </c>
      <c r="P7734">
        <v>8832</v>
      </c>
      <c r="Q7734" t="s">
        <v>8865</v>
      </c>
      <c r="R7734" s="28" t="s">
        <v>8866</v>
      </c>
      <c r="S7734" t="s">
        <v>13022</v>
      </c>
    </row>
    <row r="7735" spans="1:19" x14ac:dyDescent="0.25">
      <c r="A7735" s="27" t="s">
        <v>193</v>
      </c>
      <c r="C7735" s="27" t="s">
        <v>34749</v>
      </c>
      <c r="D7735" s="28" t="s">
        <v>34867</v>
      </c>
      <c r="P7735">
        <v>8833</v>
      </c>
      <c r="Q7735" t="s">
        <v>15387</v>
      </c>
      <c r="R7735" s="28" t="s">
        <v>15388</v>
      </c>
      <c r="S7735" t="s">
        <v>13022</v>
      </c>
    </row>
    <row r="7736" spans="1:19" x14ac:dyDescent="0.25">
      <c r="A7736" s="27" t="s">
        <v>193</v>
      </c>
      <c r="C7736" s="27" t="s">
        <v>34749</v>
      </c>
      <c r="D7736" s="28" t="s">
        <v>34867</v>
      </c>
      <c r="P7736">
        <v>8834</v>
      </c>
      <c r="Q7736" t="s">
        <v>15389</v>
      </c>
      <c r="R7736" s="28" t="s">
        <v>15390</v>
      </c>
      <c r="S7736" t="s">
        <v>13022</v>
      </c>
    </row>
    <row r="7737" spans="1:19" x14ac:dyDescent="0.25">
      <c r="A7737" s="27" t="s">
        <v>193</v>
      </c>
      <c r="C7737" s="27" t="s">
        <v>34749</v>
      </c>
      <c r="D7737" s="28" t="s">
        <v>34867</v>
      </c>
      <c r="P7737">
        <v>8835</v>
      </c>
      <c r="Q7737" t="s">
        <v>8874</v>
      </c>
      <c r="R7737" s="28" t="s">
        <v>8875</v>
      </c>
      <c r="S7737" t="s">
        <v>13022</v>
      </c>
    </row>
    <row r="7738" spans="1:19" x14ac:dyDescent="0.25">
      <c r="A7738" s="27" t="s">
        <v>193</v>
      </c>
      <c r="C7738" s="27" t="s">
        <v>34749</v>
      </c>
      <c r="D7738" s="28" t="s">
        <v>34867</v>
      </c>
      <c r="P7738">
        <v>8836</v>
      </c>
      <c r="Q7738" t="s">
        <v>8973</v>
      </c>
      <c r="R7738" s="28" t="s">
        <v>8974</v>
      </c>
      <c r="S7738" t="s">
        <v>13022</v>
      </c>
    </row>
    <row r="7739" spans="1:19" x14ac:dyDescent="0.25">
      <c r="A7739" s="27" t="s">
        <v>193</v>
      </c>
      <c r="C7739" s="27" t="s">
        <v>34749</v>
      </c>
      <c r="D7739" s="28" t="s">
        <v>34867</v>
      </c>
      <c r="P7739">
        <v>8837</v>
      </c>
      <c r="Q7739" t="s">
        <v>15391</v>
      </c>
      <c r="R7739" s="28" t="s">
        <v>15392</v>
      </c>
      <c r="S7739" t="s">
        <v>13022</v>
      </c>
    </row>
    <row r="7740" spans="1:19" x14ac:dyDescent="0.25">
      <c r="A7740" s="27" t="s">
        <v>193</v>
      </c>
      <c r="C7740" s="27" t="s">
        <v>34749</v>
      </c>
      <c r="D7740" s="28" t="s">
        <v>34867</v>
      </c>
      <c r="P7740">
        <v>8838</v>
      </c>
      <c r="Q7740" t="s">
        <v>15393</v>
      </c>
      <c r="R7740" s="28" t="s">
        <v>9019</v>
      </c>
      <c r="S7740" t="s">
        <v>13022</v>
      </c>
    </row>
    <row r="7741" spans="1:19" x14ac:dyDescent="0.25">
      <c r="A7741" s="27" t="s">
        <v>193</v>
      </c>
      <c r="C7741" s="27" t="s">
        <v>34749</v>
      </c>
      <c r="D7741" s="28" t="s">
        <v>34867</v>
      </c>
      <c r="P7741">
        <v>8839</v>
      </c>
      <c r="Q7741" t="s">
        <v>9072</v>
      </c>
      <c r="R7741" s="28" t="s">
        <v>9073</v>
      </c>
      <c r="S7741" t="s">
        <v>13022</v>
      </c>
    </row>
    <row r="7742" spans="1:19" x14ac:dyDescent="0.25">
      <c r="A7742" s="27" t="s">
        <v>193</v>
      </c>
      <c r="C7742" s="27" t="s">
        <v>34749</v>
      </c>
      <c r="D7742" s="28" t="s">
        <v>34867</v>
      </c>
      <c r="P7742">
        <v>8840</v>
      </c>
      <c r="Q7742" t="s">
        <v>9096</v>
      </c>
      <c r="R7742" s="28" t="s">
        <v>9097</v>
      </c>
      <c r="S7742" t="s">
        <v>13022</v>
      </c>
    </row>
    <row r="7743" spans="1:19" x14ac:dyDescent="0.25">
      <c r="A7743" s="27" t="s">
        <v>193</v>
      </c>
      <c r="C7743" s="27" t="s">
        <v>34749</v>
      </c>
      <c r="D7743" s="28" t="s">
        <v>34867</v>
      </c>
      <c r="P7743">
        <v>8841</v>
      </c>
      <c r="Q7743" t="s">
        <v>9099</v>
      </c>
      <c r="R7743" s="28" t="s">
        <v>9100</v>
      </c>
      <c r="S7743" t="s">
        <v>13022</v>
      </c>
    </row>
    <row r="7744" spans="1:19" x14ac:dyDescent="0.25">
      <c r="A7744" s="27" t="s">
        <v>193</v>
      </c>
      <c r="C7744" s="27" t="s">
        <v>34749</v>
      </c>
      <c r="D7744" s="28" t="s">
        <v>34867</v>
      </c>
      <c r="P7744">
        <v>8842</v>
      </c>
      <c r="Q7744" t="s">
        <v>9105</v>
      </c>
      <c r="R7744" s="28" t="s">
        <v>9106</v>
      </c>
      <c r="S7744" t="s">
        <v>13022</v>
      </c>
    </row>
    <row r="7745" spans="1:19" x14ac:dyDescent="0.25">
      <c r="A7745" s="27" t="s">
        <v>193</v>
      </c>
      <c r="C7745" s="27" t="s">
        <v>34749</v>
      </c>
      <c r="D7745" s="28" t="s">
        <v>34867</v>
      </c>
      <c r="P7745">
        <v>8843</v>
      </c>
      <c r="Q7745" t="s">
        <v>9156</v>
      </c>
      <c r="R7745" s="28" t="s">
        <v>9157</v>
      </c>
      <c r="S7745" t="s">
        <v>13022</v>
      </c>
    </row>
    <row r="7746" spans="1:19" x14ac:dyDescent="0.25">
      <c r="A7746" s="27" t="s">
        <v>193</v>
      </c>
      <c r="C7746" s="27" t="s">
        <v>34749</v>
      </c>
      <c r="D7746" s="28" t="s">
        <v>34867</v>
      </c>
      <c r="P7746">
        <v>8844</v>
      </c>
      <c r="Q7746" t="s">
        <v>9150</v>
      </c>
      <c r="R7746" s="28" t="s">
        <v>9151</v>
      </c>
      <c r="S7746" t="s">
        <v>13022</v>
      </c>
    </row>
    <row r="7747" spans="1:19" x14ac:dyDescent="0.25">
      <c r="A7747" s="27" t="s">
        <v>193</v>
      </c>
      <c r="C7747" s="27" t="s">
        <v>34749</v>
      </c>
      <c r="D7747" s="28" t="s">
        <v>34867</v>
      </c>
      <c r="P7747">
        <v>8845</v>
      </c>
      <c r="Q7747" t="s">
        <v>9162</v>
      </c>
      <c r="R7747" s="28" t="s">
        <v>9163</v>
      </c>
      <c r="S7747" t="s">
        <v>13022</v>
      </c>
    </row>
    <row r="7748" spans="1:19" x14ac:dyDescent="0.25">
      <c r="A7748" s="27" t="s">
        <v>193</v>
      </c>
      <c r="C7748" s="27" t="s">
        <v>34749</v>
      </c>
      <c r="D7748" s="28" t="s">
        <v>34867</v>
      </c>
      <c r="P7748">
        <v>8846</v>
      </c>
      <c r="Q7748" t="s">
        <v>15394</v>
      </c>
      <c r="R7748" s="28" t="s">
        <v>10316</v>
      </c>
      <c r="S7748" t="s">
        <v>13022</v>
      </c>
    </row>
    <row r="7749" spans="1:19" x14ac:dyDescent="0.25">
      <c r="A7749" s="27" t="s">
        <v>193</v>
      </c>
      <c r="C7749" s="27" t="s">
        <v>34749</v>
      </c>
      <c r="D7749" s="28" t="s">
        <v>34867</v>
      </c>
      <c r="P7749">
        <v>8847</v>
      </c>
      <c r="Q7749" t="s">
        <v>9174</v>
      </c>
      <c r="R7749" s="28" t="s">
        <v>9175</v>
      </c>
      <c r="S7749" t="s">
        <v>13022</v>
      </c>
    </row>
    <row r="7750" spans="1:19" x14ac:dyDescent="0.25">
      <c r="A7750" s="27" t="s">
        <v>193</v>
      </c>
      <c r="C7750" s="27" t="s">
        <v>34749</v>
      </c>
      <c r="D7750" s="28" t="s">
        <v>34867</v>
      </c>
      <c r="P7750">
        <v>8848</v>
      </c>
      <c r="Q7750" t="s">
        <v>9195</v>
      </c>
      <c r="R7750" s="28" t="s">
        <v>9196</v>
      </c>
      <c r="S7750" t="s">
        <v>13022</v>
      </c>
    </row>
    <row r="7751" spans="1:19" x14ac:dyDescent="0.25">
      <c r="A7751" s="27" t="s">
        <v>193</v>
      </c>
      <c r="C7751" s="27" t="s">
        <v>34749</v>
      </c>
      <c r="D7751" s="28" t="s">
        <v>34867</v>
      </c>
      <c r="P7751">
        <v>8849</v>
      </c>
      <c r="Q7751" t="s">
        <v>15395</v>
      </c>
      <c r="R7751" s="28" t="s">
        <v>9239</v>
      </c>
      <c r="S7751" t="s">
        <v>13022</v>
      </c>
    </row>
    <row r="7752" spans="1:19" x14ac:dyDescent="0.25">
      <c r="A7752" s="27" t="s">
        <v>193</v>
      </c>
      <c r="C7752" s="27" t="s">
        <v>34749</v>
      </c>
      <c r="D7752" s="28" t="s">
        <v>34867</v>
      </c>
      <c r="P7752">
        <v>8850</v>
      </c>
      <c r="Q7752" t="s">
        <v>4578</v>
      </c>
      <c r="R7752" s="28" t="s">
        <v>4579</v>
      </c>
      <c r="S7752" t="s">
        <v>13022</v>
      </c>
    </row>
    <row r="7753" spans="1:19" x14ac:dyDescent="0.25">
      <c r="A7753" s="27" t="s">
        <v>193</v>
      </c>
      <c r="C7753" s="27" t="s">
        <v>34749</v>
      </c>
      <c r="D7753" s="28" t="s">
        <v>34867</v>
      </c>
      <c r="P7753">
        <v>8851</v>
      </c>
      <c r="Q7753" t="s">
        <v>2439</v>
      </c>
      <c r="R7753" s="28" t="s">
        <v>2440</v>
      </c>
      <c r="S7753" t="s">
        <v>13022</v>
      </c>
    </row>
    <row r="7754" spans="1:19" x14ac:dyDescent="0.25">
      <c r="A7754" s="27" t="s">
        <v>193</v>
      </c>
      <c r="C7754" s="27" t="s">
        <v>34749</v>
      </c>
      <c r="D7754" s="28" t="s">
        <v>34867</v>
      </c>
      <c r="P7754">
        <v>8852</v>
      </c>
      <c r="Q7754" t="s">
        <v>15396</v>
      </c>
      <c r="R7754" s="28" t="s">
        <v>4549</v>
      </c>
      <c r="S7754" t="s">
        <v>13022</v>
      </c>
    </row>
    <row r="7755" spans="1:19" x14ac:dyDescent="0.25">
      <c r="A7755" s="27" t="s">
        <v>193</v>
      </c>
      <c r="C7755" s="27" t="s">
        <v>34749</v>
      </c>
      <c r="D7755" s="28" t="s">
        <v>34867</v>
      </c>
      <c r="P7755">
        <v>8853</v>
      </c>
      <c r="Q7755" t="s">
        <v>15397</v>
      </c>
      <c r="R7755" s="28" t="s">
        <v>4663</v>
      </c>
      <c r="S7755" t="s">
        <v>13022</v>
      </c>
    </row>
    <row r="7756" spans="1:19" x14ac:dyDescent="0.25">
      <c r="A7756" s="27" t="s">
        <v>193</v>
      </c>
      <c r="C7756" s="27" t="s">
        <v>34749</v>
      </c>
      <c r="D7756" s="28" t="s">
        <v>34867</v>
      </c>
      <c r="P7756">
        <v>8854</v>
      </c>
      <c r="Q7756" t="s">
        <v>15398</v>
      </c>
      <c r="R7756" s="28" t="s">
        <v>15399</v>
      </c>
      <c r="S7756" t="s">
        <v>13022</v>
      </c>
    </row>
    <row r="7757" spans="1:19" x14ac:dyDescent="0.25">
      <c r="A7757" s="27" t="s">
        <v>193</v>
      </c>
      <c r="C7757" s="27" t="s">
        <v>34749</v>
      </c>
      <c r="D7757" s="28" t="s">
        <v>34867</v>
      </c>
      <c r="P7757">
        <v>8855</v>
      </c>
      <c r="Q7757" t="s">
        <v>4422</v>
      </c>
      <c r="R7757" s="28" t="s">
        <v>4423</v>
      </c>
      <c r="S7757" t="s">
        <v>13022</v>
      </c>
    </row>
    <row r="7758" spans="1:19" x14ac:dyDescent="0.25">
      <c r="A7758" s="27" t="s">
        <v>193</v>
      </c>
      <c r="C7758" s="27" t="s">
        <v>34749</v>
      </c>
      <c r="D7758" s="28" t="s">
        <v>34867</v>
      </c>
      <c r="P7758">
        <v>8856</v>
      </c>
      <c r="Q7758" t="s">
        <v>15400</v>
      </c>
      <c r="R7758" s="28" t="s">
        <v>15401</v>
      </c>
      <c r="S7758" t="s">
        <v>13022</v>
      </c>
    </row>
    <row r="7759" spans="1:19" x14ac:dyDescent="0.25">
      <c r="A7759" s="27" t="s">
        <v>193</v>
      </c>
      <c r="C7759" s="27" t="s">
        <v>34749</v>
      </c>
      <c r="D7759" s="28" t="s">
        <v>34867</v>
      </c>
      <c r="P7759">
        <v>8857</v>
      </c>
      <c r="Q7759" t="s">
        <v>9351</v>
      </c>
      <c r="R7759" s="28" t="s">
        <v>9352</v>
      </c>
      <c r="S7759" t="s">
        <v>13022</v>
      </c>
    </row>
    <row r="7760" spans="1:19" x14ac:dyDescent="0.25">
      <c r="A7760" s="27" t="s">
        <v>193</v>
      </c>
      <c r="C7760" s="27" t="s">
        <v>34749</v>
      </c>
      <c r="D7760" s="28" t="s">
        <v>34867</v>
      </c>
      <c r="P7760">
        <v>8858</v>
      </c>
      <c r="Q7760" t="s">
        <v>9426</v>
      </c>
      <c r="R7760" s="28" t="s">
        <v>9427</v>
      </c>
      <c r="S7760" t="s">
        <v>13022</v>
      </c>
    </row>
    <row r="7761" spans="1:19" x14ac:dyDescent="0.25">
      <c r="A7761" s="27" t="s">
        <v>193</v>
      </c>
      <c r="C7761" s="27" t="s">
        <v>34749</v>
      </c>
      <c r="D7761" s="28" t="s">
        <v>34867</v>
      </c>
      <c r="P7761">
        <v>8859</v>
      </c>
      <c r="Q7761" t="s">
        <v>15402</v>
      </c>
      <c r="R7761" s="28" t="s">
        <v>9472</v>
      </c>
      <c r="S7761" t="s">
        <v>13022</v>
      </c>
    </row>
    <row r="7762" spans="1:19" x14ac:dyDescent="0.25">
      <c r="A7762" s="27" t="s">
        <v>193</v>
      </c>
      <c r="C7762" s="27" t="s">
        <v>34749</v>
      </c>
      <c r="D7762" s="28" t="s">
        <v>34867</v>
      </c>
      <c r="P7762">
        <v>8860</v>
      </c>
      <c r="Q7762" t="s">
        <v>15403</v>
      </c>
      <c r="R7762" s="28" t="s">
        <v>9442</v>
      </c>
      <c r="S7762" t="s">
        <v>13022</v>
      </c>
    </row>
    <row r="7763" spans="1:19" x14ac:dyDescent="0.25">
      <c r="A7763" s="27" t="s">
        <v>193</v>
      </c>
      <c r="C7763" s="27" t="s">
        <v>34749</v>
      </c>
      <c r="D7763" s="28" t="s">
        <v>34867</v>
      </c>
      <c r="P7763">
        <v>8861</v>
      </c>
      <c r="Q7763" t="s">
        <v>9486</v>
      </c>
      <c r="R7763" s="28" t="s">
        <v>9487</v>
      </c>
      <c r="S7763" t="s">
        <v>13022</v>
      </c>
    </row>
    <row r="7764" spans="1:19" x14ac:dyDescent="0.25">
      <c r="A7764" s="27" t="s">
        <v>193</v>
      </c>
      <c r="C7764" s="27" t="s">
        <v>34749</v>
      </c>
      <c r="D7764" s="28" t="s">
        <v>34867</v>
      </c>
      <c r="P7764">
        <v>8862</v>
      </c>
      <c r="Q7764" t="s">
        <v>15404</v>
      </c>
      <c r="R7764" s="28" t="s">
        <v>9496</v>
      </c>
      <c r="S7764" t="s">
        <v>13022</v>
      </c>
    </row>
    <row r="7765" spans="1:19" x14ac:dyDescent="0.25">
      <c r="A7765" s="27" t="s">
        <v>193</v>
      </c>
      <c r="C7765" s="27" t="s">
        <v>34749</v>
      </c>
      <c r="D7765" s="28" t="s">
        <v>34867</v>
      </c>
      <c r="P7765">
        <v>8863</v>
      </c>
      <c r="Q7765" t="s">
        <v>9630</v>
      </c>
      <c r="R7765" s="28" t="s">
        <v>9631</v>
      </c>
      <c r="S7765" t="s">
        <v>13022</v>
      </c>
    </row>
    <row r="7766" spans="1:19" x14ac:dyDescent="0.25">
      <c r="A7766" s="27" t="s">
        <v>193</v>
      </c>
      <c r="C7766" s="27" t="s">
        <v>34749</v>
      </c>
      <c r="D7766" s="28" t="s">
        <v>34867</v>
      </c>
      <c r="P7766">
        <v>8864</v>
      </c>
      <c r="Q7766" t="s">
        <v>9537</v>
      </c>
      <c r="R7766" s="28" t="s">
        <v>9538</v>
      </c>
      <c r="S7766" t="s">
        <v>13022</v>
      </c>
    </row>
    <row r="7767" spans="1:19" x14ac:dyDescent="0.25">
      <c r="A7767" s="27" t="s">
        <v>193</v>
      </c>
      <c r="C7767" s="27" t="s">
        <v>34749</v>
      </c>
      <c r="D7767" s="28" t="s">
        <v>34867</v>
      </c>
      <c r="P7767">
        <v>8865</v>
      </c>
      <c r="Q7767" t="s">
        <v>15405</v>
      </c>
      <c r="R7767" s="28" t="s">
        <v>15406</v>
      </c>
      <c r="S7767" t="s">
        <v>13022</v>
      </c>
    </row>
    <row r="7768" spans="1:19" x14ac:dyDescent="0.25">
      <c r="A7768" s="27" t="s">
        <v>193</v>
      </c>
      <c r="C7768" s="27" t="s">
        <v>34749</v>
      </c>
      <c r="D7768" s="28" t="s">
        <v>34867</v>
      </c>
      <c r="P7768">
        <v>8866</v>
      </c>
      <c r="Q7768" t="s">
        <v>9534</v>
      </c>
      <c r="R7768" s="28" t="s">
        <v>9535</v>
      </c>
      <c r="S7768" t="s">
        <v>13022</v>
      </c>
    </row>
    <row r="7769" spans="1:19" x14ac:dyDescent="0.25">
      <c r="A7769" s="27" t="s">
        <v>193</v>
      </c>
      <c r="C7769" s="27" t="s">
        <v>34749</v>
      </c>
      <c r="D7769" s="28" t="s">
        <v>34867</v>
      </c>
      <c r="P7769">
        <v>8867</v>
      </c>
      <c r="Q7769" t="s">
        <v>9939</v>
      </c>
      <c r="R7769" s="28" t="s">
        <v>9940</v>
      </c>
      <c r="S7769" t="s">
        <v>13022</v>
      </c>
    </row>
    <row r="7770" spans="1:19" x14ac:dyDescent="0.25">
      <c r="A7770" s="27" t="s">
        <v>193</v>
      </c>
      <c r="C7770" s="27" t="s">
        <v>34749</v>
      </c>
      <c r="D7770" s="28" t="s">
        <v>34867</v>
      </c>
      <c r="P7770">
        <v>8868</v>
      </c>
      <c r="Q7770" t="s">
        <v>15407</v>
      </c>
      <c r="R7770" s="28" t="s">
        <v>9628</v>
      </c>
      <c r="S7770" t="s">
        <v>13022</v>
      </c>
    </row>
    <row r="7771" spans="1:19" x14ac:dyDescent="0.25">
      <c r="A7771" s="27" t="s">
        <v>193</v>
      </c>
      <c r="C7771" s="27" t="s">
        <v>34749</v>
      </c>
      <c r="D7771" s="28" t="s">
        <v>34867</v>
      </c>
      <c r="P7771">
        <v>8869</v>
      </c>
      <c r="Q7771" t="s">
        <v>9579</v>
      </c>
      <c r="R7771" s="28" t="s">
        <v>9580</v>
      </c>
      <c r="S7771" t="s">
        <v>13022</v>
      </c>
    </row>
    <row r="7772" spans="1:19" x14ac:dyDescent="0.25">
      <c r="A7772" s="27" t="s">
        <v>193</v>
      </c>
      <c r="C7772" s="27" t="s">
        <v>34749</v>
      </c>
      <c r="D7772" s="28" t="s">
        <v>34867</v>
      </c>
      <c r="P7772">
        <v>8870</v>
      </c>
      <c r="Q7772" t="s">
        <v>9648</v>
      </c>
      <c r="R7772" s="28" t="s">
        <v>9649</v>
      </c>
      <c r="S7772" t="s">
        <v>13022</v>
      </c>
    </row>
    <row r="7773" spans="1:19" x14ac:dyDescent="0.25">
      <c r="A7773" s="27" t="s">
        <v>193</v>
      </c>
      <c r="C7773" s="27" t="s">
        <v>34749</v>
      </c>
      <c r="D7773" s="28" t="s">
        <v>34867</v>
      </c>
      <c r="P7773">
        <v>8871</v>
      </c>
      <c r="Q7773" t="s">
        <v>15408</v>
      </c>
      <c r="R7773" s="28" t="s">
        <v>9691</v>
      </c>
      <c r="S7773" t="s">
        <v>13022</v>
      </c>
    </row>
    <row r="7774" spans="1:19" x14ac:dyDescent="0.25">
      <c r="A7774" s="27" t="s">
        <v>193</v>
      </c>
      <c r="C7774" s="27" t="s">
        <v>34749</v>
      </c>
      <c r="D7774" s="28" t="s">
        <v>34867</v>
      </c>
      <c r="P7774">
        <v>8872</v>
      </c>
      <c r="Q7774" t="s">
        <v>9705</v>
      </c>
      <c r="R7774" s="28" t="s">
        <v>9706</v>
      </c>
      <c r="S7774" t="s">
        <v>13022</v>
      </c>
    </row>
    <row r="7775" spans="1:19" x14ac:dyDescent="0.25">
      <c r="A7775" s="27" t="s">
        <v>193</v>
      </c>
      <c r="C7775" s="27" t="s">
        <v>34749</v>
      </c>
      <c r="D7775" s="28" t="s">
        <v>34867</v>
      </c>
      <c r="P7775">
        <v>8873</v>
      </c>
      <c r="Q7775" t="s">
        <v>9672</v>
      </c>
      <c r="R7775" s="28" t="s">
        <v>9673</v>
      </c>
      <c r="S7775" t="s">
        <v>13022</v>
      </c>
    </row>
    <row r="7776" spans="1:19" x14ac:dyDescent="0.25">
      <c r="A7776" s="27" t="s">
        <v>193</v>
      </c>
      <c r="C7776" s="27" t="s">
        <v>34749</v>
      </c>
      <c r="D7776" s="28" t="s">
        <v>34867</v>
      </c>
      <c r="P7776">
        <v>8874</v>
      </c>
      <c r="Q7776" t="s">
        <v>9729</v>
      </c>
      <c r="R7776" s="28" t="s">
        <v>9730</v>
      </c>
      <c r="S7776" t="s">
        <v>13022</v>
      </c>
    </row>
    <row r="7777" spans="1:19" x14ac:dyDescent="0.25">
      <c r="A7777" s="27" t="s">
        <v>193</v>
      </c>
      <c r="C7777" s="27" t="s">
        <v>34749</v>
      </c>
      <c r="D7777" s="28" t="s">
        <v>34867</v>
      </c>
      <c r="P7777">
        <v>8875</v>
      </c>
      <c r="Q7777" t="s">
        <v>9732</v>
      </c>
      <c r="R7777" s="28" t="s">
        <v>9733</v>
      </c>
      <c r="S7777" t="s">
        <v>13022</v>
      </c>
    </row>
    <row r="7778" spans="1:19" x14ac:dyDescent="0.25">
      <c r="A7778" s="27" t="s">
        <v>193</v>
      </c>
      <c r="C7778" s="27" t="s">
        <v>34749</v>
      </c>
      <c r="D7778" s="28" t="s">
        <v>34867</v>
      </c>
      <c r="P7778">
        <v>8876</v>
      </c>
      <c r="Q7778" t="s">
        <v>9756</v>
      </c>
      <c r="R7778" s="28" t="s">
        <v>9757</v>
      </c>
      <c r="S7778" t="s">
        <v>13022</v>
      </c>
    </row>
    <row r="7779" spans="1:19" x14ac:dyDescent="0.25">
      <c r="A7779" s="27" t="s">
        <v>193</v>
      </c>
      <c r="C7779" s="27" t="s">
        <v>34749</v>
      </c>
      <c r="D7779" s="28" t="s">
        <v>34867</v>
      </c>
      <c r="P7779">
        <v>8877</v>
      </c>
      <c r="Q7779" t="s">
        <v>15409</v>
      </c>
      <c r="R7779" s="28" t="s">
        <v>15410</v>
      </c>
      <c r="S7779" t="s">
        <v>13022</v>
      </c>
    </row>
    <row r="7780" spans="1:19" x14ac:dyDescent="0.25">
      <c r="A7780" s="27" t="s">
        <v>193</v>
      </c>
      <c r="C7780" s="27" t="s">
        <v>34749</v>
      </c>
      <c r="D7780" s="28" t="s">
        <v>34867</v>
      </c>
      <c r="P7780">
        <v>8878</v>
      </c>
      <c r="Q7780" t="s">
        <v>9774</v>
      </c>
      <c r="R7780" s="28" t="s">
        <v>9775</v>
      </c>
      <c r="S7780" t="s">
        <v>13022</v>
      </c>
    </row>
    <row r="7781" spans="1:19" x14ac:dyDescent="0.25">
      <c r="A7781" s="27" t="s">
        <v>193</v>
      </c>
      <c r="C7781" s="27" t="s">
        <v>34749</v>
      </c>
      <c r="D7781" s="28" t="s">
        <v>34867</v>
      </c>
      <c r="P7781">
        <v>8879</v>
      </c>
      <c r="Q7781" t="s">
        <v>9789</v>
      </c>
      <c r="R7781" s="28" t="s">
        <v>15411</v>
      </c>
      <c r="S7781" t="s">
        <v>13022</v>
      </c>
    </row>
    <row r="7782" spans="1:19" x14ac:dyDescent="0.25">
      <c r="A7782" s="27" t="s">
        <v>193</v>
      </c>
      <c r="C7782" s="27" t="s">
        <v>34749</v>
      </c>
      <c r="D7782" s="28" t="s">
        <v>34867</v>
      </c>
      <c r="P7782">
        <v>8880</v>
      </c>
      <c r="Q7782" t="s">
        <v>15412</v>
      </c>
      <c r="R7782" s="28" t="s">
        <v>9835</v>
      </c>
      <c r="S7782" t="s">
        <v>13022</v>
      </c>
    </row>
    <row r="7783" spans="1:19" x14ac:dyDescent="0.25">
      <c r="A7783" s="27" t="s">
        <v>193</v>
      </c>
      <c r="C7783" s="27" t="s">
        <v>34749</v>
      </c>
      <c r="D7783" s="28" t="s">
        <v>34867</v>
      </c>
      <c r="P7783">
        <v>8881</v>
      </c>
      <c r="Q7783" t="s">
        <v>9795</v>
      </c>
      <c r="R7783" s="28" t="s">
        <v>15413</v>
      </c>
      <c r="S7783" t="s">
        <v>13022</v>
      </c>
    </row>
    <row r="7784" spans="1:19" x14ac:dyDescent="0.25">
      <c r="A7784" s="27" t="s">
        <v>193</v>
      </c>
      <c r="C7784" s="27" t="s">
        <v>34749</v>
      </c>
      <c r="D7784" s="28" t="s">
        <v>34867</v>
      </c>
      <c r="P7784">
        <v>8882</v>
      </c>
      <c r="Q7784" t="s">
        <v>15414</v>
      </c>
      <c r="R7784" s="28" t="s">
        <v>15415</v>
      </c>
      <c r="S7784" t="s">
        <v>13022</v>
      </c>
    </row>
    <row r="7785" spans="1:19" x14ac:dyDescent="0.25">
      <c r="A7785" s="27" t="s">
        <v>193</v>
      </c>
      <c r="C7785" s="27" t="s">
        <v>34749</v>
      </c>
      <c r="D7785" s="28" t="s">
        <v>34867</v>
      </c>
      <c r="P7785">
        <v>8883</v>
      </c>
      <c r="Q7785" t="s">
        <v>9813</v>
      </c>
      <c r="R7785" s="28" t="s">
        <v>9814</v>
      </c>
      <c r="S7785" t="s">
        <v>13022</v>
      </c>
    </row>
    <row r="7786" spans="1:19" x14ac:dyDescent="0.25">
      <c r="A7786" s="27" t="s">
        <v>193</v>
      </c>
      <c r="C7786" s="27" t="s">
        <v>34749</v>
      </c>
      <c r="D7786" s="28" t="s">
        <v>34867</v>
      </c>
      <c r="P7786">
        <v>8884</v>
      </c>
      <c r="Q7786" t="s">
        <v>15416</v>
      </c>
      <c r="R7786" s="28" t="s">
        <v>15417</v>
      </c>
      <c r="S7786" t="s">
        <v>13022</v>
      </c>
    </row>
    <row r="7787" spans="1:19" x14ac:dyDescent="0.25">
      <c r="A7787" s="27" t="s">
        <v>193</v>
      </c>
      <c r="C7787" s="27" t="s">
        <v>34749</v>
      </c>
      <c r="D7787" s="28" t="s">
        <v>34867</v>
      </c>
      <c r="P7787">
        <v>8885</v>
      </c>
      <c r="Q7787" t="s">
        <v>15418</v>
      </c>
      <c r="R7787" s="28" t="s">
        <v>15419</v>
      </c>
      <c r="S7787" t="s">
        <v>13022</v>
      </c>
    </row>
    <row r="7788" spans="1:19" x14ac:dyDescent="0.25">
      <c r="A7788" s="27" t="s">
        <v>193</v>
      </c>
      <c r="C7788" s="27" t="s">
        <v>34749</v>
      </c>
      <c r="D7788" s="28" t="s">
        <v>34867</v>
      </c>
      <c r="P7788">
        <v>8886</v>
      </c>
      <c r="Q7788" t="s">
        <v>15420</v>
      </c>
      <c r="R7788" s="28" t="s">
        <v>9880</v>
      </c>
      <c r="S7788" t="s">
        <v>13022</v>
      </c>
    </row>
    <row r="7789" spans="1:19" x14ac:dyDescent="0.25">
      <c r="A7789" s="27" t="s">
        <v>193</v>
      </c>
      <c r="C7789" s="27" t="s">
        <v>34749</v>
      </c>
      <c r="D7789" s="28" t="s">
        <v>34867</v>
      </c>
      <c r="P7789">
        <v>8887</v>
      </c>
      <c r="Q7789" t="s">
        <v>15421</v>
      </c>
      <c r="R7789" s="28" t="s">
        <v>15422</v>
      </c>
      <c r="S7789" t="s">
        <v>13022</v>
      </c>
    </row>
    <row r="7790" spans="1:19" x14ac:dyDescent="0.25">
      <c r="A7790" s="27" t="s">
        <v>193</v>
      </c>
      <c r="C7790" s="27" t="s">
        <v>34749</v>
      </c>
      <c r="D7790" s="28" t="s">
        <v>34867</v>
      </c>
      <c r="P7790">
        <v>8888</v>
      </c>
      <c r="Q7790" t="s">
        <v>10026</v>
      </c>
      <c r="R7790" s="28" t="s">
        <v>10027</v>
      </c>
      <c r="S7790" t="s">
        <v>13022</v>
      </c>
    </row>
    <row r="7791" spans="1:19" x14ac:dyDescent="0.25">
      <c r="A7791" s="27" t="s">
        <v>193</v>
      </c>
      <c r="C7791" s="27" t="s">
        <v>34749</v>
      </c>
      <c r="D7791" s="28" t="s">
        <v>34867</v>
      </c>
      <c r="P7791">
        <v>8889</v>
      </c>
      <c r="Q7791" t="s">
        <v>15423</v>
      </c>
      <c r="R7791" s="28" t="s">
        <v>15424</v>
      </c>
      <c r="S7791" t="s">
        <v>13022</v>
      </c>
    </row>
    <row r="7792" spans="1:19" x14ac:dyDescent="0.25">
      <c r="A7792" s="27" t="s">
        <v>193</v>
      </c>
      <c r="C7792" s="27" t="s">
        <v>34749</v>
      </c>
      <c r="D7792" s="28" t="s">
        <v>34867</v>
      </c>
      <c r="P7792">
        <v>8890</v>
      </c>
      <c r="Q7792" t="s">
        <v>15425</v>
      </c>
      <c r="R7792" s="28" t="s">
        <v>15426</v>
      </c>
      <c r="S7792" t="s">
        <v>13022</v>
      </c>
    </row>
    <row r="7793" spans="1:19" x14ac:dyDescent="0.25">
      <c r="A7793" s="27" t="s">
        <v>193</v>
      </c>
      <c r="C7793" s="27" t="s">
        <v>34749</v>
      </c>
      <c r="D7793" s="28" t="s">
        <v>34867</v>
      </c>
      <c r="P7793">
        <v>8891</v>
      </c>
      <c r="Q7793" t="s">
        <v>15427</v>
      </c>
      <c r="R7793" s="28" t="s">
        <v>15428</v>
      </c>
      <c r="S7793" t="s">
        <v>13022</v>
      </c>
    </row>
    <row r="7794" spans="1:19" x14ac:dyDescent="0.25">
      <c r="A7794" s="27" t="s">
        <v>193</v>
      </c>
      <c r="C7794" s="27" t="s">
        <v>34749</v>
      </c>
      <c r="D7794" s="28" t="s">
        <v>34867</v>
      </c>
      <c r="P7794">
        <v>8892</v>
      </c>
      <c r="Q7794" t="s">
        <v>10194</v>
      </c>
      <c r="R7794" s="28" t="s">
        <v>10195</v>
      </c>
      <c r="S7794" t="s">
        <v>13022</v>
      </c>
    </row>
    <row r="7795" spans="1:19" x14ac:dyDescent="0.25">
      <c r="A7795" s="27" t="s">
        <v>193</v>
      </c>
      <c r="C7795" s="27" t="s">
        <v>34749</v>
      </c>
      <c r="D7795" s="28" t="s">
        <v>34867</v>
      </c>
      <c r="P7795">
        <v>8893</v>
      </c>
      <c r="Q7795" t="s">
        <v>10119</v>
      </c>
      <c r="R7795" s="28" t="s">
        <v>10120</v>
      </c>
      <c r="S7795" t="s">
        <v>13022</v>
      </c>
    </row>
    <row r="7796" spans="1:19" x14ac:dyDescent="0.25">
      <c r="A7796" s="27" t="s">
        <v>193</v>
      </c>
      <c r="C7796" s="27" t="s">
        <v>34749</v>
      </c>
      <c r="D7796" s="28" t="s">
        <v>34867</v>
      </c>
      <c r="P7796">
        <v>8894</v>
      </c>
      <c r="Q7796" t="s">
        <v>15429</v>
      </c>
      <c r="R7796" s="28" t="s">
        <v>15430</v>
      </c>
      <c r="S7796" t="s">
        <v>13022</v>
      </c>
    </row>
    <row r="7797" spans="1:19" x14ac:dyDescent="0.25">
      <c r="A7797" s="27" t="s">
        <v>193</v>
      </c>
      <c r="C7797" s="27" t="s">
        <v>34749</v>
      </c>
      <c r="D7797" s="28" t="s">
        <v>34867</v>
      </c>
      <c r="P7797">
        <v>8895</v>
      </c>
      <c r="Q7797" t="s">
        <v>10134</v>
      </c>
      <c r="R7797" s="28" t="s">
        <v>10135</v>
      </c>
      <c r="S7797" t="s">
        <v>13022</v>
      </c>
    </row>
    <row r="7798" spans="1:19" x14ac:dyDescent="0.25">
      <c r="A7798" s="27" t="s">
        <v>193</v>
      </c>
      <c r="C7798" s="27" t="s">
        <v>34749</v>
      </c>
      <c r="D7798" s="28" t="s">
        <v>34867</v>
      </c>
      <c r="P7798">
        <v>8896</v>
      </c>
      <c r="Q7798" t="s">
        <v>10191</v>
      </c>
      <c r="R7798" s="28" t="s">
        <v>10192</v>
      </c>
      <c r="S7798" t="s">
        <v>13022</v>
      </c>
    </row>
    <row r="7799" spans="1:19" x14ac:dyDescent="0.25">
      <c r="A7799" s="27" t="s">
        <v>193</v>
      </c>
      <c r="C7799" s="27" t="s">
        <v>34749</v>
      </c>
      <c r="D7799" s="28" t="s">
        <v>34867</v>
      </c>
      <c r="P7799">
        <v>8897</v>
      </c>
      <c r="Q7799" t="s">
        <v>10200</v>
      </c>
      <c r="R7799" s="28" t="s">
        <v>10201</v>
      </c>
      <c r="S7799" t="s">
        <v>13022</v>
      </c>
    </row>
    <row r="7800" spans="1:19" x14ac:dyDescent="0.25">
      <c r="A7800" s="27" t="s">
        <v>193</v>
      </c>
      <c r="C7800" s="27" t="s">
        <v>34749</v>
      </c>
      <c r="D7800" s="28" t="s">
        <v>34867</v>
      </c>
      <c r="P7800">
        <v>8898</v>
      </c>
      <c r="Q7800" t="s">
        <v>10221</v>
      </c>
      <c r="R7800" s="28" t="s">
        <v>10222</v>
      </c>
      <c r="S7800" t="s">
        <v>13022</v>
      </c>
    </row>
    <row r="7801" spans="1:19" x14ac:dyDescent="0.25">
      <c r="A7801" s="27" t="s">
        <v>193</v>
      </c>
      <c r="C7801" s="27" t="s">
        <v>34749</v>
      </c>
      <c r="D7801" s="28" t="s">
        <v>34867</v>
      </c>
      <c r="P7801">
        <v>8899</v>
      </c>
      <c r="Q7801" t="s">
        <v>10233</v>
      </c>
      <c r="R7801" s="28" t="s">
        <v>10234</v>
      </c>
      <c r="S7801" t="s">
        <v>13022</v>
      </c>
    </row>
    <row r="7802" spans="1:19" x14ac:dyDescent="0.25">
      <c r="A7802" s="27" t="s">
        <v>193</v>
      </c>
      <c r="C7802" s="27" t="s">
        <v>34749</v>
      </c>
      <c r="D7802" s="28" t="s">
        <v>34867</v>
      </c>
      <c r="P7802">
        <v>8900</v>
      </c>
      <c r="Q7802" t="s">
        <v>10242</v>
      </c>
      <c r="R7802" s="28" t="s">
        <v>10243</v>
      </c>
      <c r="S7802" t="s">
        <v>13022</v>
      </c>
    </row>
    <row r="7803" spans="1:19" x14ac:dyDescent="0.25">
      <c r="A7803" s="27" t="s">
        <v>193</v>
      </c>
      <c r="C7803" s="27" t="s">
        <v>34749</v>
      </c>
      <c r="D7803" s="28" t="s">
        <v>34867</v>
      </c>
      <c r="P7803">
        <v>8901</v>
      </c>
      <c r="Q7803" t="s">
        <v>10245</v>
      </c>
      <c r="R7803" s="28" t="s">
        <v>10246</v>
      </c>
      <c r="S7803" t="s">
        <v>13022</v>
      </c>
    </row>
    <row r="7804" spans="1:19" x14ac:dyDescent="0.25">
      <c r="A7804" s="27" t="s">
        <v>193</v>
      </c>
      <c r="C7804" s="27" t="s">
        <v>34749</v>
      </c>
      <c r="D7804" s="28" t="s">
        <v>34867</v>
      </c>
      <c r="P7804">
        <v>8903</v>
      </c>
      <c r="Q7804" t="s">
        <v>10321</v>
      </c>
      <c r="R7804" s="28" t="s">
        <v>10322</v>
      </c>
      <c r="S7804" t="s">
        <v>13022</v>
      </c>
    </row>
    <row r="7805" spans="1:19" x14ac:dyDescent="0.25">
      <c r="A7805" s="27" t="s">
        <v>193</v>
      </c>
      <c r="C7805" s="27" t="s">
        <v>34749</v>
      </c>
      <c r="D7805" s="28" t="s">
        <v>34867</v>
      </c>
      <c r="P7805">
        <v>8904</v>
      </c>
      <c r="Q7805" t="s">
        <v>10369</v>
      </c>
      <c r="R7805" s="28" t="s">
        <v>10370</v>
      </c>
      <c r="S7805" t="s">
        <v>13022</v>
      </c>
    </row>
    <row r="7806" spans="1:19" x14ac:dyDescent="0.25">
      <c r="A7806" s="27" t="s">
        <v>193</v>
      </c>
      <c r="C7806" s="27" t="s">
        <v>34749</v>
      </c>
      <c r="D7806" s="28" t="s">
        <v>34867</v>
      </c>
      <c r="P7806">
        <v>8905</v>
      </c>
      <c r="Q7806" t="s">
        <v>10396</v>
      </c>
      <c r="R7806" s="28" t="s">
        <v>10397</v>
      </c>
      <c r="S7806" t="s">
        <v>13022</v>
      </c>
    </row>
    <row r="7807" spans="1:19" x14ac:dyDescent="0.25">
      <c r="A7807" s="27" t="s">
        <v>193</v>
      </c>
      <c r="C7807" s="27" t="s">
        <v>34749</v>
      </c>
      <c r="D7807" s="28" t="s">
        <v>34867</v>
      </c>
      <c r="P7807">
        <v>8906</v>
      </c>
      <c r="Q7807" t="s">
        <v>10447</v>
      </c>
      <c r="R7807" s="28" t="s">
        <v>10448</v>
      </c>
      <c r="S7807" t="s">
        <v>13022</v>
      </c>
    </row>
    <row r="7808" spans="1:19" x14ac:dyDescent="0.25">
      <c r="A7808" s="27" t="s">
        <v>193</v>
      </c>
      <c r="C7808" s="27" t="s">
        <v>34749</v>
      </c>
      <c r="D7808" s="28" t="s">
        <v>34867</v>
      </c>
      <c r="P7808">
        <v>8907</v>
      </c>
      <c r="Q7808" t="s">
        <v>10441</v>
      </c>
      <c r="R7808" s="28" t="s">
        <v>10442</v>
      </c>
      <c r="S7808" t="s">
        <v>13022</v>
      </c>
    </row>
    <row r="7809" spans="1:19" x14ac:dyDescent="0.25">
      <c r="A7809" s="27" t="s">
        <v>193</v>
      </c>
      <c r="C7809" s="27" t="s">
        <v>34749</v>
      </c>
      <c r="D7809" s="28" t="s">
        <v>34867</v>
      </c>
      <c r="P7809">
        <v>8908</v>
      </c>
      <c r="Q7809" t="s">
        <v>10465</v>
      </c>
      <c r="R7809" s="28" t="s">
        <v>10466</v>
      </c>
      <c r="S7809" t="s">
        <v>13022</v>
      </c>
    </row>
    <row r="7810" spans="1:19" x14ac:dyDescent="0.25">
      <c r="A7810" s="27" t="s">
        <v>193</v>
      </c>
      <c r="C7810" s="27" t="s">
        <v>34749</v>
      </c>
      <c r="D7810" s="28" t="s">
        <v>34867</v>
      </c>
      <c r="P7810">
        <v>8909</v>
      </c>
      <c r="Q7810" t="s">
        <v>10483</v>
      </c>
      <c r="R7810" s="28" t="s">
        <v>10484</v>
      </c>
      <c r="S7810" t="s">
        <v>13022</v>
      </c>
    </row>
    <row r="7811" spans="1:19" x14ac:dyDescent="0.25">
      <c r="A7811" s="27" t="s">
        <v>193</v>
      </c>
      <c r="C7811" s="27" t="s">
        <v>34749</v>
      </c>
      <c r="D7811" s="28" t="s">
        <v>34867</v>
      </c>
      <c r="P7811">
        <v>8910</v>
      </c>
      <c r="Q7811" t="s">
        <v>10594</v>
      </c>
      <c r="R7811" s="28" t="s">
        <v>10595</v>
      </c>
      <c r="S7811" t="s">
        <v>13022</v>
      </c>
    </row>
    <row r="7812" spans="1:19" x14ac:dyDescent="0.25">
      <c r="A7812" s="27" t="s">
        <v>193</v>
      </c>
      <c r="C7812" s="27" t="s">
        <v>34749</v>
      </c>
      <c r="D7812" s="28" t="s">
        <v>34867</v>
      </c>
      <c r="P7812">
        <v>8911</v>
      </c>
      <c r="Q7812" t="s">
        <v>10513</v>
      </c>
      <c r="R7812" s="28" t="s">
        <v>10514</v>
      </c>
      <c r="S7812" t="s">
        <v>13022</v>
      </c>
    </row>
    <row r="7813" spans="1:19" x14ac:dyDescent="0.25">
      <c r="A7813" s="27" t="s">
        <v>193</v>
      </c>
      <c r="C7813" s="27" t="s">
        <v>34749</v>
      </c>
      <c r="D7813" s="28" t="s">
        <v>34867</v>
      </c>
      <c r="P7813">
        <v>8912</v>
      </c>
      <c r="Q7813" t="s">
        <v>10510</v>
      </c>
      <c r="R7813" s="28" t="s">
        <v>15431</v>
      </c>
      <c r="S7813" t="s">
        <v>13022</v>
      </c>
    </row>
    <row r="7814" spans="1:19" x14ac:dyDescent="0.25">
      <c r="A7814" s="27" t="s">
        <v>193</v>
      </c>
      <c r="C7814" s="27" t="s">
        <v>34749</v>
      </c>
      <c r="D7814" s="28" t="s">
        <v>34867</v>
      </c>
      <c r="P7814">
        <v>8913</v>
      </c>
      <c r="Q7814" t="s">
        <v>10507</v>
      </c>
      <c r="R7814" s="28" t="s">
        <v>10508</v>
      </c>
      <c r="S7814" t="s">
        <v>13022</v>
      </c>
    </row>
    <row r="7815" spans="1:19" x14ac:dyDescent="0.25">
      <c r="A7815" s="27" t="s">
        <v>193</v>
      </c>
      <c r="C7815" s="27" t="s">
        <v>34749</v>
      </c>
      <c r="D7815" s="28" t="s">
        <v>34867</v>
      </c>
      <c r="P7815">
        <v>8914</v>
      </c>
      <c r="Q7815" t="s">
        <v>10525</v>
      </c>
      <c r="R7815" s="28" t="s">
        <v>10526</v>
      </c>
      <c r="S7815" t="s">
        <v>13022</v>
      </c>
    </row>
    <row r="7816" spans="1:19" x14ac:dyDescent="0.25">
      <c r="A7816" s="27" t="s">
        <v>193</v>
      </c>
      <c r="C7816" s="27" t="s">
        <v>34749</v>
      </c>
      <c r="D7816" s="28" t="s">
        <v>34867</v>
      </c>
      <c r="P7816">
        <v>8915</v>
      </c>
      <c r="Q7816" t="s">
        <v>10591</v>
      </c>
      <c r="R7816" s="28" t="s">
        <v>10592</v>
      </c>
      <c r="S7816" t="s">
        <v>13022</v>
      </c>
    </row>
    <row r="7817" spans="1:19" x14ac:dyDescent="0.25">
      <c r="A7817" s="27" t="s">
        <v>193</v>
      </c>
      <c r="C7817" s="27" t="s">
        <v>34749</v>
      </c>
      <c r="D7817" s="28" t="s">
        <v>34867</v>
      </c>
      <c r="P7817">
        <v>8916</v>
      </c>
      <c r="Q7817" t="s">
        <v>15432</v>
      </c>
      <c r="R7817" s="28" t="s">
        <v>15433</v>
      </c>
      <c r="S7817" t="s">
        <v>13022</v>
      </c>
    </row>
    <row r="7818" spans="1:19" x14ac:dyDescent="0.25">
      <c r="A7818" s="27" t="s">
        <v>193</v>
      </c>
      <c r="C7818" s="27" t="s">
        <v>34749</v>
      </c>
      <c r="D7818" s="28" t="s">
        <v>34867</v>
      </c>
      <c r="P7818">
        <v>8917</v>
      </c>
      <c r="Q7818" t="s">
        <v>10726</v>
      </c>
      <c r="R7818" s="28" t="s">
        <v>15434</v>
      </c>
      <c r="S7818" t="s">
        <v>13022</v>
      </c>
    </row>
    <row r="7819" spans="1:19" x14ac:dyDescent="0.25">
      <c r="A7819" s="27" t="s">
        <v>193</v>
      </c>
      <c r="C7819" s="27" t="s">
        <v>34749</v>
      </c>
      <c r="D7819" s="28" t="s">
        <v>34867</v>
      </c>
      <c r="P7819">
        <v>8918</v>
      </c>
      <c r="Q7819" t="s">
        <v>15435</v>
      </c>
      <c r="R7819" s="28" t="s">
        <v>2044</v>
      </c>
      <c r="S7819" t="s">
        <v>13022</v>
      </c>
    </row>
    <row r="7820" spans="1:19" x14ac:dyDescent="0.25">
      <c r="A7820" s="27" t="s">
        <v>193</v>
      </c>
      <c r="C7820" s="27" t="s">
        <v>34749</v>
      </c>
      <c r="D7820" s="28" t="s">
        <v>34867</v>
      </c>
      <c r="P7820">
        <v>8919</v>
      </c>
      <c r="Q7820" t="s">
        <v>10747</v>
      </c>
      <c r="R7820" s="28" t="s">
        <v>10748</v>
      </c>
      <c r="S7820" t="s">
        <v>13022</v>
      </c>
    </row>
    <row r="7821" spans="1:19" x14ac:dyDescent="0.25">
      <c r="A7821" s="27" t="s">
        <v>193</v>
      </c>
      <c r="C7821" s="27" t="s">
        <v>34749</v>
      </c>
      <c r="D7821" s="28" t="s">
        <v>34867</v>
      </c>
      <c r="P7821">
        <v>8920</v>
      </c>
      <c r="Q7821" t="s">
        <v>6437</v>
      </c>
      <c r="R7821" s="28" t="s">
        <v>6438</v>
      </c>
      <c r="S7821" t="s">
        <v>13022</v>
      </c>
    </row>
    <row r="7822" spans="1:19" x14ac:dyDescent="0.25">
      <c r="A7822" s="27" t="s">
        <v>193</v>
      </c>
      <c r="C7822" s="27" t="s">
        <v>34749</v>
      </c>
      <c r="D7822" s="28" t="s">
        <v>34867</v>
      </c>
      <c r="P7822">
        <v>8921</v>
      </c>
      <c r="Q7822" t="s">
        <v>15436</v>
      </c>
      <c r="R7822" s="28" t="s">
        <v>7058</v>
      </c>
      <c r="S7822" t="s">
        <v>13022</v>
      </c>
    </row>
    <row r="7823" spans="1:19" x14ac:dyDescent="0.25">
      <c r="A7823" s="27" t="s">
        <v>193</v>
      </c>
      <c r="C7823" s="27" t="s">
        <v>34749</v>
      </c>
      <c r="D7823" s="28" t="s">
        <v>34867</v>
      </c>
      <c r="P7823">
        <v>8922</v>
      </c>
      <c r="Q7823" t="s">
        <v>7066</v>
      </c>
      <c r="R7823" s="28" t="s">
        <v>7067</v>
      </c>
      <c r="S7823" t="s">
        <v>13022</v>
      </c>
    </row>
    <row r="7824" spans="1:19" x14ac:dyDescent="0.25">
      <c r="A7824" s="27" t="s">
        <v>193</v>
      </c>
      <c r="C7824" s="27" t="s">
        <v>34749</v>
      </c>
      <c r="D7824" s="28" t="s">
        <v>34867</v>
      </c>
      <c r="P7824">
        <v>8923</v>
      </c>
      <c r="Q7824" t="s">
        <v>10903</v>
      </c>
      <c r="R7824" s="28" t="s">
        <v>10904</v>
      </c>
      <c r="S7824" t="s">
        <v>13022</v>
      </c>
    </row>
    <row r="7825" spans="1:19" x14ac:dyDescent="0.25">
      <c r="A7825" s="27" t="s">
        <v>193</v>
      </c>
      <c r="C7825" s="27" t="s">
        <v>34749</v>
      </c>
      <c r="D7825" s="28" t="s">
        <v>34867</v>
      </c>
      <c r="P7825">
        <v>8924</v>
      </c>
      <c r="Q7825" t="s">
        <v>15437</v>
      </c>
      <c r="R7825" s="28" t="s">
        <v>9064</v>
      </c>
      <c r="S7825" t="s">
        <v>13022</v>
      </c>
    </row>
    <row r="7826" spans="1:19" x14ac:dyDescent="0.25">
      <c r="A7826" s="27" t="s">
        <v>193</v>
      </c>
      <c r="C7826" s="27" t="s">
        <v>34749</v>
      </c>
      <c r="D7826" s="28" t="s">
        <v>34867</v>
      </c>
      <c r="P7826">
        <v>8925</v>
      </c>
      <c r="Q7826" t="s">
        <v>15438</v>
      </c>
      <c r="R7826" s="28" t="s">
        <v>12170</v>
      </c>
      <c r="S7826" t="s">
        <v>13022</v>
      </c>
    </row>
    <row r="7827" spans="1:19" x14ac:dyDescent="0.25">
      <c r="A7827" s="27" t="s">
        <v>193</v>
      </c>
      <c r="C7827" s="27" t="s">
        <v>34749</v>
      </c>
      <c r="D7827" s="28" t="s">
        <v>34867</v>
      </c>
      <c r="P7827">
        <v>8926</v>
      </c>
      <c r="Q7827" t="s">
        <v>9864</v>
      </c>
      <c r="R7827" s="28" t="s">
        <v>9865</v>
      </c>
      <c r="S7827" t="s">
        <v>13022</v>
      </c>
    </row>
    <row r="7828" spans="1:19" x14ac:dyDescent="0.25">
      <c r="A7828" s="27" t="s">
        <v>193</v>
      </c>
      <c r="C7828" s="27" t="s">
        <v>34749</v>
      </c>
      <c r="D7828" s="28" t="s">
        <v>34867</v>
      </c>
      <c r="P7828">
        <v>8927</v>
      </c>
      <c r="Q7828" t="s">
        <v>10957</v>
      </c>
      <c r="R7828" s="28" t="s">
        <v>15439</v>
      </c>
      <c r="S7828" t="s">
        <v>13022</v>
      </c>
    </row>
    <row r="7829" spans="1:19" x14ac:dyDescent="0.25">
      <c r="A7829" s="27" t="s">
        <v>193</v>
      </c>
      <c r="C7829" s="27" t="s">
        <v>34749</v>
      </c>
      <c r="D7829" s="28" t="s">
        <v>34867</v>
      </c>
      <c r="P7829">
        <v>8928</v>
      </c>
      <c r="Q7829" t="s">
        <v>15440</v>
      </c>
      <c r="R7829" s="28" t="s">
        <v>15441</v>
      </c>
      <c r="S7829" t="s">
        <v>13022</v>
      </c>
    </row>
    <row r="7830" spans="1:19" x14ac:dyDescent="0.25">
      <c r="A7830" s="27" t="s">
        <v>193</v>
      </c>
      <c r="C7830" s="27" t="s">
        <v>34749</v>
      </c>
      <c r="D7830" s="28" t="s">
        <v>34867</v>
      </c>
      <c r="P7830">
        <v>8929</v>
      </c>
      <c r="Q7830" t="s">
        <v>11065</v>
      </c>
      <c r="R7830" s="28" t="s">
        <v>11066</v>
      </c>
      <c r="S7830" t="s">
        <v>13022</v>
      </c>
    </row>
    <row r="7831" spans="1:19" x14ac:dyDescent="0.25">
      <c r="A7831" s="27" t="s">
        <v>193</v>
      </c>
      <c r="C7831" s="27" t="s">
        <v>34749</v>
      </c>
      <c r="D7831" s="28" t="s">
        <v>34867</v>
      </c>
      <c r="P7831">
        <v>8930</v>
      </c>
      <c r="Q7831" t="s">
        <v>11098</v>
      </c>
      <c r="R7831" s="28" t="s">
        <v>11099</v>
      </c>
      <c r="S7831" t="s">
        <v>13022</v>
      </c>
    </row>
    <row r="7832" spans="1:19" x14ac:dyDescent="0.25">
      <c r="A7832" s="27" t="s">
        <v>193</v>
      </c>
      <c r="C7832" s="27" t="s">
        <v>34749</v>
      </c>
      <c r="D7832" s="28" t="s">
        <v>34867</v>
      </c>
      <c r="P7832">
        <v>8931</v>
      </c>
      <c r="Q7832" t="s">
        <v>11104</v>
      </c>
      <c r="R7832" s="28" t="s">
        <v>11105</v>
      </c>
      <c r="S7832" t="s">
        <v>13022</v>
      </c>
    </row>
    <row r="7833" spans="1:19" x14ac:dyDescent="0.25">
      <c r="A7833" s="27" t="s">
        <v>193</v>
      </c>
      <c r="C7833" s="27" t="s">
        <v>34749</v>
      </c>
      <c r="D7833" s="28" t="s">
        <v>34867</v>
      </c>
      <c r="P7833">
        <v>8932</v>
      </c>
      <c r="Q7833" t="s">
        <v>11113</v>
      </c>
      <c r="R7833" s="28" t="s">
        <v>11114</v>
      </c>
      <c r="S7833" t="s">
        <v>13022</v>
      </c>
    </row>
    <row r="7834" spans="1:19" x14ac:dyDescent="0.25">
      <c r="A7834" s="27" t="s">
        <v>193</v>
      </c>
      <c r="C7834" s="27" t="s">
        <v>34749</v>
      </c>
      <c r="D7834" s="28" t="s">
        <v>34867</v>
      </c>
      <c r="P7834">
        <v>8933</v>
      </c>
      <c r="Q7834" t="s">
        <v>15442</v>
      </c>
      <c r="R7834" s="28" t="s">
        <v>15443</v>
      </c>
      <c r="S7834" t="s">
        <v>13022</v>
      </c>
    </row>
    <row r="7835" spans="1:19" x14ac:dyDescent="0.25">
      <c r="A7835" s="27" t="s">
        <v>193</v>
      </c>
      <c r="C7835" s="27" t="s">
        <v>34749</v>
      </c>
      <c r="D7835" s="28" t="s">
        <v>34867</v>
      </c>
      <c r="P7835">
        <v>8934</v>
      </c>
      <c r="Q7835" t="s">
        <v>11131</v>
      </c>
      <c r="R7835" s="28" t="s">
        <v>11132</v>
      </c>
      <c r="S7835" t="s">
        <v>13022</v>
      </c>
    </row>
    <row r="7836" spans="1:19" x14ac:dyDescent="0.25">
      <c r="A7836" s="27" t="s">
        <v>193</v>
      </c>
      <c r="C7836" s="27" t="s">
        <v>34749</v>
      </c>
      <c r="D7836" s="28" t="s">
        <v>34867</v>
      </c>
      <c r="P7836">
        <v>8935</v>
      </c>
      <c r="Q7836" t="s">
        <v>15444</v>
      </c>
      <c r="R7836" s="28" t="s">
        <v>11129</v>
      </c>
      <c r="S7836" t="s">
        <v>13022</v>
      </c>
    </row>
    <row r="7837" spans="1:19" x14ac:dyDescent="0.25">
      <c r="A7837" s="27" t="s">
        <v>193</v>
      </c>
      <c r="C7837" s="27" t="s">
        <v>34749</v>
      </c>
      <c r="D7837" s="28" t="s">
        <v>34867</v>
      </c>
      <c r="P7837">
        <v>8936</v>
      </c>
      <c r="Q7837" t="s">
        <v>11134</v>
      </c>
      <c r="R7837" s="28" t="s">
        <v>11135</v>
      </c>
      <c r="S7837" t="s">
        <v>13022</v>
      </c>
    </row>
    <row r="7838" spans="1:19" x14ac:dyDescent="0.25">
      <c r="A7838" s="27" t="s">
        <v>193</v>
      </c>
      <c r="C7838" s="27" t="s">
        <v>34749</v>
      </c>
      <c r="D7838" s="28" t="s">
        <v>34867</v>
      </c>
      <c r="P7838">
        <v>8937</v>
      </c>
      <c r="Q7838" t="s">
        <v>11155</v>
      </c>
      <c r="R7838" s="28" t="s">
        <v>15445</v>
      </c>
      <c r="S7838" t="s">
        <v>13022</v>
      </c>
    </row>
    <row r="7839" spans="1:19" x14ac:dyDescent="0.25">
      <c r="A7839" s="27" t="s">
        <v>193</v>
      </c>
      <c r="C7839" s="27" t="s">
        <v>34749</v>
      </c>
      <c r="D7839" s="28" t="s">
        <v>34867</v>
      </c>
      <c r="P7839">
        <v>8938</v>
      </c>
      <c r="Q7839" t="s">
        <v>11182</v>
      </c>
      <c r="R7839" s="28" t="s">
        <v>11183</v>
      </c>
      <c r="S7839" t="s">
        <v>13022</v>
      </c>
    </row>
    <row r="7840" spans="1:19" x14ac:dyDescent="0.25">
      <c r="A7840" s="27" t="s">
        <v>193</v>
      </c>
      <c r="C7840" s="27" t="s">
        <v>34749</v>
      </c>
      <c r="D7840" s="28" t="s">
        <v>34867</v>
      </c>
      <c r="P7840">
        <v>8939</v>
      </c>
      <c r="Q7840" t="s">
        <v>15446</v>
      </c>
      <c r="R7840" s="28" t="s">
        <v>11213</v>
      </c>
      <c r="S7840" t="s">
        <v>13022</v>
      </c>
    </row>
    <row r="7841" spans="1:19" x14ac:dyDescent="0.25">
      <c r="A7841" s="27" t="s">
        <v>193</v>
      </c>
      <c r="C7841" s="27" t="s">
        <v>34749</v>
      </c>
      <c r="D7841" s="28" t="s">
        <v>34867</v>
      </c>
      <c r="P7841">
        <v>8940</v>
      </c>
      <c r="Q7841" t="s">
        <v>15447</v>
      </c>
      <c r="R7841" s="28" t="s">
        <v>11168</v>
      </c>
      <c r="S7841" t="s">
        <v>13022</v>
      </c>
    </row>
    <row r="7842" spans="1:19" x14ac:dyDescent="0.25">
      <c r="A7842" s="27" t="s">
        <v>193</v>
      </c>
      <c r="C7842" s="27" t="s">
        <v>34749</v>
      </c>
      <c r="D7842" s="28" t="s">
        <v>34867</v>
      </c>
      <c r="P7842">
        <v>8941</v>
      </c>
      <c r="Q7842" t="s">
        <v>11170</v>
      </c>
      <c r="R7842" s="28" t="s">
        <v>11171</v>
      </c>
      <c r="S7842" t="s">
        <v>13022</v>
      </c>
    </row>
    <row r="7843" spans="1:19" x14ac:dyDescent="0.25">
      <c r="A7843" s="27" t="s">
        <v>193</v>
      </c>
      <c r="C7843" s="27" t="s">
        <v>34749</v>
      </c>
      <c r="D7843" s="28" t="s">
        <v>34867</v>
      </c>
      <c r="P7843">
        <v>8942</v>
      </c>
      <c r="Q7843" t="s">
        <v>11077</v>
      </c>
      <c r="R7843" s="28" t="s">
        <v>11078</v>
      </c>
      <c r="S7843" t="s">
        <v>13022</v>
      </c>
    </row>
    <row r="7844" spans="1:19" x14ac:dyDescent="0.25">
      <c r="A7844" s="27" t="s">
        <v>193</v>
      </c>
      <c r="C7844" s="27" t="s">
        <v>34749</v>
      </c>
      <c r="D7844" s="28" t="s">
        <v>34867</v>
      </c>
      <c r="P7844">
        <v>8943</v>
      </c>
      <c r="Q7844" t="s">
        <v>11191</v>
      </c>
      <c r="R7844" s="28" t="s">
        <v>11192</v>
      </c>
      <c r="S7844" t="s">
        <v>13022</v>
      </c>
    </row>
    <row r="7845" spans="1:19" x14ac:dyDescent="0.25">
      <c r="A7845" s="27" t="s">
        <v>193</v>
      </c>
      <c r="C7845" s="27" t="s">
        <v>34749</v>
      </c>
      <c r="D7845" s="28" t="s">
        <v>34867</v>
      </c>
      <c r="P7845">
        <v>8944</v>
      </c>
      <c r="Q7845" t="s">
        <v>11203</v>
      </c>
      <c r="R7845" s="28" t="s">
        <v>11204</v>
      </c>
      <c r="S7845" t="s">
        <v>13022</v>
      </c>
    </row>
    <row r="7846" spans="1:19" x14ac:dyDescent="0.25">
      <c r="A7846" s="27" t="s">
        <v>193</v>
      </c>
      <c r="C7846" s="27" t="s">
        <v>34749</v>
      </c>
      <c r="D7846" s="28" t="s">
        <v>34867</v>
      </c>
      <c r="P7846">
        <v>8945</v>
      </c>
      <c r="Q7846" t="s">
        <v>15448</v>
      </c>
      <c r="R7846" s="28" t="s">
        <v>15449</v>
      </c>
      <c r="S7846" t="s">
        <v>13022</v>
      </c>
    </row>
    <row r="7847" spans="1:19" x14ac:dyDescent="0.25">
      <c r="A7847" s="27" t="s">
        <v>193</v>
      </c>
      <c r="C7847" s="27" t="s">
        <v>34749</v>
      </c>
      <c r="D7847" s="28" t="s">
        <v>34867</v>
      </c>
      <c r="P7847">
        <v>8946</v>
      </c>
      <c r="Q7847" t="s">
        <v>11242</v>
      </c>
      <c r="R7847" s="28" t="s">
        <v>11243</v>
      </c>
      <c r="S7847" t="s">
        <v>13022</v>
      </c>
    </row>
    <row r="7848" spans="1:19" x14ac:dyDescent="0.25">
      <c r="A7848" s="27" t="s">
        <v>193</v>
      </c>
      <c r="C7848" s="27" t="s">
        <v>34749</v>
      </c>
      <c r="D7848" s="28" t="s">
        <v>34867</v>
      </c>
      <c r="P7848">
        <v>8947</v>
      </c>
      <c r="Q7848" t="s">
        <v>11251</v>
      </c>
      <c r="R7848" s="28" t="s">
        <v>11252</v>
      </c>
      <c r="S7848" t="s">
        <v>13022</v>
      </c>
    </row>
    <row r="7849" spans="1:19" x14ac:dyDescent="0.25">
      <c r="A7849" s="27" t="s">
        <v>193</v>
      </c>
      <c r="C7849" s="27" t="s">
        <v>34749</v>
      </c>
      <c r="D7849" s="28" t="s">
        <v>34867</v>
      </c>
      <c r="P7849">
        <v>8948</v>
      </c>
      <c r="Q7849" t="s">
        <v>11756</v>
      </c>
      <c r="R7849" s="28" t="s">
        <v>11757</v>
      </c>
      <c r="S7849" t="s">
        <v>13022</v>
      </c>
    </row>
    <row r="7850" spans="1:19" x14ac:dyDescent="0.25">
      <c r="A7850" s="27" t="s">
        <v>193</v>
      </c>
      <c r="C7850" s="27" t="s">
        <v>34749</v>
      </c>
      <c r="D7850" s="28" t="s">
        <v>34867</v>
      </c>
      <c r="P7850">
        <v>8949</v>
      </c>
      <c r="Q7850" t="s">
        <v>11759</v>
      </c>
      <c r="R7850" s="28" t="s">
        <v>11760</v>
      </c>
      <c r="S7850" t="s">
        <v>13022</v>
      </c>
    </row>
    <row r="7851" spans="1:19" x14ac:dyDescent="0.25">
      <c r="A7851" s="27" t="s">
        <v>193</v>
      </c>
      <c r="C7851" s="27" t="s">
        <v>34749</v>
      </c>
      <c r="D7851" s="28" t="s">
        <v>34867</v>
      </c>
      <c r="P7851">
        <v>8950</v>
      </c>
      <c r="Q7851" t="s">
        <v>11826</v>
      </c>
      <c r="R7851" s="28" t="s">
        <v>11827</v>
      </c>
      <c r="S7851" t="s">
        <v>13022</v>
      </c>
    </row>
    <row r="7852" spans="1:19" x14ac:dyDescent="0.25">
      <c r="A7852" s="27" t="s">
        <v>193</v>
      </c>
      <c r="C7852" s="27" t="s">
        <v>34749</v>
      </c>
      <c r="D7852" s="28" t="s">
        <v>34867</v>
      </c>
      <c r="P7852">
        <v>8951</v>
      </c>
      <c r="Q7852" t="s">
        <v>11832</v>
      </c>
      <c r="R7852" s="28" t="s">
        <v>11833</v>
      </c>
      <c r="S7852" t="s">
        <v>13022</v>
      </c>
    </row>
    <row r="7853" spans="1:19" x14ac:dyDescent="0.25">
      <c r="A7853" s="27" t="s">
        <v>193</v>
      </c>
      <c r="C7853" s="27" t="s">
        <v>34749</v>
      </c>
      <c r="D7853" s="28" t="s">
        <v>34867</v>
      </c>
      <c r="P7853">
        <v>8952</v>
      </c>
      <c r="Q7853" t="s">
        <v>15450</v>
      </c>
      <c r="R7853" s="28" t="s">
        <v>15451</v>
      </c>
      <c r="S7853" t="s">
        <v>13022</v>
      </c>
    </row>
    <row r="7854" spans="1:19" x14ac:dyDescent="0.25">
      <c r="A7854" s="27" t="s">
        <v>193</v>
      </c>
      <c r="C7854" s="27" t="s">
        <v>34749</v>
      </c>
      <c r="D7854" s="28" t="s">
        <v>34867</v>
      </c>
      <c r="P7854">
        <v>8953</v>
      </c>
      <c r="Q7854" t="s">
        <v>11829</v>
      </c>
      <c r="R7854" s="28" t="s">
        <v>11830</v>
      </c>
      <c r="S7854" t="s">
        <v>13022</v>
      </c>
    </row>
    <row r="7855" spans="1:19" x14ac:dyDescent="0.25">
      <c r="A7855" s="27" t="s">
        <v>193</v>
      </c>
      <c r="C7855" s="27" t="s">
        <v>34749</v>
      </c>
      <c r="D7855" s="28" t="s">
        <v>34867</v>
      </c>
      <c r="P7855">
        <v>8954</v>
      </c>
      <c r="Q7855" t="s">
        <v>15452</v>
      </c>
      <c r="R7855" s="28" t="s">
        <v>15453</v>
      </c>
      <c r="S7855" t="s">
        <v>13022</v>
      </c>
    </row>
    <row r="7856" spans="1:19" x14ac:dyDescent="0.25">
      <c r="A7856" s="27" t="s">
        <v>193</v>
      </c>
      <c r="C7856" s="27" t="s">
        <v>34749</v>
      </c>
      <c r="D7856" s="28" t="s">
        <v>34867</v>
      </c>
      <c r="P7856">
        <v>8955</v>
      </c>
      <c r="Q7856" t="s">
        <v>15454</v>
      </c>
      <c r="R7856" s="28" t="s">
        <v>15455</v>
      </c>
      <c r="S7856" t="s">
        <v>13022</v>
      </c>
    </row>
    <row r="7857" spans="1:19" x14ac:dyDescent="0.25">
      <c r="A7857" s="27" t="s">
        <v>193</v>
      </c>
      <c r="C7857" s="27" t="s">
        <v>34749</v>
      </c>
      <c r="D7857" s="28" t="s">
        <v>34867</v>
      </c>
      <c r="P7857">
        <v>8956</v>
      </c>
      <c r="Q7857" t="s">
        <v>11835</v>
      </c>
      <c r="R7857" s="28" t="s">
        <v>11836</v>
      </c>
      <c r="S7857" t="s">
        <v>13022</v>
      </c>
    </row>
    <row r="7858" spans="1:19" x14ac:dyDescent="0.25">
      <c r="A7858" s="27" t="s">
        <v>193</v>
      </c>
      <c r="C7858" s="27" t="s">
        <v>34749</v>
      </c>
      <c r="D7858" s="28" t="s">
        <v>34867</v>
      </c>
      <c r="P7858">
        <v>8957</v>
      </c>
      <c r="Q7858" t="s">
        <v>15456</v>
      </c>
      <c r="R7858" s="28" t="s">
        <v>15457</v>
      </c>
      <c r="S7858" t="s">
        <v>13022</v>
      </c>
    </row>
    <row r="7859" spans="1:19" x14ac:dyDescent="0.25">
      <c r="A7859" s="27" t="s">
        <v>193</v>
      </c>
      <c r="C7859" s="27" t="s">
        <v>34749</v>
      </c>
      <c r="D7859" s="28" t="s">
        <v>34867</v>
      </c>
      <c r="P7859">
        <v>8958</v>
      </c>
      <c r="Q7859" t="s">
        <v>11921</v>
      </c>
      <c r="R7859" s="28" t="s">
        <v>11922</v>
      </c>
      <c r="S7859" t="s">
        <v>13022</v>
      </c>
    </row>
    <row r="7860" spans="1:19" x14ac:dyDescent="0.25">
      <c r="A7860" s="27" t="s">
        <v>193</v>
      </c>
      <c r="C7860" s="27" t="s">
        <v>34749</v>
      </c>
      <c r="D7860" s="28" t="s">
        <v>34867</v>
      </c>
      <c r="P7860">
        <v>8959</v>
      </c>
      <c r="Q7860" t="s">
        <v>11990</v>
      </c>
      <c r="R7860" s="28" t="s">
        <v>11991</v>
      </c>
      <c r="S7860" t="s">
        <v>13022</v>
      </c>
    </row>
    <row r="7861" spans="1:19" x14ac:dyDescent="0.25">
      <c r="A7861" s="27" t="s">
        <v>193</v>
      </c>
      <c r="C7861" s="27" t="s">
        <v>34749</v>
      </c>
      <c r="D7861" s="28" t="s">
        <v>34867</v>
      </c>
      <c r="P7861">
        <v>8960</v>
      </c>
      <c r="Q7861" t="s">
        <v>7426</v>
      </c>
      <c r="R7861" s="28" t="s">
        <v>7427</v>
      </c>
      <c r="S7861" t="s">
        <v>13022</v>
      </c>
    </row>
    <row r="7862" spans="1:19" x14ac:dyDescent="0.25">
      <c r="A7862" s="27" t="s">
        <v>193</v>
      </c>
      <c r="C7862" s="27" t="s">
        <v>34749</v>
      </c>
      <c r="D7862" s="28" t="s">
        <v>34867</v>
      </c>
      <c r="P7862">
        <v>8961</v>
      </c>
      <c r="Q7862" t="s">
        <v>15458</v>
      </c>
      <c r="R7862" s="28" t="s">
        <v>15459</v>
      </c>
      <c r="S7862" t="s">
        <v>13022</v>
      </c>
    </row>
    <row r="7863" spans="1:19" x14ac:dyDescent="0.25">
      <c r="A7863" s="27" t="s">
        <v>193</v>
      </c>
      <c r="C7863" s="27" t="s">
        <v>34749</v>
      </c>
      <c r="D7863" s="28" t="s">
        <v>34867</v>
      </c>
      <c r="P7863">
        <v>8962</v>
      </c>
      <c r="Q7863" t="s">
        <v>12118</v>
      </c>
      <c r="R7863" s="28" t="s">
        <v>12119</v>
      </c>
      <c r="S7863" t="s">
        <v>13022</v>
      </c>
    </row>
    <row r="7864" spans="1:19" x14ac:dyDescent="0.25">
      <c r="A7864" s="27" t="s">
        <v>193</v>
      </c>
      <c r="C7864" s="27" t="s">
        <v>34749</v>
      </c>
      <c r="D7864" s="28" t="s">
        <v>34867</v>
      </c>
      <c r="P7864">
        <v>8963</v>
      </c>
      <c r="Q7864" t="s">
        <v>12074</v>
      </c>
      <c r="R7864" s="28" t="s">
        <v>12075</v>
      </c>
      <c r="S7864" t="s">
        <v>13022</v>
      </c>
    </row>
    <row r="7865" spans="1:19" x14ac:dyDescent="0.25">
      <c r="A7865" s="27" t="s">
        <v>193</v>
      </c>
      <c r="C7865" s="27" t="s">
        <v>34749</v>
      </c>
      <c r="D7865" s="28" t="s">
        <v>34867</v>
      </c>
      <c r="P7865">
        <v>8964</v>
      </c>
      <c r="Q7865" t="s">
        <v>15460</v>
      </c>
      <c r="R7865" s="28" t="s">
        <v>7657</v>
      </c>
      <c r="S7865" t="s">
        <v>13022</v>
      </c>
    </row>
    <row r="7866" spans="1:19" x14ac:dyDescent="0.25">
      <c r="A7866" s="27" t="s">
        <v>193</v>
      </c>
      <c r="C7866" s="27" t="s">
        <v>34749</v>
      </c>
      <c r="D7866" s="28" t="s">
        <v>34867</v>
      </c>
      <c r="P7866">
        <v>8965</v>
      </c>
      <c r="Q7866" t="s">
        <v>7671</v>
      </c>
      <c r="R7866" s="28" t="s">
        <v>7672</v>
      </c>
      <c r="S7866" t="s">
        <v>13022</v>
      </c>
    </row>
    <row r="7867" spans="1:19" x14ac:dyDescent="0.25">
      <c r="A7867" s="27" t="s">
        <v>193</v>
      </c>
      <c r="C7867" s="27" t="s">
        <v>34749</v>
      </c>
      <c r="D7867" s="28" t="s">
        <v>34867</v>
      </c>
      <c r="P7867">
        <v>8966</v>
      </c>
      <c r="Q7867" t="s">
        <v>15461</v>
      </c>
      <c r="R7867" s="28" t="s">
        <v>7681</v>
      </c>
      <c r="S7867" t="s">
        <v>13022</v>
      </c>
    </row>
    <row r="7868" spans="1:19" x14ac:dyDescent="0.25">
      <c r="A7868" s="27" t="s">
        <v>193</v>
      </c>
      <c r="C7868" s="27" t="s">
        <v>34749</v>
      </c>
      <c r="D7868" s="28" t="s">
        <v>34867</v>
      </c>
      <c r="P7868">
        <v>8967</v>
      </c>
      <c r="Q7868" t="s">
        <v>7755</v>
      </c>
      <c r="R7868" s="28" t="s">
        <v>7756</v>
      </c>
      <c r="S7868" t="s">
        <v>13022</v>
      </c>
    </row>
    <row r="7869" spans="1:19" x14ac:dyDescent="0.25">
      <c r="A7869" s="27" t="s">
        <v>193</v>
      </c>
      <c r="C7869" s="27" t="s">
        <v>34749</v>
      </c>
      <c r="D7869" s="28" t="s">
        <v>34867</v>
      </c>
      <c r="P7869">
        <v>8968</v>
      </c>
      <c r="Q7869" t="s">
        <v>7840</v>
      </c>
      <c r="R7869" s="28" t="s">
        <v>7841</v>
      </c>
      <c r="S7869" t="s">
        <v>13022</v>
      </c>
    </row>
    <row r="7870" spans="1:19" x14ac:dyDescent="0.25">
      <c r="A7870" s="27" t="s">
        <v>193</v>
      </c>
      <c r="C7870" s="27" t="s">
        <v>34749</v>
      </c>
      <c r="D7870" s="28" t="s">
        <v>34867</v>
      </c>
      <c r="P7870">
        <v>8969</v>
      </c>
      <c r="Q7870" t="s">
        <v>7863</v>
      </c>
      <c r="R7870" s="28" t="s">
        <v>7864</v>
      </c>
      <c r="S7870" t="s">
        <v>13022</v>
      </c>
    </row>
    <row r="7871" spans="1:19" x14ac:dyDescent="0.25">
      <c r="A7871" s="27" t="s">
        <v>193</v>
      </c>
      <c r="C7871" s="27" t="s">
        <v>34749</v>
      </c>
      <c r="D7871" s="28" t="s">
        <v>34867</v>
      </c>
      <c r="P7871">
        <v>8970</v>
      </c>
      <c r="Q7871" t="s">
        <v>15462</v>
      </c>
      <c r="R7871" s="28" t="s">
        <v>15463</v>
      </c>
      <c r="S7871" t="s">
        <v>13022</v>
      </c>
    </row>
    <row r="7872" spans="1:19" x14ac:dyDescent="0.25">
      <c r="A7872" s="27" t="s">
        <v>193</v>
      </c>
      <c r="C7872" s="27" t="s">
        <v>34749</v>
      </c>
      <c r="D7872" s="28" t="s">
        <v>34867</v>
      </c>
      <c r="P7872">
        <v>9002</v>
      </c>
      <c r="Q7872" t="s">
        <v>15464</v>
      </c>
      <c r="R7872" s="28" t="s">
        <v>15465</v>
      </c>
      <c r="S7872" t="s">
        <v>13022</v>
      </c>
    </row>
    <row r="7873" spans="1:19" x14ac:dyDescent="0.25">
      <c r="A7873" s="27" t="s">
        <v>193</v>
      </c>
      <c r="C7873" s="27" t="s">
        <v>34749</v>
      </c>
      <c r="D7873" s="28" t="s">
        <v>34867</v>
      </c>
      <c r="P7873">
        <v>9003</v>
      </c>
      <c r="Q7873" t="s">
        <v>9960</v>
      </c>
      <c r="R7873" s="28" t="s">
        <v>9961</v>
      </c>
      <c r="S7873" t="s">
        <v>13022</v>
      </c>
    </row>
    <row r="7874" spans="1:19" x14ac:dyDescent="0.25">
      <c r="A7874" s="27" t="s">
        <v>193</v>
      </c>
      <c r="C7874" s="27" t="s">
        <v>34749</v>
      </c>
      <c r="D7874" s="28" t="s">
        <v>34867</v>
      </c>
      <c r="P7874">
        <v>9004</v>
      </c>
      <c r="Q7874" t="s">
        <v>15466</v>
      </c>
      <c r="S7874" t="s">
        <v>13022</v>
      </c>
    </row>
    <row r="7875" spans="1:19" x14ac:dyDescent="0.25">
      <c r="A7875" s="27" t="s">
        <v>193</v>
      </c>
      <c r="C7875" s="27" t="s">
        <v>34749</v>
      </c>
      <c r="D7875" s="28" t="s">
        <v>34867</v>
      </c>
      <c r="P7875">
        <v>9005</v>
      </c>
      <c r="Q7875" t="s">
        <v>15467</v>
      </c>
      <c r="R7875" s="28" t="s">
        <v>15468</v>
      </c>
      <c r="S7875" t="s">
        <v>13022</v>
      </c>
    </row>
    <row r="7876" spans="1:19" x14ac:dyDescent="0.25">
      <c r="A7876" s="27" t="s">
        <v>193</v>
      </c>
      <c r="C7876" s="27" t="s">
        <v>34749</v>
      </c>
      <c r="D7876" s="28" t="s">
        <v>34867</v>
      </c>
      <c r="P7876">
        <v>9006</v>
      </c>
      <c r="Q7876" t="s">
        <v>15469</v>
      </c>
      <c r="S7876" t="s">
        <v>13022</v>
      </c>
    </row>
    <row r="7877" spans="1:19" x14ac:dyDescent="0.25">
      <c r="A7877" s="27" t="s">
        <v>193</v>
      </c>
      <c r="C7877" s="27" t="s">
        <v>34749</v>
      </c>
      <c r="D7877" s="28" t="s">
        <v>34867</v>
      </c>
      <c r="P7877">
        <v>9007</v>
      </c>
      <c r="Q7877" t="s">
        <v>15470</v>
      </c>
      <c r="R7877" s="28" t="s">
        <v>12018</v>
      </c>
      <c r="S7877" t="s">
        <v>13022</v>
      </c>
    </row>
    <row r="7878" spans="1:19" x14ac:dyDescent="0.25">
      <c r="A7878" s="27" t="s">
        <v>193</v>
      </c>
      <c r="C7878" s="27" t="s">
        <v>34749</v>
      </c>
      <c r="D7878" s="28" t="s">
        <v>34867</v>
      </c>
      <c r="P7878">
        <v>9008</v>
      </c>
      <c r="Q7878" t="s">
        <v>12157</v>
      </c>
      <c r="R7878" s="28" t="s">
        <v>12158</v>
      </c>
      <c r="S7878" t="s">
        <v>13022</v>
      </c>
    </row>
    <row r="7879" spans="1:19" x14ac:dyDescent="0.25">
      <c r="A7879" s="27" t="s">
        <v>193</v>
      </c>
      <c r="C7879" s="27" t="s">
        <v>34749</v>
      </c>
      <c r="D7879" s="28" t="s">
        <v>34867</v>
      </c>
      <c r="P7879">
        <v>9009</v>
      </c>
      <c r="Q7879" t="s">
        <v>8166</v>
      </c>
      <c r="R7879" s="28" t="s">
        <v>8167</v>
      </c>
      <c r="S7879" t="s">
        <v>13022</v>
      </c>
    </row>
    <row r="7880" spans="1:19" x14ac:dyDescent="0.25">
      <c r="A7880" s="27" t="s">
        <v>193</v>
      </c>
      <c r="C7880" s="27" t="s">
        <v>34749</v>
      </c>
      <c r="D7880" s="28" t="s">
        <v>34867</v>
      </c>
      <c r="P7880">
        <v>9010</v>
      </c>
      <c r="Q7880" t="s">
        <v>15471</v>
      </c>
      <c r="R7880" s="28" t="s">
        <v>15472</v>
      </c>
      <c r="S7880" t="s">
        <v>13022</v>
      </c>
    </row>
    <row r="7881" spans="1:19" x14ac:dyDescent="0.25">
      <c r="A7881" s="27" t="s">
        <v>193</v>
      </c>
      <c r="C7881" s="27" t="s">
        <v>34749</v>
      </c>
      <c r="D7881" s="28" t="s">
        <v>34867</v>
      </c>
      <c r="P7881">
        <v>9011</v>
      </c>
      <c r="Q7881" t="s">
        <v>15473</v>
      </c>
      <c r="R7881" s="28" t="s">
        <v>4648</v>
      </c>
      <c r="S7881" t="s">
        <v>13022</v>
      </c>
    </row>
    <row r="7882" spans="1:19" x14ac:dyDescent="0.25">
      <c r="A7882" s="27" t="s">
        <v>193</v>
      </c>
      <c r="C7882" s="27" t="s">
        <v>34749</v>
      </c>
      <c r="D7882" s="28" t="s">
        <v>34867</v>
      </c>
      <c r="P7882">
        <v>9012</v>
      </c>
      <c r="Q7882" t="s">
        <v>15474</v>
      </c>
      <c r="R7882" s="28" t="s">
        <v>4651</v>
      </c>
      <c r="S7882" t="s">
        <v>13022</v>
      </c>
    </row>
    <row r="7883" spans="1:19" x14ac:dyDescent="0.25">
      <c r="A7883" s="27" t="s">
        <v>193</v>
      </c>
      <c r="C7883" s="27" t="s">
        <v>34749</v>
      </c>
      <c r="D7883" s="28" t="s">
        <v>34867</v>
      </c>
      <c r="P7883">
        <v>9013</v>
      </c>
      <c r="Q7883" t="s">
        <v>15475</v>
      </c>
      <c r="R7883" s="28" t="s">
        <v>10538</v>
      </c>
      <c r="S7883" t="s">
        <v>13022</v>
      </c>
    </row>
    <row r="7884" spans="1:19" x14ac:dyDescent="0.25">
      <c r="A7884" s="27" t="s">
        <v>193</v>
      </c>
      <c r="C7884" s="27" t="s">
        <v>34749</v>
      </c>
      <c r="D7884" s="28" t="s">
        <v>34867</v>
      </c>
      <c r="P7884">
        <v>9014</v>
      </c>
      <c r="Q7884" t="s">
        <v>15476</v>
      </c>
      <c r="R7884" s="28" t="s">
        <v>10541</v>
      </c>
      <c r="S7884" t="s">
        <v>13022</v>
      </c>
    </row>
    <row r="7885" spans="1:19" x14ac:dyDescent="0.25">
      <c r="A7885" s="27" t="s">
        <v>193</v>
      </c>
      <c r="C7885" s="27" t="s">
        <v>34749</v>
      </c>
      <c r="D7885" s="28" t="s">
        <v>34867</v>
      </c>
      <c r="P7885">
        <v>9015</v>
      </c>
      <c r="Q7885" t="s">
        <v>15477</v>
      </c>
      <c r="R7885" s="28" t="s">
        <v>15478</v>
      </c>
      <c r="S7885" t="s">
        <v>13022</v>
      </c>
    </row>
    <row r="7886" spans="1:19" x14ac:dyDescent="0.25">
      <c r="A7886" s="27" t="s">
        <v>193</v>
      </c>
      <c r="C7886" s="27" t="s">
        <v>34749</v>
      </c>
      <c r="D7886" s="28" t="s">
        <v>34867</v>
      </c>
      <c r="P7886">
        <v>9016</v>
      </c>
      <c r="Q7886" t="s">
        <v>15479</v>
      </c>
      <c r="S7886" t="s">
        <v>13022</v>
      </c>
    </row>
    <row r="7887" spans="1:19" x14ac:dyDescent="0.25">
      <c r="A7887" s="27" t="s">
        <v>193</v>
      </c>
      <c r="C7887" s="27" t="s">
        <v>34749</v>
      </c>
      <c r="D7887" s="28" t="s">
        <v>34867</v>
      </c>
      <c r="P7887">
        <v>9017</v>
      </c>
      <c r="Q7887" t="s">
        <v>15480</v>
      </c>
      <c r="S7887" t="s">
        <v>13022</v>
      </c>
    </row>
    <row r="7888" spans="1:19" x14ac:dyDescent="0.25">
      <c r="A7888" s="27" t="s">
        <v>193</v>
      </c>
      <c r="C7888" s="27" t="s">
        <v>34749</v>
      </c>
      <c r="D7888" s="28" t="s">
        <v>34867</v>
      </c>
      <c r="P7888">
        <v>9018</v>
      </c>
      <c r="Q7888" t="s">
        <v>11206</v>
      </c>
      <c r="R7888" s="28" t="s">
        <v>11207</v>
      </c>
      <c r="S7888" t="s">
        <v>13022</v>
      </c>
    </row>
    <row r="7889" spans="1:19" x14ac:dyDescent="0.25">
      <c r="A7889" s="27" t="s">
        <v>193</v>
      </c>
      <c r="C7889" s="27" t="s">
        <v>34749</v>
      </c>
      <c r="D7889" s="28" t="s">
        <v>34867</v>
      </c>
      <c r="P7889">
        <v>9019</v>
      </c>
      <c r="Q7889" t="s">
        <v>11233</v>
      </c>
      <c r="R7889" s="28" t="s">
        <v>11234</v>
      </c>
      <c r="S7889" t="s">
        <v>13022</v>
      </c>
    </row>
    <row r="7890" spans="1:19" x14ac:dyDescent="0.25">
      <c r="A7890" s="27" t="s">
        <v>193</v>
      </c>
      <c r="C7890" s="27" t="s">
        <v>34749</v>
      </c>
      <c r="D7890" s="28" t="s">
        <v>34867</v>
      </c>
      <c r="P7890">
        <v>9020</v>
      </c>
      <c r="Q7890" t="s">
        <v>11248</v>
      </c>
      <c r="R7890" s="28" t="s">
        <v>11249</v>
      </c>
      <c r="S7890" t="s">
        <v>13022</v>
      </c>
    </row>
    <row r="7891" spans="1:19" x14ac:dyDescent="0.25">
      <c r="A7891" s="27" t="s">
        <v>193</v>
      </c>
      <c r="C7891" s="27" t="s">
        <v>34749</v>
      </c>
      <c r="D7891" s="28" t="s">
        <v>34867</v>
      </c>
      <c r="P7891">
        <v>9021</v>
      </c>
      <c r="Q7891" t="s">
        <v>15481</v>
      </c>
      <c r="R7891" s="28" t="s">
        <v>9853</v>
      </c>
      <c r="S7891" t="s">
        <v>13022</v>
      </c>
    </row>
    <row r="7892" spans="1:19" x14ac:dyDescent="0.25">
      <c r="A7892" s="27" t="s">
        <v>193</v>
      </c>
      <c r="C7892" s="27" t="s">
        <v>34749</v>
      </c>
      <c r="D7892" s="28" t="s">
        <v>34867</v>
      </c>
      <c r="P7892">
        <v>9022</v>
      </c>
      <c r="Q7892" t="s">
        <v>15482</v>
      </c>
      <c r="R7892" s="28" t="s">
        <v>9760</v>
      </c>
      <c r="S7892" t="s">
        <v>13022</v>
      </c>
    </row>
    <row r="7893" spans="1:19" x14ac:dyDescent="0.25">
      <c r="A7893" s="27" t="s">
        <v>193</v>
      </c>
      <c r="C7893" s="27" t="s">
        <v>34749</v>
      </c>
      <c r="D7893" s="28" t="s">
        <v>34867</v>
      </c>
      <c r="P7893">
        <v>9025</v>
      </c>
      <c r="Q7893" t="s">
        <v>3825</v>
      </c>
      <c r="R7893" s="28" t="s">
        <v>3826</v>
      </c>
      <c r="S7893" t="s">
        <v>13022</v>
      </c>
    </row>
    <row r="7894" spans="1:19" x14ac:dyDescent="0.25">
      <c r="A7894" s="27" t="s">
        <v>193</v>
      </c>
      <c r="C7894" s="27" t="s">
        <v>34749</v>
      </c>
      <c r="D7894" s="28" t="s">
        <v>34867</v>
      </c>
      <c r="P7894">
        <v>9026</v>
      </c>
      <c r="Q7894" t="s">
        <v>15483</v>
      </c>
      <c r="R7894" s="28" t="s">
        <v>15484</v>
      </c>
      <c r="S7894" t="s">
        <v>13022</v>
      </c>
    </row>
    <row r="7895" spans="1:19" x14ac:dyDescent="0.25">
      <c r="A7895" s="27" t="s">
        <v>193</v>
      </c>
      <c r="C7895" s="27" t="s">
        <v>34749</v>
      </c>
      <c r="D7895" s="28" t="s">
        <v>34867</v>
      </c>
      <c r="P7895">
        <v>9027</v>
      </c>
      <c r="Q7895" t="s">
        <v>15485</v>
      </c>
      <c r="R7895" s="28" t="s">
        <v>15486</v>
      </c>
      <c r="S7895" t="s">
        <v>13022</v>
      </c>
    </row>
    <row r="7896" spans="1:19" x14ac:dyDescent="0.25">
      <c r="A7896" s="27" t="s">
        <v>193</v>
      </c>
      <c r="C7896" s="27" t="s">
        <v>34749</v>
      </c>
      <c r="D7896" s="28" t="s">
        <v>34867</v>
      </c>
      <c r="P7896">
        <v>9028</v>
      </c>
      <c r="Q7896" t="s">
        <v>15487</v>
      </c>
      <c r="R7896" s="28" t="s">
        <v>10583</v>
      </c>
      <c r="S7896" t="s">
        <v>13022</v>
      </c>
    </row>
    <row r="7897" spans="1:19" x14ac:dyDescent="0.25">
      <c r="A7897" s="27" t="s">
        <v>193</v>
      </c>
      <c r="C7897" s="27" t="s">
        <v>34749</v>
      </c>
      <c r="D7897" s="28" t="s">
        <v>34867</v>
      </c>
      <c r="P7897">
        <v>9029</v>
      </c>
      <c r="Q7897" t="s">
        <v>15488</v>
      </c>
      <c r="R7897" s="28" t="s">
        <v>10580</v>
      </c>
      <c r="S7897" t="s">
        <v>13022</v>
      </c>
    </row>
    <row r="7898" spans="1:19" x14ac:dyDescent="0.25">
      <c r="A7898" s="27" t="s">
        <v>193</v>
      </c>
      <c r="C7898" s="27" t="s">
        <v>34749</v>
      </c>
      <c r="D7898" s="28" t="s">
        <v>34867</v>
      </c>
      <c r="P7898">
        <v>9030</v>
      </c>
      <c r="Q7898" t="s">
        <v>15489</v>
      </c>
      <c r="R7898" s="28" t="s">
        <v>11731</v>
      </c>
      <c r="S7898" t="s">
        <v>13022</v>
      </c>
    </row>
    <row r="7899" spans="1:19" x14ac:dyDescent="0.25">
      <c r="A7899" s="27" t="s">
        <v>193</v>
      </c>
      <c r="C7899" s="27" t="s">
        <v>34749</v>
      </c>
      <c r="D7899" s="28" t="s">
        <v>34867</v>
      </c>
      <c r="P7899">
        <v>9031</v>
      </c>
      <c r="Q7899" t="s">
        <v>15490</v>
      </c>
      <c r="R7899" s="28" t="s">
        <v>10895</v>
      </c>
      <c r="S7899" t="s">
        <v>13022</v>
      </c>
    </row>
    <row r="7900" spans="1:19" x14ac:dyDescent="0.25">
      <c r="A7900" s="27" t="s">
        <v>193</v>
      </c>
      <c r="C7900" s="27" t="s">
        <v>34749</v>
      </c>
      <c r="D7900" s="28" t="s">
        <v>34867</v>
      </c>
      <c r="P7900">
        <v>9032</v>
      </c>
      <c r="Q7900" t="s">
        <v>15491</v>
      </c>
      <c r="R7900" s="28" t="s">
        <v>10024</v>
      </c>
      <c r="S7900" t="s">
        <v>13022</v>
      </c>
    </row>
    <row r="7901" spans="1:19" x14ac:dyDescent="0.25">
      <c r="A7901" s="27" t="s">
        <v>193</v>
      </c>
      <c r="C7901" s="27" t="s">
        <v>34749</v>
      </c>
      <c r="D7901" s="28" t="s">
        <v>34867</v>
      </c>
      <c r="P7901">
        <v>9033</v>
      </c>
      <c r="Q7901" t="s">
        <v>15492</v>
      </c>
      <c r="R7901" s="28" t="s">
        <v>9766</v>
      </c>
      <c r="S7901" t="s">
        <v>13022</v>
      </c>
    </row>
    <row r="7902" spans="1:19" x14ac:dyDescent="0.25">
      <c r="A7902" s="27" t="s">
        <v>193</v>
      </c>
      <c r="C7902" s="27" t="s">
        <v>34749</v>
      </c>
      <c r="D7902" s="28" t="s">
        <v>34867</v>
      </c>
      <c r="P7902">
        <v>9034</v>
      </c>
      <c r="Q7902" t="s">
        <v>15493</v>
      </c>
      <c r="R7902" s="28" t="s">
        <v>15494</v>
      </c>
      <c r="S7902" t="s">
        <v>13022</v>
      </c>
    </row>
    <row r="7903" spans="1:19" x14ac:dyDescent="0.25">
      <c r="A7903" s="27" t="s">
        <v>193</v>
      </c>
      <c r="C7903" s="27" t="s">
        <v>34749</v>
      </c>
      <c r="D7903" s="28" t="s">
        <v>34867</v>
      </c>
      <c r="P7903">
        <v>9035</v>
      </c>
      <c r="Q7903" t="s">
        <v>5426</v>
      </c>
      <c r="R7903" s="28" t="s">
        <v>5427</v>
      </c>
      <c r="S7903" t="s">
        <v>13022</v>
      </c>
    </row>
    <row r="7904" spans="1:19" x14ac:dyDescent="0.25">
      <c r="A7904" s="27" t="s">
        <v>193</v>
      </c>
      <c r="C7904" s="27" t="s">
        <v>34749</v>
      </c>
      <c r="D7904" s="28" t="s">
        <v>34867</v>
      </c>
      <c r="P7904">
        <v>9036</v>
      </c>
      <c r="Q7904" t="s">
        <v>15495</v>
      </c>
      <c r="R7904" s="28" t="s">
        <v>15496</v>
      </c>
      <c r="S7904" t="s">
        <v>13022</v>
      </c>
    </row>
    <row r="7905" spans="1:19" x14ac:dyDescent="0.25">
      <c r="A7905" s="27" t="s">
        <v>193</v>
      </c>
      <c r="C7905" s="27" t="s">
        <v>34749</v>
      </c>
      <c r="D7905" s="28" t="s">
        <v>34867</v>
      </c>
      <c r="P7905">
        <v>9037</v>
      </c>
      <c r="Q7905" t="s">
        <v>15497</v>
      </c>
      <c r="R7905" s="28" t="s">
        <v>15498</v>
      </c>
      <c r="S7905" t="s">
        <v>13022</v>
      </c>
    </row>
    <row r="7906" spans="1:19" x14ac:dyDescent="0.25">
      <c r="A7906" s="27" t="s">
        <v>193</v>
      </c>
      <c r="C7906" s="27" t="s">
        <v>34749</v>
      </c>
      <c r="D7906" s="28" t="s">
        <v>34867</v>
      </c>
      <c r="P7906">
        <v>9038</v>
      </c>
      <c r="Q7906" t="s">
        <v>15499</v>
      </c>
      <c r="R7906" s="28" t="s">
        <v>15500</v>
      </c>
      <c r="S7906" t="s">
        <v>13022</v>
      </c>
    </row>
    <row r="7907" spans="1:19" x14ac:dyDescent="0.25">
      <c r="A7907" s="27" t="s">
        <v>193</v>
      </c>
      <c r="C7907" s="27" t="s">
        <v>34749</v>
      </c>
      <c r="D7907" s="28" t="s">
        <v>34867</v>
      </c>
      <c r="P7907">
        <v>9039</v>
      </c>
      <c r="Q7907" t="s">
        <v>11041</v>
      </c>
      <c r="R7907" s="28" t="s">
        <v>11042</v>
      </c>
      <c r="S7907" t="s">
        <v>13022</v>
      </c>
    </row>
    <row r="7908" spans="1:19" x14ac:dyDescent="0.25">
      <c r="A7908" s="27" t="s">
        <v>193</v>
      </c>
      <c r="C7908" s="27" t="s">
        <v>34749</v>
      </c>
      <c r="D7908" s="28" t="s">
        <v>34867</v>
      </c>
      <c r="P7908">
        <v>9040</v>
      </c>
      <c r="Q7908" t="s">
        <v>15501</v>
      </c>
      <c r="R7908" s="28" t="s">
        <v>15502</v>
      </c>
      <c r="S7908" t="s">
        <v>13022</v>
      </c>
    </row>
    <row r="7909" spans="1:19" x14ac:dyDescent="0.25">
      <c r="A7909" s="27" t="s">
        <v>193</v>
      </c>
      <c r="C7909" s="27" t="s">
        <v>34749</v>
      </c>
      <c r="D7909" s="28" t="s">
        <v>34867</v>
      </c>
      <c r="P7909">
        <v>9041</v>
      </c>
      <c r="Q7909" t="s">
        <v>15503</v>
      </c>
      <c r="R7909" s="28" t="s">
        <v>15504</v>
      </c>
      <c r="S7909" t="s">
        <v>13022</v>
      </c>
    </row>
    <row r="7910" spans="1:19" x14ac:dyDescent="0.25">
      <c r="A7910" s="27" t="s">
        <v>193</v>
      </c>
      <c r="C7910" s="27" t="s">
        <v>34749</v>
      </c>
      <c r="D7910" s="28" t="s">
        <v>34867</v>
      </c>
      <c r="P7910">
        <v>9042</v>
      </c>
      <c r="Q7910" t="s">
        <v>8925</v>
      </c>
      <c r="R7910" s="28" t="s">
        <v>8926</v>
      </c>
      <c r="S7910" t="s">
        <v>13022</v>
      </c>
    </row>
    <row r="7911" spans="1:19" x14ac:dyDescent="0.25">
      <c r="A7911" s="27" t="s">
        <v>193</v>
      </c>
      <c r="C7911" s="27" t="s">
        <v>34749</v>
      </c>
      <c r="D7911" s="28" t="s">
        <v>34867</v>
      </c>
      <c r="P7911">
        <v>9043</v>
      </c>
      <c r="Q7911" t="s">
        <v>15505</v>
      </c>
      <c r="R7911" s="28" t="s">
        <v>10610</v>
      </c>
      <c r="S7911" t="s">
        <v>13022</v>
      </c>
    </row>
    <row r="7912" spans="1:19" x14ac:dyDescent="0.25">
      <c r="A7912" s="27" t="s">
        <v>193</v>
      </c>
      <c r="C7912" s="27" t="s">
        <v>34749</v>
      </c>
      <c r="D7912" s="28" t="s">
        <v>34867</v>
      </c>
      <c r="P7912">
        <v>9044</v>
      </c>
      <c r="Q7912" t="s">
        <v>15506</v>
      </c>
      <c r="R7912" s="28" t="s">
        <v>15507</v>
      </c>
      <c r="S7912" t="s">
        <v>13022</v>
      </c>
    </row>
    <row r="7913" spans="1:19" x14ac:dyDescent="0.25">
      <c r="A7913" s="27" t="s">
        <v>193</v>
      </c>
      <c r="C7913" s="27" t="s">
        <v>34749</v>
      </c>
      <c r="D7913" s="28" t="s">
        <v>34867</v>
      </c>
      <c r="P7913">
        <v>9045</v>
      </c>
      <c r="Q7913" t="s">
        <v>15508</v>
      </c>
      <c r="R7913" s="28" t="s">
        <v>15509</v>
      </c>
      <c r="S7913" t="s">
        <v>13022</v>
      </c>
    </row>
    <row r="7914" spans="1:19" x14ac:dyDescent="0.25">
      <c r="A7914" s="27" t="s">
        <v>193</v>
      </c>
      <c r="C7914" s="27" t="s">
        <v>34749</v>
      </c>
      <c r="D7914" s="28" t="s">
        <v>34867</v>
      </c>
      <c r="P7914">
        <v>9046</v>
      </c>
      <c r="Q7914" t="s">
        <v>15510</v>
      </c>
      <c r="R7914" s="28" t="s">
        <v>15511</v>
      </c>
      <c r="S7914" t="s">
        <v>13022</v>
      </c>
    </row>
    <row r="7915" spans="1:19" x14ac:dyDescent="0.25">
      <c r="A7915" s="27" t="s">
        <v>193</v>
      </c>
      <c r="C7915" s="27" t="s">
        <v>34749</v>
      </c>
      <c r="D7915" s="28" t="s">
        <v>34867</v>
      </c>
      <c r="P7915">
        <v>9047</v>
      </c>
      <c r="Q7915" t="s">
        <v>15512</v>
      </c>
      <c r="R7915" s="28" t="s">
        <v>15513</v>
      </c>
      <c r="S7915" t="s">
        <v>13022</v>
      </c>
    </row>
  </sheetData>
  <autoFilter ref="A5:T7915"/>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S4346"/>
  <sheetViews>
    <sheetView workbookViewId="0">
      <pane xSplit="1" ySplit="1" topLeftCell="B3764" activePane="bottomRight" state="frozen"/>
      <selection pane="topRight" activeCell="B1" sqref="B1"/>
      <selection pane="bottomLeft" activeCell="A2" sqref="A2"/>
      <selection pane="bottomRight" activeCell="C1" sqref="C1"/>
    </sheetView>
  </sheetViews>
  <sheetFormatPr defaultRowHeight="15" x14ac:dyDescent="0.25"/>
  <cols>
    <col min="1" max="1" width="22.85546875" style="27" customWidth="1"/>
    <col min="2" max="2" width="61.140625" style="27" bestFit="1" customWidth="1"/>
    <col min="3" max="3" width="15.140625" style="27" customWidth="1"/>
  </cols>
  <sheetData>
    <row r="1" spans="1:19" x14ac:dyDescent="0.25">
      <c r="A1" t="s">
        <v>15514</v>
      </c>
      <c r="B1" t="s">
        <v>15515</v>
      </c>
      <c r="C1" t="s">
        <v>15516</v>
      </c>
      <c r="D1" t="s">
        <v>15517</v>
      </c>
      <c r="E1" t="s">
        <v>15518</v>
      </c>
      <c r="F1" t="s">
        <v>15519</v>
      </c>
      <c r="G1" t="s">
        <v>15520</v>
      </c>
      <c r="H1" t="s">
        <v>15521</v>
      </c>
      <c r="I1" t="s">
        <v>15522</v>
      </c>
      <c r="K1" s="1" t="e">
        <f t="array" ref="K1">MATCH(TRUE,EXACT(A1,Alias!J:J),0)</f>
        <v>#N/A</v>
      </c>
    </row>
    <row r="2" spans="1:19" x14ac:dyDescent="0.25">
      <c r="A2" t="s">
        <v>812</v>
      </c>
      <c r="B2" t="s">
        <v>813</v>
      </c>
      <c r="C2" t="s">
        <v>814</v>
      </c>
      <c r="D2" t="s">
        <v>23</v>
      </c>
      <c r="E2">
        <v>6069</v>
      </c>
      <c r="F2" s="3">
        <v>43830</v>
      </c>
      <c r="H2" t="s">
        <v>15523</v>
      </c>
      <c r="I2" t="s">
        <v>15524</v>
      </c>
      <c r="K2" t="e">
        <v>#N/A</v>
      </c>
      <c r="S2" s="3"/>
    </row>
    <row r="3" spans="1:19" x14ac:dyDescent="0.25">
      <c r="A3" t="s">
        <v>815</v>
      </c>
      <c r="B3" t="s">
        <v>816</v>
      </c>
      <c r="C3" t="s">
        <v>817</v>
      </c>
      <c r="D3" t="s">
        <v>23</v>
      </c>
      <c r="E3">
        <v>3</v>
      </c>
      <c r="F3" s="3">
        <v>40702</v>
      </c>
      <c r="H3" t="s">
        <v>15523</v>
      </c>
      <c r="I3" t="s">
        <v>15525</v>
      </c>
      <c r="K3" t="e">
        <v>#N/A</v>
      </c>
      <c r="S3" s="3"/>
    </row>
    <row r="4" spans="1:19" x14ac:dyDescent="0.25">
      <c r="A4" t="s">
        <v>818</v>
      </c>
      <c r="B4" t="s">
        <v>819</v>
      </c>
      <c r="C4" t="s">
        <v>820</v>
      </c>
      <c r="D4" t="s">
        <v>23</v>
      </c>
      <c r="E4">
        <v>4</v>
      </c>
      <c r="F4" s="3">
        <v>40702</v>
      </c>
      <c r="H4" t="s">
        <v>15523</v>
      </c>
      <c r="I4" t="s">
        <v>15526</v>
      </c>
      <c r="K4" t="e">
        <v>#N/A</v>
      </c>
      <c r="S4" s="3"/>
    </row>
    <row r="5" spans="1:19" x14ac:dyDescent="0.25">
      <c r="A5" t="s">
        <v>821</v>
      </c>
      <c r="B5" t="s">
        <v>822</v>
      </c>
      <c r="C5" t="s">
        <v>823</v>
      </c>
      <c r="D5" t="s">
        <v>23</v>
      </c>
      <c r="E5">
        <v>2800</v>
      </c>
      <c r="F5" s="3">
        <v>41667</v>
      </c>
      <c r="H5" t="s">
        <v>15523</v>
      </c>
      <c r="I5" t="s">
        <v>15527</v>
      </c>
      <c r="K5" t="e">
        <v>#N/A</v>
      </c>
      <c r="S5" s="3"/>
    </row>
    <row r="6" spans="1:19" x14ac:dyDescent="0.25">
      <c r="A6" t="s">
        <v>824</v>
      </c>
      <c r="B6" t="s">
        <v>825</v>
      </c>
      <c r="C6" t="s">
        <v>826</v>
      </c>
      <c r="D6" t="s">
        <v>23</v>
      </c>
      <c r="E6">
        <v>5</v>
      </c>
      <c r="F6" s="3">
        <v>40702</v>
      </c>
      <c r="H6" t="s">
        <v>15523</v>
      </c>
      <c r="I6" t="s">
        <v>15528</v>
      </c>
      <c r="K6" t="e">
        <v>#N/A</v>
      </c>
      <c r="S6" s="3"/>
    </row>
    <row r="7" spans="1:19" x14ac:dyDescent="0.25">
      <c r="A7" t="s">
        <v>827</v>
      </c>
      <c r="B7" t="s">
        <v>828</v>
      </c>
      <c r="C7" t="s">
        <v>829</v>
      </c>
      <c r="D7" t="s">
        <v>23</v>
      </c>
      <c r="E7">
        <v>6</v>
      </c>
      <c r="F7" s="3">
        <v>40702</v>
      </c>
      <c r="H7" t="s">
        <v>15523</v>
      </c>
      <c r="I7" t="s">
        <v>15529</v>
      </c>
      <c r="K7" t="e">
        <v>#N/A</v>
      </c>
      <c r="S7" s="3"/>
    </row>
    <row r="8" spans="1:19" x14ac:dyDescent="0.25">
      <c r="A8" t="s">
        <v>830</v>
      </c>
      <c r="B8" t="s">
        <v>831</v>
      </c>
      <c r="C8" t="s">
        <v>832</v>
      </c>
      <c r="D8" t="s">
        <v>23</v>
      </c>
      <c r="E8">
        <v>2801</v>
      </c>
      <c r="F8" s="3">
        <v>41667</v>
      </c>
      <c r="H8" t="s">
        <v>15523</v>
      </c>
      <c r="I8" t="s">
        <v>15530</v>
      </c>
      <c r="K8" t="e">
        <v>#N/A</v>
      </c>
      <c r="S8" s="3"/>
    </row>
    <row r="9" spans="1:19" x14ac:dyDescent="0.25">
      <c r="A9" t="s">
        <v>833</v>
      </c>
      <c r="B9" t="s">
        <v>834</v>
      </c>
      <c r="C9" t="s">
        <v>835</v>
      </c>
      <c r="D9" t="s">
        <v>23</v>
      </c>
      <c r="E9">
        <v>6045</v>
      </c>
      <c r="F9" s="3">
        <v>43735</v>
      </c>
      <c r="H9" t="s">
        <v>15523</v>
      </c>
      <c r="I9" t="s">
        <v>15531</v>
      </c>
      <c r="K9" t="e">
        <v>#N/A</v>
      </c>
      <c r="S9" s="3"/>
    </row>
    <row r="10" spans="1:19" x14ac:dyDescent="0.25">
      <c r="A10" t="s">
        <v>836</v>
      </c>
      <c r="B10" t="s">
        <v>837</v>
      </c>
      <c r="C10" t="s">
        <v>838</v>
      </c>
      <c r="D10" t="s">
        <v>23</v>
      </c>
      <c r="E10">
        <v>2802</v>
      </c>
      <c r="F10" s="3">
        <v>41667</v>
      </c>
      <c r="H10" t="s">
        <v>15523</v>
      </c>
      <c r="I10" t="s">
        <v>15532</v>
      </c>
      <c r="K10" t="e">
        <v>#N/A</v>
      </c>
      <c r="S10" s="3"/>
    </row>
    <row r="11" spans="1:19" x14ac:dyDescent="0.25">
      <c r="A11" t="s">
        <v>839</v>
      </c>
      <c r="B11" t="s">
        <v>840</v>
      </c>
      <c r="C11" t="s">
        <v>841</v>
      </c>
      <c r="D11" t="s">
        <v>23</v>
      </c>
      <c r="E11">
        <v>4941</v>
      </c>
      <c r="F11" s="3">
        <v>41660</v>
      </c>
      <c r="H11" t="s">
        <v>15523</v>
      </c>
      <c r="I11" t="s">
        <v>15533</v>
      </c>
      <c r="K11" t="e">
        <v>#N/A</v>
      </c>
      <c r="S11" s="3"/>
    </row>
    <row r="12" spans="1:19" x14ac:dyDescent="0.25">
      <c r="A12" t="s">
        <v>842</v>
      </c>
      <c r="B12" t="s">
        <v>843</v>
      </c>
      <c r="C12" t="s">
        <v>844</v>
      </c>
      <c r="D12" t="s">
        <v>23</v>
      </c>
      <c r="E12">
        <v>2803</v>
      </c>
      <c r="F12" s="3">
        <v>41667</v>
      </c>
      <c r="H12" t="s">
        <v>15523</v>
      </c>
      <c r="I12" t="s">
        <v>15534</v>
      </c>
      <c r="K12" t="e">
        <v>#N/A</v>
      </c>
      <c r="S12" s="3"/>
    </row>
    <row r="13" spans="1:19" x14ac:dyDescent="0.25">
      <c r="A13" t="s">
        <v>845</v>
      </c>
      <c r="B13" t="s">
        <v>846</v>
      </c>
      <c r="C13" t="s">
        <v>847</v>
      </c>
      <c r="D13" t="s">
        <v>23</v>
      </c>
      <c r="E13">
        <v>8</v>
      </c>
      <c r="F13" s="3">
        <v>40702</v>
      </c>
      <c r="H13" t="s">
        <v>15523</v>
      </c>
      <c r="I13" t="s">
        <v>15535</v>
      </c>
      <c r="K13" t="e">
        <v>#N/A</v>
      </c>
      <c r="S13" s="3"/>
    </row>
    <row r="14" spans="1:19" x14ac:dyDescent="0.25">
      <c r="A14" t="s">
        <v>848</v>
      </c>
      <c r="B14" t="s">
        <v>849</v>
      </c>
      <c r="C14" t="s">
        <v>850</v>
      </c>
      <c r="D14" t="s">
        <v>23</v>
      </c>
      <c r="E14">
        <v>9</v>
      </c>
      <c r="F14" s="3">
        <v>40702</v>
      </c>
      <c r="H14" t="s">
        <v>15523</v>
      </c>
      <c r="I14" t="s">
        <v>15536</v>
      </c>
      <c r="K14" t="e">
        <v>#N/A</v>
      </c>
      <c r="S14" s="3"/>
    </row>
    <row r="15" spans="1:19" x14ac:dyDescent="0.25">
      <c r="A15" t="s">
        <v>851</v>
      </c>
      <c r="B15" t="s">
        <v>852</v>
      </c>
      <c r="C15" t="s">
        <v>853</v>
      </c>
      <c r="D15" t="s">
        <v>23</v>
      </c>
      <c r="E15">
        <v>10</v>
      </c>
      <c r="F15" s="3">
        <v>40702</v>
      </c>
      <c r="H15" t="s">
        <v>15523</v>
      </c>
      <c r="I15" t="s">
        <v>15537</v>
      </c>
      <c r="K15" t="e">
        <v>#N/A</v>
      </c>
      <c r="S15" s="3"/>
    </row>
    <row r="16" spans="1:19" x14ac:dyDescent="0.25">
      <c r="A16" t="s">
        <v>854</v>
      </c>
      <c r="B16" t="s">
        <v>855</v>
      </c>
      <c r="C16" t="s">
        <v>856</v>
      </c>
      <c r="D16" t="s">
        <v>23</v>
      </c>
      <c r="E16">
        <v>2066</v>
      </c>
      <c r="F16" s="3">
        <v>40702</v>
      </c>
      <c r="H16" t="s">
        <v>15523</v>
      </c>
      <c r="I16" t="s">
        <v>15538</v>
      </c>
      <c r="K16" t="e">
        <v>#N/A</v>
      </c>
      <c r="S16" s="3"/>
    </row>
    <row r="17" spans="1:19" x14ac:dyDescent="0.25">
      <c r="A17" t="s">
        <v>857</v>
      </c>
      <c r="B17" t="s">
        <v>858</v>
      </c>
      <c r="C17" t="s">
        <v>859</v>
      </c>
      <c r="D17" t="s">
        <v>23</v>
      </c>
      <c r="E17">
        <v>5115</v>
      </c>
      <c r="F17" s="3">
        <v>41860</v>
      </c>
      <c r="H17" t="s">
        <v>15523</v>
      </c>
      <c r="I17" t="s">
        <v>15539</v>
      </c>
      <c r="K17" t="e">
        <v>#N/A</v>
      </c>
      <c r="S17" s="3"/>
    </row>
    <row r="18" spans="1:19" x14ac:dyDescent="0.25">
      <c r="A18" t="s">
        <v>860</v>
      </c>
      <c r="B18" t="s">
        <v>861</v>
      </c>
      <c r="C18" t="s">
        <v>862</v>
      </c>
      <c r="D18" t="s">
        <v>23</v>
      </c>
      <c r="E18">
        <v>2804</v>
      </c>
      <c r="F18" s="3">
        <v>41667</v>
      </c>
      <c r="H18" t="s">
        <v>15523</v>
      </c>
      <c r="I18" t="s">
        <v>15540</v>
      </c>
      <c r="K18" t="e">
        <v>#N/A</v>
      </c>
      <c r="S18" s="3"/>
    </row>
    <row r="19" spans="1:19" x14ac:dyDescent="0.25">
      <c r="A19" t="s">
        <v>863</v>
      </c>
      <c r="B19" t="s">
        <v>864</v>
      </c>
      <c r="C19" t="s">
        <v>865</v>
      </c>
      <c r="D19" t="s">
        <v>23</v>
      </c>
      <c r="E19">
        <v>5560</v>
      </c>
      <c r="F19" s="3">
        <v>42409</v>
      </c>
      <c r="H19" t="s">
        <v>15523</v>
      </c>
      <c r="I19" t="s">
        <v>15541</v>
      </c>
      <c r="K19" t="e">
        <v>#N/A</v>
      </c>
      <c r="S19" s="3"/>
    </row>
    <row r="20" spans="1:19" x14ac:dyDescent="0.25">
      <c r="A20" t="s">
        <v>866</v>
      </c>
      <c r="B20" t="s">
        <v>867</v>
      </c>
      <c r="C20" t="s">
        <v>868</v>
      </c>
      <c r="D20" t="s">
        <v>23</v>
      </c>
      <c r="E20">
        <v>5333</v>
      </c>
      <c r="F20" s="3">
        <v>42231</v>
      </c>
      <c r="H20" t="s">
        <v>15523</v>
      </c>
      <c r="I20" t="s">
        <v>15542</v>
      </c>
      <c r="K20" t="e">
        <v>#N/A</v>
      </c>
      <c r="S20" s="3"/>
    </row>
    <row r="21" spans="1:19" x14ac:dyDescent="0.25">
      <c r="A21" t="s">
        <v>869</v>
      </c>
      <c r="B21" t="s">
        <v>870</v>
      </c>
      <c r="C21" t="s">
        <v>871</v>
      </c>
      <c r="D21" t="s">
        <v>23</v>
      </c>
      <c r="E21">
        <v>2805</v>
      </c>
      <c r="F21" s="3">
        <v>41667</v>
      </c>
      <c r="H21" t="s">
        <v>15523</v>
      </c>
      <c r="I21" t="s">
        <v>15543</v>
      </c>
      <c r="K21" t="e">
        <v>#N/A</v>
      </c>
      <c r="S21" s="3"/>
    </row>
    <row r="22" spans="1:19" x14ac:dyDescent="0.25">
      <c r="A22" t="s">
        <v>872</v>
      </c>
      <c r="B22" t="s">
        <v>873</v>
      </c>
      <c r="C22" t="s">
        <v>874</v>
      </c>
      <c r="D22" t="s">
        <v>23</v>
      </c>
      <c r="E22">
        <v>16</v>
      </c>
      <c r="F22" s="3">
        <v>40702</v>
      </c>
      <c r="H22" t="s">
        <v>15523</v>
      </c>
      <c r="I22" t="s">
        <v>15544</v>
      </c>
      <c r="K22" t="e">
        <v>#N/A</v>
      </c>
      <c r="S22" s="3"/>
    </row>
    <row r="23" spans="1:19" x14ac:dyDescent="0.25">
      <c r="A23" t="s">
        <v>875</v>
      </c>
      <c r="B23" t="s">
        <v>876</v>
      </c>
      <c r="C23" t="s">
        <v>877</v>
      </c>
      <c r="D23" t="s">
        <v>23</v>
      </c>
      <c r="E23">
        <v>1547</v>
      </c>
      <c r="F23" s="3">
        <v>40702</v>
      </c>
      <c r="H23" t="s">
        <v>15523</v>
      </c>
      <c r="I23" t="s">
        <v>15545</v>
      </c>
      <c r="K23" t="e">
        <v>#N/A</v>
      </c>
      <c r="S23" s="3"/>
    </row>
    <row r="24" spans="1:19" x14ac:dyDescent="0.25">
      <c r="A24" t="s">
        <v>878</v>
      </c>
      <c r="B24" t="s">
        <v>879</v>
      </c>
      <c r="C24" t="s">
        <v>880</v>
      </c>
      <c r="D24" t="s">
        <v>23</v>
      </c>
      <c r="E24">
        <v>19</v>
      </c>
      <c r="F24" s="3">
        <v>40702</v>
      </c>
      <c r="H24" t="s">
        <v>15523</v>
      </c>
      <c r="I24" t="s">
        <v>15546</v>
      </c>
      <c r="K24" t="e">
        <v>#N/A</v>
      </c>
      <c r="S24" s="3"/>
    </row>
    <row r="25" spans="1:19" x14ac:dyDescent="0.25">
      <c r="A25" t="s">
        <v>881</v>
      </c>
      <c r="B25" t="s">
        <v>882</v>
      </c>
      <c r="C25" t="s">
        <v>883</v>
      </c>
      <c r="D25" t="s">
        <v>23</v>
      </c>
      <c r="E25">
        <v>5207</v>
      </c>
      <c r="F25" s="3">
        <v>42035</v>
      </c>
      <c r="H25" t="s">
        <v>15523</v>
      </c>
      <c r="I25" t="s">
        <v>15547</v>
      </c>
      <c r="K25" t="e">
        <v>#N/A</v>
      </c>
      <c r="S25" s="3"/>
    </row>
    <row r="26" spans="1:19" x14ac:dyDescent="0.25">
      <c r="A26" t="s">
        <v>884</v>
      </c>
      <c r="B26" t="s">
        <v>885</v>
      </c>
      <c r="C26" t="s">
        <v>886</v>
      </c>
      <c r="D26" t="s">
        <v>23</v>
      </c>
      <c r="E26">
        <v>18</v>
      </c>
      <c r="F26" s="3">
        <v>40702</v>
      </c>
      <c r="H26" t="s">
        <v>15523</v>
      </c>
      <c r="I26" t="s">
        <v>15548</v>
      </c>
      <c r="K26" t="e">
        <v>#N/A</v>
      </c>
      <c r="S26" s="3"/>
    </row>
    <row r="27" spans="1:19" x14ac:dyDescent="0.25">
      <c r="A27" t="s">
        <v>887</v>
      </c>
      <c r="B27" t="s">
        <v>888</v>
      </c>
      <c r="C27" t="s">
        <v>889</v>
      </c>
      <c r="D27" t="s">
        <v>23</v>
      </c>
      <c r="E27">
        <v>29</v>
      </c>
      <c r="F27" s="3">
        <v>40702</v>
      </c>
      <c r="H27" t="s">
        <v>15523</v>
      </c>
      <c r="I27" t="s">
        <v>15549</v>
      </c>
      <c r="K27" t="e">
        <v>#N/A</v>
      </c>
      <c r="S27" s="3"/>
    </row>
    <row r="28" spans="1:19" x14ac:dyDescent="0.25">
      <c r="A28" t="s">
        <v>890</v>
      </c>
      <c r="B28" t="s">
        <v>891</v>
      </c>
      <c r="C28" t="s">
        <v>892</v>
      </c>
      <c r="D28" t="s">
        <v>23</v>
      </c>
      <c r="E28">
        <v>26</v>
      </c>
      <c r="F28" s="3">
        <v>40702</v>
      </c>
      <c r="H28" t="s">
        <v>15523</v>
      </c>
      <c r="I28" t="s">
        <v>15550</v>
      </c>
      <c r="K28" t="e">
        <v>#N/A</v>
      </c>
      <c r="S28" s="3"/>
    </row>
    <row r="29" spans="1:19" x14ac:dyDescent="0.25">
      <c r="A29" t="s">
        <v>893</v>
      </c>
      <c r="B29" t="s">
        <v>894</v>
      </c>
      <c r="C29" t="s">
        <v>895</v>
      </c>
      <c r="D29" t="s">
        <v>23</v>
      </c>
      <c r="E29">
        <v>27</v>
      </c>
      <c r="F29" s="3">
        <v>40702</v>
      </c>
      <c r="H29" t="s">
        <v>15523</v>
      </c>
      <c r="I29" t="s">
        <v>15551</v>
      </c>
      <c r="K29" t="e">
        <v>#N/A</v>
      </c>
      <c r="S29" s="3"/>
    </row>
    <row r="30" spans="1:19" x14ac:dyDescent="0.25">
      <c r="A30" t="s">
        <v>896</v>
      </c>
      <c r="B30" t="s">
        <v>897</v>
      </c>
      <c r="C30" t="s">
        <v>898</v>
      </c>
      <c r="D30" t="s">
        <v>23</v>
      </c>
      <c r="E30">
        <v>28</v>
      </c>
      <c r="F30" s="3">
        <v>41461</v>
      </c>
      <c r="H30" t="s">
        <v>15523</v>
      </c>
      <c r="I30" t="s">
        <v>15552</v>
      </c>
      <c r="K30" t="e">
        <v>#N/A</v>
      </c>
      <c r="S30" s="3"/>
    </row>
    <row r="31" spans="1:19" x14ac:dyDescent="0.25">
      <c r="A31" t="s">
        <v>899</v>
      </c>
      <c r="B31" t="s">
        <v>900</v>
      </c>
      <c r="C31" t="s">
        <v>901</v>
      </c>
      <c r="D31" t="s">
        <v>23</v>
      </c>
      <c r="E31">
        <v>2806</v>
      </c>
      <c r="F31" s="3">
        <v>41667</v>
      </c>
      <c r="H31" t="s">
        <v>15523</v>
      </c>
      <c r="I31" t="s">
        <v>15553</v>
      </c>
      <c r="K31" t="e">
        <v>#N/A</v>
      </c>
      <c r="S31" s="3"/>
    </row>
    <row r="32" spans="1:19" x14ac:dyDescent="0.25">
      <c r="A32" t="s">
        <v>902</v>
      </c>
      <c r="B32" t="s">
        <v>903</v>
      </c>
      <c r="C32" t="s">
        <v>904</v>
      </c>
      <c r="D32" t="s">
        <v>23</v>
      </c>
      <c r="E32">
        <v>31</v>
      </c>
      <c r="F32" s="3">
        <v>40702</v>
      </c>
      <c r="H32" t="s">
        <v>15523</v>
      </c>
      <c r="I32" t="s">
        <v>15554</v>
      </c>
      <c r="K32" t="e">
        <v>#N/A</v>
      </c>
      <c r="S32" s="3"/>
    </row>
    <row r="33" spans="1:19" x14ac:dyDescent="0.25">
      <c r="A33" t="s">
        <v>905</v>
      </c>
      <c r="B33" t="s">
        <v>906</v>
      </c>
      <c r="C33" t="s">
        <v>907</v>
      </c>
      <c r="D33" t="s">
        <v>23</v>
      </c>
      <c r="E33">
        <v>30</v>
      </c>
      <c r="F33" s="3">
        <v>40702</v>
      </c>
      <c r="H33" t="s">
        <v>15523</v>
      </c>
      <c r="I33" t="s">
        <v>15555</v>
      </c>
      <c r="K33" t="e">
        <v>#N/A</v>
      </c>
      <c r="S33" s="3"/>
    </row>
    <row r="34" spans="1:19" x14ac:dyDescent="0.25">
      <c r="A34" t="s">
        <v>908</v>
      </c>
      <c r="B34" t="s">
        <v>909</v>
      </c>
      <c r="C34" t="s">
        <v>910</v>
      </c>
      <c r="D34" t="s">
        <v>23</v>
      </c>
      <c r="E34">
        <v>33</v>
      </c>
      <c r="F34" s="3">
        <v>40702</v>
      </c>
      <c r="H34" t="s">
        <v>15523</v>
      </c>
      <c r="I34" t="s">
        <v>15556</v>
      </c>
      <c r="K34" t="e">
        <v>#N/A</v>
      </c>
      <c r="S34" s="3"/>
    </row>
    <row r="35" spans="1:19" x14ac:dyDescent="0.25">
      <c r="A35" t="s">
        <v>911</v>
      </c>
      <c r="B35" t="s">
        <v>912</v>
      </c>
      <c r="C35" t="s">
        <v>913</v>
      </c>
      <c r="D35" t="s">
        <v>23</v>
      </c>
      <c r="E35">
        <v>32</v>
      </c>
      <c r="F35" s="3">
        <v>40702</v>
      </c>
      <c r="H35" t="s">
        <v>15523</v>
      </c>
      <c r="I35" t="s">
        <v>15557</v>
      </c>
      <c r="K35" t="e">
        <v>#N/A</v>
      </c>
      <c r="S35" s="3"/>
    </row>
    <row r="36" spans="1:19" x14ac:dyDescent="0.25">
      <c r="A36" t="s">
        <v>914</v>
      </c>
      <c r="B36" t="s">
        <v>915</v>
      </c>
      <c r="C36" t="s">
        <v>916</v>
      </c>
      <c r="D36" t="s">
        <v>23</v>
      </c>
      <c r="E36">
        <v>2807</v>
      </c>
      <c r="F36" s="3">
        <v>41667</v>
      </c>
      <c r="H36" t="s">
        <v>15523</v>
      </c>
      <c r="I36" t="s">
        <v>15558</v>
      </c>
      <c r="K36" t="e">
        <v>#N/A</v>
      </c>
      <c r="S36" s="3"/>
    </row>
    <row r="37" spans="1:19" x14ac:dyDescent="0.25">
      <c r="A37" t="s">
        <v>917</v>
      </c>
      <c r="B37" t="s">
        <v>918</v>
      </c>
      <c r="C37" t="s">
        <v>919</v>
      </c>
      <c r="D37" t="s">
        <v>23</v>
      </c>
      <c r="E37">
        <v>1435</v>
      </c>
      <c r="F37" s="3">
        <v>41667</v>
      </c>
      <c r="H37" t="s">
        <v>15523</v>
      </c>
      <c r="I37" t="s">
        <v>15559</v>
      </c>
      <c r="K37" t="e">
        <v>#N/A</v>
      </c>
      <c r="S37" s="3"/>
    </row>
    <row r="38" spans="1:19" x14ac:dyDescent="0.25">
      <c r="A38" t="s">
        <v>920</v>
      </c>
      <c r="B38" t="s">
        <v>921</v>
      </c>
      <c r="C38" t="s">
        <v>922</v>
      </c>
      <c r="D38" t="s">
        <v>23</v>
      </c>
      <c r="E38">
        <v>2808</v>
      </c>
      <c r="F38" s="3">
        <v>41667</v>
      </c>
      <c r="H38" t="s">
        <v>15523</v>
      </c>
      <c r="I38" t="s">
        <v>15560</v>
      </c>
      <c r="K38" t="e">
        <v>#N/A</v>
      </c>
      <c r="S38" s="3"/>
    </row>
    <row r="39" spans="1:19" x14ac:dyDescent="0.25">
      <c r="A39" t="s">
        <v>923</v>
      </c>
      <c r="B39" t="s">
        <v>924</v>
      </c>
      <c r="C39" t="s">
        <v>925</v>
      </c>
      <c r="D39" t="s">
        <v>23</v>
      </c>
      <c r="E39">
        <v>2809</v>
      </c>
      <c r="F39" s="3">
        <v>41667</v>
      </c>
      <c r="H39" t="s">
        <v>15523</v>
      </c>
      <c r="I39" t="s">
        <v>15561</v>
      </c>
      <c r="K39" t="e">
        <v>#N/A</v>
      </c>
      <c r="S39" s="3"/>
    </row>
    <row r="40" spans="1:19" x14ac:dyDescent="0.25">
      <c r="A40" t="s">
        <v>926</v>
      </c>
      <c r="B40" t="s">
        <v>927</v>
      </c>
      <c r="C40" t="s">
        <v>928</v>
      </c>
      <c r="D40" t="s">
        <v>23</v>
      </c>
      <c r="E40">
        <v>2810</v>
      </c>
      <c r="F40" s="3">
        <v>41667</v>
      </c>
      <c r="H40" t="s">
        <v>15523</v>
      </c>
      <c r="I40" t="s">
        <v>15562</v>
      </c>
      <c r="K40" t="e">
        <v>#N/A</v>
      </c>
      <c r="S40" s="3"/>
    </row>
    <row r="41" spans="1:19" x14ac:dyDescent="0.25">
      <c r="A41" t="s">
        <v>929</v>
      </c>
      <c r="B41" t="s">
        <v>930</v>
      </c>
      <c r="C41" t="s">
        <v>931</v>
      </c>
      <c r="D41" t="s">
        <v>23</v>
      </c>
      <c r="E41">
        <v>2811</v>
      </c>
      <c r="F41" s="3">
        <v>41667</v>
      </c>
      <c r="H41" t="s">
        <v>15523</v>
      </c>
      <c r="I41" t="s">
        <v>15563</v>
      </c>
      <c r="K41" t="e">
        <v>#N/A</v>
      </c>
      <c r="S41" s="3"/>
    </row>
    <row r="42" spans="1:19" x14ac:dyDescent="0.25">
      <c r="A42" t="s">
        <v>932</v>
      </c>
      <c r="B42" t="s">
        <v>933</v>
      </c>
      <c r="C42" t="s">
        <v>934</v>
      </c>
      <c r="D42" t="s">
        <v>23</v>
      </c>
      <c r="E42">
        <v>34</v>
      </c>
      <c r="F42" s="3">
        <v>40702</v>
      </c>
      <c r="H42" t="s">
        <v>15523</v>
      </c>
      <c r="I42" t="s">
        <v>15564</v>
      </c>
      <c r="K42" t="e">
        <v>#N/A</v>
      </c>
      <c r="S42" s="3"/>
    </row>
    <row r="43" spans="1:19" x14ac:dyDescent="0.25">
      <c r="A43" t="s">
        <v>935</v>
      </c>
      <c r="B43" t="s">
        <v>936</v>
      </c>
      <c r="C43" t="s">
        <v>937</v>
      </c>
      <c r="D43" t="s">
        <v>23</v>
      </c>
      <c r="E43">
        <v>1724</v>
      </c>
      <c r="F43" s="3">
        <v>40702</v>
      </c>
      <c r="H43" t="s">
        <v>15523</v>
      </c>
      <c r="I43" t="s">
        <v>15565</v>
      </c>
      <c r="K43" t="e">
        <v>#N/A</v>
      </c>
      <c r="S43" s="3"/>
    </row>
    <row r="44" spans="1:19" x14ac:dyDescent="0.25">
      <c r="A44" t="s">
        <v>938</v>
      </c>
      <c r="B44" t="s">
        <v>939</v>
      </c>
      <c r="C44" t="s">
        <v>940</v>
      </c>
      <c r="D44" t="s">
        <v>23</v>
      </c>
      <c r="E44">
        <v>2812</v>
      </c>
      <c r="F44" s="3">
        <v>41667</v>
      </c>
      <c r="H44" t="s">
        <v>15523</v>
      </c>
      <c r="I44" t="s">
        <v>15566</v>
      </c>
      <c r="K44" t="e">
        <v>#N/A</v>
      </c>
      <c r="S44" s="3"/>
    </row>
    <row r="45" spans="1:19" x14ac:dyDescent="0.25">
      <c r="A45" t="s">
        <v>941</v>
      </c>
      <c r="B45" t="s">
        <v>942</v>
      </c>
      <c r="C45" t="s">
        <v>943</v>
      </c>
      <c r="D45" t="s">
        <v>23</v>
      </c>
      <c r="E45">
        <v>1710</v>
      </c>
      <c r="F45" s="3">
        <v>41461</v>
      </c>
      <c r="H45" t="s">
        <v>15523</v>
      </c>
      <c r="I45" t="s">
        <v>15567</v>
      </c>
      <c r="K45" t="e">
        <v>#N/A</v>
      </c>
      <c r="S45" s="3"/>
    </row>
    <row r="46" spans="1:19" x14ac:dyDescent="0.25">
      <c r="A46" t="s">
        <v>944</v>
      </c>
      <c r="B46" t="s">
        <v>945</v>
      </c>
      <c r="C46" t="s">
        <v>946</v>
      </c>
      <c r="D46" t="s">
        <v>23</v>
      </c>
      <c r="E46">
        <v>5338</v>
      </c>
      <c r="F46" s="3">
        <v>42222</v>
      </c>
      <c r="H46" t="s">
        <v>15523</v>
      </c>
      <c r="I46" t="s">
        <v>15568</v>
      </c>
      <c r="K46" t="e">
        <v>#N/A</v>
      </c>
      <c r="S46" s="3"/>
    </row>
    <row r="47" spans="1:19" x14ac:dyDescent="0.25">
      <c r="A47" t="s">
        <v>947</v>
      </c>
      <c r="B47" t="s">
        <v>948</v>
      </c>
      <c r="C47" t="s">
        <v>949</v>
      </c>
      <c r="D47" t="s">
        <v>23</v>
      </c>
      <c r="E47">
        <v>35</v>
      </c>
      <c r="F47" s="3">
        <v>40702</v>
      </c>
      <c r="H47" t="s">
        <v>15523</v>
      </c>
      <c r="I47" t="s">
        <v>15569</v>
      </c>
      <c r="K47" t="e">
        <v>#N/A</v>
      </c>
      <c r="S47" s="3"/>
    </row>
    <row r="48" spans="1:19" x14ac:dyDescent="0.25">
      <c r="A48" t="s">
        <v>950</v>
      </c>
      <c r="B48" t="s">
        <v>951</v>
      </c>
      <c r="C48" t="s">
        <v>952</v>
      </c>
      <c r="D48" t="s">
        <v>23</v>
      </c>
      <c r="E48">
        <v>36</v>
      </c>
      <c r="F48" s="3">
        <v>40702</v>
      </c>
      <c r="H48" t="s">
        <v>15523</v>
      </c>
      <c r="I48" t="s">
        <v>15570</v>
      </c>
      <c r="K48" t="e">
        <v>#N/A</v>
      </c>
      <c r="S48" s="3"/>
    </row>
    <row r="49" spans="1:19" x14ac:dyDescent="0.25">
      <c r="A49" t="s">
        <v>953</v>
      </c>
      <c r="B49" t="s">
        <v>954</v>
      </c>
      <c r="C49" t="s">
        <v>955</v>
      </c>
      <c r="D49" t="s">
        <v>23</v>
      </c>
      <c r="E49">
        <v>37</v>
      </c>
      <c r="F49" s="3">
        <v>41667</v>
      </c>
      <c r="H49" t="s">
        <v>15523</v>
      </c>
      <c r="I49" t="s">
        <v>15571</v>
      </c>
      <c r="K49" t="e">
        <v>#N/A</v>
      </c>
      <c r="S49" s="3"/>
    </row>
    <row r="50" spans="1:19" x14ac:dyDescent="0.25">
      <c r="A50" t="s">
        <v>956</v>
      </c>
      <c r="B50" t="s">
        <v>957</v>
      </c>
      <c r="C50" t="s">
        <v>958</v>
      </c>
      <c r="D50" t="s">
        <v>23</v>
      </c>
      <c r="E50">
        <v>38</v>
      </c>
      <c r="F50" s="3">
        <v>40702</v>
      </c>
      <c r="H50" t="s">
        <v>15523</v>
      </c>
      <c r="I50" t="s">
        <v>15572</v>
      </c>
      <c r="K50" t="e">
        <v>#N/A</v>
      </c>
      <c r="S50" s="3"/>
    </row>
    <row r="51" spans="1:19" x14ac:dyDescent="0.25">
      <c r="A51" t="s">
        <v>959</v>
      </c>
      <c r="B51" t="s">
        <v>960</v>
      </c>
      <c r="C51" t="s">
        <v>961</v>
      </c>
      <c r="D51" t="s">
        <v>23</v>
      </c>
      <c r="E51">
        <v>39</v>
      </c>
      <c r="F51" s="3">
        <v>41461</v>
      </c>
      <c r="H51" t="s">
        <v>15523</v>
      </c>
      <c r="I51" t="s">
        <v>15573</v>
      </c>
      <c r="K51" t="e">
        <v>#N/A</v>
      </c>
      <c r="S51" s="3"/>
    </row>
    <row r="52" spans="1:19" x14ac:dyDescent="0.25">
      <c r="A52" t="s">
        <v>962</v>
      </c>
      <c r="B52" t="s">
        <v>963</v>
      </c>
      <c r="C52" t="s">
        <v>964</v>
      </c>
      <c r="D52" t="s">
        <v>23</v>
      </c>
      <c r="E52">
        <v>2813</v>
      </c>
      <c r="F52" s="3">
        <v>41667</v>
      </c>
      <c r="H52" t="s">
        <v>15523</v>
      </c>
      <c r="I52" t="s">
        <v>15574</v>
      </c>
      <c r="K52" t="e">
        <v>#N/A</v>
      </c>
      <c r="S52" s="3"/>
    </row>
    <row r="53" spans="1:19" x14ac:dyDescent="0.25">
      <c r="A53" t="s">
        <v>965</v>
      </c>
      <c r="B53" t="s">
        <v>966</v>
      </c>
      <c r="C53" t="s">
        <v>967</v>
      </c>
      <c r="D53" t="s">
        <v>23</v>
      </c>
      <c r="E53">
        <v>466</v>
      </c>
      <c r="F53" s="3">
        <v>40702</v>
      </c>
      <c r="H53" t="s">
        <v>15523</v>
      </c>
      <c r="I53" t="s">
        <v>15575</v>
      </c>
      <c r="K53" t="e">
        <v>#N/A</v>
      </c>
      <c r="S53" s="3"/>
    </row>
    <row r="54" spans="1:19" x14ac:dyDescent="0.25">
      <c r="A54" t="s">
        <v>968</v>
      </c>
      <c r="B54" t="s">
        <v>969</v>
      </c>
      <c r="C54" t="s">
        <v>970</v>
      </c>
      <c r="D54" t="s">
        <v>23</v>
      </c>
      <c r="E54">
        <v>2814</v>
      </c>
      <c r="F54" s="3">
        <v>41667</v>
      </c>
      <c r="H54" t="s">
        <v>15523</v>
      </c>
      <c r="I54" t="s">
        <v>15576</v>
      </c>
      <c r="K54" t="e">
        <v>#N/A</v>
      </c>
      <c r="S54" s="3"/>
    </row>
    <row r="55" spans="1:19" x14ac:dyDescent="0.25">
      <c r="A55" t="s">
        <v>971</v>
      </c>
      <c r="B55" t="s">
        <v>972</v>
      </c>
      <c r="C55" t="s">
        <v>973</v>
      </c>
      <c r="D55" t="s">
        <v>23</v>
      </c>
      <c r="E55">
        <v>2815</v>
      </c>
      <c r="F55" s="3">
        <v>41667</v>
      </c>
      <c r="H55" t="s">
        <v>15523</v>
      </c>
      <c r="I55" t="s">
        <v>15577</v>
      </c>
      <c r="K55" t="e">
        <v>#N/A</v>
      </c>
      <c r="S55" s="3"/>
    </row>
    <row r="56" spans="1:19" x14ac:dyDescent="0.25">
      <c r="A56" t="s">
        <v>974</v>
      </c>
      <c r="B56" t="s">
        <v>975</v>
      </c>
      <c r="C56" t="s">
        <v>976</v>
      </c>
      <c r="D56" t="s">
        <v>23</v>
      </c>
      <c r="E56">
        <v>1341</v>
      </c>
      <c r="F56" s="3">
        <v>40702</v>
      </c>
      <c r="H56" t="s">
        <v>15523</v>
      </c>
      <c r="I56" t="s">
        <v>15578</v>
      </c>
      <c r="K56" t="e">
        <v>#N/A</v>
      </c>
      <c r="S56" s="3"/>
    </row>
    <row r="57" spans="1:19" x14ac:dyDescent="0.25">
      <c r="A57" t="s">
        <v>977</v>
      </c>
      <c r="B57" t="s">
        <v>978</v>
      </c>
      <c r="C57" t="s">
        <v>979</v>
      </c>
      <c r="D57" t="s">
        <v>23</v>
      </c>
      <c r="E57">
        <v>2816</v>
      </c>
      <c r="F57" s="3">
        <v>41667</v>
      </c>
      <c r="H57" t="s">
        <v>15523</v>
      </c>
      <c r="I57" t="s">
        <v>15579</v>
      </c>
      <c r="K57" t="e">
        <v>#N/A</v>
      </c>
      <c r="S57" s="3"/>
    </row>
    <row r="58" spans="1:19" x14ac:dyDescent="0.25">
      <c r="A58" t="s">
        <v>980</v>
      </c>
      <c r="B58" t="s">
        <v>981</v>
      </c>
      <c r="C58" t="s">
        <v>982</v>
      </c>
      <c r="D58" t="s">
        <v>23</v>
      </c>
      <c r="E58">
        <v>2817</v>
      </c>
      <c r="F58" s="3">
        <v>41667</v>
      </c>
      <c r="H58" t="s">
        <v>15523</v>
      </c>
      <c r="I58" t="s">
        <v>15580</v>
      </c>
      <c r="K58" t="e">
        <v>#N/A</v>
      </c>
      <c r="S58" s="3"/>
    </row>
    <row r="59" spans="1:19" x14ac:dyDescent="0.25">
      <c r="A59" t="s">
        <v>983</v>
      </c>
      <c r="B59" t="s">
        <v>984</v>
      </c>
      <c r="C59" s="3">
        <v>155998</v>
      </c>
      <c r="D59" t="s">
        <v>23</v>
      </c>
      <c r="E59">
        <v>2818</v>
      </c>
      <c r="F59" s="3">
        <v>41667</v>
      </c>
      <c r="H59" t="s">
        <v>15523</v>
      </c>
      <c r="I59" t="s">
        <v>15581</v>
      </c>
      <c r="K59" t="e">
        <v>#N/A</v>
      </c>
      <c r="P59" s="3"/>
      <c r="S59" s="3"/>
    </row>
    <row r="60" spans="1:19" x14ac:dyDescent="0.25">
      <c r="A60" t="s">
        <v>986</v>
      </c>
      <c r="B60" t="s">
        <v>987</v>
      </c>
      <c r="C60" t="s">
        <v>988</v>
      </c>
      <c r="D60" t="s">
        <v>23</v>
      </c>
      <c r="E60">
        <v>5193</v>
      </c>
      <c r="F60" s="3">
        <v>42035</v>
      </c>
      <c r="H60" t="s">
        <v>15523</v>
      </c>
      <c r="I60" t="s">
        <v>15582</v>
      </c>
      <c r="K60" t="e">
        <v>#N/A</v>
      </c>
      <c r="S60" s="3"/>
    </row>
    <row r="61" spans="1:19" x14ac:dyDescent="0.25">
      <c r="A61" t="s">
        <v>989</v>
      </c>
      <c r="B61" t="s">
        <v>990</v>
      </c>
      <c r="C61" t="s">
        <v>991</v>
      </c>
      <c r="D61" t="s">
        <v>23</v>
      </c>
      <c r="E61">
        <v>45</v>
      </c>
      <c r="F61" s="3">
        <v>40702</v>
      </c>
      <c r="H61" t="s">
        <v>15523</v>
      </c>
      <c r="I61" t="s">
        <v>15583</v>
      </c>
      <c r="K61" t="e">
        <v>#N/A</v>
      </c>
      <c r="S61" s="3"/>
    </row>
    <row r="62" spans="1:19" x14ac:dyDescent="0.25">
      <c r="A62" t="s">
        <v>992</v>
      </c>
      <c r="B62" t="s">
        <v>993</v>
      </c>
      <c r="C62" t="s">
        <v>994</v>
      </c>
      <c r="D62" t="s">
        <v>23</v>
      </c>
      <c r="E62">
        <v>5208</v>
      </c>
      <c r="F62" s="3">
        <v>42035</v>
      </c>
      <c r="H62" t="s">
        <v>15523</v>
      </c>
      <c r="I62" t="s">
        <v>15584</v>
      </c>
      <c r="K62" t="e">
        <v>#N/A</v>
      </c>
      <c r="S62" s="3"/>
    </row>
    <row r="63" spans="1:19" x14ac:dyDescent="0.25">
      <c r="A63" t="s">
        <v>995</v>
      </c>
      <c r="B63" t="s">
        <v>996</v>
      </c>
      <c r="C63" t="s">
        <v>997</v>
      </c>
      <c r="D63" t="s">
        <v>23</v>
      </c>
      <c r="E63">
        <v>44</v>
      </c>
      <c r="F63" s="3">
        <v>40702</v>
      </c>
      <c r="H63" t="s">
        <v>15523</v>
      </c>
      <c r="I63" t="s">
        <v>15585</v>
      </c>
      <c r="K63" t="e">
        <v>#N/A</v>
      </c>
      <c r="S63" s="3"/>
    </row>
    <row r="64" spans="1:19" x14ac:dyDescent="0.25">
      <c r="A64" t="s">
        <v>998</v>
      </c>
      <c r="B64" t="s">
        <v>999</v>
      </c>
      <c r="C64" t="s">
        <v>1000</v>
      </c>
      <c r="D64" t="s">
        <v>23</v>
      </c>
      <c r="E64">
        <v>2403</v>
      </c>
      <c r="F64" s="3">
        <v>41461</v>
      </c>
      <c r="H64" t="s">
        <v>15523</v>
      </c>
      <c r="I64" t="s">
        <v>15586</v>
      </c>
      <c r="K64" t="e">
        <v>#N/A</v>
      </c>
      <c r="S64" s="3"/>
    </row>
    <row r="65" spans="1:19" x14ac:dyDescent="0.25">
      <c r="A65" t="s">
        <v>1001</v>
      </c>
      <c r="B65" t="s">
        <v>1002</v>
      </c>
      <c r="C65" t="s">
        <v>1003</v>
      </c>
      <c r="D65" t="s">
        <v>23</v>
      </c>
      <c r="E65">
        <v>5109</v>
      </c>
      <c r="F65" s="3">
        <v>41788</v>
      </c>
      <c r="H65" t="s">
        <v>15523</v>
      </c>
      <c r="I65" t="s">
        <v>15587</v>
      </c>
      <c r="K65" t="e">
        <v>#N/A</v>
      </c>
      <c r="S65" s="3"/>
    </row>
    <row r="66" spans="1:19" x14ac:dyDescent="0.25">
      <c r="A66" t="s">
        <v>1004</v>
      </c>
      <c r="B66" t="s">
        <v>1005</v>
      </c>
      <c r="C66" t="s">
        <v>1006</v>
      </c>
      <c r="D66" t="s">
        <v>23</v>
      </c>
      <c r="E66">
        <v>5826</v>
      </c>
      <c r="F66" s="3">
        <v>42991</v>
      </c>
      <c r="H66" t="s">
        <v>15523</v>
      </c>
      <c r="I66" t="s">
        <v>15588</v>
      </c>
      <c r="K66" t="e">
        <v>#N/A</v>
      </c>
      <c r="S66" s="3"/>
    </row>
    <row r="67" spans="1:19" x14ac:dyDescent="0.25">
      <c r="A67" t="s">
        <v>1007</v>
      </c>
      <c r="B67" t="s">
        <v>1008</v>
      </c>
      <c r="C67" t="s">
        <v>1009</v>
      </c>
      <c r="D67" t="s">
        <v>23</v>
      </c>
      <c r="E67">
        <v>2820</v>
      </c>
      <c r="F67" s="3">
        <v>41667</v>
      </c>
      <c r="H67" t="s">
        <v>15523</v>
      </c>
      <c r="I67" t="s">
        <v>15589</v>
      </c>
      <c r="K67" t="e">
        <v>#N/A</v>
      </c>
      <c r="S67" s="3"/>
    </row>
    <row r="68" spans="1:19" x14ac:dyDescent="0.25">
      <c r="A68" t="s">
        <v>1010</v>
      </c>
      <c r="B68" t="s">
        <v>1011</v>
      </c>
      <c r="C68" t="s">
        <v>1012</v>
      </c>
      <c r="D68" t="s">
        <v>23</v>
      </c>
      <c r="E68">
        <v>2821</v>
      </c>
      <c r="F68" s="3">
        <v>41667</v>
      </c>
      <c r="H68" t="s">
        <v>15523</v>
      </c>
      <c r="I68" t="s">
        <v>15590</v>
      </c>
      <c r="K68" t="e">
        <v>#N/A</v>
      </c>
      <c r="S68" s="3"/>
    </row>
    <row r="69" spans="1:19" x14ac:dyDescent="0.25">
      <c r="A69" t="s">
        <v>1013</v>
      </c>
      <c r="B69" t="s">
        <v>1014</v>
      </c>
      <c r="C69" t="s">
        <v>1015</v>
      </c>
      <c r="D69" t="s">
        <v>23</v>
      </c>
      <c r="E69">
        <v>2823</v>
      </c>
      <c r="F69" s="3">
        <v>41667</v>
      </c>
      <c r="H69" t="s">
        <v>15523</v>
      </c>
      <c r="I69" t="s">
        <v>15591</v>
      </c>
      <c r="K69" t="e">
        <v>#N/A</v>
      </c>
      <c r="S69" s="3"/>
    </row>
    <row r="70" spans="1:19" x14ac:dyDescent="0.25">
      <c r="A70" t="s">
        <v>1016</v>
      </c>
      <c r="B70" t="s">
        <v>1017</v>
      </c>
      <c r="C70" t="s">
        <v>1018</v>
      </c>
      <c r="D70" t="s">
        <v>23</v>
      </c>
      <c r="E70">
        <v>5260</v>
      </c>
      <c r="F70" s="3">
        <v>42042</v>
      </c>
      <c r="H70" t="s">
        <v>15523</v>
      </c>
      <c r="I70" t="s">
        <v>15592</v>
      </c>
      <c r="K70" t="e">
        <v>#N/A</v>
      </c>
      <c r="S70" s="3"/>
    </row>
    <row r="71" spans="1:19" x14ac:dyDescent="0.25">
      <c r="A71" t="s">
        <v>1019</v>
      </c>
      <c r="B71" t="s">
        <v>1020</v>
      </c>
      <c r="C71" t="s">
        <v>1021</v>
      </c>
      <c r="D71" t="s">
        <v>23</v>
      </c>
      <c r="E71">
        <v>2260</v>
      </c>
      <c r="F71" s="3">
        <v>41667</v>
      </c>
      <c r="H71" t="s">
        <v>15523</v>
      </c>
      <c r="I71" t="s">
        <v>15593</v>
      </c>
      <c r="K71" t="e">
        <v>#N/A</v>
      </c>
      <c r="S71" s="3"/>
    </row>
    <row r="72" spans="1:19" x14ac:dyDescent="0.25">
      <c r="A72" t="s">
        <v>1022</v>
      </c>
      <c r="B72" t="s">
        <v>1023</v>
      </c>
      <c r="C72" t="s">
        <v>1024</v>
      </c>
      <c r="D72" t="s">
        <v>23</v>
      </c>
      <c r="E72">
        <v>187</v>
      </c>
      <c r="F72" s="3">
        <v>40702</v>
      </c>
      <c r="H72" t="s">
        <v>15523</v>
      </c>
      <c r="I72" t="s">
        <v>15594</v>
      </c>
      <c r="K72" t="e">
        <v>#N/A</v>
      </c>
      <c r="S72" s="3"/>
    </row>
    <row r="73" spans="1:19" x14ac:dyDescent="0.25">
      <c r="A73" t="s">
        <v>1025</v>
      </c>
      <c r="B73" t="s">
        <v>1026</v>
      </c>
      <c r="C73" t="s">
        <v>1027</v>
      </c>
      <c r="D73" t="s">
        <v>23</v>
      </c>
      <c r="E73">
        <v>47</v>
      </c>
      <c r="F73" s="3">
        <v>40702</v>
      </c>
      <c r="H73" t="s">
        <v>15523</v>
      </c>
      <c r="I73" t="s">
        <v>15595</v>
      </c>
      <c r="K73" t="e">
        <v>#N/A</v>
      </c>
      <c r="S73" s="3"/>
    </row>
    <row r="74" spans="1:19" x14ac:dyDescent="0.25">
      <c r="A74" t="s">
        <v>1028</v>
      </c>
      <c r="B74" t="s">
        <v>1029</v>
      </c>
      <c r="C74" t="s">
        <v>1030</v>
      </c>
      <c r="D74" t="s">
        <v>23</v>
      </c>
      <c r="E74">
        <v>48</v>
      </c>
      <c r="F74" s="3">
        <v>40702</v>
      </c>
      <c r="H74" t="s">
        <v>15523</v>
      </c>
      <c r="I74" t="s">
        <v>15596</v>
      </c>
      <c r="K74" t="e">
        <v>#N/A</v>
      </c>
      <c r="S74" s="3"/>
    </row>
    <row r="75" spans="1:19" x14ac:dyDescent="0.25">
      <c r="A75" t="s">
        <v>1031</v>
      </c>
      <c r="B75" t="s">
        <v>1032</v>
      </c>
      <c r="C75" t="s">
        <v>1033</v>
      </c>
      <c r="D75" t="s">
        <v>23</v>
      </c>
      <c r="E75">
        <v>49</v>
      </c>
      <c r="F75" s="3">
        <v>40702</v>
      </c>
      <c r="H75" t="s">
        <v>15523</v>
      </c>
      <c r="I75" t="s">
        <v>15597</v>
      </c>
      <c r="K75" t="e">
        <v>#N/A</v>
      </c>
      <c r="S75" s="3"/>
    </row>
    <row r="76" spans="1:19" x14ac:dyDescent="0.25">
      <c r="A76" t="s">
        <v>1034</v>
      </c>
      <c r="B76" t="s">
        <v>1035</v>
      </c>
      <c r="C76" t="s">
        <v>1036</v>
      </c>
      <c r="D76" t="s">
        <v>23</v>
      </c>
      <c r="E76">
        <v>5258</v>
      </c>
      <c r="F76" s="3">
        <v>42042</v>
      </c>
      <c r="H76" t="s">
        <v>15523</v>
      </c>
      <c r="I76" t="s">
        <v>15598</v>
      </c>
      <c r="K76" t="e">
        <v>#N/A</v>
      </c>
      <c r="S76" s="3"/>
    </row>
    <row r="77" spans="1:19" x14ac:dyDescent="0.25">
      <c r="A77" t="s">
        <v>1037</v>
      </c>
      <c r="B77" t="s">
        <v>1038</v>
      </c>
      <c r="C77" t="s">
        <v>1039</v>
      </c>
      <c r="D77" t="s">
        <v>23</v>
      </c>
      <c r="E77">
        <v>1460</v>
      </c>
      <c r="F77" s="3">
        <v>40702</v>
      </c>
      <c r="H77" t="s">
        <v>15523</v>
      </c>
      <c r="I77" t="s">
        <v>15599</v>
      </c>
      <c r="K77" t="e">
        <v>#N/A</v>
      </c>
      <c r="S77" s="3"/>
    </row>
    <row r="78" spans="1:19" x14ac:dyDescent="0.25">
      <c r="A78" t="s">
        <v>1040</v>
      </c>
      <c r="B78" t="s">
        <v>1041</v>
      </c>
      <c r="C78" t="s">
        <v>1042</v>
      </c>
      <c r="D78" t="s">
        <v>23</v>
      </c>
      <c r="E78">
        <v>2825</v>
      </c>
      <c r="F78" s="3">
        <v>41667</v>
      </c>
      <c r="H78" t="s">
        <v>15523</v>
      </c>
      <c r="I78" t="s">
        <v>15600</v>
      </c>
      <c r="K78" t="e">
        <v>#N/A</v>
      </c>
      <c r="S78" s="3"/>
    </row>
    <row r="79" spans="1:19" x14ac:dyDescent="0.25">
      <c r="A79" t="s">
        <v>1043</v>
      </c>
      <c r="B79" t="s">
        <v>1044</v>
      </c>
      <c r="C79" t="s">
        <v>1045</v>
      </c>
      <c r="D79" t="s">
        <v>23</v>
      </c>
      <c r="E79">
        <v>2826</v>
      </c>
      <c r="F79" s="3">
        <v>41667</v>
      </c>
      <c r="H79" t="s">
        <v>15523</v>
      </c>
      <c r="I79" t="s">
        <v>15601</v>
      </c>
      <c r="K79" t="e">
        <v>#N/A</v>
      </c>
      <c r="S79" s="3"/>
    </row>
    <row r="80" spans="1:19" x14ac:dyDescent="0.25">
      <c r="A80" t="s">
        <v>1046</v>
      </c>
      <c r="B80" t="s">
        <v>1047</v>
      </c>
      <c r="C80" t="s">
        <v>1048</v>
      </c>
      <c r="D80" t="s">
        <v>23</v>
      </c>
      <c r="E80">
        <v>2822</v>
      </c>
      <c r="F80" s="3">
        <v>41667</v>
      </c>
      <c r="H80" t="s">
        <v>15523</v>
      </c>
      <c r="I80" t="s">
        <v>15602</v>
      </c>
      <c r="K80" t="e">
        <v>#N/A</v>
      </c>
      <c r="S80" s="3"/>
    </row>
    <row r="81" spans="1:19" x14ac:dyDescent="0.25">
      <c r="A81" t="s">
        <v>1049</v>
      </c>
      <c r="B81" t="s">
        <v>1050</v>
      </c>
      <c r="C81" t="s">
        <v>1051</v>
      </c>
      <c r="D81" t="s">
        <v>23</v>
      </c>
      <c r="E81">
        <v>2824</v>
      </c>
      <c r="F81" s="3">
        <v>41667</v>
      </c>
      <c r="H81" t="s">
        <v>15523</v>
      </c>
      <c r="I81" t="s">
        <v>15603</v>
      </c>
      <c r="K81" t="e">
        <v>#N/A</v>
      </c>
      <c r="S81" s="3"/>
    </row>
    <row r="82" spans="1:19" x14ac:dyDescent="0.25">
      <c r="A82" t="s">
        <v>1052</v>
      </c>
      <c r="B82" t="s">
        <v>1053</v>
      </c>
      <c r="C82" t="s">
        <v>1054</v>
      </c>
      <c r="D82" t="s">
        <v>23</v>
      </c>
      <c r="E82">
        <v>6019</v>
      </c>
      <c r="F82" s="3">
        <v>43497</v>
      </c>
      <c r="H82" t="s">
        <v>15523</v>
      </c>
      <c r="I82" t="s">
        <v>15604</v>
      </c>
      <c r="K82" t="e">
        <v>#N/A</v>
      </c>
      <c r="S82" s="3"/>
    </row>
    <row r="83" spans="1:19" x14ac:dyDescent="0.25">
      <c r="A83" t="s">
        <v>1055</v>
      </c>
      <c r="B83" t="s">
        <v>1056</v>
      </c>
      <c r="C83" t="s">
        <v>1057</v>
      </c>
      <c r="D83" t="s">
        <v>23</v>
      </c>
      <c r="E83">
        <v>2819</v>
      </c>
      <c r="F83" s="3">
        <v>41667</v>
      </c>
      <c r="H83" t="s">
        <v>15523</v>
      </c>
      <c r="I83" t="s">
        <v>15605</v>
      </c>
      <c r="K83" t="e">
        <v>#N/A</v>
      </c>
      <c r="S83" s="3"/>
    </row>
    <row r="84" spans="1:19" x14ac:dyDescent="0.25">
      <c r="A84" t="s">
        <v>1058</v>
      </c>
      <c r="B84" t="s">
        <v>1059</v>
      </c>
      <c r="C84" t="s">
        <v>1060</v>
      </c>
      <c r="D84" t="s">
        <v>23</v>
      </c>
      <c r="E84">
        <v>1147</v>
      </c>
      <c r="F84" s="3">
        <v>40702</v>
      </c>
      <c r="H84" t="s">
        <v>15523</v>
      </c>
      <c r="I84" t="s">
        <v>15606</v>
      </c>
      <c r="K84" t="e">
        <v>#N/A</v>
      </c>
      <c r="S84" s="3"/>
    </row>
    <row r="85" spans="1:19" x14ac:dyDescent="0.25">
      <c r="A85" t="s">
        <v>1061</v>
      </c>
      <c r="B85" t="s">
        <v>1062</v>
      </c>
      <c r="C85" t="s">
        <v>1063</v>
      </c>
      <c r="D85" t="s">
        <v>23</v>
      </c>
      <c r="E85">
        <v>5825</v>
      </c>
      <c r="F85" s="3">
        <v>42928</v>
      </c>
      <c r="H85" t="s">
        <v>15523</v>
      </c>
      <c r="I85" t="s">
        <v>15607</v>
      </c>
      <c r="K85" t="e">
        <v>#N/A</v>
      </c>
      <c r="S85" s="3"/>
    </row>
    <row r="86" spans="1:19" x14ac:dyDescent="0.25">
      <c r="A86" t="s">
        <v>1064</v>
      </c>
      <c r="B86" t="s">
        <v>1065</v>
      </c>
      <c r="C86" t="s">
        <v>1066</v>
      </c>
      <c r="D86" t="s">
        <v>23</v>
      </c>
      <c r="E86">
        <v>2827</v>
      </c>
      <c r="F86" s="3">
        <v>41667</v>
      </c>
      <c r="H86" t="s">
        <v>15523</v>
      </c>
      <c r="I86" t="s">
        <v>15608</v>
      </c>
      <c r="K86" t="e">
        <v>#N/A</v>
      </c>
      <c r="S86" s="3"/>
    </row>
    <row r="87" spans="1:19" x14ac:dyDescent="0.25">
      <c r="A87" t="s">
        <v>1067</v>
      </c>
      <c r="B87" t="s">
        <v>1068</v>
      </c>
      <c r="C87" t="s">
        <v>1069</v>
      </c>
      <c r="D87" t="s">
        <v>23</v>
      </c>
      <c r="E87">
        <v>2828</v>
      </c>
      <c r="F87" s="3">
        <v>41667</v>
      </c>
      <c r="H87" t="s">
        <v>15523</v>
      </c>
      <c r="I87" t="s">
        <v>15609</v>
      </c>
      <c r="K87" t="e">
        <v>#N/A</v>
      </c>
      <c r="S87" s="3"/>
    </row>
    <row r="88" spans="1:19" x14ac:dyDescent="0.25">
      <c r="A88" t="s">
        <v>1070</v>
      </c>
      <c r="B88" t="s">
        <v>1071</v>
      </c>
      <c r="C88" t="s">
        <v>1072</v>
      </c>
      <c r="D88" t="s">
        <v>23</v>
      </c>
      <c r="E88">
        <v>53</v>
      </c>
      <c r="F88" s="3">
        <v>41667</v>
      </c>
      <c r="H88" t="s">
        <v>15523</v>
      </c>
      <c r="I88" t="s">
        <v>15610</v>
      </c>
      <c r="K88" t="e">
        <v>#N/A</v>
      </c>
      <c r="S88" s="3"/>
    </row>
    <row r="89" spans="1:19" x14ac:dyDescent="0.25">
      <c r="A89" t="s">
        <v>1073</v>
      </c>
      <c r="B89" t="s">
        <v>1074</v>
      </c>
      <c r="C89" t="s">
        <v>1075</v>
      </c>
      <c r="D89" t="s">
        <v>23</v>
      </c>
      <c r="E89">
        <v>4942</v>
      </c>
      <c r="F89" s="3">
        <v>41660</v>
      </c>
      <c r="H89" t="s">
        <v>15523</v>
      </c>
      <c r="I89" t="s">
        <v>15611</v>
      </c>
      <c r="K89" t="e">
        <v>#N/A</v>
      </c>
      <c r="S89" s="3"/>
    </row>
    <row r="90" spans="1:19" x14ac:dyDescent="0.25">
      <c r="A90" t="s">
        <v>1076</v>
      </c>
      <c r="B90" t="s">
        <v>1077</v>
      </c>
      <c r="C90" t="s">
        <v>1078</v>
      </c>
      <c r="D90" t="s">
        <v>23</v>
      </c>
      <c r="E90">
        <v>2830</v>
      </c>
      <c r="F90" s="3">
        <v>41667</v>
      </c>
      <c r="H90" t="s">
        <v>15523</v>
      </c>
      <c r="I90" t="s">
        <v>15612</v>
      </c>
      <c r="K90" t="e">
        <v>#N/A</v>
      </c>
      <c r="S90" s="3"/>
    </row>
    <row r="91" spans="1:19" x14ac:dyDescent="0.25">
      <c r="A91" t="s">
        <v>1079</v>
      </c>
      <c r="B91" t="s">
        <v>1080</v>
      </c>
      <c r="C91" t="s">
        <v>1081</v>
      </c>
      <c r="D91" t="s">
        <v>23</v>
      </c>
      <c r="E91">
        <v>2831</v>
      </c>
      <c r="F91" s="3">
        <v>41667</v>
      </c>
      <c r="H91" t="s">
        <v>15523</v>
      </c>
      <c r="I91" t="s">
        <v>15613</v>
      </c>
      <c r="K91" t="e">
        <v>#N/A</v>
      </c>
      <c r="S91" s="3"/>
    </row>
    <row r="92" spans="1:19" x14ac:dyDescent="0.25">
      <c r="A92" t="s">
        <v>1082</v>
      </c>
      <c r="B92" t="s">
        <v>1083</v>
      </c>
      <c r="C92" t="s">
        <v>1084</v>
      </c>
      <c r="D92" t="s">
        <v>23</v>
      </c>
      <c r="E92">
        <v>2832</v>
      </c>
      <c r="F92" s="3">
        <v>41667</v>
      </c>
      <c r="H92" t="s">
        <v>15523</v>
      </c>
      <c r="I92" t="s">
        <v>15614</v>
      </c>
      <c r="K92" t="e">
        <v>#N/A</v>
      </c>
      <c r="S92" s="3"/>
    </row>
    <row r="93" spans="1:19" x14ac:dyDescent="0.25">
      <c r="A93" t="s">
        <v>1085</v>
      </c>
      <c r="B93" t="s">
        <v>1086</v>
      </c>
      <c r="C93" t="s">
        <v>1087</v>
      </c>
      <c r="D93" t="s">
        <v>23</v>
      </c>
      <c r="E93">
        <v>2833</v>
      </c>
      <c r="F93" s="3">
        <v>41667</v>
      </c>
      <c r="H93" t="s">
        <v>15523</v>
      </c>
      <c r="I93" t="s">
        <v>15615</v>
      </c>
      <c r="K93" t="e">
        <v>#N/A</v>
      </c>
      <c r="S93" s="3"/>
    </row>
    <row r="94" spans="1:19" x14ac:dyDescent="0.25">
      <c r="A94" t="s">
        <v>1088</v>
      </c>
      <c r="B94" t="s">
        <v>1089</v>
      </c>
      <c r="C94" t="s">
        <v>1090</v>
      </c>
      <c r="D94" t="s">
        <v>23</v>
      </c>
      <c r="E94">
        <v>2834</v>
      </c>
      <c r="F94" s="3">
        <v>41667</v>
      </c>
      <c r="H94" t="s">
        <v>15523</v>
      </c>
      <c r="I94" t="s">
        <v>15616</v>
      </c>
      <c r="K94" t="e">
        <v>#N/A</v>
      </c>
      <c r="S94" s="3"/>
    </row>
    <row r="95" spans="1:19" x14ac:dyDescent="0.25">
      <c r="A95" t="s">
        <v>1091</v>
      </c>
      <c r="B95" t="s">
        <v>1092</v>
      </c>
      <c r="C95" t="s">
        <v>1093</v>
      </c>
      <c r="D95" t="s">
        <v>23</v>
      </c>
      <c r="E95">
        <v>2835</v>
      </c>
      <c r="F95" s="3">
        <v>41667</v>
      </c>
      <c r="H95" t="s">
        <v>15523</v>
      </c>
      <c r="I95" t="s">
        <v>15617</v>
      </c>
      <c r="K95" t="e">
        <v>#N/A</v>
      </c>
      <c r="S95" s="3"/>
    </row>
    <row r="96" spans="1:19" x14ac:dyDescent="0.25">
      <c r="A96" t="s">
        <v>1094</v>
      </c>
      <c r="B96" t="s">
        <v>1095</v>
      </c>
      <c r="C96" t="s">
        <v>1096</v>
      </c>
      <c r="D96" t="s">
        <v>23</v>
      </c>
      <c r="E96">
        <v>5261</v>
      </c>
      <c r="F96" s="3">
        <v>42042</v>
      </c>
      <c r="H96" t="s">
        <v>15523</v>
      </c>
      <c r="I96" t="s">
        <v>15618</v>
      </c>
      <c r="K96" t="e">
        <v>#N/A</v>
      </c>
      <c r="S96" s="3"/>
    </row>
    <row r="97" spans="1:19" x14ac:dyDescent="0.25">
      <c r="A97" t="s">
        <v>1097</v>
      </c>
      <c r="B97" t="s">
        <v>1098</v>
      </c>
      <c r="C97" t="s">
        <v>1099</v>
      </c>
      <c r="D97" t="s">
        <v>23</v>
      </c>
      <c r="E97">
        <v>2836</v>
      </c>
      <c r="F97" s="3">
        <v>41667</v>
      </c>
      <c r="H97" t="s">
        <v>15523</v>
      </c>
      <c r="I97" t="s">
        <v>15619</v>
      </c>
      <c r="K97" t="e">
        <v>#N/A</v>
      </c>
      <c r="S97" s="3"/>
    </row>
    <row r="98" spans="1:19" x14ac:dyDescent="0.25">
      <c r="A98" t="s">
        <v>1100</v>
      </c>
      <c r="B98" t="s">
        <v>1101</v>
      </c>
      <c r="C98" t="s">
        <v>1102</v>
      </c>
      <c r="D98" t="s">
        <v>23</v>
      </c>
      <c r="E98">
        <v>2837</v>
      </c>
      <c r="F98" s="3">
        <v>41667</v>
      </c>
      <c r="H98" t="s">
        <v>15523</v>
      </c>
      <c r="I98" t="s">
        <v>15620</v>
      </c>
      <c r="K98" t="e">
        <v>#N/A</v>
      </c>
      <c r="S98" s="3"/>
    </row>
    <row r="99" spans="1:19" x14ac:dyDescent="0.25">
      <c r="A99" t="s">
        <v>1103</v>
      </c>
      <c r="B99" t="s">
        <v>1104</v>
      </c>
      <c r="C99" t="s">
        <v>1105</v>
      </c>
      <c r="D99" t="s">
        <v>23</v>
      </c>
      <c r="E99">
        <v>54</v>
      </c>
      <c r="F99" s="3">
        <v>40702</v>
      </c>
      <c r="H99" t="s">
        <v>15523</v>
      </c>
      <c r="I99" t="s">
        <v>15621</v>
      </c>
      <c r="K99" t="e">
        <v>#N/A</v>
      </c>
      <c r="S99" s="3"/>
    </row>
    <row r="100" spans="1:19" x14ac:dyDescent="0.25">
      <c r="A100" t="s">
        <v>1106</v>
      </c>
      <c r="B100" t="s">
        <v>1107</v>
      </c>
      <c r="C100" t="s">
        <v>1108</v>
      </c>
      <c r="D100" t="s">
        <v>23</v>
      </c>
      <c r="E100">
        <v>2838</v>
      </c>
      <c r="F100" s="3">
        <v>41667</v>
      </c>
      <c r="H100" t="s">
        <v>15523</v>
      </c>
      <c r="I100" t="s">
        <v>15622</v>
      </c>
      <c r="K100" t="e">
        <v>#N/A</v>
      </c>
      <c r="S100" s="3"/>
    </row>
    <row r="101" spans="1:19" x14ac:dyDescent="0.25">
      <c r="A101" t="s">
        <v>1109</v>
      </c>
      <c r="B101" t="s">
        <v>1110</v>
      </c>
      <c r="C101" t="s">
        <v>1111</v>
      </c>
      <c r="D101" t="s">
        <v>23</v>
      </c>
      <c r="E101">
        <v>875</v>
      </c>
      <c r="F101" s="3">
        <v>41667</v>
      </c>
      <c r="H101" t="s">
        <v>15523</v>
      </c>
      <c r="I101" t="s">
        <v>15623</v>
      </c>
      <c r="K101" t="e">
        <v>#N/A</v>
      </c>
      <c r="S101" s="3"/>
    </row>
    <row r="102" spans="1:19" x14ac:dyDescent="0.25">
      <c r="A102" t="s">
        <v>1112</v>
      </c>
      <c r="B102" t="s">
        <v>1113</v>
      </c>
      <c r="C102" t="s">
        <v>1114</v>
      </c>
      <c r="D102" t="s">
        <v>23</v>
      </c>
      <c r="E102">
        <v>2840</v>
      </c>
      <c r="F102" s="3">
        <v>41667</v>
      </c>
      <c r="H102" t="s">
        <v>15523</v>
      </c>
      <c r="I102" t="s">
        <v>15624</v>
      </c>
      <c r="K102" t="e">
        <v>#N/A</v>
      </c>
      <c r="S102" s="3"/>
    </row>
    <row r="103" spans="1:19" x14ac:dyDescent="0.25">
      <c r="A103" t="s">
        <v>1115</v>
      </c>
      <c r="B103" t="s">
        <v>1116</v>
      </c>
      <c r="C103" t="s">
        <v>1117</v>
      </c>
      <c r="D103" t="s">
        <v>23</v>
      </c>
      <c r="E103">
        <v>2841</v>
      </c>
      <c r="F103" s="3">
        <v>41667</v>
      </c>
      <c r="H103" t="s">
        <v>15523</v>
      </c>
      <c r="I103" t="s">
        <v>15625</v>
      </c>
      <c r="K103" t="e">
        <v>#N/A</v>
      </c>
      <c r="S103" s="3"/>
    </row>
    <row r="104" spans="1:19" x14ac:dyDescent="0.25">
      <c r="A104" t="s">
        <v>1118</v>
      </c>
      <c r="B104" t="s">
        <v>1119</v>
      </c>
      <c r="C104" t="s">
        <v>1120</v>
      </c>
      <c r="D104" t="s">
        <v>23</v>
      </c>
      <c r="E104">
        <v>2829</v>
      </c>
      <c r="F104" s="3">
        <v>41667</v>
      </c>
      <c r="H104" t="s">
        <v>15523</v>
      </c>
      <c r="I104" t="s">
        <v>15626</v>
      </c>
      <c r="K104" t="e">
        <v>#N/A</v>
      </c>
      <c r="S104" s="3"/>
    </row>
    <row r="105" spans="1:19" x14ac:dyDescent="0.25">
      <c r="A105" t="s">
        <v>1121</v>
      </c>
      <c r="B105" t="s">
        <v>1122</v>
      </c>
      <c r="C105" t="s">
        <v>1123</v>
      </c>
      <c r="D105" t="s">
        <v>23</v>
      </c>
      <c r="E105">
        <v>2839</v>
      </c>
      <c r="F105" s="3">
        <v>41667</v>
      </c>
      <c r="H105" t="s">
        <v>15523</v>
      </c>
      <c r="I105" t="s">
        <v>15627</v>
      </c>
      <c r="K105" t="e">
        <v>#N/A</v>
      </c>
      <c r="S105" s="3"/>
    </row>
    <row r="106" spans="1:19" x14ac:dyDescent="0.25">
      <c r="A106" t="s">
        <v>1124</v>
      </c>
      <c r="B106" t="s">
        <v>1125</v>
      </c>
      <c r="C106" t="s">
        <v>1126</v>
      </c>
      <c r="D106" t="s">
        <v>23</v>
      </c>
      <c r="E106">
        <v>4943</v>
      </c>
      <c r="F106" s="3">
        <v>41660</v>
      </c>
      <c r="H106" t="s">
        <v>15523</v>
      </c>
      <c r="I106" t="s">
        <v>15628</v>
      </c>
      <c r="K106" t="e">
        <v>#N/A</v>
      </c>
      <c r="S106" s="3"/>
    </row>
    <row r="107" spans="1:19" x14ac:dyDescent="0.25">
      <c r="A107" t="s">
        <v>1127</v>
      </c>
      <c r="B107" t="s">
        <v>1128</v>
      </c>
      <c r="C107" t="s">
        <v>1129</v>
      </c>
      <c r="D107" t="s">
        <v>23</v>
      </c>
      <c r="E107">
        <v>4944</v>
      </c>
      <c r="F107" s="3">
        <v>41660</v>
      </c>
      <c r="H107" t="s">
        <v>15523</v>
      </c>
      <c r="I107" t="s">
        <v>15629</v>
      </c>
      <c r="K107" t="e">
        <v>#N/A</v>
      </c>
      <c r="S107" s="3"/>
    </row>
    <row r="108" spans="1:19" x14ac:dyDescent="0.25">
      <c r="A108" t="s">
        <v>1130</v>
      </c>
      <c r="B108" t="s">
        <v>1131</v>
      </c>
      <c r="C108" t="s">
        <v>1132</v>
      </c>
      <c r="D108" t="s">
        <v>23</v>
      </c>
      <c r="E108">
        <v>1362</v>
      </c>
      <c r="F108" s="3">
        <v>40702</v>
      </c>
      <c r="H108" t="s">
        <v>15523</v>
      </c>
      <c r="I108" t="s">
        <v>15630</v>
      </c>
      <c r="K108" t="e">
        <v>#N/A</v>
      </c>
      <c r="S108" s="3"/>
    </row>
    <row r="109" spans="1:19" x14ac:dyDescent="0.25">
      <c r="A109" t="s">
        <v>1133</v>
      </c>
      <c r="B109" t="s">
        <v>1134</v>
      </c>
      <c r="C109" t="s">
        <v>1135</v>
      </c>
      <c r="D109" t="s">
        <v>23</v>
      </c>
      <c r="E109">
        <v>5204</v>
      </c>
      <c r="F109" s="3">
        <v>42035</v>
      </c>
      <c r="H109" t="s">
        <v>15523</v>
      </c>
      <c r="I109" t="s">
        <v>15631</v>
      </c>
      <c r="K109" t="e">
        <v>#N/A</v>
      </c>
      <c r="S109" s="3"/>
    </row>
    <row r="110" spans="1:19" x14ac:dyDescent="0.25">
      <c r="A110" t="s">
        <v>1136</v>
      </c>
      <c r="B110" t="s">
        <v>1137</v>
      </c>
      <c r="C110" t="s">
        <v>1138</v>
      </c>
      <c r="D110" t="s">
        <v>23</v>
      </c>
      <c r="E110">
        <v>2842</v>
      </c>
      <c r="F110" s="3">
        <v>41667</v>
      </c>
      <c r="H110" t="s">
        <v>15523</v>
      </c>
      <c r="I110" t="s">
        <v>15632</v>
      </c>
      <c r="K110" t="e">
        <v>#N/A</v>
      </c>
      <c r="S110" s="3"/>
    </row>
    <row r="111" spans="1:19" x14ac:dyDescent="0.25">
      <c r="A111" t="s">
        <v>1139</v>
      </c>
      <c r="B111" t="s">
        <v>1140</v>
      </c>
      <c r="C111" t="s">
        <v>1141</v>
      </c>
      <c r="D111" t="s">
        <v>23</v>
      </c>
      <c r="E111">
        <v>2843</v>
      </c>
      <c r="F111" s="3">
        <v>41667</v>
      </c>
      <c r="H111" t="s">
        <v>15523</v>
      </c>
      <c r="I111" t="s">
        <v>15633</v>
      </c>
      <c r="K111" t="e">
        <v>#N/A</v>
      </c>
      <c r="S111" s="3"/>
    </row>
    <row r="112" spans="1:19" x14ac:dyDescent="0.25">
      <c r="A112" t="s">
        <v>1142</v>
      </c>
      <c r="B112" t="s">
        <v>1143</v>
      </c>
      <c r="C112" t="s">
        <v>1144</v>
      </c>
      <c r="D112" t="s">
        <v>23</v>
      </c>
      <c r="E112">
        <v>2312</v>
      </c>
      <c r="F112" s="3">
        <v>40702</v>
      </c>
      <c r="H112" t="s">
        <v>15523</v>
      </c>
      <c r="I112" t="s">
        <v>15634</v>
      </c>
      <c r="K112" t="e">
        <v>#N/A</v>
      </c>
      <c r="S112" s="3"/>
    </row>
    <row r="113" spans="1:19" x14ac:dyDescent="0.25">
      <c r="A113" t="s">
        <v>1145</v>
      </c>
      <c r="B113" t="s">
        <v>1146</v>
      </c>
      <c r="C113" t="s">
        <v>1147</v>
      </c>
      <c r="D113" t="s">
        <v>23</v>
      </c>
      <c r="E113">
        <v>2314</v>
      </c>
      <c r="F113" s="3">
        <v>40783</v>
      </c>
      <c r="H113" t="s">
        <v>15523</v>
      </c>
      <c r="I113" t="s">
        <v>15635</v>
      </c>
      <c r="K113" t="e">
        <v>#N/A</v>
      </c>
      <c r="S113" s="3"/>
    </row>
    <row r="114" spans="1:19" x14ac:dyDescent="0.25">
      <c r="A114" t="s">
        <v>1148</v>
      </c>
      <c r="B114" t="s">
        <v>1149</v>
      </c>
      <c r="C114" t="s">
        <v>1150</v>
      </c>
      <c r="D114" t="s">
        <v>23</v>
      </c>
      <c r="E114">
        <v>2845</v>
      </c>
      <c r="F114" s="3">
        <v>41667</v>
      </c>
      <c r="H114" t="s">
        <v>15523</v>
      </c>
      <c r="I114" t="s">
        <v>15636</v>
      </c>
      <c r="K114" t="e">
        <v>#N/A</v>
      </c>
      <c r="S114" s="3"/>
    </row>
    <row r="115" spans="1:19" x14ac:dyDescent="0.25">
      <c r="A115" t="s">
        <v>1151</v>
      </c>
      <c r="B115" t="s">
        <v>1152</v>
      </c>
      <c r="C115" t="s">
        <v>1153</v>
      </c>
      <c r="D115" t="s">
        <v>23</v>
      </c>
      <c r="E115">
        <v>2846</v>
      </c>
      <c r="F115" s="3">
        <v>41667</v>
      </c>
      <c r="H115" t="s">
        <v>15523</v>
      </c>
      <c r="I115" t="s">
        <v>15637</v>
      </c>
      <c r="K115" t="e">
        <v>#N/A</v>
      </c>
      <c r="S115" s="3"/>
    </row>
    <row r="116" spans="1:19" x14ac:dyDescent="0.25">
      <c r="A116" t="s">
        <v>1154</v>
      </c>
      <c r="B116" t="s">
        <v>1155</v>
      </c>
      <c r="C116" t="s">
        <v>1156</v>
      </c>
      <c r="D116" t="s">
        <v>23</v>
      </c>
      <c r="E116">
        <v>2847</v>
      </c>
      <c r="F116" s="3">
        <v>41667</v>
      </c>
      <c r="H116" t="s">
        <v>15523</v>
      </c>
      <c r="I116" t="s">
        <v>15638</v>
      </c>
      <c r="K116" t="e">
        <v>#N/A</v>
      </c>
      <c r="S116" s="3"/>
    </row>
    <row r="117" spans="1:19" x14ac:dyDescent="0.25">
      <c r="A117" t="s">
        <v>1157</v>
      </c>
      <c r="B117" t="s">
        <v>1158</v>
      </c>
      <c r="C117" t="s">
        <v>1159</v>
      </c>
      <c r="D117" t="s">
        <v>23</v>
      </c>
      <c r="E117">
        <v>1815</v>
      </c>
      <c r="F117" s="3">
        <v>40702</v>
      </c>
      <c r="H117" t="s">
        <v>15523</v>
      </c>
      <c r="I117" t="s">
        <v>15639</v>
      </c>
      <c r="K117" t="e">
        <v>#N/A</v>
      </c>
      <c r="S117" s="3"/>
    </row>
    <row r="118" spans="1:19" x14ac:dyDescent="0.25">
      <c r="A118" t="s">
        <v>1160</v>
      </c>
      <c r="B118" t="s">
        <v>1161</v>
      </c>
      <c r="C118" t="s">
        <v>1162</v>
      </c>
      <c r="D118" t="s">
        <v>23</v>
      </c>
      <c r="E118">
        <v>5589</v>
      </c>
      <c r="F118" s="3">
        <v>42551</v>
      </c>
      <c r="H118" t="s">
        <v>15523</v>
      </c>
      <c r="I118" t="s">
        <v>15640</v>
      </c>
      <c r="K118" t="e">
        <v>#N/A</v>
      </c>
      <c r="S118" s="3"/>
    </row>
    <row r="119" spans="1:19" x14ac:dyDescent="0.25">
      <c r="A119" t="s">
        <v>1163</v>
      </c>
      <c r="B119" t="s">
        <v>1164</v>
      </c>
      <c r="C119" t="s">
        <v>1165</v>
      </c>
      <c r="D119" t="s">
        <v>23</v>
      </c>
      <c r="E119">
        <v>414</v>
      </c>
      <c r="F119" s="3">
        <v>40702</v>
      </c>
      <c r="H119" t="s">
        <v>15523</v>
      </c>
      <c r="I119" t="s">
        <v>15641</v>
      </c>
      <c r="K119" t="e">
        <v>#N/A</v>
      </c>
      <c r="S119" s="3"/>
    </row>
    <row r="120" spans="1:19" x14ac:dyDescent="0.25">
      <c r="A120" t="s">
        <v>1166</v>
      </c>
      <c r="B120" t="s">
        <v>1167</v>
      </c>
      <c r="C120" t="s">
        <v>1168</v>
      </c>
      <c r="D120" t="s">
        <v>23</v>
      </c>
      <c r="E120">
        <v>1950</v>
      </c>
      <c r="F120" s="3">
        <v>41667</v>
      </c>
      <c r="H120" t="s">
        <v>15523</v>
      </c>
      <c r="I120" t="s">
        <v>15642</v>
      </c>
      <c r="K120" t="e">
        <v>#N/A</v>
      </c>
      <c r="S120" s="3"/>
    </row>
    <row r="121" spans="1:19" x14ac:dyDescent="0.25">
      <c r="A121" t="s">
        <v>1169</v>
      </c>
      <c r="B121" t="s">
        <v>1170</v>
      </c>
      <c r="C121" t="s">
        <v>1171</v>
      </c>
      <c r="D121" t="s">
        <v>23</v>
      </c>
      <c r="E121">
        <v>2404</v>
      </c>
      <c r="F121" s="3">
        <v>40702</v>
      </c>
      <c r="H121" t="s">
        <v>15523</v>
      </c>
      <c r="I121" t="s">
        <v>15643</v>
      </c>
      <c r="K121" t="e">
        <v>#N/A</v>
      </c>
      <c r="S121" s="3"/>
    </row>
    <row r="122" spans="1:19" x14ac:dyDescent="0.25">
      <c r="A122" t="s">
        <v>1172</v>
      </c>
      <c r="B122" t="s">
        <v>1173</v>
      </c>
      <c r="C122" t="s">
        <v>1174</v>
      </c>
      <c r="D122" t="s">
        <v>23</v>
      </c>
      <c r="E122">
        <v>5756</v>
      </c>
      <c r="F122" s="3">
        <v>42759</v>
      </c>
      <c r="H122" t="s">
        <v>15523</v>
      </c>
      <c r="I122" t="s">
        <v>15644</v>
      </c>
      <c r="K122" t="e">
        <v>#N/A</v>
      </c>
      <c r="S122" s="3"/>
    </row>
    <row r="123" spans="1:19" x14ac:dyDescent="0.25">
      <c r="A123" t="s">
        <v>1175</v>
      </c>
      <c r="B123" t="s">
        <v>1176</v>
      </c>
      <c r="C123" t="s">
        <v>1177</v>
      </c>
      <c r="D123" t="s">
        <v>23</v>
      </c>
      <c r="E123">
        <v>5752</v>
      </c>
      <c r="F123" s="3">
        <v>42759</v>
      </c>
      <c r="H123" t="s">
        <v>15523</v>
      </c>
      <c r="I123" t="s">
        <v>15645</v>
      </c>
      <c r="K123" t="e">
        <v>#N/A</v>
      </c>
      <c r="S123" s="3"/>
    </row>
    <row r="124" spans="1:19" x14ac:dyDescent="0.25">
      <c r="A124" t="s">
        <v>1178</v>
      </c>
      <c r="B124" t="s">
        <v>1179</v>
      </c>
      <c r="C124" t="s">
        <v>1180</v>
      </c>
      <c r="D124" t="s">
        <v>23</v>
      </c>
      <c r="E124">
        <v>4945</v>
      </c>
      <c r="F124" s="3">
        <v>41660</v>
      </c>
      <c r="H124" t="s">
        <v>15523</v>
      </c>
      <c r="I124" t="s">
        <v>15646</v>
      </c>
      <c r="K124" t="e">
        <v>#N/A</v>
      </c>
      <c r="S124" s="3"/>
    </row>
    <row r="125" spans="1:19" x14ac:dyDescent="0.25">
      <c r="A125" t="s">
        <v>1181</v>
      </c>
      <c r="B125" t="s">
        <v>1182</v>
      </c>
      <c r="C125" t="s">
        <v>1183</v>
      </c>
      <c r="D125" t="s">
        <v>23</v>
      </c>
      <c r="E125">
        <v>2849</v>
      </c>
      <c r="F125" s="3">
        <v>41667</v>
      </c>
      <c r="H125" t="s">
        <v>15523</v>
      </c>
      <c r="I125" t="s">
        <v>15647</v>
      </c>
      <c r="K125" t="e">
        <v>#N/A</v>
      </c>
      <c r="S125" s="3"/>
    </row>
    <row r="126" spans="1:19" x14ac:dyDescent="0.25">
      <c r="A126" t="s">
        <v>1184</v>
      </c>
      <c r="B126" t="s">
        <v>1185</v>
      </c>
      <c r="C126" t="s">
        <v>1186</v>
      </c>
      <c r="D126" t="s">
        <v>23</v>
      </c>
      <c r="E126">
        <v>65</v>
      </c>
      <c r="F126" s="3">
        <v>41461</v>
      </c>
      <c r="H126" t="s">
        <v>15523</v>
      </c>
      <c r="I126" t="s">
        <v>15648</v>
      </c>
      <c r="K126" t="e">
        <v>#N/A</v>
      </c>
      <c r="S126" s="3"/>
    </row>
    <row r="127" spans="1:19" x14ac:dyDescent="0.25">
      <c r="A127" t="s">
        <v>1187</v>
      </c>
      <c r="B127" t="s">
        <v>1188</v>
      </c>
      <c r="C127" t="s">
        <v>1189</v>
      </c>
      <c r="D127" t="s">
        <v>23</v>
      </c>
      <c r="E127">
        <v>2850</v>
      </c>
      <c r="F127" s="3">
        <v>41667</v>
      </c>
      <c r="H127" t="s">
        <v>15523</v>
      </c>
      <c r="I127" t="s">
        <v>15649</v>
      </c>
      <c r="K127" t="e">
        <v>#N/A</v>
      </c>
      <c r="S127" s="3"/>
    </row>
    <row r="128" spans="1:19" x14ac:dyDescent="0.25">
      <c r="A128" t="s">
        <v>1190</v>
      </c>
      <c r="B128" t="s">
        <v>1191</v>
      </c>
      <c r="C128" t="s">
        <v>1192</v>
      </c>
      <c r="D128" t="s">
        <v>23</v>
      </c>
      <c r="E128">
        <v>2851</v>
      </c>
      <c r="F128" s="3">
        <v>41667</v>
      </c>
      <c r="H128" t="s">
        <v>15523</v>
      </c>
      <c r="I128" t="s">
        <v>15650</v>
      </c>
      <c r="K128" t="e">
        <v>#N/A</v>
      </c>
      <c r="S128" s="3"/>
    </row>
    <row r="129" spans="1:19" x14ac:dyDescent="0.25">
      <c r="A129" t="s">
        <v>1193</v>
      </c>
      <c r="B129" t="s">
        <v>1194</v>
      </c>
      <c r="C129" t="s">
        <v>1195</v>
      </c>
      <c r="D129" t="s">
        <v>23</v>
      </c>
      <c r="E129">
        <v>67</v>
      </c>
      <c r="F129" s="3">
        <v>40702</v>
      </c>
      <c r="H129" t="s">
        <v>15523</v>
      </c>
      <c r="I129" t="s">
        <v>15651</v>
      </c>
      <c r="K129" t="e">
        <v>#N/A</v>
      </c>
      <c r="S129" s="3"/>
    </row>
    <row r="130" spans="1:19" x14ac:dyDescent="0.25">
      <c r="A130" t="s">
        <v>1196</v>
      </c>
      <c r="B130" t="s">
        <v>1197</v>
      </c>
      <c r="C130" t="s">
        <v>1198</v>
      </c>
      <c r="D130" t="s">
        <v>23</v>
      </c>
      <c r="E130">
        <v>2852</v>
      </c>
      <c r="F130" s="3">
        <v>41667</v>
      </c>
      <c r="H130" t="s">
        <v>15523</v>
      </c>
      <c r="I130" t="s">
        <v>15652</v>
      </c>
      <c r="K130" t="e">
        <v>#N/A</v>
      </c>
      <c r="S130" s="3"/>
    </row>
    <row r="131" spans="1:19" x14ac:dyDescent="0.25">
      <c r="A131" t="s">
        <v>1199</v>
      </c>
      <c r="B131" t="s">
        <v>1200</v>
      </c>
      <c r="C131" t="s">
        <v>1201</v>
      </c>
      <c r="D131" t="s">
        <v>23</v>
      </c>
      <c r="E131">
        <v>68</v>
      </c>
      <c r="F131" s="3">
        <v>40702</v>
      </c>
      <c r="H131" t="s">
        <v>15523</v>
      </c>
      <c r="I131" t="s">
        <v>15653</v>
      </c>
      <c r="K131" t="e">
        <v>#N/A</v>
      </c>
      <c r="S131" s="3"/>
    </row>
    <row r="132" spans="1:19" x14ac:dyDescent="0.25">
      <c r="A132" t="s">
        <v>1202</v>
      </c>
      <c r="B132" t="s">
        <v>1203</v>
      </c>
      <c r="C132" t="s">
        <v>1204</v>
      </c>
      <c r="D132" t="s">
        <v>23</v>
      </c>
      <c r="E132">
        <v>64</v>
      </c>
      <c r="F132" s="3">
        <v>40702</v>
      </c>
      <c r="H132" t="s">
        <v>15523</v>
      </c>
      <c r="I132" t="s">
        <v>15654</v>
      </c>
      <c r="K132" t="e">
        <v>#N/A</v>
      </c>
      <c r="S132" s="3"/>
    </row>
    <row r="133" spans="1:19" x14ac:dyDescent="0.25">
      <c r="A133" t="s">
        <v>1205</v>
      </c>
      <c r="B133" t="s">
        <v>1206</v>
      </c>
      <c r="C133" t="s">
        <v>1207</v>
      </c>
      <c r="D133" t="s">
        <v>23</v>
      </c>
      <c r="E133">
        <v>2853</v>
      </c>
      <c r="F133" s="3">
        <v>41667</v>
      </c>
      <c r="H133" t="s">
        <v>15523</v>
      </c>
      <c r="I133" t="s">
        <v>15655</v>
      </c>
      <c r="K133" t="e">
        <v>#N/A</v>
      </c>
      <c r="S133" s="3"/>
    </row>
    <row r="134" spans="1:19" x14ac:dyDescent="0.25">
      <c r="A134" t="s">
        <v>1208</v>
      </c>
      <c r="B134" t="s">
        <v>1209</v>
      </c>
      <c r="C134" t="s">
        <v>1210</v>
      </c>
      <c r="D134" t="s">
        <v>23</v>
      </c>
      <c r="E134">
        <v>4946</v>
      </c>
      <c r="F134" s="3">
        <v>41660</v>
      </c>
      <c r="H134" t="s">
        <v>15523</v>
      </c>
      <c r="I134" t="s">
        <v>15656</v>
      </c>
      <c r="K134" t="e">
        <v>#N/A</v>
      </c>
      <c r="S134" s="3"/>
    </row>
    <row r="135" spans="1:19" x14ac:dyDescent="0.25">
      <c r="A135" t="s">
        <v>1211</v>
      </c>
      <c r="B135" t="s">
        <v>1212</v>
      </c>
      <c r="C135" t="s">
        <v>1213</v>
      </c>
      <c r="D135" t="s">
        <v>23</v>
      </c>
      <c r="E135">
        <v>4947</v>
      </c>
      <c r="F135" s="3">
        <v>41660</v>
      </c>
      <c r="H135" t="s">
        <v>15523</v>
      </c>
      <c r="I135" t="s">
        <v>15657</v>
      </c>
      <c r="K135" t="e">
        <v>#N/A</v>
      </c>
      <c r="S135" s="3"/>
    </row>
    <row r="136" spans="1:19" x14ac:dyDescent="0.25">
      <c r="A136" t="s">
        <v>1214</v>
      </c>
      <c r="B136" t="s">
        <v>1215</v>
      </c>
      <c r="C136" t="s">
        <v>1216</v>
      </c>
      <c r="D136" t="s">
        <v>23</v>
      </c>
      <c r="E136">
        <v>2854</v>
      </c>
      <c r="F136" s="3">
        <v>41667</v>
      </c>
      <c r="H136" t="s">
        <v>15523</v>
      </c>
      <c r="I136" t="s">
        <v>15658</v>
      </c>
      <c r="K136" t="e">
        <v>#N/A</v>
      </c>
      <c r="S136" s="3"/>
    </row>
    <row r="137" spans="1:19" x14ac:dyDescent="0.25">
      <c r="A137" t="s">
        <v>1217</v>
      </c>
      <c r="B137" t="s">
        <v>1218</v>
      </c>
      <c r="C137" t="s">
        <v>1219</v>
      </c>
      <c r="D137" t="s">
        <v>23</v>
      </c>
      <c r="E137">
        <v>5140</v>
      </c>
      <c r="F137" s="3">
        <v>41928</v>
      </c>
      <c r="H137" t="s">
        <v>15523</v>
      </c>
      <c r="I137" t="s">
        <v>15659</v>
      </c>
      <c r="K137" t="e">
        <v>#N/A</v>
      </c>
      <c r="S137" s="3"/>
    </row>
    <row r="138" spans="1:19" x14ac:dyDescent="0.25">
      <c r="A138" t="s">
        <v>1220</v>
      </c>
      <c r="B138" t="s">
        <v>1221</v>
      </c>
      <c r="C138" t="s">
        <v>1222</v>
      </c>
      <c r="D138" t="s">
        <v>23</v>
      </c>
      <c r="E138">
        <v>2855</v>
      </c>
      <c r="F138" s="3">
        <v>41667</v>
      </c>
      <c r="H138" t="s">
        <v>15523</v>
      </c>
      <c r="I138" t="s">
        <v>15660</v>
      </c>
      <c r="K138" t="e">
        <v>#N/A</v>
      </c>
      <c r="S138" s="3"/>
    </row>
    <row r="139" spans="1:19" x14ac:dyDescent="0.25">
      <c r="A139" t="s">
        <v>1223</v>
      </c>
      <c r="B139" t="s">
        <v>1224</v>
      </c>
      <c r="C139" t="s">
        <v>1225</v>
      </c>
      <c r="D139" t="s">
        <v>23</v>
      </c>
      <c r="E139">
        <v>2856</v>
      </c>
      <c r="F139" s="3">
        <v>41667</v>
      </c>
      <c r="H139" t="s">
        <v>15523</v>
      </c>
      <c r="I139" t="s">
        <v>15661</v>
      </c>
      <c r="K139" t="e">
        <v>#N/A</v>
      </c>
      <c r="S139" s="3"/>
    </row>
    <row r="140" spans="1:19" x14ac:dyDescent="0.25">
      <c r="A140" t="s">
        <v>1226</v>
      </c>
      <c r="B140" t="s">
        <v>1227</v>
      </c>
      <c r="C140" t="s">
        <v>1228</v>
      </c>
      <c r="D140" t="s">
        <v>23</v>
      </c>
      <c r="E140">
        <v>1434</v>
      </c>
      <c r="F140" s="3">
        <v>40702</v>
      </c>
      <c r="H140" t="s">
        <v>15523</v>
      </c>
      <c r="I140" t="s">
        <v>15662</v>
      </c>
      <c r="K140" t="e">
        <v>#N/A</v>
      </c>
      <c r="S140" s="3"/>
    </row>
    <row r="141" spans="1:19" x14ac:dyDescent="0.25">
      <c r="A141" t="s">
        <v>1229</v>
      </c>
      <c r="B141" t="s">
        <v>1230</v>
      </c>
      <c r="C141" t="s">
        <v>1231</v>
      </c>
      <c r="D141" t="s">
        <v>23</v>
      </c>
      <c r="E141">
        <v>4948</v>
      </c>
      <c r="F141" s="3">
        <v>41660</v>
      </c>
      <c r="H141" t="s">
        <v>15523</v>
      </c>
      <c r="I141" t="s">
        <v>15663</v>
      </c>
      <c r="K141" t="e">
        <v>#N/A</v>
      </c>
      <c r="S141" s="3"/>
    </row>
    <row r="142" spans="1:19" x14ac:dyDescent="0.25">
      <c r="A142" t="s">
        <v>1232</v>
      </c>
      <c r="B142" t="s">
        <v>1233</v>
      </c>
      <c r="C142" t="s">
        <v>1234</v>
      </c>
      <c r="D142" t="s">
        <v>23</v>
      </c>
      <c r="E142">
        <v>5142</v>
      </c>
      <c r="F142" s="3">
        <v>41928</v>
      </c>
      <c r="H142" t="s">
        <v>15523</v>
      </c>
      <c r="I142" t="s">
        <v>15664</v>
      </c>
      <c r="K142" t="e">
        <v>#N/A</v>
      </c>
      <c r="S142" s="3"/>
    </row>
    <row r="143" spans="1:19" x14ac:dyDescent="0.25">
      <c r="A143" t="s">
        <v>1235</v>
      </c>
      <c r="B143" t="s">
        <v>1236</v>
      </c>
      <c r="C143" t="s">
        <v>1237</v>
      </c>
      <c r="D143" t="s">
        <v>23</v>
      </c>
      <c r="E143">
        <v>2857</v>
      </c>
      <c r="F143" s="3">
        <v>41667</v>
      </c>
      <c r="H143" t="s">
        <v>15523</v>
      </c>
      <c r="I143" t="s">
        <v>15665</v>
      </c>
      <c r="K143" t="e">
        <v>#N/A</v>
      </c>
      <c r="S143" s="3"/>
    </row>
    <row r="144" spans="1:19" x14ac:dyDescent="0.25">
      <c r="A144" t="s">
        <v>1238</v>
      </c>
      <c r="B144" t="s">
        <v>1239</v>
      </c>
      <c r="C144" t="s">
        <v>1240</v>
      </c>
      <c r="D144" t="s">
        <v>23</v>
      </c>
      <c r="E144">
        <v>4949</v>
      </c>
      <c r="F144" s="3">
        <v>41660</v>
      </c>
      <c r="H144" t="s">
        <v>15523</v>
      </c>
      <c r="I144" t="s">
        <v>15666</v>
      </c>
      <c r="K144" t="e">
        <v>#N/A</v>
      </c>
      <c r="S144" s="3"/>
    </row>
    <row r="145" spans="1:19" x14ac:dyDescent="0.25">
      <c r="A145" t="s">
        <v>1241</v>
      </c>
      <c r="B145" t="s">
        <v>1242</v>
      </c>
      <c r="C145" t="s">
        <v>1243</v>
      </c>
      <c r="D145" t="s">
        <v>23</v>
      </c>
      <c r="E145">
        <v>5146</v>
      </c>
      <c r="F145" s="3">
        <v>41956</v>
      </c>
      <c r="H145" t="s">
        <v>15523</v>
      </c>
      <c r="I145" t="s">
        <v>15667</v>
      </c>
      <c r="K145" t="e">
        <v>#N/A</v>
      </c>
      <c r="S145" s="3"/>
    </row>
    <row r="146" spans="1:19" x14ac:dyDescent="0.25">
      <c r="A146" t="s">
        <v>1244</v>
      </c>
      <c r="B146" t="s">
        <v>1245</v>
      </c>
      <c r="C146" t="s">
        <v>1246</v>
      </c>
      <c r="D146" t="s">
        <v>23</v>
      </c>
      <c r="E146">
        <v>2858</v>
      </c>
      <c r="F146" s="3">
        <v>41667</v>
      </c>
      <c r="H146" t="s">
        <v>15523</v>
      </c>
      <c r="I146" t="s">
        <v>15668</v>
      </c>
      <c r="K146" t="e">
        <v>#N/A</v>
      </c>
      <c r="S146" s="3"/>
    </row>
    <row r="147" spans="1:19" x14ac:dyDescent="0.25">
      <c r="A147" t="s">
        <v>1247</v>
      </c>
      <c r="B147" t="s">
        <v>1248</v>
      </c>
      <c r="C147" t="s">
        <v>1249</v>
      </c>
      <c r="D147" t="s">
        <v>23</v>
      </c>
      <c r="E147">
        <v>1728</v>
      </c>
      <c r="F147" s="3">
        <v>41461</v>
      </c>
      <c r="H147" t="s">
        <v>15523</v>
      </c>
      <c r="I147" t="s">
        <v>15669</v>
      </c>
      <c r="K147" t="e">
        <v>#N/A</v>
      </c>
      <c r="S147" s="3"/>
    </row>
    <row r="148" spans="1:19" x14ac:dyDescent="0.25">
      <c r="A148" t="s">
        <v>1250</v>
      </c>
      <c r="B148" t="s">
        <v>1251</v>
      </c>
      <c r="C148" t="s">
        <v>1252</v>
      </c>
      <c r="D148" t="s">
        <v>23</v>
      </c>
      <c r="E148">
        <v>858</v>
      </c>
      <c r="F148" s="3">
        <v>40702</v>
      </c>
      <c r="H148" t="s">
        <v>15523</v>
      </c>
      <c r="I148" t="s">
        <v>15670</v>
      </c>
      <c r="K148" t="e">
        <v>#N/A</v>
      </c>
      <c r="S148" s="3"/>
    </row>
    <row r="149" spans="1:19" x14ac:dyDescent="0.25">
      <c r="A149" t="s">
        <v>1253</v>
      </c>
      <c r="B149" t="s">
        <v>1254</v>
      </c>
      <c r="C149" t="s">
        <v>1255</v>
      </c>
      <c r="D149" t="s">
        <v>23</v>
      </c>
      <c r="E149">
        <v>5757</v>
      </c>
      <c r="F149" s="3">
        <v>42759</v>
      </c>
      <c r="H149" t="s">
        <v>15523</v>
      </c>
      <c r="I149" t="s">
        <v>15671</v>
      </c>
      <c r="K149" t="e">
        <v>#N/A</v>
      </c>
      <c r="S149" s="3"/>
    </row>
    <row r="150" spans="1:19" x14ac:dyDescent="0.25">
      <c r="A150" t="s">
        <v>1256</v>
      </c>
      <c r="B150" t="s">
        <v>1257</v>
      </c>
      <c r="C150" t="s">
        <v>1258</v>
      </c>
      <c r="D150" t="s">
        <v>23</v>
      </c>
      <c r="E150">
        <v>2859</v>
      </c>
      <c r="F150" s="3">
        <v>41667</v>
      </c>
      <c r="H150" t="s">
        <v>15523</v>
      </c>
      <c r="I150" t="s">
        <v>15672</v>
      </c>
      <c r="K150" t="e">
        <v>#N/A</v>
      </c>
      <c r="S150" s="3"/>
    </row>
    <row r="151" spans="1:19" x14ac:dyDescent="0.25">
      <c r="A151" t="s">
        <v>1259</v>
      </c>
      <c r="B151" t="s">
        <v>1260</v>
      </c>
      <c r="C151" t="s">
        <v>1261</v>
      </c>
      <c r="D151" t="s">
        <v>23</v>
      </c>
      <c r="E151">
        <v>5567</v>
      </c>
      <c r="F151" s="3">
        <v>42425</v>
      </c>
      <c r="H151" t="s">
        <v>15523</v>
      </c>
      <c r="I151" t="s">
        <v>15673</v>
      </c>
      <c r="K151" t="e">
        <v>#N/A</v>
      </c>
      <c r="S151" s="3"/>
    </row>
    <row r="152" spans="1:19" x14ac:dyDescent="0.25">
      <c r="A152" t="s">
        <v>1262</v>
      </c>
      <c r="B152" t="s">
        <v>1263</v>
      </c>
      <c r="C152" t="s">
        <v>1264</v>
      </c>
      <c r="D152" t="s">
        <v>23</v>
      </c>
      <c r="E152">
        <v>71</v>
      </c>
      <c r="F152" s="3">
        <v>40702</v>
      </c>
      <c r="H152" t="s">
        <v>15523</v>
      </c>
      <c r="I152" t="s">
        <v>15674</v>
      </c>
      <c r="K152" t="e">
        <v>#N/A</v>
      </c>
      <c r="S152" s="3"/>
    </row>
    <row r="153" spans="1:19" x14ac:dyDescent="0.25">
      <c r="A153" t="s">
        <v>1265</v>
      </c>
      <c r="B153" t="s">
        <v>1266</v>
      </c>
      <c r="C153" t="s">
        <v>1267</v>
      </c>
      <c r="D153" t="s">
        <v>23</v>
      </c>
      <c r="E153">
        <v>5566</v>
      </c>
      <c r="F153" s="3">
        <v>42425</v>
      </c>
      <c r="H153" t="s">
        <v>15523</v>
      </c>
      <c r="I153" t="s">
        <v>15675</v>
      </c>
      <c r="K153" t="e">
        <v>#N/A</v>
      </c>
      <c r="S153" s="3"/>
    </row>
    <row r="154" spans="1:19" x14ac:dyDescent="0.25">
      <c r="A154" t="s">
        <v>1268</v>
      </c>
      <c r="B154" t="s">
        <v>1269</v>
      </c>
      <c r="C154" t="s">
        <v>1270</v>
      </c>
      <c r="D154" t="s">
        <v>23</v>
      </c>
      <c r="E154">
        <v>5753</v>
      </c>
      <c r="F154" s="3">
        <v>42759</v>
      </c>
      <c r="H154" t="s">
        <v>15523</v>
      </c>
      <c r="I154" t="s">
        <v>15676</v>
      </c>
      <c r="K154" t="e">
        <v>#N/A</v>
      </c>
      <c r="S154" s="3"/>
    </row>
    <row r="155" spans="1:19" x14ac:dyDescent="0.25">
      <c r="A155" t="s">
        <v>1271</v>
      </c>
      <c r="B155" t="s">
        <v>1272</v>
      </c>
      <c r="C155" t="s">
        <v>1273</v>
      </c>
      <c r="D155" t="s">
        <v>23</v>
      </c>
      <c r="E155">
        <v>2860</v>
      </c>
      <c r="F155" s="3">
        <v>41667</v>
      </c>
      <c r="H155" t="s">
        <v>15523</v>
      </c>
      <c r="I155" t="s">
        <v>15677</v>
      </c>
      <c r="K155" t="e">
        <v>#N/A</v>
      </c>
      <c r="S155" s="3"/>
    </row>
    <row r="156" spans="1:19" x14ac:dyDescent="0.25">
      <c r="A156" t="s">
        <v>1274</v>
      </c>
      <c r="B156" t="s">
        <v>1275</v>
      </c>
      <c r="C156" t="s">
        <v>1276</v>
      </c>
      <c r="D156" t="s">
        <v>23</v>
      </c>
      <c r="E156">
        <v>59</v>
      </c>
      <c r="F156" s="3">
        <v>40702</v>
      </c>
      <c r="H156" t="s">
        <v>15523</v>
      </c>
      <c r="I156" t="s">
        <v>15678</v>
      </c>
      <c r="K156" t="e">
        <v>#N/A</v>
      </c>
      <c r="S156" s="3"/>
    </row>
    <row r="157" spans="1:19" x14ac:dyDescent="0.25">
      <c r="A157" t="s">
        <v>1277</v>
      </c>
      <c r="B157" t="s">
        <v>1278</v>
      </c>
      <c r="C157" t="s">
        <v>1279</v>
      </c>
      <c r="D157" t="s">
        <v>23</v>
      </c>
      <c r="E157">
        <v>60</v>
      </c>
      <c r="F157" s="3">
        <v>40702</v>
      </c>
      <c r="H157" t="s">
        <v>15523</v>
      </c>
      <c r="I157" t="s">
        <v>15679</v>
      </c>
      <c r="K157" t="e">
        <v>#N/A</v>
      </c>
      <c r="S157" s="3"/>
    </row>
    <row r="158" spans="1:19" x14ac:dyDescent="0.25">
      <c r="A158" t="s">
        <v>1280</v>
      </c>
      <c r="B158" t="s">
        <v>1281</v>
      </c>
      <c r="C158" t="s">
        <v>1282</v>
      </c>
      <c r="D158" t="s">
        <v>23</v>
      </c>
      <c r="E158">
        <v>61</v>
      </c>
      <c r="F158" s="3">
        <v>40702</v>
      </c>
      <c r="H158" t="s">
        <v>15523</v>
      </c>
      <c r="I158" t="s">
        <v>15680</v>
      </c>
      <c r="K158" t="e">
        <v>#N/A</v>
      </c>
      <c r="S158" s="3"/>
    </row>
    <row r="159" spans="1:19" x14ac:dyDescent="0.25">
      <c r="A159" t="s">
        <v>1283</v>
      </c>
      <c r="B159" t="s">
        <v>1284</v>
      </c>
      <c r="C159" s="3">
        <v>1081180</v>
      </c>
      <c r="D159" t="s">
        <v>23</v>
      </c>
      <c r="E159">
        <v>2862</v>
      </c>
      <c r="F159" s="3">
        <v>41667</v>
      </c>
      <c r="H159" t="s">
        <v>15523</v>
      </c>
      <c r="I159" t="s">
        <v>15681</v>
      </c>
      <c r="K159" t="e">
        <v>#N/A</v>
      </c>
      <c r="P159" s="3"/>
      <c r="S159" s="3"/>
    </row>
    <row r="160" spans="1:19" x14ac:dyDescent="0.25">
      <c r="A160" t="s">
        <v>1286</v>
      </c>
      <c r="B160" t="s">
        <v>1287</v>
      </c>
      <c r="C160" t="s">
        <v>1288</v>
      </c>
      <c r="D160" t="s">
        <v>23</v>
      </c>
      <c r="E160">
        <v>2863</v>
      </c>
      <c r="F160" s="3">
        <v>41667</v>
      </c>
      <c r="H160" t="s">
        <v>15523</v>
      </c>
      <c r="I160" t="s">
        <v>15682</v>
      </c>
      <c r="K160" t="e">
        <v>#N/A</v>
      </c>
      <c r="S160" s="3"/>
    </row>
    <row r="161" spans="1:19" x14ac:dyDescent="0.25">
      <c r="A161" t="s">
        <v>1289</v>
      </c>
      <c r="B161" t="s">
        <v>1290</v>
      </c>
      <c r="C161" t="s">
        <v>1291</v>
      </c>
      <c r="D161" t="s">
        <v>23</v>
      </c>
      <c r="E161">
        <v>5951</v>
      </c>
      <c r="F161" s="3">
        <v>43250</v>
      </c>
      <c r="H161" t="s">
        <v>15523</v>
      </c>
      <c r="I161" t="s">
        <v>15683</v>
      </c>
      <c r="K161" t="e">
        <v>#N/A</v>
      </c>
      <c r="S161" s="3"/>
    </row>
    <row r="162" spans="1:19" x14ac:dyDescent="0.25">
      <c r="A162" t="s">
        <v>1292</v>
      </c>
      <c r="B162" t="s">
        <v>1293</v>
      </c>
      <c r="C162" t="s">
        <v>1294</v>
      </c>
      <c r="D162" t="s">
        <v>23</v>
      </c>
      <c r="E162">
        <v>62</v>
      </c>
      <c r="F162" s="3">
        <v>40702</v>
      </c>
      <c r="H162" t="s">
        <v>15523</v>
      </c>
      <c r="I162" t="s">
        <v>15684</v>
      </c>
      <c r="K162" t="e">
        <v>#N/A</v>
      </c>
      <c r="S162" s="3"/>
    </row>
    <row r="163" spans="1:19" x14ac:dyDescent="0.25">
      <c r="A163" t="s">
        <v>1295</v>
      </c>
      <c r="B163" t="s">
        <v>1296</v>
      </c>
      <c r="C163" t="s">
        <v>1297</v>
      </c>
      <c r="D163" t="s">
        <v>23</v>
      </c>
      <c r="E163">
        <v>2864</v>
      </c>
      <c r="F163" s="3">
        <v>41667</v>
      </c>
      <c r="H163" t="s">
        <v>15523</v>
      </c>
      <c r="I163" t="s">
        <v>15685</v>
      </c>
      <c r="K163" t="e">
        <v>#N/A</v>
      </c>
      <c r="S163" s="3"/>
    </row>
    <row r="164" spans="1:19" x14ac:dyDescent="0.25">
      <c r="A164" t="s">
        <v>1298</v>
      </c>
      <c r="B164" t="s">
        <v>1299</v>
      </c>
      <c r="C164" t="s">
        <v>1300</v>
      </c>
      <c r="D164" t="s">
        <v>23</v>
      </c>
      <c r="E164">
        <v>765</v>
      </c>
      <c r="F164" s="3">
        <v>40702</v>
      </c>
      <c r="H164" t="s">
        <v>15523</v>
      </c>
      <c r="I164" t="s">
        <v>15686</v>
      </c>
      <c r="K164" t="e">
        <v>#N/A</v>
      </c>
      <c r="S164" s="3"/>
    </row>
    <row r="165" spans="1:19" x14ac:dyDescent="0.25">
      <c r="A165" t="s">
        <v>1301</v>
      </c>
      <c r="B165" t="s">
        <v>1302</v>
      </c>
      <c r="C165" t="s">
        <v>1303</v>
      </c>
      <c r="D165" t="s">
        <v>23</v>
      </c>
      <c r="E165">
        <v>2865</v>
      </c>
      <c r="F165" s="3">
        <v>41667</v>
      </c>
      <c r="H165" t="s">
        <v>15523</v>
      </c>
      <c r="I165" t="s">
        <v>15687</v>
      </c>
      <c r="K165" t="e">
        <v>#N/A</v>
      </c>
      <c r="S165" s="3"/>
    </row>
    <row r="166" spans="1:19" x14ac:dyDescent="0.25">
      <c r="A166" t="s">
        <v>1304</v>
      </c>
      <c r="B166" t="s">
        <v>1305</v>
      </c>
      <c r="C166" t="s">
        <v>1306</v>
      </c>
      <c r="D166" t="s">
        <v>23</v>
      </c>
      <c r="E166">
        <v>69</v>
      </c>
      <c r="F166" s="3">
        <v>40702</v>
      </c>
      <c r="H166" t="s">
        <v>15523</v>
      </c>
      <c r="I166" t="s">
        <v>15688</v>
      </c>
      <c r="K166" t="e">
        <v>#N/A</v>
      </c>
      <c r="S166" s="3"/>
    </row>
    <row r="167" spans="1:19" x14ac:dyDescent="0.25">
      <c r="A167" t="s">
        <v>1307</v>
      </c>
      <c r="B167" t="s">
        <v>1308</v>
      </c>
      <c r="C167" t="s">
        <v>1309</v>
      </c>
      <c r="D167" t="s">
        <v>23</v>
      </c>
      <c r="E167">
        <v>2866</v>
      </c>
      <c r="F167" s="3">
        <v>41667</v>
      </c>
      <c r="H167" t="s">
        <v>15523</v>
      </c>
      <c r="I167" t="s">
        <v>15689</v>
      </c>
      <c r="K167" t="e">
        <v>#N/A</v>
      </c>
      <c r="S167" s="3"/>
    </row>
    <row r="168" spans="1:19" x14ac:dyDescent="0.25">
      <c r="A168" t="s">
        <v>1310</v>
      </c>
      <c r="B168" t="s">
        <v>1311</v>
      </c>
      <c r="C168" t="s">
        <v>1312</v>
      </c>
      <c r="D168" t="s">
        <v>23</v>
      </c>
      <c r="E168">
        <v>2870</v>
      </c>
      <c r="F168" s="3">
        <v>41667</v>
      </c>
      <c r="H168" t="s">
        <v>15523</v>
      </c>
      <c r="I168" t="s">
        <v>15690</v>
      </c>
      <c r="K168" t="e">
        <v>#N/A</v>
      </c>
      <c r="S168" s="3"/>
    </row>
    <row r="169" spans="1:19" x14ac:dyDescent="0.25">
      <c r="A169" t="s">
        <v>1313</v>
      </c>
      <c r="B169" t="s">
        <v>1314</v>
      </c>
      <c r="C169" t="s">
        <v>1315</v>
      </c>
      <c r="D169" t="s">
        <v>23</v>
      </c>
      <c r="E169">
        <v>70</v>
      </c>
      <c r="F169" s="3">
        <v>41461</v>
      </c>
      <c r="H169" t="s">
        <v>15523</v>
      </c>
      <c r="I169" t="s">
        <v>15691</v>
      </c>
      <c r="K169" t="e">
        <v>#N/A</v>
      </c>
      <c r="S169" s="3"/>
    </row>
    <row r="170" spans="1:19" x14ac:dyDescent="0.25">
      <c r="A170" t="s">
        <v>1316</v>
      </c>
      <c r="B170" t="s">
        <v>1317</v>
      </c>
      <c r="C170" t="s">
        <v>1318</v>
      </c>
      <c r="D170" t="s">
        <v>23</v>
      </c>
      <c r="E170">
        <v>2869</v>
      </c>
      <c r="F170" s="3">
        <v>41667</v>
      </c>
      <c r="H170" t="s">
        <v>15523</v>
      </c>
      <c r="I170" t="s">
        <v>15692</v>
      </c>
      <c r="K170" t="e">
        <v>#N/A</v>
      </c>
      <c r="S170" s="3"/>
    </row>
    <row r="171" spans="1:19" x14ac:dyDescent="0.25">
      <c r="A171" t="s">
        <v>1319</v>
      </c>
      <c r="B171" t="s">
        <v>1320</v>
      </c>
      <c r="C171" t="s">
        <v>1321</v>
      </c>
      <c r="D171" t="s">
        <v>23</v>
      </c>
      <c r="E171">
        <v>5337</v>
      </c>
      <c r="F171" s="3">
        <v>42222</v>
      </c>
      <c r="H171" t="s">
        <v>15523</v>
      </c>
      <c r="I171" t="s">
        <v>15693</v>
      </c>
      <c r="K171" t="e">
        <v>#N/A</v>
      </c>
      <c r="S171" s="3"/>
    </row>
    <row r="172" spans="1:19" x14ac:dyDescent="0.25">
      <c r="A172" t="s">
        <v>1322</v>
      </c>
      <c r="B172" t="s">
        <v>1323</v>
      </c>
      <c r="C172" t="s">
        <v>1324</v>
      </c>
      <c r="D172" t="s">
        <v>23</v>
      </c>
      <c r="E172">
        <v>4950</v>
      </c>
      <c r="F172" s="3">
        <v>41660</v>
      </c>
      <c r="H172" t="s">
        <v>15523</v>
      </c>
      <c r="I172" t="s">
        <v>15694</v>
      </c>
      <c r="K172" t="e">
        <v>#N/A</v>
      </c>
      <c r="S172" s="3"/>
    </row>
    <row r="173" spans="1:19" x14ac:dyDescent="0.25">
      <c r="A173" t="s">
        <v>1325</v>
      </c>
      <c r="B173" t="s">
        <v>1326</v>
      </c>
      <c r="C173" t="s">
        <v>1327</v>
      </c>
      <c r="D173" t="s">
        <v>23</v>
      </c>
      <c r="E173">
        <v>2867</v>
      </c>
      <c r="F173" s="3">
        <v>41667</v>
      </c>
      <c r="H173" t="s">
        <v>15523</v>
      </c>
      <c r="I173" t="s">
        <v>15695</v>
      </c>
      <c r="K173" t="e">
        <v>#N/A</v>
      </c>
      <c r="S173" s="3"/>
    </row>
    <row r="174" spans="1:19" x14ac:dyDescent="0.25">
      <c r="A174" t="s">
        <v>1328</v>
      </c>
      <c r="B174" t="s">
        <v>1329</v>
      </c>
      <c r="C174" t="s">
        <v>1330</v>
      </c>
      <c r="D174" t="s">
        <v>23</v>
      </c>
      <c r="E174">
        <v>1360</v>
      </c>
      <c r="F174" s="3">
        <v>41667</v>
      </c>
      <c r="H174" t="s">
        <v>15523</v>
      </c>
      <c r="I174" t="s">
        <v>15696</v>
      </c>
      <c r="K174" t="e">
        <v>#N/A</v>
      </c>
      <c r="S174" s="3"/>
    </row>
    <row r="175" spans="1:19" x14ac:dyDescent="0.25">
      <c r="A175" t="s">
        <v>1331</v>
      </c>
      <c r="B175" t="s">
        <v>1332</v>
      </c>
      <c r="C175" t="s">
        <v>1333</v>
      </c>
      <c r="D175" t="s">
        <v>23</v>
      </c>
      <c r="E175">
        <v>4951</v>
      </c>
      <c r="F175" s="3">
        <v>41660</v>
      </c>
      <c r="H175" t="s">
        <v>15523</v>
      </c>
      <c r="I175" t="s">
        <v>15697</v>
      </c>
      <c r="K175" t="e">
        <v>#N/A</v>
      </c>
      <c r="S175" s="3"/>
    </row>
    <row r="176" spans="1:19" x14ac:dyDescent="0.25">
      <c r="A176" t="s">
        <v>1334</v>
      </c>
      <c r="B176" t="s">
        <v>1335</v>
      </c>
      <c r="C176" t="s">
        <v>1336</v>
      </c>
      <c r="D176" t="s">
        <v>23</v>
      </c>
      <c r="E176">
        <v>2868</v>
      </c>
      <c r="F176" s="3">
        <v>41667</v>
      </c>
      <c r="H176" t="s">
        <v>15523</v>
      </c>
      <c r="I176" t="s">
        <v>15698</v>
      </c>
      <c r="K176" t="e">
        <v>#N/A</v>
      </c>
      <c r="S176" s="3"/>
    </row>
    <row r="177" spans="1:19" x14ac:dyDescent="0.25">
      <c r="A177" t="s">
        <v>1337</v>
      </c>
      <c r="B177" t="s">
        <v>1338</v>
      </c>
      <c r="C177" t="s">
        <v>1339</v>
      </c>
      <c r="D177" t="s">
        <v>23</v>
      </c>
      <c r="E177">
        <v>2871</v>
      </c>
      <c r="F177" s="3">
        <v>41667</v>
      </c>
      <c r="H177" t="s">
        <v>15523</v>
      </c>
      <c r="I177" t="s">
        <v>15699</v>
      </c>
      <c r="K177" t="e">
        <v>#N/A</v>
      </c>
      <c r="S177" s="3"/>
    </row>
    <row r="178" spans="1:19" x14ac:dyDescent="0.25">
      <c r="A178" t="s">
        <v>1340</v>
      </c>
      <c r="B178" t="s">
        <v>1341</v>
      </c>
      <c r="C178" t="s">
        <v>1342</v>
      </c>
      <c r="D178" t="s">
        <v>23</v>
      </c>
      <c r="E178">
        <v>2872</v>
      </c>
      <c r="F178" s="3">
        <v>41667</v>
      </c>
      <c r="H178" t="s">
        <v>15523</v>
      </c>
      <c r="I178" t="s">
        <v>15700</v>
      </c>
      <c r="K178" t="e">
        <v>#N/A</v>
      </c>
      <c r="S178" s="3"/>
    </row>
    <row r="179" spans="1:19" x14ac:dyDescent="0.25">
      <c r="A179" t="s">
        <v>1343</v>
      </c>
      <c r="B179" t="s">
        <v>1344</v>
      </c>
      <c r="C179" t="s">
        <v>1345</v>
      </c>
      <c r="D179" t="s">
        <v>23</v>
      </c>
      <c r="E179">
        <v>2873</v>
      </c>
      <c r="F179" s="3">
        <v>41667</v>
      </c>
      <c r="H179" t="s">
        <v>15523</v>
      </c>
      <c r="I179" t="s">
        <v>15701</v>
      </c>
      <c r="K179" t="e">
        <v>#N/A</v>
      </c>
      <c r="S179" s="3"/>
    </row>
    <row r="180" spans="1:19" x14ac:dyDescent="0.25">
      <c r="A180" t="s">
        <v>1346</v>
      </c>
      <c r="B180" t="s">
        <v>1347</v>
      </c>
      <c r="C180" t="s">
        <v>1348</v>
      </c>
      <c r="D180" t="s">
        <v>23</v>
      </c>
      <c r="E180">
        <v>4952</v>
      </c>
      <c r="F180" s="3">
        <v>41660</v>
      </c>
      <c r="H180" t="s">
        <v>15523</v>
      </c>
      <c r="I180" t="s">
        <v>15702</v>
      </c>
      <c r="K180" t="e">
        <v>#N/A</v>
      </c>
      <c r="S180" s="3"/>
    </row>
    <row r="181" spans="1:19" x14ac:dyDescent="0.25">
      <c r="A181" t="s">
        <v>1349</v>
      </c>
      <c r="B181" t="s">
        <v>1350</v>
      </c>
      <c r="C181" t="s">
        <v>1351</v>
      </c>
      <c r="D181" t="s">
        <v>23</v>
      </c>
      <c r="E181">
        <v>2874</v>
      </c>
      <c r="F181" s="3">
        <v>41668</v>
      </c>
      <c r="H181" t="s">
        <v>15523</v>
      </c>
      <c r="I181" t="s">
        <v>15703</v>
      </c>
      <c r="K181" t="e">
        <v>#N/A</v>
      </c>
      <c r="S181" s="3"/>
    </row>
    <row r="182" spans="1:19" x14ac:dyDescent="0.25">
      <c r="A182" t="s">
        <v>1352</v>
      </c>
      <c r="B182" t="s">
        <v>1353</v>
      </c>
      <c r="C182" t="s">
        <v>1354</v>
      </c>
      <c r="D182" t="s">
        <v>23</v>
      </c>
      <c r="E182">
        <v>2875</v>
      </c>
      <c r="F182" s="3">
        <v>41668</v>
      </c>
      <c r="H182" t="s">
        <v>15523</v>
      </c>
      <c r="I182" t="s">
        <v>15704</v>
      </c>
      <c r="K182" t="e">
        <v>#N/A</v>
      </c>
      <c r="S182" s="3"/>
    </row>
    <row r="183" spans="1:19" x14ac:dyDescent="0.25">
      <c r="A183" t="s">
        <v>1355</v>
      </c>
      <c r="B183" t="s">
        <v>1356</v>
      </c>
      <c r="C183" t="s">
        <v>1357</v>
      </c>
      <c r="D183" t="s">
        <v>23</v>
      </c>
      <c r="E183">
        <v>898</v>
      </c>
      <c r="F183" s="3">
        <v>40702</v>
      </c>
      <c r="H183" t="s">
        <v>15523</v>
      </c>
      <c r="I183" t="s">
        <v>15705</v>
      </c>
      <c r="K183" t="e">
        <v>#N/A</v>
      </c>
      <c r="S183" s="3"/>
    </row>
    <row r="184" spans="1:19" x14ac:dyDescent="0.25">
      <c r="A184" t="s">
        <v>1358</v>
      </c>
      <c r="B184" t="s">
        <v>1359</v>
      </c>
      <c r="C184" t="s">
        <v>1360</v>
      </c>
      <c r="D184" t="s">
        <v>23</v>
      </c>
      <c r="E184">
        <v>2876</v>
      </c>
      <c r="F184" s="3">
        <v>41668</v>
      </c>
      <c r="H184" t="s">
        <v>15523</v>
      </c>
      <c r="I184" t="s">
        <v>15706</v>
      </c>
      <c r="K184" t="e">
        <v>#N/A</v>
      </c>
      <c r="S184" s="3"/>
    </row>
    <row r="185" spans="1:19" x14ac:dyDescent="0.25">
      <c r="A185" t="s">
        <v>1361</v>
      </c>
      <c r="B185" t="s">
        <v>1362</v>
      </c>
      <c r="C185" t="s">
        <v>1363</v>
      </c>
      <c r="D185" t="s">
        <v>23</v>
      </c>
      <c r="E185">
        <v>2877</v>
      </c>
      <c r="F185" s="3">
        <v>41668</v>
      </c>
      <c r="H185" t="s">
        <v>15523</v>
      </c>
      <c r="I185" t="s">
        <v>15707</v>
      </c>
      <c r="K185" t="e">
        <v>#N/A</v>
      </c>
      <c r="S185" s="3"/>
    </row>
    <row r="186" spans="1:19" x14ac:dyDescent="0.25">
      <c r="A186" t="s">
        <v>1364</v>
      </c>
      <c r="B186" t="s">
        <v>1365</v>
      </c>
      <c r="C186" t="s">
        <v>1366</v>
      </c>
      <c r="D186" t="s">
        <v>23</v>
      </c>
      <c r="E186">
        <v>5177</v>
      </c>
      <c r="F186" s="3">
        <v>42035</v>
      </c>
      <c r="H186" t="s">
        <v>15523</v>
      </c>
      <c r="I186" t="s">
        <v>15708</v>
      </c>
      <c r="K186" t="e">
        <v>#N/A</v>
      </c>
      <c r="S186" s="3"/>
    </row>
    <row r="187" spans="1:19" x14ac:dyDescent="0.25">
      <c r="A187" t="s">
        <v>1367</v>
      </c>
      <c r="B187" t="s">
        <v>1368</v>
      </c>
      <c r="C187" t="s">
        <v>1369</v>
      </c>
      <c r="D187" t="s">
        <v>23</v>
      </c>
      <c r="E187">
        <v>2878</v>
      </c>
      <c r="F187" s="3">
        <v>41668</v>
      </c>
      <c r="H187" t="s">
        <v>15523</v>
      </c>
      <c r="I187" t="s">
        <v>15709</v>
      </c>
      <c r="K187" t="e">
        <v>#N/A</v>
      </c>
      <c r="S187" s="3"/>
    </row>
    <row r="188" spans="1:19" x14ac:dyDescent="0.25">
      <c r="A188" t="s">
        <v>1370</v>
      </c>
      <c r="B188" t="s">
        <v>1371</v>
      </c>
      <c r="C188" t="s">
        <v>1372</v>
      </c>
      <c r="D188" t="s">
        <v>23</v>
      </c>
      <c r="E188">
        <v>1787</v>
      </c>
      <c r="F188" s="3">
        <v>41668</v>
      </c>
      <c r="H188" t="s">
        <v>15523</v>
      </c>
      <c r="I188" t="s">
        <v>15710</v>
      </c>
      <c r="K188" t="e">
        <v>#N/A</v>
      </c>
      <c r="S188" s="3"/>
    </row>
    <row r="189" spans="1:19" x14ac:dyDescent="0.25">
      <c r="A189" t="s">
        <v>1373</v>
      </c>
      <c r="B189" t="s">
        <v>1374</v>
      </c>
      <c r="C189" t="s">
        <v>1375</v>
      </c>
      <c r="D189" t="s">
        <v>23</v>
      </c>
      <c r="E189">
        <v>2879</v>
      </c>
      <c r="F189" s="3">
        <v>41668</v>
      </c>
      <c r="H189" t="s">
        <v>15523</v>
      </c>
      <c r="I189" t="s">
        <v>15711</v>
      </c>
      <c r="K189" t="e">
        <v>#N/A</v>
      </c>
      <c r="S189" s="3"/>
    </row>
    <row r="190" spans="1:19" x14ac:dyDescent="0.25">
      <c r="A190" t="s">
        <v>1376</v>
      </c>
      <c r="B190" t="s">
        <v>1377</v>
      </c>
      <c r="C190" t="s">
        <v>1378</v>
      </c>
      <c r="D190" t="s">
        <v>23</v>
      </c>
      <c r="E190">
        <v>4953</v>
      </c>
      <c r="F190" s="3">
        <v>41660</v>
      </c>
      <c r="H190" t="s">
        <v>15523</v>
      </c>
      <c r="I190" t="s">
        <v>15712</v>
      </c>
      <c r="K190" t="e">
        <v>#N/A</v>
      </c>
      <c r="S190" s="3"/>
    </row>
    <row r="191" spans="1:19" x14ac:dyDescent="0.25">
      <c r="A191" t="s">
        <v>1379</v>
      </c>
      <c r="B191" t="s">
        <v>1380</v>
      </c>
      <c r="C191" t="s">
        <v>1381</v>
      </c>
      <c r="D191" t="s">
        <v>23</v>
      </c>
      <c r="E191">
        <v>1729</v>
      </c>
      <c r="F191" s="3">
        <v>40702</v>
      </c>
      <c r="H191" t="s">
        <v>15523</v>
      </c>
      <c r="I191" t="s">
        <v>15713</v>
      </c>
      <c r="K191" t="e">
        <v>#N/A</v>
      </c>
      <c r="S191" s="3"/>
    </row>
    <row r="192" spans="1:19" x14ac:dyDescent="0.25">
      <c r="A192" t="s">
        <v>1382</v>
      </c>
      <c r="B192" t="s">
        <v>1383</v>
      </c>
      <c r="C192" t="s">
        <v>1384</v>
      </c>
      <c r="D192" t="s">
        <v>23</v>
      </c>
      <c r="E192">
        <v>2338</v>
      </c>
      <c r="F192" s="3">
        <v>40702</v>
      </c>
      <c r="H192" t="s">
        <v>15523</v>
      </c>
      <c r="I192" t="s">
        <v>15714</v>
      </c>
      <c r="K192" t="e">
        <v>#N/A</v>
      </c>
      <c r="S192" s="3"/>
    </row>
    <row r="193" spans="1:19" x14ac:dyDescent="0.25">
      <c r="A193" t="s">
        <v>1385</v>
      </c>
      <c r="B193" t="s">
        <v>1386</v>
      </c>
      <c r="C193" t="s">
        <v>1387</v>
      </c>
      <c r="D193" t="s">
        <v>23</v>
      </c>
      <c r="E193">
        <v>2880</v>
      </c>
      <c r="F193" s="3">
        <v>41668</v>
      </c>
      <c r="H193" t="s">
        <v>15523</v>
      </c>
      <c r="I193" t="s">
        <v>15715</v>
      </c>
      <c r="K193" t="e">
        <v>#N/A</v>
      </c>
      <c r="S193" s="3"/>
    </row>
    <row r="194" spans="1:19" x14ac:dyDescent="0.25">
      <c r="A194" t="s">
        <v>1388</v>
      </c>
      <c r="B194" t="s">
        <v>1389</v>
      </c>
      <c r="C194" t="s">
        <v>1390</v>
      </c>
      <c r="D194" t="s">
        <v>23</v>
      </c>
      <c r="E194">
        <v>2881</v>
      </c>
      <c r="F194" s="3">
        <v>41668</v>
      </c>
      <c r="H194" t="s">
        <v>15523</v>
      </c>
      <c r="I194" t="s">
        <v>15716</v>
      </c>
      <c r="K194" t="e">
        <v>#N/A</v>
      </c>
      <c r="S194" s="3"/>
    </row>
    <row r="195" spans="1:19" x14ac:dyDescent="0.25">
      <c r="A195" t="s">
        <v>1391</v>
      </c>
      <c r="B195" t="s">
        <v>1392</v>
      </c>
      <c r="C195" t="s">
        <v>1393</v>
      </c>
      <c r="D195" t="s">
        <v>23</v>
      </c>
      <c r="E195">
        <v>4954</v>
      </c>
      <c r="F195" s="3">
        <v>41660</v>
      </c>
      <c r="H195" t="s">
        <v>15523</v>
      </c>
      <c r="I195" t="s">
        <v>15717</v>
      </c>
      <c r="K195" t="e">
        <v>#N/A</v>
      </c>
      <c r="S195" s="3"/>
    </row>
    <row r="196" spans="1:19" x14ac:dyDescent="0.25">
      <c r="A196" t="s">
        <v>1394</v>
      </c>
      <c r="B196" t="s">
        <v>1395</v>
      </c>
      <c r="C196" t="s">
        <v>1396</v>
      </c>
      <c r="D196" t="s">
        <v>23</v>
      </c>
      <c r="E196">
        <v>5184</v>
      </c>
      <c r="F196" s="3">
        <v>42035</v>
      </c>
      <c r="H196" t="s">
        <v>15523</v>
      </c>
      <c r="I196" t="s">
        <v>15718</v>
      </c>
      <c r="K196" t="e">
        <v>#N/A</v>
      </c>
      <c r="S196" s="3"/>
    </row>
    <row r="197" spans="1:19" x14ac:dyDescent="0.25">
      <c r="A197" t="s">
        <v>1397</v>
      </c>
      <c r="B197" t="s">
        <v>1398</v>
      </c>
      <c r="C197" t="s">
        <v>1399</v>
      </c>
      <c r="D197" t="s">
        <v>23</v>
      </c>
      <c r="E197">
        <v>2882</v>
      </c>
      <c r="F197" s="3">
        <v>41668</v>
      </c>
      <c r="H197" t="s">
        <v>15523</v>
      </c>
      <c r="I197" t="s">
        <v>15719</v>
      </c>
      <c r="K197" t="e">
        <v>#N/A</v>
      </c>
      <c r="S197" s="3"/>
    </row>
    <row r="198" spans="1:19" x14ac:dyDescent="0.25">
      <c r="A198" t="s">
        <v>1400</v>
      </c>
      <c r="B198" t="s">
        <v>1401</v>
      </c>
      <c r="C198" t="s">
        <v>1402</v>
      </c>
      <c r="D198" t="s">
        <v>23</v>
      </c>
      <c r="E198">
        <v>78</v>
      </c>
      <c r="F198" s="3">
        <v>40702</v>
      </c>
      <c r="H198" t="s">
        <v>15523</v>
      </c>
      <c r="I198" t="s">
        <v>15720</v>
      </c>
      <c r="K198" t="e">
        <v>#N/A</v>
      </c>
      <c r="S198" s="3"/>
    </row>
    <row r="199" spans="1:19" x14ac:dyDescent="0.25">
      <c r="A199" t="s">
        <v>1403</v>
      </c>
      <c r="B199" t="s">
        <v>1404</v>
      </c>
      <c r="C199" t="s">
        <v>1405</v>
      </c>
      <c r="D199" t="s">
        <v>23</v>
      </c>
      <c r="E199">
        <v>2883</v>
      </c>
      <c r="F199" s="3">
        <v>41668</v>
      </c>
      <c r="H199" t="s">
        <v>15523</v>
      </c>
      <c r="I199" t="s">
        <v>15721</v>
      </c>
      <c r="K199" t="e">
        <v>#N/A</v>
      </c>
      <c r="S199" s="3"/>
    </row>
    <row r="200" spans="1:19" x14ac:dyDescent="0.25">
      <c r="A200" t="s">
        <v>1406</v>
      </c>
      <c r="B200" t="s">
        <v>1407</v>
      </c>
      <c r="C200" t="s">
        <v>1408</v>
      </c>
      <c r="D200" t="s">
        <v>23</v>
      </c>
      <c r="E200">
        <v>80</v>
      </c>
      <c r="F200" s="3">
        <v>40702</v>
      </c>
      <c r="H200" t="s">
        <v>15523</v>
      </c>
      <c r="I200" t="s">
        <v>15722</v>
      </c>
      <c r="K200" t="e">
        <v>#N/A</v>
      </c>
      <c r="S200" s="3"/>
    </row>
    <row r="201" spans="1:19" x14ac:dyDescent="0.25">
      <c r="A201" t="s">
        <v>1409</v>
      </c>
      <c r="B201" t="s">
        <v>1410</v>
      </c>
      <c r="C201" t="s">
        <v>1411</v>
      </c>
      <c r="D201" t="s">
        <v>23</v>
      </c>
      <c r="E201">
        <v>2019</v>
      </c>
      <c r="F201" s="3">
        <v>43830</v>
      </c>
      <c r="H201" t="s">
        <v>15523</v>
      </c>
      <c r="I201" t="s">
        <v>15723</v>
      </c>
      <c r="K201" t="e">
        <v>#N/A</v>
      </c>
      <c r="S201" s="3"/>
    </row>
    <row r="202" spans="1:19" x14ac:dyDescent="0.25">
      <c r="A202" t="s">
        <v>1412</v>
      </c>
      <c r="B202" t="s">
        <v>1413</v>
      </c>
      <c r="C202" t="s">
        <v>1414</v>
      </c>
      <c r="D202" t="s">
        <v>23</v>
      </c>
      <c r="E202">
        <v>2884</v>
      </c>
      <c r="F202" s="3">
        <v>41668</v>
      </c>
      <c r="H202" t="s">
        <v>15523</v>
      </c>
      <c r="I202" t="s">
        <v>15724</v>
      </c>
      <c r="K202" t="e">
        <v>#N/A</v>
      </c>
      <c r="S202" s="3"/>
    </row>
    <row r="203" spans="1:19" x14ac:dyDescent="0.25">
      <c r="A203" t="s">
        <v>1415</v>
      </c>
      <c r="B203" t="s">
        <v>1416</v>
      </c>
      <c r="C203" t="s">
        <v>1417</v>
      </c>
      <c r="D203" t="s">
        <v>23</v>
      </c>
      <c r="E203">
        <v>82</v>
      </c>
      <c r="F203" s="3">
        <v>40702</v>
      </c>
      <c r="H203" t="s">
        <v>15523</v>
      </c>
      <c r="I203" t="s">
        <v>15725</v>
      </c>
      <c r="K203" t="e">
        <v>#N/A</v>
      </c>
      <c r="S203" s="3"/>
    </row>
    <row r="204" spans="1:19" x14ac:dyDescent="0.25">
      <c r="A204" t="s">
        <v>1418</v>
      </c>
      <c r="B204" t="s">
        <v>1419</v>
      </c>
      <c r="C204" t="s">
        <v>1420</v>
      </c>
      <c r="D204" t="s">
        <v>23</v>
      </c>
      <c r="E204">
        <v>83</v>
      </c>
      <c r="F204" s="3">
        <v>40702</v>
      </c>
      <c r="H204" t="s">
        <v>15523</v>
      </c>
      <c r="I204" t="s">
        <v>15726</v>
      </c>
      <c r="K204" t="e">
        <v>#N/A</v>
      </c>
      <c r="S204" s="3"/>
    </row>
    <row r="205" spans="1:19" x14ac:dyDescent="0.25">
      <c r="A205" t="s">
        <v>1421</v>
      </c>
      <c r="B205" t="s">
        <v>1422</v>
      </c>
      <c r="C205" t="s">
        <v>1423</v>
      </c>
      <c r="D205" t="s">
        <v>23</v>
      </c>
      <c r="E205">
        <v>2885</v>
      </c>
      <c r="F205" s="3">
        <v>41668</v>
      </c>
      <c r="H205" t="s">
        <v>15523</v>
      </c>
      <c r="I205" t="s">
        <v>15727</v>
      </c>
      <c r="K205" t="e">
        <v>#N/A</v>
      </c>
      <c r="S205" s="3"/>
    </row>
    <row r="206" spans="1:19" x14ac:dyDescent="0.25">
      <c r="A206" t="s">
        <v>1424</v>
      </c>
      <c r="B206" t="s">
        <v>1425</v>
      </c>
      <c r="C206" t="s">
        <v>1426</v>
      </c>
      <c r="D206" t="s">
        <v>23</v>
      </c>
      <c r="E206">
        <v>84</v>
      </c>
      <c r="F206" s="3">
        <v>40702</v>
      </c>
      <c r="H206" t="s">
        <v>15523</v>
      </c>
      <c r="I206" t="s">
        <v>15728</v>
      </c>
      <c r="K206" t="e">
        <v>#N/A</v>
      </c>
      <c r="S206" s="3"/>
    </row>
    <row r="207" spans="1:19" x14ac:dyDescent="0.25">
      <c r="A207" t="s">
        <v>1427</v>
      </c>
      <c r="B207" t="s">
        <v>1428</v>
      </c>
      <c r="C207" t="s">
        <v>1429</v>
      </c>
      <c r="D207" t="s">
        <v>23</v>
      </c>
      <c r="E207">
        <v>87</v>
      </c>
      <c r="F207" s="3">
        <v>40702</v>
      </c>
      <c r="H207" t="s">
        <v>15523</v>
      </c>
      <c r="I207" t="s">
        <v>15729</v>
      </c>
      <c r="K207" t="e">
        <v>#N/A</v>
      </c>
      <c r="S207" s="3"/>
    </row>
    <row r="208" spans="1:19" x14ac:dyDescent="0.25">
      <c r="A208" t="s">
        <v>1430</v>
      </c>
      <c r="B208" t="s">
        <v>1431</v>
      </c>
      <c r="C208" t="s">
        <v>1432</v>
      </c>
      <c r="D208" t="s">
        <v>23</v>
      </c>
      <c r="E208">
        <v>2886</v>
      </c>
      <c r="F208" s="3">
        <v>41668</v>
      </c>
      <c r="H208" t="s">
        <v>15523</v>
      </c>
      <c r="I208" t="s">
        <v>15730</v>
      </c>
      <c r="K208" t="e">
        <v>#N/A</v>
      </c>
      <c r="S208" s="3"/>
    </row>
    <row r="209" spans="1:19" x14ac:dyDescent="0.25">
      <c r="A209" t="s">
        <v>1433</v>
      </c>
      <c r="B209" t="s">
        <v>1434</v>
      </c>
      <c r="C209" t="s">
        <v>1435</v>
      </c>
      <c r="D209" t="s">
        <v>23</v>
      </c>
      <c r="E209">
        <v>86</v>
      </c>
      <c r="F209" s="3">
        <v>40702</v>
      </c>
      <c r="H209" t="s">
        <v>15523</v>
      </c>
      <c r="I209" t="s">
        <v>15731</v>
      </c>
      <c r="K209" t="e">
        <v>#N/A</v>
      </c>
      <c r="S209" s="3"/>
    </row>
    <row r="210" spans="1:19" x14ac:dyDescent="0.25">
      <c r="A210" t="s">
        <v>1436</v>
      </c>
      <c r="B210" t="s">
        <v>1437</v>
      </c>
      <c r="C210" t="s">
        <v>1438</v>
      </c>
      <c r="D210" t="s">
        <v>23</v>
      </c>
      <c r="E210">
        <v>2887</v>
      </c>
      <c r="F210" s="3">
        <v>41668</v>
      </c>
      <c r="H210" t="s">
        <v>15523</v>
      </c>
      <c r="I210" t="s">
        <v>15732</v>
      </c>
      <c r="K210" t="e">
        <v>#N/A</v>
      </c>
      <c r="S210" s="3"/>
    </row>
    <row r="211" spans="1:19" x14ac:dyDescent="0.25">
      <c r="A211" t="s">
        <v>1439</v>
      </c>
      <c r="B211" t="s">
        <v>1440</v>
      </c>
      <c r="C211" t="s">
        <v>1441</v>
      </c>
      <c r="D211" t="s">
        <v>23</v>
      </c>
      <c r="E211">
        <v>2888</v>
      </c>
      <c r="F211" s="3">
        <v>41668</v>
      </c>
      <c r="H211" t="s">
        <v>15523</v>
      </c>
      <c r="I211" t="s">
        <v>15733</v>
      </c>
      <c r="K211" t="e">
        <v>#N/A</v>
      </c>
      <c r="S211" s="3"/>
    </row>
    <row r="212" spans="1:19" x14ac:dyDescent="0.25">
      <c r="A212" t="s">
        <v>1442</v>
      </c>
      <c r="B212" t="s">
        <v>1443</v>
      </c>
      <c r="C212" t="s">
        <v>1444</v>
      </c>
      <c r="D212" t="s">
        <v>23</v>
      </c>
      <c r="E212">
        <v>2889</v>
      </c>
      <c r="F212" s="3">
        <v>41668</v>
      </c>
      <c r="H212" t="s">
        <v>15523</v>
      </c>
      <c r="I212" t="s">
        <v>15734</v>
      </c>
      <c r="K212" t="e">
        <v>#N/A</v>
      </c>
      <c r="S212" s="3"/>
    </row>
    <row r="213" spans="1:19" x14ac:dyDescent="0.25">
      <c r="A213" t="s">
        <v>1445</v>
      </c>
      <c r="B213" t="s">
        <v>1446</v>
      </c>
      <c r="C213" t="s">
        <v>1447</v>
      </c>
      <c r="D213" t="s">
        <v>23</v>
      </c>
      <c r="E213">
        <v>89</v>
      </c>
      <c r="F213" s="3">
        <v>40702</v>
      </c>
      <c r="H213" t="s">
        <v>15523</v>
      </c>
      <c r="I213" t="s">
        <v>15735</v>
      </c>
      <c r="K213" t="e">
        <v>#N/A</v>
      </c>
      <c r="S213" s="3"/>
    </row>
    <row r="214" spans="1:19" x14ac:dyDescent="0.25">
      <c r="A214" t="s">
        <v>1448</v>
      </c>
      <c r="B214" t="s">
        <v>1449</v>
      </c>
      <c r="C214" t="s">
        <v>1450</v>
      </c>
      <c r="D214" t="s">
        <v>23</v>
      </c>
      <c r="E214">
        <v>662</v>
      </c>
      <c r="F214" s="3">
        <v>41461</v>
      </c>
      <c r="H214" t="s">
        <v>15523</v>
      </c>
      <c r="I214" t="s">
        <v>15736</v>
      </c>
      <c r="K214" t="e">
        <v>#N/A</v>
      </c>
      <c r="S214" s="3"/>
    </row>
    <row r="215" spans="1:19" x14ac:dyDescent="0.25">
      <c r="A215" t="s">
        <v>1451</v>
      </c>
      <c r="B215" t="s">
        <v>1452</v>
      </c>
      <c r="C215" t="s">
        <v>1453</v>
      </c>
      <c r="D215" t="s">
        <v>23</v>
      </c>
      <c r="E215">
        <v>2890</v>
      </c>
      <c r="F215" s="3">
        <v>41668</v>
      </c>
      <c r="H215" t="s">
        <v>15523</v>
      </c>
      <c r="I215" t="s">
        <v>15737</v>
      </c>
      <c r="K215" t="e">
        <v>#N/A</v>
      </c>
      <c r="S215" s="3"/>
    </row>
    <row r="216" spans="1:19" x14ac:dyDescent="0.25">
      <c r="A216" t="s">
        <v>1454</v>
      </c>
      <c r="B216" t="s">
        <v>1455</v>
      </c>
      <c r="C216" t="s">
        <v>1456</v>
      </c>
      <c r="D216" t="s">
        <v>23</v>
      </c>
      <c r="E216">
        <v>96</v>
      </c>
      <c r="F216" s="3">
        <v>40702</v>
      </c>
      <c r="H216" t="s">
        <v>15523</v>
      </c>
      <c r="I216" t="s">
        <v>15738</v>
      </c>
      <c r="K216" t="e">
        <v>#N/A</v>
      </c>
      <c r="S216" s="3"/>
    </row>
    <row r="217" spans="1:19" x14ac:dyDescent="0.25">
      <c r="A217" t="s">
        <v>1457</v>
      </c>
      <c r="B217" t="s">
        <v>1458</v>
      </c>
      <c r="C217" t="s">
        <v>1459</v>
      </c>
      <c r="D217" t="s">
        <v>23</v>
      </c>
      <c r="E217">
        <v>97</v>
      </c>
      <c r="F217" s="3">
        <v>41668</v>
      </c>
      <c r="H217" t="s">
        <v>15523</v>
      </c>
      <c r="I217" t="s">
        <v>15739</v>
      </c>
      <c r="K217" t="e">
        <v>#N/A</v>
      </c>
      <c r="S217" s="3"/>
    </row>
    <row r="218" spans="1:19" x14ac:dyDescent="0.25">
      <c r="A218" t="s">
        <v>1460</v>
      </c>
      <c r="B218" t="s">
        <v>1461</v>
      </c>
      <c r="C218" t="s">
        <v>1462</v>
      </c>
      <c r="D218" t="s">
        <v>23</v>
      </c>
      <c r="E218">
        <v>2891</v>
      </c>
      <c r="F218" s="3">
        <v>41670</v>
      </c>
      <c r="H218" t="s">
        <v>15523</v>
      </c>
      <c r="I218" t="s">
        <v>15740</v>
      </c>
      <c r="K218" t="e">
        <v>#N/A</v>
      </c>
      <c r="S218" s="3"/>
    </row>
    <row r="219" spans="1:19" x14ac:dyDescent="0.25">
      <c r="A219" t="s">
        <v>1463</v>
      </c>
      <c r="B219" t="s">
        <v>1464</v>
      </c>
      <c r="C219" t="s">
        <v>1465</v>
      </c>
      <c r="D219" t="s">
        <v>23</v>
      </c>
      <c r="E219">
        <v>93</v>
      </c>
      <c r="F219" s="3">
        <v>40702</v>
      </c>
      <c r="H219" t="s">
        <v>15523</v>
      </c>
      <c r="I219" t="s">
        <v>15741</v>
      </c>
      <c r="K219" t="e">
        <v>#N/A</v>
      </c>
      <c r="S219" s="3"/>
    </row>
    <row r="220" spans="1:19" x14ac:dyDescent="0.25">
      <c r="A220" t="s">
        <v>1466</v>
      </c>
      <c r="B220" t="s">
        <v>1467</v>
      </c>
      <c r="C220" t="s">
        <v>1468</v>
      </c>
      <c r="D220" t="s">
        <v>23</v>
      </c>
      <c r="E220">
        <v>4955</v>
      </c>
      <c r="F220" s="3">
        <v>41660</v>
      </c>
      <c r="H220" t="s">
        <v>15523</v>
      </c>
      <c r="I220" t="s">
        <v>15742</v>
      </c>
      <c r="K220" t="e">
        <v>#N/A</v>
      </c>
      <c r="S220" s="3"/>
    </row>
    <row r="221" spans="1:19" x14ac:dyDescent="0.25">
      <c r="A221" t="s">
        <v>1469</v>
      </c>
      <c r="B221" t="s">
        <v>1470</v>
      </c>
      <c r="C221" t="s">
        <v>1471</v>
      </c>
      <c r="D221" t="s">
        <v>23</v>
      </c>
      <c r="E221">
        <v>92</v>
      </c>
      <c r="F221" s="3">
        <v>40702</v>
      </c>
      <c r="H221" t="s">
        <v>15523</v>
      </c>
      <c r="I221" t="s">
        <v>15743</v>
      </c>
      <c r="K221" t="e">
        <v>#N/A</v>
      </c>
      <c r="S221" s="3"/>
    </row>
    <row r="222" spans="1:19" x14ac:dyDescent="0.25">
      <c r="A222" t="s">
        <v>1472</v>
      </c>
      <c r="B222" t="s">
        <v>1473</v>
      </c>
      <c r="C222" t="s">
        <v>1474</v>
      </c>
      <c r="D222" t="s">
        <v>23</v>
      </c>
      <c r="E222">
        <v>2261</v>
      </c>
      <c r="F222" s="3">
        <v>40702</v>
      </c>
      <c r="H222" t="s">
        <v>15523</v>
      </c>
      <c r="I222" t="s">
        <v>15744</v>
      </c>
      <c r="K222" t="e">
        <v>#N/A</v>
      </c>
      <c r="S222" s="3"/>
    </row>
    <row r="223" spans="1:19" x14ac:dyDescent="0.25">
      <c r="A223" t="s">
        <v>1475</v>
      </c>
      <c r="B223" t="s">
        <v>1476</v>
      </c>
      <c r="C223" t="s">
        <v>1477</v>
      </c>
      <c r="D223" t="s">
        <v>23</v>
      </c>
      <c r="E223">
        <v>94</v>
      </c>
      <c r="F223" s="3">
        <v>40702</v>
      </c>
      <c r="H223" t="s">
        <v>15523</v>
      </c>
      <c r="I223" t="s">
        <v>15745</v>
      </c>
      <c r="K223" t="e">
        <v>#N/A</v>
      </c>
      <c r="S223" s="3"/>
    </row>
    <row r="224" spans="1:19" x14ac:dyDescent="0.25">
      <c r="A224" t="s">
        <v>1478</v>
      </c>
      <c r="B224" t="s">
        <v>1479</v>
      </c>
      <c r="C224" t="s">
        <v>1480</v>
      </c>
      <c r="D224" t="s">
        <v>23</v>
      </c>
      <c r="E224">
        <v>2892</v>
      </c>
      <c r="F224" s="3">
        <v>41670</v>
      </c>
      <c r="H224" t="s">
        <v>15523</v>
      </c>
      <c r="I224" t="s">
        <v>15746</v>
      </c>
      <c r="K224" t="e">
        <v>#N/A</v>
      </c>
      <c r="S224" s="3"/>
    </row>
    <row r="225" spans="1:19" x14ac:dyDescent="0.25">
      <c r="A225" t="s">
        <v>1481</v>
      </c>
      <c r="B225" t="s">
        <v>1482</v>
      </c>
      <c r="C225" t="s">
        <v>1483</v>
      </c>
      <c r="D225" t="s">
        <v>23</v>
      </c>
      <c r="E225">
        <v>95</v>
      </c>
      <c r="F225" s="3">
        <v>40702</v>
      </c>
      <c r="H225" t="s">
        <v>15523</v>
      </c>
      <c r="I225" t="s">
        <v>15747</v>
      </c>
      <c r="K225" t="e">
        <v>#N/A</v>
      </c>
      <c r="S225" s="3"/>
    </row>
    <row r="226" spans="1:19" x14ac:dyDescent="0.25">
      <c r="A226" t="s">
        <v>1484</v>
      </c>
      <c r="B226" t="s">
        <v>1485</v>
      </c>
      <c r="C226" t="s">
        <v>1486</v>
      </c>
      <c r="D226" t="s">
        <v>23</v>
      </c>
      <c r="E226">
        <v>2893</v>
      </c>
      <c r="F226" s="3">
        <v>41670</v>
      </c>
      <c r="H226" t="s">
        <v>15523</v>
      </c>
      <c r="I226" t="s">
        <v>15748</v>
      </c>
      <c r="K226" t="e">
        <v>#N/A</v>
      </c>
      <c r="S226" s="3"/>
    </row>
    <row r="227" spans="1:19" x14ac:dyDescent="0.25">
      <c r="A227" t="s">
        <v>1487</v>
      </c>
      <c r="B227" t="s">
        <v>1488</v>
      </c>
      <c r="C227" t="s">
        <v>1489</v>
      </c>
      <c r="D227" t="s">
        <v>23</v>
      </c>
      <c r="E227">
        <v>98</v>
      </c>
      <c r="F227" s="3">
        <v>40702</v>
      </c>
      <c r="H227" t="s">
        <v>15523</v>
      </c>
      <c r="I227" t="s">
        <v>15749</v>
      </c>
      <c r="K227" t="e">
        <v>#N/A</v>
      </c>
      <c r="S227" s="3"/>
    </row>
    <row r="228" spans="1:19" x14ac:dyDescent="0.25">
      <c r="A228" t="s">
        <v>1490</v>
      </c>
      <c r="B228" t="s">
        <v>1491</v>
      </c>
      <c r="C228" t="s">
        <v>1492</v>
      </c>
      <c r="D228" t="s">
        <v>23</v>
      </c>
      <c r="E228">
        <v>1731</v>
      </c>
      <c r="F228" s="3">
        <v>41461</v>
      </c>
      <c r="H228" t="s">
        <v>15523</v>
      </c>
      <c r="I228" t="s">
        <v>15750</v>
      </c>
      <c r="K228" t="e">
        <v>#N/A</v>
      </c>
      <c r="S228" s="3"/>
    </row>
    <row r="229" spans="1:19" x14ac:dyDescent="0.25">
      <c r="A229" t="s">
        <v>1493</v>
      </c>
      <c r="B229" t="s">
        <v>1494</v>
      </c>
      <c r="C229" t="s">
        <v>1495</v>
      </c>
      <c r="D229" t="s">
        <v>23</v>
      </c>
      <c r="E229">
        <v>5222</v>
      </c>
      <c r="F229" s="3">
        <v>42035</v>
      </c>
      <c r="H229" t="s">
        <v>15523</v>
      </c>
      <c r="I229" t="s">
        <v>15751</v>
      </c>
      <c r="K229" t="e">
        <v>#N/A</v>
      </c>
      <c r="S229" s="3"/>
    </row>
    <row r="230" spans="1:19" x14ac:dyDescent="0.25">
      <c r="A230" t="s">
        <v>1496</v>
      </c>
      <c r="B230" t="s">
        <v>1497</v>
      </c>
      <c r="C230" t="s">
        <v>1498</v>
      </c>
      <c r="D230" t="s">
        <v>23</v>
      </c>
      <c r="E230">
        <v>2894</v>
      </c>
      <c r="F230" s="3">
        <v>41670</v>
      </c>
      <c r="H230" t="s">
        <v>15523</v>
      </c>
      <c r="I230" t="s">
        <v>15752</v>
      </c>
      <c r="K230" t="e">
        <v>#N/A</v>
      </c>
      <c r="S230" s="3"/>
    </row>
    <row r="231" spans="1:19" x14ac:dyDescent="0.25">
      <c r="A231" t="s">
        <v>1499</v>
      </c>
      <c r="B231" t="s">
        <v>1500</v>
      </c>
      <c r="C231" t="s">
        <v>1501</v>
      </c>
      <c r="D231" t="s">
        <v>23</v>
      </c>
      <c r="E231">
        <v>2895</v>
      </c>
      <c r="F231" s="3">
        <v>41670</v>
      </c>
      <c r="H231" t="s">
        <v>15523</v>
      </c>
      <c r="I231" t="s">
        <v>15753</v>
      </c>
      <c r="K231" t="e">
        <v>#N/A</v>
      </c>
      <c r="S231" s="3"/>
    </row>
    <row r="232" spans="1:19" x14ac:dyDescent="0.25">
      <c r="A232" t="s">
        <v>1502</v>
      </c>
      <c r="B232" t="s">
        <v>1503</v>
      </c>
      <c r="C232" t="s">
        <v>1504</v>
      </c>
      <c r="D232" t="s">
        <v>23</v>
      </c>
      <c r="E232">
        <v>102</v>
      </c>
      <c r="F232" s="3">
        <v>40702</v>
      </c>
      <c r="H232" t="s">
        <v>15523</v>
      </c>
      <c r="I232" t="s">
        <v>15754</v>
      </c>
      <c r="K232" t="e">
        <v>#N/A</v>
      </c>
      <c r="S232" s="3"/>
    </row>
    <row r="233" spans="1:19" x14ac:dyDescent="0.25">
      <c r="A233" t="s">
        <v>1505</v>
      </c>
      <c r="B233" t="s">
        <v>1506</v>
      </c>
      <c r="C233" t="s">
        <v>1507</v>
      </c>
      <c r="D233" t="s">
        <v>23</v>
      </c>
      <c r="E233">
        <v>2896</v>
      </c>
      <c r="F233" s="3">
        <v>41670</v>
      </c>
      <c r="H233" t="s">
        <v>15523</v>
      </c>
      <c r="I233" t="s">
        <v>15755</v>
      </c>
      <c r="K233" t="e">
        <v>#N/A</v>
      </c>
      <c r="S233" s="3"/>
    </row>
    <row r="234" spans="1:19" x14ac:dyDescent="0.25">
      <c r="A234" t="s">
        <v>1508</v>
      </c>
      <c r="B234" t="s">
        <v>1509</v>
      </c>
      <c r="C234" t="s">
        <v>1510</v>
      </c>
      <c r="D234" t="s">
        <v>23</v>
      </c>
      <c r="E234">
        <v>100</v>
      </c>
      <c r="F234" s="3">
        <v>40702</v>
      </c>
      <c r="H234" t="s">
        <v>15523</v>
      </c>
      <c r="I234" t="s">
        <v>15756</v>
      </c>
      <c r="K234" t="e">
        <v>#N/A</v>
      </c>
      <c r="S234" s="3"/>
    </row>
    <row r="235" spans="1:19" x14ac:dyDescent="0.25">
      <c r="A235" t="s">
        <v>1511</v>
      </c>
      <c r="B235" t="s">
        <v>1512</v>
      </c>
      <c r="C235" t="s">
        <v>1513</v>
      </c>
      <c r="D235" t="s">
        <v>23</v>
      </c>
      <c r="E235">
        <v>101</v>
      </c>
      <c r="F235" s="3">
        <v>40702</v>
      </c>
      <c r="H235" t="s">
        <v>15523</v>
      </c>
      <c r="I235" t="s">
        <v>15757</v>
      </c>
      <c r="K235" t="e">
        <v>#N/A</v>
      </c>
      <c r="S235" s="3"/>
    </row>
    <row r="236" spans="1:19" x14ac:dyDescent="0.25">
      <c r="A236" t="s">
        <v>1514</v>
      </c>
      <c r="B236" t="s">
        <v>1515</v>
      </c>
      <c r="C236" t="s">
        <v>1516</v>
      </c>
      <c r="D236" t="s">
        <v>23</v>
      </c>
      <c r="E236">
        <v>103</v>
      </c>
      <c r="F236" s="3">
        <v>40702</v>
      </c>
      <c r="H236" t="s">
        <v>15523</v>
      </c>
      <c r="I236" t="s">
        <v>15758</v>
      </c>
      <c r="K236" t="e">
        <v>#N/A</v>
      </c>
      <c r="S236" s="3"/>
    </row>
    <row r="237" spans="1:19" x14ac:dyDescent="0.25">
      <c r="A237" t="s">
        <v>1517</v>
      </c>
      <c r="B237" t="s">
        <v>1518</v>
      </c>
      <c r="C237" t="s">
        <v>1519</v>
      </c>
      <c r="D237" t="s">
        <v>23</v>
      </c>
      <c r="E237">
        <v>2897</v>
      </c>
      <c r="F237" s="3">
        <v>41670</v>
      </c>
      <c r="H237" t="s">
        <v>15523</v>
      </c>
      <c r="I237" t="s">
        <v>15759</v>
      </c>
      <c r="K237" t="e">
        <v>#N/A</v>
      </c>
      <c r="S237" s="3"/>
    </row>
    <row r="238" spans="1:19" x14ac:dyDescent="0.25">
      <c r="A238" t="s">
        <v>1520</v>
      </c>
      <c r="B238" t="s">
        <v>1521</v>
      </c>
      <c r="C238" t="s">
        <v>1522</v>
      </c>
      <c r="D238" t="s">
        <v>23</v>
      </c>
      <c r="E238">
        <v>2898</v>
      </c>
      <c r="F238" s="3">
        <v>41670</v>
      </c>
      <c r="H238" t="s">
        <v>15523</v>
      </c>
      <c r="I238" t="s">
        <v>15760</v>
      </c>
      <c r="K238" t="e">
        <v>#N/A</v>
      </c>
      <c r="S238" s="3"/>
    </row>
    <row r="239" spans="1:19" x14ac:dyDescent="0.25">
      <c r="A239" t="s">
        <v>1523</v>
      </c>
      <c r="B239" t="s">
        <v>1524</v>
      </c>
      <c r="C239" t="s">
        <v>1525</v>
      </c>
      <c r="D239" t="s">
        <v>23</v>
      </c>
      <c r="E239">
        <v>107</v>
      </c>
      <c r="F239" s="3">
        <v>40702</v>
      </c>
      <c r="H239" t="s">
        <v>15523</v>
      </c>
      <c r="I239" t="s">
        <v>15761</v>
      </c>
      <c r="K239" t="e">
        <v>#N/A</v>
      </c>
      <c r="S239" s="3"/>
    </row>
    <row r="240" spans="1:19" x14ac:dyDescent="0.25">
      <c r="A240" t="s">
        <v>1526</v>
      </c>
      <c r="B240" t="s">
        <v>1527</v>
      </c>
      <c r="C240" t="s">
        <v>1528</v>
      </c>
      <c r="D240" t="s">
        <v>23</v>
      </c>
      <c r="E240">
        <v>2899</v>
      </c>
      <c r="F240" s="3">
        <v>41740</v>
      </c>
      <c r="H240" t="s">
        <v>15523</v>
      </c>
      <c r="I240" t="s">
        <v>15762</v>
      </c>
      <c r="K240" t="e">
        <v>#N/A</v>
      </c>
      <c r="S240" s="3"/>
    </row>
    <row r="241" spans="1:19" x14ac:dyDescent="0.25">
      <c r="A241" t="s">
        <v>1529</v>
      </c>
      <c r="B241" t="s">
        <v>1530</v>
      </c>
      <c r="C241" t="s">
        <v>1531</v>
      </c>
      <c r="D241" t="s">
        <v>23</v>
      </c>
      <c r="E241">
        <v>104</v>
      </c>
      <c r="F241" s="3">
        <v>40702</v>
      </c>
      <c r="H241" t="s">
        <v>15523</v>
      </c>
      <c r="I241" t="s">
        <v>15763</v>
      </c>
      <c r="K241" t="e">
        <v>#N/A</v>
      </c>
      <c r="S241" s="3"/>
    </row>
    <row r="242" spans="1:19" x14ac:dyDescent="0.25">
      <c r="A242" t="s">
        <v>1532</v>
      </c>
      <c r="B242" t="s">
        <v>1533</v>
      </c>
      <c r="C242" t="s">
        <v>1534</v>
      </c>
      <c r="D242" t="s">
        <v>23</v>
      </c>
      <c r="E242">
        <v>106</v>
      </c>
      <c r="F242" s="3">
        <v>40702</v>
      </c>
      <c r="H242" t="s">
        <v>15523</v>
      </c>
      <c r="I242" t="s">
        <v>15764</v>
      </c>
      <c r="K242" t="e">
        <v>#N/A</v>
      </c>
      <c r="S242" s="3"/>
    </row>
    <row r="243" spans="1:19" x14ac:dyDescent="0.25">
      <c r="A243" t="s">
        <v>1535</v>
      </c>
      <c r="B243" t="s">
        <v>1536</v>
      </c>
      <c r="C243" t="s">
        <v>1537</v>
      </c>
      <c r="D243" t="s">
        <v>23</v>
      </c>
      <c r="E243">
        <v>1733</v>
      </c>
      <c r="F243" s="3">
        <v>41670</v>
      </c>
      <c r="H243" t="s">
        <v>15523</v>
      </c>
      <c r="I243" t="s">
        <v>15765</v>
      </c>
      <c r="K243" t="e">
        <v>#N/A</v>
      </c>
      <c r="S243" s="3"/>
    </row>
    <row r="244" spans="1:19" x14ac:dyDescent="0.25">
      <c r="A244" t="s">
        <v>1538</v>
      </c>
      <c r="B244" t="s">
        <v>1539</v>
      </c>
      <c r="C244" t="s">
        <v>1540</v>
      </c>
      <c r="D244" t="s">
        <v>23</v>
      </c>
      <c r="E244">
        <v>5183</v>
      </c>
      <c r="F244" s="3">
        <v>42035</v>
      </c>
      <c r="H244" t="s">
        <v>15523</v>
      </c>
      <c r="I244" t="s">
        <v>15766</v>
      </c>
      <c r="K244" t="e">
        <v>#N/A</v>
      </c>
      <c r="S244" s="3"/>
    </row>
    <row r="245" spans="1:19" x14ac:dyDescent="0.25">
      <c r="A245" t="s">
        <v>1541</v>
      </c>
      <c r="B245" t="s">
        <v>1542</v>
      </c>
      <c r="C245" t="s">
        <v>1543</v>
      </c>
      <c r="D245" t="s">
        <v>23</v>
      </c>
      <c r="E245">
        <v>2900</v>
      </c>
      <c r="F245" s="3">
        <v>41769</v>
      </c>
      <c r="H245" t="s">
        <v>15523</v>
      </c>
      <c r="I245" t="s">
        <v>15767</v>
      </c>
      <c r="K245" t="e">
        <v>#N/A</v>
      </c>
      <c r="S245" s="3"/>
    </row>
    <row r="246" spans="1:19" x14ac:dyDescent="0.25">
      <c r="A246" t="s">
        <v>1544</v>
      </c>
      <c r="B246" t="s">
        <v>1545</v>
      </c>
      <c r="C246" t="s">
        <v>1546</v>
      </c>
      <c r="D246" t="s">
        <v>23</v>
      </c>
      <c r="E246">
        <v>2901</v>
      </c>
      <c r="F246" s="3">
        <v>41769</v>
      </c>
      <c r="H246" t="s">
        <v>15523</v>
      </c>
      <c r="I246" t="s">
        <v>15768</v>
      </c>
      <c r="K246" t="e">
        <v>#N/A</v>
      </c>
      <c r="S246" s="3"/>
    </row>
    <row r="247" spans="1:19" x14ac:dyDescent="0.25">
      <c r="A247" t="s">
        <v>1547</v>
      </c>
      <c r="B247" t="s">
        <v>1548</v>
      </c>
      <c r="C247" t="s">
        <v>1549</v>
      </c>
      <c r="D247" t="s">
        <v>23</v>
      </c>
      <c r="E247">
        <v>116</v>
      </c>
      <c r="F247" s="3">
        <v>40702</v>
      </c>
      <c r="H247" t="s">
        <v>15523</v>
      </c>
      <c r="I247" t="s">
        <v>15769</v>
      </c>
      <c r="K247" t="e">
        <v>#N/A</v>
      </c>
      <c r="S247" s="3"/>
    </row>
    <row r="248" spans="1:19" x14ac:dyDescent="0.25">
      <c r="A248" t="s">
        <v>1550</v>
      </c>
      <c r="B248" t="s">
        <v>1551</v>
      </c>
      <c r="C248" t="s">
        <v>1552</v>
      </c>
      <c r="D248" t="s">
        <v>23</v>
      </c>
      <c r="E248">
        <v>2902</v>
      </c>
      <c r="F248" s="3">
        <v>41769</v>
      </c>
      <c r="H248" t="s">
        <v>15523</v>
      </c>
      <c r="I248" t="s">
        <v>15770</v>
      </c>
      <c r="K248" t="e">
        <v>#N/A</v>
      </c>
      <c r="S248" s="3"/>
    </row>
    <row r="249" spans="1:19" x14ac:dyDescent="0.25">
      <c r="A249" t="s">
        <v>1553</v>
      </c>
      <c r="B249" t="s">
        <v>1554</v>
      </c>
      <c r="C249" t="s">
        <v>1555</v>
      </c>
      <c r="D249" t="s">
        <v>23</v>
      </c>
      <c r="E249">
        <v>2903</v>
      </c>
      <c r="F249" s="3">
        <v>41769</v>
      </c>
      <c r="H249" t="s">
        <v>15523</v>
      </c>
      <c r="I249" t="s">
        <v>15771</v>
      </c>
      <c r="K249" t="e">
        <v>#N/A</v>
      </c>
      <c r="S249" s="3"/>
    </row>
    <row r="250" spans="1:19" x14ac:dyDescent="0.25">
      <c r="A250" t="s">
        <v>1556</v>
      </c>
      <c r="B250" t="s">
        <v>1557</v>
      </c>
      <c r="C250" t="s">
        <v>1558</v>
      </c>
      <c r="D250" t="s">
        <v>23</v>
      </c>
      <c r="E250">
        <v>6029</v>
      </c>
      <c r="F250" s="3">
        <v>43539</v>
      </c>
      <c r="H250" t="s">
        <v>15523</v>
      </c>
      <c r="I250" t="s">
        <v>15772</v>
      </c>
      <c r="K250" t="e">
        <v>#N/A</v>
      </c>
      <c r="S250" s="3"/>
    </row>
    <row r="251" spans="1:19" x14ac:dyDescent="0.25">
      <c r="A251" t="s">
        <v>1559</v>
      </c>
      <c r="B251" t="s">
        <v>1560</v>
      </c>
      <c r="C251" t="s">
        <v>1561</v>
      </c>
      <c r="D251" t="s">
        <v>23</v>
      </c>
      <c r="E251">
        <v>2906</v>
      </c>
      <c r="F251" s="3">
        <v>41769</v>
      </c>
      <c r="H251" t="s">
        <v>15523</v>
      </c>
      <c r="I251" t="s">
        <v>15773</v>
      </c>
      <c r="K251" t="e">
        <v>#N/A</v>
      </c>
      <c r="S251" s="3"/>
    </row>
    <row r="252" spans="1:19" x14ac:dyDescent="0.25">
      <c r="A252" t="s">
        <v>1562</v>
      </c>
      <c r="B252" t="s">
        <v>1563</v>
      </c>
      <c r="C252" t="s">
        <v>1564</v>
      </c>
      <c r="D252" t="s">
        <v>23</v>
      </c>
      <c r="E252">
        <v>2905</v>
      </c>
      <c r="F252" s="3">
        <v>41769</v>
      </c>
      <c r="H252" t="s">
        <v>15523</v>
      </c>
      <c r="I252" t="s">
        <v>15774</v>
      </c>
      <c r="K252" t="e">
        <v>#N/A</v>
      </c>
      <c r="S252" s="3"/>
    </row>
    <row r="253" spans="1:19" x14ac:dyDescent="0.25">
      <c r="A253" t="s">
        <v>1565</v>
      </c>
      <c r="B253" t="s">
        <v>1566</v>
      </c>
      <c r="C253" t="s">
        <v>1567</v>
      </c>
      <c r="D253" t="s">
        <v>23</v>
      </c>
      <c r="E253">
        <v>2904</v>
      </c>
      <c r="F253" s="3">
        <v>41769</v>
      </c>
      <c r="H253" t="s">
        <v>15523</v>
      </c>
      <c r="I253" t="s">
        <v>15775</v>
      </c>
      <c r="K253" t="e">
        <v>#N/A</v>
      </c>
      <c r="S253" s="3"/>
    </row>
    <row r="254" spans="1:19" x14ac:dyDescent="0.25">
      <c r="A254" t="s">
        <v>1568</v>
      </c>
      <c r="B254" t="s">
        <v>1569</v>
      </c>
      <c r="C254" t="s">
        <v>1570</v>
      </c>
      <c r="D254" t="s">
        <v>23</v>
      </c>
      <c r="E254">
        <v>117</v>
      </c>
      <c r="F254" s="3">
        <v>40702</v>
      </c>
      <c r="H254" t="s">
        <v>15523</v>
      </c>
      <c r="I254" t="s">
        <v>15776</v>
      </c>
      <c r="K254" t="e">
        <v>#N/A</v>
      </c>
      <c r="S254" s="3"/>
    </row>
    <row r="255" spans="1:19" x14ac:dyDescent="0.25">
      <c r="A255" t="s">
        <v>1571</v>
      </c>
      <c r="B255" t="s">
        <v>1572</v>
      </c>
      <c r="C255" t="s">
        <v>1573</v>
      </c>
      <c r="D255" t="s">
        <v>23</v>
      </c>
      <c r="E255">
        <v>2907</v>
      </c>
      <c r="F255" s="3">
        <v>41769</v>
      </c>
      <c r="H255" t="s">
        <v>15523</v>
      </c>
      <c r="I255" t="s">
        <v>15777</v>
      </c>
      <c r="K255" t="e">
        <v>#N/A</v>
      </c>
      <c r="S255" s="3"/>
    </row>
    <row r="256" spans="1:19" x14ac:dyDescent="0.25">
      <c r="A256" t="s">
        <v>1574</v>
      </c>
      <c r="B256" t="s">
        <v>1575</v>
      </c>
      <c r="C256" t="s">
        <v>1576</v>
      </c>
      <c r="D256" t="s">
        <v>23</v>
      </c>
      <c r="E256">
        <v>2908</v>
      </c>
      <c r="F256" s="3">
        <v>41769</v>
      </c>
      <c r="H256" t="s">
        <v>15523</v>
      </c>
      <c r="I256" t="s">
        <v>15778</v>
      </c>
      <c r="K256" t="e">
        <v>#N/A</v>
      </c>
      <c r="S256" s="3"/>
    </row>
    <row r="257" spans="1:19" x14ac:dyDescent="0.25">
      <c r="A257" t="s">
        <v>1577</v>
      </c>
      <c r="B257" t="s">
        <v>1578</v>
      </c>
      <c r="C257" t="s">
        <v>1579</v>
      </c>
      <c r="D257" t="s">
        <v>23</v>
      </c>
      <c r="E257">
        <v>122</v>
      </c>
      <c r="F257" s="3">
        <v>41461</v>
      </c>
      <c r="H257" t="s">
        <v>15523</v>
      </c>
      <c r="I257" t="s">
        <v>15779</v>
      </c>
      <c r="K257" t="e">
        <v>#N/A</v>
      </c>
      <c r="S257" s="3"/>
    </row>
    <row r="258" spans="1:19" x14ac:dyDescent="0.25">
      <c r="A258" t="s">
        <v>1580</v>
      </c>
      <c r="B258" t="s">
        <v>1581</v>
      </c>
      <c r="C258" t="s">
        <v>1582</v>
      </c>
      <c r="D258" t="s">
        <v>23</v>
      </c>
      <c r="E258">
        <v>2909</v>
      </c>
      <c r="F258" s="3">
        <v>41769</v>
      </c>
      <c r="H258" t="s">
        <v>15523</v>
      </c>
      <c r="I258" t="s">
        <v>15780</v>
      </c>
      <c r="K258" t="e">
        <v>#N/A</v>
      </c>
      <c r="S258" s="3"/>
    </row>
    <row r="259" spans="1:19" x14ac:dyDescent="0.25">
      <c r="A259" t="s">
        <v>1583</v>
      </c>
      <c r="B259" t="s">
        <v>1584</v>
      </c>
      <c r="C259" t="s">
        <v>1585</v>
      </c>
      <c r="D259" t="s">
        <v>23</v>
      </c>
      <c r="E259">
        <v>2723</v>
      </c>
      <c r="F259" s="3">
        <v>41461</v>
      </c>
      <c r="H259" t="s">
        <v>15523</v>
      </c>
      <c r="I259" t="s">
        <v>15781</v>
      </c>
      <c r="K259" t="e">
        <v>#N/A</v>
      </c>
      <c r="S259" s="3"/>
    </row>
    <row r="260" spans="1:19" x14ac:dyDescent="0.25">
      <c r="A260" t="s">
        <v>1586</v>
      </c>
      <c r="B260" t="s">
        <v>1587</v>
      </c>
      <c r="C260" t="s">
        <v>1588</v>
      </c>
      <c r="D260" t="s">
        <v>23</v>
      </c>
      <c r="E260">
        <v>124</v>
      </c>
      <c r="F260" s="3">
        <v>41769</v>
      </c>
      <c r="H260" t="s">
        <v>15523</v>
      </c>
      <c r="I260" t="s">
        <v>15782</v>
      </c>
      <c r="K260" t="e">
        <v>#N/A</v>
      </c>
      <c r="S260" s="3"/>
    </row>
    <row r="261" spans="1:19" x14ac:dyDescent="0.25">
      <c r="A261" t="s">
        <v>1589</v>
      </c>
      <c r="B261" t="s">
        <v>1590</v>
      </c>
      <c r="C261" t="s">
        <v>1591</v>
      </c>
      <c r="D261" t="s">
        <v>23</v>
      </c>
      <c r="E261">
        <v>2910</v>
      </c>
      <c r="F261" s="3">
        <v>41769</v>
      </c>
      <c r="H261" t="s">
        <v>15523</v>
      </c>
      <c r="I261" t="s">
        <v>15783</v>
      </c>
      <c r="K261" t="e">
        <v>#N/A</v>
      </c>
      <c r="S261" s="3"/>
    </row>
    <row r="262" spans="1:19" x14ac:dyDescent="0.25">
      <c r="A262" t="s">
        <v>1592</v>
      </c>
      <c r="B262" t="s">
        <v>1593</v>
      </c>
      <c r="C262" t="s">
        <v>1594</v>
      </c>
      <c r="D262" t="s">
        <v>23</v>
      </c>
      <c r="E262">
        <v>2911</v>
      </c>
      <c r="F262" s="3">
        <v>41769</v>
      </c>
      <c r="H262" t="s">
        <v>15523</v>
      </c>
      <c r="I262" t="s">
        <v>15784</v>
      </c>
      <c r="K262" t="e">
        <v>#N/A</v>
      </c>
      <c r="S262" s="3"/>
    </row>
    <row r="263" spans="1:19" x14ac:dyDescent="0.25">
      <c r="A263" t="s">
        <v>1595</v>
      </c>
      <c r="B263" t="s">
        <v>1596</v>
      </c>
      <c r="C263" t="s">
        <v>1597</v>
      </c>
      <c r="D263" t="s">
        <v>23</v>
      </c>
      <c r="E263">
        <v>2912</v>
      </c>
      <c r="F263" s="3">
        <v>41769</v>
      </c>
      <c r="H263" t="s">
        <v>15523</v>
      </c>
      <c r="I263" t="s">
        <v>15785</v>
      </c>
      <c r="K263" t="e">
        <v>#N/A</v>
      </c>
      <c r="S263" s="3"/>
    </row>
    <row r="264" spans="1:19" x14ac:dyDescent="0.25">
      <c r="A264" t="s">
        <v>1598</v>
      </c>
      <c r="B264" t="s">
        <v>1599</v>
      </c>
      <c r="C264" t="s">
        <v>1600</v>
      </c>
      <c r="D264" t="s">
        <v>23</v>
      </c>
      <c r="E264">
        <v>2913</v>
      </c>
      <c r="F264" s="3">
        <v>41769</v>
      </c>
      <c r="H264" t="s">
        <v>15523</v>
      </c>
      <c r="I264" t="s">
        <v>15786</v>
      </c>
      <c r="K264" t="e">
        <v>#N/A</v>
      </c>
      <c r="S264" s="3"/>
    </row>
    <row r="265" spans="1:19" x14ac:dyDescent="0.25">
      <c r="A265" t="s">
        <v>1601</v>
      </c>
      <c r="B265" t="s">
        <v>1602</v>
      </c>
      <c r="C265" t="s">
        <v>1603</v>
      </c>
      <c r="D265" t="s">
        <v>23</v>
      </c>
      <c r="E265">
        <v>2914</v>
      </c>
      <c r="F265" s="3">
        <v>41769</v>
      </c>
      <c r="H265" t="s">
        <v>15523</v>
      </c>
      <c r="I265" t="s">
        <v>15787</v>
      </c>
      <c r="K265" t="e">
        <v>#N/A</v>
      </c>
      <c r="S265" s="3"/>
    </row>
    <row r="266" spans="1:19" x14ac:dyDescent="0.25">
      <c r="A266" t="s">
        <v>1604</v>
      </c>
      <c r="B266" t="s">
        <v>1605</v>
      </c>
      <c r="C266" t="s">
        <v>1606</v>
      </c>
      <c r="D266" t="s">
        <v>23</v>
      </c>
      <c r="E266">
        <v>2915</v>
      </c>
      <c r="F266" s="3">
        <v>41769</v>
      </c>
      <c r="H266" t="s">
        <v>15523</v>
      </c>
      <c r="I266" t="s">
        <v>15788</v>
      </c>
      <c r="K266" t="e">
        <v>#N/A</v>
      </c>
      <c r="S266" s="3"/>
    </row>
    <row r="267" spans="1:19" x14ac:dyDescent="0.25">
      <c r="A267" t="s">
        <v>1607</v>
      </c>
      <c r="B267" t="s">
        <v>1608</v>
      </c>
      <c r="C267" t="s">
        <v>1609</v>
      </c>
      <c r="D267" t="s">
        <v>23</v>
      </c>
      <c r="E267">
        <v>114</v>
      </c>
      <c r="F267" s="3">
        <v>40702</v>
      </c>
      <c r="H267" t="s">
        <v>15523</v>
      </c>
      <c r="I267" t="s">
        <v>15789</v>
      </c>
      <c r="K267" t="e">
        <v>#N/A</v>
      </c>
      <c r="S267" s="3"/>
    </row>
    <row r="268" spans="1:19" x14ac:dyDescent="0.25">
      <c r="A268" t="s">
        <v>1610</v>
      </c>
      <c r="B268" t="s">
        <v>1611</v>
      </c>
      <c r="C268" t="s">
        <v>1612</v>
      </c>
      <c r="D268" t="s">
        <v>23</v>
      </c>
      <c r="E268">
        <v>115</v>
      </c>
      <c r="F268" s="3">
        <v>40702</v>
      </c>
      <c r="H268" t="s">
        <v>15523</v>
      </c>
      <c r="I268" t="s">
        <v>15790</v>
      </c>
      <c r="K268" t="e">
        <v>#N/A</v>
      </c>
      <c r="S268" s="3"/>
    </row>
    <row r="269" spans="1:19" x14ac:dyDescent="0.25">
      <c r="A269" t="s">
        <v>1613</v>
      </c>
      <c r="B269" t="s">
        <v>1614</v>
      </c>
      <c r="C269" t="s">
        <v>1615</v>
      </c>
      <c r="D269" t="s">
        <v>23</v>
      </c>
      <c r="E269">
        <v>118</v>
      </c>
      <c r="F269" s="3">
        <v>41769</v>
      </c>
      <c r="H269" t="s">
        <v>15523</v>
      </c>
      <c r="I269" t="s">
        <v>15791</v>
      </c>
      <c r="K269" t="e">
        <v>#N/A</v>
      </c>
      <c r="S269" s="3"/>
    </row>
    <row r="270" spans="1:19" x14ac:dyDescent="0.25">
      <c r="A270" t="s">
        <v>1616</v>
      </c>
      <c r="B270" t="s">
        <v>1617</v>
      </c>
      <c r="C270" t="s">
        <v>1618</v>
      </c>
      <c r="D270" t="s">
        <v>23</v>
      </c>
      <c r="E270">
        <v>2916</v>
      </c>
      <c r="F270" s="3">
        <v>41769</v>
      </c>
      <c r="H270" t="s">
        <v>15523</v>
      </c>
      <c r="I270" t="s">
        <v>15792</v>
      </c>
      <c r="K270" t="e">
        <v>#N/A</v>
      </c>
      <c r="S270" s="3"/>
    </row>
    <row r="271" spans="1:19" x14ac:dyDescent="0.25">
      <c r="A271" t="s">
        <v>1619</v>
      </c>
      <c r="B271" t="s">
        <v>1620</v>
      </c>
      <c r="C271" t="s">
        <v>1621</v>
      </c>
      <c r="D271" t="s">
        <v>23</v>
      </c>
      <c r="E271">
        <v>111</v>
      </c>
      <c r="F271" s="3">
        <v>40702</v>
      </c>
      <c r="H271" t="s">
        <v>15523</v>
      </c>
      <c r="I271" t="s">
        <v>15793</v>
      </c>
      <c r="K271" t="e">
        <v>#N/A</v>
      </c>
      <c r="S271" s="3"/>
    </row>
    <row r="272" spans="1:19" x14ac:dyDescent="0.25">
      <c r="A272" t="s">
        <v>1622</v>
      </c>
      <c r="B272" t="s">
        <v>1623</v>
      </c>
      <c r="C272" t="s">
        <v>1624</v>
      </c>
      <c r="D272" t="s">
        <v>23</v>
      </c>
      <c r="E272">
        <v>112</v>
      </c>
      <c r="F272" s="3">
        <v>40702</v>
      </c>
      <c r="H272" t="s">
        <v>15523</v>
      </c>
      <c r="I272" t="s">
        <v>15794</v>
      </c>
      <c r="K272" t="e">
        <v>#N/A</v>
      </c>
      <c r="S272" s="3"/>
    </row>
    <row r="273" spans="1:19" x14ac:dyDescent="0.25">
      <c r="A273" t="s">
        <v>1625</v>
      </c>
      <c r="B273" t="s">
        <v>1626</v>
      </c>
      <c r="C273" t="s">
        <v>1627</v>
      </c>
      <c r="D273" t="s">
        <v>23</v>
      </c>
      <c r="E273">
        <v>113</v>
      </c>
      <c r="F273" s="3">
        <v>40702</v>
      </c>
      <c r="H273" t="s">
        <v>15523</v>
      </c>
      <c r="I273" t="s">
        <v>15795</v>
      </c>
      <c r="K273" t="e">
        <v>#N/A</v>
      </c>
      <c r="S273" s="3"/>
    </row>
    <row r="274" spans="1:19" x14ac:dyDescent="0.25">
      <c r="A274" t="s">
        <v>1628</v>
      </c>
      <c r="B274" t="s">
        <v>1629</v>
      </c>
      <c r="C274" t="s">
        <v>1630</v>
      </c>
      <c r="D274" t="s">
        <v>23</v>
      </c>
      <c r="E274">
        <v>2921</v>
      </c>
      <c r="F274" s="3">
        <v>41769</v>
      </c>
      <c r="H274" t="s">
        <v>15523</v>
      </c>
      <c r="I274" t="s">
        <v>15796</v>
      </c>
      <c r="K274" t="e">
        <v>#N/A</v>
      </c>
      <c r="S274" s="3"/>
    </row>
    <row r="275" spans="1:19" x14ac:dyDescent="0.25">
      <c r="A275" t="s">
        <v>1631</v>
      </c>
      <c r="B275" t="s">
        <v>1632</v>
      </c>
      <c r="C275" t="s">
        <v>1633</v>
      </c>
      <c r="D275" t="s">
        <v>23</v>
      </c>
      <c r="E275">
        <v>669</v>
      </c>
      <c r="F275" s="3">
        <v>40702</v>
      </c>
      <c r="H275" t="s">
        <v>15523</v>
      </c>
      <c r="I275" t="s">
        <v>15797</v>
      </c>
      <c r="K275" t="e">
        <v>#N/A</v>
      </c>
      <c r="S275" s="3"/>
    </row>
    <row r="276" spans="1:19" x14ac:dyDescent="0.25">
      <c r="A276" t="s">
        <v>1634</v>
      </c>
      <c r="B276" t="s">
        <v>1635</v>
      </c>
      <c r="C276" t="s">
        <v>1636</v>
      </c>
      <c r="D276" t="s">
        <v>23</v>
      </c>
      <c r="E276">
        <v>1735</v>
      </c>
      <c r="F276" s="3">
        <v>41769</v>
      </c>
      <c r="H276" t="s">
        <v>15523</v>
      </c>
      <c r="I276" t="s">
        <v>15798</v>
      </c>
      <c r="K276" t="e">
        <v>#N/A</v>
      </c>
      <c r="S276" s="3"/>
    </row>
    <row r="277" spans="1:19" x14ac:dyDescent="0.25">
      <c r="A277" t="s">
        <v>1637</v>
      </c>
      <c r="B277" t="s">
        <v>1638</v>
      </c>
      <c r="C277" t="s">
        <v>1639</v>
      </c>
      <c r="D277" t="s">
        <v>23</v>
      </c>
      <c r="E277">
        <v>2920</v>
      </c>
      <c r="F277" s="3">
        <v>41769</v>
      </c>
      <c r="H277" t="s">
        <v>15523</v>
      </c>
      <c r="I277" t="s">
        <v>15799</v>
      </c>
      <c r="K277" t="e">
        <v>#N/A</v>
      </c>
      <c r="S277" s="3"/>
    </row>
    <row r="278" spans="1:19" x14ac:dyDescent="0.25">
      <c r="A278" t="s">
        <v>1640</v>
      </c>
      <c r="B278" t="s">
        <v>1641</v>
      </c>
      <c r="C278" t="s">
        <v>1642</v>
      </c>
      <c r="D278" t="s">
        <v>23</v>
      </c>
      <c r="E278">
        <v>140</v>
      </c>
      <c r="F278" s="3">
        <v>40702</v>
      </c>
      <c r="H278" t="s">
        <v>15523</v>
      </c>
      <c r="I278" t="s">
        <v>15800</v>
      </c>
      <c r="K278" t="e">
        <v>#N/A</v>
      </c>
      <c r="S278" s="3"/>
    </row>
    <row r="279" spans="1:19" x14ac:dyDescent="0.25">
      <c r="A279" t="s">
        <v>1643</v>
      </c>
      <c r="B279" t="s">
        <v>1644</v>
      </c>
      <c r="C279" t="s">
        <v>1645</v>
      </c>
      <c r="D279" t="s">
        <v>23</v>
      </c>
      <c r="E279">
        <v>2919</v>
      </c>
      <c r="F279" s="3">
        <v>41769</v>
      </c>
      <c r="H279" t="s">
        <v>15523</v>
      </c>
      <c r="I279" t="s">
        <v>15801</v>
      </c>
      <c r="K279" t="e">
        <v>#N/A</v>
      </c>
      <c r="S279" s="3"/>
    </row>
    <row r="280" spans="1:19" x14ac:dyDescent="0.25">
      <c r="A280" t="s">
        <v>1646</v>
      </c>
      <c r="B280" t="s">
        <v>1647</v>
      </c>
      <c r="C280" t="s">
        <v>1648</v>
      </c>
      <c r="D280" t="s">
        <v>23</v>
      </c>
      <c r="E280">
        <v>2923</v>
      </c>
      <c r="F280" s="3">
        <v>43690</v>
      </c>
      <c r="H280" t="s">
        <v>15523</v>
      </c>
      <c r="I280" t="s">
        <v>15802</v>
      </c>
      <c r="K280" t="e">
        <v>#N/A</v>
      </c>
      <c r="S280" s="3"/>
    </row>
    <row r="281" spans="1:19" x14ac:dyDescent="0.25">
      <c r="A281" t="s">
        <v>1649</v>
      </c>
      <c r="B281" t="s">
        <v>1650</v>
      </c>
      <c r="C281" t="s">
        <v>1651</v>
      </c>
      <c r="D281" t="s">
        <v>23</v>
      </c>
      <c r="E281">
        <v>2924</v>
      </c>
      <c r="F281" s="3">
        <v>41769</v>
      </c>
      <c r="H281" t="s">
        <v>15523</v>
      </c>
      <c r="I281" t="s">
        <v>15803</v>
      </c>
      <c r="K281" t="e">
        <v>#N/A</v>
      </c>
      <c r="S281" s="3"/>
    </row>
    <row r="282" spans="1:19" x14ac:dyDescent="0.25">
      <c r="A282" t="s">
        <v>1652</v>
      </c>
      <c r="B282" t="s">
        <v>1653</v>
      </c>
      <c r="C282" t="s">
        <v>1654</v>
      </c>
      <c r="D282" t="s">
        <v>23</v>
      </c>
      <c r="E282">
        <v>125</v>
      </c>
      <c r="F282" s="3">
        <v>41769</v>
      </c>
      <c r="H282" t="s">
        <v>15523</v>
      </c>
      <c r="I282" t="s">
        <v>15804</v>
      </c>
      <c r="K282" t="e">
        <v>#N/A</v>
      </c>
      <c r="S282" s="3"/>
    </row>
    <row r="283" spans="1:19" x14ac:dyDescent="0.25">
      <c r="A283" t="s">
        <v>1655</v>
      </c>
      <c r="B283" t="s">
        <v>1656</v>
      </c>
      <c r="C283" t="s">
        <v>1657</v>
      </c>
      <c r="D283" t="s">
        <v>23</v>
      </c>
      <c r="E283">
        <v>2925</v>
      </c>
      <c r="F283" s="3">
        <v>41769</v>
      </c>
      <c r="H283" t="s">
        <v>15523</v>
      </c>
      <c r="I283" t="s">
        <v>15805</v>
      </c>
      <c r="K283" t="e">
        <v>#N/A</v>
      </c>
      <c r="S283" s="3"/>
    </row>
    <row r="284" spans="1:19" x14ac:dyDescent="0.25">
      <c r="A284" t="s">
        <v>1658</v>
      </c>
      <c r="B284" t="s">
        <v>1659</v>
      </c>
      <c r="C284" t="s">
        <v>1660</v>
      </c>
      <c r="D284" t="s">
        <v>23</v>
      </c>
      <c r="E284">
        <v>130</v>
      </c>
      <c r="F284" s="3">
        <v>41461</v>
      </c>
      <c r="H284" t="s">
        <v>15523</v>
      </c>
      <c r="I284" t="s">
        <v>15806</v>
      </c>
      <c r="K284" t="e">
        <v>#N/A</v>
      </c>
      <c r="S284" s="3"/>
    </row>
    <row r="285" spans="1:19" x14ac:dyDescent="0.25">
      <c r="A285" t="s">
        <v>1661</v>
      </c>
      <c r="B285" t="s">
        <v>1662</v>
      </c>
      <c r="C285" t="s">
        <v>1663</v>
      </c>
      <c r="D285" t="s">
        <v>23</v>
      </c>
      <c r="E285">
        <v>132</v>
      </c>
      <c r="F285" s="3">
        <v>41769</v>
      </c>
      <c r="H285" t="s">
        <v>15523</v>
      </c>
      <c r="I285" t="s">
        <v>15807</v>
      </c>
      <c r="K285" t="e">
        <v>#N/A</v>
      </c>
      <c r="S285" s="3"/>
    </row>
    <row r="286" spans="1:19" x14ac:dyDescent="0.25">
      <c r="A286" t="s">
        <v>1664</v>
      </c>
      <c r="B286" t="s">
        <v>1665</v>
      </c>
      <c r="C286" t="s">
        <v>1666</v>
      </c>
      <c r="D286" t="s">
        <v>23</v>
      </c>
      <c r="E286">
        <v>2926</v>
      </c>
      <c r="F286" s="3">
        <v>41769</v>
      </c>
      <c r="H286" t="s">
        <v>15523</v>
      </c>
      <c r="I286" t="s">
        <v>15808</v>
      </c>
      <c r="K286" t="e">
        <v>#N/A</v>
      </c>
      <c r="S286" s="3"/>
    </row>
    <row r="287" spans="1:19" x14ac:dyDescent="0.25">
      <c r="A287" t="s">
        <v>1667</v>
      </c>
      <c r="B287" t="s">
        <v>1668</v>
      </c>
      <c r="C287" t="s">
        <v>1669</v>
      </c>
      <c r="D287" t="s">
        <v>23</v>
      </c>
      <c r="E287">
        <v>2927</v>
      </c>
      <c r="F287" s="3">
        <v>41769</v>
      </c>
      <c r="H287" t="s">
        <v>15523</v>
      </c>
      <c r="I287" t="s">
        <v>15809</v>
      </c>
      <c r="K287" t="e">
        <v>#N/A</v>
      </c>
      <c r="S287" s="3"/>
    </row>
    <row r="288" spans="1:19" x14ac:dyDescent="0.25">
      <c r="A288" t="s">
        <v>1670</v>
      </c>
      <c r="B288" t="s">
        <v>1671</v>
      </c>
      <c r="C288" t="s">
        <v>1672</v>
      </c>
      <c r="D288" t="s">
        <v>23</v>
      </c>
      <c r="E288">
        <v>2844</v>
      </c>
      <c r="F288" s="3">
        <v>43441</v>
      </c>
      <c r="H288" t="s">
        <v>15523</v>
      </c>
      <c r="I288" t="s">
        <v>15810</v>
      </c>
      <c r="K288" t="e">
        <v>#N/A</v>
      </c>
      <c r="S288" s="3"/>
    </row>
    <row r="289" spans="1:19" x14ac:dyDescent="0.25">
      <c r="A289" t="s">
        <v>1673</v>
      </c>
      <c r="B289" t="s">
        <v>1674</v>
      </c>
      <c r="C289" t="s">
        <v>1675</v>
      </c>
      <c r="D289" t="s">
        <v>23</v>
      </c>
      <c r="E289">
        <v>126</v>
      </c>
      <c r="F289" s="3">
        <v>40702</v>
      </c>
      <c r="H289" t="s">
        <v>15523</v>
      </c>
      <c r="I289" t="s">
        <v>15811</v>
      </c>
      <c r="K289" t="e">
        <v>#N/A</v>
      </c>
      <c r="S289" s="3"/>
    </row>
    <row r="290" spans="1:19" x14ac:dyDescent="0.25">
      <c r="A290" t="s">
        <v>1676</v>
      </c>
      <c r="B290" t="s">
        <v>1677</v>
      </c>
      <c r="C290" t="s">
        <v>1678</v>
      </c>
      <c r="D290" t="s">
        <v>23</v>
      </c>
      <c r="E290">
        <v>127</v>
      </c>
      <c r="F290" s="3">
        <v>40702</v>
      </c>
      <c r="H290" t="s">
        <v>15523</v>
      </c>
      <c r="I290" t="s">
        <v>15812</v>
      </c>
      <c r="K290" t="e">
        <v>#N/A</v>
      </c>
      <c r="S290" s="3"/>
    </row>
    <row r="291" spans="1:19" x14ac:dyDescent="0.25">
      <c r="A291" t="s">
        <v>1679</v>
      </c>
      <c r="B291" t="s">
        <v>1680</v>
      </c>
      <c r="C291" t="s">
        <v>1681</v>
      </c>
      <c r="D291" t="s">
        <v>23</v>
      </c>
      <c r="E291">
        <v>128</v>
      </c>
      <c r="F291" s="3">
        <v>40702</v>
      </c>
      <c r="H291" t="s">
        <v>15523</v>
      </c>
      <c r="I291" t="s">
        <v>15813</v>
      </c>
      <c r="K291" t="e">
        <v>#N/A</v>
      </c>
      <c r="S291" s="3"/>
    </row>
    <row r="292" spans="1:19" x14ac:dyDescent="0.25">
      <c r="A292" t="s">
        <v>1682</v>
      </c>
      <c r="B292" t="s">
        <v>1683</v>
      </c>
      <c r="C292" t="s">
        <v>1684</v>
      </c>
      <c r="D292" t="s">
        <v>23</v>
      </c>
      <c r="E292">
        <v>131</v>
      </c>
      <c r="F292" s="3">
        <v>40702</v>
      </c>
      <c r="H292" t="s">
        <v>15523</v>
      </c>
      <c r="I292" t="s">
        <v>15814</v>
      </c>
      <c r="K292" t="e">
        <v>#N/A</v>
      </c>
      <c r="S292" s="3"/>
    </row>
    <row r="293" spans="1:19" x14ac:dyDescent="0.25">
      <c r="A293" t="s">
        <v>1685</v>
      </c>
      <c r="B293" t="s">
        <v>1686</v>
      </c>
      <c r="C293" t="s">
        <v>1687</v>
      </c>
      <c r="D293" t="s">
        <v>23</v>
      </c>
      <c r="E293">
        <v>5217</v>
      </c>
      <c r="F293" s="3">
        <v>42035</v>
      </c>
      <c r="H293" t="s">
        <v>15523</v>
      </c>
      <c r="I293" t="s">
        <v>15815</v>
      </c>
      <c r="K293" t="e">
        <v>#N/A</v>
      </c>
      <c r="S293" s="3"/>
    </row>
    <row r="294" spans="1:19" x14ac:dyDescent="0.25">
      <c r="A294" t="s">
        <v>1688</v>
      </c>
      <c r="B294" t="s">
        <v>1689</v>
      </c>
      <c r="C294" t="s">
        <v>1690</v>
      </c>
      <c r="D294" t="s">
        <v>23</v>
      </c>
      <c r="E294">
        <v>1923</v>
      </c>
      <c r="F294" s="3">
        <v>40702</v>
      </c>
      <c r="H294" t="s">
        <v>15523</v>
      </c>
      <c r="I294" t="s">
        <v>15816</v>
      </c>
      <c r="K294" t="e">
        <v>#N/A</v>
      </c>
      <c r="S294" s="3"/>
    </row>
    <row r="295" spans="1:19" x14ac:dyDescent="0.25">
      <c r="A295" t="s">
        <v>1691</v>
      </c>
      <c r="B295" t="s">
        <v>1692</v>
      </c>
      <c r="C295" t="s">
        <v>1693</v>
      </c>
      <c r="D295" t="s">
        <v>23</v>
      </c>
      <c r="E295">
        <v>2930</v>
      </c>
      <c r="F295" s="3">
        <v>41769</v>
      </c>
      <c r="H295" t="s">
        <v>15523</v>
      </c>
      <c r="I295" t="s">
        <v>15817</v>
      </c>
      <c r="K295" t="e">
        <v>#N/A</v>
      </c>
      <c r="S295" s="3"/>
    </row>
    <row r="296" spans="1:19" x14ac:dyDescent="0.25">
      <c r="A296" t="s">
        <v>1694</v>
      </c>
      <c r="B296" t="s">
        <v>1695</v>
      </c>
      <c r="C296" t="s">
        <v>1696</v>
      </c>
      <c r="D296" t="s">
        <v>23</v>
      </c>
      <c r="E296">
        <v>2931</v>
      </c>
      <c r="F296" s="3">
        <v>41769</v>
      </c>
      <c r="H296" t="s">
        <v>15523</v>
      </c>
      <c r="I296" t="s">
        <v>15818</v>
      </c>
      <c r="K296" t="e">
        <v>#N/A</v>
      </c>
      <c r="S296" s="3"/>
    </row>
    <row r="297" spans="1:19" x14ac:dyDescent="0.25">
      <c r="A297" t="s">
        <v>1697</v>
      </c>
      <c r="B297" t="s">
        <v>1698</v>
      </c>
      <c r="C297" t="s">
        <v>1699</v>
      </c>
      <c r="D297" t="s">
        <v>23</v>
      </c>
      <c r="E297">
        <v>2932</v>
      </c>
      <c r="F297" s="3">
        <v>41769</v>
      </c>
      <c r="H297" t="s">
        <v>15523</v>
      </c>
      <c r="I297" t="s">
        <v>15819</v>
      </c>
      <c r="K297" t="e">
        <v>#N/A</v>
      </c>
      <c r="S297" s="3"/>
    </row>
    <row r="298" spans="1:19" x14ac:dyDescent="0.25">
      <c r="A298" t="s">
        <v>1700</v>
      </c>
      <c r="B298" t="s">
        <v>1701</v>
      </c>
      <c r="C298" t="s">
        <v>1702</v>
      </c>
      <c r="D298" t="s">
        <v>23</v>
      </c>
      <c r="E298">
        <v>5940</v>
      </c>
      <c r="F298" s="3">
        <v>43208</v>
      </c>
      <c r="H298" t="s">
        <v>15523</v>
      </c>
      <c r="I298" t="s">
        <v>15820</v>
      </c>
      <c r="K298" t="e">
        <v>#N/A</v>
      </c>
      <c r="S298" s="3"/>
    </row>
    <row r="299" spans="1:19" x14ac:dyDescent="0.25">
      <c r="A299" t="s">
        <v>1703</v>
      </c>
      <c r="B299" t="s">
        <v>1704</v>
      </c>
      <c r="C299" t="s">
        <v>1705</v>
      </c>
      <c r="D299" t="s">
        <v>23</v>
      </c>
      <c r="E299">
        <v>6030</v>
      </c>
      <c r="F299" s="3">
        <v>43539</v>
      </c>
      <c r="H299" t="s">
        <v>15523</v>
      </c>
      <c r="I299" t="s">
        <v>15821</v>
      </c>
      <c r="K299" t="e">
        <v>#N/A</v>
      </c>
      <c r="S299" s="3"/>
    </row>
    <row r="300" spans="1:19" x14ac:dyDescent="0.25">
      <c r="A300" t="s">
        <v>1706</v>
      </c>
      <c r="B300" t="s">
        <v>1707</v>
      </c>
      <c r="C300" t="s">
        <v>1708</v>
      </c>
      <c r="D300" t="s">
        <v>23</v>
      </c>
      <c r="E300">
        <v>5581</v>
      </c>
      <c r="F300" s="3">
        <v>42448</v>
      </c>
      <c r="H300" t="s">
        <v>15523</v>
      </c>
      <c r="I300" t="s">
        <v>15822</v>
      </c>
      <c r="K300" t="e">
        <v>#N/A</v>
      </c>
      <c r="S300" s="3"/>
    </row>
    <row r="301" spans="1:19" x14ac:dyDescent="0.25">
      <c r="A301" t="s">
        <v>1709</v>
      </c>
      <c r="B301" t="s">
        <v>1710</v>
      </c>
      <c r="C301" t="s">
        <v>1711</v>
      </c>
      <c r="D301" t="s">
        <v>23</v>
      </c>
      <c r="E301">
        <v>1828</v>
      </c>
      <c r="F301" s="3">
        <v>40702</v>
      </c>
      <c r="H301" t="s">
        <v>15523</v>
      </c>
      <c r="I301" t="s">
        <v>15823</v>
      </c>
      <c r="K301" t="e">
        <v>#N/A</v>
      </c>
      <c r="S301" s="3"/>
    </row>
    <row r="302" spans="1:19" x14ac:dyDescent="0.25">
      <c r="A302" t="s">
        <v>1712</v>
      </c>
      <c r="B302" t="s">
        <v>1713</v>
      </c>
      <c r="C302" t="s">
        <v>1714</v>
      </c>
      <c r="D302" t="s">
        <v>23</v>
      </c>
      <c r="E302">
        <v>137</v>
      </c>
      <c r="F302" s="3">
        <v>41769</v>
      </c>
      <c r="H302" t="s">
        <v>15523</v>
      </c>
      <c r="I302" t="s">
        <v>15824</v>
      </c>
      <c r="K302" t="e">
        <v>#N/A</v>
      </c>
      <c r="S302" s="3"/>
    </row>
    <row r="303" spans="1:19" x14ac:dyDescent="0.25">
      <c r="A303" t="s">
        <v>1715</v>
      </c>
      <c r="B303" t="s">
        <v>1716</v>
      </c>
      <c r="C303" t="s">
        <v>1717</v>
      </c>
      <c r="D303" t="s">
        <v>23</v>
      </c>
      <c r="E303">
        <v>2933</v>
      </c>
      <c r="F303" s="3">
        <v>41769</v>
      </c>
      <c r="H303" t="s">
        <v>15523</v>
      </c>
      <c r="I303" t="s">
        <v>15825</v>
      </c>
      <c r="K303" t="e">
        <v>#N/A</v>
      </c>
      <c r="S303" s="3"/>
    </row>
    <row r="304" spans="1:19" x14ac:dyDescent="0.25">
      <c r="A304" t="s">
        <v>1718</v>
      </c>
      <c r="B304" t="s">
        <v>1719</v>
      </c>
      <c r="C304" t="s">
        <v>1720</v>
      </c>
      <c r="D304" t="s">
        <v>23</v>
      </c>
      <c r="E304">
        <v>2934</v>
      </c>
      <c r="F304" s="3">
        <v>41769</v>
      </c>
      <c r="H304" t="s">
        <v>15523</v>
      </c>
      <c r="I304" t="s">
        <v>15826</v>
      </c>
      <c r="K304" t="e">
        <v>#N/A</v>
      </c>
      <c r="S304" s="3"/>
    </row>
    <row r="305" spans="1:19" x14ac:dyDescent="0.25">
      <c r="A305" t="s">
        <v>1721</v>
      </c>
      <c r="B305" t="s">
        <v>1722</v>
      </c>
      <c r="C305" t="s">
        <v>1723</v>
      </c>
      <c r="D305" t="s">
        <v>23</v>
      </c>
      <c r="E305">
        <v>2935</v>
      </c>
      <c r="F305" s="3">
        <v>41769</v>
      </c>
      <c r="H305" t="s">
        <v>15523</v>
      </c>
      <c r="I305" t="s">
        <v>15827</v>
      </c>
      <c r="K305" t="e">
        <v>#N/A</v>
      </c>
      <c r="S305" s="3"/>
    </row>
    <row r="306" spans="1:19" x14ac:dyDescent="0.25">
      <c r="A306" t="s">
        <v>1724</v>
      </c>
      <c r="B306" t="s">
        <v>1725</v>
      </c>
      <c r="C306" t="s">
        <v>1726</v>
      </c>
      <c r="D306" t="s">
        <v>23</v>
      </c>
      <c r="E306">
        <v>2936</v>
      </c>
      <c r="F306" s="3">
        <v>41769</v>
      </c>
      <c r="H306" t="s">
        <v>15523</v>
      </c>
      <c r="I306" t="s">
        <v>15828</v>
      </c>
      <c r="K306" t="e">
        <v>#N/A</v>
      </c>
      <c r="S306" s="3"/>
    </row>
    <row r="307" spans="1:19" x14ac:dyDescent="0.25">
      <c r="A307" t="s">
        <v>1727</v>
      </c>
      <c r="B307" t="s">
        <v>1728</v>
      </c>
      <c r="C307" s="3">
        <v>194649</v>
      </c>
      <c r="D307" t="s">
        <v>23</v>
      </c>
      <c r="E307">
        <v>2596</v>
      </c>
      <c r="F307" s="3">
        <v>40704</v>
      </c>
      <c r="H307" t="s">
        <v>15523</v>
      </c>
      <c r="I307" t="s">
        <v>15829</v>
      </c>
      <c r="K307" t="e">
        <v>#N/A</v>
      </c>
      <c r="P307" s="3"/>
      <c r="S307" s="3"/>
    </row>
    <row r="308" spans="1:19" x14ac:dyDescent="0.25">
      <c r="A308" t="s">
        <v>1730</v>
      </c>
      <c r="B308" t="s">
        <v>1731</v>
      </c>
      <c r="C308" t="s">
        <v>1732</v>
      </c>
      <c r="D308" t="s">
        <v>23</v>
      </c>
      <c r="E308">
        <v>625</v>
      </c>
      <c r="F308" s="3">
        <v>40702</v>
      </c>
      <c r="H308" t="s">
        <v>15523</v>
      </c>
      <c r="I308" t="s">
        <v>15830</v>
      </c>
      <c r="K308" t="e">
        <v>#N/A</v>
      </c>
      <c r="S308" s="3"/>
    </row>
    <row r="309" spans="1:19" x14ac:dyDescent="0.25">
      <c r="A309" t="s">
        <v>1733</v>
      </c>
      <c r="B309" t="s">
        <v>1734</v>
      </c>
      <c r="C309" t="s">
        <v>1735</v>
      </c>
      <c r="D309" t="s">
        <v>23</v>
      </c>
      <c r="E309">
        <v>134</v>
      </c>
      <c r="F309" s="3">
        <v>40702</v>
      </c>
      <c r="H309" t="s">
        <v>15523</v>
      </c>
      <c r="I309" t="s">
        <v>15831</v>
      </c>
      <c r="K309" t="e">
        <v>#N/A</v>
      </c>
      <c r="S309" s="3"/>
    </row>
    <row r="310" spans="1:19" x14ac:dyDescent="0.25">
      <c r="A310" t="s">
        <v>1736</v>
      </c>
      <c r="B310" t="s">
        <v>1737</v>
      </c>
      <c r="C310" t="s">
        <v>1738</v>
      </c>
      <c r="D310" t="s">
        <v>23</v>
      </c>
      <c r="E310">
        <v>135</v>
      </c>
      <c r="F310" s="3">
        <v>40702</v>
      </c>
      <c r="H310" t="s">
        <v>15523</v>
      </c>
      <c r="I310" t="s">
        <v>15832</v>
      </c>
      <c r="K310" t="e">
        <v>#N/A</v>
      </c>
      <c r="S310" s="3"/>
    </row>
    <row r="311" spans="1:19" x14ac:dyDescent="0.25">
      <c r="A311" t="s">
        <v>1739</v>
      </c>
      <c r="B311" t="s">
        <v>1740</v>
      </c>
      <c r="C311" t="s">
        <v>1741</v>
      </c>
      <c r="D311" t="s">
        <v>23</v>
      </c>
      <c r="E311">
        <v>136</v>
      </c>
      <c r="F311" s="3">
        <v>40702</v>
      </c>
      <c r="H311" t="s">
        <v>15523</v>
      </c>
      <c r="I311" t="s">
        <v>15833</v>
      </c>
      <c r="K311" t="e">
        <v>#N/A</v>
      </c>
      <c r="S311" s="3"/>
    </row>
    <row r="312" spans="1:19" x14ac:dyDescent="0.25">
      <c r="A312" t="s">
        <v>1742</v>
      </c>
      <c r="B312" t="s">
        <v>1743</v>
      </c>
      <c r="C312" t="s">
        <v>1744</v>
      </c>
      <c r="D312" t="s">
        <v>23</v>
      </c>
      <c r="E312">
        <v>6020</v>
      </c>
      <c r="F312" s="3">
        <v>43497</v>
      </c>
      <c r="H312" t="s">
        <v>15523</v>
      </c>
      <c r="I312" t="s">
        <v>15834</v>
      </c>
      <c r="K312" t="e">
        <v>#N/A</v>
      </c>
      <c r="S312" s="3"/>
    </row>
    <row r="313" spans="1:19" x14ac:dyDescent="0.25">
      <c r="A313" t="s">
        <v>1745</v>
      </c>
      <c r="B313" t="s">
        <v>1746</v>
      </c>
      <c r="C313" t="s">
        <v>1747</v>
      </c>
      <c r="D313" t="s">
        <v>23</v>
      </c>
      <c r="E313">
        <v>2939</v>
      </c>
      <c r="F313" s="3">
        <v>41769</v>
      </c>
      <c r="H313" t="s">
        <v>15523</v>
      </c>
      <c r="I313" t="s">
        <v>15835</v>
      </c>
      <c r="K313" t="e">
        <v>#N/A</v>
      </c>
      <c r="S313" s="3"/>
    </row>
    <row r="314" spans="1:19" x14ac:dyDescent="0.25">
      <c r="A314" t="s">
        <v>1748</v>
      </c>
      <c r="B314" t="s">
        <v>1749</v>
      </c>
      <c r="C314" t="s">
        <v>1750</v>
      </c>
      <c r="D314" t="s">
        <v>23</v>
      </c>
      <c r="E314">
        <v>2940</v>
      </c>
      <c r="F314" s="3">
        <v>41769</v>
      </c>
      <c r="H314" t="s">
        <v>15523</v>
      </c>
      <c r="I314" t="s">
        <v>15836</v>
      </c>
      <c r="K314" t="e">
        <v>#N/A</v>
      </c>
      <c r="S314" s="3"/>
    </row>
    <row r="315" spans="1:19" x14ac:dyDescent="0.25">
      <c r="A315" t="s">
        <v>1751</v>
      </c>
      <c r="B315" t="s">
        <v>1752</v>
      </c>
      <c r="C315" t="s">
        <v>1753</v>
      </c>
      <c r="D315" t="s">
        <v>23</v>
      </c>
      <c r="E315">
        <v>138</v>
      </c>
      <c r="F315" s="3">
        <v>40702</v>
      </c>
      <c r="H315" t="s">
        <v>15523</v>
      </c>
      <c r="I315" t="s">
        <v>15837</v>
      </c>
      <c r="K315" t="e">
        <v>#N/A</v>
      </c>
      <c r="S315" s="3"/>
    </row>
    <row r="316" spans="1:19" x14ac:dyDescent="0.25">
      <c r="A316" t="s">
        <v>1754</v>
      </c>
      <c r="B316" t="s">
        <v>1755</v>
      </c>
      <c r="C316" t="s">
        <v>1756</v>
      </c>
      <c r="D316" t="s">
        <v>23</v>
      </c>
      <c r="E316">
        <v>1736</v>
      </c>
      <c r="F316" s="3">
        <v>41769</v>
      </c>
      <c r="H316" t="s">
        <v>15523</v>
      </c>
      <c r="I316" t="s">
        <v>15838</v>
      </c>
      <c r="K316" t="e">
        <v>#N/A</v>
      </c>
      <c r="S316" s="3"/>
    </row>
    <row r="317" spans="1:19" x14ac:dyDescent="0.25">
      <c r="A317" t="s">
        <v>1757</v>
      </c>
      <c r="B317" t="s">
        <v>1758</v>
      </c>
      <c r="C317" t="s">
        <v>1759</v>
      </c>
      <c r="D317" t="s">
        <v>23</v>
      </c>
      <c r="E317">
        <v>2941</v>
      </c>
      <c r="F317" s="3">
        <v>41769</v>
      </c>
      <c r="H317" t="s">
        <v>15523</v>
      </c>
      <c r="I317" t="s">
        <v>15839</v>
      </c>
      <c r="K317" t="e">
        <v>#N/A</v>
      </c>
      <c r="S317" s="3"/>
    </row>
    <row r="318" spans="1:19" x14ac:dyDescent="0.25">
      <c r="A318" t="s">
        <v>1760</v>
      </c>
      <c r="B318" t="s">
        <v>1761</v>
      </c>
      <c r="C318" t="s">
        <v>1762</v>
      </c>
      <c r="D318" t="s">
        <v>23</v>
      </c>
      <c r="E318">
        <v>2942</v>
      </c>
      <c r="F318" s="3">
        <v>41769</v>
      </c>
      <c r="H318" t="s">
        <v>15523</v>
      </c>
      <c r="I318" t="s">
        <v>15840</v>
      </c>
      <c r="K318" t="e">
        <v>#N/A</v>
      </c>
      <c r="S318" s="3"/>
    </row>
    <row r="319" spans="1:19" x14ac:dyDescent="0.25">
      <c r="A319" t="s">
        <v>1763</v>
      </c>
      <c r="B319" t="s">
        <v>1764</v>
      </c>
      <c r="C319" t="s">
        <v>1765</v>
      </c>
      <c r="D319" t="s">
        <v>23</v>
      </c>
      <c r="E319">
        <v>5219</v>
      </c>
      <c r="F319" s="3">
        <v>42035</v>
      </c>
      <c r="H319" t="s">
        <v>15523</v>
      </c>
      <c r="I319" t="s">
        <v>15841</v>
      </c>
      <c r="K319" t="e">
        <v>#N/A</v>
      </c>
      <c r="S319" s="3"/>
    </row>
    <row r="320" spans="1:19" x14ac:dyDescent="0.25">
      <c r="A320" t="s">
        <v>1766</v>
      </c>
      <c r="B320" t="s">
        <v>1767</v>
      </c>
      <c r="C320" t="s">
        <v>1768</v>
      </c>
      <c r="D320" t="s">
        <v>23</v>
      </c>
      <c r="E320">
        <v>2943</v>
      </c>
      <c r="F320" s="3">
        <v>41769</v>
      </c>
      <c r="H320" t="s">
        <v>15523</v>
      </c>
      <c r="I320" t="s">
        <v>15842</v>
      </c>
      <c r="K320" t="e">
        <v>#N/A</v>
      </c>
      <c r="S320" s="3"/>
    </row>
    <row r="321" spans="1:19" x14ac:dyDescent="0.25">
      <c r="A321" t="s">
        <v>1769</v>
      </c>
      <c r="B321" t="s">
        <v>1770</v>
      </c>
      <c r="C321" t="s">
        <v>1771</v>
      </c>
      <c r="D321" t="s">
        <v>23</v>
      </c>
      <c r="E321">
        <v>2944</v>
      </c>
      <c r="F321" s="3">
        <v>41769</v>
      </c>
      <c r="H321" t="s">
        <v>15523</v>
      </c>
      <c r="I321" t="s">
        <v>15843</v>
      </c>
      <c r="K321" t="e">
        <v>#N/A</v>
      </c>
      <c r="S321" s="3"/>
    </row>
    <row r="322" spans="1:19" x14ac:dyDescent="0.25">
      <c r="A322" t="s">
        <v>1772</v>
      </c>
      <c r="B322" t="s">
        <v>1773</v>
      </c>
      <c r="C322" t="s">
        <v>1774</v>
      </c>
      <c r="D322" t="s">
        <v>23</v>
      </c>
      <c r="E322">
        <v>5941</v>
      </c>
      <c r="F322" s="3">
        <v>43208</v>
      </c>
      <c r="H322" t="s">
        <v>15523</v>
      </c>
      <c r="I322" t="s">
        <v>15844</v>
      </c>
      <c r="K322" t="e">
        <v>#N/A</v>
      </c>
      <c r="S322" s="3"/>
    </row>
    <row r="323" spans="1:19" x14ac:dyDescent="0.25">
      <c r="A323" t="s">
        <v>1775</v>
      </c>
      <c r="B323" t="s">
        <v>1776</v>
      </c>
      <c r="C323" t="s">
        <v>1777</v>
      </c>
      <c r="D323" t="s">
        <v>23</v>
      </c>
      <c r="E323">
        <v>5570</v>
      </c>
      <c r="F323" s="3">
        <v>42452</v>
      </c>
      <c r="H323" t="s">
        <v>15523</v>
      </c>
      <c r="I323" t="s">
        <v>15845</v>
      </c>
      <c r="K323" t="e">
        <v>#N/A</v>
      </c>
      <c r="S323" s="3"/>
    </row>
    <row r="324" spans="1:19" x14ac:dyDescent="0.25">
      <c r="A324" t="s">
        <v>1778</v>
      </c>
      <c r="B324" t="s">
        <v>1779</v>
      </c>
      <c r="C324" t="s">
        <v>1780</v>
      </c>
      <c r="D324" t="s">
        <v>23</v>
      </c>
      <c r="E324">
        <v>2949</v>
      </c>
      <c r="F324" s="3">
        <v>41769</v>
      </c>
      <c r="H324" t="s">
        <v>15523</v>
      </c>
      <c r="I324" t="s">
        <v>15846</v>
      </c>
      <c r="K324" t="e">
        <v>#N/A</v>
      </c>
      <c r="S324" s="3"/>
    </row>
    <row r="325" spans="1:19" x14ac:dyDescent="0.25">
      <c r="A325" t="s">
        <v>1781</v>
      </c>
      <c r="B325" t="s">
        <v>1782</v>
      </c>
      <c r="C325" t="s">
        <v>1783</v>
      </c>
      <c r="D325" t="s">
        <v>23</v>
      </c>
      <c r="E325">
        <v>6028</v>
      </c>
      <c r="F325" s="3">
        <v>43539</v>
      </c>
      <c r="H325" t="s">
        <v>15523</v>
      </c>
      <c r="I325" t="s">
        <v>15847</v>
      </c>
      <c r="K325" t="e">
        <v>#N/A</v>
      </c>
      <c r="S325" s="3"/>
    </row>
    <row r="326" spans="1:19" x14ac:dyDescent="0.25">
      <c r="A326" t="s">
        <v>1784</v>
      </c>
      <c r="B326" t="s">
        <v>1785</v>
      </c>
      <c r="C326" t="s">
        <v>1786</v>
      </c>
      <c r="D326" t="s">
        <v>23</v>
      </c>
      <c r="E326">
        <v>2212</v>
      </c>
      <c r="F326" s="3">
        <v>40702</v>
      </c>
      <c r="H326" t="s">
        <v>15523</v>
      </c>
      <c r="I326" t="s">
        <v>15848</v>
      </c>
      <c r="K326" t="e">
        <v>#N/A</v>
      </c>
      <c r="S326" s="3"/>
    </row>
    <row r="327" spans="1:19" x14ac:dyDescent="0.25">
      <c r="A327" t="s">
        <v>1787</v>
      </c>
      <c r="B327" t="s">
        <v>1788</v>
      </c>
      <c r="C327" t="s">
        <v>1789</v>
      </c>
      <c r="D327" t="s">
        <v>23</v>
      </c>
      <c r="E327">
        <v>2952</v>
      </c>
      <c r="F327" s="3">
        <v>41769</v>
      </c>
      <c r="H327" t="s">
        <v>15523</v>
      </c>
      <c r="I327" t="s">
        <v>15849</v>
      </c>
      <c r="K327" t="e">
        <v>#N/A</v>
      </c>
      <c r="S327" s="3"/>
    </row>
    <row r="328" spans="1:19" x14ac:dyDescent="0.25">
      <c r="A328" t="s">
        <v>1790</v>
      </c>
      <c r="B328" t="s">
        <v>1791</v>
      </c>
      <c r="C328" t="s">
        <v>1792</v>
      </c>
      <c r="D328" t="s">
        <v>23</v>
      </c>
      <c r="E328">
        <v>2950</v>
      </c>
      <c r="F328" s="3">
        <v>41769</v>
      </c>
      <c r="H328" t="s">
        <v>15523</v>
      </c>
      <c r="I328" t="s">
        <v>15850</v>
      </c>
      <c r="K328" t="e">
        <v>#N/A</v>
      </c>
      <c r="S328" s="3"/>
    </row>
    <row r="329" spans="1:19" x14ac:dyDescent="0.25">
      <c r="A329" t="s">
        <v>1793</v>
      </c>
      <c r="B329" t="s">
        <v>1794</v>
      </c>
      <c r="C329" t="s">
        <v>1795</v>
      </c>
      <c r="D329" t="s">
        <v>23</v>
      </c>
      <c r="E329">
        <v>2951</v>
      </c>
      <c r="F329" s="3">
        <v>41769</v>
      </c>
      <c r="H329" t="s">
        <v>15523</v>
      </c>
      <c r="I329" t="s">
        <v>15851</v>
      </c>
      <c r="K329" t="e">
        <v>#N/A</v>
      </c>
      <c r="S329" s="3"/>
    </row>
    <row r="330" spans="1:19" x14ac:dyDescent="0.25">
      <c r="A330" t="s">
        <v>1796</v>
      </c>
      <c r="B330" t="s">
        <v>1797</v>
      </c>
      <c r="C330" t="s">
        <v>1798</v>
      </c>
      <c r="D330" t="s">
        <v>23</v>
      </c>
      <c r="E330">
        <v>4956</v>
      </c>
      <c r="F330" s="3">
        <v>41660</v>
      </c>
      <c r="H330" t="s">
        <v>15523</v>
      </c>
      <c r="I330" t="s">
        <v>15852</v>
      </c>
      <c r="K330" t="e">
        <v>#N/A</v>
      </c>
      <c r="S330" s="3"/>
    </row>
    <row r="331" spans="1:19" x14ac:dyDescent="0.25">
      <c r="A331" t="s">
        <v>1799</v>
      </c>
      <c r="B331" t="s">
        <v>1800</v>
      </c>
      <c r="C331" t="s">
        <v>1801</v>
      </c>
      <c r="D331" t="s">
        <v>23</v>
      </c>
      <c r="E331">
        <v>5962</v>
      </c>
      <c r="F331" s="3">
        <v>43330</v>
      </c>
      <c r="H331" t="s">
        <v>15523</v>
      </c>
      <c r="I331" t="s">
        <v>15853</v>
      </c>
      <c r="K331" t="e">
        <v>#N/A</v>
      </c>
      <c r="S331" s="3"/>
    </row>
    <row r="332" spans="1:19" x14ac:dyDescent="0.25">
      <c r="A332" t="s">
        <v>1802</v>
      </c>
      <c r="B332" t="s">
        <v>1803</v>
      </c>
      <c r="C332" t="s">
        <v>1804</v>
      </c>
      <c r="D332" t="s">
        <v>23</v>
      </c>
      <c r="E332">
        <v>2953</v>
      </c>
      <c r="F332" s="3">
        <v>41769</v>
      </c>
      <c r="H332" t="s">
        <v>15523</v>
      </c>
      <c r="I332" t="s">
        <v>15854</v>
      </c>
      <c r="K332" t="e">
        <v>#N/A</v>
      </c>
      <c r="S332" s="3"/>
    </row>
    <row r="333" spans="1:19" x14ac:dyDescent="0.25">
      <c r="A333" t="s">
        <v>1805</v>
      </c>
      <c r="B333" t="s">
        <v>1806</v>
      </c>
      <c r="C333" t="s">
        <v>1807</v>
      </c>
      <c r="D333" t="s">
        <v>23</v>
      </c>
      <c r="E333">
        <v>2954</v>
      </c>
      <c r="F333" s="3">
        <v>41769</v>
      </c>
      <c r="H333" t="s">
        <v>15523</v>
      </c>
      <c r="I333" t="s">
        <v>15855</v>
      </c>
      <c r="K333" t="e">
        <v>#N/A</v>
      </c>
      <c r="S333" s="3"/>
    </row>
    <row r="334" spans="1:19" x14ac:dyDescent="0.25">
      <c r="A334" t="s">
        <v>1808</v>
      </c>
      <c r="B334" t="s">
        <v>1809</v>
      </c>
      <c r="C334" t="s">
        <v>1810</v>
      </c>
      <c r="D334" t="s">
        <v>23</v>
      </c>
      <c r="E334">
        <v>2955</v>
      </c>
      <c r="F334" s="3">
        <v>41769</v>
      </c>
      <c r="H334" t="s">
        <v>15523</v>
      </c>
      <c r="I334" t="s">
        <v>15856</v>
      </c>
      <c r="K334" t="e">
        <v>#N/A</v>
      </c>
      <c r="S334" s="3"/>
    </row>
    <row r="335" spans="1:19" x14ac:dyDescent="0.25">
      <c r="A335" t="s">
        <v>1811</v>
      </c>
      <c r="B335" t="s">
        <v>1812</v>
      </c>
      <c r="C335" t="s">
        <v>1813</v>
      </c>
      <c r="D335" t="s">
        <v>23</v>
      </c>
      <c r="E335">
        <v>5218</v>
      </c>
      <c r="F335" s="3">
        <v>42035</v>
      </c>
      <c r="H335" t="s">
        <v>15523</v>
      </c>
      <c r="I335" t="s">
        <v>15857</v>
      </c>
      <c r="K335" t="e">
        <v>#N/A</v>
      </c>
      <c r="S335" s="3"/>
    </row>
    <row r="336" spans="1:19" x14ac:dyDescent="0.25">
      <c r="A336" t="s">
        <v>1814</v>
      </c>
      <c r="B336" t="s">
        <v>1815</v>
      </c>
      <c r="C336" t="s">
        <v>1816</v>
      </c>
      <c r="D336" t="s">
        <v>23</v>
      </c>
      <c r="E336">
        <v>2956</v>
      </c>
      <c r="F336" s="3">
        <v>41769</v>
      </c>
      <c r="H336" t="s">
        <v>15523</v>
      </c>
      <c r="I336" t="s">
        <v>15858</v>
      </c>
      <c r="K336" t="e">
        <v>#N/A</v>
      </c>
      <c r="S336" s="3"/>
    </row>
    <row r="337" spans="1:19" x14ac:dyDescent="0.25">
      <c r="A337" t="s">
        <v>1817</v>
      </c>
      <c r="B337" t="s">
        <v>1818</v>
      </c>
      <c r="C337" t="s">
        <v>1819</v>
      </c>
      <c r="D337" t="s">
        <v>23</v>
      </c>
      <c r="E337">
        <v>4957</v>
      </c>
      <c r="F337" s="3">
        <v>41660</v>
      </c>
      <c r="H337" t="s">
        <v>15523</v>
      </c>
      <c r="I337" t="s">
        <v>15859</v>
      </c>
      <c r="K337" t="e">
        <v>#N/A</v>
      </c>
      <c r="S337" s="3"/>
    </row>
    <row r="338" spans="1:19" x14ac:dyDescent="0.25">
      <c r="A338" t="s">
        <v>1820</v>
      </c>
      <c r="B338" t="s">
        <v>1821</v>
      </c>
      <c r="C338" t="s">
        <v>1822</v>
      </c>
      <c r="D338" t="s">
        <v>23</v>
      </c>
      <c r="E338">
        <v>2957</v>
      </c>
      <c r="F338" s="3">
        <v>41769</v>
      </c>
      <c r="H338" t="s">
        <v>15523</v>
      </c>
      <c r="I338" t="s">
        <v>15860</v>
      </c>
      <c r="K338" t="e">
        <v>#N/A</v>
      </c>
      <c r="S338" s="3"/>
    </row>
    <row r="339" spans="1:19" x14ac:dyDescent="0.25">
      <c r="A339" t="s">
        <v>1823</v>
      </c>
      <c r="B339" t="s">
        <v>1824</v>
      </c>
      <c r="C339" t="s">
        <v>1825</v>
      </c>
      <c r="D339" t="s">
        <v>23</v>
      </c>
      <c r="E339">
        <v>158</v>
      </c>
      <c r="F339" s="3">
        <v>40702</v>
      </c>
      <c r="H339" t="s">
        <v>15523</v>
      </c>
      <c r="I339" t="s">
        <v>15861</v>
      </c>
      <c r="K339" t="e">
        <v>#N/A</v>
      </c>
      <c r="S339" s="3"/>
    </row>
    <row r="340" spans="1:19" x14ac:dyDescent="0.25">
      <c r="A340" t="s">
        <v>1826</v>
      </c>
      <c r="B340" t="s">
        <v>1827</v>
      </c>
      <c r="C340" t="s">
        <v>1828</v>
      </c>
      <c r="D340" t="s">
        <v>23</v>
      </c>
      <c r="E340">
        <v>5226</v>
      </c>
      <c r="F340" s="3">
        <v>42035</v>
      </c>
      <c r="H340" t="s">
        <v>15523</v>
      </c>
      <c r="I340" t="s">
        <v>15862</v>
      </c>
      <c r="K340" t="e">
        <v>#N/A</v>
      </c>
      <c r="S340" s="3"/>
    </row>
    <row r="341" spans="1:19" x14ac:dyDescent="0.25">
      <c r="A341" t="s">
        <v>1829</v>
      </c>
      <c r="B341" t="s">
        <v>1830</v>
      </c>
      <c r="C341" t="s">
        <v>1831</v>
      </c>
      <c r="D341" t="s">
        <v>23</v>
      </c>
      <c r="E341">
        <v>2958</v>
      </c>
      <c r="F341" s="3">
        <v>41769</v>
      </c>
      <c r="H341" t="s">
        <v>15523</v>
      </c>
      <c r="I341" t="s">
        <v>15863</v>
      </c>
      <c r="K341" t="e">
        <v>#N/A</v>
      </c>
      <c r="S341" s="3"/>
    </row>
    <row r="342" spans="1:19" x14ac:dyDescent="0.25">
      <c r="A342" t="s">
        <v>1832</v>
      </c>
      <c r="B342" t="s">
        <v>1833</v>
      </c>
      <c r="C342" t="s">
        <v>1834</v>
      </c>
      <c r="D342" t="s">
        <v>23</v>
      </c>
      <c r="E342">
        <v>2959</v>
      </c>
      <c r="F342" s="3">
        <v>41769</v>
      </c>
      <c r="H342" t="s">
        <v>15523</v>
      </c>
      <c r="I342" t="s">
        <v>15864</v>
      </c>
      <c r="K342" t="e">
        <v>#N/A</v>
      </c>
      <c r="S342" s="3"/>
    </row>
    <row r="343" spans="1:19" x14ac:dyDescent="0.25">
      <c r="A343" t="s">
        <v>1835</v>
      </c>
      <c r="B343" t="s">
        <v>1836</v>
      </c>
      <c r="C343" t="s">
        <v>1837</v>
      </c>
      <c r="D343" t="s">
        <v>23</v>
      </c>
      <c r="E343">
        <v>5144</v>
      </c>
      <c r="F343" s="3">
        <v>41928</v>
      </c>
      <c r="H343" t="s">
        <v>15523</v>
      </c>
      <c r="I343" t="s">
        <v>15865</v>
      </c>
      <c r="K343" t="e">
        <v>#N/A</v>
      </c>
      <c r="S343" s="3"/>
    </row>
    <row r="344" spans="1:19" x14ac:dyDescent="0.25">
      <c r="A344" t="s">
        <v>1838</v>
      </c>
      <c r="B344" t="s">
        <v>1839</v>
      </c>
      <c r="C344" t="s">
        <v>1840</v>
      </c>
      <c r="D344" t="s">
        <v>23</v>
      </c>
      <c r="E344">
        <v>2960</v>
      </c>
      <c r="F344" s="3">
        <v>41769</v>
      </c>
      <c r="H344" t="s">
        <v>15523</v>
      </c>
      <c r="I344" t="s">
        <v>15866</v>
      </c>
      <c r="K344" t="e">
        <v>#N/A</v>
      </c>
      <c r="S344" s="3"/>
    </row>
    <row r="345" spans="1:19" x14ac:dyDescent="0.25">
      <c r="A345" t="s">
        <v>1841</v>
      </c>
      <c r="B345" t="s">
        <v>1842</v>
      </c>
      <c r="C345" t="s">
        <v>1843</v>
      </c>
      <c r="D345" t="s">
        <v>23</v>
      </c>
      <c r="E345">
        <v>5145</v>
      </c>
      <c r="F345" s="3">
        <v>41928</v>
      </c>
      <c r="H345" t="s">
        <v>15523</v>
      </c>
      <c r="I345" t="s">
        <v>15867</v>
      </c>
      <c r="K345" t="e">
        <v>#N/A</v>
      </c>
      <c r="S345" s="3"/>
    </row>
    <row r="346" spans="1:19" x14ac:dyDescent="0.25">
      <c r="A346" t="s">
        <v>1844</v>
      </c>
      <c r="B346" t="s">
        <v>1845</v>
      </c>
      <c r="C346" t="s">
        <v>1846</v>
      </c>
      <c r="D346" t="s">
        <v>23</v>
      </c>
      <c r="E346">
        <v>2962</v>
      </c>
      <c r="F346" s="3">
        <v>41769</v>
      </c>
      <c r="H346" t="s">
        <v>15523</v>
      </c>
      <c r="I346" t="s">
        <v>15868</v>
      </c>
      <c r="K346" t="e">
        <v>#N/A</v>
      </c>
      <c r="S346" s="3"/>
    </row>
    <row r="347" spans="1:19" x14ac:dyDescent="0.25">
      <c r="A347" t="s">
        <v>1847</v>
      </c>
      <c r="B347" t="s">
        <v>1848</v>
      </c>
      <c r="C347" t="s">
        <v>1849</v>
      </c>
      <c r="D347" t="s">
        <v>23</v>
      </c>
      <c r="E347">
        <v>2963</v>
      </c>
      <c r="F347" s="3">
        <v>41769</v>
      </c>
      <c r="H347" t="s">
        <v>15523</v>
      </c>
      <c r="I347" t="s">
        <v>15869</v>
      </c>
      <c r="K347" t="e">
        <v>#N/A</v>
      </c>
      <c r="S347" s="3"/>
    </row>
    <row r="348" spans="1:19" x14ac:dyDescent="0.25">
      <c r="A348" t="s">
        <v>1850</v>
      </c>
      <c r="B348" t="s">
        <v>1851</v>
      </c>
      <c r="C348" t="s">
        <v>1852</v>
      </c>
      <c r="D348" t="s">
        <v>23</v>
      </c>
      <c r="E348">
        <v>2961</v>
      </c>
      <c r="F348" s="3">
        <v>41769</v>
      </c>
      <c r="H348" t="s">
        <v>15523</v>
      </c>
      <c r="I348" t="s">
        <v>15870</v>
      </c>
      <c r="K348" t="e">
        <v>#N/A</v>
      </c>
      <c r="S348" s="3"/>
    </row>
    <row r="349" spans="1:19" x14ac:dyDescent="0.25">
      <c r="A349" t="s">
        <v>1853</v>
      </c>
      <c r="B349" t="s">
        <v>1854</v>
      </c>
      <c r="C349" t="s">
        <v>1855</v>
      </c>
      <c r="D349" t="s">
        <v>23</v>
      </c>
      <c r="E349">
        <v>2964</v>
      </c>
      <c r="F349" s="3">
        <v>41769</v>
      </c>
      <c r="H349" t="s">
        <v>15523</v>
      </c>
      <c r="I349" t="s">
        <v>15871</v>
      </c>
      <c r="K349" t="e">
        <v>#N/A</v>
      </c>
      <c r="S349" s="3"/>
    </row>
    <row r="350" spans="1:19" x14ac:dyDescent="0.25">
      <c r="A350" t="s">
        <v>1856</v>
      </c>
      <c r="B350" t="s">
        <v>1857</v>
      </c>
      <c r="C350" t="s">
        <v>1858</v>
      </c>
      <c r="D350" t="s">
        <v>23</v>
      </c>
      <c r="E350">
        <v>2965</v>
      </c>
      <c r="F350" s="3">
        <v>41769</v>
      </c>
      <c r="H350" t="s">
        <v>15523</v>
      </c>
      <c r="I350" t="s">
        <v>15872</v>
      </c>
      <c r="K350" t="e">
        <v>#N/A</v>
      </c>
      <c r="S350" s="3"/>
    </row>
    <row r="351" spans="1:19" x14ac:dyDescent="0.25">
      <c r="A351" t="s">
        <v>1859</v>
      </c>
      <c r="B351" t="s">
        <v>1860</v>
      </c>
      <c r="C351" t="s">
        <v>1861</v>
      </c>
      <c r="D351" t="s">
        <v>23</v>
      </c>
      <c r="E351">
        <v>1340</v>
      </c>
      <c r="F351" s="3">
        <v>40702</v>
      </c>
      <c r="H351" t="s">
        <v>15523</v>
      </c>
      <c r="I351" t="s">
        <v>15873</v>
      </c>
      <c r="K351" t="e">
        <v>#N/A</v>
      </c>
      <c r="S351" s="3"/>
    </row>
    <row r="352" spans="1:19" x14ac:dyDescent="0.25">
      <c r="A352" t="s">
        <v>1862</v>
      </c>
      <c r="B352" t="s">
        <v>1863</v>
      </c>
      <c r="C352" t="s">
        <v>1864</v>
      </c>
      <c r="D352" t="s">
        <v>23</v>
      </c>
      <c r="E352">
        <v>894</v>
      </c>
      <c r="F352" s="3">
        <v>41769</v>
      </c>
      <c r="H352" t="s">
        <v>15523</v>
      </c>
      <c r="I352" t="s">
        <v>15874</v>
      </c>
      <c r="K352" t="e">
        <v>#N/A</v>
      </c>
      <c r="S352" s="3"/>
    </row>
    <row r="353" spans="1:19" x14ac:dyDescent="0.25">
      <c r="A353" t="s">
        <v>1865</v>
      </c>
      <c r="B353" t="s">
        <v>1866</v>
      </c>
      <c r="C353" t="s">
        <v>1867</v>
      </c>
      <c r="D353" t="s">
        <v>23</v>
      </c>
      <c r="E353">
        <v>162</v>
      </c>
      <c r="F353" s="3">
        <v>40702</v>
      </c>
      <c r="H353" t="s">
        <v>15523</v>
      </c>
      <c r="I353" t="s">
        <v>15875</v>
      </c>
      <c r="K353" t="e">
        <v>#N/A</v>
      </c>
      <c r="S353" s="3"/>
    </row>
    <row r="354" spans="1:19" x14ac:dyDescent="0.25">
      <c r="A354" t="s">
        <v>1868</v>
      </c>
      <c r="B354" t="s">
        <v>1869</v>
      </c>
      <c r="C354" t="s">
        <v>1870</v>
      </c>
      <c r="D354" t="s">
        <v>23</v>
      </c>
      <c r="E354">
        <v>166</v>
      </c>
      <c r="F354" s="3">
        <v>41461</v>
      </c>
      <c r="H354" t="s">
        <v>15523</v>
      </c>
      <c r="I354" t="s">
        <v>15876</v>
      </c>
      <c r="K354" t="e">
        <v>#N/A</v>
      </c>
      <c r="S354" s="3"/>
    </row>
    <row r="355" spans="1:19" x14ac:dyDescent="0.25">
      <c r="A355" t="s">
        <v>1871</v>
      </c>
      <c r="B355" t="s">
        <v>1872</v>
      </c>
      <c r="C355" t="s">
        <v>1873</v>
      </c>
      <c r="D355" t="s">
        <v>23</v>
      </c>
      <c r="E355">
        <v>164</v>
      </c>
      <c r="F355" s="3">
        <v>41461</v>
      </c>
      <c r="H355" t="s">
        <v>15523</v>
      </c>
      <c r="I355" t="s">
        <v>15877</v>
      </c>
      <c r="K355" t="e">
        <v>#N/A</v>
      </c>
      <c r="S355" s="3"/>
    </row>
    <row r="356" spans="1:19" x14ac:dyDescent="0.25">
      <c r="A356" t="s">
        <v>1874</v>
      </c>
      <c r="B356" t="s">
        <v>1875</v>
      </c>
      <c r="C356" t="s">
        <v>1876</v>
      </c>
      <c r="D356" t="s">
        <v>23</v>
      </c>
      <c r="E356">
        <v>2967</v>
      </c>
      <c r="F356" s="3">
        <v>41769</v>
      </c>
      <c r="H356" t="s">
        <v>15523</v>
      </c>
      <c r="I356" t="s">
        <v>15878</v>
      </c>
      <c r="K356" t="e">
        <v>#N/A</v>
      </c>
      <c r="S356" s="3"/>
    </row>
    <row r="357" spans="1:19" x14ac:dyDescent="0.25">
      <c r="A357" t="s">
        <v>1877</v>
      </c>
      <c r="B357" t="s">
        <v>1878</v>
      </c>
      <c r="C357" t="s">
        <v>1879</v>
      </c>
      <c r="D357" t="s">
        <v>23</v>
      </c>
      <c r="E357">
        <v>163</v>
      </c>
      <c r="F357" s="3">
        <v>41461</v>
      </c>
      <c r="H357" t="s">
        <v>15523</v>
      </c>
      <c r="I357" t="s">
        <v>15879</v>
      </c>
      <c r="K357" t="e">
        <v>#N/A</v>
      </c>
      <c r="S357" s="3"/>
    </row>
    <row r="358" spans="1:19" x14ac:dyDescent="0.25">
      <c r="A358" t="s">
        <v>1880</v>
      </c>
      <c r="B358" t="s">
        <v>1881</v>
      </c>
      <c r="C358" t="s">
        <v>1882</v>
      </c>
      <c r="D358" t="s">
        <v>23</v>
      </c>
      <c r="E358">
        <v>165</v>
      </c>
      <c r="F358" s="3">
        <v>40702</v>
      </c>
      <c r="H358" t="s">
        <v>15523</v>
      </c>
      <c r="I358" t="s">
        <v>15880</v>
      </c>
      <c r="K358" t="e">
        <v>#N/A</v>
      </c>
      <c r="S358" s="3"/>
    </row>
    <row r="359" spans="1:19" x14ac:dyDescent="0.25">
      <c r="A359" t="s">
        <v>1883</v>
      </c>
      <c r="B359" t="s">
        <v>1884</v>
      </c>
      <c r="C359" t="s">
        <v>1885</v>
      </c>
      <c r="D359" t="s">
        <v>23</v>
      </c>
      <c r="E359">
        <v>2966</v>
      </c>
      <c r="F359" s="3">
        <v>41769</v>
      </c>
      <c r="H359" t="s">
        <v>15523</v>
      </c>
      <c r="I359" t="s">
        <v>15881</v>
      </c>
      <c r="K359" t="e">
        <v>#N/A</v>
      </c>
      <c r="S359" s="3"/>
    </row>
    <row r="360" spans="1:19" x14ac:dyDescent="0.25">
      <c r="A360" t="s">
        <v>1886</v>
      </c>
      <c r="B360" t="s">
        <v>1887</v>
      </c>
      <c r="C360" t="s">
        <v>1888</v>
      </c>
      <c r="D360" t="s">
        <v>23</v>
      </c>
      <c r="E360">
        <v>2968</v>
      </c>
      <c r="F360" s="3">
        <v>41769</v>
      </c>
      <c r="H360" t="s">
        <v>15523</v>
      </c>
      <c r="I360" t="s">
        <v>15882</v>
      </c>
      <c r="K360" t="e">
        <v>#N/A</v>
      </c>
      <c r="S360" s="3"/>
    </row>
    <row r="361" spans="1:19" x14ac:dyDescent="0.25">
      <c r="A361" t="s">
        <v>1889</v>
      </c>
      <c r="B361" t="s">
        <v>1890</v>
      </c>
      <c r="C361" t="s">
        <v>1891</v>
      </c>
      <c r="D361" t="s">
        <v>23</v>
      </c>
      <c r="E361">
        <v>2969</v>
      </c>
      <c r="F361" s="3">
        <v>41769</v>
      </c>
      <c r="H361" t="s">
        <v>15523</v>
      </c>
      <c r="I361" t="s">
        <v>15883</v>
      </c>
      <c r="K361" t="e">
        <v>#N/A</v>
      </c>
      <c r="S361" s="3"/>
    </row>
    <row r="362" spans="1:19" x14ac:dyDescent="0.25">
      <c r="A362" t="s">
        <v>1892</v>
      </c>
      <c r="B362" t="s">
        <v>1893</v>
      </c>
      <c r="C362" t="s">
        <v>1894</v>
      </c>
      <c r="D362" t="s">
        <v>23</v>
      </c>
      <c r="E362">
        <v>167</v>
      </c>
      <c r="F362" s="3">
        <v>40702</v>
      </c>
      <c r="H362" t="s">
        <v>15523</v>
      </c>
      <c r="I362" t="s">
        <v>15884</v>
      </c>
      <c r="K362" t="e">
        <v>#N/A</v>
      </c>
      <c r="S362" s="3"/>
    </row>
    <row r="363" spans="1:19" x14ac:dyDescent="0.25">
      <c r="A363" t="s">
        <v>1895</v>
      </c>
      <c r="B363" t="s">
        <v>1896</v>
      </c>
      <c r="C363" t="s">
        <v>1897</v>
      </c>
      <c r="D363" t="s">
        <v>23</v>
      </c>
      <c r="E363">
        <v>2970</v>
      </c>
      <c r="F363" s="3">
        <v>41769</v>
      </c>
      <c r="H363" t="s">
        <v>15523</v>
      </c>
      <c r="I363" t="s">
        <v>15885</v>
      </c>
      <c r="K363" t="e">
        <v>#N/A</v>
      </c>
      <c r="S363" s="3"/>
    </row>
    <row r="364" spans="1:19" x14ac:dyDescent="0.25">
      <c r="A364" t="s">
        <v>1898</v>
      </c>
      <c r="B364" t="s">
        <v>1899</v>
      </c>
      <c r="C364" t="s">
        <v>1900</v>
      </c>
      <c r="D364" t="s">
        <v>23</v>
      </c>
      <c r="E364">
        <v>2971</v>
      </c>
      <c r="F364" s="3">
        <v>41769</v>
      </c>
      <c r="H364" t="s">
        <v>15523</v>
      </c>
      <c r="I364" t="s">
        <v>15886</v>
      </c>
      <c r="K364" t="e">
        <v>#N/A</v>
      </c>
      <c r="S364" s="3"/>
    </row>
    <row r="365" spans="1:19" x14ac:dyDescent="0.25">
      <c r="A365" t="s">
        <v>1901</v>
      </c>
      <c r="B365" t="s">
        <v>1902</v>
      </c>
      <c r="C365" t="s">
        <v>1903</v>
      </c>
      <c r="D365" t="s">
        <v>23</v>
      </c>
      <c r="E365">
        <v>1852</v>
      </c>
      <c r="F365" s="3">
        <v>40702</v>
      </c>
      <c r="H365" t="s">
        <v>15523</v>
      </c>
      <c r="I365" t="s">
        <v>15887</v>
      </c>
      <c r="K365" t="e">
        <v>#N/A</v>
      </c>
      <c r="S365" s="3"/>
    </row>
    <row r="366" spans="1:19" x14ac:dyDescent="0.25">
      <c r="A366" t="s">
        <v>1904</v>
      </c>
      <c r="B366" t="s">
        <v>1905</v>
      </c>
      <c r="C366" t="s">
        <v>1906</v>
      </c>
      <c r="D366" t="s">
        <v>23</v>
      </c>
      <c r="E366">
        <v>5583</v>
      </c>
      <c r="F366" s="3">
        <v>42448</v>
      </c>
      <c r="H366" t="s">
        <v>15523</v>
      </c>
      <c r="I366" t="s">
        <v>15888</v>
      </c>
      <c r="K366" t="e">
        <v>#N/A</v>
      </c>
      <c r="S366" s="3"/>
    </row>
    <row r="367" spans="1:19" x14ac:dyDescent="0.25">
      <c r="A367" t="s">
        <v>1907</v>
      </c>
      <c r="B367" t="s">
        <v>1908</v>
      </c>
      <c r="C367" t="s">
        <v>1909</v>
      </c>
      <c r="D367" t="s">
        <v>23</v>
      </c>
      <c r="E367">
        <v>149</v>
      </c>
      <c r="F367" s="3">
        <v>40702</v>
      </c>
      <c r="H367" t="s">
        <v>15523</v>
      </c>
      <c r="I367" t="s">
        <v>15889</v>
      </c>
      <c r="K367" t="e">
        <v>#N/A</v>
      </c>
      <c r="S367" s="3"/>
    </row>
    <row r="368" spans="1:19" x14ac:dyDescent="0.25">
      <c r="A368" t="s">
        <v>1910</v>
      </c>
      <c r="B368" t="s">
        <v>1911</v>
      </c>
      <c r="C368" t="s">
        <v>1912</v>
      </c>
      <c r="D368" t="s">
        <v>23</v>
      </c>
      <c r="E368">
        <v>5582</v>
      </c>
      <c r="F368" s="3">
        <v>42448</v>
      </c>
      <c r="H368" t="s">
        <v>15523</v>
      </c>
      <c r="I368" t="s">
        <v>15890</v>
      </c>
      <c r="K368" t="e">
        <v>#N/A</v>
      </c>
      <c r="S368" s="3"/>
    </row>
    <row r="369" spans="1:19" x14ac:dyDescent="0.25">
      <c r="A369" t="s">
        <v>1913</v>
      </c>
      <c r="B369" t="s">
        <v>1914</v>
      </c>
      <c r="C369" t="s">
        <v>1915</v>
      </c>
      <c r="D369" t="s">
        <v>23</v>
      </c>
      <c r="E369">
        <v>736</v>
      </c>
      <c r="F369" s="3">
        <v>40702</v>
      </c>
      <c r="H369" t="s">
        <v>15523</v>
      </c>
      <c r="I369" t="s">
        <v>15891</v>
      </c>
      <c r="K369" t="e">
        <v>#N/A</v>
      </c>
      <c r="S369" s="3"/>
    </row>
    <row r="370" spans="1:19" x14ac:dyDescent="0.25">
      <c r="A370" t="s">
        <v>1916</v>
      </c>
      <c r="B370" t="s">
        <v>1917</v>
      </c>
      <c r="C370" t="s">
        <v>1918</v>
      </c>
      <c r="D370" t="s">
        <v>23</v>
      </c>
      <c r="E370">
        <v>152</v>
      </c>
      <c r="F370" s="3">
        <v>40702</v>
      </c>
      <c r="H370" t="s">
        <v>15523</v>
      </c>
      <c r="I370" t="s">
        <v>15892</v>
      </c>
      <c r="K370" t="e">
        <v>#N/A</v>
      </c>
      <c r="S370" s="3"/>
    </row>
    <row r="371" spans="1:19" x14ac:dyDescent="0.25">
      <c r="A371" t="s">
        <v>1919</v>
      </c>
      <c r="B371" t="s">
        <v>1920</v>
      </c>
      <c r="C371" t="s">
        <v>1921</v>
      </c>
      <c r="D371" t="s">
        <v>23</v>
      </c>
      <c r="E371">
        <v>2972</v>
      </c>
      <c r="F371" s="3">
        <v>41769</v>
      </c>
      <c r="H371" t="s">
        <v>15523</v>
      </c>
      <c r="I371" t="s">
        <v>15893</v>
      </c>
      <c r="K371" t="e">
        <v>#N/A</v>
      </c>
      <c r="S371" s="3"/>
    </row>
    <row r="372" spans="1:19" x14ac:dyDescent="0.25">
      <c r="A372" t="s">
        <v>1922</v>
      </c>
      <c r="B372" t="s">
        <v>1923</v>
      </c>
      <c r="C372" t="s">
        <v>1924</v>
      </c>
      <c r="D372" t="s">
        <v>23</v>
      </c>
      <c r="E372">
        <v>2973</v>
      </c>
      <c r="F372" s="3">
        <v>41769</v>
      </c>
      <c r="H372" t="s">
        <v>15523</v>
      </c>
      <c r="I372" t="s">
        <v>15894</v>
      </c>
      <c r="K372" t="e">
        <v>#N/A</v>
      </c>
      <c r="S372" s="3"/>
    </row>
    <row r="373" spans="1:19" x14ac:dyDescent="0.25">
      <c r="A373" t="s">
        <v>1925</v>
      </c>
      <c r="B373" t="s">
        <v>1926</v>
      </c>
      <c r="C373" t="s">
        <v>1927</v>
      </c>
      <c r="D373" t="s">
        <v>23</v>
      </c>
      <c r="E373">
        <v>4958</v>
      </c>
      <c r="F373" s="3">
        <v>41660</v>
      </c>
      <c r="H373" t="s">
        <v>15523</v>
      </c>
      <c r="I373" t="s">
        <v>15895</v>
      </c>
      <c r="K373" t="e">
        <v>#N/A</v>
      </c>
      <c r="S373" s="3"/>
    </row>
    <row r="374" spans="1:19" x14ac:dyDescent="0.25">
      <c r="A374" t="s">
        <v>1928</v>
      </c>
      <c r="B374" t="s">
        <v>1929</v>
      </c>
      <c r="C374" t="s">
        <v>1930</v>
      </c>
      <c r="D374" t="s">
        <v>23</v>
      </c>
      <c r="E374">
        <v>153</v>
      </c>
      <c r="F374" s="3">
        <v>41461</v>
      </c>
      <c r="H374" t="s">
        <v>15523</v>
      </c>
      <c r="I374" t="s">
        <v>15896</v>
      </c>
      <c r="K374" t="e">
        <v>#N/A</v>
      </c>
      <c r="S374" s="3"/>
    </row>
    <row r="375" spans="1:19" x14ac:dyDescent="0.25">
      <c r="A375" t="s">
        <v>1931</v>
      </c>
      <c r="B375" t="s">
        <v>1932</v>
      </c>
      <c r="C375" t="s">
        <v>1933</v>
      </c>
      <c r="D375" t="s">
        <v>23</v>
      </c>
      <c r="E375">
        <v>151</v>
      </c>
      <c r="F375" s="3">
        <v>41769</v>
      </c>
      <c r="H375" t="s">
        <v>15523</v>
      </c>
      <c r="I375" t="s">
        <v>15897</v>
      </c>
      <c r="K375" t="e">
        <v>#N/A</v>
      </c>
      <c r="S375" s="3"/>
    </row>
    <row r="376" spans="1:19" x14ac:dyDescent="0.25">
      <c r="A376" t="s">
        <v>1934</v>
      </c>
      <c r="B376" t="s">
        <v>1935</v>
      </c>
      <c r="C376" t="s">
        <v>1936</v>
      </c>
      <c r="D376" t="s">
        <v>23</v>
      </c>
      <c r="E376">
        <v>154</v>
      </c>
      <c r="F376" s="3">
        <v>40702</v>
      </c>
      <c r="H376" t="s">
        <v>15523</v>
      </c>
      <c r="I376" t="s">
        <v>15898</v>
      </c>
      <c r="K376" t="e">
        <v>#N/A</v>
      </c>
      <c r="S376" s="3"/>
    </row>
    <row r="377" spans="1:19" x14ac:dyDescent="0.25">
      <c r="A377" t="s">
        <v>1937</v>
      </c>
      <c r="B377" t="s">
        <v>1938</v>
      </c>
      <c r="C377" t="s">
        <v>1939</v>
      </c>
      <c r="D377" t="s">
        <v>23</v>
      </c>
      <c r="E377">
        <v>5341</v>
      </c>
      <c r="F377" s="3">
        <v>42222</v>
      </c>
      <c r="H377" t="s">
        <v>15523</v>
      </c>
      <c r="I377" t="s">
        <v>15899</v>
      </c>
      <c r="K377" t="e">
        <v>#N/A</v>
      </c>
      <c r="S377" s="3"/>
    </row>
    <row r="378" spans="1:19" x14ac:dyDescent="0.25">
      <c r="A378" t="s">
        <v>1940</v>
      </c>
      <c r="B378" t="s">
        <v>1941</v>
      </c>
      <c r="C378" t="s">
        <v>1942</v>
      </c>
      <c r="D378" t="s">
        <v>23</v>
      </c>
      <c r="E378">
        <v>5552</v>
      </c>
      <c r="F378" s="3">
        <v>42385</v>
      </c>
      <c r="H378" t="s">
        <v>15523</v>
      </c>
      <c r="I378" t="s">
        <v>15900</v>
      </c>
      <c r="K378" t="e">
        <v>#N/A</v>
      </c>
      <c r="S378" s="3"/>
    </row>
    <row r="379" spans="1:19" x14ac:dyDescent="0.25">
      <c r="A379" t="s">
        <v>1943</v>
      </c>
      <c r="B379" t="s">
        <v>1944</v>
      </c>
      <c r="C379" t="s">
        <v>1945</v>
      </c>
      <c r="D379" t="s">
        <v>23</v>
      </c>
      <c r="E379">
        <v>5141</v>
      </c>
      <c r="F379" s="3">
        <v>41928</v>
      </c>
      <c r="H379" t="s">
        <v>15523</v>
      </c>
      <c r="I379" t="s">
        <v>15901</v>
      </c>
      <c r="K379" t="e">
        <v>#N/A</v>
      </c>
      <c r="S379" s="3"/>
    </row>
    <row r="380" spans="1:19" x14ac:dyDescent="0.25">
      <c r="A380" t="s">
        <v>1946</v>
      </c>
      <c r="B380" t="s">
        <v>1947</v>
      </c>
      <c r="C380" t="s">
        <v>1948</v>
      </c>
      <c r="D380" t="s">
        <v>23</v>
      </c>
      <c r="E380">
        <v>255</v>
      </c>
      <c r="F380" s="3">
        <v>40702</v>
      </c>
      <c r="H380" t="s">
        <v>15523</v>
      </c>
      <c r="I380" t="s">
        <v>15902</v>
      </c>
      <c r="K380" t="e">
        <v>#N/A</v>
      </c>
      <c r="S380" s="3"/>
    </row>
    <row r="381" spans="1:19" x14ac:dyDescent="0.25">
      <c r="A381" t="s">
        <v>1949</v>
      </c>
      <c r="B381" t="s">
        <v>1950</v>
      </c>
      <c r="C381" t="s">
        <v>1951</v>
      </c>
      <c r="D381" t="s">
        <v>23</v>
      </c>
      <c r="E381">
        <v>174</v>
      </c>
      <c r="F381" s="3">
        <v>40703</v>
      </c>
      <c r="H381" t="s">
        <v>15523</v>
      </c>
      <c r="I381" t="s">
        <v>15903</v>
      </c>
      <c r="K381" t="e">
        <v>#N/A</v>
      </c>
      <c r="S381" s="3"/>
    </row>
    <row r="382" spans="1:19" x14ac:dyDescent="0.25">
      <c r="A382" t="s">
        <v>1952</v>
      </c>
      <c r="B382" t="s">
        <v>1953</v>
      </c>
      <c r="C382" t="s">
        <v>1954</v>
      </c>
      <c r="D382" t="s">
        <v>23</v>
      </c>
      <c r="E382">
        <v>5987</v>
      </c>
      <c r="F382" s="3">
        <v>43438</v>
      </c>
      <c r="H382" t="s">
        <v>15523</v>
      </c>
      <c r="I382" t="s">
        <v>15904</v>
      </c>
      <c r="K382" t="e">
        <v>#N/A</v>
      </c>
      <c r="S382" s="3"/>
    </row>
    <row r="383" spans="1:19" x14ac:dyDescent="0.25">
      <c r="A383" t="s">
        <v>1955</v>
      </c>
      <c r="B383" t="s">
        <v>1956</v>
      </c>
      <c r="C383" t="s">
        <v>1957</v>
      </c>
      <c r="D383" t="s">
        <v>23</v>
      </c>
      <c r="E383">
        <v>4959</v>
      </c>
      <c r="F383" s="3">
        <v>41660</v>
      </c>
      <c r="H383" t="s">
        <v>15523</v>
      </c>
      <c r="I383" t="s">
        <v>15905</v>
      </c>
      <c r="K383" t="e">
        <v>#N/A</v>
      </c>
      <c r="S383" s="3"/>
    </row>
    <row r="384" spans="1:19" x14ac:dyDescent="0.25">
      <c r="A384" t="s">
        <v>1958</v>
      </c>
      <c r="B384" t="s">
        <v>1959</v>
      </c>
      <c r="C384" t="s">
        <v>1960</v>
      </c>
      <c r="D384" t="s">
        <v>23</v>
      </c>
      <c r="E384">
        <v>4960</v>
      </c>
      <c r="F384" s="3">
        <v>41660</v>
      </c>
      <c r="H384" t="s">
        <v>15523</v>
      </c>
      <c r="I384" t="s">
        <v>15906</v>
      </c>
      <c r="K384" t="e">
        <v>#N/A</v>
      </c>
      <c r="S384" s="3"/>
    </row>
    <row r="385" spans="1:19" x14ac:dyDescent="0.25">
      <c r="A385" t="s">
        <v>1961</v>
      </c>
      <c r="B385" t="s">
        <v>1962</v>
      </c>
      <c r="C385" t="s">
        <v>1963</v>
      </c>
      <c r="D385" t="s">
        <v>23</v>
      </c>
      <c r="E385">
        <v>168</v>
      </c>
      <c r="F385" s="3">
        <v>40702</v>
      </c>
      <c r="H385" t="s">
        <v>15523</v>
      </c>
      <c r="I385" t="s">
        <v>15907</v>
      </c>
      <c r="K385" t="e">
        <v>#N/A</v>
      </c>
      <c r="S385" s="3"/>
    </row>
    <row r="386" spans="1:19" x14ac:dyDescent="0.25">
      <c r="A386" t="s">
        <v>1964</v>
      </c>
      <c r="B386" t="s">
        <v>1965</v>
      </c>
      <c r="C386" t="s">
        <v>1966</v>
      </c>
      <c r="D386" t="s">
        <v>23</v>
      </c>
      <c r="E386">
        <v>2974</v>
      </c>
      <c r="F386" s="3">
        <v>41769</v>
      </c>
      <c r="H386" t="s">
        <v>15523</v>
      </c>
      <c r="I386" t="s">
        <v>15908</v>
      </c>
      <c r="K386" t="e">
        <v>#N/A</v>
      </c>
      <c r="S386" s="3"/>
    </row>
    <row r="387" spans="1:19" x14ac:dyDescent="0.25">
      <c r="A387" t="s">
        <v>1967</v>
      </c>
      <c r="B387" t="s">
        <v>1968</v>
      </c>
      <c r="C387" t="s">
        <v>1969</v>
      </c>
      <c r="D387" t="s">
        <v>23</v>
      </c>
      <c r="E387">
        <v>5143</v>
      </c>
      <c r="F387" s="3">
        <v>41928</v>
      </c>
      <c r="H387" t="s">
        <v>15523</v>
      </c>
      <c r="I387" t="s">
        <v>15909</v>
      </c>
      <c r="K387" t="e">
        <v>#N/A</v>
      </c>
      <c r="S387" s="3"/>
    </row>
    <row r="388" spans="1:19" x14ac:dyDescent="0.25">
      <c r="A388" t="s">
        <v>1970</v>
      </c>
      <c r="B388" t="s">
        <v>1971</v>
      </c>
      <c r="C388" t="s">
        <v>1972</v>
      </c>
      <c r="D388" t="s">
        <v>23</v>
      </c>
      <c r="E388">
        <v>142</v>
      </c>
      <c r="F388" s="3">
        <v>40702</v>
      </c>
      <c r="H388" t="s">
        <v>15523</v>
      </c>
      <c r="I388" t="s">
        <v>15910</v>
      </c>
      <c r="K388" t="e">
        <v>#N/A</v>
      </c>
      <c r="S388" s="3"/>
    </row>
    <row r="389" spans="1:19" x14ac:dyDescent="0.25">
      <c r="A389" t="s">
        <v>1973</v>
      </c>
      <c r="B389" t="s">
        <v>1974</v>
      </c>
      <c r="C389" t="s">
        <v>1975</v>
      </c>
      <c r="D389" t="s">
        <v>23</v>
      </c>
      <c r="E389">
        <v>1171</v>
      </c>
      <c r="F389" s="3">
        <v>40702</v>
      </c>
      <c r="H389" t="s">
        <v>15523</v>
      </c>
      <c r="I389" t="s">
        <v>15911</v>
      </c>
      <c r="K389" t="e">
        <v>#N/A</v>
      </c>
      <c r="S389" s="3"/>
    </row>
    <row r="390" spans="1:19" x14ac:dyDescent="0.25">
      <c r="A390" t="s">
        <v>1976</v>
      </c>
      <c r="B390" t="s">
        <v>1977</v>
      </c>
      <c r="C390" t="s">
        <v>1978</v>
      </c>
      <c r="D390" t="s">
        <v>23</v>
      </c>
      <c r="E390">
        <v>418</v>
      </c>
      <c r="F390" s="3">
        <v>40702</v>
      </c>
      <c r="H390" t="s">
        <v>15523</v>
      </c>
      <c r="I390" t="s">
        <v>15912</v>
      </c>
      <c r="K390" t="e">
        <v>#N/A</v>
      </c>
      <c r="S390" s="3"/>
    </row>
    <row r="391" spans="1:19" x14ac:dyDescent="0.25">
      <c r="A391" t="s">
        <v>1979</v>
      </c>
      <c r="B391" t="s">
        <v>1980</v>
      </c>
      <c r="C391" t="s">
        <v>1981</v>
      </c>
      <c r="D391" t="s">
        <v>23</v>
      </c>
      <c r="E391">
        <v>4961</v>
      </c>
      <c r="F391" s="3">
        <v>41660</v>
      </c>
      <c r="H391" t="s">
        <v>15523</v>
      </c>
      <c r="I391" t="s">
        <v>15913</v>
      </c>
      <c r="K391" t="e">
        <v>#N/A</v>
      </c>
      <c r="S391" s="3"/>
    </row>
    <row r="392" spans="1:19" x14ac:dyDescent="0.25">
      <c r="A392" t="s">
        <v>1982</v>
      </c>
      <c r="B392" t="s">
        <v>1983</v>
      </c>
      <c r="C392" t="s">
        <v>1984</v>
      </c>
      <c r="D392" t="s">
        <v>23</v>
      </c>
      <c r="E392">
        <v>173</v>
      </c>
      <c r="F392" s="3">
        <v>40702</v>
      </c>
      <c r="H392" t="s">
        <v>15523</v>
      </c>
      <c r="I392" t="s">
        <v>15914</v>
      </c>
      <c r="K392" t="e">
        <v>#N/A</v>
      </c>
      <c r="S392" s="3"/>
    </row>
    <row r="393" spans="1:19" x14ac:dyDescent="0.25">
      <c r="A393" t="s">
        <v>1985</v>
      </c>
      <c r="B393" t="s">
        <v>1986</v>
      </c>
      <c r="C393" t="s">
        <v>1987</v>
      </c>
      <c r="D393" t="s">
        <v>23</v>
      </c>
      <c r="E393">
        <v>4962</v>
      </c>
      <c r="F393" s="3">
        <v>41660</v>
      </c>
      <c r="H393" t="s">
        <v>15523</v>
      </c>
      <c r="I393" t="s">
        <v>15915</v>
      </c>
      <c r="K393" t="e">
        <v>#N/A</v>
      </c>
      <c r="S393" s="3"/>
    </row>
    <row r="394" spans="1:19" x14ac:dyDescent="0.25">
      <c r="A394" t="s">
        <v>1988</v>
      </c>
      <c r="B394" t="s">
        <v>1989</v>
      </c>
      <c r="C394" t="s">
        <v>1990</v>
      </c>
      <c r="D394" t="s">
        <v>23</v>
      </c>
      <c r="E394">
        <v>156</v>
      </c>
      <c r="F394" s="3">
        <v>40702</v>
      </c>
      <c r="H394" t="s">
        <v>15523</v>
      </c>
      <c r="I394" t="s">
        <v>15916</v>
      </c>
      <c r="K394" t="e">
        <v>#N/A</v>
      </c>
      <c r="S394" s="3"/>
    </row>
    <row r="395" spans="1:19" x14ac:dyDescent="0.25">
      <c r="A395" t="s">
        <v>1991</v>
      </c>
      <c r="B395" t="s">
        <v>1992</v>
      </c>
      <c r="C395" t="s">
        <v>1993</v>
      </c>
      <c r="D395" t="s">
        <v>23</v>
      </c>
      <c r="E395">
        <v>171</v>
      </c>
      <c r="F395" s="3">
        <v>41461</v>
      </c>
      <c r="H395" t="s">
        <v>15523</v>
      </c>
      <c r="I395" t="s">
        <v>15917</v>
      </c>
      <c r="K395" t="e">
        <v>#N/A</v>
      </c>
      <c r="S395" s="3"/>
    </row>
    <row r="396" spans="1:19" x14ac:dyDescent="0.25">
      <c r="A396" t="s">
        <v>1994</v>
      </c>
      <c r="B396" t="s">
        <v>1995</v>
      </c>
      <c r="C396" t="s">
        <v>1996</v>
      </c>
      <c r="D396" t="s">
        <v>23</v>
      </c>
      <c r="E396">
        <v>2978</v>
      </c>
      <c r="F396" s="3">
        <v>41769</v>
      </c>
      <c r="H396" t="s">
        <v>15523</v>
      </c>
      <c r="I396" t="s">
        <v>15918</v>
      </c>
      <c r="K396" t="e">
        <v>#N/A</v>
      </c>
      <c r="S396" s="3"/>
    </row>
    <row r="397" spans="1:19" x14ac:dyDescent="0.25">
      <c r="A397" t="s">
        <v>1997</v>
      </c>
      <c r="B397" t="s">
        <v>1998</v>
      </c>
      <c r="C397" t="s">
        <v>1999</v>
      </c>
      <c r="D397" t="s">
        <v>23</v>
      </c>
      <c r="E397">
        <v>2979</v>
      </c>
      <c r="F397" s="3">
        <v>41769</v>
      </c>
      <c r="H397" t="s">
        <v>15523</v>
      </c>
      <c r="I397" t="s">
        <v>15919</v>
      </c>
      <c r="K397" t="e">
        <v>#N/A</v>
      </c>
      <c r="S397" s="3"/>
    </row>
    <row r="398" spans="1:19" x14ac:dyDescent="0.25">
      <c r="A398" t="s">
        <v>2000</v>
      </c>
      <c r="B398" t="s">
        <v>2001</v>
      </c>
      <c r="C398" t="s">
        <v>2002</v>
      </c>
      <c r="D398" t="s">
        <v>23</v>
      </c>
      <c r="E398">
        <v>5227</v>
      </c>
      <c r="F398" s="3">
        <v>42035</v>
      </c>
      <c r="H398" t="s">
        <v>15523</v>
      </c>
      <c r="I398" t="s">
        <v>15920</v>
      </c>
      <c r="K398" t="e">
        <v>#N/A</v>
      </c>
      <c r="S398" s="3"/>
    </row>
    <row r="399" spans="1:19" x14ac:dyDescent="0.25">
      <c r="A399" t="s">
        <v>2003</v>
      </c>
      <c r="B399" t="s">
        <v>2004</v>
      </c>
      <c r="C399" t="s">
        <v>2005</v>
      </c>
      <c r="D399" t="s">
        <v>23</v>
      </c>
      <c r="E399">
        <v>2980</v>
      </c>
      <c r="F399" s="3">
        <v>41769</v>
      </c>
      <c r="H399" t="s">
        <v>15523</v>
      </c>
      <c r="I399" t="s">
        <v>15921</v>
      </c>
      <c r="K399" t="e">
        <v>#N/A</v>
      </c>
      <c r="S399" s="3"/>
    </row>
    <row r="400" spans="1:19" x14ac:dyDescent="0.25">
      <c r="A400" t="s">
        <v>2006</v>
      </c>
      <c r="B400" t="s">
        <v>2007</v>
      </c>
      <c r="C400" t="s">
        <v>2008</v>
      </c>
      <c r="D400" t="s">
        <v>23</v>
      </c>
      <c r="E400">
        <v>2981</v>
      </c>
      <c r="F400" s="3">
        <v>41769</v>
      </c>
      <c r="H400" t="s">
        <v>15523</v>
      </c>
      <c r="I400" t="s">
        <v>15922</v>
      </c>
      <c r="K400" t="e">
        <v>#N/A</v>
      </c>
      <c r="S400" s="3"/>
    </row>
    <row r="401" spans="1:19" x14ac:dyDescent="0.25">
      <c r="A401" t="s">
        <v>2009</v>
      </c>
      <c r="B401" t="s">
        <v>2010</v>
      </c>
      <c r="C401" t="s">
        <v>2011</v>
      </c>
      <c r="D401" t="s">
        <v>23</v>
      </c>
      <c r="E401">
        <v>2982</v>
      </c>
      <c r="F401" s="3">
        <v>41769</v>
      </c>
      <c r="H401" t="s">
        <v>15523</v>
      </c>
      <c r="I401" t="s">
        <v>15923</v>
      </c>
      <c r="K401" t="e">
        <v>#N/A</v>
      </c>
      <c r="S401" s="3"/>
    </row>
    <row r="402" spans="1:19" x14ac:dyDescent="0.25">
      <c r="A402" t="s">
        <v>2012</v>
      </c>
      <c r="B402" t="s">
        <v>2013</v>
      </c>
      <c r="C402" t="s">
        <v>2014</v>
      </c>
      <c r="D402" t="s">
        <v>23</v>
      </c>
      <c r="E402">
        <v>2983</v>
      </c>
      <c r="F402" s="3">
        <v>41769</v>
      </c>
      <c r="H402" t="s">
        <v>15523</v>
      </c>
      <c r="I402" t="s">
        <v>15924</v>
      </c>
      <c r="K402" t="e">
        <v>#N/A</v>
      </c>
      <c r="S402" s="3"/>
    </row>
    <row r="403" spans="1:19" x14ac:dyDescent="0.25">
      <c r="A403" t="s">
        <v>2015</v>
      </c>
      <c r="B403" t="s">
        <v>2016</v>
      </c>
      <c r="C403" t="s">
        <v>2017</v>
      </c>
      <c r="D403" t="s">
        <v>23</v>
      </c>
      <c r="E403">
        <v>2984</v>
      </c>
      <c r="F403" s="3">
        <v>41769</v>
      </c>
      <c r="H403" t="s">
        <v>15523</v>
      </c>
      <c r="I403" t="s">
        <v>15925</v>
      </c>
      <c r="K403" t="e">
        <v>#N/A</v>
      </c>
      <c r="S403" s="3"/>
    </row>
    <row r="404" spans="1:19" x14ac:dyDescent="0.25">
      <c r="A404" t="s">
        <v>2018</v>
      </c>
      <c r="B404" t="s">
        <v>2019</v>
      </c>
      <c r="C404" t="s">
        <v>2020</v>
      </c>
      <c r="D404" t="s">
        <v>23</v>
      </c>
      <c r="E404">
        <v>144</v>
      </c>
      <c r="F404" s="3">
        <v>41461</v>
      </c>
      <c r="H404" t="s">
        <v>15523</v>
      </c>
      <c r="I404" t="s">
        <v>15926</v>
      </c>
      <c r="K404" t="e">
        <v>#N/A</v>
      </c>
      <c r="S404" s="3"/>
    </row>
    <row r="405" spans="1:19" x14ac:dyDescent="0.25">
      <c r="A405" t="s">
        <v>2021</v>
      </c>
      <c r="B405" t="s">
        <v>2022</v>
      </c>
      <c r="C405" t="s">
        <v>2023</v>
      </c>
      <c r="D405" t="s">
        <v>23</v>
      </c>
      <c r="E405">
        <v>2985</v>
      </c>
      <c r="F405" s="3">
        <v>41769</v>
      </c>
      <c r="H405" t="s">
        <v>15523</v>
      </c>
      <c r="I405" t="s">
        <v>15927</v>
      </c>
      <c r="K405" t="e">
        <v>#N/A</v>
      </c>
      <c r="S405" s="3"/>
    </row>
    <row r="406" spans="1:19" x14ac:dyDescent="0.25">
      <c r="A406" t="s">
        <v>2024</v>
      </c>
      <c r="B406" t="s">
        <v>2025</v>
      </c>
      <c r="C406" t="s">
        <v>2026</v>
      </c>
      <c r="D406" t="s">
        <v>23</v>
      </c>
      <c r="E406">
        <v>2986</v>
      </c>
      <c r="F406" s="3">
        <v>41769</v>
      </c>
      <c r="H406" t="s">
        <v>15523</v>
      </c>
      <c r="I406" t="s">
        <v>15928</v>
      </c>
      <c r="K406" t="e">
        <v>#N/A</v>
      </c>
      <c r="S406" s="3"/>
    </row>
    <row r="407" spans="1:19" x14ac:dyDescent="0.25">
      <c r="A407" t="s">
        <v>2027</v>
      </c>
      <c r="B407" t="s">
        <v>2028</v>
      </c>
      <c r="C407" t="s">
        <v>2029</v>
      </c>
      <c r="D407" t="s">
        <v>23</v>
      </c>
      <c r="E407">
        <v>2987</v>
      </c>
      <c r="F407" s="3">
        <v>41769</v>
      </c>
      <c r="H407" t="s">
        <v>15523</v>
      </c>
      <c r="I407" t="s">
        <v>15929</v>
      </c>
      <c r="K407" t="e">
        <v>#N/A</v>
      </c>
      <c r="S407" s="3"/>
    </row>
    <row r="408" spans="1:19" x14ac:dyDescent="0.25">
      <c r="A408" t="s">
        <v>2030</v>
      </c>
      <c r="B408" t="s">
        <v>2031</v>
      </c>
      <c r="C408" t="s">
        <v>2032</v>
      </c>
      <c r="D408" t="s">
        <v>23</v>
      </c>
      <c r="E408">
        <v>2597</v>
      </c>
      <c r="F408" s="3">
        <v>40702</v>
      </c>
      <c r="H408" t="s">
        <v>15523</v>
      </c>
      <c r="I408" t="s">
        <v>15930</v>
      </c>
      <c r="K408" t="e">
        <v>#N/A</v>
      </c>
      <c r="S408" s="3"/>
    </row>
    <row r="409" spans="1:19" x14ac:dyDescent="0.25">
      <c r="A409" t="s">
        <v>2033</v>
      </c>
      <c r="B409" t="s">
        <v>2034</v>
      </c>
      <c r="C409" t="s">
        <v>2035</v>
      </c>
      <c r="D409" t="s">
        <v>23</v>
      </c>
      <c r="E409">
        <v>2989</v>
      </c>
      <c r="F409" s="3">
        <v>41769</v>
      </c>
      <c r="H409" t="s">
        <v>15523</v>
      </c>
      <c r="I409" t="s">
        <v>15931</v>
      </c>
      <c r="K409" t="e">
        <v>#N/A</v>
      </c>
      <c r="S409" s="3"/>
    </row>
    <row r="410" spans="1:19" x14ac:dyDescent="0.25">
      <c r="A410" t="s">
        <v>2036</v>
      </c>
      <c r="B410" t="s">
        <v>2037</v>
      </c>
      <c r="C410" t="s">
        <v>2038</v>
      </c>
      <c r="D410" t="s">
        <v>23</v>
      </c>
      <c r="E410">
        <v>2990</v>
      </c>
      <c r="F410" s="3">
        <v>41769</v>
      </c>
      <c r="H410" t="s">
        <v>15523</v>
      </c>
      <c r="I410" t="s">
        <v>15932</v>
      </c>
      <c r="K410" t="e">
        <v>#N/A</v>
      </c>
      <c r="S410" s="3"/>
    </row>
    <row r="411" spans="1:19" x14ac:dyDescent="0.25">
      <c r="A411" t="s">
        <v>2039</v>
      </c>
      <c r="B411" t="s">
        <v>2040</v>
      </c>
      <c r="C411" t="s">
        <v>2041</v>
      </c>
      <c r="D411" t="s">
        <v>23</v>
      </c>
      <c r="E411">
        <v>2991</v>
      </c>
      <c r="F411" s="3">
        <v>41769</v>
      </c>
      <c r="H411" t="s">
        <v>15523</v>
      </c>
      <c r="I411" t="s">
        <v>15933</v>
      </c>
      <c r="K411" t="e">
        <v>#N/A</v>
      </c>
      <c r="S411" s="3"/>
    </row>
    <row r="412" spans="1:19" x14ac:dyDescent="0.25">
      <c r="A412" t="s">
        <v>2042</v>
      </c>
      <c r="B412" t="s">
        <v>2043</v>
      </c>
      <c r="C412" t="s">
        <v>2044</v>
      </c>
      <c r="D412" t="s">
        <v>23</v>
      </c>
      <c r="E412">
        <v>2992</v>
      </c>
      <c r="F412" s="3">
        <v>41769</v>
      </c>
      <c r="H412" t="s">
        <v>15523</v>
      </c>
      <c r="I412" t="s">
        <v>15934</v>
      </c>
      <c r="K412" t="e">
        <v>#N/A</v>
      </c>
      <c r="S412" s="3"/>
    </row>
    <row r="413" spans="1:19" x14ac:dyDescent="0.25">
      <c r="A413" t="s">
        <v>2045</v>
      </c>
      <c r="B413" t="s">
        <v>2046</v>
      </c>
      <c r="C413" t="s">
        <v>2047</v>
      </c>
      <c r="D413" t="s">
        <v>23</v>
      </c>
      <c r="E413">
        <v>145</v>
      </c>
      <c r="F413" s="3">
        <v>40702</v>
      </c>
      <c r="H413" t="s">
        <v>15523</v>
      </c>
      <c r="I413" t="s">
        <v>15935</v>
      </c>
      <c r="K413" t="e">
        <v>#N/A</v>
      </c>
      <c r="S413" s="3"/>
    </row>
    <row r="414" spans="1:19" x14ac:dyDescent="0.25">
      <c r="A414" t="s">
        <v>2048</v>
      </c>
      <c r="B414" t="s">
        <v>2049</v>
      </c>
      <c r="C414" t="s">
        <v>2050</v>
      </c>
      <c r="D414" t="s">
        <v>23</v>
      </c>
      <c r="E414">
        <v>2995</v>
      </c>
      <c r="F414" s="3">
        <v>41769</v>
      </c>
      <c r="H414" t="s">
        <v>15523</v>
      </c>
      <c r="I414" t="s">
        <v>15936</v>
      </c>
      <c r="K414" t="e">
        <v>#N/A</v>
      </c>
      <c r="S414" s="3"/>
    </row>
    <row r="415" spans="1:19" x14ac:dyDescent="0.25">
      <c r="A415" t="s">
        <v>2051</v>
      </c>
      <c r="B415" t="s">
        <v>2052</v>
      </c>
      <c r="C415" t="s">
        <v>2053</v>
      </c>
      <c r="D415" t="s">
        <v>23</v>
      </c>
      <c r="E415">
        <v>1737</v>
      </c>
      <c r="F415" s="3">
        <v>41461</v>
      </c>
      <c r="H415" t="s">
        <v>15523</v>
      </c>
      <c r="I415" t="s">
        <v>15937</v>
      </c>
      <c r="K415" t="e">
        <v>#N/A</v>
      </c>
      <c r="S415" s="3"/>
    </row>
    <row r="416" spans="1:19" x14ac:dyDescent="0.25">
      <c r="A416" t="s">
        <v>2054</v>
      </c>
      <c r="B416" t="s">
        <v>2055</v>
      </c>
      <c r="C416" t="s">
        <v>2056</v>
      </c>
      <c r="D416" t="s">
        <v>23</v>
      </c>
      <c r="E416">
        <v>2996</v>
      </c>
      <c r="F416" s="3">
        <v>41769</v>
      </c>
      <c r="H416" t="s">
        <v>15523</v>
      </c>
      <c r="I416" t="s">
        <v>15938</v>
      </c>
      <c r="K416" t="e">
        <v>#N/A</v>
      </c>
      <c r="S416" s="3"/>
    </row>
    <row r="417" spans="1:19" x14ac:dyDescent="0.25">
      <c r="A417" t="s">
        <v>2057</v>
      </c>
      <c r="B417" t="s">
        <v>2058</v>
      </c>
      <c r="C417" t="s">
        <v>2059</v>
      </c>
      <c r="D417" t="s">
        <v>23</v>
      </c>
      <c r="E417">
        <v>146</v>
      </c>
      <c r="F417" s="3">
        <v>40702</v>
      </c>
      <c r="H417" t="s">
        <v>15523</v>
      </c>
      <c r="I417" t="s">
        <v>15939</v>
      </c>
      <c r="K417" t="e">
        <v>#N/A</v>
      </c>
      <c r="S417" s="3"/>
    </row>
    <row r="418" spans="1:19" x14ac:dyDescent="0.25">
      <c r="A418" t="s">
        <v>2060</v>
      </c>
      <c r="B418" t="s">
        <v>2061</v>
      </c>
      <c r="C418" t="s">
        <v>2062</v>
      </c>
      <c r="D418" t="s">
        <v>23</v>
      </c>
      <c r="E418">
        <v>147</v>
      </c>
      <c r="F418" s="3">
        <v>40702</v>
      </c>
      <c r="H418" t="s">
        <v>15523</v>
      </c>
      <c r="I418" t="s">
        <v>15940</v>
      </c>
      <c r="K418" t="e">
        <v>#N/A</v>
      </c>
      <c r="S418" s="3"/>
    </row>
    <row r="419" spans="1:19" x14ac:dyDescent="0.25">
      <c r="A419" t="s">
        <v>2063</v>
      </c>
      <c r="B419" t="s">
        <v>2064</v>
      </c>
      <c r="C419" t="s">
        <v>2065</v>
      </c>
      <c r="D419" t="s">
        <v>23</v>
      </c>
      <c r="E419">
        <v>1330</v>
      </c>
      <c r="F419" s="3">
        <v>40702</v>
      </c>
      <c r="H419" t="s">
        <v>15523</v>
      </c>
      <c r="I419" t="s">
        <v>15941</v>
      </c>
      <c r="K419" t="e">
        <v>#N/A</v>
      </c>
      <c r="S419" s="3"/>
    </row>
    <row r="420" spans="1:19" x14ac:dyDescent="0.25">
      <c r="A420" t="s">
        <v>2066</v>
      </c>
      <c r="B420" t="s">
        <v>2067</v>
      </c>
      <c r="C420" t="s">
        <v>2068</v>
      </c>
      <c r="D420" t="s">
        <v>23</v>
      </c>
      <c r="E420">
        <v>2993</v>
      </c>
      <c r="F420" s="3">
        <v>41769</v>
      </c>
      <c r="H420" t="s">
        <v>15523</v>
      </c>
      <c r="I420" t="s">
        <v>15942</v>
      </c>
      <c r="K420" t="e">
        <v>#N/A</v>
      </c>
      <c r="S420" s="3"/>
    </row>
    <row r="421" spans="1:19" x14ac:dyDescent="0.25">
      <c r="A421" t="s">
        <v>2069</v>
      </c>
      <c r="B421" t="s">
        <v>2070</v>
      </c>
      <c r="C421" t="s">
        <v>2071</v>
      </c>
      <c r="D421" t="s">
        <v>23</v>
      </c>
      <c r="E421">
        <v>2994</v>
      </c>
      <c r="F421" s="3">
        <v>41769</v>
      </c>
      <c r="H421" t="s">
        <v>15523</v>
      </c>
      <c r="I421" t="s">
        <v>15943</v>
      </c>
      <c r="K421" t="e">
        <v>#N/A</v>
      </c>
      <c r="S421" s="3"/>
    </row>
    <row r="422" spans="1:19" x14ac:dyDescent="0.25">
      <c r="A422" t="s">
        <v>2072</v>
      </c>
      <c r="B422" t="s">
        <v>2073</v>
      </c>
      <c r="C422" t="s">
        <v>2074</v>
      </c>
      <c r="D422" t="s">
        <v>23</v>
      </c>
      <c r="E422">
        <v>5835</v>
      </c>
      <c r="F422" s="3">
        <v>43082</v>
      </c>
      <c r="H422" t="s">
        <v>15523</v>
      </c>
      <c r="I422" t="s">
        <v>15944</v>
      </c>
      <c r="K422" t="e">
        <v>#N/A</v>
      </c>
      <c r="S422" s="3"/>
    </row>
    <row r="423" spans="1:19" x14ac:dyDescent="0.25">
      <c r="A423" t="s">
        <v>2075</v>
      </c>
      <c r="B423" t="s">
        <v>2076</v>
      </c>
      <c r="C423" t="s">
        <v>2077</v>
      </c>
      <c r="D423" t="s">
        <v>23</v>
      </c>
      <c r="E423">
        <v>4963</v>
      </c>
      <c r="F423" s="3">
        <v>41660</v>
      </c>
      <c r="H423" t="s">
        <v>15523</v>
      </c>
      <c r="I423" t="s">
        <v>15945</v>
      </c>
      <c r="K423" t="e">
        <v>#N/A</v>
      </c>
      <c r="S423" s="3"/>
    </row>
    <row r="424" spans="1:19" x14ac:dyDescent="0.25">
      <c r="A424" t="s">
        <v>2078</v>
      </c>
      <c r="B424" t="s">
        <v>2079</v>
      </c>
      <c r="C424" t="s">
        <v>2080</v>
      </c>
      <c r="D424" t="s">
        <v>23</v>
      </c>
      <c r="E424">
        <v>2997</v>
      </c>
      <c r="F424" s="3">
        <v>41769</v>
      </c>
      <c r="H424" t="s">
        <v>15523</v>
      </c>
      <c r="I424" t="s">
        <v>15946</v>
      </c>
      <c r="K424" t="e">
        <v>#N/A</v>
      </c>
      <c r="S424" s="3"/>
    </row>
    <row r="425" spans="1:19" x14ac:dyDescent="0.25">
      <c r="A425" t="s">
        <v>2081</v>
      </c>
      <c r="B425" t="s">
        <v>2082</v>
      </c>
      <c r="C425" t="s">
        <v>2083</v>
      </c>
      <c r="D425" t="s">
        <v>23</v>
      </c>
      <c r="E425">
        <v>1332</v>
      </c>
      <c r="F425" s="3">
        <v>41769</v>
      </c>
      <c r="H425" t="s">
        <v>15523</v>
      </c>
      <c r="I425" t="s">
        <v>15947</v>
      </c>
      <c r="K425" t="e">
        <v>#N/A</v>
      </c>
      <c r="S425" s="3"/>
    </row>
    <row r="426" spans="1:19" x14ac:dyDescent="0.25">
      <c r="A426" t="s">
        <v>2084</v>
      </c>
      <c r="B426" t="s">
        <v>2085</v>
      </c>
      <c r="C426" t="s">
        <v>2086</v>
      </c>
      <c r="D426" t="s">
        <v>23</v>
      </c>
      <c r="E426">
        <v>2998</v>
      </c>
      <c r="F426" s="3">
        <v>41769</v>
      </c>
      <c r="H426" t="s">
        <v>15523</v>
      </c>
      <c r="I426" t="s">
        <v>15948</v>
      </c>
      <c r="K426" t="e">
        <v>#N/A</v>
      </c>
      <c r="S426" s="3"/>
    </row>
    <row r="427" spans="1:19" x14ac:dyDescent="0.25">
      <c r="A427" t="s">
        <v>2087</v>
      </c>
      <c r="B427" t="s">
        <v>2088</v>
      </c>
      <c r="C427" t="s">
        <v>2089</v>
      </c>
      <c r="D427" t="s">
        <v>23</v>
      </c>
      <c r="E427">
        <v>3001</v>
      </c>
      <c r="F427" s="3">
        <v>41769</v>
      </c>
      <c r="H427" t="s">
        <v>15523</v>
      </c>
      <c r="I427" t="s">
        <v>15949</v>
      </c>
      <c r="K427" t="e">
        <v>#N/A</v>
      </c>
      <c r="S427" s="3"/>
    </row>
    <row r="428" spans="1:19" x14ac:dyDescent="0.25">
      <c r="A428" t="s">
        <v>2090</v>
      </c>
      <c r="B428" t="s">
        <v>2091</v>
      </c>
      <c r="C428" t="s">
        <v>2092</v>
      </c>
      <c r="D428" t="s">
        <v>23</v>
      </c>
      <c r="E428">
        <v>169</v>
      </c>
      <c r="F428" s="3">
        <v>41461</v>
      </c>
      <c r="H428" t="s">
        <v>15523</v>
      </c>
      <c r="I428" t="s">
        <v>15950</v>
      </c>
      <c r="K428" t="e">
        <v>#N/A</v>
      </c>
      <c r="S428" s="3"/>
    </row>
    <row r="429" spans="1:19" x14ac:dyDescent="0.25">
      <c r="A429" t="s">
        <v>2093</v>
      </c>
      <c r="B429" t="s">
        <v>2094</v>
      </c>
      <c r="C429" t="s">
        <v>2095</v>
      </c>
      <c r="D429" t="s">
        <v>23</v>
      </c>
      <c r="E429">
        <v>2999</v>
      </c>
      <c r="F429" s="3">
        <v>41769</v>
      </c>
      <c r="H429" t="s">
        <v>15523</v>
      </c>
      <c r="I429" t="s">
        <v>15951</v>
      </c>
      <c r="K429" t="e">
        <v>#N/A</v>
      </c>
      <c r="S429" s="3"/>
    </row>
    <row r="430" spans="1:19" x14ac:dyDescent="0.25">
      <c r="A430" t="s">
        <v>2096</v>
      </c>
      <c r="B430" t="s">
        <v>2097</v>
      </c>
      <c r="C430" t="s">
        <v>2098</v>
      </c>
      <c r="D430" t="s">
        <v>23</v>
      </c>
      <c r="E430">
        <v>3000</v>
      </c>
      <c r="F430" s="3">
        <v>41769</v>
      </c>
      <c r="H430" t="s">
        <v>15523</v>
      </c>
      <c r="I430" t="s">
        <v>15952</v>
      </c>
      <c r="K430" t="e">
        <v>#N/A</v>
      </c>
      <c r="S430" s="3"/>
    </row>
    <row r="431" spans="1:19" x14ac:dyDescent="0.25">
      <c r="A431" t="s">
        <v>2099</v>
      </c>
      <c r="B431" t="s">
        <v>2100</v>
      </c>
      <c r="C431" t="s">
        <v>2101</v>
      </c>
      <c r="D431" t="s">
        <v>23</v>
      </c>
      <c r="E431">
        <v>5071</v>
      </c>
      <c r="F431" s="3">
        <v>41671</v>
      </c>
      <c r="H431" t="s">
        <v>15523</v>
      </c>
      <c r="I431" t="s">
        <v>15953</v>
      </c>
      <c r="K431" t="e">
        <v>#N/A</v>
      </c>
      <c r="S431" s="3"/>
    </row>
    <row r="432" spans="1:19" x14ac:dyDescent="0.25">
      <c r="A432" t="s">
        <v>2102</v>
      </c>
      <c r="B432" t="s">
        <v>2103</v>
      </c>
      <c r="C432" t="s">
        <v>2104</v>
      </c>
      <c r="D432" t="s">
        <v>23</v>
      </c>
      <c r="E432">
        <v>4964</v>
      </c>
      <c r="F432" s="3">
        <v>41660</v>
      </c>
      <c r="H432" t="s">
        <v>15523</v>
      </c>
      <c r="I432" t="s">
        <v>15954</v>
      </c>
      <c r="K432" t="e">
        <v>#N/A</v>
      </c>
      <c r="S432" s="3"/>
    </row>
    <row r="433" spans="1:19" x14ac:dyDescent="0.25">
      <c r="A433" t="s">
        <v>2105</v>
      </c>
      <c r="B433" t="s">
        <v>2106</v>
      </c>
      <c r="C433" t="s">
        <v>2107</v>
      </c>
      <c r="D433" t="s">
        <v>23</v>
      </c>
      <c r="E433">
        <v>1741</v>
      </c>
      <c r="F433" s="3">
        <v>41769</v>
      </c>
      <c r="H433" t="s">
        <v>15523</v>
      </c>
      <c r="I433" t="s">
        <v>15955</v>
      </c>
      <c r="K433" t="e">
        <v>#N/A</v>
      </c>
      <c r="S433" s="3"/>
    </row>
    <row r="434" spans="1:19" x14ac:dyDescent="0.25">
      <c r="A434" t="s">
        <v>2108</v>
      </c>
      <c r="B434" t="s">
        <v>2109</v>
      </c>
      <c r="C434" t="s">
        <v>2110</v>
      </c>
      <c r="D434" t="s">
        <v>23</v>
      </c>
      <c r="E434">
        <v>3002</v>
      </c>
      <c r="F434" s="3">
        <v>41769</v>
      </c>
      <c r="H434" t="s">
        <v>15523</v>
      </c>
      <c r="I434" t="s">
        <v>15956</v>
      </c>
      <c r="K434" t="e">
        <v>#N/A</v>
      </c>
      <c r="S434" s="3"/>
    </row>
    <row r="435" spans="1:19" x14ac:dyDescent="0.25">
      <c r="A435" t="s">
        <v>2111</v>
      </c>
      <c r="B435" t="s">
        <v>2112</v>
      </c>
      <c r="C435" t="s">
        <v>2113</v>
      </c>
      <c r="D435" t="s">
        <v>23</v>
      </c>
      <c r="E435">
        <v>3003</v>
      </c>
      <c r="F435" s="3">
        <v>41769</v>
      </c>
      <c r="H435" t="s">
        <v>15523</v>
      </c>
      <c r="I435" t="s">
        <v>15957</v>
      </c>
      <c r="K435" t="e">
        <v>#N/A</v>
      </c>
      <c r="S435" s="3"/>
    </row>
    <row r="436" spans="1:19" x14ac:dyDescent="0.25">
      <c r="A436" t="s">
        <v>2114</v>
      </c>
      <c r="B436" t="s">
        <v>2115</v>
      </c>
      <c r="C436" t="s">
        <v>2116</v>
      </c>
      <c r="D436" t="s">
        <v>23</v>
      </c>
      <c r="E436">
        <v>170</v>
      </c>
      <c r="F436" s="3">
        <v>40702</v>
      </c>
      <c r="H436" t="s">
        <v>15523</v>
      </c>
      <c r="I436" t="s">
        <v>15958</v>
      </c>
      <c r="K436" t="e">
        <v>#N/A</v>
      </c>
      <c r="S436" s="3"/>
    </row>
    <row r="437" spans="1:19" x14ac:dyDescent="0.25">
      <c r="A437" t="s">
        <v>2117</v>
      </c>
      <c r="B437" t="s">
        <v>2118</v>
      </c>
      <c r="C437" t="s">
        <v>2119</v>
      </c>
      <c r="D437" t="s">
        <v>23</v>
      </c>
      <c r="E437">
        <v>3005</v>
      </c>
      <c r="F437" s="3">
        <v>41769</v>
      </c>
      <c r="H437" t="s">
        <v>15523</v>
      </c>
      <c r="I437" t="s">
        <v>15959</v>
      </c>
      <c r="K437" t="e">
        <v>#N/A</v>
      </c>
      <c r="S437" s="3"/>
    </row>
    <row r="438" spans="1:19" x14ac:dyDescent="0.25">
      <c r="A438" t="s">
        <v>2120</v>
      </c>
      <c r="B438" t="s">
        <v>2121</v>
      </c>
      <c r="C438" t="s">
        <v>2122</v>
      </c>
      <c r="D438" t="s">
        <v>23</v>
      </c>
      <c r="E438">
        <v>3004</v>
      </c>
      <c r="F438" s="3">
        <v>41769</v>
      </c>
      <c r="H438" t="s">
        <v>15523</v>
      </c>
      <c r="I438" t="s">
        <v>15960</v>
      </c>
      <c r="K438" t="e">
        <v>#N/A</v>
      </c>
      <c r="S438" s="3"/>
    </row>
    <row r="439" spans="1:19" x14ac:dyDescent="0.25">
      <c r="A439" t="s">
        <v>2123</v>
      </c>
      <c r="B439" t="s">
        <v>2124</v>
      </c>
      <c r="C439" t="s">
        <v>2125</v>
      </c>
      <c r="D439" t="s">
        <v>23</v>
      </c>
      <c r="E439">
        <v>5339</v>
      </c>
      <c r="F439" s="3">
        <v>42222</v>
      </c>
      <c r="H439" t="s">
        <v>15523</v>
      </c>
      <c r="I439" t="s">
        <v>15961</v>
      </c>
      <c r="K439" t="e">
        <v>#N/A</v>
      </c>
      <c r="S439" s="3"/>
    </row>
    <row r="440" spans="1:19" x14ac:dyDescent="0.25">
      <c r="A440" t="s">
        <v>2126</v>
      </c>
      <c r="B440" t="s">
        <v>2127</v>
      </c>
      <c r="C440" t="s">
        <v>2128</v>
      </c>
      <c r="D440" t="s">
        <v>23</v>
      </c>
      <c r="E440">
        <v>5988</v>
      </c>
      <c r="F440" s="3">
        <v>43438</v>
      </c>
      <c r="H440" t="s">
        <v>15523</v>
      </c>
      <c r="I440" t="s">
        <v>15962</v>
      </c>
      <c r="K440" t="e">
        <v>#N/A</v>
      </c>
      <c r="S440" s="3"/>
    </row>
    <row r="441" spans="1:19" x14ac:dyDescent="0.25">
      <c r="A441" t="s">
        <v>2129</v>
      </c>
      <c r="B441" t="s">
        <v>2130</v>
      </c>
      <c r="C441" t="s">
        <v>2131</v>
      </c>
      <c r="D441" t="s">
        <v>23</v>
      </c>
      <c r="E441">
        <v>5517</v>
      </c>
      <c r="F441" s="3">
        <v>42294</v>
      </c>
      <c r="H441" t="s">
        <v>15523</v>
      </c>
      <c r="I441" t="s">
        <v>15963</v>
      </c>
      <c r="K441" t="e">
        <v>#N/A</v>
      </c>
      <c r="S441" s="3"/>
    </row>
    <row r="442" spans="1:19" x14ac:dyDescent="0.25">
      <c r="A442" t="s">
        <v>2132</v>
      </c>
      <c r="B442" t="s">
        <v>2133</v>
      </c>
      <c r="C442" t="s">
        <v>2134</v>
      </c>
      <c r="D442" t="s">
        <v>23</v>
      </c>
      <c r="E442">
        <v>3006</v>
      </c>
      <c r="F442" s="3">
        <v>41769</v>
      </c>
      <c r="H442" t="s">
        <v>15523</v>
      </c>
      <c r="I442" t="s">
        <v>15964</v>
      </c>
      <c r="K442" t="e">
        <v>#N/A</v>
      </c>
      <c r="S442" s="3"/>
    </row>
    <row r="443" spans="1:19" x14ac:dyDescent="0.25">
      <c r="A443" t="s">
        <v>2135</v>
      </c>
      <c r="B443" t="s">
        <v>2136</v>
      </c>
      <c r="C443" t="s">
        <v>2137</v>
      </c>
      <c r="D443" t="s">
        <v>23</v>
      </c>
      <c r="E443">
        <v>5985</v>
      </c>
      <c r="F443" s="3">
        <v>43438</v>
      </c>
      <c r="H443" t="s">
        <v>15523</v>
      </c>
      <c r="I443" t="s">
        <v>15965</v>
      </c>
      <c r="K443" t="e">
        <v>#N/A</v>
      </c>
      <c r="S443" s="3"/>
    </row>
    <row r="444" spans="1:19" x14ac:dyDescent="0.25">
      <c r="A444" t="s">
        <v>2138</v>
      </c>
      <c r="B444" t="s">
        <v>2139</v>
      </c>
      <c r="C444" t="s">
        <v>2140</v>
      </c>
      <c r="D444" t="s">
        <v>23</v>
      </c>
      <c r="E444">
        <v>2945</v>
      </c>
      <c r="F444" s="3">
        <v>41769</v>
      </c>
      <c r="H444" t="s">
        <v>15523</v>
      </c>
      <c r="I444" t="s">
        <v>15966</v>
      </c>
      <c r="K444" t="e">
        <v>#N/A</v>
      </c>
      <c r="S444" s="3"/>
    </row>
    <row r="445" spans="1:19" x14ac:dyDescent="0.25">
      <c r="A445" t="s">
        <v>2141</v>
      </c>
      <c r="B445" t="s">
        <v>2142</v>
      </c>
      <c r="C445" t="s">
        <v>2143</v>
      </c>
      <c r="D445" t="s">
        <v>23</v>
      </c>
      <c r="E445">
        <v>2946</v>
      </c>
      <c r="F445" s="3">
        <v>41769</v>
      </c>
      <c r="H445" t="s">
        <v>15523</v>
      </c>
      <c r="I445" t="s">
        <v>15967</v>
      </c>
      <c r="K445" t="e">
        <v>#N/A</v>
      </c>
      <c r="S445" s="3"/>
    </row>
    <row r="446" spans="1:19" x14ac:dyDescent="0.25">
      <c r="A446" t="s">
        <v>2144</v>
      </c>
      <c r="B446" t="s">
        <v>2145</v>
      </c>
      <c r="C446" t="s">
        <v>2146</v>
      </c>
      <c r="D446" t="s">
        <v>23</v>
      </c>
      <c r="E446">
        <v>2947</v>
      </c>
      <c r="F446" s="3">
        <v>41769</v>
      </c>
      <c r="H446" t="s">
        <v>15523</v>
      </c>
      <c r="I446" t="s">
        <v>15968</v>
      </c>
      <c r="K446" t="e">
        <v>#N/A</v>
      </c>
      <c r="S446" s="3"/>
    </row>
    <row r="447" spans="1:19" x14ac:dyDescent="0.25">
      <c r="A447" t="s">
        <v>2147</v>
      </c>
      <c r="B447" t="s">
        <v>2148</v>
      </c>
      <c r="C447" t="s">
        <v>2149</v>
      </c>
      <c r="D447" t="s">
        <v>23</v>
      </c>
      <c r="E447">
        <v>2948</v>
      </c>
      <c r="F447" s="3">
        <v>41769</v>
      </c>
      <c r="H447" t="s">
        <v>15523</v>
      </c>
      <c r="I447" t="s">
        <v>15969</v>
      </c>
      <c r="K447" t="e">
        <v>#N/A</v>
      </c>
      <c r="S447" s="3"/>
    </row>
    <row r="448" spans="1:19" x14ac:dyDescent="0.25">
      <c r="A448" t="s">
        <v>2150</v>
      </c>
      <c r="B448" t="s">
        <v>2151</v>
      </c>
      <c r="C448" t="s">
        <v>2152</v>
      </c>
      <c r="D448" t="s">
        <v>23</v>
      </c>
      <c r="E448">
        <v>1139</v>
      </c>
      <c r="F448" s="3">
        <v>40702</v>
      </c>
      <c r="H448" t="s">
        <v>15523</v>
      </c>
      <c r="I448" t="s">
        <v>15970</v>
      </c>
      <c r="K448" t="e">
        <v>#N/A</v>
      </c>
      <c r="S448" s="3"/>
    </row>
    <row r="449" spans="1:19" x14ac:dyDescent="0.25">
      <c r="A449" t="s">
        <v>2153</v>
      </c>
      <c r="B449" t="s">
        <v>2154</v>
      </c>
      <c r="C449" t="s">
        <v>2155</v>
      </c>
      <c r="D449" t="s">
        <v>23</v>
      </c>
      <c r="E449">
        <v>4965</v>
      </c>
      <c r="F449" s="3">
        <v>41660</v>
      </c>
      <c r="H449" t="s">
        <v>15523</v>
      </c>
      <c r="I449" t="s">
        <v>15971</v>
      </c>
      <c r="K449" t="e">
        <v>#N/A</v>
      </c>
      <c r="S449" s="3"/>
    </row>
    <row r="450" spans="1:19" x14ac:dyDescent="0.25">
      <c r="A450" t="s">
        <v>2156</v>
      </c>
      <c r="B450" t="s">
        <v>2157</v>
      </c>
      <c r="C450" t="s">
        <v>2158</v>
      </c>
      <c r="D450" t="s">
        <v>23</v>
      </c>
      <c r="E450">
        <v>4966</v>
      </c>
      <c r="F450" s="3">
        <v>41660</v>
      </c>
      <c r="H450" t="s">
        <v>15523</v>
      </c>
      <c r="I450" t="s">
        <v>15972</v>
      </c>
      <c r="K450" t="e">
        <v>#N/A</v>
      </c>
      <c r="S450" s="3"/>
    </row>
    <row r="451" spans="1:19" x14ac:dyDescent="0.25">
      <c r="A451" t="s">
        <v>2159</v>
      </c>
      <c r="B451" t="s">
        <v>2160</v>
      </c>
      <c r="C451" s="3">
        <v>828831</v>
      </c>
      <c r="D451" t="s">
        <v>23</v>
      </c>
      <c r="E451">
        <v>4967</v>
      </c>
      <c r="F451" s="3">
        <v>41660</v>
      </c>
      <c r="H451" t="s">
        <v>15523</v>
      </c>
      <c r="I451" t="s">
        <v>15973</v>
      </c>
      <c r="K451" t="e">
        <v>#N/A</v>
      </c>
      <c r="P451" s="3"/>
      <c r="S451" s="3"/>
    </row>
    <row r="452" spans="1:19" x14ac:dyDescent="0.25">
      <c r="A452" t="s">
        <v>2162</v>
      </c>
      <c r="B452" t="s">
        <v>2163</v>
      </c>
      <c r="C452" t="s">
        <v>2164</v>
      </c>
      <c r="D452" t="s">
        <v>23</v>
      </c>
      <c r="E452">
        <v>1974</v>
      </c>
      <c r="F452" s="3">
        <v>40702</v>
      </c>
      <c r="H452" t="s">
        <v>15523</v>
      </c>
      <c r="I452" t="s">
        <v>15974</v>
      </c>
      <c r="K452" t="e">
        <v>#N/A</v>
      </c>
      <c r="S452" s="3"/>
    </row>
    <row r="453" spans="1:19" x14ac:dyDescent="0.25">
      <c r="A453" t="s">
        <v>2165</v>
      </c>
      <c r="B453" t="s">
        <v>2166</v>
      </c>
      <c r="C453" t="s">
        <v>2167</v>
      </c>
      <c r="D453" t="s">
        <v>23</v>
      </c>
      <c r="E453">
        <v>812</v>
      </c>
      <c r="F453" s="3">
        <v>40702</v>
      </c>
      <c r="H453" t="s">
        <v>15523</v>
      </c>
      <c r="I453" t="s">
        <v>15975</v>
      </c>
      <c r="K453" t="e">
        <v>#N/A</v>
      </c>
      <c r="S453" s="3"/>
    </row>
    <row r="454" spans="1:19" x14ac:dyDescent="0.25">
      <c r="A454" t="s">
        <v>2168</v>
      </c>
      <c r="B454" t="s">
        <v>2169</v>
      </c>
      <c r="C454" t="s">
        <v>2170</v>
      </c>
      <c r="D454" t="s">
        <v>23</v>
      </c>
      <c r="E454">
        <v>157</v>
      </c>
      <c r="F454" s="3">
        <v>40702</v>
      </c>
      <c r="H454" t="s">
        <v>15523</v>
      </c>
      <c r="I454" t="s">
        <v>15976</v>
      </c>
      <c r="K454" t="e">
        <v>#N/A</v>
      </c>
      <c r="S454" s="3"/>
    </row>
    <row r="455" spans="1:19" x14ac:dyDescent="0.25">
      <c r="A455" t="s">
        <v>2171</v>
      </c>
      <c r="B455" t="s">
        <v>2172</v>
      </c>
      <c r="C455" t="s">
        <v>2173</v>
      </c>
      <c r="D455" t="s">
        <v>23</v>
      </c>
      <c r="E455">
        <v>4968</v>
      </c>
      <c r="F455" s="3">
        <v>41660</v>
      </c>
      <c r="H455" t="s">
        <v>15523</v>
      </c>
      <c r="I455" t="s">
        <v>15977</v>
      </c>
      <c r="K455" t="e">
        <v>#N/A</v>
      </c>
      <c r="S455" s="3"/>
    </row>
    <row r="456" spans="1:19" x14ac:dyDescent="0.25">
      <c r="A456" t="s">
        <v>2174</v>
      </c>
      <c r="B456" t="s">
        <v>2175</v>
      </c>
      <c r="C456" t="s">
        <v>2176</v>
      </c>
      <c r="D456" t="s">
        <v>23</v>
      </c>
      <c r="E456">
        <v>5600</v>
      </c>
      <c r="F456" s="3">
        <v>42551</v>
      </c>
      <c r="H456" t="s">
        <v>15523</v>
      </c>
      <c r="I456" t="s">
        <v>15978</v>
      </c>
      <c r="K456" t="e">
        <v>#N/A</v>
      </c>
      <c r="S456" s="3"/>
    </row>
    <row r="457" spans="1:19" x14ac:dyDescent="0.25">
      <c r="A457" t="s">
        <v>2177</v>
      </c>
      <c r="B457" t="s">
        <v>2178</v>
      </c>
      <c r="C457" t="s">
        <v>2179</v>
      </c>
      <c r="D457" t="s">
        <v>23</v>
      </c>
      <c r="E457">
        <v>4969</v>
      </c>
      <c r="F457" s="3">
        <v>41660</v>
      </c>
      <c r="H457" t="s">
        <v>15523</v>
      </c>
      <c r="I457" t="s">
        <v>15979</v>
      </c>
      <c r="K457" t="e">
        <v>#N/A</v>
      </c>
      <c r="S457" s="3"/>
    </row>
    <row r="458" spans="1:19" x14ac:dyDescent="0.25">
      <c r="A458" t="s">
        <v>2180</v>
      </c>
      <c r="B458" t="s">
        <v>2181</v>
      </c>
      <c r="C458" t="s">
        <v>2182</v>
      </c>
      <c r="D458" t="s">
        <v>23</v>
      </c>
      <c r="E458">
        <v>4970</v>
      </c>
      <c r="F458" s="3">
        <v>41660</v>
      </c>
      <c r="H458" t="s">
        <v>15523</v>
      </c>
      <c r="I458" t="s">
        <v>15980</v>
      </c>
      <c r="K458" t="e">
        <v>#N/A</v>
      </c>
      <c r="S458" s="3"/>
    </row>
    <row r="459" spans="1:19" x14ac:dyDescent="0.25">
      <c r="A459" t="s">
        <v>2183</v>
      </c>
      <c r="B459" t="s">
        <v>2184</v>
      </c>
      <c r="C459" t="s">
        <v>2185</v>
      </c>
      <c r="D459" t="s">
        <v>23</v>
      </c>
      <c r="E459">
        <v>3007</v>
      </c>
      <c r="F459" s="3">
        <v>41769</v>
      </c>
      <c r="H459" t="s">
        <v>15523</v>
      </c>
      <c r="I459" t="s">
        <v>15981</v>
      </c>
      <c r="K459" t="e">
        <v>#N/A</v>
      </c>
      <c r="S459" s="3"/>
    </row>
    <row r="460" spans="1:19" x14ac:dyDescent="0.25">
      <c r="A460" t="s">
        <v>2186</v>
      </c>
      <c r="B460" t="s">
        <v>2187</v>
      </c>
      <c r="C460" t="s">
        <v>2188</v>
      </c>
      <c r="D460" t="s">
        <v>23</v>
      </c>
      <c r="E460">
        <v>3008</v>
      </c>
      <c r="F460" s="3">
        <v>41769</v>
      </c>
      <c r="H460" t="s">
        <v>15523</v>
      </c>
      <c r="I460" t="s">
        <v>15982</v>
      </c>
      <c r="K460" t="e">
        <v>#N/A</v>
      </c>
      <c r="S460" s="3"/>
    </row>
    <row r="461" spans="1:19" x14ac:dyDescent="0.25">
      <c r="A461" t="s">
        <v>2189</v>
      </c>
      <c r="B461" t="s">
        <v>2190</v>
      </c>
      <c r="C461" t="s">
        <v>2191</v>
      </c>
      <c r="D461" t="s">
        <v>23</v>
      </c>
      <c r="E461">
        <v>3010</v>
      </c>
      <c r="F461" s="3">
        <v>41769</v>
      </c>
      <c r="H461" t="s">
        <v>15523</v>
      </c>
      <c r="I461" t="s">
        <v>15983</v>
      </c>
      <c r="K461" t="e">
        <v>#N/A</v>
      </c>
      <c r="S461" s="3"/>
    </row>
    <row r="462" spans="1:19" x14ac:dyDescent="0.25">
      <c r="A462" t="s">
        <v>2192</v>
      </c>
      <c r="B462" t="s">
        <v>2193</v>
      </c>
      <c r="C462" t="s">
        <v>2194</v>
      </c>
      <c r="D462" t="s">
        <v>23</v>
      </c>
      <c r="E462">
        <v>3009</v>
      </c>
      <c r="F462" s="3">
        <v>41769</v>
      </c>
      <c r="H462" t="s">
        <v>15523</v>
      </c>
      <c r="I462" t="s">
        <v>15984</v>
      </c>
      <c r="K462" t="e">
        <v>#N/A</v>
      </c>
      <c r="S462" s="3"/>
    </row>
    <row r="463" spans="1:19" x14ac:dyDescent="0.25">
      <c r="A463" t="s">
        <v>2195</v>
      </c>
      <c r="B463" t="s">
        <v>2196</v>
      </c>
      <c r="C463" t="s">
        <v>2197</v>
      </c>
      <c r="D463" t="s">
        <v>23</v>
      </c>
      <c r="E463">
        <v>3011</v>
      </c>
      <c r="F463" s="3">
        <v>41769</v>
      </c>
      <c r="H463" t="s">
        <v>15523</v>
      </c>
      <c r="I463" t="s">
        <v>15985</v>
      </c>
      <c r="K463" t="e">
        <v>#N/A</v>
      </c>
      <c r="S463" s="3"/>
    </row>
    <row r="464" spans="1:19" x14ac:dyDescent="0.25">
      <c r="A464" t="s">
        <v>2198</v>
      </c>
      <c r="B464" t="s">
        <v>2199</v>
      </c>
      <c r="C464" t="s">
        <v>2200</v>
      </c>
      <c r="D464" t="s">
        <v>23</v>
      </c>
      <c r="E464">
        <v>3012</v>
      </c>
      <c r="F464" s="3">
        <v>41769</v>
      </c>
      <c r="H464" t="s">
        <v>15523</v>
      </c>
      <c r="I464" t="s">
        <v>15986</v>
      </c>
      <c r="K464" t="e">
        <v>#N/A</v>
      </c>
      <c r="S464" s="3"/>
    </row>
    <row r="465" spans="1:19" x14ac:dyDescent="0.25">
      <c r="A465" t="s">
        <v>2201</v>
      </c>
      <c r="B465" t="s">
        <v>2202</v>
      </c>
      <c r="C465" t="s">
        <v>2203</v>
      </c>
      <c r="D465" t="s">
        <v>23</v>
      </c>
      <c r="E465">
        <v>3013</v>
      </c>
      <c r="F465" s="3">
        <v>41769</v>
      </c>
      <c r="H465" t="s">
        <v>15523</v>
      </c>
      <c r="I465" t="s">
        <v>15987</v>
      </c>
      <c r="K465" t="e">
        <v>#N/A</v>
      </c>
      <c r="S465" s="3"/>
    </row>
    <row r="466" spans="1:19" x14ac:dyDescent="0.25">
      <c r="A466" t="s">
        <v>2204</v>
      </c>
      <c r="B466" t="s">
        <v>2205</v>
      </c>
      <c r="C466" t="s">
        <v>2206</v>
      </c>
      <c r="D466" t="s">
        <v>23</v>
      </c>
      <c r="E466">
        <v>3014</v>
      </c>
      <c r="F466" s="3">
        <v>41769</v>
      </c>
      <c r="H466" t="s">
        <v>15523</v>
      </c>
      <c r="I466" t="s">
        <v>15988</v>
      </c>
      <c r="K466" t="e">
        <v>#N/A</v>
      </c>
      <c r="S466" s="3"/>
    </row>
    <row r="467" spans="1:19" x14ac:dyDescent="0.25">
      <c r="A467" t="s">
        <v>2207</v>
      </c>
      <c r="B467" t="s">
        <v>2208</v>
      </c>
      <c r="C467" t="s">
        <v>2209</v>
      </c>
      <c r="D467" t="s">
        <v>23</v>
      </c>
      <c r="E467">
        <v>175</v>
      </c>
      <c r="F467" s="3">
        <v>40702</v>
      </c>
      <c r="H467" t="s">
        <v>15523</v>
      </c>
      <c r="I467" t="s">
        <v>15989</v>
      </c>
      <c r="K467" t="e">
        <v>#N/A</v>
      </c>
      <c r="S467" s="3"/>
    </row>
    <row r="468" spans="1:19" x14ac:dyDescent="0.25">
      <c r="A468" t="s">
        <v>2210</v>
      </c>
      <c r="B468" t="s">
        <v>2211</v>
      </c>
      <c r="C468" t="s">
        <v>2212</v>
      </c>
      <c r="D468" t="s">
        <v>23</v>
      </c>
      <c r="E468">
        <v>3015</v>
      </c>
      <c r="F468" s="3">
        <v>41769</v>
      </c>
      <c r="H468" t="s">
        <v>15523</v>
      </c>
      <c r="I468" t="s">
        <v>15990</v>
      </c>
      <c r="K468" t="e">
        <v>#N/A</v>
      </c>
      <c r="S468" s="3"/>
    </row>
    <row r="469" spans="1:19" x14ac:dyDescent="0.25">
      <c r="A469" t="s">
        <v>2213</v>
      </c>
      <c r="B469" t="s">
        <v>2214</v>
      </c>
      <c r="C469" t="s">
        <v>2215</v>
      </c>
      <c r="D469" t="s">
        <v>23</v>
      </c>
      <c r="E469">
        <v>2357</v>
      </c>
      <c r="F469" s="3">
        <v>41461</v>
      </c>
      <c r="H469" t="s">
        <v>15523</v>
      </c>
      <c r="I469" t="s">
        <v>15991</v>
      </c>
      <c r="K469" t="e">
        <v>#N/A</v>
      </c>
      <c r="S469" s="3"/>
    </row>
    <row r="470" spans="1:19" x14ac:dyDescent="0.25">
      <c r="A470" t="s">
        <v>2216</v>
      </c>
      <c r="B470" t="s">
        <v>2217</v>
      </c>
      <c r="C470" t="s">
        <v>2218</v>
      </c>
      <c r="D470" t="s">
        <v>23</v>
      </c>
      <c r="E470">
        <v>176</v>
      </c>
      <c r="F470" s="3">
        <v>40702</v>
      </c>
      <c r="H470" t="s">
        <v>15523</v>
      </c>
      <c r="I470" t="s">
        <v>15992</v>
      </c>
      <c r="K470" t="e">
        <v>#N/A</v>
      </c>
      <c r="S470" s="3"/>
    </row>
    <row r="471" spans="1:19" x14ac:dyDescent="0.25">
      <c r="A471" t="s">
        <v>2219</v>
      </c>
      <c r="B471" t="s">
        <v>2220</v>
      </c>
      <c r="C471" t="s">
        <v>2221</v>
      </c>
      <c r="D471" t="s">
        <v>23</v>
      </c>
      <c r="E471">
        <v>177</v>
      </c>
      <c r="F471" s="3">
        <v>40702</v>
      </c>
      <c r="H471" t="s">
        <v>15523</v>
      </c>
      <c r="I471" t="s">
        <v>15993</v>
      </c>
      <c r="K471" t="e">
        <v>#N/A</v>
      </c>
      <c r="S471" s="3"/>
    </row>
    <row r="472" spans="1:19" x14ac:dyDescent="0.25">
      <c r="A472" t="s">
        <v>2222</v>
      </c>
      <c r="B472" t="s">
        <v>2223</v>
      </c>
      <c r="C472" t="s">
        <v>2224</v>
      </c>
      <c r="D472" t="s">
        <v>23</v>
      </c>
      <c r="E472">
        <v>5130</v>
      </c>
      <c r="F472" s="3">
        <v>41860</v>
      </c>
      <c r="H472" t="s">
        <v>15523</v>
      </c>
      <c r="I472" t="s">
        <v>15994</v>
      </c>
      <c r="K472" t="e">
        <v>#N/A</v>
      </c>
      <c r="S472" s="3"/>
    </row>
    <row r="473" spans="1:19" x14ac:dyDescent="0.25">
      <c r="A473" t="s">
        <v>2225</v>
      </c>
      <c r="B473" t="s">
        <v>2226</v>
      </c>
      <c r="C473" t="s">
        <v>2227</v>
      </c>
      <c r="D473" t="s">
        <v>23</v>
      </c>
      <c r="E473">
        <v>5133</v>
      </c>
      <c r="F473" s="3">
        <v>41895</v>
      </c>
      <c r="H473" t="s">
        <v>15523</v>
      </c>
      <c r="I473" t="s">
        <v>15995</v>
      </c>
      <c r="K473" t="e">
        <v>#N/A</v>
      </c>
      <c r="S473" s="3"/>
    </row>
    <row r="474" spans="1:19" x14ac:dyDescent="0.25">
      <c r="A474" t="s">
        <v>2228</v>
      </c>
      <c r="B474" t="s">
        <v>2229</v>
      </c>
      <c r="C474" t="s">
        <v>2230</v>
      </c>
      <c r="D474" t="s">
        <v>23</v>
      </c>
      <c r="E474">
        <v>3017</v>
      </c>
      <c r="F474" s="3">
        <v>41769</v>
      </c>
      <c r="H474" t="s">
        <v>15523</v>
      </c>
      <c r="I474" t="s">
        <v>15996</v>
      </c>
      <c r="K474" t="e">
        <v>#N/A</v>
      </c>
      <c r="S474" s="3"/>
    </row>
    <row r="475" spans="1:19" x14ac:dyDescent="0.25">
      <c r="A475" t="s">
        <v>2231</v>
      </c>
      <c r="B475" t="s">
        <v>2232</v>
      </c>
      <c r="C475" t="s">
        <v>2233</v>
      </c>
      <c r="D475" t="s">
        <v>23</v>
      </c>
      <c r="E475">
        <v>184</v>
      </c>
      <c r="F475" s="3">
        <v>41769</v>
      </c>
      <c r="H475" t="s">
        <v>15523</v>
      </c>
      <c r="I475" t="s">
        <v>15997</v>
      </c>
      <c r="K475" t="e">
        <v>#N/A</v>
      </c>
      <c r="S475" s="3"/>
    </row>
    <row r="476" spans="1:19" x14ac:dyDescent="0.25">
      <c r="A476" t="s">
        <v>2234</v>
      </c>
      <c r="B476" t="s">
        <v>2235</v>
      </c>
      <c r="C476" s="3">
        <v>634430</v>
      </c>
      <c r="D476" t="s">
        <v>23</v>
      </c>
      <c r="E476">
        <v>3016</v>
      </c>
      <c r="F476" s="3">
        <v>41769</v>
      </c>
      <c r="H476" t="s">
        <v>15523</v>
      </c>
      <c r="I476" t="s">
        <v>15998</v>
      </c>
      <c r="K476" t="e">
        <v>#N/A</v>
      </c>
      <c r="P476" s="3"/>
      <c r="S476" s="3"/>
    </row>
    <row r="477" spans="1:19" x14ac:dyDescent="0.25">
      <c r="A477" t="s">
        <v>2237</v>
      </c>
      <c r="B477" t="s">
        <v>2238</v>
      </c>
      <c r="C477" t="s">
        <v>2239</v>
      </c>
      <c r="D477" t="s">
        <v>23</v>
      </c>
      <c r="E477">
        <v>3018</v>
      </c>
      <c r="F477" s="3">
        <v>41769</v>
      </c>
      <c r="H477" t="s">
        <v>15523</v>
      </c>
      <c r="I477" t="s">
        <v>15999</v>
      </c>
      <c r="K477" t="e">
        <v>#N/A</v>
      </c>
      <c r="S477" s="3"/>
    </row>
    <row r="478" spans="1:19" x14ac:dyDescent="0.25">
      <c r="A478" t="s">
        <v>2240</v>
      </c>
      <c r="B478" t="s">
        <v>2241</v>
      </c>
      <c r="C478" t="s">
        <v>2242</v>
      </c>
      <c r="D478" t="s">
        <v>23</v>
      </c>
      <c r="E478">
        <v>5610</v>
      </c>
      <c r="F478" s="3">
        <v>42529</v>
      </c>
      <c r="H478" t="s">
        <v>15523</v>
      </c>
      <c r="I478" t="s">
        <v>16000</v>
      </c>
      <c r="K478" t="e">
        <v>#N/A</v>
      </c>
      <c r="S478" s="3"/>
    </row>
    <row r="479" spans="1:19" x14ac:dyDescent="0.25">
      <c r="A479" t="s">
        <v>2243</v>
      </c>
      <c r="B479" t="s">
        <v>2244</v>
      </c>
      <c r="C479" t="s">
        <v>2245</v>
      </c>
      <c r="D479" t="s">
        <v>23</v>
      </c>
      <c r="E479">
        <v>178</v>
      </c>
      <c r="F479" s="3">
        <v>40702</v>
      </c>
      <c r="H479" t="s">
        <v>15523</v>
      </c>
      <c r="I479" t="s">
        <v>16001</v>
      </c>
      <c r="K479" t="e">
        <v>#N/A</v>
      </c>
      <c r="S479" s="3"/>
    </row>
    <row r="480" spans="1:19" x14ac:dyDescent="0.25">
      <c r="A480" t="s">
        <v>2246</v>
      </c>
      <c r="B480" t="s">
        <v>2247</v>
      </c>
      <c r="C480" t="s">
        <v>2248</v>
      </c>
      <c r="D480" t="s">
        <v>23</v>
      </c>
      <c r="E480">
        <v>4971</v>
      </c>
      <c r="F480" s="3">
        <v>41660</v>
      </c>
      <c r="H480" t="s">
        <v>15523</v>
      </c>
      <c r="I480" t="s">
        <v>16002</v>
      </c>
      <c r="K480" t="e">
        <v>#N/A</v>
      </c>
      <c r="S480" s="3"/>
    </row>
    <row r="481" spans="1:19" x14ac:dyDescent="0.25">
      <c r="A481" t="s">
        <v>2249</v>
      </c>
      <c r="B481" t="s">
        <v>2250</v>
      </c>
      <c r="C481" t="s">
        <v>2251</v>
      </c>
      <c r="D481" t="s">
        <v>23</v>
      </c>
      <c r="E481">
        <v>179</v>
      </c>
      <c r="F481" s="3">
        <v>40702</v>
      </c>
      <c r="H481" t="s">
        <v>15523</v>
      </c>
      <c r="I481" t="s">
        <v>16003</v>
      </c>
      <c r="K481" t="e">
        <v>#N/A</v>
      </c>
      <c r="S481" s="3"/>
    </row>
    <row r="482" spans="1:19" x14ac:dyDescent="0.25">
      <c r="A482" t="s">
        <v>2252</v>
      </c>
      <c r="B482" t="s">
        <v>2253</v>
      </c>
      <c r="C482" t="s">
        <v>2254</v>
      </c>
      <c r="D482" t="s">
        <v>23</v>
      </c>
      <c r="E482">
        <v>180</v>
      </c>
      <c r="F482" s="3">
        <v>40702</v>
      </c>
      <c r="H482" t="s">
        <v>15523</v>
      </c>
      <c r="I482" t="s">
        <v>16004</v>
      </c>
      <c r="K482" t="e">
        <v>#N/A</v>
      </c>
      <c r="S482" s="3"/>
    </row>
    <row r="483" spans="1:19" x14ac:dyDescent="0.25">
      <c r="A483" t="s">
        <v>2255</v>
      </c>
      <c r="B483" t="s">
        <v>2256</v>
      </c>
      <c r="C483" t="s">
        <v>2257</v>
      </c>
      <c r="D483" t="s">
        <v>23</v>
      </c>
      <c r="E483">
        <v>182</v>
      </c>
      <c r="F483" s="3">
        <v>40702</v>
      </c>
      <c r="H483" t="s">
        <v>15523</v>
      </c>
      <c r="I483" t="s">
        <v>16005</v>
      </c>
      <c r="K483" t="e">
        <v>#N/A</v>
      </c>
      <c r="S483" s="3"/>
    </row>
    <row r="484" spans="1:19" x14ac:dyDescent="0.25">
      <c r="A484" t="s">
        <v>2258</v>
      </c>
      <c r="B484" t="s">
        <v>2259</v>
      </c>
      <c r="C484" t="s">
        <v>2260</v>
      </c>
      <c r="D484" t="s">
        <v>23</v>
      </c>
      <c r="E484">
        <v>1743</v>
      </c>
      <c r="F484" s="3">
        <v>41461</v>
      </c>
      <c r="H484" t="s">
        <v>15523</v>
      </c>
      <c r="I484" t="s">
        <v>16006</v>
      </c>
      <c r="K484" t="e">
        <v>#N/A</v>
      </c>
      <c r="S484" s="3"/>
    </row>
    <row r="485" spans="1:19" x14ac:dyDescent="0.25">
      <c r="A485" t="s">
        <v>2261</v>
      </c>
      <c r="B485" t="s">
        <v>2262</v>
      </c>
      <c r="C485" t="s">
        <v>2263</v>
      </c>
      <c r="D485" t="s">
        <v>23</v>
      </c>
      <c r="E485">
        <v>3019</v>
      </c>
      <c r="F485" s="3">
        <v>41769</v>
      </c>
      <c r="H485" t="s">
        <v>15523</v>
      </c>
      <c r="I485" t="s">
        <v>16007</v>
      </c>
      <c r="K485" t="e">
        <v>#N/A</v>
      </c>
      <c r="S485" s="3"/>
    </row>
    <row r="486" spans="1:19" x14ac:dyDescent="0.25">
      <c r="A486" t="s">
        <v>2264</v>
      </c>
      <c r="B486" t="s">
        <v>2265</v>
      </c>
      <c r="C486" t="s">
        <v>2266</v>
      </c>
      <c r="D486" t="s">
        <v>23</v>
      </c>
      <c r="E486">
        <v>188</v>
      </c>
      <c r="F486" s="3">
        <v>41769</v>
      </c>
      <c r="H486" t="s">
        <v>15523</v>
      </c>
      <c r="I486" t="s">
        <v>16008</v>
      </c>
      <c r="K486" t="e">
        <v>#N/A</v>
      </c>
      <c r="S486" s="3"/>
    </row>
    <row r="487" spans="1:19" x14ac:dyDescent="0.25">
      <c r="A487" t="s">
        <v>2267</v>
      </c>
      <c r="B487" t="s">
        <v>2268</v>
      </c>
      <c r="C487" t="s">
        <v>2269</v>
      </c>
      <c r="D487" t="s">
        <v>23</v>
      </c>
      <c r="E487">
        <v>3020</v>
      </c>
      <c r="F487" s="3">
        <v>41769</v>
      </c>
      <c r="H487" t="s">
        <v>15523</v>
      </c>
      <c r="I487" t="s">
        <v>16009</v>
      </c>
      <c r="K487" t="e">
        <v>#N/A</v>
      </c>
      <c r="S487" s="3"/>
    </row>
    <row r="488" spans="1:19" x14ac:dyDescent="0.25">
      <c r="A488" t="s">
        <v>2270</v>
      </c>
      <c r="B488" t="s">
        <v>2271</v>
      </c>
      <c r="C488" t="s">
        <v>2272</v>
      </c>
      <c r="D488" t="s">
        <v>23</v>
      </c>
      <c r="E488">
        <v>5586</v>
      </c>
      <c r="F488" s="3">
        <v>42469</v>
      </c>
      <c r="H488" t="s">
        <v>15523</v>
      </c>
      <c r="I488" t="s">
        <v>16010</v>
      </c>
      <c r="K488" t="e">
        <v>#N/A</v>
      </c>
      <c r="S488" s="3"/>
    </row>
    <row r="489" spans="1:19" x14ac:dyDescent="0.25">
      <c r="A489" t="s">
        <v>2273</v>
      </c>
      <c r="B489" t="s">
        <v>2274</v>
      </c>
      <c r="C489" t="s">
        <v>2275</v>
      </c>
      <c r="D489" t="s">
        <v>23</v>
      </c>
      <c r="E489">
        <v>185</v>
      </c>
      <c r="F489" s="3">
        <v>40702</v>
      </c>
      <c r="H489" t="s">
        <v>15523</v>
      </c>
      <c r="I489" t="s">
        <v>16011</v>
      </c>
      <c r="K489" t="e">
        <v>#N/A</v>
      </c>
      <c r="S489" s="3"/>
    </row>
    <row r="490" spans="1:19" x14ac:dyDescent="0.25">
      <c r="A490" t="s">
        <v>2276</v>
      </c>
      <c r="B490" t="s">
        <v>2277</v>
      </c>
      <c r="C490" t="s">
        <v>2278</v>
      </c>
      <c r="D490" t="s">
        <v>23</v>
      </c>
      <c r="E490">
        <v>186</v>
      </c>
      <c r="F490" s="3">
        <v>40702</v>
      </c>
      <c r="H490" t="s">
        <v>15523</v>
      </c>
      <c r="I490" t="s">
        <v>16012</v>
      </c>
      <c r="K490" t="e">
        <v>#N/A</v>
      </c>
      <c r="S490" s="3"/>
    </row>
    <row r="491" spans="1:19" x14ac:dyDescent="0.25">
      <c r="A491" t="s">
        <v>2279</v>
      </c>
      <c r="B491" t="s">
        <v>2280</v>
      </c>
      <c r="C491" t="s">
        <v>2281</v>
      </c>
      <c r="D491" t="s">
        <v>23</v>
      </c>
      <c r="E491">
        <v>3021</v>
      </c>
      <c r="F491" s="3">
        <v>41769</v>
      </c>
      <c r="H491" t="s">
        <v>15523</v>
      </c>
      <c r="I491" t="s">
        <v>16013</v>
      </c>
      <c r="K491" t="e">
        <v>#N/A</v>
      </c>
      <c r="S491" s="3"/>
    </row>
    <row r="492" spans="1:19" x14ac:dyDescent="0.25">
      <c r="A492" t="s">
        <v>2282</v>
      </c>
      <c r="B492" t="s">
        <v>2283</v>
      </c>
      <c r="C492" t="s">
        <v>2284</v>
      </c>
      <c r="D492" t="s">
        <v>23</v>
      </c>
      <c r="E492">
        <v>1744</v>
      </c>
      <c r="F492" s="3">
        <v>43803</v>
      </c>
      <c r="H492" t="s">
        <v>15523</v>
      </c>
      <c r="I492" t="s">
        <v>16014</v>
      </c>
      <c r="K492" t="e">
        <v>#N/A</v>
      </c>
      <c r="S492" s="3"/>
    </row>
    <row r="493" spans="1:19" x14ac:dyDescent="0.25">
      <c r="A493" t="s">
        <v>2285</v>
      </c>
      <c r="B493" t="s">
        <v>2286</v>
      </c>
      <c r="C493" t="s">
        <v>2287</v>
      </c>
      <c r="D493" t="s">
        <v>23</v>
      </c>
      <c r="E493">
        <v>5216</v>
      </c>
      <c r="F493" s="3">
        <v>42035</v>
      </c>
      <c r="H493" t="s">
        <v>15523</v>
      </c>
      <c r="I493" t="s">
        <v>16015</v>
      </c>
      <c r="K493" t="e">
        <v>#N/A</v>
      </c>
      <c r="S493" s="3"/>
    </row>
    <row r="494" spans="1:19" x14ac:dyDescent="0.25">
      <c r="A494" t="s">
        <v>2288</v>
      </c>
      <c r="B494" t="s">
        <v>2289</v>
      </c>
      <c r="C494" t="s">
        <v>2290</v>
      </c>
      <c r="D494" t="s">
        <v>23</v>
      </c>
      <c r="E494">
        <v>3022</v>
      </c>
      <c r="F494" s="3">
        <v>41769</v>
      </c>
      <c r="H494" t="s">
        <v>15523</v>
      </c>
      <c r="I494" t="s">
        <v>16016</v>
      </c>
      <c r="K494" t="e">
        <v>#N/A</v>
      </c>
      <c r="S494" s="3"/>
    </row>
    <row r="495" spans="1:19" x14ac:dyDescent="0.25">
      <c r="A495" t="s">
        <v>2291</v>
      </c>
      <c r="B495" t="s">
        <v>2292</v>
      </c>
      <c r="C495" t="s">
        <v>2293</v>
      </c>
      <c r="D495" t="s">
        <v>23</v>
      </c>
      <c r="E495">
        <v>4972</v>
      </c>
      <c r="F495" s="3">
        <v>41660</v>
      </c>
      <c r="H495" t="s">
        <v>15523</v>
      </c>
      <c r="I495" t="s">
        <v>16017</v>
      </c>
      <c r="K495" t="e">
        <v>#N/A</v>
      </c>
      <c r="S495" s="3"/>
    </row>
    <row r="496" spans="1:19" x14ac:dyDescent="0.25">
      <c r="A496" t="s">
        <v>2294</v>
      </c>
      <c r="B496" t="s">
        <v>2295</v>
      </c>
      <c r="C496" t="s">
        <v>2296</v>
      </c>
      <c r="D496" t="s">
        <v>23</v>
      </c>
      <c r="E496">
        <v>3023</v>
      </c>
      <c r="F496" s="3">
        <v>41769</v>
      </c>
      <c r="H496" t="s">
        <v>15523</v>
      </c>
      <c r="I496" t="s">
        <v>16018</v>
      </c>
      <c r="K496" t="e">
        <v>#N/A</v>
      </c>
      <c r="S496" s="3"/>
    </row>
    <row r="497" spans="1:19" x14ac:dyDescent="0.25">
      <c r="A497" t="s">
        <v>2297</v>
      </c>
      <c r="B497" t="s">
        <v>2298</v>
      </c>
      <c r="C497" t="s">
        <v>2299</v>
      </c>
      <c r="D497" t="s">
        <v>23</v>
      </c>
      <c r="E497">
        <v>504</v>
      </c>
      <c r="F497" s="3">
        <v>40702</v>
      </c>
      <c r="H497" t="s">
        <v>15523</v>
      </c>
      <c r="I497" t="s">
        <v>16019</v>
      </c>
      <c r="K497" t="e">
        <v>#N/A</v>
      </c>
      <c r="S497" s="3"/>
    </row>
    <row r="498" spans="1:19" x14ac:dyDescent="0.25">
      <c r="A498" t="s">
        <v>2300</v>
      </c>
      <c r="B498" t="s">
        <v>2301</v>
      </c>
      <c r="C498" t="s">
        <v>2302</v>
      </c>
      <c r="D498" t="s">
        <v>23</v>
      </c>
      <c r="E498">
        <v>3024</v>
      </c>
      <c r="F498" s="3">
        <v>41769</v>
      </c>
      <c r="H498" t="s">
        <v>15523</v>
      </c>
      <c r="I498" t="s">
        <v>16020</v>
      </c>
      <c r="K498" t="e">
        <v>#N/A</v>
      </c>
      <c r="S498" s="3"/>
    </row>
    <row r="499" spans="1:19" x14ac:dyDescent="0.25">
      <c r="A499" t="s">
        <v>2303</v>
      </c>
      <c r="B499" t="s">
        <v>2304</v>
      </c>
      <c r="C499" t="s">
        <v>2305</v>
      </c>
      <c r="D499" t="s">
        <v>23</v>
      </c>
      <c r="E499">
        <v>3025</v>
      </c>
      <c r="F499" s="3">
        <v>41769</v>
      </c>
      <c r="H499" t="s">
        <v>15523</v>
      </c>
      <c r="I499" t="s">
        <v>16021</v>
      </c>
      <c r="K499" t="e">
        <v>#N/A</v>
      </c>
      <c r="S499" s="3"/>
    </row>
    <row r="500" spans="1:19" x14ac:dyDescent="0.25">
      <c r="A500" t="s">
        <v>2306</v>
      </c>
      <c r="B500" t="s">
        <v>2307</v>
      </c>
      <c r="C500" t="s">
        <v>2308</v>
      </c>
      <c r="D500" t="s">
        <v>23</v>
      </c>
      <c r="E500">
        <v>3026</v>
      </c>
      <c r="F500" s="3">
        <v>41769</v>
      </c>
      <c r="H500" t="s">
        <v>15523</v>
      </c>
      <c r="I500" t="s">
        <v>16022</v>
      </c>
      <c r="K500" t="e">
        <v>#N/A</v>
      </c>
      <c r="S500" s="3"/>
    </row>
    <row r="501" spans="1:19" x14ac:dyDescent="0.25">
      <c r="A501" t="s">
        <v>2309</v>
      </c>
      <c r="B501" t="s">
        <v>2310</v>
      </c>
      <c r="C501" t="s">
        <v>2311</v>
      </c>
      <c r="D501" t="s">
        <v>23</v>
      </c>
      <c r="E501">
        <v>4973</v>
      </c>
      <c r="F501" s="3">
        <v>41660</v>
      </c>
      <c r="H501" t="s">
        <v>15523</v>
      </c>
      <c r="I501" t="s">
        <v>16023</v>
      </c>
      <c r="K501" t="e">
        <v>#N/A</v>
      </c>
      <c r="S501" s="3"/>
    </row>
    <row r="502" spans="1:19" x14ac:dyDescent="0.25">
      <c r="A502" t="s">
        <v>2312</v>
      </c>
      <c r="B502" t="s">
        <v>2313</v>
      </c>
      <c r="C502" t="s">
        <v>2314</v>
      </c>
      <c r="D502" t="s">
        <v>23</v>
      </c>
      <c r="E502">
        <v>3027</v>
      </c>
      <c r="F502" s="3">
        <v>41769</v>
      </c>
      <c r="H502" t="s">
        <v>15523</v>
      </c>
      <c r="I502" t="s">
        <v>16024</v>
      </c>
      <c r="K502" t="e">
        <v>#N/A</v>
      </c>
      <c r="S502" s="3"/>
    </row>
    <row r="503" spans="1:19" x14ac:dyDescent="0.25">
      <c r="A503" t="s">
        <v>2315</v>
      </c>
      <c r="B503" t="s">
        <v>2316</v>
      </c>
      <c r="C503" t="s">
        <v>2317</v>
      </c>
      <c r="D503" t="s">
        <v>23</v>
      </c>
      <c r="E503">
        <v>208</v>
      </c>
      <c r="F503" s="3">
        <v>40702</v>
      </c>
      <c r="H503" t="s">
        <v>15523</v>
      </c>
      <c r="I503" t="s">
        <v>16025</v>
      </c>
      <c r="K503" t="e">
        <v>#N/A</v>
      </c>
      <c r="S503" s="3"/>
    </row>
    <row r="504" spans="1:19" x14ac:dyDescent="0.25">
      <c r="A504" t="s">
        <v>2318</v>
      </c>
      <c r="B504" t="s">
        <v>2319</v>
      </c>
      <c r="C504" t="s">
        <v>2320</v>
      </c>
      <c r="D504" t="s">
        <v>23</v>
      </c>
      <c r="E504">
        <v>211</v>
      </c>
      <c r="F504" s="3">
        <v>41461</v>
      </c>
      <c r="H504" t="s">
        <v>15523</v>
      </c>
      <c r="I504" t="s">
        <v>16026</v>
      </c>
      <c r="K504" t="e">
        <v>#N/A</v>
      </c>
      <c r="S504" s="3"/>
    </row>
    <row r="505" spans="1:19" x14ac:dyDescent="0.25">
      <c r="A505" t="s">
        <v>2321</v>
      </c>
      <c r="B505" t="s">
        <v>2322</v>
      </c>
      <c r="C505" t="s">
        <v>2323</v>
      </c>
      <c r="D505" t="s">
        <v>23</v>
      </c>
      <c r="E505">
        <v>4974</v>
      </c>
      <c r="F505" s="3">
        <v>41660</v>
      </c>
      <c r="H505" t="s">
        <v>15523</v>
      </c>
      <c r="I505" t="s">
        <v>16027</v>
      </c>
      <c r="K505" t="e">
        <v>#N/A</v>
      </c>
      <c r="S505" s="3"/>
    </row>
    <row r="506" spans="1:19" x14ac:dyDescent="0.25">
      <c r="A506" t="s">
        <v>2324</v>
      </c>
      <c r="B506" t="s">
        <v>2325</v>
      </c>
      <c r="C506" t="s">
        <v>2326</v>
      </c>
      <c r="D506" t="s">
        <v>23</v>
      </c>
      <c r="E506">
        <v>210</v>
      </c>
      <c r="F506" s="3">
        <v>41461</v>
      </c>
      <c r="H506" t="s">
        <v>15523</v>
      </c>
      <c r="I506" t="s">
        <v>16028</v>
      </c>
      <c r="K506" t="e">
        <v>#N/A</v>
      </c>
      <c r="S506" s="3"/>
    </row>
    <row r="507" spans="1:19" x14ac:dyDescent="0.25">
      <c r="A507" t="s">
        <v>2327</v>
      </c>
      <c r="B507" t="s">
        <v>2328</v>
      </c>
      <c r="C507" t="s">
        <v>2329</v>
      </c>
      <c r="D507" t="s">
        <v>23</v>
      </c>
      <c r="E507">
        <v>209</v>
      </c>
      <c r="F507" s="3">
        <v>43803</v>
      </c>
      <c r="H507" t="s">
        <v>15523</v>
      </c>
      <c r="I507" t="s">
        <v>16029</v>
      </c>
      <c r="K507" t="e">
        <v>#N/A</v>
      </c>
      <c r="S507" s="3"/>
    </row>
    <row r="508" spans="1:19" x14ac:dyDescent="0.25">
      <c r="A508" t="s">
        <v>2330</v>
      </c>
      <c r="B508" t="s">
        <v>2331</v>
      </c>
      <c r="C508" t="s">
        <v>2332</v>
      </c>
      <c r="D508" t="s">
        <v>23</v>
      </c>
      <c r="E508">
        <v>3028</v>
      </c>
      <c r="F508" s="3">
        <v>41769</v>
      </c>
      <c r="H508" t="s">
        <v>15523</v>
      </c>
      <c r="I508" t="s">
        <v>16030</v>
      </c>
      <c r="K508" t="e">
        <v>#N/A</v>
      </c>
      <c r="S508" s="3"/>
    </row>
    <row r="509" spans="1:19" x14ac:dyDescent="0.25">
      <c r="A509" t="s">
        <v>2333</v>
      </c>
      <c r="B509" t="s">
        <v>2334</v>
      </c>
      <c r="C509" t="s">
        <v>2335</v>
      </c>
      <c r="D509" t="s">
        <v>23</v>
      </c>
      <c r="E509">
        <v>3029</v>
      </c>
      <c r="F509" s="3">
        <v>41769</v>
      </c>
      <c r="H509" t="s">
        <v>15523</v>
      </c>
      <c r="I509" t="s">
        <v>16031</v>
      </c>
      <c r="K509" t="e">
        <v>#N/A</v>
      </c>
      <c r="S509" s="3"/>
    </row>
    <row r="510" spans="1:19" x14ac:dyDescent="0.25">
      <c r="A510" t="s">
        <v>2336</v>
      </c>
      <c r="B510" t="s">
        <v>2337</v>
      </c>
      <c r="C510" t="s">
        <v>2338</v>
      </c>
      <c r="D510" t="s">
        <v>23</v>
      </c>
      <c r="E510">
        <v>212</v>
      </c>
      <c r="F510" s="3">
        <v>40702</v>
      </c>
      <c r="H510" t="s">
        <v>15523</v>
      </c>
      <c r="I510" t="s">
        <v>16032</v>
      </c>
      <c r="K510" t="e">
        <v>#N/A</v>
      </c>
      <c r="S510" s="3"/>
    </row>
    <row r="511" spans="1:19" x14ac:dyDescent="0.25">
      <c r="A511" t="s">
        <v>2339</v>
      </c>
      <c r="B511" t="s">
        <v>2340</v>
      </c>
      <c r="C511" t="s">
        <v>2341</v>
      </c>
      <c r="D511" t="s">
        <v>23</v>
      </c>
      <c r="E511">
        <v>5611</v>
      </c>
      <c r="F511" s="3">
        <v>42529</v>
      </c>
      <c r="H511" t="s">
        <v>15523</v>
      </c>
      <c r="I511" t="s">
        <v>16033</v>
      </c>
      <c r="K511" t="e">
        <v>#N/A</v>
      </c>
      <c r="S511" s="3"/>
    </row>
    <row r="512" spans="1:19" x14ac:dyDescent="0.25">
      <c r="A512" t="s">
        <v>2342</v>
      </c>
      <c r="B512" t="s">
        <v>2343</v>
      </c>
      <c r="C512" t="s">
        <v>2344</v>
      </c>
      <c r="D512" t="s">
        <v>23</v>
      </c>
      <c r="E512">
        <v>3030</v>
      </c>
      <c r="F512" s="3">
        <v>41769</v>
      </c>
      <c r="H512" t="s">
        <v>15523</v>
      </c>
      <c r="I512" t="s">
        <v>16034</v>
      </c>
      <c r="K512" t="e">
        <v>#N/A</v>
      </c>
      <c r="S512" s="3"/>
    </row>
    <row r="513" spans="1:19" x14ac:dyDescent="0.25">
      <c r="A513" t="s">
        <v>2345</v>
      </c>
      <c r="B513" t="s">
        <v>2346</v>
      </c>
      <c r="C513" t="s">
        <v>2347</v>
      </c>
      <c r="D513" t="s">
        <v>23</v>
      </c>
      <c r="E513">
        <v>201</v>
      </c>
      <c r="F513" s="3">
        <v>40702</v>
      </c>
      <c r="H513" t="s">
        <v>15523</v>
      </c>
      <c r="I513" t="s">
        <v>16035</v>
      </c>
      <c r="K513" t="e">
        <v>#N/A</v>
      </c>
      <c r="S513" s="3"/>
    </row>
    <row r="514" spans="1:19" x14ac:dyDescent="0.25">
      <c r="A514" t="s">
        <v>2348</v>
      </c>
      <c r="B514" t="s">
        <v>2349</v>
      </c>
      <c r="C514" t="s">
        <v>2350</v>
      </c>
      <c r="D514" t="s">
        <v>23</v>
      </c>
      <c r="E514">
        <v>202</v>
      </c>
      <c r="F514" s="3">
        <v>40702</v>
      </c>
      <c r="H514" t="s">
        <v>15523</v>
      </c>
      <c r="I514" t="s">
        <v>16036</v>
      </c>
      <c r="K514" t="e">
        <v>#N/A</v>
      </c>
      <c r="S514" s="3"/>
    </row>
    <row r="515" spans="1:19" x14ac:dyDescent="0.25">
      <c r="A515" t="s">
        <v>2351</v>
      </c>
      <c r="B515" t="s">
        <v>2352</v>
      </c>
      <c r="C515" t="s">
        <v>2353</v>
      </c>
      <c r="D515" t="s">
        <v>23</v>
      </c>
      <c r="E515">
        <v>3031</v>
      </c>
      <c r="F515" s="3">
        <v>41769</v>
      </c>
      <c r="H515" t="s">
        <v>15523</v>
      </c>
      <c r="I515" t="s">
        <v>16037</v>
      </c>
      <c r="K515" t="e">
        <v>#N/A</v>
      </c>
      <c r="S515" s="3"/>
    </row>
    <row r="516" spans="1:19" x14ac:dyDescent="0.25">
      <c r="A516" t="s">
        <v>2354</v>
      </c>
      <c r="B516" t="s">
        <v>2355</v>
      </c>
      <c r="C516" t="s">
        <v>2356</v>
      </c>
      <c r="D516" t="s">
        <v>23</v>
      </c>
      <c r="E516">
        <v>3032</v>
      </c>
      <c r="F516" s="3">
        <v>41769</v>
      </c>
      <c r="H516" t="s">
        <v>15523</v>
      </c>
      <c r="I516" t="s">
        <v>16038</v>
      </c>
      <c r="K516" t="e">
        <v>#N/A</v>
      </c>
      <c r="S516" s="3"/>
    </row>
    <row r="517" spans="1:19" x14ac:dyDescent="0.25">
      <c r="A517" t="s">
        <v>2357</v>
      </c>
      <c r="B517" t="s">
        <v>2358</v>
      </c>
      <c r="C517" t="s">
        <v>2359</v>
      </c>
      <c r="D517" t="s">
        <v>23</v>
      </c>
      <c r="E517">
        <v>3033</v>
      </c>
      <c r="F517" s="3">
        <v>41769</v>
      </c>
      <c r="H517" t="s">
        <v>15523</v>
      </c>
      <c r="I517" t="s">
        <v>16039</v>
      </c>
      <c r="K517" t="e">
        <v>#N/A</v>
      </c>
      <c r="S517" s="3"/>
    </row>
    <row r="518" spans="1:19" x14ac:dyDescent="0.25">
      <c r="A518" t="s">
        <v>2360</v>
      </c>
      <c r="B518" t="s">
        <v>2361</v>
      </c>
      <c r="C518" t="s">
        <v>2362</v>
      </c>
      <c r="D518" t="s">
        <v>23</v>
      </c>
      <c r="E518">
        <v>3034</v>
      </c>
      <c r="F518" s="3">
        <v>41769</v>
      </c>
      <c r="H518" t="s">
        <v>15523</v>
      </c>
      <c r="I518" t="s">
        <v>16040</v>
      </c>
      <c r="K518" t="e">
        <v>#N/A</v>
      </c>
      <c r="S518" s="3"/>
    </row>
    <row r="519" spans="1:19" x14ac:dyDescent="0.25">
      <c r="A519" t="s">
        <v>2363</v>
      </c>
      <c r="B519" t="s">
        <v>2364</v>
      </c>
      <c r="C519" t="s">
        <v>2365</v>
      </c>
      <c r="D519" t="s">
        <v>23</v>
      </c>
      <c r="E519">
        <v>3035</v>
      </c>
      <c r="F519" s="3">
        <v>41769</v>
      </c>
      <c r="H519" t="s">
        <v>15523</v>
      </c>
      <c r="I519" t="s">
        <v>16041</v>
      </c>
      <c r="K519" t="e">
        <v>#N/A</v>
      </c>
      <c r="S519" s="3"/>
    </row>
    <row r="520" spans="1:19" x14ac:dyDescent="0.25">
      <c r="A520" t="s">
        <v>2366</v>
      </c>
      <c r="B520" t="s">
        <v>2367</v>
      </c>
      <c r="C520" t="s">
        <v>2368</v>
      </c>
      <c r="D520" t="s">
        <v>23</v>
      </c>
      <c r="E520">
        <v>196</v>
      </c>
      <c r="F520" s="3">
        <v>40702</v>
      </c>
      <c r="H520" t="s">
        <v>15523</v>
      </c>
      <c r="I520" t="s">
        <v>16042</v>
      </c>
      <c r="K520" t="e">
        <v>#N/A</v>
      </c>
      <c r="S520" s="3"/>
    </row>
    <row r="521" spans="1:19" x14ac:dyDescent="0.25">
      <c r="A521" t="s">
        <v>2369</v>
      </c>
      <c r="B521" t="s">
        <v>2370</v>
      </c>
      <c r="C521" t="s">
        <v>2371</v>
      </c>
      <c r="D521" t="s">
        <v>23</v>
      </c>
      <c r="E521">
        <v>3036</v>
      </c>
      <c r="F521" s="3">
        <v>41769</v>
      </c>
      <c r="H521" t="s">
        <v>15523</v>
      </c>
      <c r="I521" t="s">
        <v>16043</v>
      </c>
      <c r="K521" t="e">
        <v>#N/A</v>
      </c>
      <c r="S521" s="3"/>
    </row>
    <row r="522" spans="1:19" x14ac:dyDescent="0.25">
      <c r="A522" t="s">
        <v>2372</v>
      </c>
      <c r="B522" t="s">
        <v>2373</v>
      </c>
      <c r="C522" t="s">
        <v>2374</v>
      </c>
      <c r="D522" t="s">
        <v>23</v>
      </c>
      <c r="E522">
        <v>3037</v>
      </c>
      <c r="F522" s="3">
        <v>41769</v>
      </c>
      <c r="H522" t="s">
        <v>15523</v>
      </c>
      <c r="I522" t="s">
        <v>16044</v>
      </c>
      <c r="K522" t="e">
        <v>#N/A</v>
      </c>
      <c r="S522" s="3"/>
    </row>
    <row r="523" spans="1:19" x14ac:dyDescent="0.25">
      <c r="A523" t="s">
        <v>2375</v>
      </c>
      <c r="B523" t="s">
        <v>2376</v>
      </c>
      <c r="C523" t="s">
        <v>2377</v>
      </c>
      <c r="D523" t="s">
        <v>23</v>
      </c>
      <c r="E523">
        <v>197</v>
      </c>
      <c r="F523" s="3">
        <v>40702</v>
      </c>
      <c r="H523" t="s">
        <v>15523</v>
      </c>
      <c r="I523" t="s">
        <v>16045</v>
      </c>
      <c r="K523" t="e">
        <v>#N/A</v>
      </c>
      <c r="S523" s="3"/>
    </row>
    <row r="524" spans="1:19" x14ac:dyDescent="0.25">
      <c r="A524" t="s">
        <v>2378</v>
      </c>
      <c r="B524" t="s">
        <v>2379</v>
      </c>
      <c r="C524" t="s">
        <v>2380</v>
      </c>
      <c r="D524" t="s">
        <v>23</v>
      </c>
      <c r="E524">
        <v>3038</v>
      </c>
      <c r="F524" s="3">
        <v>41769</v>
      </c>
      <c r="H524" t="s">
        <v>15523</v>
      </c>
      <c r="I524" t="s">
        <v>16046</v>
      </c>
      <c r="K524" t="e">
        <v>#N/A</v>
      </c>
      <c r="S524" s="3"/>
    </row>
    <row r="525" spans="1:19" x14ac:dyDescent="0.25">
      <c r="A525" t="s">
        <v>2381</v>
      </c>
      <c r="B525" t="s">
        <v>2382</v>
      </c>
      <c r="C525" t="s">
        <v>2383</v>
      </c>
      <c r="D525" t="s">
        <v>23</v>
      </c>
      <c r="E525">
        <v>194</v>
      </c>
      <c r="F525" s="3">
        <v>41769</v>
      </c>
      <c r="H525" t="s">
        <v>15523</v>
      </c>
      <c r="I525" t="s">
        <v>16047</v>
      </c>
      <c r="K525" t="e">
        <v>#N/A</v>
      </c>
      <c r="S525" s="3"/>
    </row>
    <row r="526" spans="1:19" x14ac:dyDescent="0.25">
      <c r="A526" t="s">
        <v>2384</v>
      </c>
      <c r="B526" t="s">
        <v>2385</v>
      </c>
      <c r="C526" t="s">
        <v>2386</v>
      </c>
      <c r="D526" t="s">
        <v>23</v>
      </c>
      <c r="E526">
        <v>198</v>
      </c>
      <c r="F526" s="3">
        <v>40702</v>
      </c>
      <c r="H526" t="s">
        <v>15523</v>
      </c>
      <c r="I526" t="s">
        <v>16048</v>
      </c>
      <c r="K526" t="e">
        <v>#N/A</v>
      </c>
      <c r="S526" s="3"/>
    </row>
    <row r="527" spans="1:19" x14ac:dyDescent="0.25">
      <c r="A527" t="s">
        <v>2387</v>
      </c>
      <c r="B527" t="s">
        <v>2388</v>
      </c>
      <c r="C527" t="s">
        <v>2389</v>
      </c>
      <c r="D527" t="s">
        <v>23</v>
      </c>
      <c r="E527">
        <v>3039</v>
      </c>
      <c r="F527" s="3">
        <v>41769</v>
      </c>
      <c r="H527" t="s">
        <v>15523</v>
      </c>
      <c r="I527" t="s">
        <v>16049</v>
      </c>
      <c r="K527" t="e">
        <v>#N/A</v>
      </c>
      <c r="S527" s="3"/>
    </row>
    <row r="528" spans="1:19" x14ac:dyDescent="0.25">
      <c r="A528" t="s">
        <v>2390</v>
      </c>
      <c r="B528" t="s">
        <v>2391</v>
      </c>
      <c r="C528" t="s">
        <v>2392</v>
      </c>
      <c r="D528" t="s">
        <v>23</v>
      </c>
      <c r="E528">
        <v>1144</v>
      </c>
      <c r="F528" s="3">
        <v>40702</v>
      </c>
      <c r="H528" t="s">
        <v>15523</v>
      </c>
      <c r="I528" t="s">
        <v>16050</v>
      </c>
      <c r="K528" t="e">
        <v>#N/A</v>
      </c>
      <c r="S528" s="3"/>
    </row>
    <row r="529" spans="1:19" x14ac:dyDescent="0.25">
      <c r="A529" t="s">
        <v>2393</v>
      </c>
      <c r="B529" t="s">
        <v>2394</v>
      </c>
      <c r="C529" t="s">
        <v>2395</v>
      </c>
      <c r="D529" t="s">
        <v>23</v>
      </c>
      <c r="E529">
        <v>4975</v>
      </c>
      <c r="F529" s="3">
        <v>41660</v>
      </c>
      <c r="H529" t="s">
        <v>15523</v>
      </c>
      <c r="I529" t="s">
        <v>16051</v>
      </c>
      <c r="K529" t="e">
        <v>#N/A</v>
      </c>
      <c r="S529" s="3"/>
    </row>
    <row r="530" spans="1:19" x14ac:dyDescent="0.25">
      <c r="A530" t="s">
        <v>2396</v>
      </c>
      <c r="B530" t="s">
        <v>2397</v>
      </c>
      <c r="C530" t="s">
        <v>2398</v>
      </c>
      <c r="D530" t="s">
        <v>23</v>
      </c>
      <c r="E530">
        <v>205</v>
      </c>
      <c r="F530" s="3">
        <v>40702</v>
      </c>
      <c r="H530" t="s">
        <v>15523</v>
      </c>
      <c r="I530" t="s">
        <v>16052</v>
      </c>
      <c r="K530" t="e">
        <v>#N/A</v>
      </c>
      <c r="S530" s="3"/>
    </row>
    <row r="531" spans="1:19" x14ac:dyDescent="0.25">
      <c r="A531" t="s">
        <v>2399</v>
      </c>
      <c r="B531" t="s">
        <v>2400</v>
      </c>
      <c r="C531" t="s">
        <v>2401</v>
      </c>
      <c r="D531" t="s">
        <v>23</v>
      </c>
      <c r="E531">
        <v>2333</v>
      </c>
      <c r="F531" s="3">
        <v>40702</v>
      </c>
      <c r="H531" t="s">
        <v>15523</v>
      </c>
      <c r="I531" t="s">
        <v>16053</v>
      </c>
      <c r="K531" t="e">
        <v>#N/A</v>
      </c>
      <c r="S531" s="3"/>
    </row>
    <row r="532" spans="1:19" x14ac:dyDescent="0.25">
      <c r="A532" t="s">
        <v>2402</v>
      </c>
      <c r="B532" t="s">
        <v>2403</v>
      </c>
      <c r="C532" t="s">
        <v>2404</v>
      </c>
      <c r="D532" t="s">
        <v>23</v>
      </c>
      <c r="E532">
        <v>213</v>
      </c>
      <c r="F532" s="3">
        <v>40702</v>
      </c>
      <c r="H532" t="s">
        <v>15523</v>
      </c>
      <c r="I532" t="s">
        <v>16054</v>
      </c>
      <c r="K532" t="e">
        <v>#N/A</v>
      </c>
      <c r="S532" s="3"/>
    </row>
    <row r="533" spans="1:19" x14ac:dyDescent="0.25">
      <c r="A533" t="s">
        <v>2405</v>
      </c>
      <c r="B533" t="s">
        <v>2406</v>
      </c>
      <c r="C533" t="s">
        <v>2407</v>
      </c>
      <c r="D533" t="s">
        <v>23</v>
      </c>
      <c r="E533">
        <v>3040</v>
      </c>
      <c r="F533" s="3">
        <v>41769</v>
      </c>
      <c r="H533" t="s">
        <v>15523</v>
      </c>
      <c r="I533" t="s">
        <v>16055</v>
      </c>
      <c r="K533" t="e">
        <v>#N/A</v>
      </c>
      <c r="S533" s="3"/>
    </row>
    <row r="534" spans="1:19" x14ac:dyDescent="0.25">
      <c r="A534" t="s">
        <v>2408</v>
      </c>
      <c r="B534" t="s">
        <v>2409</v>
      </c>
      <c r="C534" t="s">
        <v>2410</v>
      </c>
      <c r="D534" t="s">
        <v>23</v>
      </c>
      <c r="E534">
        <v>206</v>
      </c>
      <c r="F534" s="3">
        <v>41461</v>
      </c>
      <c r="H534" t="s">
        <v>15523</v>
      </c>
      <c r="I534" t="s">
        <v>16056</v>
      </c>
      <c r="K534" t="e">
        <v>#N/A</v>
      </c>
      <c r="S534" s="3"/>
    </row>
    <row r="535" spans="1:19" x14ac:dyDescent="0.25">
      <c r="A535" t="s">
        <v>2411</v>
      </c>
      <c r="B535" t="s">
        <v>2412</v>
      </c>
      <c r="C535" t="s">
        <v>2413</v>
      </c>
      <c r="D535" t="s">
        <v>23</v>
      </c>
      <c r="E535">
        <v>463</v>
      </c>
      <c r="F535" s="3">
        <v>40702</v>
      </c>
      <c r="H535" t="s">
        <v>15523</v>
      </c>
      <c r="I535" t="s">
        <v>16057</v>
      </c>
      <c r="K535" t="e">
        <v>#N/A</v>
      </c>
      <c r="S535" s="3"/>
    </row>
    <row r="536" spans="1:19" x14ac:dyDescent="0.25">
      <c r="A536" t="s">
        <v>2414</v>
      </c>
      <c r="B536" t="s">
        <v>2415</v>
      </c>
      <c r="C536" t="s">
        <v>2416</v>
      </c>
      <c r="D536" t="s">
        <v>23</v>
      </c>
      <c r="E536">
        <v>3041</v>
      </c>
      <c r="F536" s="3">
        <v>41769</v>
      </c>
      <c r="H536" t="s">
        <v>15523</v>
      </c>
      <c r="I536" t="s">
        <v>16058</v>
      </c>
      <c r="K536" t="e">
        <v>#N/A</v>
      </c>
      <c r="S536" s="3"/>
    </row>
    <row r="537" spans="1:19" x14ac:dyDescent="0.25">
      <c r="A537" t="s">
        <v>2417</v>
      </c>
      <c r="B537" t="s">
        <v>2418</v>
      </c>
      <c r="C537" t="s">
        <v>2419</v>
      </c>
      <c r="D537" t="s">
        <v>23</v>
      </c>
      <c r="E537">
        <v>3042</v>
      </c>
      <c r="F537" s="3">
        <v>41769</v>
      </c>
      <c r="H537" t="s">
        <v>15523</v>
      </c>
      <c r="I537" t="s">
        <v>16059</v>
      </c>
      <c r="K537" t="e">
        <v>#N/A</v>
      </c>
      <c r="S537" s="3"/>
    </row>
    <row r="538" spans="1:19" x14ac:dyDescent="0.25">
      <c r="A538" t="s">
        <v>2420</v>
      </c>
      <c r="B538" t="s">
        <v>2421</v>
      </c>
      <c r="C538" t="s">
        <v>2422</v>
      </c>
      <c r="D538" t="s">
        <v>23</v>
      </c>
      <c r="E538">
        <v>3043</v>
      </c>
      <c r="F538" s="3">
        <v>41769</v>
      </c>
      <c r="H538" t="s">
        <v>15523</v>
      </c>
      <c r="I538" t="s">
        <v>16060</v>
      </c>
      <c r="K538" t="e">
        <v>#N/A</v>
      </c>
      <c r="S538" s="3"/>
    </row>
    <row r="539" spans="1:19" x14ac:dyDescent="0.25">
      <c r="A539" t="s">
        <v>2423</v>
      </c>
      <c r="B539" t="s">
        <v>2424</v>
      </c>
      <c r="C539" t="s">
        <v>2425</v>
      </c>
      <c r="D539" t="s">
        <v>23</v>
      </c>
      <c r="E539">
        <v>3046</v>
      </c>
      <c r="F539" s="3">
        <v>41769</v>
      </c>
      <c r="H539" t="s">
        <v>15523</v>
      </c>
      <c r="I539" t="s">
        <v>16061</v>
      </c>
      <c r="K539" t="e">
        <v>#N/A</v>
      </c>
      <c r="S539" s="3"/>
    </row>
    <row r="540" spans="1:19" x14ac:dyDescent="0.25">
      <c r="A540" t="s">
        <v>2426</v>
      </c>
      <c r="B540" t="s">
        <v>2427</v>
      </c>
      <c r="C540" t="s">
        <v>2428</v>
      </c>
      <c r="D540" t="s">
        <v>23</v>
      </c>
      <c r="E540">
        <v>5537</v>
      </c>
      <c r="F540" s="3">
        <v>42357</v>
      </c>
      <c r="H540" t="s">
        <v>15523</v>
      </c>
      <c r="I540" t="s">
        <v>16062</v>
      </c>
      <c r="K540" t="e">
        <v>#N/A</v>
      </c>
      <c r="S540" s="3"/>
    </row>
    <row r="541" spans="1:19" x14ac:dyDescent="0.25">
      <c r="A541" t="s">
        <v>2429</v>
      </c>
      <c r="B541" t="s">
        <v>2430</v>
      </c>
      <c r="C541" t="s">
        <v>2431</v>
      </c>
      <c r="D541" t="s">
        <v>23</v>
      </c>
      <c r="E541">
        <v>3044</v>
      </c>
      <c r="F541" s="3">
        <v>41769</v>
      </c>
      <c r="H541" t="s">
        <v>15523</v>
      </c>
      <c r="I541" t="s">
        <v>16063</v>
      </c>
      <c r="K541" t="e">
        <v>#N/A</v>
      </c>
      <c r="S541" s="3"/>
    </row>
    <row r="542" spans="1:19" x14ac:dyDescent="0.25">
      <c r="A542" t="s">
        <v>2432</v>
      </c>
      <c r="B542" t="s">
        <v>2433</v>
      </c>
      <c r="C542" t="s">
        <v>2434</v>
      </c>
      <c r="D542" t="s">
        <v>23</v>
      </c>
      <c r="E542">
        <v>3045</v>
      </c>
      <c r="F542" s="3">
        <v>41769</v>
      </c>
      <c r="H542" t="s">
        <v>15523</v>
      </c>
      <c r="I542" t="s">
        <v>16064</v>
      </c>
      <c r="K542" t="e">
        <v>#N/A</v>
      </c>
      <c r="S542" s="3"/>
    </row>
    <row r="543" spans="1:19" x14ac:dyDescent="0.25">
      <c r="A543" t="s">
        <v>2435</v>
      </c>
      <c r="B543" t="s">
        <v>2436</v>
      </c>
      <c r="C543" t="s">
        <v>2437</v>
      </c>
      <c r="D543" t="s">
        <v>23</v>
      </c>
      <c r="E543">
        <v>3047</v>
      </c>
      <c r="F543" s="3">
        <v>41769</v>
      </c>
      <c r="H543" t="s">
        <v>15523</v>
      </c>
      <c r="I543" t="s">
        <v>16065</v>
      </c>
      <c r="K543" t="e">
        <v>#N/A</v>
      </c>
      <c r="S543" s="3"/>
    </row>
    <row r="544" spans="1:19" x14ac:dyDescent="0.25">
      <c r="A544" t="s">
        <v>2438</v>
      </c>
      <c r="B544" t="s">
        <v>2439</v>
      </c>
      <c r="C544" t="s">
        <v>2440</v>
      </c>
      <c r="D544" t="s">
        <v>23</v>
      </c>
      <c r="E544">
        <v>3048</v>
      </c>
      <c r="F544" s="3">
        <v>41769</v>
      </c>
      <c r="H544" t="s">
        <v>15523</v>
      </c>
      <c r="I544" t="s">
        <v>16066</v>
      </c>
      <c r="K544" t="e">
        <v>#N/A</v>
      </c>
      <c r="S544" s="3"/>
    </row>
    <row r="545" spans="1:19" x14ac:dyDescent="0.25">
      <c r="A545" t="s">
        <v>2441</v>
      </c>
      <c r="B545" t="s">
        <v>2442</v>
      </c>
      <c r="C545" t="s">
        <v>2443</v>
      </c>
      <c r="D545" t="s">
        <v>23</v>
      </c>
      <c r="E545">
        <v>215</v>
      </c>
      <c r="F545" s="3">
        <v>40703</v>
      </c>
      <c r="H545" t="s">
        <v>15523</v>
      </c>
      <c r="I545" t="s">
        <v>16067</v>
      </c>
      <c r="K545" t="e">
        <v>#N/A</v>
      </c>
      <c r="S545" s="3"/>
    </row>
    <row r="546" spans="1:19" x14ac:dyDescent="0.25">
      <c r="A546" t="s">
        <v>2444</v>
      </c>
      <c r="B546" t="s">
        <v>2445</v>
      </c>
      <c r="C546" t="s">
        <v>2446</v>
      </c>
      <c r="D546" t="s">
        <v>23</v>
      </c>
      <c r="E546">
        <v>216</v>
      </c>
      <c r="F546" s="3">
        <v>40702</v>
      </c>
      <c r="H546" t="s">
        <v>15523</v>
      </c>
      <c r="I546" t="s">
        <v>16068</v>
      </c>
      <c r="K546" t="e">
        <v>#N/A</v>
      </c>
      <c r="S546" s="3"/>
    </row>
    <row r="547" spans="1:19" x14ac:dyDescent="0.25">
      <c r="A547" t="s">
        <v>2447</v>
      </c>
      <c r="B547" t="s">
        <v>2448</v>
      </c>
      <c r="C547" t="s">
        <v>2449</v>
      </c>
      <c r="D547" t="s">
        <v>23</v>
      </c>
      <c r="E547">
        <v>217</v>
      </c>
      <c r="F547" s="3">
        <v>40702</v>
      </c>
      <c r="H547" t="s">
        <v>15523</v>
      </c>
      <c r="I547" t="s">
        <v>16069</v>
      </c>
      <c r="K547" t="e">
        <v>#N/A</v>
      </c>
      <c r="S547" s="3"/>
    </row>
    <row r="548" spans="1:19" x14ac:dyDescent="0.25">
      <c r="A548" t="s">
        <v>2450</v>
      </c>
      <c r="B548" t="s">
        <v>2451</v>
      </c>
      <c r="C548" t="s">
        <v>2452</v>
      </c>
      <c r="D548" t="s">
        <v>23</v>
      </c>
      <c r="E548">
        <v>3049</v>
      </c>
      <c r="F548" s="3">
        <v>43236</v>
      </c>
      <c r="H548" t="s">
        <v>15523</v>
      </c>
      <c r="I548" t="s">
        <v>16070</v>
      </c>
      <c r="K548" t="e">
        <v>#N/A</v>
      </c>
      <c r="S548" s="3"/>
    </row>
    <row r="549" spans="1:19" x14ac:dyDescent="0.25">
      <c r="A549" t="s">
        <v>2453</v>
      </c>
      <c r="B549" t="s">
        <v>2454</v>
      </c>
      <c r="C549" t="s">
        <v>2455</v>
      </c>
      <c r="D549" t="s">
        <v>23</v>
      </c>
      <c r="E549">
        <v>3050</v>
      </c>
      <c r="F549" s="3">
        <v>41769</v>
      </c>
      <c r="H549" t="s">
        <v>15523</v>
      </c>
      <c r="I549" t="s">
        <v>16071</v>
      </c>
      <c r="K549" t="e">
        <v>#N/A</v>
      </c>
      <c r="S549" s="3"/>
    </row>
    <row r="550" spans="1:19" x14ac:dyDescent="0.25">
      <c r="A550" t="s">
        <v>2456</v>
      </c>
      <c r="B550" t="s">
        <v>2457</v>
      </c>
      <c r="C550" t="s">
        <v>2458</v>
      </c>
      <c r="D550" t="s">
        <v>23</v>
      </c>
      <c r="E550">
        <v>3051</v>
      </c>
      <c r="F550" s="3">
        <v>41769</v>
      </c>
      <c r="H550" t="s">
        <v>15523</v>
      </c>
      <c r="I550" t="s">
        <v>16072</v>
      </c>
      <c r="K550" t="e">
        <v>#N/A</v>
      </c>
      <c r="S550" s="3"/>
    </row>
    <row r="551" spans="1:19" x14ac:dyDescent="0.25">
      <c r="A551" t="s">
        <v>2459</v>
      </c>
      <c r="B551" t="s">
        <v>2460</v>
      </c>
      <c r="C551" t="s">
        <v>2461</v>
      </c>
      <c r="D551" t="s">
        <v>23</v>
      </c>
      <c r="E551">
        <v>3052</v>
      </c>
      <c r="F551" s="3">
        <v>41769</v>
      </c>
      <c r="H551" t="s">
        <v>15523</v>
      </c>
      <c r="I551" t="s">
        <v>16073</v>
      </c>
      <c r="K551" t="e">
        <v>#N/A</v>
      </c>
      <c r="S551" s="3"/>
    </row>
    <row r="552" spans="1:19" x14ac:dyDescent="0.25">
      <c r="A552" t="s">
        <v>2462</v>
      </c>
      <c r="B552" t="s">
        <v>2463</v>
      </c>
      <c r="C552" t="s">
        <v>2464</v>
      </c>
      <c r="D552" t="s">
        <v>23</v>
      </c>
      <c r="E552">
        <v>3053</v>
      </c>
      <c r="F552" s="3">
        <v>41769</v>
      </c>
      <c r="H552" t="s">
        <v>15523</v>
      </c>
      <c r="I552" t="s">
        <v>16074</v>
      </c>
      <c r="K552" t="e">
        <v>#N/A</v>
      </c>
      <c r="S552" s="3"/>
    </row>
    <row r="553" spans="1:19" x14ac:dyDescent="0.25">
      <c r="A553" t="s">
        <v>2465</v>
      </c>
      <c r="B553" t="s">
        <v>2466</v>
      </c>
      <c r="C553" t="s">
        <v>2467</v>
      </c>
      <c r="D553" t="s">
        <v>23</v>
      </c>
      <c r="E553">
        <v>5322</v>
      </c>
      <c r="F553" s="3">
        <v>42208</v>
      </c>
      <c r="H553" t="s">
        <v>15523</v>
      </c>
      <c r="I553" t="s">
        <v>16075</v>
      </c>
      <c r="K553" t="e">
        <v>#N/A</v>
      </c>
      <c r="S553" s="3"/>
    </row>
    <row r="554" spans="1:19" x14ac:dyDescent="0.25">
      <c r="A554" t="s">
        <v>2468</v>
      </c>
      <c r="B554" t="s">
        <v>2469</v>
      </c>
      <c r="C554" t="s">
        <v>2470</v>
      </c>
      <c r="D554" t="s">
        <v>23</v>
      </c>
      <c r="E554">
        <v>5569</v>
      </c>
      <c r="F554" s="3">
        <v>42452</v>
      </c>
      <c r="H554" t="s">
        <v>15523</v>
      </c>
      <c r="I554" t="s">
        <v>16076</v>
      </c>
      <c r="K554" t="e">
        <v>#N/A</v>
      </c>
      <c r="S554" s="3"/>
    </row>
    <row r="555" spans="1:19" x14ac:dyDescent="0.25">
      <c r="A555" t="s">
        <v>2471</v>
      </c>
      <c r="B555" t="s">
        <v>2472</v>
      </c>
      <c r="C555" t="s">
        <v>2473</v>
      </c>
      <c r="D555" t="s">
        <v>23</v>
      </c>
      <c r="E555">
        <v>2410</v>
      </c>
      <c r="F555" s="3">
        <v>40702</v>
      </c>
      <c r="H555" t="s">
        <v>15523</v>
      </c>
      <c r="I555" t="s">
        <v>16077</v>
      </c>
      <c r="K555" t="e">
        <v>#N/A</v>
      </c>
      <c r="S555" s="3"/>
    </row>
    <row r="556" spans="1:19" x14ac:dyDescent="0.25">
      <c r="A556" t="s">
        <v>2474</v>
      </c>
      <c r="B556" t="s">
        <v>2475</v>
      </c>
      <c r="C556" t="s">
        <v>2476</v>
      </c>
      <c r="D556" t="s">
        <v>23</v>
      </c>
      <c r="E556">
        <v>3054</v>
      </c>
      <c r="F556" s="3">
        <v>41769</v>
      </c>
      <c r="H556" t="s">
        <v>15523</v>
      </c>
      <c r="I556" t="s">
        <v>16078</v>
      </c>
      <c r="K556" t="e">
        <v>#N/A</v>
      </c>
      <c r="S556" s="3"/>
    </row>
    <row r="557" spans="1:19" x14ac:dyDescent="0.25">
      <c r="A557" t="s">
        <v>2477</v>
      </c>
      <c r="B557" t="s">
        <v>2478</v>
      </c>
      <c r="C557" t="s">
        <v>2479</v>
      </c>
      <c r="D557" t="s">
        <v>23</v>
      </c>
      <c r="E557">
        <v>3055</v>
      </c>
      <c r="F557" s="3">
        <v>41769</v>
      </c>
      <c r="H557" t="s">
        <v>15523</v>
      </c>
      <c r="I557" t="s">
        <v>16079</v>
      </c>
      <c r="K557" t="e">
        <v>#N/A</v>
      </c>
      <c r="S557" s="3"/>
    </row>
    <row r="558" spans="1:19" x14ac:dyDescent="0.25">
      <c r="A558" t="s">
        <v>2480</v>
      </c>
      <c r="B558" t="s">
        <v>2481</v>
      </c>
      <c r="C558" t="s">
        <v>2482</v>
      </c>
      <c r="D558" t="s">
        <v>23</v>
      </c>
      <c r="E558">
        <v>3056</v>
      </c>
      <c r="F558" s="3">
        <v>41769</v>
      </c>
      <c r="H558" t="s">
        <v>15523</v>
      </c>
      <c r="I558" t="s">
        <v>16080</v>
      </c>
      <c r="K558" t="e">
        <v>#N/A</v>
      </c>
      <c r="S558" s="3"/>
    </row>
    <row r="559" spans="1:19" x14ac:dyDescent="0.25">
      <c r="A559" t="s">
        <v>2483</v>
      </c>
      <c r="B559" t="s">
        <v>2484</v>
      </c>
      <c r="C559" t="s">
        <v>2485</v>
      </c>
      <c r="D559" t="s">
        <v>23</v>
      </c>
      <c r="E559">
        <v>2334</v>
      </c>
      <c r="F559" s="3">
        <v>41461</v>
      </c>
      <c r="H559" t="s">
        <v>15523</v>
      </c>
      <c r="I559" t="s">
        <v>16081</v>
      </c>
      <c r="K559" t="e">
        <v>#N/A</v>
      </c>
      <c r="S559" s="3"/>
    </row>
    <row r="560" spans="1:19" x14ac:dyDescent="0.25">
      <c r="A560" t="s">
        <v>2486</v>
      </c>
      <c r="B560" t="s">
        <v>2487</v>
      </c>
      <c r="C560" t="s">
        <v>2488</v>
      </c>
      <c r="D560" t="s">
        <v>23</v>
      </c>
      <c r="E560">
        <v>3057</v>
      </c>
      <c r="F560" s="3">
        <v>41769</v>
      </c>
      <c r="H560" t="s">
        <v>15523</v>
      </c>
      <c r="I560" t="s">
        <v>16082</v>
      </c>
      <c r="K560" t="e">
        <v>#N/A</v>
      </c>
      <c r="S560" s="3"/>
    </row>
    <row r="561" spans="1:19" x14ac:dyDescent="0.25">
      <c r="A561" t="s">
        <v>2489</v>
      </c>
      <c r="B561" t="s">
        <v>2490</v>
      </c>
      <c r="C561" t="s">
        <v>2491</v>
      </c>
      <c r="D561" t="s">
        <v>23</v>
      </c>
      <c r="E561">
        <v>4976</v>
      </c>
      <c r="F561" s="3">
        <v>41660</v>
      </c>
      <c r="H561" t="s">
        <v>15523</v>
      </c>
      <c r="I561" t="s">
        <v>16083</v>
      </c>
      <c r="K561" t="e">
        <v>#N/A</v>
      </c>
      <c r="S561" s="3"/>
    </row>
    <row r="562" spans="1:19" x14ac:dyDescent="0.25">
      <c r="A562" t="s">
        <v>2492</v>
      </c>
      <c r="B562" t="s">
        <v>2493</v>
      </c>
      <c r="C562" t="s">
        <v>2494</v>
      </c>
      <c r="D562" t="s">
        <v>23</v>
      </c>
      <c r="E562">
        <v>6032</v>
      </c>
      <c r="F562" s="3">
        <v>43596</v>
      </c>
      <c r="H562" t="s">
        <v>15523</v>
      </c>
      <c r="I562" t="s">
        <v>16084</v>
      </c>
      <c r="K562" t="e">
        <v>#N/A</v>
      </c>
      <c r="S562" s="3"/>
    </row>
    <row r="563" spans="1:19" x14ac:dyDescent="0.25">
      <c r="A563" t="s">
        <v>2495</v>
      </c>
      <c r="B563" t="s">
        <v>2496</v>
      </c>
      <c r="C563" t="s">
        <v>2497</v>
      </c>
      <c r="D563" t="s">
        <v>23</v>
      </c>
      <c r="E563">
        <v>5733</v>
      </c>
      <c r="F563" s="3">
        <v>42741</v>
      </c>
      <c r="H563" t="s">
        <v>15523</v>
      </c>
      <c r="I563" t="s">
        <v>16085</v>
      </c>
      <c r="K563" t="e">
        <v>#N/A</v>
      </c>
      <c r="S563" s="3"/>
    </row>
    <row r="564" spans="1:19" x14ac:dyDescent="0.25">
      <c r="A564" t="s">
        <v>2498</v>
      </c>
      <c r="B564" t="s">
        <v>2499</v>
      </c>
      <c r="C564" t="s">
        <v>2500</v>
      </c>
      <c r="D564" t="s">
        <v>23</v>
      </c>
      <c r="E564">
        <v>1749</v>
      </c>
      <c r="F564" s="3">
        <v>41769</v>
      </c>
      <c r="H564" t="s">
        <v>15523</v>
      </c>
      <c r="I564" t="s">
        <v>16086</v>
      </c>
      <c r="K564" t="e">
        <v>#N/A</v>
      </c>
      <c r="S564" s="3"/>
    </row>
    <row r="565" spans="1:19" x14ac:dyDescent="0.25">
      <c r="A565" t="s">
        <v>2501</v>
      </c>
      <c r="B565" t="s">
        <v>2502</v>
      </c>
      <c r="C565" t="s">
        <v>2503</v>
      </c>
      <c r="D565" t="s">
        <v>23</v>
      </c>
      <c r="E565">
        <v>1175</v>
      </c>
      <c r="F565" s="3">
        <v>40702</v>
      </c>
      <c r="H565" t="s">
        <v>15523</v>
      </c>
      <c r="I565" t="s">
        <v>16087</v>
      </c>
      <c r="K565" t="e">
        <v>#N/A</v>
      </c>
      <c r="S565" s="3"/>
    </row>
    <row r="566" spans="1:19" x14ac:dyDescent="0.25">
      <c r="A566" t="s">
        <v>2504</v>
      </c>
      <c r="B566" t="s">
        <v>2505</v>
      </c>
      <c r="C566" t="s">
        <v>2506</v>
      </c>
      <c r="D566" t="s">
        <v>23</v>
      </c>
      <c r="E566">
        <v>3060</v>
      </c>
      <c r="F566" s="3">
        <v>41769</v>
      </c>
      <c r="H566" t="s">
        <v>15523</v>
      </c>
      <c r="I566" t="s">
        <v>16088</v>
      </c>
      <c r="K566" t="e">
        <v>#N/A</v>
      </c>
      <c r="S566" s="3"/>
    </row>
    <row r="567" spans="1:19" x14ac:dyDescent="0.25">
      <c r="A567" t="s">
        <v>2507</v>
      </c>
      <c r="B567" t="s">
        <v>2508</v>
      </c>
      <c r="C567" t="s">
        <v>2509</v>
      </c>
      <c r="D567" t="s">
        <v>23</v>
      </c>
      <c r="E567">
        <v>3061</v>
      </c>
      <c r="F567" s="3">
        <v>41769</v>
      </c>
      <c r="H567" t="s">
        <v>15523</v>
      </c>
      <c r="I567" t="s">
        <v>16089</v>
      </c>
      <c r="K567" t="e">
        <v>#N/A</v>
      </c>
      <c r="S567" s="3"/>
    </row>
    <row r="568" spans="1:19" x14ac:dyDescent="0.25">
      <c r="A568" t="s">
        <v>2510</v>
      </c>
      <c r="B568" t="s">
        <v>2511</v>
      </c>
      <c r="C568" t="s">
        <v>2512</v>
      </c>
      <c r="D568" t="s">
        <v>23</v>
      </c>
      <c r="E568">
        <v>3062</v>
      </c>
      <c r="F568" s="3">
        <v>41769</v>
      </c>
      <c r="H568" t="s">
        <v>15523</v>
      </c>
      <c r="I568" t="s">
        <v>16090</v>
      </c>
      <c r="K568" t="e">
        <v>#N/A</v>
      </c>
      <c r="S568" s="3"/>
    </row>
    <row r="569" spans="1:19" x14ac:dyDescent="0.25">
      <c r="A569" t="s">
        <v>2513</v>
      </c>
      <c r="B569" t="s">
        <v>2514</v>
      </c>
      <c r="C569" t="s">
        <v>2515</v>
      </c>
      <c r="D569" t="s">
        <v>23</v>
      </c>
      <c r="E569">
        <v>3063</v>
      </c>
      <c r="F569" s="3">
        <v>41769</v>
      </c>
      <c r="H569" t="s">
        <v>15523</v>
      </c>
      <c r="I569" t="s">
        <v>16091</v>
      </c>
      <c r="K569" t="e">
        <v>#N/A</v>
      </c>
      <c r="S569" s="3"/>
    </row>
    <row r="570" spans="1:19" x14ac:dyDescent="0.25">
      <c r="A570" t="s">
        <v>2516</v>
      </c>
      <c r="B570" t="s">
        <v>2517</v>
      </c>
      <c r="C570" t="s">
        <v>2518</v>
      </c>
      <c r="D570" t="s">
        <v>23</v>
      </c>
      <c r="E570">
        <v>3064</v>
      </c>
      <c r="F570" s="3">
        <v>41769</v>
      </c>
      <c r="H570" t="s">
        <v>15523</v>
      </c>
      <c r="I570" t="s">
        <v>16092</v>
      </c>
      <c r="K570" t="e">
        <v>#N/A</v>
      </c>
      <c r="S570" s="3"/>
    </row>
    <row r="571" spans="1:19" x14ac:dyDescent="0.25">
      <c r="A571" t="s">
        <v>2519</v>
      </c>
      <c r="B571" t="s">
        <v>2520</v>
      </c>
      <c r="C571" t="s">
        <v>2521</v>
      </c>
      <c r="D571" t="s">
        <v>23</v>
      </c>
      <c r="E571">
        <v>3065</v>
      </c>
      <c r="F571" s="3">
        <v>41769</v>
      </c>
      <c r="H571" t="s">
        <v>15523</v>
      </c>
      <c r="I571" t="s">
        <v>16093</v>
      </c>
      <c r="K571" t="e">
        <v>#N/A</v>
      </c>
      <c r="S571" s="3"/>
    </row>
    <row r="572" spans="1:19" x14ac:dyDescent="0.25">
      <c r="A572" t="s">
        <v>2522</v>
      </c>
      <c r="B572" t="s">
        <v>2523</v>
      </c>
      <c r="C572" t="s">
        <v>2524</v>
      </c>
      <c r="D572" t="s">
        <v>23</v>
      </c>
      <c r="E572">
        <v>3066</v>
      </c>
      <c r="F572" s="3">
        <v>41769</v>
      </c>
      <c r="H572" t="s">
        <v>15523</v>
      </c>
      <c r="I572" t="s">
        <v>16094</v>
      </c>
      <c r="K572" t="e">
        <v>#N/A</v>
      </c>
      <c r="S572" s="3"/>
    </row>
    <row r="573" spans="1:19" x14ac:dyDescent="0.25">
      <c r="A573" t="s">
        <v>2525</v>
      </c>
      <c r="B573" t="s">
        <v>2526</v>
      </c>
      <c r="C573" t="s">
        <v>2527</v>
      </c>
      <c r="D573" t="s">
        <v>23</v>
      </c>
      <c r="E573">
        <v>3067</v>
      </c>
      <c r="F573" s="3">
        <v>41769</v>
      </c>
      <c r="H573" t="s">
        <v>15523</v>
      </c>
      <c r="I573" t="s">
        <v>16095</v>
      </c>
      <c r="K573" t="e">
        <v>#N/A</v>
      </c>
      <c r="S573" s="3"/>
    </row>
    <row r="574" spans="1:19" x14ac:dyDescent="0.25">
      <c r="A574" t="s">
        <v>2528</v>
      </c>
      <c r="B574" t="s">
        <v>2529</v>
      </c>
      <c r="C574" t="s">
        <v>2530</v>
      </c>
      <c r="D574" t="s">
        <v>23</v>
      </c>
      <c r="E574">
        <v>4977</v>
      </c>
      <c r="F574" s="3">
        <v>41660</v>
      </c>
      <c r="H574" t="s">
        <v>15523</v>
      </c>
      <c r="I574" t="s">
        <v>16096</v>
      </c>
      <c r="K574" t="e">
        <v>#N/A</v>
      </c>
      <c r="S574" s="3"/>
    </row>
    <row r="575" spans="1:19" x14ac:dyDescent="0.25">
      <c r="A575" t="s">
        <v>2531</v>
      </c>
      <c r="B575" t="s">
        <v>2532</v>
      </c>
      <c r="C575" t="s">
        <v>2533</v>
      </c>
      <c r="D575" t="s">
        <v>23</v>
      </c>
      <c r="E575">
        <v>5283</v>
      </c>
      <c r="F575" s="3">
        <v>42082</v>
      </c>
      <c r="H575" t="s">
        <v>15523</v>
      </c>
      <c r="I575" t="s">
        <v>16097</v>
      </c>
      <c r="K575" t="e">
        <v>#N/A</v>
      </c>
      <c r="S575" s="3"/>
    </row>
    <row r="576" spans="1:19" x14ac:dyDescent="0.25">
      <c r="A576" t="s">
        <v>2534</v>
      </c>
      <c r="B576" t="s">
        <v>2535</v>
      </c>
      <c r="C576" t="s">
        <v>2536</v>
      </c>
      <c r="D576" t="s">
        <v>23</v>
      </c>
      <c r="E576">
        <v>3068</v>
      </c>
      <c r="F576" s="3">
        <v>41769</v>
      </c>
      <c r="H576" t="s">
        <v>15523</v>
      </c>
      <c r="I576" t="s">
        <v>16098</v>
      </c>
      <c r="K576" t="e">
        <v>#N/A</v>
      </c>
      <c r="S576" s="3"/>
    </row>
    <row r="577" spans="1:19" x14ac:dyDescent="0.25">
      <c r="A577" t="s">
        <v>2537</v>
      </c>
      <c r="B577" t="s">
        <v>2538</v>
      </c>
      <c r="C577" t="s">
        <v>2539</v>
      </c>
      <c r="D577" t="s">
        <v>23</v>
      </c>
      <c r="E577">
        <v>3069</v>
      </c>
      <c r="F577" s="3">
        <v>41769</v>
      </c>
      <c r="H577" t="s">
        <v>15523</v>
      </c>
      <c r="I577" t="s">
        <v>16099</v>
      </c>
      <c r="K577" t="e">
        <v>#N/A</v>
      </c>
      <c r="S577" s="3"/>
    </row>
    <row r="578" spans="1:19" x14ac:dyDescent="0.25">
      <c r="A578" t="s">
        <v>2540</v>
      </c>
      <c r="B578" t="s">
        <v>2541</v>
      </c>
      <c r="C578" t="s">
        <v>2542</v>
      </c>
      <c r="D578" t="s">
        <v>23</v>
      </c>
      <c r="E578">
        <v>230</v>
      </c>
      <c r="F578" s="3">
        <v>40702</v>
      </c>
      <c r="H578" t="s">
        <v>15523</v>
      </c>
      <c r="I578" t="s">
        <v>16100</v>
      </c>
      <c r="K578" t="e">
        <v>#N/A</v>
      </c>
      <c r="S578" s="3"/>
    </row>
    <row r="579" spans="1:19" x14ac:dyDescent="0.25">
      <c r="A579" t="s">
        <v>2543</v>
      </c>
      <c r="B579" t="s">
        <v>2544</v>
      </c>
      <c r="C579" t="s">
        <v>2545</v>
      </c>
      <c r="D579" t="s">
        <v>23</v>
      </c>
      <c r="E579">
        <v>232</v>
      </c>
      <c r="F579" s="3">
        <v>40702</v>
      </c>
      <c r="H579" t="s">
        <v>15523</v>
      </c>
      <c r="I579" t="s">
        <v>16101</v>
      </c>
      <c r="K579" t="e">
        <v>#N/A</v>
      </c>
      <c r="S579" s="3"/>
    </row>
    <row r="580" spans="1:19" x14ac:dyDescent="0.25">
      <c r="A580" t="s">
        <v>2546</v>
      </c>
      <c r="B580" t="s">
        <v>2547</v>
      </c>
      <c r="C580" t="s">
        <v>2548</v>
      </c>
      <c r="D580" t="s">
        <v>23</v>
      </c>
      <c r="E580">
        <v>3071</v>
      </c>
      <c r="F580" s="3">
        <v>41769</v>
      </c>
      <c r="H580" t="s">
        <v>15523</v>
      </c>
      <c r="I580" t="s">
        <v>16102</v>
      </c>
      <c r="K580" t="e">
        <v>#N/A</v>
      </c>
      <c r="S580" s="3"/>
    </row>
    <row r="581" spans="1:19" x14ac:dyDescent="0.25">
      <c r="A581" t="s">
        <v>2549</v>
      </c>
      <c r="B581" t="s">
        <v>2550</v>
      </c>
      <c r="C581" t="s">
        <v>2551</v>
      </c>
      <c r="D581" t="s">
        <v>23</v>
      </c>
      <c r="E581">
        <v>3072</v>
      </c>
      <c r="F581" s="3">
        <v>41769</v>
      </c>
      <c r="H581" t="s">
        <v>15523</v>
      </c>
      <c r="I581" t="s">
        <v>16103</v>
      </c>
      <c r="K581" t="e">
        <v>#N/A</v>
      </c>
      <c r="S581" s="3"/>
    </row>
    <row r="582" spans="1:19" x14ac:dyDescent="0.25">
      <c r="A582" t="s">
        <v>2552</v>
      </c>
      <c r="B582" t="s">
        <v>2553</v>
      </c>
      <c r="C582" t="s">
        <v>2554</v>
      </c>
      <c r="D582" t="s">
        <v>23</v>
      </c>
      <c r="E582">
        <v>3073</v>
      </c>
      <c r="F582" s="3">
        <v>41769</v>
      </c>
      <c r="H582" t="s">
        <v>15523</v>
      </c>
      <c r="I582" t="s">
        <v>16104</v>
      </c>
      <c r="K582" t="e">
        <v>#N/A</v>
      </c>
      <c r="S582" s="3"/>
    </row>
    <row r="583" spans="1:19" x14ac:dyDescent="0.25">
      <c r="A583" t="s">
        <v>2555</v>
      </c>
      <c r="B583" t="s">
        <v>2556</v>
      </c>
      <c r="C583" t="s">
        <v>2557</v>
      </c>
      <c r="D583" t="s">
        <v>23</v>
      </c>
      <c r="E583">
        <v>5634</v>
      </c>
      <c r="F583" s="3">
        <v>42647</v>
      </c>
      <c r="H583" t="s">
        <v>15523</v>
      </c>
      <c r="I583" t="s">
        <v>16105</v>
      </c>
      <c r="K583" t="e">
        <v>#N/A</v>
      </c>
      <c r="S583" s="3"/>
    </row>
    <row r="584" spans="1:19" x14ac:dyDescent="0.25">
      <c r="A584" t="s">
        <v>2558</v>
      </c>
      <c r="B584" t="s">
        <v>2559</v>
      </c>
      <c r="C584" t="s">
        <v>2560</v>
      </c>
      <c r="D584" t="s">
        <v>23</v>
      </c>
      <c r="E584">
        <v>2364</v>
      </c>
      <c r="F584" s="3">
        <v>40702</v>
      </c>
      <c r="H584" t="s">
        <v>15523</v>
      </c>
      <c r="I584" t="s">
        <v>16106</v>
      </c>
      <c r="K584" t="e">
        <v>#N/A</v>
      </c>
      <c r="S584" s="3"/>
    </row>
    <row r="585" spans="1:19" x14ac:dyDescent="0.25">
      <c r="A585" t="s">
        <v>2561</v>
      </c>
      <c r="B585" t="s">
        <v>2562</v>
      </c>
      <c r="C585" t="s">
        <v>2563</v>
      </c>
      <c r="D585" t="s">
        <v>23</v>
      </c>
      <c r="E585">
        <v>2412</v>
      </c>
      <c r="F585" s="3">
        <v>40702</v>
      </c>
      <c r="H585" t="s">
        <v>15523</v>
      </c>
      <c r="I585" t="s">
        <v>16107</v>
      </c>
      <c r="K585" t="e">
        <v>#N/A</v>
      </c>
      <c r="S585" s="3"/>
    </row>
    <row r="586" spans="1:19" x14ac:dyDescent="0.25">
      <c r="A586" t="s">
        <v>2564</v>
      </c>
      <c r="B586" t="s">
        <v>2565</v>
      </c>
      <c r="C586" t="s">
        <v>2566</v>
      </c>
      <c r="D586" t="s">
        <v>23</v>
      </c>
      <c r="E586">
        <v>3074</v>
      </c>
      <c r="F586" s="3">
        <v>41769</v>
      </c>
      <c r="H586" t="s">
        <v>15523</v>
      </c>
      <c r="I586" t="s">
        <v>16108</v>
      </c>
      <c r="K586" t="e">
        <v>#N/A</v>
      </c>
      <c r="S586" s="3"/>
    </row>
    <row r="587" spans="1:19" x14ac:dyDescent="0.25">
      <c r="A587" t="s">
        <v>2567</v>
      </c>
      <c r="B587" t="s">
        <v>2568</v>
      </c>
      <c r="C587" t="s">
        <v>2569</v>
      </c>
      <c r="D587" t="s">
        <v>23</v>
      </c>
      <c r="E587">
        <v>3075</v>
      </c>
      <c r="F587" s="3">
        <v>41769</v>
      </c>
      <c r="H587" t="s">
        <v>15523</v>
      </c>
      <c r="I587" t="s">
        <v>16109</v>
      </c>
      <c r="K587" t="e">
        <v>#N/A</v>
      </c>
      <c r="S587" s="3"/>
    </row>
    <row r="588" spans="1:19" x14ac:dyDescent="0.25">
      <c r="A588" t="s">
        <v>2570</v>
      </c>
      <c r="B588" t="s">
        <v>2571</v>
      </c>
      <c r="C588" t="s">
        <v>2572</v>
      </c>
      <c r="D588" t="s">
        <v>23</v>
      </c>
      <c r="E588">
        <v>224</v>
      </c>
      <c r="F588" s="3">
        <v>40702</v>
      </c>
      <c r="H588" t="s">
        <v>15523</v>
      </c>
      <c r="I588" t="s">
        <v>16110</v>
      </c>
      <c r="K588" t="e">
        <v>#N/A</v>
      </c>
      <c r="S588" s="3"/>
    </row>
    <row r="589" spans="1:19" x14ac:dyDescent="0.25">
      <c r="A589" t="s">
        <v>2573</v>
      </c>
      <c r="B589" t="s">
        <v>2574</v>
      </c>
      <c r="C589" t="s">
        <v>2575</v>
      </c>
      <c r="D589" t="s">
        <v>23</v>
      </c>
      <c r="E589">
        <v>3077</v>
      </c>
      <c r="F589" s="3">
        <v>41769</v>
      </c>
      <c r="H589" t="s">
        <v>15523</v>
      </c>
      <c r="I589" t="s">
        <v>16111</v>
      </c>
      <c r="K589" t="e">
        <v>#N/A</v>
      </c>
      <c r="S589" s="3"/>
    </row>
    <row r="590" spans="1:19" x14ac:dyDescent="0.25">
      <c r="A590" t="s">
        <v>2576</v>
      </c>
      <c r="B590" t="s">
        <v>2577</v>
      </c>
      <c r="C590" t="s">
        <v>2578</v>
      </c>
      <c r="D590" t="s">
        <v>23</v>
      </c>
      <c r="E590">
        <v>3079</v>
      </c>
      <c r="F590" s="3">
        <v>41769</v>
      </c>
      <c r="H590" t="s">
        <v>15523</v>
      </c>
      <c r="I590" t="s">
        <v>16112</v>
      </c>
      <c r="K590" t="e">
        <v>#N/A</v>
      </c>
      <c r="S590" s="3"/>
    </row>
    <row r="591" spans="1:19" x14ac:dyDescent="0.25">
      <c r="A591" t="s">
        <v>2579</v>
      </c>
      <c r="B591" t="s">
        <v>2580</v>
      </c>
      <c r="C591" t="s">
        <v>2581</v>
      </c>
      <c r="D591" t="s">
        <v>23</v>
      </c>
      <c r="E591">
        <v>3078</v>
      </c>
      <c r="F591" s="3">
        <v>41769</v>
      </c>
      <c r="H591" t="s">
        <v>15523</v>
      </c>
      <c r="I591" t="s">
        <v>16113</v>
      </c>
      <c r="K591" t="e">
        <v>#N/A</v>
      </c>
      <c r="S591" s="3"/>
    </row>
    <row r="592" spans="1:19" x14ac:dyDescent="0.25">
      <c r="A592" t="s">
        <v>2582</v>
      </c>
      <c r="B592" t="s">
        <v>2583</v>
      </c>
      <c r="C592" t="s">
        <v>2584</v>
      </c>
      <c r="D592" t="s">
        <v>23</v>
      </c>
      <c r="E592">
        <v>3080</v>
      </c>
      <c r="F592" s="3">
        <v>41769</v>
      </c>
      <c r="H592" t="s">
        <v>15523</v>
      </c>
      <c r="I592" t="s">
        <v>16114</v>
      </c>
      <c r="K592" t="e">
        <v>#N/A</v>
      </c>
      <c r="S592" s="3"/>
    </row>
    <row r="593" spans="1:19" x14ac:dyDescent="0.25">
      <c r="A593" t="s">
        <v>2585</v>
      </c>
      <c r="B593" t="s">
        <v>2586</v>
      </c>
      <c r="C593" t="s">
        <v>2587</v>
      </c>
      <c r="D593" t="s">
        <v>23</v>
      </c>
      <c r="E593">
        <v>227</v>
      </c>
      <c r="F593" s="3">
        <v>40702</v>
      </c>
      <c r="H593" t="s">
        <v>15523</v>
      </c>
      <c r="I593" t="s">
        <v>16115</v>
      </c>
      <c r="K593" t="e">
        <v>#N/A</v>
      </c>
      <c r="S593" s="3"/>
    </row>
    <row r="594" spans="1:19" x14ac:dyDescent="0.25">
      <c r="A594" t="s">
        <v>2588</v>
      </c>
      <c r="B594" t="s">
        <v>2589</v>
      </c>
      <c r="C594" t="s">
        <v>2590</v>
      </c>
      <c r="D594" t="s">
        <v>23</v>
      </c>
      <c r="E594">
        <v>5268</v>
      </c>
      <c r="F594" s="3">
        <v>42047</v>
      </c>
      <c r="H594" t="s">
        <v>15523</v>
      </c>
      <c r="I594" t="s">
        <v>16116</v>
      </c>
      <c r="K594" t="e">
        <v>#N/A</v>
      </c>
      <c r="S594" s="3"/>
    </row>
    <row r="595" spans="1:19" x14ac:dyDescent="0.25">
      <c r="A595" t="s">
        <v>2591</v>
      </c>
      <c r="B595" t="s">
        <v>2592</v>
      </c>
      <c r="C595" t="s">
        <v>2593</v>
      </c>
      <c r="D595" t="s">
        <v>23</v>
      </c>
      <c r="E595">
        <v>3082</v>
      </c>
      <c r="F595" s="3">
        <v>41769</v>
      </c>
      <c r="H595" t="s">
        <v>15523</v>
      </c>
      <c r="I595" t="s">
        <v>16117</v>
      </c>
      <c r="K595" t="e">
        <v>#N/A</v>
      </c>
      <c r="S595" s="3"/>
    </row>
    <row r="596" spans="1:19" x14ac:dyDescent="0.25">
      <c r="A596" t="s">
        <v>2594</v>
      </c>
      <c r="B596" t="s">
        <v>2595</v>
      </c>
      <c r="C596" t="s">
        <v>2596</v>
      </c>
      <c r="D596" t="s">
        <v>23</v>
      </c>
      <c r="E596">
        <v>228</v>
      </c>
      <c r="F596" s="3">
        <v>40702</v>
      </c>
      <c r="H596" t="s">
        <v>15523</v>
      </c>
      <c r="I596" t="s">
        <v>16118</v>
      </c>
      <c r="K596" t="e">
        <v>#N/A</v>
      </c>
      <c r="S596" s="3"/>
    </row>
    <row r="597" spans="1:19" x14ac:dyDescent="0.25">
      <c r="A597" t="s">
        <v>2597</v>
      </c>
      <c r="B597" t="s">
        <v>2598</v>
      </c>
      <c r="C597" t="s">
        <v>2599</v>
      </c>
      <c r="D597" t="s">
        <v>23</v>
      </c>
      <c r="E597">
        <v>229</v>
      </c>
      <c r="F597" s="3">
        <v>40702</v>
      </c>
      <c r="H597" t="s">
        <v>15523</v>
      </c>
      <c r="I597" t="s">
        <v>16119</v>
      </c>
      <c r="K597" t="e">
        <v>#N/A</v>
      </c>
      <c r="S597" s="3"/>
    </row>
    <row r="598" spans="1:19" x14ac:dyDescent="0.25">
      <c r="A598" t="s">
        <v>2600</v>
      </c>
      <c r="B598" t="s">
        <v>2601</v>
      </c>
      <c r="C598" t="s">
        <v>2602</v>
      </c>
      <c r="D598" t="s">
        <v>23</v>
      </c>
      <c r="E598">
        <v>2413</v>
      </c>
      <c r="F598" s="3">
        <v>41461</v>
      </c>
      <c r="H598" t="s">
        <v>15523</v>
      </c>
      <c r="I598" t="s">
        <v>16120</v>
      </c>
      <c r="K598" t="e">
        <v>#N/A</v>
      </c>
      <c r="S598" s="3"/>
    </row>
    <row r="599" spans="1:19" x14ac:dyDescent="0.25">
      <c r="A599" t="s">
        <v>2603</v>
      </c>
      <c r="B599" t="s">
        <v>2604</v>
      </c>
      <c r="C599" t="s">
        <v>2605</v>
      </c>
      <c r="D599" t="s">
        <v>23</v>
      </c>
      <c r="E599">
        <v>3083</v>
      </c>
      <c r="F599" s="3">
        <v>41769</v>
      </c>
      <c r="H599" t="s">
        <v>15523</v>
      </c>
      <c r="I599" t="s">
        <v>16121</v>
      </c>
      <c r="K599" t="e">
        <v>#N/A</v>
      </c>
      <c r="S599" s="3"/>
    </row>
    <row r="600" spans="1:19" x14ac:dyDescent="0.25">
      <c r="A600" t="s">
        <v>2606</v>
      </c>
      <c r="B600" t="s">
        <v>2607</v>
      </c>
      <c r="C600" t="s">
        <v>2608</v>
      </c>
      <c r="D600" t="s">
        <v>23</v>
      </c>
      <c r="E600">
        <v>1358</v>
      </c>
      <c r="F600" s="3">
        <v>40702</v>
      </c>
      <c r="H600" t="s">
        <v>15523</v>
      </c>
      <c r="I600" t="s">
        <v>16122</v>
      </c>
      <c r="K600" t="e">
        <v>#N/A</v>
      </c>
      <c r="S600" s="3"/>
    </row>
    <row r="601" spans="1:19" x14ac:dyDescent="0.25">
      <c r="A601" t="s">
        <v>2609</v>
      </c>
      <c r="B601" t="s">
        <v>2610</v>
      </c>
      <c r="C601" t="s">
        <v>2611</v>
      </c>
      <c r="D601" t="s">
        <v>23</v>
      </c>
      <c r="E601">
        <v>1750</v>
      </c>
      <c r="F601" s="3">
        <v>41461</v>
      </c>
      <c r="H601" t="s">
        <v>15523</v>
      </c>
      <c r="I601" t="s">
        <v>16123</v>
      </c>
      <c r="K601" t="e">
        <v>#N/A</v>
      </c>
      <c r="S601" s="3"/>
    </row>
    <row r="602" spans="1:19" x14ac:dyDescent="0.25">
      <c r="A602" t="s">
        <v>2612</v>
      </c>
      <c r="B602" t="s">
        <v>2613</v>
      </c>
      <c r="C602" t="s">
        <v>2614</v>
      </c>
      <c r="D602" t="s">
        <v>23</v>
      </c>
      <c r="E602">
        <v>2423</v>
      </c>
      <c r="F602" s="3">
        <v>40702</v>
      </c>
      <c r="H602" t="s">
        <v>15523</v>
      </c>
      <c r="I602" t="s">
        <v>16124</v>
      </c>
      <c r="K602" t="e">
        <v>#N/A</v>
      </c>
      <c r="S602" s="3"/>
    </row>
    <row r="603" spans="1:19" x14ac:dyDescent="0.25">
      <c r="A603" t="s">
        <v>2615</v>
      </c>
      <c r="B603" t="s">
        <v>2616</v>
      </c>
      <c r="C603" t="s">
        <v>2617</v>
      </c>
      <c r="D603" t="s">
        <v>23</v>
      </c>
      <c r="E603">
        <v>5179</v>
      </c>
      <c r="F603" s="3">
        <v>42035</v>
      </c>
      <c r="H603" t="s">
        <v>15523</v>
      </c>
      <c r="I603" t="s">
        <v>16125</v>
      </c>
      <c r="K603" t="e">
        <v>#N/A</v>
      </c>
      <c r="S603" s="3"/>
    </row>
    <row r="604" spans="1:19" x14ac:dyDescent="0.25">
      <c r="A604" t="s">
        <v>2618</v>
      </c>
      <c r="B604" t="s">
        <v>2619</v>
      </c>
      <c r="C604" t="s">
        <v>2620</v>
      </c>
      <c r="D604" t="s">
        <v>23</v>
      </c>
      <c r="E604">
        <v>5072</v>
      </c>
      <c r="F604" s="3">
        <v>41678</v>
      </c>
      <c r="H604" t="s">
        <v>15523</v>
      </c>
      <c r="I604" t="s">
        <v>16126</v>
      </c>
      <c r="K604" t="e">
        <v>#N/A</v>
      </c>
      <c r="S604" s="3"/>
    </row>
    <row r="605" spans="1:19" x14ac:dyDescent="0.25">
      <c r="A605" t="s">
        <v>2621</v>
      </c>
      <c r="B605" t="s">
        <v>2622</v>
      </c>
      <c r="C605" t="s">
        <v>2623</v>
      </c>
      <c r="D605" t="s">
        <v>23</v>
      </c>
      <c r="E605">
        <v>588</v>
      </c>
      <c r="F605" s="3">
        <v>40702</v>
      </c>
      <c r="H605" t="s">
        <v>15523</v>
      </c>
      <c r="I605" t="s">
        <v>16127</v>
      </c>
      <c r="K605" t="e">
        <v>#N/A</v>
      </c>
      <c r="S605" s="3"/>
    </row>
    <row r="606" spans="1:19" x14ac:dyDescent="0.25">
      <c r="A606" t="s">
        <v>2624</v>
      </c>
      <c r="B606" t="s">
        <v>2625</v>
      </c>
      <c r="C606" t="s">
        <v>2626</v>
      </c>
      <c r="D606" t="s">
        <v>23</v>
      </c>
      <c r="E606">
        <v>5299</v>
      </c>
      <c r="F606" s="3">
        <v>42133</v>
      </c>
      <c r="H606" t="s">
        <v>15523</v>
      </c>
      <c r="I606" t="s">
        <v>16128</v>
      </c>
      <c r="K606" t="e">
        <v>#N/A</v>
      </c>
      <c r="S606" s="3"/>
    </row>
    <row r="607" spans="1:19" x14ac:dyDescent="0.25">
      <c r="A607" t="s">
        <v>2627</v>
      </c>
      <c r="B607" t="s">
        <v>2628</v>
      </c>
      <c r="C607" t="s">
        <v>2629</v>
      </c>
      <c r="D607" t="s">
        <v>23</v>
      </c>
      <c r="E607">
        <v>2335</v>
      </c>
      <c r="F607" s="3">
        <v>40702</v>
      </c>
      <c r="H607" t="s">
        <v>15523</v>
      </c>
      <c r="I607" t="s">
        <v>16129</v>
      </c>
      <c r="K607" t="e">
        <v>#N/A</v>
      </c>
      <c r="S607" s="3"/>
    </row>
    <row r="608" spans="1:19" x14ac:dyDescent="0.25">
      <c r="A608" t="s">
        <v>2630</v>
      </c>
      <c r="B608" t="s">
        <v>2631</v>
      </c>
      <c r="C608" t="s">
        <v>2632</v>
      </c>
      <c r="D608" t="s">
        <v>23</v>
      </c>
      <c r="E608">
        <v>4978</v>
      </c>
      <c r="F608" s="3">
        <v>41660</v>
      </c>
      <c r="H608" t="s">
        <v>15523</v>
      </c>
      <c r="I608" t="s">
        <v>16130</v>
      </c>
      <c r="K608" t="e">
        <v>#N/A</v>
      </c>
      <c r="S608" s="3"/>
    </row>
    <row r="609" spans="1:19" x14ac:dyDescent="0.25">
      <c r="A609" t="s">
        <v>2633</v>
      </c>
      <c r="B609" t="s">
        <v>2634</v>
      </c>
      <c r="C609" t="s">
        <v>2635</v>
      </c>
      <c r="D609" t="s">
        <v>23</v>
      </c>
      <c r="E609">
        <v>3086</v>
      </c>
      <c r="F609" s="3">
        <v>41769</v>
      </c>
      <c r="H609" t="s">
        <v>15523</v>
      </c>
      <c r="I609" t="s">
        <v>16131</v>
      </c>
      <c r="K609" t="e">
        <v>#N/A</v>
      </c>
      <c r="S609" s="3"/>
    </row>
    <row r="610" spans="1:19" x14ac:dyDescent="0.25">
      <c r="A610" t="s">
        <v>2636</v>
      </c>
      <c r="B610" t="s">
        <v>2637</v>
      </c>
      <c r="C610" t="s">
        <v>2638</v>
      </c>
      <c r="D610" t="s">
        <v>23</v>
      </c>
      <c r="E610">
        <v>3087</v>
      </c>
      <c r="F610" s="3">
        <v>41769</v>
      </c>
      <c r="H610" t="s">
        <v>15523</v>
      </c>
      <c r="I610" t="s">
        <v>16132</v>
      </c>
      <c r="K610" t="e">
        <v>#N/A</v>
      </c>
      <c r="S610" s="3"/>
    </row>
    <row r="611" spans="1:19" x14ac:dyDescent="0.25">
      <c r="A611" t="s">
        <v>2639</v>
      </c>
      <c r="B611" t="s">
        <v>2640</v>
      </c>
      <c r="C611" t="s">
        <v>2641</v>
      </c>
      <c r="D611" t="s">
        <v>23</v>
      </c>
      <c r="E611">
        <v>235</v>
      </c>
      <c r="F611" s="3">
        <v>40702</v>
      </c>
      <c r="H611" t="s">
        <v>15523</v>
      </c>
      <c r="I611" t="s">
        <v>16133</v>
      </c>
      <c r="K611" t="e">
        <v>#N/A</v>
      </c>
      <c r="S611" s="3"/>
    </row>
    <row r="612" spans="1:19" x14ac:dyDescent="0.25">
      <c r="A612" t="s">
        <v>2642</v>
      </c>
      <c r="B612" t="s">
        <v>2643</v>
      </c>
      <c r="C612" t="s">
        <v>2644</v>
      </c>
      <c r="D612" t="s">
        <v>23</v>
      </c>
      <c r="E612">
        <v>5568</v>
      </c>
      <c r="F612" s="3">
        <v>42452</v>
      </c>
      <c r="H612" t="s">
        <v>15523</v>
      </c>
      <c r="I612" t="s">
        <v>16134</v>
      </c>
      <c r="K612" t="e">
        <v>#N/A</v>
      </c>
      <c r="S612" s="3"/>
    </row>
    <row r="613" spans="1:19" x14ac:dyDescent="0.25">
      <c r="A613" t="s">
        <v>2645</v>
      </c>
      <c r="B613" t="s">
        <v>2646</v>
      </c>
      <c r="C613" t="s">
        <v>2647</v>
      </c>
      <c r="D613" t="s">
        <v>23</v>
      </c>
      <c r="E613">
        <v>3088</v>
      </c>
      <c r="F613" s="3">
        <v>41769</v>
      </c>
      <c r="H613" t="s">
        <v>15523</v>
      </c>
      <c r="I613" t="s">
        <v>16135</v>
      </c>
      <c r="K613" t="e">
        <v>#N/A</v>
      </c>
      <c r="S613" s="3"/>
    </row>
    <row r="614" spans="1:19" x14ac:dyDescent="0.25">
      <c r="A614" t="s">
        <v>2648</v>
      </c>
      <c r="B614" t="s">
        <v>2649</v>
      </c>
      <c r="C614" t="s">
        <v>2650</v>
      </c>
      <c r="D614" t="s">
        <v>23</v>
      </c>
      <c r="E614">
        <v>3089</v>
      </c>
      <c r="F614" s="3">
        <v>41769</v>
      </c>
      <c r="H614" t="s">
        <v>15523</v>
      </c>
      <c r="I614" t="s">
        <v>16136</v>
      </c>
      <c r="K614" t="e">
        <v>#N/A</v>
      </c>
      <c r="S614" s="3"/>
    </row>
    <row r="615" spans="1:19" x14ac:dyDescent="0.25">
      <c r="A615" t="s">
        <v>2651</v>
      </c>
      <c r="B615" t="s">
        <v>2652</v>
      </c>
      <c r="C615" t="s">
        <v>2653</v>
      </c>
      <c r="D615" t="s">
        <v>23</v>
      </c>
      <c r="E615">
        <v>3084</v>
      </c>
      <c r="F615" s="3">
        <v>41769</v>
      </c>
      <c r="H615" t="s">
        <v>15523</v>
      </c>
      <c r="I615" t="s">
        <v>16137</v>
      </c>
      <c r="K615" t="e">
        <v>#N/A</v>
      </c>
      <c r="S615" s="3"/>
    </row>
    <row r="616" spans="1:19" x14ac:dyDescent="0.25">
      <c r="A616" t="s">
        <v>2654</v>
      </c>
      <c r="B616" t="s">
        <v>2655</v>
      </c>
      <c r="C616" t="s">
        <v>2656</v>
      </c>
      <c r="D616" t="s">
        <v>23</v>
      </c>
      <c r="E616">
        <v>5982</v>
      </c>
      <c r="F616" s="3">
        <v>43384</v>
      </c>
      <c r="H616" t="s">
        <v>15523</v>
      </c>
      <c r="I616" t="s">
        <v>16138</v>
      </c>
      <c r="K616" t="e">
        <v>#N/A</v>
      </c>
      <c r="S616" s="3"/>
    </row>
    <row r="617" spans="1:19" x14ac:dyDescent="0.25">
      <c r="A617" t="s">
        <v>2657</v>
      </c>
      <c r="B617" t="s">
        <v>2658</v>
      </c>
      <c r="C617" t="s">
        <v>2659</v>
      </c>
      <c r="D617" t="s">
        <v>23</v>
      </c>
      <c r="E617">
        <v>3085</v>
      </c>
      <c r="F617" s="3">
        <v>41769</v>
      </c>
      <c r="H617" t="s">
        <v>15523</v>
      </c>
      <c r="I617" t="s">
        <v>16139</v>
      </c>
      <c r="K617" t="e">
        <v>#N/A</v>
      </c>
      <c r="S617" s="3"/>
    </row>
    <row r="618" spans="1:19" x14ac:dyDescent="0.25">
      <c r="A618" t="s">
        <v>2660</v>
      </c>
      <c r="B618" t="s">
        <v>2661</v>
      </c>
      <c r="C618" t="s">
        <v>2662</v>
      </c>
      <c r="D618" t="s">
        <v>23</v>
      </c>
      <c r="E618">
        <v>233</v>
      </c>
      <c r="F618" s="3">
        <v>41461</v>
      </c>
      <c r="H618" t="s">
        <v>15523</v>
      </c>
      <c r="I618" t="s">
        <v>16140</v>
      </c>
      <c r="K618" t="e">
        <v>#N/A</v>
      </c>
      <c r="S618" s="3"/>
    </row>
    <row r="619" spans="1:19" x14ac:dyDescent="0.25">
      <c r="A619" t="s">
        <v>2663</v>
      </c>
      <c r="B619" t="s">
        <v>2664</v>
      </c>
      <c r="C619" t="s">
        <v>2665</v>
      </c>
      <c r="D619" t="s">
        <v>23</v>
      </c>
      <c r="E619">
        <v>5977</v>
      </c>
      <c r="F619" s="3">
        <v>43375</v>
      </c>
      <c r="H619" t="s">
        <v>15523</v>
      </c>
      <c r="I619" t="s">
        <v>16141</v>
      </c>
      <c r="K619" t="e">
        <v>#N/A</v>
      </c>
      <c r="S619" s="3"/>
    </row>
    <row r="620" spans="1:19" x14ac:dyDescent="0.25">
      <c r="A620" t="s">
        <v>2666</v>
      </c>
      <c r="B620" t="s">
        <v>2667</v>
      </c>
      <c r="C620" t="s">
        <v>2668</v>
      </c>
      <c r="D620" t="s">
        <v>23</v>
      </c>
      <c r="E620">
        <v>5331</v>
      </c>
      <c r="F620" s="3">
        <v>42231</v>
      </c>
      <c r="H620" t="s">
        <v>15523</v>
      </c>
      <c r="I620" t="s">
        <v>16142</v>
      </c>
      <c r="K620" t="e">
        <v>#N/A</v>
      </c>
      <c r="S620" s="3"/>
    </row>
    <row r="621" spans="1:19" x14ac:dyDescent="0.25">
      <c r="A621" t="s">
        <v>2669</v>
      </c>
      <c r="B621" t="s">
        <v>2670</v>
      </c>
      <c r="C621" t="s">
        <v>2671</v>
      </c>
      <c r="D621" t="s">
        <v>23</v>
      </c>
      <c r="E621">
        <v>3090</v>
      </c>
      <c r="F621" s="3">
        <v>41769</v>
      </c>
      <c r="H621" t="s">
        <v>15523</v>
      </c>
      <c r="I621" t="s">
        <v>16143</v>
      </c>
      <c r="K621" t="e">
        <v>#N/A</v>
      </c>
      <c r="S621" s="3"/>
    </row>
    <row r="622" spans="1:19" x14ac:dyDescent="0.25">
      <c r="A622" t="s">
        <v>2672</v>
      </c>
      <c r="B622" t="s">
        <v>2673</v>
      </c>
      <c r="C622" t="s">
        <v>2674</v>
      </c>
      <c r="D622" t="s">
        <v>23</v>
      </c>
      <c r="E622">
        <v>1345</v>
      </c>
      <c r="F622" s="3">
        <v>40856</v>
      </c>
      <c r="H622" t="s">
        <v>15523</v>
      </c>
      <c r="I622" t="s">
        <v>16144</v>
      </c>
      <c r="K622" t="e">
        <v>#N/A</v>
      </c>
      <c r="S622" s="3"/>
    </row>
    <row r="623" spans="1:19" x14ac:dyDescent="0.25">
      <c r="A623" t="s">
        <v>2675</v>
      </c>
      <c r="B623" t="s">
        <v>2676</v>
      </c>
      <c r="C623" t="s">
        <v>2677</v>
      </c>
      <c r="D623" t="s">
        <v>23</v>
      </c>
      <c r="E623">
        <v>3091</v>
      </c>
      <c r="F623" s="3">
        <v>41769</v>
      </c>
      <c r="H623" t="s">
        <v>15523</v>
      </c>
      <c r="I623" t="s">
        <v>16145</v>
      </c>
      <c r="K623" t="e">
        <v>#N/A</v>
      </c>
      <c r="S623" s="3"/>
    </row>
    <row r="624" spans="1:19" x14ac:dyDescent="0.25">
      <c r="A624" t="s">
        <v>2678</v>
      </c>
      <c r="B624" t="s">
        <v>2679</v>
      </c>
      <c r="C624" t="s">
        <v>2680</v>
      </c>
      <c r="D624" t="s">
        <v>23</v>
      </c>
      <c r="E624">
        <v>2366</v>
      </c>
      <c r="F624" s="3">
        <v>40702</v>
      </c>
      <c r="H624" t="s">
        <v>15523</v>
      </c>
      <c r="I624" t="s">
        <v>16146</v>
      </c>
      <c r="K624" t="e">
        <v>#N/A</v>
      </c>
      <c r="S624" s="3"/>
    </row>
    <row r="625" spans="1:19" x14ac:dyDescent="0.25">
      <c r="A625" t="s">
        <v>2681</v>
      </c>
      <c r="B625" t="s">
        <v>2682</v>
      </c>
      <c r="C625" t="s">
        <v>2683</v>
      </c>
      <c r="D625" t="s">
        <v>23</v>
      </c>
      <c r="E625">
        <v>5952</v>
      </c>
      <c r="F625" s="3">
        <v>43250</v>
      </c>
      <c r="H625" t="s">
        <v>15523</v>
      </c>
      <c r="I625" t="s">
        <v>16147</v>
      </c>
      <c r="K625" t="e">
        <v>#N/A</v>
      </c>
      <c r="S625" s="3"/>
    </row>
    <row r="626" spans="1:19" x14ac:dyDescent="0.25">
      <c r="A626" t="s">
        <v>2684</v>
      </c>
      <c r="B626" t="s">
        <v>2685</v>
      </c>
      <c r="C626" t="s">
        <v>2686</v>
      </c>
      <c r="D626" t="s">
        <v>23</v>
      </c>
      <c r="E626">
        <v>3092</v>
      </c>
      <c r="F626" s="3">
        <v>41769</v>
      </c>
      <c r="H626" t="s">
        <v>15523</v>
      </c>
      <c r="I626" t="s">
        <v>16148</v>
      </c>
      <c r="K626" t="e">
        <v>#N/A</v>
      </c>
      <c r="S626" s="3"/>
    </row>
    <row r="627" spans="1:19" x14ac:dyDescent="0.25">
      <c r="A627" t="s">
        <v>2687</v>
      </c>
      <c r="B627" t="s">
        <v>2688</v>
      </c>
      <c r="C627" t="s">
        <v>2689</v>
      </c>
      <c r="D627" t="s">
        <v>23</v>
      </c>
      <c r="E627">
        <v>5734</v>
      </c>
      <c r="F627" s="3">
        <v>42741</v>
      </c>
      <c r="H627" t="s">
        <v>15523</v>
      </c>
      <c r="I627" t="s">
        <v>16149</v>
      </c>
      <c r="K627" t="e">
        <v>#N/A</v>
      </c>
      <c r="S627" s="3"/>
    </row>
    <row r="628" spans="1:19" x14ac:dyDescent="0.25">
      <c r="A628" t="s">
        <v>2690</v>
      </c>
      <c r="B628" t="s">
        <v>2691</v>
      </c>
      <c r="C628" t="s">
        <v>2692</v>
      </c>
      <c r="D628" t="s">
        <v>23</v>
      </c>
      <c r="E628">
        <v>237</v>
      </c>
      <c r="F628" s="3">
        <v>41461</v>
      </c>
      <c r="H628" t="s">
        <v>15523</v>
      </c>
      <c r="I628" t="s">
        <v>16150</v>
      </c>
      <c r="K628" t="e">
        <v>#N/A</v>
      </c>
      <c r="S628" s="3"/>
    </row>
    <row r="629" spans="1:19" x14ac:dyDescent="0.25">
      <c r="A629" t="s">
        <v>2693</v>
      </c>
      <c r="B629" t="s">
        <v>2694</v>
      </c>
      <c r="C629" t="s">
        <v>2695</v>
      </c>
      <c r="D629" t="s">
        <v>23</v>
      </c>
      <c r="E629">
        <v>5535</v>
      </c>
      <c r="F629" s="3">
        <v>42350</v>
      </c>
      <c r="H629" t="s">
        <v>15523</v>
      </c>
      <c r="I629" t="s">
        <v>16151</v>
      </c>
      <c r="K629" t="e">
        <v>#N/A</v>
      </c>
      <c r="S629" s="3"/>
    </row>
    <row r="630" spans="1:19" x14ac:dyDescent="0.25">
      <c r="A630" t="s">
        <v>2696</v>
      </c>
      <c r="B630" t="s">
        <v>2697</v>
      </c>
      <c r="C630" t="s">
        <v>2698</v>
      </c>
      <c r="D630" t="s">
        <v>23</v>
      </c>
      <c r="E630">
        <v>3095</v>
      </c>
      <c r="F630" s="3">
        <v>41769</v>
      </c>
      <c r="H630" t="s">
        <v>15523</v>
      </c>
      <c r="I630" t="s">
        <v>16152</v>
      </c>
      <c r="K630" t="e">
        <v>#N/A</v>
      </c>
      <c r="S630" s="3"/>
    </row>
    <row r="631" spans="1:19" x14ac:dyDescent="0.25">
      <c r="A631" t="s">
        <v>2699</v>
      </c>
      <c r="B631" t="s">
        <v>2700</v>
      </c>
      <c r="C631" t="s">
        <v>2701</v>
      </c>
      <c r="D631" t="s">
        <v>23</v>
      </c>
      <c r="E631">
        <v>3094</v>
      </c>
      <c r="F631" s="3">
        <v>41769</v>
      </c>
      <c r="H631" t="s">
        <v>15523</v>
      </c>
      <c r="I631" t="s">
        <v>16153</v>
      </c>
      <c r="K631" t="e">
        <v>#N/A</v>
      </c>
      <c r="S631" s="3"/>
    </row>
    <row r="632" spans="1:19" x14ac:dyDescent="0.25">
      <c r="A632" t="s">
        <v>2702</v>
      </c>
      <c r="B632" t="s">
        <v>2703</v>
      </c>
      <c r="C632" t="s">
        <v>2704</v>
      </c>
      <c r="D632" t="s">
        <v>23</v>
      </c>
      <c r="E632">
        <v>5559</v>
      </c>
      <c r="F632" s="3">
        <v>42392</v>
      </c>
      <c r="H632" t="s">
        <v>15523</v>
      </c>
      <c r="I632" t="s">
        <v>16154</v>
      </c>
      <c r="K632" t="e">
        <v>#N/A</v>
      </c>
      <c r="S632" s="3"/>
    </row>
    <row r="633" spans="1:19" x14ac:dyDescent="0.25">
      <c r="A633" t="s">
        <v>2705</v>
      </c>
      <c r="B633" t="s">
        <v>2706</v>
      </c>
      <c r="C633" t="s">
        <v>2707</v>
      </c>
      <c r="D633" t="s">
        <v>23</v>
      </c>
      <c r="E633">
        <v>3096</v>
      </c>
      <c r="F633" s="3">
        <v>41769</v>
      </c>
      <c r="H633" t="s">
        <v>15523</v>
      </c>
      <c r="I633" t="s">
        <v>16155</v>
      </c>
      <c r="K633" t="e">
        <v>#N/A</v>
      </c>
      <c r="S633" s="3"/>
    </row>
    <row r="634" spans="1:19" x14ac:dyDescent="0.25">
      <c r="A634" t="s">
        <v>2708</v>
      </c>
      <c r="B634" t="s">
        <v>2709</v>
      </c>
      <c r="C634" t="s">
        <v>2710</v>
      </c>
      <c r="D634" t="s">
        <v>23</v>
      </c>
      <c r="E634">
        <v>3097</v>
      </c>
      <c r="F634" s="3">
        <v>41769</v>
      </c>
      <c r="H634" t="s">
        <v>15523</v>
      </c>
      <c r="I634" t="s">
        <v>16156</v>
      </c>
      <c r="K634" t="e">
        <v>#N/A</v>
      </c>
      <c r="S634" s="3"/>
    </row>
    <row r="635" spans="1:19" x14ac:dyDescent="0.25">
      <c r="A635" t="s">
        <v>2711</v>
      </c>
      <c r="B635" t="s">
        <v>2712</v>
      </c>
      <c r="C635" t="s">
        <v>2713</v>
      </c>
      <c r="D635" t="s">
        <v>23</v>
      </c>
      <c r="E635">
        <v>3098</v>
      </c>
      <c r="F635" s="3">
        <v>41769</v>
      </c>
      <c r="H635" t="s">
        <v>15523</v>
      </c>
      <c r="I635" t="s">
        <v>16157</v>
      </c>
      <c r="K635" t="e">
        <v>#N/A</v>
      </c>
      <c r="S635" s="3"/>
    </row>
    <row r="636" spans="1:19" x14ac:dyDescent="0.25">
      <c r="A636" t="s">
        <v>2714</v>
      </c>
      <c r="B636" t="s">
        <v>2715</v>
      </c>
      <c r="C636" t="s">
        <v>2716</v>
      </c>
      <c r="D636" t="s">
        <v>23</v>
      </c>
      <c r="E636">
        <v>3099</v>
      </c>
      <c r="F636" s="3">
        <v>41769</v>
      </c>
      <c r="H636" t="s">
        <v>15523</v>
      </c>
      <c r="I636" t="s">
        <v>16158</v>
      </c>
      <c r="K636" t="e">
        <v>#N/A</v>
      </c>
      <c r="S636" s="3"/>
    </row>
    <row r="637" spans="1:19" x14ac:dyDescent="0.25">
      <c r="A637" t="s">
        <v>2717</v>
      </c>
      <c r="B637" t="s">
        <v>2718</v>
      </c>
      <c r="C637" t="s">
        <v>2719</v>
      </c>
      <c r="D637" t="s">
        <v>23</v>
      </c>
      <c r="E637">
        <v>3100</v>
      </c>
      <c r="F637" s="3">
        <v>41769</v>
      </c>
      <c r="H637" t="s">
        <v>15523</v>
      </c>
      <c r="I637" t="s">
        <v>16159</v>
      </c>
      <c r="K637" t="e">
        <v>#N/A</v>
      </c>
      <c r="S637" s="3"/>
    </row>
    <row r="638" spans="1:19" x14ac:dyDescent="0.25">
      <c r="A638" t="s">
        <v>2720</v>
      </c>
      <c r="B638" t="s">
        <v>2721</v>
      </c>
      <c r="C638" t="s">
        <v>2722</v>
      </c>
      <c r="D638" t="s">
        <v>23</v>
      </c>
      <c r="E638">
        <v>5963</v>
      </c>
      <c r="F638" s="3">
        <v>43330</v>
      </c>
      <c r="H638" t="s">
        <v>15523</v>
      </c>
      <c r="I638" t="s">
        <v>16160</v>
      </c>
      <c r="K638" t="e">
        <v>#N/A</v>
      </c>
      <c r="S638" s="3"/>
    </row>
    <row r="639" spans="1:19" x14ac:dyDescent="0.25">
      <c r="A639" t="s">
        <v>2723</v>
      </c>
      <c r="B639" t="s">
        <v>2724</v>
      </c>
      <c r="C639" t="s">
        <v>2725</v>
      </c>
      <c r="D639" t="s">
        <v>23</v>
      </c>
      <c r="E639">
        <v>3102</v>
      </c>
      <c r="F639" s="3">
        <v>41769</v>
      </c>
      <c r="H639" t="s">
        <v>15523</v>
      </c>
      <c r="I639" t="s">
        <v>16161</v>
      </c>
      <c r="K639" t="e">
        <v>#N/A</v>
      </c>
      <c r="S639" s="3"/>
    </row>
    <row r="640" spans="1:19" x14ac:dyDescent="0.25">
      <c r="A640" t="s">
        <v>2726</v>
      </c>
      <c r="B640" t="s">
        <v>2727</v>
      </c>
      <c r="C640" t="s">
        <v>2728</v>
      </c>
      <c r="D640" t="s">
        <v>23</v>
      </c>
      <c r="E640">
        <v>2416</v>
      </c>
      <c r="F640" s="3">
        <v>40702</v>
      </c>
      <c r="H640" t="s">
        <v>15523</v>
      </c>
      <c r="I640" t="s">
        <v>16162</v>
      </c>
      <c r="K640" t="e">
        <v>#N/A</v>
      </c>
      <c r="S640" s="3"/>
    </row>
    <row r="641" spans="1:19" x14ac:dyDescent="0.25">
      <c r="A641" t="s">
        <v>2729</v>
      </c>
      <c r="B641" t="s">
        <v>2730</v>
      </c>
      <c r="C641" t="s">
        <v>2731</v>
      </c>
      <c r="D641" t="s">
        <v>23</v>
      </c>
      <c r="E641">
        <v>3093</v>
      </c>
      <c r="F641" s="3">
        <v>41769</v>
      </c>
      <c r="H641" t="s">
        <v>15523</v>
      </c>
      <c r="I641" t="s">
        <v>16163</v>
      </c>
      <c r="K641" t="e">
        <v>#N/A</v>
      </c>
      <c r="S641" s="3"/>
    </row>
    <row r="642" spans="1:19" x14ac:dyDescent="0.25">
      <c r="A642" t="s">
        <v>2732</v>
      </c>
      <c r="B642" t="s">
        <v>2733</v>
      </c>
      <c r="C642" t="s">
        <v>2734</v>
      </c>
      <c r="D642" t="s">
        <v>23</v>
      </c>
      <c r="E642">
        <v>4979</v>
      </c>
      <c r="F642" s="3">
        <v>41660</v>
      </c>
      <c r="H642" t="s">
        <v>15523</v>
      </c>
      <c r="I642" t="s">
        <v>16164</v>
      </c>
      <c r="K642" t="e">
        <v>#N/A</v>
      </c>
      <c r="S642" s="3"/>
    </row>
    <row r="643" spans="1:19" x14ac:dyDescent="0.25">
      <c r="A643" t="s">
        <v>2735</v>
      </c>
      <c r="B643" t="s">
        <v>2736</v>
      </c>
      <c r="C643" t="s">
        <v>2737</v>
      </c>
      <c r="D643" t="s">
        <v>23</v>
      </c>
      <c r="E643">
        <v>3101</v>
      </c>
      <c r="F643" s="3">
        <v>41769</v>
      </c>
      <c r="H643" t="s">
        <v>15523</v>
      </c>
      <c r="I643" t="s">
        <v>16165</v>
      </c>
      <c r="K643" t="e">
        <v>#N/A</v>
      </c>
      <c r="S643" s="3"/>
    </row>
    <row r="644" spans="1:19" x14ac:dyDescent="0.25">
      <c r="A644" t="s">
        <v>2738</v>
      </c>
      <c r="B644" t="s">
        <v>2739</v>
      </c>
      <c r="C644" t="s">
        <v>2740</v>
      </c>
      <c r="D644" t="s">
        <v>23</v>
      </c>
      <c r="E644">
        <v>3103</v>
      </c>
      <c r="F644" s="3">
        <v>41769</v>
      </c>
      <c r="H644" t="s">
        <v>15523</v>
      </c>
      <c r="I644" t="s">
        <v>16166</v>
      </c>
      <c r="K644" t="e">
        <v>#N/A</v>
      </c>
      <c r="S644" s="3"/>
    </row>
    <row r="645" spans="1:19" x14ac:dyDescent="0.25">
      <c r="A645" t="s">
        <v>2741</v>
      </c>
      <c r="B645" t="s">
        <v>2742</v>
      </c>
      <c r="C645" t="s">
        <v>2743</v>
      </c>
      <c r="D645" t="s">
        <v>23</v>
      </c>
      <c r="E645">
        <v>3104</v>
      </c>
      <c r="F645" s="3">
        <v>41769</v>
      </c>
      <c r="H645" t="s">
        <v>15523</v>
      </c>
      <c r="I645" t="s">
        <v>16167</v>
      </c>
      <c r="K645" t="e">
        <v>#N/A</v>
      </c>
      <c r="S645" s="3"/>
    </row>
    <row r="646" spans="1:19" x14ac:dyDescent="0.25">
      <c r="A646" t="s">
        <v>2744</v>
      </c>
      <c r="B646" t="s">
        <v>2745</v>
      </c>
      <c r="C646" t="s">
        <v>2746</v>
      </c>
      <c r="D646" t="s">
        <v>23</v>
      </c>
      <c r="E646">
        <v>5882</v>
      </c>
      <c r="F646" s="3">
        <v>43090</v>
      </c>
      <c r="H646" t="s">
        <v>15523</v>
      </c>
      <c r="I646" t="s">
        <v>16168</v>
      </c>
      <c r="K646" t="e">
        <v>#N/A</v>
      </c>
      <c r="S646" s="3"/>
    </row>
    <row r="647" spans="1:19" x14ac:dyDescent="0.25">
      <c r="A647" t="s">
        <v>2747</v>
      </c>
      <c r="B647" t="s">
        <v>2748</v>
      </c>
      <c r="C647" t="s">
        <v>2749</v>
      </c>
      <c r="D647" t="s">
        <v>23</v>
      </c>
      <c r="E647">
        <v>2014</v>
      </c>
      <c r="F647" s="3">
        <v>40702</v>
      </c>
      <c r="H647" t="s">
        <v>15523</v>
      </c>
      <c r="I647" t="s">
        <v>16169</v>
      </c>
      <c r="K647" t="e">
        <v>#N/A</v>
      </c>
      <c r="S647" s="3"/>
    </row>
    <row r="648" spans="1:19" x14ac:dyDescent="0.25">
      <c r="A648" t="s">
        <v>2750</v>
      </c>
      <c r="B648" t="s">
        <v>2751</v>
      </c>
      <c r="C648" t="s">
        <v>2752</v>
      </c>
      <c r="D648" t="s">
        <v>23</v>
      </c>
      <c r="E648">
        <v>5549</v>
      </c>
      <c r="F648" s="3">
        <v>42385</v>
      </c>
      <c r="H648" t="s">
        <v>15523</v>
      </c>
      <c r="I648" t="s">
        <v>16170</v>
      </c>
      <c r="K648" t="e">
        <v>#N/A</v>
      </c>
      <c r="S648" s="3"/>
    </row>
    <row r="649" spans="1:19" x14ac:dyDescent="0.25">
      <c r="A649" t="s">
        <v>2753</v>
      </c>
      <c r="B649" t="s">
        <v>2754</v>
      </c>
      <c r="C649" t="s">
        <v>2755</v>
      </c>
      <c r="D649" t="s">
        <v>23</v>
      </c>
      <c r="E649">
        <v>3105</v>
      </c>
      <c r="F649" s="3">
        <v>41769</v>
      </c>
      <c r="H649" t="s">
        <v>15523</v>
      </c>
      <c r="I649" t="s">
        <v>16171</v>
      </c>
      <c r="K649" t="e">
        <v>#N/A</v>
      </c>
      <c r="S649" s="3"/>
    </row>
    <row r="650" spans="1:19" x14ac:dyDescent="0.25">
      <c r="A650" t="s">
        <v>2756</v>
      </c>
      <c r="B650" t="s">
        <v>2757</v>
      </c>
      <c r="C650" t="s">
        <v>2758</v>
      </c>
      <c r="D650" t="s">
        <v>23</v>
      </c>
      <c r="E650">
        <v>5202</v>
      </c>
      <c r="F650" s="3">
        <v>42035</v>
      </c>
      <c r="H650" t="s">
        <v>15523</v>
      </c>
      <c r="I650" t="s">
        <v>16172</v>
      </c>
      <c r="K650" t="e">
        <v>#N/A</v>
      </c>
      <c r="S650" s="3"/>
    </row>
    <row r="651" spans="1:19" x14ac:dyDescent="0.25">
      <c r="A651" t="s">
        <v>2759</v>
      </c>
      <c r="B651" t="s">
        <v>2760</v>
      </c>
      <c r="C651" t="s">
        <v>2761</v>
      </c>
      <c r="D651" t="s">
        <v>23</v>
      </c>
      <c r="E651">
        <v>3106</v>
      </c>
      <c r="F651" s="3">
        <v>41769</v>
      </c>
      <c r="H651" t="s">
        <v>15523</v>
      </c>
      <c r="I651" t="s">
        <v>16173</v>
      </c>
      <c r="K651" t="e">
        <v>#N/A</v>
      </c>
      <c r="S651" s="3"/>
    </row>
    <row r="652" spans="1:19" x14ac:dyDescent="0.25">
      <c r="A652" t="s">
        <v>2762</v>
      </c>
      <c r="B652" t="s">
        <v>2763</v>
      </c>
      <c r="C652" t="s">
        <v>2764</v>
      </c>
      <c r="D652" t="s">
        <v>23</v>
      </c>
      <c r="E652">
        <v>3107</v>
      </c>
      <c r="F652" s="3">
        <v>41769</v>
      </c>
      <c r="H652" t="s">
        <v>15523</v>
      </c>
      <c r="I652" t="s">
        <v>16174</v>
      </c>
      <c r="K652" t="e">
        <v>#N/A</v>
      </c>
      <c r="S652" s="3"/>
    </row>
    <row r="653" spans="1:19" x14ac:dyDescent="0.25">
      <c r="A653" t="s">
        <v>2765</v>
      </c>
      <c r="B653" t="s">
        <v>2766</v>
      </c>
      <c r="C653" t="s">
        <v>2767</v>
      </c>
      <c r="D653" t="s">
        <v>23</v>
      </c>
      <c r="E653">
        <v>6047</v>
      </c>
      <c r="F653" s="3">
        <v>43760</v>
      </c>
      <c r="H653" t="s">
        <v>15523</v>
      </c>
      <c r="I653" t="s">
        <v>16175</v>
      </c>
      <c r="K653" t="e">
        <v>#N/A</v>
      </c>
      <c r="S653" s="3"/>
    </row>
    <row r="654" spans="1:19" x14ac:dyDescent="0.25">
      <c r="A654" t="s">
        <v>2768</v>
      </c>
      <c r="B654" t="s">
        <v>2769</v>
      </c>
      <c r="C654" t="s">
        <v>2770</v>
      </c>
      <c r="D654" t="s">
        <v>23</v>
      </c>
      <c r="E654">
        <v>4980</v>
      </c>
      <c r="F654" s="3">
        <v>41660</v>
      </c>
      <c r="H654" t="s">
        <v>15523</v>
      </c>
      <c r="I654" t="s">
        <v>16176</v>
      </c>
      <c r="K654" t="e">
        <v>#N/A</v>
      </c>
      <c r="S654" s="3"/>
    </row>
    <row r="655" spans="1:19" x14ac:dyDescent="0.25">
      <c r="A655" t="s">
        <v>2771</v>
      </c>
      <c r="B655" t="s">
        <v>2772</v>
      </c>
      <c r="C655" t="s">
        <v>2773</v>
      </c>
      <c r="D655" t="s">
        <v>23</v>
      </c>
      <c r="E655">
        <v>4981</v>
      </c>
      <c r="F655" s="3">
        <v>41660</v>
      </c>
      <c r="H655" t="s">
        <v>15523</v>
      </c>
      <c r="I655" t="s">
        <v>16177</v>
      </c>
      <c r="K655" t="e">
        <v>#N/A</v>
      </c>
      <c r="S655" s="3"/>
    </row>
    <row r="656" spans="1:19" x14ac:dyDescent="0.25">
      <c r="A656" t="s">
        <v>2774</v>
      </c>
      <c r="B656" t="s">
        <v>2775</v>
      </c>
      <c r="C656" t="s">
        <v>2776</v>
      </c>
      <c r="D656" t="s">
        <v>23</v>
      </c>
      <c r="E656">
        <v>3108</v>
      </c>
      <c r="F656" s="3">
        <v>41769</v>
      </c>
      <c r="H656" t="s">
        <v>15523</v>
      </c>
      <c r="I656" t="s">
        <v>16178</v>
      </c>
      <c r="K656" t="e">
        <v>#N/A</v>
      </c>
      <c r="S656" s="3"/>
    </row>
    <row r="657" spans="1:19" x14ac:dyDescent="0.25">
      <c r="A657" t="s">
        <v>2777</v>
      </c>
      <c r="B657" t="s">
        <v>2778</v>
      </c>
      <c r="C657" t="s">
        <v>16179</v>
      </c>
      <c r="D657" t="s">
        <v>2779</v>
      </c>
      <c r="E657">
        <v>2917</v>
      </c>
      <c r="F657" s="3">
        <v>41769</v>
      </c>
      <c r="H657" t="s">
        <v>15523</v>
      </c>
      <c r="I657" t="s">
        <v>16180</v>
      </c>
      <c r="K657" t="e">
        <v>#N/A</v>
      </c>
      <c r="S657" s="3"/>
    </row>
    <row r="658" spans="1:19" x14ac:dyDescent="0.25">
      <c r="A658" t="s">
        <v>2780</v>
      </c>
      <c r="B658" t="s">
        <v>2781</v>
      </c>
      <c r="C658" t="s">
        <v>16179</v>
      </c>
      <c r="D658" t="s">
        <v>47</v>
      </c>
      <c r="E658">
        <v>5612</v>
      </c>
      <c r="F658" s="3">
        <v>42537</v>
      </c>
      <c r="H658" t="s">
        <v>15523</v>
      </c>
      <c r="I658" t="s">
        <v>16180</v>
      </c>
      <c r="K658" t="e">
        <v>#N/A</v>
      </c>
      <c r="S658" s="3"/>
    </row>
    <row r="659" spans="1:19" x14ac:dyDescent="0.25">
      <c r="A659" t="s">
        <v>2782</v>
      </c>
      <c r="B659" t="s">
        <v>2783</v>
      </c>
      <c r="C659" t="s">
        <v>16179</v>
      </c>
      <c r="D659" t="s">
        <v>47</v>
      </c>
      <c r="E659">
        <v>2918</v>
      </c>
      <c r="F659" s="3">
        <v>41769</v>
      </c>
      <c r="H659" t="s">
        <v>15523</v>
      </c>
      <c r="I659" t="s">
        <v>16180</v>
      </c>
      <c r="K659" t="e">
        <v>#N/A</v>
      </c>
      <c r="S659" s="3"/>
    </row>
    <row r="660" spans="1:19" x14ac:dyDescent="0.25">
      <c r="A660" t="s">
        <v>2784</v>
      </c>
      <c r="B660" t="s">
        <v>2785</v>
      </c>
      <c r="C660" t="s">
        <v>16179</v>
      </c>
      <c r="D660" t="s">
        <v>47</v>
      </c>
      <c r="E660">
        <v>5330</v>
      </c>
      <c r="F660" s="3">
        <v>42280</v>
      </c>
      <c r="H660" t="s">
        <v>15523</v>
      </c>
      <c r="I660" t="s">
        <v>16180</v>
      </c>
      <c r="K660" t="e">
        <v>#N/A</v>
      </c>
      <c r="S660" s="3"/>
    </row>
    <row r="661" spans="1:19" x14ac:dyDescent="0.25">
      <c r="A661" t="s">
        <v>2787</v>
      </c>
      <c r="B661" t="s">
        <v>2788</v>
      </c>
      <c r="C661" t="s">
        <v>16179</v>
      </c>
      <c r="D661" t="s">
        <v>47</v>
      </c>
      <c r="E661">
        <v>5890</v>
      </c>
      <c r="F661" s="3">
        <v>43148</v>
      </c>
      <c r="H661" t="s">
        <v>15523</v>
      </c>
      <c r="I661" t="s">
        <v>16180</v>
      </c>
      <c r="K661" t="e">
        <v>#N/A</v>
      </c>
      <c r="S661" s="3"/>
    </row>
    <row r="662" spans="1:19" x14ac:dyDescent="0.25">
      <c r="A662" t="s">
        <v>2790</v>
      </c>
      <c r="B662" t="s">
        <v>2791</v>
      </c>
      <c r="C662" t="s">
        <v>16179</v>
      </c>
      <c r="D662" t="s">
        <v>47</v>
      </c>
      <c r="E662">
        <v>2922</v>
      </c>
      <c r="F662" s="3">
        <v>41769</v>
      </c>
      <c r="H662" t="s">
        <v>15523</v>
      </c>
      <c r="I662" t="s">
        <v>16180</v>
      </c>
      <c r="K662" t="e">
        <v>#N/A</v>
      </c>
      <c r="S662" s="3"/>
    </row>
    <row r="663" spans="1:19" x14ac:dyDescent="0.25">
      <c r="A663" t="s">
        <v>2793</v>
      </c>
      <c r="B663" t="s">
        <v>2794</v>
      </c>
      <c r="C663" t="s">
        <v>16179</v>
      </c>
      <c r="D663" t="s">
        <v>47</v>
      </c>
      <c r="E663">
        <v>2929</v>
      </c>
      <c r="F663" s="3">
        <v>41769</v>
      </c>
      <c r="H663" t="s">
        <v>15523</v>
      </c>
      <c r="I663" t="s">
        <v>16180</v>
      </c>
      <c r="K663" t="e">
        <v>#N/A</v>
      </c>
      <c r="S663" s="3"/>
    </row>
    <row r="664" spans="1:19" x14ac:dyDescent="0.25">
      <c r="A664" t="s">
        <v>2795</v>
      </c>
      <c r="B664" t="s">
        <v>2796</v>
      </c>
      <c r="C664" t="s">
        <v>16179</v>
      </c>
      <c r="D664" t="s">
        <v>47</v>
      </c>
      <c r="E664">
        <v>2938</v>
      </c>
      <c r="F664" s="3">
        <v>41769</v>
      </c>
      <c r="H664" t="s">
        <v>15523</v>
      </c>
      <c r="I664" t="s">
        <v>16180</v>
      </c>
      <c r="K664" t="e">
        <v>#N/A</v>
      </c>
      <c r="S664" s="3"/>
    </row>
    <row r="665" spans="1:19" x14ac:dyDescent="0.25">
      <c r="A665" t="s">
        <v>2797</v>
      </c>
      <c r="B665" t="s">
        <v>2798</v>
      </c>
      <c r="C665" t="s">
        <v>16179</v>
      </c>
      <c r="D665" t="s">
        <v>47</v>
      </c>
      <c r="E665">
        <v>4982</v>
      </c>
      <c r="F665" s="3">
        <v>41660</v>
      </c>
      <c r="H665" t="s">
        <v>15523</v>
      </c>
      <c r="I665" t="s">
        <v>16180</v>
      </c>
      <c r="K665" t="e">
        <v>#N/A</v>
      </c>
      <c r="S665" s="3"/>
    </row>
    <row r="666" spans="1:19" x14ac:dyDescent="0.25">
      <c r="A666" t="s">
        <v>2800</v>
      </c>
      <c r="B666" t="s">
        <v>2801</v>
      </c>
      <c r="C666" t="s">
        <v>16179</v>
      </c>
      <c r="D666" t="s">
        <v>666</v>
      </c>
      <c r="E666">
        <v>2975</v>
      </c>
      <c r="F666" s="3">
        <v>43829</v>
      </c>
      <c r="H666" t="s">
        <v>15523</v>
      </c>
      <c r="I666" t="s">
        <v>16180</v>
      </c>
      <c r="K666" t="e">
        <v>#N/A</v>
      </c>
      <c r="S666" s="3"/>
    </row>
    <row r="667" spans="1:19" x14ac:dyDescent="0.25">
      <c r="A667" t="s">
        <v>2802</v>
      </c>
      <c r="B667" t="s">
        <v>2803</v>
      </c>
      <c r="C667" t="s">
        <v>16179</v>
      </c>
      <c r="D667" t="s">
        <v>47</v>
      </c>
      <c r="E667">
        <v>2976</v>
      </c>
      <c r="F667" s="3">
        <v>41769</v>
      </c>
      <c r="H667" t="s">
        <v>15523</v>
      </c>
      <c r="I667" t="s">
        <v>16180</v>
      </c>
      <c r="K667" t="e">
        <v>#N/A</v>
      </c>
      <c r="S667" s="3"/>
    </row>
    <row r="668" spans="1:19" x14ac:dyDescent="0.25">
      <c r="A668" t="s">
        <v>2804</v>
      </c>
      <c r="B668" t="s">
        <v>2805</v>
      </c>
      <c r="C668" t="s">
        <v>16179</v>
      </c>
      <c r="D668" t="s">
        <v>47</v>
      </c>
      <c r="E668">
        <v>2977</v>
      </c>
      <c r="F668" s="3">
        <v>41769</v>
      </c>
      <c r="H668" t="s">
        <v>15523</v>
      </c>
      <c r="I668" t="s">
        <v>16180</v>
      </c>
      <c r="K668" t="e">
        <v>#N/A</v>
      </c>
      <c r="S668" s="3"/>
    </row>
    <row r="669" spans="1:19" x14ac:dyDescent="0.25">
      <c r="A669" t="s">
        <v>2806</v>
      </c>
      <c r="B669" t="s">
        <v>2807</v>
      </c>
      <c r="C669" t="s">
        <v>16179</v>
      </c>
      <c r="D669" t="s">
        <v>47</v>
      </c>
      <c r="E669">
        <v>4983</v>
      </c>
      <c r="F669" s="3">
        <v>41660</v>
      </c>
      <c r="H669" t="s">
        <v>15523</v>
      </c>
      <c r="I669" t="s">
        <v>16180</v>
      </c>
      <c r="K669" t="e">
        <v>#N/A</v>
      </c>
      <c r="S669" s="3"/>
    </row>
    <row r="670" spans="1:19" x14ac:dyDescent="0.25">
      <c r="A670" t="s">
        <v>2808</v>
      </c>
      <c r="B670" t="s">
        <v>2809</v>
      </c>
      <c r="C670" t="s">
        <v>2810</v>
      </c>
      <c r="D670" t="s">
        <v>23</v>
      </c>
      <c r="E670">
        <v>3138</v>
      </c>
      <c r="F670" s="3">
        <v>41769</v>
      </c>
      <c r="H670" t="s">
        <v>15523</v>
      </c>
      <c r="I670" t="s">
        <v>16181</v>
      </c>
      <c r="K670" t="e">
        <v>#N/A</v>
      </c>
      <c r="S670" s="3"/>
    </row>
    <row r="671" spans="1:19" x14ac:dyDescent="0.25">
      <c r="A671" t="s">
        <v>2811</v>
      </c>
      <c r="B671" t="s">
        <v>2812</v>
      </c>
      <c r="C671" t="s">
        <v>16179</v>
      </c>
      <c r="D671" t="s">
        <v>666</v>
      </c>
      <c r="E671">
        <v>5764</v>
      </c>
      <c r="F671" s="3">
        <v>42822</v>
      </c>
      <c r="H671" t="s">
        <v>15523</v>
      </c>
      <c r="I671" t="s">
        <v>16180</v>
      </c>
      <c r="K671" t="e">
        <v>#N/A</v>
      </c>
      <c r="S671" s="3"/>
    </row>
    <row r="672" spans="1:19" x14ac:dyDescent="0.25">
      <c r="A672" t="s">
        <v>2813</v>
      </c>
      <c r="B672" t="s">
        <v>2814</v>
      </c>
      <c r="C672" t="s">
        <v>2815</v>
      </c>
      <c r="D672" t="s">
        <v>23</v>
      </c>
      <c r="E672">
        <v>5999</v>
      </c>
      <c r="F672" s="3">
        <v>43470</v>
      </c>
      <c r="H672" t="s">
        <v>15523</v>
      </c>
      <c r="I672" t="s">
        <v>16182</v>
      </c>
      <c r="K672" t="e">
        <v>#N/A</v>
      </c>
      <c r="S672" s="3"/>
    </row>
    <row r="673" spans="1:19" x14ac:dyDescent="0.25">
      <c r="A673" t="s">
        <v>2816</v>
      </c>
      <c r="B673" t="s">
        <v>2817</v>
      </c>
      <c r="C673" t="s">
        <v>16179</v>
      </c>
      <c r="D673" t="s">
        <v>47</v>
      </c>
      <c r="E673">
        <v>3070</v>
      </c>
      <c r="F673" s="3">
        <v>41769</v>
      </c>
      <c r="H673" t="s">
        <v>15523</v>
      </c>
      <c r="I673" t="s">
        <v>16180</v>
      </c>
      <c r="K673" t="e">
        <v>#N/A</v>
      </c>
      <c r="S673" s="3"/>
    </row>
    <row r="674" spans="1:19" x14ac:dyDescent="0.25">
      <c r="A674" t="s">
        <v>2818</v>
      </c>
      <c r="B674" t="s">
        <v>2819</v>
      </c>
      <c r="C674" t="s">
        <v>16179</v>
      </c>
      <c r="D674" t="s">
        <v>2820</v>
      </c>
      <c r="E674">
        <v>3059</v>
      </c>
      <c r="F674" s="3">
        <v>41769</v>
      </c>
      <c r="H674" t="s">
        <v>15523</v>
      </c>
      <c r="I674" t="s">
        <v>16180</v>
      </c>
      <c r="K674" t="e">
        <v>#N/A</v>
      </c>
      <c r="S674" s="3"/>
    </row>
    <row r="675" spans="1:19" x14ac:dyDescent="0.25">
      <c r="A675" t="s">
        <v>2821</v>
      </c>
      <c r="B675" t="s">
        <v>2822</v>
      </c>
      <c r="C675" t="s">
        <v>16179</v>
      </c>
      <c r="D675" t="s">
        <v>47</v>
      </c>
      <c r="E675">
        <v>3076</v>
      </c>
      <c r="F675" s="3">
        <v>41769</v>
      </c>
      <c r="H675" t="s">
        <v>15523</v>
      </c>
      <c r="I675" t="s">
        <v>16180</v>
      </c>
      <c r="K675" t="e">
        <v>#N/A</v>
      </c>
      <c r="S675" s="3"/>
    </row>
    <row r="676" spans="1:19" x14ac:dyDescent="0.25">
      <c r="A676" t="s">
        <v>2823</v>
      </c>
      <c r="B676" t="s">
        <v>2824</v>
      </c>
      <c r="C676" t="s">
        <v>16179</v>
      </c>
      <c r="D676" t="s">
        <v>47</v>
      </c>
      <c r="E676">
        <v>6064</v>
      </c>
      <c r="F676" s="3">
        <v>43781</v>
      </c>
      <c r="H676" t="s">
        <v>15523</v>
      </c>
      <c r="I676" t="s">
        <v>16180</v>
      </c>
      <c r="K676" t="e">
        <v>#N/A</v>
      </c>
      <c r="S676" s="3"/>
    </row>
    <row r="677" spans="1:19" x14ac:dyDescent="0.25">
      <c r="A677" t="s">
        <v>2825</v>
      </c>
      <c r="B677" t="s">
        <v>2826</v>
      </c>
      <c r="C677" t="s">
        <v>16179</v>
      </c>
      <c r="D677" t="s">
        <v>47</v>
      </c>
      <c r="E677">
        <v>3081</v>
      </c>
      <c r="F677" s="3">
        <v>41769</v>
      </c>
      <c r="H677" t="s">
        <v>15523</v>
      </c>
      <c r="I677" t="s">
        <v>16180</v>
      </c>
      <c r="K677" t="e">
        <v>#N/A</v>
      </c>
      <c r="S677" s="3"/>
    </row>
    <row r="678" spans="1:19" x14ac:dyDescent="0.25">
      <c r="A678" t="s">
        <v>2827</v>
      </c>
      <c r="B678" t="s">
        <v>2828</v>
      </c>
      <c r="C678" t="s">
        <v>2829</v>
      </c>
      <c r="D678" t="s">
        <v>23</v>
      </c>
      <c r="E678">
        <v>3147</v>
      </c>
      <c r="F678" s="3">
        <v>41769</v>
      </c>
      <c r="H678" t="s">
        <v>15523</v>
      </c>
      <c r="I678" t="s">
        <v>16183</v>
      </c>
      <c r="K678" t="e">
        <v>#N/A</v>
      </c>
      <c r="S678" s="3"/>
    </row>
    <row r="679" spans="1:19" x14ac:dyDescent="0.25">
      <c r="A679" t="s">
        <v>2830</v>
      </c>
      <c r="B679" t="s">
        <v>2831</v>
      </c>
      <c r="C679" t="s">
        <v>2832</v>
      </c>
      <c r="D679" t="s">
        <v>23</v>
      </c>
      <c r="E679">
        <v>3148</v>
      </c>
      <c r="F679" s="3">
        <v>41769</v>
      </c>
      <c r="H679" t="s">
        <v>15523</v>
      </c>
      <c r="I679" t="s">
        <v>16184</v>
      </c>
      <c r="K679" t="e">
        <v>#N/A</v>
      </c>
      <c r="S679" s="3"/>
    </row>
    <row r="680" spans="1:19" x14ac:dyDescent="0.25">
      <c r="A680" t="s">
        <v>45</v>
      </c>
      <c r="B680" t="s">
        <v>46</v>
      </c>
      <c r="C680" t="s">
        <v>16179</v>
      </c>
      <c r="D680" t="s">
        <v>47</v>
      </c>
      <c r="E680">
        <v>278</v>
      </c>
      <c r="F680" s="3">
        <v>41769</v>
      </c>
      <c r="H680" t="s">
        <v>15523</v>
      </c>
      <c r="I680" t="s">
        <v>16180</v>
      </c>
      <c r="K680" t="e">
        <v>#N/A</v>
      </c>
      <c r="S680" s="3"/>
    </row>
    <row r="681" spans="1:19" x14ac:dyDescent="0.25">
      <c r="A681" t="s">
        <v>2833</v>
      </c>
      <c r="B681" t="s">
        <v>2834</v>
      </c>
      <c r="C681" t="s">
        <v>2835</v>
      </c>
      <c r="D681" t="s">
        <v>23</v>
      </c>
      <c r="E681">
        <v>292</v>
      </c>
      <c r="F681" s="3">
        <v>40702</v>
      </c>
      <c r="H681" t="s">
        <v>15523</v>
      </c>
      <c r="I681" t="s">
        <v>16185</v>
      </c>
      <c r="K681" t="e">
        <v>#N/A</v>
      </c>
      <c r="S681" s="3"/>
    </row>
    <row r="682" spans="1:19" x14ac:dyDescent="0.25">
      <c r="A682" t="s">
        <v>2836</v>
      </c>
      <c r="B682" t="s">
        <v>2837</v>
      </c>
      <c r="C682" t="s">
        <v>16179</v>
      </c>
      <c r="D682" t="s">
        <v>666</v>
      </c>
      <c r="E682">
        <v>3110</v>
      </c>
      <c r="F682" s="3">
        <v>41769</v>
      </c>
      <c r="H682" t="s">
        <v>15523</v>
      </c>
      <c r="I682" t="s">
        <v>16180</v>
      </c>
      <c r="K682" t="e">
        <v>#N/A</v>
      </c>
      <c r="S682" s="3"/>
    </row>
    <row r="683" spans="1:19" x14ac:dyDescent="0.25">
      <c r="A683" t="s">
        <v>2838</v>
      </c>
      <c r="B683" t="s">
        <v>2839</v>
      </c>
      <c r="C683" t="s">
        <v>16179</v>
      </c>
      <c r="D683" t="s">
        <v>666</v>
      </c>
      <c r="E683">
        <v>3111</v>
      </c>
      <c r="F683" s="3">
        <v>41769</v>
      </c>
      <c r="H683" t="s">
        <v>15523</v>
      </c>
      <c r="I683" t="s">
        <v>16180</v>
      </c>
      <c r="K683" t="e">
        <v>#N/A</v>
      </c>
      <c r="S683" s="3"/>
    </row>
    <row r="684" spans="1:19" x14ac:dyDescent="0.25">
      <c r="A684" t="s">
        <v>2840</v>
      </c>
      <c r="B684" t="s">
        <v>2841</v>
      </c>
      <c r="C684" t="s">
        <v>16179</v>
      </c>
      <c r="D684" t="s">
        <v>2820</v>
      </c>
      <c r="E684">
        <v>5347</v>
      </c>
      <c r="F684" s="3">
        <v>42269</v>
      </c>
      <c r="H684" t="s">
        <v>15523</v>
      </c>
      <c r="I684" t="s">
        <v>16180</v>
      </c>
      <c r="K684" t="e">
        <v>#N/A</v>
      </c>
      <c r="S684" s="3"/>
    </row>
    <row r="685" spans="1:19" x14ac:dyDescent="0.25">
      <c r="A685" t="s">
        <v>2842</v>
      </c>
      <c r="B685" t="s">
        <v>2843</v>
      </c>
      <c r="C685" t="s">
        <v>16179</v>
      </c>
      <c r="D685" t="s">
        <v>2820</v>
      </c>
      <c r="E685">
        <v>5348</v>
      </c>
      <c r="F685" s="3">
        <v>42269</v>
      </c>
      <c r="H685" t="s">
        <v>15523</v>
      </c>
      <c r="I685" t="s">
        <v>16180</v>
      </c>
      <c r="K685" t="e">
        <v>#N/A</v>
      </c>
      <c r="S685" s="3"/>
    </row>
    <row r="686" spans="1:19" x14ac:dyDescent="0.25">
      <c r="A686" t="s">
        <v>2844</v>
      </c>
      <c r="B686" t="s">
        <v>2845</v>
      </c>
      <c r="C686" t="s">
        <v>16179</v>
      </c>
      <c r="D686" t="s">
        <v>2820</v>
      </c>
      <c r="E686">
        <v>5349</v>
      </c>
      <c r="F686" s="3">
        <v>42269</v>
      </c>
      <c r="H686" t="s">
        <v>15523</v>
      </c>
      <c r="I686" t="s">
        <v>16180</v>
      </c>
      <c r="K686" t="e">
        <v>#N/A</v>
      </c>
      <c r="S686" s="3"/>
    </row>
    <row r="687" spans="1:19" x14ac:dyDescent="0.25">
      <c r="A687" t="s">
        <v>2846</v>
      </c>
      <c r="B687" t="s">
        <v>2847</v>
      </c>
      <c r="C687" t="s">
        <v>16179</v>
      </c>
      <c r="D687" t="s">
        <v>2820</v>
      </c>
      <c r="E687">
        <v>5350</v>
      </c>
      <c r="F687" s="3">
        <v>42269</v>
      </c>
      <c r="H687" t="s">
        <v>15523</v>
      </c>
      <c r="I687" t="s">
        <v>16180</v>
      </c>
      <c r="K687" t="e">
        <v>#N/A</v>
      </c>
      <c r="S687" s="3"/>
    </row>
    <row r="688" spans="1:19" x14ac:dyDescent="0.25">
      <c r="A688" t="s">
        <v>2848</v>
      </c>
      <c r="B688" t="s">
        <v>2849</v>
      </c>
      <c r="C688" t="s">
        <v>16179</v>
      </c>
      <c r="D688" t="s">
        <v>2820</v>
      </c>
      <c r="E688">
        <v>5351</v>
      </c>
      <c r="F688" s="3">
        <v>42269</v>
      </c>
      <c r="H688" t="s">
        <v>15523</v>
      </c>
      <c r="I688" t="s">
        <v>16180</v>
      </c>
      <c r="K688" t="e">
        <v>#N/A</v>
      </c>
      <c r="S688" s="3"/>
    </row>
    <row r="689" spans="1:19" x14ac:dyDescent="0.25">
      <c r="A689" t="s">
        <v>2850</v>
      </c>
      <c r="B689" t="s">
        <v>2851</v>
      </c>
      <c r="C689" t="s">
        <v>16179</v>
      </c>
      <c r="D689" t="s">
        <v>2820</v>
      </c>
      <c r="E689">
        <v>5352</v>
      </c>
      <c r="F689" s="3">
        <v>42269</v>
      </c>
      <c r="H689" t="s">
        <v>15523</v>
      </c>
      <c r="I689" t="s">
        <v>16180</v>
      </c>
      <c r="K689" t="e">
        <v>#N/A</v>
      </c>
      <c r="S689" s="3"/>
    </row>
    <row r="690" spans="1:19" x14ac:dyDescent="0.25">
      <c r="A690" t="s">
        <v>2852</v>
      </c>
      <c r="B690" t="s">
        <v>2853</v>
      </c>
      <c r="C690" t="s">
        <v>16179</v>
      </c>
      <c r="D690" t="s">
        <v>2820</v>
      </c>
      <c r="E690">
        <v>5353</v>
      </c>
      <c r="F690" s="3">
        <v>42269</v>
      </c>
      <c r="H690" t="s">
        <v>15523</v>
      </c>
      <c r="I690" t="s">
        <v>16180</v>
      </c>
      <c r="K690" t="e">
        <v>#N/A</v>
      </c>
      <c r="S690" s="3"/>
    </row>
    <row r="691" spans="1:19" x14ac:dyDescent="0.25">
      <c r="A691" t="s">
        <v>2854</v>
      </c>
      <c r="B691" t="s">
        <v>2855</v>
      </c>
      <c r="C691" t="s">
        <v>16179</v>
      </c>
      <c r="D691" t="s">
        <v>2820</v>
      </c>
      <c r="E691">
        <v>5354</v>
      </c>
      <c r="F691" s="3">
        <v>42269</v>
      </c>
      <c r="H691" t="s">
        <v>15523</v>
      </c>
      <c r="I691" t="s">
        <v>16180</v>
      </c>
      <c r="K691" t="e">
        <v>#N/A</v>
      </c>
      <c r="S691" s="3"/>
    </row>
    <row r="692" spans="1:19" x14ac:dyDescent="0.25">
      <c r="A692" t="s">
        <v>2856</v>
      </c>
      <c r="B692" t="s">
        <v>2857</v>
      </c>
      <c r="C692" t="s">
        <v>16179</v>
      </c>
      <c r="D692" t="s">
        <v>2820</v>
      </c>
      <c r="E692">
        <v>5355</v>
      </c>
      <c r="F692" s="3">
        <v>42269</v>
      </c>
      <c r="H692" t="s">
        <v>15523</v>
      </c>
      <c r="I692" t="s">
        <v>16180</v>
      </c>
      <c r="K692" t="e">
        <v>#N/A</v>
      </c>
      <c r="S692" s="3"/>
    </row>
    <row r="693" spans="1:19" x14ac:dyDescent="0.25">
      <c r="A693" t="s">
        <v>2858</v>
      </c>
      <c r="B693" t="s">
        <v>2859</v>
      </c>
      <c r="C693" t="s">
        <v>16179</v>
      </c>
      <c r="D693" t="s">
        <v>2820</v>
      </c>
      <c r="E693">
        <v>5356</v>
      </c>
      <c r="F693" s="3">
        <v>42269</v>
      </c>
      <c r="H693" t="s">
        <v>15523</v>
      </c>
      <c r="I693" t="s">
        <v>16180</v>
      </c>
      <c r="K693" t="e">
        <v>#N/A</v>
      </c>
      <c r="S693" s="3"/>
    </row>
    <row r="694" spans="1:19" x14ac:dyDescent="0.25">
      <c r="A694" t="s">
        <v>2860</v>
      </c>
      <c r="B694" t="s">
        <v>2861</v>
      </c>
      <c r="C694" t="s">
        <v>16179</v>
      </c>
      <c r="D694" t="s">
        <v>2862</v>
      </c>
      <c r="E694">
        <v>5793</v>
      </c>
      <c r="F694" s="3">
        <v>42858</v>
      </c>
      <c r="H694" t="s">
        <v>15523</v>
      </c>
      <c r="I694" t="s">
        <v>16180</v>
      </c>
      <c r="K694" t="e">
        <v>#N/A</v>
      </c>
      <c r="S694" s="3"/>
    </row>
    <row r="695" spans="1:19" x14ac:dyDescent="0.25">
      <c r="A695" t="s">
        <v>2863</v>
      </c>
      <c r="B695" t="s">
        <v>2864</v>
      </c>
      <c r="C695" t="s">
        <v>16179</v>
      </c>
      <c r="D695" t="s">
        <v>2862</v>
      </c>
      <c r="E695">
        <v>5794</v>
      </c>
      <c r="F695" s="3">
        <v>42858</v>
      </c>
      <c r="H695" t="s">
        <v>15523</v>
      </c>
      <c r="I695" t="s">
        <v>16180</v>
      </c>
      <c r="K695" t="e">
        <v>#N/A</v>
      </c>
      <c r="S695" s="3"/>
    </row>
    <row r="696" spans="1:19" x14ac:dyDescent="0.25">
      <c r="A696" t="s">
        <v>2865</v>
      </c>
      <c r="B696" t="s">
        <v>2866</v>
      </c>
      <c r="C696" t="s">
        <v>16179</v>
      </c>
      <c r="D696" t="s">
        <v>2862</v>
      </c>
      <c r="E696">
        <v>5795</v>
      </c>
      <c r="F696" s="3">
        <v>42858</v>
      </c>
      <c r="H696" t="s">
        <v>15523</v>
      </c>
      <c r="I696" t="s">
        <v>16180</v>
      </c>
      <c r="K696" t="e">
        <v>#N/A</v>
      </c>
      <c r="S696" s="3"/>
    </row>
    <row r="697" spans="1:19" x14ac:dyDescent="0.25">
      <c r="A697" t="s">
        <v>2867</v>
      </c>
      <c r="B697" t="s">
        <v>2868</v>
      </c>
      <c r="C697" t="s">
        <v>16179</v>
      </c>
      <c r="D697" t="s">
        <v>2862</v>
      </c>
      <c r="E697">
        <v>5796</v>
      </c>
      <c r="F697" s="3">
        <v>42858</v>
      </c>
      <c r="H697" t="s">
        <v>15523</v>
      </c>
      <c r="I697" t="s">
        <v>16180</v>
      </c>
      <c r="K697" t="e">
        <v>#N/A</v>
      </c>
      <c r="S697" s="3"/>
    </row>
    <row r="698" spans="1:19" x14ac:dyDescent="0.25">
      <c r="A698" t="s">
        <v>2869</v>
      </c>
      <c r="B698" t="s">
        <v>2870</v>
      </c>
      <c r="C698" t="s">
        <v>16179</v>
      </c>
      <c r="D698" t="s">
        <v>2820</v>
      </c>
      <c r="E698">
        <v>5357</v>
      </c>
      <c r="F698" s="3">
        <v>42269</v>
      </c>
      <c r="H698" t="s">
        <v>15523</v>
      </c>
      <c r="I698" t="s">
        <v>16180</v>
      </c>
      <c r="K698" t="e">
        <v>#N/A</v>
      </c>
      <c r="S698" s="3"/>
    </row>
    <row r="699" spans="1:19" x14ac:dyDescent="0.25">
      <c r="A699" t="s">
        <v>2871</v>
      </c>
      <c r="B699" t="s">
        <v>2872</v>
      </c>
      <c r="C699" t="s">
        <v>16179</v>
      </c>
      <c r="D699" t="s">
        <v>2862</v>
      </c>
      <c r="E699">
        <v>5797</v>
      </c>
      <c r="F699" s="3">
        <v>42858</v>
      </c>
      <c r="H699" t="s">
        <v>15523</v>
      </c>
      <c r="I699" t="s">
        <v>16180</v>
      </c>
      <c r="K699" t="e">
        <v>#N/A</v>
      </c>
      <c r="S699" s="3"/>
    </row>
    <row r="700" spans="1:19" x14ac:dyDescent="0.25">
      <c r="A700" t="s">
        <v>2873</v>
      </c>
      <c r="B700" t="s">
        <v>2874</v>
      </c>
      <c r="C700" t="s">
        <v>16179</v>
      </c>
      <c r="D700" t="s">
        <v>2862</v>
      </c>
      <c r="E700">
        <v>5798</v>
      </c>
      <c r="F700" s="3">
        <v>42858</v>
      </c>
      <c r="H700" t="s">
        <v>15523</v>
      </c>
      <c r="I700" t="s">
        <v>16180</v>
      </c>
      <c r="K700" t="e">
        <v>#N/A</v>
      </c>
      <c r="S700" s="3"/>
    </row>
    <row r="701" spans="1:19" x14ac:dyDescent="0.25">
      <c r="A701" t="s">
        <v>2875</v>
      </c>
      <c r="B701" t="s">
        <v>2876</v>
      </c>
      <c r="C701" t="s">
        <v>16179</v>
      </c>
      <c r="D701" t="s">
        <v>2862</v>
      </c>
      <c r="E701">
        <v>5799</v>
      </c>
      <c r="F701" s="3">
        <v>42858</v>
      </c>
      <c r="H701" t="s">
        <v>15523</v>
      </c>
      <c r="I701" t="s">
        <v>16180</v>
      </c>
      <c r="K701" t="e">
        <v>#N/A</v>
      </c>
      <c r="S701" s="3"/>
    </row>
    <row r="702" spans="1:19" x14ac:dyDescent="0.25">
      <c r="A702" t="s">
        <v>2877</v>
      </c>
      <c r="B702" t="s">
        <v>2878</v>
      </c>
      <c r="C702" t="s">
        <v>16179</v>
      </c>
      <c r="D702" t="s">
        <v>2862</v>
      </c>
      <c r="E702">
        <v>5800</v>
      </c>
      <c r="F702" s="3">
        <v>42858</v>
      </c>
      <c r="H702" t="s">
        <v>15523</v>
      </c>
      <c r="I702" t="s">
        <v>16180</v>
      </c>
      <c r="K702" t="e">
        <v>#N/A</v>
      </c>
      <c r="S702" s="3"/>
    </row>
    <row r="703" spans="1:19" x14ac:dyDescent="0.25">
      <c r="A703" t="s">
        <v>2879</v>
      </c>
      <c r="B703" t="s">
        <v>2880</v>
      </c>
      <c r="C703" t="s">
        <v>16179</v>
      </c>
      <c r="D703" t="s">
        <v>2862</v>
      </c>
      <c r="E703">
        <v>5801</v>
      </c>
      <c r="F703" s="3">
        <v>42858</v>
      </c>
      <c r="H703" t="s">
        <v>15523</v>
      </c>
      <c r="I703" t="s">
        <v>16180</v>
      </c>
      <c r="K703" t="e">
        <v>#N/A</v>
      </c>
      <c r="S703" s="3"/>
    </row>
    <row r="704" spans="1:19" x14ac:dyDescent="0.25">
      <c r="A704" t="s">
        <v>2881</v>
      </c>
      <c r="B704" t="s">
        <v>2882</v>
      </c>
      <c r="C704" t="s">
        <v>16179</v>
      </c>
      <c r="D704" t="s">
        <v>2862</v>
      </c>
      <c r="E704">
        <v>5802</v>
      </c>
      <c r="F704" s="3">
        <v>42858</v>
      </c>
      <c r="H704" t="s">
        <v>15523</v>
      </c>
      <c r="I704" t="s">
        <v>16180</v>
      </c>
      <c r="K704" t="e">
        <v>#N/A</v>
      </c>
      <c r="S704" s="3"/>
    </row>
    <row r="705" spans="1:19" x14ac:dyDescent="0.25">
      <c r="A705" t="s">
        <v>2883</v>
      </c>
      <c r="B705" t="s">
        <v>2884</v>
      </c>
      <c r="C705" t="s">
        <v>16179</v>
      </c>
      <c r="D705" t="s">
        <v>2862</v>
      </c>
      <c r="E705">
        <v>5803</v>
      </c>
      <c r="F705" s="3">
        <v>42858</v>
      </c>
      <c r="H705" t="s">
        <v>15523</v>
      </c>
      <c r="I705" t="s">
        <v>16180</v>
      </c>
      <c r="K705" t="e">
        <v>#N/A</v>
      </c>
      <c r="S705" s="3"/>
    </row>
    <row r="706" spans="1:19" x14ac:dyDescent="0.25">
      <c r="A706" t="s">
        <v>2885</v>
      </c>
      <c r="B706" t="s">
        <v>2886</v>
      </c>
      <c r="C706" t="s">
        <v>16179</v>
      </c>
      <c r="D706" t="s">
        <v>2862</v>
      </c>
      <c r="E706">
        <v>5804</v>
      </c>
      <c r="F706" s="3">
        <v>42858</v>
      </c>
      <c r="H706" t="s">
        <v>15523</v>
      </c>
      <c r="I706" t="s">
        <v>16180</v>
      </c>
      <c r="K706" t="e">
        <v>#N/A</v>
      </c>
      <c r="S706" s="3"/>
    </row>
    <row r="707" spans="1:19" x14ac:dyDescent="0.25">
      <c r="A707" t="s">
        <v>2887</v>
      </c>
      <c r="B707" t="s">
        <v>2888</v>
      </c>
      <c r="C707" t="s">
        <v>16179</v>
      </c>
      <c r="D707" t="s">
        <v>2862</v>
      </c>
      <c r="E707">
        <v>5769</v>
      </c>
      <c r="F707" s="3">
        <v>43082</v>
      </c>
      <c r="H707" t="s">
        <v>15523</v>
      </c>
      <c r="I707" t="s">
        <v>16180</v>
      </c>
      <c r="K707" t="e">
        <v>#N/A</v>
      </c>
      <c r="S707" s="3"/>
    </row>
    <row r="708" spans="1:19" x14ac:dyDescent="0.25">
      <c r="A708" t="s">
        <v>2889</v>
      </c>
      <c r="B708" t="s">
        <v>2890</v>
      </c>
      <c r="C708" t="s">
        <v>16179</v>
      </c>
      <c r="D708" t="s">
        <v>2862</v>
      </c>
      <c r="E708">
        <v>5770</v>
      </c>
      <c r="F708" s="3">
        <v>42858</v>
      </c>
      <c r="H708" t="s">
        <v>15523</v>
      </c>
      <c r="I708" t="s">
        <v>16180</v>
      </c>
      <c r="K708" t="e">
        <v>#N/A</v>
      </c>
      <c r="S708" s="3"/>
    </row>
    <row r="709" spans="1:19" x14ac:dyDescent="0.25">
      <c r="A709" t="s">
        <v>2891</v>
      </c>
      <c r="B709" t="s">
        <v>2892</v>
      </c>
      <c r="C709" t="s">
        <v>16179</v>
      </c>
      <c r="D709" t="s">
        <v>2862</v>
      </c>
      <c r="E709">
        <v>5771</v>
      </c>
      <c r="F709" s="3">
        <v>42858</v>
      </c>
      <c r="H709" t="s">
        <v>15523</v>
      </c>
      <c r="I709" t="s">
        <v>16180</v>
      </c>
      <c r="K709" t="e">
        <v>#N/A</v>
      </c>
      <c r="S709" s="3"/>
    </row>
    <row r="710" spans="1:19" x14ac:dyDescent="0.25">
      <c r="A710" t="s">
        <v>2893</v>
      </c>
      <c r="B710" t="s">
        <v>2894</v>
      </c>
      <c r="C710" t="s">
        <v>16179</v>
      </c>
      <c r="D710" t="s">
        <v>2862</v>
      </c>
      <c r="E710">
        <v>5772</v>
      </c>
      <c r="F710" s="3">
        <v>42858</v>
      </c>
      <c r="H710" t="s">
        <v>15523</v>
      </c>
      <c r="I710" t="s">
        <v>16180</v>
      </c>
      <c r="K710" t="e">
        <v>#N/A</v>
      </c>
      <c r="S710" s="3"/>
    </row>
    <row r="711" spans="1:19" x14ac:dyDescent="0.25">
      <c r="A711" t="s">
        <v>2895</v>
      </c>
      <c r="B711" t="s">
        <v>2896</v>
      </c>
      <c r="C711" t="s">
        <v>16179</v>
      </c>
      <c r="D711" t="s">
        <v>2862</v>
      </c>
      <c r="E711">
        <v>5773</v>
      </c>
      <c r="F711" s="3">
        <v>42858</v>
      </c>
      <c r="H711" t="s">
        <v>15523</v>
      </c>
      <c r="I711" t="s">
        <v>16180</v>
      </c>
      <c r="K711" t="e">
        <v>#N/A</v>
      </c>
      <c r="S711" s="3"/>
    </row>
    <row r="712" spans="1:19" x14ac:dyDescent="0.25">
      <c r="A712" t="s">
        <v>2897</v>
      </c>
      <c r="B712" t="s">
        <v>2898</v>
      </c>
      <c r="C712" t="s">
        <v>16179</v>
      </c>
      <c r="D712" t="s">
        <v>2862</v>
      </c>
      <c r="E712">
        <v>5774</v>
      </c>
      <c r="F712" s="3">
        <v>42858</v>
      </c>
      <c r="H712" t="s">
        <v>15523</v>
      </c>
      <c r="I712" t="s">
        <v>16180</v>
      </c>
      <c r="K712" t="e">
        <v>#N/A</v>
      </c>
      <c r="S712" s="3"/>
    </row>
    <row r="713" spans="1:19" x14ac:dyDescent="0.25">
      <c r="A713" t="s">
        <v>2899</v>
      </c>
      <c r="B713" t="s">
        <v>2900</v>
      </c>
      <c r="C713" t="s">
        <v>16179</v>
      </c>
      <c r="D713" t="s">
        <v>2862</v>
      </c>
      <c r="E713">
        <v>5807</v>
      </c>
      <c r="F713" s="3">
        <v>42858</v>
      </c>
      <c r="H713" t="s">
        <v>15523</v>
      </c>
      <c r="I713" t="s">
        <v>16180</v>
      </c>
      <c r="K713" t="e">
        <v>#N/A</v>
      </c>
      <c r="S713" s="3"/>
    </row>
    <row r="714" spans="1:19" x14ac:dyDescent="0.25">
      <c r="A714" t="s">
        <v>2901</v>
      </c>
      <c r="B714" t="s">
        <v>2902</v>
      </c>
      <c r="C714" t="s">
        <v>16179</v>
      </c>
      <c r="D714" t="s">
        <v>2862</v>
      </c>
      <c r="E714">
        <v>5808</v>
      </c>
      <c r="F714" s="3">
        <v>42858</v>
      </c>
      <c r="H714" t="s">
        <v>15523</v>
      </c>
      <c r="I714" t="s">
        <v>16180</v>
      </c>
      <c r="K714" t="e">
        <v>#N/A</v>
      </c>
      <c r="S714" s="3"/>
    </row>
    <row r="715" spans="1:19" x14ac:dyDescent="0.25">
      <c r="A715" t="s">
        <v>2903</v>
      </c>
      <c r="B715" t="s">
        <v>2904</v>
      </c>
      <c r="C715" t="s">
        <v>16179</v>
      </c>
      <c r="D715" t="s">
        <v>2862</v>
      </c>
      <c r="E715">
        <v>5809</v>
      </c>
      <c r="F715" s="3">
        <v>42858</v>
      </c>
      <c r="H715" t="s">
        <v>15523</v>
      </c>
      <c r="I715" t="s">
        <v>16180</v>
      </c>
      <c r="K715" t="e">
        <v>#N/A</v>
      </c>
      <c r="S715" s="3"/>
    </row>
    <row r="716" spans="1:19" x14ac:dyDescent="0.25">
      <c r="A716" t="s">
        <v>2905</v>
      </c>
      <c r="B716" t="s">
        <v>2906</v>
      </c>
      <c r="C716" t="s">
        <v>16179</v>
      </c>
      <c r="D716" t="s">
        <v>2862</v>
      </c>
      <c r="E716">
        <v>5810</v>
      </c>
      <c r="F716" s="3">
        <v>42858</v>
      </c>
      <c r="H716" t="s">
        <v>15523</v>
      </c>
      <c r="I716" t="s">
        <v>16180</v>
      </c>
      <c r="K716" t="e">
        <v>#N/A</v>
      </c>
      <c r="S716" s="3"/>
    </row>
    <row r="717" spans="1:19" x14ac:dyDescent="0.25">
      <c r="A717" t="s">
        <v>2907</v>
      </c>
      <c r="B717" t="s">
        <v>2908</v>
      </c>
      <c r="C717" t="s">
        <v>16179</v>
      </c>
      <c r="D717" t="s">
        <v>2862</v>
      </c>
      <c r="E717">
        <v>5775</v>
      </c>
      <c r="F717" s="3">
        <v>43082</v>
      </c>
      <c r="H717" t="s">
        <v>15523</v>
      </c>
      <c r="I717" t="s">
        <v>16180</v>
      </c>
      <c r="K717" t="e">
        <v>#N/A</v>
      </c>
      <c r="S717" s="3"/>
    </row>
    <row r="718" spans="1:19" x14ac:dyDescent="0.25">
      <c r="A718" t="s">
        <v>2909</v>
      </c>
      <c r="B718" t="s">
        <v>2910</v>
      </c>
      <c r="C718" t="s">
        <v>16179</v>
      </c>
      <c r="D718" t="s">
        <v>2862</v>
      </c>
      <c r="E718">
        <v>5776</v>
      </c>
      <c r="F718" s="3">
        <v>42858</v>
      </c>
      <c r="H718" t="s">
        <v>15523</v>
      </c>
      <c r="I718" t="s">
        <v>16180</v>
      </c>
      <c r="K718" t="e">
        <v>#N/A</v>
      </c>
      <c r="S718" s="3"/>
    </row>
    <row r="719" spans="1:19" x14ac:dyDescent="0.25">
      <c r="A719" t="s">
        <v>2911</v>
      </c>
      <c r="B719" t="s">
        <v>2912</v>
      </c>
      <c r="C719" t="s">
        <v>16179</v>
      </c>
      <c r="D719" t="s">
        <v>2862</v>
      </c>
      <c r="E719">
        <v>5777</v>
      </c>
      <c r="F719" s="3">
        <v>42858</v>
      </c>
      <c r="H719" t="s">
        <v>15523</v>
      </c>
      <c r="I719" t="s">
        <v>16180</v>
      </c>
      <c r="K719" t="e">
        <v>#N/A</v>
      </c>
      <c r="S719" s="3"/>
    </row>
    <row r="720" spans="1:19" x14ac:dyDescent="0.25">
      <c r="A720" t="s">
        <v>2913</v>
      </c>
      <c r="B720" t="s">
        <v>2914</v>
      </c>
      <c r="C720" t="s">
        <v>16179</v>
      </c>
      <c r="D720" t="s">
        <v>2862</v>
      </c>
      <c r="E720">
        <v>5778</v>
      </c>
      <c r="F720" s="3">
        <v>42858</v>
      </c>
      <c r="H720" t="s">
        <v>15523</v>
      </c>
      <c r="I720" t="s">
        <v>16180</v>
      </c>
      <c r="K720" t="e">
        <v>#N/A</v>
      </c>
      <c r="S720" s="3"/>
    </row>
    <row r="721" spans="1:19" x14ac:dyDescent="0.25">
      <c r="A721" t="s">
        <v>2915</v>
      </c>
      <c r="B721" t="s">
        <v>2916</v>
      </c>
      <c r="C721" t="s">
        <v>16179</v>
      </c>
      <c r="D721" t="s">
        <v>2862</v>
      </c>
      <c r="E721">
        <v>5779</v>
      </c>
      <c r="F721" s="3">
        <v>42858</v>
      </c>
      <c r="H721" t="s">
        <v>15523</v>
      </c>
      <c r="I721" t="s">
        <v>16180</v>
      </c>
      <c r="K721" t="e">
        <v>#N/A</v>
      </c>
      <c r="S721" s="3"/>
    </row>
    <row r="722" spans="1:19" x14ac:dyDescent="0.25">
      <c r="A722" t="s">
        <v>2917</v>
      </c>
      <c r="B722" t="s">
        <v>2918</v>
      </c>
      <c r="C722" t="s">
        <v>16179</v>
      </c>
      <c r="D722" t="s">
        <v>2862</v>
      </c>
      <c r="E722">
        <v>5780</v>
      </c>
      <c r="F722" s="3">
        <v>42858</v>
      </c>
      <c r="H722" t="s">
        <v>15523</v>
      </c>
      <c r="I722" t="s">
        <v>16180</v>
      </c>
      <c r="K722" t="e">
        <v>#N/A</v>
      </c>
      <c r="S722" s="3"/>
    </row>
    <row r="723" spans="1:19" x14ac:dyDescent="0.25">
      <c r="A723" t="s">
        <v>2919</v>
      </c>
      <c r="B723" t="s">
        <v>2920</v>
      </c>
      <c r="C723" t="s">
        <v>16179</v>
      </c>
      <c r="D723" t="s">
        <v>2862</v>
      </c>
      <c r="E723">
        <v>5781</v>
      </c>
      <c r="F723" s="3">
        <v>43082</v>
      </c>
      <c r="H723" t="s">
        <v>15523</v>
      </c>
      <c r="I723" t="s">
        <v>16180</v>
      </c>
      <c r="K723" t="e">
        <v>#N/A</v>
      </c>
      <c r="S723" s="3"/>
    </row>
    <row r="724" spans="1:19" x14ac:dyDescent="0.25">
      <c r="A724" t="s">
        <v>2921</v>
      </c>
      <c r="B724" t="s">
        <v>2922</v>
      </c>
      <c r="C724" t="s">
        <v>16179</v>
      </c>
      <c r="D724" t="s">
        <v>2862</v>
      </c>
      <c r="E724">
        <v>5782</v>
      </c>
      <c r="F724" s="3">
        <v>43082</v>
      </c>
      <c r="H724" t="s">
        <v>15523</v>
      </c>
      <c r="I724" t="s">
        <v>16180</v>
      </c>
      <c r="K724" t="e">
        <v>#N/A</v>
      </c>
      <c r="S724" s="3"/>
    </row>
    <row r="725" spans="1:19" x14ac:dyDescent="0.25">
      <c r="A725" t="s">
        <v>2923</v>
      </c>
      <c r="B725" t="s">
        <v>2924</v>
      </c>
      <c r="C725" t="s">
        <v>16179</v>
      </c>
      <c r="D725" t="s">
        <v>2862</v>
      </c>
      <c r="E725">
        <v>5783</v>
      </c>
      <c r="F725" s="3">
        <v>42858</v>
      </c>
      <c r="H725" t="s">
        <v>15523</v>
      </c>
      <c r="I725" t="s">
        <v>16180</v>
      </c>
      <c r="K725" t="e">
        <v>#N/A</v>
      </c>
      <c r="S725" s="3"/>
    </row>
    <row r="726" spans="1:19" x14ac:dyDescent="0.25">
      <c r="A726" t="s">
        <v>2925</v>
      </c>
      <c r="B726" t="s">
        <v>2926</v>
      </c>
      <c r="C726" t="s">
        <v>16179</v>
      </c>
      <c r="D726" t="s">
        <v>2862</v>
      </c>
      <c r="E726">
        <v>5784</v>
      </c>
      <c r="F726" s="3">
        <v>42858</v>
      </c>
      <c r="H726" t="s">
        <v>15523</v>
      </c>
      <c r="I726" t="s">
        <v>16180</v>
      </c>
      <c r="K726" t="e">
        <v>#N/A</v>
      </c>
      <c r="S726" s="3"/>
    </row>
    <row r="727" spans="1:19" x14ac:dyDescent="0.25">
      <c r="A727" t="s">
        <v>2927</v>
      </c>
      <c r="B727" t="s">
        <v>2928</v>
      </c>
      <c r="C727" t="s">
        <v>16179</v>
      </c>
      <c r="D727" t="s">
        <v>2862</v>
      </c>
      <c r="E727">
        <v>5785</v>
      </c>
      <c r="F727" s="3">
        <v>42858</v>
      </c>
      <c r="H727" t="s">
        <v>15523</v>
      </c>
      <c r="I727" t="s">
        <v>16180</v>
      </c>
      <c r="K727" t="e">
        <v>#N/A</v>
      </c>
      <c r="S727" s="3"/>
    </row>
    <row r="728" spans="1:19" x14ac:dyDescent="0.25">
      <c r="A728" t="s">
        <v>2929</v>
      </c>
      <c r="B728" t="s">
        <v>2930</v>
      </c>
      <c r="C728" t="s">
        <v>16179</v>
      </c>
      <c r="D728" t="s">
        <v>2862</v>
      </c>
      <c r="E728">
        <v>5805</v>
      </c>
      <c r="F728" s="3">
        <v>42858</v>
      </c>
      <c r="H728" t="s">
        <v>15523</v>
      </c>
      <c r="I728" t="s">
        <v>16180</v>
      </c>
      <c r="K728" t="e">
        <v>#N/A</v>
      </c>
      <c r="S728" s="3"/>
    </row>
    <row r="729" spans="1:19" x14ac:dyDescent="0.25">
      <c r="A729" t="s">
        <v>2931</v>
      </c>
      <c r="B729" t="s">
        <v>2932</v>
      </c>
      <c r="C729" t="s">
        <v>16179</v>
      </c>
      <c r="D729" t="s">
        <v>2862</v>
      </c>
      <c r="E729">
        <v>5806</v>
      </c>
      <c r="F729" s="3">
        <v>42858</v>
      </c>
      <c r="H729" t="s">
        <v>15523</v>
      </c>
      <c r="I729" t="s">
        <v>16180</v>
      </c>
      <c r="K729" t="e">
        <v>#N/A</v>
      </c>
      <c r="S729" s="3"/>
    </row>
    <row r="730" spans="1:19" x14ac:dyDescent="0.25">
      <c r="A730" t="s">
        <v>2933</v>
      </c>
      <c r="B730" t="s">
        <v>2934</v>
      </c>
      <c r="C730" t="s">
        <v>16179</v>
      </c>
      <c r="D730" t="s">
        <v>2862</v>
      </c>
      <c r="E730">
        <v>5786</v>
      </c>
      <c r="F730" s="3">
        <v>42858</v>
      </c>
      <c r="H730" t="s">
        <v>15523</v>
      </c>
      <c r="I730" t="s">
        <v>16180</v>
      </c>
      <c r="K730" t="e">
        <v>#N/A</v>
      </c>
      <c r="S730" s="3"/>
    </row>
    <row r="731" spans="1:19" x14ac:dyDescent="0.25">
      <c r="A731" t="s">
        <v>2935</v>
      </c>
      <c r="B731" t="s">
        <v>2936</v>
      </c>
      <c r="C731" t="s">
        <v>16179</v>
      </c>
      <c r="D731" t="s">
        <v>2862</v>
      </c>
      <c r="E731">
        <v>5787</v>
      </c>
      <c r="F731" s="3">
        <v>42858</v>
      </c>
      <c r="H731" t="s">
        <v>15523</v>
      </c>
      <c r="I731" t="s">
        <v>16180</v>
      </c>
      <c r="K731" t="e">
        <v>#N/A</v>
      </c>
      <c r="S731" s="3"/>
    </row>
    <row r="732" spans="1:19" x14ac:dyDescent="0.25">
      <c r="A732" t="s">
        <v>2937</v>
      </c>
      <c r="B732" t="s">
        <v>2938</v>
      </c>
      <c r="C732" t="s">
        <v>16179</v>
      </c>
      <c r="D732" t="s">
        <v>2862</v>
      </c>
      <c r="E732">
        <v>5788</v>
      </c>
      <c r="F732" s="3">
        <v>42858</v>
      </c>
      <c r="H732" t="s">
        <v>15523</v>
      </c>
      <c r="I732" t="s">
        <v>16180</v>
      </c>
      <c r="K732" t="e">
        <v>#N/A</v>
      </c>
      <c r="S732" s="3"/>
    </row>
    <row r="733" spans="1:19" x14ac:dyDescent="0.25">
      <c r="A733" t="s">
        <v>2939</v>
      </c>
      <c r="B733" t="s">
        <v>2940</v>
      </c>
      <c r="C733" t="s">
        <v>16179</v>
      </c>
      <c r="D733" t="s">
        <v>2862</v>
      </c>
      <c r="E733">
        <v>5789</v>
      </c>
      <c r="F733" s="3">
        <v>42858</v>
      </c>
      <c r="H733" t="s">
        <v>15523</v>
      </c>
      <c r="I733" t="s">
        <v>16180</v>
      </c>
      <c r="K733" t="e">
        <v>#N/A</v>
      </c>
      <c r="S733" s="3"/>
    </row>
    <row r="734" spans="1:19" x14ac:dyDescent="0.25">
      <c r="A734" t="s">
        <v>2941</v>
      </c>
      <c r="B734" t="s">
        <v>2942</v>
      </c>
      <c r="C734" t="s">
        <v>16179</v>
      </c>
      <c r="D734" t="s">
        <v>2862</v>
      </c>
      <c r="E734">
        <v>5790</v>
      </c>
      <c r="F734" s="3">
        <v>42858</v>
      </c>
      <c r="H734" t="s">
        <v>15523</v>
      </c>
      <c r="I734" t="s">
        <v>16180</v>
      </c>
      <c r="K734" t="e">
        <v>#N/A</v>
      </c>
      <c r="S734" s="3"/>
    </row>
    <row r="735" spans="1:19" x14ac:dyDescent="0.25">
      <c r="A735" t="s">
        <v>2943</v>
      </c>
      <c r="B735" t="s">
        <v>2944</v>
      </c>
      <c r="C735" t="s">
        <v>16179</v>
      </c>
      <c r="D735" t="s">
        <v>2862</v>
      </c>
      <c r="E735">
        <v>5791</v>
      </c>
      <c r="F735" s="3">
        <v>42858</v>
      </c>
      <c r="H735" t="s">
        <v>15523</v>
      </c>
      <c r="I735" t="s">
        <v>16180</v>
      </c>
      <c r="K735" t="e">
        <v>#N/A</v>
      </c>
      <c r="S735" s="3"/>
    </row>
    <row r="736" spans="1:19" x14ac:dyDescent="0.25">
      <c r="A736" t="s">
        <v>2945</v>
      </c>
      <c r="B736" t="s">
        <v>2946</v>
      </c>
      <c r="C736" t="s">
        <v>16179</v>
      </c>
      <c r="D736" t="s">
        <v>2862</v>
      </c>
      <c r="E736">
        <v>5792</v>
      </c>
      <c r="F736" s="3">
        <v>42858</v>
      </c>
      <c r="H736" t="s">
        <v>15523</v>
      </c>
      <c r="I736" t="s">
        <v>16180</v>
      </c>
      <c r="K736" t="e">
        <v>#N/A</v>
      </c>
      <c r="S736" s="3"/>
    </row>
    <row r="737" spans="1:19" x14ac:dyDescent="0.25">
      <c r="A737" t="s">
        <v>2947</v>
      </c>
      <c r="B737" t="s">
        <v>2948</v>
      </c>
      <c r="C737" t="s">
        <v>16179</v>
      </c>
      <c r="D737" t="s">
        <v>666</v>
      </c>
      <c r="E737">
        <v>3112</v>
      </c>
      <c r="F737" s="3">
        <v>41769</v>
      </c>
      <c r="H737" t="s">
        <v>15523</v>
      </c>
      <c r="I737" t="s">
        <v>16180</v>
      </c>
      <c r="K737" t="e">
        <v>#N/A</v>
      </c>
      <c r="S737" s="3"/>
    </row>
    <row r="738" spans="1:19" x14ac:dyDescent="0.25">
      <c r="A738" t="s">
        <v>2949</v>
      </c>
      <c r="B738" t="s">
        <v>2950</v>
      </c>
      <c r="C738" t="s">
        <v>2951</v>
      </c>
      <c r="D738" t="s">
        <v>23</v>
      </c>
      <c r="E738">
        <v>3184</v>
      </c>
      <c r="F738" s="3">
        <v>41769</v>
      </c>
      <c r="H738" t="s">
        <v>15523</v>
      </c>
      <c r="I738" t="s">
        <v>16186</v>
      </c>
      <c r="K738" t="e">
        <v>#N/A</v>
      </c>
      <c r="S738" s="3"/>
    </row>
    <row r="739" spans="1:19" x14ac:dyDescent="0.25">
      <c r="A739" t="s">
        <v>2952</v>
      </c>
      <c r="B739" t="s">
        <v>2953</v>
      </c>
      <c r="C739" t="s">
        <v>2954</v>
      </c>
      <c r="D739" t="s">
        <v>23</v>
      </c>
      <c r="E739">
        <v>3185</v>
      </c>
      <c r="F739" s="3">
        <v>41769</v>
      </c>
      <c r="H739" t="s">
        <v>15523</v>
      </c>
      <c r="I739" t="s">
        <v>16187</v>
      </c>
      <c r="K739" t="e">
        <v>#N/A</v>
      </c>
      <c r="S739" s="3"/>
    </row>
    <row r="740" spans="1:19" x14ac:dyDescent="0.25">
      <c r="A740" t="s">
        <v>756</v>
      </c>
      <c r="B740" t="s">
        <v>758</v>
      </c>
      <c r="C740" t="s">
        <v>759</v>
      </c>
      <c r="D740" t="s">
        <v>23</v>
      </c>
      <c r="E740">
        <v>3187</v>
      </c>
      <c r="F740" s="3">
        <v>41769</v>
      </c>
      <c r="H740" t="s">
        <v>15523</v>
      </c>
      <c r="I740" t="s">
        <v>16188</v>
      </c>
      <c r="K740" t="e">
        <v>#N/A</v>
      </c>
      <c r="S740" s="3"/>
    </row>
    <row r="741" spans="1:19" x14ac:dyDescent="0.25">
      <c r="A741" t="s">
        <v>2955</v>
      </c>
      <c r="B741" t="s">
        <v>2956</v>
      </c>
      <c r="C741" t="s">
        <v>2957</v>
      </c>
      <c r="D741" t="s">
        <v>23</v>
      </c>
      <c r="E741">
        <v>3188</v>
      </c>
      <c r="F741" s="3">
        <v>41769</v>
      </c>
      <c r="H741" t="s">
        <v>15523</v>
      </c>
      <c r="I741" t="s">
        <v>16189</v>
      </c>
      <c r="K741" t="e">
        <v>#N/A</v>
      </c>
      <c r="S741" s="3"/>
    </row>
    <row r="742" spans="1:19" x14ac:dyDescent="0.25">
      <c r="A742" t="s">
        <v>2958</v>
      </c>
      <c r="B742" t="s">
        <v>2959</v>
      </c>
      <c r="C742" t="s">
        <v>16179</v>
      </c>
      <c r="D742" t="s">
        <v>47</v>
      </c>
      <c r="E742">
        <v>3115</v>
      </c>
      <c r="F742" s="3">
        <v>41935</v>
      </c>
      <c r="H742" t="s">
        <v>15523</v>
      </c>
      <c r="I742" t="s">
        <v>16180</v>
      </c>
      <c r="K742" t="e">
        <v>#N/A</v>
      </c>
      <c r="S742" s="3"/>
    </row>
    <row r="743" spans="1:19" x14ac:dyDescent="0.25">
      <c r="A743" t="s">
        <v>2960</v>
      </c>
      <c r="B743" t="s">
        <v>2961</v>
      </c>
      <c r="C743" t="s">
        <v>16179</v>
      </c>
      <c r="D743" t="s">
        <v>47</v>
      </c>
      <c r="E743">
        <v>5148</v>
      </c>
      <c r="F743" s="3">
        <v>41935</v>
      </c>
      <c r="H743" t="s">
        <v>15523</v>
      </c>
      <c r="I743" t="s">
        <v>16180</v>
      </c>
      <c r="K743" t="e">
        <v>#N/A</v>
      </c>
      <c r="S743" s="3"/>
    </row>
    <row r="744" spans="1:19" x14ac:dyDescent="0.25">
      <c r="A744" t="s">
        <v>538</v>
      </c>
      <c r="B744" t="s">
        <v>540</v>
      </c>
      <c r="C744" t="s">
        <v>541</v>
      </c>
      <c r="D744" t="s">
        <v>23</v>
      </c>
      <c r="E744">
        <v>3114</v>
      </c>
      <c r="F744" s="3">
        <v>41769</v>
      </c>
      <c r="H744" t="s">
        <v>15523</v>
      </c>
      <c r="I744" t="s">
        <v>16190</v>
      </c>
      <c r="K744">
        <v>141</v>
      </c>
      <c r="S744" s="3"/>
    </row>
    <row r="745" spans="1:19" x14ac:dyDescent="0.25">
      <c r="A745" t="s">
        <v>2962</v>
      </c>
      <c r="B745" t="s">
        <v>2963</v>
      </c>
      <c r="C745" t="s">
        <v>2964</v>
      </c>
      <c r="D745" t="s">
        <v>23</v>
      </c>
      <c r="E745">
        <v>3116</v>
      </c>
      <c r="F745" s="3">
        <v>41769</v>
      </c>
      <c r="H745" t="s">
        <v>15523</v>
      </c>
      <c r="I745" t="s">
        <v>16191</v>
      </c>
      <c r="K745" t="e">
        <v>#N/A</v>
      </c>
      <c r="S745" s="3"/>
    </row>
    <row r="746" spans="1:19" x14ac:dyDescent="0.25">
      <c r="A746" t="s">
        <v>2965</v>
      </c>
      <c r="B746" t="s">
        <v>2966</v>
      </c>
      <c r="C746" t="s">
        <v>2967</v>
      </c>
      <c r="D746" t="s">
        <v>23</v>
      </c>
      <c r="E746">
        <v>247</v>
      </c>
      <c r="F746" s="3">
        <v>40702</v>
      </c>
      <c r="H746" t="s">
        <v>15523</v>
      </c>
      <c r="I746" t="s">
        <v>16192</v>
      </c>
      <c r="K746" t="e">
        <v>#N/A</v>
      </c>
      <c r="S746" s="3"/>
    </row>
    <row r="747" spans="1:19" x14ac:dyDescent="0.25">
      <c r="A747" t="s">
        <v>2968</v>
      </c>
      <c r="B747" t="s">
        <v>2969</v>
      </c>
      <c r="C747" t="s">
        <v>2970</v>
      </c>
      <c r="D747" t="s">
        <v>23</v>
      </c>
      <c r="E747">
        <v>248</v>
      </c>
      <c r="F747" s="3">
        <v>40702</v>
      </c>
      <c r="H747" t="s">
        <v>15523</v>
      </c>
      <c r="I747" t="s">
        <v>16193</v>
      </c>
      <c r="K747" t="e">
        <v>#N/A</v>
      </c>
      <c r="S747" s="3"/>
    </row>
    <row r="748" spans="1:19" x14ac:dyDescent="0.25">
      <c r="A748" t="s">
        <v>370</v>
      </c>
      <c r="B748" t="s">
        <v>372</v>
      </c>
      <c r="C748" t="s">
        <v>373</v>
      </c>
      <c r="D748" t="s">
        <v>23</v>
      </c>
      <c r="E748">
        <v>1692</v>
      </c>
      <c r="F748" s="3">
        <v>40702</v>
      </c>
      <c r="H748" t="s">
        <v>15523</v>
      </c>
      <c r="I748" t="s">
        <v>16194</v>
      </c>
      <c r="K748">
        <v>99</v>
      </c>
      <c r="S748" s="3"/>
    </row>
    <row r="749" spans="1:19" x14ac:dyDescent="0.25">
      <c r="A749" t="s">
        <v>2971</v>
      </c>
      <c r="B749" t="s">
        <v>2972</v>
      </c>
      <c r="C749" t="s">
        <v>2973</v>
      </c>
      <c r="D749" t="s">
        <v>23</v>
      </c>
      <c r="E749">
        <v>3144</v>
      </c>
      <c r="F749" s="3">
        <v>41852</v>
      </c>
      <c r="H749" t="s">
        <v>15523</v>
      </c>
      <c r="I749" t="s">
        <v>16195</v>
      </c>
      <c r="K749" t="e">
        <v>#N/A</v>
      </c>
      <c r="S749" s="3"/>
    </row>
    <row r="750" spans="1:19" x14ac:dyDescent="0.25">
      <c r="A750" t="s">
        <v>2974</v>
      </c>
      <c r="B750" t="s">
        <v>2975</v>
      </c>
      <c r="C750" t="s">
        <v>2976</v>
      </c>
      <c r="D750" t="s">
        <v>23</v>
      </c>
      <c r="E750">
        <v>3145</v>
      </c>
      <c r="F750" s="3">
        <v>41769</v>
      </c>
      <c r="H750" t="s">
        <v>15523</v>
      </c>
      <c r="I750" t="s">
        <v>16196</v>
      </c>
      <c r="K750" t="e">
        <v>#N/A</v>
      </c>
      <c r="S750" s="3"/>
    </row>
    <row r="751" spans="1:19" x14ac:dyDescent="0.25">
      <c r="A751" t="s">
        <v>235</v>
      </c>
      <c r="B751" t="s">
        <v>237</v>
      </c>
      <c r="C751" t="s">
        <v>238</v>
      </c>
      <c r="D751" t="s">
        <v>23</v>
      </c>
      <c r="E751">
        <v>284</v>
      </c>
      <c r="F751" s="3">
        <v>40702</v>
      </c>
      <c r="H751" t="s">
        <v>15523</v>
      </c>
      <c r="I751" t="s">
        <v>16197</v>
      </c>
      <c r="K751">
        <v>65</v>
      </c>
      <c r="S751" s="3"/>
    </row>
    <row r="752" spans="1:19" x14ac:dyDescent="0.25">
      <c r="A752" t="s">
        <v>2977</v>
      </c>
      <c r="B752" t="s">
        <v>2978</v>
      </c>
      <c r="C752" t="s">
        <v>2979</v>
      </c>
      <c r="D752" t="s">
        <v>23</v>
      </c>
      <c r="E752">
        <v>5128</v>
      </c>
      <c r="F752" s="3">
        <v>41872</v>
      </c>
      <c r="H752" t="s">
        <v>15523</v>
      </c>
      <c r="I752" t="s">
        <v>16198</v>
      </c>
      <c r="K752" t="e">
        <v>#N/A</v>
      </c>
      <c r="S752" s="3"/>
    </row>
    <row r="753" spans="1:19" x14ac:dyDescent="0.25">
      <c r="A753" t="s">
        <v>2980</v>
      </c>
      <c r="B753" t="s">
        <v>2981</v>
      </c>
      <c r="C753" t="s">
        <v>2982</v>
      </c>
      <c r="D753" t="s">
        <v>23</v>
      </c>
      <c r="E753">
        <v>3152</v>
      </c>
      <c r="F753" s="3">
        <v>41769</v>
      </c>
      <c r="H753" t="s">
        <v>15523</v>
      </c>
      <c r="I753" t="s">
        <v>16199</v>
      </c>
      <c r="K753" t="e">
        <v>#N/A</v>
      </c>
      <c r="S753" s="3"/>
    </row>
    <row r="754" spans="1:19" x14ac:dyDescent="0.25">
      <c r="A754" t="s">
        <v>2983</v>
      </c>
      <c r="B754" t="s">
        <v>2984</v>
      </c>
      <c r="C754" t="s">
        <v>2985</v>
      </c>
      <c r="D754" t="s">
        <v>23</v>
      </c>
      <c r="E754">
        <v>3157</v>
      </c>
      <c r="F754" s="3">
        <v>41769</v>
      </c>
      <c r="H754" t="s">
        <v>15523</v>
      </c>
      <c r="I754" t="s">
        <v>16200</v>
      </c>
      <c r="K754" t="e">
        <v>#N/A</v>
      </c>
      <c r="S754" s="3"/>
    </row>
    <row r="755" spans="1:19" x14ac:dyDescent="0.25">
      <c r="A755" t="s">
        <v>2986</v>
      </c>
      <c r="B755" t="s">
        <v>2987</v>
      </c>
      <c r="C755" t="s">
        <v>2988</v>
      </c>
      <c r="D755" t="s">
        <v>23</v>
      </c>
      <c r="E755">
        <v>3158</v>
      </c>
      <c r="F755" s="3">
        <v>41769</v>
      </c>
      <c r="H755" t="s">
        <v>15523</v>
      </c>
      <c r="I755" t="s">
        <v>16201</v>
      </c>
      <c r="K755" t="e">
        <v>#N/A</v>
      </c>
      <c r="S755" s="3"/>
    </row>
    <row r="756" spans="1:19" x14ac:dyDescent="0.25">
      <c r="A756" t="s">
        <v>2989</v>
      </c>
      <c r="B756" t="s">
        <v>2990</v>
      </c>
      <c r="C756" t="s">
        <v>2991</v>
      </c>
      <c r="D756" t="s">
        <v>23</v>
      </c>
      <c r="E756">
        <v>3160</v>
      </c>
      <c r="F756" s="3">
        <v>41769</v>
      </c>
      <c r="H756" t="s">
        <v>15523</v>
      </c>
      <c r="I756" t="s">
        <v>16202</v>
      </c>
      <c r="K756" t="e">
        <v>#N/A</v>
      </c>
      <c r="S756" s="3"/>
    </row>
    <row r="757" spans="1:19" x14ac:dyDescent="0.25">
      <c r="A757" t="s">
        <v>562</v>
      </c>
      <c r="B757" t="s">
        <v>564</v>
      </c>
      <c r="C757" t="s">
        <v>565</v>
      </c>
      <c r="D757" t="s">
        <v>23</v>
      </c>
      <c r="E757">
        <v>3161</v>
      </c>
      <c r="F757" s="3">
        <v>41769</v>
      </c>
      <c r="H757" t="s">
        <v>15523</v>
      </c>
      <c r="I757" t="s">
        <v>16203</v>
      </c>
      <c r="K757">
        <v>147</v>
      </c>
      <c r="S757" s="3"/>
    </row>
    <row r="758" spans="1:19" x14ac:dyDescent="0.25">
      <c r="A758" t="s">
        <v>2992</v>
      </c>
      <c r="B758" t="s">
        <v>2993</v>
      </c>
      <c r="C758" t="s">
        <v>2994</v>
      </c>
      <c r="D758" t="s">
        <v>23</v>
      </c>
      <c r="E758">
        <v>3162</v>
      </c>
      <c r="F758" s="3">
        <v>41769</v>
      </c>
      <c r="H758" t="s">
        <v>15523</v>
      </c>
      <c r="I758" t="s">
        <v>16204</v>
      </c>
      <c r="K758" t="e">
        <v>#N/A</v>
      </c>
      <c r="S758" s="3"/>
    </row>
    <row r="759" spans="1:19" x14ac:dyDescent="0.25">
      <c r="A759" t="s">
        <v>2995</v>
      </c>
      <c r="B759" t="s">
        <v>2996</v>
      </c>
      <c r="C759" t="s">
        <v>2997</v>
      </c>
      <c r="D759" t="s">
        <v>23</v>
      </c>
      <c r="E759">
        <v>3163</v>
      </c>
      <c r="F759" s="3">
        <v>41769</v>
      </c>
      <c r="H759" t="s">
        <v>15523</v>
      </c>
      <c r="I759" t="s">
        <v>16205</v>
      </c>
      <c r="K759" t="e">
        <v>#N/A</v>
      </c>
      <c r="S759" s="3"/>
    </row>
    <row r="760" spans="1:19" x14ac:dyDescent="0.25">
      <c r="A760" t="s">
        <v>2998</v>
      </c>
      <c r="B760" t="s">
        <v>2999</v>
      </c>
      <c r="C760" t="s">
        <v>3000</v>
      </c>
      <c r="D760" t="s">
        <v>23</v>
      </c>
      <c r="E760">
        <v>296</v>
      </c>
      <c r="F760" s="3">
        <v>40702</v>
      </c>
      <c r="H760" t="s">
        <v>15523</v>
      </c>
      <c r="I760" t="s">
        <v>16206</v>
      </c>
      <c r="K760" t="e">
        <v>#N/A</v>
      </c>
      <c r="S760" s="3"/>
    </row>
    <row r="761" spans="1:19" x14ac:dyDescent="0.25">
      <c r="A761" t="s">
        <v>3001</v>
      </c>
      <c r="B761" t="s">
        <v>3002</v>
      </c>
      <c r="C761" t="s">
        <v>3003</v>
      </c>
      <c r="D761" t="s">
        <v>23</v>
      </c>
      <c r="E761">
        <v>299</v>
      </c>
      <c r="F761" s="3">
        <v>40702</v>
      </c>
      <c r="H761" t="s">
        <v>15523</v>
      </c>
      <c r="I761" t="s">
        <v>16207</v>
      </c>
      <c r="K761" t="e">
        <v>#N/A</v>
      </c>
      <c r="S761" s="3"/>
    </row>
    <row r="762" spans="1:19" x14ac:dyDescent="0.25">
      <c r="A762" t="s">
        <v>3004</v>
      </c>
      <c r="B762" t="s">
        <v>3005</v>
      </c>
      <c r="C762" t="s">
        <v>3006</v>
      </c>
      <c r="D762" t="s">
        <v>23</v>
      </c>
      <c r="E762">
        <v>4984</v>
      </c>
      <c r="F762" s="3">
        <v>41660</v>
      </c>
      <c r="H762" t="s">
        <v>15523</v>
      </c>
      <c r="I762" t="s">
        <v>16208</v>
      </c>
      <c r="K762" t="e">
        <v>#N/A</v>
      </c>
      <c r="S762" s="3"/>
    </row>
    <row r="763" spans="1:19" x14ac:dyDescent="0.25">
      <c r="A763" t="s">
        <v>3007</v>
      </c>
      <c r="B763" t="s">
        <v>3008</v>
      </c>
      <c r="C763" t="s">
        <v>3009</v>
      </c>
      <c r="D763" t="s">
        <v>23</v>
      </c>
      <c r="E763">
        <v>3175</v>
      </c>
      <c r="F763" s="3">
        <v>41769</v>
      </c>
      <c r="H763" t="s">
        <v>15523</v>
      </c>
      <c r="I763" t="s">
        <v>16209</v>
      </c>
      <c r="K763" t="e">
        <v>#N/A</v>
      </c>
      <c r="S763" s="3"/>
    </row>
    <row r="764" spans="1:19" x14ac:dyDescent="0.25">
      <c r="A764" t="s">
        <v>3010</v>
      </c>
      <c r="B764" t="s">
        <v>3011</v>
      </c>
      <c r="C764" t="s">
        <v>3012</v>
      </c>
      <c r="D764" t="s">
        <v>23</v>
      </c>
      <c r="E764">
        <v>2499</v>
      </c>
      <c r="F764" s="3">
        <v>40702</v>
      </c>
      <c r="H764" t="s">
        <v>15523</v>
      </c>
      <c r="I764" t="s">
        <v>16210</v>
      </c>
      <c r="K764" t="e">
        <v>#N/A</v>
      </c>
      <c r="S764" s="3"/>
    </row>
    <row r="765" spans="1:19" x14ac:dyDescent="0.25">
      <c r="A765" t="s">
        <v>3013</v>
      </c>
      <c r="B765" t="s">
        <v>3014</v>
      </c>
      <c r="C765" t="s">
        <v>3015</v>
      </c>
      <c r="D765" t="s">
        <v>23</v>
      </c>
      <c r="E765">
        <v>5561</v>
      </c>
      <c r="F765" s="3">
        <v>42409</v>
      </c>
      <c r="H765" t="s">
        <v>15523</v>
      </c>
      <c r="I765" t="s">
        <v>16211</v>
      </c>
      <c r="K765" t="e">
        <v>#N/A</v>
      </c>
      <c r="S765" s="3"/>
    </row>
    <row r="766" spans="1:19" x14ac:dyDescent="0.25">
      <c r="A766" t="s">
        <v>254</v>
      </c>
      <c r="B766" t="s">
        <v>256</v>
      </c>
      <c r="C766" t="s">
        <v>257</v>
      </c>
      <c r="D766" t="s">
        <v>23</v>
      </c>
      <c r="E766">
        <v>3177</v>
      </c>
      <c r="F766" s="3">
        <v>41769</v>
      </c>
      <c r="H766" t="s">
        <v>15523</v>
      </c>
      <c r="I766" t="s">
        <v>16212</v>
      </c>
      <c r="K766">
        <v>70</v>
      </c>
      <c r="S766" s="3"/>
    </row>
    <row r="767" spans="1:19" x14ac:dyDescent="0.25">
      <c r="A767" t="s">
        <v>314</v>
      </c>
      <c r="B767" t="s">
        <v>316</v>
      </c>
      <c r="C767" t="s">
        <v>317</v>
      </c>
      <c r="D767" t="s">
        <v>23</v>
      </c>
      <c r="E767">
        <v>310</v>
      </c>
      <c r="F767" s="3">
        <v>40702</v>
      </c>
      <c r="H767" t="s">
        <v>15523</v>
      </c>
      <c r="I767" t="s">
        <v>16213</v>
      </c>
      <c r="K767">
        <v>85</v>
      </c>
      <c r="S767" s="3"/>
    </row>
    <row r="768" spans="1:19" x14ac:dyDescent="0.25">
      <c r="A768" t="s">
        <v>3016</v>
      </c>
      <c r="B768" t="s">
        <v>3017</v>
      </c>
      <c r="C768" t="s">
        <v>3018</v>
      </c>
      <c r="D768" t="s">
        <v>23</v>
      </c>
      <c r="E768">
        <v>3178</v>
      </c>
      <c r="F768" s="3">
        <v>41769</v>
      </c>
      <c r="H768" t="s">
        <v>15523</v>
      </c>
      <c r="I768" t="s">
        <v>16214</v>
      </c>
      <c r="K768" t="e">
        <v>#N/A</v>
      </c>
      <c r="S768" s="3"/>
    </row>
    <row r="769" spans="1:19" x14ac:dyDescent="0.25">
      <c r="A769" t="s">
        <v>3019</v>
      </c>
      <c r="B769" t="s">
        <v>3020</v>
      </c>
      <c r="C769" t="s">
        <v>3021</v>
      </c>
      <c r="D769" t="s">
        <v>23</v>
      </c>
      <c r="E769">
        <v>3179</v>
      </c>
      <c r="F769" s="3">
        <v>41769</v>
      </c>
      <c r="H769" t="s">
        <v>15523</v>
      </c>
      <c r="I769" t="s">
        <v>16215</v>
      </c>
      <c r="K769" t="e">
        <v>#N/A</v>
      </c>
      <c r="S769" s="3"/>
    </row>
    <row r="770" spans="1:19" x14ac:dyDescent="0.25">
      <c r="A770" t="s">
        <v>3022</v>
      </c>
      <c r="B770" t="s">
        <v>3023</v>
      </c>
      <c r="C770" t="s">
        <v>3024</v>
      </c>
      <c r="D770" t="s">
        <v>23</v>
      </c>
      <c r="E770">
        <v>5545</v>
      </c>
      <c r="F770" s="3">
        <v>42385</v>
      </c>
      <c r="H770" t="s">
        <v>15523</v>
      </c>
      <c r="I770" t="s">
        <v>16216</v>
      </c>
      <c r="K770" t="e">
        <v>#N/A</v>
      </c>
      <c r="S770" s="3"/>
    </row>
    <row r="771" spans="1:19" x14ac:dyDescent="0.25">
      <c r="A771" t="s">
        <v>3025</v>
      </c>
      <c r="B771" t="s">
        <v>3026</v>
      </c>
      <c r="C771" t="s">
        <v>3027</v>
      </c>
      <c r="D771" t="s">
        <v>23</v>
      </c>
      <c r="E771">
        <v>5546</v>
      </c>
      <c r="F771" s="3">
        <v>42385</v>
      </c>
      <c r="H771" t="s">
        <v>15523</v>
      </c>
      <c r="I771" t="s">
        <v>16217</v>
      </c>
      <c r="K771" t="e">
        <v>#N/A</v>
      </c>
      <c r="S771" s="3"/>
    </row>
    <row r="772" spans="1:19" x14ac:dyDescent="0.25">
      <c r="A772" t="s">
        <v>522</v>
      </c>
      <c r="B772" t="s">
        <v>524</v>
      </c>
      <c r="C772" t="s">
        <v>525</v>
      </c>
      <c r="D772" t="s">
        <v>23</v>
      </c>
      <c r="E772">
        <v>3183</v>
      </c>
      <c r="F772" s="3">
        <v>41769</v>
      </c>
      <c r="H772" t="s">
        <v>15523</v>
      </c>
      <c r="I772" t="s">
        <v>16218</v>
      </c>
      <c r="K772">
        <v>137</v>
      </c>
      <c r="S772" s="3"/>
    </row>
    <row r="773" spans="1:19" x14ac:dyDescent="0.25">
      <c r="A773" t="s">
        <v>498</v>
      </c>
      <c r="B773" t="s">
        <v>500</v>
      </c>
      <c r="C773" t="s">
        <v>501</v>
      </c>
      <c r="D773" t="s">
        <v>23</v>
      </c>
      <c r="E773">
        <v>841</v>
      </c>
      <c r="F773" s="3">
        <v>40702</v>
      </c>
      <c r="H773" t="s">
        <v>15523</v>
      </c>
      <c r="I773" t="s">
        <v>16219</v>
      </c>
      <c r="K773">
        <v>131</v>
      </c>
      <c r="S773" s="3"/>
    </row>
    <row r="774" spans="1:19" x14ac:dyDescent="0.25">
      <c r="A774" t="s">
        <v>3028</v>
      </c>
      <c r="B774" t="s">
        <v>3029</v>
      </c>
      <c r="C774" t="s">
        <v>3030</v>
      </c>
      <c r="D774" t="s">
        <v>23</v>
      </c>
      <c r="E774">
        <v>3190</v>
      </c>
      <c r="F774" s="3">
        <v>41769</v>
      </c>
      <c r="H774" t="s">
        <v>15523</v>
      </c>
      <c r="I774" t="s">
        <v>16220</v>
      </c>
      <c r="K774" t="e">
        <v>#N/A</v>
      </c>
      <c r="S774" s="3"/>
    </row>
    <row r="775" spans="1:19" x14ac:dyDescent="0.25">
      <c r="A775" t="s">
        <v>3031</v>
      </c>
      <c r="B775" t="s">
        <v>3032</v>
      </c>
      <c r="C775" t="s">
        <v>3033</v>
      </c>
      <c r="D775" t="s">
        <v>23</v>
      </c>
      <c r="E775">
        <v>3191</v>
      </c>
      <c r="F775" s="3">
        <v>41769</v>
      </c>
      <c r="H775" t="s">
        <v>15523</v>
      </c>
      <c r="I775" t="s">
        <v>16221</v>
      </c>
      <c r="K775" t="e">
        <v>#N/A</v>
      </c>
      <c r="S775" s="3"/>
    </row>
    <row r="776" spans="1:19" x14ac:dyDescent="0.25">
      <c r="A776" t="s">
        <v>206</v>
      </c>
      <c r="B776" t="s">
        <v>208</v>
      </c>
      <c r="C776" t="s">
        <v>209</v>
      </c>
      <c r="D776" t="s">
        <v>23</v>
      </c>
      <c r="E776">
        <v>386</v>
      </c>
      <c r="F776" s="3">
        <v>40702</v>
      </c>
      <c r="H776" t="s">
        <v>15523</v>
      </c>
      <c r="I776" t="s">
        <v>16222</v>
      </c>
      <c r="K776">
        <v>57</v>
      </c>
      <c r="S776" s="3"/>
    </row>
    <row r="777" spans="1:19" x14ac:dyDescent="0.25">
      <c r="A777" t="s">
        <v>3034</v>
      </c>
      <c r="B777" t="s">
        <v>3035</v>
      </c>
      <c r="C777" t="s">
        <v>3036</v>
      </c>
      <c r="D777" t="s">
        <v>23</v>
      </c>
      <c r="E777">
        <v>3199</v>
      </c>
      <c r="F777" s="3">
        <v>41769</v>
      </c>
      <c r="H777" t="s">
        <v>15523</v>
      </c>
      <c r="I777" t="s">
        <v>16223</v>
      </c>
      <c r="K777" t="e">
        <v>#N/A</v>
      </c>
      <c r="S777" s="3"/>
    </row>
    <row r="778" spans="1:19" x14ac:dyDescent="0.25">
      <c r="A778" t="s">
        <v>738</v>
      </c>
      <c r="B778" t="s">
        <v>739</v>
      </c>
      <c r="C778" t="s">
        <v>16179</v>
      </c>
      <c r="D778" t="s">
        <v>666</v>
      </c>
      <c r="E778">
        <v>5161</v>
      </c>
      <c r="F778" s="3">
        <v>41951</v>
      </c>
      <c r="H778" t="s">
        <v>15523</v>
      </c>
      <c r="I778" t="s">
        <v>16180</v>
      </c>
      <c r="K778">
        <v>213</v>
      </c>
      <c r="S778" s="3"/>
    </row>
    <row r="779" spans="1:19" x14ac:dyDescent="0.25">
      <c r="A779" t="s">
        <v>740</v>
      </c>
      <c r="B779" t="s">
        <v>16224</v>
      </c>
      <c r="C779" t="s">
        <v>16179</v>
      </c>
      <c r="D779" t="s">
        <v>666</v>
      </c>
      <c r="E779">
        <v>4985</v>
      </c>
      <c r="F779" s="3">
        <v>41660</v>
      </c>
      <c r="H779" t="s">
        <v>15523</v>
      </c>
      <c r="I779" t="s">
        <v>16180</v>
      </c>
      <c r="K779">
        <v>214</v>
      </c>
      <c r="S779" s="3"/>
    </row>
    <row r="780" spans="1:19" x14ac:dyDescent="0.25">
      <c r="A780" t="s">
        <v>743</v>
      </c>
      <c r="B780" t="s">
        <v>744</v>
      </c>
      <c r="C780" t="s">
        <v>16179</v>
      </c>
      <c r="D780" t="s">
        <v>666</v>
      </c>
      <c r="E780">
        <v>5160</v>
      </c>
      <c r="F780" s="3">
        <v>41951</v>
      </c>
      <c r="H780" t="s">
        <v>15523</v>
      </c>
      <c r="I780" t="s">
        <v>16180</v>
      </c>
      <c r="K780">
        <v>215</v>
      </c>
      <c r="S780" s="3"/>
    </row>
    <row r="781" spans="1:19" x14ac:dyDescent="0.25">
      <c r="A781" t="s">
        <v>746</v>
      </c>
      <c r="B781" t="s">
        <v>747</v>
      </c>
      <c r="C781" t="s">
        <v>16179</v>
      </c>
      <c r="D781" t="s">
        <v>666</v>
      </c>
      <c r="E781">
        <v>5159</v>
      </c>
      <c r="F781" s="3">
        <v>41951</v>
      </c>
      <c r="H781" t="s">
        <v>15523</v>
      </c>
      <c r="I781" t="s">
        <v>16180</v>
      </c>
      <c r="K781">
        <v>216</v>
      </c>
      <c r="S781" s="3"/>
    </row>
    <row r="782" spans="1:19" x14ac:dyDescent="0.25">
      <c r="A782" t="s">
        <v>748</v>
      </c>
      <c r="B782" t="s">
        <v>749</v>
      </c>
      <c r="C782" t="s">
        <v>16179</v>
      </c>
      <c r="D782" t="s">
        <v>666</v>
      </c>
      <c r="E782">
        <v>6049</v>
      </c>
      <c r="F782" s="3">
        <v>43767</v>
      </c>
      <c r="H782" t="s">
        <v>15523</v>
      </c>
      <c r="I782" t="s">
        <v>16180</v>
      </c>
      <c r="K782">
        <v>217</v>
      </c>
      <c r="S782" s="3"/>
    </row>
    <row r="783" spans="1:19" x14ac:dyDescent="0.25">
      <c r="A783" t="s">
        <v>751</v>
      </c>
      <c r="B783" t="s">
        <v>752</v>
      </c>
      <c r="C783" t="s">
        <v>16179</v>
      </c>
      <c r="D783" t="s">
        <v>666</v>
      </c>
      <c r="E783">
        <v>6048</v>
      </c>
      <c r="F783" s="3">
        <v>43767</v>
      </c>
      <c r="H783" t="s">
        <v>15523</v>
      </c>
      <c r="I783" t="s">
        <v>16180</v>
      </c>
      <c r="K783">
        <v>218</v>
      </c>
      <c r="S783" s="3"/>
    </row>
    <row r="784" spans="1:19" x14ac:dyDescent="0.25">
      <c r="A784" t="s">
        <v>3037</v>
      </c>
      <c r="B784" t="s">
        <v>3038</v>
      </c>
      <c r="C784" t="s">
        <v>16179</v>
      </c>
      <c r="D784" t="s">
        <v>666</v>
      </c>
      <c r="E784">
        <v>3118</v>
      </c>
      <c r="F784" s="3">
        <v>41769</v>
      </c>
      <c r="H784" t="s">
        <v>15523</v>
      </c>
      <c r="I784" t="s">
        <v>16180</v>
      </c>
      <c r="K784" t="e">
        <v>#N/A</v>
      </c>
      <c r="S784" s="3"/>
    </row>
    <row r="785" spans="1:19" x14ac:dyDescent="0.25">
      <c r="A785" t="s">
        <v>3039</v>
      </c>
      <c r="B785" t="s">
        <v>3040</v>
      </c>
      <c r="C785" t="s">
        <v>3041</v>
      </c>
      <c r="D785" t="s">
        <v>23</v>
      </c>
      <c r="E785">
        <v>3206</v>
      </c>
      <c r="F785" s="3">
        <v>41769</v>
      </c>
      <c r="H785" t="s">
        <v>15523</v>
      </c>
      <c r="I785" t="s">
        <v>16225</v>
      </c>
      <c r="K785" t="e">
        <v>#N/A</v>
      </c>
      <c r="S785" s="3"/>
    </row>
    <row r="786" spans="1:19" x14ac:dyDescent="0.25">
      <c r="A786" t="s">
        <v>3042</v>
      </c>
      <c r="B786" t="s">
        <v>3043</v>
      </c>
      <c r="C786" t="s">
        <v>16179</v>
      </c>
      <c r="D786" t="s">
        <v>47</v>
      </c>
      <c r="E786">
        <v>3141</v>
      </c>
      <c r="F786" s="3">
        <v>41769</v>
      </c>
      <c r="H786" t="s">
        <v>15523</v>
      </c>
      <c r="I786" t="s">
        <v>16180</v>
      </c>
      <c r="K786" t="e">
        <v>#N/A</v>
      </c>
      <c r="S786" s="3"/>
    </row>
    <row r="787" spans="1:19" x14ac:dyDescent="0.25">
      <c r="A787" t="s">
        <v>3044</v>
      </c>
      <c r="B787" t="s">
        <v>3045</v>
      </c>
      <c r="C787" t="s">
        <v>16179</v>
      </c>
      <c r="D787" t="s">
        <v>47</v>
      </c>
      <c r="E787">
        <v>5991</v>
      </c>
      <c r="F787" s="3">
        <v>43442</v>
      </c>
      <c r="H787" t="s">
        <v>15523</v>
      </c>
      <c r="I787" t="s">
        <v>16180</v>
      </c>
      <c r="K787" t="e">
        <v>#N/A</v>
      </c>
      <c r="S787" s="3"/>
    </row>
    <row r="788" spans="1:19" x14ac:dyDescent="0.25">
      <c r="A788" t="s">
        <v>3046</v>
      </c>
      <c r="B788" t="s">
        <v>3047</v>
      </c>
      <c r="C788" t="s">
        <v>16179</v>
      </c>
      <c r="D788" t="s">
        <v>2820</v>
      </c>
      <c r="E788">
        <v>4986</v>
      </c>
      <c r="F788" s="3">
        <v>43442</v>
      </c>
      <c r="H788" t="s">
        <v>15523</v>
      </c>
      <c r="I788" t="s">
        <v>16180</v>
      </c>
      <c r="K788" t="e">
        <v>#N/A</v>
      </c>
      <c r="S788" s="3"/>
    </row>
    <row r="789" spans="1:19" x14ac:dyDescent="0.25">
      <c r="A789" t="s">
        <v>3048</v>
      </c>
      <c r="B789" t="s">
        <v>3049</v>
      </c>
      <c r="C789" t="s">
        <v>16179</v>
      </c>
      <c r="D789" t="s">
        <v>47</v>
      </c>
      <c r="E789">
        <v>3119</v>
      </c>
      <c r="F789" s="3">
        <v>43442</v>
      </c>
      <c r="H789" t="s">
        <v>15523</v>
      </c>
      <c r="I789" t="s">
        <v>16180</v>
      </c>
      <c r="K789" t="e">
        <v>#N/A</v>
      </c>
      <c r="S789" s="3"/>
    </row>
    <row r="790" spans="1:19" x14ac:dyDescent="0.25">
      <c r="A790" t="s">
        <v>3050</v>
      </c>
      <c r="B790" t="s">
        <v>3051</v>
      </c>
      <c r="C790" t="s">
        <v>16179</v>
      </c>
      <c r="D790" t="s">
        <v>47</v>
      </c>
      <c r="E790">
        <v>3121</v>
      </c>
      <c r="F790" s="3">
        <v>43442</v>
      </c>
      <c r="H790" t="s">
        <v>15523</v>
      </c>
      <c r="I790" t="s">
        <v>16180</v>
      </c>
      <c r="K790" t="e">
        <v>#N/A</v>
      </c>
      <c r="S790" s="3"/>
    </row>
    <row r="791" spans="1:19" x14ac:dyDescent="0.25">
      <c r="A791" t="s">
        <v>3052</v>
      </c>
      <c r="B791" t="s">
        <v>3053</v>
      </c>
      <c r="C791" t="s">
        <v>16179</v>
      </c>
      <c r="D791" t="s">
        <v>47</v>
      </c>
      <c r="E791">
        <v>3123</v>
      </c>
      <c r="F791" s="3">
        <v>43442</v>
      </c>
      <c r="H791" t="s">
        <v>15523</v>
      </c>
      <c r="I791" t="s">
        <v>16180</v>
      </c>
      <c r="K791" t="e">
        <v>#N/A</v>
      </c>
      <c r="S791" s="3"/>
    </row>
    <row r="792" spans="1:19" x14ac:dyDescent="0.25">
      <c r="A792" t="s">
        <v>3054</v>
      </c>
      <c r="B792" t="s">
        <v>3055</v>
      </c>
      <c r="C792" t="s">
        <v>16179</v>
      </c>
      <c r="D792" t="s">
        <v>47</v>
      </c>
      <c r="E792">
        <v>5992</v>
      </c>
      <c r="F792" s="3">
        <v>43442</v>
      </c>
      <c r="H792" t="s">
        <v>15523</v>
      </c>
      <c r="I792" t="s">
        <v>16180</v>
      </c>
      <c r="K792" t="e">
        <v>#N/A</v>
      </c>
      <c r="S792" s="3"/>
    </row>
    <row r="793" spans="1:19" x14ac:dyDescent="0.25">
      <c r="A793" t="s">
        <v>3056</v>
      </c>
      <c r="B793" t="s">
        <v>3057</v>
      </c>
      <c r="C793" t="s">
        <v>16179</v>
      </c>
      <c r="D793" t="s">
        <v>2820</v>
      </c>
      <c r="E793">
        <v>3140</v>
      </c>
      <c r="F793" s="3">
        <v>41769</v>
      </c>
      <c r="H793" t="s">
        <v>15523</v>
      </c>
      <c r="I793" t="s">
        <v>16180</v>
      </c>
      <c r="K793" t="e">
        <v>#N/A</v>
      </c>
      <c r="S793" s="3"/>
    </row>
    <row r="794" spans="1:19" x14ac:dyDescent="0.25">
      <c r="A794" t="s">
        <v>3058</v>
      </c>
      <c r="B794" t="s">
        <v>3059</v>
      </c>
      <c r="C794" t="s">
        <v>16179</v>
      </c>
      <c r="D794" t="s">
        <v>2820</v>
      </c>
      <c r="E794">
        <v>3150</v>
      </c>
      <c r="F794" s="3">
        <v>41769</v>
      </c>
      <c r="H794" t="s">
        <v>15523</v>
      </c>
      <c r="I794" t="s">
        <v>16180</v>
      </c>
      <c r="K794" t="e">
        <v>#N/A</v>
      </c>
      <c r="S794" s="3"/>
    </row>
    <row r="795" spans="1:19" x14ac:dyDescent="0.25">
      <c r="A795" t="s">
        <v>3060</v>
      </c>
      <c r="B795" t="s">
        <v>3061</v>
      </c>
      <c r="C795" t="s">
        <v>16179</v>
      </c>
      <c r="D795" t="s">
        <v>666</v>
      </c>
      <c r="E795">
        <v>3153</v>
      </c>
      <c r="F795" s="3">
        <v>41769</v>
      </c>
      <c r="H795" t="s">
        <v>15523</v>
      </c>
      <c r="I795" t="s">
        <v>16180</v>
      </c>
      <c r="K795" t="e">
        <v>#N/A</v>
      </c>
      <c r="S795" s="3"/>
    </row>
    <row r="796" spans="1:19" x14ac:dyDescent="0.25">
      <c r="A796" t="s">
        <v>3062</v>
      </c>
      <c r="B796" t="s">
        <v>3063</v>
      </c>
      <c r="C796" t="s">
        <v>3064</v>
      </c>
      <c r="D796" t="s">
        <v>23</v>
      </c>
      <c r="E796">
        <v>1782</v>
      </c>
      <c r="F796" s="3">
        <v>40702</v>
      </c>
      <c r="H796" t="s">
        <v>15523</v>
      </c>
      <c r="I796" t="s">
        <v>16226</v>
      </c>
      <c r="K796" t="e">
        <v>#N/A</v>
      </c>
      <c r="S796" s="3"/>
    </row>
    <row r="797" spans="1:19" x14ac:dyDescent="0.25">
      <c r="A797" t="s">
        <v>3065</v>
      </c>
      <c r="B797" t="s">
        <v>3066</v>
      </c>
      <c r="C797" t="s">
        <v>16179</v>
      </c>
      <c r="D797" t="s">
        <v>2779</v>
      </c>
      <c r="E797">
        <v>3172</v>
      </c>
      <c r="F797" s="3">
        <v>41769</v>
      </c>
      <c r="H797" t="s">
        <v>15523</v>
      </c>
      <c r="I797" t="s">
        <v>16180</v>
      </c>
      <c r="K797" t="e">
        <v>#N/A</v>
      </c>
      <c r="S797" s="3"/>
    </row>
    <row r="798" spans="1:19" x14ac:dyDescent="0.25">
      <c r="A798" t="s">
        <v>3067</v>
      </c>
      <c r="B798" t="s">
        <v>3068</v>
      </c>
      <c r="C798" t="s">
        <v>16179</v>
      </c>
      <c r="D798" t="s">
        <v>666</v>
      </c>
      <c r="E798">
        <v>5766</v>
      </c>
      <c r="F798" s="3">
        <v>42822</v>
      </c>
      <c r="H798" t="s">
        <v>15523</v>
      </c>
      <c r="I798" t="s">
        <v>16180</v>
      </c>
      <c r="K798" t="e">
        <v>#N/A</v>
      </c>
      <c r="S798" s="3"/>
    </row>
    <row r="799" spans="1:19" x14ac:dyDescent="0.25">
      <c r="A799" t="s">
        <v>3069</v>
      </c>
      <c r="B799" t="s">
        <v>3070</v>
      </c>
      <c r="C799" t="s">
        <v>16179</v>
      </c>
      <c r="D799" t="s">
        <v>2820</v>
      </c>
      <c r="E799">
        <v>5839</v>
      </c>
      <c r="F799" s="3">
        <v>43078</v>
      </c>
      <c r="H799" t="s">
        <v>15523</v>
      </c>
      <c r="I799" t="s">
        <v>16180</v>
      </c>
      <c r="K799" t="e">
        <v>#N/A</v>
      </c>
      <c r="S799" s="3"/>
    </row>
    <row r="800" spans="1:19" x14ac:dyDescent="0.25">
      <c r="A800" t="s">
        <v>3071</v>
      </c>
      <c r="B800" t="s">
        <v>3072</v>
      </c>
      <c r="C800" t="s">
        <v>16179</v>
      </c>
      <c r="D800" t="s">
        <v>666</v>
      </c>
      <c r="E800">
        <v>4987</v>
      </c>
      <c r="F800" s="3">
        <v>42703</v>
      </c>
      <c r="H800" t="s">
        <v>15523</v>
      </c>
      <c r="I800" t="s">
        <v>16180</v>
      </c>
      <c r="K800" t="e">
        <v>#N/A</v>
      </c>
      <c r="S800" s="3"/>
    </row>
    <row r="801" spans="1:19" x14ac:dyDescent="0.25">
      <c r="A801" t="s">
        <v>3073</v>
      </c>
      <c r="B801" t="s">
        <v>3074</v>
      </c>
      <c r="C801" t="s">
        <v>16179</v>
      </c>
      <c r="D801" t="s">
        <v>47</v>
      </c>
      <c r="E801">
        <v>4988</v>
      </c>
      <c r="F801" s="3">
        <v>41660</v>
      </c>
      <c r="H801" t="s">
        <v>15523</v>
      </c>
      <c r="I801" t="s">
        <v>16180</v>
      </c>
      <c r="K801" t="e">
        <v>#N/A</v>
      </c>
      <c r="S801" s="3"/>
    </row>
    <row r="802" spans="1:19" x14ac:dyDescent="0.25">
      <c r="A802" t="s">
        <v>3075</v>
      </c>
      <c r="B802" t="s">
        <v>3076</v>
      </c>
      <c r="C802" t="s">
        <v>3077</v>
      </c>
      <c r="D802" t="s">
        <v>23</v>
      </c>
      <c r="E802">
        <v>3262</v>
      </c>
      <c r="F802" s="3">
        <v>41769</v>
      </c>
      <c r="H802" t="s">
        <v>15523</v>
      </c>
      <c r="I802" t="s">
        <v>16227</v>
      </c>
      <c r="K802" t="e">
        <v>#N/A</v>
      </c>
      <c r="S802" s="3"/>
    </row>
    <row r="803" spans="1:19" x14ac:dyDescent="0.25">
      <c r="A803" t="s">
        <v>3078</v>
      </c>
      <c r="B803" t="s">
        <v>3079</v>
      </c>
      <c r="C803" t="s">
        <v>16179</v>
      </c>
      <c r="D803" t="s">
        <v>2820</v>
      </c>
      <c r="E803">
        <v>3210</v>
      </c>
      <c r="F803" s="3">
        <v>41769</v>
      </c>
      <c r="H803" t="s">
        <v>15523</v>
      </c>
      <c r="I803" t="s">
        <v>16180</v>
      </c>
      <c r="K803" t="e">
        <v>#N/A</v>
      </c>
      <c r="S803" s="3"/>
    </row>
    <row r="804" spans="1:19" x14ac:dyDescent="0.25">
      <c r="A804" t="s">
        <v>3080</v>
      </c>
      <c r="B804" t="s">
        <v>3081</v>
      </c>
      <c r="C804" t="s">
        <v>16179</v>
      </c>
      <c r="D804" t="s">
        <v>2820</v>
      </c>
      <c r="E804">
        <v>3211</v>
      </c>
      <c r="F804" s="3">
        <v>41769</v>
      </c>
      <c r="H804" t="s">
        <v>15523</v>
      </c>
      <c r="I804" t="s">
        <v>16180</v>
      </c>
      <c r="K804" t="e">
        <v>#N/A</v>
      </c>
      <c r="S804" s="3"/>
    </row>
    <row r="805" spans="1:19" x14ac:dyDescent="0.25">
      <c r="A805" t="s">
        <v>3082</v>
      </c>
      <c r="B805" t="s">
        <v>3083</v>
      </c>
      <c r="C805" t="s">
        <v>16179</v>
      </c>
      <c r="D805" t="s">
        <v>47</v>
      </c>
      <c r="E805">
        <v>5291</v>
      </c>
      <c r="F805" s="3">
        <v>42087</v>
      </c>
      <c r="H805" t="s">
        <v>15523</v>
      </c>
      <c r="I805" t="s">
        <v>16180</v>
      </c>
      <c r="K805" t="e">
        <v>#N/A</v>
      </c>
      <c r="S805" s="3"/>
    </row>
    <row r="806" spans="1:19" x14ac:dyDescent="0.25">
      <c r="A806" t="s">
        <v>3084</v>
      </c>
      <c r="B806" t="s">
        <v>3085</v>
      </c>
      <c r="C806" t="s">
        <v>16179</v>
      </c>
      <c r="D806" t="s">
        <v>47</v>
      </c>
      <c r="E806">
        <v>3237</v>
      </c>
      <c r="F806" s="3">
        <v>41769</v>
      </c>
      <c r="H806" t="s">
        <v>15523</v>
      </c>
      <c r="I806" t="s">
        <v>16180</v>
      </c>
      <c r="K806" t="e">
        <v>#N/A</v>
      </c>
      <c r="S806" s="3"/>
    </row>
    <row r="807" spans="1:19" x14ac:dyDescent="0.25">
      <c r="A807" t="s">
        <v>3086</v>
      </c>
      <c r="B807" t="s">
        <v>3087</v>
      </c>
      <c r="C807" t="s">
        <v>16179</v>
      </c>
      <c r="D807" t="s">
        <v>2820</v>
      </c>
      <c r="E807">
        <v>4936</v>
      </c>
      <c r="F807" s="3">
        <v>41660</v>
      </c>
      <c r="H807" t="s">
        <v>15523</v>
      </c>
      <c r="I807" t="s">
        <v>16180</v>
      </c>
      <c r="K807" t="e">
        <v>#N/A</v>
      </c>
      <c r="S807" s="3"/>
    </row>
    <row r="808" spans="1:19" x14ac:dyDescent="0.25">
      <c r="A808" t="s">
        <v>3088</v>
      </c>
      <c r="B808" t="s">
        <v>3089</v>
      </c>
      <c r="C808" t="s">
        <v>16179</v>
      </c>
      <c r="D808" t="s">
        <v>666</v>
      </c>
      <c r="E808">
        <v>5114</v>
      </c>
      <c r="F808" s="3">
        <v>41837</v>
      </c>
      <c r="H808" t="s">
        <v>15523</v>
      </c>
      <c r="I808" t="s">
        <v>16180</v>
      </c>
      <c r="K808" t="e">
        <v>#N/A</v>
      </c>
      <c r="S808" s="3"/>
    </row>
    <row r="809" spans="1:19" x14ac:dyDescent="0.25">
      <c r="A809" t="s">
        <v>3090</v>
      </c>
      <c r="B809" t="s">
        <v>3091</v>
      </c>
      <c r="C809" t="s">
        <v>16179</v>
      </c>
      <c r="D809" t="s">
        <v>666</v>
      </c>
      <c r="E809">
        <v>3215</v>
      </c>
      <c r="F809" s="3">
        <v>41769</v>
      </c>
      <c r="H809" t="s">
        <v>15523</v>
      </c>
      <c r="I809" t="s">
        <v>16180</v>
      </c>
      <c r="K809" t="e">
        <v>#N/A</v>
      </c>
      <c r="S809" s="3"/>
    </row>
    <row r="810" spans="1:19" x14ac:dyDescent="0.25">
      <c r="A810" t="s">
        <v>3092</v>
      </c>
      <c r="B810" t="s">
        <v>3093</v>
      </c>
      <c r="C810" t="s">
        <v>16179</v>
      </c>
      <c r="D810" t="s">
        <v>2820</v>
      </c>
      <c r="E810">
        <v>3216</v>
      </c>
      <c r="F810" s="3">
        <v>41769</v>
      </c>
      <c r="H810" t="s">
        <v>15523</v>
      </c>
      <c r="I810" t="s">
        <v>16180</v>
      </c>
      <c r="K810" t="e">
        <v>#N/A</v>
      </c>
      <c r="S810" s="3"/>
    </row>
    <row r="811" spans="1:19" x14ac:dyDescent="0.25">
      <c r="A811" t="s">
        <v>3094</v>
      </c>
      <c r="B811" t="s">
        <v>3095</v>
      </c>
      <c r="C811" t="s">
        <v>16179</v>
      </c>
      <c r="D811" t="s">
        <v>47</v>
      </c>
      <c r="E811">
        <v>3238</v>
      </c>
      <c r="F811" s="3">
        <v>41769</v>
      </c>
      <c r="H811" t="s">
        <v>15523</v>
      </c>
      <c r="I811" t="s">
        <v>16180</v>
      </c>
      <c r="K811" t="e">
        <v>#N/A</v>
      </c>
      <c r="S811" s="3"/>
    </row>
    <row r="812" spans="1:19" x14ac:dyDescent="0.25">
      <c r="A812" t="s">
        <v>3096</v>
      </c>
      <c r="B812" t="s">
        <v>3097</v>
      </c>
      <c r="C812" t="s">
        <v>16179</v>
      </c>
      <c r="D812" t="s">
        <v>666</v>
      </c>
      <c r="E812">
        <v>6037</v>
      </c>
      <c r="F812" s="3">
        <v>43666</v>
      </c>
      <c r="H812" t="s">
        <v>15523</v>
      </c>
      <c r="I812" t="s">
        <v>16180</v>
      </c>
      <c r="K812" t="e">
        <v>#N/A</v>
      </c>
      <c r="S812" s="3"/>
    </row>
    <row r="813" spans="1:19" x14ac:dyDescent="0.25">
      <c r="A813" t="s">
        <v>3098</v>
      </c>
      <c r="B813" t="s">
        <v>3099</v>
      </c>
      <c r="C813" t="s">
        <v>3100</v>
      </c>
      <c r="D813" t="s">
        <v>23</v>
      </c>
      <c r="E813">
        <v>3291</v>
      </c>
      <c r="F813" s="3">
        <v>41769</v>
      </c>
      <c r="H813" t="s">
        <v>15523</v>
      </c>
      <c r="I813" t="s">
        <v>16228</v>
      </c>
      <c r="K813" t="e">
        <v>#N/A</v>
      </c>
      <c r="S813" s="3"/>
    </row>
    <row r="814" spans="1:19" x14ac:dyDescent="0.25">
      <c r="A814" t="s">
        <v>3101</v>
      </c>
      <c r="B814" t="s">
        <v>3102</v>
      </c>
      <c r="C814" s="3">
        <v>2095581</v>
      </c>
      <c r="D814" t="s">
        <v>23</v>
      </c>
      <c r="E814">
        <v>3292</v>
      </c>
      <c r="F814" s="3">
        <v>41769</v>
      </c>
      <c r="H814" t="s">
        <v>15523</v>
      </c>
      <c r="I814" t="s">
        <v>16229</v>
      </c>
      <c r="K814" t="e">
        <v>#N/A</v>
      </c>
      <c r="P814" s="3"/>
      <c r="S814" s="3"/>
    </row>
    <row r="815" spans="1:19" x14ac:dyDescent="0.25">
      <c r="A815" t="s">
        <v>3104</v>
      </c>
      <c r="B815" t="s">
        <v>3105</v>
      </c>
      <c r="C815" t="s">
        <v>16179</v>
      </c>
      <c r="D815" t="s">
        <v>47</v>
      </c>
      <c r="E815">
        <v>4632</v>
      </c>
      <c r="F815" s="3">
        <v>41769</v>
      </c>
      <c r="H815" t="s">
        <v>15523</v>
      </c>
      <c r="I815" t="s">
        <v>16180</v>
      </c>
      <c r="K815" t="e">
        <v>#N/A</v>
      </c>
      <c r="S815" s="3"/>
    </row>
    <row r="816" spans="1:19" x14ac:dyDescent="0.25">
      <c r="A816" t="s">
        <v>3106</v>
      </c>
      <c r="B816" t="s">
        <v>3107</v>
      </c>
      <c r="C816" t="s">
        <v>16179</v>
      </c>
      <c r="D816" t="s">
        <v>47</v>
      </c>
      <c r="E816">
        <v>4631</v>
      </c>
      <c r="F816" s="3">
        <v>42378</v>
      </c>
      <c r="H816" t="s">
        <v>15523</v>
      </c>
      <c r="I816" t="s">
        <v>16180</v>
      </c>
      <c r="K816" t="e">
        <v>#N/A</v>
      </c>
      <c r="S816" s="3"/>
    </row>
    <row r="817" spans="1:19" x14ac:dyDescent="0.25">
      <c r="A817" t="s">
        <v>3109</v>
      </c>
      <c r="B817" t="s">
        <v>3110</v>
      </c>
      <c r="C817" t="s">
        <v>16179</v>
      </c>
      <c r="D817" t="s">
        <v>23</v>
      </c>
      <c r="E817">
        <v>3240</v>
      </c>
      <c r="F817" s="3">
        <v>41769</v>
      </c>
      <c r="H817" t="s">
        <v>15523</v>
      </c>
      <c r="I817" t="s">
        <v>16180</v>
      </c>
      <c r="K817" t="e">
        <v>#N/A</v>
      </c>
      <c r="S817" s="3"/>
    </row>
    <row r="818" spans="1:19" x14ac:dyDescent="0.25">
      <c r="A818" t="s">
        <v>3111</v>
      </c>
      <c r="B818" t="s">
        <v>3112</v>
      </c>
      <c r="C818" t="s">
        <v>16179</v>
      </c>
      <c r="D818" t="s">
        <v>23</v>
      </c>
      <c r="E818">
        <v>422</v>
      </c>
      <c r="F818" s="3">
        <v>41769</v>
      </c>
      <c r="H818" t="s">
        <v>15523</v>
      </c>
      <c r="I818" t="s">
        <v>16180</v>
      </c>
      <c r="K818" t="e">
        <v>#N/A</v>
      </c>
      <c r="S818" s="3"/>
    </row>
    <row r="819" spans="1:19" x14ac:dyDescent="0.25">
      <c r="A819" t="s">
        <v>3113</v>
      </c>
      <c r="B819" t="s">
        <v>3114</v>
      </c>
      <c r="C819" t="s">
        <v>16179</v>
      </c>
      <c r="D819" t="s">
        <v>23</v>
      </c>
      <c r="E819">
        <v>3242</v>
      </c>
      <c r="F819" s="3">
        <v>41769</v>
      </c>
      <c r="H819" t="s">
        <v>15523</v>
      </c>
      <c r="I819" t="s">
        <v>16180</v>
      </c>
      <c r="K819" t="e">
        <v>#N/A</v>
      </c>
      <c r="S819" s="3"/>
    </row>
    <row r="820" spans="1:19" x14ac:dyDescent="0.25">
      <c r="A820" t="s">
        <v>3115</v>
      </c>
      <c r="B820" t="s">
        <v>3116</v>
      </c>
      <c r="C820" t="s">
        <v>16179</v>
      </c>
      <c r="D820" t="s">
        <v>23</v>
      </c>
      <c r="E820">
        <v>423</v>
      </c>
      <c r="F820" s="3">
        <v>41769</v>
      </c>
      <c r="H820" t="s">
        <v>15523</v>
      </c>
      <c r="I820" t="s">
        <v>16180</v>
      </c>
      <c r="K820" t="e">
        <v>#N/A</v>
      </c>
      <c r="S820" s="3"/>
    </row>
    <row r="821" spans="1:19" x14ac:dyDescent="0.25">
      <c r="A821" t="s">
        <v>3117</v>
      </c>
      <c r="B821" t="s">
        <v>3118</v>
      </c>
      <c r="C821" t="s">
        <v>16179</v>
      </c>
      <c r="D821" t="s">
        <v>23</v>
      </c>
      <c r="E821">
        <v>424</v>
      </c>
      <c r="F821" s="3">
        <v>41461</v>
      </c>
      <c r="H821" t="s">
        <v>15523</v>
      </c>
      <c r="I821" t="s">
        <v>16180</v>
      </c>
      <c r="K821" t="e">
        <v>#N/A</v>
      </c>
      <c r="S821" s="3"/>
    </row>
    <row r="822" spans="1:19" x14ac:dyDescent="0.25">
      <c r="A822" t="s">
        <v>3119</v>
      </c>
      <c r="B822" t="s">
        <v>3120</v>
      </c>
      <c r="C822" t="s">
        <v>16179</v>
      </c>
      <c r="D822" t="s">
        <v>23</v>
      </c>
      <c r="E822">
        <v>2694</v>
      </c>
      <c r="F822" s="3">
        <v>41769</v>
      </c>
      <c r="H822" t="s">
        <v>15523</v>
      </c>
      <c r="I822" t="s">
        <v>16180</v>
      </c>
      <c r="K822" t="e">
        <v>#N/A</v>
      </c>
      <c r="S822" s="3"/>
    </row>
    <row r="823" spans="1:19" x14ac:dyDescent="0.25">
      <c r="A823" t="s">
        <v>3121</v>
      </c>
      <c r="B823" t="s">
        <v>3122</v>
      </c>
      <c r="C823" t="s">
        <v>16179</v>
      </c>
      <c r="D823" t="s">
        <v>23</v>
      </c>
      <c r="E823">
        <v>425</v>
      </c>
      <c r="F823" s="3">
        <v>41769</v>
      </c>
      <c r="H823" t="s">
        <v>15523</v>
      </c>
      <c r="I823" t="s">
        <v>16180</v>
      </c>
      <c r="K823" t="e">
        <v>#N/A</v>
      </c>
      <c r="S823" s="3"/>
    </row>
    <row r="824" spans="1:19" x14ac:dyDescent="0.25">
      <c r="A824" t="s">
        <v>3123</v>
      </c>
      <c r="B824" t="s">
        <v>3124</v>
      </c>
      <c r="C824" t="s">
        <v>16179</v>
      </c>
      <c r="D824" t="s">
        <v>23</v>
      </c>
      <c r="E824">
        <v>3251</v>
      </c>
      <c r="F824" s="3">
        <v>41769</v>
      </c>
      <c r="H824" t="s">
        <v>15523</v>
      </c>
      <c r="I824" t="s">
        <v>16180</v>
      </c>
      <c r="K824" t="e">
        <v>#N/A</v>
      </c>
      <c r="S824" s="3"/>
    </row>
    <row r="825" spans="1:19" x14ac:dyDescent="0.25">
      <c r="A825" t="s">
        <v>3125</v>
      </c>
      <c r="B825" t="s">
        <v>3126</v>
      </c>
      <c r="C825" t="s">
        <v>16179</v>
      </c>
      <c r="D825" t="s">
        <v>23</v>
      </c>
      <c r="E825">
        <v>3252</v>
      </c>
      <c r="F825" s="3">
        <v>41769</v>
      </c>
      <c r="H825" t="s">
        <v>15523</v>
      </c>
      <c r="I825" t="s">
        <v>16180</v>
      </c>
      <c r="K825" t="e">
        <v>#N/A</v>
      </c>
      <c r="S825" s="3"/>
    </row>
    <row r="826" spans="1:19" x14ac:dyDescent="0.25">
      <c r="A826" t="s">
        <v>3127</v>
      </c>
      <c r="B826" t="s">
        <v>3128</v>
      </c>
      <c r="C826" t="s">
        <v>16179</v>
      </c>
      <c r="D826" t="s">
        <v>23</v>
      </c>
      <c r="E826">
        <v>427</v>
      </c>
      <c r="F826" s="3">
        <v>41461</v>
      </c>
      <c r="H826" t="s">
        <v>15523</v>
      </c>
      <c r="I826" t="s">
        <v>16180</v>
      </c>
      <c r="K826" t="e">
        <v>#N/A</v>
      </c>
      <c r="S826" s="3"/>
    </row>
    <row r="827" spans="1:19" x14ac:dyDescent="0.25">
      <c r="A827" t="s">
        <v>3129</v>
      </c>
      <c r="B827" t="s">
        <v>3130</v>
      </c>
      <c r="C827" t="s">
        <v>16179</v>
      </c>
      <c r="D827" t="s">
        <v>23</v>
      </c>
      <c r="E827">
        <v>428</v>
      </c>
      <c r="F827" s="3">
        <v>41461</v>
      </c>
      <c r="H827" t="s">
        <v>15523</v>
      </c>
      <c r="I827" t="s">
        <v>16180</v>
      </c>
      <c r="K827" t="e">
        <v>#N/A</v>
      </c>
      <c r="S827" s="3"/>
    </row>
    <row r="828" spans="1:19" x14ac:dyDescent="0.25">
      <c r="A828" t="s">
        <v>3131</v>
      </c>
      <c r="B828" t="s">
        <v>3132</v>
      </c>
      <c r="C828" t="s">
        <v>16179</v>
      </c>
      <c r="D828" t="s">
        <v>23</v>
      </c>
      <c r="E828">
        <v>429</v>
      </c>
      <c r="F828" s="3">
        <v>41461</v>
      </c>
      <c r="H828" t="s">
        <v>15523</v>
      </c>
      <c r="I828" t="s">
        <v>16180</v>
      </c>
      <c r="K828" t="e">
        <v>#N/A</v>
      </c>
      <c r="S828" s="3"/>
    </row>
    <row r="829" spans="1:19" x14ac:dyDescent="0.25">
      <c r="A829" t="s">
        <v>3133</v>
      </c>
      <c r="B829" t="s">
        <v>3134</v>
      </c>
      <c r="C829" t="s">
        <v>16179</v>
      </c>
      <c r="D829" t="s">
        <v>23</v>
      </c>
      <c r="E829">
        <v>3253</v>
      </c>
      <c r="F829" s="3">
        <v>41769</v>
      </c>
      <c r="H829" t="s">
        <v>15523</v>
      </c>
      <c r="I829" t="s">
        <v>16180</v>
      </c>
      <c r="K829" t="e">
        <v>#N/A</v>
      </c>
      <c r="S829" s="3"/>
    </row>
    <row r="830" spans="1:19" x14ac:dyDescent="0.25">
      <c r="A830" t="s">
        <v>3135</v>
      </c>
      <c r="B830" t="s">
        <v>3136</v>
      </c>
      <c r="C830" t="s">
        <v>16179</v>
      </c>
      <c r="D830" t="s">
        <v>23</v>
      </c>
      <c r="E830">
        <v>431</v>
      </c>
      <c r="F830" s="3">
        <v>41461</v>
      </c>
      <c r="H830" t="s">
        <v>15523</v>
      </c>
      <c r="I830" t="s">
        <v>16180</v>
      </c>
      <c r="K830" t="e">
        <v>#N/A</v>
      </c>
      <c r="S830" s="3"/>
    </row>
    <row r="831" spans="1:19" x14ac:dyDescent="0.25">
      <c r="A831" t="s">
        <v>3137</v>
      </c>
      <c r="B831" t="s">
        <v>3138</v>
      </c>
      <c r="C831" t="s">
        <v>16179</v>
      </c>
      <c r="D831" t="s">
        <v>23</v>
      </c>
      <c r="E831">
        <v>3255</v>
      </c>
      <c r="F831" s="3">
        <v>41769</v>
      </c>
      <c r="H831" t="s">
        <v>15523</v>
      </c>
      <c r="I831" t="s">
        <v>16180</v>
      </c>
      <c r="K831" t="e">
        <v>#N/A</v>
      </c>
      <c r="S831" s="3"/>
    </row>
    <row r="832" spans="1:19" x14ac:dyDescent="0.25">
      <c r="A832" t="s">
        <v>3139</v>
      </c>
      <c r="B832" t="s">
        <v>3140</v>
      </c>
      <c r="C832" t="s">
        <v>16179</v>
      </c>
      <c r="D832" t="s">
        <v>23</v>
      </c>
      <c r="E832">
        <v>3256</v>
      </c>
      <c r="F832" s="3">
        <v>41461</v>
      </c>
      <c r="H832" t="s">
        <v>15523</v>
      </c>
      <c r="I832" t="s">
        <v>16180</v>
      </c>
      <c r="K832" t="e">
        <v>#N/A</v>
      </c>
      <c r="S832" s="3"/>
    </row>
    <row r="833" spans="1:19" x14ac:dyDescent="0.25">
      <c r="A833" t="s">
        <v>3141</v>
      </c>
      <c r="B833" t="s">
        <v>3142</v>
      </c>
      <c r="C833" t="s">
        <v>16179</v>
      </c>
      <c r="D833" t="s">
        <v>23</v>
      </c>
      <c r="E833">
        <v>433</v>
      </c>
      <c r="F833" s="3">
        <v>41769</v>
      </c>
      <c r="H833" t="s">
        <v>15523</v>
      </c>
      <c r="I833" t="s">
        <v>16180</v>
      </c>
      <c r="K833" t="e">
        <v>#N/A</v>
      </c>
      <c r="S833" s="3"/>
    </row>
    <row r="834" spans="1:19" x14ac:dyDescent="0.25">
      <c r="A834" t="s">
        <v>3143</v>
      </c>
      <c r="B834" t="s">
        <v>3144</v>
      </c>
      <c r="C834" t="s">
        <v>16179</v>
      </c>
      <c r="D834" t="s">
        <v>23</v>
      </c>
      <c r="E834">
        <v>3258</v>
      </c>
      <c r="F834" s="3">
        <v>41769</v>
      </c>
      <c r="H834" t="s">
        <v>15523</v>
      </c>
      <c r="I834" t="s">
        <v>16180</v>
      </c>
      <c r="K834" t="e">
        <v>#N/A</v>
      </c>
      <c r="S834" s="3"/>
    </row>
    <row r="835" spans="1:19" x14ac:dyDescent="0.25">
      <c r="A835" t="s">
        <v>3145</v>
      </c>
      <c r="B835" t="s">
        <v>3146</v>
      </c>
      <c r="C835" t="s">
        <v>16179</v>
      </c>
      <c r="D835" t="s">
        <v>23</v>
      </c>
      <c r="E835">
        <v>3259</v>
      </c>
      <c r="F835" s="3">
        <v>41769</v>
      </c>
      <c r="H835" t="s">
        <v>15523</v>
      </c>
      <c r="I835" t="s">
        <v>16180</v>
      </c>
      <c r="K835" t="e">
        <v>#N/A</v>
      </c>
      <c r="S835" s="3"/>
    </row>
    <row r="836" spans="1:19" x14ac:dyDescent="0.25">
      <c r="A836" t="s">
        <v>3147</v>
      </c>
      <c r="B836" t="s">
        <v>3148</v>
      </c>
      <c r="C836" t="s">
        <v>16179</v>
      </c>
      <c r="D836" t="s">
        <v>23</v>
      </c>
      <c r="E836">
        <v>435</v>
      </c>
      <c r="F836" s="3">
        <v>41769</v>
      </c>
      <c r="H836" t="s">
        <v>15523</v>
      </c>
      <c r="I836" t="s">
        <v>16180</v>
      </c>
      <c r="K836" t="e">
        <v>#N/A</v>
      </c>
      <c r="S836" s="3"/>
    </row>
    <row r="837" spans="1:19" x14ac:dyDescent="0.25">
      <c r="A837" t="s">
        <v>3149</v>
      </c>
      <c r="B837" t="s">
        <v>3150</v>
      </c>
      <c r="C837" t="s">
        <v>16179</v>
      </c>
      <c r="D837" t="s">
        <v>23</v>
      </c>
      <c r="E837">
        <v>3264</v>
      </c>
      <c r="F837" s="3">
        <v>41769</v>
      </c>
      <c r="H837" t="s">
        <v>15523</v>
      </c>
      <c r="I837" t="s">
        <v>16180</v>
      </c>
      <c r="K837" t="e">
        <v>#N/A</v>
      </c>
      <c r="S837" s="3"/>
    </row>
    <row r="838" spans="1:19" x14ac:dyDescent="0.25">
      <c r="A838" t="s">
        <v>3151</v>
      </c>
      <c r="B838" t="s">
        <v>3152</v>
      </c>
      <c r="C838" t="s">
        <v>16179</v>
      </c>
      <c r="D838" t="s">
        <v>23</v>
      </c>
      <c r="E838">
        <v>2693</v>
      </c>
      <c r="F838" s="3">
        <v>41769</v>
      </c>
      <c r="H838" t="s">
        <v>15523</v>
      </c>
      <c r="I838" t="s">
        <v>16180</v>
      </c>
      <c r="K838" t="e">
        <v>#N/A</v>
      </c>
      <c r="S838" s="3"/>
    </row>
    <row r="839" spans="1:19" x14ac:dyDescent="0.25">
      <c r="A839" t="s">
        <v>406</v>
      </c>
      <c r="B839" t="s">
        <v>408</v>
      </c>
      <c r="C839" t="s">
        <v>409</v>
      </c>
      <c r="D839" t="s">
        <v>23</v>
      </c>
      <c r="E839">
        <v>333</v>
      </c>
      <c r="F839" s="3">
        <v>40702</v>
      </c>
      <c r="H839" t="s">
        <v>15523</v>
      </c>
      <c r="I839" t="s">
        <v>16230</v>
      </c>
      <c r="K839">
        <v>108</v>
      </c>
      <c r="S839" s="3"/>
    </row>
    <row r="840" spans="1:19" x14ac:dyDescent="0.25">
      <c r="A840" t="s">
        <v>3153</v>
      </c>
      <c r="B840" t="s">
        <v>3154</v>
      </c>
      <c r="C840" t="s">
        <v>3155</v>
      </c>
      <c r="D840" t="s">
        <v>23</v>
      </c>
      <c r="E840">
        <v>3200</v>
      </c>
      <c r="F840" s="3">
        <v>41769</v>
      </c>
      <c r="H840" t="s">
        <v>15523</v>
      </c>
      <c r="I840" t="s">
        <v>16231</v>
      </c>
      <c r="K840" t="e">
        <v>#N/A</v>
      </c>
      <c r="S840" s="3"/>
    </row>
    <row r="841" spans="1:19" x14ac:dyDescent="0.25">
      <c r="A841" t="s">
        <v>3156</v>
      </c>
      <c r="B841" t="s">
        <v>3157</v>
      </c>
      <c r="C841" t="s">
        <v>3158</v>
      </c>
      <c r="D841" t="s">
        <v>23</v>
      </c>
      <c r="E841">
        <v>3201</v>
      </c>
      <c r="F841" s="3">
        <v>41769</v>
      </c>
      <c r="H841" t="s">
        <v>15523</v>
      </c>
      <c r="I841" t="s">
        <v>16232</v>
      </c>
      <c r="K841" t="e">
        <v>#N/A</v>
      </c>
      <c r="S841" s="3"/>
    </row>
    <row r="842" spans="1:19" x14ac:dyDescent="0.25">
      <c r="A842" t="s">
        <v>3159</v>
      </c>
      <c r="B842" t="s">
        <v>3160</v>
      </c>
      <c r="C842" t="s">
        <v>3161</v>
      </c>
      <c r="D842" t="s">
        <v>23</v>
      </c>
      <c r="E842">
        <v>345</v>
      </c>
      <c r="F842" s="3">
        <v>40702</v>
      </c>
      <c r="H842" t="s">
        <v>15523</v>
      </c>
      <c r="I842" t="s">
        <v>16233</v>
      </c>
      <c r="K842" t="e">
        <v>#N/A</v>
      </c>
      <c r="S842" s="3"/>
    </row>
    <row r="843" spans="1:19" x14ac:dyDescent="0.25">
      <c r="A843" t="s">
        <v>3162</v>
      </c>
      <c r="B843" t="s">
        <v>3163</v>
      </c>
      <c r="C843" t="s">
        <v>3164</v>
      </c>
      <c r="D843" t="s">
        <v>23</v>
      </c>
      <c r="E843">
        <v>5953</v>
      </c>
      <c r="F843" s="3">
        <v>43250</v>
      </c>
      <c r="H843" t="s">
        <v>15523</v>
      </c>
      <c r="I843" t="s">
        <v>16234</v>
      </c>
      <c r="K843" t="e">
        <v>#N/A</v>
      </c>
      <c r="S843" s="3"/>
    </row>
    <row r="844" spans="1:19" x14ac:dyDescent="0.25">
      <c r="A844" t="s">
        <v>3165</v>
      </c>
      <c r="B844" t="s">
        <v>3166</v>
      </c>
      <c r="C844" t="s">
        <v>3167</v>
      </c>
      <c r="D844" t="s">
        <v>23</v>
      </c>
      <c r="E844">
        <v>346</v>
      </c>
      <c r="F844" s="3">
        <v>40702</v>
      </c>
      <c r="H844" t="s">
        <v>15523</v>
      </c>
      <c r="I844" t="s">
        <v>16235</v>
      </c>
      <c r="K844" t="e">
        <v>#N/A</v>
      </c>
      <c r="S844" s="3"/>
    </row>
    <row r="845" spans="1:19" x14ac:dyDescent="0.25">
      <c r="A845" t="s">
        <v>3168</v>
      </c>
      <c r="B845" t="s">
        <v>3169</v>
      </c>
      <c r="C845" t="s">
        <v>3170</v>
      </c>
      <c r="D845" t="s">
        <v>23</v>
      </c>
      <c r="E845">
        <v>348</v>
      </c>
      <c r="F845" s="3">
        <v>40702</v>
      </c>
      <c r="H845" t="s">
        <v>15523</v>
      </c>
      <c r="I845" t="s">
        <v>16236</v>
      </c>
      <c r="K845" t="e">
        <v>#N/A</v>
      </c>
      <c r="S845" s="3"/>
    </row>
    <row r="846" spans="1:19" x14ac:dyDescent="0.25">
      <c r="A846" t="s">
        <v>3171</v>
      </c>
      <c r="B846" t="s">
        <v>3172</v>
      </c>
      <c r="C846" t="s">
        <v>3173</v>
      </c>
      <c r="D846" t="s">
        <v>23</v>
      </c>
      <c r="E846">
        <v>3205</v>
      </c>
      <c r="F846" s="3">
        <v>41769</v>
      </c>
      <c r="H846" t="s">
        <v>15523</v>
      </c>
      <c r="I846" t="s">
        <v>16237</v>
      </c>
      <c r="K846" t="e">
        <v>#N/A</v>
      </c>
      <c r="S846" s="3"/>
    </row>
    <row r="847" spans="1:19" x14ac:dyDescent="0.25">
      <c r="A847" t="s">
        <v>3174</v>
      </c>
      <c r="B847" t="s">
        <v>3175</v>
      </c>
      <c r="C847" t="s">
        <v>3176</v>
      </c>
      <c r="D847" t="s">
        <v>23</v>
      </c>
      <c r="E847">
        <v>5533</v>
      </c>
      <c r="F847" s="3">
        <v>42350</v>
      </c>
      <c r="H847" t="s">
        <v>15523</v>
      </c>
      <c r="I847" t="s">
        <v>16238</v>
      </c>
      <c r="K847" t="e">
        <v>#N/A</v>
      </c>
      <c r="S847" s="3"/>
    </row>
    <row r="848" spans="1:19" x14ac:dyDescent="0.25">
      <c r="A848" t="s">
        <v>202</v>
      </c>
      <c r="B848" t="s">
        <v>204</v>
      </c>
      <c r="C848" t="s">
        <v>205</v>
      </c>
      <c r="D848" t="s">
        <v>23</v>
      </c>
      <c r="E848">
        <v>362</v>
      </c>
      <c r="F848" s="3">
        <v>40702</v>
      </c>
      <c r="H848" t="s">
        <v>15523</v>
      </c>
      <c r="I848" t="s">
        <v>16239</v>
      </c>
      <c r="K848">
        <v>56</v>
      </c>
      <c r="S848" s="3"/>
    </row>
    <row r="849" spans="1:19" x14ac:dyDescent="0.25">
      <c r="A849" t="s">
        <v>3177</v>
      </c>
      <c r="B849" t="s">
        <v>3178</v>
      </c>
      <c r="C849" t="s">
        <v>3179</v>
      </c>
      <c r="D849" t="s">
        <v>23</v>
      </c>
      <c r="E849">
        <v>3208</v>
      </c>
      <c r="F849" s="3">
        <v>41769</v>
      </c>
      <c r="H849" t="s">
        <v>15523</v>
      </c>
      <c r="I849" t="s">
        <v>16240</v>
      </c>
      <c r="K849" t="e">
        <v>#N/A</v>
      </c>
      <c r="S849" s="3"/>
    </row>
    <row r="850" spans="1:19" x14ac:dyDescent="0.25">
      <c r="A850" t="s">
        <v>3180</v>
      </c>
      <c r="B850" t="s">
        <v>3181</v>
      </c>
      <c r="C850" t="s">
        <v>3182</v>
      </c>
      <c r="D850" t="s">
        <v>23</v>
      </c>
      <c r="E850">
        <v>350</v>
      </c>
      <c r="F850" s="3">
        <v>40702</v>
      </c>
      <c r="H850" t="s">
        <v>15523</v>
      </c>
      <c r="I850" t="s">
        <v>16241</v>
      </c>
      <c r="K850" t="e">
        <v>#N/A</v>
      </c>
      <c r="S850" s="3"/>
    </row>
    <row r="851" spans="1:19" x14ac:dyDescent="0.25">
      <c r="A851" t="s">
        <v>3183</v>
      </c>
      <c r="B851" t="s">
        <v>3184</v>
      </c>
      <c r="C851" t="s">
        <v>3185</v>
      </c>
      <c r="D851" t="s">
        <v>23</v>
      </c>
      <c r="E851">
        <v>342</v>
      </c>
      <c r="F851" s="3">
        <v>40702</v>
      </c>
      <c r="H851" t="s">
        <v>15523</v>
      </c>
      <c r="I851" t="s">
        <v>16242</v>
      </c>
      <c r="K851" t="e">
        <v>#N/A</v>
      </c>
      <c r="S851" s="3"/>
    </row>
    <row r="852" spans="1:19" x14ac:dyDescent="0.25">
      <c r="A852" t="s">
        <v>3186</v>
      </c>
      <c r="B852" t="s">
        <v>3187</v>
      </c>
      <c r="C852" t="s">
        <v>3188</v>
      </c>
      <c r="D852" t="s">
        <v>23</v>
      </c>
      <c r="E852">
        <v>1776</v>
      </c>
      <c r="F852" s="3">
        <v>40702</v>
      </c>
      <c r="H852" t="s">
        <v>15523</v>
      </c>
      <c r="I852" t="s">
        <v>16243</v>
      </c>
      <c r="K852" t="e">
        <v>#N/A</v>
      </c>
      <c r="S852" s="3"/>
    </row>
    <row r="853" spans="1:19" x14ac:dyDescent="0.25">
      <c r="A853" t="s">
        <v>3189</v>
      </c>
      <c r="B853" t="s">
        <v>3190</v>
      </c>
      <c r="C853" t="s">
        <v>3191</v>
      </c>
      <c r="D853" t="s">
        <v>23</v>
      </c>
      <c r="E853">
        <v>343</v>
      </c>
      <c r="F853" s="3">
        <v>40702</v>
      </c>
      <c r="H853" t="s">
        <v>15523</v>
      </c>
      <c r="I853" t="s">
        <v>16244</v>
      </c>
      <c r="K853" t="e">
        <v>#N/A</v>
      </c>
      <c r="S853" s="3"/>
    </row>
    <row r="854" spans="1:19" x14ac:dyDescent="0.25">
      <c r="A854" t="s">
        <v>3192</v>
      </c>
      <c r="B854" t="s">
        <v>3193</v>
      </c>
      <c r="C854" t="s">
        <v>3194</v>
      </c>
      <c r="D854" t="s">
        <v>23</v>
      </c>
      <c r="E854">
        <v>5324</v>
      </c>
      <c r="F854" s="3">
        <v>42208</v>
      </c>
      <c r="H854" t="s">
        <v>15523</v>
      </c>
      <c r="I854" t="s">
        <v>16245</v>
      </c>
      <c r="K854" t="e">
        <v>#N/A</v>
      </c>
      <c r="S854" s="3"/>
    </row>
    <row r="855" spans="1:19" x14ac:dyDescent="0.25">
      <c r="A855" t="s">
        <v>3195</v>
      </c>
      <c r="B855" t="s">
        <v>3196</v>
      </c>
      <c r="C855" t="s">
        <v>3197</v>
      </c>
      <c r="D855" t="s">
        <v>23</v>
      </c>
      <c r="E855">
        <v>351</v>
      </c>
      <c r="F855" s="3">
        <v>40702</v>
      </c>
      <c r="H855" t="s">
        <v>15523</v>
      </c>
      <c r="I855" t="s">
        <v>16246</v>
      </c>
      <c r="K855" t="e">
        <v>#N/A</v>
      </c>
      <c r="S855" s="3"/>
    </row>
    <row r="856" spans="1:19" x14ac:dyDescent="0.25">
      <c r="A856" t="s">
        <v>610</v>
      </c>
      <c r="B856" t="s">
        <v>612</v>
      </c>
      <c r="C856" t="s">
        <v>613</v>
      </c>
      <c r="D856" t="s">
        <v>23</v>
      </c>
      <c r="E856">
        <v>3243</v>
      </c>
      <c r="F856" s="3">
        <v>41769</v>
      </c>
      <c r="H856" t="s">
        <v>15523</v>
      </c>
      <c r="I856" t="s">
        <v>16247</v>
      </c>
      <c r="K856">
        <v>159</v>
      </c>
      <c r="S856" s="3"/>
    </row>
    <row r="857" spans="1:19" x14ac:dyDescent="0.25">
      <c r="A857" t="s">
        <v>514</v>
      </c>
      <c r="B857" t="s">
        <v>516</v>
      </c>
      <c r="C857" t="s">
        <v>517</v>
      </c>
      <c r="D857" t="s">
        <v>23</v>
      </c>
      <c r="E857">
        <v>384</v>
      </c>
      <c r="F857" s="3">
        <v>40702</v>
      </c>
      <c r="H857" t="s">
        <v>15523</v>
      </c>
      <c r="I857" t="s">
        <v>16248</v>
      </c>
      <c r="K857">
        <v>135</v>
      </c>
      <c r="S857" s="3"/>
    </row>
    <row r="858" spans="1:19" x14ac:dyDescent="0.25">
      <c r="A858" t="s">
        <v>3198</v>
      </c>
      <c r="B858" t="s">
        <v>3199</v>
      </c>
      <c r="C858" t="s">
        <v>3200</v>
      </c>
      <c r="D858" t="s">
        <v>23</v>
      </c>
      <c r="E858">
        <v>3245</v>
      </c>
      <c r="F858" s="3">
        <v>41769</v>
      </c>
      <c r="H858" t="s">
        <v>15523</v>
      </c>
      <c r="I858" t="s">
        <v>16249</v>
      </c>
      <c r="K858" t="e">
        <v>#N/A</v>
      </c>
      <c r="S858" s="3"/>
    </row>
    <row r="859" spans="1:19" x14ac:dyDescent="0.25">
      <c r="A859" t="s">
        <v>3201</v>
      </c>
      <c r="B859" t="s">
        <v>3202</v>
      </c>
      <c r="C859" t="s">
        <v>3203</v>
      </c>
      <c r="D859" t="s">
        <v>23</v>
      </c>
      <c r="E859">
        <v>3246</v>
      </c>
      <c r="F859" s="3">
        <v>41769</v>
      </c>
      <c r="H859" t="s">
        <v>15523</v>
      </c>
      <c r="I859" t="s">
        <v>16250</v>
      </c>
      <c r="K859" t="e">
        <v>#N/A</v>
      </c>
      <c r="S859" s="3"/>
    </row>
    <row r="860" spans="1:19" x14ac:dyDescent="0.25">
      <c r="A860" t="s">
        <v>3204</v>
      </c>
      <c r="B860" t="s">
        <v>3205</v>
      </c>
      <c r="C860" t="s">
        <v>3206</v>
      </c>
      <c r="D860" t="s">
        <v>23</v>
      </c>
      <c r="E860">
        <v>3247</v>
      </c>
      <c r="F860" s="3">
        <v>41861</v>
      </c>
      <c r="H860" t="s">
        <v>15523</v>
      </c>
      <c r="I860" t="s">
        <v>16251</v>
      </c>
      <c r="K860" t="e">
        <v>#N/A</v>
      </c>
      <c r="S860" s="3"/>
    </row>
    <row r="861" spans="1:19" x14ac:dyDescent="0.25">
      <c r="A861" t="s">
        <v>3207</v>
      </c>
      <c r="B861" t="s">
        <v>3208</v>
      </c>
      <c r="C861" t="s">
        <v>3209</v>
      </c>
      <c r="D861" t="s">
        <v>23</v>
      </c>
      <c r="E861">
        <v>3248</v>
      </c>
      <c r="F861" s="3">
        <v>41769</v>
      </c>
      <c r="H861" t="s">
        <v>15523</v>
      </c>
      <c r="I861" t="s">
        <v>16252</v>
      </c>
      <c r="K861" t="e">
        <v>#N/A</v>
      </c>
      <c r="S861" s="3"/>
    </row>
    <row r="862" spans="1:19" x14ac:dyDescent="0.25">
      <c r="A862" t="s">
        <v>3210</v>
      </c>
      <c r="B862" t="s">
        <v>3211</v>
      </c>
      <c r="C862" t="s">
        <v>3212</v>
      </c>
      <c r="D862" t="s">
        <v>23</v>
      </c>
      <c r="E862">
        <v>3249</v>
      </c>
      <c r="F862" s="3">
        <v>41769</v>
      </c>
      <c r="H862" t="s">
        <v>15523</v>
      </c>
      <c r="I862" t="s">
        <v>16253</v>
      </c>
      <c r="K862" t="e">
        <v>#N/A</v>
      </c>
      <c r="S862" s="3"/>
    </row>
    <row r="863" spans="1:19" x14ac:dyDescent="0.25">
      <c r="A863" t="s">
        <v>3213</v>
      </c>
      <c r="B863" t="s">
        <v>3214</v>
      </c>
      <c r="C863" t="s">
        <v>3215</v>
      </c>
      <c r="D863" t="s">
        <v>23</v>
      </c>
      <c r="E863">
        <v>352</v>
      </c>
      <c r="F863" s="3">
        <v>40702</v>
      </c>
      <c r="H863" t="s">
        <v>15523</v>
      </c>
      <c r="I863" t="s">
        <v>16254</v>
      </c>
      <c r="K863" t="e">
        <v>#N/A</v>
      </c>
      <c r="S863" s="3"/>
    </row>
    <row r="864" spans="1:19" x14ac:dyDescent="0.25">
      <c r="A864" t="s">
        <v>570</v>
      </c>
      <c r="B864" t="s">
        <v>572</v>
      </c>
      <c r="C864" t="s">
        <v>573</v>
      </c>
      <c r="D864" t="s">
        <v>23</v>
      </c>
      <c r="E864">
        <v>3269</v>
      </c>
      <c r="F864" s="3">
        <v>41769</v>
      </c>
      <c r="H864" t="s">
        <v>15523</v>
      </c>
      <c r="I864" t="s">
        <v>16255</v>
      </c>
      <c r="K864">
        <v>149</v>
      </c>
      <c r="S864" s="3"/>
    </row>
    <row r="865" spans="1:19" x14ac:dyDescent="0.25">
      <c r="A865" t="s">
        <v>3216</v>
      </c>
      <c r="B865" t="s">
        <v>3217</v>
      </c>
      <c r="C865" t="s">
        <v>3218</v>
      </c>
      <c r="D865" t="s">
        <v>23</v>
      </c>
      <c r="E865">
        <v>353</v>
      </c>
      <c r="F865" s="3">
        <v>40702</v>
      </c>
      <c r="H865" t="s">
        <v>15523</v>
      </c>
      <c r="I865" t="s">
        <v>16256</v>
      </c>
      <c r="K865" t="e">
        <v>#N/A</v>
      </c>
      <c r="S865" s="3"/>
    </row>
    <row r="866" spans="1:19" x14ac:dyDescent="0.25">
      <c r="A866" t="s">
        <v>322</v>
      </c>
      <c r="B866" t="s">
        <v>324</v>
      </c>
      <c r="C866" t="s">
        <v>325</v>
      </c>
      <c r="D866" t="s">
        <v>23</v>
      </c>
      <c r="E866">
        <v>391</v>
      </c>
      <c r="F866" s="3">
        <v>40702</v>
      </c>
      <c r="H866" t="s">
        <v>15523</v>
      </c>
      <c r="I866" t="s">
        <v>16257</v>
      </c>
      <c r="K866">
        <v>87</v>
      </c>
      <c r="S866" s="3"/>
    </row>
    <row r="867" spans="1:19" x14ac:dyDescent="0.25">
      <c r="A867" t="s">
        <v>3219</v>
      </c>
      <c r="B867" t="s">
        <v>3220</v>
      </c>
      <c r="C867" t="s">
        <v>3221</v>
      </c>
      <c r="D867" t="s">
        <v>23</v>
      </c>
      <c r="E867">
        <v>3274</v>
      </c>
      <c r="F867" s="3">
        <v>41769</v>
      </c>
      <c r="H867" t="s">
        <v>15523</v>
      </c>
      <c r="I867" t="s">
        <v>16258</v>
      </c>
      <c r="K867" t="e">
        <v>#N/A</v>
      </c>
      <c r="S867" s="3"/>
    </row>
    <row r="868" spans="1:19" x14ac:dyDescent="0.25">
      <c r="A868" t="s">
        <v>3222</v>
      </c>
      <c r="B868" t="s">
        <v>3223</v>
      </c>
      <c r="C868" t="s">
        <v>3224</v>
      </c>
      <c r="D868" t="s">
        <v>23</v>
      </c>
      <c r="E868">
        <v>1777</v>
      </c>
      <c r="F868" s="3">
        <v>40702</v>
      </c>
      <c r="H868" t="s">
        <v>15523</v>
      </c>
      <c r="I868" t="s">
        <v>16259</v>
      </c>
      <c r="K868" t="e">
        <v>#N/A</v>
      </c>
      <c r="S868" s="3"/>
    </row>
    <row r="869" spans="1:19" x14ac:dyDescent="0.25">
      <c r="A869" t="s">
        <v>3225</v>
      </c>
      <c r="B869" t="s">
        <v>3226</v>
      </c>
      <c r="C869" t="s">
        <v>3227</v>
      </c>
      <c r="D869" t="s">
        <v>23</v>
      </c>
      <c r="E869">
        <v>399</v>
      </c>
      <c r="F869" s="3">
        <v>40702</v>
      </c>
      <c r="H869" t="s">
        <v>15523</v>
      </c>
      <c r="I869" t="s">
        <v>16260</v>
      </c>
      <c r="K869" t="e">
        <v>#N/A</v>
      </c>
      <c r="S869" s="3"/>
    </row>
    <row r="870" spans="1:19" x14ac:dyDescent="0.25">
      <c r="A870" t="s">
        <v>3228</v>
      </c>
      <c r="B870" t="s">
        <v>3229</v>
      </c>
      <c r="C870" t="s">
        <v>3230</v>
      </c>
      <c r="D870" t="s">
        <v>23</v>
      </c>
      <c r="E870">
        <v>3275</v>
      </c>
      <c r="F870" s="3">
        <v>41769</v>
      </c>
      <c r="H870" t="s">
        <v>15523</v>
      </c>
      <c r="I870" t="s">
        <v>16261</v>
      </c>
      <c r="K870" t="e">
        <v>#N/A</v>
      </c>
      <c r="S870" s="3"/>
    </row>
    <row r="871" spans="1:19" x14ac:dyDescent="0.25">
      <c r="A871" t="s">
        <v>3231</v>
      </c>
      <c r="B871" t="s">
        <v>3232</v>
      </c>
      <c r="C871" t="s">
        <v>3233</v>
      </c>
      <c r="D871" t="s">
        <v>23</v>
      </c>
      <c r="E871">
        <v>3277</v>
      </c>
      <c r="F871" s="3">
        <v>41769</v>
      </c>
      <c r="H871" t="s">
        <v>15523</v>
      </c>
      <c r="I871" t="s">
        <v>16262</v>
      </c>
      <c r="K871" t="e">
        <v>#N/A</v>
      </c>
      <c r="S871" s="3"/>
    </row>
    <row r="872" spans="1:19" x14ac:dyDescent="0.25">
      <c r="A872" t="s">
        <v>3234</v>
      </c>
      <c r="B872" t="s">
        <v>3235</v>
      </c>
      <c r="C872" t="s">
        <v>3236</v>
      </c>
      <c r="D872" t="s">
        <v>23</v>
      </c>
      <c r="E872">
        <v>5811</v>
      </c>
      <c r="F872" s="3">
        <v>42868</v>
      </c>
      <c r="H872" t="s">
        <v>15523</v>
      </c>
      <c r="I872" t="s">
        <v>16263</v>
      </c>
      <c r="K872" t="e">
        <v>#N/A</v>
      </c>
      <c r="S872" s="3"/>
    </row>
    <row r="873" spans="1:19" x14ac:dyDescent="0.25">
      <c r="A873" t="s">
        <v>3237</v>
      </c>
      <c r="B873" t="s">
        <v>3238</v>
      </c>
      <c r="C873" t="s">
        <v>3239</v>
      </c>
      <c r="D873" t="s">
        <v>23</v>
      </c>
      <c r="E873">
        <v>3281</v>
      </c>
      <c r="F873" s="3">
        <v>41769</v>
      </c>
      <c r="H873" t="s">
        <v>15523</v>
      </c>
      <c r="I873" t="s">
        <v>16264</v>
      </c>
      <c r="K873" t="e">
        <v>#N/A</v>
      </c>
      <c r="S873" s="3"/>
    </row>
    <row r="874" spans="1:19" x14ac:dyDescent="0.25">
      <c r="A874" t="s">
        <v>3240</v>
      </c>
      <c r="B874" t="s">
        <v>3241</v>
      </c>
      <c r="C874" t="s">
        <v>3242</v>
      </c>
      <c r="D874" t="s">
        <v>23</v>
      </c>
      <c r="E874">
        <v>3282</v>
      </c>
      <c r="F874" s="3">
        <v>41769</v>
      </c>
      <c r="H874" t="s">
        <v>15523</v>
      </c>
      <c r="I874" t="s">
        <v>16265</v>
      </c>
      <c r="K874" t="e">
        <v>#N/A</v>
      </c>
      <c r="S874" s="3"/>
    </row>
    <row r="875" spans="1:19" x14ac:dyDescent="0.25">
      <c r="A875" t="s">
        <v>3243</v>
      </c>
      <c r="B875" t="s">
        <v>3244</v>
      </c>
      <c r="C875" t="s">
        <v>3245</v>
      </c>
      <c r="D875" t="s">
        <v>23</v>
      </c>
      <c r="E875">
        <v>4990</v>
      </c>
      <c r="F875" s="3">
        <v>41660</v>
      </c>
      <c r="H875" t="s">
        <v>15523</v>
      </c>
      <c r="I875" t="s">
        <v>16266</v>
      </c>
      <c r="K875" t="e">
        <v>#N/A</v>
      </c>
      <c r="S875" s="3"/>
    </row>
    <row r="876" spans="1:19" x14ac:dyDescent="0.25">
      <c r="A876" t="s">
        <v>3246</v>
      </c>
      <c r="B876" t="s">
        <v>3247</v>
      </c>
      <c r="C876" t="s">
        <v>3248</v>
      </c>
      <c r="D876" t="s">
        <v>23</v>
      </c>
      <c r="E876">
        <v>3287</v>
      </c>
      <c r="F876" s="3">
        <v>41769</v>
      </c>
      <c r="H876" t="s">
        <v>15523</v>
      </c>
      <c r="I876" t="s">
        <v>16267</v>
      </c>
      <c r="K876" t="e">
        <v>#N/A</v>
      </c>
      <c r="S876" s="3"/>
    </row>
    <row r="877" spans="1:19" x14ac:dyDescent="0.25">
      <c r="A877" t="s">
        <v>3249</v>
      </c>
      <c r="B877" t="s">
        <v>3250</v>
      </c>
      <c r="C877" t="s">
        <v>3251</v>
      </c>
      <c r="D877" t="s">
        <v>23</v>
      </c>
      <c r="E877">
        <v>394</v>
      </c>
      <c r="F877" s="3">
        <v>40702</v>
      </c>
      <c r="H877" t="s">
        <v>15523</v>
      </c>
      <c r="I877" t="s">
        <v>16268</v>
      </c>
      <c r="K877" t="e">
        <v>#N/A</v>
      </c>
      <c r="S877" s="3"/>
    </row>
    <row r="878" spans="1:19" x14ac:dyDescent="0.25">
      <c r="A878" t="s">
        <v>3252</v>
      </c>
      <c r="B878" t="s">
        <v>3253</v>
      </c>
      <c r="C878" t="s">
        <v>3254</v>
      </c>
      <c r="D878" t="s">
        <v>23</v>
      </c>
      <c r="E878">
        <v>1596</v>
      </c>
      <c r="F878" s="3">
        <v>40702</v>
      </c>
      <c r="H878" t="s">
        <v>15523</v>
      </c>
      <c r="I878" t="s">
        <v>16269</v>
      </c>
      <c r="K878" t="e">
        <v>#N/A</v>
      </c>
      <c r="S878" s="3"/>
    </row>
    <row r="879" spans="1:19" x14ac:dyDescent="0.25">
      <c r="A879" t="s">
        <v>3255</v>
      </c>
      <c r="B879" t="s">
        <v>3256</v>
      </c>
      <c r="C879" t="s">
        <v>3257</v>
      </c>
      <c r="D879" t="s">
        <v>23</v>
      </c>
      <c r="E879">
        <v>3276</v>
      </c>
      <c r="F879" s="3">
        <v>41769</v>
      </c>
      <c r="H879" t="s">
        <v>15523</v>
      </c>
      <c r="I879" t="s">
        <v>16270</v>
      </c>
      <c r="K879" t="e">
        <v>#N/A</v>
      </c>
      <c r="S879" s="3"/>
    </row>
    <row r="880" spans="1:19" x14ac:dyDescent="0.25">
      <c r="A880" t="s">
        <v>3258</v>
      </c>
      <c r="B880" t="s">
        <v>3259</v>
      </c>
      <c r="C880" t="s">
        <v>3260</v>
      </c>
      <c r="D880" t="s">
        <v>23</v>
      </c>
      <c r="E880">
        <v>3278</v>
      </c>
      <c r="F880" s="3">
        <v>41769</v>
      </c>
      <c r="H880" t="s">
        <v>15523</v>
      </c>
      <c r="I880" t="s">
        <v>16271</v>
      </c>
      <c r="K880" t="e">
        <v>#N/A</v>
      </c>
      <c r="S880" s="3"/>
    </row>
    <row r="881" spans="1:19" x14ac:dyDescent="0.25">
      <c r="A881" t="s">
        <v>3261</v>
      </c>
      <c r="B881" t="s">
        <v>3262</v>
      </c>
      <c r="C881" t="s">
        <v>3263</v>
      </c>
      <c r="D881" t="s">
        <v>23</v>
      </c>
      <c r="E881">
        <v>3279</v>
      </c>
      <c r="F881" s="3">
        <v>41769</v>
      </c>
      <c r="H881" t="s">
        <v>15523</v>
      </c>
      <c r="I881" t="s">
        <v>16272</v>
      </c>
      <c r="K881" t="e">
        <v>#N/A</v>
      </c>
      <c r="S881" s="3"/>
    </row>
    <row r="882" spans="1:19" x14ac:dyDescent="0.25">
      <c r="A882" t="s">
        <v>3264</v>
      </c>
      <c r="B882" t="s">
        <v>3265</v>
      </c>
      <c r="C882" t="s">
        <v>3266</v>
      </c>
      <c r="D882" t="s">
        <v>23</v>
      </c>
      <c r="E882">
        <v>3280</v>
      </c>
      <c r="F882" s="3">
        <v>41006</v>
      </c>
      <c r="H882" t="s">
        <v>15523</v>
      </c>
      <c r="I882" t="s">
        <v>16273</v>
      </c>
      <c r="K882" t="e">
        <v>#N/A</v>
      </c>
      <c r="S882" s="3"/>
    </row>
    <row r="883" spans="1:19" x14ac:dyDescent="0.25">
      <c r="A883" t="s">
        <v>3267</v>
      </c>
      <c r="B883" t="s">
        <v>3268</v>
      </c>
      <c r="C883" t="s">
        <v>3269</v>
      </c>
      <c r="D883" t="s">
        <v>23</v>
      </c>
      <c r="E883">
        <v>400</v>
      </c>
      <c r="F883" s="3">
        <v>40702</v>
      </c>
      <c r="H883" t="s">
        <v>15523</v>
      </c>
      <c r="I883" t="s">
        <v>16274</v>
      </c>
      <c r="K883" t="e">
        <v>#N/A</v>
      </c>
      <c r="S883" s="3"/>
    </row>
    <row r="884" spans="1:19" x14ac:dyDescent="0.25">
      <c r="A884" t="s">
        <v>3270</v>
      </c>
      <c r="B884" t="s">
        <v>3271</v>
      </c>
      <c r="C884" t="s">
        <v>3272</v>
      </c>
      <c r="D884" t="s">
        <v>23</v>
      </c>
      <c r="E884">
        <v>3288</v>
      </c>
      <c r="F884" s="3">
        <v>40702</v>
      </c>
      <c r="H884" t="s">
        <v>15523</v>
      </c>
      <c r="I884" t="s">
        <v>16275</v>
      </c>
      <c r="K884" t="e">
        <v>#N/A</v>
      </c>
      <c r="S884" s="3"/>
    </row>
    <row r="885" spans="1:19" x14ac:dyDescent="0.25">
      <c r="A885" t="s">
        <v>210</v>
      </c>
      <c r="B885" t="s">
        <v>212</v>
      </c>
      <c r="C885" t="s">
        <v>213</v>
      </c>
      <c r="D885" t="s">
        <v>23</v>
      </c>
      <c r="E885">
        <v>965</v>
      </c>
      <c r="F885" s="3">
        <v>40702</v>
      </c>
      <c r="H885" t="s">
        <v>15523</v>
      </c>
      <c r="I885" t="s">
        <v>16276</v>
      </c>
      <c r="K885">
        <v>58</v>
      </c>
      <c r="S885" s="3"/>
    </row>
    <row r="886" spans="1:19" x14ac:dyDescent="0.25">
      <c r="A886" t="s">
        <v>3273</v>
      </c>
      <c r="B886" t="s">
        <v>3274</v>
      </c>
      <c r="C886" t="s">
        <v>3275</v>
      </c>
      <c r="D886" t="s">
        <v>23</v>
      </c>
      <c r="E886">
        <v>5749</v>
      </c>
      <c r="F886" s="3">
        <v>42759</v>
      </c>
      <c r="H886" t="s">
        <v>15523</v>
      </c>
      <c r="I886" t="s">
        <v>16277</v>
      </c>
      <c r="K886" t="e">
        <v>#N/A</v>
      </c>
      <c r="S886" s="3"/>
    </row>
    <row r="887" spans="1:19" x14ac:dyDescent="0.25">
      <c r="A887" t="s">
        <v>3276</v>
      </c>
      <c r="B887" t="s">
        <v>3277</v>
      </c>
      <c r="C887" t="s">
        <v>3278</v>
      </c>
      <c r="D887" t="s">
        <v>23</v>
      </c>
      <c r="E887">
        <v>558</v>
      </c>
      <c r="F887" s="3">
        <v>41461</v>
      </c>
      <c r="H887" t="s">
        <v>15523</v>
      </c>
      <c r="I887" t="s">
        <v>16278</v>
      </c>
      <c r="K887" t="e">
        <v>#N/A</v>
      </c>
      <c r="S887" s="3"/>
    </row>
    <row r="888" spans="1:19" x14ac:dyDescent="0.25">
      <c r="A888" t="s">
        <v>3279</v>
      </c>
      <c r="B888" t="s">
        <v>3280</v>
      </c>
      <c r="C888" t="s">
        <v>3281</v>
      </c>
      <c r="D888" t="s">
        <v>23</v>
      </c>
      <c r="E888">
        <v>559</v>
      </c>
      <c r="F888" s="3">
        <v>40702</v>
      </c>
      <c r="H888" t="s">
        <v>15523</v>
      </c>
      <c r="I888" t="s">
        <v>16279</v>
      </c>
      <c r="K888" t="e">
        <v>#N/A</v>
      </c>
      <c r="S888" s="3"/>
    </row>
    <row r="889" spans="1:19" x14ac:dyDescent="0.25">
      <c r="A889" t="s">
        <v>3282</v>
      </c>
      <c r="B889" t="s">
        <v>3283</v>
      </c>
      <c r="C889" t="s">
        <v>3284</v>
      </c>
      <c r="D889" t="s">
        <v>23</v>
      </c>
      <c r="E889">
        <v>1634</v>
      </c>
      <c r="F889" s="3">
        <v>41461</v>
      </c>
      <c r="H889" t="s">
        <v>15523</v>
      </c>
      <c r="I889" t="s">
        <v>16280</v>
      </c>
      <c r="K889" t="e">
        <v>#N/A</v>
      </c>
      <c r="S889" s="3"/>
    </row>
    <row r="890" spans="1:19" x14ac:dyDescent="0.25">
      <c r="A890" t="s">
        <v>3285</v>
      </c>
      <c r="B890" t="s">
        <v>3286</v>
      </c>
      <c r="C890" t="s">
        <v>3287</v>
      </c>
      <c r="D890" t="s">
        <v>23</v>
      </c>
      <c r="E890">
        <v>1635</v>
      </c>
      <c r="F890" s="3">
        <v>40702</v>
      </c>
      <c r="H890" t="s">
        <v>15523</v>
      </c>
      <c r="I890" t="s">
        <v>16281</v>
      </c>
      <c r="K890" t="e">
        <v>#N/A</v>
      </c>
      <c r="S890" s="3"/>
    </row>
    <row r="891" spans="1:19" x14ac:dyDescent="0.25">
      <c r="A891" t="s">
        <v>3288</v>
      </c>
      <c r="B891" t="s">
        <v>3289</v>
      </c>
      <c r="C891" t="s">
        <v>3290</v>
      </c>
      <c r="D891" t="s">
        <v>23</v>
      </c>
      <c r="E891">
        <v>1636</v>
      </c>
      <c r="F891" s="3">
        <v>40702</v>
      </c>
      <c r="H891" t="s">
        <v>15523</v>
      </c>
      <c r="I891" t="s">
        <v>16282</v>
      </c>
      <c r="K891" t="e">
        <v>#N/A</v>
      </c>
      <c r="S891" s="3"/>
    </row>
    <row r="892" spans="1:19" x14ac:dyDescent="0.25">
      <c r="A892" t="s">
        <v>3291</v>
      </c>
      <c r="B892" t="s">
        <v>3292</v>
      </c>
      <c r="C892" t="s">
        <v>3293</v>
      </c>
      <c r="D892" t="s">
        <v>23</v>
      </c>
      <c r="E892">
        <v>3304</v>
      </c>
      <c r="F892" s="3">
        <v>40702</v>
      </c>
      <c r="H892" t="s">
        <v>15523</v>
      </c>
      <c r="I892" t="s">
        <v>16283</v>
      </c>
      <c r="K892" t="e">
        <v>#N/A</v>
      </c>
      <c r="S892" s="3"/>
    </row>
    <row r="893" spans="1:19" x14ac:dyDescent="0.25">
      <c r="A893" t="s">
        <v>3294</v>
      </c>
      <c r="B893" t="s">
        <v>3295</v>
      </c>
      <c r="C893" t="s">
        <v>3296</v>
      </c>
      <c r="D893" t="s">
        <v>23</v>
      </c>
      <c r="E893">
        <v>3305</v>
      </c>
      <c r="F893" s="3">
        <v>40702</v>
      </c>
      <c r="H893" t="s">
        <v>15523</v>
      </c>
      <c r="I893" t="s">
        <v>16284</v>
      </c>
      <c r="K893" t="e">
        <v>#N/A</v>
      </c>
      <c r="S893" s="3"/>
    </row>
    <row r="894" spans="1:19" x14ac:dyDescent="0.25">
      <c r="A894" t="s">
        <v>3297</v>
      </c>
      <c r="B894" t="s">
        <v>3298</v>
      </c>
      <c r="C894" t="s">
        <v>3299</v>
      </c>
      <c r="D894" t="s">
        <v>23</v>
      </c>
      <c r="E894">
        <v>3306</v>
      </c>
      <c r="F894" s="3">
        <v>40702</v>
      </c>
      <c r="H894" t="s">
        <v>15523</v>
      </c>
      <c r="I894" t="s">
        <v>16285</v>
      </c>
      <c r="K894" t="e">
        <v>#N/A</v>
      </c>
      <c r="S894" s="3"/>
    </row>
    <row r="895" spans="1:19" x14ac:dyDescent="0.25">
      <c r="A895" t="s">
        <v>3300</v>
      </c>
      <c r="B895" t="s">
        <v>3301</v>
      </c>
      <c r="C895" t="s">
        <v>3302</v>
      </c>
      <c r="D895" t="s">
        <v>23</v>
      </c>
      <c r="E895">
        <v>686</v>
      </c>
      <c r="F895" s="3">
        <v>41461</v>
      </c>
      <c r="H895" t="s">
        <v>15523</v>
      </c>
      <c r="I895" t="s">
        <v>16286</v>
      </c>
      <c r="K895" t="e">
        <v>#N/A</v>
      </c>
      <c r="S895" s="3"/>
    </row>
    <row r="896" spans="1:19" x14ac:dyDescent="0.25">
      <c r="A896" t="s">
        <v>3303</v>
      </c>
      <c r="B896" t="s">
        <v>3304</v>
      </c>
      <c r="C896" t="s">
        <v>3305</v>
      </c>
      <c r="D896" t="s">
        <v>23</v>
      </c>
      <c r="E896">
        <v>4991</v>
      </c>
      <c r="F896" s="3">
        <v>41660</v>
      </c>
      <c r="H896" t="s">
        <v>15523</v>
      </c>
      <c r="I896" t="s">
        <v>16287</v>
      </c>
      <c r="K896" t="e">
        <v>#N/A</v>
      </c>
      <c r="S896" s="3"/>
    </row>
    <row r="897" spans="1:19" x14ac:dyDescent="0.25">
      <c r="A897" t="s">
        <v>3306</v>
      </c>
      <c r="B897" t="s">
        <v>3307</v>
      </c>
      <c r="C897" t="s">
        <v>3308</v>
      </c>
      <c r="D897" t="s">
        <v>23</v>
      </c>
      <c r="E897">
        <v>687</v>
      </c>
      <c r="F897" s="3">
        <v>40702</v>
      </c>
      <c r="H897" t="s">
        <v>15523</v>
      </c>
      <c r="I897" t="s">
        <v>16288</v>
      </c>
      <c r="K897" t="e">
        <v>#N/A</v>
      </c>
      <c r="S897" s="3"/>
    </row>
    <row r="898" spans="1:19" x14ac:dyDescent="0.25">
      <c r="A898" t="s">
        <v>3309</v>
      </c>
      <c r="B898" t="s">
        <v>3310</v>
      </c>
      <c r="C898" t="s">
        <v>3311</v>
      </c>
      <c r="D898" t="s">
        <v>23</v>
      </c>
      <c r="E898">
        <v>5066</v>
      </c>
      <c r="F898" s="3">
        <v>41741</v>
      </c>
      <c r="H898" t="s">
        <v>15523</v>
      </c>
      <c r="I898" t="s">
        <v>16289</v>
      </c>
      <c r="K898" t="e">
        <v>#N/A</v>
      </c>
      <c r="S898" s="3"/>
    </row>
    <row r="899" spans="1:19" x14ac:dyDescent="0.25">
      <c r="A899" t="s">
        <v>3312</v>
      </c>
      <c r="B899" t="s">
        <v>3313</v>
      </c>
      <c r="C899" t="s">
        <v>3314</v>
      </c>
      <c r="D899" t="s">
        <v>23</v>
      </c>
      <c r="E899">
        <v>6013</v>
      </c>
      <c r="F899" s="3">
        <v>43497</v>
      </c>
      <c r="H899" t="s">
        <v>15523</v>
      </c>
      <c r="I899" t="s">
        <v>16290</v>
      </c>
      <c r="K899" t="e">
        <v>#N/A</v>
      </c>
      <c r="S899" s="3"/>
    </row>
    <row r="900" spans="1:19" x14ac:dyDescent="0.25">
      <c r="A900" t="s">
        <v>3315</v>
      </c>
      <c r="B900" t="s">
        <v>3316</v>
      </c>
      <c r="C900" t="s">
        <v>3317</v>
      </c>
      <c r="D900" t="s">
        <v>23</v>
      </c>
      <c r="E900">
        <v>6025</v>
      </c>
      <c r="F900" s="3">
        <v>43539</v>
      </c>
      <c r="H900" t="s">
        <v>15523</v>
      </c>
      <c r="I900" t="s">
        <v>16291</v>
      </c>
      <c r="K900" t="e">
        <v>#N/A</v>
      </c>
      <c r="S900" s="3"/>
    </row>
    <row r="901" spans="1:19" x14ac:dyDescent="0.25">
      <c r="A901" t="s">
        <v>3318</v>
      </c>
      <c r="B901" t="s">
        <v>3319</v>
      </c>
      <c r="C901" t="s">
        <v>3320</v>
      </c>
      <c r="D901" t="s">
        <v>23</v>
      </c>
      <c r="E901">
        <v>5750</v>
      </c>
      <c r="F901" s="3">
        <v>42759</v>
      </c>
      <c r="H901" t="s">
        <v>15523</v>
      </c>
      <c r="I901" t="s">
        <v>16292</v>
      </c>
      <c r="K901" t="e">
        <v>#N/A</v>
      </c>
      <c r="S901" s="3"/>
    </row>
    <row r="902" spans="1:19" x14ac:dyDescent="0.25">
      <c r="A902" t="s">
        <v>3321</v>
      </c>
      <c r="B902" t="s">
        <v>3322</v>
      </c>
      <c r="C902" t="s">
        <v>3323</v>
      </c>
      <c r="D902" t="s">
        <v>23</v>
      </c>
      <c r="E902">
        <v>3309</v>
      </c>
      <c r="F902" s="3">
        <v>40702</v>
      </c>
      <c r="H902" t="s">
        <v>15523</v>
      </c>
      <c r="I902" t="s">
        <v>16293</v>
      </c>
      <c r="K902" t="e">
        <v>#N/A</v>
      </c>
      <c r="S902" s="3"/>
    </row>
    <row r="903" spans="1:19" x14ac:dyDescent="0.25">
      <c r="A903" t="s">
        <v>3324</v>
      </c>
      <c r="B903" t="s">
        <v>3325</v>
      </c>
      <c r="C903" t="s">
        <v>3326</v>
      </c>
      <c r="D903" t="s">
        <v>23</v>
      </c>
      <c r="E903">
        <v>6026</v>
      </c>
      <c r="F903" s="3">
        <v>43539</v>
      </c>
      <c r="H903" t="s">
        <v>15523</v>
      </c>
      <c r="I903" t="s">
        <v>16294</v>
      </c>
      <c r="K903" t="e">
        <v>#N/A</v>
      </c>
      <c r="S903" s="3"/>
    </row>
    <row r="904" spans="1:19" x14ac:dyDescent="0.25">
      <c r="A904" t="s">
        <v>3327</v>
      </c>
      <c r="B904" t="s">
        <v>3328</v>
      </c>
      <c r="C904" t="s">
        <v>3329</v>
      </c>
      <c r="D904" t="s">
        <v>23</v>
      </c>
      <c r="E904">
        <v>5241</v>
      </c>
      <c r="F904" s="3">
        <v>42040</v>
      </c>
      <c r="H904" t="s">
        <v>15523</v>
      </c>
      <c r="I904" t="s">
        <v>16295</v>
      </c>
      <c r="K904" t="e">
        <v>#N/A</v>
      </c>
      <c r="S904" s="3"/>
    </row>
    <row r="905" spans="1:19" x14ac:dyDescent="0.25">
      <c r="A905" t="s">
        <v>3330</v>
      </c>
      <c r="B905" t="s">
        <v>3331</v>
      </c>
      <c r="C905" t="s">
        <v>3332</v>
      </c>
      <c r="D905" t="s">
        <v>23</v>
      </c>
      <c r="E905">
        <v>1541</v>
      </c>
      <c r="F905" s="3">
        <v>40783</v>
      </c>
      <c r="H905" t="s">
        <v>15523</v>
      </c>
      <c r="I905" t="s">
        <v>16296</v>
      </c>
      <c r="K905" t="e">
        <v>#N/A</v>
      </c>
      <c r="S905" s="3"/>
    </row>
    <row r="906" spans="1:19" x14ac:dyDescent="0.25">
      <c r="A906" t="s">
        <v>3333</v>
      </c>
      <c r="B906" t="s">
        <v>3334</v>
      </c>
      <c r="C906" s="3">
        <v>976753</v>
      </c>
      <c r="D906" t="s">
        <v>23</v>
      </c>
      <c r="E906">
        <v>6014</v>
      </c>
      <c r="F906" s="3">
        <v>43497</v>
      </c>
      <c r="H906" t="s">
        <v>15523</v>
      </c>
      <c r="I906" t="s">
        <v>16297</v>
      </c>
      <c r="K906" t="e">
        <v>#N/A</v>
      </c>
      <c r="P906" s="3"/>
      <c r="S906" s="3"/>
    </row>
    <row r="907" spans="1:19" x14ac:dyDescent="0.25">
      <c r="A907" t="s">
        <v>3336</v>
      </c>
      <c r="B907" t="s">
        <v>3337</v>
      </c>
      <c r="C907" s="3">
        <v>316249</v>
      </c>
      <c r="D907" t="s">
        <v>23</v>
      </c>
      <c r="E907">
        <v>3310</v>
      </c>
      <c r="F907" s="3">
        <v>40704</v>
      </c>
      <c r="H907" t="s">
        <v>15523</v>
      </c>
      <c r="I907" t="s">
        <v>16298</v>
      </c>
      <c r="K907" t="e">
        <v>#N/A</v>
      </c>
      <c r="P907" s="3"/>
      <c r="S907" s="3"/>
    </row>
    <row r="908" spans="1:19" x14ac:dyDescent="0.25">
      <c r="A908" t="s">
        <v>3339</v>
      </c>
      <c r="B908" t="s">
        <v>3340</v>
      </c>
      <c r="C908" t="s">
        <v>3341</v>
      </c>
      <c r="D908" t="s">
        <v>23</v>
      </c>
      <c r="E908">
        <v>3311</v>
      </c>
      <c r="F908" s="3">
        <v>40782</v>
      </c>
      <c r="H908" t="s">
        <v>15523</v>
      </c>
      <c r="I908" t="s">
        <v>16299</v>
      </c>
      <c r="K908" t="e">
        <v>#N/A</v>
      </c>
      <c r="S908" s="3"/>
    </row>
    <row r="909" spans="1:19" x14ac:dyDescent="0.25">
      <c r="A909" t="s">
        <v>3342</v>
      </c>
      <c r="B909" t="s">
        <v>3343</v>
      </c>
      <c r="C909" t="s">
        <v>3344</v>
      </c>
      <c r="D909" t="s">
        <v>23</v>
      </c>
      <c r="E909">
        <v>866</v>
      </c>
      <c r="F909" s="3">
        <v>40702</v>
      </c>
      <c r="H909" t="s">
        <v>15523</v>
      </c>
      <c r="I909" t="s">
        <v>16300</v>
      </c>
      <c r="K909" t="e">
        <v>#N/A</v>
      </c>
      <c r="S909" s="3"/>
    </row>
    <row r="910" spans="1:19" x14ac:dyDescent="0.25">
      <c r="A910" t="s">
        <v>3345</v>
      </c>
      <c r="B910" t="s">
        <v>3346</v>
      </c>
      <c r="C910" t="s">
        <v>3347</v>
      </c>
      <c r="D910" t="s">
        <v>23</v>
      </c>
      <c r="E910">
        <v>6015</v>
      </c>
      <c r="F910" s="3">
        <v>43497</v>
      </c>
      <c r="H910" t="s">
        <v>15523</v>
      </c>
      <c r="I910" t="s">
        <v>16301</v>
      </c>
      <c r="K910" t="e">
        <v>#N/A</v>
      </c>
      <c r="S910" s="3"/>
    </row>
    <row r="911" spans="1:19" x14ac:dyDescent="0.25">
      <c r="A911" t="s">
        <v>3348</v>
      </c>
      <c r="B911" t="s">
        <v>3349</v>
      </c>
      <c r="C911" t="s">
        <v>3350</v>
      </c>
      <c r="D911" t="s">
        <v>23</v>
      </c>
      <c r="E911">
        <v>3312</v>
      </c>
      <c r="F911" s="3">
        <v>40782</v>
      </c>
      <c r="H911" t="s">
        <v>15523</v>
      </c>
      <c r="I911" t="s">
        <v>16302</v>
      </c>
      <c r="K911" t="e">
        <v>#N/A</v>
      </c>
      <c r="S911" s="3"/>
    </row>
    <row r="912" spans="1:19" x14ac:dyDescent="0.25">
      <c r="A912" t="s">
        <v>3351</v>
      </c>
      <c r="B912" t="s">
        <v>3352</v>
      </c>
      <c r="C912" t="s">
        <v>3353</v>
      </c>
      <c r="D912" t="s">
        <v>23</v>
      </c>
      <c r="E912">
        <v>3313</v>
      </c>
      <c r="F912" s="3">
        <v>40702</v>
      </c>
      <c r="H912" t="s">
        <v>15523</v>
      </c>
      <c r="I912" t="s">
        <v>16303</v>
      </c>
      <c r="K912" t="e">
        <v>#N/A</v>
      </c>
      <c r="S912" s="3"/>
    </row>
    <row r="913" spans="1:19" x14ac:dyDescent="0.25">
      <c r="A913" t="s">
        <v>3354</v>
      </c>
      <c r="B913" t="s">
        <v>3355</v>
      </c>
      <c r="C913" t="s">
        <v>3356</v>
      </c>
      <c r="D913" t="s">
        <v>23</v>
      </c>
      <c r="E913">
        <v>1291</v>
      </c>
      <c r="F913" s="3">
        <v>40702</v>
      </c>
      <c r="H913" t="s">
        <v>15523</v>
      </c>
      <c r="I913" t="s">
        <v>16304</v>
      </c>
      <c r="K913" t="e">
        <v>#N/A</v>
      </c>
      <c r="S913" s="3"/>
    </row>
    <row r="914" spans="1:19" x14ac:dyDescent="0.25">
      <c r="A914" t="s">
        <v>21</v>
      </c>
      <c r="B914" t="s">
        <v>20</v>
      </c>
      <c r="C914" t="s">
        <v>22</v>
      </c>
      <c r="D914" t="s">
        <v>23</v>
      </c>
      <c r="E914">
        <v>1153</v>
      </c>
      <c r="F914" s="3">
        <v>40702</v>
      </c>
      <c r="H914" t="s">
        <v>15523</v>
      </c>
      <c r="I914" t="s">
        <v>16305</v>
      </c>
      <c r="K914">
        <v>6</v>
      </c>
      <c r="S914" s="3"/>
    </row>
    <row r="915" spans="1:19" x14ac:dyDescent="0.25">
      <c r="A915" t="s">
        <v>3357</v>
      </c>
      <c r="B915" t="s">
        <v>3358</v>
      </c>
      <c r="C915" t="s">
        <v>3359</v>
      </c>
      <c r="D915" t="s">
        <v>23</v>
      </c>
      <c r="E915">
        <v>785</v>
      </c>
      <c r="F915" s="3">
        <v>40702</v>
      </c>
      <c r="H915" t="s">
        <v>15523</v>
      </c>
      <c r="I915" t="s">
        <v>16306</v>
      </c>
      <c r="K915" t="e">
        <v>#N/A</v>
      </c>
      <c r="S915" s="3"/>
    </row>
    <row r="916" spans="1:19" x14ac:dyDescent="0.25">
      <c r="A916" t="s">
        <v>3360</v>
      </c>
      <c r="B916" t="s">
        <v>3361</v>
      </c>
      <c r="C916" t="s">
        <v>3362</v>
      </c>
      <c r="D916" t="s">
        <v>23</v>
      </c>
      <c r="E916">
        <v>5147</v>
      </c>
      <c r="F916" s="3">
        <v>41928</v>
      </c>
      <c r="H916" t="s">
        <v>15523</v>
      </c>
      <c r="I916" t="s">
        <v>16307</v>
      </c>
      <c r="K916" t="e">
        <v>#N/A</v>
      </c>
      <c r="S916" s="3"/>
    </row>
    <row r="917" spans="1:19" x14ac:dyDescent="0.25">
      <c r="A917" t="s">
        <v>3363</v>
      </c>
      <c r="B917" t="s">
        <v>3364</v>
      </c>
      <c r="C917" t="s">
        <v>3365</v>
      </c>
      <c r="D917" t="s">
        <v>23</v>
      </c>
      <c r="E917">
        <v>1922</v>
      </c>
      <c r="F917" s="3">
        <v>40702</v>
      </c>
      <c r="H917" t="s">
        <v>15523</v>
      </c>
      <c r="I917" t="s">
        <v>16308</v>
      </c>
      <c r="K917" t="e">
        <v>#N/A</v>
      </c>
      <c r="S917" s="3"/>
    </row>
    <row r="918" spans="1:19" x14ac:dyDescent="0.25">
      <c r="A918" t="s">
        <v>3366</v>
      </c>
      <c r="B918" t="s">
        <v>3367</v>
      </c>
      <c r="C918" t="s">
        <v>3368</v>
      </c>
      <c r="D918" t="s">
        <v>23</v>
      </c>
      <c r="E918">
        <v>1154</v>
      </c>
      <c r="F918" s="3">
        <v>40702</v>
      </c>
      <c r="H918" t="s">
        <v>15523</v>
      </c>
      <c r="I918" t="s">
        <v>16309</v>
      </c>
      <c r="K918" t="e">
        <v>#N/A</v>
      </c>
      <c r="S918" s="3"/>
    </row>
    <row r="919" spans="1:19" x14ac:dyDescent="0.25">
      <c r="A919" t="s">
        <v>3369</v>
      </c>
      <c r="B919" t="s">
        <v>3370</v>
      </c>
      <c r="C919" t="s">
        <v>3371</v>
      </c>
      <c r="D919" t="s">
        <v>23</v>
      </c>
      <c r="E919">
        <v>3316</v>
      </c>
      <c r="F919" s="3">
        <v>40782</v>
      </c>
      <c r="H919" t="s">
        <v>15523</v>
      </c>
      <c r="I919" t="s">
        <v>16310</v>
      </c>
      <c r="K919" t="e">
        <v>#N/A</v>
      </c>
      <c r="S919" s="3"/>
    </row>
    <row r="920" spans="1:19" x14ac:dyDescent="0.25">
      <c r="A920" t="s">
        <v>3372</v>
      </c>
      <c r="B920" t="s">
        <v>3373</v>
      </c>
      <c r="C920" t="s">
        <v>3374</v>
      </c>
      <c r="D920" t="s">
        <v>23</v>
      </c>
      <c r="E920">
        <v>3317</v>
      </c>
      <c r="F920" s="3">
        <v>40702</v>
      </c>
      <c r="H920" t="s">
        <v>15523</v>
      </c>
      <c r="I920" t="s">
        <v>16311</v>
      </c>
      <c r="K920" t="e">
        <v>#N/A</v>
      </c>
      <c r="S920" s="3"/>
    </row>
    <row r="921" spans="1:19" x14ac:dyDescent="0.25">
      <c r="A921" t="s">
        <v>3375</v>
      </c>
      <c r="B921" t="s">
        <v>3376</v>
      </c>
      <c r="C921" t="s">
        <v>3377</v>
      </c>
      <c r="D921" t="s">
        <v>23</v>
      </c>
      <c r="E921">
        <v>1161</v>
      </c>
      <c r="F921" s="3">
        <v>41461</v>
      </c>
      <c r="H921" t="s">
        <v>15523</v>
      </c>
      <c r="I921" t="s">
        <v>16312</v>
      </c>
      <c r="K921" t="e">
        <v>#N/A</v>
      </c>
      <c r="S921" s="3"/>
    </row>
    <row r="922" spans="1:19" x14ac:dyDescent="0.25">
      <c r="A922" t="s">
        <v>3378</v>
      </c>
      <c r="B922" t="s">
        <v>3379</v>
      </c>
      <c r="C922" t="s">
        <v>3380</v>
      </c>
      <c r="D922" t="s">
        <v>23</v>
      </c>
      <c r="E922">
        <v>1159</v>
      </c>
      <c r="F922" s="3">
        <v>40702</v>
      </c>
      <c r="H922" t="s">
        <v>15523</v>
      </c>
      <c r="I922" t="s">
        <v>16313</v>
      </c>
      <c r="K922" t="e">
        <v>#N/A</v>
      </c>
      <c r="S922" s="3"/>
    </row>
    <row r="923" spans="1:19" x14ac:dyDescent="0.25">
      <c r="A923" t="s">
        <v>3381</v>
      </c>
      <c r="B923" t="s">
        <v>3382</v>
      </c>
      <c r="C923" t="s">
        <v>3383</v>
      </c>
      <c r="D923" t="s">
        <v>23</v>
      </c>
      <c r="E923">
        <v>5220</v>
      </c>
      <c r="F923" s="3">
        <v>42035</v>
      </c>
      <c r="H923" t="s">
        <v>15523</v>
      </c>
      <c r="I923" t="s">
        <v>16314</v>
      </c>
      <c r="K923" t="e">
        <v>#N/A</v>
      </c>
      <c r="S923" s="3"/>
    </row>
    <row r="924" spans="1:19" x14ac:dyDescent="0.25">
      <c r="A924" t="s">
        <v>3384</v>
      </c>
      <c r="B924" t="s">
        <v>3385</v>
      </c>
      <c r="C924" t="s">
        <v>3386</v>
      </c>
      <c r="D924" t="s">
        <v>23</v>
      </c>
      <c r="E924">
        <v>3318</v>
      </c>
      <c r="F924" s="3">
        <v>40702</v>
      </c>
      <c r="H924" t="s">
        <v>15523</v>
      </c>
      <c r="I924" t="s">
        <v>16315</v>
      </c>
      <c r="K924" t="e">
        <v>#N/A</v>
      </c>
      <c r="S924" s="3"/>
    </row>
    <row r="925" spans="1:19" x14ac:dyDescent="0.25">
      <c r="A925" t="s">
        <v>3387</v>
      </c>
      <c r="B925" t="s">
        <v>3388</v>
      </c>
      <c r="C925" t="s">
        <v>3389</v>
      </c>
      <c r="D925" t="s">
        <v>23</v>
      </c>
      <c r="E925">
        <v>3319</v>
      </c>
      <c r="F925" s="3">
        <v>40702</v>
      </c>
      <c r="H925" t="s">
        <v>15523</v>
      </c>
      <c r="I925" t="s">
        <v>16316</v>
      </c>
      <c r="K925" t="e">
        <v>#N/A</v>
      </c>
      <c r="S925" s="3"/>
    </row>
    <row r="926" spans="1:19" x14ac:dyDescent="0.25">
      <c r="A926" t="s">
        <v>3390</v>
      </c>
      <c r="B926" t="s">
        <v>3391</v>
      </c>
      <c r="C926" t="s">
        <v>3392</v>
      </c>
      <c r="D926" t="s">
        <v>23</v>
      </c>
      <c r="E926">
        <v>3320</v>
      </c>
      <c r="F926" s="3">
        <v>40702</v>
      </c>
      <c r="H926" t="s">
        <v>15523</v>
      </c>
      <c r="I926" t="s">
        <v>16317</v>
      </c>
      <c r="K926" t="e">
        <v>#N/A</v>
      </c>
      <c r="S926" s="3"/>
    </row>
    <row r="927" spans="1:19" x14ac:dyDescent="0.25">
      <c r="A927" t="s">
        <v>3393</v>
      </c>
      <c r="B927" t="s">
        <v>3394</v>
      </c>
      <c r="C927" t="s">
        <v>3395</v>
      </c>
      <c r="D927" t="s">
        <v>23</v>
      </c>
      <c r="E927">
        <v>5731</v>
      </c>
      <c r="F927" s="3">
        <v>42741</v>
      </c>
      <c r="H927" t="s">
        <v>15523</v>
      </c>
      <c r="I927" t="s">
        <v>16318</v>
      </c>
      <c r="K927" t="e">
        <v>#N/A</v>
      </c>
      <c r="S927" s="3"/>
    </row>
    <row r="928" spans="1:19" x14ac:dyDescent="0.25">
      <c r="A928" t="s">
        <v>3396</v>
      </c>
      <c r="B928" t="s">
        <v>3397</v>
      </c>
      <c r="C928" t="s">
        <v>3398</v>
      </c>
      <c r="D928" t="s">
        <v>23</v>
      </c>
      <c r="E928">
        <v>5990</v>
      </c>
      <c r="F928" s="3">
        <v>43442</v>
      </c>
      <c r="H928" t="s">
        <v>15523</v>
      </c>
      <c r="I928" t="s">
        <v>16319</v>
      </c>
      <c r="K928" t="e">
        <v>#N/A</v>
      </c>
      <c r="S928" s="3"/>
    </row>
    <row r="929" spans="1:19" x14ac:dyDescent="0.25">
      <c r="A929" t="s">
        <v>3399</v>
      </c>
      <c r="B929" t="s">
        <v>3400</v>
      </c>
      <c r="C929" t="s">
        <v>3401</v>
      </c>
      <c r="D929" t="s">
        <v>23</v>
      </c>
      <c r="E929">
        <v>3323</v>
      </c>
      <c r="F929" s="3">
        <v>40702</v>
      </c>
      <c r="H929" t="s">
        <v>15523</v>
      </c>
      <c r="I929" t="s">
        <v>16320</v>
      </c>
      <c r="K929" t="e">
        <v>#N/A</v>
      </c>
      <c r="S929" s="3"/>
    </row>
    <row r="930" spans="1:19" x14ac:dyDescent="0.25">
      <c r="A930" t="s">
        <v>3402</v>
      </c>
      <c r="B930" t="s">
        <v>3403</v>
      </c>
      <c r="C930" t="s">
        <v>3404</v>
      </c>
      <c r="D930" t="s">
        <v>23</v>
      </c>
      <c r="E930">
        <v>3324</v>
      </c>
      <c r="F930" s="3">
        <v>40782</v>
      </c>
      <c r="H930" t="s">
        <v>15523</v>
      </c>
      <c r="I930" t="s">
        <v>16321</v>
      </c>
      <c r="K930" t="e">
        <v>#N/A</v>
      </c>
      <c r="S930" s="3"/>
    </row>
    <row r="931" spans="1:19" x14ac:dyDescent="0.25">
      <c r="A931" t="s">
        <v>3405</v>
      </c>
      <c r="B931" t="s">
        <v>3406</v>
      </c>
      <c r="C931" t="s">
        <v>3407</v>
      </c>
      <c r="D931" t="s">
        <v>23</v>
      </c>
      <c r="E931">
        <v>393</v>
      </c>
      <c r="F931" s="3">
        <v>40702</v>
      </c>
      <c r="H931" t="s">
        <v>15523</v>
      </c>
      <c r="I931" t="s">
        <v>16322</v>
      </c>
      <c r="K931" t="e">
        <v>#N/A</v>
      </c>
      <c r="S931" s="3"/>
    </row>
    <row r="932" spans="1:19" x14ac:dyDescent="0.25">
      <c r="A932" t="s">
        <v>3408</v>
      </c>
      <c r="B932" t="s">
        <v>3409</v>
      </c>
      <c r="C932" t="s">
        <v>3410</v>
      </c>
      <c r="D932" t="s">
        <v>23</v>
      </c>
      <c r="E932">
        <v>2431</v>
      </c>
      <c r="F932" s="3">
        <v>40782</v>
      </c>
      <c r="H932" t="s">
        <v>15523</v>
      </c>
      <c r="I932" t="s">
        <v>16323</v>
      </c>
      <c r="K932" t="e">
        <v>#N/A</v>
      </c>
      <c r="S932" s="3"/>
    </row>
    <row r="933" spans="1:19" x14ac:dyDescent="0.25">
      <c r="A933" t="s">
        <v>3411</v>
      </c>
      <c r="B933" t="s">
        <v>3412</v>
      </c>
      <c r="C933" t="s">
        <v>3413</v>
      </c>
      <c r="D933" t="s">
        <v>23</v>
      </c>
      <c r="E933">
        <v>3325</v>
      </c>
      <c r="F933" s="3">
        <v>40702</v>
      </c>
      <c r="H933" t="s">
        <v>15523</v>
      </c>
      <c r="I933" t="s">
        <v>16324</v>
      </c>
      <c r="K933" t="e">
        <v>#N/A</v>
      </c>
      <c r="S933" s="3"/>
    </row>
    <row r="934" spans="1:19" x14ac:dyDescent="0.25">
      <c r="A934" t="s">
        <v>3414</v>
      </c>
      <c r="B934" t="s">
        <v>3415</v>
      </c>
      <c r="C934" t="s">
        <v>3416</v>
      </c>
      <c r="D934" t="s">
        <v>23</v>
      </c>
      <c r="E934">
        <v>1918</v>
      </c>
      <c r="F934" s="3">
        <v>40702</v>
      </c>
      <c r="H934" t="s">
        <v>15523</v>
      </c>
      <c r="I934" t="s">
        <v>16325</v>
      </c>
      <c r="K934" t="e">
        <v>#N/A</v>
      </c>
      <c r="S934" s="3"/>
    </row>
    <row r="935" spans="1:19" x14ac:dyDescent="0.25">
      <c r="A935" t="s">
        <v>3417</v>
      </c>
      <c r="B935" t="s">
        <v>3418</v>
      </c>
      <c r="C935" t="s">
        <v>3419</v>
      </c>
      <c r="D935" t="s">
        <v>23</v>
      </c>
      <c r="E935">
        <v>1911</v>
      </c>
      <c r="F935" s="3">
        <v>40702</v>
      </c>
      <c r="H935" t="s">
        <v>15523</v>
      </c>
      <c r="I935" t="s">
        <v>16326</v>
      </c>
      <c r="K935" t="e">
        <v>#N/A</v>
      </c>
      <c r="S935" s="3"/>
    </row>
    <row r="936" spans="1:19" x14ac:dyDescent="0.25">
      <c r="A936" t="s">
        <v>3420</v>
      </c>
      <c r="B936" t="s">
        <v>3421</v>
      </c>
      <c r="C936" t="s">
        <v>3422</v>
      </c>
      <c r="D936" t="s">
        <v>23</v>
      </c>
      <c r="E936">
        <v>3326</v>
      </c>
      <c r="F936" s="3">
        <v>40702</v>
      </c>
      <c r="H936" t="s">
        <v>15523</v>
      </c>
      <c r="I936" t="s">
        <v>16327</v>
      </c>
      <c r="K936" t="e">
        <v>#N/A</v>
      </c>
      <c r="S936" s="3"/>
    </row>
    <row r="937" spans="1:19" x14ac:dyDescent="0.25">
      <c r="A937" t="s">
        <v>3423</v>
      </c>
      <c r="B937" t="s">
        <v>3424</v>
      </c>
      <c r="C937" t="s">
        <v>3425</v>
      </c>
      <c r="D937" t="s">
        <v>23</v>
      </c>
      <c r="E937">
        <v>3329</v>
      </c>
      <c r="F937" s="3">
        <v>40702</v>
      </c>
      <c r="H937" t="s">
        <v>15523</v>
      </c>
      <c r="I937" t="s">
        <v>16328</v>
      </c>
      <c r="K937" t="e">
        <v>#N/A</v>
      </c>
      <c r="S937" s="3"/>
    </row>
    <row r="938" spans="1:19" x14ac:dyDescent="0.25">
      <c r="A938" t="s">
        <v>3426</v>
      </c>
      <c r="B938" t="s">
        <v>3427</v>
      </c>
      <c r="C938" t="s">
        <v>3428</v>
      </c>
      <c r="D938" t="s">
        <v>23</v>
      </c>
      <c r="E938">
        <v>496</v>
      </c>
      <c r="F938" s="3">
        <v>40702</v>
      </c>
      <c r="H938" t="s">
        <v>15523</v>
      </c>
      <c r="I938" t="s">
        <v>16329</v>
      </c>
      <c r="K938" t="e">
        <v>#N/A</v>
      </c>
      <c r="S938" s="3"/>
    </row>
    <row r="939" spans="1:19" x14ac:dyDescent="0.25">
      <c r="A939" t="s">
        <v>3429</v>
      </c>
      <c r="B939" t="s">
        <v>3430</v>
      </c>
      <c r="C939" t="s">
        <v>3431</v>
      </c>
      <c r="D939" t="s">
        <v>23</v>
      </c>
      <c r="E939">
        <v>3330</v>
      </c>
      <c r="F939" s="3">
        <v>40702</v>
      </c>
      <c r="H939" t="s">
        <v>15523</v>
      </c>
      <c r="I939" t="s">
        <v>16330</v>
      </c>
      <c r="K939" t="e">
        <v>#N/A</v>
      </c>
      <c r="S939" s="3"/>
    </row>
    <row r="940" spans="1:19" x14ac:dyDescent="0.25">
      <c r="A940" t="s">
        <v>3432</v>
      </c>
      <c r="B940" t="s">
        <v>3433</v>
      </c>
      <c r="C940" t="s">
        <v>3434</v>
      </c>
      <c r="D940" t="s">
        <v>23</v>
      </c>
      <c r="E940">
        <v>3332</v>
      </c>
      <c r="F940" s="3">
        <v>40702</v>
      </c>
      <c r="H940" t="s">
        <v>15523</v>
      </c>
      <c r="I940" t="s">
        <v>16331</v>
      </c>
      <c r="K940" t="e">
        <v>#N/A</v>
      </c>
      <c r="S940" s="3"/>
    </row>
    <row r="941" spans="1:19" x14ac:dyDescent="0.25">
      <c r="A941" t="s">
        <v>3435</v>
      </c>
      <c r="B941" t="s">
        <v>3436</v>
      </c>
      <c r="C941" t="s">
        <v>3437</v>
      </c>
      <c r="D941" t="s">
        <v>23</v>
      </c>
      <c r="E941">
        <v>5118</v>
      </c>
      <c r="F941" s="3">
        <v>41788</v>
      </c>
      <c r="H941" t="s">
        <v>15523</v>
      </c>
      <c r="I941" t="s">
        <v>16332</v>
      </c>
      <c r="K941" t="e">
        <v>#N/A</v>
      </c>
      <c r="S941" s="3"/>
    </row>
    <row r="942" spans="1:19" x14ac:dyDescent="0.25">
      <c r="A942" t="s">
        <v>3438</v>
      </c>
      <c r="B942" t="s">
        <v>3439</v>
      </c>
      <c r="C942" t="s">
        <v>3440</v>
      </c>
      <c r="D942" t="s">
        <v>23</v>
      </c>
      <c r="E942">
        <v>3336</v>
      </c>
      <c r="F942" s="3">
        <v>40702</v>
      </c>
      <c r="H942" t="s">
        <v>15523</v>
      </c>
      <c r="I942" t="s">
        <v>16333</v>
      </c>
      <c r="K942" t="e">
        <v>#N/A</v>
      </c>
      <c r="S942" s="3"/>
    </row>
    <row r="943" spans="1:19" x14ac:dyDescent="0.25">
      <c r="A943" t="s">
        <v>3441</v>
      </c>
      <c r="B943" t="s">
        <v>3442</v>
      </c>
      <c r="C943" t="s">
        <v>3443</v>
      </c>
      <c r="D943" t="s">
        <v>23</v>
      </c>
      <c r="E943">
        <v>3337</v>
      </c>
      <c r="F943" s="3">
        <v>40702</v>
      </c>
      <c r="H943" t="s">
        <v>15523</v>
      </c>
      <c r="I943" t="s">
        <v>16334</v>
      </c>
      <c r="K943" t="e">
        <v>#N/A</v>
      </c>
      <c r="S943" s="3"/>
    </row>
    <row r="944" spans="1:19" x14ac:dyDescent="0.25">
      <c r="A944" t="s">
        <v>3444</v>
      </c>
      <c r="B944" t="s">
        <v>3445</v>
      </c>
      <c r="C944" t="s">
        <v>3446</v>
      </c>
      <c r="D944" t="s">
        <v>23</v>
      </c>
      <c r="E944">
        <v>3340</v>
      </c>
      <c r="F944" s="3">
        <v>40782</v>
      </c>
      <c r="H944" t="s">
        <v>15523</v>
      </c>
      <c r="I944" t="s">
        <v>16335</v>
      </c>
      <c r="K944" t="e">
        <v>#N/A</v>
      </c>
      <c r="S944" s="3"/>
    </row>
    <row r="945" spans="1:19" x14ac:dyDescent="0.25">
      <c r="A945" t="s">
        <v>3447</v>
      </c>
      <c r="B945" t="s">
        <v>3448</v>
      </c>
      <c r="C945" t="s">
        <v>3449</v>
      </c>
      <c r="D945" t="s">
        <v>23</v>
      </c>
      <c r="E945">
        <v>3341</v>
      </c>
      <c r="F945" s="3">
        <v>40782</v>
      </c>
      <c r="H945" t="s">
        <v>15523</v>
      </c>
      <c r="I945" t="s">
        <v>16336</v>
      </c>
      <c r="K945" t="e">
        <v>#N/A</v>
      </c>
      <c r="S945" s="3"/>
    </row>
    <row r="946" spans="1:19" x14ac:dyDescent="0.25">
      <c r="A946" t="s">
        <v>3450</v>
      </c>
      <c r="B946" t="s">
        <v>3451</v>
      </c>
      <c r="C946" t="s">
        <v>3452</v>
      </c>
      <c r="D946" t="s">
        <v>23</v>
      </c>
      <c r="E946">
        <v>1178</v>
      </c>
      <c r="F946" s="3">
        <v>40702</v>
      </c>
      <c r="H946" t="s">
        <v>15523</v>
      </c>
      <c r="I946" t="s">
        <v>16337</v>
      </c>
      <c r="K946" t="e">
        <v>#N/A</v>
      </c>
      <c r="S946" s="3"/>
    </row>
    <row r="947" spans="1:19" x14ac:dyDescent="0.25">
      <c r="A947" t="s">
        <v>3453</v>
      </c>
      <c r="B947" t="s">
        <v>3454</v>
      </c>
      <c r="C947" t="s">
        <v>3455</v>
      </c>
      <c r="D947" t="s">
        <v>23</v>
      </c>
      <c r="E947">
        <v>568</v>
      </c>
      <c r="F947" s="3">
        <v>40702</v>
      </c>
      <c r="H947" t="s">
        <v>15523</v>
      </c>
      <c r="I947" t="s">
        <v>16338</v>
      </c>
      <c r="K947" t="e">
        <v>#N/A</v>
      </c>
      <c r="S947" s="3"/>
    </row>
    <row r="948" spans="1:19" x14ac:dyDescent="0.25">
      <c r="A948" t="s">
        <v>3456</v>
      </c>
      <c r="B948" t="s">
        <v>3457</v>
      </c>
      <c r="C948" s="3">
        <v>1000766</v>
      </c>
      <c r="D948" t="s">
        <v>23</v>
      </c>
      <c r="E948">
        <v>5986</v>
      </c>
      <c r="F948" s="3">
        <v>43400</v>
      </c>
      <c r="H948" t="s">
        <v>15523</v>
      </c>
      <c r="I948" t="s">
        <v>16339</v>
      </c>
      <c r="K948" t="e">
        <v>#N/A</v>
      </c>
      <c r="P948" s="3"/>
      <c r="S948" s="3"/>
    </row>
    <row r="949" spans="1:19" x14ac:dyDescent="0.25">
      <c r="A949" t="s">
        <v>3459</v>
      </c>
      <c r="B949" t="s">
        <v>3460</v>
      </c>
      <c r="C949" t="s">
        <v>3461</v>
      </c>
      <c r="D949" t="s">
        <v>23</v>
      </c>
      <c r="E949">
        <v>5989</v>
      </c>
      <c r="F949" s="3">
        <v>43441</v>
      </c>
      <c r="H949" t="s">
        <v>15523</v>
      </c>
      <c r="I949" t="s">
        <v>16340</v>
      </c>
      <c r="K949" t="e">
        <v>#N/A</v>
      </c>
      <c r="S949" s="3"/>
    </row>
    <row r="950" spans="1:19" x14ac:dyDescent="0.25">
      <c r="A950" t="s">
        <v>3462</v>
      </c>
      <c r="B950" t="s">
        <v>3463</v>
      </c>
      <c r="C950" t="s">
        <v>3464</v>
      </c>
      <c r="D950" t="s">
        <v>23</v>
      </c>
      <c r="E950">
        <v>3321</v>
      </c>
      <c r="F950" s="3">
        <v>40702</v>
      </c>
      <c r="H950" t="s">
        <v>15523</v>
      </c>
      <c r="I950" t="s">
        <v>16341</v>
      </c>
      <c r="K950" t="e">
        <v>#N/A</v>
      </c>
      <c r="S950" s="3"/>
    </row>
    <row r="951" spans="1:19" x14ac:dyDescent="0.25">
      <c r="A951" t="s">
        <v>3465</v>
      </c>
      <c r="B951" t="s">
        <v>3466</v>
      </c>
      <c r="C951" t="s">
        <v>3467</v>
      </c>
      <c r="D951" t="s">
        <v>23</v>
      </c>
      <c r="E951">
        <v>1166</v>
      </c>
      <c r="F951" s="3">
        <v>40702</v>
      </c>
      <c r="H951" t="s">
        <v>15523</v>
      </c>
      <c r="I951" t="s">
        <v>16342</v>
      </c>
      <c r="K951" t="e">
        <v>#N/A</v>
      </c>
      <c r="S951" s="3"/>
    </row>
    <row r="952" spans="1:19" x14ac:dyDescent="0.25">
      <c r="A952" t="s">
        <v>3468</v>
      </c>
      <c r="B952" t="s">
        <v>3469</v>
      </c>
      <c r="C952" t="s">
        <v>3470</v>
      </c>
      <c r="D952" t="s">
        <v>23</v>
      </c>
      <c r="E952">
        <v>1164</v>
      </c>
      <c r="F952" s="3">
        <v>40702</v>
      </c>
      <c r="H952" t="s">
        <v>15523</v>
      </c>
      <c r="I952" t="s">
        <v>16343</v>
      </c>
      <c r="K952" t="e">
        <v>#N/A</v>
      </c>
      <c r="S952" s="3"/>
    </row>
    <row r="953" spans="1:19" x14ac:dyDescent="0.25">
      <c r="A953" t="s">
        <v>3471</v>
      </c>
      <c r="B953" t="s">
        <v>3472</v>
      </c>
      <c r="C953" t="s">
        <v>3473</v>
      </c>
      <c r="D953" t="s">
        <v>23</v>
      </c>
      <c r="E953">
        <v>328</v>
      </c>
      <c r="F953" s="3">
        <v>40702</v>
      </c>
      <c r="H953" t="s">
        <v>15523</v>
      </c>
      <c r="I953" t="s">
        <v>16344</v>
      </c>
      <c r="K953" t="e">
        <v>#N/A</v>
      </c>
      <c r="S953" s="3"/>
    </row>
    <row r="954" spans="1:19" x14ac:dyDescent="0.25">
      <c r="A954" t="s">
        <v>3474</v>
      </c>
      <c r="B954" t="s">
        <v>3475</v>
      </c>
      <c r="C954" t="s">
        <v>3476</v>
      </c>
      <c r="D954" t="s">
        <v>23</v>
      </c>
      <c r="E954">
        <v>4992</v>
      </c>
      <c r="F954" s="3">
        <v>41660</v>
      </c>
      <c r="H954" t="s">
        <v>15523</v>
      </c>
      <c r="I954" t="s">
        <v>16345</v>
      </c>
      <c r="K954" t="e">
        <v>#N/A</v>
      </c>
      <c r="S954" s="3"/>
    </row>
    <row r="955" spans="1:19" x14ac:dyDescent="0.25">
      <c r="A955" t="s">
        <v>3477</v>
      </c>
      <c r="B955" t="s">
        <v>3478</v>
      </c>
      <c r="C955" t="s">
        <v>3479</v>
      </c>
      <c r="D955" t="s">
        <v>23</v>
      </c>
      <c r="E955">
        <v>1169</v>
      </c>
      <c r="F955" s="3">
        <v>40702</v>
      </c>
      <c r="H955" t="s">
        <v>15523</v>
      </c>
      <c r="I955" t="s">
        <v>16346</v>
      </c>
      <c r="K955" t="e">
        <v>#N/A</v>
      </c>
      <c r="S955" s="3"/>
    </row>
    <row r="956" spans="1:19" x14ac:dyDescent="0.25">
      <c r="A956" t="s">
        <v>3480</v>
      </c>
      <c r="B956" t="s">
        <v>3481</v>
      </c>
      <c r="C956" t="s">
        <v>3482</v>
      </c>
      <c r="D956" t="s">
        <v>23</v>
      </c>
      <c r="E956">
        <v>3328</v>
      </c>
      <c r="F956" s="3">
        <v>40702</v>
      </c>
      <c r="H956" t="s">
        <v>15523</v>
      </c>
      <c r="I956" t="s">
        <v>16347</v>
      </c>
      <c r="K956" t="e">
        <v>#N/A</v>
      </c>
      <c r="S956" s="3"/>
    </row>
    <row r="957" spans="1:19" x14ac:dyDescent="0.25">
      <c r="A957" t="s">
        <v>3483</v>
      </c>
      <c r="B957" t="s">
        <v>3484</v>
      </c>
      <c r="C957" t="s">
        <v>3485</v>
      </c>
      <c r="D957" t="s">
        <v>23</v>
      </c>
      <c r="E957">
        <v>1168</v>
      </c>
      <c r="F957" s="3">
        <v>40702</v>
      </c>
      <c r="H957" t="s">
        <v>15523</v>
      </c>
      <c r="I957" t="s">
        <v>16348</v>
      </c>
      <c r="K957" t="e">
        <v>#N/A</v>
      </c>
      <c r="S957" s="3"/>
    </row>
    <row r="958" spans="1:19" x14ac:dyDescent="0.25">
      <c r="A958" t="s">
        <v>3486</v>
      </c>
      <c r="B958" t="s">
        <v>3487</v>
      </c>
      <c r="C958" t="s">
        <v>3488</v>
      </c>
      <c r="D958" t="s">
        <v>23</v>
      </c>
      <c r="E958">
        <v>3331</v>
      </c>
      <c r="F958" s="3">
        <v>41006</v>
      </c>
      <c r="H958" t="s">
        <v>15523</v>
      </c>
      <c r="I958" t="s">
        <v>16349</v>
      </c>
      <c r="K958" t="e">
        <v>#N/A</v>
      </c>
      <c r="S958" s="3"/>
    </row>
    <row r="959" spans="1:19" x14ac:dyDescent="0.25">
      <c r="A959" t="s">
        <v>3489</v>
      </c>
      <c r="B959" t="s">
        <v>3490</v>
      </c>
      <c r="C959" t="s">
        <v>3491</v>
      </c>
      <c r="D959" t="s">
        <v>23</v>
      </c>
      <c r="E959">
        <v>3333</v>
      </c>
      <c r="F959" s="3">
        <v>40702</v>
      </c>
      <c r="H959" t="s">
        <v>15523</v>
      </c>
      <c r="I959" t="s">
        <v>16350</v>
      </c>
      <c r="K959" t="e">
        <v>#N/A</v>
      </c>
      <c r="S959" s="3"/>
    </row>
    <row r="960" spans="1:19" x14ac:dyDescent="0.25">
      <c r="A960" t="s">
        <v>3492</v>
      </c>
      <c r="B960" t="s">
        <v>3493</v>
      </c>
      <c r="C960" t="s">
        <v>3494</v>
      </c>
      <c r="D960" t="s">
        <v>23</v>
      </c>
      <c r="E960">
        <v>1172</v>
      </c>
      <c r="F960" s="3">
        <v>40702</v>
      </c>
      <c r="H960" t="s">
        <v>15523</v>
      </c>
      <c r="I960" t="s">
        <v>16351</v>
      </c>
      <c r="K960" t="e">
        <v>#N/A</v>
      </c>
      <c r="S960" s="3"/>
    </row>
    <row r="961" spans="1:19" x14ac:dyDescent="0.25">
      <c r="A961" t="s">
        <v>3495</v>
      </c>
      <c r="B961" t="s">
        <v>3496</v>
      </c>
      <c r="C961" t="s">
        <v>3497</v>
      </c>
      <c r="D961" t="s">
        <v>23</v>
      </c>
      <c r="E961">
        <v>3334</v>
      </c>
      <c r="F961" s="3">
        <v>40702</v>
      </c>
      <c r="H961" t="s">
        <v>15523</v>
      </c>
      <c r="I961" t="s">
        <v>16352</v>
      </c>
      <c r="K961" t="e">
        <v>#N/A</v>
      </c>
      <c r="S961" s="3"/>
    </row>
    <row r="962" spans="1:19" x14ac:dyDescent="0.25">
      <c r="A962" t="s">
        <v>3498</v>
      </c>
      <c r="B962" t="s">
        <v>3499</v>
      </c>
      <c r="C962" t="s">
        <v>3500</v>
      </c>
      <c r="D962" t="s">
        <v>23</v>
      </c>
      <c r="E962">
        <v>3335</v>
      </c>
      <c r="F962" s="3">
        <v>40702</v>
      </c>
      <c r="H962" t="s">
        <v>15523</v>
      </c>
      <c r="I962" t="s">
        <v>16353</v>
      </c>
      <c r="K962" t="e">
        <v>#N/A</v>
      </c>
      <c r="S962" s="3"/>
    </row>
    <row r="963" spans="1:19" x14ac:dyDescent="0.25">
      <c r="A963" t="s">
        <v>3501</v>
      </c>
      <c r="B963" t="s">
        <v>3502</v>
      </c>
      <c r="C963" t="s">
        <v>3503</v>
      </c>
      <c r="D963" t="s">
        <v>23</v>
      </c>
      <c r="E963">
        <v>3338</v>
      </c>
      <c r="F963" s="3">
        <v>40702</v>
      </c>
      <c r="H963" t="s">
        <v>15523</v>
      </c>
      <c r="I963" t="s">
        <v>16354</v>
      </c>
      <c r="K963" t="e">
        <v>#N/A</v>
      </c>
      <c r="S963" s="3"/>
    </row>
    <row r="964" spans="1:19" x14ac:dyDescent="0.25">
      <c r="A964" t="s">
        <v>3504</v>
      </c>
      <c r="B964" t="s">
        <v>3505</v>
      </c>
      <c r="C964" t="s">
        <v>3506</v>
      </c>
      <c r="D964" t="s">
        <v>23</v>
      </c>
      <c r="E964">
        <v>3339</v>
      </c>
      <c r="F964" s="3">
        <v>40702</v>
      </c>
      <c r="H964" t="s">
        <v>15523</v>
      </c>
      <c r="I964" t="s">
        <v>16355</v>
      </c>
      <c r="K964" t="e">
        <v>#N/A</v>
      </c>
      <c r="S964" s="3"/>
    </row>
    <row r="965" spans="1:19" x14ac:dyDescent="0.25">
      <c r="A965" t="s">
        <v>3507</v>
      </c>
      <c r="B965" t="s">
        <v>3508</v>
      </c>
      <c r="C965" t="s">
        <v>3509</v>
      </c>
      <c r="D965" t="s">
        <v>23</v>
      </c>
      <c r="E965">
        <v>1176</v>
      </c>
      <c r="F965" s="3">
        <v>40702</v>
      </c>
      <c r="H965" t="s">
        <v>15523</v>
      </c>
      <c r="I965" t="s">
        <v>16356</v>
      </c>
      <c r="K965" t="e">
        <v>#N/A</v>
      </c>
      <c r="S965" s="3"/>
    </row>
    <row r="966" spans="1:19" x14ac:dyDescent="0.25">
      <c r="A966" t="s">
        <v>3510</v>
      </c>
      <c r="B966" t="s">
        <v>3511</v>
      </c>
      <c r="C966" t="s">
        <v>3512</v>
      </c>
      <c r="D966" t="s">
        <v>23</v>
      </c>
      <c r="E966">
        <v>2453</v>
      </c>
      <c r="F966" s="3">
        <v>40702</v>
      </c>
      <c r="H966" t="s">
        <v>15523</v>
      </c>
      <c r="I966" t="s">
        <v>16357</v>
      </c>
      <c r="K966" t="e">
        <v>#N/A</v>
      </c>
      <c r="S966" s="3"/>
    </row>
    <row r="967" spans="1:19" x14ac:dyDescent="0.25">
      <c r="A967" t="s">
        <v>3513</v>
      </c>
      <c r="B967" t="s">
        <v>3514</v>
      </c>
      <c r="C967" t="s">
        <v>3515</v>
      </c>
      <c r="D967" t="s">
        <v>23</v>
      </c>
      <c r="E967">
        <v>1177</v>
      </c>
      <c r="F967" s="3">
        <v>40702</v>
      </c>
      <c r="H967" t="s">
        <v>15523</v>
      </c>
      <c r="I967" t="s">
        <v>16358</v>
      </c>
      <c r="K967" t="e">
        <v>#N/A</v>
      </c>
      <c r="S967" s="3"/>
    </row>
    <row r="968" spans="1:19" x14ac:dyDescent="0.25">
      <c r="A968" t="s">
        <v>3516</v>
      </c>
      <c r="B968" t="s">
        <v>3517</v>
      </c>
      <c r="C968" t="s">
        <v>3518</v>
      </c>
      <c r="D968" t="s">
        <v>23</v>
      </c>
      <c r="E968">
        <v>3342</v>
      </c>
      <c r="F968" s="3">
        <v>40702</v>
      </c>
      <c r="H968" t="s">
        <v>15523</v>
      </c>
      <c r="I968" t="s">
        <v>16359</v>
      </c>
      <c r="K968" t="e">
        <v>#N/A</v>
      </c>
      <c r="S968" s="3"/>
    </row>
    <row r="969" spans="1:19" x14ac:dyDescent="0.25">
      <c r="A969" t="s">
        <v>3519</v>
      </c>
      <c r="B969" t="s">
        <v>3520</v>
      </c>
      <c r="C969" t="s">
        <v>3521</v>
      </c>
      <c r="D969" t="s">
        <v>23</v>
      </c>
      <c r="E969">
        <v>1408</v>
      </c>
      <c r="F969" s="3">
        <v>40702</v>
      </c>
      <c r="H969" t="s">
        <v>15523</v>
      </c>
      <c r="I969" t="s">
        <v>16360</v>
      </c>
      <c r="K969" t="e">
        <v>#N/A</v>
      </c>
      <c r="S969" s="3"/>
    </row>
    <row r="970" spans="1:19" x14ac:dyDescent="0.25">
      <c r="A970" t="s">
        <v>3522</v>
      </c>
      <c r="B970" t="s">
        <v>3523</v>
      </c>
      <c r="C970" t="s">
        <v>3524</v>
      </c>
      <c r="D970" t="s">
        <v>23</v>
      </c>
      <c r="E970">
        <v>1179</v>
      </c>
      <c r="F970" s="3">
        <v>40702</v>
      </c>
      <c r="H970" t="s">
        <v>15523</v>
      </c>
      <c r="I970" t="s">
        <v>16361</v>
      </c>
      <c r="K970" t="e">
        <v>#N/A</v>
      </c>
      <c r="S970" s="3"/>
    </row>
    <row r="971" spans="1:19" x14ac:dyDescent="0.25">
      <c r="A971" t="s">
        <v>806</v>
      </c>
      <c r="B971" t="s">
        <v>807</v>
      </c>
      <c r="C971" t="s">
        <v>14360</v>
      </c>
      <c r="D971" t="s">
        <v>23</v>
      </c>
      <c r="E971">
        <v>1163</v>
      </c>
      <c r="F971" s="3">
        <v>40702</v>
      </c>
      <c r="H971" t="s">
        <v>15523</v>
      </c>
      <c r="I971" t="s">
        <v>16362</v>
      </c>
      <c r="K971">
        <v>229</v>
      </c>
      <c r="S971" s="3"/>
    </row>
    <row r="972" spans="1:19" x14ac:dyDescent="0.25">
      <c r="A972" t="s">
        <v>3525</v>
      </c>
      <c r="B972" t="s">
        <v>3526</v>
      </c>
      <c r="C972" t="s">
        <v>3527</v>
      </c>
      <c r="D972" t="s">
        <v>23</v>
      </c>
      <c r="E972">
        <v>6093</v>
      </c>
      <c r="F972" s="3">
        <v>43865</v>
      </c>
      <c r="H972" t="s">
        <v>15523</v>
      </c>
      <c r="I972" t="s">
        <v>16363</v>
      </c>
      <c r="K972" t="e">
        <v>#N/A</v>
      </c>
      <c r="S972" s="3"/>
    </row>
    <row r="973" spans="1:19" x14ac:dyDescent="0.25">
      <c r="A973" t="s">
        <v>3528</v>
      </c>
      <c r="B973" t="s">
        <v>3529</v>
      </c>
      <c r="C973" t="s">
        <v>3530</v>
      </c>
      <c r="D973" t="s">
        <v>23</v>
      </c>
      <c r="E973">
        <v>685</v>
      </c>
      <c r="F973" s="3">
        <v>40702</v>
      </c>
      <c r="H973" t="s">
        <v>15523</v>
      </c>
      <c r="I973" t="s">
        <v>16364</v>
      </c>
      <c r="K973" t="e">
        <v>#N/A</v>
      </c>
      <c r="S973" s="3"/>
    </row>
    <row r="974" spans="1:19" x14ac:dyDescent="0.25">
      <c r="A974" t="s">
        <v>3531</v>
      </c>
      <c r="B974" t="s">
        <v>3532</v>
      </c>
      <c r="C974" t="s">
        <v>3533</v>
      </c>
      <c r="D974" t="s">
        <v>23</v>
      </c>
      <c r="E974">
        <v>6097</v>
      </c>
      <c r="F974" s="3">
        <v>43865</v>
      </c>
      <c r="H974" t="s">
        <v>15523</v>
      </c>
      <c r="I974" t="s">
        <v>16365</v>
      </c>
      <c r="K974" t="e">
        <v>#N/A</v>
      </c>
      <c r="S974" s="3"/>
    </row>
    <row r="975" spans="1:19" x14ac:dyDescent="0.25">
      <c r="A975" t="s">
        <v>3534</v>
      </c>
      <c r="B975" t="s">
        <v>3535</v>
      </c>
      <c r="C975" t="s">
        <v>3536</v>
      </c>
      <c r="D975" t="s">
        <v>23</v>
      </c>
      <c r="E975">
        <v>6099</v>
      </c>
      <c r="F975" s="3">
        <v>43865</v>
      </c>
      <c r="H975" t="s">
        <v>15523</v>
      </c>
      <c r="I975" t="s">
        <v>16366</v>
      </c>
      <c r="K975" t="e">
        <v>#N/A</v>
      </c>
      <c r="S975" s="3"/>
    </row>
    <row r="976" spans="1:19" x14ac:dyDescent="0.25">
      <c r="A976" t="s">
        <v>3537</v>
      </c>
      <c r="B976" t="s">
        <v>3538</v>
      </c>
      <c r="C976" t="s">
        <v>3539</v>
      </c>
      <c r="D976" t="s">
        <v>23</v>
      </c>
      <c r="E976">
        <v>3344</v>
      </c>
      <c r="F976" s="3">
        <v>40702</v>
      </c>
      <c r="H976" t="s">
        <v>15523</v>
      </c>
      <c r="I976" t="s">
        <v>16367</v>
      </c>
      <c r="K976" t="e">
        <v>#N/A</v>
      </c>
      <c r="S976" s="3"/>
    </row>
    <row r="977" spans="1:19" x14ac:dyDescent="0.25">
      <c r="A977" t="s">
        <v>3540</v>
      </c>
      <c r="B977" t="s">
        <v>3541</v>
      </c>
      <c r="C977" t="s">
        <v>3542</v>
      </c>
      <c r="D977" t="s">
        <v>23</v>
      </c>
      <c r="E977">
        <v>716</v>
      </c>
      <c r="F977" s="3">
        <v>40702</v>
      </c>
      <c r="H977" t="s">
        <v>15523</v>
      </c>
      <c r="I977" t="s">
        <v>16368</v>
      </c>
      <c r="K977" t="e">
        <v>#N/A</v>
      </c>
      <c r="S977" s="3"/>
    </row>
    <row r="978" spans="1:19" x14ac:dyDescent="0.25">
      <c r="A978" t="s">
        <v>3543</v>
      </c>
      <c r="B978" t="s">
        <v>3544</v>
      </c>
      <c r="C978" t="s">
        <v>3545</v>
      </c>
      <c r="D978" t="s">
        <v>23</v>
      </c>
      <c r="E978">
        <v>715</v>
      </c>
      <c r="F978" s="3">
        <v>40702</v>
      </c>
      <c r="H978" t="s">
        <v>15523</v>
      </c>
      <c r="I978" t="s">
        <v>16369</v>
      </c>
      <c r="K978" t="e">
        <v>#N/A</v>
      </c>
      <c r="S978" s="3"/>
    </row>
    <row r="979" spans="1:19" x14ac:dyDescent="0.25">
      <c r="A979" t="s">
        <v>3546</v>
      </c>
      <c r="B979" t="s">
        <v>3547</v>
      </c>
      <c r="C979" t="s">
        <v>3548</v>
      </c>
      <c r="D979" t="s">
        <v>23</v>
      </c>
      <c r="E979">
        <v>249</v>
      </c>
      <c r="F979" s="3">
        <v>40702</v>
      </c>
      <c r="H979" t="s">
        <v>15523</v>
      </c>
      <c r="I979" t="s">
        <v>16370</v>
      </c>
      <c r="K979" t="e">
        <v>#N/A</v>
      </c>
      <c r="S979" s="3"/>
    </row>
    <row r="980" spans="1:19" x14ac:dyDescent="0.25">
      <c r="A980" t="s">
        <v>3549</v>
      </c>
      <c r="B980" t="s">
        <v>3550</v>
      </c>
      <c r="C980" t="s">
        <v>3551</v>
      </c>
      <c r="D980" t="s">
        <v>23</v>
      </c>
      <c r="E980">
        <v>5139</v>
      </c>
      <c r="F980" s="3">
        <v>41928</v>
      </c>
      <c r="H980" t="s">
        <v>15523</v>
      </c>
      <c r="I980" t="s">
        <v>16371</v>
      </c>
      <c r="K980" t="e">
        <v>#N/A</v>
      </c>
      <c r="S980" s="3"/>
    </row>
    <row r="981" spans="1:19" x14ac:dyDescent="0.25">
      <c r="A981" t="s">
        <v>3552</v>
      </c>
      <c r="B981" t="s">
        <v>3553</v>
      </c>
      <c r="C981" t="s">
        <v>3554</v>
      </c>
      <c r="D981" t="s">
        <v>23</v>
      </c>
      <c r="E981">
        <v>717</v>
      </c>
      <c r="F981" s="3">
        <v>40702</v>
      </c>
      <c r="H981" t="s">
        <v>15523</v>
      </c>
      <c r="I981" t="s">
        <v>16372</v>
      </c>
      <c r="K981" t="e">
        <v>#N/A</v>
      </c>
      <c r="S981" s="3"/>
    </row>
    <row r="982" spans="1:19" x14ac:dyDescent="0.25">
      <c r="A982" t="s">
        <v>3555</v>
      </c>
      <c r="B982" t="s">
        <v>3556</v>
      </c>
      <c r="C982" t="s">
        <v>3557</v>
      </c>
      <c r="D982" t="s">
        <v>23</v>
      </c>
      <c r="E982">
        <v>735</v>
      </c>
      <c r="F982" s="3">
        <v>40702</v>
      </c>
      <c r="H982" t="s">
        <v>15523</v>
      </c>
      <c r="I982" t="s">
        <v>16373</v>
      </c>
      <c r="K982" t="e">
        <v>#N/A</v>
      </c>
      <c r="S982" s="3"/>
    </row>
    <row r="983" spans="1:19" x14ac:dyDescent="0.25">
      <c r="A983" t="s">
        <v>3558</v>
      </c>
      <c r="B983" t="s">
        <v>3559</v>
      </c>
      <c r="C983" t="s">
        <v>3560</v>
      </c>
      <c r="D983" t="s">
        <v>23</v>
      </c>
      <c r="E983">
        <v>3346</v>
      </c>
      <c r="F983" s="3">
        <v>40702</v>
      </c>
      <c r="H983" t="s">
        <v>15523</v>
      </c>
      <c r="I983" t="s">
        <v>16374</v>
      </c>
      <c r="K983" t="e">
        <v>#N/A</v>
      </c>
      <c r="S983" s="3"/>
    </row>
    <row r="984" spans="1:19" x14ac:dyDescent="0.25">
      <c r="A984" t="s">
        <v>3561</v>
      </c>
      <c r="B984" t="s">
        <v>3562</v>
      </c>
      <c r="C984" t="s">
        <v>3563</v>
      </c>
      <c r="D984" t="s">
        <v>23</v>
      </c>
      <c r="E984">
        <v>3347</v>
      </c>
      <c r="F984" s="3">
        <v>40702</v>
      </c>
      <c r="H984" t="s">
        <v>15523</v>
      </c>
      <c r="I984" t="s">
        <v>16375</v>
      </c>
      <c r="K984" t="e">
        <v>#N/A</v>
      </c>
      <c r="S984" s="3"/>
    </row>
    <row r="985" spans="1:19" x14ac:dyDescent="0.25">
      <c r="A985" t="s">
        <v>3564</v>
      </c>
      <c r="B985" t="s">
        <v>3565</v>
      </c>
      <c r="C985" t="s">
        <v>3566</v>
      </c>
      <c r="D985" t="s">
        <v>23</v>
      </c>
      <c r="E985">
        <v>3348</v>
      </c>
      <c r="F985" s="3">
        <v>40702</v>
      </c>
      <c r="H985" t="s">
        <v>15523</v>
      </c>
      <c r="I985" t="s">
        <v>16376</v>
      </c>
      <c r="K985" t="e">
        <v>#N/A</v>
      </c>
      <c r="S985" s="3"/>
    </row>
    <row r="986" spans="1:19" x14ac:dyDescent="0.25">
      <c r="A986" t="s">
        <v>3567</v>
      </c>
      <c r="B986" t="s">
        <v>3568</v>
      </c>
      <c r="C986" t="s">
        <v>3569</v>
      </c>
      <c r="D986" t="s">
        <v>23</v>
      </c>
      <c r="E986">
        <v>477</v>
      </c>
      <c r="F986" s="3">
        <v>40702</v>
      </c>
      <c r="H986" t="s">
        <v>15523</v>
      </c>
      <c r="I986" t="s">
        <v>16377</v>
      </c>
      <c r="K986" t="e">
        <v>#N/A</v>
      </c>
      <c r="S986" s="3"/>
    </row>
    <row r="987" spans="1:19" x14ac:dyDescent="0.25">
      <c r="A987" t="s">
        <v>3570</v>
      </c>
      <c r="B987" t="s">
        <v>3571</v>
      </c>
      <c r="C987" t="s">
        <v>3572</v>
      </c>
      <c r="D987" t="s">
        <v>23</v>
      </c>
      <c r="E987">
        <v>727</v>
      </c>
      <c r="F987" s="3">
        <v>40702</v>
      </c>
      <c r="H987" t="s">
        <v>15523</v>
      </c>
      <c r="I987" t="s">
        <v>16378</v>
      </c>
      <c r="K987" t="e">
        <v>#N/A</v>
      </c>
      <c r="S987" s="3"/>
    </row>
    <row r="988" spans="1:19" x14ac:dyDescent="0.25">
      <c r="A988" t="s">
        <v>3573</v>
      </c>
      <c r="B988" t="s">
        <v>3574</v>
      </c>
      <c r="C988" t="s">
        <v>3575</v>
      </c>
      <c r="D988" t="s">
        <v>23</v>
      </c>
      <c r="E988">
        <v>3352</v>
      </c>
      <c r="F988" s="3">
        <v>40702</v>
      </c>
      <c r="H988" t="s">
        <v>15523</v>
      </c>
      <c r="I988" t="s">
        <v>16379</v>
      </c>
      <c r="K988" t="e">
        <v>#N/A</v>
      </c>
      <c r="S988" s="3"/>
    </row>
    <row r="989" spans="1:19" x14ac:dyDescent="0.25">
      <c r="A989" t="s">
        <v>3576</v>
      </c>
      <c r="B989" t="s">
        <v>3577</v>
      </c>
      <c r="C989" t="s">
        <v>3578</v>
      </c>
      <c r="D989" t="s">
        <v>23</v>
      </c>
      <c r="E989">
        <v>728</v>
      </c>
      <c r="F989" s="3">
        <v>40702</v>
      </c>
      <c r="H989" t="s">
        <v>15523</v>
      </c>
      <c r="I989" t="s">
        <v>16380</v>
      </c>
      <c r="K989" t="e">
        <v>#N/A</v>
      </c>
      <c r="S989" s="3"/>
    </row>
    <row r="990" spans="1:19" x14ac:dyDescent="0.25">
      <c r="A990" t="s">
        <v>3579</v>
      </c>
      <c r="B990" t="s">
        <v>3580</v>
      </c>
      <c r="C990" t="s">
        <v>3581</v>
      </c>
      <c r="D990" t="s">
        <v>23</v>
      </c>
      <c r="E990">
        <v>392</v>
      </c>
      <c r="F990" s="3">
        <v>40702</v>
      </c>
      <c r="H990" t="s">
        <v>15523</v>
      </c>
      <c r="I990" t="s">
        <v>16381</v>
      </c>
      <c r="K990" t="e">
        <v>#N/A</v>
      </c>
      <c r="S990" s="3"/>
    </row>
    <row r="991" spans="1:19" x14ac:dyDescent="0.25">
      <c r="A991" t="s">
        <v>3582</v>
      </c>
      <c r="B991" t="s">
        <v>3583</v>
      </c>
      <c r="C991" t="s">
        <v>3584</v>
      </c>
      <c r="D991" t="s">
        <v>23</v>
      </c>
      <c r="E991">
        <v>3353</v>
      </c>
      <c r="F991" s="3">
        <v>40702</v>
      </c>
      <c r="H991" t="s">
        <v>15523</v>
      </c>
      <c r="I991" t="s">
        <v>16382</v>
      </c>
      <c r="K991" t="e">
        <v>#N/A</v>
      </c>
      <c r="S991" s="3"/>
    </row>
    <row r="992" spans="1:19" x14ac:dyDescent="0.25">
      <c r="A992" t="s">
        <v>3585</v>
      </c>
      <c r="B992" t="s">
        <v>3586</v>
      </c>
      <c r="C992" t="s">
        <v>3587</v>
      </c>
      <c r="D992" t="s">
        <v>23</v>
      </c>
      <c r="E992">
        <v>3354</v>
      </c>
      <c r="F992" s="3">
        <v>40702</v>
      </c>
      <c r="H992" t="s">
        <v>15523</v>
      </c>
      <c r="I992" t="s">
        <v>16383</v>
      </c>
      <c r="K992" t="e">
        <v>#N/A</v>
      </c>
      <c r="S992" s="3"/>
    </row>
    <row r="993" spans="1:19" x14ac:dyDescent="0.25">
      <c r="A993" t="s">
        <v>3588</v>
      </c>
      <c r="B993" t="s">
        <v>3589</v>
      </c>
      <c r="C993" t="s">
        <v>3590</v>
      </c>
      <c r="D993" t="s">
        <v>23</v>
      </c>
      <c r="E993">
        <v>494</v>
      </c>
      <c r="F993" s="3">
        <v>40702</v>
      </c>
      <c r="H993" t="s">
        <v>15523</v>
      </c>
      <c r="I993" t="s">
        <v>16384</v>
      </c>
      <c r="K993" t="e">
        <v>#N/A</v>
      </c>
      <c r="S993" s="3"/>
    </row>
    <row r="994" spans="1:19" x14ac:dyDescent="0.25">
      <c r="A994" t="s">
        <v>3591</v>
      </c>
      <c r="B994" t="s">
        <v>3592</v>
      </c>
      <c r="C994" t="s">
        <v>3593</v>
      </c>
      <c r="D994" t="s">
        <v>23</v>
      </c>
      <c r="E994">
        <v>3358</v>
      </c>
      <c r="F994" s="3">
        <v>40702</v>
      </c>
      <c r="H994" t="s">
        <v>15523</v>
      </c>
      <c r="I994" t="s">
        <v>16385</v>
      </c>
      <c r="K994" t="e">
        <v>#N/A</v>
      </c>
      <c r="S994" s="3"/>
    </row>
    <row r="995" spans="1:19" x14ac:dyDescent="0.25">
      <c r="A995" t="s">
        <v>3594</v>
      </c>
      <c r="B995" t="s">
        <v>3595</v>
      </c>
      <c r="C995" t="s">
        <v>3596</v>
      </c>
      <c r="D995" t="s">
        <v>23</v>
      </c>
      <c r="E995">
        <v>739</v>
      </c>
      <c r="F995" s="3">
        <v>40702</v>
      </c>
      <c r="H995" t="s">
        <v>15523</v>
      </c>
      <c r="I995" t="s">
        <v>16386</v>
      </c>
      <c r="K995" t="e">
        <v>#N/A</v>
      </c>
      <c r="S995" s="3"/>
    </row>
    <row r="996" spans="1:19" x14ac:dyDescent="0.25">
      <c r="A996" t="s">
        <v>3597</v>
      </c>
      <c r="B996" t="s">
        <v>3598</v>
      </c>
      <c r="C996" t="s">
        <v>3599</v>
      </c>
      <c r="D996" t="s">
        <v>23</v>
      </c>
      <c r="E996">
        <v>726</v>
      </c>
      <c r="F996" s="3">
        <v>40702</v>
      </c>
      <c r="H996" t="s">
        <v>15523</v>
      </c>
      <c r="I996" t="s">
        <v>16387</v>
      </c>
      <c r="K996" t="e">
        <v>#N/A</v>
      </c>
      <c r="S996" s="3"/>
    </row>
    <row r="997" spans="1:19" x14ac:dyDescent="0.25">
      <c r="A997" t="s">
        <v>3600</v>
      </c>
      <c r="B997" t="s">
        <v>3601</v>
      </c>
      <c r="C997" t="s">
        <v>3602</v>
      </c>
      <c r="D997" t="s">
        <v>23</v>
      </c>
      <c r="E997">
        <v>725</v>
      </c>
      <c r="F997" s="3">
        <v>40702</v>
      </c>
      <c r="H997" t="s">
        <v>15523</v>
      </c>
      <c r="I997" t="s">
        <v>16388</v>
      </c>
      <c r="K997" t="e">
        <v>#N/A</v>
      </c>
      <c r="S997" s="3"/>
    </row>
    <row r="998" spans="1:19" x14ac:dyDescent="0.25">
      <c r="A998" t="s">
        <v>3603</v>
      </c>
      <c r="B998" t="s">
        <v>3604</v>
      </c>
      <c r="C998" t="s">
        <v>3605</v>
      </c>
      <c r="D998" t="s">
        <v>23</v>
      </c>
      <c r="E998">
        <v>327</v>
      </c>
      <c r="F998" s="3">
        <v>40702</v>
      </c>
      <c r="H998" t="s">
        <v>15523</v>
      </c>
      <c r="I998" t="s">
        <v>16389</v>
      </c>
      <c r="K998" t="e">
        <v>#N/A</v>
      </c>
      <c r="S998" s="3"/>
    </row>
    <row r="999" spans="1:19" x14ac:dyDescent="0.25">
      <c r="A999" t="s">
        <v>3606</v>
      </c>
      <c r="B999" t="s">
        <v>3607</v>
      </c>
      <c r="C999" t="s">
        <v>3608</v>
      </c>
      <c r="D999" t="s">
        <v>23</v>
      </c>
      <c r="E999">
        <v>5236</v>
      </c>
      <c r="F999" s="3">
        <v>42035</v>
      </c>
      <c r="H999" t="s">
        <v>15523</v>
      </c>
      <c r="I999" t="s">
        <v>16390</v>
      </c>
      <c r="K999" t="e">
        <v>#N/A</v>
      </c>
      <c r="S999" s="3"/>
    </row>
    <row r="1000" spans="1:19" x14ac:dyDescent="0.25">
      <c r="A1000" t="s">
        <v>3609</v>
      </c>
      <c r="B1000" t="s">
        <v>3610</v>
      </c>
      <c r="C1000" t="s">
        <v>3611</v>
      </c>
      <c r="D1000" t="s">
        <v>23</v>
      </c>
      <c r="E1000">
        <v>2584</v>
      </c>
      <c r="F1000" s="3">
        <v>40702</v>
      </c>
      <c r="H1000" t="s">
        <v>15523</v>
      </c>
      <c r="I1000" t="s">
        <v>16391</v>
      </c>
      <c r="K1000" t="e">
        <v>#N/A</v>
      </c>
      <c r="S1000" s="3"/>
    </row>
    <row r="1001" spans="1:19" x14ac:dyDescent="0.25">
      <c r="A1001" t="s">
        <v>3612</v>
      </c>
      <c r="B1001" t="s">
        <v>3613</v>
      </c>
      <c r="C1001" t="s">
        <v>3614</v>
      </c>
      <c r="D1001" t="s">
        <v>23</v>
      </c>
      <c r="E1001">
        <v>3357</v>
      </c>
      <c r="F1001" s="3">
        <v>40702</v>
      </c>
      <c r="H1001" t="s">
        <v>15523</v>
      </c>
      <c r="I1001" t="s">
        <v>16392</v>
      </c>
      <c r="K1001" t="e">
        <v>#N/A</v>
      </c>
      <c r="S1001" s="3"/>
    </row>
    <row r="1002" spans="1:19" x14ac:dyDescent="0.25">
      <c r="A1002" t="s">
        <v>3615</v>
      </c>
      <c r="B1002" t="s">
        <v>3616</v>
      </c>
      <c r="C1002" t="s">
        <v>3617</v>
      </c>
      <c r="D1002" t="s">
        <v>23</v>
      </c>
      <c r="E1002">
        <v>3355</v>
      </c>
      <c r="F1002" s="3">
        <v>40702</v>
      </c>
      <c r="H1002" t="s">
        <v>15523</v>
      </c>
      <c r="I1002" t="s">
        <v>16393</v>
      </c>
      <c r="K1002" t="e">
        <v>#N/A</v>
      </c>
      <c r="S1002" s="3"/>
    </row>
    <row r="1003" spans="1:19" x14ac:dyDescent="0.25">
      <c r="A1003" t="s">
        <v>3618</v>
      </c>
      <c r="B1003" t="s">
        <v>3619</v>
      </c>
      <c r="C1003" t="s">
        <v>3620</v>
      </c>
      <c r="D1003" t="s">
        <v>23</v>
      </c>
      <c r="E1003">
        <v>5571</v>
      </c>
      <c r="F1003" s="3">
        <v>42452</v>
      </c>
      <c r="H1003" t="s">
        <v>15523</v>
      </c>
      <c r="I1003" t="s">
        <v>16394</v>
      </c>
      <c r="K1003" t="e">
        <v>#N/A</v>
      </c>
      <c r="S1003" s="3"/>
    </row>
    <row r="1004" spans="1:19" x14ac:dyDescent="0.25">
      <c r="A1004" t="s">
        <v>3621</v>
      </c>
      <c r="B1004" t="s">
        <v>3622</v>
      </c>
      <c r="C1004" t="s">
        <v>3623</v>
      </c>
      <c r="D1004" t="s">
        <v>23</v>
      </c>
      <c r="E1004">
        <v>3356</v>
      </c>
      <c r="F1004" s="3">
        <v>40702</v>
      </c>
      <c r="H1004" t="s">
        <v>15523</v>
      </c>
      <c r="I1004" t="s">
        <v>16395</v>
      </c>
      <c r="K1004" t="e">
        <v>#N/A</v>
      </c>
      <c r="S1004" s="3"/>
    </row>
    <row r="1005" spans="1:19" x14ac:dyDescent="0.25">
      <c r="A1005" t="s">
        <v>3624</v>
      </c>
      <c r="B1005" t="s">
        <v>3625</v>
      </c>
      <c r="C1005" t="s">
        <v>3626</v>
      </c>
      <c r="D1005" t="s">
        <v>23</v>
      </c>
      <c r="E1005">
        <v>733</v>
      </c>
      <c r="F1005" s="3">
        <v>40702</v>
      </c>
      <c r="H1005" t="s">
        <v>15523</v>
      </c>
      <c r="I1005" t="s">
        <v>16396</v>
      </c>
      <c r="K1005" t="e">
        <v>#N/A</v>
      </c>
      <c r="S1005" s="3"/>
    </row>
    <row r="1006" spans="1:19" x14ac:dyDescent="0.25">
      <c r="A1006" t="s">
        <v>3627</v>
      </c>
      <c r="B1006" t="s">
        <v>3628</v>
      </c>
      <c r="C1006" t="s">
        <v>3629</v>
      </c>
      <c r="D1006" t="s">
        <v>23</v>
      </c>
      <c r="E1006">
        <v>737</v>
      </c>
      <c r="F1006" s="3">
        <v>40702</v>
      </c>
      <c r="H1006" t="s">
        <v>15523</v>
      </c>
      <c r="I1006" t="s">
        <v>16397</v>
      </c>
      <c r="K1006" t="e">
        <v>#N/A</v>
      </c>
      <c r="S1006" s="3"/>
    </row>
    <row r="1007" spans="1:19" x14ac:dyDescent="0.25">
      <c r="A1007" t="s">
        <v>3630</v>
      </c>
      <c r="B1007" t="s">
        <v>3631</v>
      </c>
      <c r="C1007" t="s">
        <v>3632</v>
      </c>
      <c r="D1007" t="s">
        <v>23</v>
      </c>
      <c r="E1007">
        <v>1407</v>
      </c>
      <c r="F1007" s="3">
        <v>40702</v>
      </c>
      <c r="H1007" t="s">
        <v>15523</v>
      </c>
      <c r="I1007" t="s">
        <v>16398</v>
      </c>
      <c r="K1007" t="e">
        <v>#N/A</v>
      </c>
      <c r="S1007" s="3"/>
    </row>
    <row r="1008" spans="1:19" x14ac:dyDescent="0.25">
      <c r="A1008" t="s">
        <v>3633</v>
      </c>
      <c r="B1008" t="s">
        <v>3634</v>
      </c>
      <c r="C1008" t="s">
        <v>3635</v>
      </c>
      <c r="D1008" t="s">
        <v>23</v>
      </c>
      <c r="E1008">
        <v>738</v>
      </c>
      <c r="F1008" s="3">
        <v>40702</v>
      </c>
      <c r="H1008" t="s">
        <v>15523</v>
      </c>
      <c r="I1008" t="s">
        <v>16399</v>
      </c>
      <c r="K1008" t="e">
        <v>#N/A</v>
      </c>
      <c r="S1008" s="3"/>
    </row>
    <row r="1009" spans="1:19" x14ac:dyDescent="0.25">
      <c r="A1009" t="s">
        <v>3636</v>
      </c>
      <c r="B1009" t="s">
        <v>3637</v>
      </c>
      <c r="C1009" t="s">
        <v>3638</v>
      </c>
      <c r="D1009" t="s">
        <v>23</v>
      </c>
      <c r="E1009">
        <v>1980</v>
      </c>
      <c r="F1009" s="3">
        <v>40702</v>
      </c>
      <c r="H1009" t="s">
        <v>15523</v>
      </c>
      <c r="I1009" t="s">
        <v>16400</v>
      </c>
      <c r="K1009" t="e">
        <v>#N/A</v>
      </c>
      <c r="S1009" s="3"/>
    </row>
    <row r="1010" spans="1:19" x14ac:dyDescent="0.25">
      <c r="A1010" t="s">
        <v>3639</v>
      </c>
      <c r="B1010" t="s">
        <v>3640</v>
      </c>
      <c r="C1010" t="s">
        <v>3641</v>
      </c>
      <c r="D1010" t="s">
        <v>23</v>
      </c>
      <c r="E1010">
        <v>3361</v>
      </c>
      <c r="F1010" s="3">
        <v>40702</v>
      </c>
      <c r="H1010" t="s">
        <v>15523</v>
      </c>
      <c r="I1010" t="s">
        <v>16401</v>
      </c>
      <c r="K1010" t="e">
        <v>#N/A</v>
      </c>
      <c r="S1010" s="3"/>
    </row>
    <row r="1011" spans="1:19" x14ac:dyDescent="0.25">
      <c r="A1011" t="s">
        <v>3642</v>
      </c>
      <c r="B1011" t="s">
        <v>3643</v>
      </c>
      <c r="C1011" t="s">
        <v>3644</v>
      </c>
      <c r="D1011" t="s">
        <v>23</v>
      </c>
      <c r="E1011">
        <v>1258</v>
      </c>
      <c r="F1011" s="3">
        <v>40702</v>
      </c>
      <c r="H1011" t="s">
        <v>15523</v>
      </c>
      <c r="I1011" t="s">
        <v>16402</v>
      </c>
      <c r="K1011" t="e">
        <v>#N/A</v>
      </c>
      <c r="S1011" s="3"/>
    </row>
    <row r="1012" spans="1:19" x14ac:dyDescent="0.25">
      <c r="A1012" t="s">
        <v>3645</v>
      </c>
      <c r="B1012" t="s">
        <v>3646</v>
      </c>
      <c r="C1012" t="s">
        <v>3647</v>
      </c>
      <c r="D1012" t="s">
        <v>23</v>
      </c>
      <c r="E1012">
        <v>1433</v>
      </c>
      <c r="F1012" s="3">
        <v>40783</v>
      </c>
      <c r="H1012" t="s">
        <v>15523</v>
      </c>
      <c r="I1012" t="s">
        <v>16403</v>
      </c>
      <c r="K1012" t="e">
        <v>#N/A</v>
      </c>
      <c r="S1012" s="3"/>
    </row>
    <row r="1013" spans="1:19" x14ac:dyDescent="0.25">
      <c r="A1013" t="s">
        <v>3648</v>
      </c>
      <c r="B1013" t="s">
        <v>3649</v>
      </c>
      <c r="C1013" t="s">
        <v>3650</v>
      </c>
      <c r="D1013" t="s">
        <v>23</v>
      </c>
      <c r="E1013">
        <v>1436</v>
      </c>
      <c r="F1013" s="3">
        <v>40702</v>
      </c>
      <c r="H1013" t="s">
        <v>15523</v>
      </c>
      <c r="I1013" t="s">
        <v>16404</v>
      </c>
      <c r="K1013" t="e">
        <v>#N/A</v>
      </c>
      <c r="S1013" s="3"/>
    </row>
    <row r="1014" spans="1:19" x14ac:dyDescent="0.25">
      <c r="A1014" t="s">
        <v>3651</v>
      </c>
      <c r="B1014" t="s">
        <v>3652</v>
      </c>
      <c r="C1014" t="s">
        <v>3653</v>
      </c>
      <c r="D1014" t="s">
        <v>23</v>
      </c>
      <c r="E1014">
        <v>3362</v>
      </c>
      <c r="F1014" s="3">
        <v>40702</v>
      </c>
      <c r="H1014" t="s">
        <v>15523</v>
      </c>
      <c r="I1014" t="s">
        <v>16405</v>
      </c>
      <c r="K1014" t="e">
        <v>#N/A</v>
      </c>
      <c r="S1014" s="3"/>
    </row>
    <row r="1015" spans="1:19" x14ac:dyDescent="0.25">
      <c r="A1015" t="s">
        <v>3654</v>
      </c>
      <c r="B1015" t="s">
        <v>3655</v>
      </c>
      <c r="C1015" t="s">
        <v>3656</v>
      </c>
      <c r="D1015" t="s">
        <v>23</v>
      </c>
      <c r="E1015">
        <v>1618</v>
      </c>
      <c r="F1015" s="3">
        <v>43803</v>
      </c>
      <c r="H1015" t="s">
        <v>15523</v>
      </c>
      <c r="I1015" t="s">
        <v>16406</v>
      </c>
      <c r="K1015" t="e">
        <v>#N/A</v>
      </c>
      <c r="S1015" s="3"/>
    </row>
    <row r="1016" spans="1:19" x14ac:dyDescent="0.25">
      <c r="A1016" t="s">
        <v>3657</v>
      </c>
      <c r="B1016" t="s">
        <v>3658</v>
      </c>
      <c r="C1016" t="s">
        <v>3659</v>
      </c>
      <c r="D1016" t="s">
        <v>23</v>
      </c>
      <c r="E1016">
        <v>3363</v>
      </c>
      <c r="F1016" s="3">
        <v>40702</v>
      </c>
      <c r="H1016" t="s">
        <v>15523</v>
      </c>
      <c r="I1016" t="s">
        <v>16407</v>
      </c>
      <c r="K1016" t="e">
        <v>#N/A</v>
      </c>
      <c r="S1016" s="3"/>
    </row>
    <row r="1017" spans="1:19" x14ac:dyDescent="0.25">
      <c r="A1017" t="s">
        <v>3660</v>
      </c>
      <c r="B1017" t="s">
        <v>3661</v>
      </c>
      <c r="C1017" t="s">
        <v>3662</v>
      </c>
      <c r="D1017" t="s">
        <v>23</v>
      </c>
      <c r="E1017">
        <v>1789</v>
      </c>
      <c r="F1017" s="3">
        <v>41461</v>
      </c>
      <c r="H1017" t="s">
        <v>15523</v>
      </c>
      <c r="I1017" t="s">
        <v>16408</v>
      </c>
      <c r="K1017" t="e">
        <v>#N/A</v>
      </c>
      <c r="S1017" s="3"/>
    </row>
    <row r="1018" spans="1:19" x14ac:dyDescent="0.25">
      <c r="A1018" t="s">
        <v>3663</v>
      </c>
      <c r="B1018" t="s">
        <v>3664</v>
      </c>
      <c r="C1018" t="s">
        <v>3665</v>
      </c>
      <c r="D1018" t="s">
        <v>23</v>
      </c>
      <c r="E1018">
        <v>1790</v>
      </c>
      <c r="F1018" s="3">
        <v>40702</v>
      </c>
      <c r="H1018" t="s">
        <v>15523</v>
      </c>
      <c r="I1018" t="s">
        <v>16409</v>
      </c>
      <c r="K1018" t="e">
        <v>#N/A</v>
      </c>
      <c r="S1018" s="3"/>
    </row>
    <row r="1019" spans="1:19" x14ac:dyDescent="0.25">
      <c r="A1019" t="s">
        <v>3666</v>
      </c>
      <c r="B1019" t="s">
        <v>3667</v>
      </c>
      <c r="C1019" t="s">
        <v>3668</v>
      </c>
      <c r="D1019" t="s">
        <v>23</v>
      </c>
      <c r="E1019">
        <v>406</v>
      </c>
      <c r="F1019" s="3">
        <v>40783</v>
      </c>
      <c r="H1019" t="s">
        <v>15523</v>
      </c>
      <c r="I1019" t="s">
        <v>16410</v>
      </c>
      <c r="K1019" t="e">
        <v>#N/A</v>
      </c>
      <c r="S1019" s="3"/>
    </row>
    <row r="1020" spans="1:19" x14ac:dyDescent="0.25">
      <c r="A1020" t="s">
        <v>3669</v>
      </c>
      <c r="B1020" t="s">
        <v>3670</v>
      </c>
      <c r="C1020" t="s">
        <v>3671</v>
      </c>
      <c r="D1020" t="s">
        <v>23</v>
      </c>
      <c r="E1020">
        <v>1255</v>
      </c>
      <c r="F1020" s="3">
        <v>40782</v>
      </c>
      <c r="H1020" t="s">
        <v>15523</v>
      </c>
      <c r="I1020" t="s">
        <v>16411</v>
      </c>
      <c r="K1020" t="e">
        <v>#N/A</v>
      </c>
      <c r="S1020" s="3"/>
    </row>
    <row r="1021" spans="1:19" x14ac:dyDescent="0.25">
      <c r="A1021" t="s">
        <v>3672</v>
      </c>
      <c r="B1021" t="s">
        <v>3673</v>
      </c>
      <c r="C1021" t="s">
        <v>3674</v>
      </c>
      <c r="D1021" t="s">
        <v>23</v>
      </c>
      <c r="E1021">
        <v>1786</v>
      </c>
      <c r="F1021" s="3">
        <v>40783</v>
      </c>
      <c r="H1021" t="s">
        <v>15523</v>
      </c>
      <c r="I1021" t="s">
        <v>16412</v>
      </c>
      <c r="K1021" t="e">
        <v>#N/A</v>
      </c>
      <c r="S1021" s="3"/>
    </row>
    <row r="1022" spans="1:19" x14ac:dyDescent="0.25">
      <c r="A1022" t="s">
        <v>3675</v>
      </c>
      <c r="B1022" t="s">
        <v>3676</v>
      </c>
      <c r="C1022" t="s">
        <v>3677</v>
      </c>
      <c r="D1022" t="s">
        <v>23</v>
      </c>
      <c r="E1022">
        <v>3364</v>
      </c>
      <c r="F1022" s="3">
        <v>40702</v>
      </c>
      <c r="H1022" t="s">
        <v>15523</v>
      </c>
      <c r="I1022" t="s">
        <v>16413</v>
      </c>
      <c r="K1022" t="e">
        <v>#N/A</v>
      </c>
      <c r="S1022" s="3"/>
    </row>
    <row r="1023" spans="1:19" x14ac:dyDescent="0.25">
      <c r="A1023" t="s">
        <v>3678</v>
      </c>
      <c r="B1023" t="s">
        <v>3679</v>
      </c>
      <c r="C1023" t="s">
        <v>3680</v>
      </c>
      <c r="D1023" t="s">
        <v>23</v>
      </c>
      <c r="E1023">
        <v>3365</v>
      </c>
      <c r="F1023" s="3">
        <v>40702</v>
      </c>
      <c r="H1023" t="s">
        <v>15523</v>
      </c>
      <c r="I1023" t="s">
        <v>16414</v>
      </c>
      <c r="K1023" t="e">
        <v>#N/A</v>
      </c>
      <c r="S1023" s="3"/>
    </row>
    <row r="1024" spans="1:19" x14ac:dyDescent="0.25">
      <c r="A1024" t="s">
        <v>3681</v>
      </c>
      <c r="B1024" t="s">
        <v>3682</v>
      </c>
      <c r="C1024" t="s">
        <v>3683</v>
      </c>
      <c r="D1024" t="s">
        <v>23</v>
      </c>
      <c r="E1024">
        <v>413</v>
      </c>
      <c r="F1024" s="3">
        <v>40783</v>
      </c>
      <c r="H1024" t="s">
        <v>15523</v>
      </c>
      <c r="I1024" t="s">
        <v>16415</v>
      </c>
      <c r="K1024" t="e">
        <v>#N/A</v>
      </c>
      <c r="S1024" s="3"/>
    </row>
    <row r="1025" spans="1:19" x14ac:dyDescent="0.25">
      <c r="A1025" t="s">
        <v>3684</v>
      </c>
      <c r="B1025" t="s">
        <v>3685</v>
      </c>
      <c r="C1025" t="s">
        <v>3686</v>
      </c>
      <c r="D1025" t="s">
        <v>23</v>
      </c>
      <c r="E1025">
        <v>412</v>
      </c>
      <c r="F1025" s="3">
        <v>40783</v>
      </c>
      <c r="H1025" t="s">
        <v>15523</v>
      </c>
      <c r="I1025" t="s">
        <v>16416</v>
      </c>
      <c r="K1025" t="e">
        <v>#N/A</v>
      </c>
      <c r="S1025" s="3"/>
    </row>
    <row r="1026" spans="1:19" x14ac:dyDescent="0.25">
      <c r="A1026" t="s">
        <v>3687</v>
      </c>
      <c r="B1026" t="s">
        <v>3688</v>
      </c>
      <c r="C1026" t="s">
        <v>3689</v>
      </c>
      <c r="D1026" t="s">
        <v>23</v>
      </c>
      <c r="E1026">
        <v>411</v>
      </c>
      <c r="F1026" s="3">
        <v>40702</v>
      </c>
      <c r="H1026" t="s">
        <v>15523</v>
      </c>
      <c r="I1026" t="s">
        <v>16417</v>
      </c>
      <c r="K1026" t="e">
        <v>#N/A</v>
      </c>
      <c r="S1026" s="3"/>
    </row>
    <row r="1027" spans="1:19" x14ac:dyDescent="0.25">
      <c r="A1027" t="s">
        <v>3690</v>
      </c>
      <c r="B1027" t="s">
        <v>3691</v>
      </c>
      <c r="C1027" t="s">
        <v>3692</v>
      </c>
      <c r="D1027" t="s">
        <v>23</v>
      </c>
      <c r="E1027">
        <v>420</v>
      </c>
      <c r="F1027" s="3">
        <v>40782</v>
      </c>
      <c r="H1027" t="s">
        <v>15523</v>
      </c>
      <c r="I1027" t="s">
        <v>16418</v>
      </c>
      <c r="K1027" t="e">
        <v>#N/A</v>
      </c>
      <c r="S1027" s="3"/>
    </row>
    <row r="1028" spans="1:19" x14ac:dyDescent="0.25">
      <c r="A1028" t="s">
        <v>3693</v>
      </c>
      <c r="B1028" t="s">
        <v>3694</v>
      </c>
      <c r="C1028" t="s">
        <v>3695</v>
      </c>
      <c r="D1028" t="s">
        <v>23</v>
      </c>
      <c r="E1028">
        <v>1384</v>
      </c>
      <c r="F1028" s="3">
        <v>40783</v>
      </c>
      <c r="H1028" t="s">
        <v>15523</v>
      </c>
      <c r="I1028" t="s">
        <v>16419</v>
      </c>
      <c r="K1028" t="e">
        <v>#N/A</v>
      </c>
      <c r="S1028" s="3"/>
    </row>
    <row r="1029" spans="1:19" x14ac:dyDescent="0.25">
      <c r="A1029" t="s">
        <v>3696</v>
      </c>
      <c r="B1029" t="s">
        <v>3697</v>
      </c>
      <c r="C1029" t="s">
        <v>3698</v>
      </c>
      <c r="D1029" t="s">
        <v>23</v>
      </c>
      <c r="E1029">
        <v>1972</v>
      </c>
      <c r="F1029" s="3">
        <v>41461</v>
      </c>
      <c r="H1029" t="s">
        <v>15523</v>
      </c>
      <c r="I1029" t="s">
        <v>16420</v>
      </c>
      <c r="K1029" t="e">
        <v>#N/A</v>
      </c>
      <c r="S1029" s="3"/>
    </row>
    <row r="1030" spans="1:19" x14ac:dyDescent="0.25">
      <c r="A1030" t="s">
        <v>3699</v>
      </c>
      <c r="B1030" t="s">
        <v>3700</v>
      </c>
      <c r="C1030" t="s">
        <v>3701</v>
      </c>
      <c r="D1030" t="s">
        <v>23</v>
      </c>
      <c r="E1030">
        <v>1392</v>
      </c>
      <c r="F1030" s="3">
        <v>41461</v>
      </c>
      <c r="H1030" t="s">
        <v>15523</v>
      </c>
      <c r="I1030" t="s">
        <v>16421</v>
      </c>
      <c r="K1030" t="e">
        <v>#N/A</v>
      </c>
      <c r="S1030" s="3"/>
    </row>
    <row r="1031" spans="1:19" x14ac:dyDescent="0.25">
      <c r="A1031" t="s">
        <v>3702</v>
      </c>
      <c r="B1031" t="s">
        <v>3703</v>
      </c>
      <c r="C1031" t="s">
        <v>3704</v>
      </c>
      <c r="D1031" t="s">
        <v>23</v>
      </c>
      <c r="E1031">
        <v>2709</v>
      </c>
      <c r="F1031" s="3">
        <v>43082</v>
      </c>
      <c r="H1031" t="s">
        <v>15523</v>
      </c>
      <c r="I1031" t="s">
        <v>16422</v>
      </c>
      <c r="K1031" t="e">
        <v>#N/A</v>
      </c>
      <c r="S1031" s="3"/>
    </row>
    <row r="1032" spans="1:19" x14ac:dyDescent="0.25">
      <c r="A1032" t="s">
        <v>3705</v>
      </c>
      <c r="B1032" t="s">
        <v>3706</v>
      </c>
      <c r="C1032" t="s">
        <v>3707</v>
      </c>
      <c r="D1032" t="s">
        <v>23</v>
      </c>
      <c r="E1032">
        <v>860</v>
      </c>
      <c r="F1032" s="3">
        <v>40702</v>
      </c>
      <c r="H1032" t="s">
        <v>15523</v>
      </c>
      <c r="I1032" t="s">
        <v>16423</v>
      </c>
      <c r="K1032" t="e">
        <v>#N/A</v>
      </c>
      <c r="S1032" s="3"/>
    </row>
    <row r="1033" spans="1:19" x14ac:dyDescent="0.25">
      <c r="A1033" t="s">
        <v>3708</v>
      </c>
      <c r="B1033" t="s">
        <v>3709</v>
      </c>
      <c r="C1033" t="s">
        <v>3710</v>
      </c>
      <c r="D1033" t="s">
        <v>23</v>
      </c>
      <c r="E1033">
        <v>869</v>
      </c>
      <c r="F1033" s="3">
        <v>40702</v>
      </c>
      <c r="H1033" t="s">
        <v>15523</v>
      </c>
      <c r="I1033" t="s">
        <v>16424</v>
      </c>
      <c r="K1033" t="e">
        <v>#N/A</v>
      </c>
      <c r="S1033" s="3"/>
    </row>
    <row r="1034" spans="1:19" x14ac:dyDescent="0.25">
      <c r="A1034" t="s">
        <v>3711</v>
      </c>
      <c r="B1034" t="s">
        <v>3712</v>
      </c>
      <c r="C1034" t="s">
        <v>3713</v>
      </c>
      <c r="D1034" t="s">
        <v>23</v>
      </c>
      <c r="E1034">
        <v>1867</v>
      </c>
      <c r="F1034" s="3">
        <v>40782</v>
      </c>
      <c r="H1034" t="s">
        <v>15523</v>
      </c>
      <c r="I1034" t="s">
        <v>16425</v>
      </c>
      <c r="K1034" t="e">
        <v>#N/A</v>
      </c>
      <c r="S1034" s="3"/>
    </row>
    <row r="1035" spans="1:19" x14ac:dyDescent="0.25">
      <c r="A1035" t="s">
        <v>3714</v>
      </c>
      <c r="B1035" t="s">
        <v>3715</v>
      </c>
      <c r="C1035" t="s">
        <v>3716</v>
      </c>
      <c r="D1035" t="s">
        <v>23</v>
      </c>
      <c r="E1035">
        <v>5296</v>
      </c>
      <c r="F1035" s="3">
        <v>42131</v>
      </c>
      <c r="H1035" t="s">
        <v>15523</v>
      </c>
      <c r="I1035" t="s">
        <v>16426</v>
      </c>
      <c r="K1035" t="e">
        <v>#N/A</v>
      </c>
      <c r="S1035" s="3"/>
    </row>
    <row r="1036" spans="1:19" x14ac:dyDescent="0.25">
      <c r="A1036" t="s">
        <v>3717</v>
      </c>
      <c r="B1036" t="s">
        <v>3718</v>
      </c>
      <c r="C1036" t="s">
        <v>3719</v>
      </c>
      <c r="D1036" t="s">
        <v>23</v>
      </c>
      <c r="E1036">
        <v>6043</v>
      </c>
      <c r="F1036" s="3">
        <v>43714</v>
      </c>
      <c r="H1036" t="s">
        <v>15523</v>
      </c>
      <c r="I1036" t="s">
        <v>16427</v>
      </c>
      <c r="K1036" t="e">
        <v>#N/A</v>
      </c>
      <c r="S1036" s="3"/>
    </row>
    <row r="1037" spans="1:19" x14ac:dyDescent="0.25">
      <c r="A1037" t="s">
        <v>3720</v>
      </c>
      <c r="B1037" t="s">
        <v>3721</v>
      </c>
      <c r="C1037" t="s">
        <v>3722</v>
      </c>
      <c r="D1037" t="s">
        <v>23</v>
      </c>
      <c r="E1037">
        <v>851</v>
      </c>
      <c r="F1037" s="3">
        <v>40702</v>
      </c>
      <c r="H1037" t="s">
        <v>15523</v>
      </c>
      <c r="I1037" t="s">
        <v>16428</v>
      </c>
      <c r="K1037" t="e">
        <v>#N/A</v>
      </c>
      <c r="S1037" s="3"/>
    </row>
    <row r="1038" spans="1:19" x14ac:dyDescent="0.25">
      <c r="A1038" t="s">
        <v>3723</v>
      </c>
      <c r="B1038" t="s">
        <v>3724</v>
      </c>
      <c r="C1038" t="s">
        <v>3725</v>
      </c>
      <c r="D1038" t="s">
        <v>23</v>
      </c>
      <c r="E1038">
        <v>852</v>
      </c>
      <c r="F1038" s="3">
        <v>40702</v>
      </c>
      <c r="H1038" t="s">
        <v>15523</v>
      </c>
      <c r="I1038" t="s">
        <v>16429</v>
      </c>
      <c r="K1038" t="e">
        <v>#N/A</v>
      </c>
      <c r="S1038" s="3"/>
    </row>
    <row r="1039" spans="1:19" x14ac:dyDescent="0.25">
      <c r="A1039" t="s">
        <v>3726</v>
      </c>
      <c r="B1039" t="s">
        <v>3727</v>
      </c>
      <c r="C1039" t="s">
        <v>3728</v>
      </c>
      <c r="D1039" t="s">
        <v>23</v>
      </c>
      <c r="E1039">
        <v>4993</v>
      </c>
      <c r="F1039" s="3">
        <v>41660</v>
      </c>
      <c r="H1039" t="s">
        <v>15523</v>
      </c>
      <c r="I1039" t="s">
        <v>16430</v>
      </c>
      <c r="K1039" t="e">
        <v>#N/A</v>
      </c>
      <c r="S1039" s="3"/>
    </row>
    <row r="1040" spans="1:19" x14ac:dyDescent="0.25">
      <c r="A1040" t="s">
        <v>3729</v>
      </c>
      <c r="B1040" t="s">
        <v>3730</v>
      </c>
      <c r="C1040" t="s">
        <v>3731</v>
      </c>
      <c r="D1040" t="s">
        <v>23</v>
      </c>
      <c r="E1040">
        <v>5297</v>
      </c>
      <c r="F1040" s="3">
        <v>42131</v>
      </c>
      <c r="H1040" t="s">
        <v>15523</v>
      </c>
      <c r="I1040" t="s">
        <v>16431</v>
      </c>
      <c r="K1040" t="e">
        <v>#N/A</v>
      </c>
      <c r="S1040" s="3"/>
    </row>
    <row r="1041" spans="1:19" x14ac:dyDescent="0.25">
      <c r="A1041" t="s">
        <v>3732</v>
      </c>
      <c r="B1041" t="s">
        <v>3733</v>
      </c>
      <c r="C1041" t="s">
        <v>3734</v>
      </c>
      <c r="D1041" t="s">
        <v>23</v>
      </c>
      <c r="E1041">
        <v>3367</v>
      </c>
      <c r="F1041" s="3">
        <v>40702</v>
      </c>
      <c r="H1041" t="s">
        <v>15523</v>
      </c>
      <c r="I1041" t="s">
        <v>16432</v>
      </c>
      <c r="K1041" t="e">
        <v>#N/A</v>
      </c>
      <c r="S1041" s="3"/>
    </row>
    <row r="1042" spans="1:19" x14ac:dyDescent="0.25">
      <c r="A1042" t="s">
        <v>3735</v>
      </c>
      <c r="B1042" t="s">
        <v>3736</v>
      </c>
      <c r="C1042" t="s">
        <v>3737</v>
      </c>
      <c r="D1042" t="s">
        <v>23</v>
      </c>
      <c r="E1042">
        <v>1287</v>
      </c>
      <c r="F1042" s="3">
        <v>40702</v>
      </c>
      <c r="H1042" t="s">
        <v>15523</v>
      </c>
      <c r="I1042" t="s">
        <v>16433</v>
      </c>
      <c r="K1042" t="e">
        <v>#N/A</v>
      </c>
      <c r="S1042" s="3"/>
    </row>
    <row r="1043" spans="1:19" x14ac:dyDescent="0.25">
      <c r="A1043" t="s">
        <v>3738</v>
      </c>
      <c r="B1043" t="s">
        <v>3739</v>
      </c>
      <c r="C1043" t="s">
        <v>3740</v>
      </c>
      <c r="D1043" t="s">
        <v>23</v>
      </c>
      <c r="E1043">
        <v>3366</v>
      </c>
      <c r="F1043" s="3">
        <v>40702</v>
      </c>
      <c r="H1043" t="s">
        <v>15523</v>
      </c>
      <c r="I1043" t="s">
        <v>16434</v>
      </c>
      <c r="K1043" t="e">
        <v>#N/A</v>
      </c>
      <c r="S1043" s="3"/>
    </row>
    <row r="1044" spans="1:19" x14ac:dyDescent="0.25">
      <c r="A1044" t="s">
        <v>3741</v>
      </c>
      <c r="B1044" t="s">
        <v>3742</v>
      </c>
      <c r="C1044" t="s">
        <v>3743</v>
      </c>
      <c r="D1044" t="s">
        <v>23</v>
      </c>
      <c r="E1044">
        <v>1288</v>
      </c>
      <c r="F1044" s="3">
        <v>40702</v>
      </c>
      <c r="H1044" t="s">
        <v>15523</v>
      </c>
      <c r="I1044" t="s">
        <v>16435</v>
      </c>
      <c r="K1044" t="e">
        <v>#N/A</v>
      </c>
      <c r="S1044" s="3"/>
    </row>
    <row r="1045" spans="1:19" x14ac:dyDescent="0.25">
      <c r="A1045" t="s">
        <v>3744</v>
      </c>
      <c r="B1045" t="s">
        <v>3745</v>
      </c>
      <c r="C1045" t="s">
        <v>3746</v>
      </c>
      <c r="D1045" t="s">
        <v>23</v>
      </c>
      <c r="E1045">
        <v>3368</v>
      </c>
      <c r="F1045" s="3">
        <v>40782</v>
      </c>
      <c r="H1045" t="s">
        <v>15523</v>
      </c>
      <c r="I1045" t="s">
        <v>16436</v>
      </c>
      <c r="K1045" t="e">
        <v>#N/A</v>
      </c>
      <c r="S1045" s="3"/>
    </row>
    <row r="1046" spans="1:19" x14ac:dyDescent="0.25">
      <c r="A1046" t="s">
        <v>3747</v>
      </c>
      <c r="B1046" t="s">
        <v>3748</v>
      </c>
      <c r="C1046" t="s">
        <v>3749</v>
      </c>
      <c r="D1046" t="s">
        <v>23</v>
      </c>
      <c r="E1046">
        <v>3370</v>
      </c>
      <c r="F1046" s="3">
        <v>40702</v>
      </c>
      <c r="H1046" t="s">
        <v>15523</v>
      </c>
      <c r="I1046" t="s">
        <v>16437</v>
      </c>
      <c r="K1046" t="e">
        <v>#N/A</v>
      </c>
      <c r="S1046" s="3"/>
    </row>
    <row r="1047" spans="1:19" x14ac:dyDescent="0.25">
      <c r="A1047" t="s">
        <v>3750</v>
      </c>
      <c r="B1047" t="s">
        <v>3751</v>
      </c>
      <c r="C1047" t="s">
        <v>3752</v>
      </c>
      <c r="D1047" t="s">
        <v>23</v>
      </c>
      <c r="E1047">
        <v>5751</v>
      </c>
      <c r="F1047" s="3">
        <v>42759</v>
      </c>
      <c r="H1047" t="s">
        <v>15523</v>
      </c>
      <c r="I1047" t="s">
        <v>16438</v>
      </c>
      <c r="K1047" t="e">
        <v>#N/A</v>
      </c>
      <c r="S1047" s="3"/>
    </row>
    <row r="1048" spans="1:19" x14ac:dyDescent="0.25">
      <c r="A1048" t="s">
        <v>3753</v>
      </c>
      <c r="B1048" t="s">
        <v>3754</v>
      </c>
      <c r="C1048" t="s">
        <v>3755</v>
      </c>
      <c r="D1048" t="s">
        <v>23</v>
      </c>
      <c r="E1048">
        <v>1278</v>
      </c>
      <c r="F1048" s="3">
        <v>41461</v>
      </c>
      <c r="H1048" t="s">
        <v>15523</v>
      </c>
      <c r="I1048" t="s">
        <v>16439</v>
      </c>
      <c r="K1048" t="e">
        <v>#N/A</v>
      </c>
      <c r="S1048" s="3"/>
    </row>
    <row r="1049" spans="1:19" x14ac:dyDescent="0.25">
      <c r="A1049" t="s">
        <v>3756</v>
      </c>
      <c r="B1049" t="s">
        <v>3757</v>
      </c>
      <c r="C1049" t="s">
        <v>3758</v>
      </c>
      <c r="D1049" t="s">
        <v>23</v>
      </c>
      <c r="E1049">
        <v>1280</v>
      </c>
      <c r="F1049" s="3">
        <v>40702</v>
      </c>
      <c r="H1049" t="s">
        <v>15523</v>
      </c>
      <c r="I1049" t="s">
        <v>16440</v>
      </c>
      <c r="K1049" t="e">
        <v>#N/A</v>
      </c>
      <c r="S1049" s="3"/>
    </row>
    <row r="1050" spans="1:19" x14ac:dyDescent="0.25">
      <c r="A1050" t="s">
        <v>3759</v>
      </c>
      <c r="B1050" t="s">
        <v>3760</v>
      </c>
      <c r="C1050" t="s">
        <v>3761</v>
      </c>
      <c r="D1050" t="s">
        <v>23</v>
      </c>
      <c r="E1050">
        <v>1279</v>
      </c>
      <c r="F1050" s="3">
        <v>40783</v>
      </c>
      <c r="H1050" t="s">
        <v>15523</v>
      </c>
      <c r="I1050" t="s">
        <v>16441</v>
      </c>
      <c r="K1050" t="e">
        <v>#N/A</v>
      </c>
      <c r="S1050" s="3"/>
    </row>
    <row r="1051" spans="1:19" x14ac:dyDescent="0.25">
      <c r="A1051" t="s">
        <v>3762</v>
      </c>
      <c r="B1051" t="s">
        <v>3763</v>
      </c>
      <c r="C1051" t="s">
        <v>3764</v>
      </c>
      <c r="D1051" t="s">
        <v>23</v>
      </c>
      <c r="E1051">
        <v>1282</v>
      </c>
      <c r="F1051" s="3">
        <v>40702</v>
      </c>
      <c r="H1051" t="s">
        <v>15523</v>
      </c>
      <c r="I1051" t="s">
        <v>16442</v>
      </c>
      <c r="K1051" t="e">
        <v>#N/A</v>
      </c>
      <c r="S1051" s="3"/>
    </row>
    <row r="1052" spans="1:19" x14ac:dyDescent="0.25">
      <c r="A1052" t="s">
        <v>726</v>
      </c>
      <c r="B1052" t="s">
        <v>725</v>
      </c>
      <c r="C1052" t="s">
        <v>16179</v>
      </c>
      <c r="D1052" t="s">
        <v>666</v>
      </c>
      <c r="E1052">
        <v>3299</v>
      </c>
      <c r="F1052" s="3">
        <v>40702</v>
      </c>
      <c r="H1052" t="s">
        <v>15523</v>
      </c>
      <c r="I1052" t="s">
        <v>16180</v>
      </c>
      <c r="K1052" t="e">
        <v>#N/A</v>
      </c>
      <c r="S1052" s="3"/>
    </row>
    <row r="1053" spans="1:19" x14ac:dyDescent="0.25">
      <c r="A1053" t="s">
        <v>3765</v>
      </c>
      <c r="B1053" t="s">
        <v>3766</v>
      </c>
      <c r="C1053" t="s">
        <v>16179</v>
      </c>
      <c r="D1053" t="s">
        <v>47</v>
      </c>
      <c r="E1053">
        <v>3239</v>
      </c>
      <c r="F1053" s="3">
        <v>40702</v>
      </c>
      <c r="H1053" t="s">
        <v>15523</v>
      </c>
      <c r="I1053" t="s">
        <v>16180</v>
      </c>
      <c r="K1053" t="e">
        <v>#N/A</v>
      </c>
      <c r="S1053" s="3"/>
    </row>
    <row r="1054" spans="1:19" x14ac:dyDescent="0.25">
      <c r="A1054" t="s">
        <v>3767</v>
      </c>
      <c r="B1054" t="s">
        <v>3768</v>
      </c>
      <c r="C1054" t="s">
        <v>16179</v>
      </c>
      <c r="D1054" t="s">
        <v>2820</v>
      </c>
      <c r="E1054">
        <v>3301</v>
      </c>
      <c r="F1054" s="3">
        <v>40702</v>
      </c>
      <c r="H1054" t="s">
        <v>15523</v>
      </c>
      <c r="I1054" t="s">
        <v>16180</v>
      </c>
      <c r="K1054" t="e">
        <v>#N/A</v>
      </c>
      <c r="S1054" s="3"/>
    </row>
    <row r="1055" spans="1:19" x14ac:dyDescent="0.25">
      <c r="A1055" t="s">
        <v>3769</v>
      </c>
      <c r="B1055" t="s">
        <v>3770</v>
      </c>
      <c r="C1055" t="s">
        <v>16179</v>
      </c>
      <c r="D1055" t="s">
        <v>2820</v>
      </c>
      <c r="E1055">
        <v>5950</v>
      </c>
      <c r="F1055" s="3">
        <v>43239</v>
      </c>
      <c r="H1055" t="s">
        <v>15523</v>
      </c>
      <c r="I1055" t="s">
        <v>16180</v>
      </c>
      <c r="K1055" t="e">
        <v>#N/A</v>
      </c>
      <c r="S1055" s="3"/>
    </row>
    <row r="1056" spans="1:19" x14ac:dyDescent="0.25">
      <c r="A1056" t="s">
        <v>3771</v>
      </c>
      <c r="B1056" t="s">
        <v>3772</v>
      </c>
      <c r="C1056" t="s">
        <v>3773</v>
      </c>
      <c r="D1056" t="s">
        <v>23</v>
      </c>
      <c r="E1056">
        <v>3391</v>
      </c>
      <c r="F1056" s="3">
        <v>40702</v>
      </c>
      <c r="H1056" t="s">
        <v>15523</v>
      </c>
      <c r="I1056" t="s">
        <v>16443</v>
      </c>
      <c r="K1056" t="e">
        <v>#N/A</v>
      </c>
      <c r="S1056" s="3"/>
    </row>
    <row r="1057" spans="1:19" x14ac:dyDescent="0.25">
      <c r="A1057" t="s">
        <v>3774</v>
      </c>
      <c r="B1057" t="s">
        <v>3775</v>
      </c>
      <c r="C1057" t="s">
        <v>3776</v>
      </c>
      <c r="D1057" t="s">
        <v>23</v>
      </c>
      <c r="E1057">
        <v>799</v>
      </c>
      <c r="F1057" s="3">
        <v>40702</v>
      </c>
      <c r="H1057" t="s">
        <v>15523</v>
      </c>
      <c r="I1057" t="s">
        <v>16444</v>
      </c>
      <c r="K1057" t="e">
        <v>#N/A</v>
      </c>
      <c r="S1057" s="3"/>
    </row>
    <row r="1058" spans="1:19" x14ac:dyDescent="0.25">
      <c r="A1058" t="s">
        <v>3777</v>
      </c>
      <c r="B1058" t="s">
        <v>3778</v>
      </c>
      <c r="C1058" t="s">
        <v>3779</v>
      </c>
      <c r="D1058" t="s">
        <v>23</v>
      </c>
      <c r="E1058">
        <v>2588</v>
      </c>
      <c r="F1058" s="3">
        <v>42375</v>
      </c>
      <c r="H1058" t="s">
        <v>15523</v>
      </c>
      <c r="I1058" t="s">
        <v>16445</v>
      </c>
      <c r="K1058" t="e">
        <v>#N/A</v>
      </c>
      <c r="S1058" s="3"/>
    </row>
    <row r="1059" spans="1:19" x14ac:dyDescent="0.25">
      <c r="A1059" t="s">
        <v>3780</v>
      </c>
      <c r="B1059" t="s">
        <v>3781</v>
      </c>
      <c r="C1059" t="s">
        <v>3782</v>
      </c>
      <c r="D1059" t="s">
        <v>23</v>
      </c>
      <c r="E1059">
        <v>5329</v>
      </c>
      <c r="F1059" s="3">
        <v>42231</v>
      </c>
      <c r="H1059" t="s">
        <v>15523</v>
      </c>
      <c r="I1059" t="s">
        <v>16446</v>
      </c>
      <c r="K1059" t="e">
        <v>#N/A</v>
      </c>
      <c r="S1059" s="3"/>
    </row>
    <row r="1060" spans="1:19" x14ac:dyDescent="0.25">
      <c r="A1060" t="s">
        <v>3783</v>
      </c>
      <c r="B1060" t="s">
        <v>3784</v>
      </c>
      <c r="C1060" t="s">
        <v>3785</v>
      </c>
      <c r="D1060" t="s">
        <v>23</v>
      </c>
      <c r="E1060">
        <v>800</v>
      </c>
      <c r="F1060" s="3">
        <v>40702</v>
      </c>
      <c r="H1060" t="s">
        <v>15523</v>
      </c>
      <c r="I1060" t="s">
        <v>16447</v>
      </c>
      <c r="K1060" t="e">
        <v>#N/A</v>
      </c>
      <c r="S1060" s="3"/>
    </row>
    <row r="1061" spans="1:19" x14ac:dyDescent="0.25">
      <c r="A1061" t="s">
        <v>3786</v>
      </c>
      <c r="B1061" t="s">
        <v>3787</v>
      </c>
      <c r="C1061" t="s">
        <v>3788</v>
      </c>
      <c r="D1061" t="s">
        <v>23</v>
      </c>
      <c r="E1061">
        <v>801</v>
      </c>
      <c r="F1061" s="3">
        <v>40702</v>
      </c>
      <c r="H1061" t="s">
        <v>15523</v>
      </c>
      <c r="I1061" t="s">
        <v>16448</v>
      </c>
      <c r="K1061" t="e">
        <v>#N/A</v>
      </c>
      <c r="S1061" s="3"/>
    </row>
    <row r="1062" spans="1:19" x14ac:dyDescent="0.25">
      <c r="A1062" t="s">
        <v>3789</v>
      </c>
      <c r="B1062" t="s">
        <v>3790</v>
      </c>
      <c r="C1062" t="s">
        <v>3791</v>
      </c>
      <c r="D1062" t="s">
        <v>23</v>
      </c>
      <c r="E1062">
        <v>3406</v>
      </c>
      <c r="F1062" s="3">
        <v>40702</v>
      </c>
      <c r="H1062" t="s">
        <v>15523</v>
      </c>
      <c r="I1062" t="s">
        <v>16449</v>
      </c>
      <c r="K1062" t="e">
        <v>#N/A</v>
      </c>
      <c r="S1062" s="3"/>
    </row>
    <row r="1063" spans="1:19" x14ac:dyDescent="0.25">
      <c r="A1063" t="s">
        <v>3792</v>
      </c>
      <c r="B1063" t="s">
        <v>3793</v>
      </c>
      <c r="C1063" t="s">
        <v>3794</v>
      </c>
      <c r="D1063" t="s">
        <v>23</v>
      </c>
      <c r="E1063">
        <v>802</v>
      </c>
      <c r="F1063" s="3">
        <v>40702</v>
      </c>
      <c r="H1063" t="s">
        <v>15523</v>
      </c>
      <c r="I1063" t="s">
        <v>16450</v>
      </c>
      <c r="K1063" t="e">
        <v>#N/A</v>
      </c>
      <c r="S1063" s="3"/>
    </row>
    <row r="1064" spans="1:19" x14ac:dyDescent="0.25">
      <c r="A1064" t="s">
        <v>3795</v>
      </c>
      <c r="B1064" t="s">
        <v>3796</v>
      </c>
      <c r="C1064" t="s">
        <v>3797</v>
      </c>
      <c r="D1064" t="s">
        <v>23</v>
      </c>
      <c r="E1064">
        <v>3407</v>
      </c>
      <c r="F1064" s="3">
        <v>40702</v>
      </c>
      <c r="H1064" t="s">
        <v>15523</v>
      </c>
      <c r="I1064" t="s">
        <v>16451</v>
      </c>
      <c r="K1064" t="e">
        <v>#N/A</v>
      </c>
      <c r="S1064" s="3"/>
    </row>
    <row r="1065" spans="1:19" x14ac:dyDescent="0.25">
      <c r="A1065" t="s">
        <v>3798</v>
      </c>
      <c r="B1065" t="s">
        <v>3799</v>
      </c>
      <c r="C1065" t="s">
        <v>16179</v>
      </c>
      <c r="D1065" t="s">
        <v>2820</v>
      </c>
      <c r="E1065">
        <v>5840</v>
      </c>
      <c r="F1065" s="3">
        <v>43078</v>
      </c>
      <c r="H1065" t="s">
        <v>15523</v>
      </c>
      <c r="I1065" t="s">
        <v>16180</v>
      </c>
      <c r="K1065" t="e">
        <v>#N/A</v>
      </c>
      <c r="S1065" s="3"/>
    </row>
    <row r="1066" spans="1:19" x14ac:dyDescent="0.25">
      <c r="A1066" t="s">
        <v>3800</v>
      </c>
      <c r="B1066" t="s">
        <v>3801</v>
      </c>
      <c r="C1066" t="s">
        <v>3802</v>
      </c>
      <c r="D1066" t="s">
        <v>23</v>
      </c>
      <c r="E1066">
        <v>510</v>
      </c>
      <c r="F1066" s="3">
        <v>40702</v>
      </c>
      <c r="H1066" t="s">
        <v>15523</v>
      </c>
      <c r="I1066" t="s">
        <v>16452</v>
      </c>
      <c r="K1066" t="e">
        <v>#N/A</v>
      </c>
      <c r="S1066" s="3"/>
    </row>
    <row r="1067" spans="1:19" x14ac:dyDescent="0.25">
      <c r="A1067" t="s">
        <v>3803</v>
      </c>
      <c r="B1067" t="s">
        <v>3804</v>
      </c>
      <c r="C1067" t="s">
        <v>16179</v>
      </c>
      <c r="D1067" t="s">
        <v>47</v>
      </c>
      <c r="E1067">
        <v>4649</v>
      </c>
      <c r="F1067" s="3">
        <v>40702</v>
      </c>
      <c r="H1067" t="s">
        <v>15523</v>
      </c>
      <c r="I1067" t="s">
        <v>16180</v>
      </c>
      <c r="K1067" t="e">
        <v>#N/A</v>
      </c>
      <c r="S1067" s="3"/>
    </row>
    <row r="1068" spans="1:19" x14ac:dyDescent="0.25">
      <c r="A1068" t="s">
        <v>3805</v>
      </c>
      <c r="B1068" t="s">
        <v>3806</v>
      </c>
      <c r="C1068" t="s">
        <v>3807</v>
      </c>
      <c r="D1068" t="s">
        <v>23</v>
      </c>
      <c r="E1068">
        <v>3415</v>
      </c>
      <c r="F1068" s="3">
        <v>40702</v>
      </c>
      <c r="H1068" t="s">
        <v>15523</v>
      </c>
      <c r="I1068" t="s">
        <v>16453</v>
      </c>
      <c r="K1068" t="e">
        <v>#N/A</v>
      </c>
      <c r="S1068" s="3"/>
    </row>
    <row r="1069" spans="1:19" x14ac:dyDescent="0.25">
      <c r="A1069" t="s">
        <v>664</v>
      </c>
      <c r="B1069" t="s">
        <v>665</v>
      </c>
      <c r="C1069" t="s">
        <v>16179</v>
      </c>
      <c r="D1069" t="s">
        <v>666</v>
      </c>
      <c r="E1069">
        <v>1804</v>
      </c>
      <c r="F1069" s="3">
        <v>42357</v>
      </c>
      <c r="H1069" t="s">
        <v>15523</v>
      </c>
      <c r="I1069" t="s">
        <v>16180</v>
      </c>
      <c r="K1069">
        <v>175</v>
      </c>
      <c r="S1069" s="3"/>
    </row>
    <row r="1070" spans="1:19" x14ac:dyDescent="0.25">
      <c r="A1070" t="s">
        <v>3808</v>
      </c>
      <c r="B1070" t="s">
        <v>3809</v>
      </c>
      <c r="C1070" s="3">
        <v>2593534</v>
      </c>
      <c r="D1070" t="s">
        <v>23</v>
      </c>
      <c r="E1070">
        <v>3491</v>
      </c>
      <c r="F1070" s="3">
        <v>40704</v>
      </c>
      <c r="H1070" t="s">
        <v>15523</v>
      </c>
      <c r="I1070" t="s">
        <v>16454</v>
      </c>
      <c r="K1070" t="e">
        <v>#N/A</v>
      </c>
      <c r="P1070" s="3"/>
      <c r="S1070" s="3"/>
    </row>
    <row r="1071" spans="1:19" x14ac:dyDescent="0.25">
      <c r="A1071" t="s">
        <v>3811</v>
      </c>
      <c r="B1071" t="s">
        <v>3812</v>
      </c>
      <c r="C1071" t="s">
        <v>3813</v>
      </c>
      <c r="D1071" t="s">
        <v>23</v>
      </c>
      <c r="E1071">
        <v>3493</v>
      </c>
      <c r="F1071" s="3">
        <v>40702</v>
      </c>
      <c r="H1071" t="s">
        <v>15523</v>
      </c>
      <c r="I1071" t="s">
        <v>16455</v>
      </c>
      <c r="K1071" t="e">
        <v>#N/A</v>
      </c>
      <c r="S1071" s="3"/>
    </row>
    <row r="1072" spans="1:19" x14ac:dyDescent="0.25">
      <c r="A1072" t="s">
        <v>3814</v>
      </c>
      <c r="B1072" t="s">
        <v>632</v>
      </c>
      <c r="C1072" t="s">
        <v>3815</v>
      </c>
      <c r="D1072" t="s">
        <v>23</v>
      </c>
      <c r="E1072">
        <v>536</v>
      </c>
      <c r="F1072" s="3">
        <v>40702</v>
      </c>
      <c r="H1072" t="s">
        <v>15523</v>
      </c>
      <c r="I1072" t="s">
        <v>16456</v>
      </c>
      <c r="K1072" t="e">
        <v>#N/A</v>
      </c>
      <c r="S1072" s="3"/>
    </row>
    <row r="1073" spans="1:19" x14ac:dyDescent="0.25">
      <c r="A1073" t="s">
        <v>3816</v>
      </c>
      <c r="B1073" t="s">
        <v>3817</v>
      </c>
      <c r="C1073" t="s">
        <v>3818</v>
      </c>
      <c r="D1073" t="s">
        <v>23</v>
      </c>
      <c r="E1073">
        <v>534</v>
      </c>
      <c r="F1073" s="3">
        <v>40702</v>
      </c>
      <c r="H1073" t="s">
        <v>15523</v>
      </c>
      <c r="I1073" t="s">
        <v>16457</v>
      </c>
      <c r="K1073" t="e">
        <v>#N/A</v>
      </c>
      <c r="S1073" s="3"/>
    </row>
    <row r="1074" spans="1:19" x14ac:dyDescent="0.25">
      <c r="A1074" t="s">
        <v>3819</v>
      </c>
      <c r="B1074" t="s">
        <v>3820</v>
      </c>
      <c r="C1074" t="s">
        <v>16179</v>
      </c>
      <c r="D1074" t="s">
        <v>23</v>
      </c>
      <c r="E1074">
        <v>2595</v>
      </c>
      <c r="F1074" s="3">
        <v>40782</v>
      </c>
      <c r="H1074" t="s">
        <v>15523</v>
      </c>
      <c r="I1074" t="s">
        <v>16180</v>
      </c>
      <c r="K1074" t="e">
        <v>#N/A</v>
      </c>
      <c r="S1074" s="3"/>
    </row>
    <row r="1075" spans="1:19" x14ac:dyDescent="0.25">
      <c r="A1075" t="s">
        <v>3821</v>
      </c>
      <c r="B1075" t="s">
        <v>3822</v>
      </c>
      <c r="C1075" t="s">
        <v>3823</v>
      </c>
      <c r="D1075" t="s">
        <v>23</v>
      </c>
      <c r="E1075">
        <v>3495</v>
      </c>
      <c r="F1075" s="3">
        <v>40702</v>
      </c>
      <c r="H1075" t="s">
        <v>15523</v>
      </c>
      <c r="I1075" t="s">
        <v>16458</v>
      </c>
      <c r="K1075" t="e">
        <v>#N/A</v>
      </c>
      <c r="S1075" s="3"/>
    </row>
    <row r="1076" spans="1:19" x14ac:dyDescent="0.25">
      <c r="A1076" t="s">
        <v>3824</v>
      </c>
      <c r="B1076" t="s">
        <v>3825</v>
      </c>
      <c r="C1076" t="s">
        <v>3826</v>
      </c>
      <c r="D1076" t="s">
        <v>23</v>
      </c>
      <c r="E1076">
        <v>3496</v>
      </c>
      <c r="F1076" s="3">
        <v>43798</v>
      </c>
      <c r="H1076" t="s">
        <v>15523</v>
      </c>
      <c r="I1076" t="s">
        <v>16459</v>
      </c>
      <c r="K1076" t="e">
        <v>#N/A</v>
      </c>
      <c r="S1076" s="3"/>
    </row>
    <row r="1077" spans="1:19" x14ac:dyDescent="0.25">
      <c r="A1077" t="s">
        <v>3827</v>
      </c>
      <c r="B1077" t="s">
        <v>3828</v>
      </c>
      <c r="C1077" t="s">
        <v>16179</v>
      </c>
      <c r="D1077" t="s">
        <v>23</v>
      </c>
      <c r="E1077">
        <v>537</v>
      </c>
      <c r="F1077" s="3">
        <v>40703</v>
      </c>
      <c r="H1077" t="s">
        <v>15523</v>
      </c>
      <c r="I1077" t="s">
        <v>16180</v>
      </c>
      <c r="K1077" t="e">
        <v>#N/A</v>
      </c>
      <c r="S1077" s="3"/>
    </row>
    <row r="1078" spans="1:19" x14ac:dyDescent="0.25">
      <c r="A1078" t="s">
        <v>27</v>
      </c>
      <c r="B1078" t="s">
        <v>30</v>
      </c>
      <c r="C1078" t="s">
        <v>31</v>
      </c>
      <c r="D1078" t="s">
        <v>23</v>
      </c>
      <c r="E1078">
        <v>1803</v>
      </c>
      <c r="F1078" s="3">
        <v>40702</v>
      </c>
      <c r="H1078" t="s">
        <v>15523</v>
      </c>
      <c r="I1078" t="s">
        <v>16460</v>
      </c>
      <c r="K1078">
        <v>8</v>
      </c>
      <c r="S1078" s="3"/>
    </row>
    <row r="1079" spans="1:19" x14ac:dyDescent="0.25">
      <c r="A1079" t="s">
        <v>32</v>
      </c>
      <c r="B1079" t="s">
        <v>35</v>
      </c>
      <c r="C1079" t="s">
        <v>36</v>
      </c>
      <c r="D1079" t="s">
        <v>23</v>
      </c>
      <c r="E1079">
        <v>464</v>
      </c>
      <c r="F1079" s="3">
        <v>40702</v>
      </c>
      <c r="H1079" t="s">
        <v>15523</v>
      </c>
      <c r="I1079" t="s">
        <v>16461</v>
      </c>
      <c r="K1079">
        <v>9</v>
      </c>
      <c r="S1079" s="3"/>
    </row>
    <row r="1080" spans="1:19" x14ac:dyDescent="0.25">
      <c r="A1080" t="s">
        <v>3829</v>
      </c>
      <c r="B1080" t="s">
        <v>3830</v>
      </c>
      <c r="C1080" t="s">
        <v>16179</v>
      </c>
      <c r="D1080" t="s">
        <v>47</v>
      </c>
      <c r="E1080">
        <v>2720</v>
      </c>
      <c r="F1080" s="3">
        <v>40702</v>
      </c>
      <c r="H1080" t="s">
        <v>15523</v>
      </c>
      <c r="I1080" t="s">
        <v>16180</v>
      </c>
      <c r="K1080" t="e">
        <v>#N/A</v>
      </c>
      <c r="S1080" s="3"/>
    </row>
    <row r="1081" spans="1:19" x14ac:dyDescent="0.25">
      <c r="A1081" t="s">
        <v>3831</v>
      </c>
      <c r="B1081" t="s">
        <v>3832</v>
      </c>
      <c r="C1081" t="s">
        <v>16179</v>
      </c>
      <c r="D1081" t="s">
        <v>666</v>
      </c>
      <c r="E1081">
        <v>3314</v>
      </c>
      <c r="F1081" s="3">
        <v>40702</v>
      </c>
      <c r="H1081" t="s">
        <v>15523</v>
      </c>
      <c r="I1081" t="s">
        <v>16180</v>
      </c>
      <c r="K1081" t="e">
        <v>#N/A</v>
      </c>
      <c r="S1081" s="3"/>
    </row>
    <row r="1082" spans="1:19" x14ac:dyDescent="0.25">
      <c r="A1082" t="s">
        <v>3833</v>
      </c>
      <c r="B1082" t="s">
        <v>3834</v>
      </c>
      <c r="C1082" t="s">
        <v>3835</v>
      </c>
      <c r="D1082" t="s">
        <v>23</v>
      </c>
      <c r="E1082">
        <v>967</v>
      </c>
      <c r="F1082" s="3">
        <v>40702</v>
      </c>
      <c r="H1082" t="s">
        <v>15523</v>
      </c>
      <c r="I1082" t="s">
        <v>16462</v>
      </c>
      <c r="K1082" t="e">
        <v>#N/A</v>
      </c>
      <c r="S1082" s="3"/>
    </row>
    <row r="1083" spans="1:19" x14ac:dyDescent="0.25">
      <c r="A1083" t="s">
        <v>3836</v>
      </c>
      <c r="B1083" t="s">
        <v>3837</v>
      </c>
      <c r="C1083" t="s">
        <v>3838</v>
      </c>
      <c r="D1083" t="s">
        <v>23</v>
      </c>
      <c r="E1083">
        <v>5067</v>
      </c>
      <c r="F1083" s="3">
        <v>41741</v>
      </c>
      <c r="H1083" t="s">
        <v>15523</v>
      </c>
      <c r="I1083" t="s">
        <v>16463</v>
      </c>
      <c r="K1083" t="e">
        <v>#N/A</v>
      </c>
      <c r="S1083" s="3"/>
    </row>
    <row r="1084" spans="1:19" x14ac:dyDescent="0.25">
      <c r="A1084" t="s">
        <v>3839</v>
      </c>
      <c r="B1084" t="s">
        <v>3840</v>
      </c>
      <c r="C1084" t="s">
        <v>16179</v>
      </c>
      <c r="D1084" t="s">
        <v>666</v>
      </c>
      <c r="E1084">
        <v>5165</v>
      </c>
      <c r="F1084" s="3">
        <v>41972</v>
      </c>
      <c r="H1084" t="s">
        <v>15523</v>
      </c>
      <c r="I1084" t="s">
        <v>16180</v>
      </c>
      <c r="K1084" t="e">
        <v>#N/A</v>
      </c>
      <c r="S1084" s="3"/>
    </row>
    <row r="1085" spans="1:19" x14ac:dyDescent="0.25">
      <c r="A1085" t="s">
        <v>3841</v>
      </c>
      <c r="B1085" t="s">
        <v>3842</v>
      </c>
      <c r="C1085" t="s">
        <v>16179</v>
      </c>
      <c r="D1085" t="s">
        <v>666</v>
      </c>
      <c r="E1085">
        <v>3315</v>
      </c>
      <c r="F1085" s="3">
        <v>41089</v>
      </c>
      <c r="H1085" t="s">
        <v>15523</v>
      </c>
      <c r="I1085" t="s">
        <v>16180</v>
      </c>
      <c r="K1085" t="e">
        <v>#N/A</v>
      </c>
      <c r="S1085" s="3"/>
    </row>
    <row r="1086" spans="1:19" x14ac:dyDescent="0.25">
      <c r="A1086" t="s">
        <v>3843</v>
      </c>
      <c r="B1086" t="s">
        <v>3844</v>
      </c>
      <c r="C1086" t="s">
        <v>16179</v>
      </c>
      <c r="D1086" t="s">
        <v>666</v>
      </c>
      <c r="E1086">
        <v>3322</v>
      </c>
      <c r="F1086" s="3">
        <v>41100</v>
      </c>
      <c r="H1086" t="s">
        <v>15523</v>
      </c>
      <c r="I1086" t="s">
        <v>16180</v>
      </c>
      <c r="K1086" t="e">
        <v>#N/A</v>
      </c>
      <c r="S1086" s="3"/>
    </row>
    <row r="1087" spans="1:19" x14ac:dyDescent="0.25">
      <c r="A1087" t="s">
        <v>3845</v>
      </c>
      <c r="B1087" t="s">
        <v>3846</v>
      </c>
      <c r="C1087" t="s">
        <v>16179</v>
      </c>
      <c r="D1087" t="s">
        <v>666</v>
      </c>
      <c r="E1087">
        <v>3327</v>
      </c>
      <c r="F1087" s="3">
        <v>40705</v>
      </c>
      <c r="H1087" t="s">
        <v>15523</v>
      </c>
      <c r="I1087" t="s">
        <v>16180</v>
      </c>
      <c r="K1087" t="e">
        <v>#N/A</v>
      </c>
      <c r="S1087" s="3"/>
    </row>
    <row r="1088" spans="1:19" x14ac:dyDescent="0.25">
      <c r="A1088" t="s">
        <v>126</v>
      </c>
      <c r="B1088" t="s">
        <v>127</v>
      </c>
      <c r="C1088" t="s">
        <v>16179</v>
      </c>
      <c r="D1088" t="s">
        <v>23</v>
      </c>
      <c r="E1088">
        <v>548</v>
      </c>
      <c r="F1088" s="3">
        <v>40781</v>
      </c>
      <c r="H1088" t="s">
        <v>15523</v>
      </c>
      <c r="I1088" t="s">
        <v>16180</v>
      </c>
      <c r="K1088" t="e">
        <v>#N/A</v>
      </c>
      <c r="S1088" s="3"/>
    </row>
    <row r="1089" spans="1:19" x14ac:dyDescent="0.25">
      <c r="A1089" t="s">
        <v>3847</v>
      </c>
      <c r="B1089" t="s">
        <v>3848</v>
      </c>
      <c r="C1089" t="s">
        <v>16179</v>
      </c>
      <c r="D1089" t="s">
        <v>47</v>
      </c>
      <c r="E1089">
        <v>4650</v>
      </c>
      <c r="F1089" s="3">
        <v>40702</v>
      </c>
      <c r="H1089" t="s">
        <v>15523</v>
      </c>
      <c r="I1089" t="s">
        <v>16180</v>
      </c>
      <c r="K1089" t="e">
        <v>#N/A</v>
      </c>
      <c r="S1089" s="3"/>
    </row>
    <row r="1090" spans="1:19" x14ac:dyDescent="0.25">
      <c r="A1090" t="s">
        <v>3849</v>
      </c>
      <c r="B1090" t="s">
        <v>3850</v>
      </c>
      <c r="C1090" t="s">
        <v>16179</v>
      </c>
      <c r="D1090" t="s">
        <v>47</v>
      </c>
      <c r="E1090">
        <v>4661</v>
      </c>
      <c r="F1090" s="3">
        <v>40702</v>
      </c>
      <c r="H1090" t="s">
        <v>15523</v>
      </c>
      <c r="I1090" t="s">
        <v>16180</v>
      </c>
      <c r="K1090" t="e">
        <v>#N/A</v>
      </c>
      <c r="S1090" s="3"/>
    </row>
    <row r="1091" spans="1:19" x14ac:dyDescent="0.25">
      <c r="A1091" t="s">
        <v>3851</v>
      </c>
      <c r="B1091" t="s">
        <v>3852</v>
      </c>
      <c r="C1091" t="s">
        <v>16179</v>
      </c>
      <c r="D1091" t="s">
        <v>47</v>
      </c>
      <c r="E1091">
        <v>4660</v>
      </c>
      <c r="F1091" s="3">
        <v>42378</v>
      </c>
      <c r="H1091" t="s">
        <v>15523</v>
      </c>
      <c r="I1091" t="s">
        <v>16180</v>
      </c>
      <c r="K1091" t="e">
        <v>#N/A</v>
      </c>
      <c r="S1091" s="3"/>
    </row>
    <row r="1092" spans="1:19" x14ac:dyDescent="0.25">
      <c r="A1092" t="s">
        <v>3853</v>
      </c>
      <c r="B1092" t="s">
        <v>3854</v>
      </c>
      <c r="C1092" t="s">
        <v>16179</v>
      </c>
      <c r="D1092" t="s">
        <v>47</v>
      </c>
      <c r="E1092">
        <v>4652</v>
      </c>
      <c r="F1092" s="3">
        <v>42378</v>
      </c>
      <c r="H1092" t="s">
        <v>15523</v>
      </c>
      <c r="I1092" t="s">
        <v>16180</v>
      </c>
      <c r="K1092" t="e">
        <v>#N/A</v>
      </c>
      <c r="S1092" s="3"/>
    </row>
    <row r="1093" spans="1:19" x14ac:dyDescent="0.25">
      <c r="A1093" t="s">
        <v>262</v>
      </c>
      <c r="B1093" t="s">
        <v>264</v>
      </c>
      <c r="C1093" t="s">
        <v>265</v>
      </c>
      <c r="D1093" t="s">
        <v>23</v>
      </c>
      <c r="E1093">
        <v>447</v>
      </c>
      <c r="F1093" s="3">
        <v>40702</v>
      </c>
      <c r="H1093" t="s">
        <v>15523</v>
      </c>
      <c r="I1093" t="s">
        <v>16464</v>
      </c>
      <c r="K1093">
        <v>72</v>
      </c>
      <c r="S1093" s="3"/>
    </row>
    <row r="1094" spans="1:19" x14ac:dyDescent="0.25">
      <c r="A1094" t="s">
        <v>3855</v>
      </c>
      <c r="B1094" t="s">
        <v>3856</v>
      </c>
      <c r="C1094" t="s">
        <v>3857</v>
      </c>
      <c r="D1094" t="s">
        <v>23</v>
      </c>
      <c r="E1094">
        <v>3371</v>
      </c>
      <c r="F1094" s="3">
        <v>40702</v>
      </c>
      <c r="H1094" t="s">
        <v>15523</v>
      </c>
      <c r="I1094" t="s">
        <v>16465</v>
      </c>
      <c r="K1094" t="e">
        <v>#N/A</v>
      </c>
      <c r="S1094" s="3"/>
    </row>
    <row r="1095" spans="1:19" x14ac:dyDescent="0.25">
      <c r="A1095" t="s">
        <v>3858</v>
      </c>
      <c r="B1095" t="s">
        <v>3859</v>
      </c>
      <c r="C1095" t="s">
        <v>3860</v>
      </c>
      <c r="D1095" t="s">
        <v>23</v>
      </c>
      <c r="E1095">
        <v>1796</v>
      </c>
      <c r="F1095" s="3">
        <v>40702</v>
      </c>
      <c r="H1095" t="s">
        <v>15523</v>
      </c>
      <c r="I1095" t="s">
        <v>16466</v>
      </c>
      <c r="K1095" t="e">
        <v>#N/A</v>
      </c>
      <c r="S1095" s="3"/>
    </row>
    <row r="1096" spans="1:19" x14ac:dyDescent="0.25">
      <c r="A1096" t="s">
        <v>3861</v>
      </c>
      <c r="B1096" t="s">
        <v>3862</v>
      </c>
      <c r="C1096" t="s">
        <v>3863</v>
      </c>
      <c r="D1096" t="s">
        <v>23</v>
      </c>
      <c r="E1096">
        <v>3373</v>
      </c>
      <c r="F1096" s="3">
        <v>40702</v>
      </c>
      <c r="H1096" t="s">
        <v>15523</v>
      </c>
      <c r="I1096" t="s">
        <v>16467</v>
      </c>
      <c r="K1096" t="e">
        <v>#N/A</v>
      </c>
      <c r="S1096" s="3"/>
    </row>
    <row r="1097" spans="1:19" x14ac:dyDescent="0.25">
      <c r="A1097" t="s">
        <v>3864</v>
      </c>
      <c r="B1097" t="s">
        <v>3865</v>
      </c>
      <c r="C1097" t="s">
        <v>3866</v>
      </c>
      <c r="D1097" t="s">
        <v>23</v>
      </c>
      <c r="E1097">
        <v>3377</v>
      </c>
      <c r="F1097" s="3">
        <v>40702</v>
      </c>
      <c r="H1097" t="s">
        <v>15523</v>
      </c>
      <c r="I1097" t="s">
        <v>16468</v>
      </c>
      <c r="K1097" t="e">
        <v>#N/A</v>
      </c>
      <c r="S1097" s="3"/>
    </row>
    <row r="1098" spans="1:19" x14ac:dyDescent="0.25">
      <c r="A1098" t="s">
        <v>3867</v>
      </c>
      <c r="B1098" t="s">
        <v>3868</v>
      </c>
      <c r="C1098" t="s">
        <v>3869</v>
      </c>
      <c r="D1098" t="s">
        <v>23</v>
      </c>
      <c r="E1098">
        <v>6072</v>
      </c>
      <c r="F1098" s="3">
        <v>43854</v>
      </c>
      <c r="H1098" t="s">
        <v>15523</v>
      </c>
      <c r="I1098" t="s">
        <v>16469</v>
      </c>
      <c r="K1098" t="e">
        <v>#N/A</v>
      </c>
      <c r="S1098" s="3"/>
    </row>
    <row r="1099" spans="1:19" x14ac:dyDescent="0.25">
      <c r="A1099" t="s">
        <v>3870</v>
      </c>
      <c r="B1099" t="s">
        <v>3871</v>
      </c>
      <c r="C1099" t="s">
        <v>3872</v>
      </c>
      <c r="D1099" t="s">
        <v>23</v>
      </c>
      <c r="E1099">
        <v>3389</v>
      </c>
      <c r="F1099" s="3">
        <v>40702</v>
      </c>
      <c r="H1099" t="s">
        <v>15523</v>
      </c>
      <c r="I1099" t="s">
        <v>16470</v>
      </c>
      <c r="K1099" t="e">
        <v>#N/A</v>
      </c>
      <c r="S1099" s="3"/>
    </row>
    <row r="1100" spans="1:19" x14ac:dyDescent="0.25">
      <c r="A1100" t="s">
        <v>3873</v>
      </c>
      <c r="B1100" t="s">
        <v>3874</v>
      </c>
      <c r="C1100" t="s">
        <v>3875</v>
      </c>
      <c r="D1100" t="s">
        <v>23</v>
      </c>
      <c r="E1100">
        <v>3372</v>
      </c>
      <c r="F1100" s="3">
        <v>40702</v>
      </c>
      <c r="H1100" t="s">
        <v>15523</v>
      </c>
      <c r="I1100" t="s">
        <v>16471</v>
      </c>
      <c r="K1100" t="e">
        <v>#N/A</v>
      </c>
      <c r="S1100" s="3"/>
    </row>
    <row r="1101" spans="1:19" x14ac:dyDescent="0.25">
      <c r="A1101" t="s">
        <v>118</v>
      </c>
      <c r="B1101" t="s">
        <v>119</v>
      </c>
      <c r="C1101" t="s">
        <v>16179</v>
      </c>
      <c r="D1101" t="s">
        <v>23</v>
      </c>
      <c r="E1101">
        <v>1572</v>
      </c>
      <c r="F1101" s="3">
        <v>40781</v>
      </c>
      <c r="H1101" t="s">
        <v>15523</v>
      </c>
      <c r="I1101" t="s">
        <v>16180</v>
      </c>
      <c r="K1101">
        <v>27</v>
      </c>
      <c r="S1101" s="3"/>
    </row>
    <row r="1102" spans="1:19" x14ac:dyDescent="0.25">
      <c r="A1102" t="s">
        <v>374</v>
      </c>
      <c r="B1102" t="s">
        <v>376</v>
      </c>
      <c r="C1102" t="s">
        <v>377</v>
      </c>
      <c r="D1102" t="s">
        <v>23</v>
      </c>
      <c r="E1102">
        <v>441</v>
      </c>
      <c r="F1102" s="3">
        <v>40702</v>
      </c>
      <c r="H1102" t="s">
        <v>15523</v>
      </c>
      <c r="I1102" t="s">
        <v>16472</v>
      </c>
      <c r="K1102">
        <v>100</v>
      </c>
      <c r="S1102" s="3"/>
    </row>
    <row r="1103" spans="1:19" x14ac:dyDescent="0.25">
      <c r="A1103" t="s">
        <v>3876</v>
      </c>
      <c r="B1103" t="s">
        <v>3877</v>
      </c>
      <c r="C1103" t="s">
        <v>3878</v>
      </c>
      <c r="D1103" t="s">
        <v>23</v>
      </c>
      <c r="E1103">
        <v>3390</v>
      </c>
      <c r="F1103" s="3">
        <v>40702</v>
      </c>
      <c r="H1103" t="s">
        <v>15523</v>
      </c>
      <c r="I1103" t="s">
        <v>16473</v>
      </c>
      <c r="K1103" t="e">
        <v>#N/A</v>
      </c>
      <c r="S1103" s="3"/>
    </row>
    <row r="1104" spans="1:19" x14ac:dyDescent="0.25">
      <c r="A1104" t="s">
        <v>414</v>
      </c>
      <c r="B1104" t="s">
        <v>416</v>
      </c>
      <c r="C1104" t="s">
        <v>417</v>
      </c>
      <c r="D1104" t="s">
        <v>23</v>
      </c>
      <c r="E1104">
        <v>467</v>
      </c>
      <c r="F1104" s="3">
        <v>40702</v>
      </c>
      <c r="H1104" t="s">
        <v>15523</v>
      </c>
      <c r="I1104" t="s">
        <v>16474</v>
      </c>
      <c r="K1104">
        <v>110</v>
      </c>
      <c r="S1104" s="3"/>
    </row>
    <row r="1105" spans="1:19" x14ac:dyDescent="0.25">
      <c r="A1105" t="s">
        <v>3879</v>
      </c>
      <c r="B1105" t="s">
        <v>3880</v>
      </c>
      <c r="C1105" t="s">
        <v>3881</v>
      </c>
      <c r="D1105" t="s">
        <v>23</v>
      </c>
      <c r="E1105">
        <v>3392</v>
      </c>
      <c r="F1105" s="3">
        <v>40702</v>
      </c>
      <c r="H1105" t="s">
        <v>15523</v>
      </c>
      <c r="I1105" t="s">
        <v>16475</v>
      </c>
      <c r="K1105" t="e">
        <v>#N/A</v>
      </c>
      <c r="S1105" s="3"/>
    </row>
    <row r="1106" spans="1:19" x14ac:dyDescent="0.25">
      <c r="A1106" t="s">
        <v>3882</v>
      </c>
      <c r="B1106" t="s">
        <v>3883</v>
      </c>
      <c r="C1106" t="s">
        <v>3884</v>
      </c>
      <c r="D1106" t="s">
        <v>23</v>
      </c>
      <c r="E1106">
        <v>3393</v>
      </c>
      <c r="F1106" s="3">
        <v>40702</v>
      </c>
      <c r="H1106" t="s">
        <v>15523</v>
      </c>
      <c r="I1106" t="s">
        <v>16476</v>
      </c>
      <c r="K1106" t="e">
        <v>#N/A</v>
      </c>
      <c r="S1106" s="3"/>
    </row>
    <row r="1107" spans="1:19" x14ac:dyDescent="0.25">
      <c r="A1107" t="s">
        <v>3885</v>
      </c>
      <c r="B1107" t="s">
        <v>3886</v>
      </c>
      <c r="C1107" t="s">
        <v>3887</v>
      </c>
      <c r="D1107" t="s">
        <v>23</v>
      </c>
      <c r="E1107">
        <v>3394</v>
      </c>
      <c r="F1107" s="3">
        <v>40702</v>
      </c>
      <c r="H1107" t="s">
        <v>15523</v>
      </c>
      <c r="I1107" t="s">
        <v>16477</v>
      </c>
      <c r="K1107" t="e">
        <v>#N/A</v>
      </c>
      <c r="S1107" s="3"/>
    </row>
    <row r="1108" spans="1:19" x14ac:dyDescent="0.25">
      <c r="A1108" t="s">
        <v>3888</v>
      </c>
      <c r="B1108" t="s">
        <v>3889</v>
      </c>
      <c r="C1108" t="s">
        <v>3890</v>
      </c>
      <c r="D1108" t="s">
        <v>23</v>
      </c>
      <c r="E1108">
        <v>6073</v>
      </c>
      <c r="F1108" s="3">
        <v>43854</v>
      </c>
      <c r="H1108" t="s">
        <v>15523</v>
      </c>
      <c r="I1108" t="s">
        <v>16478</v>
      </c>
      <c r="K1108" t="e">
        <v>#N/A</v>
      </c>
      <c r="S1108" s="3"/>
    </row>
    <row r="1109" spans="1:19" x14ac:dyDescent="0.25">
      <c r="A1109" t="s">
        <v>574</v>
      </c>
      <c r="B1109" t="s">
        <v>576</v>
      </c>
      <c r="C1109" t="s">
        <v>577</v>
      </c>
      <c r="D1109" t="s">
        <v>23</v>
      </c>
      <c r="E1109">
        <v>3403</v>
      </c>
      <c r="F1109" s="3">
        <v>40915</v>
      </c>
      <c r="H1109" t="s">
        <v>15523</v>
      </c>
      <c r="I1109" t="s">
        <v>16479</v>
      </c>
      <c r="K1109">
        <v>150</v>
      </c>
      <c r="S1109" s="3"/>
    </row>
    <row r="1110" spans="1:19" x14ac:dyDescent="0.25">
      <c r="A1110" t="s">
        <v>3891</v>
      </c>
      <c r="B1110" t="s">
        <v>3892</v>
      </c>
      <c r="C1110" t="s">
        <v>3893</v>
      </c>
      <c r="D1110" t="s">
        <v>23</v>
      </c>
      <c r="E1110">
        <v>3404</v>
      </c>
      <c r="F1110" s="3">
        <v>40702</v>
      </c>
      <c r="H1110" t="s">
        <v>15523</v>
      </c>
      <c r="I1110" t="s">
        <v>16480</v>
      </c>
      <c r="K1110" t="e">
        <v>#N/A</v>
      </c>
      <c r="S1110" s="3"/>
    </row>
    <row r="1111" spans="1:19" x14ac:dyDescent="0.25">
      <c r="A1111" t="s">
        <v>3894</v>
      </c>
      <c r="B1111" t="s">
        <v>3895</v>
      </c>
      <c r="C1111" t="s">
        <v>3896</v>
      </c>
      <c r="D1111" t="s">
        <v>23</v>
      </c>
      <c r="E1111">
        <v>3405</v>
      </c>
      <c r="F1111" s="3">
        <v>40702</v>
      </c>
      <c r="H1111" t="s">
        <v>15523</v>
      </c>
      <c r="I1111" t="s">
        <v>16481</v>
      </c>
      <c r="K1111" t="e">
        <v>#N/A</v>
      </c>
      <c r="S1111" s="3"/>
    </row>
    <row r="1112" spans="1:19" x14ac:dyDescent="0.25">
      <c r="A1112" t="s">
        <v>3897</v>
      </c>
      <c r="B1112" t="s">
        <v>3898</v>
      </c>
      <c r="C1112" t="s">
        <v>3899</v>
      </c>
      <c r="D1112" t="s">
        <v>23</v>
      </c>
      <c r="E1112">
        <v>518</v>
      </c>
      <c r="F1112" s="3">
        <v>40702</v>
      </c>
      <c r="H1112" t="s">
        <v>15523</v>
      </c>
      <c r="I1112" t="s">
        <v>16482</v>
      </c>
      <c r="K1112" t="e">
        <v>#N/A</v>
      </c>
      <c r="S1112" s="3"/>
    </row>
    <row r="1113" spans="1:19" x14ac:dyDescent="0.25">
      <c r="A1113" t="s">
        <v>250</v>
      </c>
      <c r="B1113" t="s">
        <v>252</v>
      </c>
      <c r="C1113" t="s">
        <v>253</v>
      </c>
      <c r="D1113" t="s">
        <v>23</v>
      </c>
      <c r="E1113">
        <v>508</v>
      </c>
      <c r="F1113" s="3">
        <v>40702</v>
      </c>
      <c r="H1113" t="s">
        <v>15523</v>
      </c>
      <c r="I1113" t="s">
        <v>16483</v>
      </c>
      <c r="K1113">
        <v>69</v>
      </c>
      <c r="S1113" s="3"/>
    </row>
    <row r="1114" spans="1:19" x14ac:dyDescent="0.25">
      <c r="A1114" t="s">
        <v>3900</v>
      </c>
      <c r="B1114" t="s">
        <v>3901</v>
      </c>
      <c r="C1114" t="s">
        <v>16179</v>
      </c>
      <c r="D1114" t="s">
        <v>47</v>
      </c>
      <c r="E1114">
        <v>4648</v>
      </c>
      <c r="F1114" s="3">
        <v>40702</v>
      </c>
      <c r="H1114" t="s">
        <v>15523</v>
      </c>
      <c r="I1114" t="s">
        <v>16180</v>
      </c>
      <c r="K1114" t="e">
        <v>#N/A</v>
      </c>
      <c r="S1114" s="3"/>
    </row>
    <row r="1115" spans="1:19" x14ac:dyDescent="0.25">
      <c r="A1115" t="s">
        <v>3902</v>
      </c>
      <c r="B1115" t="s">
        <v>3903</v>
      </c>
      <c r="C1115" t="s">
        <v>3904</v>
      </c>
      <c r="D1115" t="s">
        <v>23</v>
      </c>
      <c r="E1115">
        <v>3444</v>
      </c>
      <c r="F1115" s="3">
        <v>40787</v>
      </c>
      <c r="H1115" t="s">
        <v>15523</v>
      </c>
      <c r="I1115" t="s">
        <v>16484</v>
      </c>
      <c r="K1115" t="e">
        <v>#N/A</v>
      </c>
      <c r="S1115" s="3"/>
    </row>
    <row r="1116" spans="1:19" x14ac:dyDescent="0.25">
      <c r="A1116" t="s">
        <v>3905</v>
      </c>
      <c r="B1116" t="s">
        <v>3906</v>
      </c>
      <c r="C1116" t="s">
        <v>3907</v>
      </c>
      <c r="D1116" t="s">
        <v>23</v>
      </c>
      <c r="E1116">
        <v>3446</v>
      </c>
      <c r="F1116" s="3">
        <v>40702</v>
      </c>
      <c r="H1116" t="s">
        <v>15523</v>
      </c>
      <c r="I1116" t="s">
        <v>16485</v>
      </c>
      <c r="K1116" t="e">
        <v>#N/A</v>
      </c>
      <c r="S1116" s="3"/>
    </row>
    <row r="1117" spans="1:19" x14ac:dyDescent="0.25">
      <c r="A1117" t="s">
        <v>3908</v>
      </c>
      <c r="B1117" t="s">
        <v>3909</v>
      </c>
      <c r="C1117" t="s">
        <v>3910</v>
      </c>
      <c r="D1117" t="s">
        <v>23</v>
      </c>
      <c r="E1117">
        <v>1246</v>
      </c>
      <c r="F1117" s="3">
        <v>40702</v>
      </c>
      <c r="H1117" t="s">
        <v>15523</v>
      </c>
      <c r="I1117" t="s">
        <v>16486</v>
      </c>
      <c r="K1117" t="e">
        <v>#N/A</v>
      </c>
      <c r="S1117" s="3"/>
    </row>
    <row r="1118" spans="1:19" x14ac:dyDescent="0.25">
      <c r="A1118" t="s">
        <v>3911</v>
      </c>
      <c r="B1118" t="s">
        <v>3912</v>
      </c>
      <c r="C1118" t="s">
        <v>3913</v>
      </c>
      <c r="D1118" t="s">
        <v>23</v>
      </c>
      <c r="E1118">
        <v>489</v>
      </c>
      <c r="F1118" s="3">
        <v>40702</v>
      </c>
      <c r="H1118" t="s">
        <v>15523</v>
      </c>
      <c r="I1118" t="s">
        <v>16487</v>
      </c>
      <c r="K1118" t="e">
        <v>#N/A</v>
      </c>
      <c r="S1118" s="3"/>
    </row>
    <row r="1119" spans="1:19" x14ac:dyDescent="0.25">
      <c r="A1119" t="s">
        <v>3914</v>
      </c>
      <c r="B1119" t="s">
        <v>3915</v>
      </c>
      <c r="C1119" t="s">
        <v>3916</v>
      </c>
      <c r="D1119" t="s">
        <v>23</v>
      </c>
      <c r="E1119">
        <v>1247</v>
      </c>
      <c r="F1119" s="3">
        <v>40702</v>
      </c>
      <c r="H1119" t="s">
        <v>15523</v>
      </c>
      <c r="I1119" t="s">
        <v>16488</v>
      </c>
      <c r="K1119" t="e">
        <v>#N/A</v>
      </c>
      <c r="S1119" s="3"/>
    </row>
    <row r="1120" spans="1:19" x14ac:dyDescent="0.25">
      <c r="A1120" t="s">
        <v>789</v>
      </c>
      <c r="B1120" t="s">
        <v>790</v>
      </c>
      <c r="C1120" t="s">
        <v>791</v>
      </c>
      <c r="D1120" t="s">
        <v>23</v>
      </c>
      <c r="E1120">
        <v>1654</v>
      </c>
      <c r="F1120" s="3">
        <v>40702</v>
      </c>
      <c r="H1120" t="s">
        <v>15523</v>
      </c>
      <c r="I1120" t="s">
        <v>16489</v>
      </c>
      <c r="K1120">
        <v>223</v>
      </c>
      <c r="S1120" s="3"/>
    </row>
    <row r="1121" spans="1:19" x14ac:dyDescent="0.25">
      <c r="A1121" t="s">
        <v>3917</v>
      </c>
      <c r="B1121" t="s">
        <v>3918</v>
      </c>
      <c r="C1121" s="3">
        <v>1437871</v>
      </c>
      <c r="D1121" t="s">
        <v>23</v>
      </c>
      <c r="E1121">
        <v>3449</v>
      </c>
      <c r="F1121" s="3">
        <v>40704</v>
      </c>
      <c r="H1121" t="s">
        <v>15523</v>
      </c>
      <c r="I1121" t="s">
        <v>16490</v>
      </c>
      <c r="K1121" t="e">
        <v>#N/A</v>
      </c>
      <c r="P1121" s="3"/>
      <c r="S1121" s="3"/>
    </row>
    <row r="1122" spans="1:19" x14ac:dyDescent="0.25">
      <c r="A1122" t="s">
        <v>3920</v>
      </c>
      <c r="B1122" t="s">
        <v>3921</v>
      </c>
      <c r="C1122" t="s">
        <v>3922</v>
      </c>
      <c r="D1122" t="s">
        <v>23</v>
      </c>
      <c r="E1122">
        <v>3451</v>
      </c>
      <c r="F1122" s="3">
        <v>40702</v>
      </c>
      <c r="H1122" t="s">
        <v>15523</v>
      </c>
      <c r="I1122" t="s">
        <v>16491</v>
      </c>
      <c r="K1122" t="e">
        <v>#N/A</v>
      </c>
      <c r="S1122" s="3"/>
    </row>
    <row r="1123" spans="1:19" x14ac:dyDescent="0.25">
      <c r="A1123" t="s">
        <v>3923</v>
      </c>
      <c r="B1123" t="s">
        <v>3924</v>
      </c>
      <c r="C1123" t="s">
        <v>3925</v>
      </c>
      <c r="D1123" t="s">
        <v>23</v>
      </c>
      <c r="E1123">
        <v>3453</v>
      </c>
      <c r="F1123" s="3">
        <v>40702</v>
      </c>
      <c r="H1123" t="s">
        <v>15523</v>
      </c>
      <c r="I1123" t="s">
        <v>16492</v>
      </c>
      <c r="K1123" t="e">
        <v>#N/A</v>
      </c>
      <c r="S1123" s="3"/>
    </row>
    <row r="1124" spans="1:19" x14ac:dyDescent="0.25">
      <c r="A1124" t="s">
        <v>3926</v>
      </c>
      <c r="B1124" t="s">
        <v>3927</v>
      </c>
      <c r="C1124" t="s">
        <v>3928</v>
      </c>
      <c r="D1124" t="s">
        <v>23</v>
      </c>
      <c r="E1124">
        <v>3457</v>
      </c>
      <c r="F1124" s="3">
        <v>40702</v>
      </c>
      <c r="H1124" t="s">
        <v>15523</v>
      </c>
      <c r="I1124" t="s">
        <v>16493</v>
      </c>
      <c r="K1124" t="e">
        <v>#N/A</v>
      </c>
      <c r="S1124" s="3"/>
    </row>
    <row r="1125" spans="1:19" x14ac:dyDescent="0.25">
      <c r="A1125" t="s">
        <v>3929</v>
      </c>
      <c r="B1125" t="s">
        <v>3930</v>
      </c>
      <c r="C1125" t="s">
        <v>3931</v>
      </c>
      <c r="D1125" t="s">
        <v>23</v>
      </c>
      <c r="E1125">
        <v>1245</v>
      </c>
      <c r="F1125" s="3">
        <v>40702</v>
      </c>
      <c r="H1125" t="s">
        <v>15523</v>
      </c>
      <c r="I1125" t="s">
        <v>16494</v>
      </c>
      <c r="K1125" t="e">
        <v>#N/A</v>
      </c>
      <c r="S1125" s="3"/>
    </row>
    <row r="1126" spans="1:19" x14ac:dyDescent="0.25">
      <c r="A1126" t="s">
        <v>3932</v>
      </c>
      <c r="B1126" t="s">
        <v>3933</v>
      </c>
      <c r="C1126" t="s">
        <v>3934</v>
      </c>
      <c r="D1126" t="s">
        <v>23</v>
      </c>
      <c r="E1126">
        <v>3465</v>
      </c>
      <c r="F1126" s="3">
        <v>40702</v>
      </c>
      <c r="H1126" t="s">
        <v>15523</v>
      </c>
      <c r="I1126" t="s">
        <v>16495</v>
      </c>
      <c r="K1126" t="e">
        <v>#N/A</v>
      </c>
      <c r="S1126" s="3"/>
    </row>
    <row r="1127" spans="1:19" x14ac:dyDescent="0.25">
      <c r="A1127" t="s">
        <v>3935</v>
      </c>
      <c r="B1127" t="s">
        <v>3936</v>
      </c>
      <c r="C1127" t="s">
        <v>3937</v>
      </c>
      <c r="D1127" t="s">
        <v>23</v>
      </c>
      <c r="E1127">
        <v>6074</v>
      </c>
      <c r="F1127" s="3">
        <v>43854</v>
      </c>
      <c r="H1127" t="s">
        <v>15523</v>
      </c>
      <c r="I1127" t="s">
        <v>16496</v>
      </c>
      <c r="K1127" t="e">
        <v>#N/A</v>
      </c>
      <c r="S1127" s="3"/>
    </row>
    <row r="1128" spans="1:19" x14ac:dyDescent="0.25">
      <c r="A1128" t="s">
        <v>3938</v>
      </c>
      <c r="B1128" t="s">
        <v>3939</v>
      </c>
      <c r="C1128" t="s">
        <v>3940</v>
      </c>
      <c r="D1128" t="s">
        <v>23</v>
      </c>
      <c r="E1128">
        <v>4994</v>
      </c>
      <c r="F1128" s="3">
        <v>41660</v>
      </c>
      <c r="H1128" t="s">
        <v>15523</v>
      </c>
      <c r="I1128" t="s">
        <v>16497</v>
      </c>
      <c r="K1128" t="e">
        <v>#N/A</v>
      </c>
      <c r="S1128" s="3"/>
    </row>
    <row r="1129" spans="1:19" x14ac:dyDescent="0.25">
      <c r="A1129" t="s">
        <v>3941</v>
      </c>
      <c r="B1129" t="s">
        <v>3942</v>
      </c>
      <c r="C1129" t="s">
        <v>3943</v>
      </c>
      <c r="D1129" t="s">
        <v>23</v>
      </c>
      <c r="E1129">
        <v>2452</v>
      </c>
      <c r="F1129" s="3">
        <v>40702</v>
      </c>
      <c r="H1129" t="s">
        <v>15523</v>
      </c>
      <c r="I1129" t="s">
        <v>16498</v>
      </c>
      <c r="K1129" t="e">
        <v>#N/A</v>
      </c>
      <c r="S1129" s="3"/>
    </row>
    <row r="1130" spans="1:19" x14ac:dyDescent="0.25">
      <c r="A1130" t="s">
        <v>3944</v>
      </c>
      <c r="B1130" t="s">
        <v>3945</v>
      </c>
      <c r="C1130" t="s">
        <v>3946</v>
      </c>
      <c r="D1130" t="s">
        <v>23</v>
      </c>
      <c r="E1130">
        <v>5119</v>
      </c>
      <c r="F1130" s="3">
        <v>41788</v>
      </c>
      <c r="H1130" t="s">
        <v>15523</v>
      </c>
      <c r="I1130" t="s">
        <v>16499</v>
      </c>
      <c r="K1130" t="e">
        <v>#N/A</v>
      </c>
      <c r="S1130" s="3"/>
    </row>
    <row r="1131" spans="1:19" x14ac:dyDescent="0.25">
      <c r="A1131" t="s">
        <v>3947</v>
      </c>
      <c r="B1131" t="s">
        <v>3948</v>
      </c>
      <c r="C1131" t="s">
        <v>3949</v>
      </c>
      <c r="D1131" t="s">
        <v>23</v>
      </c>
      <c r="E1131">
        <v>3481</v>
      </c>
      <c r="F1131" s="3">
        <v>40702</v>
      </c>
      <c r="H1131" t="s">
        <v>15523</v>
      </c>
      <c r="I1131" t="s">
        <v>16500</v>
      </c>
      <c r="K1131" t="e">
        <v>#N/A</v>
      </c>
      <c r="S1131" s="3"/>
    </row>
    <row r="1132" spans="1:19" x14ac:dyDescent="0.25">
      <c r="A1132" t="s">
        <v>3950</v>
      </c>
      <c r="B1132" t="s">
        <v>3951</v>
      </c>
      <c r="C1132" t="s">
        <v>3952</v>
      </c>
      <c r="D1132" t="s">
        <v>23</v>
      </c>
      <c r="E1132">
        <v>5214</v>
      </c>
      <c r="F1132" s="3">
        <v>42035</v>
      </c>
      <c r="H1132" t="s">
        <v>15523</v>
      </c>
      <c r="I1132" t="s">
        <v>16501</v>
      </c>
      <c r="K1132" t="e">
        <v>#N/A</v>
      </c>
      <c r="S1132" s="3"/>
    </row>
    <row r="1133" spans="1:19" x14ac:dyDescent="0.25">
      <c r="A1133" t="s">
        <v>3953</v>
      </c>
      <c r="B1133" t="s">
        <v>3954</v>
      </c>
      <c r="C1133" t="s">
        <v>3955</v>
      </c>
      <c r="D1133" t="s">
        <v>23</v>
      </c>
      <c r="E1133">
        <v>3484</v>
      </c>
      <c r="F1133" s="3">
        <v>40702</v>
      </c>
      <c r="H1133" t="s">
        <v>15523</v>
      </c>
      <c r="I1133" t="s">
        <v>16502</v>
      </c>
      <c r="K1133" t="e">
        <v>#N/A</v>
      </c>
      <c r="S1133" s="3"/>
    </row>
    <row r="1134" spans="1:19" x14ac:dyDescent="0.25">
      <c r="A1134" t="s">
        <v>3956</v>
      </c>
      <c r="B1134" t="s">
        <v>3957</v>
      </c>
      <c r="C1134" t="s">
        <v>3958</v>
      </c>
      <c r="D1134" t="s">
        <v>23</v>
      </c>
      <c r="E1134">
        <v>5203</v>
      </c>
      <c r="F1134" s="3">
        <v>42035</v>
      </c>
      <c r="H1134" t="s">
        <v>15523</v>
      </c>
      <c r="I1134" t="s">
        <v>16503</v>
      </c>
      <c r="K1134" t="e">
        <v>#N/A</v>
      </c>
      <c r="S1134" s="3"/>
    </row>
    <row r="1135" spans="1:19" x14ac:dyDescent="0.25">
      <c r="A1135" t="s">
        <v>3959</v>
      </c>
      <c r="B1135" t="s">
        <v>3960</v>
      </c>
      <c r="C1135" t="s">
        <v>3961</v>
      </c>
      <c r="D1135" t="s">
        <v>23</v>
      </c>
      <c r="E1135">
        <v>3445</v>
      </c>
      <c r="F1135" s="3">
        <v>40702</v>
      </c>
      <c r="H1135" t="s">
        <v>15523</v>
      </c>
      <c r="I1135" t="s">
        <v>16504</v>
      </c>
      <c r="K1135" t="e">
        <v>#N/A</v>
      </c>
      <c r="S1135" s="3"/>
    </row>
    <row r="1136" spans="1:19" x14ac:dyDescent="0.25">
      <c r="A1136" t="s">
        <v>3962</v>
      </c>
      <c r="B1136" t="s">
        <v>3963</v>
      </c>
      <c r="C1136" t="s">
        <v>3964</v>
      </c>
      <c r="D1136" t="s">
        <v>23</v>
      </c>
      <c r="E1136">
        <v>2497</v>
      </c>
      <c r="F1136" s="3">
        <v>40702</v>
      </c>
      <c r="H1136" t="s">
        <v>15523</v>
      </c>
      <c r="I1136" t="s">
        <v>16505</v>
      </c>
      <c r="K1136" t="e">
        <v>#N/A</v>
      </c>
      <c r="S1136" s="3"/>
    </row>
    <row r="1137" spans="1:19" x14ac:dyDescent="0.25">
      <c r="A1137" t="s">
        <v>3965</v>
      </c>
      <c r="B1137" t="s">
        <v>3966</v>
      </c>
      <c r="C1137" t="s">
        <v>3967</v>
      </c>
      <c r="D1137" t="s">
        <v>23</v>
      </c>
      <c r="E1137">
        <v>3447</v>
      </c>
      <c r="F1137" s="3">
        <v>40702</v>
      </c>
      <c r="H1137" t="s">
        <v>15523</v>
      </c>
      <c r="I1137" t="s">
        <v>16506</v>
      </c>
      <c r="K1137" t="e">
        <v>#N/A</v>
      </c>
      <c r="S1137" s="3"/>
    </row>
    <row r="1138" spans="1:19" x14ac:dyDescent="0.25">
      <c r="A1138" t="s">
        <v>3968</v>
      </c>
      <c r="B1138" t="s">
        <v>3969</v>
      </c>
      <c r="C1138" t="s">
        <v>3970</v>
      </c>
      <c r="D1138" t="s">
        <v>23</v>
      </c>
      <c r="E1138">
        <v>479</v>
      </c>
      <c r="F1138" s="3">
        <v>40702</v>
      </c>
      <c r="H1138" t="s">
        <v>15523</v>
      </c>
      <c r="I1138" t="s">
        <v>16507</v>
      </c>
      <c r="K1138" t="e">
        <v>#N/A</v>
      </c>
      <c r="S1138" s="3"/>
    </row>
    <row r="1139" spans="1:19" x14ac:dyDescent="0.25">
      <c r="A1139" t="s">
        <v>3971</v>
      </c>
      <c r="B1139" t="s">
        <v>3972</v>
      </c>
      <c r="C1139" t="s">
        <v>3973</v>
      </c>
      <c r="D1139" t="s">
        <v>23</v>
      </c>
      <c r="E1139">
        <v>478</v>
      </c>
      <c r="F1139" s="3">
        <v>40702</v>
      </c>
      <c r="H1139" t="s">
        <v>15523</v>
      </c>
      <c r="I1139" t="s">
        <v>16508</v>
      </c>
      <c r="K1139" t="e">
        <v>#N/A</v>
      </c>
      <c r="S1139" s="3"/>
    </row>
    <row r="1140" spans="1:19" x14ac:dyDescent="0.25">
      <c r="A1140" t="s">
        <v>3974</v>
      </c>
      <c r="B1140" t="s">
        <v>3975</v>
      </c>
      <c r="C1140" t="s">
        <v>3976</v>
      </c>
      <c r="D1140" t="s">
        <v>23</v>
      </c>
      <c r="E1140">
        <v>506</v>
      </c>
      <c r="F1140" s="3">
        <v>40702</v>
      </c>
      <c r="H1140" t="s">
        <v>15523</v>
      </c>
      <c r="I1140" t="s">
        <v>16509</v>
      </c>
      <c r="K1140" t="e">
        <v>#N/A</v>
      </c>
      <c r="S1140" s="3"/>
    </row>
    <row r="1141" spans="1:19" x14ac:dyDescent="0.25">
      <c r="A1141" t="s">
        <v>3977</v>
      </c>
      <c r="B1141" t="s">
        <v>3978</v>
      </c>
      <c r="C1141" t="s">
        <v>3979</v>
      </c>
      <c r="D1141" t="s">
        <v>23</v>
      </c>
      <c r="E1141">
        <v>3450</v>
      </c>
      <c r="F1141" s="3">
        <v>40702</v>
      </c>
      <c r="H1141" t="s">
        <v>15523</v>
      </c>
      <c r="I1141" t="s">
        <v>16510</v>
      </c>
      <c r="K1141" t="e">
        <v>#N/A</v>
      </c>
      <c r="S1141" s="3"/>
    </row>
    <row r="1142" spans="1:19" x14ac:dyDescent="0.25">
      <c r="A1142" t="s">
        <v>3980</v>
      </c>
      <c r="B1142" t="s">
        <v>3981</v>
      </c>
      <c r="C1142" t="s">
        <v>3982</v>
      </c>
      <c r="D1142" t="s">
        <v>23</v>
      </c>
      <c r="E1142">
        <v>2220</v>
      </c>
      <c r="F1142" s="3">
        <v>40702</v>
      </c>
      <c r="H1142" t="s">
        <v>15523</v>
      </c>
      <c r="I1142" t="s">
        <v>16511</v>
      </c>
      <c r="K1142" t="e">
        <v>#N/A</v>
      </c>
      <c r="S1142" s="3"/>
    </row>
    <row r="1143" spans="1:19" x14ac:dyDescent="0.25">
      <c r="A1143" t="s">
        <v>3983</v>
      </c>
      <c r="B1143" t="s">
        <v>3984</v>
      </c>
      <c r="C1143" t="s">
        <v>3985</v>
      </c>
      <c r="D1143" t="s">
        <v>23</v>
      </c>
      <c r="E1143">
        <v>3458</v>
      </c>
      <c r="F1143" s="3">
        <v>40702</v>
      </c>
      <c r="H1143" t="s">
        <v>15523</v>
      </c>
      <c r="I1143" t="s">
        <v>16512</v>
      </c>
      <c r="K1143" t="e">
        <v>#N/A</v>
      </c>
      <c r="S1143" s="3"/>
    </row>
    <row r="1144" spans="1:19" x14ac:dyDescent="0.25">
      <c r="A1144" t="s">
        <v>3986</v>
      </c>
      <c r="B1144" t="s">
        <v>3987</v>
      </c>
      <c r="C1144" t="s">
        <v>3988</v>
      </c>
      <c r="D1144" t="s">
        <v>23</v>
      </c>
      <c r="E1144">
        <v>3459</v>
      </c>
      <c r="F1144" s="3">
        <v>40702</v>
      </c>
      <c r="H1144" t="s">
        <v>15523</v>
      </c>
      <c r="I1144" t="s">
        <v>16513</v>
      </c>
      <c r="K1144" t="e">
        <v>#N/A</v>
      </c>
      <c r="S1144" s="3"/>
    </row>
    <row r="1145" spans="1:19" x14ac:dyDescent="0.25">
      <c r="A1145" t="s">
        <v>3989</v>
      </c>
      <c r="B1145" t="s">
        <v>3990</v>
      </c>
      <c r="C1145" t="s">
        <v>3991</v>
      </c>
      <c r="D1145" t="s">
        <v>23</v>
      </c>
      <c r="E1145">
        <v>223</v>
      </c>
      <c r="F1145" s="3">
        <v>40702</v>
      </c>
      <c r="H1145" t="s">
        <v>15523</v>
      </c>
      <c r="I1145" t="s">
        <v>16514</v>
      </c>
      <c r="K1145" t="e">
        <v>#N/A</v>
      </c>
      <c r="S1145" s="3"/>
    </row>
    <row r="1146" spans="1:19" x14ac:dyDescent="0.25">
      <c r="A1146" t="s">
        <v>3992</v>
      </c>
      <c r="B1146" t="s">
        <v>3993</v>
      </c>
      <c r="C1146" t="s">
        <v>3994</v>
      </c>
      <c r="D1146" t="s">
        <v>23</v>
      </c>
      <c r="E1146">
        <v>484</v>
      </c>
      <c r="F1146" s="3">
        <v>40702</v>
      </c>
      <c r="H1146" t="s">
        <v>15523</v>
      </c>
      <c r="I1146" t="s">
        <v>16515</v>
      </c>
      <c r="K1146" t="e">
        <v>#N/A</v>
      </c>
      <c r="S1146" s="3"/>
    </row>
    <row r="1147" spans="1:19" x14ac:dyDescent="0.25">
      <c r="A1147" t="s">
        <v>3995</v>
      </c>
      <c r="B1147" t="s">
        <v>3996</v>
      </c>
      <c r="C1147" t="s">
        <v>3997</v>
      </c>
      <c r="D1147" t="s">
        <v>23</v>
      </c>
      <c r="E1147">
        <v>487</v>
      </c>
      <c r="F1147" s="3">
        <v>40703</v>
      </c>
      <c r="H1147" t="s">
        <v>15523</v>
      </c>
      <c r="I1147" t="s">
        <v>16516</v>
      </c>
      <c r="K1147" t="e">
        <v>#N/A</v>
      </c>
      <c r="S1147" s="3"/>
    </row>
    <row r="1148" spans="1:19" x14ac:dyDescent="0.25">
      <c r="A1148" t="s">
        <v>3998</v>
      </c>
      <c r="B1148" t="s">
        <v>3999</v>
      </c>
      <c r="C1148" t="s">
        <v>4000</v>
      </c>
      <c r="D1148" t="s">
        <v>23</v>
      </c>
      <c r="E1148">
        <v>507</v>
      </c>
      <c r="F1148" s="3">
        <v>40702</v>
      </c>
      <c r="H1148" t="s">
        <v>15523</v>
      </c>
      <c r="I1148" t="s">
        <v>16517</v>
      </c>
      <c r="K1148" t="e">
        <v>#N/A</v>
      </c>
      <c r="S1148" s="3"/>
    </row>
    <row r="1149" spans="1:19" x14ac:dyDescent="0.25">
      <c r="A1149" t="s">
        <v>4001</v>
      </c>
      <c r="B1149" t="s">
        <v>4002</v>
      </c>
      <c r="C1149" t="s">
        <v>4003</v>
      </c>
      <c r="D1149" t="s">
        <v>23</v>
      </c>
      <c r="E1149">
        <v>488</v>
      </c>
      <c r="F1149" s="3">
        <v>40702</v>
      </c>
      <c r="H1149" t="s">
        <v>15523</v>
      </c>
      <c r="I1149" t="s">
        <v>16518</v>
      </c>
      <c r="K1149" t="e">
        <v>#N/A</v>
      </c>
      <c r="S1149" s="3"/>
    </row>
    <row r="1150" spans="1:19" x14ac:dyDescent="0.25">
      <c r="A1150" t="s">
        <v>4004</v>
      </c>
      <c r="B1150" t="s">
        <v>4005</v>
      </c>
      <c r="C1150" t="s">
        <v>4006</v>
      </c>
      <c r="D1150" t="s">
        <v>23</v>
      </c>
      <c r="E1150">
        <v>5243</v>
      </c>
      <c r="F1150" s="3">
        <v>42040</v>
      </c>
      <c r="H1150" t="s">
        <v>15523</v>
      </c>
      <c r="I1150" t="s">
        <v>16519</v>
      </c>
      <c r="K1150" t="e">
        <v>#N/A</v>
      </c>
      <c r="S1150" s="3"/>
    </row>
    <row r="1151" spans="1:19" x14ac:dyDescent="0.25">
      <c r="A1151" t="s">
        <v>4007</v>
      </c>
      <c r="B1151" t="s">
        <v>4008</v>
      </c>
      <c r="C1151" t="s">
        <v>4009</v>
      </c>
      <c r="D1151" t="s">
        <v>23</v>
      </c>
      <c r="E1151">
        <v>1718</v>
      </c>
      <c r="F1151" s="3">
        <v>41111</v>
      </c>
      <c r="H1151" t="s">
        <v>15523</v>
      </c>
      <c r="I1151" t="s">
        <v>16520</v>
      </c>
      <c r="K1151" t="e">
        <v>#N/A</v>
      </c>
      <c r="S1151" s="3"/>
    </row>
    <row r="1152" spans="1:19" x14ac:dyDescent="0.25">
      <c r="A1152" t="s">
        <v>4010</v>
      </c>
      <c r="B1152" t="s">
        <v>4011</v>
      </c>
      <c r="C1152" t="s">
        <v>4012</v>
      </c>
      <c r="D1152" t="s">
        <v>23</v>
      </c>
      <c r="E1152">
        <v>3475</v>
      </c>
      <c r="F1152" s="3">
        <v>40702</v>
      </c>
      <c r="H1152" t="s">
        <v>15523</v>
      </c>
      <c r="I1152" t="s">
        <v>16521</v>
      </c>
      <c r="K1152" t="e">
        <v>#N/A</v>
      </c>
      <c r="S1152" s="3"/>
    </row>
    <row r="1153" spans="1:19" x14ac:dyDescent="0.25">
      <c r="A1153" t="s">
        <v>4013</v>
      </c>
      <c r="B1153" t="s">
        <v>4014</v>
      </c>
      <c r="C1153" t="s">
        <v>4015</v>
      </c>
      <c r="D1153" t="s">
        <v>23</v>
      </c>
      <c r="E1153">
        <v>492</v>
      </c>
      <c r="F1153" s="3">
        <v>40702</v>
      </c>
      <c r="H1153" t="s">
        <v>15523</v>
      </c>
      <c r="I1153" t="s">
        <v>16522</v>
      </c>
      <c r="K1153" t="e">
        <v>#N/A</v>
      </c>
      <c r="S1153" s="3"/>
    </row>
    <row r="1154" spans="1:19" x14ac:dyDescent="0.25">
      <c r="A1154" t="s">
        <v>4016</v>
      </c>
      <c r="B1154" t="s">
        <v>4017</v>
      </c>
      <c r="C1154" t="s">
        <v>4018</v>
      </c>
      <c r="D1154" t="s">
        <v>23</v>
      </c>
      <c r="E1154">
        <v>3477</v>
      </c>
      <c r="F1154" s="3">
        <v>41230</v>
      </c>
      <c r="H1154" t="s">
        <v>15523</v>
      </c>
      <c r="I1154" t="s">
        <v>16523</v>
      </c>
      <c r="K1154" t="e">
        <v>#N/A</v>
      </c>
      <c r="S1154" s="3"/>
    </row>
    <row r="1155" spans="1:19" x14ac:dyDescent="0.25">
      <c r="A1155" t="s">
        <v>4019</v>
      </c>
      <c r="B1155" t="s">
        <v>4020</v>
      </c>
      <c r="C1155" t="s">
        <v>4021</v>
      </c>
      <c r="D1155" t="s">
        <v>23</v>
      </c>
      <c r="E1155">
        <v>3478</v>
      </c>
      <c r="F1155" s="3">
        <v>40702</v>
      </c>
      <c r="H1155" t="s">
        <v>15523</v>
      </c>
      <c r="I1155" t="s">
        <v>16524</v>
      </c>
      <c r="K1155" t="e">
        <v>#N/A</v>
      </c>
      <c r="S1155" s="3"/>
    </row>
    <row r="1156" spans="1:19" x14ac:dyDescent="0.25">
      <c r="A1156" t="s">
        <v>4022</v>
      </c>
      <c r="B1156" t="s">
        <v>4023</v>
      </c>
      <c r="C1156" t="s">
        <v>4024</v>
      </c>
      <c r="D1156" t="s">
        <v>23</v>
      </c>
      <c r="E1156">
        <v>3479</v>
      </c>
      <c r="F1156" s="3">
        <v>41230</v>
      </c>
      <c r="H1156" t="s">
        <v>15523</v>
      </c>
      <c r="I1156" t="s">
        <v>16525</v>
      </c>
      <c r="K1156" t="e">
        <v>#N/A</v>
      </c>
      <c r="S1156" s="3"/>
    </row>
    <row r="1157" spans="1:19" x14ac:dyDescent="0.25">
      <c r="A1157" t="s">
        <v>4025</v>
      </c>
      <c r="B1157" t="s">
        <v>4026</v>
      </c>
      <c r="C1157" t="s">
        <v>4027</v>
      </c>
      <c r="D1157" t="s">
        <v>23</v>
      </c>
      <c r="E1157">
        <v>5209</v>
      </c>
      <c r="F1157" s="3">
        <v>42035</v>
      </c>
      <c r="H1157" t="s">
        <v>15523</v>
      </c>
      <c r="I1157" t="s">
        <v>16526</v>
      </c>
      <c r="K1157" t="e">
        <v>#N/A</v>
      </c>
      <c r="S1157" s="3"/>
    </row>
    <row r="1158" spans="1:19" x14ac:dyDescent="0.25">
      <c r="A1158" t="s">
        <v>4028</v>
      </c>
      <c r="B1158" t="s">
        <v>4029</v>
      </c>
      <c r="C1158" t="s">
        <v>4030</v>
      </c>
      <c r="D1158" t="s">
        <v>23</v>
      </c>
      <c r="E1158">
        <v>3480</v>
      </c>
      <c r="F1158" s="3">
        <v>40702</v>
      </c>
      <c r="H1158" t="s">
        <v>15523</v>
      </c>
      <c r="I1158" t="s">
        <v>16527</v>
      </c>
      <c r="K1158" t="e">
        <v>#N/A</v>
      </c>
      <c r="S1158" s="3"/>
    </row>
    <row r="1159" spans="1:19" x14ac:dyDescent="0.25">
      <c r="A1159" t="s">
        <v>4031</v>
      </c>
      <c r="B1159" t="s">
        <v>4032</v>
      </c>
      <c r="C1159" t="s">
        <v>4033</v>
      </c>
      <c r="D1159" t="s">
        <v>23</v>
      </c>
      <c r="E1159">
        <v>498</v>
      </c>
      <c r="F1159" s="3">
        <v>40702</v>
      </c>
      <c r="H1159" t="s">
        <v>15523</v>
      </c>
      <c r="I1159" t="s">
        <v>16528</v>
      </c>
      <c r="K1159" t="e">
        <v>#N/A</v>
      </c>
      <c r="S1159" s="3"/>
    </row>
    <row r="1160" spans="1:19" x14ac:dyDescent="0.25">
      <c r="A1160" t="s">
        <v>4034</v>
      </c>
      <c r="B1160" t="s">
        <v>4035</v>
      </c>
      <c r="C1160" t="s">
        <v>4036</v>
      </c>
      <c r="D1160" t="s">
        <v>23</v>
      </c>
      <c r="E1160">
        <v>497</v>
      </c>
      <c r="F1160" s="3">
        <v>40702</v>
      </c>
      <c r="H1160" t="s">
        <v>15523</v>
      </c>
      <c r="I1160" t="s">
        <v>16529</v>
      </c>
      <c r="K1160" t="e">
        <v>#N/A</v>
      </c>
      <c r="S1160" s="3"/>
    </row>
    <row r="1161" spans="1:19" x14ac:dyDescent="0.25">
      <c r="A1161" t="s">
        <v>4037</v>
      </c>
      <c r="B1161" t="s">
        <v>4038</v>
      </c>
      <c r="C1161" t="s">
        <v>4039</v>
      </c>
      <c r="D1161" t="s">
        <v>23</v>
      </c>
      <c r="E1161">
        <v>503</v>
      </c>
      <c r="F1161" s="3">
        <v>40702</v>
      </c>
      <c r="H1161" t="s">
        <v>15523</v>
      </c>
      <c r="I1161" t="s">
        <v>16530</v>
      </c>
      <c r="K1161" t="e">
        <v>#N/A</v>
      </c>
      <c r="S1161" s="3"/>
    </row>
    <row r="1162" spans="1:19" x14ac:dyDescent="0.25">
      <c r="A1162" t="s">
        <v>4040</v>
      </c>
      <c r="B1162" t="s">
        <v>4041</v>
      </c>
      <c r="C1162" t="s">
        <v>4042</v>
      </c>
      <c r="D1162" t="s">
        <v>23</v>
      </c>
      <c r="E1162">
        <v>5281</v>
      </c>
      <c r="F1162" s="3">
        <v>42082</v>
      </c>
      <c r="H1162" t="s">
        <v>15523</v>
      </c>
      <c r="I1162" t="s">
        <v>16531</v>
      </c>
      <c r="K1162" t="e">
        <v>#N/A</v>
      </c>
      <c r="S1162" s="3"/>
    </row>
    <row r="1163" spans="1:19" x14ac:dyDescent="0.25">
      <c r="A1163" t="s">
        <v>4043</v>
      </c>
      <c r="B1163" t="s">
        <v>4044</v>
      </c>
      <c r="C1163" t="s">
        <v>4045</v>
      </c>
      <c r="D1163" t="s">
        <v>23</v>
      </c>
      <c r="E1163">
        <v>5282</v>
      </c>
      <c r="F1163" s="3">
        <v>42082</v>
      </c>
      <c r="H1163" t="s">
        <v>15523</v>
      </c>
      <c r="I1163" t="s">
        <v>16532</v>
      </c>
      <c r="K1163" t="e">
        <v>#N/A</v>
      </c>
      <c r="S1163" s="3"/>
    </row>
    <row r="1164" spans="1:19" x14ac:dyDescent="0.25">
      <c r="A1164" t="s">
        <v>566</v>
      </c>
      <c r="B1164" t="s">
        <v>568</v>
      </c>
      <c r="C1164" t="s">
        <v>569</v>
      </c>
      <c r="D1164" t="s">
        <v>23</v>
      </c>
      <c r="E1164">
        <v>3487</v>
      </c>
      <c r="F1164" s="3">
        <v>40915</v>
      </c>
      <c r="H1164" t="s">
        <v>15523</v>
      </c>
      <c r="I1164" t="s">
        <v>16533</v>
      </c>
      <c r="K1164">
        <v>148</v>
      </c>
      <c r="S1164" s="3"/>
    </row>
    <row r="1165" spans="1:19" x14ac:dyDescent="0.25">
      <c r="A1165" t="s">
        <v>4046</v>
      </c>
      <c r="B1165" t="s">
        <v>4047</v>
      </c>
      <c r="C1165" t="s">
        <v>4048</v>
      </c>
      <c r="D1165" t="s">
        <v>23</v>
      </c>
      <c r="E1165">
        <v>3488</v>
      </c>
      <c r="F1165" s="3">
        <v>40702</v>
      </c>
      <c r="H1165" t="s">
        <v>15523</v>
      </c>
      <c r="I1165" t="s">
        <v>16534</v>
      </c>
      <c r="K1165" t="e">
        <v>#N/A</v>
      </c>
      <c r="S1165" s="3"/>
    </row>
    <row r="1166" spans="1:19" x14ac:dyDescent="0.25">
      <c r="A1166" t="s">
        <v>4049</v>
      </c>
      <c r="B1166" t="s">
        <v>4050</v>
      </c>
      <c r="C1166" t="s">
        <v>4051</v>
      </c>
      <c r="D1166" t="s">
        <v>23</v>
      </c>
      <c r="E1166">
        <v>3489</v>
      </c>
      <c r="F1166" s="3">
        <v>40702</v>
      </c>
      <c r="H1166" t="s">
        <v>15523</v>
      </c>
      <c r="I1166" t="s">
        <v>16535</v>
      </c>
      <c r="K1166" t="e">
        <v>#N/A</v>
      </c>
      <c r="S1166" s="3"/>
    </row>
    <row r="1167" spans="1:19" x14ac:dyDescent="0.25">
      <c r="A1167" t="s">
        <v>4052</v>
      </c>
      <c r="B1167" t="s">
        <v>4053</v>
      </c>
      <c r="C1167" t="s">
        <v>4054</v>
      </c>
      <c r="D1167" t="s">
        <v>23</v>
      </c>
      <c r="E1167">
        <v>3490</v>
      </c>
      <c r="F1167" s="3">
        <v>40702</v>
      </c>
      <c r="H1167" t="s">
        <v>15523</v>
      </c>
      <c r="I1167" t="s">
        <v>16536</v>
      </c>
      <c r="K1167" t="e">
        <v>#N/A</v>
      </c>
      <c r="S1167" s="3"/>
    </row>
    <row r="1168" spans="1:19" x14ac:dyDescent="0.25">
      <c r="A1168" t="s">
        <v>630</v>
      </c>
      <c r="B1168" t="s">
        <v>633</v>
      </c>
      <c r="C1168" t="s">
        <v>634</v>
      </c>
      <c r="D1168" t="s">
        <v>23</v>
      </c>
      <c r="E1168">
        <v>4940</v>
      </c>
      <c r="F1168" s="3">
        <v>41660</v>
      </c>
      <c r="H1168" t="s">
        <v>15523</v>
      </c>
      <c r="I1168" t="s">
        <v>16537</v>
      </c>
      <c r="K1168">
        <v>164</v>
      </c>
      <c r="S1168" s="3"/>
    </row>
    <row r="1169" spans="1:19" x14ac:dyDescent="0.25">
      <c r="A1169" t="s">
        <v>290</v>
      </c>
      <c r="B1169" t="s">
        <v>292</v>
      </c>
      <c r="C1169" t="s">
        <v>293</v>
      </c>
      <c r="D1169" t="s">
        <v>23</v>
      </c>
      <c r="E1169">
        <v>527</v>
      </c>
      <c r="F1169" s="3">
        <v>40702</v>
      </c>
      <c r="H1169" t="s">
        <v>15523</v>
      </c>
      <c r="I1169" t="s">
        <v>16538</v>
      </c>
      <c r="K1169">
        <v>79</v>
      </c>
      <c r="S1169" s="3"/>
    </row>
    <row r="1170" spans="1:19" x14ac:dyDescent="0.25">
      <c r="A1170" t="s">
        <v>4055</v>
      </c>
      <c r="B1170" t="s">
        <v>4056</v>
      </c>
      <c r="C1170" t="s">
        <v>4057</v>
      </c>
      <c r="D1170" t="s">
        <v>23</v>
      </c>
      <c r="E1170">
        <v>3497</v>
      </c>
      <c r="F1170" s="3">
        <v>41317</v>
      </c>
      <c r="H1170" t="s">
        <v>15523</v>
      </c>
      <c r="I1170" t="s">
        <v>16539</v>
      </c>
      <c r="K1170" t="e">
        <v>#N/A</v>
      </c>
      <c r="S1170" s="3"/>
    </row>
    <row r="1171" spans="1:19" x14ac:dyDescent="0.25">
      <c r="A1171" t="s">
        <v>4058</v>
      </c>
      <c r="B1171" t="s">
        <v>4059</v>
      </c>
      <c r="C1171" t="s">
        <v>4060</v>
      </c>
      <c r="D1171" t="s">
        <v>23</v>
      </c>
      <c r="E1171">
        <v>3498</v>
      </c>
      <c r="F1171" s="3">
        <v>41317</v>
      </c>
      <c r="H1171" t="s">
        <v>15523</v>
      </c>
      <c r="I1171" t="s">
        <v>16540</v>
      </c>
      <c r="K1171" t="e">
        <v>#N/A</v>
      </c>
      <c r="S1171" s="3"/>
    </row>
    <row r="1172" spans="1:19" x14ac:dyDescent="0.25">
      <c r="A1172" t="s">
        <v>4061</v>
      </c>
      <c r="B1172" t="s">
        <v>4062</v>
      </c>
      <c r="C1172" t="s">
        <v>4063</v>
      </c>
      <c r="D1172" t="s">
        <v>23</v>
      </c>
      <c r="E1172">
        <v>3499</v>
      </c>
      <c r="F1172" s="3">
        <v>40702</v>
      </c>
      <c r="H1172" t="s">
        <v>15523</v>
      </c>
      <c r="I1172" t="s">
        <v>16541</v>
      </c>
      <c r="K1172" t="e">
        <v>#N/A</v>
      </c>
      <c r="S1172" s="3"/>
    </row>
    <row r="1173" spans="1:19" x14ac:dyDescent="0.25">
      <c r="A1173" t="s">
        <v>4064</v>
      </c>
      <c r="B1173" t="s">
        <v>4065</v>
      </c>
      <c r="C1173" t="s">
        <v>4066</v>
      </c>
      <c r="D1173" t="s">
        <v>23</v>
      </c>
      <c r="E1173">
        <v>3500</v>
      </c>
      <c r="F1173" s="3">
        <v>40702</v>
      </c>
      <c r="H1173" t="s">
        <v>15523</v>
      </c>
      <c r="I1173" t="s">
        <v>16542</v>
      </c>
      <c r="K1173" t="e">
        <v>#N/A</v>
      </c>
      <c r="S1173" s="3"/>
    </row>
    <row r="1174" spans="1:19" x14ac:dyDescent="0.25">
      <c r="A1174" t="s">
        <v>114</v>
      </c>
      <c r="B1174" t="s">
        <v>115</v>
      </c>
      <c r="C1174" t="s">
        <v>16179</v>
      </c>
      <c r="D1174" t="s">
        <v>23</v>
      </c>
      <c r="E1174">
        <v>1318</v>
      </c>
      <c r="F1174" s="3">
        <v>40781</v>
      </c>
      <c r="H1174" t="s">
        <v>15523</v>
      </c>
      <c r="I1174" t="s">
        <v>16180</v>
      </c>
      <c r="K1174">
        <v>28</v>
      </c>
      <c r="S1174" s="3"/>
    </row>
    <row r="1175" spans="1:19" x14ac:dyDescent="0.25">
      <c r="A1175" t="s">
        <v>278</v>
      </c>
      <c r="B1175" t="s">
        <v>280</v>
      </c>
      <c r="C1175" t="s">
        <v>281</v>
      </c>
      <c r="D1175" t="s">
        <v>23</v>
      </c>
      <c r="E1175">
        <v>517</v>
      </c>
      <c r="F1175" s="3">
        <v>40703</v>
      </c>
      <c r="H1175" t="s">
        <v>15523</v>
      </c>
      <c r="I1175" t="s">
        <v>16543</v>
      </c>
      <c r="K1175">
        <v>76</v>
      </c>
      <c r="S1175" s="3"/>
    </row>
    <row r="1176" spans="1:19" x14ac:dyDescent="0.25">
      <c r="A1176" t="s">
        <v>4067</v>
      </c>
      <c r="B1176" t="s">
        <v>4068</v>
      </c>
      <c r="C1176" t="s">
        <v>4069</v>
      </c>
      <c r="D1176" t="s">
        <v>23</v>
      </c>
      <c r="E1176">
        <v>3507</v>
      </c>
      <c r="F1176" s="3">
        <v>40702</v>
      </c>
      <c r="H1176" t="s">
        <v>15523</v>
      </c>
      <c r="I1176" t="s">
        <v>16544</v>
      </c>
      <c r="K1176" t="e">
        <v>#N/A</v>
      </c>
      <c r="S1176" s="3"/>
    </row>
    <row r="1177" spans="1:19" x14ac:dyDescent="0.25">
      <c r="A1177" t="s">
        <v>4070</v>
      </c>
      <c r="B1177" t="s">
        <v>4071</v>
      </c>
      <c r="C1177" t="s">
        <v>4072</v>
      </c>
      <c r="D1177" t="s">
        <v>23</v>
      </c>
      <c r="E1177">
        <v>3510</v>
      </c>
      <c r="F1177" s="3">
        <v>40702</v>
      </c>
      <c r="H1177" t="s">
        <v>15523</v>
      </c>
      <c r="I1177" t="s">
        <v>16545</v>
      </c>
      <c r="K1177" t="e">
        <v>#N/A</v>
      </c>
      <c r="S1177" s="3"/>
    </row>
    <row r="1178" spans="1:19" x14ac:dyDescent="0.25">
      <c r="A1178" t="s">
        <v>4073</v>
      </c>
      <c r="B1178" t="s">
        <v>4074</v>
      </c>
      <c r="C1178" t="s">
        <v>4075</v>
      </c>
      <c r="D1178" t="s">
        <v>23</v>
      </c>
      <c r="E1178">
        <v>516</v>
      </c>
      <c r="F1178" s="3">
        <v>40702</v>
      </c>
      <c r="H1178" t="s">
        <v>15523</v>
      </c>
      <c r="I1178" t="s">
        <v>16546</v>
      </c>
      <c r="K1178" t="e">
        <v>#N/A</v>
      </c>
      <c r="S1178" s="3"/>
    </row>
    <row r="1179" spans="1:19" x14ac:dyDescent="0.25">
      <c r="A1179" t="s">
        <v>402</v>
      </c>
      <c r="B1179" t="s">
        <v>404</v>
      </c>
      <c r="C1179" t="s">
        <v>405</v>
      </c>
      <c r="D1179" t="s">
        <v>23</v>
      </c>
      <c r="E1179">
        <v>468</v>
      </c>
      <c r="F1179" s="3">
        <v>40702</v>
      </c>
      <c r="H1179" t="s">
        <v>15523</v>
      </c>
      <c r="I1179" t="s">
        <v>16547</v>
      </c>
      <c r="K1179">
        <v>107</v>
      </c>
      <c r="S1179" s="3"/>
    </row>
    <row r="1180" spans="1:19" x14ac:dyDescent="0.25">
      <c r="A1180" t="s">
        <v>4076</v>
      </c>
      <c r="B1180" t="s">
        <v>4077</v>
      </c>
      <c r="C1180" t="s">
        <v>4078</v>
      </c>
      <c r="D1180" t="s">
        <v>23</v>
      </c>
      <c r="E1180">
        <v>3515</v>
      </c>
      <c r="F1180" s="3">
        <v>40702</v>
      </c>
      <c r="H1180" t="s">
        <v>15523</v>
      </c>
      <c r="I1180" t="s">
        <v>16548</v>
      </c>
      <c r="K1180" t="e">
        <v>#N/A</v>
      </c>
      <c r="S1180" s="3"/>
    </row>
    <row r="1181" spans="1:19" x14ac:dyDescent="0.25">
      <c r="A1181" t="s">
        <v>4079</v>
      </c>
      <c r="B1181" t="s">
        <v>4080</v>
      </c>
      <c r="C1181" t="s">
        <v>4081</v>
      </c>
      <c r="D1181" t="s">
        <v>23</v>
      </c>
      <c r="E1181">
        <v>3516</v>
      </c>
      <c r="F1181" s="3">
        <v>40702</v>
      </c>
      <c r="H1181" t="s">
        <v>15523</v>
      </c>
      <c r="I1181" t="s">
        <v>16549</v>
      </c>
      <c r="K1181" t="e">
        <v>#N/A</v>
      </c>
      <c r="S1181" s="3"/>
    </row>
    <row r="1182" spans="1:19" x14ac:dyDescent="0.25">
      <c r="A1182" t="s">
        <v>4082</v>
      </c>
      <c r="B1182" t="s">
        <v>4083</v>
      </c>
      <c r="C1182" t="s">
        <v>4084</v>
      </c>
      <c r="D1182" t="s">
        <v>23</v>
      </c>
      <c r="E1182">
        <v>3517</v>
      </c>
      <c r="F1182" s="3">
        <v>40702</v>
      </c>
      <c r="H1182" t="s">
        <v>15523</v>
      </c>
      <c r="I1182" t="s">
        <v>16550</v>
      </c>
      <c r="K1182" t="e">
        <v>#N/A</v>
      </c>
      <c r="S1182" s="3"/>
    </row>
    <row r="1183" spans="1:19" x14ac:dyDescent="0.25">
      <c r="A1183" t="s">
        <v>4085</v>
      </c>
      <c r="B1183" t="s">
        <v>4086</v>
      </c>
      <c r="C1183" t="s">
        <v>4087</v>
      </c>
      <c r="D1183" t="s">
        <v>23</v>
      </c>
      <c r="E1183">
        <v>3518</v>
      </c>
      <c r="F1183" s="3">
        <v>40702</v>
      </c>
      <c r="H1183" t="s">
        <v>15523</v>
      </c>
      <c r="I1183" t="s">
        <v>16551</v>
      </c>
      <c r="K1183" t="e">
        <v>#N/A</v>
      </c>
      <c r="S1183" s="3"/>
    </row>
    <row r="1184" spans="1:19" x14ac:dyDescent="0.25">
      <c r="A1184" t="s">
        <v>298</v>
      </c>
      <c r="B1184" t="s">
        <v>300</v>
      </c>
      <c r="C1184" t="s">
        <v>301</v>
      </c>
      <c r="D1184" t="s">
        <v>23</v>
      </c>
      <c r="E1184">
        <v>971</v>
      </c>
      <c r="F1184" s="3">
        <v>40702</v>
      </c>
      <c r="H1184" t="s">
        <v>15523</v>
      </c>
      <c r="I1184" t="s">
        <v>16552</v>
      </c>
      <c r="K1184">
        <v>81</v>
      </c>
      <c r="S1184" s="3"/>
    </row>
    <row r="1185" spans="1:19" x14ac:dyDescent="0.25">
      <c r="A1185" t="s">
        <v>4088</v>
      </c>
      <c r="B1185" t="s">
        <v>4089</v>
      </c>
      <c r="C1185" t="s">
        <v>4090</v>
      </c>
      <c r="D1185" t="s">
        <v>23</v>
      </c>
      <c r="E1185">
        <v>3522</v>
      </c>
      <c r="F1185" s="3">
        <v>40702</v>
      </c>
      <c r="H1185" t="s">
        <v>15523</v>
      </c>
      <c r="I1185" t="s">
        <v>16553</v>
      </c>
      <c r="K1185" t="e">
        <v>#N/A</v>
      </c>
      <c r="S1185" s="3"/>
    </row>
    <row r="1186" spans="1:19" x14ac:dyDescent="0.25">
      <c r="A1186" t="s">
        <v>4091</v>
      </c>
      <c r="B1186" t="s">
        <v>4092</v>
      </c>
      <c r="C1186" t="s">
        <v>4093</v>
      </c>
      <c r="D1186" t="s">
        <v>23</v>
      </c>
      <c r="E1186">
        <v>3524</v>
      </c>
      <c r="F1186" s="3">
        <v>40702</v>
      </c>
      <c r="H1186" t="s">
        <v>15523</v>
      </c>
      <c r="I1186" t="s">
        <v>16554</v>
      </c>
      <c r="K1186" t="e">
        <v>#N/A</v>
      </c>
      <c r="S1186" s="3"/>
    </row>
    <row r="1187" spans="1:19" x14ac:dyDescent="0.25">
      <c r="A1187" t="s">
        <v>4094</v>
      </c>
      <c r="B1187" t="s">
        <v>4095</v>
      </c>
      <c r="C1187" t="s">
        <v>4096</v>
      </c>
      <c r="D1187" t="s">
        <v>23</v>
      </c>
      <c r="E1187">
        <v>6066</v>
      </c>
      <c r="F1187" s="3">
        <v>43798</v>
      </c>
      <c r="H1187" t="s">
        <v>15523</v>
      </c>
      <c r="I1187" t="s">
        <v>16555</v>
      </c>
      <c r="K1187" t="e">
        <v>#N/A</v>
      </c>
      <c r="S1187" s="3"/>
    </row>
    <row r="1188" spans="1:19" x14ac:dyDescent="0.25">
      <c r="A1188" t="s">
        <v>4097</v>
      </c>
      <c r="B1188" t="s">
        <v>4098</v>
      </c>
      <c r="C1188" t="s">
        <v>16179</v>
      </c>
      <c r="D1188" t="s">
        <v>47</v>
      </c>
      <c r="E1188">
        <v>5152</v>
      </c>
      <c r="F1188" s="3">
        <v>41963</v>
      </c>
      <c r="H1188" t="s">
        <v>15523</v>
      </c>
      <c r="I1188" t="s">
        <v>16180</v>
      </c>
      <c r="K1188" t="e">
        <v>#N/A</v>
      </c>
      <c r="S1188" s="3"/>
    </row>
    <row r="1189" spans="1:19" x14ac:dyDescent="0.25">
      <c r="A1189" t="s">
        <v>4099</v>
      </c>
      <c r="B1189" t="s">
        <v>4100</v>
      </c>
      <c r="C1189" t="s">
        <v>4101</v>
      </c>
      <c r="D1189" t="s">
        <v>23</v>
      </c>
      <c r="E1189">
        <v>6024</v>
      </c>
      <c r="F1189" s="3">
        <v>43539</v>
      </c>
      <c r="H1189" t="s">
        <v>15523</v>
      </c>
      <c r="I1189" t="s">
        <v>16556</v>
      </c>
      <c r="K1189" t="e">
        <v>#N/A</v>
      </c>
      <c r="S1189" s="3"/>
    </row>
    <row r="1190" spans="1:19" x14ac:dyDescent="0.25">
      <c r="A1190" t="s">
        <v>4102</v>
      </c>
      <c r="B1190" t="s">
        <v>4103</v>
      </c>
      <c r="C1190" t="s">
        <v>4104</v>
      </c>
      <c r="D1190" t="s">
        <v>23</v>
      </c>
      <c r="E1190">
        <v>5188</v>
      </c>
      <c r="F1190" s="3">
        <v>42035</v>
      </c>
      <c r="H1190" t="s">
        <v>15523</v>
      </c>
      <c r="I1190" t="s">
        <v>16557</v>
      </c>
      <c r="K1190" t="e">
        <v>#N/A</v>
      </c>
      <c r="S1190" s="3"/>
    </row>
    <row r="1191" spans="1:19" x14ac:dyDescent="0.25">
      <c r="A1191" t="s">
        <v>4105</v>
      </c>
      <c r="B1191" t="s">
        <v>4106</v>
      </c>
      <c r="C1191" t="s">
        <v>4107</v>
      </c>
      <c r="D1191" t="s">
        <v>23</v>
      </c>
      <c r="E1191">
        <v>593</v>
      </c>
      <c r="F1191" s="3">
        <v>40702</v>
      </c>
      <c r="H1191" t="s">
        <v>15523</v>
      </c>
      <c r="I1191" t="s">
        <v>16558</v>
      </c>
      <c r="K1191" t="e">
        <v>#N/A</v>
      </c>
      <c r="S1191" s="3"/>
    </row>
    <row r="1192" spans="1:19" x14ac:dyDescent="0.25">
      <c r="A1192" t="s">
        <v>4108</v>
      </c>
      <c r="B1192" t="s">
        <v>4109</v>
      </c>
      <c r="C1192" t="s">
        <v>4110</v>
      </c>
      <c r="D1192" t="s">
        <v>23</v>
      </c>
      <c r="E1192">
        <v>5187</v>
      </c>
      <c r="F1192" s="3">
        <v>42035</v>
      </c>
      <c r="H1192" t="s">
        <v>15523</v>
      </c>
      <c r="I1192" t="s">
        <v>16559</v>
      </c>
      <c r="K1192" t="e">
        <v>#N/A</v>
      </c>
      <c r="S1192" s="3"/>
    </row>
    <row r="1193" spans="1:19" x14ac:dyDescent="0.25">
      <c r="A1193" t="s">
        <v>4111</v>
      </c>
      <c r="B1193" t="s">
        <v>4112</v>
      </c>
      <c r="C1193" t="s">
        <v>4113</v>
      </c>
      <c r="D1193" t="s">
        <v>23</v>
      </c>
      <c r="E1193">
        <v>3557</v>
      </c>
      <c r="F1193" s="3">
        <v>40702</v>
      </c>
      <c r="H1193" t="s">
        <v>15523</v>
      </c>
      <c r="I1193" t="s">
        <v>16560</v>
      </c>
      <c r="K1193" t="e">
        <v>#N/A</v>
      </c>
      <c r="S1193" s="3"/>
    </row>
    <row r="1194" spans="1:19" x14ac:dyDescent="0.25">
      <c r="A1194" t="s">
        <v>4114</v>
      </c>
      <c r="B1194" t="s">
        <v>4115</v>
      </c>
      <c r="C1194" t="s">
        <v>4116</v>
      </c>
      <c r="D1194" t="s">
        <v>23</v>
      </c>
      <c r="E1194">
        <v>3558</v>
      </c>
      <c r="F1194" s="3">
        <v>40702</v>
      </c>
      <c r="H1194" t="s">
        <v>15523</v>
      </c>
      <c r="I1194" t="s">
        <v>16561</v>
      </c>
      <c r="K1194" t="e">
        <v>#N/A</v>
      </c>
      <c r="S1194" s="3"/>
    </row>
    <row r="1195" spans="1:19" x14ac:dyDescent="0.25">
      <c r="A1195" t="s">
        <v>4117</v>
      </c>
      <c r="B1195" t="s">
        <v>4118</v>
      </c>
      <c r="C1195" t="s">
        <v>4119</v>
      </c>
      <c r="D1195" t="s">
        <v>23</v>
      </c>
      <c r="E1195">
        <v>5180</v>
      </c>
      <c r="F1195" s="3">
        <v>42035</v>
      </c>
      <c r="H1195" t="s">
        <v>15523</v>
      </c>
      <c r="I1195" t="s">
        <v>16562</v>
      </c>
      <c r="K1195" t="e">
        <v>#N/A</v>
      </c>
      <c r="S1195" s="3"/>
    </row>
    <row r="1196" spans="1:19" x14ac:dyDescent="0.25">
      <c r="A1196" t="s">
        <v>4120</v>
      </c>
      <c r="B1196" t="s">
        <v>4121</v>
      </c>
      <c r="C1196" t="s">
        <v>4122</v>
      </c>
      <c r="D1196" t="s">
        <v>23</v>
      </c>
      <c r="E1196">
        <v>598</v>
      </c>
      <c r="F1196" s="3">
        <v>40702</v>
      </c>
      <c r="H1196" t="s">
        <v>15523</v>
      </c>
      <c r="I1196" t="s">
        <v>16563</v>
      </c>
      <c r="K1196" t="e">
        <v>#N/A</v>
      </c>
      <c r="S1196" s="3"/>
    </row>
    <row r="1197" spans="1:19" x14ac:dyDescent="0.25">
      <c r="A1197" t="s">
        <v>4123</v>
      </c>
      <c r="B1197" t="s">
        <v>4124</v>
      </c>
      <c r="C1197" t="s">
        <v>4125</v>
      </c>
      <c r="D1197" t="s">
        <v>23</v>
      </c>
      <c r="E1197">
        <v>597</v>
      </c>
      <c r="F1197" s="3">
        <v>40702</v>
      </c>
      <c r="H1197" t="s">
        <v>15523</v>
      </c>
      <c r="I1197" t="s">
        <v>16564</v>
      </c>
      <c r="K1197" t="e">
        <v>#N/A</v>
      </c>
      <c r="S1197" s="3"/>
    </row>
    <row r="1198" spans="1:19" x14ac:dyDescent="0.25">
      <c r="A1198" t="s">
        <v>4126</v>
      </c>
      <c r="B1198" t="s">
        <v>4127</v>
      </c>
      <c r="C1198" t="s">
        <v>4128</v>
      </c>
      <c r="D1198" t="s">
        <v>23</v>
      </c>
      <c r="E1198">
        <v>5812</v>
      </c>
      <c r="F1198" s="3">
        <v>42868</v>
      </c>
      <c r="H1198" t="s">
        <v>15523</v>
      </c>
      <c r="I1198" t="s">
        <v>16565</v>
      </c>
      <c r="K1198" t="e">
        <v>#N/A</v>
      </c>
      <c r="S1198" s="3"/>
    </row>
    <row r="1199" spans="1:19" x14ac:dyDescent="0.25">
      <c r="A1199" t="s">
        <v>4129</v>
      </c>
      <c r="B1199" t="s">
        <v>4130</v>
      </c>
      <c r="C1199" t="s">
        <v>4131</v>
      </c>
      <c r="D1199" t="s">
        <v>23</v>
      </c>
      <c r="E1199">
        <v>3561</v>
      </c>
      <c r="F1199" s="3">
        <v>40702</v>
      </c>
      <c r="H1199" t="s">
        <v>15523</v>
      </c>
      <c r="I1199" t="s">
        <v>16566</v>
      </c>
      <c r="K1199" t="e">
        <v>#N/A</v>
      </c>
      <c r="S1199" s="3"/>
    </row>
    <row r="1200" spans="1:19" x14ac:dyDescent="0.25">
      <c r="A1200" t="s">
        <v>4132</v>
      </c>
      <c r="B1200" t="s">
        <v>4133</v>
      </c>
      <c r="C1200" t="s">
        <v>4134</v>
      </c>
      <c r="D1200" t="s">
        <v>23</v>
      </c>
      <c r="E1200">
        <v>5748</v>
      </c>
      <c r="F1200" s="3">
        <v>42759</v>
      </c>
      <c r="H1200" t="s">
        <v>15523</v>
      </c>
      <c r="I1200" t="s">
        <v>16567</v>
      </c>
      <c r="K1200" t="e">
        <v>#N/A</v>
      </c>
      <c r="S1200" s="3"/>
    </row>
    <row r="1201" spans="1:19" x14ac:dyDescent="0.25">
      <c r="A1201" t="s">
        <v>4135</v>
      </c>
      <c r="B1201" t="s">
        <v>4136</v>
      </c>
      <c r="C1201" t="s">
        <v>4137</v>
      </c>
      <c r="D1201" t="s">
        <v>23</v>
      </c>
      <c r="E1201">
        <v>3563</v>
      </c>
      <c r="F1201" s="3">
        <v>40702</v>
      </c>
      <c r="H1201" t="s">
        <v>15523</v>
      </c>
      <c r="I1201" t="s">
        <v>16568</v>
      </c>
      <c r="K1201" t="e">
        <v>#N/A</v>
      </c>
      <c r="S1201" s="3"/>
    </row>
    <row r="1202" spans="1:19" x14ac:dyDescent="0.25">
      <c r="A1202" t="s">
        <v>4138</v>
      </c>
      <c r="B1202" t="s">
        <v>4139</v>
      </c>
      <c r="C1202" t="s">
        <v>4140</v>
      </c>
      <c r="D1202" t="s">
        <v>23</v>
      </c>
      <c r="E1202">
        <v>655</v>
      </c>
      <c r="F1202" s="3">
        <v>40702</v>
      </c>
      <c r="H1202" t="s">
        <v>15523</v>
      </c>
      <c r="I1202" t="s">
        <v>16569</v>
      </c>
      <c r="K1202" t="e">
        <v>#N/A</v>
      </c>
      <c r="S1202" s="3"/>
    </row>
    <row r="1203" spans="1:19" x14ac:dyDescent="0.25">
      <c r="A1203" t="s">
        <v>4141</v>
      </c>
      <c r="B1203" t="s">
        <v>4142</v>
      </c>
      <c r="C1203" t="s">
        <v>4143</v>
      </c>
      <c r="D1203" t="s">
        <v>23</v>
      </c>
      <c r="E1203">
        <v>3564</v>
      </c>
      <c r="F1203" s="3">
        <v>40702</v>
      </c>
      <c r="H1203" t="s">
        <v>15523</v>
      </c>
      <c r="I1203" t="s">
        <v>16570</v>
      </c>
      <c r="K1203" t="e">
        <v>#N/A</v>
      </c>
      <c r="S1203" s="3"/>
    </row>
    <row r="1204" spans="1:19" x14ac:dyDescent="0.25">
      <c r="A1204" t="s">
        <v>4144</v>
      </c>
      <c r="B1204" t="s">
        <v>4145</v>
      </c>
      <c r="C1204" t="s">
        <v>4146</v>
      </c>
      <c r="D1204" t="s">
        <v>23</v>
      </c>
      <c r="E1204">
        <v>3565</v>
      </c>
      <c r="F1204" s="3">
        <v>40702</v>
      </c>
      <c r="H1204" t="s">
        <v>15523</v>
      </c>
      <c r="I1204" t="s">
        <v>16571</v>
      </c>
      <c r="K1204" t="e">
        <v>#N/A</v>
      </c>
      <c r="S1204" s="3"/>
    </row>
    <row r="1205" spans="1:19" x14ac:dyDescent="0.25">
      <c r="A1205" t="s">
        <v>4147</v>
      </c>
      <c r="B1205" t="s">
        <v>4148</v>
      </c>
      <c r="C1205" t="s">
        <v>4149</v>
      </c>
      <c r="D1205" t="s">
        <v>23</v>
      </c>
      <c r="E1205">
        <v>5543</v>
      </c>
      <c r="F1205" s="3">
        <v>42385</v>
      </c>
      <c r="H1205" t="s">
        <v>15523</v>
      </c>
      <c r="I1205" t="s">
        <v>16572</v>
      </c>
      <c r="K1205" t="e">
        <v>#N/A</v>
      </c>
      <c r="S1205" s="3"/>
    </row>
    <row r="1206" spans="1:19" x14ac:dyDescent="0.25">
      <c r="A1206" t="s">
        <v>4150</v>
      </c>
      <c r="B1206" t="s">
        <v>4151</v>
      </c>
      <c r="C1206" t="s">
        <v>4152</v>
      </c>
      <c r="D1206" t="s">
        <v>23</v>
      </c>
      <c r="E1206">
        <v>3567</v>
      </c>
      <c r="F1206" s="3">
        <v>40702</v>
      </c>
      <c r="H1206" t="s">
        <v>15523</v>
      </c>
      <c r="I1206" t="s">
        <v>16573</v>
      </c>
      <c r="K1206" t="e">
        <v>#N/A</v>
      </c>
      <c r="S1206" s="3"/>
    </row>
    <row r="1207" spans="1:19" x14ac:dyDescent="0.25">
      <c r="A1207" t="s">
        <v>4153</v>
      </c>
      <c r="B1207" t="s">
        <v>4154</v>
      </c>
      <c r="C1207" t="s">
        <v>4155</v>
      </c>
      <c r="D1207" t="s">
        <v>23</v>
      </c>
      <c r="E1207">
        <v>3569</v>
      </c>
      <c r="F1207" s="3">
        <v>40702</v>
      </c>
      <c r="H1207" t="s">
        <v>15523</v>
      </c>
      <c r="I1207" t="s">
        <v>16574</v>
      </c>
      <c r="K1207" t="e">
        <v>#N/A</v>
      </c>
      <c r="S1207" s="3"/>
    </row>
    <row r="1208" spans="1:19" x14ac:dyDescent="0.25">
      <c r="A1208" t="s">
        <v>4156</v>
      </c>
      <c r="B1208" t="s">
        <v>4157</v>
      </c>
      <c r="C1208" t="s">
        <v>4158</v>
      </c>
      <c r="D1208" t="s">
        <v>23</v>
      </c>
      <c r="E1208">
        <v>3570</v>
      </c>
      <c r="F1208" s="3">
        <v>40702</v>
      </c>
      <c r="H1208" t="s">
        <v>15523</v>
      </c>
      <c r="I1208" t="s">
        <v>16575</v>
      </c>
      <c r="K1208" t="e">
        <v>#N/A</v>
      </c>
      <c r="S1208" s="3"/>
    </row>
    <row r="1209" spans="1:19" x14ac:dyDescent="0.25">
      <c r="A1209" t="s">
        <v>4159</v>
      </c>
      <c r="B1209" t="s">
        <v>4160</v>
      </c>
      <c r="C1209" t="s">
        <v>4161</v>
      </c>
      <c r="D1209" t="s">
        <v>23</v>
      </c>
      <c r="E1209">
        <v>658</v>
      </c>
      <c r="F1209" s="3">
        <v>40702</v>
      </c>
      <c r="H1209" t="s">
        <v>15523</v>
      </c>
      <c r="I1209" t="s">
        <v>16576</v>
      </c>
      <c r="K1209" t="e">
        <v>#N/A</v>
      </c>
      <c r="S1209" s="3"/>
    </row>
    <row r="1210" spans="1:19" x14ac:dyDescent="0.25">
      <c r="A1210" t="s">
        <v>4162</v>
      </c>
      <c r="B1210" t="s">
        <v>4163</v>
      </c>
      <c r="C1210" t="s">
        <v>4164</v>
      </c>
      <c r="D1210" t="s">
        <v>23</v>
      </c>
      <c r="E1210">
        <v>3571</v>
      </c>
      <c r="F1210" s="3">
        <v>40702</v>
      </c>
      <c r="H1210" t="s">
        <v>15523</v>
      </c>
      <c r="I1210" t="s">
        <v>16577</v>
      </c>
      <c r="K1210" t="e">
        <v>#N/A</v>
      </c>
      <c r="S1210" s="3"/>
    </row>
    <row r="1211" spans="1:19" x14ac:dyDescent="0.25">
      <c r="A1211" t="s">
        <v>4165</v>
      </c>
      <c r="B1211" t="s">
        <v>4166</v>
      </c>
      <c r="C1211" t="s">
        <v>4167</v>
      </c>
      <c r="D1211" t="s">
        <v>23</v>
      </c>
      <c r="E1211">
        <v>3572</v>
      </c>
      <c r="F1211" s="3">
        <v>40702</v>
      </c>
      <c r="H1211" t="s">
        <v>15523</v>
      </c>
      <c r="I1211" t="s">
        <v>16578</v>
      </c>
      <c r="K1211" t="e">
        <v>#N/A</v>
      </c>
      <c r="S1211" s="3"/>
    </row>
    <row r="1212" spans="1:19" x14ac:dyDescent="0.25">
      <c r="A1212" t="s">
        <v>4168</v>
      </c>
      <c r="B1212" t="s">
        <v>4169</v>
      </c>
      <c r="C1212" t="s">
        <v>4170</v>
      </c>
      <c r="D1212" t="s">
        <v>23</v>
      </c>
      <c r="E1212">
        <v>661</v>
      </c>
      <c r="F1212" s="3">
        <v>40702</v>
      </c>
      <c r="H1212" t="s">
        <v>15523</v>
      </c>
      <c r="I1212" t="s">
        <v>16579</v>
      </c>
      <c r="K1212" t="e">
        <v>#N/A</v>
      </c>
      <c r="S1212" s="3"/>
    </row>
    <row r="1213" spans="1:19" x14ac:dyDescent="0.25">
      <c r="A1213" t="s">
        <v>4171</v>
      </c>
      <c r="B1213" t="s">
        <v>4172</v>
      </c>
      <c r="C1213" t="s">
        <v>4173</v>
      </c>
      <c r="D1213" t="s">
        <v>23</v>
      </c>
      <c r="E1213">
        <v>3574</v>
      </c>
      <c r="F1213" s="3">
        <v>40782</v>
      </c>
      <c r="H1213" t="s">
        <v>15523</v>
      </c>
      <c r="I1213" t="s">
        <v>16580</v>
      </c>
      <c r="K1213" t="e">
        <v>#N/A</v>
      </c>
      <c r="S1213" s="3"/>
    </row>
    <row r="1214" spans="1:19" x14ac:dyDescent="0.25">
      <c r="A1214" t="s">
        <v>4174</v>
      </c>
      <c r="B1214" t="s">
        <v>4175</v>
      </c>
      <c r="C1214" t="s">
        <v>4176</v>
      </c>
      <c r="D1214" t="s">
        <v>23</v>
      </c>
      <c r="E1214">
        <v>663</v>
      </c>
      <c r="F1214" s="3">
        <v>40702</v>
      </c>
      <c r="H1214" t="s">
        <v>15523</v>
      </c>
      <c r="I1214" t="s">
        <v>16581</v>
      </c>
      <c r="K1214" t="e">
        <v>#N/A</v>
      </c>
      <c r="S1214" s="3"/>
    </row>
    <row r="1215" spans="1:19" x14ac:dyDescent="0.25">
      <c r="A1215" t="s">
        <v>4177</v>
      </c>
      <c r="B1215" t="s">
        <v>4178</v>
      </c>
      <c r="C1215" t="s">
        <v>4179</v>
      </c>
      <c r="D1215" t="s">
        <v>23</v>
      </c>
      <c r="E1215">
        <v>664</v>
      </c>
      <c r="F1215" s="3">
        <v>43363</v>
      </c>
      <c r="H1215" t="s">
        <v>15523</v>
      </c>
      <c r="I1215" t="s">
        <v>16582</v>
      </c>
      <c r="K1215" t="e">
        <v>#N/A</v>
      </c>
      <c r="S1215" s="3"/>
    </row>
    <row r="1216" spans="1:19" x14ac:dyDescent="0.25">
      <c r="A1216" t="s">
        <v>4180</v>
      </c>
      <c r="B1216" t="s">
        <v>4181</v>
      </c>
      <c r="C1216" t="s">
        <v>4182</v>
      </c>
      <c r="D1216" t="s">
        <v>23</v>
      </c>
      <c r="E1216">
        <v>3575</v>
      </c>
      <c r="F1216" s="3">
        <v>40702</v>
      </c>
      <c r="H1216" t="s">
        <v>15523</v>
      </c>
      <c r="I1216" t="s">
        <v>16583</v>
      </c>
      <c r="K1216" t="e">
        <v>#N/A</v>
      </c>
      <c r="S1216" s="3"/>
    </row>
    <row r="1217" spans="1:19" x14ac:dyDescent="0.25">
      <c r="A1217" t="s">
        <v>4183</v>
      </c>
      <c r="B1217" t="s">
        <v>4184</v>
      </c>
      <c r="C1217" t="s">
        <v>4185</v>
      </c>
      <c r="D1217" t="s">
        <v>23</v>
      </c>
      <c r="E1217">
        <v>3576</v>
      </c>
      <c r="F1217" s="3">
        <v>40702</v>
      </c>
      <c r="H1217" t="s">
        <v>15523</v>
      </c>
      <c r="I1217" t="s">
        <v>16584</v>
      </c>
      <c r="K1217" t="e">
        <v>#N/A</v>
      </c>
      <c r="S1217" s="3"/>
    </row>
    <row r="1218" spans="1:19" x14ac:dyDescent="0.25">
      <c r="A1218" t="s">
        <v>4186</v>
      </c>
      <c r="B1218" t="s">
        <v>4187</v>
      </c>
      <c r="C1218" t="s">
        <v>4188</v>
      </c>
      <c r="D1218" t="s">
        <v>23</v>
      </c>
      <c r="E1218">
        <v>666</v>
      </c>
      <c r="F1218" s="3">
        <v>40702</v>
      </c>
      <c r="H1218" t="s">
        <v>15523</v>
      </c>
      <c r="I1218" t="s">
        <v>16585</v>
      </c>
      <c r="K1218" t="e">
        <v>#N/A</v>
      </c>
      <c r="S1218" s="3"/>
    </row>
    <row r="1219" spans="1:19" x14ac:dyDescent="0.25">
      <c r="A1219" t="s">
        <v>4189</v>
      </c>
      <c r="B1219" t="s">
        <v>4190</v>
      </c>
      <c r="C1219" t="s">
        <v>4191</v>
      </c>
      <c r="D1219" t="s">
        <v>23</v>
      </c>
      <c r="E1219">
        <v>1939</v>
      </c>
      <c r="F1219" s="3">
        <v>40783</v>
      </c>
      <c r="H1219" t="s">
        <v>15523</v>
      </c>
      <c r="I1219" t="s">
        <v>16586</v>
      </c>
      <c r="K1219" t="e">
        <v>#N/A</v>
      </c>
      <c r="S1219" s="3"/>
    </row>
    <row r="1220" spans="1:19" x14ac:dyDescent="0.25">
      <c r="A1220" t="s">
        <v>4192</v>
      </c>
      <c r="B1220" t="s">
        <v>4193</v>
      </c>
      <c r="C1220" t="s">
        <v>4194</v>
      </c>
      <c r="D1220" t="s">
        <v>23</v>
      </c>
      <c r="E1220">
        <v>3566</v>
      </c>
      <c r="F1220" s="3">
        <v>40782</v>
      </c>
      <c r="H1220" t="s">
        <v>15523</v>
      </c>
      <c r="I1220" t="s">
        <v>16587</v>
      </c>
      <c r="K1220" t="e">
        <v>#N/A</v>
      </c>
      <c r="S1220" s="3"/>
    </row>
    <row r="1221" spans="1:19" x14ac:dyDescent="0.25">
      <c r="A1221" t="s">
        <v>4195</v>
      </c>
      <c r="B1221" t="s">
        <v>4196</v>
      </c>
      <c r="C1221" t="s">
        <v>4197</v>
      </c>
      <c r="D1221" t="s">
        <v>23</v>
      </c>
      <c r="E1221">
        <v>3568</v>
      </c>
      <c r="F1221" s="3">
        <v>40702</v>
      </c>
      <c r="H1221" t="s">
        <v>15523</v>
      </c>
      <c r="I1221" t="s">
        <v>16588</v>
      </c>
      <c r="K1221" t="e">
        <v>#N/A</v>
      </c>
      <c r="S1221" s="3"/>
    </row>
    <row r="1222" spans="1:19" x14ac:dyDescent="0.25">
      <c r="A1222" t="s">
        <v>4198</v>
      </c>
      <c r="B1222" t="s">
        <v>4199</v>
      </c>
      <c r="C1222" t="s">
        <v>4200</v>
      </c>
      <c r="D1222" t="s">
        <v>23</v>
      </c>
      <c r="E1222">
        <v>660</v>
      </c>
      <c r="F1222" s="3">
        <v>40783</v>
      </c>
      <c r="H1222" t="s">
        <v>15523</v>
      </c>
      <c r="I1222" t="s">
        <v>16589</v>
      </c>
      <c r="K1222" t="e">
        <v>#N/A</v>
      </c>
      <c r="S1222" s="3"/>
    </row>
    <row r="1223" spans="1:19" x14ac:dyDescent="0.25">
      <c r="A1223" t="s">
        <v>4201</v>
      </c>
      <c r="B1223" t="s">
        <v>4202</v>
      </c>
      <c r="C1223" t="s">
        <v>4203</v>
      </c>
      <c r="D1223" t="s">
        <v>23</v>
      </c>
      <c r="E1223">
        <v>5565</v>
      </c>
      <c r="F1223" s="3">
        <v>42409</v>
      </c>
      <c r="H1223" t="s">
        <v>15523</v>
      </c>
      <c r="I1223" t="s">
        <v>16590</v>
      </c>
      <c r="K1223" t="e">
        <v>#N/A</v>
      </c>
      <c r="S1223" s="3"/>
    </row>
    <row r="1224" spans="1:19" x14ac:dyDescent="0.25">
      <c r="A1224" t="s">
        <v>4204</v>
      </c>
      <c r="B1224" t="s">
        <v>4205</v>
      </c>
      <c r="C1224" t="s">
        <v>4206</v>
      </c>
      <c r="D1224" t="s">
        <v>23</v>
      </c>
      <c r="E1224">
        <v>634</v>
      </c>
      <c r="F1224" s="3">
        <v>40702</v>
      </c>
      <c r="H1224" t="s">
        <v>15523</v>
      </c>
      <c r="I1224" t="s">
        <v>16591</v>
      </c>
      <c r="K1224" t="e">
        <v>#N/A</v>
      </c>
      <c r="S1224" s="3"/>
    </row>
    <row r="1225" spans="1:19" x14ac:dyDescent="0.25">
      <c r="A1225" t="s">
        <v>4207</v>
      </c>
      <c r="B1225" t="s">
        <v>4208</v>
      </c>
      <c r="C1225" t="s">
        <v>4209</v>
      </c>
      <c r="D1225" t="s">
        <v>23</v>
      </c>
      <c r="E1225">
        <v>636</v>
      </c>
      <c r="F1225" s="3">
        <v>40702</v>
      </c>
      <c r="H1225" t="s">
        <v>15523</v>
      </c>
      <c r="I1225" t="s">
        <v>16592</v>
      </c>
      <c r="K1225" t="e">
        <v>#N/A</v>
      </c>
      <c r="S1225" s="3"/>
    </row>
    <row r="1226" spans="1:19" x14ac:dyDescent="0.25">
      <c r="A1226" t="s">
        <v>4210</v>
      </c>
      <c r="B1226" t="s">
        <v>4211</v>
      </c>
      <c r="C1226" t="s">
        <v>4212</v>
      </c>
      <c r="D1226" t="s">
        <v>23</v>
      </c>
      <c r="E1226">
        <v>5592</v>
      </c>
      <c r="F1226" s="3">
        <v>42551</v>
      </c>
      <c r="H1226" t="s">
        <v>15523</v>
      </c>
      <c r="I1226" t="s">
        <v>16593</v>
      </c>
      <c r="K1226" t="e">
        <v>#N/A</v>
      </c>
      <c r="S1226" s="3"/>
    </row>
    <row r="1227" spans="1:19" x14ac:dyDescent="0.25">
      <c r="A1227" t="s">
        <v>4213</v>
      </c>
      <c r="B1227" t="s">
        <v>4214</v>
      </c>
      <c r="C1227" t="s">
        <v>4215</v>
      </c>
      <c r="D1227" t="s">
        <v>23</v>
      </c>
      <c r="E1227">
        <v>641</v>
      </c>
      <c r="F1227" s="3">
        <v>40702</v>
      </c>
      <c r="H1227" t="s">
        <v>15523</v>
      </c>
      <c r="I1227" t="s">
        <v>16594</v>
      </c>
      <c r="K1227" t="e">
        <v>#N/A</v>
      </c>
      <c r="S1227" s="3"/>
    </row>
    <row r="1228" spans="1:19" x14ac:dyDescent="0.25">
      <c r="A1228" t="s">
        <v>4216</v>
      </c>
      <c r="B1228" t="s">
        <v>4217</v>
      </c>
      <c r="C1228" t="s">
        <v>4218</v>
      </c>
      <c r="D1228" t="s">
        <v>23</v>
      </c>
      <c r="E1228">
        <v>642</v>
      </c>
      <c r="F1228" s="3">
        <v>40702</v>
      </c>
      <c r="H1228" t="s">
        <v>15523</v>
      </c>
      <c r="I1228" t="s">
        <v>16595</v>
      </c>
      <c r="K1228" t="e">
        <v>#N/A</v>
      </c>
      <c r="S1228" s="3"/>
    </row>
    <row r="1229" spans="1:19" x14ac:dyDescent="0.25">
      <c r="A1229" t="s">
        <v>4219</v>
      </c>
      <c r="B1229" t="s">
        <v>4220</v>
      </c>
      <c r="C1229" t="s">
        <v>4221</v>
      </c>
      <c r="D1229" t="s">
        <v>23</v>
      </c>
      <c r="E1229">
        <v>2429</v>
      </c>
      <c r="F1229" s="3">
        <v>40782</v>
      </c>
      <c r="H1229" t="s">
        <v>15523</v>
      </c>
      <c r="I1229" t="s">
        <v>16596</v>
      </c>
      <c r="K1229" t="e">
        <v>#N/A</v>
      </c>
      <c r="S1229" s="3"/>
    </row>
    <row r="1230" spans="1:19" x14ac:dyDescent="0.25">
      <c r="A1230" t="s">
        <v>4222</v>
      </c>
      <c r="B1230" t="s">
        <v>4223</v>
      </c>
      <c r="C1230" t="s">
        <v>4224</v>
      </c>
      <c r="D1230" t="s">
        <v>23</v>
      </c>
      <c r="E1230">
        <v>3578</v>
      </c>
      <c r="F1230" s="3">
        <v>40702</v>
      </c>
      <c r="H1230" t="s">
        <v>15523</v>
      </c>
      <c r="I1230" t="s">
        <v>16597</v>
      </c>
      <c r="K1230" t="e">
        <v>#N/A</v>
      </c>
      <c r="S1230" s="3"/>
    </row>
    <row r="1231" spans="1:19" x14ac:dyDescent="0.25">
      <c r="A1231" t="s">
        <v>4225</v>
      </c>
      <c r="B1231" t="s">
        <v>4226</v>
      </c>
      <c r="C1231" t="s">
        <v>4227</v>
      </c>
      <c r="D1231" t="s">
        <v>23</v>
      </c>
      <c r="E1231">
        <v>2585</v>
      </c>
      <c r="F1231" s="3">
        <v>40702</v>
      </c>
      <c r="H1231" t="s">
        <v>15523</v>
      </c>
      <c r="I1231" t="s">
        <v>16598</v>
      </c>
      <c r="K1231" t="e">
        <v>#N/A</v>
      </c>
      <c r="S1231" s="3"/>
    </row>
    <row r="1232" spans="1:19" x14ac:dyDescent="0.25">
      <c r="A1232" t="s">
        <v>4228</v>
      </c>
      <c r="B1232" t="s">
        <v>4229</v>
      </c>
      <c r="C1232" t="s">
        <v>4230</v>
      </c>
      <c r="D1232" t="s">
        <v>23</v>
      </c>
      <c r="E1232">
        <v>640</v>
      </c>
      <c r="F1232" s="3">
        <v>40702</v>
      </c>
      <c r="H1232" t="s">
        <v>15523</v>
      </c>
      <c r="I1232" t="s">
        <v>16599</v>
      </c>
      <c r="K1232" t="e">
        <v>#N/A</v>
      </c>
      <c r="S1232" s="3"/>
    </row>
    <row r="1233" spans="1:19" x14ac:dyDescent="0.25">
      <c r="A1233" t="s">
        <v>4231</v>
      </c>
      <c r="B1233" t="s">
        <v>4232</v>
      </c>
      <c r="C1233" t="s">
        <v>4233</v>
      </c>
      <c r="D1233" t="s">
        <v>23</v>
      </c>
      <c r="E1233">
        <v>5572</v>
      </c>
      <c r="F1233" s="3">
        <v>42452</v>
      </c>
      <c r="H1233" t="s">
        <v>15523</v>
      </c>
      <c r="I1233" t="s">
        <v>16600</v>
      </c>
      <c r="K1233" t="e">
        <v>#N/A</v>
      </c>
      <c r="S1233" s="3"/>
    </row>
    <row r="1234" spans="1:19" x14ac:dyDescent="0.25">
      <c r="A1234" t="s">
        <v>4234</v>
      </c>
      <c r="B1234" t="s">
        <v>4235</v>
      </c>
      <c r="C1234" t="s">
        <v>4236</v>
      </c>
      <c r="D1234" t="s">
        <v>23</v>
      </c>
      <c r="E1234">
        <v>639</v>
      </c>
      <c r="F1234" s="3">
        <v>40702</v>
      </c>
      <c r="H1234" t="s">
        <v>15523</v>
      </c>
      <c r="I1234" t="s">
        <v>16601</v>
      </c>
      <c r="K1234" t="e">
        <v>#N/A</v>
      </c>
      <c r="S1234" s="3"/>
    </row>
    <row r="1235" spans="1:19" x14ac:dyDescent="0.25">
      <c r="A1235" t="s">
        <v>4237</v>
      </c>
      <c r="B1235" t="s">
        <v>4238</v>
      </c>
      <c r="C1235" t="s">
        <v>4239</v>
      </c>
      <c r="D1235" t="s">
        <v>23</v>
      </c>
      <c r="E1235">
        <v>5235</v>
      </c>
      <c r="F1235" s="3">
        <v>42035</v>
      </c>
      <c r="H1235" t="s">
        <v>15523</v>
      </c>
      <c r="I1235" t="s">
        <v>16602</v>
      </c>
      <c r="K1235" t="e">
        <v>#N/A</v>
      </c>
      <c r="S1235" s="3"/>
    </row>
    <row r="1236" spans="1:19" x14ac:dyDescent="0.25">
      <c r="A1236" t="s">
        <v>4240</v>
      </c>
      <c r="B1236" t="s">
        <v>4241</v>
      </c>
      <c r="C1236" t="s">
        <v>4242</v>
      </c>
      <c r="D1236" t="s">
        <v>23</v>
      </c>
      <c r="E1236">
        <v>678</v>
      </c>
      <c r="F1236" s="3">
        <v>41461</v>
      </c>
      <c r="H1236" t="s">
        <v>15523</v>
      </c>
      <c r="I1236" t="s">
        <v>16603</v>
      </c>
      <c r="K1236" t="e">
        <v>#N/A</v>
      </c>
      <c r="S1236" s="3"/>
    </row>
    <row r="1237" spans="1:19" x14ac:dyDescent="0.25">
      <c r="A1237" t="s">
        <v>4243</v>
      </c>
      <c r="B1237" t="s">
        <v>4244</v>
      </c>
      <c r="C1237" t="s">
        <v>4245</v>
      </c>
      <c r="D1237" t="s">
        <v>23</v>
      </c>
      <c r="E1237">
        <v>5594</v>
      </c>
      <c r="F1237" s="3">
        <v>42551</v>
      </c>
      <c r="H1237" t="s">
        <v>15523</v>
      </c>
      <c r="I1237" t="s">
        <v>16604</v>
      </c>
      <c r="K1237" t="e">
        <v>#N/A</v>
      </c>
      <c r="S1237" s="3"/>
    </row>
    <row r="1238" spans="1:19" x14ac:dyDescent="0.25">
      <c r="A1238" t="s">
        <v>4246</v>
      </c>
      <c r="B1238" t="s">
        <v>4247</v>
      </c>
      <c r="C1238" t="s">
        <v>4248</v>
      </c>
      <c r="D1238" t="s">
        <v>23</v>
      </c>
      <c r="E1238">
        <v>679</v>
      </c>
      <c r="F1238" s="3">
        <v>40702</v>
      </c>
      <c r="H1238" t="s">
        <v>15523</v>
      </c>
      <c r="I1238" t="s">
        <v>16605</v>
      </c>
      <c r="K1238" t="e">
        <v>#N/A</v>
      </c>
      <c r="S1238" s="3"/>
    </row>
    <row r="1239" spans="1:19" x14ac:dyDescent="0.25">
      <c r="A1239" t="s">
        <v>4249</v>
      </c>
      <c r="B1239" t="s">
        <v>4250</v>
      </c>
      <c r="C1239" t="s">
        <v>4251</v>
      </c>
      <c r="D1239" t="s">
        <v>23</v>
      </c>
      <c r="E1239">
        <v>2340</v>
      </c>
      <c r="F1239" s="3">
        <v>40782</v>
      </c>
      <c r="H1239" t="s">
        <v>15523</v>
      </c>
      <c r="I1239" t="s">
        <v>16606</v>
      </c>
      <c r="K1239" t="e">
        <v>#N/A</v>
      </c>
      <c r="S1239" s="3"/>
    </row>
    <row r="1240" spans="1:19" x14ac:dyDescent="0.25">
      <c r="A1240" t="s">
        <v>4252</v>
      </c>
      <c r="B1240" t="s">
        <v>4253</v>
      </c>
      <c r="C1240" t="s">
        <v>4254</v>
      </c>
      <c r="D1240" t="s">
        <v>23</v>
      </c>
      <c r="E1240">
        <v>3579</v>
      </c>
      <c r="F1240" s="3">
        <v>40702</v>
      </c>
      <c r="H1240" t="s">
        <v>15523</v>
      </c>
      <c r="I1240" t="s">
        <v>16607</v>
      </c>
      <c r="K1240" t="e">
        <v>#N/A</v>
      </c>
      <c r="S1240" s="3"/>
    </row>
    <row r="1241" spans="1:19" x14ac:dyDescent="0.25">
      <c r="A1241" t="s">
        <v>4255</v>
      </c>
      <c r="B1241" t="s">
        <v>4256</v>
      </c>
      <c r="C1241" t="s">
        <v>4257</v>
      </c>
      <c r="D1241" t="s">
        <v>23</v>
      </c>
      <c r="E1241">
        <v>3580</v>
      </c>
      <c r="F1241" s="3">
        <v>40702</v>
      </c>
      <c r="H1241" t="s">
        <v>15523</v>
      </c>
      <c r="I1241" t="s">
        <v>16608</v>
      </c>
      <c r="K1241" t="e">
        <v>#N/A</v>
      </c>
      <c r="S1241" s="3"/>
    </row>
    <row r="1242" spans="1:19" x14ac:dyDescent="0.25">
      <c r="A1242" t="s">
        <v>4258</v>
      </c>
      <c r="B1242" t="s">
        <v>4259</v>
      </c>
      <c r="C1242" t="s">
        <v>4260</v>
      </c>
      <c r="D1242" t="s">
        <v>23</v>
      </c>
      <c r="E1242">
        <v>4995</v>
      </c>
      <c r="F1242" s="3">
        <v>41660</v>
      </c>
      <c r="H1242" t="s">
        <v>15523</v>
      </c>
      <c r="I1242" t="s">
        <v>16609</v>
      </c>
      <c r="K1242" t="e">
        <v>#N/A</v>
      </c>
      <c r="S1242" s="3"/>
    </row>
    <row r="1243" spans="1:19" x14ac:dyDescent="0.25">
      <c r="A1243" t="s">
        <v>4261</v>
      </c>
      <c r="B1243" t="s">
        <v>4262</v>
      </c>
      <c r="C1243" t="s">
        <v>4263</v>
      </c>
      <c r="D1243" t="s">
        <v>23</v>
      </c>
      <c r="E1243">
        <v>599</v>
      </c>
      <c r="F1243" s="3">
        <v>40702</v>
      </c>
      <c r="H1243" t="s">
        <v>15523</v>
      </c>
      <c r="I1243" t="s">
        <v>16610</v>
      </c>
      <c r="K1243" t="e">
        <v>#N/A</v>
      </c>
      <c r="S1243" s="3"/>
    </row>
    <row r="1244" spans="1:19" x14ac:dyDescent="0.25">
      <c r="A1244" t="s">
        <v>4264</v>
      </c>
      <c r="B1244" t="s">
        <v>4265</v>
      </c>
      <c r="C1244" t="s">
        <v>4266</v>
      </c>
      <c r="D1244" t="s">
        <v>23</v>
      </c>
      <c r="E1244">
        <v>600</v>
      </c>
      <c r="F1244" s="3">
        <v>40702</v>
      </c>
      <c r="H1244" t="s">
        <v>15523</v>
      </c>
      <c r="I1244" t="s">
        <v>16611</v>
      </c>
      <c r="K1244" t="e">
        <v>#N/A</v>
      </c>
      <c r="S1244" s="3"/>
    </row>
    <row r="1245" spans="1:19" x14ac:dyDescent="0.25">
      <c r="A1245" t="s">
        <v>4267</v>
      </c>
      <c r="B1245" t="s">
        <v>4268</v>
      </c>
      <c r="C1245" t="s">
        <v>4269</v>
      </c>
      <c r="D1245" t="s">
        <v>23</v>
      </c>
      <c r="E1245">
        <v>2428</v>
      </c>
      <c r="F1245" s="3">
        <v>40782</v>
      </c>
      <c r="H1245" t="s">
        <v>15523</v>
      </c>
      <c r="I1245" t="s">
        <v>16612</v>
      </c>
      <c r="K1245" t="e">
        <v>#N/A</v>
      </c>
      <c r="S1245" s="3"/>
    </row>
    <row r="1246" spans="1:19" x14ac:dyDescent="0.25">
      <c r="A1246" t="s">
        <v>4270</v>
      </c>
      <c r="B1246" t="s">
        <v>4271</v>
      </c>
      <c r="C1246" t="s">
        <v>4272</v>
      </c>
      <c r="D1246" t="s">
        <v>23</v>
      </c>
      <c r="E1246">
        <v>3359</v>
      </c>
      <c r="F1246" s="3">
        <v>43829</v>
      </c>
      <c r="H1246" t="s">
        <v>15523</v>
      </c>
      <c r="I1246" t="s">
        <v>16613</v>
      </c>
      <c r="K1246" t="e">
        <v>#N/A</v>
      </c>
      <c r="S1246" s="3"/>
    </row>
    <row r="1247" spans="1:19" x14ac:dyDescent="0.25">
      <c r="A1247" t="s">
        <v>4273</v>
      </c>
      <c r="B1247" t="s">
        <v>4274</v>
      </c>
      <c r="C1247" t="s">
        <v>4275</v>
      </c>
      <c r="D1247" t="s">
        <v>23</v>
      </c>
      <c r="E1247">
        <v>677</v>
      </c>
      <c r="F1247" s="3">
        <v>40702</v>
      </c>
      <c r="H1247" t="s">
        <v>15523</v>
      </c>
      <c r="I1247" t="s">
        <v>16614</v>
      </c>
      <c r="K1247" t="e">
        <v>#N/A</v>
      </c>
      <c r="S1247" s="3"/>
    </row>
    <row r="1248" spans="1:19" x14ac:dyDescent="0.25">
      <c r="A1248" t="s">
        <v>4276</v>
      </c>
      <c r="B1248" t="s">
        <v>4277</v>
      </c>
      <c r="C1248" t="s">
        <v>4278</v>
      </c>
      <c r="D1248" t="s">
        <v>23</v>
      </c>
      <c r="E1248">
        <v>650</v>
      </c>
      <c r="F1248" s="3">
        <v>40702</v>
      </c>
      <c r="H1248" t="s">
        <v>15523</v>
      </c>
      <c r="I1248" t="s">
        <v>16615</v>
      </c>
      <c r="K1248" t="e">
        <v>#N/A</v>
      </c>
      <c r="S1248" s="3"/>
    </row>
    <row r="1249" spans="1:19" x14ac:dyDescent="0.25">
      <c r="A1249" t="s">
        <v>4279</v>
      </c>
      <c r="B1249" t="s">
        <v>4280</v>
      </c>
      <c r="C1249" t="s">
        <v>4281</v>
      </c>
      <c r="D1249" t="s">
        <v>23</v>
      </c>
      <c r="E1249">
        <v>649</v>
      </c>
      <c r="F1249" s="3">
        <v>40702</v>
      </c>
      <c r="H1249" t="s">
        <v>15523</v>
      </c>
      <c r="I1249" t="s">
        <v>16616</v>
      </c>
      <c r="K1249" t="e">
        <v>#N/A</v>
      </c>
      <c r="S1249" s="3"/>
    </row>
    <row r="1250" spans="1:19" x14ac:dyDescent="0.25">
      <c r="A1250" t="s">
        <v>4282</v>
      </c>
      <c r="B1250" t="s">
        <v>4283</v>
      </c>
      <c r="C1250" t="s">
        <v>4284</v>
      </c>
      <c r="D1250" t="s">
        <v>23</v>
      </c>
      <c r="E1250">
        <v>3581</v>
      </c>
      <c r="F1250" s="3">
        <v>40702</v>
      </c>
      <c r="H1250" t="s">
        <v>15523</v>
      </c>
      <c r="I1250" t="s">
        <v>16617</v>
      </c>
      <c r="K1250" t="e">
        <v>#N/A</v>
      </c>
      <c r="S1250" s="3"/>
    </row>
    <row r="1251" spans="1:19" x14ac:dyDescent="0.25">
      <c r="A1251" t="s">
        <v>4285</v>
      </c>
      <c r="B1251" t="s">
        <v>4286</v>
      </c>
      <c r="C1251" t="s">
        <v>4287</v>
      </c>
      <c r="D1251" t="s">
        <v>23</v>
      </c>
      <c r="E1251">
        <v>674</v>
      </c>
      <c r="F1251" s="3">
        <v>40703</v>
      </c>
      <c r="H1251" t="s">
        <v>15523</v>
      </c>
      <c r="I1251" t="s">
        <v>16618</v>
      </c>
      <c r="K1251" t="e">
        <v>#N/A</v>
      </c>
      <c r="S1251" s="3"/>
    </row>
    <row r="1252" spans="1:19" x14ac:dyDescent="0.25">
      <c r="A1252" t="s">
        <v>4288</v>
      </c>
      <c r="B1252" t="s">
        <v>4289</v>
      </c>
      <c r="C1252" t="s">
        <v>4290</v>
      </c>
      <c r="D1252" t="s">
        <v>23</v>
      </c>
      <c r="E1252">
        <v>3582</v>
      </c>
      <c r="F1252" s="3">
        <v>41031</v>
      </c>
      <c r="H1252" t="s">
        <v>15523</v>
      </c>
      <c r="I1252" t="s">
        <v>16619</v>
      </c>
      <c r="K1252" t="e">
        <v>#N/A</v>
      </c>
      <c r="S1252" s="3"/>
    </row>
    <row r="1253" spans="1:19" x14ac:dyDescent="0.25">
      <c r="A1253" t="s">
        <v>4291</v>
      </c>
      <c r="B1253" t="s">
        <v>4292</v>
      </c>
      <c r="C1253" t="s">
        <v>4293</v>
      </c>
      <c r="D1253" t="s">
        <v>23</v>
      </c>
      <c r="E1253">
        <v>670</v>
      </c>
      <c r="F1253" s="3">
        <v>40702</v>
      </c>
      <c r="H1253" t="s">
        <v>15523</v>
      </c>
      <c r="I1253" t="s">
        <v>16620</v>
      </c>
      <c r="K1253" t="e">
        <v>#N/A</v>
      </c>
      <c r="S1253" s="3"/>
    </row>
    <row r="1254" spans="1:19" x14ac:dyDescent="0.25">
      <c r="A1254" t="s">
        <v>4294</v>
      </c>
      <c r="B1254" t="s">
        <v>4295</v>
      </c>
      <c r="C1254" t="s">
        <v>4296</v>
      </c>
      <c r="D1254" t="s">
        <v>23</v>
      </c>
      <c r="E1254">
        <v>396</v>
      </c>
      <c r="F1254" s="3">
        <v>40702</v>
      </c>
      <c r="H1254" t="s">
        <v>15523</v>
      </c>
      <c r="I1254" t="s">
        <v>16621</v>
      </c>
      <c r="K1254" t="e">
        <v>#N/A</v>
      </c>
      <c r="S1254" s="3"/>
    </row>
    <row r="1255" spans="1:19" x14ac:dyDescent="0.25">
      <c r="A1255" t="s">
        <v>4297</v>
      </c>
      <c r="B1255" t="s">
        <v>4298</v>
      </c>
      <c r="C1255" t="s">
        <v>4299</v>
      </c>
      <c r="D1255" t="s">
        <v>23</v>
      </c>
      <c r="E1255">
        <v>619</v>
      </c>
      <c r="F1255" s="3">
        <v>40702</v>
      </c>
      <c r="H1255" t="s">
        <v>15523</v>
      </c>
      <c r="I1255" t="s">
        <v>16622</v>
      </c>
      <c r="K1255" t="e">
        <v>#N/A</v>
      </c>
      <c r="S1255" s="3"/>
    </row>
    <row r="1256" spans="1:19" x14ac:dyDescent="0.25">
      <c r="A1256" t="s">
        <v>4300</v>
      </c>
      <c r="B1256" t="s">
        <v>4301</v>
      </c>
      <c r="C1256" t="s">
        <v>4302</v>
      </c>
      <c r="D1256" t="s">
        <v>23</v>
      </c>
      <c r="E1256">
        <v>3593</v>
      </c>
      <c r="F1256" s="3">
        <v>40702</v>
      </c>
      <c r="H1256" t="s">
        <v>15523</v>
      </c>
      <c r="I1256" t="s">
        <v>16623</v>
      </c>
      <c r="K1256" t="e">
        <v>#N/A</v>
      </c>
      <c r="S1256" s="3"/>
    </row>
    <row r="1257" spans="1:19" x14ac:dyDescent="0.25">
      <c r="A1257" t="s">
        <v>4303</v>
      </c>
      <c r="B1257" t="s">
        <v>4304</v>
      </c>
      <c r="C1257" t="s">
        <v>4305</v>
      </c>
      <c r="D1257" t="s">
        <v>23</v>
      </c>
      <c r="E1257">
        <v>1814</v>
      </c>
      <c r="F1257" s="3">
        <v>40702</v>
      </c>
      <c r="H1257" t="s">
        <v>15523</v>
      </c>
      <c r="I1257" t="s">
        <v>16624</v>
      </c>
      <c r="K1257" t="e">
        <v>#N/A</v>
      </c>
      <c r="S1257" s="3"/>
    </row>
    <row r="1258" spans="1:19" x14ac:dyDescent="0.25">
      <c r="A1258" t="s">
        <v>4306</v>
      </c>
      <c r="B1258" t="s">
        <v>4307</v>
      </c>
      <c r="C1258" t="s">
        <v>4308</v>
      </c>
      <c r="D1258" t="s">
        <v>23</v>
      </c>
      <c r="E1258">
        <v>3594</v>
      </c>
      <c r="F1258" s="3">
        <v>40702</v>
      </c>
      <c r="H1258" t="s">
        <v>15523</v>
      </c>
      <c r="I1258" t="s">
        <v>16625</v>
      </c>
      <c r="K1258" t="e">
        <v>#N/A</v>
      </c>
      <c r="S1258" s="3"/>
    </row>
    <row r="1259" spans="1:19" x14ac:dyDescent="0.25">
      <c r="A1259" t="s">
        <v>4309</v>
      </c>
      <c r="B1259" t="s">
        <v>4310</v>
      </c>
      <c r="C1259" t="s">
        <v>4311</v>
      </c>
      <c r="D1259" t="s">
        <v>23</v>
      </c>
      <c r="E1259">
        <v>3591</v>
      </c>
      <c r="F1259" s="3">
        <v>40702</v>
      </c>
      <c r="H1259" t="s">
        <v>15523</v>
      </c>
      <c r="I1259" t="s">
        <v>16626</v>
      </c>
      <c r="K1259" t="e">
        <v>#N/A</v>
      </c>
      <c r="S1259" s="3"/>
    </row>
    <row r="1260" spans="1:19" x14ac:dyDescent="0.25">
      <c r="A1260" t="s">
        <v>4312</v>
      </c>
      <c r="B1260" t="s">
        <v>4313</v>
      </c>
      <c r="C1260" t="s">
        <v>4314</v>
      </c>
      <c r="D1260" t="s">
        <v>23</v>
      </c>
      <c r="E1260">
        <v>626</v>
      </c>
      <c r="F1260" s="3">
        <v>40702</v>
      </c>
      <c r="H1260" t="s">
        <v>15523</v>
      </c>
      <c r="I1260" t="s">
        <v>16627</v>
      </c>
      <c r="K1260" t="e">
        <v>#N/A</v>
      </c>
      <c r="S1260" s="3"/>
    </row>
    <row r="1261" spans="1:19" x14ac:dyDescent="0.25">
      <c r="A1261" t="s">
        <v>4315</v>
      </c>
      <c r="B1261" t="s">
        <v>4316</v>
      </c>
      <c r="C1261" t="s">
        <v>4317</v>
      </c>
      <c r="D1261" t="s">
        <v>23</v>
      </c>
      <c r="E1261">
        <v>3597</v>
      </c>
      <c r="F1261" s="3">
        <v>40702</v>
      </c>
      <c r="H1261" t="s">
        <v>15523</v>
      </c>
      <c r="I1261" t="s">
        <v>16628</v>
      </c>
      <c r="K1261" t="e">
        <v>#N/A</v>
      </c>
      <c r="S1261" s="3"/>
    </row>
    <row r="1262" spans="1:19" x14ac:dyDescent="0.25">
      <c r="A1262" t="s">
        <v>4318</v>
      </c>
      <c r="B1262" t="s">
        <v>4319</v>
      </c>
      <c r="C1262" t="s">
        <v>4320</v>
      </c>
      <c r="D1262" t="s">
        <v>23</v>
      </c>
      <c r="E1262">
        <v>624</v>
      </c>
      <c r="F1262" s="3">
        <v>40702</v>
      </c>
      <c r="H1262" t="s">
        <v>15523</v>
      </c>
      <c r="I1262" t="s">
        <v>16629</v>
      </c>
      <c r="K1262" t="e">
        <v>#N/A</v>
      </c>
      <c r="S1262" s="3"/>
    </row>
    <row r="1263" spans="1:19" x14ac:dyDescent="0.25">
      <c r="A1263" t="s">
        <v>4321</v>
      </c>
      <c r="B1263" t="s">
        <v>4322</v>
      </c>
      <c r="C1263" s="3">
        <v>1965463</v>
      </c>
      <c r="D1263" t="s">
        <v>23</v>
      </c>
      <c r="E1263">
        <v>3598</v>
      </c>
      <c r="F1263" s="3">
        <v>40704</v>
      </c>
      <c r="H1263" t="s">
        <v>15523</v>
      </c>
      <c r="I1263" t="s">
        <v>16630</v>
      </c>
      <c r="K1263" t="e">
        <v>#N/A</v>
      </c>
      <c r="P1263" s="3"/>
      <c r="S1263" s="3"/>
    </row>
    <row r="1264" spans="1:19" x14ac:dyDescent="0.25">
      <c r="A1264" t="s">
        <v>4324</v>
      </c>
      <c r="B1264" t="s">
        <v>4325</v>
      </c>
      <c r="C1264" t="s">
        <v>4326</v>
      </c>
      <c r="D1264" t="s">
        <v>23</v>
      </c>
      <c r="E1264">
        <v>3599</v>
      </c>
      <c r="F1264" s="3">
        <v>40702</v>
      </c>
      <c r="H1264" t="s">
        <v>15523</v>
      </c>
      <c r="I1264" t="s">
        <v>16631</v>
      </c>
      <c r="K1264" t="e">
        <v>#N/A</v>
      </c>
      <c r="S1264" s="3"/>
    </row>
    <row r="1265" spans="1:19" x14ac:dyDescent="0.25">
      <c r="A1265" t="s">
        <v>4327</v>
      </c>
      <c r="B1265" t="s">
        <v>4328</v>
      </c>
      <c r="C1265" t="s">
        <v>4329</v>
      </c>
      <c r="D1265" t="s">
        <v>23</v>
      </c>
      <c r="E1265">
        <v>3600</v>
      </c>
      <c r="F1265" s="3">
        <v>40702</v>
      </c>
      <c r="H1265" t="s">
        <v>15523</v>
      </c>
      <c r="I1265" t="s">
        <v>16632</v>
      </c>
      <c r="K1265" t="e">
        <v>#N/A</v>
      </c>
      <c r="S1265" s="3"/>
    </row>
    <row r="1266" spans="1:19" x14ac:dyDescent="0.25">
      <c r="A1266" t="s">
        <v>4330</v>
      </c>
      <c r="B1266" t="s">
        <v>4331</v>
      </c>
      <c r="C1266" t="s">
        <v>4332</v>
      </c>
      <c r="D1266" t="s">
        <v>23</v>
      </c>
      <c r="E1266">
        <v>3601</v>
      </c>
      <c r="F1266" s="3">
        <v>40702</v>
      </c>
      <c r="H1266" t="s">
        <v>15523</v>
      </c>
      <c r="I1266" t="s">
        <v>16633</v>
      </c>
      <c r="K1266" t="e">
        <v>#N/A</v>
      </c>
      <c r="S1266" s="3"/>
    </row>
    <row r="1267" spans="1:19" x14ac:dyDescent="0.25">
      <c r="A1267" t="s">
        <v>4333</v>
      </c>
      <c r="B1267" t="s">
        <v>4334</v>
      </c>
      <c r="C1267" t="s">
        <v>4335</v>
      </c>
      <c r="D1267" t="s">
        <v>23</v>
      </c>
      <c r="E1267">
        <v>3602</v>
      </c>
      <c r="F1267" s="3">
        <v>40702</v>
      </c>
      <c r="H1267" t="s">
        <v>15523</v>
      </c>
      <c r="I1267" t="s">
        <v>16634</v>
      </c>
      <c r="K1267" t="e">
        <v>#N/A</v>
      </c>
      <c r="S1267" s="3"/>
    </row>
    <row r="1268" spans="1:19" x14ac:dyDescent="0.25">
      <c r="A1268" t="s">
        <v>4336</v>
      </c>
      <c r="B1268" t="s">
        <v>4337</v>
      </c>
      <c r="C1268" t="s">
        <v>16179</v>
      </c>
      <c r="D1268" t="s">
        <v>47</v>
      </c>
      <c r="E1268">
        <v>5250</v>
      </c>
      <c r="F1268" s="3">
        <v>42042</v>
      </c>
      <c r="H1268" t="s">
        <v>15523</v>
      </c>
      <c r="I1268" t="s">
        <v>16180</v>
      </c>
      <c r="K1268" t="e">
        <v>#N/A</v>
      </c>
      <c r="S1268" s="3"/>
    </row>
    <row r="1269" spans="1:19" x14ac:dyDescent="0.25">
      <c r="A1269" t="s">
        <v>4338</v>
      </c>
      <c r="B1269" t="s">
        <v>4339</v>
      </c>
      <c r="C1269" t="s">
        <v>4340</v>
      </c>
      <c r="D1269" t="s">
        <v>23</v>
      </c>
      <c r="E1269">
        <v>3603</v>
      </c>
      <c r="F1269" s="3">
        <v>40702</v>
      </c>
      <c r="H1269" t="s">
        <v>15523</v>
      </c>
      <c r="I1269" t="s">
        <v>16635</v>
      </c>
      <c r="K1269" t="e">
        <v>#N/A</v>
      </c>
      <c r="S1269" s="3"/>
    </row>
    <row r="1270" spans="1:19" x14ac:dyDescent="0.25">
      <c r="A1270" t="s">
        <v>4341</v>
      </c>
      <c r="B1270" t="s">
        <v>4342</v>
      </c>
      <c r="C1270" t="s">
        <v>16179</v>
      </c>
      <c r="D1270" t="s">
        <v>666</v>
      </c>
      <c r="E1270">
        <v>3376</v>
      </c>
      <c r="F1270" s="3">
        <v>40702</v>
      </c>
      <c r="H1270" t="s">
        <v>15523</v>
      </c>
      <c r="I1270" t="s">
        <v>16180</v>
      </c>
      <c r="K1270" t="e">
        <v>#N/A</v>
      </c>
      <c r="S1270" s="3"/>
    </row>
    <row r="1271" spans="1:19" x14ac:dyDescent="0.25">
      <c r="A1271" t="s">
        <v>4343</v>
      </c>
      <c r="B1271" t="s">
        <v>4344</v>
      </c>
      <c r="C1271" t="s">
        <v>4345</v>
      </c>
      <c r="D1271" t="s">
        <v>23</v>
      </c>
      <c r="E1271">
        <v>2308</v>
      </c>
      <c r="F1271" s="3">
        <v>40782</v>
      </c>
      <c r="H1271" t="s">
        <v>15523</v>
      </c>
      <c r="I1271" t="s">
        <v>16636</v>
      </c>
      <c r="K1271" t="e">
        <v>#N/A</v>
      </c>
      <c r="S1271" s="3"/>
    </row>
    <row r="1272" spans="1:19" x14ac:dyDescent="0.25">
      <c r="A1272" t="s">
        <v>4346</v>
      </c>
      <c r="B1272" t="s">
        <v>4347</v>
      </c>
      <c r="C1272" t="s">
        <v>4348</v>
      </c>
      <c r="D1272" t="s">
        <v>23</v>
      </c>
      <c r="E1272">
        <v>382</v>
      </c>
      <c r="F1272" s="3">
        <v>40703</v>
      </c>
      <c r="H1272" t="s">
        <v>15523</v>
      </c>
      <c r="I1272" t="s">
        <v>16637</v>
      </c>
      <c r="K1272" t="e">
        <v>#N/A</v>
      </c>
      <c r="S1272" s="3"/>
    </row>
    <row r="1273" spans="1:19" x14ac:dyDescent="0.25">
      <c r="A1273" t="s">
        <v>4349</v>
      </c>
      <c r="B1273" t="s">
        <v>4350</v>
      </c>
      <c r="C1273" t="s">
        <v>16179</v>
      </c>
      <c r="D1273" t="s">
        <v>47</v>
      </c>
      <c r="E1273">
        <v>3302</v>
      </c>
      <c r="F1273" s="3">
        <v>40702</v>
      </c>
      <c r="H1273" t="s">
        <v>15523</v>
      </c>
      <c r="I1273" t="s">
        <v>16180</v>
      </c>
      <c r="K1273" t="e">
        <v>#N/A</v>
      </c>
      <c r="S1273" s="3"/>
    </row>
    <row r="1274" spans="1:19" x14ac:dyDescent="0.25">
      <c r="A1274" t="s">
        <v>4351</v>
      </c>
      <c r="B1274" t="s">
        <v>4352</v>
      </c>
      <c r="C1274" t="s">
        <v>16179</v>
      </c>
      <c r="D1274" t="s">
        <v>47</v>
      </c>
      <c r="E1274">
        <v>3303</v>
      </c>
      <c r="F1274" s="3">
        <v>40702</v>
      </c>
      <c r="H1274" t="s">
        <v>15523</v>
      </c>
      <c r="I1274" t="s">
        <v>16180</v>
      </c>
      <c r="K1274" t="e">
        <v>#N/A</v>
      </c>
      <c r="S1274" s="3"/>
    </row>
    <row r="1275" spans="1:19" x14ac:dyDescent="0.25">
      <c r="A1275" t="s">
        <v>4353</v>
      </c>
      <c r="B1275" t="s">
        <v>4354</v>
      </c>
      <c r="C1275" t="s">
        <v>16179</v>
      </c>
      <c r="D1275" t="s">
        <v>2779</v>
      </c>
      <c r="E1275">
        <v>3413</v>
      </c>
      <c r="F1275" s="3">
        <v>40783</v>
      </c>
      <c r="H1275" t="s">
        <v>15523</v>
      </c>
      <c r="I1275" t="s">
        <v>16180</v>
      </c>
      <c r="K1275" t="e">
        <v>#N/A</v>
      </c>
      <c r="S1275" s="3"/>
    </row>
    <row r="1276" spans="1:19" x14ac:dyDescent="0.25">
      <c r="A1276" t="s">
        <v>4355</v>
      </c>
      <c r="B1276" t="s">
        <v>4356</v>
      </c>
      <c r="C1276" t="s">
        <v>16179</v>
      </c>
      <c r="D1276" t="s">
        <v>2779</v>
      </c>
      <c r="E1276">
        <v>3414</v>
      </c>
      <c r="F1276" s="3">
        <v>40783</v>
      </c>
      <c r="H1276" t="s">
        <v>15523</v>
      </c>
      <c r="I1276" t="s">
        <v>16180</v>
      </c>
      <c r="K1276" t="e">
        <v>#N/A</v>
      </c>
      <c r="S1276" s="3"/>
    </row>
    <row r="1277" spans="1:19" x14ac:dyDescent="0.25">
      <c r="A1277" t="s">
        <v>4357</v>
      </c>
      <c r="B1277" t="s">
        <v>4358</v>
      </c>
      <c r="C1277" t="s">
        <v>4359</v>
      </c>
      <c r="D1277" t="s">
        <v>23</v>
      </c>
      <c r="E1277">
        <v>646</v>
      </c>
      <c r="F1277" s="3">
        <v>40702</v>
      </c>
      <c r="H1277" t="s">
        <v>15523</v>
      </c>
      <c r="I1277" t="s">
        <v>16638</v>
      </c>
      <c r="K1277" t="e">
        <v>#N/A</v>
      </c>
      <c r="S1277" s="3"/>
    </row>
    <row r="1278" spans="1:19" x14ac:dyDescent="0.25">
      <c r="A1278" t="s">
        <v>4360</v>
      </c>
      <c r="B1278" t="s">
        <v>4361</v>
      </c>
      <c r="C1278" t="s">
        <v>4362</v>
      </c>
      <c r="D1278" t="s">
        <v>23</v>
      </c>
      <c r="E1278">
        <v>3631</v>
      </c>
      <c r="F1278" s="3">
        <v>40782</v>
      </c>
      <c r="H1278" t="s">
        <v>15523</v>
      </c>
      <c r="I1278" t="s">
        <v>16639</v>
      </c>
      <c r="K1278" t="e">
        <v>#N/A</v>
      </c>
      <c r="S1278" s="3"/>
    </row>
    <row r="1279" spans="1:19" x14ac:dyDescent="0.25">
      <c r="A1279" t="s">
        <v>4363</v>
      </c>
      <c r="B1279" t="s">
        <v>4364</v>
      </c>
      <c r="C1279" t="s">
        <v>16179</v>
      </c>
      <c r="D1279" t="s">
        <v>23</v>
      </c>
      <c r="E1279">
        <v>3443</v>
      </c>
      <c r="F1279" s="3">
        <v>40702</v>
      </c>
      <c r="H1279" t="s">
        <v>15523</v>
      </c>
      <c r="I1279" t="s">
        <v>16180</v>
      </c>
      <c r="K1279" t="e">
        <v>#N/A</v>
      </c>
      <c r="S1279" s="3"/>
    </row>
    <row r="1280" spans="1:19" x14ac:dyDescent="0.25">
      <c r="A1280" t="s">
        <v>4365</v>
      </c>
      <c r="B1280" t="s">
        <v>4366</v>
      </c>
      <c r="C1280" t="s">
        <v>4367</v>
      </c>
      <c r="D1280" t="s">
        <v>23</v>
      </c>
      <c r="E1280">
        <v>3634</v>
      </c>
      <c r="F1280" s="3">
        <v>40702</v>
      </c>
      <c r="H1280" t="s">
        <v>15523</v>
      </c>
      <c r="I1280" t="s">
        <v>16640</v>
      </c>
      <c r="K1280" t="e">
        <v>#N/A</v>
      </c>
      <c r="S1280" s="3"/>
    </row>
    <row r="1281" spans="1:19" x14ac:dyDescent="0.25">
      <c r="A1281" t="s">
        <v>4368</v>
      </c>
      <c r="B1281" t="s">
        <v>4369</v>
      </c>
      <c r="C1281" t="s">
        <v>4370</v>
      </c>
      <c r="D1281" t="s">
        <v>23</v>
      </c>
      <c r="E1281">
        <v>5309</v>
      </c>
      <c r="F1281" s="3">
        <v>42172</v>
      </c>
      <c r="H1281" t="s">
        <v>15523</v>
      </c>
      <c r="I1281" t="s">
        <v>16641</v>
      </c>
      <c r="K1281" t="e">
        <v>#N/A</v>
      </c>
      <c r="S1281" s="3"/>
    </row>
    <row r="1282" spans="1:19" x14ac:dyDescent="0.25">
      <c r="A1282" t="s">
        <v>4371</v>
      </c>
      <c r="B1282" t="s">
        <v>4372</v>
      </c>
      <c r="C1282" t="s">
        <v>4373</v>
      </c>
      <c r="D1282" t="s">
        <v>23</v>
      </c>
      <c r="E1282">
        <v>5273</v>
      </c>
      <c r="F1282" s="3">
        <v>42055</v>
      </c>
      <c r="H1282" t="s">
        <v>15523</v>
      </c>
      <c r="I1282" t="s">
        <v>16642</v>
      </c>
      <c r="K1282" t="e">
        <v>#N/A</v>
      </c>
      <c r="S1282" s="3"/>
    </row>
    <row r="1283" spans="1:19" x14ac:dyDescent="0.25">
      <c r="A1283" t="s">
        <v>4374</v>
      </c>
      <c r="B1283" t="s">
        <v>4375</v>
      </c>
      <c r="C1283" t="s">
        <v>4376</v>
      </c>
      <c r="D1283" t="s">
        <v>23</v>
      </c>
      <c r="E1283">
        <v>3635</v>
      </c>
      <c r="F1283" s="3">
        <v>40702</v>
      </c>
      <c r="H1283" t="s">
        <v>15523</v>
      </c>
      <c r="I1283" t="s">
        <v>16643</v>
      </c>
      <c r="K1283" t="e">
        <v>#N/A</v>
      </c>
      <c r="S1283" s="3"/>
    </row>
    <row r="1284" spans="1:19" x14ac:dyDescent="0.25">
      <c r="A1284" t="s">
        <v>4377</v>
      </c>
      <c r="B1284" t="s">
        <v>4378</v>
      </c>
      <c r="C1284" t="s">
        <v>4379</v>
      </c>
      <c r="D1284" t="s">
        <v>23</v>
      </c>
      <c r="E1284">
        <v>3636</v>
      </c>
      <c r="F1284" s="3">
        <v>40702</v>
      </c>
      <c r="H1284" t="s">
        <v>15523</v>
      </c>
      <c r="I1284" t="s">
        <v>16644</v>
      </c>
      <c r="K1284" t="e">
        <v>#N/A</v>
      </c>
      <c r="S1284" s="3"/>
    </row>
    <row r="1285" spans="1:19" x14ac:dyDescent="0.25">
      <c r="A1285" t="s">
        <v>4380</v>
      </c>
      <c r="B1285" t="s">
        <v>4381</v>
      </c>
      <c r="C1285" t="s">
        <v>4382</v>
      </c>
      <c r="D1285" t="s">
        <v>23</v>
      </c>
      <c r="E1285">
        <v>3637</v>
      </c>
      <c r="F1285" s="3">
        <v>40702</v>
      </c>
      <c r="H1285" t="s">
        <v>15523</v>
      </c>
      <c r="I1285" t="s">
        <v>16645</v>
      </c>
      <c r="K1285" t="e">
        <v>#N/A</v>
      </c>
      <c r="S1285" s="3"/>
    </row>
    <row r="1286" spans="1:19" x14ac:dyDescent="0.25">
      <c r="A1286" t="s">
        <v>4383</v>
      </c>
      <c r="B1286" t="s">
        <v>4384</v>
      </c>
      <c r="C1286" t="s">
        <v>16179</v>
      </c>
      <c r="D1286" t="s">
        <v>666</v>
      </c>
      <c r="E1286">
        <v>3471</v>
      </c>
      <c r="F1286" s="3">
        <v>40702</v>
      </c>
      <c r="H1286" t="s">
        <v>15523</v>
      </c>
      <c r="I1286" t="s">
        <v>16180</v>
      </c>
      <c r="K1286" t="e">
        <v>#N/A</v>
      </c>
      <c r="S1286" s="3"/>
    </row>
    <row r="1287" spans="1:19" x14ac:dyDescent="0.25">
      <c r="A1287" t="s">
        <v>4385</v>
      </c>
      <c r="B1287" t="s">
        <v>4386</v>
      </c>
      <c r="C1287" t="s">
        <v>16179</v>
      </c>
      <c r="D1287" t="s">
        <v>47</v>
      </c>
      <c r="E1287">
        <v>627</v>
      </c>
      <c r="F1287" s="3">
        <v>40702</v>
      </c>
      <c r="H1287" t="s">
        <v>15523</v>
      </c>
      <c r="I1287" t="s">
        <v>16180</v>
      </c>
      <c r="K1287" t="e">
        <v>#N/A</v>
      </c>
      <c r="S1287" s="3"/>
    </row>
    <row r="1288" spans="1:19" x14ac:dyDescent="0.25">
      <c r="A1288" t="s">
        <v>4387</v>
      </c>
      <c r="B1288" t="s">
        <v>4388</v>
      </c>
      <c r="C1288" t="s">
        <v>16179</v>
      </c>
      <c r="D1288" t="s">
        <v>47</v>
      </c>
      <c r="E1288">
        <v>3343</v>
      </c>
      <c r="F1288" s="3">
        <v>40702</v>
      </c>
      <c r="H1288" t="s">
        <v>15523</v>
      </c>
      <c r="I1288" t="s">
        <v>16180</v>
      </c>
      <c r="K1288" t="e">
        <v>#N/A</v>
      </c>
      <c r="S1288" s="3"/>
    </row>
    <row r="1289" spans="1:19" x14ac:dyDescent="0.25">
      <c r="A1289" t="s">
        <v>4389</v>
      </c>
      <c r="B1289" t="s">
        <v>4390</v>
      </c>
      <c r="C1289" t="s">
        <v>16179</v>
      </c>
      <c r="D1289" t="s">
        <v>666</v>
      </c>
      <c r="E1289">
        <v>5343</v>
      </c>
      <c r="F1289" s="3">
        <v>42222</v>
      </c>
      <c r="H1289" t="s">
        <v>15523</v>
      </c>
      <c r="I1289" t="s">
        <v>16180</v>
      </c>
      <c r="K1289" t="e">
        <v>#N/A</v>
      </c>
      <c r="S1289" s="3"/>
    </row>
    <row r="1290" spans="1:19" x14ac:dyDescent="0.25">
      <c r="A1290" t="s">
        <v>4391</v>
      </c>
      <c r="B1290" t="s">
        <v>4392</v>
      </c>
      <c r="C1290" t="s">
        <v>4393</v>
      </c>
      <c r="D1290" t="s">
        <v>23</v>
      </c>
      <c r="E1290">
        <v>3647</v>
      </c>
      <c r="F1290" s="3">
        <v>40702</v>
      </c>
      <c r="H1290" t="s">
        <v>15523</v>
      </c>
      <c r="I1290" t="s">
        <v>16646</v>
      </c>
      <c r="K1290" t="e">
        <v>#N/A</v>
      </c>
      <c r="S1290" s="3"/>
    </row>
    <row r="1291" spans="1:19" x14ac:dyDescent="0.25">
      <c r="A1291" t="s">
        <v>4394</v>
      </c>
      <c r="B1291" t="s">
        <v>4395</v>
      </c>
      <c r="C1291" t="s">
        <v>4396</v>
      </c>
      <c r="D1291" t="s">
        <v>23</v>
      </c>
      <c r="E1291">
        <v>3650</v>
      </c>
      <c r="F1291" s="3">
        <v>40702</v>
      </c>
      <c r="H1291" t="s">
        <v>15523</v>
      </c>
      <c r="I1291" t="s">
        <v>16647</v>
      </c>
      <c r="K1291" t="e">
        <v>#N/A</v>
      </c>
      <c r="S1291" s="3"/>
    </row>
    <row r="1292" spans="1:19" x14ac:dyDescent="0.25">
      <c r="A1292" t="s">
        <v>4397</v>
      </c>
      <c r="B1292" t="s">
        <v>4398</v>
      </c>
      <c r="C1292" t="s">
        <v>4399</v>
      </c>
      <c r="D1292" t="s">
        <v>23</v>
      </c>
      <c r="E1292">
        <v>668</v>
      </c>
      <c r="F1292" s="3">
        <v>40702</v>
      </c>
      <c r="H1292" t="s">
        <v>15523</v>
      </c>
      <c r="I1292" t="s">
        <v>16648</v>
      </c>
      <c r="K1292" t="e">
        <v>#N/A</v>
      </c>
      <c r="S1292" s="3"/>
    </row>
    <row r="1293" spans="1:19" x14ac:dyDescent="0.25">
      <c r="A1293" t="s">
        <v>4400</v>
      </c>
      <c r="B1293" t="s">
        <v>4401</v>
      </c>
      <c r="C1293" t="s">
        <v>4402</v>
      </c>
      <c r="D1293" t="s">
        <v>23</v>
      </c>
      <c r="E1293">
        <v>3659</v>
      </c>
      <c r="F1293" s="3">
        <v>40702</v>
      </c>
      <c r="H1293" t="s">
        <v>15523</v>
      </c>
      <c r="I1293" t="s">
        <v>16649</v>
      </c>
      <c r="K1293" t="e">
        <v>#N/A</v>
      </c>
      <c r="S1293" s="3"/>
    </row>
    <row r="1294" spans="1:19" x14ac:dyDescent="0.25">
      <c r="A1294" t="s">
        <v>4403</v>
      </c>
      <c r="B1294" t="s">
        <v>4404</v>
      </c>
      <c r="C1294" t="s">
        <v>4405</v>
      </c>
      <c r="D1294" t="s">
        <v>23</v>
      </c>
      <c r="E1294">
        <v>5176</v>
      </c>
      <c r="F1294" s="3">
        <v>42035</v>
      </c>
      <c r="H1294" t="s">
        <v>15523</v>
      </c>
      <c r="I1294" t="s">
        <v>16650</v>
      </c>
      <c r="K1294" t="e">
        <v>#N/A</v>
      </c>
      <c r="S1294" s="3"/>
    </row>
    <row r="1295" spans="1:19" x14ac:dyDescent="0.25">
      <c r="A1295" t="s">
        <v>4406</v>
      </c>
      <c r="B1295" t="s">
        <v>4407</v>
      </c>
      <c r="C1295" t="s">
        <v>4408</v>
      </c>
      <c r="D1295" t="s">
        <v>23</v>
      </c>
      <c r="E1295">
        <v>3667</v>
      </c>
      <c r="F1295" s="3">
        <v>40702</v>
      </c>
      <c r="H1295" t="s">
        <v>15523</v>
      </c>
      <c r="I1295" t="s">
        <v>16651</v>
      </c>
      <c r="K1295" t="e">
        <v>#N/A</v>
      </c>
      <c r="S1295" s="3"/>
    </row>
    <row r="1296" spans="1:19" x14ac:dyDescent="0.25">
      <c r="A1296" t="s">
        <v>4409</v>
      </c>
      <c r="B1296" t="s">
        <v>4410</v>
      </c>
      <c r="C1296" t="s">
        <v>4411</v>
      </c>
      <c r="D1296" t="s">
        <v>23</v>
      </c>
      <c r="E1296">
        <v>5939</v>
      </c>
      <c r="F1296" s="3">
        <v>43208</v>
      </c>
      <c r="H1296" t="s">
        <v>15523</v>
      </c>
      <c r="I1296" t="s">
        <v>16652</v>
      </c>
      <c r="K1296" t="e">
        <v>#N/A</v>
      </c>
      <c r="S1296" s="3"/>
    </row>
    <row r="1297" spans="1:19" x14ac:dyDescent="0.25">
      <c r="A1297" t="s">
        <v>4412</v>
      </c>
      <c r="B1297" t="s">
        <v>4413</v>
      </c>
      <c r="C1297" t="s">
        <v>16179</v>
      </c>
      <c r="D1297" t="s">
        <v>2820</v>
      </c>
      <c r="E1297">
        <v>5631</v>
      </c>
      <c r="F1297" s="3">
        <v>42607</v>
      </c>
      <c r="H1297" t="s">
        <v>15523</v>
      </c>
      <c r="I1297" t="s">
        <v>16180</v>
      </c>
      <c r="K1297" t="e">
        <v>#N/A</v>
      </c>
      <c r="S1297" s="3"/>
    </row>
    <row r="1298" spans="1:19" x14ac:dyDescent="0.25">
      <c r="A1298" t="s">
        <v>4414</v>
      </c>
      <c r="B1298" t="s">
        <v>4415</v>
      </c>
      <c r="C1298" t="s">
        <v>16179</v>
      </c>
      <c r="D1298" t="s">
        <v>47</v>
      </c>
      <c r="E1298">
        <v>3345</v>
      </c>
      <c r="F1298" s="3">
        <v>40702</v>
      </c>
      <c r="H1298" t="s">
        <v>15523</v>
      </c>
      <c r="I1298" t="s">
        <v>16180</v>
      </c>
      <c r="K1298" t="e">
        <v>#N/A</v>
      </c>
      <c r="S1298" s="3"/>
    </row>
    <row r="1299" spans="1:19" x14ac:dyDescent="0.25">
      <c r="A1299" t="s">
        <v>4416</v>
      </c>
      <c r="B1299" t="s">
        <v>4417</v>
      </c>
      <c r="C1299" t="s">
        <v>16179</v>
      </c>
      <c r="D1299" t="s">
        <v>47</v>
      </c>
      <c r="E1299">
        <v>5993</v>
      </c>
      <c r="F1299" s="3">
        <v>43442</v>
      </c>
      <c r="H1299" t="s">
        <v>15523</v>
      </c>
      <c r="I1299" t="s">
        <v>16180</v>
      </c>
      <c r="K1299" t="e">
        <v>#N/A</v>
      </c>
      <c r="S1299" s="3"/>
    </row>
    <row r="1300" spans="1:19" x14ac:dyDescent="0.25">
      <c r="A1300" t="s">
        <v>4418</v>
      </c>
      <c r="B1300" t="s">
        <v>4419</v>
      </c>
      <c r="C1300" t="s">
        <v>4420</v>
      </c>
      <c r="D1300" t="s">
        <v>23</v>
      </c>
      <c r="E1300">
        <v>3666</v>
      </c>
      <c r="F1300" s="3">
        <v>40702</v>
      </c>
      <c r="H1300" t="s">
        <v>15523</v>
      </c>
      <c r="I1300" t="s">
        <v>16653</v>
      </c>
      <c r="K1300" t="e">
        <v>#N/A</v>
      </c>
      <c r="S1300" s="3"/>
    </row>
    <row r="1301" spans="1:19" x14ac:dyDescent="0.25">
      <c r="A1301" t="s">
        <v>4421</v>
      </c>
      <c r="B1301" t="s">
        <v>4422</v>
      </c>
      <c r="C1301" t="s">
        <v>4423</v>
      </c>
      <c r="D1301" t="s">
        <v>23</v>
      </c>
      <c r="E1301">
        <v>3671</v>
      </c>
      <c r="F1301" s="3">
        <v>40702</v>
      </c>
      <c r="H1301" t="s">
        <v>15523</v>
      </c>
      <c r="I1301" t="s">
        <v>16654</v>
      </c>
      <c r="K1301" t="e">
        <v>#N/A</v>
      </c>
      <c r="S1301" s="3"/>
    </row>
    <row r="1302" spans="1:19" x14ac:dyDescent="0.25">
      <c r="A1302" t="s">
        <v>4424</v>
      </c>
      <c r="B1302" t="s">
        <v>4425</v>
      </c>
      <c r="C1302" t="s">
        <v>4426</v>
      </c>
      <c r="D1302" t="s">
        <v>23</v>
      </c>
      <c r="E1302">
        <v>3673</v>
      </c>
      <c r="F1302" s="3">
        <v>40702</v>
      </c>
      <c r="H1302" t="s">
        <v>15523</v>
      </c>
      <c r="I1302" t="s">
        <v>16655</v>
      </c>
      <c r="K1302" t="e">
        <v>#N/A</v>
      </c>
      <c r="S1302" s="3"/>
    </row>
    <row r="1303" spans="1:19" x14ac:dyDescent="0.25">
      <c r="A1303" t="s">
        <v>4427</v>
      </c>
      <c r="B1303" t="s">
        <v>4428</v>
      </c>
      <c r="C1303" t="s">
        <v>4429</v>
      </c>
      <c r="D1303" t="s">
        <v>23</v>
      </c>
      <c r="E1303">
        <v>3674</v>
      </c>
      <c r="F1303" s="3">
        <v>40702</v>
      </c>
      <c r="H1303" t="s">
        <v>15523</v>
      </c>
      <c r="I1303" t="s">
        <v>16656</v>
      </c>
      <c r="K1303" t="e">
        <v>#N/A</v>
      </c>
      <c r="S1303" s="3"/>
    </row>
    <row r="1304" spans="1:19" x14ac:dyDescent="0.25">
      <c r="A1304" t="s">
        <v>4430</v>
      </c>
      <c r="B1304" t="s">
        <v>4431</v>
      </c>
      <c r="C1304" t="s">
        <v>16179</v>
      </c>
      <c r="D1304" t="s">
        <v>666</v>
      </c>
      <c r="E1304">
        <v>3494</v>
      </c>
      <c r="F1304" s="3">
        <v>40781</v>
      </c>
      <c r="H1304" t="s">
        <v>15523</v>
      </c>
      <c r="I1304" t="s">
        <v>16180</v>
      </c>
      <c r="K1304" t="e">
        <v>#N/A</v>
      </c>
      <c r="S1304" s="3"/>
    </row>
    <row r="1305" spans="1:19" x14ac:dyDescent="0.25">
      <c r="A1305" t="s">
        <v>4432</v>
      </c>
      <c r="B1305" t="s">
        <v>4433</v>
      </c>
      <c r="C1305" t="s">
        <v>16179</v>
      </c>
      <c r="D1305" t="s">
        <v>47</v>
      </c>
      <c r="E1305">
        <v>3350</v>
      </c>
      <c r="F1305" s="3">
        <v>40823</v>
      </c>
      <c r="H1305" t="s">
        <v>15523</v>
      </c>
      <c r="I1305" t="s">
        <v>16180</v>
      </c>
      <c r="K1305" t="e">
        <v>#N/A</v>
      </c>
      <c r="S1305" s="3"/>
    </row>
    <row r="1306" spans="1:19" x14ac:dyDescent="0.25">
      <c r="A1306" t="s">
        <v>4434</v>
      </c>
      <c r="B1306" t="s">
        <v>4435</v>
      </c>
      <c r="C1306" t="s">
        <v>16179</v>
      </c>
      <c r="D1306" t="s">
        <v>47</v>
      </c>
      <c r="E1306">
        <v>3351</v>
      </c>
      <c r="F1306" s="3">
        <v>40781</v>
      </c>
      <c r="H1306" t="s">
        <v>15523</v>
      </c>
      <c r="I1306" t="s">
        <v>16180</v>
      </c>
      <c r="K1306" t="e">
        <v>#N/A</v>
      </c>
      <c r="S1306" s="3"/>
    </row>
    <row r="1307" spans="1:19" x14ac:dyDescent="0.25">
      <c r="A1307" t="s">
        <v>4436</v>
      </c>
      <c r="B1307" t="s">
        <v>4437</v>
      </c>
      <c r="C1307" t="s">
        <v>16179</v>
      </c>
      <c r="D1307" t="s">
        <v>666</v>
      </c>
      <c r="E1307">
        <v>3514</v>
      </c>
      <c r="F1307" s="3">
        <v>40781</v>
      </c>
      <c r="H1307" t="s">
        <v>15523</v>
      </c>
      <c r="I1307" t="s">
        <v>16180</v>
      </c>
      <c r="K1307" t="e">
        <v>#N/A</v>
      </c>
      <c r="S1307" s="3"/>
    </row>
    <row r="1308" spans="1:19" x14ac:dyDescent="0.25">
      <c r="A1308" t="s">
        <v>4438</v>
      </c>
      <c r="B1308" t="s">
        <v>4439</v>
      </c>
      <c r="C1308" t="s">
        <v>16179</v>
      </c>
      <c r="D1308" t="s">
        <v>47</v>
      </c>
      <c r="E1308">
        <v>3382</v>
      </c>
      <c r="F1308" s="3">
        <v>40929</v>
      </c>
      <c r="H1308" t="s">
        <v>15523</v>
      </c>
      <c r="I1308" t="s">
        <v>16180</v>
      </c>
      <c r="K1308" t="e">
        <v>#N/A</v>
      </c>
      <c r="S1308" s="3"/>
    </row>
    <row r="1309" spans="1:19" x14ac:dyDescent="0.25">
      <c r="A1309" t="s">
        <v>4440</v>
      </c>
      <c r="B1309" t="s">
        <v>4441</v>
      </c>
      <c r="C1309" t="s">
        <v>16179</v>
      </c>
      <c r="D1309" t="s">
        <v>2820</v>
      </c>
      <c r="E1309">
        <v>3525</v>
      </c>
      <c r="F1309" s="3">
        <v>40702</v>
      </c>
      <c r="H1309" t="s">
        <v>15523</v>
      </c>
      <c r="I1309" t="s">
        <v>16180</v>
      </c>
      <c r="K1309" t="e">
        <v>#N/A</v>
      </c>
      <c r="S1309" s="3"/>
    </row>
    <row r="1310" spans="1:19" x14ac:dyDescent="0.25">
      <c r="A1310" t="s">
        <v>4442</v>
      </c>
      <c r="B1310" t="s">
        <v>4443</v>
      </c>
      <c r="C1310" t="s">
        <v>16179</v>
      </c>
      <c r="D1310" t="s">
        <v>47</v>
      </c>
      <c r="E1310">
        <v>3385</v>
      </c>
      <c r="F1310" s="3">
        <v>40929</v>
      </c>
      <c r="H1310" t="s">
        <v>15523</v>
      </c>
      <c r="I1310" t="s">
        <v>16180</v>
      </c>
      <c r="K1310" t="e">
        <v>#N/A</v>
      </c>
      <c r="S1310" s="3"/>
    </row>
    <row r="1311" spans="1:19" x14ac:dyDescent="0.25">
      <c r="A1311" t="s">
        <v>4444</v>
      </c>
      <c r="B1311" t="s">
        <v>4445</v>
      </c>
      <c r="C1311" t="s">
        <v>16179</v>
      </c>
      <c r="D1311" t="s">
        <v>47</v>
      </c>
      <c r="E1311">
        <v>3476</v>
      </c>
      <c r="F1311" s="3">
        <v>40702</v>
      </c>
      <c r="H1311" t="s">
        <v>15523</v>
      </c>
      <c r="I1311" t="s">
        <v>16180</v>
      </c>
      <c r="K1311" t="e">
        <v>#N/A</v>
      </c>
      <c r="S1311" s="3"/>
    </row>
    <row r="1312" spans="1:19" x14ac:dyDescent="0.25">
      <c r="A1312" t="s">
        <v>4446</v>
      </c>
      <c r="B1312" t="s">
        <v>4447</v>
      </c>
      <c r="C1312" t="s">
        <v>16179</v>
      </c>
      <c r="D1312" t="s">
        <v>666</v>
      </c>
      <c r="E1312">
        <v>692</v>
      </c>
      <c r="F1312" s="3">
        <v>40702</v>
      </c>
      <c r="H1312" t="s">
        <v>15523</v>
      </c>
      <c r="I1312" t="s">
        <v>16180</v>
      </c>
      <c r="K1312" t="e">
        <v>#N/A</v>
      </c>
      <c r="S1312" s="3"/>
    </row>
    <row r="1313" spans="1:19" x14ac:dyDescent="0.25">
      <c r="A1313" t="s">
        <v>4448</v>
      </c>
      <c r="B1313" t="s">
        <v>4449</v>
      </c>
      <c r="C1313" t="s">
        <v>16179</v>
      </c>
      <c r="D1313" t="s">
        <v>47</v>
      </c>
      <c r="E1313">
        <v>4683</v>
      </c>
      <c r="F1313" s="3">
        <v>42376</v>
      </c>
      <c r="H1313" t="s">
        <v>15523</v>
      </c>
      <c r="I1313" t="s">
        <v>16180</v>
      </c>
      <c r="K1313" t="e">
        <v>#N/A</v>
      </c>
      <c r="S1313" s="3"/>
    </row>
    <row r="1314" spans="1:19" x14ac:dyDescent="0.25">
      <c r="A1314" t="s">
        <v>4450</v>
      </c>
      <c r="B1314" t="s">
        <v>4451</v>
      </c>
      <c r="C1314" t="s">
        <v>4452</v>
      </c>
      <c r="D1314" t="s">
        <v>23</v>
      </c>
      <c r="E1314">
        <v>3695</v>
      </c>
      <c r="F1314" s="3">
        <v>40702</v>
      </c>
      <c r="H1314" t="s">
        <v>15523</v>
      </c>
      <c r="I1314" t="s">
        <v>16657</v>
      </c>
      <c r="K1314" t="e">
        <v>#N/A</v>
      </c>
      <c r="S1314" s="3"/>
    </row>
    <row r="1315" spans="1:19" x14ac:dyDescent="0.25">
      <c r="A1315" t="s">
        <v>4453</v>
      </c>
      <c r="B1315" t="s">
        <v>4454</v>
      </c>
      <c r="C1315" t="s">
        <v>4455</v>
      </c>
      <c r="D1315" t="s">
        <v>23</v>
      </c>
      <c r="E1315">
        <v>4996</v>
      </c>
      <c r="F1315" s="3">
        <v>41660</v>
      </c>
      <c r="H1315" t="s">
        <v>15523</v>
      </c>
      <c r="I1315" t="s">
        <v>16658</v>
      </c>
      <c r="K1315" t="e">
        <v>#N/A</v>
      </c>
      <c r="S1315" s="3"/>
    </row>
    <row r="1316" spans="1:19" x14ac:dyDescent="0.25">
      <c r="A1316" t="s">
        <v>4456</v>
      </c>
      <c r="B1316" t="s">
        <v>4457</v>
      </c>
      <c r="C1316" t="s">
        <v>16179</v>
      </c>
      <c r="D1316" t="s">
        <v>47</v>
      </c>
      <c r="E1316">
        <v>3482</v>
      </c>
      <c r="F1316" s="3">
        <v>40702</v>
      </c>
      <c r="H1316" t="s">
        <v>15523</v>
      </c>
      <c r="I1316" t="s">
        <v>16180</v>
      </c>
      <c r="K1316" t="e">
        <v>#N/A</v>
      </c>
      <c r="S1316" s="3"/>
    </row>
    <row r="1317" spans="1:19" x14ac:dyDescent="0.25">
      <c r="A1317" t="s">
        <v>4458</v>
      </c>
      <c r="B1317" t="s">
        <v>4459</v>
      </c>
      <c r="C1317" t="s">
        <v>4460</v>
      </c>
      <c r="D1317" t="s">
        <v>23</v>
      </c>
      <c r="E1317">
        <v>3549</v>
      </c>
      <c r="F1317" s="3">
        <v>40702</v>
      </c>
      <c r="H1317" t="s">
        <v>15523</v>
      </c>
      <c r="I1317" t="s">
        <v>16659</v>
      </c>
      <c r="K1317" t="e">
        <v>#N/A</v>
      </c>
      <c r="S1317" s="3"/>
    </row>
    <row r="1318" spans="1:19" x14ac:dyDescent="0.25">
      <c r="A1318" t="s">
        <v>4461</v>
      </c>
      <c r="B1318" t="s">
        <v>4462</v>
      </c>
      <c r="C1318" t="s">
        <v>4463</v>
      </c>
      <c r="D1318" t="s">
        <v>23</v>
      </c>
      <c r="E1318">
        <v>589</v>
      </c>
      <c r="F1318" s="3">
        <v>40702</v>
      </c>
      <c r="H1318" t="s">
        <v>15523</v>
      </c>
      <c r="I1318" t="s">
        <v>16660</v>
      </c>
      <c r="K1318" t="e">
        <v>#N/A</v>
      </c>
      <c r="S1318" s="3"/>
    </row>
    <row r="1319" spans="1:19" x14ac:dyDescent="0.25">
      <c r="A1319" t="s">
        <v>4464</v>
      </c>
      <c r="B1319" t="s">
        <v>4465</v>
      </c>
      <c r="C1319" t="s">
        <v>4466</v>
      </c>
      <c r="D1319" t="s">
        <v>23</v>
      </c>
      <c r="E1319">
        <v>590</v>
      </c>
      <c r="F1319" s="3">
        <v>40702</v>
      </c>
      <c r="H1319" t="s">
        <v>15523</v>
      </c>
      <c r="I1319" t="s">
        <v>16661</v>
      </c>
      <c r="K1319" t="e">
        <v>#N/A</v>
      </c>
      <c r="S1319" s="3"/>
    </row>
    <row r="1320" spans="1:19" x14ac:dyDescent="0.25">
      <c r="A1320" t="s">
        <v>4467</v>
      </c>
      <c r="B1320" t="s">
        <v>4468</v>
      </c>
      <c r="C1320" t="s">
        <v>4469</v>
      </c>
      <c r="D1320" t="s">
        <v>23</v>
      </c>
      <c r="E1320">
        <v>3552</v>
      </c>
      <c r="F1320" s="3">
        <v>40702</v>
      </c>
      <c r="H1320" t="s">
        <v>15523</v>
      </c>
      <c r="I1320" t="s">
        <v>16662</v>
      </c>
      <c r="K1320" t="e">
        <v>#N/A</v>
      </c>
      <c r="S1320" s="3"/>
    </row>
    <row r="1321" spans="1:19" x14ac:dyDescent="0.25">
      <c r="A1321" t="s">
        <v>4470</v>
      </c>
      <c r="B1321" t="s">
        <v>4471</v>
      </c>
      <c r="C1321" t="s">
        <v>4472</v>
      </c>
      <c r="D1321" t="s">
        <v>23</v>
      </c>
      <c r="E1321">
        <v>3553</v>
      </c>
      <c r="F1321" s="3">
        <v>40702</v>
      </c>
      <c r="H1321" t="s">
        <v>15523</v>
      </c>
      <c r="I1321" t="s">
        <v>16663</v>
      </c>
      <c r="K1321" t="e">
        <v>#N/A</v>
      </c>
      <c r="S1321" s="3"/>
    </row>
    <row r="1322" spans="1:19" x14ac:dyDescent="0.25">
      <c r="A1322" t="s">
        <v>4473</v>
      </c>
      <c r="B1322" t="s">
        <v>4474</v>
      </c>
      <c r="C1322" t="s">
        <v>4475</v>
      </c>
      <c r="D1322" t="s">
        <v>23</v>
      </c>
      <c r="E1322">
        <v>592</v>
      </c>
      <c r="F1322" s="3">
        <v>40702</v>
      </c>
      <c r="H1322" t="s">
        <v>15523</v>
      </c>
      <c r="I1322" t="s">
        <v>16664</v>
      </c>
      <c r="K1322" t="e">
        <v>#N/A</v>
      </c>
      <c r="S1322" s="3"/>
    </row>
    <row r="1323" spans="1:19" x14ac:dyDescent="0.25">
      <c r="A1323" t="s">
        <v>602</v>
      </c>
      <c r="B1323" t="s">
        <v>604</v>
      </c>
      <c r="C1323" t="s">
        <v>605</v>
      </c>
      <c r="D1323" t="s">
        <v>23</v>
      </c>
      <c r="E1323">
        <v>3556</v>
      </c>
      <c r="F1323" s="3">
        <v>40915</v>
      </c>
      <c r="H1323" t="s">
        <v>15523</v>
      </c>
      <c r="I1323" t="s">
        <v>16665</v>
      </c>
      <c r="K1323">
        <v>157</v>
      </c>
      <c r="S1323" s="3"/>
    </row>
    <row r="1324" spans="1:19" x14ac:dyDescent="0.25">
      <c r="A1324" t="s">
        <v>4476</v>
      </c>
      <c r="B1324" t="s">
        <v>4477</v>
      </c>
      <c r="C1324" t="s">
        <v>4478</v>
      </c>
      <c r="D1324" t="s">
        <v>23</v>
      </c>
      <c r="E1324">
        <v>3559</v>
      </c>
      <c r="F1324" s="3">
        <v>40702</v>
      </c>
      <c r="H1324" t="s">
        <v>15523</v>
      </c>
      <c r="I1324" t="s">
        <v>16666</v>
      </c>
      <c r="K1324" t="e">
        <v>#N/A</v>
      </c>
      <c r="S1324" s="3"/>
    </row>
    <row r="1325" spans="1:19" x14ac:dyDescent="0.25">
      <c r="A1325" t="s">
        <v>4479</v>
      </c>
      <c r="B1325" t="s">
        <v>4480</v>
      </c>
      <c r="C1325" t="s">
        <v>4481</v>
      </c>
      <c r="D1325" t="s">
        <v>23</v>
      </c>
      <c r="E1325">
        <v>5200</v>
      </c>
      <c r="F1325" s="3">
        <v>42035</v>
      </c>
      <c r="H1325" t="s">
        <v>15523</v>
      </c>
      <c r="I1325" t="s">
        <v>16667</v>
      </c>
      <c r="K1325" t="e">
        <v>#N/A</v>
      </c>
      <c r="S1325" s="3"/>
    </row>
    <row r="1326" spans="1:19" x14ac:dyDescent="0.25">
      <c r="A1326" t="s">
        <v>4482</v>
      </c>
      <c r="B1326" t="s">
        <v>4483</v>
      </c>
      <c r="C1326" t="s">
        <v>4484</v>
      </c>
      <c r="D1326" t="s">
        <v>23</v>
      </c>
      <c r="E1326">
        <v>5201</v>
      </c>
      <c r="F1326" s="3">
        <v>42035</v>
      </c>
      <c r="H1326" t="s">
        <v>15523</v>
      </c>
      <c r="I1326" t="s">
        <v>16668</v>
      </c>
      <c r="K1326" t="e">
        <v>#N/A</v>
      </c>
      <c r="S1326" s="3"/>
    </row>
    <row r="1327" spans="1:19" x14ac:dyDescent="0.25">
      <c r="A1327" t="s">
        <v>4485</v>
      </c>
      <c r="B1327" t="s">
        <v>4486</v>
      </c>
      <c r="C1327" t="s">
        <v>4487</v>
      </c>
      <c r="D1327" t="s">
        <v>23</v>
      </c>
      <c r="E1327">
        <v>3562</v>
      </c>
      <c r="F1327" s="3">
        <v>40702</v>
      </c>
      <c r="H1327" t="s">
        <v>15523</v>
      </c>
      <c r="I1327" t="s">
        <v>16669</v>
      </c>
      <c r="K1327" t="e">
        <v>#N/A</v>
      </c>
      <c r="S1327" s="3"/>
    </row>
    <row r="1328" spans="1:19" x14ac:dyDescent="0.25">
      <c r="A1328" t="s">
        <v>4488</v>
      </c>
      <c r="B1328" t="s">
        <v>4489</v>
      </c>
      <c r="C1328" t="s">
        <v>4490</v>
      </c>
      <c r="D1328" t="s">
        <v>23</v>
      </c>
      <c r="E1328">
        <v>594</v>
      </c>
      <c r="F1328" s="3">
        <v>40702</v>
      </c>
      <c r="H1328" t="s">
        <v>15523</v>
      </c>
      <c r="I1328" t="s">
        <v>16670</v>
      </c>
      <c r="K1328" t="e">
        <v>#N/A</v>
      </c>
      <c r="S1328" s="3"/>
    </row>
    <row r="1329" spans="1:19" x14ac:dyDescent="0.25">
      <c r="A1329" t="s">
        <v>4491</v>
      </c>
      <c r="B1329" t="s">
        <v>4492</v>
      </c>
      <c r="C1329" t="s">
        <v>4493</v>
      </c>
      <c r="D1329" t="s">
        <v>23</v>
      </c>
      <c r="E1329">
        <v>3584</v>
      </c>
      <c r="F1329" s="3">
        <v>40702</v>
      </c>
      <c r="H1329" t="s">
        <v>15523</v>
      </c>
      <c r="I1329" t="s">
        <v>16671</v>
      </c>
      <c r="K1329" t="e">
        <v>#N/A</v>
      </c>
      <c r="S1329" s="3"/>
    </row>
    <row r="1330" spans="1:19" x14ac:dyDescent="0.25">
      <c r="A1330" t="s">
        <v>4494</v>
      </c>
      <c r="B1330" t="s">
        <v>4495</v>
      </c>
      <c r="C1330" t="s">
        <v>4496</v>
      </c>
      <c r="D1330" t="s">
        <v>23</v>
      </c>
      <c r="E1330">
        <v>602</v>
      </c>
      <c r="F1330" s="3">
        <v>40702</v>
      </c>
      <c r="H1330" t="s">
        <v>15523</v>
      </c>
      <c r="I1330" t="s">
        <v>16672</v>
      </c>
      <c r="K1330" t="e">
        <v>#N/A</v>
      </c>
      <c r="S1330" s="3"/>
    </row>
    <row r="1331" spans="1:19" x14ac:dyDescent="0.25">
      <c r="A1331" t="s">
        <v>4497</v>
      </c>
      <c r="B1331" t="s">
        <v>4498</v>
      </c>
      <c r="C1331" t="s">
        <v>4499</v>
      </c>
      <c r="D1331" t="s">
        <v>23</v>
      </c>
      <c r="E1331">
        <v>603</v>
      </c>
      <c r="F1331" s="3">
        <v>40702</v>
      </c>
      <c r="H1331" t="s">
        <v>15523</v>
      </c>
      <c r="I1331" t="s">
        <v>16673</v>
      </c>
      <c r="K1331" t="e">
        <v>#N/A</v>
      </c>
      <c r="S1331" s="3"/>
    </row>
    <row r="1332" spans="1:19" x14ac:dyDescent="0.25">
      <c r="A1332" t="s">
        <v>4500</v>
      </c>
      <c r="B1332" t="s">
        <v>4501</v>
      </c>
      <c r="C1332" t="s">
        <v>4502</v>
      </c>
      <c r="D1332" t="s">
        <v>23</v>
      </c>
      <c r="E1332">
        <v>3585</v>
      </c>
      <c r="F1332" s="3">
        <v>40702</v>
      </c>
      <c r="H1332" t="s">
        <v>15523</v>
      </c>
      <c r="I1332" t="s">
        <v>16674</v>
      </c>
      <c r="K1332" t="e">
        <v>#N/A</v>
      </c>
      <c r="S1332" s="3"/>
    </row>
    <row r="1333" spans="1:19" x14ac:dyDescent="0.25">
      <c r="A1333" t="s">
        <v>4503</v>
      </c>
      <c r="B1333" t="s">
        <v>4504</v>
      </c>
      <c r="C1333" t="s">
        <v>4505</v>
      </c>
      <c r="D1333" t="s">
        <v>23</v>
      </c>
      <c r="E1333">
        <v>3586</v>
      </c>
      <c r="F1333" s="3">
        <v>40702</v>
      </c>
      <c r="H1333" t="s">
        <v>15523</v>
      </c>
      <c r="I1333" t="s">
        <v>16675</v>
      </c>
      <c r="K1333" t="e">
        <v>#N/A</v>
      </c>
      <c r="S1333" s="3"/>
    </row>
    <row r="1334" spans="1:19" x14ac:dyDescent="0.25">
      <c r="A1334" t="s">
        <v>4506</v>
      </c>
      <c r="B1334" t="s">
        <v>4507</v>
      </c>
      <c r="C1334" t="s">
        <v>16179</v>
      </c>
      <c r="D1334" t="s">
        <v>23</v>
      </c>
      <c r="E1334">
        <v>3360</v>
      </c>
      <c r="F1334" s="3">
        <v>40702</v>
      </c>
      <c r="H1334" t="s">
        <v>15523</v>
      </c>
      <c r="I1334" t="s">
        <v>16180</v>
      </c>
      <c r="K1334" t="e">
        <v>#N/A</v>
      </c>
      <c r="S1334" s="3"/>
    </row>
    <row r="1335" spans="1:19" x14ac:dyDescent="0.25">
      <c r="A1335" t="s">
        <v>4508</v>
      </c>
      <c r="B1335" t="s">
        <v>4509</v>
      </c>
      <c r="C1335" t="s">
        <v>4510</v>
      </c>
      <c r="D1335" t="s">
        <v>23</v>
      </c>
      <c r="E1335">
        <v>632</v>
      </c>
      <c r="F1335" s="3">
        <v>40702</v>
      </c>
      <c r="H1335" t="s">
        <v>15523</v>
      </c>
      <c r="I1335" t="s">
        <v>16676</v>
      </c>
      <c r="K1335" t="e">
        <v>#N/A</v>
      </c>
      <c r="S1335" s="3"/>
    </row>
    <row r="1336" spans="1:19" x14ac:dyDescent="0.25">
      <c r="A1336" t="s">
        <v>4511</v>
      </c>
      <c r="B1336" t="s">
        <v>4512</v>
      </c>
      <c r="C1336" t="s">
        <v>4513</v>
      </c>
      <c r="D1336" t="s">
        <v>23</v>
      </c>
      <c r="E1336">
        <v>3588</v>
      </c>
      <c r="F1336" s="3">
        <v>41230</v>
      </c>
      <c r="H1336" t="s">
        <v>15523</v>
      </c>
      <c r="I1336" t="s">
        <v>16677</v>
      </c>
      <c r="K1336" t="e">
        <v>#N/A</v>
      </c>
      <c r="S1336" s="3"/>
    </row>
    <row r="1337" spans="1:19" x14ac:dyDescent="0.25">
      <c r="A1337" t="s">
        <v>4514</v>
      </c>
      <c r="B1337" t="s">
        <v>4515</v>
      </c>
      <c r="C1337" t="s">
        <v>4516</v>
      </c>
      <c r="D1337" t="s">
        <v>23</v>
      </c>
      <c r="E1337">
        <v>3589</v>
      </c>
      <c r="F1337" s="3">
        <v>40702</v>
      </c>
      <c r="H1337" t="s">
        <v>15523</v>
      </c>
      <c r="I1337" t="s">
        <v>16678</v>
      </c>
      <c r="K1337" t="e">
        <v>#N/A</v>
      </c>
      <c r="S1337" s="3"/>
    </row>
    <row r="1338" spans="1:19" x14ac:dyDescent="0.25">
      <c r="A1338" t="s">
        <v>4517</v>
      </c>
      <c r="B1338" t="s">
        <v>4518</v>
      </c>
      <c r="C1338" t="s">
        <v>4519</v>
      </c>
      <c r="D1338" t="s">
        <v>23</v>
      </c>
      <c r="E1338">
        <v>605</v>
      </c>
      <c r="F1338" s="3">
        <v>40702</v>
      </c>
      <c r="H1338" t="s">
        <v>15523</v>
      </c>
      <c r="I1338" t="s">
        <v>16679</v>
      </c>
      <c r="K1338" t="e">
        <v>#N/A</v>
      </c>
      <c r="S1338" s="3"/>
    </row>
    <row r="1339" spans="1:19" x14ac:dyDescent="0.25">
      <c r="A1339" t="s">
        <v>4520</v>
      </c>
      <c r="B1339" t="s">
        <v>4521</v>
      </c>
      <c r="C1339" t="s">
        <v>4522</v>
      </c>
      <c r="D1339" t="s">
        <v>23</v>
      </c>
      <c r="E1339">
        <v>629</v>
      </c>
      <c r="F1339" s="3">
        <v>40702</v>
      </c>
      <c r="H1339" t="s">
        <v>15523</v>
      </c>
      <c r="I1339" t="s">
        <v>16680</v>
      </c>
      <c r="K1339" t="e">
        <v>#N/A</v>
      </c>
      <c r="S1339" s="3"/>
    </row>
    <row r="1340" spans="1:19" x14ac:dyDescent="0.25">
      <c r="A1340" t="s">
        <v>4523</v>
      </c>
      <c r="B1340" t="s">
        <v>4524</v>
      </c>
      <c r="C1340" t="s">
        <v>4525</v>
      </c>
      <c r="D1340" t="s">
        <v>23</v>
      </c>
      <c r="E1340">
        <v>4997</v>
      </c>
      <c r="F1340" s="3">
        <v>41660</v>
      </c>
      <c r="H1340" t="s">
        <v>15523</v>
      </c>
      <c r="I1340" t="s">
        <v>16681</v>
      </c>
      <c r="K1340" t="e">
        <v>#N/A</v>
      </c>
      <c r="S1340" s="3"/>
    </row>
    <row r="1341" spans="1:19" x14ac:dyDescent="0.25">
      <c r="A1341" t="s">
        <v>4526</v>
      </c>
      <c r="B1341" t="s">
        <v>4527</v>
      </c>
      <c r="C1341" t="s">
        <v>4528</v>
      </c>
      <c r="D1341" t="s">
        <v>23</v>
      </c>
      <c r="E1341">
        <v>604</v>
      </c>
      <c r="F1341" s="3">
        <v>40702</v>
      </c>
      <c r="H1341" t="s">
        <v>15523</v>
      </c>
      <c r="I1341" t="s">
        <v>16682</v>
      </c>
      <c r="K1341" t="e">
        <v>#N/A</v>
      </c>
      <c r="S1341" s="3"/>
    </row>
    <row r="1342" spans="1:19" x14ac:dyDescent="0.25">
      <c r="A1342" t="s">
        <v>4529</v>
      </c>
      <c r="B1342" t="s">
        <v>4530</v>
      </c>
      <c r="C1342" t="s">
        <v>4531</v>
      </c>
      <c r="D1342" t="s">
        <v>23</v>
      </c>
      <c r="E1342">
        <v>2466</v>
      </c>
      <c r="F1342" s="3">
        <v>40702</v>
      </c>
      <c r="H1342" t="s">
        <v>15523</v>
      </c>
      <c r="I1342" t="s">
        <v>16683</v>
      </c>
      <c r="K1342" t="e">
        <v>#N/A</v>
      </c>
      <c r="S1342" s="3"/>
    </row>
    <row r="1343" spans="1:19" x14ac:dyDescent="0.25">
      <c r="A1343" t="s">
        <v>4532</v>
      </c>
      <c r="B1343" t="s">
        <v>4533</v>
      </c>
      <c r="C1343" t="s">
        <v>4534</v>
      </c>
      <c r="D1343" t="s">
        <v>23</v>
      </c>
      <c r="E1343">
        <v>2467</v>
      </c>
      <c r="F1343" s="3">
        <v>40702</v>
      </c>
      <c r="H1343" t="s">
        <v>15523</v>
      </c>
      <c r="I1343" t="s">
        <v>16684</v>
      </c>
      <c r="K1343" t="e">
        <v>#N/A</v>
      </c>
      <c r="S1343" s="3"/>
    </row>
    <row r="1344" spans="1:19" x14ac:dyDescent="0.25">
      <c r="A1344" t="s">
        <v>4535</v>
      </c>
      <c r="B1344" t="s">
        <v>4536</v>
      </c>
      <c r="C1344" t="s">
        <v>4537</v>
      </c>
      <c r="D1344" t="s">
        <v>23</v>
      </c>
      <c r="E1344">
        <v>630</v>
      </c>
      <c r="F1344" s="3">
        <v>40702</v>
      </c>
      <c r="H1344" t="s">
        <v>15523</v>
      </c>
      <c r="I1344" t="s">
        <v>16685</v>
      </c>
      <c r="K1344" t="e">
        <v>#N/A</v>
      </c>
      <c r="S1344" s="3"/>
    </row>
    <row r="1345" spans="1:19" x14ac:dyDescent="0.25">
      <c r="A1345" t="s">
        <v>4538</v>
      </c>
      <c r="B1345" t="s">
        <v>4539</v>
      </c>
      <c r="C1345" t="s">
        <v>4540</v>
      </c>
      <c r="D1345" t="s">
        <v>23</v>
      </c>
      <c r="E1345">
        <v>3608</v>
      </c>
      <c r="F1345" s="3">
        <v>40702</v>
      </c>
      <c r="H1345" t="s">
        <v>15523</v>
      </c>
      <c r="I1345" t="s">
        <v>16686</v>
      </c>
      <c r="K1345" t="e">
        <v>#N/A</v>
      </c>
      <c r="S1345" s="3"/>
    </row>
    <row r="1346" spans="1:19" x14ac:dyDescent="0.25">
      <c r="A1346" t="s">
        <v>4541</v>
      </c>
      <c r="B1346" t="s">
        <v>4542</v>
      </c>
      <c r="C1346" t="s">
        <v>4543</v>
      </c>
      <c r="D1346" t="s">
        <v>23</v>
      </c>
      <c r="E1346">
        <v>3611</v>
      </c>
      <c r="F1346" s="3">
        <v>40702</v>
      </c>
      <c r="H1346" t="s">
        <v>15523</v>
      </c>
      <c r="I1346" t="s">
        <v>16687</v>
      </c>
      <c r="K1346" t="e">
        <v>#N/A</v>
      </c>
      <c r="S1346" s="3"/>
    </row>
    <row r="1347" spans="1:19" x14ac:dyDescent="0.25">
      <c r="A1347" t="s">
        <v>4544</v>
      </c>
      <c r="B1347" t="s">
        <v>4545</v>
      </c>
      <c r="C1347" t="s">
        <v>4546</v>
      </c>
      <c r="D1347" t="s">
        <v>23</v>
      </c>
      <c r="E1347">
        <v>3620</v>
      </c>
      <c r="F1347" s="3">
        <v>40702</v>
      </c>
      <c r="H1347" t="s">
        <v>15523</v>
      </c>
      <c r="I1347" t="s">
        <v>16688</v>
      </c>
      <c r="K1347" t="e">
        <v>#N/A</v>
      </c>
      <c r="S1347" s="3"/>
    </row>
    <row r="1348" spans="1:19" x14ac:dyDescent="0.25">
      <c r="A1348" t="s">
        <v>4547</v>
      </c>
      <c r="B1348" t="s">
        <v>4548</v>
      </c>
      <c r="C1348" t="s">
        <v>4549</v>
      </c>
      <c r="D1348" t="s">
        <v>23</v>
      </c>
      <c r="E1348">
        <v>3621</v>
      </c>
      <c r="F1348" s="3">
        <v>40702</v>
      </c>
      <c r="H1348" t="s">
        <v>15523</v>
      </c>
      <c r="I1348" t="s">
        <v>16689</v>
      </c>
      <c r="K1348" t="e">
        <v>#N/A</v>
      </c>
      <c r="S1348" s="3"/>
    </row>
    <row r="1349" spans="1:19" x14ac:dyDescent="0.25">
      <c r="A1349" t="s">
        <v>4550</v>
      </c>
      <c r="B1349" t="s">
        <v>4551</v>
      </c>
      <c r="C1349" t="s">
        <v>4552</v>
      </c>
      <c r="D1349" t="s">
        <v>23</v>
      </c>
      <c r="E1349">
        <v>4998</v>
      </c>
      <c r="F1349" s="3">
        <v>41660</v>
      </c>
      <c r="H1349" t="s">
        <v>15523</v>
      </c>
      <c r="I1349" t="s">
        <v>16690</v>
      </c>
      <c r="K1349" t="e">
        <v>#N/A</v>
      </c>
      <c r="S1349" s="3"/>
    </row>
    <row r="1350" spans="1:19" x14ac:dyDescent="0.25">
      <c r="A1350" t="s">
        <v>4553</v>
      </c>
      <c r="B1350" t="s">
        <v>4554</v>
      </c>
      <c r="C1350" t="s">
        <v>4555</v>
      </c>
      <c r="D1350" t="s">
        <v>23</v>
      </c>
      <c r="E1350">
        <v>3623</v>
      </c>
      <c r="F1350" s="3">
        <v>40702</v>
      </c>
      <c r="H1350" t="s">
        <v>15523</v>
      </c>
      <c r="I1350" t="s">
        <v>16691</v>
      </c>
      <c r="K1350" t="e">
        <v>#N/A</v>
      </c>
      <c r="S1350" s="3"/>
    </row>
    <row r="1351" spans="1:19" x14ac:dyDescent="0.25">
      <c r="A1351" t="s">
        <v>4556</v>
      </c>
      <c r="B1351" t="s">
        <v>4557</v>
      </c>
      <c r="C1351" t="s">
        <v>4558</v>
      </c>
      <c r="D1351" t="s">
        <v>23</v>
      </c>
      <c r="E1351">
        <v>648</v>
      </c>
      <c r="F1351" s="3">
        <v>40702</v>
      </c>
      <c r="H1351" t="s">
        <v>15523</v>
      </c>
      <c r="I1351" t="s">
        <v>16692</v>
      </c>
      <c r="K1351" t="e">
        <v>#N/A</v>
      </c>
      <c r="S1351" s="3"/>
    </row>
    <row r="1352" spans="1:19" x14ac:dyDescent="0.25">
      <c r="A1352" t="s">
        <v>4559</v>
      </c>
      <c r="B1352" t="s">
        <v>4560</v>
      </c>
      <c r="C1352" t="s">
        <v>4561</v>
      </c>
      <c r="D1352" t="s">
        <v>23</v>
      </c>
      <c r="E1352">
        <v>3624</v>
      </c>
      <c r="F1352" s="3">
        <v>40702</v>
      </c>
      <c r="H1352" t="s">
        <v>15523</v>
      </c>
      <c r="I1352" t="s">
        <v>16693</v>
      </c>
      <c r="K1352" t="e">
        <v>#N/A</v>
      </c>
      <c r="S1352" s="3"/>
    </row>
    <row r="1353" spans="1:19" x14ac:dyDescent="0.25">
      <c r="A1353" t="s">
        <v>4562</v>
      </c>
      <c r="B1353" t="s">
        <v>4563</v>
      </c>
      <c r="C1353" t="s">
        <v>4564</v>
      </c>
      <c r="D1353" t="s">
        <v>23</v>
      </c>
      <c r="E1353">
        <v>3625</v>
      </c>
      <c r="F1353" s="3">
        <v>41230</v>
      </c>
      <c r="H1353" t="s">
        <v>15523</v>
      </c>
      <c r="I1353" t="s">
        <v>16694</v>
      </c>
      <c r="K1353" t="e">
        <v>#N/A</v>
      </c>
      <c r="S1353" s="3"/>
    </row>
    <row r="1354" spans="1:19" x14ac:dyDescent="0.25">
      <c r="A1354" t="s">
        <v>4565</v>
      </c>
      <c r="B1354" t="s">
        <v>4566</v>
      </c>
      <c r="C1354" t="s">
        <v>4567</v>
      </c>
      <c r="D1354" t="s">
        <v>23</v>
      </c>
      <c r="E1354">
        <v>3626</v>
      </c>
      <c r="F1354" s="3">
        <v>40702</v>
      </c>
      <c r="H1354" t="s">
        <v>15523</v>
      </c>
      <c r="I1354" t="s">
        <v>16695</v>
      </c>
      <c r="K1354" t="e">
        <v>#N/A</v>
      </c>
      <c r="S1354" s="3"/>
    </row>
    <row r="1355" spans="1:19" x14ac:dyDescent="0.25">
      <c r="A1355" t="s">
        <v>4568</v>
      </c>
      <c r="B1355" t="s">
        <v>4569</v>
      </c>
      <c r="C1355" t="s">
        <v>4570</v>
      </c>
      <c r="D1355" t="s">
        <v>23</v>
      </c>
      <c r="E1355">
        <v>3627</v>
      </c>
      <c r="F1355" s="3">
        <v>40702</v>
      </c>
      <c r="H1355" t="s">
        <v>15523</v>
      </c>
      <c r="I1355" t="s">
        <v>16696</v>
      </c>
      <c r="K1355" t="e">
        <v>#N/A</v>
      </c>
      <c r="S1355" s="3"/>
    </row>
    <row r="1356" spans="1:19" x14ac:dyDescent="0.25">
      <c r="A1356" t="s">
        <v>4571</v>
      </c>
      <c r="B1356" t="s">
        <v>4572</v>
      </c>
      <c r="C1356" t="s">
        <v>4573</v>
      </c>
      <c r="D1356" t="s">
        <v>23</v>
      </c>
      <c r="E1356">
        <v>3628</v>
      </c>
      <c r="F1356" s="3">
        <v>40702</v>
      </c>
      <c r="H1356" t="s">
        <v>15523</v>
      </c>
      <c r="I1356" t="s">
        <v>16697</v>
      </c>
      <c r="K1356" t="e">
        <v>#N/A</v>
      </c>
      <c r="S1356" s="3"/>
    </row>
    <row r="1357" spans="1:19" x14ac:dyDescent="0.25">
      <c r="A1357" t="s">
        <v>4574</v>
      </c>
      <c r="B1357" t="s">
        <v>4575</v>
      </c>
      <c r="C1357" t="s">
        <v>4576</v>
      </c>
      <c r="D1357" t="s">
        <v>23</v>
      </c>
      <c r="E1357">
        <v>3629</v>
      </c>
      <c r="F1357" s="3">
        <v>40702</v>
      </c>
      <c r="H1357" t="s">
        <v>15523</v>
      </c>
      <c r="I1357" t="s">
        <v>16698</v>
      </c>
      <c r="K1357" t="e">
        <v>#N/A</v>
      </c>
      <c r="S1357" s="3"/>
    </row>
    <row r="1358" spans="1:19" x14ac:dyDescent="0.25">
      <c r="A1358" t="s">
        <v>4577</v>
      </c>
      <c r="B1358" t="s">
        <v>4578</v>
      </c>
      <c r="C1358" t="s">
        <v>4579</v>
      </c>
      <c r="D1358" t="s">
        <v>23</v>
      </c>
      <c r="E1358">
        <v>3630</v>
      </c>
      <c r="F1358" s="3">
        <v>40702</v>
      </c>
      <c r="H1358" t="s">
        <v>15523</v>
      </c>
      <c r="I1358" t="s">
        <v>16699</v>
      </c>
      <c r="K1358" t="e">
        <v>#N/A</v>
      </c>
      <c r="S1358" s="3"/>
    </row>
    <row r="1359" spans="1:19" x14ac:dyDescent="0.25">
      <c r="A1359" t="s">
        <v>4580</v>
      </c>
      <c r="B1359" t="s">
        <v>4581</v>
      </c>
      <c r="C1359" t="s">
        <v>4582</v>
      </c>
      <c r="D1359" t="s">
        <v>23</v>
      </c>
      <c r="E1359">
        <v>4999</v>
      </c>
      <c r="F1359" s="3">
        <v>41660</v>
      </c>
      <c r="H1359" t="s">
        <v>15523</v>
      </c>
      <c r="I1359" t="s">
        <v>16700</v>
      </c>
      <c r="K1359" t="e">
        <v>#N/A</v>
      </c>
      <c r="S1359" s="3"/>
    </row>
    <row r="1360" spans="1:19" x14ac:dyDescent="0.25">
      <c r="A1360" t="s">
        <v>4583</v>
      </c>
      <c r="B1360" t="s">
        <v>4584</v>
      </c>
      <c r="C1360" t="s">
        <v>4585</v>
      </c>
      <c r="D1360" t="s">
        <v>23</v>
      </c>
      <c r="E1360">
        <v>3632</v>
      </c>
      <c r="F1360" s="3">
        <v>40702</v>
      </c>
      <c r="H1360" t="s">
        <v>15523</v>
      </c>
      <c r="I1360" t="s">
        <v>16701</v>
      </c>
      <c r="K1360" t="e">
        <v>#N/A</v>
      </c>
      <c r="S1360" s="3"/>
    </row>
    <row r="1361" spans="1:19" x14ac:dyDescent="0.25">
      <c r="A1361" t="s">
        <v>4586</v>
      </c>
      <c r="B1361" t="s">
        <v>4587</v>
      </c>
      <c r="C1361" t="s">
        <v>4588</v>
      </c>
      <c r="D1361" t="s">
        <v>23</v>
      </c>
      <c r="E1361">
        <v>3633</v>
      </c>
      <c r="F1361" s="3">
        <v>40702</v>
      </c>
      <c r="H1361" t="s">
        <v>15523</v>
      </c>
      <c r="I1361" t="s">
        <v>16702</v>
      </c>
      <c r="K1361" t="e">
        <v>#N/A</v>
      </c>
      <c r="S1361" s="3"/>
    </row>
    <row r="1362" spans="1:19" x14ac:dyDescent="0.25">
      <c r="A1362" t="s">
        <v>4589</v>
      </c>
      <c r="B1362" t="s">
        <v>4590</v>
      </c>
      <c r="C1362" t="s">
        <v>4591</v>
      </c>
      <c r="D1362" t="s">
        <v>23</v>
      </c>
      <c r="E1362">
        <v>3638</v>
      </c>
      <c r="F1362" s="3">
        <v>40702</v>
      </c>
      <c r="H1362" t="s">
        <v>15523</v>
      </c>
      <c r="I1362" t="s">
        <v>16703</v>
      </c>
      <c r="K1362" t="e">
        <v>#N/A</v>
      </c>
      <c r="S1362" s="3"/>
    </row>
    <row r="1363" spans="1:19" x14ac:dyDescent="0.25">
      <c r="A1363" t="s">
        <v>4592</v>
      </c>
      <c r="B1363" t="s">
        <v>4593</v>
      </c>
      <c r="C1363" t="s">
        <v>4594</v>
      </c>
      <c r="D1363" t="s">
        <v>23</v>
      </c>
      <c r="E1363">
        <v>3639</v>
      </c>
      <c r="F1363" s="3">
        <v>40702</v>
      </c>
      <c r="H1363" t="s">
        <v>15523</v>
      </c>
      <c r="I1363" t="s">
        <v>16704</v>
      </c>
      <c r="K1363" t="e">
        <v>#N/A</v>
      </c>
      <c r="S1363" s="3"/>
    </row>
    <row r="1364" spans="1:19" x14ac:dyDescent="0.25">
      <c r="A1364" t="s">
        <v>4595</v>
      </c>
      <c r="B1364" t="s">
        <v>4596</v>
      </c>
      <c r="C1364" t="s">
        <v>4597</v>
      </c>
      <c r="D1364" t="s">
        <v>23</v>
      </c>
      <c r="E1364">
        <v>5746</v>
      </c>
      <c r="F1364" s="3">
        <v>42759</v>
      </c>
      <c r="H1364" t="s">
        <v>15523</v>
      </c>
      <c r="I1364" t="s">
        <v>16705</v>
      </c>
      <c r="K1364" t="e">
        <v>#N/A</v>
      </c>
      <c r="S1364" s="3"/>
    </row>
    <row r="1365" spans="1:19" x14ac:dyDescent="0.25">
      <c r="A1365" t="s">
        <v>4598</v>
      </c>
      <c r="B1365" t="s">
        <v>4599</v>
      </c>
      <c r="C1365" t="s">
        <v>4600</v>
      </c>
      <c r="D1365" t="s">
        <v>23</v>
      </c>
      <c r="E1365">
        <v>5755</v>
      </c>
      <c r="F1365" s="3">
        <v>42759</v>
      </c>
      <c r="H1365" t="s">
        <v>15523</v>
      </c>
      <c r="I1365" t="s">
        <v>16706</v>
      </c>
      <c r="K1365" t="e">
        <v>#N/A</v>
      </c>
      <c r="S1365" s="3"/>
    </row>
    <row r="1366" spans="1:19" x14ac:dyDescent="0.25">
      <c r="A1366" t="s">
        <v>4601</v>
      </c>
      <c r="B1366" t="s">
        <v>4602</v>
      </c>
      <c r="C1366" t="s">
        <v>4603</v>
      </c>
      <c r="D1366" t="s">
        <v>23</v>
      </c>
      <c r="E1366">
        <v>5754</v>
      </c>
      <c r="F1366" s="3">
        <v>42759</v>
      </c>
      <c r="H1366" t="s">
        <v>15523</v>
      </c>
      <c r="I1366" t="s">
        <v>16707</v>
      </c>
      <c r="K1366" t="e">
        <v>#N/A</v>
      </c>
      <c r="S1366" s="3"/>
    </row>
    <row r="1367" spans="1:19" x14ac:dyDescent="0.25">
      <c r="A1367" t="s">
        <v>4604</v>
      </c>
      <c r="B1367" t="s">
        <v>4605</v>
      </c>
      <c r="C1367" t="s">
        <v>4606</v>
      </c>
      <c r="D1367" t="s">
        <v>23</v>
      </c>
      <c r="E1367">
        <v>582</v>
      </c>
      <c r="F1367" s="3">
        <v>40702</v>
      </c>
      <c r="H1367" t="s">
        <v>15523</v>
      </c>
      <c r="I1367" t="s">
        <v>16708</v>
      </c>
      <c r="K1367" t="e">
        <v>#N/A</v>
      </c>
      <c r="S1367" s="3"/>
    </row>
    <row r="1368" spans="1:19" x14ac:dyDescent="0.25">
      <c r="A1368" t="s">
        <v>4607</v>
      </c>
      <c r="B1368" t="s">
        <v>4608</v>
      </c>
      <c r="C1368" t="s">
        <v>4609</v>
      </c>
      <c r="D1368" t="s">
        <v>23</v>
      </c>
      <c r="E1368">
        <v>583</v>
      </c>
      <c r="F1368" s="3">
        <v>40702</v>
      </c>
      <c r="H1368" t="s">
        <v>15523</v>
      </c>
      <c r="I1368" t="s">
        <v>16709</v>
      </c>
      <c r="K1368" t="e">
        <v>#N/A</v>
      </c>
      <c r="S1368" s="3"/>
    </row>
    <row r="1369" spans="1:19" x14ac:dyDescent="0.25">
      <c r="A1369" t="s">
        <v>4610</v>
      </c>
      <c r="B1369" t="s">
        <v>4611</v>
      </c>
      <c r="C1369" t="s">
        <v>4612</v>
      </c>
      <c r="D1369" t="s">
        <v>23</v>
      </c>
      <c r="E1369">
        <v>584</v>
      </c>
      <c r="F1369" s="3">
        <v>40702</v>
      </c>
      <c r="H1369" t="s">
        <v>15523</v>
      </c>
      <c r="I1369" t="s">
        <v>16710</v>
      </c>
      <c r="K1369" t="e">
        <v>#N/A</v>
      </c>
      <c r="S1369" s="3"/>
    </row>
    <row r="1370" spans="1:19" x14ac:dyDescent="0.25">
      <c r="A1370" t="s">
        <v>4613</v>
      </c>
      <c r="B1370" t="s">
        <v>4614</v>
      </c>
      <c r="C1370" t="s">
        <v>4615</v>
      </c>
      <c r="D1370" t="s">
        <v>23</v>
      </c>
      <c r="E1370">
        <v>3642</v>
      </c>
      <c r="F1370" s="3">
        <v>40702</v>
      </c>
      <c r="H1370" t="s">
        <v>15523</v>
      </c>
      <c r="I1370" t="s">
        <v>16711</v>
      </c>
      <c r="K1370" t="e">
        <v>#N/A</v>
      </c>
      <c r="S1370" s="3"/>
    </row>
    <row r="1371" spans="1:19" x14ac:dyDescent="0.25">
      <c r="A1371" t="s">
        <v>4616</v>
      </c>
      <c r="B1371" t="s">
        <v>4617</v>
      </c>
      <c r="C1371" t="s">
        <v>4618</v>
      </c>
      <c r="D1371" t="s">
        <v>23</v>
      </c>
      <c r="E1371">
        <v>577</v>
      </c>
      <c r="F1371" s="3">
        <v>40702</v>
      </c>
      <c r="H1371" t="s">
        <v>15523</v>
      </c>
      <c r="I1371" t="s">
        <v>16712</v>
      </c>
      <c r="K1371" t="e">
        <v>#N/A</v>
      </c>
      <c r="S1371" s="3"/>
    </row>
    <row r="1372" spans="1:19" x14ac:dyDescent="0.25">
      <c r="A1372" t="s">
        <v>4619</v>
      </c>
      <c r="B1372" t="s">
        <v>4620</v>
      </c>
      <c r="C1372" t="s">
        <v>4621</v>
      </c>
      <c r="D1372" t="s">
        <v>23</v>
      </c>
      <c r="E1372">
        <v>581</v>
      </c>
      <c r="F1372" s="3">
        <v>41461</v>
      </c>
      <c r="H1372" t="s">
        <v>15523</v>
      </c>
      <c r="I1372" t="s">
        <v>16713</v>
      </c>
      <c r="K1372" t="e">
        <v>#N/A</v>
      </c>
      <c r="S1372" s="3"/>
    </row>
    <row r="1373" spans="1:19" x14ac:dyDescent="0.25">
      <c r="A1373" t="s">
        <v>4622</v>
      </c>
      <c r="B1373" t="s">
        <v>4623</v>
      </c>
      <c r="C1373" t="s">
        <v>4624</v>
      </c>
      <c r="D1373" t="s">
        <v>23</v>
      </c>
      <c r="E1373">
        <v>5747</v>
      </c>
      <c r="F1373" s="3">
        <v>42759</v>
      </c>
      <c r="H1373" t="s">
        <v>15523</v>
      </c>
      <c r="I1373" t="s">
        <v>16714</v>
      </c>
      <c r="K1373" t="e">
        <v>#N/A</v>
      </c>
      <c r="S1373" s="3"/>
    </row>
    <row r="1374" spans="1:19" x14ac:dyDescent="0.25">
      <c r="A1374" t="s">
        <v>4625</v>
      </c>
      <c r="B1374" t="s">
        <v>4626</v>
      </c>
      <c r="C1374" t="s">
        <v>4627</v>
      </c>
      <c r="D1374" t="s">
        <v>23</v>
      </c>
      <c r="E1374">
        <v>3644</v>
      </c>
      <c r="F1374" s="3">
        <v>40702</v>
      </c>
      <c r="H1374" t="s">
        <v>15523</v>
      </c>
      <c r="I1374" t="s">
        <v>16715</v>
      </c>
      <c r="K1374" t="e">
        <v>#N/A</v>
      </c>
      <c r="S1374" s="3"/>
    </row>
    <row r="1375" spans="1:19" x14ac:dyDescent="0.25">
      <c r="A1375" t="s">
        <v>4628</v>
      </c>
      <c r="B1375" t="s">
        <v>4629</v>
      </c>
      <c r="C1375" t="s">
        <v>4630</v>
      </c>
      <c r="D1375" t="s">
        <v>23</v>
      </c>
      <c r="E1375">
        <v>3653</v>
      </c>
      <c r="F1375" s="3">
        <v>40702</v>
      </c>
      <c r="H1375" t="s">
        <v>15523</v>
      </c>
      <c r="I1375" t="s">
        <v>16716</v>
      </c>
      <c r="K1375" t="e">
        <v>#N/A</v>
      </c>
      <c r="S1375" s="3"/>
    </row>
    <row r="1376" spans="1:19" x14ac:dyDescent="0.25">
      <c r="A1376" t="s">
        <v>4631</v>
      </c>
      <c r="B1376" t="s">
        <v>4632</v>
      </c>
      <c r="C1376" t="s">
        <v>4633</v>
      </c>
      <c r="D1376" t="s">
        <v>23</v>
      </c>
      <c r="E1376">
        <v>651</v>
      </c>
      <c r="F1376" s="3">
        <v>40702</v>
      </c>
      <c r="H1376" t="s">
        <v>15523</v>
      </c>
      <c r="I1376" t="s">
        <v>16717</v>
      </c>
      <c r="K1376" t="e">
        <v>#N/A</v>
      </c>
      <c r="S1376" s="3"/>
    </row>
    <row r="1377" spans="1:19" x14ac:dyDescent="0.25">
      <c r="A1377" t="s">
        <v>4634</v>
      </c>
      <c r="B1377" t="s">
        <v>4635</v>
      </c>
      <c r="C1377" t="s">
        <v>4636</v>
      </c>
      <c r="D1377" t="s">
        <v>23</v>
      </c>
      <c r="E1377">
        <v>3651</v>
      </c>
      <c r="F1377" s="3">
        <v>40702</v>
      </c>
      <c r="H1377" t="s">
        <v>15523</v>
      </c>
      <c r="I1377" t="s">
        <v>16718</v>
      </c>
      <c r="K1377" t="e">
        <v>#N/A</v>
      </c>
      <c r="S1377" s="3"/>
    </row>
    <row r="1378" spans="1:19" x14ac:dyDescent="0.25">
      <c r="A1378" t="s">
        <v>4637</v>
      </c>
      <c r="B1378" t="s">
        <v>4638</v>
      </c>
      <c r="C1378" t="s">
        <v>4639</v>
      </c>
      <c r="D1378" t="s">
        <v>23</v>
      </c>
      <c r="E1378">
        <v>3652</v>
      </c>
      <c r="F1378" s="3">
        <v>40702</v>
      </c>
      <c r="H1378" t="s">
        <v>15523</v>
      </c>
      <c r="I1378" t="s">
        <v>16719</v>
      </c>
      <c r="K1378" t="e">
        <v>#N/A</v>
      </c>
      <c r="S1378" s="3"/>
    </row>
    <row r="1379" spans="1:19" x14ac:dyDescent="0.25">
      <c r="A1379" t="s">
        <v>4640</v>
      </c>
      <c r="B1379" t="s">
        <v>4641</v>
      </c>
      <c r="C1379" t="s">
        <v>4642</v>
      </c>
      <c r="D1379" t="s">
        <v>23</v>
      </c>
      <c r="E1379">
        <v>653</v>
      </c>
      <c r="F1379" s="3">
        <v>40702</v>
      </c>
      <c r="H1379" t="s">
        <v>15523</v>
      </c>
      <c r="I1379" t="s">
        <v>16720</v>
      </c>
      <c r="K1379" t="e">
        <v>#N/A</v>
      </c>
      <c r="S1379" s="3"/>
    </row>
    <row r="1380" spans="1:19" x14ac:dyDescent="0.25">
      <c r="A1380" t="s">
        <v>4643</v>
      </c>
      <c r="B1380" t="s">
        <v>4644</v>
      </c>
      <c r="C1380" t="s">
        <v>4645</v>
      </c>
      <c r="D1380" t="s">
        <v>23</v>
      </c>
      <c r="E1380">
        <v>3654</v>
      </c>
      <c r="F1380" s="3">
        <v>40702</v>
      </c>
      <c r="H1380" t="s">
        <v>15523</v>
      </c>
      <c r="I1380" t="s">
        <v>16721</v>
      </c>
      <c r="K1380" t="e">
        <v>#N/A</v>
      </c>
      <c r="S1380" s="3"/>
    </row>
    <row r="1381" spans="1:19" x14ac:dyDescent="0.25">
      <c r="A1381" t="s">
        <v>4646</v>
      </c>
      <c r="B1381" t="s">
        <v>4647</v>
      </c>
      <c r="C1381" t="s">
        <v>4648</v>
      </c>
      <c r="D1381" t="s">
        <v>23</v>
      </c>
      <c r="E1381">
        <v>5822</v>
      </c>
      <c r="F1381" s="3">
        <v>42871</v>
      </c>
      <c r="H1381" t="s">
        <v>15523</v>
      </c>
      <c r="I1381" t="s">
        <v>16722</v>
      </c>
      <c r="K1381" t="e">
        <v>#N/A</v>
      </c>
      <c r="S1381" s="3"/>
    </row>
    <row r="1382" spans="1:19" x14ac:dyDescent="0.25">
      <c r="A1382" t="s">
        <v>4649</v>
      </c>
      <c r="B1382" t="s">
        <v>4650</v>
      </c>
      <c r="C1382" t="s">
        <v>4651</v>
      </c>
      <c r="D1382" t="s">
        <v>23</v>
      </c>
      <c r="E1382">
        <v>5821</v>
      </c>
      <c r="F1382" s="3">
        <v>42871</v>
      </c>
      <c r="H1382" t="s">
        <v>15523</v>
      </c>
      <c r="I1382" t="s">
        <v>16723</v>
      </c>
      <c r="K1382" t="e">
        <v>#N/A</v>
      </c>
      <c r="S1382" s="3"/>
    </row>
    <row r="1383" spans="1:19" x14ac:dyDescent="0.25">
      <c r="A1383" t="s">
        <v>4652</v>
      </c>
      <c r="B1383" t="s">
        <v>4653</v>
      </c>
      <c r="C1383" t="s">
        <v>4654</v>
      </c>
      <c r="D1383" t="s">
        <v>23</v>
      </c>
      <c r="E1383">
        <v>3655</v>
      </c>
      <c r="F1383" s="3">
        <v>40702</v>
      </c>
      <c r="H1383" t="s">
        <v>15523</v>
      </c>
      <c r="I1383" t="s">
        <v>16724</v>
      </c>
      <c r="K1383" t="e">
        <v>#N/A</v>
      </c>
      <c r="S1383" s="3"/>
    </row>
    <row r="1384" spans="1:19" x14ac:dyDescent="0.25">
      <c r="A1384" t="s">
        <v>4655</v>
      </c>
      <c r="B1384" t="s">
        <v>4656</v>
      </c>
      <c r="C1384" t="s">
        <v>4657</v>
      </c>
      <c r="D1384" t="s">
        <v>23</v>
      </c>
      <c r="E1384">
        <v>3656</v>
      </c>
      <c r="F1384" s="3">
        <v>40702</v>
      </c>
      <c r="H1384" t="s">
        <v>15523</v>
      </c>
      <c r="I1384" t="s">
        <v>16725</v>
      </c>
      <c r="K1384" t="e">
        <v>#N/A</v>
      </c>
      <c r="S1384" s="3"/>
    </row>
    <row r="1385" spans="1:19" x14ac:dyDescent="0.25">
      <c r="A1385" t="s">
        <v>4658</v>
      </c>
      <c r="B1385" t="s">
        <v>4659</v>
      </c>
      <c r="C1385" t="s">
        <v>4660</v>
      </c>
      <c r="D1385" t="s">
        <v>23</v>
      </c>
      <c r="E1385">
        <v>3657</v>
      </c>
      <c r="F1385" s="3">
        <v>40702</v>
      </c>
      <c r="H1385" t="s">
        <v>15523</v>
      </c>
      <c r="I1385" t="s">
        <v>16726</v>
      </c>
      <c r="K1385" t="e">
        <v>#N/A</v>
      </c>
      <c r="S1385" s="3"/>
    </row>
    <row r="1386" spans="1:19" x14ac:dyDescent="0.25">
      <c r="A1386" t="s">
        <v>4661</v>
      </c>
      <c r="B1386" t="s">
        <v>4662</v>
      </c>
      <c r="C1386" t="s">
        <v>4663</v>
      </c>
      <c r="D1386" t="s">
        <v>23</v>
      </c>
      <c r="E1386">
        <v>3658</v>
      </c>
      <c r="F1386" s="3">
        <v>40702</v>
      </c>
      <c r="H1386" t="s">
        <v>15523</v>
      </c>
      <c r="I1386" t="s">
        <v>16727</v>
      </c>
      <c r="K1386" t="e">
        <v>#N/A</v>
      </c>
      <c r="S1386" s="3"/>
    </row>
    <row r="1387" spans="1:19" x14ac:dyDescent="0.25">
      <c r="A1387" t="s">
        <v>4664</v>
      </c>
      <c r="B1387" t="s">
        <v>4665</v>
      </c>
      <c r="C1387" t="s">
        <v>4666</v>
      </c>
      <c r="D1387" t="s">
        <v>23</v>
      </c>
      <c r="E1387">
        <v>3660</v>
      </c>
      <c r="F1387" s="3">
        <v>40702</v>
      </c>
      <c r="H1387" t="s">
        <v>15523</v>
      </c>
      <c r="I1387" t="s">
        <v>16728</v>
      </c>
      <c r="K1387" t="e">
        <v>#N/A</v>
      </c>
      <c r="S1387" s="3"/>
    </row>
    <row r="1388" spans="1:19" x14ac:dyDescent="0.25">
      <c r="A1388" t="s">
        <v>4667</v>
      </c>
      <c r="B1388" t="s">
        <v>4668</v>
      </c>
      <c r="C1388" t="s">
        <v>4669</v>
      </c>
      <c r="D1388" t="s">
        <v>23</v>
      </c>
      <c r="E1388">
        <v>3661</v>
      </c>
      <c r="F1388" s="3">
        <v>40702</v>
      </c>
      <c r="H1388" t="s">
        <v>15523</v>
      </c>
      <c r="I1388" t="s">
        <v>16729</v>
      </c>
      <c r="K1388" t="e">
        <v>#N/A</v>
      </c>
      <c r="S1388" s="3"/>
    </row>
    <row r="1389" spans="1:19" x14ac:dyDescent="0.25">
      <c r="A1389" t="s">
        <v>4670</v>
      </c>
      <c r="B1389" t="s">
        <v>4671</v>
      </c>
      <c r="C1389" t="s">
        <v>4672</v>
      </c>
      <c r="D1389" t="s">
        <v>23</v>
      </c>
      <c r="E1389">
        <v>3662</v>
      </c>
      <c r="F1389" s="3">
        <v>40702</v>
      </c>
      <c r="H1389" t="s">
        <v>15523</v>
      </c>
      <c r="I1389" t="s">
        <v>16730</v>
      </c>
      <c r="K1389" t="e">
        <v>#N/A</v>
      </c>
      <c r="S1389" s="3"/>
    </row>
    <row r="1390" spans="1:19" x14ac:dyDescent="0.25">
      <c r="A1390" t="s">
        <v>4673</v>
      </c>
      <c r="B1390" t="s">
        <v>4674</v>
      </c>
      <c r="C1390" t="s">
        <v>4675</v>
      </c>
      <c r="D1390" t="s">
        <v>23</v>
      </c>
      <c r="E1390">
        <v>3664</v>
      </c>
      <c r="F1390" s="3">
        <v>40702</v>
      </c>
      <c r="H1390" t="s">
        <v>15523</v>
      </c>
      <c r="I1390" t="s">
        <v>16731</v>
      </c>
      <c r="K1390" t="e">
        <v>#N/A</v>
      </c>
      <c r="S1390" s="3"/>
    </row>
    <row r="1391" spans="1:19" x14ac:dyDescent="0.25">
      <c r="A1391" t="s">
        <v>4676</v>
      </c>
      <c r="B1391" t="s">
        <v>4677</v>
      </c>
      <c r="C1391" t="s">
        <v>4678</v>
      </c>
      <c r="D1391" t="s">
        <v>23</v>
      </c>
      <c r="E1391">
        <v>671</v>
      </c>
      <c r="F1391" s="3">
        <v>40702</v>
      </c>
      <c r="H1391" t="s">
        <v>15523</v>
      </c>
      <c r="I1391" t="s">
        <v>16732</v>
      </c>
      <c r="K1391" t="e">
        <v>#N/A</v>
      </c>
      <c r="S1391" s="3"/>
    </row>
    <row r="1392" spans="1:19" x14ac:dyDescent="0.25">
      <c r="A1392" t="s">
        <v>4679</v>
      </c>
      <c r="B1392" t="s">
        <v>4680</v>
      </c>
      <c r="C1392" t="s">
        <v>4681</v>
      </c>
      <c r="D1392" t="s">
        <v>23</v>
      </c>
      <c r="E1392">
        <v>672</v>
      </c>
      <c r="F1392" s="3">
        <v>40702</v>
      </c>
      <c r="H1392" t="s">
        <v>15523</v>
      </c>
      <c r="I1392" t="s">
        <v>16733</v>
      </c>
      <c r="K1392" t="e">
        <v>#N/A</v>
      </c>
      <c r="S1392" s="3"/>
    </row>
    <row r="1393" spans="1:19" x14ac:dyDescent="0.25">
      <c r="A1393" t="s">
        <v>4682</v>
      </c>
      <c r="B1393" t="s">
        <v>4683</v>
      </c>
      <c r="C1393" s="3">
        <v>1168017</v>
      </c>
      <c r="D1393" t="s">
        <v>23</v>
      </c>
      <c r="E1393">
        <v>3670</v>
      </c>
      <c r="F1393" s="3">
        <v>40704</v>
      </c>
      <c r="H1393" t="s">
        <v>15523</v>
      </c>
      <c r="I1393" t="s">
        <v>16734</v>
      </c>
      <c r="K1393" t="e">
        <v>#N/A</v>
      </c>
      <c r="P1393" s="3"/>
      <c r="S1393" s="3"/>
    </row>
    <row r="1394" spans="1:19" x14ac:dyDescent="0.25">
      <c r="A1394" t="s">
        <v>4685</v>
      </c>
      <c r="B1394" t="s">
        <v>4686</v>
      </c>
      <c r="C1394" t="s">
        <v>4687</v>
      </c>
      <c r="D1394" t="s">
        <v>23</v>
      </c>
      <c r="E1394">
        <v>5000</v>
      </c>
      <c r="F1394" s="3">
        <v>41660</v>
      </c>
      <c r="H1394" t="s">
        <v>15523</v>
      </c>
      <c r="I1394" t="s">
        <v>16735</v>
      </c>
      <c r="K1394" t="e">
        <v>#N/A</v>
      </c>
      <c r="S1394" s="3"/>
    </row>
    <row r="1395" spans="1:19" x14ac:dyDescent="0.25">
      <c r="A1395" t="s">
        <v>4688</v>
      </c>
      <c r="B1395" t="s">
        <v>4689</v>
      </c>
      <c r="C1395" t="s">
        <v>4690</v>
      </c>
      <c r="D1395" t="s">
        <v>23</v>
      </c>
      <c r="E1395">
        <v>5575</v>
      </c>
      <c r="F1395" s="3">
        <v>42452</v>
      </c>
      <c r="H1395" t="s">
        <v>15523</v>
      </c>
      <c r="I1395" t="s">
        <v>16736</v>
      </c>
      <c r="K1395" t="e">
        <v>#N/A</v>
      </c>
      <c r="S1395" s="3"/>
    </row>
    <row r="1396" spans="1:19" x14ac:dyDescent="0.25">
      <c r="A1396" t="s">
        <v>4691</v>
      </c>
      <c r="B1396" t="s">
        <v>4692</v>
      </c>
      <c r="C1396" t="s">
        <v>4693</v>
      </c>
      <c r="D1396" t="s">
        <v>23</v>
      </c>
      <c r="E1396">
        <v>3675</v>
      </c>
      <c r="F1396" s="3">
        <v>40702</v>
      </c>
      <c r="H1396" t="s">
        <v>15523</v>
      </c>
      <c r="I1396" t="s">
        <v>16737</v>
      </c>
      <c r="K1396" t="e">
        <v>#N/A</v>
      </c>
      <c r="S1396" s="3"/>
    </row>
    <row r="1397" spans="1:19" x14ac:dyDescent="0.25">
      <c r="A1397" t="s">
        <v>4694</v>
      </c>
      <c r="B1397" t="s">
        <v>4695</v>
      </c>
      <c r="C1397" t="s">
        <v>4696</v>
      </c>
      <c r="D1397" t="s">
        <v>23</v>
      </c>
      <c r="E1397">
        <v>3676</v>
      </c>
      <c r="F1397" s="3">
        <v>42704</v>
      </c>
      <c r="H1397" t="s">
        <v>15523</v>
      </c>
      <c r="I1397" t="s">
        <v>16738</v>
      </c>
      <c r="K1397" t="e">
        <v>#N/A</v>
      </c>
      <c r="S1397" s="3"/>
    </row>
    <row r="1398" spans="1:19" x14ac:dyDescent="0.25">
      <c r="A1398" t="s">
        <v>4697</v>
      </c>
      <c r="B1398" t="s">
        <v>4698</v>
      </c>
      <c r="C1398" t="s">
        <v>4699</v>
      </c>
      <c r="D1398" t="s">
        <v>23</v>
      </c>
      <c r="E1398">
        <v>3677</v>
      </c>
      <c r="F1398" s="3">
        <v>40702</v>
      </c>
      <c r="H1398" t="s">
        <v>15523</v>
      </c>
      <c r="I1398" t="s">
        <v>16739</v>
      </c>
      <c r="K1398" t="e">
        <v>#N/A</v>
      </c>
      <c r="S1398" s="3"/>
    </row>
    <row r="1399" spans="1:19" x14ac:dyDescent="0.25">
      <c r="A1399" t="s">
        <v>4700</v>
      </c>
      <c r="B1399" t="s">
        <v>4701</v>
      </c>
      <c r="C1399" t="s">
        <v>4702</v>
      </c>
      <c r="D1399" t="s">
        <v>23</v>
      </c>
      <c r="E1399">
        <v>3678</v>
      </c>
      <c r="F1399" s="3">
        <v>40702</v>
      </c>
      <c r="H1399" t="s">
        <v>15523</v>
      </c>
      <c r="I1399" t="s">
        <v>16740</v>
      </c>
      <c r="K1399" t="e">
        <v>#N/A</v>
      </c>
      <c r="S1399" s="3"/>
    </row>
    <row r="1400" spans="1:19" x14ac:dyDescent="0.25">
      <c r="A1400" t="s">
        <v>622</v>
      </c>
      <c r="B1400" t="s">
        <v>624</v>
      </c>
      <c r="C1400" t="s">
        <v>625</v>
      </c>
      <c r="D1400" t="s">
        <v>23</v>
      </c>
      <c r="E1400">
        <v>3687</v>
      </c>
      <c r="F1400" s="3">
        <v>40915</v>
      </c>
      <c r="H1400" t="s">
        <v>15523</v>
      </c>
      <c r="I1400" t="s">
        <v>16741</v>
      </c>
      <c r="K1400">
        <v>162</v>
      </c>
      <c r="S1400" s="3"/>
    </row>
    <row r="1401" spans="1:19" x14ac:dyDescent="0.25">
      <c r="A1401" t="s">
        <v>4703</v>
      </c>
      <c r="B1401" t="s">
        <v>4704</v>
      </c>
      <c r="C1401" s="3">
        <v>218239</v>
      </c>
      <c r="D1401" t="s">
        <v>23</v>
      </c>
      <c r="E1401">
        <v>5001</v>
      </c>
      <c r="F1401" s="3">
        <v>41660</v>
      </c>
      <c r="H1401" t="s">
        <v>15523</v>
      </c>
      <c r="I1401" t="s">
        <v>16742</v>
      </c>
      <c r="K1401" t="e">
        <v>#N/A</v>
      </c>
      <c r="P1401" s="3"/>
      <c r="S1401" s="3"/>
    </row>
    <row r="1402" spans="1:19" x14ac:dyDescent="0.25">
      <c r="A1402" t="s">
        <v>4706</v>
      </c>
      <c r="B1402" t="s">
        <v>4707</v>
      </c>
      <c r="C1402" t="s">
        <v>4708</v>
      </c>
      <c r="D1402" t="s">
        <v>23</v>
      </c>
      <c r="E1402">
        <v>680</v>
      </c>
      <c r="F1402" s="3">
        <v>40702</v>
      </c>
      <c r="H1402" t="s">
        <v>15523</v>
      </c>
      <c r="I1402" t="s">
        <v>16743</v>
      </c>
      <c r="K1402" t="e">
        <v>#N/A</v>
      </c>
      <c r="S1402" s="3"/>
    </row>
    <row r="1403" spans="1:19" x14ac:dyDescent="0.25">
      <c r="A1403" t="s">
        <v>4709</v>
      </c>
      <c r="B1403" t="s">
        <v>4710</v>
      </c>
      <c r="C1403" s="3">
        <v>218208</v>
      </c>
      <c r="D1403" t="s">
        <v>23</v>
      </c>
      <c r="E1403">
        <v>3689</v>
      </c>
      <c r="F1403" s="3">
        <v>40704</v>
      </c>
      <c r="H1403" t="s">
        <v>15523</v>
      </c>
      <c r="I1403" t="s">
        <v>16744</v>
      </c>
      <c r="K1403" t="e">
        <v>#N/A</v>
      </c>
      <c r="P1403" s="3"/>
      <c r="S1403" s="3"/>
    </row>
    <row r="1404" spans="1:19" x14ac:dyDescent="0.25">
      <c r="A1404" t="s">
        <v>4712</v>
      </c>
      <c r="B1404" t="s">
        <v>4713</v>
      </c>
      <c r="C1404" t="s">
        <v>4714</v>
      </c>
      <c r="D1404" t="s">
        <v>23</v>
      </c>
      <c r="E1404">
        <v>3692</v>
      </c>
      <c r="F1404" s="3">
        <v>40702</v>
      </c>
      <c r="H1404" t="s">
        <v>15523</v>
      </c>
      <c r="I1404" t="s">
        <v>16745</v>
      </c>
      <c r="K1404" t="e">
        <v>#N/A</v>
      </c>
      <c r="S1404" s="3"/>
    </row>
    <row r="1405" spans="1:19" x14ac:dyDescent="0.25">
      <c r="A1405" t="s">
        <v>4715</v>
      </c>
      <c r="B1405" t="s">
        <v>4716</v>
      </c>
      <c r="C1405" t="s">
        <v>4717</v>
      </c>
      <c r="D1405" t="s">
        <v>23</v>
      </c>
      <c r="E1405">
        <v>3693</v>
      </c>
      <c r="F1405" s="3">
        <v>40702</v>
      </c>
      <c r="H1405" t="s">
        <v>15523</v>
      </c>
      <c r="I1405" t="s">
        <v>16746</v>
      </c>
      <c r="K1405" t="e">
        <v>#N/A</v>
      </c>
      <c r="S1405" s="3"/>
    </row>
    <row r="1406" spans="1:19" x14ac:dyDescent="0.25">
      <c r="A1406" t="s">
        <v>4718</v>
      </c>
      <c r="B1406" t="s">
        <v>4719</v>
      </c>
      <c r="C1406" t="s">
        <v>4720</v>
      </c>
      <c r="D1406" t="s">
        <v>23</v>
      </c>
      <c r="E1406">
        <v>3694</v>
      </c>
      <c r="F1406" s="3">
        <v>40702</v>
      </c>
      <c r="H1406" t="s">
        <v>15523</v>
      </c>
      <c r="I1406" t="s">
        <v>16747</v>
      </c>
      <c r="K1406" t="e">
        <v>#N/A</v>
      </c>
      <c r="S1406" s="3"/>
    </row>
    <row r="1407" spans="1:19" x14ac:dyDescent="0.25">
      <c r="A1407" t="s">
        <v>4721</v>
      </c>
      <c r="B1407" t="s">
        <v>4722</v>
      </c>
      <c r="C1407" t="s">
        <v>4723</v>
      </c>
      <c r="D1407" t="s">
        <v>23</v>
      </c>
      <c r="E1407">
        <v>683</v>
      </c>
      <c r="F1407" s="3">
        <v>40702</v>
      </c>
      <c r="H1407" t="s">
        <v>15523</v>
      </c>
      <c r="I1407" t="s">
        <v>16748</v>
      </c>
      <c r="K1407" t="e">
        <v>#N/A</v>
      </c>
      <c r="S1407" s="3"/>
    </row>
    <row r="1408" spans="1:19" x14ac:dyDescent="0.25">
      <c r="A1408" t="s">
        <v>446</v>
      </c>
      <c r="B1408" t="s">
        <v>447</v>
      </c>
      <c r="C1408" t="s">
        <v>448</v>
      </c>
      <c r="D1408" t="s">
        <v>23</v>
      </c>
      <c r="E1408">
        <v>699</v>
      </c>
      <c r="F1408" s="3">
        <v>40702</v>
      </c>
      <c r="H1408" t="s">
        <v>15523</v>
      </c>
      <c r="I1408" t="s">
        <v>16749</v>
      </c>
      <c r="K1408">
        <v>118</v>
      </c>
      <c r="S1408" s="3"/>
    </row>
    <row r="1409" spans="1:19" x14ac:dyDescent="0.25">
      <c r="A1409" t="s">
        <v>4724</v>
      </c>
      <c r="B1409" t="s">
        <v>4725</v>
      </c>
      <c r="C1409" t="s">
        <v>16179</v>
      </c>
      <c r="D1409" t="s">
        <v>47</v>
      </c>
      <c r="E1409">
        <v>3544</v>
      </c>
      <c r="F1409" s="3">
        <v>40702</v>
      </c>
      <c r="H1409" t="s">
        <v>15523</v>
      </c>
      <c r="I1409" t="s">
        <v>16180</v>
      </c>
      <c r="K1409" t="e">
        <v>#N/A</v>
      </c>
      <c r="S1409" s="3"/>
    </row>
    <row r="1410" spans="1:19" x14ac:dyDescent="0.25">
      <c r="A1410" t="s">
        <v>4726</v>
      </c>
      <c r="B1410" t="s">
        <v>4727</v>
      </c>
      <c r="C1410" t="s">
        <v>4728</v>
      </c>
      <c r="D1410" t="s">
        <v>23</v>
      </c>
      <c r="E1410">
        <v>5984</v>
      </c>
      <c r="F1410" s="3">
        <v>43375</v>
      </c>
      <c r="H1410" t="s">
        <v>15523</v>
      </c>
      <c r="I1410" t="s">
        <v>16750</v>
      </c>
      <c r="K1410" t="e">
        <v>#N/A</v>
      </c>
      <c r="S1410" s="3"/>
    </row>
    <row r="1411" spans="1:19" x14ac:dyDescent="0.25">
      <c r="A1411" t="s">
        <v>4729</v>
      </c>
      <c r="B1411" t="s">
        <v>4730</v>
      </c>
      <c r="C1411" t="s">
        <v>4731</v>
      </c>
      <c r="D1411" t="s">
        <v>23</v>
      </c>
      <c r="E1411">
        <v>3700</v>
      </c>
      <c r="F1411" s="3">
        <v>40702</v>
      </c>
      <c r="H1411" t="s">
        <v>15523</v>
      </c>
      <c r="I1411" t="s">
        <v>16751</v>
      </c>
      <c r="K1411" t="e">
        <v>#N/A</v>
      </c>
      <c r="S1411" s="3"/>
    </row>
    <row r="1412" spans="1:19" x14ac:dyDescent="0.25">
      <c r="A1412" t="s">
        <v>4732</v>
      </c>
      <c r="B1412" t="s">
        <v>4733</v>
      </c>
      <c r="C1412" t="s">
        <v>16179</v>
      </c>
      <c r="D1412" t="s">
        <v>2820</v>
      </c>
      <c r="E1412">
        <v>5841</v>
      </c>
      <c r="F1412" s="3">
        <v>43078</v>
      </c>
      <c r="H1412" t="s">
        <v>15523</v>
      </c>
      <c r="I1412" t="s">
        <v>16180</v>
      </c>
      <c r="K1412" t="e">
        <v>#N/A</v>
      </c>
      <c r="S1412" s="3"/>
    </row>
    <row r="1413" spans="1:19" x14ac:dyDescent="0.25">
      <c r="A1413" t="s">
        <v>4734</v>
      </c>
      <c r="B1413" t="s">
        <v>4735</v>
      </c>
      <c r="C1413" t="s">
        <v>4736</v>
      </c>
      <c r="D1413" t="s">
        <v>23</v>
      </c>
      <c r="E1413">
        <v>730</v>
      </c>
      <c r="F1413" s="3">
        <v>40702</v>
      </c>
      <c r="H1413" t="s">
        <v>15523</v>
      </c>
      <c r="I1413" t="s">
        <v>16752</v>
      </c>
      <c r="K1413" t="e">
        <v>#N/A</v>
      </c>
      <c r="S1413" s="3"/>
    </row>
    <row r="1414" spans="1:19" x14ac:dyDescent="0.25">
      <c r="A1414" t="s">
        <v>4737</v>
      </c>
      <c r="B1414" t="s">
        <v>4738</v>
      </c>
      <c r="C1414" t="s">
        <v>4739</v>
      </c>
      <c r="D1414" t="s">
        <v>23</v>
      </c>
      <c r="E1414">
        <v>5002</v>
      </c>
      <c r="F1414" s="3">
        <v>41660</v>
      </c>
      <c r="H1414" t="s">
        <v>15523</v>
      </c>
      <c r="I1414" t="s">
        <v>16753</v>
      </c>
      <c r="K1414" t="e">
        <v>#N/A</v>
      </c>
      <c r="S1414" s="3"/>
    </row>
    <row r="1415" spans="1:19" x14ac:dyDescent="0.25">
      <c r="A1415" t="s">
        <v>4740</v>
      </c>
      <c r="B1415" t="s">
        <v>4741</v>
      </c>
      <c r="C1415" t="s">
        <v>16179</v>
      </c>
      <c r="D1415" t="s">
        <v>47</v>
      </c>
      <c r="E1415">
        <v>3485</v>
      </c>
      <c r="F1415" s="3">
        <v>40781</v>
      </c>
      <c r="H1415" t="s">
        <v>15523</v>
      </c>
      <c r="I1415" t="s">
        <v>16180</v>
      </c>
      <c r="K1415" t="e">
        <v>#N/A</v>
      </c>
      <c r="S1415" s="3"/>
    </row>
    <row r="1416" spans="1:19" x14ac:dyDescent="0.25">
      <c r="A1416" t="s">
        <v>4742</v>
      </c>
      <c r="B1416" t="s">
        <v>4743</v>
      </c>
      <c r="C1416" t="s">
        <v>16179</v>
      </c>
      <c r="D1416" t="s">
        <v>47</v>
      </c>
      <c r="E1416">
        <v>3512</v>
      </c>
      <c r="F1416" s="3">
        <v>40702</v>
      </c>
      <c r="H1416" t="s">
        <v>15523</v>
      </c>
      <c r="I1416" t="s">
        <v>16180</v>
      </c>
      <c r="K1416" t="e">
        <v>#N/A</v>
      </c>
      <c r="S1416" s="3"/>
    </row>
    <row r="1417" spans="1:19" x14ac:dyDescent="0.25">
      <c r="A1417" t="s">
        <v>4744</v>
      </c>
      <c r="B1417" t="s">
        <v>4745</v>
      </c>
      <c r="C1417" t="s">
        <v>16179</v>
      </c>
      <c r="D1417" t="s">
        <v>47</v>
      </c>
      <c r="E1417">
        <v>3503</v>
      </c>
      <c r="F1417" s="3">
        <v>40702</v>
      </c>
      <c r="H1417" t="s">
        <v>15523</v>
      </c>
      <c r="I1417" t="s">
        <v>16180</v>
      </c>
      <c r="K1417" t="e">
        <v>#N/A</v>
      </c>
      <c r="S1417" s="3"/>
    </row>
    <row r="1418" spans="1:19" x14ac:dyDescent="0.25">
      <c r="A1418" t="s">
        <v>4746</v>
      </c>
      <c r="B1418" t="s">
        <v>4747</v>
      </c>
      <c r="C1418" t="s">
        <v>16179</v>
      </c>
      <c r="D1418" t="s">
        <v>666</v>
      </c>
      <c r="E1418">
        <v>3560</v>
      </c>
      <c r="F1418" s="3">
        <v>40781</v>
      </c>
      <c r="H1418" t="s">
        <v>15523</v>
      </c>
      <c r="I1418" t="s">
        <v>16180</v>
      </c>
      <c r="K1418" t="e">
        <v>#N/A</v>
      </c>
      <c r="S1418" s="3"/>
    </row>
    <row r="1419" spans="1:19" x14ac:dyDescent="0.25">
      <c r="A1419" t="s">
        <v>4748</v>
      </c>
      <c r="B1419" t="s">
        <v>4749</v>
      </c>
      <c r="C1419" t="s">
        <v>16179</v>
      </c>
      <c r="D1419" t="s">
        <v>47</v>
      </c>
      <c r="E1419">
        <v>3519</v>
      </c>
      <c r="F1419" s="3">
        <v>40702</v>
      </c>
      <c r="H1419" t="s">
        <v>15523</v>
      </c>
      <c r="I1419" t="s">
        <v>16180</v>
      </c>
      <c r="K1419" t="e">
        <v>#N/A</v>
      </c>
      <c r="S1419" s="3"/>
    </row>
    <row r="1420" spans="1:19" x14ac:dyDescent="0.25">
      <c r="A1420" t="s">
        <v>4750</v>
      </c>
      <c r="B1420" t="s">
        <v>4751</v>
      </c>
      <c r="C1420" t="s">
        <v>4752</v>
      </c>
      <c r="D1420" t="s">
        <v>23</v>
      </c>
      <c r="E1420">
        <v>3716</v>
      </c>
      <c r="F1420" s="3">
        <v>40702</v>
      </c>
      <c r="H1420" t="s">
        <v>15523</v>
      </c>
      <c r="I1420" t="s">
        <v>16754</v>
      </c>
      <c r="K1420" t="e">
        <v>#N/A</v>
      </c>
      <c r="S1420" s="3"/>
    </row>
    <row r="1421" spans="1:19" x14ac:dyDescent="0.25">
      <c r="A1421" t="s">
        <v>4753</v>
      </c>
      <c r="B1421" t="s">
        <v>4754</v>
      </c>
      <c r="C1421" t="s">
        <v>4755</v>
      </c>
      <c r="D1421" t="s">
        <v>23</v>
      </c>
      <c r="E1421">
        <v>713</v>
      </c>
      <c r="F1421" s="3">
        <v>40702</v>
      </c>
      <c r="H1421" t="s">
        <v>15523</v>
      </c>
      <c r="I1421" t="s">
        <v>16755</v>
      </c>
      <c r="K1421" t="e">
        <v>#N/A</v>
      </c>
      <c r="S1421" s="3"/>
    </row>
    <row r="1422" spans="1:19" x14ac:dyDescent="0.25">
      <c r="A1422" t="s">
        <v>4756</v>
      </c>
      <c r="B1422" t="s">
        <v>4757</v>
      </c>
      <c r="C1422" t="s">
        <v>16179</v>
      </c>
      <c r="D1422" t="s">
        <v>666</v>
      </c>
      <c r="E1422">
        <v>5163</v>
      </c>
      <c r="F1422" s="3">
        <v>41951</v>
      </c>
      <c r="H1422" t="s">
        <v>15523</v>
      </c>
      <c r="I1422" t="s">
        <v>16180</v>
      </c>
      <c r="K1422" t="e">
        <v>#N/A</v>
      </c>
      <c r="S1422" s="3"/>
    </row>
    <row r="1423" spans="1:19" x14ac:dyDescent="0.25">
      <c r="A1423" t="s">
        <v>4758</v>
      </c>
      <c r="B1423" t="s">
        <v>4759</v>
      </c>
      <c r="C1423" t="s">
        <v>16179</v>
      </c>
      <c r="D1423" t="s">
        <v>47</v>
      </c>
      <c r="E1423">
        <v>3526</v>
      </c>
      <c r="F1423" s="3">
        <v>40702</v>
      </c>
      <c r="H1423" t="s">
        <v>15523</v>
      </c>
      <c r="I1423" t="s">
        <v>16180</v>
      </c>
      <c r="K1423" t="e">
        <v>#N/A</v>
      </c>
      <c r="S1423" s="3"/>
    </row>
    <row r="1424" spans="1:19" x14ac:dyDescent="0.25">
      <c r="A1424" t="s">
        <v>4760</v>
      </c>
      <c r="B1424" t="s">
        <v>4761</v>
      </c>
      <c r="C1424" t="s">
        <v>4762</v>
      </c>
      <c r="D1424" t="s">
        <v>23</v>
      </c>
      <c r="E1424">
        <v>3725</v>
      </c>
      <c r="F1424" s="3">
        <v>40702</v>
      </c>
      <c r="H1424" t="s">
        <v>15523</v>
      </c>
      <c r="I1424" t="s">
        <v>16756</v>
      </c>
      <c r="K1424" t="e">
        <v>#N/A</v>
      </c>
      <c r="S1424" s="3"/>
    </row>
    <row r="1425" spans="1:19" x14ac:dyDescent="0.25">
      <c r="A1425" t="s">
        <v>4763</v>
      </c>
      <c r="B1425" t="s">
        <v>4764</v>
      </c>
      <c r="C1425" t="s">
        <v>16179</v>
      </c>
      <c r="D1425" t="s">
        <v>2820</v>
      </c>
      <c r="E1425">
        <v>5759</v>
      </c>
      <c r="F1425" s="3">
        <v>42763</v>
      </c>
      <c r="H1425" t="s">
        <v>15523</v>
      </c>
      <c r="I1425" t="s">
        <v>16180</v>
      </c>
      <c r="K1425" t="e">
        <v>#N/A</v>
      </c>
      <c r="S1425" s="3"/>
    </row>
    <row r="1426" spans="1:19" x14ac:dyDescent="0.25">
      <c r="A1426" t="s">
        <v>4765</v>
      </c>
      <c r="B1426" t="s">
        <v>4766</v>
      </c>
      <c r="C1426" t="s">
        <v>16179</v>
      </c>
      <c r="D1426" t="s">
        <v>47</v>
      </c>
      <c r="E1426">
        <v>3531</v>
      </c>
      <c r="F1426" s="3">
        <v>40702</v>
      </c>
      <c r="H1426" t="s">
        <v>15523</v>
      </c>
      <c r="I1426" t="s">
        <v>16180</v>
      </c>
      <c r="K1426" t="e">
        <v>#N/A</v>
      </c>
      <c r="S1426" s="3"/>
    </row>
    <row r="1427" spans="1:19" x14ac:dyDescent="0.25">
      <c r="A1427" t="s">
        <v>4767</v>
      </c>
      <c r="B1427" t="s">
        <v>4768</v>
      </c>
      <c r="C1427" t="s">
        <v>16179</v>
      </c>
      <c r="D1427" t="s">
        <v>47</v>
      </c>
      <c r="E1427">
        <v>3541</v>
      </c>
      <c r="F1427" s="3">
        <v>40702</v>
      </c>
      <c r="H1427" t="s">
        <v>15523</v>
      </c>
      <c r="I1427" t="s">
        <v>16180</v>
      </c>
      <c r="K1427" t="e">
        <v>#N/A</v>
      </c>
      <c r="S1427" s="3"/>
    </row>
    <row r="1428" spans="1:19" x14ac:dyDescent="0.25">
      <c r="A1428" t="s">
        <v>4769</v>
      </c>
      <c r="B1428" t="s">
        <v>4770</v>
      </c>
      <c r="C1428" t="s">
        <v>16179</v>
      </c>
      <c r="D1428" t="s">
        <v>47</v>
      </c>
      <c r="E1428">
        <v>5003</v>
      </c>
      <c r="F1428" s="3">
        <v>41660</v>
      </c>
      <c r="H1428" t="s">
        <v>15523</v>
      </c>
      <c r="I1428" t="s">
        <v>16180</v>
      </c>
      <c r="K1428" t="e">
        <v>#N/A</v>
      </c>
      <c r="S1428" s="3"/>
    </row>
    <row r="1429" spans="1:19" x14ac:dyDescent="0.25">
      <c r="A1429" t="s">
        <v>4771</v>
      </c>
      <c r="B1429" t="s">
        <v>4772</v>
      </c>
      <c r="C1429" t="s">
        <v>16179</v>
      </c>
      <c r="D1429" t="s">
        <v>47</v>
      </c>
      <c r="E1429">
        <v>5004</v>
      </c>
      <c r="F1429" s="3">
        <v>41660</v>
      </c>
      <c r="H1429" t="s">
        <v>15523</v>
      </c>
      <c r="I1429" t="s">
        <v>16180</v>
      </c>
      <c r="K1429" t="e">
        <v>#N/A</v>
      </c>
      <c r="S1429" s="3"/>
    </row>
    <row r="1430" spans="1:19" x14ac:dyDescent="0.25">
      <c r="A1430" t="s">
        <v>4773</v>
      </c>
      <c r="B1430" t="s">
        <v>4774</v>
      </c>
      <c r="C1430" t="s">
        <v>16179</v>
      </c>
      <c r="D1430" t="s">
        <v>2779</v>
      </c>
      <c r="E1430">
        <v>3590</v>
      </c>
      <c r="F1430" s="3">
        <v>40783</v>
      </c>
      <c r="H1430" t="s">
        <v>15523</v>
      </c>
      <c r="I1430" t="s">
        <v>16180</v>
      </c>
      <c r="K1430" t="e">
        <v>#N/A</v>
      </c>
      <c r="S1430" s="3"/>
    </row>
    <row r="1431" spans="1:19" x14ac:dyDescent="0.25">
      <c r="A1431" t="s">
        <v>4775</v>
      </c>
      <c r="B1431" t="s">
        <v>4776</v>
      </c>
      <c r="C1431" t="s">
        <v>16179</v>
      </c>
      <c r="D1431" t="s">
        <v>2779</v>
      </c>
      <c r="E1431">
        <v>3592</v>
      </c>
      <c r="F1431" s="3">
        <v>40783</v>
      </c>
      <c r="H1431" t="s">
        <v>15523</v>
      </c>
      <c r="I1431" t="s">
        <v>16180</v>
      </c>
      <c r="K1431" t="e">
        <v>#N/A</v>
      </c>
      <c r="S1431" s="3"/>
    </row>
    <row r="1432" spans="1:19" x14ac:dyDescent="0.25">
      <c r="A1432" t="s">
        <v>4777</v>
      </c>
      <c r="B1432" t="s">
        <v>4778</v>
      </c>
      <c r="C1432" t="s">
        <v>16179</v>
      </c>
      <c r="D1432" t="s">
        <v>2779</v>
      </c>
      <c r="E1432">
        <v>3595</v>
      </c>
      <c r="F1432" s="3">
        <v>40783</v>
      </c>
      <c r="H1432" t="s">
        <v>15523</v>
      </c>
      <c r="I1432" t="s">
        <v>16180</v>
      </c>
      <c r="K1432" t="e">
        <v>#N/A</v>
      </c>
      <c r="S1432" s="3"/>
    </row>
    <row r="1433" spans="1:19" x14ac:dyDescent="0.25">
      <c r="A1433" t="s">
        <v>685</v>
      </c>
      <c r="B1433" t="s">
        <v>681</v>
      </c>
      <c r="C1433" t="s">
        <v>16179</v>
      </c>
      <c r="D1433" t="s">
        <v>666</v>
      </c>
      <c r="E1433">
        <v>700</v>
      </c>
      <c r="F1433" s="3">
        <v>40702</v>
      </c>
      <c r="H1433" t="s">
        <v>15523</v>
      </c>
      <c r="I1433" t="s">
        <v>16180</v>
      </c>
      <c r="K1433">
        <v>187</v>
      </c>
      <c r="S1433" s="3"/>
    </row>
    <row r="1434" spans="1:19" x14ac:dyDescent="0.25">
      <c r="A1434" t="s">
        <v>453</v>
      </c>
      <c r="B1434" t="s">
        <v>455</v>
      </c>
      <c r="C1434" t="s">
        <v>456</v>
      </c>
      <c r="D1434" t="s">
        <v>23</v>
      </c>
      <c r="E1434">
        <v>3719</v>
      </c>
      <c r="F1434" s="3">
        <v>40702</v>
      </c>
      <c r="H1434" t="s">
        <v>15523</v>
      </c>
      <c r="I1434" t="s">
        <v>16757</v>
      </c>
      <c r="K1434">
        <v>120</v>
      </c>
      <c r="S1434" s="3"/>
    </row>
    <row r="1435" spans="1:19" x14ac:dyDescent="0.25">
      <c r="A1435" t="s">
        <v>578</v>
      </c>
      <c r="B1435" t="s">
        <v>580</v>
      </c>
      <c r="C1435" t="s">
        <v>581</v>
      </c>
      <c r="D1435" t="s">
        <v>23</v>
      </c>
      <c r="E1435">
        <v>3721</v>
      </c>
      <c r="F1435" s="3">
        <v>40915</v>
      </c>
      <c r="H1435" t="s">
        <v>15523</v>
      </c>
      <c r="I1435" t="s">
        <v>16758</v>
      </c>
      <c r="K1435">
        <v>151</v>
      </c>
      <c r="S1435" s="3"/>
    </row>
    <row r="1436" spans="1:19" x14ac:dyDescent="0.25">
      <c r="A1436" t="s">
        <v>4779</v>
      </c>
      <c r="B1436" t="s">
        <v>4780</v>
      </c>
      <c r="C1436" t="s">
        <v>4781</v>
      </c>
      <c r="D1436" t="s">
        <v>23</v>
      </c>
      <c r="E1436">
        <v>3722</v>
      </c>
      <c r="F1436" s="3">
        <v>40702</v>
      </c>
      <c r="H1436" t="s">
        <v>15523</v>
      </c>
      <c r="I1436" t="s">
        <v>16759</v>
      </c>
      <c r="K1436" t="e">
        <v>#N/A</v>
      </c>
      <c r="S1436" s="3"/>
    </row>
    <row r="1437" spans="1:19" x14ac:dyDescent="0.25">
      <c r="A1437" t="s">
        <v>4782</v>
      </c>
      <c r="B1437" t="s">
        <v>4783</v>
      </c>
      <c r="C1437" t="s">
        <v>4784</v>
      </c>
      <c r="D1437" t="s">
        <v>23</v>
      </c>
      <c r="E1437">
        <v>6000</v>
      </c>
      <c r="F1437" s="3">
        <v>43470</v>
      </c>
      <c r="H1437" t="s">
        <v>15523</v>
      </c>
      <c r="I1437" t="s">
        <v>16760</v>
      </c>
      <c r="K1437" t="e">
        <v>#N/A</v>
      </c>
      <c r="S1437" s="3"/>
    </row>
    <row r="1438" spans="1:19" x14ac:dyDescent="0.25">
      <c r="A1438" t="s">
        <v>4785</v>
      </c>
      <c r="B1438" t="s">
        <v>4786</v>
      </c>
      <c r="C1438" t="s">
        <v>4787</v>
      </c>
      <c r="D1438" t="s">
        <v>23</v>
      </c>
      <c r="E1438">
        <v>5744</v>
      </c>
      <c r="F1438" s="3">
        <v>42746</v>
      </c>
      <c r="H1438" t="s">
        <v>15523</v>
      </c>
      <c r="I1438" t="s">
        <v>16761</v>
      </c>
      <c r="K1438" t="e">
        <v>#N/A</v>
      </c>
      <c r="S1438" s="3"/>
    </row>
    <row r="1439" spans="1:19" x14ac:dyDescent="0.25">
      <c r="A1439" t="s">
        <v>434</v>
      </c>
      <c r="B1439" t="s">
        <v>436</v>
      </c>
      <c r="C1439" t="s">
        <v>437</v>
      </c>
      <c r="D1439" t="s">
        <v>23</v>
      </c>
      <c r="E1439">
        <v>3740</v>
      </c>
      <c r="F1439" s="3">
        <v>40702</v>
      </c>
      <c r="H1439" t="s">
        <v>15523</v>
      </c>
      <c r="I1439" t="s">
        <v>16762</v>
      </c>
      <c r="K1439">
        <v>115</v>
      </c>
      <c r="S1439" s="3"/>
    </row>
    <row r="1440" spans="1:19" x14ac:dyDescent="0.25">
      <c r="A1440" t="s">
        <v>4788</v>
      </c>
      <c r="B1440" t="s">
        <v>4789</v>
      </c>
      <c r="C1440" t="s">
        <v>4790</v>
      </c>
      <c r="D1440" t="s">
        <v>23</v>
      </c>
      <c r="E1440">
        <v>3741</v>
      </c>
      <c r="F1440" s="3">
        <v>40702</v>
      </c>
      <c r="H1440" t="s">
        <v>15523</v>
      </c>
      <c r="I1440" t="s">
        <v>16763</v>
      </c>
      <c r="K1440" t="e">
        <v>#N/A</v>
      </c>
      <c r="S1440" s="3"/>
    </row>
    <row r="1441" spans="1:19" x14ac:dyDescent="0.25">
      <c r="A1441" t="s">
        <v>4791</v>
      </c>
      <c r="B1441" t="s">
        <v>4792</v>
      </c>
      <c r="C1441" t="s">
        <v>4793</v>
      </c>
      <c r="D1441" t="s">
        <v>23</v>
      </c>
      <c r="E1441">
        <v>3742</v>
      </c>
      <c r="F1441" s="3">
        <v>40702</v>
      </c>
      <c r="H1441" t="s">
        <v>15523</v>
      </c>
      <c r="I1441" t="s">
        <v>16764</v>
      </c>
      <c r="K1441" t="e">
        <v>#N/A</v>
      </c>
      <c r="S1441" s="3"/>
    </row>
    <row r="1442" spans="1:19" x14ac:dyDescent="0.25">
      <c r="A1442" t="s">
        <v>4794</v>
      </c>
      <c r="B1442" t="s">
        <v>4795</v>
      </c>
      <c r="C1442" t="s">
        <v>4796</v>
      </c>
      <c r="D1442" t="s">
        <v>23</v>
      </c>
      <c r="E1442">
        <v>3743</v>
      </c>
      <c r="F1442" s="3">
        <v>40702</v>
      </c>
      <c r="H1442" t="s">
        <v>15523</v>
      </c>
      <c r="I1442" t="s">
        <v>16765</v>
      </c>
      <c r="K1442" t="e">
        <v>#N/A</v>
      </c>
      <c r="S1442" s="3"/>
    </row>
    <row r="1443" spans="1:19" x14ac:dyDescent="0.25">
      <c r="A1443" t="s">
        <v>219</v>
      </c>
      <c r="B1443" t="s">
        <v>221</v>
      </c>
      <c r="C1443" t="s">
        <v>222</v>
      </c>
      <c r="D1443" t="s">
        <v>23</v>
      </c>
      <c r="E1443">
        <v>1853</v>
      </c>
      <c r="F1443" s="3">
        <v>40703</v>
      </c>
      <c r="H1443" t="s">
        <v>15523</v>
      </c>
      <c r="I1443" t="s">
        <v>16766</v>
      </c>
      <c r="K1443">
        <v>61</v>
      </c>
      <c r="S1443" s="3"/>
    </row>
    <row r="1444" spans="1:19" x14ac:dyDescent="0.25">
      <c r="A1444" t="s">
        <v>4797</v>
      </c>
      <c r="B1444" t="s">
        <v>4798</v>
      </c>
      <c r="C1444" t="s">
        <v>4799</v>
      </c>
      <c r="D1444" t="s">
        <v>23</v>
      </c>
      <c r="E1444">
        <v>3747</v>
      </c>
      <c r="F1444" s="3">
        <v>40787</v>
      </c>
      <c r="H1444" t="s">
        <v>15523</v>
      </c>
      <c r="I1444" t="s">
        <v>16767</v>
      </c>
      <c r="K1444" t="e">
        <v>#N/A</v>
      </c>
      <c r="S1444" s="3"/>
    </row>
    <row r="1445" spans="1:19" x14ac:dyDescent="0.25">
      <c r="A1445" t="s">
        <v>4800</v>
      </c>
      <c r="B1445" t="s">
        <v>4801</v>
      </c>
      <c r="C1445" t="s">
        <v>4802</v>
      </c>
      <c r="D1445" t="s">
        <v>23</v>
      </c>
      <c r="E1445">
        <v>5969</v>
      </c>
      <c r="F1445" s="3">
        <v>43354</v>
      </c>
      <c r="H1445" t="s">
        <v>15523</v>
      </c>
      <c r="I1445" t="s">
        <v>16768</v>
      </c>
      <c r="K1445" t="e">
        <v>#N/A</v>
      </c>
      <c r="S1445" s="3"/>
    </row>
    <row r="1446" spans="1:19" x14ac:dyDescent="0.25">
      <c r="A1446" t="s">
        <v>730</v>
      </c>
      <c r="B1446" t="s">
        <v>731</v>
      </c>
      <c r="C1446" t="s">
        <v>16179</v>
      </c>
      <c r="D1446" t="s">
        <v>666</v>
      </c>
      <c r="E1446">
        <v>3596</v>
      </c>
      <c r="F1446" s="3">
        <v>40702</v>
      </c>
      <c r="H1446" t="s">
        <v>15523</v>
      </c>
      <c r="I1446" t="s">
        <v>16180</v>
      </c>
      <c r="K1446">
        <v>209</v>
      </c>
      <c r="S1446" s="3"/>
    </row>
    <row r="1447" spans="1:19" x14ac:dyDescent="0.25">
      <c r="A1447" t="s">
        <v>733</v>
      </c>
      <c r="B1447" t="s">
        <v>734</v>
      </c>
      <c r="C1447" t="s">
        <v>16179</v>
      </c>
      <c r="D1447" t="s">
        <v>666</v>
      </c>
      <c r="E1447">
        <v>744</v>
      </c>
      <c r="F1447" s="3">
        <v>40702</v>
      </c>
      <c r="H1447" t="s">
        <v>15523</v>
      </c>
      <c r="I1447" t="s">
        <v>16180</v>
      </c>
      <c r="K1447">
        <v>210</v>
      </c>
      <c r="S1447" s="3"/>
    </row>
    <row r="1448" spans="1:19" x14ac:dyDescent="0.25">
      <c r="A1448" t="s">
        <v>4803</v>
      </c>
      <c r="B1448" t="s">
        <v>4804</v>
      </c>
      <c r="C1448" t="s">
        <v>16179</v>
      </c>
      <c r="D1448" t="s">
        <v>666</v>
      </c>
      <c r="E1448">
        <v>5342</v>
      </c>
      <c r="F1448" s="3">
        <v>42222</v>
      </c>
      <c r="H1448" t="s">
        <v>15523</v>
      </c>
      <c r="I1448" t="s">
        <v>16180</v>
      </c>
      <c r="K1448" t="e">
        <v>#N/A</v>
      </c>
      <c r="S1448" s="3"/>
    </row>
    <row r="1449" spans="1:19" x14ac:dyDescent="0.25">
      <c r="A1449" t="s">
        <v>4805</v>
      </c>
      <c r="B1449" t="s">
        <v>4806</v>
      </c>
      <c r="C1449" t="s">
        <v>16179</v>
      </c>
      <c r="D1449" t="s">
        <v>23</v>
      </c>
      <c r="E1449">
        <v>3604</v>
      </c>
      <c r="F1449" s="3">
        <v>40702</v>
      </c>
      <c r="H1449" t="s">
        <v>15523</v>
      </c>
      <c r="I1449" t="s">
        <v>16180</v>
      </c>
      <c r="K1449" t="e">
        <v>#N/A</v>
      </c>
      <c r="S1449" s="3"/>
    </row>
    <row r="1450" spans="1:19" x14ac:dyDescent="0.25">
      <c r="A1450" t="s">
        <v>4807</v>
      </c>
      <c r="B1450" t="s">
        <v>4808</v>
      </c>
      <c r="C1450" t="s">
        <v>16179</v>
      </c>
      <c r="D1450" t="s">
        <v>23</v>
      </c>
      <c r="E1450">
        <v>3606</v>
      </c>
      <c r="F1450" s="3">
        <v>40702</v>
      </c>
      <c r="H1450" t="s">
        <v>15523</v>
      </c>
      <c r="I1450" t="s">
        <v>16180</v>
      </c>
      <c r="K1450" t="e">
        <v>#N/A</v>
      </c>
      <c r="S1450" s="3"/>
    </row>
    <row r="1451" spans="1:19" x14ac:dyDescent="0.25">
      <c r="A1451" t="s">
        <v>4809</v>
      </c>
      <c r="B1451" t="s">
        <v>4810</v>
      </c>
      <c r="C1451" t="s">
        <v>16179</v>
      </c>
      <c r="D1451" t="s">
        <v>2779</v>
      </c>
      <c r="E1451">
        <v>3609</v>
      </c>
      <c r="F1451" s="3">
        <v>40783</v>
      </c>
      <c r="H1451" t="s">
        <v>15523</v>
      </c>
      <c r="I1451" t="s">
        <v>16180</v>
      </c>
      <c r="K1451" t="e">
        <v>#N/A</v>
      </c>
      <c r="S1451" s="3"/>
    </row>
    <row r="1452" spans="1:19" x14ac:dyDescent="0.25">
      <c r="A1452" t="s">
        <v>4811</v>
      </c>
      <c r="B1452" t="s">
        <v>4812</v>
      </c>
      <c r="C1452" t="s">
        <v>16179</v>
      </c>
      <c r="D1452" t="s">
        <v>2779</v>
      </c>
      <c r="E1452">
        <v>3610</v>
      </c>
      <c r="F1452" s="3">
        <v>40783</v>
      </c>
      <c r="H1452" t="s">
        <v>15523</v>
      </c>
      <c r="I1452" t="s">
        <v>16180</v>
      </c>
      <c r="K1452" t="e">
        <v>#N/A</v>
      </c>
      <c r="S1452" s="3"/>
    </row>
    <row r="1453" spans="1:19" x14ac:dyDescent="0.25">
      <c r="A1453" t="s">
        <v>4813</v>
      </c>
      <c r="B1453" t="s">
        <v>4814</v>
      </c>
      <c r="C1453" t="s">
        <v>16179</v>
      </c>
      <c r="D1453" t="s">
        <v>666</v>
      </c>
      <c r="E1453">
        <v>3617</v>
      </c>
      <c r="F1453" s="3">
        <v>40781</v>
      </c>
      <c r="H1453" t="s">
        <v>15523</v>
      </c>
      <c r="I1453" t="s">
        <v>16180</v>
      </c>
      <c r="K1453" t="e">
        <v>#N/A</v>
      </c>
      <c r="S1453" s="3"/>
    </row>
    <row r="1454" spans="1:19" x14ac:dyDescent="0.25">
      <c r="A1454" t="s">
        <v>4815</v>
      </c>
      <c r="B1454" t="s">
        <v>4816</v>
      </c>
      <c r="C1454" t="s">
        <v>16179</v>
      </c>
      <c r="D1454" t="s">
        <v>666</v>
      </c>
      <c r="E1454">
        <v>3618</v>
      </c>
      <c r="F1454" s="3">
        <v>40934</v>
      </c>
      <c r="H1454" t="s">
        <v>15523</v>
      </c>
      <c r="I1454" t="s">
        <v>16180</v>
      </c>
      <c r="K1454" t="e">
        <v>#N/A</v>
      </c>
      <c r="S1454" s="3"/>
    </row>
    <row r="1455" spans="1:19" x14ac:dyDescent="0.25">
      <c r="A1455" t="s">
        <v>4817</v>
      </c>
      <c r="B1455" t="s">
        <v>4818</v>
      </c>
      <c r="C1455" t="s">
        <v>16179</v>
      </c>
      <c r="D1455" t="s">
        <v>47</v>
      </c>
      <c r="E1455">
        <v>3545</v>
      </c>
      <c r="F1455" s="3">
        <v>40783</v>
      </c>
      <c r="H1455" t="s">
        <v>15523</v>
      </c>
      <c r="I1455" t="s">
        <v>16180</v>
      </c>
      <c r="K1455" t="e">
        <v>#N/A</v>
      </c>
      <c r="S1455" s="3"/>
    </row>
    <row r="1456" spans="1:19" x14ac:dyDescent="0.25">
      <c r="A1456" t="s">
        <v>4819</v>
      </c>
      <c r="B1456" t="s">
        <v>4820</v>
      </c>
      <c r="C1456" t="s">
        <v>16179</v>
      </c>
      <c r="D1456" t="s">
        <v>47</v>
      </c>
      <c r="E1456">
        <v>5005</v>
      </c>
      <c r="F1456" s="3">
        <v>41660</v>
      </c>
      <c r="H1456" t="s">
        <v>15523</v>
      </c>
      <c r="I1456" t="s">
        <v>16180</v>
      </c>
      <c r="K1456" t="e">
        <v>#N/A</v>
      </c>
      <c r="S1456" s="3"/>
    </row>
    <row r="1457" spans="1:19" x14ac:dyDescent="0.25">
      <c r="A1457" t="s">
        <v>4821</v>
      </c>
      <c r="B1457" t="s">
        <v>4822</v>
      </c>
      <c r="C1457" t="s">
        <v>4823</v>
      </c>
      <c r="D1457" t="s">
        <v>23</v>
      </c>
      <c r="E1457">
        <v>5740</v>
      </c>
      <c r="F1457" s="3">
        <v>42745</v>
      </c>
      <c r="H1457" t="s">
        <v>15523</v>
      </c>
      <c r="I1457" t="s">
        <v>16769</v>
      </c>
      <c r="K1457" t="e">
        <v>#N/A</v>
      </c>
      <c r="S1457" s="3"/>
    </row>
    <row r="1458" spans="1:19" x14ac:dyDescent="0.25">
      <c r="A1458" t="s">
        <v>4824</v>
      </c>
      <c r="B1458" t="s">
        <v>4825</v>
      </c>
      <c r="C1458" t="s">
        <v>4826</v>
      </c>
      <c r="D1458" t="s">
        <v>23</v>
      </c>
      <c r="E1458">
        <v>5741</v>
      </c>
      <c r="F1458" s="3">
        <v>42745</v>
      </c>
      <c r="H1458" t="s">
        <v>15523</v>
      </c>
      <c r="I1458" t="s">
        <v>16770</v>
      </c>
      <c r="K1458" t="e">
        <v>#N/A</v>
      </c>
      <c r="S1458" s="3"/>
    </row>
    <row r="1459" spans="1:19" x14ac:dyDescent="0.25">
      <c r="A1459" t="s">
        <v>4827</v>
      </c>
      <c r="B1459" t="s">
        <v>4828</v>
      </c>
      <c r="C1459" t="s">
        <v>16179</v>
      </c>
      <c r="D1459" t="s">
        <v>23</v>
      </c>
      <c r="E1459">
        <v>5742</v>
      </c>
      <c r="F1459" s="3">
        <v>42745</v>
      </c>
      <c r="H1459" t="s">
        <v>15523</v>
      </c>
      <c r="I1459" t="s">
        <v>16180</v>
      </c>
      <c r="K1459" t="e">
        <v>#N/A</v>
      </c>
      <c r="S1459" s="3"/>
    </row>
    <row r="1460" spans="1:19" x14ac:dyDescent="0.25">
      <c r="A1460" t="s">
        <v>4829</v>
      </c>
      <c r="B1460" t="s">
        <v>4830</v>
      </c>
      <c r="C1460" t="s">
        <v>16179</v>
      </c>
      <c r="D1460" t="s">
        <v>47</v>
      </c>
      <c r="E1460">
        <v>3546</v>
      </c>
      <c r="F1460" s="3">
        <v>40702</v>
      </c>
      <c r="H1460" t="s">
        <v>15523</v>
      </c>
      <c r="I1460" t="s">
        <v>16180</v>
      </c>
      <c r="K1460" t="e">
        <v>#N/A</v>
      </c>
      <c r="S1460" s="3"/>
    </row>
    <row r="1461" spans="1:19" x14ac:dyDescent="0.25">
      <c r="A1461" t="s">
        <v>4831</v>
      </c>
      <c r="B1461" t="s">
        <v>4832</v>
      </c>
      <c r="C1461" t="s">
        <v>16179</v>
      </c>
      <c r="D1461" t="s">
        <v>666</v>
      </c>
      <c r="E1461">
        <v>3641</v>
      </c>
      <c r="F1461" s="3">
        <v>40705</v>
      </c>
      <c r="H1461" t="s">
        <v>15523</v>
      </c>
      <c r="I1461" t="s">
        <v>16180</v>
      </c>
      <c r="K1461" t="e">
        <v>#N/A</v>
      </c>
      <c r="S1461" s="3"/>
    </row>
    <row r="1462" spans="1:19" x14ac:dyDescent="0.25">
      <c r="A1462" t="s">
        <v>4833</v>
      </c>
      <c r="B1462" t="s">
        <v>4834</v>
      </c>
      <c r="C1462" t="s">
        <v>16179</v>
      </c>
      <c r="D1462" t="s">
        <v>666</v>
      </c>
      <c r="E1462">
        <v>5958</v>
      </c>
      <c r="F1462" s="3">
        <v>43280</v>
      </c>
      <c r="H1462" t="s">
        <v>15523</v>
      </c>
      <c r="I1462" t="s">
        <v>16180</v>
      </c>
      <c r="K1462" t="e">
        <v>#N/A</v>
      </c>
      <c r="S1462" s="3"/>
    </row>
    <row r="1463" spans="1:19" x14ac:dyDescent="0.25">
      <c r="A1463" t="s">
        <v>4835</v>
      </c>
      <c r="B1463" t="s">
        <v>4836</v>
      </c>
      <c r="C1463" t="s">
        <v>16179</v>
      </c>
      <c r="D1463" t="s">
        <v>666</v>
      </c>
      <c r="E1463">
        <v>5685</v>
      </c>
      <c r="F1463" s="3">
        <v>42707</v>
      </c>
      <c r="H1463" t="s">
        <v>15523</v>
      </c>
      <c r="I1463" t="s">
        <v>16180</v>
      </c>
      <c r="K1463" t="e">
        <v>#N/A</v>
      </c>
      <c r="S1463" s="3"/>
    </row>
    <row r="1464" spans="1:19" x14ac:dyDescent="0.25">
      <c r="A1464" t="s">
        <v>4837</v>
      </c>
      <c r="B1464" t="s">
        <v>4838</v>
      </c>
      <c r="C1464" t="s">
        <v>16179</v>
      </c>
      <c r="D1464" t="s">
        <v>666</v>
      </c>
      <c r="E1464">
        <v>5684</v>
      </c>
      <c r="F1464" s="3">
        <v>42707</v>
      </c>
      <c r="H1464" t="s">
        <v>15523</v>
      </c>
      <c r="I1464" t="s">
        <v>16180</v>
      </c>
      <c r="K1464" t="e">
        <v>#N/A</v>
      </c>
      <c r="S1464" s="3"/>
    </row>
    <row r="1465" spans="1:19" x14ac:dyDescent="0.25">
      <c r="A1465" t="s">
        <v>4839</v>
      </c>
      <c r="B1465" t="s">
        <v>4840</v>
      </c>
      <c r="C1465" t="s">
        <v>16179</v>
      </c>
      <c r="D1465" t="s">
        <v>666</v>
      </c>
      <c r="E1465">
        <v>5959</v>
      </c>
      <c r="F1465" s="3">
        <v>43280</v>
      </c>
      <c r="H1465" t="s">
        <v>15523</v>
      </c>
      <c r="I1465" t="s">
        <v>16180</v>
      </c>
      <c r="K1465" t="e">
        <v>#N/A</v>
      </c>
      <c r="S1465" s="3"/>
    </row>
    <row r="1466" spans="1:19" x14ac:dyDescent="0.25">
      <c r="A1466" t="s">
        <v>4841</v>
      </c>
      <c r="B1466" t="s">
        <v>4842</v>
      </c>
      <c r="C1466" t="s">
        <v>16179</v>
      </c>
      <c r="D1466" t="s">
        <v>666</v>
      </c>
      <c r="E1466">
        <v>5686</v>
      </c>
      <c r="F1466" s="3">
        <v>42707</v>
      </c>
      <c r="H1466" t="s">
        <v>15523</v>
      </c>
      <c r="I1466" t="s">
        <v>16180</v>
      </c>
      <c r="K1466" t="e">
        <v>#N/A</v>
      </c>
      <c r="S1466" s="3"/>
    </row>
    <row r="1467" spans="1:19" x14ac:dyDescent="0.25">
      <c r="A1467" t="s">
        <v>4843</v>
      </c>
      <c r="B1467" t="s">
        <v>4844</v>
      </c>
      <c r="C1467" t="s">
        <v>16179</v>
      </c>
      <c r="D1467" t="s">
        <v>2820</v>
      </c>
      <c r="E1467">
        <v>5842</v>
      </c>
      <c r="F1467" s="3">
        <v>43078</v>
      </c>
      <c r="H1467" t="s">
        <v>15523</v>
      </c>
      <c r="I1467" t="s">
        <v>16180</v>
      </c>
      <c r="K1467" t="e">
        <v>#N/A</v>
      </c>
      <c r="S1467" s="3"/>
    </row>
    <row r="1468" spans="1:19" x14ac:dyDescent="0.25">
      <c r="A1468" t="s">
        <v>4845</v>
      </c>
      <c r="B1468" t="s">
        <v>4846</v>
      </c>
      <c r="C1468" t="s">
        <v>16179</v>
      </c>
      <c r="D1468" t="s">
        <v>2820</v>
      </c>
      <c r="E1468">
        <v>5719</v>
      </c>
      <c r="F1468" s="3">
        <v>42707</v>
      </c>
      <c r="H1468" t="s">
        <v>15523</v>
      </c>
      <c r="I1468" t="s">
        <v>16180</v>
      </c>
      <c r="K1468" t="e">
        <v>#N/A</v>
      </c>
      <c r="S1468" s="3"/>
    </row>
    <row r="1469" spans="1:19" x14ac:dyDescent="0.25">
      <c r="A1469" t="s">
        <v>4847</v>
      </c>
      <c r="B1469" t="s">
        <v>4848</v>
      </c>
      <c r="C1469" t="s">
        <v>16179</v>
      </c>
      <c r="D1469" t="s">
        <v>2820</v>
      </c>
      <c r="E1469">
        <v>5716</v>
      </c>
      <c r="F1469" s="3">
        <v>42707</v>
      </c>
      <c r="H1469" t="s">
        <v>15523</v>
      </c>
      <c r="I1469" t="s">
        <v>16180</v>
      </c>
      <c r="K1469" t="e">
        <v>#N/A</v>
      </c>
      <c r="S1469" s="3"/>
    </row>
    <row r="1470" spans="1:19" x14ac:dyDescent="0.25">
      <c r="A1470" t="s">
        <v>4849</v>
      </c>
      <c r="B1470" t="s">
        <v>4850</v>
      </c>
      <c r="C1470" t="s">
        <v>16179</v>
      </c>
      <c r="D1470" t="s">
        <v>666</v>
      </c>
      <c r="E1470">
        <v>3643</v>
      </c>
      <c r="F1470" s="3">
        <v>40702</v>
      </c>
      <c r="H1470" t="s">
        <v>15523</v>
      </c>
      <c r="I1470" t="s">
        <v>16180</v>
      </c>
      <c r="K1470" t="e">
        <v>#N/A</v>
      </c>
      <c r="S1470" s="3"/>
    </row>
    <row r="1471" spans="1:19" x14ac:dyDescent="0.25">
      <c r="A1471" t="s">
        <v>4851</v>
      </c>
      <c r="B1471" t="s">
        <v>4852</v>
      </c>
      <c r="C1471" t="s">
        <v>16179</v>
      </c>
      <c r="D1471" t="s">
        <v>2820</v>
      </c>
      <c r="E1471">
        <v>5714</v>
      </c>
      <c r="F1471" s="3">
        <v>42707</v>
      </c>
      <c r="H1471" t="s">
        <v>15523</v>
      </c>
      <c r="I1471" t="s">
        <v>16180</v>
      </c>
      <c r="K1471" t="e">
        <v>#N/A</v>
      </c>
      <c r="S1471" s="3"/>
    </row>
    <row r="1472" spans="1:19" x14ac:dyDescent="0.25">
      <c r="A1472" t="s">
        <v>4853</v>
      </c>
      <c r="B1472" t="s">
        <v>4854</v>
      </c>
      <c r="C1472" t="s">
        <v>16179</v>
      </c>
      <c r="D1472" t="s">
        <v>2820</v>
      </c>
      <c r="E1472">
        <v>5715</v>
      </c>
      <c r="F1472" s="3">
        <v>42707</v>
      </c>
      <c r="H1472" t="s">
        <v>15523</v>
      </c>
      <c r="I1472" t="s">
        <v>16180</v>
      </c>
      <c r="K1472" t="e">
        <v>#N/A</v>
      </c>
      <c r="S1472" s="3"/>
    </row>
    <row r="1473" spans="1:19" x14ac:dyDescent="0.25">
      <c r="A1473" t="s">
        <v>4855</v>
      </c>
      <c r="B1473" t="s">
        <v>4856</v>
      </c>
      <c r="C1473" t="s">
        <v>16179</v>
      </c>
      <c r="D1473" t="s">
        <v>666</v>
      </c>
      <c r="E1473">
        <v>5637</v>
      </c>
      <c r="F1473" s="3">
        <v>42707</v>
      </c>
      <c r="H1473" t="s">
        <v>15523</v>
      </c>
      <c r="I1473" t="s">
        <v>16180</v>
      </c>
      <c r="K1473" t="e">
        <v>#N/A</v>
      </c>
      <c r="S1473" s="3"/>
    </row>
    <row r="1474" spans="1:19" x14ac:dyDescent="0.25">
      <c r="A1474" t="s">
        <v>4857</v>
      </c>
      <c r="B1474" t="s">
        <v>4858</v>
      </c>
      <c r="C1474" t="s">
        <v>16179</v>
      </c>
      <c r="D1474" t="s">
        <v>666</v>
      </c>
      <c r="E1474">
        <v>5644</v>
      </c>
      <c r="F1474" s="3">
        <v>42707</v>
      </c>
      <c r="H1474" t="s">
        <v>15523</v>
      </c>
      <c r="I1474" t="s">
        <v>16180</v>
      </c>
      <c r="K1474" t="e">
        <v>#N/A</v>
      </c>
      <c r="S1474" s="3"/>
    </row>
    <row r="1475" spans="1:19" x14ac:dyDescent="0.25">
      <c r="A1475" t="s">
        <v>4859</v>
      </c>
      <c r="B1475" t="s">
        <v>4860</v>
      </c>
      <c r="C1475" t="s">
        <v>16179</v>
      </c>
      <c r="D1475" t="s">
        <v>666</v>
      </c>
      <c r="E1475">
        <v>5645</v>
      </c>
      <c r="F1475" s="3">
        <v>42707</v>
      </c>
      <c r="H1475" t="s">
        <v>15523</v>
      </c>
      <c r="I1475" t="s">
        <v>16180</v>
      </c>
      <c r="K1475" t="e">
        <v>#N/A</v>
      </c>
      <c r="S1475" s="3"/>
    </row>
    <row r="1476" spans="1:19" x14ac:dyDescent="0.25">
      <c r="A1476" t="s">
        <v>4861</v>
      </c>
      <c r="B1476" t="s">
        <v>4862</v>
      </c>
      <c r="C1476" t="s">
        <v>16179</v>
      </c>
      <c r="D1476" t="s">
        <v>666</v>
      </c>
      <c r="E1476">
        <v>5646</v>
      </c>
      <c r="F1476" s="3">
        <v>42707</v>
      </c>
      <c r="H1476" t="s">
        <v>15523</v>
      </c>
      <c r="I1476" t="s">
        <v>16180</v>
      </c>
      <c r="K1476" t="e">
        <v>#N/A</v>
      </c>
      <c r="S1476" s="3"/>
    </row>
    <row r="1477" spans="1:19" x14ac:dyDescent="0.25">
      <c r="A1477" t="s">
        <v>4863</v>
      </c>
      <c r="B1477" t="s">
        <v>4864</v>
      </c>
      <c r="C1477" t="s">
        <v>16179</v>
      </c>
      <c r="D1477" t="s">
        <v>666</v>
      </c>
      <c r="E1477">
        <v>5647</v>
      </c>
      <c r="F1477" s="3">
        <v>42707</v>
      </c>
      <c r="H1477" t="s">
        <v>15523</v>
      </c>
      <c r="I1477" t="s">
        <v>16180</v>
      </c>
      <c r="K1477" t="e">
        <v>#N/A</v>
      </c>
      <c r="S1477" s="3"/>
    </row>
    <row r="1478" spans="1:19" x14ac:dyDescent="0.25">
      <c r="A1478" t="s">
        <v>4865</v>
      </c>
      <c r="B1478" t="s">
        <v>4866</v>
      </c>
      <c r="C1478" t="s">
        <v>16179</v>
      </c>
      <c r="D1478" t="s">
        <v>666</v>
      </c>
      <c r="E1478">
        <v>5648</v>
      </c>
      <c r="F1478" s="3">
        <v>42707</v>
      </c>
      <c r="H1478" t="s">
        <v>15523</v>
      </c>
      <c r="I1478" t="s">
        <v>16180</v>
      </c>
      <c r="K1478" t="e">
        <v>#N/A</v>
      </c>
      <c r="S1478" s="3"/>
    </row>
    <row r="1479" spans="1:19" x14ac:dyDescent="0.25">
      <c r="A1479" t="s">
        <v>4867</v>
      </c>
      <c r="B1479" t="s">
        <v>4868</v>
      </c>
      <c r="C1479" t="s">
        <v>16179</v>
      </c>
      <c r="D1479" t="s">
        <v>666</v>
      </c>
      <c r="E1479">
        <v>5649</v>
      </c>
      <c r="F1479" s="3">
        <v>42707</v>
      </c>
      <c r="H1479" t="s">
        <v>15523</v>
      </c>
      <c r="I1479" t="s">
        <v>16180</v>
      </c>
      <c r="K1479" t="e">
        <v>#N/A</v>
      </c>
      <c r="S1479" s="3"/>
    </row>
    <row r="1480" spans="1:19" x14ac:dyDescent="0.25">
      <c r="A1480" t="s">
        <v>4869</v>
      </c>
      <c r="B1480" t="s">
        <v>4870</v>
      </c>
      <c r="C1480" t="s">
        <v>16179</v>
      </c>
      <c r="D1480" t="s">
        <v>666</v>
      </c>
      <c r="E1480">
        <v>5650</v>
      </c>
      <c r="F1480" s="3">
        <v>42707</v>
      </c>
      <c r="H1480" t="s">
        <v>15523</v>
      </c>
      <c r="I1480" t="s">
        <v>16180</v>
      </c>
      <c r="K1480" t="e">
        <v>#N/A</v>
      </c>
      <c r="S1480" s="3"/>
    </row>
    <row r="1481" spans="1:19" x14ac:dyDescent="0.25">
      <c r="A1481" t="s">
        <v>4871</v>
      </c>
      <c r="B1481" t="s">
        <v>4872</v>
      </c>
      <c r="C1481" t="s">
        <v>16179</v>
      </c>
      <c r="D1481" t="s">
        <v>666</v>
      </c>
      <c r="E1481">
        <v>5651</v>
      </c>
      <c r="F1481" s="3">
        <v>42707</v>
      </c>
      <c r="H1481" t="s">
        <v>15523</v>
      </c>
      <c r="I1481" t="s">
        <v>16180</v>
      </c>
      <c r="K1481" t="e">
        <v>#N/A</v>
      </c>
      <c r="S1481" s="3"/>
    </row>
    <row r="1482" spans="1:19" x14ac:dyDescent="0.25">
      <c r="A1482" t="s">
        <v>4873</v>
      </c>
      <c r="B1482" t="s">
        <v>4874</v>
      </c>
      <c r="C1482" t="s">
        <v>16179</v>
      </c>
      <c r="D1482" t="s">
        <v>666</v>
      </c>
      <c r="E1482">
        <v>5652</v>
      </c>
      <c r="F1482" s="3">
        <v>42707</v>
      </c>
      <c r="H1482" t="s">
        <v>15523</v>
      </c>
      <c r="I1482" t="s">
        <v>16180</v>
      </c>
      <c r="K1482" t="e">
        <v>#N/A</v>
      </c>
      <c r="S1482" s="3"/>
    </row>
    <row r="1483" spans="1:19" x14ac:dyDescent="0.25">
      <c r="A1483" t="s">
        <v>4875</v>
      </c>
      <c r="B1483" t="s">
        <v>4876</v>
      </c>
      <c r="C1483" t="s">
        <v>16179</v>
      </c>
      <c r="D1483" t="s">
        <v>666</v>
      </c>
      <c r="E1483">
        <v>5653</v>
      </c>
      <c r="F1483" s="3">
        <v>42707</v>
      </c>
      <c r="H1483" t="s">
        <v>15523</v>
      </c>
      <c r="I1483" t="s">
        <v>16180</v>
      </c>
      <c r="K1483" t="e">
        <v>#N/A</v>
      </c>
      <c r="S1483" s="3"/>
    </row>
    <row r="1484" spans="1:19" x14ac:dyDescent="0.25">
      <c r="A1484" t="s">
        <v>4877</v>
      </c>
      <c r="B1484" t="s">
        <v>4878</v>
      </c>
      <c r="C1484" t="s">
        <v>16179</v>
      </c>
      <c r="D1484" t="s">
        <v>666</v>
      </c>
      <c r="E1484">
        <v>5654</v>
      </c>
      <c r="F1484" s="3">
        <v>42707</v>
      </c>
      <c r="H1484" t="s">
        <v>15523</v>
      </c>
      <c r="I1484" t="s">
        <v>16180</v>
      </c>
      <c r="K1484" t="e">
        <v>#N/A</v>
      </c>
      <c r="S1484" s="3"/>
    </row>
    <row r="1485" spans="1:19" x14ac:dyDescent="0.25">
      <c r="A1485" t="s">
        <v>4879</v>
      </c>
      <c r="B1485" t="s">
        <v>4880</v>
      </c>
      <c r="C1485" t="s">
        <v>16179</v>
      </c>
      <c r="D1485" t="s">
        <v>666</v>
      </c>
      <c r="E1485">
        <v>5655</v>
      </c>
      <c r="F1485" s="3">
        <v>42707</v>
      </c>
      <c r="H1485" t="s">
        <v>15523</v>
      </c>
      <c r="I1485" t="s">
        <v>16180</v>
      </c>
      <c r="K1485" t="e">
        <v>#N/A</v>
      </c>
      <c r="S1485" s="3"/>
    </row>
    <row r="1486" spans="1:19" x14ac:dyDescent="0.25">
      <c r="A1486" t="s">
        <v>4881</v>
      </c>
      <c r="B1486" t="s">
        <v>4882</v>
      </c>
      <c r="C1486" t="s">
        <v>16179</v>
      </c>
      <c r="D1486" t="s">
        <v>666</v>
      </c>
      <c r="E1486">
        <v>5656</v>
      </c>
      <c r="F1486" s="3">
        <v>42707</v>
      </c>
      <c r="H1486" t="s">
        <v>15523</v>
      </c>
      <c r="I1486" t="s">
        <v>16180</v>
      </c>
      <c r="K1486" t="e">
        <v>#N/A</v>
      </c>
      <c r="S1486" s="3"/>
    </row>
    <row r="1487" spans="1:19" x14ac:dyDescent="0.25">
      <c r="A1487" t="s">
        <v>4883</v>
      </c>
      <c r="B1487" t="s">
        <v>4884</v>
      </c>
      <c r="C1487" t="s">
        <v>16179</v>
      </c>
      <c r="D1487" t="s">
        <v>666</v>
      </c>
      <c r="E1487">
        <v>5657</v>
      </c>
      <c r="F1487" s="3">
        <v>42707</v>
      </c>
      <c r="H1487" t="s">
        <v>15523</v>
      </c>
      <c r="I1487" t="s">
        <v>16180</v>
      </c>
      <c r="K1487" t="e">
        <v>#N/A</v>
      </c>
      <c r="S1487" s="3"/>
    </row>
    <row r="1488" spans="1:19" x14ac:dyDescent="0.25">
      <c r="A1488" t="s">
        <v>4885</v>
      </c>
      <c r="B1488" t="s">
        <v>4886</v>
      </c>
      <c r="C1488" t="s">
        <v>16179</v>
      </c>
      <c r="D1488" t="s">
        <v>666</v>
      </c>
      <c r="E1488">
        <v>5658</v>
      </c>
      <c r="F1488" s="3">
        <v>42707</v>
      </c>
      <c r="H1488" t="s">
        <v>15523</v>
      </c>
      <c r="I1488" t="s">
        <v>16180</v>
      </c>
      <c r="K1488" t="e">
        <v>#N/A</v>
      </c>
      <c r="S1488" s="3"/>
    </row>
    <row r="1489" spans="1:19" x14ac:dyDescent="0.25">
      <c r="A1489" t="s">
        <v>4887</v>
      </c>
      <c r="B1489" t="s">
        <v>4888</v>
      </c>
      <c r="C1489" t="s">
        <v>16179</v>
      </c>
      <c r="D1489" t="s">
        <v>666</v>
      </c>
      <c r="E1489">
        <v>5659</v>
      </c>
      <c r="F1489" s="3">
        <v>42707</v>
      </c>
      <c r="H1489" t="s">
        <v>15523</v>
      </c>
      <c r="I1489" t="s">
        <v>16180</v>
      </c>
      <c r="K1489" t="e">
        <v>#N/A</v>
      </c>
      <c r="S1489" s="3"/>
    </row>
    <row r="1490" spans="1:19" x14ac:dyDescent="0.25">
      <c r="A1490" t="s">
        <v>4889</v>
      </c>
      <c r="B1490" t="s">
        <v>4890</v>
      </c>
      <c r="C1490" t="s">
        <v>16179</v>
      </c>
      <c r="D1490" t="s">
        <v>666</v>
      </c>
      <c r="E1490">
        <v>5660</v>
      </c>
      <c r="F1490" s="3">
        <v>42707</v>
      </c>
      <c r="H1490" t="s">
        <v>15523</v>
      </c>
      <c r="I1490" t="s">
        <v>16180</v>
      </c>
      <c r="K1490" t="e">
        <v>#N/A</v>
      </c>
      <c r="S1490" s="3"/>
    </row>
    <row r="1491" spans="1:19" x14ac:dyDescent="0.25">
      <c r="A1491" t="s">
        <v>4891</v>
      </c>
      <c r="B1491" t="s">
        <v>4892</v>
      </c>
      <c r="C1491" t="s">
        <v>16179</v>
      </c>
      <c r="D1491" t="s">
        <v>666</v>
      </c>
      <c r="E1491">
        <v>5661</v>
      </c>
      <c r="F1491" s="3">
        <v>42707</v>
      </c>
      <c r="H1491" t="s">
        <v>15523</v>
      </c>
      <c r="I1491" t="s">
        <v>16180</v>
      </c>
      <c r="K1491" t="e">
        <v>#N/A</v>
      </c>
      <c r="S1491" s="3"/>
    </row>
    <row r="1492" spans="1:19" x14ac:dyDescent="0.25">
      <c r="A1492" t="s">
        <v>4893</v>
      </c>
      <c r="B1492" t="s">
        <v>4894</v>
      </c>
      <c r="C1492" t="s">
        <v>16179</v>
      </c>
      <c r="D1492" t="s">
        <v>666</v>
      </c>
      <c r="E1492">
        <v>5638</v>
      </c>
      <c r="F1492" s="3">
        <v>42707</v>
      </c>
      <c r="H1492" t="s">
        <v>15523</v>
      </c>
      <c r="I1492" t="s">
        <v>16180</v>
      </c>
      <c r="K1492" t="e">
        <v>#N/A</v>
      </c>
      <c r="S1492" s="3"/>
    </row>
    <row r="1493" spans="1:19" x14ac:dyDescent="0.25">
      <c r="A1493" t="s">
        <v>4895</v>
      </c>
      <c r="B1493" t="s">
        <v>4896</v>
      </c>
      <c r="C1493" t="s">
        <v>16179</v>
      </c>
      <c r="D1493" t="s">
        <v>666</v>
      </c>
      <c r="E1493">
        <v>5662</v>
      </c>
      <c r="F1493" s="3">
        <v>42707</v>
      </c>
      <c r="H1493" t="s">
        <v>15523</v>
      </c>
      <c r="I1493" t="s">
        <v>16180</v>
      </c>
      <c r="K1493" t="e">
        <v>#N/A</v>
      </c>
      <c r="S1493" s="3"/>
    </row>
    <row r="1494" spans="1:19" x14ac:dyDescent="0.25">
      <c r="A1494" t="s">
        <v>4897</v>
      </c>
      <c r="B1494" t="s">
        <v>4898</v>
      </c>
      <c r="C1494" t="s">
        <v>16179</v>
      </c>
      <c r="D1494" t="s">
        <v>666</v>
      </c>
      <c r="E1494">
        <v>5663</v>
      </c>
      <c r="F1494" s="3">
        <v>42707</v>
      </c>
      <c r="H1494" t="s">
        <v>15523</v>
      </c>
      <c r="I1494" t="s">
        <v>16180</v>
      </c>
      <c r="K1494" t="e">
        <v>#N/A</v>
      </c>
      <c r="S1494" s="3"/>
    </row>
    <row r="1495" spans="1:19" x14ac:dyDescent="0.25">
      <c r="A1495" t="s">
        <v>4899</v>
      </c>
      <c r="B1495" t="s">
        <v>4900</v>
      </c>
      <c r="C1495" t="s">
        <v>16179</v>
      </c>
      <c r="D1495" t="s">
        <v>666</v>
      </c>
      <c r="E1495">
        <v>5664</v>
      </c>
      <c r="F1495" s="3">
        <v>42707</v>
      </c>
      <c r="H1495" t="s">
        <v>15523</v>
      </c>
      <c r="I1495" t="s">
        <v>16180</v>
      </c>
      <c r="K1495" t="e">
        <v>#N/A</v>
      </c>
      <c r="S1495" s="3"/>
    </row>
    <row r="1496" spans="1:19" x14ac:dyDescent="0.25">
      <c r="A1496" t="s">
        <v>4901</v>
      </c>
      <c r="B1496" t="s">
        <v>4902</v>
      </c>
      <c r="C1496" t="s">
        <v>16179</v>
      </c>
      <c r="D1496" t="s">
        <v>666</v>
      </c>
      <c r="E1496">
        <v>5665</v>
      </c>
      <c r="F1496" s="3">
        <v>42707</v>
      </c>
      <c r="H1496" t="s">
        <v>15523</v>
      </c>
      <c r="I1496" t="s">
        <v>16180</v>
      </c>
      <c r="K1496" t="e">
        <v>#N/A</v>
      </c>
      <c r="S1496" s="3"/>
    </row>
    <row r="1497" spans="1:19" x14ac:dyDescent="0.25">
      <c r="A1497" t="s">
        <v>4903</v>
      </c>
      <c r="B1497" t="s">
        <v>4904</v>
      </c>
      <c r="C1497" t="s">
        <v>16179</v>
      </c>
      <c r="D1497" t="s">
        <v>666</v>
      </c>
      <c r="E1497">
        <v>5666</v>
      </c>
      <c r="F1497" s="3">
        <v>42707</v>
      </c>
      <c r="H1497" t="s">
        <v>15523</v>
      </c>
      <c r="I1497" t="s">
        <v>16180</v>
      </c>
      <c r="K1497" t="e">
        <v>#N/A</v>
      </c>
      <c r="S1497" s="3"/>
    </row>
    <row r="1498" spans="1:19" x14ac:dyDescent="0.25">
      <c r="A1498" t="s">
        <v>4905</v>
      </c>
      <c r="B1498" t="s">
        <v>4906</v>
      </c>
      <c r="C1498" t="s">
        <v>16179</v>
      </c>
      <c r="D1498" t="s">
        <v>666</v>
      </c>
      <c r="E1498">
        <v>5667</v>
      </c>
      <c r="F1498" s="3">
        <v>42707</v>
      </c>
      <c r="H1498" t="s">
        <v>15523</v>
      </c>
      <c r="I1498" t="s">
        <v>16180</v>
      </c>
      <c r="K1498" t="e">
        <v>#N/A</v>
      </c>
      <c r="S1498" s="3"/>
    </row>
    <row r="1499" spans="1:19" x14ac:dyDescent="0.25">
      <c r="A1499" t="s">
        <v>4907</v>
      </c>
      <c r="B1499" t="s">
        <v>4908</v>
      </c>
      <c r="C1499" t="s">
        <v>16179</v>
      </c>
      <c r="D1499" t="s">
        <v>666</v>
      </c>
      <c r="E1499">
        <v>5668</v>
      </c>
      <c r="F1499" s="3">
        <v>42707</v>
      </c>
      <c r="H1499" t="s">
        <v>15523</v>
      </c>
      <c r="I1499" t="s">
        <v>16180</v>
      </c>
      <c r="K1499" t="e">
        <v>#N/A</v>
      </c>
      <c r="S1499" s="3"/>
    </row>
    <row r="1500" spans="1:19" x14ac:dyDescent="0.25">
      <c r="A1500" t="s">
        <v>4909</v>
      </c>
      <c r="B1500" t="s">
        <v>4910</v>
      </c>
      <c r="C1500" t="s">
        <v>16179</v>
      </c>
      <c r="D1500" t="s">
        <v>666</v>
      </c>
      <c r="E1500">
        <v>5669</v>
      </c>
      <c r="F1500" s="3">
        <v>42707</v>
      </c>
      <c r="H1500" t="s">
        <v>15523</v>
      </c>
      <c r="I1500" t="s">
        <v>16180</v>
      </c>
      <c r="K1500" t="e">
        <v>#N/A</v>
      </c>
      <c r="S1500" s="3"/>
    </row>
    <row r="1501" spans="1:19" x14ac:dyDescent="0.25">
      <c r="A1501" t="s">
        <v>4911</v>
      </c>
      <c r="B1501" t="s">
        <v>4912</v>
      </c>
      <c r="C1501" t="s">
        <v>16179</v>
      </c>
      <c r="D1501" t="s">
        <v>666</v>
      </c>
      <c r="E1501">
        <v>5639</v>
      </c>
      <c r="F1501" s="3">
        <v>42707</v>
      </c>
      <c r="H1501" t="s">
        <v>15523</v>
      </c>
      <c r="I1501" t="s">
        <v>16180</v>
      </c>
      <c r="K1501" t="e">
        <v>#N/A</v>
      </c>
      <c r="S1501" s="3"/>
    </row>
    <row r="1502" spans="1:19" x14ac:dyDescent="0.25">
      <c r="A1502" t="s">
        <v>4913</v>
      </c>
      <c r="B1502" t="s">
        <v>4914</v>
      </c>
      <c r="C1502" t="s">
        <v>16179</v>
      </c>
      <c r="D1502" t="s">
        <v>666</v>
      </c>
      <c r="E1502">
        <v>5670</v>
      </c>
      <c r="F1502" s="3">
        <v>42707</v>
      </c>
      <c r="H1502" t="s">
        <v>15523</v>
      </c>
      <c r="I1502" t="s">
        <v>16180</v>
      </c>
      <c r="K1502" t="e">
        <v>#N/A</v>
      </c>
      <c r="S1502" s="3"/>
    </row>
    <row r="1503" spans="1:19" x14ac:dyDescent="0.25">
      <c r="A1503" t="s">
        <v>4915</v>
      </c>
      <c r="B1503" t="s">
        <v>4916</v>
      </c>
      <c r="C1503" t="s">
        <v>16179</v>
      </c>
      <c r="D1503" t="s">
        <v>666</v>
      </c>
      <c r="E1503">
        <v>5671</v>
      </c>
      <c r="F1503" s="3">
        <v>42707</v>
      </c>
      <c r="H1503" t="s">
        <v>15523</v>
      </c>
      <c r="I1503" t="s">
        <v>16180</v>
      </c>
      <c r="K1503" t="e">
        <v>#N/A</v>
      </c>
      <c r="S1503" s="3"/>
    </row>
    <row r="1504" spans="1:19" x14ac:dyDescent="0.25">
      <c r="A1504" t="s">
        <v>4917</v>
      </c>
      <c r="B1504" t="s">
        <v>4918</v>
      </c>
      <c r="C1504" t="s">
        <v>16179</v>
      </c>
      <c r="D1504" t="s">
        <v>666</v>
      </c>
      <c r="E1504">
        <v>5672</v>
      </c>
      <c r="F1504" s="3">
        <v>42707</v>
      </c>
      <c r="H1504" t="s">
        <v>15523</v>
      </c>
      <c r="I1504" t="s">
        <v>16180</v>
      </c>
      <c r="K1504" t="e">
        <v>#N/A</v>
      </c>
      <c r="S1504" s="3"/>
    </row>
    <row r="1505" spans="1:19" x14ac:dyDescent="0.25">
      <c r="A1505" t="s">
        <v>4919</v>
      </c>
      <c r="B1505" t="s">
        <v>4920</v>
      </c>
      <c r="C1505" t="s">
        <v>16179</v>
      </c>
      <c r="D1505" t="s">
        <v>666</v>
      </c>
      <c r="E1505">
        <v>5673</v>
      </c>
      <c r="F1505" s="3">
        <v>42707</v>
      </c>
      <c r="H1505" t="s">
        <v>15523</v>
      </c>
      <c r="I1505" t="s">
        <v>16180</v>
      </c>
      <c r="K1505" t="e">
        <v>#N/A</v>
      </c>
      <c r="S1505" s="3"/>
    </row>
    <row r="1506" spans="1:19" x14ac:dyDescent="0.25">
      <c r="A1506" t="s">
        <v>4921</v>
      </c>
      <c r="B1506" t="s">
        <v>4922</v>
      </c>
      <c r="C1506" t="s">
        <v>16179</v>
      </c>
      <c r="D1506" t="s">
        <v>666</v>
      </c>
      <c r="E1506">
        <v>5674</v>
      </c>
      <c r="F1506" s="3">
        <v>42707</v>
      </c>
      <c r="H1506" t="s">
        <v>15523</v>
      </c>
      <c r="I1506" t="s">
        <v>16180</v>
      </c>
      <c r="K1506" t="e">
        <v>#N/A</v>
      </c>
      <c r="S1506" s="3"/>
    </row>
    <row r="1507" spans="1:19" x14ac:dyDescent="0.25">
      <c r="A1507" t="s">
        <v>4923</v>
      </c>
      <c r="B1507" t="s">
        <v>4924</v>
      </c>
      <c r="C1507" t="s">
        <v>16179</v>
      </c>
      <c r="D1507" t="s">
        <v>666</v>
      </c>
      <c r="E1507">
        <v>5675</v>
      </c>
      <c r="F1507" s="3">
        <v>42707</v>
      </c>
      <c r="H1507" t="s">
        <v>15523</v>
      </c>
      <c r="I1507" t="s">
        <v>16180</v>
      </c>
      <c r="K1507" t="e">
        <v>#N/A</v>
      </c>
      <c r="S1507" s="3"/>
    </row>
    <row r="1508" spans="1:19" x14ac:dyDescent="0.25">
      <c r="A1508" t="s">
        <v>4925</v>
      </c>
      <c r="B1508" t="s">
        <v>4926</v>
      </c>
      <c r="C1508" t="s">
        <v>16179</v>
      </c>
      <c r="D1508" t="s">
        <v>666</v>
      </c>
      <c r="E1508">
        <v>5676</v>
      </c>
      <c r="F1508" s="3">
        <v>42707</v>
      </c>
      <c r="H1508" t="s">
        <v>15523</v>
      </c>
      <c r="I1508" t="s">
        <v>16180</v>
      </c>
      <c r="K1508" t="e">
        <v>#N/A</v>
      </c>
      <c r="S1508" s="3"/>
    </row>
    <row r="1509" spans="1:19" x14ac:dyDescent="0.25">
      <c r="A1509" t="s">
        <v>4927</v>
      </c>
      <c r="B1509" t="s">
        <v>4928</v>
      </c>
      <c r="C1509" t="s">
        <v>16179</v>
      </c>
      <c r="D1509" t="s">
        <v>666</v>
      </c>
      <c r="E1509">
        <v>5677</v>
      </c>
      <c r="F1509" s="3">
        <v>42707</v>
      </c>
      <c r="H1509" t="s">
        <v>15523</v>
      </c>
      <c r="I1509" t="s">
        <v>16180</v>
      </c>
      <c r="K1509" t="e">
        <v>#N/A</v>
      </c>
      <c r="S1509" s="3"/>
    </row>
    <row r="1510" spans="1:19" x14ac:dyDescent="0.25">
      <c r="A1510" t="s">
        <v>4929</v>
      </c>
      <c r="B1510" t="s">
        <v>4930</v>
      </c>
      <c r="C1510" t="s">
        <v>16179</v>
      </c>
      <c r="D1510" t="s">
        <v>666</v>
      </c>
      <c r="E1510">
        <v>5678</v>
      </c>
      <c r="F1510" s="3">
        <v>42707</v>
      </c>
      <c r="H1510" t="s">
        <v>15523</v>
      </c>
      <c r="I1510" t="s">
        <v>16180</v>
      </c>
      <c r="K1510" t="e">
        <v>#N/A</v>
      </c>
      <c r="S1510" s="3"/>
    </row>
    <row r="1511" spans="1:19" x14ac:dyDescent="0.25">
      <c r="A1511" t="s">
        <v>4931</v>
      </c>
      <c r="B1511" t="s">
        <v>4932</v>
      </c>
      <c r="C1511" t="s">
        <v>16179</v>
      </c>
      <c r="D1511" t="s">
        <v>666</v>
      </c>
      <c r="E1511">
        <v>5679</v>
      </c>
      <c r="F1511" s="3">
        <v>42707</v>
      </c>
      <c r="H1511" t="s">
        <v>15523</v>
      </c>
      <c r="I1511" t="s">
        <v>16180</v>
      </c>
      <c r="K1511" t="e">
        <v>#N/A</v>
      </c>
      <c r="S1511" s="3"/>
    </row>
    <row r="1512" spans="1:19" x14ac:dyDescent="0.25">
      <c r="A1512" t="s">
        <v>4933</v>
      </c>
      <c r="B1512" t="s">
        <v>4934</v>
      </c>
      <c r="C1512" t="s">
        <v>16179</v>
      </c>
      <c r="D1512" t="s">
        <v>666</v>
      </c>
      <c r="E1512">
        <v>5640</v>
      </c>
      <c r="F1512" s="3">
        <v>42707</v>
      </c>
      <c r="H1512" t="s">
        <v>15523</v>
      </c>
      <c r="I1512" t="s">
        <v>16180</v>
      </c>
      <c r="K1512" t="e">
        <v>#N/A</v>
      </c>
      <c r="S1512" s="3"/>
    </row>
    <row r="1513" spans="1:19" x14ac:dyDescent="0.25">
      <c r="A1513" t="s">
        <v>4935</v>
      </c>
      <c r="B1513" t="s">
        <v>4936</v>
      </c>
      <c r="C1513" t="s">
        <v>16179</v>
      </c>
      <c r="D1513" t="s">
        <v>666</v>
      </c>
      <c r="E1513">
        <v>5680</v>
      </c>
      <c r="F1513" s="3">
        <v>42707</v>
      </c>
      <c r="H1513" t="s">
        <v>15523</v>
      </c>
      <c r="I1513" t="s">
        <v>16180</v>
      </c>
      <c r="K1513" t="e">
        <v>#N/A</v>
      </c>
      <c r="S1513" s="3"/>
    </row>
    <row r="1514" spans="1:19" x14ac:dyDescent="0.25">
      <c r="A1514" t="s">
        <v>4937</v>
      </c>
      <c r="B1514" t="s">
        <v>4938</v>
      </c>
      <c r="C1514" t="s">
        <v>16179</v>
      </c>
      <c r="D1514" t="s">
        <v>666</v>
      </c>
      <c r="E1514">
        <v>5681</v>
      </c>
      <c r="F1514" s="3">
        <v>42707</v>
      </c>
      <c r="H1514" t="s">
        <v>15523</v>
      </c>
      <c r="I1514" t="s">
        <v>16180</v>
      </c>
      <c r="K1514" t="e">
        <v>#N/A</v>
      </c>
      <c r="S1514" s="3"/>
    </row>
    <row r="1515" spans="1:19" x14ac:dyDescent="0.25">
      <c r="A1515" t="s">
        <v>4939</v>
      </c>
      <c r="B1515" t="s">
        <v>4940</v>
      </c>
      <c r="C1515" t="s">
        <v>16179</v>
      </c>
      <c r="D1515" t="s">
        <v>666</v>
      </c>
      <c r="E1515">
        <v>5682</v>
      </c>
      <c r="F1515" s="3">
        <v>42707</v>
      </c>
      <c r="H1515" t="s">
        <v>15523</v>
      </c>
      <c r="I1515" t="s">
        <v>16180</v>
      </c>
      <c r="K1515" t="e">
        <v>#N/A</v>
      </c>
      <c r="S1515" s="3"/>
    </row>
    <row r="1516" spans="1:19" x14ac:dyDescent="0.25">
      <c r="A1516" t="s">
        <v>4941</v>
      </c>
      <c r="B1516" t="s">
        <v>4942</v>
      </c>
      <c r="C1516" t="s">
        <v>16179</v>
      </c>
      <c r="D1516" t="s">
        <v>666</v>
      </c>
      <c r="E1516">
        <v>5683</v>
      </c>
      <c r="F1516" s="3">
        <v>42707</v>
      </c>
      <c r="H1516" t="s">
        <v>15523</v>
      </c>
      <c r="I1516" t="s">
        <v>16180</v>
      </c>
      <c r="K1516" t="e">
        <v>#N/A</v>
      </c>
      <c r="S1516" s="3"/>
    </row>
    <row r="1517" spans="1:19" x14ac:dyDescent="0.25">
      <c r="A1517" t="s">
        <v>4943</v>
      </c>
      <c r="B1517" t="s">
        <v>4944</v>
      </c>
      <c r="C1517" t="s">
        <v>16179</v>
      </c>
      <c r="D1517" t="s">
        <v>666</v>
      </c>
      <c r="E1517">
        <v>5891</v>
      </c>
      <c r="F1517" s="3">
        <v>43200</v>
      </c>
      <c r="H1517" t="s">
        <v>15523</v>
      </c>
      <c r="I1517" t="s">
        <v>16180</v>
      </c>
      <c r="K1517" t="e">
        <v>#N/A</v>
      </c>
      <c r="S1517" s="3"/>
    </row>
    <row r="1518" spans="1:19" x14ac:dyDescent="0.25">
      <c r="A1518" t="s">
        <v>4945</v>
      </c>
      <c r="B1518" t="s">
        <v>4946</v>
      </c>
      <c r="C1518" t="s">
        <v>16179</v>
      </c>
      <c r="D1518" t="s">
        <v>666</v>
      </c>
      <c r="E1518">
        <v>5892</v>
      </c>
      <c r="F1518" s="3">
        <v>43200</v>
      </c>
      <c r="H1518" t="s">
        <v>15523</v>
      </c>
      <c r="I1518" t="s">
        <v>16180</v>
      </c>
      <c r="K1518" t="e">
        <v>#N/A</v>
      </c>
      <c r="S1518" s="3"/>
    </row>
    <row r="1519" spans="1:19" x14ac:dyDescent="0.25">
      <c r="A1519" t="s">
        <v>4947</v>
      </c>
      <c r="B1519" t="s">
        <v>4948</v>
      </c>
      <c r="C1519" t="s">
        <v>16179</v>
      </c>
      <c r="D1519" t="s">
        <v>666</v>
      </c>
      <c r="E1519">
        <v>5893</v>
      </c>
      <c r="F1519" s="3">
        <v>43200</v>
      </c>
      <c r="H1519" t="s">
        <v>15523</v>
      </c>
      <c r="I1519" t="s">
        <v>16180</v>
      </c>
      <c r="K1519" t="e">
        <v>#N/A</v>
      </c>
      <c r="S1519" s="3"/>
    </row>
    <row r="1520" spans="1:19" x14ac:dyDescent="0.25">
      <c r="A1520" t="s">
        <v>4949</v>
      </c>
      <c r="B1520" t="s">
        <v>4950</v>
      </c>
      <c r="C1520" t="s">
        <v>16179</v>
      </c>
      <c r="D1520" t="s">
        <v>666</v>
      </c>
      <c r="E1520">
        <v>5894</v>
      </c>
      <c r="F1520" s="3">
        <v>43200</v>
      </c>
      <c r="H1520" t="s">
        <v>15523</v>
      </c>
      <c r="I1520" t="s">
        <v>16180</v>
      </c>
      <c r="K1520" t="e">
        <v>#N/A</v>
      </c>
      <c r="S1520" s="3"/>
    </row>
    <row r="1521" spans="1:19" x14ac:dyDescent="0.25">
      <c r="A1521" t="s">
        <v>4951</v>
      </c>
      <c r="B1521" t="s">
        <v>4952</v>
      </c>
      <c r="C1521" t="s">
        <v>16179</v>
      </c>
      <c r="D1521" t="s">
        <v>666</v>
      </c>
      <c r="E1521">
        <v>5641</v>
      </c>
      <c r="F1521" s="3">
        <v>42707</v>
      </c>
      <c r="H1521" t="s">
        <v>15523</v>
      </c>
      <c r="I1521" t="s">
        <v>16180</v>
      </c>
      <c r="K1521" t="e">
        <v>#N/A</v>
      </c>
      <c r="S1521" s="3"/>
    </row>
    <row r="1522" spans="1:19" x14ac:dyDescent="0.25">
      <c r="A1522" t="s">
        <v>4953</v>
      </c>
      <c r="B1522" t="s">
        <v>4954</v>
      </c>
      <c r="C1522" t="s">
        <v>16179</v>
      </c>
      <c r="D1522" t="s">
        <v>666</v>
      </c>
      <c r="E1522">
        <v>5642</v>
      </c>
      <c r="F1522" s="3">
        <v>42707</v>
      </c>
      <c r="H1522" t="s">
        <v>15523</v>
      </c>
      <c r="I1522" t="s">
        <v>16180</v>
      </c>
      <c r="K1522" t="e">
        <v>#N/A</v>
      </c>
      <c r="S1522" s="3"/>
    </row>
    <row r="1523" spans="1:19" x14ac:dyDescent="0.25">
      <c r="A1523" t="s">
        <v>4955</v>
      </c>
      <c r="B1523" t="s">
        <v>4956</v>
      </c>
      <c r="C1523" t="s">
        <v>16179</v>
      </c>
      <c r="D1523" t="s">
        <v>666</v>
      </c>
      <c r="E1523">
        <v>5643</v>
      </c>
      <c r="F1523" s="3">
        <v>42707</v>
      </c>
      <c r="H1523" t="s">
        <v>15523</v>
      </c>
      <c r="I1523" t="s">
        <v>16180</v>
      </c>
      <c r="K1523" t="e">
        <v>#N/A</v>
      </c>
      <c r="S1523" s="3"/>
    </row>
    <row r="1524" spans="1:19" x14ac:dyDescent="0.25">
      <c r="A1524" t="s">
        <v>286</v>
      </c>
      <c r="B1524" t="s">
        <v>288</v>
      </c>
      <c r="C1524" t="s">
        <v>289</v>
      </c>
      <c r="D1524" t="s">
        <v>23</v>
      </c>
      <c r="E1524">
        <v>879</v>
      </c>
      <c r="F1524" s="3">
        <v>40702</v>
      </c>
      <c r="H1524" t="s">
        <v>15523</v>
      </c>
      <c r="I1524" t="s">
        <v>16771</v>
      </c>
      <c r="K1524">
        <v>78</v>
      </c>
      <c r="S1524" s="3"/>
    </row>
    <row r="1525" spans="1:19" x14ac:dyDescent="0.25">
      <c r="A1525" t="s">
        <v>4957</v>
      </c>
      <c r="B1525" t="s">
        <v>4958</v>
      </c>
      <c r="C1525" t="s">
        <v>4959</v>
      </c>
      <c r="D1525" t="s">
        <v>23</v>
      </c>
      <c r="E1525">
        <v>3752</v>
      </c>
      <c r="F1525" s="3">
        <v>40702</v>
      </c>
      <c r="H1525" t="s">
        <v>15523</v>
      </c>
      <c r="I1525" t="s">
        <v>16772</v>
      </c>
      <c r="K1525" t="e">
        <v>#N/A</v>
      </c>
      <c r="S1525" s="3"/>
    </row>
    <row r="1526" spans="1:19" x14ac:dyDescent="0.25">
      <c r="A1526" t="s">
        <v>4960</v>
      </c>
      <c r="B1526" t="s">
        <v>4961</v>
      </c>
      <c r="C1526" t="s">
        <v>4962</v>
      </c>
      <c r="D1526" t="s">
        <v>23</v>
      </c>
      <c r="E1526">
        <v>3753</v>
      </c>
      <c r="F1526" s="3">
        <v>40702</v>
      </c>
      <c r="H1526" t="s">
        <v>15523</v>
      </c>
      <c r="I1526" t="s">
        <v>16773</v>
      </c>
      <c r="K1526" t="e">
        <v>#N/A</v>
      </c>
      <c r="S1526" s="3"/>
    </row>
    <row r="1527" spans="1:19" x14ac:dyDescent="0.25">
      <c r="A1527" t="s">
        <v>4963</v>
      </c>
      <c r="B1527" t="s">
        <v>4964</v>
      </c>
      <c r="C1527" t="s">
        <v>4965</v>
      </c>
      <c r="D1527" t="s">
        <v>23</v>
      </c>
      <c r="E1527">
        <v>3754</v>
      </c>
      <c r="F1527" s="3">
        <v>40702</v>
      </c>
      <c r="H1527" t="s">
        <v>15523</v>
      </c>
      <c r="I1527" t="s">
        <v>16774</v>
      </c>
      <c r="K1527" t="e">
        <v>#N/A</v>
      </c>
      <c r="S1527" s="3"/>
    </row>
    <row r="1528" spans="1:19" x14ac:dyDescent="0.25">
      <c r="A1528" t="s">
        <v>4966</v>
      </c>
      <c r="B1528" t="s">
        <v>4967</v>
      </c>
      <c r="C1528" t="s">
        <v>4968</v>
      </c>
      <c r="D1528" t="s">
        <v>23</v>
      </c>
      <c r="E1528">
        <v>3755</v>
      </c>
      <c r="F1528" s="3">
        <v>40702</v>
      </c>
      <c r="H1528" t="s">
        <v>15523</v>
      </c>
      <c r="I1528" t="s">
        <v>16775</v>
      </c>
      <c r="K1528" t="e">
        <v>#N/A</v>
      </c>
      <c r="S1528" s="3"/>
    </row>
    <row r="1529" spans="1:19" x14ac:dyDescent="0.25">
      <c r="A1529" t="s">
        <v>4969</v>
      </c>
      <c r="B1529" t="s">
        <v>4970</v>
      </c>
      <c r="C1529" t="s">
        <v>4971</v>
      </c>
      <c r="D1529" t="s">
        <v>23</v>
      </c>
      <c r="E1529">
        <v>3757</v>
      </c>
      <c r="F1529" s="3">
        <v>40702</v>
      </c>
      <c r="H1529" t="s">
        <v>15523</v>
      </c>
      <c r="I1529" t="s">
        <v>16776</v>
      </c>
      <c r="K1529" t="e">
        <v>#N/A</v>
      </c>
      <c r="S1529" s="3"/>
    </row>
    <row r="1530" spans="1:19" x14ac:dyDescent="0.25">
      <c r="A1530" t="s">
        <v>4972</v>
      </c>
      <c r="B1530" t="s">
        <v>4973</v>
      </c>
      <c r="C1530" t="s">
        <v>4974</v>
      </c>
      <c r="D1530" t="s">
        <v>23</v>
      </c>
      <c r="E1530">
        <v>2287</v>
      </c>
      <c r="F1530" s="3">
        <v>40702</v>
      </c>
      <c r="H1530" t="s">
        <v>15523</v>
      </c>
      <c r="I1530" t="s">
        <v>16777</v>
      </c>
      <c r="K1530" t="e">
        <v>#N/A</v>
      </c>
      <c r="S1530" s="3"/>
    </row>
    <row r="1531" spans="1:19" x14ac:dyDescent="0.25">
      <c r="A1531" t="s">
        <v>4975</v>
      </c>
      <c r="B1531" t="s">
        <v>4976</v>
      </c>
      <c r="C1531" t="s">
        <v>4977</v>
      </c>
      <c r="D1531" t="s">
        <v>23</v>
      </c>
      <c r="E1531">
        <v>3780</v>
      </c>
      <c r="F1531" s="3">
        <v>40702</v>
      </c>
      <c r="H1531" t="s">
        <v>15523</v>
      </c>
      <c r="I1531" t="s">
        <v>16778</v>
      </c>
      <c r="K1531" t="e">
        <v>#N/A</v>
      </c>
      <c r="S1531" s="3"/>
    </row>
    <row r="1532" spans="1:19" x14ac:dyDescent="0.25">
      <c r="A1532" t="s">
        <v>4978</v>
      </c>
      <c r="B1532" t="s">
        <v>4979</v>
      </c>
      <c r="C1532" t="s">
        <v>4980</v>
      </c>
      <c r="D1532" t="s">
        <v>23</v>
      </c>
      <c r="E1532">
        <v>3783</v>
      </c>
      <c r="F1532" s="3">
        <v>40702</v>
      </c>
      <c r="H1532" t="s">
        <v>15523</v>
      </c>
      <c r="I1532" t="s">
        <v>16779</v>
      </c>
      <c r="K1532" t="e">
        <v>#N/A</v>
      </c>
      <c r="S1532" s="3"/>
    </row>
    <row r="1533" spans="1:19" x14ac:dyDescent="0.25">
      <c r="A1533" t="s">
        <v>4981</v>
      </c>
      <c r="B1533" t="s">
        <v>4982</v>
      </c>
      <c r="C1533" t="s">
        <v>4983</v>
      </c>
      <c r="D1533" t="s">
        <v>23</v>
      </c>
      <c r="E1533">
        <v>746</v>
      </c>
      <c r="F1533" s="3">
        <v>40782</v>
      </c>
      <c r="H1533" t="s">
        <v>15523</v>
      </c>
      <c r="I1533" t="s">
        <v>16780</v>
      </c>
      <c r="K1533" t="e">
        <v>#N/A</v>
      </c>
      <c r="S1533" s="3"/>
    </row>
    <row r="1534" spans="1:19" x14ac:dyDescent="0.25">
      <c r="A1534" t="s">
        <v>638</v>
      </c>
      <c r="B1534" t="s">
        <v>640</v>
      </c>
      <c r="C1534" t="s">
        <v>641</v>
      </c>
      <c r="D1534" t="s">
        <v>23</v>
      </c>
      <c r="E1534">
        <v>3787</v>
      </c>
      <c r="F1534" s="3">
        <v>40915</v>
      </c>
      <c r="H1534" t="s">
        <v>15523</v>
      </c>
      <c r="I1534" t="s">
        <v>16781</v>
      </c>
      <c r="K1534">
        <v>166</v>
      </c>
      <c r="S1534" s="3"/>
    </row>
    <row r="1535" spans="1:19" x14ac:dyDescent="0.25">
      <c r="A1535" t="s">
        <v>4984</v>
      </c>
      <c r="B1535" t="s">
        <v>4985</v>
      </c>
      <c r="C1535" t="s">
        <v>4986</v>
      </c>
      <c r="D1535" t="s">
        <v>23</v>
      </c>
      <c r="E1535">
        <v>777</v>
      </c>
      <c r="F1535" s="3">
        <v>40702</v>
      </c>
      <c r="H1535" t="s">
        <v>15523</v>
      </c>
      <c r="I1535" t="s">
        <v>16782</v>
      </c>
      <c r="K1535" t="e">
        <v>#N/A</v>
      </c>
      <c r="S1535" s="3"/>
    </row>
    <row r="1536" spans="1:19" x14ac:dyDescent="0.25">
      <c r="A1536" t="s">
        <v>4987</v>
      </c>
      <c r="B1536" t="s">
        <v>4988</v>
      </c>
      <c r="C1536" t="s">
        <v>4989</v>
      </c>
      <c r="D1536" t="s">
        <v>23</v>
      </c>
      <c r="E1536">
        <v>775</v>
      </c>
      <c r="F1536" s="3">
        <v>40702</v>
      </c>
      <c r="H1536" t="s">
        <v>15523</v>
      </c>
      <c r="I1536" t="s">
        <v>16783</v>
      </c>
      <c r="K1536" t="e">
        <v>#N/A</v>
      </c>
      <c r="S1536" s="3"/>
    </row>
    <row r="1537" spans="1:19" x14ac:dyDescent="0.25">
      <c r="A1537" t="s">
        <v>582</v>
      </c>
      <c r="B1537" t="s">
        <v>584</v>
      </c>
      <c r="C1537" t="s">
        <v>585</v>
      </c>
      <c r="D1537" t="s">
        <v>23</v>
      </c>
      <c r="E1537">
        <v>3833</v>
      </c>
      <c r="F1537" s="3">
        <v>40915</v>
      </c>
      <c r="H1537" t="s">
        <v>15523</v>
      </c>
      <c r="I1537" t="s">
        <v>16784</v>
      </c>
      <c r="K1537">
        <v>152</v>
      </c>
      <c r="S1537" s="3"/>
    </row>
    <row r="1538" spans="1:19" x14ac:dyDescent="0.25">
      <c r="A1538" t="s">
        <v>4990</v>
      </c>
      <c r="B1538" t="s">
        <v>4991</v>
      </c>
      <c r="C1538" t="s">
        <v>4992</v>
      </c>
      <c r="D1538" t="s">
        <v>23</v>
      </c>
      <c r="E1538">
        <v>751</v>
      </c>
      <c r="F1538" s="3">
        <v>40702</v>
      </c>
      <c r="H1538" t="s">
        <v>15523</v>
      </c>
      <c r="I1538" t="s">
        <v>16785</v>
      </c>
      <c r="K1538" t="e">
        <v>#N/A</v>
      </c>
      <c r="S1538" s="3"/>
    </row>
    <row r="1539" spans="1:19" x14ac:dyDescent="0.25">
      <c r="A1539" t="s">
        <v>4993</v>
      </c>
      <c r="B1539" t="s">
        <v>4994</v>
      </c>
      <c r="C1539" t="s">
        <v>16179</v>
      </c>
      <c r="D1539" t="s">
        <v>23</v>
      </c>
      <c r="E1539">
        <v>754</v>
      </c>
      <c r="F1539" s="3">
        <v>40782</v>
      </c>
      <c r="H1539" t="s">
        <v>15523</v>
      </c>
      <c r="I1539" t="s">
        <v>16180</v>
      </c>
      <c r="K1539" t="e">
        <v>#N/A</v>
      </c>
      <c r="S1539" s="3"/>
    </row>
    <row r="1540" spans="1:19" x14ac:dyDescent="0.25">
      <c r="A1540" t="s">
        <v>4995</v>
      </c>
      <c r="B1540" t="s">
        <v>4996</v>
      </c>
      <c r="C1540" t="s">
        <v>16179</v>
      </c>
      <c r="D1540" t="s">
        <v>47</v>
      </c>
      <c r="E1540">
        <v>5092</v>
      </c>
      <c r="F1540" s="3">
        <v>41935</v>
      </c>
      <c r="H1540" t="s">
        <v>15523</v>
      </c>
      <c r="I1540" t="s">
        <v>16180</v>
      </c>
      <c r="K1540" t="e">
        <v>#N/A</v>
      </c>
      <c r="S1540" s="3"/>
    </row>
    <row r="1541" spans="1:19" x14ac:dyDescent="0.25">
      <c r="A1541" t="s">
        <v>530</v>
      </c>
      <c r="B1541" t="s">
        <v>532</v>
      </c>
      <c r="C1541" t="s">
        <v>533</v>
      </c>
      <c r="D1541" t="s">
        <v>23</v>
      </c>
      <c r="E1541">
        <v>3846</v>
      </c>
      <c r="F1541" s="3">
        <v>40915</v>
      </c>
      <c r="H1541" t="s">
        <v>15523</v>
      </c>
      <c r="I1541" t="s">
        <v>16786</v>
      </c>
      <c r="K1541">
        <v>139</v>
      </c>
      <c r="S1541" s="3"/>
    </row>
    <row r="1542" spans="1:19" x14ac:dyDescent="0.25">
      <c r="A1542" t="s">
        <v>4997</v>
      </c>
      <c r="B1542" t="s">
        <v>4998</v>
      </c>
      <c r="C1542" t="s">
        <v>4999</v>
      </c>
      <c r="D1542" t="s">
        <v>23</v>
      </c>
      <c r="E1542">
        <v>3847</v>
      </c>
      <c r="F1542" s="3">
        <v>40702</v>
      </c>
      <c r="H1542" t="s">
        <v>15523</v>
      </c>
      <c r="I1542" t="s">
        <v>16787</v>
      </c>
      <c r="K1542" t="e">
        <v>#N/A</v>
      </c>
      <c r="S1542" s="3"/>
    </row>
    <row r="1543" spans="1:19" x14ac:dyDescent="0.25">
      <c r="A1543" t="s">
        <v>5000</v>
      </c>
      <c r="B1543" t="s">
        <v>5001</v>
      </c>
      <c r="C1543" t="s">
        <v>5002</v>
      </c>
      <c r="D1543" t="s">
        <v>23</v>
      </c>
      <c r="E1543">
        <v>5006</v>
      </c>
      <c r="F1543" s="3">
        <v>41660</v>
      </c>
      <c r="H1543" t="s">
        <v>15523</v>
      </c>
      <c r="I1543" t="s">
        <v>16788</v>
      </c>
      <c r="K1543" t="e">
        <v>#N/A</v>
      </c>
      <c r="S1543" s="3"/>
    </row>
    <row r="1544" spans="1:19" x14ac:dyDescent="0.25">
      <c r="A1544" t="s">
        <v>5003</v>
      </c>
      <c r="B1544" t="s">
        <v>5004</v>
      </c>
      <c r="C1544" t="s">
        <v>5005</v>
      </c>
      <c r="D1544" t="s">
        <v>23</v>
      </c>
      <c r="E1544">
        <v>2342</v>
      </c>
      <c r="F1544" s="3">
        <v>40702</v>
      </c>
      <c r="H1544" t="s">
        <v>15523</v>
      </c>
      <c r="I1544" t="s">
        <v>16789</v>
      </c>
      <c r="K1544" t="e">
        <v>#N/A</v>
      </c>
      <c r="S1544" s="3"/>
    </row>
    <row r="1545" spans="1:19" x14ac:dyDescent="0.25">
      <c r="A1545" t="s">
        <v>5006</v>
      </c>
      <c r="B1545" t="s">
        <v>5007</v>
      </c>
      <c r="C1545" t="s">
        <v>5008</v>
      </c>
      <c r="D1545" t="s">
        <v>23</v>
      </c>
      <c r="E1545">
        <v>5123</v>
      </c>
      <c r="F1545" s="3">
        <v>41788</v>
      </c>
      <c r="H1545" t="s">
        <v>15523</v>
      </c>
      <c r="I1545" t="s">
        <v>16790</v>
      </c>
      <c r="K1545" t="e">
        <v>#N/A</v>
      </c>
      <c r="S1545" s="3"/>
    </row>
    <row r="1546" spans="1:19" x14ac:dyDescent="0.25">
      <c r="A1546" t="s">
        <v>5009</v>
      </c>
      <c r="B1546" t="s">
        <v>5010</v>
      </c>
      <c r="C1546" t="s">
        <v>5011</v>
      </c>
      <c r="D1546" t="s">
        <v>23</v>
      </c>
      <c r="E1546">
        <v>5225</v>
      </c>
      <c r="F1546" s="3">
        <v>42035</v>
      </c>
      <c r="H1546" t="s">
        <v>15523</v>
      </c>
      <c r="I1546" t="s">
        <v>16791</v>
      </c>
      <c r="K1546" t="e">
        <v>#N/A</v>
      </c>
      <c r="S1546" s="3"/>
    </row>
    <row r="1547" spans="1:19" x14ac:dyDescent="0.25">
      <c r="A1547" t="s">
        <v>5012</v>
      </c>
      <c r="B1547" t="s">
        <v>5013</v>
      </c>
      <c r="C1547" t="s">
        <v>16179</v>
      </c>
      <c r="D1547" t="s">
        <v>2820</v>
      </c>
      <c r="E1547">
        <v>5632</v>
      </c>
      <c r="F1547" s="3">
        <v>42607</v>
      </c>
      <c r="H1547" t="s">
        <v>15523</v>
      </c>
      <c r="I1547" t="s">
        <v>16180</v>
      </c>
      <c r="K1547" t="e">
        <v>#N/A</v>
      </c>
      <c r="S1547" s="3"/>
    </row>
    <row r="1548" spans="1:19" x14ac:dyDescent="0.25">
      <c r="A1548" t="s">
        <v>5014</v>
      </c>
      <c r="B1548" t="s">
        <v>5015</v>
      </c>
      <c r="C1548" t="s">
        <v>16179</v>
      </c>
      <c r="D1548" t="s">
        <v>47</v>
      </c>
      <c r="E1548">
        <v>3548</v>
      </c>
      <c r="F1548" s="3">
        <v>40702</v>
      </c>
      <c r="H1548" t="s">
        <v>15523</v>
      </c>
      <c r="I1548" t="s">
        <v>16180</v>
      </c>
      <c r="K1548" t="e">
        <v>#N/A</v>
      </c>
      <c r="S1548" s="3"/>
    </row>
    <row r="1549" spans="1:19" x14ac:dyDescent="0.25">
      <c r="A1549" t="s">
        <v>5016</v>
      </c>
      <c r="B1549" t="s">
        <v>5017</v>
      </c>
      <c r="C1549" t="s">
        <v>16179</v>
      </c>
      <c r="D1549" t="s">
        <v>2820</v>
      </c>
      <c r="E1549">
        <v>3669</v>
      </c>
      <c r="F1549" s="3">
        <v>40929</v>
      </c>
      <c r="H1549" t="s">
        <v>15523</v>
      </c>
      <c r="I1549" t="s">
        <v>16180</v>
      </c>
      <c r="K1549" t="e">
        <v>#N/A</v>
      </c>
      <c r="S1549" s="3"/>
    </row>
    <row r="1550" spans="1:19" x14ac:dyDescent="0.25">
      <c r="A1550" t="s">
        <v>5018</v>
      </c>
      <c r="B1550" t="s">
        <v>5019</v>
      </c>
      <c r="C1550" t="s">
        <v>16179</v>
      </c>
      <c r="D1550" t="s">
        <v>2820</v>
      </c>
      <c r="E1550">
        <v>3679</v>
      </c>
      <c r="F1550" s="3">
        <v>40781</v>
      </c>
      <c r="H1550" t="s">
        <v>15523</v>
      </c>
      <c r="I1550" t="s">
        <v>16180</v>
      </c>
      <c r="K1550" t="e">
        <v>#N/A</v>
      </c>
      <c r="S1550" s="3"/>
    </row>
    <row r="1551" spans="1:19" x14ac:dyDescent="0.25">
      <c r="A1551" t="s">
        <v>5020</v>
      </c>
      <c r="B1551" t="s">
        <v>5021</v>
      </c>
      <c r="C1551" t="s">
        <v>16179</v>
      </c>
      <c r="D1551" t="s">
        <v>2820</v>
      </c>
      <c r="E1551">
        <v>6051</v>
      </c>
      <c r="F1551" s="3">
        <v>43781</v>
      </c>
      <c r="H1551" t="s">
        <v>15523</v>
      </c>
      <c r="I1551" t="s">
        <v>16180</v>
      </c>
      <c r="K1551" t="e">
        <v>#N/A</v>
      </c>
      <c r="S1551" s="3"/>
    </row>
    <row r="1552" spans="1:19" x14ac:dyDescent="0.25">
      <c r="A1552" t="s">
        <v>5022</v>
      </c>
      <c r="B1552" t="s">
        <v>5023</v>
      </c>
      <c r="C1552" t="s">
        <v>16179</v>
      </c>
      <c r="D1552" t="s">
        <v>47</v>
      </c>
      <c r="E1552">
        <v>3573</v>
      </c>
      <c r="F1552" s="3">
        <v>40781</v>
      </c>
      <c r="H1552" t="s">
        <v>15523</v>
      </c>
      <c r="I1552" t="s">
        <v>16180</v>
      </c>
      <c r="K1552" t="e">
        <v>#N/A</v>
      </c>
      <c r="S1552" s="3"/>
    </row>
    <row r="1553" spans="1:19" x14ac:dyDescent="0.25">
      <c r="A1553" t="s">
        <v>5024</v>
      </c>
      <c r="B1553" t="s">
        <v>5025</v>
      </c>
      <c r="C1553" t="s">
        <v>16179</v>
      </c>
      <c r="D1553" t="s">
        <v>666</v>
      </c>
      <c r="E1553">
        <v>3681</v>
      </c>
      <c r="F1553" s="3">
        <v>40934</v>
      </c>
      <c r="H1553" t="s">
        <v>15523</v>
      </c>
      <c r="I1553" t="s">
        <v>16180</v>
      </c>
      <c r="K1553" t="e">
        <v>#N/A</v>
      </c>
      <c r="S1553" s="3"/>
    </row>
    <row r="1554" spans="1:19" x14ac:dyDescent="0.25">
      <c r="A1554" t="s">
        <v>5026</v>
      </c>
      <c r="B1554" t="s">
        <v>5027</v>
      </c>
      <c r="C1554" t="s">
        <v>16179</v>
      </c>
      <c r="D1554" t="s">
        <v>2820</v>
      </c>
      <c r="E1554">
        <v>3682</v>
      </c>
      <c r="F1554" s="3">
        <v>40702</v>
      </c>
      <c r="H1554" t="s">
        <v>15523</v>
      </c>
      <c r="I1554" t="s">
        <v>16180</v>
      </c>
      <c r="K1554" t="e">
        <v>#N/A</v>
      </c>
      <c r="S1554" s="3"/>
    </row>
    <row r="1555" spans="1:19" x14ac:dyDescent="0.25">
      <c r="A1555" t="s">
        <v>5028</v>
      </c>
      <c r="B1555" t="s">
        <v>5029</v>
      </c>
      <c r="C1555" t="s">
        <v>16179</v>
      </c>
      <c r="D1555" t="s">
        <v>47</v>
      </c>
      <c r="E1555">
        <v>3577</v>
      </c>
      <c r="F1555" s="3">
        <v>40783</v>
      </c>
      <c r="H1555" t="s">
        <v>15523</v>
      </c>
      <c r="I1555" t="s">
        <v>16180</v>
      </c>
      <c r="K1555" t="e">
        <v>#N/A</v>
      </c>
      <c r="S1555" s="3"/>
    </row>
    <row r="1556" spans="1:19" x14ac:dyDescent="0.25">
      <c r="A1556" t="s">
        <v>5030</v>
      </c>
      <c r="B1556" t="s">
        <v>5031</v>
      </c>
      <c r="C1556" t="s">
        <v>16179</v>
      </c>
      <c r="D1556" t="s">
        <v>47</v>
      </c>
      <c r="E1556">
        <v>5149</v>
      </c>
      <c r="F1556" s="3">
        <v>41940</v>
      </c>
      <c r="H1556" t="s">
        <v>15523</v>
      </c>
      <c r="I1556" t="s">
        <v>16180</v>
      </c>
      <c r="K1556" t="e">
        <v>#N/A</v>
      </c>
      <c r="S1556" s="3"/>
    </row>
    <row r="1557" spans="1:19" x14ac:dyDescent="0.25">
      <c r="A1557" t="s">
        <v>5032</v>
      </c>
      <c r="B1557" t="s">
        <v>5033</v>
      </c>
      <c r="C1557" t="s">
        <v>16179</v>
      </c>
      <c r="D1557" t="s">
        <v>47</v>
      </c>
      <c r="E1557">
        <v>5150</v>
      </c>
      <c r="F1557" s="3">
        <v>41940</v>
      </c>
      <c r="H1557" t="s">
        <v>15523</v>
      </c>
      <c r="I1557" t="s">
        <v>16180</v>
      </c>
      <c r="K1557" t="e">
        <v>#N/A</v>
      </c>
      <c r="S1557" s="3"/>
    </row>
    <row r="1558" spans="1:19" x14ac:dyDescent="0.25">
      <c r="A1558" t="s">
        <v>5034</v>
      </c>
      <c r="B1558" t="s">
        <v>5035</v>
      </c>
      <c r="C1558" t="s">
        <v>16179</v>
      </c>
      <c r="D1558" t="s">
        <v>47</v>
      </c>
      <c r="E1558">
        <v>3587</v>
      </c>
      <c r="F1558" s="3">
        <v>40702</v>
      </c>
      <c r="H1558" t="s">
        <v>15523</v>
      </c>
      <c r="I1558" t="s">
        <v>16180</v>
      </c>
      <c r="K1558" t="e">
        <v>#N/A</v>
      </c>
      <c r="S1558" s="3"/>
    </row>
    <row r="1559" spans="1:19" x14ac:dyDescent="0.25">
      <c r="A1559" t="s">
        <v>5036</v>
      </c>
      <c r="B1559" t="s">
        <v>5037</v>
      </c>
      <c r="C1559" t="s">
        <v>16179</v>
      </c>
      <c r="D1559" t="s">
        <v>666</v>
      </c>
      <c r="E1559">
        <v>3685</v>
      </c>
      <c r="F1559" s="3">
        <v>40705</v>
      </c>
      <c r="H1559" t="s">
        <v>15523</v>
      </c>
      <c r="I1559" t="s">
        <v>16180</v>
      </c>
      <c r="K1559" t="e">
        <v>#N/A</v>
      </c>
      <c r="S1559" s="3"/>
    </row>
    <row r="1560" spans="1:19" x14ac:dyDescent="0.25">
      <c r="A1560" t="s">
        <v>5038</v>
      </c>
      <c r="B1560" t="s">
        <v>5039</v>
      </c>
      <c r="C1560" t="s">
        <v>16179</v>
      </c>
      <c r="D1560" t="s">
        <v>47</v>
      </c>
      <c r="E1560">
        <v>3640</v>
      </c>
      <c r="F1560" s="3">
        <v>40702</v>
      </c>
      <c r="H1560" t="s">
        <v>15523</v>
      </c>
      <c r="I1560" t="s">
        <v>16180</v>
      </c>
      <c r="K1560" t="e">
        <v>#N/A</v>
      </c>
      <c r="S1560" s="3"/>
    </row>
    <row r="1561" spans="1:19" x14ac:dyDescent="0.25">
      <c r="A1561" t="s">
        <v>5040</v>
      </c>
      <c r="B1561" t="s">
        <v>5041</v>
      </c>
      <c r="C1561" t="s">
        <v>16179</v>
      </c>
      <c r="D1561" t="s">
        <v>666</v>
      </c>
      <c r="E1561">
        <v>831</v>
      </c>
      <c r="F1561" s="3">
        <v>40702</v>
      </c>
      <c r="H1561" t="s">
        <v>15523</v>
      </c>
      <c r="I1561" t="s">
        <v>16180</v>
      </c>
      <c r="K1561" t="e">
        <v>#N/A</v>
      </c>
      <c r="S1561" s="3"/>
    </row>
    <row r="1562" spans="1:19" x14ac:dyDescent="0.25">
      <c r="A1562" t="s">
        <v>5042</v>
      </c>
      <c r="B1562" t="s">
        <v>5043</v>
      </c>
      <c r="C1562" t="s">
        <v>16179</v>
      </c>
      <c r="D1562" t="s">
        <v>2820</v>
      </c>
      <c r="E1562">
        <v>3688</v>
      </c>
      <c r="F1562" s="3">
        <v>40702</v>
      </c>
      <c r="H1562" t="s">
        <v>15523</v>
      </c>
      <c r="I1562" t="s">
        <v>16180</v>
      </c>
      <c r="K1562" t="e">
        <v>#N/A</v>
      </c>
      <c r="S1562" s="3"/>
    </row>
    <row r="1563" spans="1:19" x14ac:dyDescent="0.25">
      <c r="A1563" t="s">
        <v>5044</v>
      </c>
      <c r="B1563" t="s">
        <v>5045</v>
      </c>
      <c r="C1563" t="s">
        <v>16179</v>
      </c>
      <c r="D1563" t="s">
        <v>2820</v>
      </c>
      <c r="E1563">
        <v>3690</v>
      </c>
      <c r="F1563" s="3">
        <v>40702</v>
      </c>
      <c r="H1563" t="s">
        <v>15523</v>
      </c>
      <c r="I1563" t="s">
        <v>16180</v>
      </c>
      <c r="K1563" t="e">
        <v>#N/A</v>
      </c>
      <c r="S1563" s="3"/>
    </row>
    <row r="1564" spans="1:19" x14ac:dyDescent="0.25">
      <c r="A1564" t="s">
        <v>5046</v>
      </c>
      <c r="B1564" t="s">
        <v>5047</v>
      </c>
      <c r="C1564" t="s">
        <v>16179</v>
      </c>
      <c r="D1564" t="s">
        <v>2820</v>
      </c>
      <c r="E1564">
        <v>3697</v>
      </c>
      <c r="F1564" s="3">
        <v>40702</v>
      </c>
      <c r="H1564" t="s">
        <v>15523</v>
      </c>
      <c r="I1564" t="s">
        <v>16180</v>
      </c>
      <c r="K1564" t="e">
        <v>#N/A</v>
      </c>
      <c r="S1564" s="3"/>
    </row>
    <row r="1565" spans="1:19" x14ac:dyDescent="0.25">
      <c r="A1565" t="s">
        <v>5048</v>
      </c>
      <c r="B1565" t="s">
        <v>5049</v>
      </c>
      <c r="C1565" t="s">
        <v>16179</v>
      </c>
      <c r="D1565" t="s">
        <v>2820</v>
      </c>
      <c r="E1565">
        <v>3698</v>
      </c>
      <c r="F1565" s="3">
        <v>40702</v>
      </c>
      <c r="H1565" t="s">
        <v>15523</v>
      </c>
      <c r="I1565" t="s">
        <v>16180</v>
      </c>
      <c r="K1565" t="e">
        <v>#N/A</v>
      </c>
      <c r="S1565" s="3"/>
    </row>
    <row r="1566" spans="1:19" x14ac:dyDescent="0.25">
      <c r="A1566" t="s">
        <v>5050</v>
      </c>
      <c r="B1566" t="s">
        <v>5051</v>
      </c>
      <c r="C1566" t="s">
        <v>16179</v>
      </c>
      <c r="D1566" t="s">
        <v>2820</v>
      </c>
      <c r="E1566">
        <v>3699</v>
      </c>
      <c r="F1566" s="3">
        <v>40702</v>
      </c>
      <c r="H1566" t="s">
        <v>15523</v>
      </c>
      <c r="I1566" t="s">
        <v>16180</v>
      </c>
      <c r="K1566" t="e">
        <v>#N/A</v>
      </c>
      <c r="S1566" s="3"/>
    </row>
    <row r="1567" spans="1:19" x14ac:dyDescent="0.25">
      <c r="A1567" t="s">
        <v>5052</v>
      </c>
      <c r="B1567" t="s">
        <v>5053</v>
      </c>
      <c r="C1567" t="s">
        <v>16179</v>
      </c>
      <c r="D1567" t="s">
        <v>666</v>
      </c>
      <c r="E1567">
        <v>3703</v>
      </c>
      <c r="F1567" s="3">
        <v>40929</v>
      </c>
      <c r="H1567" t="s">
        <v>15523</v>
      </c>
      <c r="I1567" t="s">
        <v>16180</v>
      </c>
      <c r="K1567" t="e">
        <v>#N/A</v>
      </c>
      <c r="S1567" s="3"/>
    </row>
    <row r="1568" spans="1:19" x14ac:dyDescent="0.25">
      <c r="A1568" t="s">
        <v>5054</v>
      </c>
      <c r="B1568" t="s">
        <v>5055</v>
      </c>
      <c r="C1568" t="s">
        <v>16179</v>
      </c>
      <c r="D1568" t="s">
        <v>666</v>
      </c>
      <c r="E1568">
        <v>835</v>
      </c>
      <c r="F1568" s="3">
        <v>41852</v>
      </c>
      <c r="H1568" t="s">
        <v>15523</v>
      </c>
      <c r="I1568" t="s">
        <v>16180</v>
      </c>
      <c r="K1568" t="e">
        <v>#N/A</v>
      </c>
      <c r="S1568" s="3"/>
    </row>
    <row r="1569" spans="1:19" x14ac:dyDescent="0.25">
      <c r="A1569" t="s">
        <v>5056</v>
      </c>
      <c r="B1569" t="s">
        <v>5057</v>
      </c>
      <c r="C1569" t="s">
        <v>16179</v>
      </c>
      <c r="D1569" t="s">
        <v>2820</v>
      </c>
      <c r="E1569">
        <v>5843</v>
      </c>
      <c r="F1569" s="3">
        <v>43078</v>
      </c>
      <c r="H1569" t="s">
        <v>15523</v>
      </c>
      <c r="I1569" t="s">
        <v>16180</v>
      </c>
      <c r="K1569" t="e">
        <v>#N/A</v>
      </c>
      <c r="S1569" s="3"/>
    </row>
    <row r="1570" spans="1:19" x14ac:dyDescent="0.25">
      <c r="A1570" t="s">
        <v>5058</v>
      </c>
      <c r="B1570" t="s">
        <v>5059</v>
      </c>
      <c r="C1570" t="s">
        <v>16179</v>
      </c>
      <c r="D1570" t="s">
        <v>2820</v>
      </c>
      <c r="E1570">
        <v>5844</v>
      </c>
      <c r="F1570" s="3">
        <v>43078</v>
      </c>
      <c r="H1570" t="s">
        <v>15523</v>
      </c>
      <c r="I1570" t="s">
        <v>16180</v>
      </c>
      <c r="K1570" t="e">
        <v>#N/A</v>
      </c>
      <c r="S1570" s="3"/>
    </row>
    <row r="1571" spans="1:19" x14ac:dyDescent="0.25">
      <c r="A1571" t="s">
        <v>5060</v>
      </c>
      <c r="B1571" t="s">
        <v>5061</v>
      </c>
      <c r="C1571" t="s">
        <v>16179</v>
      </c>
      <c r="D1571" t="s">
        <v>2820</v>
      </c>
      <c r="E1571">
        <v>5845</v>
      </c>
      <c r="F1571" s="3">
        <v>43078</v>
      </c>
      <c r="H1571" t="s">
        <v>15523</v>
      </c>
      <c r="I1571" t="s">
        <v>16180</v>
      </c>
      <c r="K1571" t="e">
        <v>#N/A</v>
      </c>
      <c r="S1571" s="3"/>
    </row>
    <row r="1572" spans="1:19" x14ac:dyDescent="0.25">
      <c r="A1572" t="s">
        <v>5062</v>
      </c>
      <c r="B1572" t="s">
        <v>5063</v>
      </c>
      <c r="C1572" t="s">
        <v>16179</v>
      </c>
      <c r="D1572" t="s">
        <v>2820</v>
      </c>
      <c r="E1572">
        <v>5846</v>
      </c>
      <c r="F1572" s="3">
        <v>43078</v>
      </c>
      <c r="H1572" t="s">
        <v>15523</v>
      </c>
      <c r="I1572" t="s">
        <v>16180</v>
      </c>
      <c r="K1572" t="e">
        <v>#N/A</v>
      </c>
      <c r="S1572" s="3"/>
    </row>
    <row r="1573" spans="1:19" x14ac:dyDescent="0.25">
      <c r="A1573" t="s">
        <v>5064</v>
      </c>
      <c r="B1573" t="s">
        <v>5065</v>
      </c>
      <c r="C1573" t="s">
        <v>16179</v>
      </c>
      <c r="D1573" t="s">
        <v>2820</v>
      </c>
      <c r="E1573">
        <v>5847</v>
      </c>
      <c r="F1573" s="3">
        <v>43078</v>
      </c>
      <c r="H1573" t="s">
        <v>15523</v>
      </c>
      <c r="I1573" t="s">
        <v>16180</v>
      </c>
      <c r="K1573" t="e">
        <v>#N/A</v>
      </c>
      <c r="S1573" s="3"/>
    </row>
    <row r="1574" spans="1:19" x14ac:dyDescent="0.25">
      <c r="A1574" t="s">
        <v>5066</v>
      </c>
      <c r="B1574" t="s">
        <v>5067</v>
      </c>
      <c r="C1574" t="s">
        <v>16179</v>
      </c>
      <c r="D1574" t="s">
        <v>2820</v>
      </c>
      <c r="E1574">
        <v>5848</v>
      </c>
      <c r="F1574" s="3">
        <v>43078</v>
      </c>
      <c r="H1574" t="s">
        <v>15523</v>
      </c>
      <c r="I1574" t="s">
        <v>16180</v>
      </c>
      <c r="K1574" t="e">
        <v>#N/A</v>
      </c>
      <c r="S1574" s="3"/>
    </row>
    <row r="1575" spans="1:19" x14ac:dyDescent="0.25">
      <c r="A1575" t="s">
        <v>5068</v>
      </c>
      <c r="B1575" t="s">
        <v>5069</v>
      </c>
      <c r="C1575" t="s">
        <v>16179</v>
      </c>
      <c r="D1575" t="s">
        <v>2820</v>
      </c>
      <c r="E1575">
        <v>5849</v>
      </c>
      <c r="F1575" s="3">
        <v>43078</v>
      </c>
      <c r="H1575" t="s">
        <v>15523</v>
      </c>
      <c r="I1575" t="s">
        <v>16180</v>
      </c>
      <c r="K1575" t="e">
        <v>#N/A</v>
      </c>
      <c r="S1575" s="3"/>
    </row>
    <row r="1576" spans="1:19" x14ac:dyDescent="0.25">
      <c r="A1576" t="s">
        <v>5070</v>
      </c>
      <c r="B1576" t="s">
        <v>5071</v>
      </c>
      <c r="C1576" t="s">
        <v>16179</v>
      </c>
      <c r="D1576" t="s">
        <v>2820</v>
      </c>
      <c r="E1576">
        <v>5850</v>
      </c>
      <c r="F1576" s="3">
        <v>43078</v>
      </c>
      <c r="H1576" t="s">
        <v>15523</v>
      </c>
      <c r="I1576" t="s">
        <v>16180</v>
      </c>
      <c r="K1576" t="e">
        <v>#N/A</v>
      </c>
      <c r="S1576" s="3"/>
    </row>
    <row r="1577" spans="1:19" x14ac:dyDescent="0.25">
      <c r="A1577" t="s">
        <v>5072</v>
      </c>
      <c r="B1577" t="s">
        <v>5073</v>
      </c>
      <c r="C1577" t="s">
        <v>16179</v>
      </c>
      <c r="D1577" t="s">
        <v>2820</v>
      </c>
      <c r="E1577">
        <v>5851</v>
      </c>
      <c r="F1577" s="3">
        <v>43078</v>
      </c>
      <c r="H1577" t="s">
        <v>15523</v>
      </c>
      <c r="I1577" t="s">
        <v>16180</v>
      </c>
      <c r="K1577" t="e">
        <v>#N/A</v>
      </c>
      <c r="S1577" s="3"/>
    </row>
    <row r="1578" spans="1:19" x14ac:dyDescent="0.25">
      <c r="A1578" t="s">
        <v>5074</v>
      </c>
      <c r="B1578" t="s">
        <v>5075</v>
      </c>
      <c r="C1578" t="s">
        <v>16179</v>
      </c>
      <c r="D1578" t="s">
        <v>2820</v>
      </c>
      <c r="E1578">
        <v>5852</v>
      </c>
      <c r="F1578" s="3">
        <v>43078</v>
      </c>
      <c r="H1578" t="s">
        <v>15523</v>
      </c>
      <c r="I1578" t="s">
        <v>16180</v>
      </c>
      <c r="K1578" t="e">
        <v>#N/A</v>
      </c>
      <c r="S1578" s="3"/>
    </row>
    <row r="1579" spans="1:19" x14ac:dyDescent="0.25">
      <c r="A1579" t="s">
        <v>5076</v>
      </c>
      <c r="B1579" t="s">
        <v>5077</v>
      </c>
      <c r="C1579" t="s">
        <v>16179</v>
      </c>
      <c r="D1579" t="s">
        <v>2820</v>
      </c>
      <c r="E1579">
        <v>5853</v>
      </c>
      <c r="F1579" s="3">
        <v>43078</v>
      </c>
      <c r="H1579" t="s">
        <v>15523</v>
      </c>
      <c r="I1579" t="s">
        <v>16180</v>
      </c>
      <c r="K1579" t="e">
        <v>#N/A</v>
      </c>
      <c r="S1579" s="3"/>
    </row>
    <row r="1580" spans="1:19" x14ac:dyDescent="0.25">
      <c r="A1580" t="s">
        <v>5078</v>
      </c>
      <c r="B1580" t="s">
        <v>5079</v>
      </c>
      <c r="C1580" t="s">
        <v>16179</v>
      </c>
      <c r="D1580" t="s">
        <v>2820</v>
      </c>
      <c r="E1580">
        <v>5854</v>
      </c>
      <c r="F1580" s="3">
        <v>43078</v>
      </c>
      <c r="H1580" t="s">
        <v>15523</v>
      </c>
      <c r="I1580" t="s">
        <v>16180</v>
      </c>
      <c r="K1580" t="e">
        <v>#N/A</v>
      </c>
      <c r="S1580" s="3"/>
    </row>
    <row r="1581" spans="1:19" x14ac:dyDescent="0.25">
      <c r="A1581" t="s">
        <v>5080</v>
      </c>
      <c r="B1581" t="s">
        <v>5081</v>
      </c>
      <c r="C1581" t="s">
        <v>16179</v>
      </c>
      <c r="D1581" t="s">
        <v>2820</v>
      </c>
      <c r="E1581">
        <v>5855</v>
      </c>
      <c r="F1581" s="3">
        <v>43078</v>
      </c>
      <c r="H1581" t="s">
        <v>15523</v>
      </c>
      <c r="I1581" t="s">
        <v>16180</v>
      </c>
      <c r="K1581" t="e">
        <v>#N/A</v>
      </c>
      <c r="S1581" s="3"/>
    </row>
    <row r="1582" spans="1:19" x14ac:dyDescent="0.25">
      <c r="A1582" t="s">
        <v>5082</v>
      </c>
      <c r="B1582" t="s">
        <v>5083</v>
      </c>
      <c r="C1582" t="s">
        <v>16179</v>
      </c>
      <c r="D1582" t="s">
        <v>2820</v>
      </c>
      <c r="E1582">
        <v>5856</v>
      </c>
      <c r="F1582" s="3">
        <v>43078</v>
      </c>
      <c r="H1582" t="s">
        <v>15523</v>
      </c>
      <c r="I1582" t="s">
        <v>16180</v>
      </c>
      <c r="K1582" t="e">
        <v>#N/A</v>
      </c>
      <c r="S1582" s="3"/>
    </row>
    <row r="1583" spans="1:19" x14ac:dyDescent="0.25">
      <c r="A1583" t="s">
        <v>306</v>
      </c>
      <c r="B1583" t="s">
        <v>308</v>
      </c>
      <c r="C1583" t="s">
        <v>309</v>
      </c>
      <c r="D1583" t="s">
        <v>23</v>
      </c>
      <c r="E1583">
        <v>815</v>
      </c>
      <c r="F1583" s="3">
        <v>40702</v>
      </c>
      <c r="H1583" t="s">
        <v>15523</v>
      </c>
      <c r="I1583" t="s">
        <v>16792</v>
      </c>
      <c r="K1583">
        <v>83</v>
      </c>
      <c r="S1583" s="3"/>
    </row>
    <row r="1584" spans="1:19" x14ac:dyDescent="0.25">
      <c r="A1584" t="s">
        <v>438</v>
      </c>
      <c r="B1584" t="s">
        <v>440</v>
      </c>
      <c r="C1584" t="s">
        <v>441</v>
      </c>
      <c r="D1584" t="s">
        <v>23</v>
      </c>
      <c r="E1584">
        <v>813</v>
      </c>
      <c r="F1584" s="3">
        <v>40702</v>
      </c>
      <c r="H1584" t="s">
        <v>15523</v>
      </c>
      <c r="I1584" t="s">
        <v>16793</v>
      </c>
      <c r="K1584">
        <v>116</v>
      </c>
      <c r="S1584" s="3"/>
    </row>
    <row r="1585" spans="1:19" x14ac:dyDescent="0.25">
      <c r="A1585" t="s">
        <v>5084</v>
      </c>
      <c r="B1585" t="s">
        <v>5085</v>
      </c>
      <c r="C1585" t="s">
        <v>5086</v>
      </c>
      <c r="D1585" t="s">
        <v>23</v>
      </c>
      <c r="E1585">
        <v>3859</v>
      </c>
      <c r="F1585" s="3">
        <v>40702</v>
      </c>
      <c r="H1585" t="s">
        <v>15523</v>
      </c>
      <c r="I1585" t="s">
        <v>16794</v>
      </c>
      <c r="K1585" t="e">
        <v>#N/A</v>
      </c>
      <c r="S1585" s="3"/>
    </row>
    <row r="1586" spans="1:19" x14ac:dyDescent="0.25">
      <c r="A1586" t="s">
        <v>310</v>
      </c>
      <c r="B1586" t="s">
        <v>312</v>
      </c>
      <c r="C1586" t="s">
        <v>313</v>
      </c>
      <c r="D1586" t="s">
        <v>23</v>
      </c>
      <c r="E1586">
        <v>826</v>
      </c>
      <c r="F1586" s="3">
        <v>40702</v>
      </c>
      <c r="H1586" t="s">
        <v>15523</v>
      </c>
      <c r="I1586" t="s">
        <v>16795</v>
      </c>
      <c r="K1586">
        <v>84</v>
      </c>
      <c r="S1586" s="3"/>
    </row>
    <row r="1587" spans="1:19" x14ac:dyDescent="0.25">
      <c r="A1587" t="s">
        <v>189</v>
      </c>
      <c r="B1587" t="s">
        <v>191</v>
      </c>
      <c r="C1587" t="s">
        <v>192</v>
      </c>
      <c r="D1587" t="s">
        <v>23</v>
      </c>
      <c r="E1587">
        <v>1682</v>
      </c>
      <c r="F1587" s="3">
        <v>40915</v>
      </c>
      <c r="H1587" t="s">
        <v>15523</v>
      </c>
      <c r="I1587" t="s">
        <v>16796</v>
      </c>
      <c r="K1587">
        <v>53</v>
      </c>
      <c r="S1587" s="3"/>
    </row>
    <row r="1588" spans="1:19" x14ac:dyDescent="0.25">
      <c r="A1588" t="s">
        <v>5087</v>
      </c>
      <c r="B1588" t="s">
        <v>5088</v>
      </c>
      <c r="C1588" t="s">
        <v>5089</v>
      </c>
      <c r="D1588" t="s">
        <v>23</v>
      </c>
      <c r="E1588">
        <v>5830</v>
      </c>
      <c r="F1588" s="3">
        <v>43041</v>
      </c>
      <c r="H1588" t="s">
        <v>15523</v>
      </c>
      <c r="I1588" t="s">
        <v>16797</v>
      </c>
      <c r="K1588" t="e">
        <v>#N/A</v>
      </c>
      <c r="S1588" s="3"/>
    </row>
    <row r="1589" spans="1:19" x14ac:dyDescent="0.25">
      <c r="A1589" t="s">
        <v>5090</v>
      </c>
      <c r="B1589" t="s">
        <v>5091</v>
      </c>
      <c r="C1589" t="s">
        <v>5092</v>
      </c>
      <c r="D1589" t="s">
        <v>23</v>
      </c>
      <c r="E1589">
        <v>5831</v>
      </c>
      <c r="F1589" s="3">
        <v>43041</v>
      </c>
      <c r="H1589" t="s">
        <v>15523</v>
      </c>
      <c r="I1589" t="s">
        <v>16798</v>
      </c>
      <c r="K1589" t="e">
        <v>#N/A</v>
      </c>
      <c r="S1589" s="3"/>
    </row>
    <row r="1590" spans="1:19" x14ac:dyDescent="0.25">
      <c r="A1590" t="s">
        <v>5093</v>
      </c>
      <c r="B1590" t="s">
        <v>5094</v>
      </c>
      <c r="C1590" t="s">
        <v>5095</v>
      </c>
      <c r="D1590" t="s">
        <v>23</v>
      </c>
      <c r="E1590">
        <v>5996</v>
      </c>
      <c r="F1590" s="3">
        <v>43470</v>
      </c>
      <c r="H1590" t="s">
        <v>15523</v>
      </c>
      <c r="I1590" t="s">
        <v>16799</v>
      </c>
      <c r="K1590" t="e">
        <v>#N/A</v>
      </c>
      <c r="S1590" s="3"/>
    </row>
    <row r="1591" spans="1:19" x14ac:dyDescent="0.25">
      <c r="A1591" t="s">
        <v>5096</v>
      </c>
      <c r="B1591" t="s">
        <v>5097</v>
      </c>
      <c r="C1591" t="s">
        <v>5098</v>
      </c>
      <c r="D1591" t="s">
        <v>23</v>
      </c>
      <c r="E1591">
        <v>6035</v>
      </c>
      <c r="F1591" s="3">
        <v>43596</v>
      </c>
      <c r="H1591" t="s">
        <v>15523</v>
      </c>
      <c r="I1591" t="s">
        <v>16800</v>
      </c>
      <c r="K1591" t="e">
        <v>#N/A</v>
      </c>
      <c r="S1591" s="3"/>
    </row>
    <row r="1592" spans="1:19" x14ac:dyDescent="0.25">
      <c r="A1592" t="s">
        <v>5099</v>
      </c>
      <c r="B1592" t="s">
        <v>5100</v>
      </c>
      <c r="C1592" t="s">
        <v>5101</v>
      </c>
      <c r="D1592" t="s">
        <v>23</v>
      </c>
      <c r="E1592">
        <v>5995</v>
      </c>
      <c r="F1592" s="3">
        <v>43470</v>
      </c>
      <c r="H1592" t="s">
        <v>15523</v>
      </c>
      <c r="I1592" t="s">
        <v>16801</v>
      </c>
      <c r="K1592" t="e">
        <v>#N/A</v>
      </c>
      <c r="S1592" s="3"/>
    </row>
    <row r="1593" spans="1:19" x14ac:dyDescent="0.25">
      <c r="A1593" t="s">
        <v>5102</v>
      </c>
      <c r="B1593" t="s">
        <v>5103</v>
      </c>
      <c r="C1593" t="s">
        <v>16179</v>
      </c>
      <c r="D1593" t="s">
        <v>47</v>
      </c>
      <c r="E1593">
        <v>5101</v>
      </c>
      <c r="F1593" s="3">
        <v>41851</v>
      </c>
      <c r="H1593" t="s">
        <v>15523</v>
      </c>
      <c r="I1593" t="s">
        <v>16180</v>
      </c>
      <c r="K1593" t="e">
        <v>#N/A</v>
      </c>
      <c r="S1593" s="3"/>
    </row>
    <row r="1594" spans="1:19" x14ac:dyDescent="0.25">
      <c r="A1594" t="s">
        <v>5104</v>
      </c>
      <c r="B1594" t="s">
        <v>5105</v>
      </c>
      <c r="C1594" t="s">
        <v>16179</v>
      </c>
      <c r="D1594" t="s">
        <v>47</v>
      </c>
      <c r="E1594">
        <v>3707</v>
      </c>
      <c r="F1594" s="3">
        <v>41852</v>
      </c>
      <c r="H1594" t="s">
        <v>15523</v>
      </c>
      <c r="I1594" t="s">
        <v>16180</v>
      </c>
      <c r="K1594" t="e">
        <v>#N/A</v>
      </c>
      <c r="S1594" s="3"/>
    </row>
    <row r="1595" spans="1:19" x14ac:dyDescent="0.25">
      <c r="A1595" t="s">
        <v>5106</v>
      </c>
      <c r="B1595" t="s">
        <v>5107</v>
      </c>
      <c r="C1595" t="s">
        <v>16179</v>
      </c>
      <c r="D1595" t="s">
        <v>47</v>
      </c>
      <c r="E1595">
        <v>5102</v>
      </c>
      <c r="F1595" s="3">
        <v>41851</v>
      </c>
      <c r="H1595" t="s">
        <v>15523</v>
      </c>
      <c r="I1595" t="s">
        <v>16180</v>
      </c>
      <c r="K1595" t="e">
        <v>#N/A</v>
      </c>
      <c r="S1595" s="3"/>
    </row>
    <row r="1596" spans="1:19" x14ac:dyDescent="0.25">
      <c r="A1596" t="s">
        <v>5108</v>
      </c>
      <c r="B1596" t="s">
        <v>5109</v>
      </c>
      <c r="C1596" t="s">
        <v>5110</v>
      </c>
      <c r="D1596" t="s">
        <v>23</v>
      </c>
      <c r="E1596">
        <v>1860</v>
      </c>
      <c r="F1596" s="3">
        <v>40702</v>
      </c>
      <c r="H1596" t="s">
        <v>15523</v>
      </c>
      <c r="I1596" t="s">
        <v>16802</v>
      </c>
      <c r="K1596" t="e">
        <v>#N/A</v>
      </c>
      <c r="S1596" s="3"/>
    </row>
    <row r="1597" spans="1:19" x14ac:dyDescent="0.25">
      <c r="A1597" t="s">
        <v>24</v>
      </c>
      <c r="B1597" t="s">
        <v>25</v>
      </c>
      <c r="C1597" s="3">
        <v>2148878</v>
      </c>
      <c r="D1597" t="s">
        <v>23</v>
      </c>
      <c r="E1597">
        <v>1683</v>
      </c>
      <c r="F1597" s="3">
        <v>40704</v>
      </c>
      <c r="H1597" t="s">
        <v>15523</v>
      </c>
      <c r="I1597" t="s">
        <v>16803</v>
      </c>
      <c r="K1597">
        <v>2</v>
      </c>
      <c r="P1597" s="3"/>
      <c r="S1597" s="3"/>
    </row>
    <row r="1598" spans="1:19" x14ac:dyDescent="0.25">
      <c r="A1598" t="s">
        <v>5111</v>
      </c>
      <c r="B1598" t="s">
        <v>5112</v>
      </c>
      <c r="C1598" t="s">
        <v>5113</v>
      </c>
      <c r="D1598" t="s">
        <v>23</v>
      </c>
      <c r="E1598">
        <v>1861</v>
      </c>
      <c r="F1598" s="3">
        <v>40702</v>
      </c>
      <c r="H1598" t="s">
        <v>15523</v>
      </c>
      <c r="I1598" t="s">
        <v>16804</v>
      </c>
      <c r="K1598" t="e">
        <v>#N/A</v>
      </c>
      <c r="S1598" s="3"/>
    </row>
    <row r="1599" spans="1:19" x14ac:dyDescent="0.25">
      <c r="A1599" t="s">
        <v>5114</v>
      </c>
      <c r="B1599" t="s">
        <v>5115</v>
      </c>
      <c r="C1599" t="s">
        <v>5116</v>
      </c>
      <c r="D1599" t="s">
        <v>23</v>
      </c>
      <c r="E1599">
        <v>3896</v>
      </c>
      <c r="F1599" s="3">
        <v>40872</v>
      </c>
      <c r="H1599" t="s">
        <v>15523</v>
      </c>
      <c r="I1599" t="s">
        <v>16805</v>
      </c>
      <c r="K1599" t="e">
        <v>#N/A</v>
      </c>
      <c r="S1599" s="3"/>
    </row>
    <row r="1600" spans="1:19" x14ac:dyDescent="0.25">
      <c r="A1600" t="s">
        <v>5117</v>
      </c>
      <c r="B1600" t="s">
        <v>5118</v>
      </c>
      <c r="C1600" t="s">
        <v>5119</v>
      </c>
      <c r="D1600" t="s">
        <v>23</v>
      </c>
      <c r="E1600">
        <v>3897</v>
      </c>
      <c r="F1600" s="3">
        <v>40702</v>
      </c>
      <c r="H1600" t="s">
        <v>15523</v>
      </c>
      <c r="I1600" t="s">
        <v>16806</v>
      </c>
      <c r="K1600" t="e">
        <v>#N/A</v>
      </c>
      <c r="S1600" s="3"/>
    </row>
    <row r="1601" spans="1:19" x14ac:dyDescent="0.25">
      <c r="A1601" t="s">
        <v>5120</v>
      </c>
      <c r="B1601" t="s">
        <v>5121</v>
      </c>
      <c r="C1601" t="s">
        <v>16179</v>
      </c>
      <c r="D1601" t="s">
        <v>2820</v>
      </c>
      <c r="E1601">
        <v>3711</v>
      </c>
      <c r="F1601" s="3">
        <v>40702</v>
      </c>
      <c r="H1601" t="s">
        <v>15523</v>
      </c>
      <c r="I1601" t="s">
        <v>16180</v>
      </c>
      <c r="K1601" t="e">
        <v>#N/A</v>
      </c>
      <c r="S1601" s="3"/>
    </row>
    <row r="1602" spans="1:19" x14ac:dyDescent="0.25">
      <c r="A1602" t="s">
        <v>5122</v>
      </c>
      <c r="B1602" t="s">
        <v>5123</v>
      </c>
      <c r="C1602" t="s">
        <v>5124</v>
      </c>
      <c r="D1602" t="s">
        <v>23</v>
      </c>
      <c r="E1602">
        <v>326</v>
      </c>
      <c r="F1602" s="3">
        <v>40702</v>
      </c>
      <c r="H1602" t="s">
        <v>15523</v>
      </c>
      <c r="I1602" t="s">
        <v>16807</v>
      </c>
      <c r="K1602" t="e">
        <v>#N/A</v>
      </c>
      <c r="S1602" s="3"/>
    </row>
    <row r="1603" spans="1:19" x14ac:dyDescent="0.25">
      <c r="A1603" t="s">
        <v>5125</v>
      </c>
      <c r="B1603" t="s">
        <v>5126</v>
      </c>
      <c r="C1603" t="s">
        <v>5127</v>
      </c>
      <c r="D1603" t="s">
        <v>23</v>
      </c>
      <c r="E1603">
        <v>2531</v>
      </c>
      <c r="F1603" s="3">
        <v>42704</v>
      </c>
      <c r="H1603" t="s">
        <v>15523</v>
      </c>
      <c r="I1603" t="s">
        <v>16808</v>
      </c>
      <c r="K1603" t="e">
        <v>#N/A</v>
      </c>
      <c r="S1603" s="3"/>
    </row>
    <row r="1604" spans="1:19" x14ac:dyDescent="0.25">
      <c r="A1604" t="s">
        <v>5128</v>
      </c>
      <c r="B1604" t="s">
        <v>5129</v>
      </c>
      <c r="C1604" t="s">
        <v>5130</v>
      </c>
      <c r="D1604" t="s">
        <v>23</v>
      </c>
      <c r="E1604">
        <v>861</v>
      </c>
      <c r="F1604" s="3">
        <v>40702</v>
      </c>
      <c r="H1604" t="s">
        <v>15523</v>
      </c>
      <c r="I1604" t="s">
        <v>16809</v>
      </c>
      <c r="K1604" t="e">
        <v>#N/A</v>
      </c>
      <c r="S1604" s="3"/>
    </row>
    <row r="1605" spans="1:19" x14ac:dyDescent="0.25">
      <c r="A1605" t="s">
        <v>5131</v>
      </c>
      <c r="B1605" t="s">
        <v>5132</v>
      </c>
      <c r="C1605" t="s">
        <v>5133</v>
      </c>
      <c r="D1605" t="s">
        <v>23</v>
      </c>
      <c r="E1605">
        <v>2339</v>
      </c>
      <c r="F1605" s="3">
        <v>40702</v>
      </c>
      <c r="H1605" t="s">
        <v>15523</v>
      </c>
      <c r="I1605" t="s">
        <v>16810</v>
      </c>
      <c r="K1605" t="e">
        <v>#N/A</v>
      </c>
      <c r="S1605" s="3"/>
    </row>
    <row r="1606" spans="1:19" x14ac:dyDescent="0.25">
      <c r="A1606" t="s">
        <v>5134</v>
      </c>
      <c r="B1606" t="s">
        <v>5135</v>
      </c>
      <c r="C1606" t="s">
        <v>5136</v>
      </c>
      <c r="D1606" t="s">
        <v>23</v>
      </c>
      <c r="E1606">
        <v>3908</v>
      </c>
      <c r="F1606" s="3">
        <v>40702</v>
      </c>
      <c r="H1606" t="s">
        <v>15523</v>
      </c>
      <c r="I1606" t="s">
        <v>16811</v>
      </c>
      <c r="K1606" t="e">
        <v>#N/A</v>
      </c>
      <c r="S1606" s="3"/>
    </row>
    <row r="1607" spans="1:19" x14ac:dyDescent="0.25">
      <c r="A1607" t="s">
        <v>5137</v>
      </c>
      <c r="B1607" t="s">
        <v>5138</v>
      </c>
      <c r="C1607" t="s">
        <v>5139</v>
      </c>
      <c r="D1607" t="s">
        <v>23</v>
      </c>
      <c r="E1607">
        <v>3909</v>
      </c>
      <c r="F1607" s="3">
        <v>40702</v>
      </c>
      <c r="H1607" t="s">
        <v>15523</v>
      </c>
      <c r="I1607" t="s">
        <v>16812</v>
      </c>
      <c r="K1607" t="e">
        <v>#N/A</v>
      </c>
      <c r="S1607" s="3"/>
    </row>
    <row r="1608" spans="1:19" x14ac:dyDescent="0.25">
      <c r="A1608" t="s">
        <v>5140</v>
      </c>
      <c r="B1608" t="s">
        <v>5141</v>
      </c>
      <c r="C1608" t="s">
        <v>5142</v>
      </c>
      <c r="D1608" t="s">
        <v>23</v>
      </c>
      <c r="E1608">
        <v>2589</v>
      </c>
      <c r="F1608" s="3">
        <v>40702</v>
      </c>
      <c r="H1608" t="s">
        <v>15523</v>
      </c>
      <c r="I1608" t="s">
        <v>16813</v>
      </c>
      <c r="K1608" t="e">
        <v>#N/A</v>
      </c>
      <c r="S1608" s="3"/>
    </row>
    <row r="1609" spans="1:19" x14ac:dyDescent="0.25">
      <c r="A1609" t="s">
        <v>5143</v>
      </c>
      <c r="B1609" t="s">
        <v>5144</v>
      </c>
      <c r="C1609" t="s">
        <v>5145</v>
      </c>
      <c r="D1609" t="s">
        <v>23</v>
      </c>
      <c r="E1609">
        <v>2590</v>
      </c>
      <c r="F1609" s="3">
        <v>40702</v>
      </c>
      <c r="H1609" t="s">
        <v>15523</v>
      </c>
      <c r="I1609" t="s">
        <v>16814</v>
      </c>
      <c r="K1609" t="e">
        <v>#N/A</v>
      </c>
      <c r="S1609" s="3"/>
    </row>
    <row r="1610" spans="1:19" x14ac:dyDescent="0.25">
      <c r="A1610" t="s">
        <v>5146</v>
      </c>
      <c r="B1610" t="s">
        <v>5147</v>
      </c>
      <c r="C1610" t="s">
        <v>5148</v>
      </c>
      <c r="D1610" t="s">
        <v>23</v>
      </c>
      <c r="E1610">
        <v>3910</v>
      </c>
      <c r="F1610" s="3">
        <v>40702</v>
      </c>
      <c r="H1610" t="s">
        <v>15523</v>
      </c>
      <c r="I1610" t="s">
        <v>16815</v>
      </c>
      <c r="K1610" t="e">
        <v>#N/A</v>
      </c>
      <c r="S1610" s="3"/>
    </row>
    <row r="1611" spans="1:19" x14ac:dyDescent="0.25">
      <c r="A1611" t="s">
        <v>5149</v>
      </c>
      <c r="B1611" t="s">
        <v>5150</v>
      </c>
      <c r="C1611" t="s">
        <v>5151</v>
      </c>
      <c r="D1611" t="s">
        <v>23</v>
      </c>
      <c r="E1611">
        <v>3911</v>
      </c>
      <c r="F1611" s="3">
        <v>40702</v>
      </c>
      <c r="H1611" t="s">
        <v>15523</v>
      </c>
      <c r="I1611" t="s">
        <v>16816</v>
      </c>
      <c r="K1611" t="e">
        <v>#N/A</v>
      </c>
      <c r="S1611" s="3"/>
    </row>
    <row r="1612" spans="1:19" x14ac:dyDescent="0.25">
      <c r="A1612" t="s">
        <v>5152</v>
      </c>
      <c r="B1612" t="s">
        <v>5153</v>
      </c>
      <c r="C1612" t="s">
        <v>5154</v>
      </c>
      <c r="D1612" t="s">
        <v>23</v>
      </c>
      <c r="E1612">
        <v>3912</v>
      </c>
      <c r="F1612" s="3">
        <v>40702</v>
      </c>
      <c r="H1612" t="s">
        <v>15523</v>
      </c>
      <c r="I1612" t="s">
        <v>16817</v>
      </c>
      <c r="K1612" t="e">
        <v>#N/A</v>
      </c>
      <c r="S1612" s="3"/>
    </row>
    <row r="1613" spans="1:19" x14ac:dyDescent="0.25">
      <c r="A1613" t="s">
        <v>5155</v>
      </c>
      <c r="B1613" t="s">
        <v>5156</v>
      </c>
      <c r="C1613" t="s">
        <v>5157</v>
      </c>
      <c r="D1613" t="s">
        <v>23</v>
      </c>
      <c r="E1613">
        <v>7</v>
      </c>
      <c r="F1613" s="3">
        <v>40702</v>
      </c>
      <c r="H1613" t="s">
        <v>15523</v>
      </c>
      <c r="I1613" t="s">
        <v>16818</v>
      </c>
      <c r="K1613" t="e">
        <v>#N/A</v>
      </c>
      <c r="S1613" s="3"/>
    </row>
    <row r="1614" spans="1:19" x14ac:dyDescent="0.25">
      <c r="A1614" t="s">
        <v>5158</v>
      </c>
      <c r="B1614" t="s">
        <v>5159</v>
      </c>
      <c r="C1614" t="s">
        <v>5160</v>
      </c>
      <c r="D1614" t="s">
        <v>23</v>
      </c>
      <c r="E1614">
        <v>2591</v>
      </c>
      <c r="F1614" s="3">
        <v>42376</v>
      </c>
      <c r="H1614" t="s">
        <v>15523</v>
      </c>
      <c r="I1614" t="s">
        <v>16819</v>
      </c>
      <c r="K1614" t="e">
        <v>#N/A</v>
      </c>
      <c r="S1614" s="3"/>
    </row>
    <row r="1615" spans="1:19" x14ac:dyDescent="0.25">
      <c r="A1615" t="s">
        <v>5161</v>
      </c>
      <c r="B1615" t="s">
        <v>5162</v>
      </c>
      <c r="C1615" t="s">
        <v>5163</v>
      </c>
      <c r="D1615" t="s">
        <v>23</v>
      </c>
      <c r="E1615">
        <v>3913</v>
      </c>
      <c r="F1615" s="3">
        <v>40702</v>
      </c>
      <c r="H1615" t="s">
        <v>15523</v>
      </c>
      <c r="I1615" t="s">
        <v>16820</v>
      </c>
      <c r="K1615" t="e">
        <v>#N/A</v>
      </c>
      <c r="S1615" s="3"/>
    </row>
    <row r="1616" spans="1:19" x14ac:dyDescent="0.25">
      <c r="A1616" t="s">
        <v>5164</v>
      </c>
      <c r="B1616" t="s">
        <v>5165</v>
      </c>
      <c r="C1616" t="s">
        <v>5166</v>
      </c>
      <c r="D1616" t="s">
        <v>23</v>
      </c>
      <c r="E1616">
        <v>2592</v>
      </c>
      <c r="F1616" s="3">
        <v>40702</v>
      </c>
      <c r="H1616" t="s">
        <v>15523</v>
      </c>
      <c r="I1616" t="s">
        <v>16821</v>
      </c>
      <c r="K1616" t="e">
        <v>#N/A</v>
      </c>
      <c r="S1616" s="3"/>
    </row>
    <row r="1617" spans="1:19" x14ac:dyDescent="0.25">
      <c r="A1617" t="s">
        <v>5167</v>
      </c>
      <c r="B1617" t="s">
        <v>5168</v>
      </c>
      <c r="C1617" t="s">
        <v>5169</v>
      </c>
      <c r="D1617" t="s">
        <v>23</v>
      </c>
      <c r="E1617">
        <v>3914</v>
      </c>
      <c r="F1617" s="3">
        <v>40702</v>
      </c>
      <c r="H1617" t="s">
        <v>15523</v>
      </c>
      <c r="I1617" t="s">
        <v>16822</v>
      </c>
      <c r="K1617" t="e">
        <v>#N/A</v>
      </c>
      <c r="S1617" s="3"/>
    </row>
    <row r="1618" spans="1:19" x14ac:dyDescent="0.25">
      <c r="A1618" t="s">
        <v>5170</v>
      </c>
      <c r="B1618" t="s">
        <v>5171</v>
      </c>
      <c r="C1618" t="s">
        <v>5172</v>
      </c>
      <c r="D1618" t="s">
        <v>23</v>
      </c>
      <c r="E1618">
        <v>3915</v>
      </c>
      <c r="F1618" s="3">
        <v>40702</v>
      </c>
      <c r="H1618" t="s">
        <v>15523</v>
      </c>
      <c r="I1618" t="s">
        <v>16823</v>
      </c>
      <c r="K1618" t="e">
        <v>#N/A</v>
      </c>
      <c r="S1618" s="3"/>
    </row>
    <row r="1619" spans="1:19" x14ac:dyDescent="0.25">
      <c r="A1619" t="s">
        <v>5173</v>
      </c>
      <c r="B1619" t="s">
        <v>5174</v>
      </c>
      <c r="C1619" t="s">
        <v>5175</v>
      </c>
      <c r="D1619" t="s">
        <v>23</v>
      </c>
      <c r="E1619">
        <v>803</v>
      </c>
      <c r="F1619" s="3">
        <v>40702</v>
      </c>
      <c r="H1619" t="s">
        <v>15523</v>
      </c>
      <c r="I1619" t="s">
        <v>16824</v>
      </c>
      <c r="K1619" t="e">
        <v>#N/A</v>
      </c>
      <c r="S1619" s="3"/>
    </row>
    <row r="1620" spans="1:19" x14ac:dyDescent="0.25">
      <c r="A1620" t="s">
        <v>5176</v>
      </c>
      <c r="B1620" t="s">
        <v>5177</v>
      </c>
      <c r="C1620" t="s">
        <v>5178</v>
      </c>
      <c r="D1620" t="s">
        <v>23</v>
      </c>
      <c r="E1620">
        <v>3916</v>
      </c>
      <c r="F1620" s="3">
        <v>40702</v>
      </c>
      <c r="H1620" t="s">
        <v>15523</v>
      </c>
      <c r="I1620" t="s">
        <v>16825</v>
      </c>
      <c r="K1620" t="e">
        <v>#N/A</v>
      </c>
      <c r="S1620" s="3"/>
    </row>
    <row r="1621" spans="1:19" x14ac:dyDescent="0.25">
      <c r="A1621" t="s">
        <v>5179</v>
      </c>
      <c r="B1621" t="s">
        <v>5180</v>
      </c>
      <c r="C1621" t="s">
        <v>5181</v>
      </c>
      <c r="D1621" t="s">
        <v>23</v>
      </c>
      <c r="E1621">
        <v>3917</v>
      </c>
      <c r="F1621" s="3">
        <v>40702</v>
      </c>
      <c r="H1621" t="s">
        <v>15523</v>
      </c>
      <c r="I1621" t="s">
        <v>16826</v>
      </c>
      <c r="K1621" t="e">
        <v>#N/A</v>
      </c>
      <c r="S1621" s="3"/>
    </row>
    <row r="1622" spans="1:19" x14ac:dyDescent="0.25">
      <c r="A1622" t="s">
        <v>5182</v>
      </c>
      <c r="B1622" t="s">
        <v>5183</v>
      </c>
      <c r="C1622" t="s">
        <v>5184</v>
      </c>
      <c r="D1622" t="s">
        <v>23</v>
      </c>
      <c r="E1622">
        <v>3918</v>
      </c>
      <c r="F1622" s="3">
        <v>40702</v>
      </c>
      <c r="H1622" t="s">
        <v>15523</v>
      </c>
      <c r="I1622" t="s">
        <v>16827</v>
      </c>
      <c r="K1622" t="e">
        <v>#N/A</v>
      </c>
      <c r="S1622" s="3"/>
    </row>
    <row r="1623" spans="1:19" x14ac:dyDescent="0.25">
      <c r="A1623" t="s">
        <v>5185</v>
      </c>
      <c r="B1623" t="s">
        <v>5186</v>
      </c>
      <c r="C1623" t="s">
        <v>5187</v>
      </c>
      <c r="D1623" t="s">
        <v>23</v>
      </c>
      <c r="E1623">
        <v>3919</v>
      </c>
      <c r="F1623" s="3">
        <v>40702</v>
      </c>
      <c r="H1623" t="s">
        <v>15523</v>
      </c>
      <c r="I1623" t="s">
        <v>16828</v>
      </c>
      <c r="K1623" t="e">
        <v>#N/A</v>
      </c>
      <c r="S1623" s="3"/>
    </row>
    <row r="1624" spans="1:19" x14ac:dyDescent="0.25">
      <c r="A1624" t="s">
        <v>5188</v>
      </c>
      <c r="B1624" t="s">
        <v>5189</v>
      </c>
      <c r="C1624" t="s">
        <v>5190</v>
      </c>
      <c r="D1624" t="s">
        <v>23</v>
      </c>
      <c r="E1624">
        <v>3920</v>
      </c>
      <c r="F1624" s="3">
        <v>40702</v>
      </c>
      <c r="H1624" t="s">
        <v>15523</v>
      </c>
      <c r="I1624" t="s">
        <v>16829</v>
      </c>
      <c r="K1624" t="e">
        <v>#N/A</v>
      </c>
      <c r="S1624" s="3"/>
    </row>
    <row r="1625" spans="1:19" x14ac:dyDescent="0.25">
      <c r="A1625" t="s">
        <v>5191</v>
      </c>
      <c r="B1625" t="s">
        <v>5192</v>
      </c>
      <c r="C1625" t="s">
        <v>5193</v>
      </c>
      <c r="D1625" t="s">
        <v>23</v>
      </c>
      <c r="E1625">
        <v>3921</v>
      </c>
      <c r="F1625" s="3">
        <v>40702</v>
      </c>
      <c r="H1625" t="s">
        <v>15523</v>
      </c>
      <c r="I1625" t="s">
        <v>16830</v>
      </c>
      <c r="K1625" t="e">
        <v>#N/A</v>
      </c>
      <c r="S1625" s="3"/>
    </row>
    <row r="1626" spans="1:19" x14ac:dyDescent="0.25">
      <c r="A1626" t="s">
        <v>5194</v>
      </c>
      <c r="B1626" t="s">
        <v>5195</v>
      </c>
      <c r="C1626" t="s">
        <v>5196</v>
      </c>
      <c r="D1626" t="s">
        <v>23</v>
      </c>
      <c r="E1626">
        <v>3922</v>
      </c>
      <c r="F1626" s="3">
        <v>40702</v>
      </c>
      <c r="H1626" t="s">
        <v>15523</v>
      </c>
      <c r="I1626" t="s">
        <v>16831</v>
      </c>
      <c r="K1626" t="e">
        <v>#N/A</v>
      </c>
      <c r="S1626" s="3"/>
    </row>
    <row r="1627" spans="1:19" x14ac:dyDescent="0.25">
      <c r="A1627" t="s">
        <v>5197</v>
      </c>
      <c r="B1627" t="s">
        <v>5198</v>
      </c>
      <c r="C1627" t="s">
        <v>5199</v>
      </c>
      <c r="D1627" t="s">
        <v>23</v>
      </c>
      <c r="E1627">
        <v>3923</v>
      </c>
      <c r="F1627" s="3">
        <v>40702</v>
      </c>
      <c r="H1627" t="s">
        <v>15523</v>
      </c>
      <c r="I1627" t="s">
        <v>16832</v>
      </c>
      <c r="K1627" t="e">
        <v>#N/A</v>
      </c>
      <c r="S1627" s="3"/>
    </row>
    <row r="1628" spans="1:19" x14ac:dyDescent="0.25">
      <c r="A1628" t="s">
        <v>5200</v>
      </c>
      <c r="B1628" t="s">
        <v>5201</v>
      </c>
      <c r="C1628" t="s">
        <v>5202</v>
      </c>
      <c r="D1628" t="s">
        <v>23</v>
      </c>
      <c r="E1628">
        <v>3924</v>
      </c>
      <c r="F1628" s="3">
        <v>40702</v>
      </c>
      <c r="H1628" t="s">
        <v>15523</v>
      </c>
      <c r="I1628" t="s">
        <v>16833</v>
      </c>
      <c r="K1628" t="e">
        <v>#N/A</v>
      </c>
      <c r="S1628" s="3"/>
    </row>
    <row r="1629" spans="1:19" x14ac:dyDescent="0.25">
      <c r="A1629" t="s">
        <v>5203</v>
      </c>
      <c r="B1629" t="s">
        <v>5204</v>
      </c>
      <c r="C1629" t="s">
        <v>5205</v>
      </c>
      <c r="D1629" t="s">
        <v>23</v>
      </c>
      <c r="E1629">
        <v>3925</v>
      </c>
      <c r="F1629" s="3">
        <v>40702</v>
      </c>
      <c r="H1629" t="s">
        <v>15523</v>
      </c>
      <c r="I1629" t="s">
        <v>16834</v>
      </c>
      <c r="K1629" t="e">
        <v>#N/A</v>
      </c>
      <c r="S1629" s="3"/>
    </row>
    <row r="1630" spans="1:19" x14ac:dyDescent="0.25">
      <c r="A1630" t="s">
        <v>5206</v>
      </c>
      <c r="B1630" t="s">
        <v>5207</v>
      </c>
      <c r="C1630" t="s">
        <v>5208</v>
      </c>
      <c r="D1630" t="s">
        <v>23</v>
      </c>
      <c r="E1630">
        <v>3926</v>
      </c>
      <c r="F1630" s="3">
        <v>40702</v>
      </c>
      <c r="H1630" t="s">
        <v>15523</v>
      </c>
      <c r="I1630" t="s">
        <v>16835</v>
      </c>
      <c r="K1630" t="e">
        <v>#N/A</v>
      </c>
      <c r="S1630" s="3"/>
    </row>
    <row r="1631" spans="1:19" x14ac:dyDescent="0.25">
      <c r="A1631" t="s">
        <v>5209</v>
      </c>
      <c r="B1631" t="s">
        <v>5210</v>
      </c>
      <c r="C1631" t="s">
        <v>5211</v>
      </c>
      <c r="D1631" t="s">
        <v>23</v>
      </c>
      <c r="E1631">
        <v>3927</v>
      </c>
      <c r="F1631" s="3">
        <v>40702</v>
      </c>
      <c r="H1631" t="s">
        <v>15523</v>
      </c>
      <c r="I1631" t="s">
        <v>16836</v>
      </c>
      <c r="K1631" t="e">
        <v>#N/A</v>
      </c>
      <c r="S1631" s="3"/>
    </row>
    <row r="1632" spans="1:19" x14ac:dyDescent="0.25">
      <c r="A1632" t="s">
        <v>5212</v>
      </c>
      <c r="B1632" t="s">
        <v>5213</v>
      </c>
      <c r="C1632" t="s">
        <v>5214</v>
      </c>
      <c r="D1632" t="s">
        <v>23</v>
      </c>
      <c r="E1632">
        <v>3929</v>
      </c>
      <c r="F1632" s="3">
        <v>40702</v>
      </c>
      <c r="H1632" t="s">
        <v>15523</v>
      </c>
      <c r="I1632" t="s">
        <v>16837</v>
      </c>
      <c r="K1632" t="e">
        <v>#N/A</v>
      </c>
      <c r="S1632" s="3"/>
    </row>
    <row r="1633" spans="1:19" x14ac:dyDescent="0.25">
      <c r="A1633" t="s">
        <v>37</v>
      </c>
      <c r="B1633" t="s">
        <v>40</v>
      </c>
      <c r="C1633" t="s">
        <v>41</v>
      </c>
      <c r="D1633" t="s">
        <v>23</v>
      </c>
      <c r="E1633">
        <v>374</v>
      </c>
      <c r="F1633" s="3">
        <v>40781</v>
      </c>
      <c r="H1633" t="s">
        <v>15523</v>
      </c>
      <c r="I1633" t="s">
        <v>16838</v>
      </c>
      <c r="K1633">
        <v>10</v>
      </c>
      <c r="S1633" s="3"/>
    </row>
    <row r="1634" spans="1:19" x14ac:dyDescent="0.25">
      <c r="A1634" t="s">
        <v>5215</v>
      </c>
      <c r="B1634" t="s">
        <v>5216</v>
      </c>
      <c r="C1634" t="s">
        <v>5217</v>
      </c>
      <c r="D1634" t="s">
        <v>23</v>
      </c>
      <c r="E1634">
        <v>1698</v>
      </c>
      <c r="F1634" s="3">
        <v>40702</v>
      </c>
      <c r="H1634" t="s">
        <v>15523</v>
      </c>
      <c r="I1634" t="s">
        <v>16839</v>
      </c>
      <c r="K1634" t="e">
        <v>#N/A</v>
      </c>
      <c r="S1634" s="3"/>
    </row>
    <row r="1635" spans="1:19" x14ac:dyDescent="0.25">
      <c r="A1635" t="s">
        <v>5218</v>
      </c>
      <c r="B1635" t="s">
        <v>5219</v>
      </c>
      <c r="C1635" t="s">
        <v>5220</v>
      </c>
      <c r="D1635" t="s">
        <v>23</v>
      </c>
      <c r="E1635">
        <v>3928</v>
      </c>
      <c r="F1635" s="3">
        <v>40702</v>
      </c>
      <c r="H1635" t="s">
        <v>15523</v>
      </c>
      <c r="I1635" t="s">
        <v>16840</v>
      </c>
      <c r="K1635" t="e">
        <v>#N/A</v>
      </c>
      <c r="S1635" s="3"/>
    </row>
    <row r="1636" spans="1:19" x14ac:dyDescent="0.25">
      <c r="A1636" t="s">
        <v>5221</v>
      </c>
      <c r="B1636" t="s">
        <v>5222</v>
      </c>
      <c r="C1636" t="s">
        <v>16179</v>
      </c>
      <c r="D1636" t="s">
        <v>2820</v>
      </c>
      <c r="E1636">
        <v>1870</v>
      </c>
      <c r="F1636" s="3">
        <v>40702</v>
      </c>
      <c r="H1636" t="s">
        <v>15523</v>
      </c>
      <c r="I1636" t="s">
        <v>16180</v>
      </c>
      <c r="K1636" t="e">
        <v>#N/A</v>
      </c>
      <c r="S1636" s="3"/>
    </row>
    <row r="1637" spans="1:19" x14ac:dyDescent="0.25">
      <c r="A1637" t="s">
        <v>5223</v>
      </c>
      <c r="B1637" t="s">
        <v>5224</v>
      </c>
      <c r="C1637" t="s">
        <v>5225</v>
      </c>
      <c r="D1637" t="s">
        <v>23</v>
      </c>
      <c r="E1637">
        <v>5223</v>
      </c>
      <c r="F1637" s="3">
        <v>42035</v>
      </c>
      <c r="H1637" t="s">
        <v>15523</v>
      </c>
      <c r="I1637" t="s">
        <v>16841</v>
      </c>
      <c r="K1637" t="e">
        <v>#N/A</v>
      </c>
      <c r="S1637" s="3"/>
    </row>
    <row r="1638" spans="1:19" x14ac:dyDescent="0.25">
      <c r="A1638" t="s">
        <v>5226</v>
      </c>
      <c r="B1638" t="s">
        <v>5227</v>
      </c>
      <c r="C1638" t="s">
        <v>16179</v>
      </c>
      <c r="D1638" t="s">
        <v>47</v>
      </c>
      <c r="E1638">
        <v>3684</v>
      </c>
      <c r="F1638" s="3">
        <v>40702</v>
      </c>
      <c r="H1638" t="s">
        <v>15523</v>
      </c>
      <c r="I1638" t="s">
        <v>16180</v>
      </c>
      <c r="K1638" t="e">
        <v>#N/A</v>
      </c>
      <c r="S1638" s="3"/>
    </row>
    <row r="1639" spans="1:19" x14ac:dyDescent="0.25">
      <c r="A1639" t="s">
        <v>5228</v>
      </c>
      <c r="B1639" t="s">
        <v>5229</v>
      </c>
      <c r="C1639" t="s">
        <v>16179</v>
      </c>
      <c r="D1639" t="s">
        <v>666</v>
      </c>
      <c r="E1639">
        <v>5007</v>
      </c>
      <c r="F1639" s="3">
        <v>41660</v>
      </c>
      <c r="H1639" t="s">
        <v>15523</v>
      </c>
      <c r="I1639" t="s">
        <v>16180</v>
      </c>
      <c r="K1639" t="e">
        <v>#N/A</v>
      </c>
      <c r="S1639" s="3"/>
    </row>
    <row r="1640" spans="1:19" x14ac:dyDescent="0.25">
      <c r="A1640" t="s">
        <v>5230</v>
      </c>
      <c r="B1640" t="s">
        <v>5231</v>
      </c>
      <c r="C1640" t="s">
        <v>16179</v>
      </c>
      <c r="D1640" t="s">
        <v>666</v>
      </c>
      <c r="E1640">
        <v>5162</v>
      </c>
      <c r="F1640" s="3">
        <v>41951</v>
      </c>
      <c r="H1640" t="s">
        <v>15523</v>
      </c>
      <c r="I1640" t="s">
        <v>16180</v>
      </c>
      <c r="K1640" t="e">
        <v>#N/A</v>
      </c>
      <c r="S1640" s="3"/>
    </row>
    <row r="1641" spans="1:19" x14ac:dyDescent="0.25">
      <c r="A1641" t="s">
        <v>5232</v>
      </c>
      <c r="B1641" t="s">
        <v>5233</v>
      </c>
      <c r="C1641" t="s">
        <v>16179</v>
      </c>
      <c r="D1641" t="s">
        <v>2820</v>
      </c>
      <c r="E1641">
        <v>3734</v>
      </c>
      <c r="F1641" s="3">
        <v>40702</v>
      </c>
      <c r="H1641" t="s">
        <v>15523</v>
      </c>
      <c r="I1641" t="s">
        <v>16180</v>
      </c>
      <c r="K1641" t="e">
        <v>#N/A</v>
      </c>
      <c r="S1641" s="3"/>
    </row>
    <row r="1642" spans="1:19" x14ac:dyDescent="0.25">
      <c r="A1642" t="s">
        <v>5234</v>
      </c>
      <c r="B1642" t="s">
        <v>5235</v>
      </c>
      <c r="C1642" t="s">
        <v>5236</v>
      </c>
      <c r="D1642" t="s">
        <v>23</v>
      </c>
      <c r="E1642">
        <v>3934</v>
      </c>
      <c r="F1642" s="3">
        <v>40702</v>
      </c>
      <c r="H1642" t="s">
        <v>15523</v>
      </c>
      <c r="I1642" t="s">
        <v>16842</v>
      </c>
      <c r="K1642" t="e">
        <v>#N/A</v>
      </c>
      <c r="S1642" s="3"/>
    </row>
    <row r="1643" spans="1:19" x14ac:dyDescent="0.25">
      <c r="A1643" t="s">
        <v>5237</v>
      </c>
      <c r="B1643" t="s">
        <v>471</v>
      </c>
      <c r="C1643" t="s">
        <v>5238</v>
      </c>
      <c r="D1643" t="s">
        <v>23</v>
      </c>
      <c r="E1643">
        <v>1869</v>
      </c>
      <c r="F1643" s="3">
        <v>40702</v>
      </c>
      <c r="H1643" t="s">
        <v>15523</v>
      </c>
      <c r="I1643" t="s">
        <v>16843</v>
      </c>
      <c r="K1643" t="e">
        <v>#N/A</v>
      </c>
      <c r="S1643" s="3"/>
    </row>
    <row r="1644" spans="1:19" x14ac:dyDescent="0.25">
      <c r="A1644" t="s">
        <v>5239</v>
      </c>
      <c r="B1644" t="s">
        <v>5240</v>
      </c>
      <c r="C1644" t="s">
        <v>5241</v>
      </c>
      <c r="D1644" t="s">
        <v>23</v>
      </c>
      <c r="E1644">
        <v>3938</v>
      </c>
      <c r="F1644" s="3">
        <v>40702</v>
      </c>
      <c r="H1644" t="s">
        <v>15523</v>
      </c>
      <c r="I1644" t="s">
        <v>16844</v>
      </c>
      <c r="K1644" t="e">
        <v>#N/A</v>
      </c>
      <c r="S1644" s="3"/>
    </row>
    <row r="1645" spans="1:19" x14ac:dyDescent="0.25">
      <c r="A1645" t="s">
        <v>5242</v>
      </c>
      <c r="B1645" t="s">
        <v>5243</v>
      </c>
      <c r="C1645" t="s">
        <v>5244</v>
      </c>
      <c r="D1645" t="s">
        <v>23</v>
      </c>
      <c r="E1645">
        <v>4838</v>
      </c>
      <c r="F1645" s="3">
        <v>42376</v>
      </c>
      <c r="H1645" t="s">
        <v>15523</v>
      </c>
      <c r="I1645" t="s">
        <v>16845</v>
      </c>
      <c r="K1645" t="e">
        <v>#N/A</v>
      </c>
      <c r="S1645" s="3"/>
    </row>
    <row r="1646" spans="1:19" x14ac:dyDescent="0.25">
      <c r="A1646" t="s">
        <v>5245</v>
      </c>
      <c r="B1646" t="s">
        <v>5246</v>
      </c>
      <c r="C1646" t="s">
        <v>16179</v>
      </c>
      <c r="D1646" t="s">
        <v>47</v>
      </c>
      <c r="E1646">
        <v>3680</v>
      </c>
      <c r="F1646" s="3">
        <v>40702</v>
      </c>
      <c r="H1646" t="s">
        <v>15523</v>
      </c>
      <c r="I1646" t="s">
        <v>16180</v>
      </c>
      <c r="K1646" t="e">
        <v>#N/A</v>
      </c>
      <c r="S1646" s="3"/>
    </row>
    <row r="1647" spans="1:19" x14ac:dyDescent="0.25">
      <c r="A1647" t="s">
        <v>5247</v>
      </c>
      <c r="B1647" t="s">
        <v>5248</v>
      </c>
      <c r="C1647" t="s">
        <v>5249</v>
      </c>
      <c r="D1647" t="s">
        <v>23</v>
      </c>
      <c r="E1647">
        <v>3942</v>
      </c>
      <c r="F1647" s="3">
        <v>40702</v>
      </c>
      <c r="H1647" t="s">
        <v>15523</v>
      </c>
      <c r="I1647" t="s">
        <v>16846</v>
      </c>
      <c r="K1647" t="e">
        <v>#N/A</v>
      </c>
      <c r="S1647" s="3"/>
    </row>
    <row r="1648" spans="1:19" x14ac:dyDescent="0.25">
      <c r="A1648" t="s">
        <v>5250</v>
      </c>
      <c r="B1648" t="s">
        <v>5251</v>
      </c>
      <c r="C1648" t="s">
        <v>16179</v>
      </c>
      <c r="D1648" t="s">
        <v>47</v>
      </c>
      <c r="E1648">
        <v>3683</v>
      </c>
      <c r="F1648" s="3">
        <v>40702</v>
      </c>
      <c r="H1648" t="s">
        <v>15523</v>
      </c>
      <c r="I1648" t="s">
        <v>16180</v>
      </c>
      <c r="K1648" t="e">
        <v>#N/A</v>
      </c>
      <c r="S1648" s="3"/>
    </row>
    <row r="1649" spans="1:19" x14ac:dyDescent="0.25">
      <c r="A1649" t="s">
        <v>5252</v>
      </c>
      <c r="B1649" t="s">
        <v>5253</v>
      </c>
      <c r="C1649" t="s">
        <v>16179</v>
      </c>
      <c r="D1649" t="s">
        <v>2820</v>
      </c>
      <c r="E1649">
        <v>5857</v>
      </c>
      <c r="F1649" s="3">
        <v>43081</v>
      </c>
      <c r="H1649" t="s">
        <v>15523</v>
      </c>
      <c r="I1649" t="s">
        <v>16180</v>
      </c>
      <c r="K1649" t="e">
        <v>#N/A</v>
      </c>
      <c r="S1649" s="3"/>
    </row>
    <row r="1650" spans="1:19" x14ac:dyDescent="0.25">
      <c r="A1650" t="s">
        <v>5254</v>
      </c>
      <c r="B1650" t="s">
        <v>5255</v>
      </c>
      <c r="C1650" t="s">
        <v>16179</v>
      </c>
      <c r="D1650" t="s">
        <v>2820</v>
      </c>
      <c r="E1650">
        <v>5858</v>
      </c>
      <c r="F1650" s="3">
        <v>43078</v>
      </c>
      <c r="H1650" t="s">
        <v>15523</v>
      </c>
      <c r="I1650" t="s">
        <v>16180</v>
      </c>
      <c r="K1650" t="e">
        <v>#N/A</v>
      </c>
      <c r="S1650" s="3"/>
    </row>
    <row r="1651" spans="1:19" x14ac:dyDescent="0.25">
      <c r="A1651" t="s">
        <v>5256</v>
      </c>
      <c r="B1651" t="s">
        <v>5257</v>
      </c>
      <c r="C1651" t="s">
        <v>16179</v>
      </c>
      <c r="D1651" t="s">
        <v>2820</v>
      </c>
      <c r="E1651">
        <v>5859</v>
      </c>
      <c r="F1651" s="3">
        <v>43078</v>
      </c>
      <c r="H1651" t="s">
        <v>15523</v>
      </c>
      <c r="I1651" t="s">
        <v>16180</v>
      </c>
      <c r="K1651" t="e">
        <v>#N/A</v>
      </c>
      <c r="S1651" s="3"/>
    </row>
    <row r="1652" spans="1:19" x14ac:dyDescent="0.25">
      <c r="A1652" t="s">
        <v>5258</v>
      </c>
      <c r="B1652" t="s">
        <v>5259</v>
      </c>
      <c r="C1652" t="s">
        <v>16179</v>
      </c>
      <c r="D1652" t="s">
        <v>2820</v>
      </c>
      <c r="E1652">
        <v>5860</v>
      </c>
      <c r="F1652" s="3">
        <v>43078</v>
      </c>
      <c r="H1652" t="s">
        <v>15523</v>
      </c>
      <c r="I1652" t="s">
        <v>16180</v>
      </c>
      <c r="K1652" t="e">
        <v>#N/A</v>
      </c>
      <c r="S1652" s="3"/>
    </row>
    <row r="1653" spans="1:19" x14ac:dyDescent="0.25">
      <c r="A1653" t="s">
        <v>5260</v>
      </c>
      <c r="B1653" t="s">
        <v>5261</v>
      </c>
      <c r="C1653" t="s">
        <v>16179</v>
      </c>
      <c r="D1653" t="s">
        <v>2820</v>
      </c>
      <c r="E1653">
        <v>5861</v>
      </c>
      <c r="F1653" s="3">
        <v>43078</v>
      </c>
      <c r="H1653" t="s">
        <v>15523</v>
      </c>
      <c r="I1653" t="s">
        <v>16180</v>
      </c>
      <c r="K1653" t="e">
        <v>#N/A</v>
      </c>
      <c r="S1653" s="3"/>
    </row>
    <row r="1654" spans="1:19" x14ac:dyDescent="0.25">
      <c r="A1654" t="s">
        <v>5262</v>
      </c>
      <c r="B1654" t="s">
        <v>5263</v>
      </c>
      <c r="C1654" t="s">
        <v>5264</v>
      </c>
      <c r="D1654" t="s">
        <v>23</v>
      </c>
      <c r="E1654">
        <v>3945</v>
      </c>
      <c r="F1654" s="3">
        <v>40702</v>
      </c>
      <c r="H1654" t="s">
        <v>15523</v>
      </c>
      <c r="I1654" t="s">
        <v>16847</v>
      </c>
      <c r="K1654" t="e">
        <v>#N/A</v>
      </c>
      <c r="S1654" s="3"/>
    </row>
    <row r="1655" spans="1:19" x14ac:dyDescent="0.25">
      <c r="A1655" t="s">
        <v>5265</v>
      </c>
      <c r="B1655" t="s">
        <v>5266</v>
      </c>
      <c r="C1655" t="s">
        <v>5267</v>
      </c>
      <c r="D1655" t="s">
        <v>23</v>
      </c>
      <c r="E1655">
        <v>3947</v>
      </c>
      <c r="F1655" s="3">
        <v>40702</v>
      </c>
      <c r="H1655" t="s">
        <v>15523</v>
      </c>
      <c r="I1655" t="s">
        <v>16848</v>
      </c>
      <c r="K1655" t="e">
        <v>#N/A</v>
      </c>
      <c r="S1655" s="3"/>
    </row>
    <row r="1656" spans="1:19" x14ac:dyDescent="0.25">
      <c r="A1656" t="s">
        <v>5268</v>
      </c>
      <c r="B1656" t="s">
        <v>5269</v>
      </c>
      <c r="C1656" t="s">
        <v>16179</v>
      </c>
      <c r="D1656" t="s">
        <v>47</v>
      </c>
      <c r="E1656">
        <v>3686</v>
      </c>
      <c r="F1656" s="3">
        <v>40702</v>
      </c>
      <c r="H1656" t="s">
        <v>15523</v>
      </c>
      <c r="I1656" t="s">
        <v>16180</v>
      </c>
      <c r="K1656" t="e">
        <v>#N/A</v>
      </c>
      <c r="S1656" s="3"/>
    </row>
    <row r="1657" spans="1:19" x14ac:dyDescent="0.25">
      <c r="A1657" t="s">
        <v>5270</v>
      </c>
      <c r="B1657" t="s">
        <v>5271</v>
      </c>
      <c r="C1657" t="s">
        <v>16179</v>
      </c>
      <c r="D1657" t="s">
        <v>47</v>
      </c>
      <c r="E1657">
        <v>872</v>
      </c>
      <c r="F1657" s="3">
        <v>40702</v>
      </c>
      <c r="H1657" t="s">
        <v>15523</v>
      </c>
      <c r="I1657" t="s">
        <v>16180</v>
      </c>
      <c r="K1657" t="e">
        <v>#N/A</v>
      </c>
      <c r="S1657" s="3"/>
    </row>
    <row r="1658" spans="1:19" x14ac:dyDescent="0.25">
      <c r="A1658" t="s">
        <v>5272</v>
      </c>
      <c r="B1658" t="s">
        <v>5273</v>
      </c>
      <c r="C1658" t="s">
        <v>16179</v>
      </c>
      <c r="D1658" t="s">
        <v>47</v>
      </c>
      <c r="E1658">
        <v>3724</v>
      </c>
      <c r="F1658" s="3">
        <v>40782</v>
      </c>
      <c r="H1658" t="s">
        <v>15523</v>
      </c>
      <c r="I1658" t="s">
        <v>16180</v>
      </c>
      <c r="K1658" t="e">
        <v>#N/A</v>
      </c>
      <c r="S1658" s="3"/>
    </row>
    <row r="1659" spans="1:19" x14ac:dyDescent="0.25">
      <c r="A1659" t="s">
        <v>5274</v>
      </c>
      <c r="B1659" t="s">
        <v>5275</v>
      </c>
      <c r="C1659" t="s">
        <v>16179</v>
      </c>
      <c r="D1659" t="s">
        <v>47</v>
      </c>
      <c r="E1659">
        <v>3744</v>
      </c>
      <c r="F1659" s="3">
        <v>40782</v>
      </c>
      <c r="H1659" t="s">
        <v>15523</v>
      </c>
      <c r="I1659" t="s">
        <v>16180</v>
      </c>
      <c r="K1659" t="e">
        <v>#N/A</v>
      </c>
      <c r="S1659" s="3"/>
    </row>
    <row r="1660" spans="1:19" x14ac:dyDescent="0.25">
      <c r="A1660" t="s">
        <v>5276</v>
      </c>
      <c r="B1660" t="s">
        <v>5277</v>
      </c>
      <c r="C1660" t="s">
        <v>5278</v>
      </c>
      <c r="D1660" t="s">
        <v>23</v>
      </c>
      <c r="E1660">
        <v>5997</v>
      </c>
      <c r="F1660" s="3">
        <v>43470</v>
      </c>
      <c r="H1660" t="s">
        <v>15523</v>
      </c>
      <c r="I1660" t="s">
        <v>16849</v>
      </c>
      <c r="K1660" t="e">
        <v>#N/A</v>
      </c>
      <c r="S1660" s="3"/>
    </row>
    <row r="1661" spans="1:19" x14ac:dyDescent="0.25">
      <c r="A1661" t="s">
        <v>5279</v>
      </c>
      <c r="B1661" t="s">
        <v>5280</v>
      </c>
      <c r="C1661" t="s">
        <v>16179</v>
      </c>
      <c r="D1661" t="s">
        <v>47</v>
      </c>
      <c r="E1661">
        <v>3785</v>
      </c>
      <c r="F1661" s="3">
        <v>41940</v>
      </c>
      <c r="H1661" t="s">
        <v>15523</v>
      </c>
      <c r="I1661" t="s">
        <v>16180</v>
      </c>
      <c r="K1661" t="e">
        <v>#N/A</v>
      </c>
      <c r="S1661" s="3"/>
    </row>
    <row r="1662" spans="1:19" x14ac:dyDescent="0.25">
      <c r="A1662" t="s">
        <v>5281</v>
      </c>
      <c r="B1662" t="s">
        <v>5282</v>
      </c>
      <c r="C1662" t="s">
        <v>5283</v>
      </c>
      <c r="D1662" t="s">
        <v>23</v>
      </c>
      <c r="E1662">
        <v>2461</v>
      </c>
      <c r="F1662" s="3">
        <v>40702</v>
      </c>
      <c r="H1662" t="s">
        <v>15523</v>
      </c>
      <c r="I1662" t="s">
        <v>16850</v>
      </c>
      <c r="K1662" t="e">
        <v>#N/A</v>
      </c>
      <c r="S1662" s="3"/>
    </row>
    <row r="1663" spans="1:19" x14ac:dyDescent="0.25">
      <c r="A1663" t="s">
        <v>5284</v>
      </c>
      <c r="B1663" t="s">
        <v>5285</v>
      </c>
      <c r="C1663" t="s">
        <v>16179</v>
      </c>
      <c r="D1663" t="s">
        <v>666</v>
      </c>
      <c r="E1663">
        <v>3788</v>
      </c>
      <c r="F1663" s="3">
        <v>40781</v>
      </c>
      <c r="H1663" t="s">
        <v>15523</v>
      </c>
      <c r="I1663" t="s">
        <v>16180</v>
      </c>
      <c r="K1663" t="e">
        <v>#N/A</v>
      </c>
      <c r="S1663" s="3"/>
    </row>
    <row r="1664" spans="1:19" x14ac:dyDescent="0.25">
      <c r="A1664" t="s">
        <v>5286</v>
      </c>
      <c r="B1664" t="s">
        <v>5287</v>
      </c>
      <c r="C1664" t="s">
        <v>16179</v>
      </c>
      <c r="D1664" t="s">
        <v>666</v>
      </c>
      <c r="E1664">
        <v>6050</v>
      </c>
      <c r="F1664" s="3">
        <v>43767</v>
      </c>
      <c r="H1664" t="s">
        <v>15523</v>
      </c>
      <c r="I1664" t="s">
        <v>16180</v>
      </c>
      <c r="K1664" t="e">
        <v>#N/A</v>
      </c>
      <c r="S1664" s="3"/>
    </row>
    <row r="1665" spans="1:19" x14ac:dyDescent="0.25">
      <c r="A1665" t="s">
        <v>5288</v>
      </c>
      <c r="B1665" t="s">
        <v>5289</v>
      </c>
      <c r="C1665" t="s">
        <v>16179</v>
      </c>
      <c r="D1665" t="s">
        <v>666</v>
      </c>
      <c r="E1665">
        <v>5277</v>
      </c>
      <c r="F1665" s="3">
        <v>42068</v>
      </c>
      <c r="H1665" t="s">
        <v>15523</v>
      </c>
      <c r="I1665" t="s">
        <v>16180</v>
      </c>
      <c r="K1665" t="e">
        <v>#N/A</v>
      </c>
      <c r="S1665" s="3"/>
    </row>
    <row r="1666" spans="1:19" x14ac:dyDescent="0.25">
      <c r="A1666" t="s">
        <v>194</v>
      </c>
      <c r="B1666" t="s">
        <v>196</v>
      </c>
      <c r="C1666" t="s">
        <v>197</v>
      </c>
      <c r="D1666" t="s">
        <v>23</v>
      </c>
      <c r="E1666">
        <v>3930</v>
      </c>
      <c r="F1666" s="3">
        <v>40915</v>
      </c>
      <c r="H1666" t="s">
        <v>15523</v>
      </c>
      <c r="I1666" t="s">
        <v>16851</v>
      </c>
      <c r="K1666">
        <v>54</v>
      </c>
      <c r="S1666" s="3"/>
    </row>
    <row r="1667" spans="1:19" x14ac:dyDescent="0.25">
      <c r="A1667" t="s">
        <v>5290</v>
      </c>
      <c r="B1667" t="s">
        <v>5291</v>
      </c>
      <c r="C1667" t="s">
        <v>5292</v>
      </c>
      <c r="D1667" t="s">
        <v>23</v>
      </c>
      <c r="E1667">
        <v>6027</v>
      </c>
      <c r="F1667" s="3">
        <v>43539</v>
      </c>
      <c r="H1667" t="s">
        <v>15523</v>
      </c>
      <c r="I1667" t="s">
        <v>16852</v>
      </c>
      <c r="K1667" t="e">
        <v>#N/A</v>
      </c>
      <c r="S1667" s="3"/>
    </row>
    <row r="1668" spans="1:19" x14ac:dyDescent="0.25">
      <c r="A1668" t="s">
        <v>469</v>
      </c>
      <c r="B1668" t="s">
        <v>472</v>
      </c>
      <c r="C1668" t="s">
        <v>473</v>
      </c>
      <c r="D1668" t="s">
        <v>23</v>
      </c>
      <c r="E1668">
        <v>3936</v>
      </c>
      <c r="F1668" s="3">
        <v>43560</v>
      </c>
      <c r="H1668" t="s">
        <v>15523</v>
      </c>
      <c r="I1668" t="s">
        <v>16853</v>
      </c>
      <c r="K1668">
        <v>124</v>
      </c>
      <c r="S1668" s="3"/>
    </row>
    <row r="1669" spans="1:19" x14ac:dyDescent="0.25">
      <c r="A1669" t="s">
        <v>502</v>
      </c>
      <c r="B1669" t="s">
        <v>504</v>
      </c>
      <c r="C1669" t="s">
        <v>505</v>
      </c>
      <c r="D1669" t="s">
        <v>23</v>
      </c>
      <c r="E1669">
        <v>1097</v>
      </c>
      <c r="F1669" s="3">
        <v>40702</v>
      </c>
      <c r="H1669" t="s">
        <v>15523</v>
      </c>
      <c r="I1669" t="s">
        <v>16854</v>
      </c>
      <c r="K1669">
        <v>132</v>
      </c>
      <c r="S1669" s="3"/>
    </row>
    <row r="1670" spans="1:19" x14ac:dyDescent="0.25">
      <c r="A1670" t="s">
        <v>5293</v>
      </c>
      <c r="B1670" t="s">
        <v>5294</v>
      </c>
      <c r="C1670" t="s">
        <v>5295</v>
      </c>
      <c r="D1670" t="s">
        <v>23</v>
      </c>
      <c r="E1670">
        <v>3940</v>
      </c>
      <c r="F1670" s="3">
        <v>40702</v>
      </c>
      <c r="H1670" t="s">
        <v>15523</v>
      </c>
      <c r="I1670" t="s">
        <v>16855</v>
      </c>
      <c r="K1670" t="e">
        <v>#N/A</v>
      </c>
      <c r="S1670" s="3"/>
    </row>
    <row r="1671" spans="1:19" x14ac:dyDescent="0.25">
      <c r="A1671" t="s">
        <v>5296</v>
      </c>
      <c r="B1671" t="s">
        <v>5297</v>
      </c>
      <c r="C1671" t="s">
        <v>16179</v>
      </c>
      <c r="D1671" t="s">
        <v>47</v>
      </c>
      <c r="E1671">
        <v>3746</v>
      </c>
      <c r="F1671" s="3">
        <v>41852</v>
      </c>
      <c r="H1671" t="s">
        <v>15523</v>
      </c>
      <c r="I1671" t="s">
        <v>16180</v>
      </c>
      <c r="K1671" t="e">
        <v>#N/A</v>
      </c>
      <c r="S1671" s="3"/>
    </row>
    <row r="1672" spans="1:19" x14ac:dyDescent="0.25">
      <c r="A1672" t="s">
        <v>5298</v>
      </c>
      <c r="B1672" t="s">
        <v>5299</v>
      </c>
      <c r="C1672" t="s">
        <v>16179</v>
      </c>
      <c r="D1672" t="s">
        <v>47</v>
      </c>
      <c r="E1672">
        <v>5104</v>
      </c>
      <c r="F1672" s="3">
        <v>41851</v>
      </c>
      <c r="H1672" t="s">
        <v>15523</v>
      </c>
      <c r="I1672" t="s">
        <v>16180</v>
      </c>
      <c r="K1672" t="e">
        <v>#N/A</v>
      </c>
      <c r="S1672" s="3"/>
    </row>
    <row r="1673" spans="1:19" x14ac:dyDescent="0.25">
      <c r="A1673" t="s">
        <v>449</v>
      </c>
      <c r="B1673" t="s">
        <v>451</v>
      </c>
      <c r="C1673" t="s">
        <v>452</v>
      </c>
      <c r="D1673" t="s">
        <v>23</v>
      </c>
      <c r="E1673">
        <v>3946</v>
      </c>
      <c r="F1673" s="3">
        <v>40702</v>
      </c>
      <c r="H1673" t="s">
        <v>15523</v>
      </c>
      <c r="I1673" t="s">
        <v>16856</v>
      </c>
      <c r="K1673">
        <v>119</v>
      </c>
      <c r="S1673" s="3"/>
    </row>
    <row r="1674" spans="1:19" x14ac:dyDescent="0.25">
      <c r="A1674" t="s">
        <v>5300</v>
      </c>
      <c r="B1674" t="s">
        <v>5301</v>
      </c>
      <c r="C1674" t="s">
        <v>5302</v>
      </c>
      <c r="D1674" t="s">
        <v>23</v>
      </c>
      <c r="E1674">
        <v>3951</v>
      </c>
      <c r="F1674" s="3">
        <v>41230</v>
      </c>
      <c r="H1674" t="s">
        <v>15523</v>
      </c>
      <c r="I1674" t="s">
        <v>16857</v>
      </c>
      <c r="K1674" t="e">
        <v>#N/A</v>
      </c>
      <c r="S1674" s="3"/>
    </row>
    <row r="1675" spans="1:19" x14ac:dyDescent="0.25">
      <c r="A1675" t="s">
        <v>5303</v>
      </c>
      <c r="B1675" t="s">
        <v>5304</v>
      </c>
      <c r="C1675" t="s">
        <v>5305</v>
      </c>
      <c r="D1675" t="s">
        <v>23</v>
      </c>
      <c r="E1675">
        <v>853</v>
      </c>
      <c r="F1675" s="3">
        <v>40702</v>
      </c>
      <c r="H1675" t="s">
        <v>15523</v>
      </c>
      <c r="I1675" t="s">
        <v>16858</v>
      </c>
      <c r="K1675" t="e">
        <v>#N/A</v>
      </c>
      <c r="S1675" s="3"/>
    </row>
    <row r="1676" spans="1:19" x14ac:dyDescent="0.25">
      <c r="A1676" t="s">
        <v>5306</v>
      </c>
      <c r="B1676" t="s">
        <v>5307</v>
      </c>
      <c r="C1676" t="s">
        <v>5308</v>
      </c>
      <c r="D1676" t="s">
        <v>23</v>
      </c>
      <c r="E1676">
        <v>5182</v>
      </c>
      <c r="F1676" s="3">
        <v>42035</v>
      </c>
      <c r="H1676" t="s">
        <v>15523</v>
      </c>
      <c r="I1676" t="s">
        <v>16859</v>
      </c>
      <c r="K1676" t="e">
        <v>#N/A</v>
      </c>
      <c r="S1676" s="3"/>
    </row>
    <row r="1677" spans="1:19" x14ac:dyDescent="0.25">
      <c r="A1677" t="s">
        <v>5309</v>
      </c>
      <c r="B1677" t="s">
        <v>5310</v>
      </c>
      <c r="C1677" t="s">
        <v>5311</v>
      </c>
      <c r="D1677" t="s">
        <v>23</v>
      </c>
      <c r="E1677">
        <v>5205</v>
      </c>
      <c r="F1677" s="3">
        <v>42035</v>
      </c>
      <c r="H1677" t="s">
        <v>15523</v>
      </c>
      <c r="I1677" t="s">
        <v>16860</v>
      </c>
      <c r="K1677" t="e">
        <v>#N/A</v>
      </c>
      <c r="S1677" s="3"/>
    </row>
    <row r="1678" spans="1:19" x14ac:dyDescent="0.25">
      <c r="A1678" t="s">
        <v>614</v>
      </c>
      <c r="B1678" t="s">
        <v>616</v>
      </c>
      <c r="C1678" t="s">
        <v>617</v>
      </c>
      <c r="D1678" t="s">
        <v>23</v>
      </c>
      <c r="E1678">
        <v>3953</v>
      </c>
      <c r="F1678" s="3">
        <v>40915</v>
      </c>
      <c r="H1678" t="s">
        <v>15523</v>
      </c>
      <c r="I1678" t="s">
        <v>16861</v>
      </c>
      <c r="K1678">
        <v>160</v>
      </c>
      <c r="S1678" s="3"/>
    </row>
    <row r="1679" spans="1:19" x14ac:dyDescent="0.25">
      <c r="A1679" t="s">
        <v>5312</v>
      </c>
      <c r="B1679" t="s">
        <v>5313</v>
      </c>
      <c r="C1679" t="s">
        <v>5314</v>
      </c>
      <c r="D1679" t="s">
        <v>23</v>
      </c>
      <c r="E1679">
        <v>5270</v>
      </c>
      <c r="F1679" s="3">
        <v>42054</v>
      </c>
      <c r="H1679" t="s">
        <v>15523</v>
      </c>
      <c r="I1679" t="s">
        <v>16862</v>
      </c>
      <c r="K1679" t="e">
        <v>#N/A</v>
      </c>
      <c r="S1679" s="3"/>
    </row>
    <row r="1680" spans="1:19" x14ac:dyDescent="0.25">
      <c r="A1680" t="s">
        <v>5315</v>
      </c>
      <c r="B1680" t="s">
        <v>5316</v>
      </c>
      <c r="C1680" t="s">
        <v>5317</v>
      </c>
      <c r="D1680" t="s">
        <v>23</v>
      </c>
      <c r="E1680">
        <v>3955</v>
      </c>
      <c r="F1680" s="3">
        <v>40702</v>
      </c>
      <c r="H1680" t="s">
        <v>15523</v>
      </c>
      <c r="I1680" t="s">
        <v>16863</v>
      </c>
      <c r="K1680" t="e">
        <v>#N/A</v>
      </c>
      <c r="S1680" s="3"/>
    </row>
    <row r="1681" spans="1:19" x14ac:dyDescent="0.25">
      <c r="A1681" t="s">
        <v>5318</v>
      </c>
      <c r="B1681" t="s">
        <v>5319</v>
      </c>
      <c r="C1681" t="s">
        <v>5320</v>
      </c>
      <c r="D1681" t="s">
        <v>23</v>
      </c>
      <c r="E1681">
        <v>3956</v>
      </c>
      <c r="F1681" s="3">
        <v>40985</v>
      </c>
      <c r="H1681" t="s">
        <v>15523</v>
      </c>
      <c r="I1681" t="s">
        <v>16864</v>
      </c>
      <c r="K1681" t="e">
        <v>#N/A</v>
      </c>
      <c r="S1681" s="3"/>
    </row>
    <row r="1682" spans="1:19" x14ac:dyDescent="0.25">
      <c r="A1682" t="s">
        <v>5321</v>
      </c>
      <c r="B1682" t="s">
        <v>5322</v>
      </c>
      <c r="C1682" t="s">
        <v>5323</v>
      </c>
      <c r="D1682" t="s">
        <v>23</v>
      </c>
      <c r="E1682">
        <v>5181</v>
      </c>
      <c r="F1682" s="3">
        <v>42035</v>
      </c>
      <c r="H1682" t="s">
        <v>15523</v>
      </c>
      <c r="I1682" t="s">
        <v>16865</v>
      </c>
      <c r="K1682" t="e">
        <v>#N/A</v>
      </c>
      <c r="S1682" s="3"/>
    </row>
    <row r="1683" spans="1:19" x14ac:dyDescent="0.25">
      <c r="A1683" t="s">
        <v>5324</v>
      </c>
      <c r="B1683" t="s">
        <v>5325</v>
      </c>
      <c r="C1683" t="s">
        <v>5326</v>
      </c>
      <c r="D1683" t="s">
        <v>23</v>
      </c>
      <c r="E1683">
        <v>3957</v>
      </c>
      <c r="F1683" s="3">
        <v>40702</v>
      </c>
      <c r="H1683" t="s">
        <v>15523</v>
      </c>
      <c r="I1683" t="s">
        <v>16866</v>
      </c>
      <c r="K1683" t="e">
        <v>#N/A</v>
      </c>
      <c r="S1683" s="3"/>
    </row>
    <row r="1684" spans="1:19" x14ac:dyDescent="0.25">
      <c r="A1684" t="s">
        <v>5327</v>
      </c>
      <c r="B1684" t="s">
        <v>5328</v>
      </c>
      <c r="C1684" t="s">
        <v>5329</v>
      </c>
      <c r="D1684" t="s">
        <v>23</v>
      </c>
      <c r="E1684">
        <v>5536</v>
      </c>
      <c r="F1684" s="3">
        <v>42357</v>
      </c>
      <c r="H1684" t="s">
        <v>15523</v>
      </c>
      <c r="I1684" t="s">
        <v>16867</v>
      </c>
      <c r="K1684" t="e">
        <v>#N/A</v>
      </c>
      <c r="S1684" s="3"/>
    </row>
    <row r="1685" spans="1:19" x14ac:dyDescent="0.25">
      <c r="A1685" t="s">
        <v>5330</v>
      </c>
      <c r="B1685" t="s">
        <v>5331</v>
      </c>
      <c r="C1685" t="s">
        <v>5332</v>
      </c>
      <c r="D1685" t="s">
        <v>23</v>
      </c>
      <c r="E1685">
        <v>5827</v>
      </c>
      <c r="F1685" s="3">
        <v>42991</v>
      </c>
      <c r="H1685" t="s">
        <v>15523</v>
      </c>
      <c r="I1685" t="s">
        <v>16868</v>
      </c>
      <c r="K1685" t="e">
        <v>#N/A</v>
      </c>
      <c r="S1685" s="3"/>
    </row>
    <row r="1686" spans="1:19" x14ac:dyDescent="0.25">
      <c r="A1686" t="s">
        <v>5333</v>
      </c>
      <c r="B1686" t="s">
        <v>5334</v>
      </c>
      <c r="C1686" t="s">
        <v>5335</v>
      </c>
      <c r="D1686" t="s">
        <v>23</v>
      </c>
      <c r="E1686">
        <v>865</v>
      </c>
      <c r="F1686" s="3">
        <v>40702</v>
      </c>
      <c r="H1686" t="s">
        <v>15523</v>
      </c>
      <c r="I1686" t="s">
        <v>16869</v>
      </c>
      <c r="K1686" t="e">
        <v>#N/A</v>
      </c>
      <c r="S1686" s="3"/>
    </row>
    <row r="1687" spans="1:19" x14ac:dyDescent="0.25">
      <c r="A1687" t="s">
        <v>5336</v>
      </c>
      <c r="B1687" t="s">
        <v>5337</v>
      </c>
      <c r="C1687" t="s">
        <v>5338</v>
      </c>
      <c r="D1687" t="s">
        <v>23</v>
      </c>
      <c r="E1687">
        <v>3960</v>
      </c>
      <c r="F1687" s="3">
        <v>40702</v>
      </c>
      <c r="H1687" t="s">
        <v>15523</v>
      </c>
      <c r="I1687" t="s">
        <v>16870</v>
      </c>
      <c r="K1687" t="e">
        <v>#N/A</v>
      </c>
      <c r="S1687" s="3"/>
    </row>
    <row r="1688" spans="1:19" x14ac:dyDescent="0.25">
      <c r="A1688" t="s">
        <v>5339</v>
      </c>
      <c r="B1688" t="s">
        <v>5340</v>
      </c>
      <c r="C1688" t="s">
        <v>5341</v>
      </c>
      <c r="D1688" t="s">
        <v>23</v>
      </c>
      <c r="E1688">
        <v>5332</v>
      </c>
      <c r="F1688" s="3">
        <v>42231</v>
      </c>
      <c r="H1688" t="s">
        <v>15523</v>
      </c>
      <c r="I1688" t="s">
        <v>16871</v>
      </c>
      <c r="K1688" t="e">
        <v>#N/A</v>
      </c>
      <c r="S1688" s="3"/>
    </row>
    <row r="1689" spans="1:19" x14ac:dyDescent="0.25">
      <c r="A1689" t="s">
        <v>5342</v>
      </c>
      <c r="B1689" t="s">
        <v>5343</v>
      </c>
      <c r="C1689" t="s">
        <v>5344</v>
      </c>
      <c r="D1689" t="s">
        <v>23</v>
      </c>
      <c r="E1689">
        <v>2146</v>
      </c>
      <c r="F1689" s="3">
        <v>40703</v>
      </c>
      <c r="H1689" t="s">
        <v>15523</v>
      </c>
      <c r="I1689" t="s">
        <v>16872</v>
      </c>
      <c r="K1689" t="e">
        <v>#N/A</v>
      </c>
      <c r="S1689" s="3"/>
    </row>
    <row r="1690" spans="1:19" x14ac:dyDescent="0.25">
      <c r="A1690" t="s">
        <v>5345</v>
      </c>
      <c r="B1690" t="s">
        <v>5346</v>
      </c>
      <c r="C1690" t="s">
        <v>5347</v>
      </c>
      <c r="D1690" t="s">
        <v>23</v>
      </c>
      <c r="E1690">
        <v>3959</v>
      </c>
      <c r="F1690" s="3">
        <v>40702</v>
      </c>
      <c r="H1690" t="s">
        <v>15523</v>
      </c>
      <c r="I1690" t="s">
        <v>16873</v>
      </c>
      <c r="K1690" t="e">
        <v>#N/A</v>
      </c>
      <c r="S1690" s="3"/>
    </row>
    <row r="1691" spans="1:19" x14ac:dyDescent="0.25">
      <c r="A1691" t="s">
        <v>5348</v>
      </c>
      <c r="B1691" t="s">
        <v>5349</v>
      </c>
      <c r="C1691" t="s">
        <v>5350</v>
      </c>
      <c r="D1691" t="s">
        <v>23</v>
      </c>
      <c r="E1691">
        <v>3961</v>
      </c>
      <c r="F1691" s="3">
        <v>40702</v>
      </c>
      <c r="H1691" t="s">
        <v>15523</v>
      </c>
      <c r="I1691" t="s">
        <v>16874</v>
      </c>
      <c r="K1691" t="e">
        <v>#N/A</v>
      </c>
      <c r="S1691" s="3"/>
    </row>
    <row r="1692" spans="1:19" x14ac:dyDescent="0.25">
      <c r="A1692" t="s">
        <v>5351</v>
      </c>
      <c r="B1692" t="s">
        <v>5352</v>
      </c>
      <c r="C1692" t="s">
        <v>5353</v>
      </c>
      <c r="D1692" t="s">
        <v>23</v>
      </c>
      <c r="E1692">
        <v>3962</v>
      </c>
      <c r="F1692" s="3">
        <v>40702</v>
      </c>
      <c r="H1692" t="s">
        <v>15523</v>
      </c>
      <c r="I1692" t="s">
        <v>16875</v>
      </c>
      <c r="K1692" t="e">
        <v>#N/A</v>
      </c>
      <c r="S1692" s="3"/>
    </row>
    <row r="1693" spans="1:19" x14ac:dyDescent="0.25">
      <c r="A1693" t="s">
        <v>5354</v>
      </c>
      <c r="B1693" t="s">
        <v>5355</v>
      </c>
      <c r="C1693" t="s">
        <v>5356</v>
      </c>
      <c r="D1693" t="s">
        <v>23</v>
      </c>
      <c r="E1693">
        <v>871</v>
      </c>
      <c r="F1693" s="3">
        <v>40702</v>
      </c>
      <c r="H1693" t="s">
        <v>15523</v>
      </c>
      <c r="I1693" t="s">
        <v>16876</v>
      </c>
      <c r="K1693" t="e">
        <v>#N/A</v>
      </c>
      <c r="S1693" s="3"/>
    </row>
    <row r="1694" spans="1:19" x14ac:dyDescent="0.25">
      <c r="A1694" t="s">
        <v>394</v>
      </c>
      <c r="B1694" t="s">
        <v>396</v>
      </c>
      <c r="C1694" t="s">
        <v>397</v>
      </c>
      <c r="D1694" t="s">
        <v>23</v>
      </c>
      <c r="E1694">
        <v>916</v>
      </c>
      <c r="F1694" s="3">
        <v>40787</v>
      </c>
      <c r="H1694" t="s">
        <v>15523</v>
      </c>
      <c r="I1694" t="s">
        <v>16877</v>
      </c>
      <c r="K1694">
        <v>105</v>
      </c>
      <c r="S1694" s="3"/>
    </row>
    <row r="1695" spans="1:19" x14ac:dyDescent="0.25">
      <c r="A1695" t="s">
        <v>5357</v>
      </c>
      <c r="B1695" t="s">
        <v>5358</v>
      </c>
      <c r="C1695" t="s">
        <v>16179</v>
      </c>
      <c r="D1695" t="s">
        <v>47</v>
      </c>
      <c r="E1695">
        <v>3749</v>
      </c>
      <c r="F1695" s="3">
        <v>40702</v>
      </c>
      <c r="H1695" t="s">
        <v>15523</v>
      </c>
      <c r="I1695" t="s">
        <v>16180</v>
      </c>
      <c r="K1695" t="e">
        <v>#N/A</v>
      </c>
      <c r="S1695" s="3"/>
    </row>
    <row r="1696" spans="1:19" x14ac:dyDescent="0.25">
      <c r="A1696" t="s">
        <v>5359</v>
      </c>
      <c r="B1696" t="s">
        <v>5360</v>
      </c>
      <c r="C1696" t="s">
        <v>5361</v>
      </c>
      <c r="D1696" t="s">
        <v>23</v>
      </c>
      <c r="E1696">
        <v>3968</v>
      </c>
      <c r="F1696" s="3">
        <v>40702</v>
      </c>
      <c r="H1696" t="s">
        <v>15523</v>
      </c>
      <c r="I1696" t="s">
        <v>16878</v>
      </c>
      <c r="K1696" t="e">
        <v>#N/A</v>
      </c>
      <c r="S1696" s="3"/>
    </row>
    <row r="1697" spans="1:19" x14ac:dyDescent="0.25">
      <c r="A1697" t="s">
        <v>5362</v>
      </c>
      <c r="B1697" t="s">
        <v>5363</v>
      </c>
      <c r="C1697" t="s">
        <v>5364</v>
      </c>
      <c r="D1697" t="s">
        <v>23</v>
      </c>
      <c r="E1697">
        <v>3969</v>
      </c>
      <c r="F1697" s="3">
        <v>40702</v>
      </c>
      <c r="H1697" t="s">
        <v>15523</v>
      </c>
      <c r="I1697" t="s">
        <v>16879</v>
      </c>
      <c r="K1697" t="e">
        <v>#N/A</v>
      </c>
      <c r="S1697" s="3"/>
    </row>
    <row r="1698" spans="1:19" x14ac:dyDescent="0.25">
      <c r="A1698" t="s">
        <v>5365</v>
      </c>
      <c r="B1698" t="s">
        <v>5366</v>
      </c>
      <c r="C1698" t="s">
        <v>5367</v>
      </c>
      <c r="D1698" t="s">
        <v>23</v>
      </c>
      <c r="E1698">
        <v>3970</v>
      </c>
      <c r="F1698" s="3">
        <v>40702</v>
      </c>
      <c r="H1698" t="s">
        <v>15523</v>
      </c>
      <c r="I1698" t="s">
        <v>16880</v>
      </c>
      <c r="K1698" t="e">
        <v>#N/A</v>
      </c>
      <c r="S1698" s="3"/>
    </row>
    <row r="1699" spans="1:19" x14ac:dyDescent="0.25">
      <c r="A1699" t="s">
        <v>5368</v>
      </c>
      <c r="B1699" t="s">
        <v>5369</v>
      </c>
      <c r="C1699" t="s">
        <v>5370</v>
      </c>
      <c r="D1699" t="s">
        <v>23</v>
      </c>
      <c r="E1699">
        <v>3971</v>
      </c>
      <c r="F1699" s="3">
        <v>40787</v>
      </c>
      <c r="H1699" t="s">
        <v>15523</v>
      </c>
      <c r="I1699" t="s">
        <v>16881</v>
      </c>
      <c r="K1699" t="e">
        <v>#N/A</v>
      </c>
      <c r="S1699" s="3"/>
    </row>
    <row r="1700" spans="1:19" x14ac:dyDescent="0.25">
      <c r="A1700" t="s">
        <v>5371</v>
      </c>
      <c r="B1700" t="s">
        <v>5372</v>
      </c>
      <c r="C1700" t="s">
        <v>5373</v>
      </c>
      <c r="D1700" t="s">
        <v>23</v>
      </c>
      <c r="E1700">
        <v>3972</v>
      </c>
      <c r="F1700" s="3">
        <v>40787</v>
      </c>
      <c r="H1700" t="s">
        <v>15523</v>
      </c>
      <c r="I1700" t="s">
        <v>16882</v>
      </c>
      <c r="K1700" t="e">
        <v>#N/A</v>
      </c>
      <c r="S1700" s="3"/>
    </row>
    <row r="1701" spans="1:19" x14ac:dyDescent="0.25">
      <c r="A1701" t="s">
        <v>5374</v>
      </c>
      <c r="B1701" t="s">
        <v>5375</v>
      </c>
      <c r="C1701" t="s">
        <v>5376</v>
      </c>
      <c r="D1701" t="s">
        <v>23</v>
      </c>
      <c r="E1701">
        <v>3974</v>
      </c>
      <c r="F1701" s="3">
        <v>40702</v>
      </c>
      <c r="H1701" t="s">
        <v>15523</v>
      </c>
      <c r="I1701" t="s">
        <v>16883</v>
      </c>
      <c r="K1701" t="e">
        <v>#N/A</v>
      </c>
      <c r="S1701" s="3"/>
    </row>
    <row r="1702" spans="1:19" x14ac:dyDescent="0.25">
      <c r="A1702" t="s">
        <v>5377</v>
      </c>
      <c r="B1702" t="s">
        <v>5378</v>
      </c>
      <c r="C1702" t="s">
        <v>16179</v>
      </c>
      <c r="D1702" t="s">
        <v>2779</v>
      </c>
      <c r="E1702">
        <v>3791</v>
      </c>
      <c r="F1702" s="3">
        <v>40783</v>
      </c>
      <c r="H1702" t="s">
        <v>15523</v>
      </c>
      <c r="I1702" t="s">
        <v>16180</v>
      </c>
      <c r="K1702" t="e">
        <v>#N/A</v>
      </c>
      <c r="S1702" s="3"/>
    </row>
    <row r="1703" spans="1:19" x14ac:dyDescent="0.25">
      <c r="A1703" t="s">
        <v>5379</v>
      </c>
      <c r="B1703" t="s">
        <v>5380</v>
      </c>
      <c r="C1703" t="s">
        <v>16179</v>
      </c>
      <c r="D1703" t="s">
        <v>666</v>
      </c>
      <c r="E1703">
        <v>3834</v>
      </c>
      <c r="F1703" s="3">
        <v>40934</v>
      </c>
      <c r="H1703" t="s">
        <v>15523</v>
      </c>
      <c r="I1703" t="s">
        <v>16180</v>
      </c>
      <c r="K1703" t="e">
        <v>#N/A</v>
      </c>
      <c r="S1703" s="3"/>
    </row>
    <row r="1704" spans="1:19" x14ac:dyDescent="0.25">
      <c r="A1704" t="s">
        <v>5381</v>
      </c>
      <c r="B1704" t="s">
        <v>5382</v>
      </c>
      <c r="C1704" t="s">
        <v>16179</v>
      </c>
      <c r="D1704" t="s">
        <v>666</v>
      </c>
      <c r="E1704">
        <v>3839</v>
      </c>
      <c r="F1704" s="3">
        <v>40781</v>
      </c>
      <c r="H1704" t="s">
        <v>15523</v>
      </c>
      <c r="I1704" t="s">
        <v>16180</v>
      </c>
      <c r="K1704" t="e">
        <v>#N/A</v>
      </c>
      <c r="S1704" s="3"/>
    </row>
    <row r="1705" spans="1:19" x14ac:dyDescent="0.25">
      <c r="A1705" t="s">
        <v>5383</v>
      </c>
      <c r="B1705" t="s">
        <v>5384</v>
      </c>
      <c r="C1705" t="s">
        <v>16179</v>
      </c>
      <c r="D1705" t="s">
        <v>2820</v>
      </c>
      <c r="E1705">
        <v>5328</v>
      </c>
      <c r="F1705" s="3">
        <v>42269</v>
      </c>
      <c r="H1705" t="s">
        <v>15523</v>
      </c>
      <c r="I1705" t="s">
        <v>16180</v>
      </c>
      <c r="K1705" t="e">
        <v>#N/A</v>
      </c>
      <c r="S1705" s="3"/>
    </row>
    <row r="1706" spans="1:19" x14ac:dyDescent="0.25">
      <c r="A1706" t="s">
        <v>5385</v>
      </c>
      <c r="B1706" t="s">
        <v>5386</v>
      </c>
      <c r="C1706" t="s">
        <v>16179</v>
      </c>
      <c r="D1706" t="s">
        <v>2820</v>
      </c>
      <c r="E1706">
        <v>3848</v>
      </c>
      <c r="F1706" s="3">
        <v>40702</v>
      </c>
      <c r="H1706" t="s">
        <v>15523</v>
      </c>
      <c r="I1706" t="s">
        <v>16180</v>
      </c>
      <c r="K1706" t="e">
        <v>#N/A</v>
      </c>
      <c r="S1706" s="3"/>
    </row>
    <row r="1707" spans="1:19" x14ac:dyDescent="0.25">
      <c r="A1707" t="s">
        <v>5387</v>
      </c>
      <c r="B1707" t="s">
        <v>5388</v>
      </c>
      <c r="C1707" t="s">
        <v>16179</v>
      </c>
      <c r="D1707" t="s">
        <v>47</v>
      </c>
      <c r="E1707">
        <v>3745</v>
      </c>
      <c r="F1707" s="3">
        <v>40702</v>
      </c>
      <c r="H1707" t="s">
        <v>15523</v>
      </c>
      <c r="I1707" t="s">
        <v>16180</v>
      </c>
      <c r="K1707" t="e">
        <v>#N/A</v>
      </c>
      <c r="S1707" s="3"/>
    </row>
    <row r="1708" spans="1:19" x14ac:dyDescent="0.25">
      <c r="A1708" t="s">
        <v>5389</v>
      </c>
      <c r="B1708" t="s">
        <v>5390</v>
      </c>
      <c r="C1708" t="s">
        <v>16179</v>
      </c>
      <c r="D1708" t="s">
        <v>47</v>
      </c>
      <c r="E1708">
        <v>3748</v>
      </c>
      <c r="F1708" s="3">
        <v>40702</v>
      </c>
      <c r="H1708" t="s">
        <v>15523</v>
      </c>
      <c r="I1708" t="s">
        <v>16180</v>
      </c>
      <c r="K1708" t="e">
        <v>#N/A</v>
      </c>
      <c r="S1708" s="3"/>
    </row>
    <row r="1709" spans="1:19" x14ac:dyDescent="0.25">
      <c r="A1709" t="s">
        <v>5391</v>
      </c>
      <c r="B1709" t="s">
        <v>5392</v>
      </c>
      <c r="C1709" t="s">
        <v>16179</v>
      </c>
      <c r="D1709" t="s">
        <v>2820</v>
      </c>
      <c r="E1709">
        <v>3858</v>
      </c>
      <c r="F1709" s="3">
        <v>40702</v>
      </c>
      <c r="H1709" t="s">
        <v>15523</v>
      </c>
      <c r="I1709" t="s">
        <v>16180</v>
      </c>
      <c r="K1709" t="e">
        <v>#N/A</v>
      </c>
      <c r="S1709" s="3"/>
    </row>
    <row r="1710" spans="1:19" x14ac:dyDescent="0.25">
      <c r="A1710" t="s">
        <v>5393</v>
      </c>
      <c r="B1710" t="s">
        <v>5394</v>
      </c>
      <c r="C1710" t="s">
        <v>16179</v>
      </c>
      <c r="D1710" t="s">
        <v>2820</v>
      </c>
      <c r="E1710">
        <v>3860</v>
      </c>
      <c r="F1710" s="3">
        <v>40702</v>
      </c>
      <c r="H1710" t="s">
        <v>15523</v>
      </c>
      <c r="I1710" t="s">
        <v>16180</v>
      </c>
      <c r="K1710" t="e">
        <v>#N/A</v>
      </c>
      <c r="S1710" s="3"/>
    </row>
    <row r="1711" spans="1:19" x14ac:dyDescent="0.25">
      <c r="A1711" t="s">
        <v>5395</v>
      </c>
      <c r="B1711" t="s">
        <v>5396</v>
      </c>
      <c r="C1711" t="s">
        <v>16179</v>
      </c>
      <c r="D1711" t="s">
        <v>2820</v>
      </c>
      <c r="E1711">
        <v>5326</v>
      </c>
      <c r="F1711" s="3">
        <v>42269</v>
      </c>
      <c r="H1711" t="s">
        <v>15523</v>
      </c>
      <c r="I1711" t="s">
        <v>16180</v>
      </c>
      <c r="K1711" t="e">
        <v>#N/A</v>
      </c>
      <c r="S1711" s="3"/>
    </row>
    <row r="1712" spans="1:19" x14ac:dyDescent="0.25">
      <c r="A1712" t="s">
        <v>710</v>
      </c>
      <c r="B1712" t="s">
        <v>711</v>
      </c>
      <c r="C1712" t="s">
        <v>16179</v>
      </c>
      <c r="D1712" t="s">
        <v>666</v>
      </c>
      <c r="E1712">
        <v>3864</v>
      </c>
      <c r="F1712" s="3">
        <v>40702</v>
      </c>
      <c r="H1712" t="s">
        <v>15523</v>
      </c>
      <c r="I1712" t="s">
        <v>16180</v>
      </c>
      <c r="K1712">
        <v>197</v>
      </c>
      <c r="S1712" s="3"/>
    </row>
    <row r="1713" spans="1:19" x14ac:dyDescent="0.25">
      <c r="A1713" t="s">
        <v>5397</v>
      </c>
      <c r="B1713" t="s">
        <v>5398</v>
      </c>
      <c r="C1713" t="s">
        <v>16179</v>
      </c>
      <c r="D1713" t="s">
        <v>2779</v>
      </c>
      <c r="E1713">
        <v>3866</v>
      </c>
      <c r="F1713" s="3">
        <v>40783</v>
      </c>
      <c r="H1713" t="s">
        <v>15523</v>
      </c>
      <c r="I1713" t="s">
        <v>16180</v>
      </c>
      <c r="K1713" t="e">
        <v>#N/A</v>
      </c>
      <c r="S1713" s="3"/>
    </row>
    <row r="1714" spans="1:19" x14ac:dyDescent="0.25">
      <c r="A1714" t="s">
        <v>5399</v>
      </c>
      <c r="B1714" t="s">
        <v>5400</v>
      </c>
      <c r="C1714" t="s">
        <v>16179</v>
      </c>
      <c r="D1714" t="s">
        <v>2779</v>
      </c>
      <c r="E1714">
        <v>3867</v>
      </c>
      <c r="F1714" s="3">
        <v>40783</v>
      </c>
      <c r="H1714" t="s">
        <v>15523</v>
      </c>
      <c r="I1714" t="s">
        <v>16180</v>
      </c>
      <c r="K1714" t="e">
        <v>#N/A</v>
      </c>
      <c r="S1714" s="3"/>
    </row>
    <row r="1715" spans="1:19" x14ac:dyDescent="0.25">
      <c r="A1715" t="s">
        <v>5401</v>
      </c>
      <c r="B1715" t="s">
        <v>5402</v>
      </c>
      <c r="C1715" t="s">
        <v>16179</v>
      </c>
      <c r="D1715" t="s">
        <v>2779</v>
      </c>
      <c r="E1715">
        <v>3868</v>
      </c>
      <c r="F1715" s="3">
        <v>40783</v>
      </c>
      <c r="H1715" t="s">
        <v>15523</v>
      </c>
      <c r="I1715" t="s">
        <v>16180</v>
      </c>
      <c r="K1715" t="e">
        <v>#N/A</v>
      </c>
      <c r="S1715" s="3"/>
    </row>
    <row r="1716" spans="1:19" x14ac:dyDescent="0.25">
      <c r="A1716" t="s">
        <v>5403</v>
      </c>
      <c r="B1716" t="s">
        <v>5404</v>
      </c>
      <c r="C1716" t="s">
        <v>16179</v>
      </c>
      <c r="D1716" t="s">
        <v>47</v>
      </c>
      <c r="E1716">
        <v>5289</v>
      </c>
      <c r="F1716" s="3">
        <v>42087</v>
      </c>
      <c r="H1716" t="s">
        <v>15523</v>
      </c>
      <c r="I1716" t="s">
        <v>16180</v>
      </c>
      <c r="K1716" t="e">
        <v>#N/A</v>
      </c>
      <c r="S1716" s="3"/>
    </row>
    <row r="1717" spans="1:19" x14ac:dyDescent="0.25">
      <c r="A1717" t="s">
        <v>5405</v>
      </c>
      <c r="B1717" t="s">
        <v>5406</v>
      </c>
      <c r="C1717" t="s">
        <v>16179</v>
      </c>
      <c r="D1717" t="s">
        <v>47</v>
      </c>
      <c r="E1717">
        <v>3778</v>
      </c>
      <c r="F1717" s="3">
        <v>40702</v>
      </c>
      <c r="H1717" t="s">
        <v>15523</v>
      </c>
      <c r="I1717" t="s">
        <v>16180</v>
      </c>
      <c r="K1717" t="e">
        <v>#N/A</v>
      </c>
      <c r="S1717" s="3"/>
    </row>
    <row r="1718" spans="1:19" x14ac:dyDescent="0.25">
      <c r="A1718" t="s">
        <v>5407</v>
      </c>
      <c r="B1718" t="s">
        <v>5408</v>
      </c>
      <c r="C1718" t="s">
        <v>16179</v>
      </c>
      <c r="D1718" t="s">
        <v>47</v>
      </c>
      <c r="E1718">
        <v>3779</v>
      </c>
      <c r="F1718" s="3">
        <v>40702</v>
      </c>
      <c r="H1718" t="s">
        <v>15523</v>
      </c>
      <c r="I1718" t="s">
        <v>16180</v>
      </c>
      <c r="K1718" t="e">
        <v>#N/A</v>
      </c>
      <c r="S1718" s="3"/>
    </row>
    <row r="1719" spans="1:19" x14ac:dyDescent="0.25">
      <c r="A1719" t="s">
        <v>5409</v>
      </c>
      <c r="B1719" t="s">
        <v>5410</v>
      </c>
      <c r="C1719" t="s">
        <v>16179</v>
      </c>
      <c r="D1719" t="s">
        <v>47</v>
      </c>
      <c r="E1719">
        <v>5635</v>
      </c>
      <c r="F1719" s="3">
        <v>42707</v>
      </c>
      <c r="H1719" t="s">
        <v>15523</v>
      </c>
      <c r="I1719" t="s">
        <v>16180</v>
      </c>
      <c r="K1719" t="e">
        <v>#N/A</v>
      </c>
      <c r="S1719" s="3"/>
    </row>
    <row r="1720" spans="1:19" x14ac:dyDescent="0.25">
      <c r="A1720" t="s">
        <v>5411</v>
      </c>
      <c r="B1720" t="s">
        <v>5412</v>
      </c>
      <c r="C1720" t="s">
        <v>16179</v>
      </c>
      <c r="D1720" t="s">
        <v>2820</v>
      </c>
      <c r="E1720">
        <v>3874</v>
      </c>
      <c r="F1720" s="3">
        <v>40702</v>
      </c>
      <c r="H1720" t="s">
        <v>15523</v>
      </c>
      <c r="I1720" t="s">
        <v>16180</v>
      </c>
      <c r="K1720" t="e">
        <v>#N/A</v>
      </c>
      <c r="S1720" s="3"/>
    </row>
    <row r="1721" spans="1:19" x14ac:dyDescent="0.25">
      <c r="A1721" t="s">
        <v>5413</v>
      </c>
      <c r="B1721" t="s">
        <v>5414</v>
      </c>
      <c r="C1721" t="s">
        <v>5415</v>
      </c>
      <c r="D1721" t="s">
        <v>23</v>
      </c>
      <c r="E1721">
        <v>3987</v>
      </c>
      <c r="F1721" s="3">
        <v>40702</v>
      </c>
      <c r="H1721" t="s">
        <v>15523</v>
      </c>
      <c r="I1721" t="s">
        <v>16884</v>
      </c>
      <c r="K1721" t="e">
        <v>#N/A</v>
      </c>
      <c r="S1721" s="3"/>
    </row>
    <row r="1722" spans="1:19" x14ac:dyDescent="0.25">
      <c r="A1722" t="s">
        <v>378</v>
      </c>
      <c r="B1722" t="s">
        <v>380</v>
      </c>
      <c r="C1722" t="s">
        <v>381</v>
      </c>
      <c r="D1722" t="s">
        <v>23</v>
      </c>
      <c r="E1722">
        <v>883</v>
      </c>
      <c r="F1722" s="3">
        <v>40702</v>
      </c>
      <c r="H1722" t="s">
        <v>15523</v>
      </c>
      <c r="I1722" t="s">
        <v>16885</v>
      </c>
      <c r="K1722">
        <v>101</v>
      </c>
      <c r="S1722" s="3"/>
    </row>
    <row r="1723" spans="1:19" x14ac:dyDescent="0.25">
      <c r="A1723" t="s">
        <v>5416</v>
      </c>
      <c r="B1723" t="s">
        <v>5417</v>
      </c>
      <c r="C1723" t="s">
        <v>5418</v>
      </c>
      <c r="D1723" t="s">
        <v>23</v>
      </c>
      <c r="E1723">
        <v>3994</v>
      </c>
      <c r="F1723" s="3">
        <v>40702</v>
      </c>
      <c r="H1723" t="s">
        <v>15523</v>
      </c>
      <c r="I1723" t="s">
        <v>16886</v>
      </c>
      <c r="K1723" t="e">
        <v>#N/A</v>
      </c>
      <c r="S1723" s="3"/>
    </row>
    <row r="1724" spans="1:19" x14ac:dyDescent="0.25">
      <c r="A1724" t="s">
        <v>5419</v>
      </c>
      <c r="B1724" t="s">
        <v>5420</v>
      </c>
      <c r="C1724" t="s">
        <v>5421</v>
      </c>
      <c r="D1724" t="s">
        <v>23</v>
      </c>
      <c r="E1724">
        <v>3995</v>
      </c>
      <c r="F1724" s="3">
        <v>41852</v>
      </c>
      <c r="H1724" t="s">
        <v>15523</v>
      </c>
      <c r="I1724" t="s">
        <v>16887</v>
      </c>
      <c r="K1724" t="e">
        <v>#N/A</v>
      </c>
      <c r="S1724" s="3"/>
    </row>
    <row r="1725" spans="1:19" x14ac:dyDescent="0.25">
      <c r="A1725" t="s">
        <v>5422</v>
      </c>
      <c r="B1725" t="s">
        <v>5423</v>
      </c>
      <c r="C1725" t="s">
        <v>5424</v>
      </c>
      <c r="D1725" t="s">
        <v>23</v>
      </c>
      <c r="E1725">
        <v>882</v>
      </c>
      <c r="F1725" s="3">
        <v>40702</v>
      </c>
      <c r="H1725" t="s">
        <v>15523</v>
      </c>
      <c r="I1725" t="s">
        <v>16888</v>
      </c>
      <c r="K1725" t="e">
        <v>#N/A</v>
      </c>
      <c r="S1725" s="3"/>
    </row>
    <row r="1726" spans="1:19" x14ac:dyDescent="0.25">
      <c r="A1726" t="s">
        <v>5425</v>
      </c>
      <c r="B1726" t="s">
        <v>5426</v>
      </c>
      <c r="C1726" t="s">
        <v>5427</v>
      </c>
      <c r="D1726" t="s">
        <v>23</v>
      </c>
      <c r="E1726">
        <v>4014</v>
      </c>
      <c r="F1726" s="3">
        <v>40702</v>
      </c>
      <c r="H1726" t="s">
        <v>15523</v>
      </c>
      <c r="I1726" t="s">
        <v>16889</v>
      </c>
      <c r="K1726" t="e">
        <v>#N/A</v>
      </c>
      <c r="S1726" s="3"/>
    </row>
    <row r="1727" spans="1:19" x14ac:dyDescent="0.25">
      <c r="A1727" t="s">
        <v>490</v>
      </c>
      <c r="B1727" t="s">
        <v>492</v>
      </c>
      <c r="C1727" t="s">
        <v>493</v>
      </c>
      <c r="D1727" t="s">
        <v>23</v>
      </c>
      <c r="E1727">
        <v>4018</v>
      </c>
      <c r="F1727" s="3">
        <v>40915</v>
      </c>
      <c r="H1727" t="s">
        <v>15523</v>
      </c>
      <c r="I1727" t="s">
        <v>16890</v>
      </c>
      <c r="K1727">
        <v>129</v>
      </c>
      <c r="S1727" s="3"/>
    </row>
    <row r="1728" spans="1:19" x14ac:dyDescent="0.25">
      <c r="A1728" t="s">
        <v>5428</v>
      </c>
      <c r="B1728" t="s">
        <v>5429</v>
      </c>
      <c r="C1728" t="s">
        <v>5430</v>
      </c>
      <c r="D1728" t="s">
        <v>23</v>
      </c>
      <c r="E1728">
        <v>4021</v>
      </c>
      <c r="F1728" s="3">
        <v>40702</v>
      </c>
      <c r="H1728" t="s">
        <v>15523</v>
      </c>
      <c r="I1728" t="s">
        <v>16891</v>
      </c>
      <c r="K1728" t="e">
        <v>#N/A</v>
      </c>
      <c r="S1728" s="3"/>
    </row>
    <row r="1729" spans="1:19" x14ac:dyDescent="0.25">
      <c r="A1729" t="s">
        <v>5431</v>
      </c>
      <c r="B1729" t="s">
        <v>5432</v>
      </c>
      <c r="C1729" t="s">
        <v>5433</v>
      </c>
      <c r="D1729" t="s">
        <v>23</v>
      </c>
      <c r="E1729">
        <v>4022</v>
      </c>
      <c r="F1729" s="3">
        <v>40702</v>
      </c>
      <c r="H1729" t="s">
        <v>15523</v>
      </c>
      <c r="I1729" t="s">
        <v>16892</v>
      </c>
      <c r="K1729" t="e">
        <v>#N/A</v>
      </c>
      <c r="S1729" s="3"/>
    </row>
    <row r="1730" spans="1:19" x14ac:dyDescent="0.25">
      <c r="A1730" t="s">
        <v>5434</v>
      </c>
      <c r="B1730" t="s">
        <v>5435</v>
      </c>
      <c r="C1730" t="s">
        <v>5436</v>
      </c>
      <c r="D1730" t="s">
        <v>23</v>
      </c>
      <c r="E1730">
        <v>4026</v>
      </c>
      <c r="F1730" s="3">
        <v>40702</v>
      </c>
      <c r="H1730" t="s">
        <v>15523</v>
      </c>
      <c r="I1730" t="s">
        <v>16893</v>
      </c>
      <c r="K1730" t="e">
        <v>#N/A</v>
      </c>
      <c r="S1730" s="3"/>
    </row>
    <row r="1731" spans="1:19" x14ac:dyDescent="0.25">
      <c r="A1731" t="s">
        <v>5437</v>
      </c>
      <c r="B1731" t="s">
        <v>5438</v>
      </c>
      <c r="C1731" t="s">
        <v>5439</v>
      </c>
      <c r="D1731" t="s">
        <v>23</v>
      </c>
      <c r="E1731">
        <v>4027</v>
      </c>
      <c r="F1731" s="3">
        <v>41013</v>
      </c>
      <c r="H1731" t="s">
        <v>15523</v>
      </c>
      <c r="I1731" t="s">
        <v>16894</v>
      </c>
      <c r="K1731" t="e">
        <v>#N/A</v>
      </c>
      <c r="S1731" s="3"/>
    </row>
    <row r="1732" spans="1:19" x14ac:dyDescent="0.25">
      <c r="A1732" t="s">
        <v>5440</v>
      </c>
      <c r="B1732" t="s">
        <v>5441</v>
      </c>
      <c r="C1732" t="s">
        <v>5442</v>
      </c>
      <c r="D1732" t="s">
        <v>23</v>
      </c>
      <c r="E1732">
        <v>5294</v>
      </c>
      <c r="F1732" s="3">
        <v>42103</v>
      </c>
      <c r="H1732" t="s">
        <v>15523</v>
      </c>
      <c r="I1732" t="s">
        <v>16895</v>
      </c>
      <c r="K1732" t="e">
        <v>#N/A</v>
      </c>
      <c r="S1732" s="3"/>
    </row>
    <row r="1733" spans="1:19" x14ac:dyDescent="0.25">
      <c r="A1733" t="s">
        <v>258</v>
      </c>
      <c r="B1733" t="s">
        <v>260</v>
      </c>
      <c r="C1733" s="3">
        <v>2023695</v>
      </c>
      <c r="D1733" t="s">
        <v>23</v>
      </c>
      <c r="E1733">
        <v>920</v>
      </c>
      <c r="F1733" s="3">
        <v>40704</v>
      </c>
      <c r="H1733" t="s">
        <v>15523</v>
      </c>
      <c r="I1733" t="s">
        <v>16896</v>
      </c>
      <c r="K1733">
        <v>71</v>
      </c>
      <c r="P1733" s="3"/>
      <c r="S1733" s="3"/>
    </row>
    <row r="1734" spans="1:19" x14ac:dyDescent="0.25">
      <c r="A1734" t="s">
        <v>5443</v>
      </c>
      <c r="B1734" t="s">
        <v>5444</v>
      </c>
      <c r="C1734" t="s">
        <v>5445</v>
      </c>
      <c r="D1734" t="s">
        <v>23</v>
      </c>
      <c r="E1734">
        <v>4048</v>
      </c>
      <c r="F1734" s="3">
        <v>40702</v>
      </c>
      <c r="H1734" t="s">
        <v>15523</v>
      </c>
      <c r="I1734" t="s">
        <v>16897</v>
      </c>
      <c r="K1734" t="e">
        <v>#N/A</v>
      </c>
      <c r="S1734" s="3"/>
    </row>
    <row r="1735" spans="1:19" x14ac:dyDescent="0.25">
      <c r="A1735" t="s">
        <v>5446</v>
      </c>
      <c r="B1735" t="s">
        <v>5447</v>
      </c>
      <c r="C1735" s="3">
        <v>2139594</v>
      </c>
      <c r="D1735" t="s">
        <v>23</v>
      </c>
      <c r="E1735">
        <v>4050</v>
      </c>
      <c r="F1735" s="3">
        <v>40704</v>
      </c>
      <c r="H1735" t="s">
        <v>15523</v>
      </c>
      <c r="I1735" t="s">
        <v>16898</v>
      </c>
      <c r="K1735" t="e">
        <v>#N/A</v>
      </c>
      <c r="P1735" s="3"/>
      <c r="S1735" s="3"/>
    </row>
    <row r="1736" spans="1:19" x14ac:dyDescent="0.25">
      <c r="A1736" t="s">
        <v>5449</v>
      </c>
      <c r="B1736" t="s">
        <v>5450</v>
      </c>
      <c r="C1736" t="s">
        <v>5451</v>
      </c>
      <c r="D1736" t="s">
        <v>23</v>
      </c>
      <c r="E1736">
        <v>4051</v>
      </c>
      <c r="F1736" s="3">
        <v>40702</v>
      </c>
      <c r="H1736" t="s">
        <v>15523</v>
      </c>
      <c r="I1736" t="s">
        <v>16899</v>
      </c>
      <c r="K1736" t="e">
        <v>#N/A</v>
      </c>
      <c r="S1736" s="3"/>
    </row>
    <row r="1737" spans="1:19" x14ac:dyDescent="0.25">
      <c r="A1737" t="s">
        <v>5452</v>
      </c>
      <c r="B1737" t="s">
        <v>5453</v>
      </c>
      <c r="C1737" t="s">
        <v>5454</v>
      </c>
      <c r="D1737" t="s">
        <v>23</v>
      </c>
      <c r="E1737">
        <v>4052</v>
      </c>
      <c r="F1737" s="3">
        <v>40702</v>
      </c>
      <c r="H1737" t="s">
        <v>15523</v>
      </c>
      <c r="I1737" t="s">
        <v>16900</v>
      </c>
      <c r="K1737" t="e">
        <v>#N/A</v>
      </c>
      <c r="S1737" s="3"/>
    </row>
    <row r="1738" spans="1:19" x14ac:dyDescent="0.25">
      <c r="A1738" t="s">
        <v>5455</v>
      </c>
      <c r="B1738" t="s">
        <v>5456</v>
      </c>
      <c r="C1738" t="s">
        <v>16179</v>
      </c>
      <c r="D1738" t="s">
        <v>2820</v>
      </c>
      <c r="E1738">
        <v>5837</v>
      </c>
      <c r="F1738" s="3">
        <v>43082</v>
      </c>
      <c r="H1738" t="s">
        <v>15523</v>
      </c>
      <c r="I1738" t="s">
        <v>16180</v>
      </c>
      <c r="K1738" t="e">
        <v>#N/A</v>
      </c>
      <c r="S1738" s="3"/>
    </row>
    <row r="1739" spans="1:19" x14ac:dyDescent="0.25">
      <c r="A1739" t="s">
        <v>5457</v>
      </c>
      <c r="B1739" t="s">
        <v>5458</v>
      </c>
      <c r="C1739" t="s">
        <v>16179</v>
      </c>
      <c r="D1739" t="s">
        <v>47</v>
      </c>
      <c r="E1739">
        <v>1118</v>
      </c>
      <c r="F1739" s="3">
        <v>40702</v>
      </c>
      <c r="H1739" t="s">
        <v>15523</v>
      </c>
      <c r="I1739" t="s">
        <v>16180</v>
      </c>
      <c r="K1739" t="e">
        <v>#N/A</v>
      </c>
      <c r="S1739" s="3"/>
    </row>
    <row r="1740" spans="1:19" x14ac:dyDescent="0.25">
      <c r="A1740" t="s">
        <v>5459</v>
      </c>
      <c r="B1740" t="s">
        <v>5460</v>
      </c>
      <c r="C1740" t="s">
        <v>16179</v>
      </c>
      <c r="D1740" t="s">
        <v>47</v>
      </c>
      <c r="E1740">
        <v>3852</v>
      </c>
      <c r="F1740" s="3">
        <v>40781</v>
      </c>
      <c r="H1740" t="s">
        <v>15523</v>
      </c>
      <c r="I1740" t="s">
        <v>16180</v>
      </c>
      <c r="K1740" t="e">
        <v>#N/A</v>
      </c>
      <c r="S1740" s="3"/>
    </row>
    <row r="1741" spans="1:19" x14ac:dyDescent="0.25">
      <c r="A1741" t="s">
        <v>5461</v>
      </c>
      <c r="B1741" t="s">
        <v>5462</v>
      </c>
      <c r="C1741" t="s">
        <v>16179</v>
      </c>
      <c r="D1741" t="s">
        <v>666</v>
      </c>
      <c r="E1741">
        <v>3885</v>
      </c>
      <c r="F1741" s="3">
        <v>40934</v>
      </c>
      <c r="H1741" t="s">
        <v>15523</v>
      </c>
      <c r="I1741" t="s">
        <v>16180</v>
      </c>
      <c r="K1741" t="e">
        <v>#N/A</v>
      </c>
      <c r="S1741" s="3"/>
    </row>
    <row r="1742" spans="1:19" x14ac:dyDescent="0.25">
      <c r="A1742" t="s">
        <v>5463</v>
      </c>
      <c r="B1742" t="s">
        <v>5464</v>
      </c>
      <c r="C1742" t="s">
        <v>16179</v>
      </c>
      <c r="D1742" t="s">
        <v>666</v>
      </c>
      <c r="E1742">
        <v>3886</v>
      </c>
      <c r="F1742" s="3">
        <v>40934</v>
      </c>
      <c r="H1742" t="s">
        <v>15523</v>
      </c>
      <c r="I1742" t="s">
        <v>16180</v>
      </c>
      <c r="K1742" t="e">
        <v>#N/A</v>
      </c>
      <c r="S1742" s="3"/>
    </row>
    <row r="1743" spans="1:19" x14ac:dyDescent="0.25">
      <c r="A1743" t="s">
        <v>5465</v>
      </c>
      <c r="B1743" t="s">
        <v>5466</v>
      </c>
      <c r="C1743" t="s">
        <v>16179</v>
      </c>
      <c r="D1743" t="s">
        <v>2820</v>
      </c>
      <c r="E1743">
        <v>935</v>
      </c>
      <c r="F1743" s="3">
        <v>40702</v>
      </c>
      <c r="H1743" t="s">
        <v>15523</v>
      </c>
      <c r="I1743" t="s">
        <v>16180</v>
      </c>
      <c r="K1743" t="e">
        <v>#N/A</v>
      </c>
      <c r="S1743" s="3"/>
    </row>
    <row r="1744" spans="1:19" x14ac:dyDescent="0.25">
      <c r="A1744" t="s">
        <v>59</v>
      </c>
      <c r="B1744" t="s">
        <v>62</v>
      </c>
      <c r="C1744" t="s">
        <v>63</v>
      </c>
      <c r="D1744" t="s">
        <v>23</v>
      </c>
      <c r="E1744">
        <v>6075</v>
      </c>
      <c r="F1744" s="3">
        <v>43854</v>
      </c>
      <c r="H1744" t="s">
        <v>15523</v>
      </c>
      <c r="I1744" t="s">
        <v>16901</v>
      </c>
      <c r="K1744">
        <v>14</v>
      </c>
      <c r="S1744" s="3"/>
    </row>
    <row r="1745" spans="1:19" x14ac:dyDescent="0.25">
      <c r="A1745" t="s">
        <v>5467</v>
      </c>
      <c r="B1745" t="s">
        <v>5468</v>
      </c>
      <c r="C1745" t="s">
        <v>5469</v>
      </c>
      <c r="D1745" t="s">
        <v>23</v>
      </c>
      <c r="E1745">
        <v>4057</v>
      </c>
      <c r="F1745" s="3">
        <v>40702</v>
      </c>
      <c r="H1745" t="s">
        <v>15523</v>
      </c>
      <c r="I1745" t="s">
        <v>16902</v>
      </c>
      <c r="K1745" t="e">
        <v>#N/A</v>
      </c>
      <c r="S1745" s="3"/>
    </row>
    <row r="1746" spans="1:19" x14ac:dyDescent="0.25">
      <c r="A1746" t="s">
        <v>5470</v>
      </c>
      <c r="B1746" t="s">
        <v>5471</v>
      </c>
      <c r="C1746" t="s">
        <v>5472</v>
      </c>
      <c r="D1746" t="s">
        <v>23</v>
      </c>
      <c r="E1746">
        <v>4058</v>
      </c>
      <c r="F1746" s="3">
        <v>40702</v>
      </c>
      <c r="H1746" t="s">
        <v>15523</v>
      </c>
      <c r="I1746" t="s">
        <v>16903</v>
      </c>
      <c r="K1746" t="e">
        <v>#N/A</v>
      </c>
      <c r="S1746" s="3"/>
    </row>
    <row r="1747" spans="1:19" x14ac:dyDescent="0.25">
      <c r="A1747" t="s">
        <v>5473</v>
      </c>
      <c r="B1747" t="s">
        <v>5474</v>
      </c>
      <c r="C1747" t="s">
        <v>16179</v>
      </c>
      <c r="D1747" t="s">
        <v>666</v>
      </c>
      <c r="E1747">
        <v>3889</v>
      </c>
      <c r="F1747" s="3">
        <v>40702</v>
      </c>
      <c r="H1747" t="s">
        <v>15523</v>
      </c>
      <c r="I1747" t="s">
        <v>16180</v>
      </c>
      <c r="K1747" t="e">
        <v>#N/A</v>
      </c>
      <c r="S1747" s="3"/>
    </row>
    <row r="1748" spans="1:19" x14ac:dyDescent="0.25">
      <c r="A1748" t="s">
        <v>5475</v>
      </c>
      <c r="B1748" t="s">
        <v>5476</v>
      </c>
      <c r="C1748" t="s">
        <v>16179</v>
      </c>
      <c r="D1748" t="s">
        <v>666</v>
      </c>
      <c r="E1748">
        <v>3890</v>
      </c>
      <c r="F1748" s="3">
        <v>40781</v>
      </c>
      <c r="H1748" t="s">
        <v>15523</v>
      </c>
      <c r="I1748" t="s">
        <v>16180</v>
      </c>
      <c r="K1748" t="e">
        <v>#N/A</v>
      </c>
      <c r="S1748" s="3"/>
    </row>
    <row r="1749" spans="1:19" x14ac:dyDescent="0.25">
      <c r="A1749" t="s">
        <v>5477</v>
      </c>
      <c r="B1749" t="s">
        <v>5478</v>
      </c>
      <c r="C1749" t="s">
        <v>16179</v>
      </c>
      <c r="D1749" t="s">
        <v>47</v>
      </c>
      <c r="E1749">
        <v>3869</v>
      </c>
      <c r="F1749" s="3">
        <v>40702</v>
      </c>
      <c r="H1749" t="s">
        <v>15523</v>
      </c>
      <c r="I1749" t="s">
        <v>16180</v>
      </c>
      <c r="K1749" t="e">
        <v>#N/A</v>
      </c>
      <c r="S1749" s="3"/>
    </row>
    <row r="1750" spans="1:19" x14ac:dyDescent="0.25">
      <c r="A1750" t="s">
        <v>5479</v>
      </c>
      <c r="B1750" t="s">
        <v>5480</v>
      </c>
      <c r="C1750" t="s">
        <v>16179</v>
      </c>
      <c r="D1750" t="s">
        <v>47</v>
      </c>
      <c r="E1750">
        <v>3871</v>
      </c>
      <c r="F1750" s="3">
        <v>40934</v>
      </c>
      <c r="H1750" t="s">
        <v>15523</v>
      </c>
      <c r="I1750" t="s">
        <v>16180</v>
      </c>
      <c r="K1750" t="e">
        <v>#N/A</v>
      </c>
      <c r="S1750" s="3"/>
    </row>
    <row r="1751" spans="1:19" x14ac:dyDescent="0.25">
      <c r="A1751" t="s">
        <v>5481</v>
      </c>
      <c r="B1751" t="s">
        <v>5482</v>
      </c>
      <c r="C1751" t="s">
        <v>16179</v>
      </c>
      <c r="D1751" t="s">
        <v>2820</v>
      </c>
      <c r="E1751">
        <v>5862</v>
      </c>
      <c r="F1751" s="3">
        <v>43078</v>
      </c>
      <c r="H1751" t="s">
        <v>15523</v>
      </c>
      <c r="I1751" t="s">
        <v>16180</v>
      </c>
      <c r="K1751" t="e">
        <v>#N/A</v>
      </c>
      <c r="S1751" s="3"/>
    </row>
    <row r="1752" spans="1:19" x14ac:dyDescent="0.25">
      <c r="A1752" t="s">
        <v>5483</v>
      </c>
      <c r="B1752" t="s">
        <v>5484</v>
      </c>
      <c r="C1752" t="s">
        <v>16179</v>
      </c>
      <c r="D1752" t="s">
        <v>2820</v>
      </c>
      <c r="E1752">
        <v>5863</v>
      </c>
      <c r="F1752" s="3">
        <v>43078</v>
      </c>
      <c r="H1752" t="s">
        <v>15523</v>
      </c>
      <c r="I1752" t="s">
        <v>16180</v>
      </c>
      <c r="K1752" t="e">
        <v>#N/A</v>
      </c>
      <c r="S1752" s="3"/>
    </row>
    <row r="1753" spans="1:19" x14ac:dyDescent="0.25">
      <c r="A1753" t="s">
        <v>5485</v>
      </c>
      <c r="B1753" t="s">
        <v>5486</v>
      </c>
      <c r="C1753" t="s">
        <v>16179</v>
      </c>
      <c r="D1753" t="s">
        <v>666</v>
      </c>
      <c r="E1753">
        <v>5906</v>
      </c>
      <c r="F1753" s="3">
        <v>43200</v>
      </c>
      <c r="H1753" t="s">
        <v>15523</v>
      </c>
      <c r="I1753" t="s">
        <v>16180</v>
      </c>
      <c r="K1753" t="e">
        <v>#N/A</v>
      </c>
      <c r="S1753" s="3"/>
    </row>
    <row r="1754" spans="1:19" x14ac:dyDescent="0.25">
      <c r="A1754" t="s">
        <v>5487</v>
      </c>
      <c r="B1754" t="s">
        <v>5488</v>
      </c>
      <c r="C1754" t="s">
        <v>16179</v>
      </c>
      <c r="D1754" t="s">
        <v>666</v>
      </c>
      <c r="E1754">
        <v>5905</v>
      </c>
      <c r="F1754" s="3">
        <v>43200</v>
      </c>
      <c r="H1754" t="s">
        <v>15523</v>
      </c>
      <c r="I1754" t="s">
        <v>16180</v>
      </c>
      <c r="K1754" t="e">
        <v>#N/A</v>
      </c>
      <c r="S1754" s="3"/>
    </row>
    <row r="1755" spans="1:19" x14ac:dyDescent="0.25">
      <c r="A1755" t="s">
        <v>5489</v>
      </c>
      <c r="B1755" t="s">
        <v>5490</v>
      </c>
      <c r="C1755" t="s">
        <v>16179</v>
      </c>
      <c r="D1755" t="s">
        <v>666</v>
      </c>
      <c r="E1755">
        <v>5898</v>
      </c>
      <c r="F1755" s="3">
        <v>43200</v>
      </c>
      <c r="H1755" t="s">
        <v>15523</v>
      </c>
      <c r="I1755" t="s">
        <v>16180</v>
      </c>
      <c r="K1755" t="e">
        <v>#N/A</v>
      </c>
      <c r="S1755" s="3"/>
    </row>
    <row r="1756" spans="1:19" x14ac:dyDescent="0.25">
      <c r="A1756" t="s">
        <v>5491</v>
      </c>
      <c r="B1756" t="s">
        <v>5492</v>
      </c>
      <c r="C1756" t="s">
        <v>16179</v>
      </c>
      <c r="D1756" t="s">
        <v>666</v>
      </c>
      <c r="E1756">
        <v>5902</v>
      </c>
      <c r="F1756" s="3">
        <v>43200</v>
      </c>
      <c r="H1756" t="s">
        <v>15523</v>
      </c>
      <c r="I1756" t="s">
        <v>16180</v>
      </c>
      <c r="K1756" t="e">
        <v>#N/A</v>
      </c>
      <c r="S1756" s="3"/>
    </row>
    <row r="1757" spans="1:19" x14ac:dyDescent="0.25">
      <c r="A1757" t="s">
        <v>5493</v>
      </c>
      <c r="B1757" t="s">
        <v>5494</v>
      </c>
      <c r="C1757" t="s">
        <v>16179</v>
      </c>
      <c r="D1757" t="s">
        <v>666</v>
      </c>
      <c r="E1757">
        <v>5904</v>
      </c>
      <c r="F1757" s="3">
        <v>43200</v>
      </c>
      <c r="H1757" t="s">
        <v>15523</v>
      </c>
      <c r="I1757" t="s">
        <v>16180</v>
      </c>
      <c r="K1757" t="e">
        <v>#N/A</v>
      </c>
      <c r="S1757" s="3"/>
    </row>
    <row r="1758" spans="1:19" x14ac:dyDescent="0.25">
      <c r="A1758" t="s">
        <v>5495</v>
      </c>
      <c r="B1758" t="s">
        <v>5496</v>
      </c>
      <c r="C1758" t="s">
        <v>16179</v>
      </c>
      <c r="D1758" t="s">
        <v>666</v>
      </c>
      <c r="E1758">
        <v>5900</v>
      </c>
      <c r="F1758" s="3">
        <v>43200</v>
      </c>
      <c r="H1758" t="s">
        <v>15523</v>
      </c>
      <c r="I1758" t="s">
        <v>16180</v>
      </c>
      <c r="K1758" t="e">
        <v>#N/A</v>
      </c>
      <c r="S1758" s="3"/>
    </row>
    <row r="1759" spans="1:19" x14ac:dyDescent="0.25">
      <c r="A1759" t="s">
        <v>5497</v>
      </c>
      <c r="B1759" t="s">
        <v>5498</v>
      </c>
      <c r="C1759" t="s">
        <v>16179</v>
      </c>
      <c r="D1759" t="s">
        <v>666</v>
      </c>
      <c r="E1759">
        <v>5901</v>
      </c>
      <c r="F1759" s="3">
        <v>43200</v>
      </c>
      <c r="H1759" t="s">
        <v>15523</v>
      </c>
      <c r="I1759" t="s">
        <v>16180</v>
      </c>
      <c r="K1759" t="e">
        <v>#N/A</v>
      </c>
      <c r="S1759" s="3"/>
    </row>
    <row r="1760" spans="1:19" x14ac:dyDescent="0.25">
      <c r="A1760" t="s">
        <v>5499</v>
      </c>
      <c r="B1760" t="s">
        <v>5500</v>
      </c>
      <c r="C1760" t="s">
        <v>16179</v>
      </c>
      <c r="D1760" t="s">
        <v>666</v>
      </c>
      <c r="E1760">
        <v>5899</v>
      </c>
      <c r="F1760" s="3">
        <v>43200</v>
      </c>
      <c r="H1760" t="s">
        <v>15523</v>
      </c>
      <c r="I1760" t="s">
        <v>16180</v>
      </c>
      <c r="K1760" t="e">
        <v>#N/A</v>
      </c>
      <c r="S1760" s="3"/>
    </row>
    <row r="1761" spans="1:19" x14ac:dyDescent="0.25">
      <c r="A1761" t="s">
        <v>5501</v>
      </c>
      <c r="B1761" t="s">
        <v>5502</v>
      </c>
      <c r="C1761" t="s">
        <v>16179</v>
      </c>
      <c r="D1761" t="s">
        <v>666</v>
      </c>
      <c r="E1761">
        <v>5907</v>
      </c>
      <c r="F1761" s="3">
        <v>43200</v>
      </c>
      <c r="H1761" t="s">
        <v>15523</v>
      </c>
      <c r="I1761" t="s">
        <v>16180</v>
      </c>
      <c r="K1761" t="e">
        <v>#N/A</v>
      </c>
      <c r="S1761" s="3"/>
    </row>
    <row r="1762" spans="1:19" x14ac:dyDescent="0.25">
      <c r="A1762" t="s">
        <v>5503</v>
      </c>
      <c r="B1762" t="s">
        <v>5504</v>
      </c>
      <c r="C1762" t="s">
        <v>16179</v>
      </c>
      <c r="D1762" t="s">
        <v>666</v>
      </c>
      <c r="E1762">
        <v>5903</v>
      </c>
      <c r="F1762" s="3">
        <v>43200</v>
      </c>
      <c r="H1762" t="s">
        <v>15523</v>
      </c>
      <c r="I1762" t="s">
        <v>16180</v>
      </c>
      <c r="K1762" t="e">
        <v>#N/A</v>
      </c>
      <c r="S1762" s="3"/>
    </row>
    <row r="1763" spans="1:19" x14ac:dyDescent="0.25">
      <c r="A1763" t="s">
        <v>5505</v>
      </c>
      <c r="B1763" t="s">
        <v>5506</v>
      </c>
      <c r="C1763" t="s">
        <v>16179</v>
      </c>
      <c r="D1763" t="s">
        <v>666</v>
      </c>
      <c r="E1763">
        <v>5897</v>
      </c>
      <c r="F1763" s="3">
        <v>43200</v>
      </c>
      <c r="H1763" t="s">
        <v>15523</v>
      </c>
      <c r="I1763" t="s">
        <v>16180</v>
      </c>
      <c r="K1763" t="e">
        <v>#N/A</v>
      </c>
      <c r="S1763" s="3"/>
    </row>
    <row r="1764" spans="1:19" x14ac:dyDescent="0.25">
      <c r="A1764" t="s">
        <v>5507</v>
      </c>
      <c r="B1764" t="s">
        <v>5508</v>
      </c>
      <c r="C1764" t="s">
        <v>16179</v>
      </c>
      <c r="D1764" t="s">
        <v>666</v>
      </c>
      <c r="E1764">
        <v>3894</v>
      </c>
      <c r="F1764" s="3">
        <v>40936</v>
      </c>
      <c r="H1764" t="s">
        <v>15523</v>
      </c>
      <c r="I1764" t="s">
        <v>16180</v>
      </c>
      <c r="K1764" t="e">
        <v>#N/A</v>
      </c>
      <c r="S1764" s="3"/>
    </row>
    <row r="1765" spans="1:19" x14ac:dyDescent="0.25">
      <c r="A1765" t="s">
        <v>5509</v>
      </c>
      <c r="B1765" t="s">
        <v>5510</v>
      </c>
      <c r="C1765" t="s">
        <v>5511</v>
      </c>
      <c r="D1765" t="s">
        <v>23</v>
      </c>
      <c r="E1765">
        <v>5210</v>
      </c>
      <c r="F1765" s="3">
        <v>42035</v>
      </c>
      <c r="H1765" t="s">
        <v>15523</v>
      </c>
      <c r="I1765" t="s">
        <v>16904</v>
      </c>
      <c r="K1765" t="e">
        <v>#N/A</v>
      </c>
      <c r="S1765" s="3"/>
    </row>
    <row r="1766" spans="1:19" x14ac:dyDescent="0.25">
      <c r="A1766" t="s">
        <v>326</v>
      </c>
      <c r="B1766" t="s">
        <v>328</v>
      </c>
      <c r="C1766" t="s">
        <v>329</v>
      </c>
      <c r="D1766" t="s">
        <v>23</v>
      </c>
      <c r="E1766">
        <v>4062</v>
      </c>
      <c r="F1766" s="3">
        <v>40915</v>
      </c>
      <c r="H1766" t="s">
        <v>15523</v>
      </c>
      <c r="I1766" t="s">
        <v>16905</v>
      </c>
      <c r="K1766">
        <v>88</v>
      </c>
      <c r="S1766" s="3"/>
    </row>
    <row r="1767" spans="1:19" x14ac:dyDescent="0.25">
      <c r="A1767" t="s">
        <v>5512</v>
      </c>
      <c r="B1767" t="s">
        <v>5513</v>
      </c>
      <c r="C1767" t="s">
        <v>16179</v>
      </c>
      <c r="D1767" t="s">
        <v>47</v>
      </c>
      <c r="E1767">
        <v>3875</v>
      </c>
      <c r="F1767" s="3">
        <v>40783</v>
      </c>
      <c r="H1767" t="s">
        <v>15523</v>
      </c>
      <c r="I1767" t="s">
        <v>16180</v>
      </c>
      <c r="K1767" t="e">
        <v>#N/A</v>
      </c>
      <c r="S1767" s="3"/>
    </row>
    <row r="1768" spans="1:19" x14ac:dyDescent="0.25">
      <c r="A1768" t="s">
        <v>5514</v>
      </c>
      <c r="B1768" t="s">
        <v>5515</v>
      </c>
      <c r="C1768" t="s">
        <v>16179</v>
      </c>
      <c r="D1768" t="s">
        <v>2820</v>
      </c>
      <c r="E1768">
        <v>3939</v>
      </c>
      <c r="F1768" s="3">
        <v>40929</v>
      </c>
      <c r="H1768" t="s">
        <v>15523</v>
      </c>
      <c r="I1768" t="s">
        <v>16180</v>
      </c>
      <c r="K1768" t="e">
        <v>#N/A</v>
      </c>
      <c r="S1768" s="3"/>
    </row>
    <row r="1769" spans="1:19" x14ac:dyDescent="0.25">
      <c r="A1769" t="s">
        <v>5516</v>
      </c>
      <c r="B1769" t="s">
        <v>5517</v>
      </c>
      <c r="C1769" t="s">
        <v>16179</v>
      </c>
      <c r="D1769" t="s">
        <v>2820</v>
      </c>
      <c r="E1769">
        <v>3941</v>
      </c>
      <c r="F1769" s="3">
        <v>40702</v>
      </c>
      <c r="H1769" t="s">
        <v>15523</v>
      </c>
      <c r="I1769" t="s">
        <v>16180</v>
      </c>
      <c r="K1769" t="e">
        <v>#N/A</v>
      </c>
      <c r="S1769" s="3"/>
    </row>
    <row r="1770" spans="1:19" x14ac:dyDescent="0.25">
      <c r="A1770" t="s">
        <v>5518</v>
      </c>
      <c r="B1770" t="s">
        <v>5519</v>
      </c>
      <c r="C1770" t="s">
        <v>16179</v>
      </c>
      <c r="D1770" t="s">
        <v>47</v>
      </c>
      <c r="E1770">
        <v>3944</v>
      </c>
      <c r="F1770" s="3">
        <v>43442</v>
      </c>
      <c r="H1770" t="s">
        <v>15523</v>
      </c>
      <c r="I1770" t="s">
        <v>16180</v>
      </c>
      <c r="K1770" t="e">
        <v>#N/A</v>
      </c>
      <c r="S1770" s="3"/>
    </row>
    <row r="1771" spans="1:19" x14ac:dyDescent="0.25">
      <c r="A1771" t="s">
        <v>5520</v>
      </c>
      <c r="B1771" t="s">
        <v>5521</v>
      </c>
      <c r="C1771" t="s">
        <v>16179</v>
      </c>
      <c r="D1771" t="s">
        <v>47</v>
      </c>
      <c r="E1771">
        <v>3881</v>
      </c>
      <c r="F1771" s="3">
        <v>40702</v>
      </c>
      <c r="H1771" t="s">
        <v>15523</v>
      </c>
      <c r="I1771" t="s">
        <v>16180</v>
      </c>
      <c r="K1771" t="e">
        <v>#N/A</v>
      </c>
      <c r="S1771" s="3"/>
    </row>
    <row r="1772" spans="1:19" x14ac:dyDescent="0.25">
      <c r="A1772" t="s">
        <v>5522</v>
      </c>
      <c r="B1772" t="s">
        <v>5523</v>
      </c>
      <c r="C1772" t="s">
        <v>16179</v>
      </c>
      <c r="D1772" t="s">
        <v>666</v>
      </c>
      <c r="E1772">
        <v>1897</v>
      </c>
      <c r="F1772" s="3">
        <v>40702</v>
      </c>
      <c r="H1772" t="s">
        <v>15523</v>
      </c>
      <c r="I1772" t="s">
        <v>16180</v>
      </c>
      <c r="K1772" t="e">
        <v>#N/A</v>
      </c>
      <c r="S1772" s="3"/>
    </row>
    <row r="1773" spans="1:19" x14ac:dyDescent="0.25">
      <c r="A1773" t="s">
        <v>5524</v>
      </c>
      <c r="B1773" t="s">
        <v>5525</v>
      </c>
      <c r="C1773" t="s">
        <v>16179</v>
      </c>
      <c r="D1773" t="s">
        <v>666</v>
      </c>
      <c r="E1773">
        <v>5954</v>
      </c>
      <c r="F1773" s="3">
        <v>43250</v>
      </c>
      <c r="H1773" t="s">
        <v>15523</v>
      </c>
      <c r="I1773" t="s">
        <v>16180</v>
      </c>
      <c r="K1773" t="e">
        <v>#N/A</v>
      </c>
      <c r="S1773" s="3"/>
    </row>
    <row r="1774" spans="1:19" x14ac:dyDescent="0.25">
      <c r="A1774" t="s">
        <v>5526</v>
      </c>
      <c r="B1774" t="s">
        <v>5527</v>
      </c>
      <c r="C1774" t="s">
        <v>16179</v>
      </c>
      <c r="D1774" t="s">
        <v>666</v>
      </c>
      <c r="E1774">
        <v>5955</v>
      </c>
      <c r="F1774" s="3">
        <v>43250</v>
      </c>
      <c r="H1774" t="s">
        <v>15523</v>
      </c>
      <c r="I1774" t="s">
        <v>16180</v>
      </c>
      <c r="K1774" t="e">
        <v>#N/A</v>
      </c>
      <c r="S1774" s="3"/>
    </row>
    <row r="1775" spans="1:19" x14ac:dyDescent="0.25">
      <c r="A1775" t="s">
        <v>5528</v>
      </c>
      <c r="B1775" t="s">
        <v>5529</v>
      </c>
      <c r="C1775" t="s">
        <v>16179</v>
      </c>
      <c r="D1775" t="s">
        <v>666</v>
      </c>
      <c r="E1775">
        <v>3884</v>
      </c>
      <c r="F1775" s="3">
        <v>43079</v>
      </c>
      <c r="H1775" t="s">
        <v>15523</v>
      </c>
      <c r="I1775" t="s">
        <v>16180</v>
      </c>
      <c r="K1775" t="e">
        <v>#N/A</v>
      </c>
      <c r="S1775" s="3"/>
    </row>
    <row r="1776" spans="1:19" x14ac:dyDescent="0.25">
      <c r="A1776" t="s">
        <v>5530</v>
      </c>
      <c r="B1776" t="s">
        <v>5531</v>
      </c>
      <c r="C1776" t="s">
        <v>16179</v>
      </c>
      <c r="D1776" t="s">
        <v>47</v>
      </c>
      <c r="E1776">
        <v>3892</v>
      </c>
      <c r="F1776" s="3">
        <v>40702</v>
      </c>
      <c r="H1776" t="s">
        <v>15523</v>
      </c>
      <c r="I1776" t="s">
        <v>16180</v>
      </c>
      <c r="K1776" t="e">
        <v>#N/A</v>
      </c>
      <c r="S1776" s="3"/>
    </row>
    <row r="1777" spans="1:19" x14ac:dyDescent="0.25">
      <c r="A1777" t="s">
        <v>5532</v>
      </c>
      <c r="B1777" t="s">
        <v>5533</v>
      </c>
      <c r="C1777" t="s">
        <v>16179</v>
      </c>
      <c r="D1777" t="s">
        <v>47</v>
      </c>
      <c r="E1777">
        <v>5008</v>
      </c>
      <c r="F1777" s="3">
        <v>41660</v>
      </c>
      <c r="H1777" t="s">
        <v>15523</v>
      </c>
      <c r="I1777" t="s">
        <v>16180</v>
      </c>
      <c r="K1777" t="e">
        <v>#N/A</v>
      </c>
      <c r="S1777" s="3"/>
    </row>
    <row r="1778" spans="1:19" x14ac:dyDescent="0.25">
      <c r="A1778" t="s">
        <v>5534</v>
      </c>
      <c r="B1778" t="s">
        <v>5535</v>
      </c>
      <c r="C1778" t="s">
        <v>16179</v>
      </c>
      <c r="D1778" t="s">
        <v>2820</v>
      </c>
      <c r="E1778">
        <v>3952</v>
      </c>
      <c r="F1778" s="3">
        <v>40702</v>
      </c>
      <c r="H1778" t="s">
        <v>15523</v>
      </c>
      <c r="I1778" t="s">
        <v>16180</v>
      </c>
      <c r="K1778" t="e">
        <v>#N/A</v>
      </c>
      <c r="S1778" s="3"/>
    </row>
    <row r="1779" spans="1:19" x14ac:dyDescent="0.25">
      <c r="A1779" t="s">
        <v>5536</v>
      </c>
      <c r="B1779" t="s">
        <v>5537</v>
      </c>
      <c r="C1779" t="s">
        <v>16179</v>
      </c>
      <c r="D1779" t="s">
        <v>2820</v>
      </c>
      <c r="E1779">
        <v>3954</v>
      </c>
      <c r="F1779" s="3">
        <v>40702</v>
      </c>
      <c r="H1779" t="s">
        <v>15523</v>
      </c>
      <c r="I1779" t="s">
        <v>16180</v>
      </c>
      <c r="K1779" t="e">
        <v>#N/A</v>
      </c>
      <c r="S1779" s="3"/>
    </row>
    <row r="1780" spans="1:19" x14ac:dyDescent="0.25">
      <c r="A1780" t="s">
        <v>5538</v>
      </c>
      <c r="B1780" t="s">
        <v>5539</v>
      </c>
      <c r="C1780" t="s">
        <v>16179</v>
      </c>
      <c r="D1780" t="s">
        <v>47</v>
      </c>
      <c r="E1780">
        <v>3893</v>
      </c>
      <c r="F1780" s="3">
        <v>40702</v>
      </c>
      <c r="H1780" t="s">
        <v>15523</v>
      </c>
      <c r="I1780" t="s">
        <v>16180</v>
      </c>
      <c r="K1780" t="e">
        <v>#N/A</v>
      </c>
      <c r="S1780" s="3"/>
    </row>
    <row r="1781" spans="1:19" x14ac:dyDescent="0.25">
      <c r="A1781" t="s">
        <v>5540</v>
      </c>
      <c r="B1781" t="s">
        <v>5541</v>
      </c>
      <c r="C1781" t="s">
        <v>16179</v>
      </c>
      <c r="D1781" t="s">
        <v>47</v>
      </c>
      <c r="E1781">
        <v>5083</v>
      </c>
      <c r="F1781" s="3">
        <v>41577</v>
      </c>
      <c r="H1781" t="s">
        <v>15523</v>
      </c>
      <c r="I1781" t="s">
        <v>16180</v>
      </c>
      <c r="K1781" t="e">
        <v>#N/A</v>
      </c>
      <c r="S1781" s="3"/>
    </row>
    <row r="1782" spans="1:19" x14ac:dyDescent="0.25">
      <c r="A1782" t="s">
        <v>5542</v>
      </c>
      <c r="B1782" t="s">
        <v>5543</v>
      </c>
      <c r="C1782" t="s">
        <v>16179</v>
      </c>
      <c r="D1782" t="s">
        <v>47</v>
      </c>
      <c r="E1782">
        <v>5009</v>
      </c>
      <c r="F1782" s="3">
        <v>41660</v>
      </c>
      <c r="H1782" t="s">
        <v>15523</v>
      </c>
      <c r="I1782" t="s">
        <v>16180</v>
      </c>
      <c r="K1782" t="e">
        <v>#N/A</v>
      </c>
      <c r="S1782" s="3"/>
    </row>
    <row r="1783" spans="1:19" x14ac:dyDescent="0.25">
      <c r="A1783" t="s">
        <v>5544</v>
      </c>
      <c r="B1783" t="s">
        <v>5545</v>
      </c>
      <c r="C1783" t="s">
        <v>16179</v>
      </c>
      <c r="D1783" t="s">
        <v>47</v>
      </c>
      <c r="E1783">
        <v>3937</v>
      </c>
      <c r="F1783" s="3">
        <v>40702</v>
      </c>
      <c r="H1783" t="s">
        <v>15523</v>
      </c>
      <c r="I1783" t="s">
        <v>16180</v>
      </c>
      <c r="K1783" t="e">
        <v>#N/A</v>
      </c>
      <c r="S1783" s="3"/>
    </row>
    <row r="1784" spans="1:19" x14ac:dyDescent="0.25">
      <c r="A1784" t="s">
        <v>5546</v>
      </c>
      <c r="B1784" t="s">
        <v>5547</v>
      </c>
      <c r="C1784" t="s">
        <v>16179</v>
      </c>
      <c r="D1784" t="s">
        <v>2779</v>
      </c>
      <c r="E1784">
        <v>3963</v>
      </c>
      <c r="F1784" s="3">
        <v>40783</v>
      </c>
      <c r="H1784" t="s">
        <v>15523</v>
      </c>
      <c r="I1784" t="s">
        <v>16180</v>
      </c>
      <c r="K1784" t="e">
        <v>#N/A</v>
      </c>
      <c r="S1784" s="3"/>
    </row>
    <row r="1785" spans="1:19" x14ac:dyDescent="0.25">
      <c r="A1785" t="s">
        <v>5548</v>
      </c>
      <c r="B1785" t="s">
        <v>5549</v>
      </c>
      <c r="C1785" t="s">
        <v>16179</v>
      </c>
      <c r="D1785" t="s">
        <v>47</v>
      </c>
      <c r="E1785">
        <v>3948</v>
      </c>
      <c r="F1785" s="3">
        <v>40702</v>
      </c>
      <c r="H1785" t="s">
        <v>15523</v>
      </c>
      <c r="I1785" t="s">
        <v>16180</v>
      </c>
      <c r="K1785" t="e">
        <v>#N/A</v>
      </c>
      <c r="S1785" s="3"/>
    </row>
    <row r="1786" spans="1:19" x14ac:dyDescent="0.25">
      <c r="A1786" t="s">
        <v>5550</v>
      </c>
      <c r="B1786" t="s">
        <v>5551</v>
      </c>
      <c r="C1786" t="s">
        <v>16179</v>
      </c>
      <c r="D1786" t="s">
        <v>47</v>
      </c>
      <c r="E1786">
        <v>3975</v>
      </c>
      <c r="F1786" s="3">
        <v>43442</v>
      </c>
      <c r="H1786" t="s">
        <v>15523</v>
      </c>
      <c r="I1786" t="s">
        <v>16180</v>
      </c>
      <c r="K1786" t="e">
        <v>#N/A</v>
      </c>
      <c r="S1786" s="3"/>
    </row>
    <row r="1787" spans="1:19" x14ac:dyDescent="0.25">
      <c r="A1787" t="s">
        <v>5552</v>
      </c>
      <c r="B1787" t="s">
        <v>5553</v>
      </c>
      <c r="C1787" t="s">
        <v>16179</v>
      </c>
      <c r="D1787" t="s">
        <v>47</v>
      </c>
      <c r="E1787">
        <v>5010</v>
      </c>
      <c r="F1787" s="3">
        <v>41660</v>
      </c>
      <c r="H1787" t="s">
        <v>15523</v>
      </c>
      <c r="I1787" t="s">
        <v>16180</v>
      </c>
      <c r="K1787" t="e">
        <v>#N/A</v>
      </c>
      <c r="S1787" s="3"/>
    </row>
    <row r="1788" spans="1:19" x14ac:dyDescent="0.25">
      <c r="A1788" t="s">
        <v>5554</v>
      </c>
      <c r="B1788" t="s">
        <v>5555</v>
      </c>
      <c r="C1788" t="s">
        <v>5556</v>
      </c>
      <c r="D1788" t="s">
        <v>23</v>
      </c>
      <c r="E1788">
        <v>3895</v>
      </c>
      <c r="F1788" s="3">
        <v>41895</v>
      </c>
      <c r="H1788" t="s">
        <v>15523</v>
      </c>
      <c r="I1788" t="s">
        <v>16906</v>
      </c>
      <c r="K1788" t="e">
        <v>#N/A</v>
      </c>
      <c r="S1788" s="3"/>
    </row>
    <row r="1789" spans="1:19" x14ac:dyDescent="0.25">
      <c r="A1789" t="s">
        <v>5557</v>
      </c>
      <c r="B1789" t="s">
        <v>5558</v>
      </c>
      <c r="C1789" t="s">
        <v>5559</v>
      </c>
      <c r="D1789" t="s">
        <v>23</v>
      </c>
      <c r="E1789">
        <v>3898</v>
      </c>
      <c r="F1789" s="3">
        <v>41895</v>
      </c>
      <c r="H1789" t="s">
        <v>15523</v>
      </c>
      <c r="I1789" t="s">
        <v>16907</v>
      </c>
      <c r="K1789" t="e">
        <v>#N/A</v>
      </c>
      <c r="S1789" s="3"/>
    </row>
    <row r="1790" spans="1:19" x14ac:dyDescent="0.25">
      <c r="A1790" t="s">
        <v>5560</v>
      </c>
      <c r="B1790" t="s">
        <v>5561</v>
      </c>
      <c r="C1790" t="s">
        <v>5562</v>
      </c>
      <c r="D1790" t="s">
        <v>23</v>
      </c>
      <c r="E1790">
        <v>3931</v>
      </c>
      <c r="F1790" s="3">
        <v>41895</v>
      </c>
      <c r="H1790" t="s">
        <v>15523</v>
      </c>
      <c r="I1790" t="s">
        <v>16908</v>
      </c>
      <c r="K1790" t="e">
        <v>#N/A</v>
      </c>
      <c r="S1790" s="3"/>
    </row>
    <row r="1791" spans="1:19" x14ac:dyDescent="0.25">
      <c r="A1791" t="s">
        <v>5563</v>
      </c>
      <c r="B1791" t="s">
        <v>5564</v>
      </c>
      <c r="C1791" t="s">
        <v>5565</v>
      </c>
      <c r="D1791" t="s">
        <v>23</v>
      </c>
      <c r="E1791">
        <v>3932</v>
      </c>
      <c r="F1791" s="3">
        <v>41895</v>
      </c>
      <c r="H1791" t="s">
        <v>15523</v>
      </c>
      <c r="I1791" t="s">
        <v>16909</v>
      </c>
      <c r="K1791" t="e">
        <v>#N/A</v>
      </c>
      <c r="S1791" s="3"/>
    </row>
    <row r="1792" spans="1:19" x14ac:dyDescent="0.25">
      <c r="A1792" t="s">
        <v>410</v>
      </c>
      <c r="B1792" t="s">
        <v>412</v>
      </c>
      <c r="C1792" t="s">
        <v>413</v>
      </c>
      <c r="D1792" t="s">
        <v>23</v>
      </c>
      <c r="E1792">
        <v>1112</v>
      </c>
      <c r="F1792" s="3">
        <v>40702</v>
      </c>
      <c r="H1792" t="s">
        <v>15523</v>
      </c>
      <c r="I1792" t="s">
        <v>16910</v>
      </c>
      <c r="K1792">
        <v>109</v>
      </c>
      <c r="S1792" s="3"/>
    </row>
    <row r="1793" spans="1:19" x14ac:dyDescent="0.25">
      <c r="A1793" t="s">
        <v>5566</v>
      </c>
      <c r="B1793" t="s">
        <v>5567</v>
      </c>
      <c r="C1793" t="s">
        <v>5568</v>
      </c>
      <c r="D1793" t="s">
        <v>23</v>
      </c>
      <c r="E1793">
        <v>4073</v>
      </c>
      <c r="F1793" s="3">
        <v>40702</v>
      </c>
      <c r="H1793" t="s">
        <v>15523</v>
      </c>
      <c r="I1793" t="s">
        <v>16911</v>
      </c>
      <c r="K1793" t="e">
        <v>#N/A</v>
      </c>
      <c r="S1793" s="3"/>
    </row>
    <row r="1794" spans="1:19" x14ac:dyDescent="0.25">
      <c r="A1794" t="s">
        <v>198</v>
      </c>
      <c r="B1794" t="s">
        <v>200</v>
      </c>
      <c r="C1794" t="s">
        <v>201</v>
      </c>
      <c r="D1794" t="s">
        <v>23</v>
      </c>
      <c r="E1794">
        <v>1115</v>
      </c>
      <c r="F1794" s="3">
        <v>40702</v>
      </c>
      <c r="H1794" t="s">
        <v>15523</v>
      </c>
      <c r="I1794" t="s">
        <v>16912</v>
      </c>
      <c r="K1794">
        <v>55</v>
      </c>
      <c r="S1794" s="3"/>
    </row>
    <row r="1795" spans="1:19" x14ac:dyDescent="0.25">
      <c r="A1795" t="s">
        <v>5569</v>
      </c>
      <c r="B1795" t="s">
        <v>5570</v>
      </c>
      <c r="C1795" t="s">
        <v>5571</v>
      </c>
      <c r="D1795" t="s">
        <v>23</v>
      </c>
      <c r="E1795">
        <v>4092</v>
      </c>
      <c r="F1795" s="3">
        <v>40702</v>
      </c>
      <c r="H1795" t="s">
        <v>15523</v>
      </c>
      <c r="I1795" t="s">
        <v>16913</v>
      </c>
      <c r="K1795" t="e">
        <v>#N/A</v>
      </c>
      <c r="S1795" s="3"/>
    </row>
    <row r="1796" spans="1:19" x14ac:dyDescent="0.25">
      <c r="A1796" t="s">
        <v>594</v>
      </c>
      <c r="B1796" t="s">
        <v>596</v>
      </c>
      <c r="C1796" t="s">
        <v>597</v>
      </c>
      <c r="D1796" t="s">
        <v>23</v>
      </c>
      <c r="E1796">
        <v>4097</v>
      </c>
      <c r="F1796" s="3">
        <v>40915</v>
      </c>
      <c r="H1796" t="s">
        <v>15523</v>
      </c>
      <c r="I1796" t="s">
        <v>16914</v>
      </c>
      <c r="K1796">
        <v>155</v>
      </c>
      <c r="S1796" s="3"/>
    </row>
    <row r="1797" spans="1:19" x14ac:dyDescent="0.25">
      <c r="A1797" t="s">
        <v>465</v>
      </c>
      <c r="B1797" t="s">
        <v>467</v>
      </c>
      <c r="C1797" t="s">
        <v>468</v>
      </c>
      <c r="D1797" t="s">
        <v>23</v>
      </c>
      <c r="E1797">
        <v>4098</v>
      </c>
      <c r="F1797" s="3">
        <v>40702</v>
      </c>
      <c r="H1797" t="s">
        <v>15523</v>
      </c>
      <c r="I1797" t="s">
        <v>16915</v>
      </c>
      <c r="K1797">
        <v>123</v>
      </c>
      <c r="S1797" s="3"/>
    </row>
    <row r="1798" spans="1:19" x14ac:dyDescent="0.25">
      <c r="A1798" t="s">
        <v>5572</v>
      </c>
      <c r="B1798" t="s">
        <v>5573</v>
      </c>
      <c r="C1798" t="s">
        <v>5574</v>
      </c>
      <c r="D1798" t="s">
        <v>23</v>
      </c>
      <c r="E1798">
        <v>4099</v>
      </c>
      <c r="F1798" s="3">
        <v>40702</v>
      </c>
      <c r="H1798" t="s">
        <v>15523</v>
      </c>
      <c r="I1798" t="s">
        <v>16916</v>
      </c>
      <c r="K1798" t="e">
        <v>#N/A</v>
      </c>
      <c r="S1798" s="3"/>
    </row>
    <row r="1799" spans="1:19" x14ac:dyDescent="0.25">
      <c r="A1799" t="s">
        <v>5575</v>
      </c>
      <c r="B1799" t="s">
        <v>5576</v>
      </c>
      <c r="C1799" t="s">
        <v>5577</v>
      </c>
      <c r="D1799" t="s">
        <v>23</v>
      </c>
      <c r="E1799">
        <v>4100</v>
      </c>
      <c r="F1799" s="3">
        <v>40702</v>
      </c>
      <c r="H1799" t="s">
        <v>15523</v>
      </c>
      <c r="I1799" t="s">
        <v>16917</v>
      </c>
      <c r="K1799" t="e">
        <v>#N/A</v>
      </c>
      <c r="S1799" s="3"/>
    </row>
    <row r="1800" spans="1:19" x14ac:dyDescent="0.25">
      <c r="A1800" t="s">
        <v>5578</v>
      </c>
      <c r="B1800" t="s">
        <v>5579</v>
      </c>
      <c r="C1800" t="s">
        <v>5580</v>
      </c>
      <c r="D1800" t="s">
        <v>23</v>
      </c>
      <c r="E1800">
        <v>3965</v>
      </c>
      <c r="F1800" s="3">
        <v>41852</v>
      </c>
      <c r="H1800" t="s">
        <v>15523</v>
      </c>
      <c r="I1800" t="s">
        <v>16918</v>
      </c>
      <c r="K1800" t="e">
        <v>#N/A</v>
      </c>
      <c r="S1800" s="3"/>
    </row>
    <row r="1801" spans="1:19" x14ac:dyDescent="0.25">
      <c r="A1801" t="s">
        <v>645</v>
      </c>
      <c r="B1801" t="s">
        <v>647</v>
      </c>
      <c r="C1801" t="s">
        <v>648</v>
      </c>
      <c r="D1801" t="s">
        <v>23</v>
      </c>
      <c r="E1801">
        <v>4105</v>
      </c>
      <c r="F1801" s="3">
        <v>40915</v>
      </c>
      <c r="H1801" t="s">
        <v>15523</v>
      </c>
      <c r="I1801" t="s">
        <v>16919</v>
      </c>
      <c r="K1801">
        <v>168</v>
      </c>
      <c r="S1801" s="3"/>
    </row>
    <row r="1802" spans="1:19" x14ac:dyDescent="0.25">
      <c r="A1802" t="s">
        <v>5581</v>
      </c>
      <c r="B1802" t="s">
        <v>5582</v>
      </c>
      <c r="C1802" t="s">
        <v>5583</v>
      </c>
      <c r="D1802" t="s">
        <v>23</v>
      </c>
      <c r="E1802">
        <v>4106</v>
      </c>
      <c r="F1802" s="3">
        <v>40702</v>
      </c>
      <c r="H1802" t="s">
        <v>15523</v>
      </c>
      <c r="I1802" t="s">
        <v>16920</v>
      </c>
      <c r="K1802" t="e">
        <v>#N/A</v>
      </c>
      <c r="S1802" s="3"/>
    </row>
    <row r="1803" spans="1:19" x14ac:dyDescent="0.25">
      <c r="A1803" t="s">
        <v>5584</v>
      </c>
      <c r="B1803" t="s">
        <v>5585</v>
      </c>
      <c r="C1803" t="s">
        <v>16179</v>
      </c>
      <c r="D1803" t="s">
        <v>47</v>
      </c>
      <c r="E1803">
        <v>3949</v>
      </c>
      <c r="F1803" s="3">
        <v>40702</v>
      </c>
      <c r="H1803" t="s">
        <v>15523</v>
      </c>
      <c r="I1803" t="s">
        <v>16180</v>
      </c>
      <c r="K1803" t="e">
        <v>#N/A</v>
      </c>
      <c r="S1803" s="3"/>
    </row>
    <row r="1804" spans="1:19" x14ac:dyDescent="0.25">
      <c r="A1804" t="s">
        <v>5586</v>
      </c>
      <c r="B1804" t="s">
        <v>5587</v>
      </c>
      <c r="C1804" t="s">
        <v>16179</v>
      </c>
      <c r="D1804" t="s">
        <v>2820</v>
      </c>
      <c r="E1804">
        <v>5864</v>
      </c>
      <c r="F1804" s="3">
        <v>43078</v>
      </c>
      <c r="H1804" t="s">
        <v>15523</v>
      </c>
      <c r="I1804" t="s">
        <v>16180</v>
      </c>
      <c r="K1804" t="e">
        <v>#N/A</v>
      </c>
      <c r="S1804" s="3"/>
    </row>
    <row r="1805" spans="1:19" x14ac:dyDescent="0.25">
      <c r="A1805" t="s">
        <v>5588</v>
      </c>
      <c r="B1805" t="s">
        <v>5589</v>
      </c>
      <c r="C1805" t="s">
        <v>16179</v>
      </c>
      <c r="D1805" t="s">
        <v>666</v>
      </c>
      <c r="E1805">
        <v>3986</v>
      </c>
      <c r="F1805" s="3">
        <v>40702</v>
      </c>
      <c r="H1805" t="s">
        <v>15523</v>
      </c>
      <c r="I1805" t="s">
        <v>16180</v>
      </c>
      <c r="K1805" t="e">
        <v>#N/A</v>
      </c>
      <c r="S1805" s="3"/>
    </row>
    <row r="1806" spans="1:19" x14ac:dyDescent="0.25">
      <c r="A1806" t="s">
        <v>5590</v>
      </c>
      <c r="B1806" t="s">
        <v>5591</v>
      </c>
      <c r="C1806" t="s">
        <v>16179</v>
      </c>
      <c r="D1806" t="s">
        <v>666</v>
      </c>
      <c r="E1806">
        <v>3988</v>
      </c>
      <c r="F1806" s="3">
        <v>40702</v>
      </c>
      <c r="H1806" t="s">
        <v>15523</v>
      </c>
      <c r="I1806" t="s">
        <v>16180</v>
      </c>
      <c r="K1806" t="e">
        <v>#N/A</v>
      </c>
      <c r="S1806" s="3"/>
    </row>
    <row r="1807" spans="1:19" x14ac:dyDescent="0.25">
      <c r="A1807" t="s">
        <v>5592</v>
      </c>
      <c r="B1807" t="s">
        <v>5593</v>
      </c>
      <c r="C1807" t="s">
        <v>16179</v>
      </c>
      <c r="D1807" t="s">
        <v>2820</v>
      </c>
      <c r="E1807">
        <v>5721</v>
      </c>
      <c r="F1807" s="3">
        <v>42707</v>
      </c>
      <c r="H1807" t="s">
        <v>15523</v>
      </c>
      <c r="I1807" t="s">
        <v>16180</v>
      </c>
      <c r="K1807" t="e">
        <v>#N/A</v>
      </c>
      <c r="S1807" s="3"/>
    </row>
    <row r="1808" spans="1:19" x14ac:dyDescent="0.25">
      <c r="A1808" t="s">
        <v>5594</v>
      </c>
      <c r="B1808" t="s">
        <v>5595</v>
      </c>
      <c r="C1808" t="s">
        <v>16179</v>
      </c>
      <c r="D1808" t="s">
        <v>2820</v>
      </c>
      <c r="E1808">
        <v>5865</v>
      </c>
      <c r="F1808" s="3">
        <v>43078</v>
      </c>
      <c r="H1808" t="s">
        <v>15523</v>
      </c>
      <c r="I1808" t="s">
        <v>16180</v>
      </c>
      <c r="K1808" t="e">
        <v>#N/A</v>
      </c>
      <c r="S1808" s="3"/>
    </row>
    <row r="1809" spans="1:19" x14ac:dyDescent="0.25">
      <c r="A1809" t="s">
        <v>5596</v>
      </c>
      <c r="B1809" t="s">
        <v>5597</v>
      </c>
      <c r="C1809" t="s">
        <v>16179</v>
      </c>
      <c r="D1809" t="s">
        <v>2820</v>
      </c>
      <c r="E1809">
        <v>5909</v>
      </c>
      <c r="F1809" s="3">
        <v>43200</v>
      </c>
      <c r="H1809" t="s">
        <v>15523</v>
      </c>
      <c r="I1809" t="s">
        <v>16180</v>
      </c>
      <c r="K1809" t="e">
        <v>#N/A</v>
      </c>
      <c r="S1809" s="3"/>
    </row>
    <row r="1810" spans="1:19" x14ac:dyDescent="0.25">
      <c r="A1810" t="s">
        <v>5598</v>
      </c>
      <c r="B1810" t="s">
        <v>5599</v>
      </c>
      <c r="C1810" t="s">
        <v>16179</v>
      </c>
      <c r="D1810" t="s">
        <v>666</v>
      </c>
      <c r="E1810">
        <v>5692</v>
      </c>
      <c r="F1810" s="3">
        <v>42707</v>
      </c>
      <c r="H1810" t="s">
        <v>15523</v>
      </c>
      <c r="I1810" t="s">
        <v>16180</v>
      </c>
      <c r="K1810" t="e">
        <v>#N/A</v>
      </c>
      <c r="S1810" s="3"/>
    </row>
    <row r="1811" spans="1:19" x14ac:dyDescent="0.25">
      <c r="A1811" t="s">
        <v>5600</v>
      </c>
      <c r="B1811" t="s">
        <v>5601</v>
      </c>
      <c r="C1811" t="s">
        <v>16179</v>
      </c>
      <c r="D1811" t="s">
        <v>2820</v>
      </c>
      <c r="E1811">
        <v>5911</v>
      </c>
      <c r="F1811" s="3">
        <v>43200</v>
      </c>
      <c r="H1811" t="s">
        <v>15523</v>
      </c>
      <c r="I1811" t="s">
        <v>16180</v>
      </c>
      <c r="K1811" t="e">
        <v>#N/A</v>
      </c>
      <c r="S1811" s="3"/>
    </row>
    <row r="1812" spans="1:19" x14ac:dyDescent="0.25">
      <c r="A1812" t="s">
        <v>5602</v>
      </c>
      <c r="B1812" t="s">
        <v>5603</v>
      </c>
      <c r="C1812" t="s">
        <v>16179</v>
      </c>
      <c r="D1812" t="s">
        <v>2820</v>
      </c>
      <c r="E1812">
        <v>5910</v>
      </c>
      <c r="F1812" s="3">
        <v>43200</v>
      </c>
      <c r="H1812" t="s">
        <v>15523</v>
      </c>
      <c r="I1812" t="s">
        <v>16180</v>
      </c>
      <c r="K1812" t="e">
        <v>#N/A</v>
      </c>
      <c r="S1812" s="3"/>
    </row>
    <row r="1813" spans="1:19" x14ac:dyDescent="0.25">
      <c r="A1813" t="s">
        <v>5604</v>
      </c>
      <c r="B1813" t="s">
        <v>5605</v>
      </c>
      <c r="C1813" t="s">
        <v>16179</v>
      </c>
      <c r="D1813" t="s">
        <v>2820</v>
      </c>
      <c r="E1813">
        <v>5908</v>
      </c>
      <c r="F1813" s="3">
        <v>43200</v>
      </c>
      <c r="H1813" t="s">
        <v>15523</v>
      </c>
      <c r="I1813" t="s">
        <v>16180</v>
      </c>
      <c r="K1813" t="e">
        <v>#N/A</v>
      </c>
      <c r="S1813" s="3"/>
    </row>
    <row r="1814" spans="1:19" x14ac:dyDescent="0.25">
      <c r="A1814" t="s">
        <v>5606</v>
      </c>
      <c r="B1814" t="s">
        <v>5607</v>
      </c>
      <c r="C1814" t="s">
        <v>16179</v>
      </c>
      <c r="D1814" t="s">
        <v>666</v>
      </c>
      <c r="E1814">
        <v>5691</v>
      </c>
      <c r="F1814" s="3">
        <v>42707</v>
      </c>
      <c r="H1814" t="s">
        <v>15523</v>
      </c>
      <c r="I1814" t="s">
        <v>16180</v>
      </c>
      <c r="K1814" t="e">
        <v>#N/A</v>
      </c>
      <c r="S1814" s="3"/>
    </row>
    <row r="1815" spans="1:19" x14ac:dyDescent="0.25">
      <c r="A1815" t="s">
        <v>5608</v>
      </c>
      <c r="B1815" t="s">
        <v>5609</v>
      </c>
      <c r="C1815" t="s">
        <v>16179</v>
      </c>
      <c r="D1815" t="s">
        <v>666</v>
      </c>
      <c r="E1815">
        <v>5915</v>
      </c>
      <c r="F1815" s="3">
        <v>43200</v>
      </c>
      <c r="H1815" t="s">
        <v>15523</v>
      </c>
      <c r="I1815" t="s">
        <v>16180</v>
      </c>
      <c r="K1815" t="e">
        <v>#N/A</v>
      </c>
      <c r="S1815" s="3"/>
    </row>
    <row r="1816" spans="1:19" x14ac:dyDescent="0.25">
      <c r="A1816" t="s">
        <v>5610</v>
      </c>
      <c r="B1816" t="s">
        <v>5611</v>
      </c>
      <c r="C1816" t="s">
        <v>16179</v>
      </c>
      <c r="D1816" t="s">
        <v>666</v>
      </c>
      <c r="E1816">
        <v>5930</v>
      </c>
      <c r="F1816" s="3">
        <v>43200</v>
      </c>
      <c r="H1816" t="s">
        <v>15523</v>
      </c>
      <c r="I1816" t="s">
        <v>16180</v>
      </c>
      <c r="K1816" t="e">
        <v>#N/A</v>
      </c>
      <c r="S1816" s="3"/>
    </row>
    <row r="1817" spans="1:19" x14ac:dyDescent="0.25">
      <c r="A1817" t="s">
        <v>5612</v>
      </c>
      <c r="B1817" t="s">
        <v>5613</v>
      </c>
      <c r="C1817" t="s">
        <v>16179</v>
      </c>
      <c r="D1817" t="s">
        <v>666</v>
      </c>
      <c r="E1817">
        <v>5687</v>
      </c>
      <c r="F1817" s="3">
        <v>42707</v>
      </c>
      <c r="H1817" t="s">
        <v>15523</v>
      </c>
      <c r="I1817" t="s">
        <v>16180</v>
      </c>
      <c r="K1817" t="e">
        <v>#N/A</v>
      </c>
      <c r="S1817" s="3"/>
    </row>
    <row r="1818" spans="1:19" x14ac:dyDescent="0.25">
      <c r="A1818" t="s">
        <v>5614</v>
      </c>
      <c r="B1818" t="s">
        <v>5615</v>
      </c>
      <c r="C1818" t="s">
        <v>16179</v>
      </c>
      <c r="D1818" t="s">
        <v>666</v>
      </c>
      <c r="E1818">
        <v>5688</v>
      </c>
      <c r="F1818" s="3">
        <v>42707</v>
      </c>
      <c r="H1818" t="s">
        <v>15523</v>
      </c>
      <c r="I1818" t="s">
        <v>16180</v>
      </c>
      <c r="K1818" t="e">
        <v>#N/A</v>
      </c>
      <c r="S1818" s="3"/>
    </row>
    <row r="1819" spans="1:19" x14ac:dyDescent="0.25">
      <c r="A1819" t="s">
        <v>5616</v>
      </c>
      <c r="B1819" t="s">
        <v>5617</v>
      </c>
      <c r="C1819" t="s">
        <v>16179</v>
      </c>
      <c r="D1819" t="s">
        <v>666</v>
      </c>
      <c r="E1819">
        <v>5690</v>
      </c>
      <c r="F1819" s="3">
        <v>42707</v>
      </c>
      <c r="H1819" t="s">
        <v>15523</v>
      </c>
      <c r="I1819" t="s">
        <v>16180</v>
      </c>
      <c r="K1819" t="e">
        <v>#N/A</v>
      </c>
      <c r="S1819" s="3"/>
    </row>
    <row r="1820" spans="1:19" x14ac:dyDescent="0.25">
      <c r="A1820" t="s">
        <v>5618</v>
      </c>
      <c r="B1820" t="s">
        <v>5619</v>
      </c>
      <c r="C1820" t="s">
        <v>16179</v>
      </c>
      <c r="D1820" t="s">
        <v>666</v>
      </c>
      <c r="E1820">
        <v>5689</v>
      </c>
      <c r="F1820" s="3">
        <v>42707</v>
      </c>
      <c r="H1820" t="s">
        <v>15523</v>
      </c>
      <c r="I1820" t="s">
        <v>16180</v>
      </c>
      <c r="K1820" t="e">
        <v>#N/A</v>
      </c>
      <c r="S1820" s="3"/>
    </row>
    <row r="1821" spans="1:19" x14ac:dyDescent="0.25">
      <c r="A1821" t="s">
        <v>5620</v>
      </c>
      <c r="B1821" t="s">
        <v>5621</v>
      </c>
      <c r="C1821" t="s">
        <v>16179</v>
      </c>
      <c r="D1821" t="s">
        <v>666</v>
      </c>
      <c r="E1821">
        <v>5914</v>
      </c>
      <c r="F1821" s="3">
        <v>43200</v>
      </c>
      <c r="H1821" t="s">
        <v>15523</v>
      </c>
      <c r="I1821" t="s">
        <v>16180</v>
      </c>
      <c r="K1821" t="e">
        <v>#N/A</v>
      </c>
      <c r="S1821" s="3"/>
    </row>
    <row r="1822" spans="1:19" x14ac:dyDescent="0.25">
      <c r="A1822" t="s">
        <v>5622</v>
      </c>
      <c r="B1822" t="s">
        <v>5623</v>
      </c>
      <c r="C1822" t="s">
        <v>16179</v>
      </c>
      <c r="D1822" t="s">
        <v>666</v>
      </c>
      <c r="E1822">
        <v>5919</v>
      </c>
      <c r="F1822" s="3">
        <v>43200</v>
      </c>
      <c r="H1822" t="s">
        <v>15523</v>
      </c>
      <c r="I1822" t="s">
        <v>16180</v>
      </c>
      <c r="K1822" t="e">
        <v>#N/A</v>
      </c>
      <c r="S1822" s="3"/>
    </row>
    <row r="1823" spans="1:19" x14ac:dyDescent="0.25">
      <c r="A1823" t="s">
        <v>5624</v>
      </c>
      <c r="B1823" t="s">
        <v>5625</v>
      </c>
      <c r="C1823" t="s">
        <v>16179</v>
      </c>
      <c r="D1823" t="s">
        <v>666</v>
      </c>
      <c r="E1823">
        <v>5916</v>
      </c>
      <c r="F1823" s="3">
        <v>43200</v>
      </c>
      <c r="H1823" t="s">
        <v>15523</v>
      </c>
      <c r="I1823" t="s">
        <v>16180</v>
      </c>
      <c r="K1823" t="e">
        <v>#N/A</v>
      </c>
      <c r="S1823" s="3"/>
    </row>
    <row r="1824" spans="1:19" x14ac:dyDescent="0.25">
      <c r="A1824" t="s">
        <v>5626</v>
      </c>
      <c r="B1824" t="s">
        <v>5627</v>
      </c>
      <c r="C1824" t="s">
        <v>16179</v>
      </c>
      <c r="D1824" t="s">
        <v>666</v>
      </c>
      <c r="E1824">
        <v>5918</v>
      </c>
      <c r="F1824" s="3">
        <v>43200</v>
      </c>
      <c r="H1824" t="s">
        <v>15523</v>
      </c>
      <c r="I1824" t="s">
        <v>16180</v>
      </c>
      <c r="K1824" t="e">
        <v>#N/A</v>
      </c>
      <c r="S1824" s="3"/>
    </row>
    <row r="1825" spans="1:19" x14ac:dyDescent="0.25">
      <c r="A1825" t="s">
        <v>5628</v>
      </c>
      <c r="B1825" t="s">
        <v>5629</v>
      </c>
      <c r="C1825" t="s">
        <v>16179</v>
      </c>
      <c r="D1825" t="s">
        <v>666</v>
      </c>
      <c r="E1825">
        <v>5913</v>
      </c>
      <c r="F1825" s="3">
        <v>43200</v>
      </c>
      <c r="H1825" t="s">
        <v>15523</v>
      </c>
      <c r="I1825" t="s">
        <v>16180</v>
      </c>
      <c r="K1825" t="e">
        <v>#N/A</v>
      </c>
      <c r="S1825" s="3"/>
    </row>
    <row r="1826" spans="1:19" x14ac:dyDescent="0.25">
      <c r="A1826" t="s">
        <v>5630</v>
      </c>
      <c r="B1826" t="s">
        <v>5631</v>
      </c>
      <c r="C1826" t="s">
        <v>16179</v>
      </c>
      <c r="D1826" t="s">
        <v>666</v>
      </c>
      <c r="E1826">
        <v>5912</v>
      </c>
      <c r="F1826" s="3">
        <v>43200</v>
      </c>
      <c r="H1826" t="s">
        <v>15523</v>
      </c>
      <c r="I1826" t="s">
        <v>16180</v>
      </c>
      <c r="K1826" t="e">
        <v>#N/A</v>
      </c>
      <c r="S1826" s="3"/>
    </row>
    <row r="1827" spans="1:19" x14ac:dyDescent="0.25">
      <c r="A1827" t="s">
        <v>5632</v>
      </c>
      <c r="B1827" t="s">
        <v>5633</v>
      </c>
      <c r="C1827" t="s">
        <v>16179</v>
      </c>
      <c r="D1827" t="s">
        <v>666</v>
      </c>
      <c r="E1827">
        <v>5917</v>
      </c>
      <c r="F1827" s="3">
        <v>43200</v>
      </c>
      <c r="H1827" t="s">
        <v>15523</v>
      </c>
      <c r="I1827" t="s">
        <v>16180</v>
      </c>
      <c r="K1827" t="e">
        <v>#N/A</v>
      </c>
      <c r="S1827" s="3"/>
    </row>
    <row r="1828" spans="1:19" x14ac:dyDescent="0.25">
      <c r="A1828" t="s">
        <v>5634</v>
      </c>
      <c r="B1828" t="s">
        <v>5635</v>
      </c>
      <c r="C1828" t="s">
        <v>16179</v>
      </c>
      <c r="D1828" t="s">
        <v>666</v>
      </c>
      <c r="E1828">
        <v>5920</v>
      </c>
      <c r="F1828" s="3">
        <v>43200</v>
      </c>
      <c r="H1828" t="s">
        <v>15523</v>
      </c>
      <c r="I1828" t="s">
        <v>16180</v>
      </c>
      <c r="K1828" t="e">
        <v>#N/A</v>
      </c>
      <c r="S1828" s="3"/>
    </row>
    <row r="1829" spans="1:19" x14ac:dyDescent="0.25">
      <c r="A1829" t="s">
        <v>5636</v>
      </c>
      <c r="B1829" t="s">
        <v>5637</v>
      </c>
      <c r="C1829" t="s">
        <v>16179</v>
      </c>
      <c r="D1829" t="s">
        <v>666</v>
      </c>
      <c r="E1829">
        <v>5921</v>
      </c>
      <c r="F1829" s="3">
        <v>43200</v>
      </c>
      <c r="H1829" t="s">
        <v>15523</v>
      </c>
      <c r="I1829" t="s">
        <v>16180</v>
      </c>
      <c r="K1829" t="e">
        <v>#N/A</v>
      </c>
      <c r="S1829" s="3"/>
    </row>
    <row r="1830" spans="1:19" x14ac:dyDescent="0.25">
      <c r="A1830" t="s">
        <v>5638</v>
      </c>
      <c r="B1830" t="s">
        <v>5639</v>
      </c>
      <c r="C1830" t="s">
        <v>16179</v>
      </c>
      <c r="D1830" t="s">
        <v>666</v>
      </c>
      <c r="E1830">
        <v>5922</v>
      </c>
      <c r="F1830" s="3">
        <v>43200</v>
      </c>
      <c r="H1830" t="s">
        <v>15523</v>
      </c>
      <c r="I1830" t="s">
        <v>16180</v>
      </c>
      <c r="K1830" t="e">
        <v>#N/A</v>
      </c>
      <c r="S1830" s="3"/>
    </row>
    <row r="1831" spans="1:19" x14ac:dyDescent="0.25">
      <c r="A1831" t="s">
        <v>5640</v>
      </c>
      <c r="B1831" t="s">
        <v>5641</v>
      </c>
      <c r="C1831" t="s">
        <v>16179</v>
      </c>
      <c r="D1831" t="s">
        <v>666</v>
      </c>
      <c r="E1831">
        <v>5923</v>
      </c>
      <c r="F1831" s="3">
        <v>43200</v>
      </c>
      <c r="H1831" t="s">
        <v>15523</v>
      </c>
      <c r="I1831" t="s">
        <v>16180</v>
      </c>
      <c r="K1831" t="e">
        <v>#N/A</v>
      </c>
      <c r="S1831" s="3"/>
    </row>
    <row r="1832" spans="1:19" x14ac:dyDescent="0.25">
      <c r="A1832" t="s">
        <v>5642</v>
      </c>
      <c r="B1832" t="s">
        <v>5643</v>
      </c>
      <c r="C1832" t="s">
        <v>16179</v>
      </c>
      <c r="D1832" t="s">
        <v>666</v>
      </c>
      <c r="E1832">
        <v>5924</v>
      </c>
      <c r="F1832" s="3">
        <v>43200</v>
      </c>
      <c r="H1832" t="s">
        <v>15523</v>
      </c>
      <c r="I1832" t="s">
        <v>16180</v>
      </c>
      <c r="K1832" t="e">
        <v>#N/A</v>
      </c>
      <c r="S1832" s="3"/>
    </row>
    <row r="1833" spans="1:19" x14ac:dyDescent="0.25">
      <c r="A1833" t="s">
        <v>5644</v>
      </c>
      <c r="B1833" t="s">
        <v>5645</v>
      </c>
      <c r="C1833" t="s">
        <v>16179</v>
      </c>
      <c r="D1833" t="s">
        <v>666</v>
      </c>
      <c r="E1833">
        <v>5925</v>
      </c>
      <c r="F1833" s="3">
        <v>43200</v>
      </c>
      <c r="H1833" t="s">
        <v>15523</v>
      </c>
      <c r="I1833" t="s">
        <v>16180</v>
      </c>
      <c r="K1833" t="e">
        <v>#N/A</v>
      </c>
      <c r="S1833" s="3"/>
    </row>
    <row r="1834" spans="1:19" x14ac:dyDescent="0.25">
      <c r="A1834" t="s">
        <v>5646</v>
      </c>
      <c r="B1834" t="s">
        <v>5647</v>
      </c>
      <c r="C1834" t="s">
        <v>16179</v>
      </c>
      <c r="D1834" t="s">
        <v>666</v>
      </c>
      <c r="E1834">
        <v>5926</v>
      </c>
      <c r="F1834" s="3">
        <v>43200</v>
      </c>
      <c r="H1834" t="s">
        <v>15523</v>
      </c>
      <c r="I1834" t="s">
        <v>16180</v>
      </c>
      <c r="K1834" t="e">
        <v>#N/A</v>
      </c>
      <c r="S1834" s="3"/>
    </row>
    <row r="1835" spans="1:19" x14ac:dyDescent="0.25">
      <c r="A1835" t="s">
        <v>5648</v>
      </c>
      <c r="B1835" t="s">
        <v>5649</v>
      </c>
      <c r="C1835" t="s">
        <v>16179</v>
      </c>
      <c r="D1835" t="s">
        <v>666</v>
      </c>
      <c r="E1835">
        <v>5927</v>
      </c>
      <c r="F1835" s="3">
        <v>43200</v>
      </c>
      <c r="H1835" t="s">
        <v>15523</v>
      </c>
      <c r="I1835" t="s">
        <v>16180</v>
      </c>
      <c r="K1835" t="e">
        <v>#N/A</v>
      </c>
      <c r="S1835" s="3"/>
    </row>
    <row r="1836" spans="1:19" x14ac:dyDescent="0.25">
      <c r="A1836" t="s">
        <v>5650</v>
      </c>
      <c r="B1836" t="s">
        <v>5651</v>
      </c>
      <c r="C1836" t="s">
        <v>16179</v>
      </c>
      <c r="D1836" t="s">
        <v>666</v>
      </c>
      <c r="E1836">
        <v>5928</v>
      </c>
      <c r="F1836" s="3">
        <v>43200</v>
      </c>
      <c r="H1836" t="s">
        <v>15523</v>
      </c>
      <c r="I1836" t="s">
        <v>16180</v>
      </c>
      <c r="K1836" t="e">
        <v>#N/A</v>
      </c>
      <c r="S1836" s="3"/>
    </row>
    <row r="1837" spans="1:19" x14ac:dyDescent="0.25">
      <c r="A1837" t="s">
        <v>5652</v>
      </c>
      <c r="B1837" t="s">
        <v>5653</v>
      </c>
      <c r="C1837" t="s">
        <v>16179</v>
      </c>
      <c r="D1837" t="s">
        <v>666</v>
      </c>
      <c r="E1837">
        <v>5929</v>
      </c>
      <c r="F1837" s="3">
        <v>43200</v>
      </c>
      <c r="H1837" t="s">
        <v>15523</v>
      </c>
      <c r="I1837" t="s">
        <v>16180</v>
      </c>
      <c r="K1837" t="e">
        <v>#N/A</v>
      </c>
      <c r="S1837" s="3"/>
    </row>
    <row r="1838" spans="1:19" x14ac:dyDescent="0.25">
      <c r="A1838" t="s">
        <v>5654</v>
      </c>
      <c r="B1838" t="s">
        <v>5655</v>
      </c>
      <c r="C1838" t="s">
        <v>16179</v>
      </c>
      <c r="D1838" t="s">
        <v>47</v>
      </c>
      <c r="E1838">
        <v>3950</v>
      </c>
      <c r="F1838" s="3">
        <v>40702</v>
      </c>
      <c r="H1838" t="s">
        <v>15523</v>
      </c>
      <c r="I1838" t="s">
        <v>16180</v>
      </c>
      <c r="K1838" t="e">
        <v>#N/A</v>
      </c>
      <c r="S1838" s="3"/>
    </row>
    <row r="1839" spans="1:19" x14ac:dyDescent="0.25">
      <c r="A1839" t="s">
        <v>5656</v>
      </c>
      <c r="B1839" t="s">
        <v>5657</v>
      </c>
      <c r="C1839" t="s">
        <v>16179</v>
      </c>
      <c r="D1839" t="s">
        <v>47</v>
      </c>
      <c r="E1839">
        <v>2725</v>
      </c>
      <c r="F1839" s="3">
        <v>40702</v>
      </c>
      <c r="H1839" t="s">
        <v>15523</v>
      </c>
      <c r="I1839" t="s">
        <v>16180</v>
      </c>
      <c r="K1839" t="e">
        <v>#N/A</v>
      </c>
      <c r="S1839" s="3"/>
    </row>
    <row r="1840" spans="1:19" x14ac:dyDescent="0.25">
      <c r="A1840" t="s">
        <v>5658</v>
      </c>
      <c r="B1840" t="s">
        <v>5659</v>
      </c>
      <c r="C1840" t="s">
        <v>16179</v>
      </c>
      <c r="D1840" t="s">
        <v>47</v>
      </c>
      <c r="E1840">
        <v>5295</v>
      </c>
      <c r="F1840" s="3">
        <v>42119</v>
      </c>
      <c r="H1840" t="s">
        <v>15523</v>
      </c>
      <c r="I1840" t="s">
        <v>16180</v>
      </c>
      <c r="K1840" t="e">
        <v>#N/A</v>
      </c>
      <c r="S1840" s="3"/>
    </row>
    <row r="1841" spans="1:19" x14ac:dyDescent="0.25">
      <c r="A1841" t="s">
        <v>5660</v>
      </c>
      <c r="B1841" t="s">
        <v>5661</v>
      </c>
      <c r="C1841" t="s">
        <v>16179</v>
      </c>
      <c r="D1841" t="s">
        <v>47</v>
      </c>
      <c r="E1841">
        <v>3958</v>
      </c>
      <c r="F1841" s="3">
        <v>40702</v>
      </c>
      <c r="H1841" t="s">
        <v>15523</v>
      </c>
      <c r="I1841" t="s">
        <v>16180</v>
      </c>
      <c r="K1841" t="e">
        <v>#N/A</v>
      </c>
      <c r="S1841" s="3"/>
    </row>
    <row r="1842" spans="1:19" x14ac:dyDescent="0.25">
      <c r="A1842" t="s">
        <v>5662</v>
      </c>
      <c r="B1842" t="s">
        <v>5663</v>
      </c>
      <c r="C1842" t="s">
        <v>5664</v>
      </c>
      <c r="D1842" t="s">
        <v>23</v>
      </c>
      <c r="E1842">
        <v>5968</v>
      </c>
      <c r="F1842" s="3">
        <v>43347</v>
      </c>
      <c r="H1842" t="s">
        <v>15523</v>
      </c>
      <c r="I1842" t="s">
        <v>16921</v>
      </c>
      <c r="K1842" t="e">
        <v>#N/A</v>
      </c>
      <c r="S1842" s="3"/>
    </row>
    <row r="1843" spans="1:19" x14ac:dyDescent="0.25">
      <c r="A1843" t="s">
        <v>5665</v>
      </c>
      <c r="B1843" t="s">
        <v>5666</v>
      </c>
      <c r="C1843" t="s">
        <v>5667</v>
      </c>
      <c r="D1843" t="s">
        <v>23</v>
      </c>
      <c r="E1843">
        <v>4125</v>
      </c>
      <c r="F1843" s="3">
        <v>40782</v>
      </c>
      <c r="H1843" t="s">
        <v>15523</v>
      </c>
      <c r="I1843" t="s">
        <v>16922</v>
      </c>
      <c r="K1843" t="e">
        <v>#N/A</v>
      </c>
      <c r="S1843" s="3"/>
    </row>
    <row r="1844" spans="1:19" x14ac:dyDescent="0.25">
      <c r="A1844" t="s">
        <v>5668</v>
      </c>
      <c r="B1844" t="s">
        <v>5669</v>
      </c>
      <c r="C1844" t="s">
        <v>5670</v>
      </c>
      <c r="D1844" t="s">
        <v>23</v>
      </c>
      <c r="E1844">
        <v>4126</v>
      </c>
      <c r="F1844" s="3">
        <v>40782</v>
      </c>
      <c r="H1844" t="s">
        <v>15523</v>
      </c>
      <c r="I1844" t="s">
        <v>16923</v>
      </c>
      <c r="K1844" t="e">
        <v>#N/A</v>
      </c>
      <c r="S1844" s="3"/>
    </row>
    <row r="1845" spans="1:19" x14ac:dyDescent="0.25">
      <c r="A1845" t="s">
        <v>5671</v>
      </c>
      <c r="B1845" t="s">
        <v>5672</v>
      </c>
      <c r="C1845" t="s">
        <v>5673</v>
      </c>
      <c r="D1845" t="s">
        <v>23</v>
      </c>
      <c r="E1845">
        <v>4127</v>
      </c>
      <c r="F1845" s="3">
        <v>40782</v>
      </c>
      <c r="H1845" t="s">
        <v>15523</v>
      </c>
      <c r="I1845" t="s">
        <v>16924</v>
      </c>
      <c r="K1845" t="e">
        <v>#N/A</v>
      </c>
      <c r="S1845" s="3"/>
    </row>
    <row r="1846" spans="1:19" x14ac:dyDescent="0.25">
      <c r="A1846" t="s">
        <v>5674</v>
      </c>
      <c r="B1846" t="s">
        <v>5675</v>
      </c>
      <c r="C1846" t="s">
        <v>5676</v>
      </c>
      <c r="D1846" t="s">
        <v>23</v>
      </c>
      <c r="E1846">
        <v>4128</v>
      </c>
      <c r="F1846" s="3">
        <v>40782</v>
      </c>
      <c r="H1846" t="s">
        <v>15523</v>
      </c>
      <c r="I1846" t="s">
        <v>16925</v>
      </c>
      <c r="K1846" t="e">
        <v>#N/A</v>
      </c>
      <c r="S1846" s="3"/>
    </row>
    <row r="1847" spans="1:19" x14ac:dyDescent="0.25">
      <c r="A1847" t="s">
        <v>5677</v>
      </c>
      <c r="B1847" t="s">
        <v>5678</v>
      </c>
      <c r="C1847" t="s">
        <v>5679</v>
      </c>
      <c r="D1847" t="s">
        <v>23</v>
      </c>
      <c r="E1847">
        <v>4130</v>
      </c>
      <c r="F1847" s="3">
        <v>40782</v>
      </c>
      <c r="H1847" t="s">
        <v>15523</v>
      </c>
      <c r="I1847" t="s">
        <v>16926</v>
      </c>
      <c r="K1847" t="e">
        <v>#N/A</v>
      </c>
      <c r="S1847" s="3"/>
    </row>
    <row r="1848" spans="1:19" x14ac:dyDescent="0.25">
      <c r="A1848" t="s">
        <v>5680</v>
      </c>
      <c r="B1848" t="s">
        <v>5681</v>
      </c>
      <c r="C1848" t="s">
        <v>5682</v>
      </c>
      <c r="D1848" t="s">
        <v>23</v>
      </c>
      <c r="E1848">
        <v>4131</v>
      </c>
      <c r="F1848" s="3">
        <v>40782</v>
      </c>
      <c r="H1848" t="s">
        <v>15523</v>
      </c>
      <c r="I1848" t="s">
        <v>16927</v>
      </c>
      <c r="K1848" t="e">
        <v>#N/A</v>
      </c>
      <c r="S1848" s="3"/>
    </row>
    <row r="1849" spans="1:19" x14ac:dyDescent="0.25">
      <c r="A1849" t="s">
        <v>5683</v>
      </c>
      <c r="B1849" t="s">
        <v>5684</v>
      </c>
      <c r="C1849" t="s">
        <v>5685</v>
      </c>
      <c r="D1849" t="s">
        <v>23</v>
      </c>
      <c r="E1849">
        <v>4122</v>
      </c>
      <c r="F1849" s="3">
        <v>40702</v>
      </c>
      <c r="H1849" t="s">
        <v>15523</v>
      </c>
      <c r="I1849" t="s">
        <v>16928</v>
      </c>
      <c r="K1849" t="e">
        <v>#N/A</v>
      </c>
      <c r="S1849" s="3"/>
    </row>
    <row r="1850" spans="1:19" x14ac:dyDescent="0.25">
      <c r="A1850" t="s">
        <v>5686</v>
      </c>
      <c r="B1850" t="s">
        <v>5687</v>
      </c>
      <c r="C1850" t="s">
        <v>5688</v>
      </c>
      <c r="D1850" t="s">
        <v>23</v>
      </c>
      <c r="E1850">
        <v>5544</v>
      </c>
      <c r="F1850" s="3">
        <v>42390</v>
      </c>
      <c r="H1850" t="s">
        <v>15523</v>
      </c>
      <c r="I1850" t="s">
        <v>16929</v>
      </c>
      <c r="K1850" t="e">
        <v>#N/A</v>
      </c>
      <c r="S1850" s="3"/>
    </row>
    <row r="1851" spans="1:19" x14ac:dyDescent="0.25">
      <c r="A1851" t="s">
        <v>5689</v>
      </c>
      <c r="B1851" t="s">
        <v>5690</v>
      </c>
      <c r="C1851" t="s">
        <v>5691</v>
      </c>
      <c r="D1851" t="s">
        <v>23</v>
      </c>
      <c r="E1851">
        <v>1251</v>
      </c>
      <c r="F1851" s="3">
        <v>40702</v>
      </c>
      <c r="H1851" t="s">
        <v>15523</v>
      </c>
      <c r="I1851" t="s">
        <v>16930</v>
      </c>
      <c r="K1851" t="e">
        <v>#N/A</v>
      </c>
      <c r="S1851" s="3"/>
    </row>
    <row r="1852" spans="1:19" x14ac:dyDescent="0.25">
      <c r="A1852" t="s">
        <v>5692</v>
      </c>
      <c r="B1852" t="s">
        <v>5693</v>
      </c>
      <c r="C1852" t="s">
        <v>16179</v>
      </c>
      <c r="D1852" t="s">
        <v>23</v>
      </c>
      <c r="E1852">
        <v>3992</v>
      </c>
      <c r="F1852" s="3">
        <v>40702</v>
      </c>
      <c r="H1852" t="s">
        <v>15523</v>
      </c>
      <c r="I1852" t="s">
        <v>16180</v>
      </c>
      <c r="K1852" t="e">
        <v>#N/A</v>
      </c>
      <c r="S1852" s="3"/>
    </row>
    <row r="1853" spans="1:19" x14ac:dyDescent="0.25">
      <c r="A1853" t="s">
        <v>5694</v>
      </c>
      <c r="B1853" t="s">
        <v>5695</v>
      </c>
      <c r="C1853" t="s">
        <v>5696</v>
      </c>
      <c r="D1853" t="s">
        <v>23</v>
      </c>
      <c r="E1853">
        <v>4123</v>
      </c>
      <c r="F1853" s="3">
        <v>43829</v>
      </c>
      <c r="H1853" t="s">
        <v>15523</v>
      </c>
      <c r="I1853" t="s">
        <v>16931</v>
      </c>
      <c r="K1853" t="e">
        <v>#N/A</v>
      </c>
      <c r="S1853" s="3"/>
    </row>
    <row r="1854" spans="1:19" x14ac:dyDescent="0.25">
      <c r="A1854" t="s">
        <v>5697</v>
      </c>
      <c r="B1854" t="s">
        <v>5698</v>
      </c>
      <c r="C1854" t="s">
        <v>5699</v>
      </c>
      <c r="D1854" t="s">
        <v>23</v>
      </c>
      <c r="E1854">
        <v>4124</v>
      </c>
      <c r="F1854" s="3">
        <v>40702</v>
      </c>
      <c r="H1854" t="s">
        <v>15523</v>
      </c>
      <c r="I1854" t="s">
        <v>16932</v>
      </c>
      <c r="K1854" t="e">
        <v>#N/A</v>
      </c>
      <c r="S1854" s="3"/>
    </row>
    <row r="1855" spans="1:19" x14ac:dyDescent="0.25">
      <c r="A1855" t="s">
        <v>5700</v>
      </c>
      <c r="B1855" t="s">
        <v>5701</v>
      </c>
      <c r="C1855" t="s">
        <v>5702</v>
      </c>
      <c r="D1855" t="s">
        <v>23</v>
      </c>
      <c r="E1855">
        <v>225</v>
      </c>
      <c r="F1855" s="3">
        <v>40702</v>
      </c>
      <c r="H1855" t="s">
        <v>15523</v>
      </c>
      <c r="I1855" t="s">
        <v>16933</v>
      </c>
      <c r="K1855" t="e">
        <v>#N/A</v>
      </c>
      <c r="S1855" s="3"/>
    </row>
    <row r="1856" spans="1:19" x14ac:dyDescent="0.25">
      <c r="A1856" t="s">
        <v>5703</v>
      </c>
      <c r="B1856" t="s">
        <v>5704</v>
      </c>
      <c r="C1856" t="s">
        <v>5705</v>
      </c>
      <c r="D1856" t="s">
        <v>23</v>
      </c>
      <c r="E1856">
        <v>4129</v>
      </c>
      <c r="F1856" s="3">
        <v>40702</v>
      </c>
      <c r="H1856" t="s">
        <v>15523</v>
      </c>
      <c r="I1856" t="s">
        <v>16934</v>
      </c>
      <c r="K1856" t="e">
        <v>#N/A</v>
      </c>
      <c r="S1856" s="3"/>
    </row>
    <row r="1857" spans="1:19" x14ac:dyDescent="0.25">
      <c r="A1857" t="s">
        <v>5706</v>
      </c>
      <c r="B1857" t="s">
        <v>5707</v>
      </c>
      <c r="C1857" t="s">
        <v>5708</v>
      </c>
      <c r="D1857" t="s">
        <v>23</v>
      </c>
      <c r="E1857">
        <v>226</v>
      </c>
      <c r="F1857" s="3">
        <v>40702</v>
      </c>
      <c r="H1857" t="s">
        <v>15523</v>
      </c>
      <c r="I1857" t="s">
        <v>16935</v>
      </c>
      <c r="K1857" t="e">
        <v>#N/A</v>
      </c>
      <c r="S1857" s="3"/>
    </row>
    <row r="1858" spans="1:19" x14ac:dyDescent="0.25">
      <c r="A1858" t="s">
        <v>809</v>
      </c>
      <c r="B1858" t="s">
        <v>810</v>
      </c>
      <c r="C1858" t="s">
        <v>811</v>
      </c>
      <c r="D1858" t="s">
        <v>23</v>
      </c>
      <c r="E1858">
        <v>73</v>
      </c>
      <c r="F1858" s="3">
        <v>40783</v>
      </c>
      <c r="H1858" t="s">
        <v>15523</v>
      </c>
      <c r="I1858" t="s">
        <v>16936</v>
      </c>
      <c r="K1858" t="e">
        <v>#N/A</v>
      </c>
      <c r="S1858" s="3"/>
    </row>
    <row r="1859" spans="1:19" x14ac:dyDescent="0.25">
      <c r="A1859" t="s">
        <v>5709</v>
      </c>
      <c r="B1859" t="s">
        <v>5710</v>
      </c>
      <c r="C1859" t="s">
        <v>5711</v>
      </c>
      <c r="D1859" t="s">
        <v>23</v>
      </c>
      <c r="E1859">
        <v>2262</v>
      </c>
      <c r="F1859" s="3">
        <v>40702</v>
      </c>
      <c r="H1859" t="s">
        <v>15523</v>
      </c>
      <c r="I1859" t="s">
        <v>16937</v>
      </c>
      <c r="K1859" t="e">
        <v>#N/A</v>
      </c>
      <c r="S1859" s="3"/>
    </row>
    <row r="1860" spans="1:19" x14ac:dyDescent="0.25">
      <c r="A1860" t="s">
        <v>5712</v>
      </c>
      <c r="B1860" t="s">
        <v>5713</v>
      </c>
      <c r="C1860" t="s">
        <v>16179</v>
      </c>
      <c r="D1860" t="s">
        <v>2820</v>
      </c>
      <c r="E1860">
        <v>3996</v>
      </c>
      <c r="F1860" s="3">
        <v>40702</v>
      </c>
      <c r="H1860" t="s">
        <v>15523</v>
      </c>
      <c r="I1860" t="s">
        <v>16180</v>
      </c>
      <c r="K1860" t="e">
        <v>#N/A</v>
      </c>
      <c r="S1860" s="3"/>
    </row>
    <row r="1861" spans="1:19" x14ac:dyDescent="0.25">
      <c r="A1861" t="s">
        <v>5714</v>
      </c>
      <c r="B1861" t="s">
        <v>5715</v>
      </c>
      <c r="C1861" t="s">
        <v>5716</v>
      </c>
      <c r="D1861" t="s">
        <v>23</v>
      </c>
      <c r="E1861">
        <v>4144</v>
      </c>
      <c r="F1861" s="3">
        <v>40702</v>
      </c>
      <c r="H1861" t="s">
        <v>15523</v>
      </c>
      <c r="I1861" t="s">
        <v>16938</v>
      </c>
      <c r="K1861" t="e">
        <v>#N/A</v>
      </c>
      <c r="S1861" s="3"/>
    </row>
    <row r="1862" spans="1:19" x14ac:dyDescent="0.25">
      <c r="A1862" t="s">
        <v>5717</v>
      </c>
      <c r="B1862" t="s">
        <v>5718</v>
      </c>
      <c r="C1862" t="s">
        <v>16179</v>
      </c>
      <c r="D1862" t="s">
        <v>2820</v>
      </c>
      <c r="E1862">
        <v>5717</v>
      </c>
      <c r="F1862" s="3">
        <v>42707</v>
      </c>
      <c r="H1862" t="s">
        <v>15523</v>
      </c>
      <c r="I1862" t="s">
        <v>16180</v>
      </c>
      <c r="K1862" t="e">
        <v>#N/A</v>
      </c>
      <c r="S1862" s="3"/>
    </row>
    <row r="1863" spans="1:19" x14ac:dyDescent="0.25">
      <c r="A1863" t="s">
        <v>5719</v>
      </c>
      <c r="B1863" t="s">
        <v>5720</v>
      </c>
      <c r="C1863" t="s">
        <v>16179</v>
      </c>
      <c r="D1863" t="s">
        <v>666</v>
      </c>
      <c r="E1863">
        <v>5895</v>
      </c>
      <c r="F1863" s="3">
        <v>43200</v>
      </c>
      <c r="H1863" t="s">
        <v>15523</v>
      </c>
      <c r="I1863" t="s">
        <v>16180</v>
      </c>
      <c r="K1863" t="e">
        <v>#N/A</v>
      </c>
      <c r="S1863" s="3"/>
    </row>
    <row r="1864" spans="1:19" x14ac:dyDescent="0.25">
      <c r="A1864" t="s">
        <v>5721</v>
      </c>
      <c r="B1864" t="s">
        <v>5722</v>
      </c>
      <c r="C1864" t="s">
        <v>16179</v>
      </c>
      <c r="D1864" t="s">
        <v>2820</v>
      </c>
      <c r="E1864">
        <v>5718</v>
      </c>
      <c r="F1864" s="3">
        <v>42707</v>
      </c>
      <c r="H1864" t="s">
        <v>15523</v>
      </c>
      <c r="I1864" t="s">
        <v>16180</v>
      </c>
      <c r="K1864" t="e">
        <v>#N/A</v>
      </c>
      <c r="S1864" s="3"/>
    </row>
    <row r="1865" spans="1:19" x14ac:dyDescent="0.25">
      <c r="A1865" t="s">
        <v>5723</v>
      </c>
      <c r="B1865" t="s">
        <v>5724</v>
      </c>
      <c r="C1865" t="s">
        <v>16179</v>
      </c>
      <c r="D1865" t="s">
        <v>666</v>
      </c>
      <c r="E1865">
        <v>5896</v>
      </c>
      <c r="F1865" s="3">
        <v>43200</v>
      </c>
      <c r="H1865" t="s">
        <v>15523</v>
      </c>
      <c r="I1865" t="s">
        <v>16180</v>
      </c>
      <c r="K1865" t="e">
        <v>#N/A</v>
      </c>
      <c r="S1865" s="3"/>
    </row>
    <row r="1866" spans="1:19" x14ac:dyDescent="0.25">
      <c r="A1866" t="s">
        <v>5725</v>
      </c>
      <c r="B1866" t="s">
        <v>5726</v>
      </c>
      <c r="C1866" t="s">
        <v>16179</v>
      </c>
      <c r="D1866" t="s">
        <v>23</v>
      </c>
      <c r="E1866">
        <v>3997</v>
      </c>
      <c r="F1866" s="3">
        <v>40702</v>
      </c>
      <c r="H1866" t="s">
        <v>15523</v>
      </c>
      <c r="I1866" t="s">
        <v>16180</v>
      </c>
      <c r="K1866" t="e">
        <v>#N/A</v>
      </c>
      <c r="S1866" s="3"/>
    </row>
    <row r="1867" spans="1:19" x14ac:dyDescent="0.25">
      <c r="A1867" t="s">
        <v>5727</v>
      </c>
      <c r="B1867" t="s">
        <v>5728</v>
      </c>
      <c r="C1867" t="s">
        <v>16179</v>
      </c>
      <c r="D1867" t="s">
        <v>47</v>
      </c>
      <c r="E1867">
        <v>1121</v>
      </c>
      <c r="F1867" s="3">
        <v>41456</v>
      </c>
      <c r="H1867" t="s">
        <v>15523</v>
      </c>
      <c r="I1867" t="s">
        <v>16180</v>
      </c>
      <c r="K1867" t="e">
        <v>#N/A</v>
      </c>
      <c r="S1867" s="3"/>
    </row>
    <row r="1868" spans="1:19" x14ac:dyDescent="0.25">
      <c r="A1868" t="s">
        <v>5729</v>
      </c>
      <c r="B1868" t="s">
        <v>5730</v>
      </c>
      <c r="C1868" t="s">
        <v>5731</v>
      </c>
      <c r="D1868" t="s">
        <v>23</v>
      </c>
      <c r="E1868">
        <v>4170</v>
      </c>
      <c r="F1868" s="3">
        <v>40702</v>
      </c>
      <c r="H1868" t="s">
        <v>15523</v>
      </c>
      <c r="I1868" t="s">
        <v>16939</v>
      </c>
      <c r="K1868" t="e">
        <v>#N/A</v>
      </c>
      <c r="S1868" s="3"/>
    </row>
    <row r="1869" spans="1:19" x14ac:dyDescent="0.25">
      <c r="A1869" t="s">
        <v>5732</v>
      </c>
      <c r="B1869" t="s">
        <v>5733</v>
      </c>
      <c r="C1869" t="s">
        <v>16179</v>
      </c>
      <c r="D1869" t="s">
        <v>2779</v>
      </c>
      <c r="E1869">
        <v>4002</v>
      </c>
      <c r="F1869" s="3">
        <v>40783</v>
      </c>
      <c r="H1869" t="s">
        <v>15523</v>
      </c>
      <c r="I1869" t="s">
        <v>16180</v>
      </c>
      <c r="K1869" t="e">
        <v>#N/A</v>
      </c>
      <c r="S1869" s="3"/>
    </row>
    <row r="1870" spans="1:19" x14ac:dyDescent="0.25">
      <c r="A1870" t="s">
        <v>5734</v>
      </c>
      <c r="B1870" t="s">
        <v>5735</v>
      </c>
      <c r="C1870" t="s">
        <v>16179</v>
      </c>
      <c r="D1870" t="s">
        <v>666</v>
      </c>
      <c r="E1870">
        <v>4004</v>
      </c>
      <c r="F1870" s="3">
        <v>40702</v>
      </c>
      <c r="H1870" t="s">
        <v>15523</v>
      </c>
      <c r="I1870" t="s">
        <v>16180</v>
      </c>
      <c r="K1870" t="e">
        <v>#N/A</v>
      </c>
      <c r="S1870" s="3"/>
    </row>
    <row r="1871" spans="1:19" x14ac:dyDescent="0.25">
      <c r="A1871" t="s">
        <v>5736</v>
      </c>
      <c r="B1871" t="s">
        <v>5737</v>
      </c>
      <c r="C1871" t="s">
        <v>16179</v>
      </c>
      <c r="D1871" t="s">
        <v>666</v>
      </c>
      <c r="E1871">
        <v>4006</v>
      </c>
      <c r="F1871" s="3">
        <v>40705</v>
      </c>
      <c r="H1871" t="s">
        <v>15523</v>
      </c>
      <c r="I1871" t="s">
        <v>16180</v>
      </c>
      <c r="K1871" t="e">
        <v>#N/A</v>
      </c>
      <c r="S1871" s="3"/>
    </row>
    <row r="1872" spans="1:19" x14ac:dyDescent="0.25">
      <c r="A1872" t="s">
        <v>5738</v>
      </c>
      <c r="B1872" t="s">
        <v>5739</v>
      </c>
      <c r="C1872" t="s">
        <v>16179</v>
      </c>
      <c r="D1872" t="s">
        <v>2820</v>
      </c>
      <c r="E1872">
        <v>5760</v>
      </c>
      <c r="F1872" s="3">
        <v>42763</v>
      </c>
      <c r="H1872" t="s">
        <v>15523</v>
      </c>
      <c r="I1872" t="s">
        <v>16180</v>
      </c>
      <c r="K1872" t="e">
        <v>#N/A</v>
      </c>
      <c r="S1872" s="3"/>
    </row>
    <row r="1873" spans="1:19" x14ac:dyDescent="0.25">
      <c r="A1873" t="s">
        <v>5740</v>
      </c>
      <c r="B1873" t="s">
        <v>5741</v>
      </c>
      <c r="C1873" t="s">
        <v>16179</v>
      </c>
      <c r="D1873" t="s">
        <v>47</v>
      </c>
      <c r="E1873">
        <v>3983</v>
      </c>
      <c r="F1873" s="3">
        <v>41111</v>
      </c>
      <c r="H1873" t="s">
        <v>15523</v>
      </c>
      <c r="I1873" t="s">
        <v>16180</v>
      </c>
      <c r="K1873" t="e">
        <v>#N/A</v>
      </c>
      <c r="S1873" s="3"/>
    </row>
    <row r="1874" spans="1:19" x14ac:dyDescent="0.25">
      <c r="A1874" t="s">
        <v>5742</v>
      </c>
      <c r="B1874" t="s">
        <v>5743</v>
      </c>
      <c r="C1874" t="s">
        <v>16179</v>
      </c>
      <c r="D1874" t="s">
        <v>47</v>
      </c>
      <c r="E1874">
        <v>3989</v>
      </c>
      <c r="F1874" s="3">
        <v>41111</v>
      </c>
      <c r="H1874" t="s">
        <v>15523</v>
      </c>
      <c r="I1874" t="s">
        <v>16180</v>
      </c>
      <c r="K1874" t="e">
        <v>#N/A</v>
      </c>
      <c r="S1874" s="3"/>
    </row>
    <row r="1875" spans="1:19" x14ac:dyDescent="0.25">
      <c r="A1875" t="s">
        <v>5744</v>
      </c>
      <c r="B1875" t="s">
        <v>5745</v>
      </c>
      <c r="C1875" t="s">
        <v>16179</v>
      </c>
      <c r="D1875" t="s">
        <v>47</v>
      </c>
      <c r="E1875">
        <v>4009</v>
      </c>
      <c r="F1875" s="3">
        <v>43714</v>
      </c>
      <c r="H1875" t="s">
        <v>15523</v>
      </c>
      <c r="I1875" t="s">
        <v>16180</v>
      </c>
      <c r="K1875" t="e">
        <v>#N/A</v>
      </c>
      <c r="S1875" s="3"/>
    </row>
    <row r="1876" spans="1:19" x14ac:dyDescent="0.25">
      <c r="A1876" t="s">
        <v>5746</v>
      </c>
      <c r="B1876" t="s">
        <v>5747</v>
      </c>
      <c r="C1876" t="s">
        <v>16179</v>
      </c>
      <c r="D1876" t="s">
        <v>47</v>
      </c>
      <c r="E1876">
        <v>4011</v>
      </c>
      <c r="F1876" s="3">
        <v>43714</v>
      </c>
      <c r="H1876" t="s">
        <v>15523</v>
      </c>
      <c r="I1876" t="s">
        <v>16180</v>
      </c>
      <c r="K1876" t="e">
        <v>#N/A</v>
      </c>
      <c r="S1876" s="3"/>
    </row>
    <row r="1877" spans="1:19" x14ac:dyDescent="0.25">
      <c r="A1877" t="s">
        <v>5748</v>
      </c>
      <c r="B1877" t="s">
        <v>5749</v>
      </c>
      <c r="C1877" t="s">
        <v>16179</v>
      </c>
      <c r="D1877" t="s">
        <v>2779</v>
      </c>
      <c r="E1877">
        <v>4019</v>
      </c>
      <c r="F1877" s="3">
        <v>40783</v>
      </c>
      <c r="H1877" t="s">
        <v>15523</v>
      </c>
      <c r="I1877" t="s">
        <v>16180</v>
      </c>
      <c r="K1877" t="e">
        <v>#N/A</v>
      </c>
      <c r="S1877" s="3"/>
    </row>
    <row r="1878" spans="1:19" x14ac:dyDescent="0.25">
      <c r="A1878" t="s">
        <v>5750</v>
      </c>
      <c r="B1878" t="s">
        <v>5751</v>
      </c>
      <c r="C1878" t="s">
        <v>16179</v>
      </c>
      <c r="D1878" t="s">
        <v>2779</v>
      </c>
      <c r="E1878">
        <v>4020</v>
      </c>
      <c r="F1878" s="3">
        <v>40783</v>
      </c>
      <c r="H1878" t="s">
        <v>15523</v>
      </c>
      <c r="I1878" t="s">
        <v>16180</v>
      </c>
      <c r="K1878" t="e">
        <v>#N/A</v>
      </c>
      <c r="S1878" s="3"/>
    </row>
    <row r="1879" spans="1:19" x14ac:dyDescent="0.25">
      <c r="A1879" t="s">
        <v>5752</v>
      </c>
      <c r="B1879" t="s">
        <v>5753</v>
      </c>
      <c r="C1879" t="s">
        <v>16179</v>
      </c>
      <c r="D1879" t="s">
        <v>2779</v>
      </c>
      <c r="E1879">
        <v>4028</v>
      </c>
      <c r="F1879" s="3">
        <v>40783</v>
      </c>
      <c r="H1879" t="s">
        <v>15523</v>
      </c>
      <c r="I1879" t="s">
        <v>16180</v>
      </c>
      <c r="K1879" t="e">
        <v>#N/A</v>
      </c>
      <c r="S1879" s="3"/>
    </row>
    <row r="1880" spans="1:19" x14ac:dyDescent="0.25">
      <c r="A1880" t="s">
        <v>5754</v>
      </c>
      <c r="B1880" t="s">
        <v>5755</v>
      </c>
      <c r="C1880" t="s">
        <v>16179</v>
      </c>
      <c r="D1880" t="s">
        <v>47</v>
      </c>
      <c r="E1880">
        <v>5762</v>
      </c>
      <c r="F1880" s="3">
        <v>43442</v>
      </c>
      <c r="H1880" t="s">
        <v>15523</v>
      </c>
      <c r="I1880" t="s">
        <v>16180</v>
      </c>
      <c r="K1880" t="e">
        <v>#N/A</v>
      </c>
      <c r="S1880" s="3"/>
    </row>
    <row r="1881" spans="1:19" x14ac:dyDescent="0.25">
      <c r="A1881" t="s">
        <v>5756</v>
      </c>
      <c r="B1881" t="s">
        <v>5757</v>
      </c>
      <c r="C1881" t="s">
        <v>16179</v>
      </c>
      <c r="D1881" t="s">
        <v>666</v>
      </c>
      <c r="E1881">
        <v>4032</v>
      </c>
      <c r="F1881" s="3">
        <v>40781</v>
      </c>
      <c r="H1881" t="s">
        <v>15523</v>
      </c>
      <c r="I1881" t="s">
        <v>16180</v>
      </c>
      <c r="K1881" t="e">
        <v>#N/A</v>
      </c>
      <c r="S1881" s="3"/>
    </row>
    <row r="1882" spans="1:19" x14ac:dyDescent="0.25">
      <c r="A1882" t="s">
        <v>5758</v>
      </c>
      <c r="B1882" t="s">
        <v>5759</v>
      </c>
      <c r="C1882" t="s">
        <v>16179</v>
      </c>
      <c r="D1882" t="s">
        <v>666</v>
      </c>
      <c r="E1882">
        <v>4034</v>
      </c>
      <c r="F1882" s="3">
        <v>40781</v>
      </c>
      <c r="H1882" t="s">
        <v>15523</v>
      </c>
      <c r="I1882" t="s">
        <v>16180</v>
      </c>
      <c r="K1882" t="e">
        <v>#N/A</v>
      </c>
      <c r="S1882" s="3"/>
    </row>
    <row r="1883" spans="1:19" x14ac:dyDescent="0.25">
      <c r="A1883" t="s">
        <v>5760</v>
      </c>
      <c r="B1883" t="s">
        <v>5761</v>
      </c>
      <c r="C1883" t="s">
        <v>5762</v>
      </c>
      <c r="D1883" t="s">
        <v>23</v>
      </c>
      <c r="E1883">
        <v>1250</v>
      </c>
      <c r="F1883" s="3">
        <v>40702</v>
      </c>
      <c r="H1883" t="s">
        <v>15523</v>
      </c>
      <c r="I1883" t="s">
        <v>16940</v>
      </c>
      <c r="K1883" t="e">
        <v>#N/A</v>
      </c>
      <c r="S1883" s="3"/>
    </row>
    <row r="1884" spans="1:19" x14ac:dyDescent="0.25">
      <c r="A1884" t="s">
        <v>586</v>
      </c>
      <c r="B1884" t="s">
        <v>588</v>
      </c>
      <c r="C1884" s="3">
        <v>2023750</v>
      </c>
      <c r="D1884" t="s">
        <v>23</v>
      </c>
      <c r="E1884">
        <v>4132</v>
      </c>
      <c r="F1884" s="3">
        <v>40915</v>
      </c>
      <c r="H1884" t="s">
        <v>15523</v>
      </c>
      <c r="I1884" t="s">
        <v>16941</v>
      </c>
      <c r="K1884">
        <v>153</v>
      </c>
      <c r="P1884" s="3"/>
      <c r="S1884" s="3"/>
    </row>
    <row r="1885" spans="1:19" x14ac:dyDescent="0.25">
      <c r="A1885" t="s">
        <v>5763</v>
      </c>
      <c r="B1885" t="s">
        <v>5764</v>
      </c>
      <c r="C1885" t="s">
        <v>5765</v>
      </c>
      <c r="D1885" t="s">
        <v>23</v>
      </c>
      <c r="E1885">
        <v>5743</v>
      </c>
      <c r="F1885" s="3">
        <v>42746</v>
      </c>
      <c r="H1885" t="s">
        <v>15523</v>
      </c>
      <c r="I1885" t="s">
        <v>16942</v>
      </c>
      <c r="K1885" t="e">
        <v>#N/A</v>
      </c>
      <c r="S1885" s="3"/>
    </row>
    <row r="1886" spans="1:19" x14ac:dyDescent="0.25">
      <c r="A1886" t="s">
        <v>5766</v>
      </c>
      <c r="B1886" t="s">
        <v>5767</v>
      </c>
      <c r="C1886" t="s">
        <v>5768</v>
      </c>
      <c r="D1886" t="s">
        <v>23</v>
      </c>
      <c r="E1886">
        <v>6001</v>
      </c>
      <c r="F1886" s="3">
        <v>43470</v>
      </c>
      <c r="H1886" t="s">
        <v>15523</v>
      </c>
      <c r="I1886" t="s">
        <v>16943</v>
      </c>
      <c r="K1886" t="e">
        <v>#N/A</v>
      </c>
      <c r="S1886" s="3"/>
    </row>
    <row r="1887" spans="1:19" x14ac:dyDescent="0.25">
      <c r="A1887" t="s">
        <v>231</v>
      </c>
      <c r="B1887" t="s">
        <v>233</v>
      </c>
      <c r="C1887" t="s">
        <v>234</v>
      </c>
      <c r="D1887" t="s">
        <v>23</v>
      </c>
      <c r="E1887">
        <v>1125</v>
      </c>
      <c r="F1887" s="3">
        <v>40702</v>
      </c>
      <c r="H1887" t="s">
        <v>15523</v>
      </c>
      <c r="I1887" t="s">
        <v>16944</v>
      </c>
      <c r="K1887">
        <v>64</v>
      </c>
      <c r="S1887" s="3"/>
    </row>
    <row r="1888" spans="1:19" x14ac:dyDescent="0.25">
      <c r="A1888" t="s">
        <v>5769</v>
      </c>
      <c r="B1888" t="s">
        <v>5770</v>
      </c>
      <c r="C1888" t="s">
        <v>5771</v>
      </c>
      <c r="D1888" t="s">
        <v>23</v>
      </c>
      <c r="E1888">
        <v>4167</v>
      </c>
      <c r="F1888" s="3">
        <v>40702</v>
      </c>
      <c r="H1888" t="s">
        <v>15523</v>
      </c>
      <c r="I1888" t="s">
        <v>16945</v>
      </c>
      <c r="K1888" t="e">
        <v>#N/A</v>
      </c>
      <c r="S1888" s="3"/>
    </row>
    <row r="1889" spans="1:19" x14ac:dyDescent="0.25">
      <c r="A1889" t="s">
        <v>5772</v>
      </c>
      <c r="B1889" t="s">
        <v>5773</v>
      </c>
      <c r="C1889" t="s">
        <v>5774</v>
      </c>
      <c r="D1889" t="s">
        <v>23</v>
      </c>
      <c r="E1889">
        <v>4168</v>
      </c>
      <c r="F1889" s="3">
        <v>40702</v>
      </c>
      <c r="H1889" t="s">
        <v>15523</v>
      </c>
      <c r="I1889" t="s">
        <v>16946</v>
      </c>
      <c r="K1889" t="e">
        <v>#N/A</v>
      </c>
      <c r="S1889" s="3"/>
    </row>
    <row r="1890" spans="1:19" x14ac:dyDescent="0.25">
      <c r="A1890" t="s">
        <v>5775</v>
      </c>
      <c r="B1890" t="s">
        <v>5776</v>
      </c>
      <c r="C1890" t="s">
        <v>5777</v>
      </c>
      <c r="D1890" t="s">
        <v>23</v>
      </c>
      <c r="E1890">
        <v>5877</v>
      </c>
      <c r="F1890" s="3">
        <v>43081</v>
      </c>
      <c r="H1890" t="s">
        <v>15523</v>
      </c>
      <c r="I1890" t="s">
        <v>16947</v>
      </c>
      <c r="K1890" t="e">
        <v>#N/A</v>
      </c>
      <c r="S1890" s="3"/>
    </row>
    <row r="1891" spans="1:19" x14ac:dyDescent="0.25">
      <c r="A1891" t="s">
        <v>5778</v>
      </c>
      <c r="B1891" t="s">
        <v>5779</v>
      </c>
      <c r="C1891" t="s">
        <v>5780</v>
      </c>
      <c r="D1891" t="s">
        <v>23</v>
      </c>
      <c r="E1891">
        <v>4169</v>
      </c>
      <c r="F1891" s="3">
        <v>40702</v>
      </c>
      <c r="H1891" t="s">
        <v>15523</v>
      </c>
      <c r="I1891" t="s">
        <v>16948</v>
      </c>
      <c r="K1891" t="e">
        <v>#N/A</v>
      </c>
      <c r="S1891" s="3"/>
    </row>
    <row r="1892" spans="1:19" x14ac:dyDescent="0.25">
      <c r="A1892" t="s">
        <v>5781</v>
      </c>
      <c r="B1892" t="s">
        <v>5782</v>
      </c>
      <c r="C1892" t="s">
        <v>5783</v>
      </c>
      <c r="D1892" t="s">
        <v>23</v>
      </c>
      <c r="E1892">
        <v>1253</v>
      </c>
      <c r="F1892" s="3">
        <v>40702</v>
      </c>
      <c r="H1892" t="s">
        <v>15523</v>
      </c>
      <c r="I1892" t="s">
        <v>16949</v>
      </c>
      <c r="K1892" t="e">
        <v>#N/A</v>
      </c>
      <c r="S1892" s="3"/>
    </row>
    <row r="1893" spans="1:19" x14ac:dyDescent="0.25">
      <c r="A1893" t="s">
        <v>282</v>
      </c>
      <c r="B1893" t="s">
        <v>284</v>
      </c>
      <c r="C1893" t="s">
        <v>285</v>
      </c>
      <c r="D1893" t="s">
        <v>23</v>
      </c>
      <c r="E1893">
        <v>1128</v>
      </c>
      <c r="F1893" s="3">
        <v>40702</v>
      </c>
      <c r="H1893" t="s">
        <v>15523</v>
      </c>
      <c r="I1893" t="s">
        <v>16950</v>
      </c>
      <c r="K1893">
        <v>77</v>
      </c>
      <c r="S1893" s="3"/>
    </row>
    <row r="1894" spans="1:19" x14ac:dyDescent="0.25">
      <c r="A1894" t="s">
        <v>5784</v>
      </c>
      <c r="B1894" t="s">
        <v>5785</v>
      </c>
      <c r="C1894" t="s">
        <v>5786</v>
      </c>
      <c r="D1894" t="s">
        <v>23</v>
      </c>
      <c r="E1894">
        <v>4178</v>
      </c>
      <c r="F1894" s="3">
        <v>40702</v>
      </c>
      <c r="H1894" t="s">
        <v>15523</v>
      </c>
      <c r="I1894" t="s">
        <v>16951</v>
      </c>
      <c r="K1894" t="e">
        <v>#N/A</v>
      </c>
      <c r="S1894" s="3"/>
    </row>
    <row r="1895" spans="1:19" x14ac:dyDescent="0.25">
      <c r="A1895" t="s">
        <v>5787</v>
      </c>
      <c r="B1895" t="s">
        <v>5788</v>
      </c>
      <c r="C1895" t="s">
        <v>5789</v>
      </c>
      <c r="D1895" t="s">
        <v>23</v>
      </c>
      <c r="E1895">
        <v>4179</v>
      </c>
      <c r="F1895" s="3">
        <v>40702</v>
      </c>
      <c r="H1895" t="s">
        <v>15523</v>
      </c>
      <c r="I1895" t="s">
        <v>16952</v>
      </c>
      <c r="K1895" t="e">
        <v>#N/A</v>
      </c>
      <c r="S1895" s="3"/>
    </row>
    <row r="1896" spans="1:19" x14ac:dyDescent="0.25">
      <c r="A1896" t="s">
        <v>350</v>
      </c>
      <c r="B1896" t="s">
        <v>352</v>
      </c>
      <c r="C1896" t="s">
        <v>353</v>
      </c>
      <c r="D1896" t="s">
        <v>23</v>
      </c>
      <c r="E1896">
        <v>1243</v>
      </c>
      <c r="F1896" s="3">
        <v>40702</v>
      </c>
      <c r="H1896" t="s">
        <v>15523</v>
      </c>
      <c r="I1896" t="s">
        <v>16953</v>
      </c>
      <c r="K1896">
        <v>94</v>
      </c>
      <c r="S1896" s="3"/>
    </row>
    <row r="1897" spans="1:19" x14ac:dyDescent="0.25">
      <c r="A1897" t="s">
        <v>5790</v>
      </c>
      <c r="B1897" t="s">
        <v>5791</v>
      </c>
      <c r="C1897" t="s">
        <v>5792</v>
      </c>
      <c r="D1897" t="s">
        <v>23</v>
      </c>
      <c r="E1897">
        <v>4180</v>
      </c>
      <c r="F1897" s="3">
        <v>40702</v>
      </c>
      <c r="H1897" t="s">
        <v>15523</v>
      </c>
      <c r="I1897" t="s">
        <v>16954</v>
      </c>
      <c r="K1897" t="e">
        <v>#N/A</v>
      </c>
      <c r="S1897" s="3"/>
    </row>
    <row r="1898" spans="1:19" x14ac:dyDescent="0.25">
      <c r="A1898" t="s">
        <v>5793</v>
      </c>
      <c r="B1898" t="s">
        <v>5794</v>
      </c>
      <c r="C1898" t="s">
        <v>5795</v>
      </c>
      <c r="D1898" t="s">
        <v>23</v>
      </c>
      <c r="E1898">
        <v>4190</v>
      </c>
      <c r="F1898" s="3">
        <v>40702</v>
      </c>
      <c r="H1898" t="s">
        <v>15523</v>
      </c>
      <c r="I1898" t="s">
        <v>16955</v>
      </c>
      <c r="K1898" t="e">
        <v>#N/A</v>
      </c>
      <c r="S1898" s="3"/>
    </row>
    <row r="1899" spans="1:19" x14ac:dyDescent="0.25">
      <c r="A1899" t="s">
        <v>618</v>
      </c>
      <c r="B1899" t="s">
        <v>620</v>
      </c>
      <c r="C1899" t="s">
        <v>621</v>
      </c>
      <c r="D1899" t="s">
        <v>23</v>
      </c>
      <c r="E1899">
        <v>4191</v>
      </c>
      <c r="F1899" s="3">
        <v>40915</v>
      </c>
      <c r="H1899" t="s">
        <v>15523</v>
      </c>
      <c r="I1899" t="s">
        <v>16956</v>
      </c>
      <c r="K1899">
        <v>161</v>
      </c>
      <c r="S1899" s="3"/>
    </row>
    <row r="1900" spans="1:19" x14ac:dyDescent="0.25">
      <c r="A1900" t="s">
        <v>5796</v>
      </c>
      <c r="B1900" t="s">
        <v>5797</v>
      </c>
      <c r="C1900" t="s">
        <v>5798</v>
      </c>
      <c r="D1900" t="s">
        <v>23</v>
      </c>
      <c r="E1900">
        <v>5937</v>
      </c>
      <c r="F1900" s="3">
        <v>43208</v>
      </c>
      <c r="H1900" t="s">
        <v>15523</v>
      </c>
      <c r="I1900" t="s">
        <v>16957</v>
      </c>
      <c r="K1900" t="e">
        <v>#N/A</v>
      </c>
      <c r="S1900" s="3"/>
    </row>
    <row r="1901" spans="1:19" x14ac:dyDescent="0.25">
      <c r="A1901" t="s">
        <v>5799</v>
      </c>
      <c r="B1901" t="s">
        <v>5800</v>
      </c>
      <c r="C1901" t="s">
        <v>5801</v>
      </c>
      <c r="D1901" t="s">
        <v>23</v>
      </c>
      <c r="E1901">
        <v>5595</v>
      </c>
      <c r="F1901" s="3">
        <v>42551</v>
      </c>
      <c r="H1901" t="s">
        <v>15523</v>
      </c>
      <c r="I1901" t="s">
        <v>16958</v>
      </c>
      <c r="K1901" t="e">
        <v>#N/A</v>
      </c>
      <c r="S1901" s="3"/>
    </row>
    <row r="1902" spans="1:19" x14ac:dyDescent="0.25">
      <c r="A1902" t="s">
        <v>5802</v>
      </c>
      <c r="B1902" t="s">
        <v>5803</v>
      </c>
      <c r="C1902" t="s">
        <v>5804</v>
      </c>
      <c r="D1902" t="s">
        <v>23</v>
      </c>
      <c r="E1902">
        <v>4199</v>
      </c>
      <c r="F1902" s="3">
        <v>40781</v>
      </c>
      <c r="H1902" t="s">
        <v>15523</v>
      </c>
      <c r="I1902" t="s">
        <v>16959</v>
      </c>
      <c r="K1902" t="e">
        <v>#N/A</v>
      </c>
      <c r="S1902" s="3"/>
    </row>
    <row r="1903" spans="1:19" x14ac:dyDescent="0.25">
      <c r="A1903" t="s">
        <v>5805</v>
      </c>
      <c r="B1903" t="s">
        <v>5806</v>
      </c>
      <c r="C1903" t="s">
        <v>5807</v>
      </c>
      <c r="D1903" t="s">
        <v>23</v>
      </c>
      <c r="E1903">
        <v>4200</v>
      </c>
      <c r="F1903" s="3">
        <v>40702</v>
      </c>
      <c r="H1903" t="s">
        <v>15523</v>
      </c>
      <c r="I1903" t="s">
        <v>16960</v>
      </c>
      <c r="K1903" t="e">
        <v>#N/A</v>
      </c>
      <c r="S1903" s="3"/>
    </row>
    <row r="1904" spans="1:19" x14ac:dyDescent="0.25">
      <c r="A1904" t="s">
        <v>5808</v>
      </c>
      <c r="B1904" t="s">
        <v>5809</v>
      </c>
      <c r="C1904" t="s">
        <v>5810</v>
      </c>
      <c r="D1904" t="s">
        <v>23</v>
      </c>
      <c r="E1904">
        <v>4201</v>
      </c>
      <c r="F1904" s="3">
        <v>40702</v>
      </c>
      <c r="H1904" t="s">
        <v>15523</v>
      </c>
      <c r="I1904" t="s">
        <v>16961</v>
      </c>
      <c r="K1904" t="e">
        <v>#N/A</v>
      </c>
      <c r="S1904" s="3"/>
    </row>
    <row r="1905" spans="1:19" x14ac:dyDescent="0.25">
      <c r="A1905" t="s">
        <v>5811</v>
      </c>
      <c r="B1905" t="s">
        <v>5812</v>
      </c>
      <c r="C1905" t="s">
        <v>5813</v>
      </c>
      <c r="D1905" t="s">
        <v>23</v>
      </c>
      <c r="E1905">
        <v>4202</v>
      </c>
      <c r="F1905" s="3">
        <v>40702</v>
      </c>
      <c r="H1905" t="s">
        <v>15523</v>
      </c>
      <c r="I1905" t="s">
        <v>16962</v>
      </c>
      <c r="K1905" t="e">
        <v>#N/A</v>
      </c>
      <c r="S1905" s="3"/>
    </row>
    <row r="1906" spans="1:19" x14ac:dyDescent="0.25">
      <c r="A1906" t="s">
        <v>5814</v>
      </c>
      <c r="B1906" t="s">
        <v>5815</v>
      </c>
      <c r="C1906" t="s">
        <v>5816</v>
      </c>
      <c r="D1906" t="s">
        <v>23</v>
      </c>
      <c r="E1906">
        <v>4203</v>
      </c>
      <c r="F1906" s="3">
        <v>40702</v>
      </c>
      <c r="H1906" t="s">
        <v>15523</v>
      </c>
      <c r="I1906" t="s">
        <v>16963</v>
      </c>
      <c r="K1906" t="e">
        <v>#N/A</v>
      </c>
      <c r="S1906" s="3"/>
    </row>
    <row r="1907" spans="1:19" x14ac:dyDescent="0.25">
      <c r="A1907" t="s">
        <v>5817</v>
      </c>
      <c r="B1907" t="s">
        <v>5818</v>
      </c>
      <c r="C1907" t="s">
        <v>5819</v>
      </c>
      <c r="D1907" t="s">
        <v>23</v>
      </c>
      <c r="E1907">
        <v>4204</v>
      </c>
      <c r="F1907" s="3">
        <v>40702</v>
      </c>
      <c r="H1907" t="s">
        <v>15523</v>
      </c>
      <c r="I1907" t="s">
        <v>16964</v>
      </c>
      <c r="K1907" t="e">
        <v>#N/A</v>
      </c>
      <c r="S1907" s="3"/>
    </row>
    <row r="1908" spans="1:19" x14ac:dyDescent="0.25">
      <c r="A1908" t="s">
        <v>5820</v>
      </c>
      <c r="B1908" t="s">
        <v>5821</v>
      </c>
      <c r="C1908" t="s">
        <v>5822</v>
      </c>
      <c r="D1908" t="s">
        <v>23</v>
      </c>
      <c r="E1908">
        <v>5737</v>
      </c>
      <c r="F1908" s="3">
        <v>42741</v>
      </c>
      <c r="H1908" t="s">
        <v>15523</v>
      </c>
      <c r="I1908" t="s">
        <v>16965</v>
      </c>
      <c r="K1908" t="e">
        <v>#N/A</v>
      </c>
      <c r="S1908" s="3"/>
    </row>
    <row r="1909" spans="1:19" x14ac:dyDescent="0.25">
      <c r="A1909" t="s">
        <v>5823</v>
      </c>
      <c r="B1909" t="s">
        <v>5824</v>
      </c>
      <c r="C1909" t="s">
        <v>5825</v>
      </c>
      <c r="D1909" t="s">
        <v>23</v>
      </c>
      <c r="E1909">
        <v>5238</v>
      </c>
      <c r="F1909" s="3">
        <v>42035</v>
      </c>
      <c r="H1909" t="s">
        <v>15523</v>
      </c>
      <c r="I1909" t="s">
        <v>16966</v>
      </c>
      <c r="K1909" t="e">
        <v>#N/A</v>
      </c>
      <c r="S1909" s="3"/>
    </row>
    <row r="1910" spans="1:19" x14ac:dyDescent="0.25">
      <c r="A1910" t="s">
        <v>5826</v>
      </c>
      <c r="B1910" t="s">
        <v>5827</v>
      </c>
      <c r="C1910" t="s">
        <v>5828</v>
      </c>
      <c r="D1910" t="s">
        <v>23</v>
      </c>
      <c r="E1910">
        <v>4239</v>
      </c>
      <c r="F1910" s="3">
        <v>40702</v>
      </c>
      <c r="H1910" t="s">
        <v>15523</v>
      </c>
      <c r="I1910" t="s">
        <v>16967</v>
      </c>
      <c r="K1910" t="e">
        <v>#N/A</v>
      </c>
      <c r="S1910" s="3"/>
    </row>
    <row r="1911" spans="1:19" x14ac:dyDescent="0.25">
      <c r="A1911" t="s">
        <v>5829</v>
      </c>
      <c r="B1911" t="s">
        <v>5830</v>
      </c>
      <c r="C1911" t="s">
        <v>5831</v>
      </c>
      <c r="D1911" t="s">
        <v>23</v>
      </c>
      <c r="E1911">
        <v>5596</v>
      </c>
      <c r="F1911" s="3">
        <v>42551</v>
      </c>
      <c r="H1911" t="s">
        <v>15523</v>
      </c>
      <c r="I1911" t="s">
        <v>16968</v>
      </c>
      <c r="K1911" t="e">
        <v>#N/A</v>
      </c>
      <c r="S1911" s="3"/>
    </row>
    <row r="1912" spans="1:19" x14ac:dyDescent="0.25">
      <c r="A1912" t="s">
        <v>5832</v>
      </c>
      <c r="B1912" t="s">
        <v>5833</v>
      </c>
      <c r="C1912" t="s">
        <v>16179</v>
      </c>
      <c r="D1912" t="s">
        <v>666</v>
      </c>
      <c r="E1912">
        <v>5763</v>
      </c>
      <c r="F1912" s="3">
        <v>42822</v>
      </c>
      <c r="H1912" t="s">
        <v>15523</v>
      </c>
      <c r="I1912" t="s">
        <v>16180</v>
      </c>
      <c r="K1912" t="e">
        <v>#N/A</v>
      </c>
      <c r="S1912" s="3"/>
    </row>
    <row r="1913" spans="1:19" x14ac:dyDescent="0.25">
      <c r="A1913" t="s">
        <v>5834</v>
      </c>
      <c r="B1913" t="s">
        <v>5835</v>
      </c>
      <c r="C1913" t="s">
        <v>16179</v>
      </c>
      <c r="D1913" t="s">
        <v>47</v>
      </c>
      <c r="E1913">
        <v>3991</v>
      </c>
      <c r="F1913" s="3">
        <v>40702</v>
      </c>
      <c r="H1913" t="s">
        <v>15523</v>
      </c>
      <c r="I1913" t="s">
        <v>16180</v>
      </c>
      <c r="K1913" t="e">
        <v>#N/A</v>
      </c>
      <c r="S1913" s="3"/>
    </row>
    <row r="1914" spans="1:19" x14ac:dyDescent="0.25">
      <c r="A1914" t="s">
        <v>5836</v>
      </c>
      <c r="B1914" t="s">
        <v>5837</v>
      </c>
      <c r="C1914" t="s">
        <v>16179</v>
      </c>
      <c r="D1914" t="s">
        <v>47</v>
      </c>
      <c r="E1914">
        <v>5171</v>
      </c>
      <c r="F1914" s="3">
        <v>42019</v>
      </c>
      <c r="H1914" t="s">
        <v>15523</v>
      </c>
      <c r="I1914" t="s">
        <v>16180</v>
      </c>
      <c r="K1914" t="e">
        <v>#N/A</v>
      </c>
      <c r="S1914" s="3"/>
    </row>
    <row r="1915" spans="1:19" x14ac:dyDescent="0.25">
      <c r="A1915" t="s">
        <v>5838</v>
      </c>
      <c r="B1915" t="s">
        <v>5839</v>
      </c>
      <c r="C1915" t="s">
        <v>16179</v>
      </c>
      <c r="D1915" t="s">
        <v>47</v>
      </c>
      <c r="E1915">
        <v>5824</v>
      </c>
      <c r="F1915" s="3">
        <v>42922</v>
      </c>
      <c r="H1915" t="s">
        <v>15523</v>
      </c>
      <c r="I1915" t="s">
        <v>16180</v>
      </c>
      <c r="K1915" t="e">
        <v>#N/A</v>
      </c>
      <c r="S1915" s="3"/>
    </row>
    <row r="1916" spans="1:19" x14ac:dyDescent="0.25">
      <c r="A1916" t="s">
        <v>5840</v>
      </c>
      <c r="B1916" t="s">
        <v>5841</v>
      </c>
      <c r="C1916" t="s">
        <v>16179</v>
      </c>
      <c r="D1916" t="s">
        <v>2820</v>
      </c>
      <c r="E1916">
        <v>4055</v>
      </c>
      <c r="F1916" s="3">
        <v>40702</v>
      </c>
      <c r="H1916" t="s">
        <v>15523</v>
      </c>
      <c r="I1916" t="s">
        <v>16180</v>
      </c>
      <c r="K1916" t="e">
        <v>#N/A</v>
      </c>
      <c r="S1916" s="3"/>
    </row>
    <row r="1917" spans="1:19" x14ac:dyDescent="0.25">
      <c r="A1917" t="s">
        <v>5842</v>
      </c>
      <c r="B1917" t="s">
        <v>5843</v>
      </c>
      <c r="C1917" t="s">
        <v>16179</v>
      </c>
      <c r="D1917" t="s">
        <v>47</v>
      </c>
      <c r="E1917">
        <v>6063</v>
      </c>
      <c r="F1917" s="3">
        <v>43781</v>
      </c>
      <c r="H1917" t="s">
        <v>15523</v>
      </c>
      <c r="I1917" t="s">
        <v>16180</v>
      </c>
      <c r="K1917" t="e">
        <v>#N/A</v>
      </c>
      <c r="S1917" s="3"/>
    </row>
    <row r="1918" spans="1:19" x14ac:dyDescent="0.25">
      <c r="A1918" t="s">
        <v>5844</v>
      </c>
      <c r="B1918" t="s">
        <v>5845</v>
      </c>
      <c r="C1918" t="s">
        <v>5846</v>
      </c>
      <c r="D1918" t="s">
        <v>23</v>
      </c>
      <c r="E1918">
        <v>5011</v>
      </c>
      <c r="F1918" s="3">
        <v>41660</v>
      </c>
      <c r="H1918" t="s">
        <v>15523</v>
      </c>
      <c r="I1918" t="s">
        <v>16969</v>
      </c>
      <c r="K1918" t="e">
        <v>#N/A</v>
      </c>
      <c r="S1918" s="3"/>
    </row>
    <row r="1919" spans="1:19" x14ac:dyDescent="0.25">
      <c r="A1919" t="s">
        <v>5847</v>
      </c>
      <c r="B1919" t="s">
        <v>5848</v>
      </c>
      <c r="C1919" t="s">
        <v>16179</v>
      </c>
      <c r="D1919" t="s">
        <v>47</v>
      </c>
      <c r="E1919">
        <v>3990</v>
      </c>
      <c r="F1919" s="3">
        <v>40702</v>
      </c>
      <c r="H1919" t="s">
        <v>15523</v>
      </c>
      <c r="I1919" t="s">
        <v>16180</v>
      </c>
      <c r="K1919" t="e">
        <v>#N/A</v>
      </c>
      <c r="S1919" s="3"/>
    </row>
    <row r="1920" spans="1:19" x14ac:dyDescent="0.25">
      <c r="A1920" t="s">
        <v>5849</v>
      </c>
      <c r="B1920" t="s">
        <v>5850</v>
      </c>
      <c r="C1920" t="s">
        <v>5851</v>
      </c>
      <c r="D1920" t="s">
        <v>23</v>
      </c>
      <c r="E1920">
        <v>288</v>
      </c>
      <c r="F1920" s="3">
        <v>40702</v>
      </c>
      <c r="H1920" t="s">
        <v>15523</v>
      </c>
      <c r="I1920" t="s">
        <v>16970</v>
      </c>
      <c r="K1920" t="e">
        <v>#N/A</v>
      </c>
      <c r="S1920" s="3"/>
    </row>
    <row r="1921" spans="1:19" x14ac:dyDescent="0.25">
      <c r="A1921" t="s">
        <v>64</v>
      </c>
      <c r="B1921" t="s">
        <v>66</v>
      </c>
      <c r="C1921" t="s">
        <v>67</v>
      </c>
      <c r="D1921" t="s">
        <v>23</v>
      </c>
      <c r="E1921">
        <v>289</v>
      </c>
      <c r="F1921" s="3">
        <v>40702</v>
      </c>
      <c r="H1921" t="s">
        <v>15523</v>
      </c>
      <c r="I1921" t="s">
        <v>16971</v>
      </c>
      <c r="K1921">
        <v>15</v>
      </c>
      <c r="S1921" s="3"/>
    </row>
    <row r="1922" spans="1:19" x14ac:dyDescent="0.25">
      <c r="A1922" t="s">
        <v>5852</v>
      </c>
      <c r="B1922" t="s">
        <v>5853</v>
      </c>
      <c r="C1922" t="s">
        <v>5854</v>
      </c>
      <c r="D1922" t="s">
        <v>23</v>
      </c>
      <c r="E1922">
        <v>4250</v>
      </c>
      <c r="F1922" s="3">
        <v>40702</v>
      </c>
      <c r="H1922" t="s">
        <v>15523</v>
      </c>
      <c r="I1922" t="s">
        <v>16972</v>
      </c>
      <c r="K1922" t="e">
        <v>#N/A</v>
      </c>
      <c r="S1922" s="3"/>
    </row>
    <row r="1923" spans="1:19" x14ac:dyDescent="0.25">
      <c r="A1923" t="s">
        <v>5855</v>
      </c>
      <c r="B1923" t="s">
        <v>5856</v>
      </c>
      <c r="C1923" t="s">
        <v>5857</v>
      </c>
      <c r="D1923" t="s">
        <v>23</v>
      </c>
      <c r="E1923">
        <v>4251</v>
      </c>
      <c r="F1923" s="3">
        <v>40702</v>
      </c>
      <c r="H1923" t="s">
        <v>15523</v>
      </c>
      <c r="I1923" t="s">
        <v>16973</v>
      </c>
      <c r="K1923" t="e">
        <v>#N/A</v>
      </c>
      <c r="S1923" s="3"/>
    </row>
    <row r="1924" spans="1:19" x14ac:dyDescent="0.25">
      <c r="A1924" t="s">
        <v>5858</v>
      </c>
      <c r="B1924" t="s">
        <v>5859</v>
      </c>
      <c r="C1924" t="s">
        <v>5860</v>
      </c>
      <c r="D1924" t="s">
        <v>23</v>
      </c>
      <c r="E1924">
        <v>4252</v>
      </c>
      <c r="F1924" s="3">
        <v>40702</v>
      </c>
      <c r="H1924" t="s">
        <v>15523</v>
      </c>
      <c r="I1924" t="s">
        <v>16974</v>
      </c>
      <c r="K1924" t="e">
        <v>#N/A</v>
      </c>
      <c r="S1924" s="3"/>
    </row>
    <row r="1925" spans="1:19" x14ac:dyDescent="0.25">
      <c r="A1925" t="s">
        <v>5861</v>
      </c>
      <c r="B1925" t="s">
        <v>5862</v>
      </c>
      <c r="C1925" t="s">
        <v>16179</v>
      </c>
      <c r="D1925" t="s">
        <v>47</v>
      </c>
      <c r="E1925">
        <v>3998</v>
      </c>
      <c r="F1925" s="3">
        <v>40702</v>
      </c>
      <c r="H1925" t="s">
        <v>15523</v>
      </c>
      <c r="I1925" t="s">
        <v>16180</v>
      </c>
      <c r="K1925" t="e">
        <v>#N/A</v>
      </c>
      <c r="S1925" s="3"/>
    </row>
    <row r="1926" spans="1:19" x14ac:dyDescent="0.25">
      <c r="A1926" t="s">
        <v>5863</v>
      </c>
      <c r="B1926" t="s">
        <v>5864</v>
      </c>
      <c r="C1926" t="s">
        <v>16179</v>
      </c>
      <c r="D1926" t="s">
        <v>47</v>
      </c>
      <c r="E1926">
        <v>4007</v>
      </c>
      <c r="F1926" s="3">
        <v>40702</v>
      </c>
      <c r="H1926" t="s">
        <v>15523</v>
      </c>
      <c r="I1926" t="s">
        <v>16180</v>
      </c>
      <c r="K1926" t="e">
        <v>#N/A</v>
      </c>
      <c r="S1926" s="3"/>
    </row>
    <row r="1927" spans="1:19" x14ac:dyDescent="0.25">
      <c r="A1927" t="s">
        <v>80</v>
      </c>
      <c r="B1927" t="s">
        <v>81</v>
      </c>
      <c r="C1927" t="s">
        <v>16179</v>
      </c>
      <c r="D1927" t="s">
        <v>23</v>
      </c>
      <c r="E1927">
        <v>4064</v>
      </c>
      <c r="F1927" s="3">
        <v>40702</v>
      </c>
      <c r="H1927" t="s">
        <v>15523</v>
      </c>
      <c r="I1927" t="s">
        <v>16180</v>
      </c>
      <c r="K1927" t="e">
        <v>#N/A</v>
      </c>
      <c r="S1927" s="3"/>
    </row>
    <row r="1928" spans="1:19" x14ac:dyDescent="0.25">
      <c r="A1928" t="s">
        <v>5865</v>
      </c>
      <c r="B1928" t="s">
        <v>5866</v>
      </c>
      <c r="C1928" t="s">
        <v>16179</v>
      </c>
      <c r="D1928" t="s">
        <v>47</v>
      </c>
      <c r="E1928">
        <v>4690</v>
      </c>
      <c r="F1928" s="3">
        <v>40702</v>
      </c>
      <c r="H1928" t="s">
        <v>15523</v>
      </c>
      <c r="I1928" t="s">
        <v>16180</v>
      </c>
      <c r="K1928" t="e">
        <v>#N/A</v>
      </c>
      <c r="S1928" s="3"/>
    </row>
    <row r="1929" spans="1:19" x14ac:dyDescent="0.25">
      <c r="A1929" t="s">
        <v>5867</v>
      </c>
      <c r="B1929" t="s">
        <v>5868</v>
      </c>
      <c r="C1929" t="s">
        <v>16179</v>
      </c>
      <c r="D1929" t="s">
        <v>23</v>
      </c>
      <c r="E1929">
        <v>4066</v>
      </c>
      <c r="F1929" s="3">
        <v>40702</v>
      </c>
      <c r="H1929" t="s">
        <v>15523</v>
      </c>
      <c r="I1929" t="s">
        <v>16180</v>
      </c>
      <c r="K1929" t="e">
        <v>#N/A</v>
      </c>
      <c r="S1929" s="3"/>
    </row>
    <row r="1930" spans="1:19" x14ac:dyDescent="0.25">
      <c r="A1930" t="s">
        <v>5869</v>
      </c>
      <c r="B1930" t="s">
        <v>5870</v>
      </c>
      <c r="C1930" t="s">
        <v>5871</v>
      </c>
      <c r="D1930" t="s">
        <v>23</v>
      </c>
      <c r="E1930">
        <v>4263</v>
      </c>
      <c r="F1930" s="3">
        <v>40702</v>
      </c>
      <c r="H1930" t="s">
        <v>15523</v>
      </c>
      <c r="I1930" t="s">
        <v>16975</v>
      </c>
      <c r="K1930" t="e">
        <v>#N/A</v>
      </c>
      <c r="S1930" s="3"/>
    </row>
    <row r="1931" spans="1:19" x14ac:dyDescent="0.25">
      <c r="A1931" t="s">
        <v>5872</v>
      </c>
      <c r="B1931" t="s">
        <v>5873</v>
      </c>
      <c r="C1931" t="s">
        <v>5874</v>
      </c>
      <c r="D1931" t="s">
        <v>23</v>
      </c>
      <c r="E1931">
        <v>4264</v>
      </c>
      <c r="F1931" s="3">
        <v>40702</v>
      </c>
      <c r="H1931" t="s">
        <v>15523</v>
      </c>
      <c r="I1931" t="s">
        <v>16976</v>
      </c>
      <c r="K1931" t="e">
        <v>#N/A</v>
      </c>
      <c r="S1931" s="3"/>
    </row>
    <row r="1932" spans="1:19" x14ac:dyDescent="0.25">
      <c r="A1932" t="s">
        <v>5875</v>
      </c>
      <c r="B1932" t="s">
        <v>5876</v>
      </c>
      <c r="C1932" t="s">
        <v>5877</v>
      </c>
      <c r="D1932" t="s">
        <v>23</v>
      </c>
      <c r="E1932">
        <v>4265</v>
      </c>
      <c r="F1932" s="3">
        <v>40702</v>
      </c>
      <c r="H1932" t="s">
        <v>15523</v>
      </c>
      <c r="I1932" t="s">
        <v>16977</v>
      </c>
      <c r="K1932" t="e">
        <v>#N/A</v>
      </c>
      <c r="S1932" s="3"/>
    </row>
    <row r="1933" spans="1:19" x14ac:dyDescent="0.25">
      <c r="A1933" t="s">
        <v>5878</v>
      </c>
      <c r="B1933" t="s">
        <v>5879</v>
      </c>
      <c r="C1933" t="s">
        <v>5880</v>
      </c>
      <c r="D1933" t="s">
        <v>23</v>
      </c>
      <c r="E1933">
        <v>5082</v>
      </c>
      <c r="F1933" s="3">
        <v>41566</v>
      </c>
      <c r="H1933" t="s">
        <v>15523</v>
      </c>
      <c r="I1933" t="s">
        <v>16978</v>
      </c>
      <c r="K1933" t="e">
        <v>#N/A</v>
      </c>
      <c r="S1933" s="3"/>
    </row>
    <row r="1934" spans="1:19" x14ac:dyDescent="0.25">
      <c r="A1934" t="s">
        <v>5881</v>
      </c>
      <c r="B1934" t="s">
        <v>5882</v>
      </c>
      <c r="C1934" t="s">
        <v>5883</v>
      </c>
      <c r="D1934" t="s">
        <v>23</v>
      </c>
      <c r="E1934">
        <v>4267</v>
      </c>
      <c r="F1934" s="3">
        <v>40702</v>
      </c>
      <c r="H1934" t="s">
        <v>15523</v>
      </c>
      <c r="I1934" t="s">
        <v>16979</v>
      </c>
      <c r="K1934" t="e">
        <v>#N/A</v>
      </c>
      <c r="S1934" s="3"/>
    </row>
    <row r="1935" spans="1:19" x14ac:dyDescent="0.25">
      <c r="A1935" t="s">
        <v>5884</v>
      </c>
      <c r="B1935" t="s">
        <v>5885</v>
      </c>
      <c r="C1935" t="s">
        <v>5886</v>
      </c>
      <c r="D1935" t="s">
        <v>23</v>
      </c>
      <c r="E1935">
        <v>637</v>
      </c>
      <c r="F1935" s="3">
        <v>40702</v>
      </c>
      <c r="H1935" t="s">
        <v>15523</v>
      </c>
      <c r="I1935" t="s">
        <v>16980</v>
      </c>
      <c r="K1935" t="e">
        <v>#N/A</v>
      </c>
      <c r="S1935" s="3"/>
    </row>
    <row r="1936" spans="1:19" x14ac:dyDescent="0.25">
      <c r="A1936" t="s">
        <v>5887</v>
      </c>
      <c r="B1936" t="s">
        <v>5888</v>
      </c>
      <c r="C1936" t="s">
        <v>5889</v>
      </c>
      <c r="D1936" t="s">
        <v>23</v>
      </c>
      <c r="E1936">
        <v>4268</v>
      </c>
      <c r="F1936" s="3">
        <v>40702</v>
      </c>
      <c r="H1936" t="s">
        <v>15523</v>
      </c>
      <c r="I1936" t="s">
        <v>16981</v>
      </c>
      <c r="K1936" t="e">
        <v>#N/A</v>
      </c>
      <c r="S1936" s="3"/>
    </row>
    <row r="1937" spans="1:19" x14ac:dyDescent="0.25">
      <c r="A1937" t="s">
        <v>5890</v>
      </c>
      <c r="B1937" t="s">
        <v>5891</v>
      </c>
      <c r="C1937" t="s">
        <v>5892</v>
      </c>
      <c r="D1937" t="s">
        <v>23</v>
      </c>
      <c r="E1937">
        <v>4266</v>
      </c>
      <c r="F1937" s="3">
        <v>40702</v>
      </c>
      <c r="H1937" t="s">
        <v>15523</v>
      </c>
      <c r="I1937" t="s">
        <v>16982</v>
      </c>
      <c r="K1937" t="e">
        <v>#N/A</v>
      </c>
      <c r="S1937" s="3"/>
    </row>
    <row r="1938" spans="1:19" x14ac:dyDescent="0.25">
      <c r="A1938" t="s">
        <v>5893</v>
      </c>
      <c r="B1938" t="s">
        <v>5894</v>
      </c>
      <c r="C1938" t="s">
        <v>5895</v>
      </c>
      <c r="D1938" t="s">
        <v>23</v>
      </c>
      <c r="E1938">
        <v>2432</v>
      </c>
      <c r="F1938" s="3">
        <v>40702</v>
      </c>
      <c r="H1938" t="s">
        <v>15523</v>
      </c>
      <c r="I1938" t="s">
        <v>16983</v>
      </c>
      <c r="K1938" t="e">
        <v>#N/A</v>
      </c>
      <c r="S1938" s="3"/>
    </row>
    <row r="1939" spans="1:19" x14ac:dyDescent="0.25">
      <c r="A1939" t="s">
        <v>5896</v>
      </c>
      <c r="B1939" t="s">
        <v>5897</v>
      </c>
      <c r="C1939" t="s">
        <v>5898</v>
      </c>
      <c r="D1939" t="s">
        <v>23</v>
      </c>
      <c r="E1939">
        <v>5593</v>
      </c>
      <c r="F1939" s="3">
        <v>42551</v>
      </c>
      <c r="H1939" t="s">
        <v>15523</v>
      </c>
      <c r="I1939" t="s">
        <v>16984</v>
      </c>
      <c r="K1939" t="e">
        <v>#N/A</v>
      </c>
      <c r="S1939" s="3"/>
    </row>
    <row r="1940" spans="1:19" x14ac:dyDescent="0.25">
      <c r="A1940" t="s">
        <v>5899</v>
      </c>
      <c r="B1940" t="s">
        <v>5900</v>
      </c>
      <c r="C1940" t="s">
        <v>5901</v>
      </c>
      <c r="D1940" t="s">
        <v>23</v>
      </c>
      <c r="E1940">
        <v>5269</v>
      </c>
      <c r="F1940" s="3">
        <v>42054</v>
      </c>
      <c r="H1940" t="s">
        <v>15523</v>
      </c>
      <c r="I1940" t="s">
        <v>16985</v>
      </c>
      <c r="K1940" t="e">
        <v>#N/A</v>
      </c>
      <c r="S1940" s="3"/>
    </row>
    <row r="1941" spans="1:19" x14ac:dyDescent="0.25">
      <c r="A1941" t="s">
        <v>68</v>
      </c>
      <c r="B1941" t="s">
        <v>70</v>
      </c>
      <c r="C1941" t="s">
        <v>71</v>
      </c>
      <c r="D1941" t="s">
        <v>23</v>
      </c>
      <c r="E1941">
        <v>1273</v>
      </c>
      <c r="F1941" s="3">
        <v>41852</v>
      </c>
      <c r="H1941" t="s">
        <v>15523</v>
      </c>
      <c r="I1941" t="s">
        <v>16986</v>
      </c>
      <c r="K1941">
        <v>16</v>
      </c>
      <c r="S1941" s="3"/>
    </row>
    <row r="1942" spans="1:19" x14ac:dyDescent="0.25">
      <c r="A1942" t="s">
        <v>5902</v>
      </c>
      <c r="B1942" t="s">
        <v>5903</v>
      </c>
      <c r="C1942" t="s">
        <v>5904</v>
      </c>
      <c r="D1942" t="s">
        <v>23</v>
      </c>
      <c r="E1942">
        <v>1275</v>
      </c>
      <c r="F1942" s="3">
        <v>40702</v>
      </c>
      <c r="H1942" t="s">
        <v>15523</v>
      </c>
      <c r="I1942" t="s">
        <v>16987</v>
      </c>
      <c r="K1942" t="e">
        <v>#N/A</v>
      </c>
      <c r="S1942" s="3"/>
    </row>
    <row r="1943" spans="1:19" x14ac:dyDescent="0.25">
      <c r="A1943" t="s">
        <v>5905</v>
      </c>
      <c r="B1943" t="s">
        <v>5906</v>
      </c>
      <c r="C1943" t="s">
        <v>5907</v>
      </c>
      <c r="D1943" t="s">
        <v>23</v>
      </c>
      <c r="E1943">
        <v>4271</v>
      </c>
      <c r="F1943" s="3">
        <v>40702</v>
      </c>
      <c r="H1943" t="s">
        <v>15523</v>
      </c>
      <c r="I1943" t="s">
        <v>16988</v>
      </c>
      <c r="K1943" t="e">
        <v>#N/A</v>
      </c>
      <c r="S1943" s="3"/>
    </row>
    <row r="1944" spans="1:19" x14ac:dyDescent="0.25">
      <c r="A1944" t="s">
        <v>5908</v>
      </c>
      <c r="B1944" t="s">
        <v>5909</v>
      </c>
      <c r="C1944" t="s">
        <v>5910</v>
      </c>
      <c r="D1944" t="s">
        <v>23</v>
      </c>
      <c r="E1944">
        <v>4272</v>
      </c>
      <c r="F1944" s="3">
        <v>40702</v>
      </c>
      <c r="H1944" t="s">
        <v>15523</v>
      </c>
      <c r="I1944" t="s">
        <v>16989</v>
      </c>
      <c r="K1944" t="e">
        <v>#N/A</v>
      </c>
      <c r="S1944" s="3"/>
    </row>
    <row r="1945" spans="1:19" x14ac:dyDescent="0.25">
      <c r="A1945" t="s">
        <v>5911</v>
      </c>
      <c r="B1945" t="s">
        <v>5912</v>
      </c>
      <c r="C1945" t="s">
        <v>5913</v>
      </c>
      <c r="D1945" t="s">
        <v>23</v>
      </c>
      <c r="E1945">
        <v>1942</v>
      </c>
      <c r="F1945" s="3">
        <v>40702</v>
      </c>
      <c r="H1945" t="s">
        <v>15523</v>
      </c>
      <c r="I1945" t="s">
        <v>16990</v>
      </c>
      <c r="K1945" t="e">
        <v>#N/A</v>
      </c>
      <c r="S1945" s="3"/>
    </row>
    <row r="1946" spans="1:19" x14ac:dyDescent="0.25">
      <c r="A1946" t="s">
        <v>72</v>
      </c>
      <c r="B1946" t="s">
        <v>74</v>
      </c>
      <c r="C1946" t="s">
        <v>75</v>
      </c>
      <c r="D1946" t="s">
        <v>23</v>
      </c>
      <c r="E1946">
        <v>1270</v>
      </c>
      <c r="F1946" s="3">
        <v>40702</v>
      </c>
      <c r="H1946" t="s">
        <v>15523</v>
      </c>
      <c r="I1946" t="s">
        <v>16991</v>
      </c>
      <c r="K1946">
        <v>17</v>
      </c>
      <c r="S1946" s="3"/>
    </row>
    <row r="1947" spans="1:19" x14ac:dyDescent="0.25">
      <c r="A1947" t="s">
        <v>5914</v>
      </c>
      <c r="B1947" t="s">
        <v>5915</v>
      </c>
      <c r="C1947" t="s">
        <v>16179</v>
      </c>
      <c r="D1947" t="s">
        <v>47</v>
      </c>
      <c r="E1947">
        <v>4686</v>
      </c>
      <c r="F1947" s="3">
        <v>40702</v>
      </c>
      <c r="H1947" t="s">
        <v>15523</v>
      </c>
      <c r="I1947" t="s">
        <v>16180</v>
      </c>
      <c r="K1947" t="e">
        <v>#N/A</v>
      </c>
      <c r="S1947" s="3"/>
    </row>
    <row r="1948" spans="1:19" x14ac:dyDescent="0.25">
      <c r="A1948" t="s">
        <v>5916</v>
      </c>
      <c r="B1948" t="s">
        <v>5917</v>
      </c>
      <c r="C1948" t="s">
        <v>16179</v>
      </c>
      <c r="D1948" t="s">
        <v>47</v>
      </c>
      <c r="E1948">
        <v>4937</v>
      </c>
      <c r="F1948" s="3">
        <v>41524</v>
      </c>
      <c r="H1948" t="s">
        <v>15523</v>
      </c>
      <c r="I1948" t="s">
        <v>16180</v>
      </c>
      <c r="K1948" t="e">
        <v>#N/A</v>
      </c>
      <c r="S1948" s="3"/>
    </row>
    <row r="1949" spans="1:19" x14ac:dyDescent="0.25">
      <c r="A1949" t="s">
        <v>5918</v>
      </c>
      <c r="B1949" t="s">
        <v>5919</v>
      </c>
      <c r="C1949" t="s">
        <v>5920</v>
      </c>
      <c r="D1949" t="s">
        <v>23</v>
      </c>
      <c r="E1949">
        <v>4275</v>
      </c>
      <c r="F1949" s="3">
        <v>40782</v>
      </c>
      <c r="H1949" t="s">
        <v>15523</v>
      </c>
      <c r="I1949" t="s">
        <v>16992</v>
      </c>
      <c r="K1949" t="e">
        <v>#N/A</v>
      </c>
      <c r="S1949" s="3"/>
    </row>
    <row r="1950" spans="1:19" x14ac:dyDescent="0.25">
      <c r="A1950" t="s">
        <v>5921</v>
      </c>
      <c r="B1950" t="s">
        <v>5922</v>
      </c>
      <c r="C1950" t="s">
        <v>5923</v>
      </c>
      <c r="D1950" t="s">
        <v>23</v>
      </c>
      <c r="E1950">
        <v>2433</v>
      </c>
      <c r="F1950" s="3">
        <v>40782</v>
      </c>
      <c r="H1950" t="s">
        <v>15523</v>
      </c>
      <c r="I1950" t="s">
        <v>16993</v>
      </c>
      <c r="K1950" t="e">
        <v>#N/A</v>
      </c>
      <c r="S1950" s="3"/>
    </row>
    <row r="1951" spans="1:19" x14ac:dyDescent="0.25">
      <c r="A1951" t="s">
        <v>5924</v>
      </c>
      <c r="B1951" t="s">
        <v>5925</v>
      </c>
      <c r="C1951" t="s">
        <v>5926</v>
      </c>
      <c r="D1951" t="s">
        <v>23</v>
      </c>
      <c r="E1951">
        <v>2434</v>
      </c>
      <c r="F1951" s="3">
        <v>40782</v>
      </c>
      <c r="H1951" t="s">
        <v>15523</v>
      </c>
      <c r="I1951" t="s">
        <v>16994</v>
      </c>
      <c r="K1951" t="e">
        <v>#N/A</v>
      </c>
      <c r="S1951" s="3"/>
    </row>
    <row r="1952" spans="1:19" x14ac:dyDescent="0.25">
      <c r="A1952" t="s">
        <v>5927</v>
      </c>
      <c r="B1952" t="s">
        <v>5928</v>
      </c>
      <c r="C1952" t="s">
        <v>16179</v>
      </c>
      <c r="D1952" t="s">
        <v>23</v>
      </c>
      <c r="E1952">
        <v>4069</v>
      </c>
      <c r="F1952" s="3">
        <v>40702</v>
      </c>
      <c r="H1952" t="s">
        <v>15523</v>
      </c>
      <c r="I1952" t="s">
        <v>16180</v>
      </c>
      <c r="K1952" t="e">
        <v>#N/A</v>
      </c>
      <c r="S1952" s="3"/>
    </row>
    <row r="1953" spans="1:19" x14ac:dyDescent="0.25">
      <c r="A1953" t="s">
        <v>5929</v>
      </c>
      <c r="B1953" t="s">
        <v>5930</v>
      </c>
      <c r="C1953" t="s">
        <v>16179</v>
      </c>
      <c r="D1953" t="s">
        <v>47</v>
      </c>
      <c r="E1953">
        <v>4691</v>
      </c>
      <c r="F1953" s="3">
        <v>40702</v>
      </c>
      <c r="H1953" t="s">
        <v>15523</v>
      </c>
      <c r="I1953" t="s">
        <v>16180</v>
      </c>
      <c r="K1953" t="e">
        <v>#N/A</v>
      </c>
      <c r="S1953" s="3"/>
    </row>
    <row r="1954" spans="1:19" x14ac:dyDescent="0.25">
      <c r="A1954" t="s">
        <v>5931</v>
      </c>
      <c r="B1954" t="s">
        <v>5932</v>
      </c>
      <c r="C1954" t="s">
        <v>5933</v>
      </c>
      <c r="D1954" t="s">
        <v>23</v>
      </c>
      <c r="E1954">
        <v>4286</v>
      </c>
      <c r="F1954" s="3">
        <v>40702</v>
      </c>
      <c r="H1954" t="s">
        <v>15523</v>
      </c>
      <c r="I1954" t="s">
        <v>16995</v>
      </c>
      <c r="K1954" t="e">
        <v>#N/A</v>
      </c>
      <c r="S1954" s="3"/>
    </row>
    <row r="1955" spans="1:19" x14ac:dyDescent="0.25">
      <c r="A1955" t="s">
        <v>5934</v>
      </c>
      <c r="B1955" t="s">
        <v>5935</v>
      </c>
      <c r="C1955" t="s">
        <v>5936</v>
      </c>
      <c r="D1955" t="s">
        <v>23</v>
      </c>
      <c r="E1955">
        <v>4287</v>
      </c>
      <c r="F1955" s="3">
        <v>40702</v>
      </c>
      <c r="H1955" t="s">
        <v>15523</v>
      </c>
      <c r="I1955" t="s">
        <v>16996</v>
      </c>
      <c r="K1955" t="e">
        <v>#N/A</v>
      </c>
      <c r="S1955" s="3"/>
    </row>
    <row r="1956" spans="1:19" x14ac:dyDescent="0.25">
      <c r="A1956" t="s">
        <v>5937</v>
      </c>
      <c r="B1956" t="s">
        <v>5938</v>
      </c>
      <c r="C1956" t="s">
        <v>5939</v>
      </c>
      <c r="D1956" t="s">
        <v>23</v>
      </c>
      <c r="E1956">
        <v>4288</v>
      </c>
      <c r="F1956" s="3">
        <v>40702</v>
      </c>
      <c r="H1956" t="s">
        <v>15523</v>
      </c>
      <c r="I1956" t="s">
        <v>16997</v>
      </c>
      <c r="K1956" t="e">
        <v>#N/A</v>
      </c>
      <c r="S1956" s="3"/>
    </row>
    <row r="1957" spans="1:19" x14ac:dyDescent="0.25">
      <c r="A1957" t="s">
        <v>5940</v>
      </c>
      <c r="B1957" t="s">
        <v>5941</v>
      </c>
      <c r="C1957" t="s">
        <v>5942</v>
      </c>
      <c r="D1957" t="s">
        <v>23</v>
      </c>
      <c r="E1957">
        <v>4289</v>
      </c>
      <c r="F1957" s="3">
        <v>40702</v>
      </c>
      <c r="H1957" t="s">
        <v>15523</v>
      </c>
      <c r="I1957" t="s">
        <v>16998</v>
      </c>
      <c r="K1957" t="e">
        <v>#N/A</v>
      </c>
      <c r="S1957" s="3"/>
    </row>
    <row r="1958" spans="1:19" x14ac:dyDescent="0.25">
      <c r="A1958" t="s">
        <v>5943</v>
      </c>
      <c r="B1958" t="s">
        <v>5944</v>
      </c>
      <c r="C1958" t="s">
        <v>5945</v>
      </c>
      <c r="D1958" t="s">
        <v>23</v>
      </c>
      <c r="E1958">
        <v>4290</v>
      </c>
      <c r="F1958" s="3">
        <v>40702</v>
      </c>
      <c r="H1958" t="s">
        <v>15523</v>
      </c>
      <c r="I1958" t="s">
        <v>16999</v>
      </c>
      <c r="K1958" t="e">
        <v>#N/A</v>
      </c>
      <c r="S1958" s="3"/>
    </row>
    <row r="1959" spans="1:19" x14ac:dyDescent="0.25">
      <c r="A1959" t="s">
        <v>5946</v>
      </c>
      <c r="B1959" t="s">
        <v>5947</v>
      </c>
      <c r="C1959" t="s">
        <v>5948</v>
      </c>
      <c r="D1959" t="s">
        <v>23</v>
      </c>
      <c r="E1959">
        <v>4291</v>
      </c>
      <c r="F1959" s="3">
        <v>40702</v>
      </c>
      <c r="H1959" t="s">
        <v>15523</v>
      </c>
      <c r="I1959" t="s">
        <v>17000</v>
      </c>
      <c r="K1959" t="e">
        <v>#N/A</v>
      </c>
      <c r="S1959" s="3"/>
    </row>
    <row r="1960" spans="1:19" x14ac:dyDescent="0.25">
      <c r="A1960" t="s">
        <v>5949</v>
      </c>
      <c r="B1960" t="s">
        <v>5950</v>
      </c>
      <c r="C1960" t="s">
        <v>5951</v>
      </c>
      <c r="D1960" t="s">
        <v>23</v>
      </c>
      <c r="E1960">
        <v>4292</v>
      </c>
      <c r="F1960" s="3">
        <v>40702</v>
      </c>
      <c r="H1960" t="s">
        <v>15523</v>
      </c>
      <c r="I1960" t="s">
        <v>17001</v>
      </c>
      <c r="K1960" t="e">
        <v>#N/A</v>
      </c>
      <c r="S1960" s="3"/>
    </row>
    <row r="1961" spans="1:19" x14ac:dyDescent="0.25">
      <c r="A1961" t="s">
        <v>5952</v>
      </c>
      <c r="B1961" t="s">
        <v>5953</v>
      </c>
      <c r="C1961" t="s">
        <v>5954</v>
      </c>
      <c r="D1961" t="s">
        <v>23</v>
      </c>
      <c r="E1961">
        <v>1274</v>
      </c>
      <c r="F1961" s="3">
        <v>40702</v>
      </c>
      <c r="H1961" t="s">
        <v>15523</v>
      </c>
      <c r="I1961" t="s">
        <v>17002</v>
      </c>
      <c r="K1961" t="e">
        <v>#N/A</v>
      </c>
      <c r="S1961" s="3"/>
    </row>
    <row r="1962" spans="1:19" x14ac:dyDescent="0.25">
      <c r="A1962" t="s">
        <v>5955</v>
      </c>
      <c r="B1962" t="s">
        <v>5956</v>
      </c>
      <c r="C1962" t="s">
        <v>5957</v>
      </c>
      <c r="D1962" t="s">
        <v>23</v>
      </c>
      <c r="E1962">
        <v>5264</v>
      </c>
      <c r="F1962" s="3">
        <v>42047</v>
      </c>
      <c r="H1962" t="s">
        <v>15523</v>
      </c>
      <c r="I1962" t="s">
        <v>17003</v>
      </c>
      <c r="K1962" t="e">
        <v>#N/A</v>
      </c>
      <c r="S1962" s="3"/>
    </row>
    <row r="1963" spans="1:19" x14ac:dyDescent="0.25">
      <c r="A1963" t="s">
        <v>5958</v>
      </c>
      <c r="B1963" t="s">
        <v>5959</v>
      </c>
      <c r="C1963" t="s">
        <v>16179</v>
      </c>
      <c r="D1963" t="s">
        <v>666</v>
      </c>
      <c r="E1963">
        <v>4071</v>
      </c>
      <c r="F1963" s="3">
        <v>40705</v>
      </c>
      <c r="H1963" t="s">
        <v>15523</v>
      </c>
      <c r="I1963" t="s">
        <v>16180</v>
      </c>
      <c r="K1963" t="e">
        <v>#N/A</v>
      </c>
      <c r="S1963" s="3"/>
    </row>
    <row r="1964" spans="1:19" x14ac:dyDescent="0.25">
      <c r="A1964" t="s">
        <v>5960</v>
      </c>
      <c r="B1964" t="s">
        <v>5961</v>
      </c>
      <c r="C1964" t="s">
        <v>16179</v>
      </c>
      <c r="D1964" t="s">
        <v>666</v>
      </c>
      <c r="E1964">
        <v>4072</v>
      </c>
      <c r="F1964" s="3">
        <v>40705</v>
      </c>
      <c r="H1964" t="s">
        <v>15523</v>
      </c>
      <c r="I1964" t="s">
        <v>16180</v>
      </c>
      <c r="K1964" t="e">
        <v>#N/A</v>
      </c>
      <c r="S1964" s="3"/>
    </row>
    <row r="1965" spans="1:19" x14ac:dyDescent="0.25">
      <c r="A1965" t="s">
        <v>5962</v>
      </c>
      <c r="B1965" t="s">
        <v>5963</v>
      </c>
      <c r="C1965" t="s">
        <v>16179</v>
      </c>
      <c r="D1965" t="s">
        <v>2820</v>
      </c>
      <c r="E1965">
        <v>5866</v>
      </c>
      <c r="F1965" s="3">
        <v>43081</v>
      </c>
      <c r="H1965" t="s">
        <v>15523</v>
      </c>
      <c r="I1965" t="s">
        <v>16180</v>
      </c>
      <c r="K1965" t="e">
        <v>#N/A</v>
      </c>
      <c r="S1965" s="3"/>
    </row>
    <row r="1966" spans="1:19" x14ac:dyDescent="0.25">
      <c r="A1966" t="s">
        <v>227</v>
      </c>
      <c r="B1966" t="s">
        <v>229</v>
      </c>
      <c r="C1966" t="s">
        <v>230</v>
      </c>
      <c r="D1966" t="s">
        <v>23</v>
      </c>
      <c r="E1966">
        <v>1262</v>
      </c>
      <c r="F1966" s="3">
        <v>40702</v>
      </c>
      <c r="H1966" t="s">
        <v>15523</v>
      </c>
      <c r="I1966" t="s">
        <v>17004</v>
      </c>
      <c r="K1966">
        <v>63</v>
      </c>
      <c r="S1966" s="3"/>
    </row>
    <row r="1967" spans="1:19" x14ac:dyDescent="0.25">
      <c r="A1967" t="s">
        <v>5964</v>
      </c>
      <c r="B1967" t="s">
        <v>5965</v>
      </c>
      <c r="C1967" t="s">
        <v>5966</v>
      </c>
      <c r="D1967" t="s">
        <v>23</v>
      </c>
      <c r="E1967">
        <v>4205</v>
      </c>
      <c r="F1967" s="3">
        <v>40702</v>
      </c>
      <c r="H1967" t="s">
        <v>15523</v>
      </c>
      <c r="I1967" t="s">
        <v>17005</v>
      </c>
      <c r="K1967" t="e">
        <v>#N/A</v>
      </c>
      <c r="S1967" s="3"/>
    </row>
    <row r="1968" spans="1:19" x14ac:dyDescent="0.25">
      <c r="A1968" t="s">
        <v>5967</v>
      </c>
      <c r="B1968" t="s">
        <v>5968</v>
      </c>
      <c r="C1968" t="s">
        <v>5969</v>
      </c>
      <c r="D1968" t="s">
        <v>23</v>
      </c>
      <c r="E1968">
        <v>4206</v>
      </c>
      <c r="F1968" s="3">
        <v>40702</v>
      </c>
      <c r="H1968" t="s">
        <v>15523</v>
      </c>
      <c r="I1968" t="s">
        <v>17006</v>
      </c>
      <c r="K1968" t="e">
        <v>#N/A</v>
      </c>
      <c r="S1968" s="3"/>
    </row>
    <row r="1969" spans="1:19" x14ac:dyDescent="0.25">
      <c r="A1969" t="s">
        <v>5970</v>
      </c>
      <c r="B1969" t="s">
        <v>5971</v>
      </c>
      <c r="C1969" t="s">
        <v>5972</v>
      </c>
      <c r="D1969" t="s">
        <v>23</v>
      </c>
      <c r="E1969">
        <v>4207</v>
      </c>
      <c r="F1969" s="3">
        <v>40702</v>
      </c>
      <c r="H1969" t="s">
        <v>15523</v>
      </c>
      <c r="I1969" t="s">
        <v>17007</v>
      </c>
      <c r="K1969" t="e">
        <v>#N/A</v>
      </c>
      <c r="S1969" s="3"/>
    </row>
    <row r="1970" spans="1:19" x14ac:dyDescent="0.25">
      <c r="A1970" t="s">
        <v>5973</v>
      </c>
      <c r="B1970" t="s">
        <v>5974</v>
      </c>
      <c r="C1970" t="s">
        <v>5975</v>
      </c>
      <c r="D1970" t="s">
        <v>23</v>
      </c>
      <c r="E1970">
        <v>4208</v>
      </c>
      <c r="F1970" s="3">
        <v>40702</v>
      </c>
      <c r="H1970" t="s">
        <v>15523</v>
      </c>
      <c r="I1970" t="s">
        <v>17008</v>
      </c>
      <c r="K1970" t="e">
        <v>#N/A</v>
      </c>
      <c r="S1970" s="3"/>
    </row>
    <row r="1971" spans="1:19" x14ac:dyDescent="0.25">
      <c r="A1971" t="s">
        <v>5976</v>
      </c>
      <c r="B1971" t="s">
        <v>5977</v>
      </c>
      <c r="C1971" t="s">
        <v>5978</v>
      </c>
      <c r="D1971" t="s">
        <v>23</v>
      </c>
      <c r="E1971">
        <v>4211</v>
      </c>
      <c r="F1971" s="3">
        <v>40702</v>
      </c>
      <c r="H1971" t="s">
        <v>15523</v>
      </c>
      <c r="I1971" t="s">
        <v>17009</v>
      </c>
      <c r="K1971" t="e">
        <v>#N/A</v>
      </c>
      <c r="S1971" s="3"/>
    </row>
    <row r="1972" spans="1:19" x14ac:dyDescent="0.25">
      <c r="A1972" t="s">
        <v>5979</v>
      </c>
      <c r="B1972" t="s">
        <v>5980</v>
      </c>
      <c r="C1972" t="s">
        <v>5981</v>
      </c>
      <c r="D1972" t="s">
        <v>23</v>
      </c>
      <c r="E1972">
        <v>5221</v>
      </c>
      <c r="F1972" s="3">
        <v>42035</v>
      </c>
      <c r="H1972" t="s">
        <v>15523</v>
      </c>
      <c r="I1972" t="s">
        <v>17010</v>
      </c>
      <c r="K1972" t="e">
        <v>#N/A</v>
      </c>
      <c r="S1972" s="3"/>
    </row>
    <row r="1973" spans="1:19" x14ac:dyDescent="0.25">
      <c r="A1973" t="s">
        <v>5982</v>
      </c>
      <c r="B1973" t="s">
        <v>5983</v>
      </c>
      <c r="C1973" t="s">
        <v>5984</v>
      </c>
      <c r="D1973" t="s">
        <v>23</v>
      </c>
      <c r="E1973">
        <v>4212</v>
      </c>
      <c r="F1973" s="3">
        <v>40702</v>
      </c>
      <c r="H1973" t="s">
        <v>15523</v>
      </c>
      <c r="I1973" t="s">
        <v>17011</v>
      </c>
      <c r="K1973" t="e">
        <v>#N/A</v>
      </c>
      <c r="S1973" s="3"/>
    </row>
    <row r="1974" spans="1:19" x14ac:dyDescent="0.25">
      <c r="A1974" t="s">
        <v>5985</v>
      </c>
      <c r="B1974" t="s">
        <v>5986</v>
      </c>
      <c r="C1974" t="s">
        <v>5987</v>
      </c>
      <c r="D1974" t="s">
        <v>23</v>
      </c>
      <c r="E1974">
        <v>4216</v>
      </c>
      <c r="F1974" s="3">
        <v>40702</v>
      </c>
      <c r="H1974" t="s">
        <v>15523</v>
      </c>
      <c r="I1974" t="s">
        <v>17012</v>
      </c>
      <c r="K1974" t="e">
        <v>#N/A</v>
      </c>
      <c r="S1974" s="3"/>
    </row>
    <row r="1975" spans="1:19" x14ac:dyDescent="0.25">
      <c r="A1975" t="s">
        <v>5988</v>
      </c>
      <c r="B1975" t="s">
        <v>5989</v>
      </c>
      <c r="C1975" t="s">
        <v>5990</v>
      </c>
      <c r="D1975" t="s">
        <v>23</v>
      </c>
      <c r="E1975">
        <v>4213</v>
      </c>
      <c r="F1975" s="3">
        <v>40702</v>
      </c>
      <c r="H1975" t="s">
        <v>15523</v>
      </c>
      <c r="I1975" t="s">
        <v>17013</v>
      </c>
      <c r="K1975" t="e">
        <v>#N/A</v>
      </c>
      <c r="S1975" s="3"/>
    </row>
    <row r="1976" spans="1:19" x14ac:dyDescent="0.25">
      <c r="A1976" t="s">
        <v>5991</v>
      </c>
      <c r="B1976" t="s">
        <v>5992</v>
      </c>
      <c r="C1976" s="3">
        <v>2146053</v>
      </c>
      <c r="D1976" t="s">
        <v>23</v>
      </c>
      <c r="E1976">
        <v>4214</v>
      </c>
      <c r="F1976" s="3">
        <v>40704</v>
      </c>
      <c r="H1976" t="s">
        <v>15523</v>
      </c>
      <c r="I1976" t="s">
        <v>17014</v>
      </c>
      <c r="K1976" t="e">
        <v>#N/A</v>
      </c>
      <c r="P1976" s="3"/>
      <c r="S1976" s="3"/>
    </row>
    <row r="1977" spans="1:19" x14ac:dyDescent="0.25">
      <c r="A1977" t="s">
        <v>5994</v>
      </c>
      <c r="B1977" t="s">
        <v>5995</v>
      </c>
      <c r="C1977" t="s">
        <v>5996</v>
      </c>
      <c r="D1977" t="s">
        <v>23</v>
      </c>
      <c r="E1977">
        <v>4215</v>
      </c>
      <c r="F1977" s="3">
        <v>40702</v>
      </c>
      <c r="H1977" t="s">
        <v>15523</v>
      </c>
      <c r="I1977" t="s">
        <v>17015</v>
      </c>
      <c r="K1977" t="e">
        <v>#N/A</v>
      </c>
      <c r="S1977" s="3"/>
    </row>
    <row r="1978" spans="1:19" x14ac:dyDescent="0.25">
      <c r="A1978" t="s">
        <v>5997</v>
      </c>
      <c r="B1978" t="s">
        <v>5998</v>
      </c>
      <c r="C1978" t="s">
        <v>5999</v>
      </c>
      <c r="D1978" t="s">
        <v>23</v>
      </c>
      <c r="E1978">
        <v>4217</v>
      </c>
      <c r="F1978" s="3">
        <v>40702</v>
      </c>
      <c r="H1978" t="s">
        <v>15523</v>
      </c>
      <c r="I1978" t="s">
        <v>17016</v>
      </c>
      <c r="K1978" t="e">
        <v>#N/A</v>
      </c>
      <c r="S1978" s="3"/>
    </row>
    <row r="1979" spans="1:19" x14ac:dyDescent="0.25">
      <c r="A1979" t="s">
        <v>6000</v>
      </c>
      <c r="B1979" t="s">
        <v>6001</v>
      </c>
      <c r="C1979" t="s">
        <v>6002</v>
      </c>
      <c r="D1979" t="s">
        <v>23</v>
      </c>
      <c r="E1979">
        <v>4218</v>
      </c>
      <c r="F1979" s="3">
        <v>40702</v>
      </c>
      <c r="H1979" t="s">
        <v>15523</v>
      </c>
      <c r="I1979" t="s">
        <v>17017</v>
      </c>
      <c r="K1979" t="e">
        <v>#N/A</v>
      </c>
      <c r="S1979" s="3"/>
    </row>
    <row r="1980" spans="1:19" x14ac:dyDescent="0.25">
      <c r="A1980" t="s">
        <v>6003</v>
      </c>
      <c r="B1980" t="s">
        <v>6004</v>
      </c>
      <c r="C1980" t="s">
        <v>6005</v>
      </c>
      <c r="D1980" t="s">
        <v>23</v>
      </c>
      <c r="E1980">
        <v>4219</v>
      </c>
      <c r="F1980" s="3">
        <v>40702</v>
      </c>
      <c r="H1980" t="s">
        <v>15523</v>
      </c>
      <c r="I1980" t="s">
        <v>17018</v>
      </c>
      <c r="K1980" t="e">
        <v>#N/A</v>
      </c>
      <c r="S1980" s="3"/>
    </row>
    <row r="1981" spans="1:19" x14ac:dyDescent="0.25">
      <c r="A1981" t="s">
        <v>6006</v>
      </c>
      <c r="B1981" t="s">
        <v>6007</v>
      </c>
      <c r="C1981" t="s">
        <v>6008</v>
      </c>
      <c r="D1981" t="s">
        <v>23</v>
      </c>
      <c r="E1981">
        <v>4220</v>
      </c>
      <c r="F1981" s="3">
        <v>40702</v>
      </c>
      <c r="H1981" t="s">
        <v>15523</v>
      </c>
      <c r="I1981" t="s">
        <v>17019</v>
      </c>
      <c r="K1981" t="e">
        <v>#N/A</v>
      </c>
      <c r="S1981" s="3"/>
    </row>
    <row r="1982" spans="1:19" x14ac:dyDescent="0.25">
      <c r="A1982" t="s">
        <v>6009</v>
      </c>
      <c r="B1982" t="s">
        <v>6010</v>
      </c>
      <c r="C1982" t="s">
        <v>6011</v>
      </c>
      <c r="D1982" t="s">
        <v>23</v>
      </c>
      <c r="E1982">
        <v>4221</v>
      </c>
      <c r="F1982" s="3">
        <v>40702</v>
      </c>
      <c r="H1982" t="s">
        <v>15523</v>
      </c>
      <c r="I1982" t="s">
        <v>17020</v>
      </c>
      <c r="K1982" t="e">
        <v>#N/A</v>
      </c>
      <c r="S1982" s="3"/>
    </row>
    <row r="1983" spans="1:19" x14ac:dyDescent="0.25">
      <c r="A1983" t="s">
        <v>6012</v>
      </c>
      <c r="B1983" t="s">
        <v>6013</v>
      </c>
      <c r="C1983" t="s">
        <v>6014</v>
      </c>
      <c r="D1983" t="s">
        <v>23</v>
      </c>
      <c r="E1983">
        <v>4223</v>
      </c>
      <c r="F1983" s="3">
        <v>40702</v>
      </c>
      <c r="H1983" t="s">
        <v>15523</v>
      </c>
      <c r="I1983" t="s">
        <v>17021</v>
      </c>
      <c r="K1983" t="e">
        <v>#N/A</v>
      </c>
      <c r="S1983" s="3"/>
    </row>
    <row r="1984" spans="1:19" x14ac:dyDescent="0.25">
      <c r="A1984" t="s">
        <v>6015</v>
      </c>
      <c r="B1984" t="s">
        <v>6016</v>
      </c>
      <c r="C1984" t="s">
        <v>6017</v>
      </c>
      <c r="D1984" t="s">
        <v>23</v>
      </c>
      <c r="E1984">
        <v>6076</v>
      </c>
      <c r="F1984" s="3">
        <v>43854</v>
      </c>
      <c r="H1984" t="s">
        <v>15523</v>
      </c>
      <c r="I1984" t="s">
        <v>17022</v>
      </c>
      <c r="K1984" t="e">
        <v>#N/A</v>
      </c>
      <c r="S1984" s="3"/>
    </row>
    <row r="1985" spans="1:19" x14ac:dyDescent="0.25">
      <c r="A1985" t="s">
        <v>6018</v>
      </c>
      <c r="B1985" t="s">
        <v>6019</v>
      </c>
      <c r="C1985" t="s">
        <v>6020</v>
      </c>
      <c r="D1985" t="s">
        <v>23</v>
      </c>
      <c r="E1985">
        <v>4225</v>
      </c>
      <c r="F1985" s="3">
        <v>40702</v>
      </c>
      <c r="H1985" t="s">
        <v>15523</v>
      </c>
      <c r="I1985" t="s">
        <v>17023</v>
      </c>
      <c r="K1985" t="e">
        <v>#N/A</v>
      </c>
      <c r="S1985" s="3"/>
    </row>
    <row r="1986" spans="1:19" x14ac:dyDescent="0.25">
      <c r="A1986" t="s">
        <v>6021</v>
      </c>
      <c r="B1986" t="s">
        <v>6022</v>
      </c>
      <c r="C1986" t="s">
        <v>6023</v>
      </c>
      <c r="D1986" t="s">
        <v>23</v>
      </c>
      <c r="E1986">
        <v>1932</v>
      </c>
      <c r="F1986" s="3">
        <v>40781</v>
      </c>
      <c r="H1986" t="s">
        <v>15523</v>
      </c>
      <c r="I1986" t="s">
        <v>17024</v>
      </c>
      <c r="K1986" t="e">
        <v>#N/A</v>
      </c>
      <c r="S1986" s="3"/>
    </row>
    <row r="1987" spans="1:19" x14ac:dyDescent="0.25">
      <c r="A1987" t="s">
        <v>6024</v>
      </c>
      <c r="B1987" t="s">
        <v>6025</v>
      </c>
      <c r="C1987" t="s">
        <v>6026</v>
      </c>
      <c r="D1987" t="s">
        <v>23</v>
      </c>
      <c r="E1987">
        <v>4228</v>
      </c>
      <c r="F1987" s="3">
        <v>40702</v>
      </c>
      <c r="H1987" t="s">
        <v>15523</v>
      </c>
      <c r="I1987" t="s">
        <v>17025</v>
      </c>
      <c r="K1987" t="e">
        <v>#N/A</v>
      </c>
      <c r="S1987" s="3"/>
    </row>
    <row r="1988" spans="1:19" x14ac:dyDescent="0.25">
      <c r="A1988" t="s">
        <v>6027</v>
      </c>
      <c r="B1988" t="s">
        <v>6028</v>
      </c>
      <c r="C1988" t="s">
        <v>6029</v>
      </c>
      <c r="D1988" t="s">
        <v>23</v>
      </c>
      <c r="E1988">
        <v>4229</v>
      </c>
      <c r="F1988" s="3">
        <v>40702</v>
      </c>
      <c r="H1988" t="s">
        <v>15523</v>
      </c>
      <c r="I1988" t="s">
        <v>17026</v>
      </c>
      <c r="K1988" t="e">
        <v>#N/A</v>
      </c>
      <c r="S1988" s="3"/>
    </row>
    <row r="1989" spans="1:19" x14ac:dyDescent="0.25">
      <c r="A1989" t="s">
        <v>6030</v>
      </c>
      <c r="B1989" t="s">
        <v>6031</v>
      </c>
      <c r="C1989" t="s">
        <v>6032</v>
      </c>
      <c r="D1989" t="s">
        <v>23</v>
      </c>
      <c r="E1989">
        <v>4234</v>
      </c>
      <c r="F1989" s="3">
        <v>40702</v>
      </c>
      <c r="H1989" t="s">
        <v>15523</v>
      </c>
      <c r="I1989" t="s">
        <v>17027</v>
      </c>
      <c r="K1989" t="e">
        <v>#N/A</v>
      </c>
      <c r="S1989" s="3"/>
    </row>
    <row r="1990" spans="1:19" x14ac:dyDescent="0.25">
      <c r="A1990" t="s">
        <v>6033</v>
      </c>
      <c r="B1990" t="s">
        <v>6034</v>
      </c>
      <c r="C1990" t="s">
        <v>6035</v>
      </c>
      <c r="D1990" t="s">
        <v>23</v>
      </c>
      <c r="E1990">
        <v>4233</v>
      </c>
      <c r="F1990" s="3">
        <v>40702</v>
      </c>
      <c r="H1990" t="s">
        <v>15523</v>
      </c>
      <c r="I1990" t="s">
        <v>17028</v>
      </c>
      <c r="K1990" t="e">
        <v>#N/A</v>
      </c>
      <c r="S1990" s="3"/>
    </row>
    <row r="1991" spans="1:19" x14ac:dyDescent="0.25">
      <c r="A1991" t="s">
        <v>6036</v>
      </c>
      <c r="B1991" t="s">
        <v>6037</v>
      </c>
      <c r="C1991" t="s">
        <v>6038</v>
      </c>
      <c r="D1991" t="s">
        <v>23</v>
      </c>
      <c r="E1991">
        <v>4236</v>
      </c>
      <c r="F1991" s="3">
        <v>40702</v>
      </c>
      <c r="H1991" t="s">
        <v>15523</v>
      </c>
      <c r="I1991" t="s">
        <v>17029</v>
      </c>
      <c r="K1991" t="e">
        <v>#N/A</v>
      </c>
      <c r="S1991" s="3"/>
    </row>
    <row r="1992" spans="1:19" x14ac:dyDescent="0.25">
      <c r="A1992" t="s">
        <v>6039</v>
      </c>
      <c r="B1992" t="s">
        <v>6040</v>
      </c>
      <c r="C1992" t="s">
        <v>6041</v>
      </c>
      <c r="D1992" t="s">
        <v>23</v>
      </c>
      <c r="E1992">
        <v>5129</v>
      </c>
      <c r="F1992" s="3">
        <v>41872</v>
      </c>
      <c r="H1992" t="s">
        <v>15523</v>
      </c>
      <c r="I1992" t="s">
        <v>17030</v>
      </c>
      <c r="K1992" t="e">
        <v>#N/A</v>
      </c>
      <c r="S1992" s="3"/>
    </row>
    <row r="1993" spans="1:19" x14ac:dyDescent="0.25">
      <c r="A1993" t="s">
        <v>6042</v>
      </c>
      <c r="B1993" t="s">
        <v>6043</v>
      </c>
      <c r="C1993" t="s">
        <v>6044</v>
      </c>
      <c r="D1993" t="s">
        <v>23</v>
      </c>
      <c r="E1993">
        <v>4209</v>
      </c>
      <c r="F1993" s="3">
        <v>40702</v>
      </c>
      <c r="H1993" t="s">
        <v>15523</v>
      </c>
      <c r="I1993" t="s">
        <v>17031</v>
      </c>
      <c r="K1993" t="e">
        <v>#N/A</v>
      </c>
      <c r="S1993" s="3"/>
    </row>
    <row r="1994" spans="1:19" x14ac:dyDescent="0.25">
      <c r="A1994" t="s">
        <v>6045</v>
      </c>
      <c r="B1994" t="s">
        <v>6046</v>
      </c>
      <c r="C1994" t="s">
        <v>6047</v>
      </c>
      <c r="D1994" t="s">
        <v>23</v>
      </c>
      <c r="E1994">
        <v>5344</v>
      </c>
      <c r="F1994" s="3">
        <v>42229</v>
      </c>
      <c r="H1994" t="s">
        <v>15523</v>
      </c>
      <c r="I1994" t="s">
        <v>17032</v>
      </c>
      <c r="K1994" t="e">
        <v>#N/A</v>
      </c>
      <c r="S1994" s="3"/>
    </row>
    <row r="1995" spans="1:19" x14ac:dyDescent="0.25">
      <c r="A1995" t="s">
        <v>6048</v>
      </c>
      <c r="B1995" t="s">
        <v>6049</v>
      </c>
      <c r="C1995" t="s">
        <v>6050</v>
      </c>
      <c r="D1995" t="s">
        <v>23</v>
      </c>
      <c r="E1995">
        <v>5961</v>
      </c>
      <c r="F1995" s="3">
        <v>43316</v>
      </c>
      <c r="H1995" t="s">
        <v>15523</v>
      </c>
      <c r="I1995" t="s">
        <v>17033</v>
      </c>
      <c r="K1995" t="e">
        <v>#N/A</v>
      </c>
      <c r="S1995" s="3"/>
    </row>
    <row r="1996" spans="1:19" x14ac:dyDescent="0.25">
      <c r="A1996" t="s">
        <v>6051</v>
      </c>
      <c r="B1996" t="s">
        <v>6052</v>
      </c>
      <c r="C1996" t="s">
        <v>6053</v>
      </c>
      <c r="D1996" t="s">
        <v>23</v>
      </c>
      <c r="E1996">
        <v>1259</v>
      </c>
      <c r="F1996" s="3">
        <v>40702</v>
      </c>
      <c r="H1996" t="s">
        <v>15523</v>
      </c>
      <c r="I1996" t="s">
        <v>17034</v>
      </c>
      <c r="K1996" t="e">
        <v>#N/A</v>
      </c>
      <c r="S1996" s="3"/>
    </row>
    <row r="1997" spans="1:19" x14ac:dyDescent="0.25">
      <c r="A1997" t="s">
        <v>6054</v>
      </c>
      <c r="B1997" t="s">
        <v>6055</v>
      </c>
      <c r="C1997" t="s">
        <v>6056</v>
      </c>
      <c r="D1997" t="s">
        <v>23</v>
      </c>
      <c r="E1997">
        <v>4222</v>
      </c>
      <c r="F1997" s="3">
        <v>40702</v>
      </c>
      <c r="H1997" t="s">
        <v>15523</v>
      </c>
      <c r="I1997" t="s">
        <v>17035</v>
      </c>
      <c r="K1997" t="e">
        <v>#N/A</v>
      </c>
      <c r="S1997" s="3"/>
    </row>
    <row r="1998" spans="1:19" x14ac:dyDescent="0.25">
      <c r="A1998" t="s">
        <v>6057</v>
      </c>
      <c r="B1998" t="s">
        <v>6058</v>
      </c>
      <c r="C1998" t="s">
        <v>6059</v>
      </c>
      <c r="D1998" t="s">
        <v>23</v>
      </c>
      <c r="E1998">
        <v>5588</v>
      </c>
      <c r="F1998" s="3">
        <v>42551</v>
      </c>
      <c r="H1998" t="s">
        <v>15523</v>
      </c>
      <c r="I1998" t="s">
        <v>17036</v>
      </c>
      <c r="K1998" t="e">
        <v>#N/A</v>
      </c>
      <c r="S1998" s="3"/>
    </row>
    <row r="1999" spans="1:19" x14ac:dyDescent="0.25">
      <c r="A1999" t="s">
        <v>6060</v>
      </c>
      <c r="B1999" t="s">
        <v>6061</v>
      </c>
      <c r="C1999" t="s">
        <v>6062</v>
      </c>
      <c r="D1999" t="s">
        <v>23</v>
      </c>
      <c r="E1999">
        <v>4224</v>
      </c>
      <c r="F1999" s="3">
        <v>40702</v>
      </c>
      <c r="H1999" t="s">
        <v>15523</v>
      </c>
      <c r="I1999" t="s">
        <v>17037</v>
      </c>
      <c r="K1999" t="e">
        <v>#N/A</v>
      </c>
      <c r="S1999" s="3"/>
    </row>
    <row r="2000" spans="1:19" x14ac:dyDescent="0.25">
      <c r="A2000" t="s">
        <v>6063</v>
      </c>
      <c r="B2000" t="s">
        <v>6064</v>
      </c>
      <c r="C2000" t="s">
        <v>16179</v>
      </c>
      <c r="D2000" t="s">
        <v>23</v>
      </c>
      <c r="E2000">
        <v>4053</v>
      </c>
      <c r="F2000" s="3">
        <v>40781</v>
      </c>
      <c r="H2000" t="s">
        <v>15523</v>
      </c>
      <c r="I2000" t="s">
        <v>16180</v>
      </c>
      <c r="K2000" t="e">
        <v>#N/A</v>
      </c>
      <c r="S2000" s="3"/>
    </row>
    <row r="2001" spans="1:19" x14ac:dyDescent="0.25">
      <c r="A2001" t="s">
        <v>6065</v>
      </c>
      <c r="B2001" t="s">
        <v>6066</v>
      </c>
      <c r="C2001" t="s">
        <v>6067</v>
      </c>
      <c r="D2001" t="s">
        <v>23</v>
      </c>
      <c r="E2001">
        <v>4227</v>
      </c>
      <c r="F2001" s="3">
        <v>40702</v>
      </c>
      <c r="H2001" t="s">
        <v>15523</v>
      </c>
      <c r="I2001" t="s">
        <v>17038</v>
      </c>
      <c r="K2001" t="e">
        <v>#N/A</v>
      </c>
      <c r="S2001" s="3"/>
    </row>
    <row r="2002" spans="1:19" x14ac:dyDescent="0.25">
      <c r="A2002" t="s">
        <v>6068</v>
      </c>
      <c r="B2002" t="s">
        <v>6069</v>
      </c>
      <c r="C2002" t="s">
        <v>6070</v>
      </c>
      <c r="D2002" t="s">
        <v>23</v>
      </c>
      <c r="E2002">
        <v>5231</v>
      </c>
      <c r="F2002" s="3">
        <v>42035</v>
      </c>
      <c r="H2002" t="s">
        <v>15523</v>
      </c>
      <c r="I2002" t="s">
        <v>17039</v>
      </c>
      <c r="K2002" t="e">
        <v>#N/A</v>
      </c>
      <c r="S2002" s="3"/>
    </row>
    <row r="2003" spans="1:19" x14ac:dyDescent="0.25">
      <c r="A2003" t="s">
        <v>6071</v>
      </c>
      <c r="B2003" t="s">
        <v>6072</v>
      </c>
      <c r="C2003" t="s">
        <v>6073</v>
      </c>
      <c r="D2003" t="s">
        <v>23</v>
      </c>
      <c r="E2003">
        <v>6077</v>
      </c>
      <c r="F2003" s="3">
        <v>43854</v>
      </c>
      <c r="H2003" t="s">
        <v>15523</v>
      </c>
      <c r="I2003" t="s">
        <v>17040</v>
      </c>
      <c r="K2003" t="e">
        <v>#N/A</v>
      </c>
      <c r="S2003" s="3"/>
    </row>
    <row r="2004" spans="1:19" x14ac:dyDescent="0.25">
      <c r="A2004" t="s">
        <v>346</v>
      </c>
      <c r="B2004" t="s">
        <v>348</v>
      </c>
      <c r="C2004" s="3">
        <v>2023505</v>
      </c>
      <c r="D2004" t="s">
        <v>23</v>
      </c>
      <c r="E2004">
        <v>1268</v>
      </c>
      <c r="F2004" s="3">
        <v>40704</v>
      </c>
      <c r="H2004" t="s">
        <v>15523</v>
      </c>
      <c r="I2004" t="s">
        <v>17041</v>
      </c>
      <c r="K2004">
        <v>93</v>
      </c>
      <c r="P2004" s="3"/>
      <c r="S2004" s="3"/>
    </row>
    <row r="2005" spans="1:19" x14ac:dyDescent="0.25">
      <c r="A2005" t="s">
        <v>6074</v>
      </c>
      <c r="B2005" t="s">
        <v>6075</v>
      </c>
      <c r="C2005" t="s">
        <v>6076</v>
      </c>
      <c r="D2005" t="s">
        <v>23</v>
      </c>
      <c r="E2005">
        <v>4237</v>
      </c>
      <c r="F2005" s="3">
        <v>41852</v>
      </c>
      <c r="H2005" t="s">
        <v>15523</v>
      </c>
      <c r="I2005" t="s">
        <v>17042</v>
      </c>
      <c r="K2005" t="e">
        <v>#N/A</v>
      </c>
      <c r="S2005" s="3"/>
    </row>
    <row r="2006" spans="1:19" x14ac:dyDescent="0.25">
      <c r="A2006" t="s">
        <v>6077</v>
      </c>
      <c r="B2006" t="s">
        <v>6078</v>
      </c>
      <c r="C2006" t="s">
        <v>6079</v>
      </c>
      <c r="D2006" t="s">
        <v>23</v>
      </c>
      <c r="E2006">
        <v>4238</v>
      </c>
      <c r="F2006" s="3">
        <v>40702</v>
      </c>
      <c r="H2006" t="s">
        <v>15523</v>
      </c>
      <c r="I2006" t="s">
        <v>17043</v>
      </c>
      <c r="K2006" t="e">
        <v>#N/A</v>
      </c>
      <c r="S2006" s="3"/>
    </row>
    <row r="2007" spans="1:19" x14ac:dyDescent="0.25">
      <c r="A2007" t="s">
        <v>6080</v>
      </c>
      <c r="B2007" t="s">
        <v>6081</v>
      </c>
      <c r="C2007" t="s">
        <v>6082</v>
      </c>
      <c r="D2007" t="s">
        <v>23</v>
      </c>
      <c r="E2007">
        <v>5881</v>
      </c>
      <c r="F2007" s="3">
        <v>43090</v>
      </c>
      <c r="H2007" t="s">
        <v>15523</v>
      </c>
      <c r="I2007" t="s">
        <v>17044</v>
      </c>
      <c r="K2007" t="e">
        <v>#N/A</v>
      </c>
      <c r="S2007" s="3"/>
    </row>
    <row r="2008" spans="1:19" x14ac:dyDescent="0.25">
      <c r="A2008" t="s">
        <v>6083</v>
      </c>
      <c r="B2008" t="s">
        <v>6084</v>
      </c>
      <c r="C2008" t="s">
        <v>6085</v>
      </c>
      <c r="D2008" t="s">
        <v>23</v>
      </c>
      <c r="E2008">
        <v>5012</v>
      </c>
      <c r="F2008" s="3">
        <v>41660</v>
      </c>
      <c r="H2008" t="s">
        <v>15523</v>
      </c>
      <c r="I2008" t="s">
        <v>17045</v>
      </c>
      <c r="K2008" t="e">
        <v>#N/A</v>
      </c>
      <c r="S2008" s="3"/>
    </row>
    <row r="2009" spans="1:19" x14ac:dyDescent="0.25">
      <c r="A2009" t="s">
        <v>6086</v>
      </c>
      <c r="B2009" t="s">
        <v>6087</v>
      </c>
      <c r="C2009" t="s">
        <v>6088</v>
      </c>
      <c r="D2009" t="s">
        <v>23</v>
      </c>
      <c r="E2009">
        <v>4240</v>
      </c>
      <c r="F2009" s="3">
        <v>40702</v>
      </c>
      <c r="H2009" t="s">
        <v>15523</v>
      </c>
      <c r="I2009" t="s">
        <v>17046</v>
      </c>
      <c r="K2009" t="e">
        <v>#N/A</v>
      </c>
      <c r="S2009" s="3"/>
    </row>
    <row r="2010" spans="1:19" x14ac:dyDescent="0.25">
      <c r="A2010" t="s">
        <v>422</v>
      </c>
      <c r="B2010" t="s">
        <v>424</v>
      </c>
      <c r="C2010" t="s">
        <v>425</v>
      </c>
      <c r="D2010" t="s">
        <v>23</v>
      </c>
      <c r="E2010">
        <v>1265</v>
      </c>
      <c r="F2010" s="3">
        <v>40702</v>
      </c>
      <c r="H2010" t="s">
        <v>15523</v>
      </c>
      <c r="I2010" t="s">
        <v>17047</v>
      </c>
      <c r="K2010">
        <v>112</v>
      </c>
      <c r="S2010" s="3"/>
    </row>
    <row r="2011" spans="1:19" x14ac:dyDescent="0.25">
      <c r="A2011" t="s">
        <v>6089</v>
      </c>
      <c r="B2011" t="s">
        <v>6090</v>
      </c>
      <c r="C2011" t="s">
        <v>6091</v>
      </c>
      <c r="D2011" t="s">
        <v>23</v>
      </c>
      <c r="E2011">
        <v>4241</v>
      </c>
      <c r="F2011" s="3">
        <v>40702</v>
      </c>
      <c r="H2011" t="s">
        <v>15523</v>
      </c>
      <c r="I2011" t="s">
        <v>17048</v>
      </c>
      <c r="K2011" t="e">
        <v>#N/A</v>
      </c>
      <c r="S2011" s="3"/>
    </row>
    <row r="2012" spans="1:19" x14ac:dyDescent="0.25">
      <c r="A2012" t="s">
        <v>223</v>
      </c>
      <c r="B2012" t="s">
        <v>225</v>
      </c>
      <c r="C2012" s="3">
        <v>2023453</v>
      </c>
      <c r="D2012" t="s">
        <v>23</v>
      </c>
      <c r="E2012">
        <v>4242</v>
      </c>
      <c r="F2012" s="3">
        <v>40915</v>
      </c>
      <c r="H2012" t="s">
        <v>15523</v>
      </c>
      <c r="I2012" t="s">
        <v>17049</v>
      </c>
      <c r="K2012">
        <v>62</v>
      </c>
      <c r="P2012" s="3"/>
      <c r="S2012" s="3"/>
    </row>
    <row r="2013" spans="1:19" x14ac:dyDescent="0.25">
      <c r="A2013" t="s">
        <v>294</v>
      </c>
      <c r="B2013" t="s">
        <v>296</v>
      </c>
      <c r="C2013" t="s">
        <v>297</v>
      </c>
      <c r="D2013" t="s">
        <v>23</v>
      </c>
      <c r="E2013">
        <v>1267</v>
      </c>
      <c r="F2013" s="3">
        <v>40702</v>
      </c>
      <c r="H2013" t="s">
        <v>15523</v>
      </c>
      <c r="I2013" t="s">
        <v>17050</v>
      </c>
      <c r="K2013">
        <v>80</v>
      </c>
      <c r="S2013" s="3"/>
    </row>
    <row r="2014" spans="1:19" x14ac:dyDescent="0.25">
      <c r="A2014" t="s">
        <v>6092</v>
      </c>
      <c r="B2014" t="s">
        <v>6093</v>
      </c>
      <c r="C2014" t="s">
        <v>6094</v>
      </c>
      <c r="D2014" t="s">
        <v>23</v>
      </c>
      <c r="E2014">
        <v>4253</v>
      </c>
      <c r="F2014" s="3">
        <v>40702</v>
      </c>
      <c r="H2014" t="s">
        <v>15523</v>
      </c>
      <c r="I2014" t="s">
        <v>17051</v>
      </c>
      <c r="K2014" t="e">
        <v>#N/A</v>
      </c>
      <c r="S2014" s="3"/>
    </row>
    <row r="2015" spans="1:19" x14ac:dyDescent="0.25">
      <c r="A2015" t="s">
        <v>6095</v>
      </c>
      <c r="B2015" t="s">
        <v>6096</v>
      </c>
      <c r="C2015" t="s">
        <v>6097</v>
      </c>
      <c r="D2015" t="s">
        <v>23</v>
      </c>
      <c r="E2015">
        <v>4255</v>
      </c>
      <c r="F2015" s="3">
        <v>40702</v>
      </c>
      <c r="H2015" t="s">
        <v>15523</v>
      </c>
      <c r="I2015" t="s">
        <v>17052</v>
      </c>
      <c r="K2015" t="e">
        <v>#N/A</v>
      </c>
      <c r="S2015" s="3"/>
    </row>
    <row r="2016" spans="1:19" x14ac:dyDescent="0.25">
      <c r="A2016" t="s">
        <v>590</v>
      </c>
      <c r="B2016" t="s">
        <v>592</v>
      </c>
      <c r="C2016" t="s">
        <v>593</v>
      </c>
      <c r="D2016" t="s">
        <v>23</v>
      </c>
      <c r="E2016">
        <v>4269</v>
      </c>
      <c r="F2016" s="3">
        <v>40915</v>
      </c>
      <c r="H2016" t="s">
        <v>15523</v>
      </c>
      <c r="I2016" t="s">
        <v>17053</v>
      </c>
      <c r="K2016">
        <v>154</v>
      </c>
      <c r="S2016" s="3"/>
    </row>
    <row r="2017" spans="1:19" x14ac:dyDescent="0.25">
      <c r="A2017" t="s">
        <v>6098</v>
      </c>
      <c r="B2017" t="s">
        <v>6099</v>
      </c>
      <c r="C2017" t="s">
        <v>16179</v>
      </c>
      <c r="D2017" t="s">
        <v>23</v>
      </c>
      <c r="E2017">
        <v>4068</v>
      </c>
      <c r="F2017" s="3">
        <v>40781</v>
      </c>
      <c r="H2017" t="s">
        <v>15523</v>
      </c>
      <c r="I2017" t="s">
        <v>16180</v>
      </c>
      <c r="K2017" t="e">
        <v>#N/A</v>
      </c>
      <c r="S2017" s="3"/>
    </row>
    <row r="2018" spans="1:19" x14ac:dyDescent="0.25">
      <c r="A2018" t="s">
        <v>554</v>
      </c>
      <c r="B2018" t="s">
        <v>556</v>
      </c>
      <c r="C2018" t="s">
        <v>557</v>
      </c>
      <c r="D2018" t="s">
        <v>23</v>
      </c>
      <c r="E2018">
        <v>4282</v>
      </c>
      <c r="F2018" s="3">
        <v>40915</v>
      </c>
      <c r="H2018" t="s">
        <v>15523</v>
      </c>
      <c r="I2018" t="s">
        <v>17054</v>
      </c>
      <c r="K2018">
        <v>145</v>
      </c>
      <c r="S2018" s="3"/>
    </row>
    <row r="2019" spans="1:19" x14ac:dyDescent="0.25">
      <c r="A2019" t="s">
        <v>6100</v>
      </c>
      <c r="B2019" t="s">
        <v>6101</v>
      </c>
      <c r="C2019" t="s">
        <v>6102</v>
      </c>
      <c r="D2019" t="s">
        <v>23</v>
      </c>
      <c r="E2019">
        <v>4283</v>
      </c>
      <c r="F2019" s="3">
        <v>40702</v>
      </c>
      <c r="H2019" t="s">
        <v>15523</v>
      </c>
      <c r="I2019" t="s">
        <v>17055</v>
      </c>
      <c r="K2019" t="e">
        <v>#N/A</v>
      </c>
      <c r="S2019" s="3"/>
    </row>
    <row r="2020" spans="1:19" x14ac:dyDescent="0.25">
      <c r="A2020" t="s">
        <v>6103</v>
      </c>
      <c r="B2020" t="s">
        <v>6104</v>
      </c>
      <c r="C2020" t="s">
        <v>6105</v>
      </c>
      <c r="D2020" t="s">
        <v>23</v>
      </c>
      <c r="E2020">
        <v>4284</v>
      </c>
      <c r="F2020" s="3">
        <v>40702</v>
      </c>
      <c r="H2020" t="s">
        <v>15523</v>
      </c>
      <c r="I2020" t="s">
        <v>17056</v>
      </c>
      <c r="K2020" t="e">
        <v>#N/A</v>
      </c>
      <c r="S2020" s="3"/>
    </row>
    <row r="2021" spans="1:19" x14ac:dyDescent="0.25">
      <c r="A2021" t="s">
        <v>6106</v>
      </c>
      <c r="B2021" t="s">
        <v>6107</v>
      </c>
      <c r="C2021" t="s">
        <v>6108</v>
      </c>
      <c r="D2021" t="s">
        <v>23</v>
      </c>
      <c r="E2021">
        <v>4285</v>
      </c>
      <c r="F2021" s="3">
        <v>40702</v>
      </c>
      <c r="H2021" t="s">
        <v>15523</v>
      </c>
      <c r="I2021" t="s">
        <v>17057</v>
      </c>
      <c r="K2021" t="e">
        <v>#N/A</v>
      </c>
      <c r="S2021" s="3"/>
    </row>
    <row r="2022" spans="1:19" x14ac:dyDescent="0.25">
      <c r="A2022" t="s">
        <v>6109</v>
      </c>
      <c r="B2022" t="s">
        <v>6110</v>
      </c>
      <c r="C2022" t="s">
        <v>16179</v>
      </c>
      <c r="D2022" t="s">
        <v>23</v>
      </c>
      <c r="E2022">
        <v>1496</v>
      </c>
      <c r="F2022" s="3">
        <v>40782</v>
      </c>
      <c r="H2022" t="s">
        <v>15523</v>
      </c>
      <c r="I2022" t="s">
        <v>16180</v>
      </c>
      <c r="K2022" t="e">
        <v>#N/A</v>
      </c>
      <c r="S2022" s="3"/>
    </row>
    <row r="2023" spans="1:19" x14ac:dyDescent="0.25">
      <c r="A2023" t="s">
        <v>6111</v>
      </c>
      <c r="B2023" t="s">
        <v>6112</v>
      </c>
      <c r="C2023" t="s">
        <v>6113</v>
      </c>
      <c r="D2023" t="s">
        <v>23</v>
      </c>
      <c r="E2023">
        <v>6023</v>
      </c>
      <c r="F2023" s="3">
        <v>43539</v>
      </c>
      <c r="H2023" t="s">
        <v>15523</v>
      </c>
      <c r="I2023" t="s">
        <v>17058</v>
      </c>
      <c r="K2023" t="e">
        <v>#N/A</v>
      </c>
      <c r="S2023" s="3"/>
    </row>
    <row r="2024" spans="1:19" x14ac:dyDescent="0.25">
      <c r="A2024" t="s">
        <v>54</v>
      </c>
      <c r="B2024" t="s">
        <v>57</v>
      </c>
      <c r="C2024" t="s">
        <v>58</v>
      </c>
      <c r="D2024" t="s">
        <v>23</v>
      </c>
      <c r="E2024">
        <v>1701</v>
      </c>
      <c r="F2024" s="3">
        <v>40702</v>
      </c>
      <c r="H2024" t="s">
        <v>15523</v>
      </c>
      <c r="I2024" t="s">
        <v>17059</v>
      </c>
      <c r="K2024">
        <v>13</v>
      </c>
      <c r="S2024" s="3"/>
    </row>
    <row r="2025" spans="1:19" x14ac:dyDescent="0.25">
      <c r="A2025" t="s">
        <v>6114</v>
      </c>
      <c r="B2025" t="s">
        <v>6115</v>
      </c>
      <c r="C2025" t="s">
        <v>16179</v>
      </c>
      <c r="D2025" t="s">
        <v>2820</v>
      </c>
      <c r="E2025">
        <v>4076</v>
      </c>
      <c r="F2025" s="3">
        <v>43082</v>
      </c>
      <c r="H2025" t="s">
        <v>15523</v>
      </c>
      <c r="I2025" t="s">
        <v>16180</v>
      </c>
      <c r="K2025" t="e">
        <v>#N/A</v>
      </c>
      <c r="S2025" s="3"/>
    </row>
    <row r="2026" spans="1:19" x14ac:dyDescent="0.25">
      <c r="A2026" t="s">
        <v>6116</v>
      </c>
      <c r="B2026" t="s">
        <v>6117</v>
      </c>
      <c r="C2026" t="s">
        <v>16179</v>
      </c>
      <c r="D2026" t="s">
        <v>666</v>
      </c>
      <c r="E2026">
        <v>4078</v>
      </c>
      <c r="F2026" s="3">
        <v>41269</v>
      </c>
      <c r="H2026" t="s">
        <v>15523</v>
      </c>
      <c r="I2026" t="s">
        <v>16180</v>
      </c>
      <c r="K2026" t="e">
        <v>#N/A</v>
      </c>
      <c r="S2026" s="3"/>
    </row>
    <row r="2027" spans="1:19" x14ac:dyDescent="0.25">
      <c r="A2027" t="s">
        <v>6118</v>
      </c>
      <c r="B2027" t="s">
        <v>6119</v>
      </c>
      <c r="C2027" t="s">
        <v>16179</v>
      </c>
      <c r="D2027" t="s">
        <v>666</v>
      </c>
      <c r="E2027">
        <v>4079</v>
      </c>
      <c r="F2027" s="3">
        <v>40781</v>
      </c>
      <c r="H2027" t="s">
        <v>15523</v>
      </c>
      <c r="I2027" t="s">
        <v>16180</v>
      </c>
      <c r="K2027" t="e">
        <v>#N/A</v>
      </c>
      <c r="S2027" s="3"/>
    </row>
    <row r="2028" spans="1:19" x14ac:dyDescent="0.25">
      <c r="A2028" t="s">
        <v>6120</v>
      </c>
      <c r="B2028" t="s">
        <v>6121</v>
      </c>
      <c r="C2028" t="s">
        <v>16179</v>
      </c>
      <c r="D2028" t="s">
        <v>2820</v>
      </c>
      <c r="E2028">
        <v>4080</v>
      </c>
      <c r="F2028" s="3">
        <v>40702</v>
      </c>
      <c r="H2028" t="s">
        <v>15523</v>
      </c>
      <c r="I2028" t="s">
        <v>16180</v>
      </c>
      <c r="K2028" t="e">
        <v>#N/A</v>
      </c>
      <c r="S2028" s="3"/>
    </row>
    <row r="2029" spans="1:19" x14ac:dyDescent="0.25">
      <c r="A2029" t="s">
        <v>6122</v>
      </c>
      <c r="B2029" t="s">
        <v>6123</v>
      </c>
      <c r="C2029" t="s">
        <v>16179</v>
      </c>
      <c r="D2029" t="s">
        <v>2820</v>
      </c>
      <c r="E2029">
        <v>4081</v>
      </c>
      <c r="F2029" s="3">
        <v>40702</v>
      </c>
      <c r="H2029" t="s">
        <v>15523</v>
      </c>
      <c r="I2029" t="s">
        <v>16180</v>
      </c>
      <c r="K2029" t="e">
        <v>#N/A</v>
      </c>
      <c r="S2029" s="3"/>
    </row>
    <row r="2030" spans="1:19" x14ac:dyDescent="0.25">
      <c r="A2030" t="s">
        <v>6124</v>
      </c>
      <c r="B2030" t="s">
        <v>6125</v>
      </c>
      <c r="C2030" t="s">
        <v>16179</v>
      </c>
      <c r="D2030" t="s">
        <v>666</v>
      </c>
      <c r="E2030">
        <v>4082</v>
      </c>
      <c r="F2030" s="3">
        <v>40934</v>
      </c>
      <c r="H2030" t="s">
        <v>15523</v>
      </c>
      <c r="I2030" t="s">
        <v>16180</v>
      </c>
      <c r="K2030" t="e">
        <v>#N/A</v>
      </c>
      <c r="S2030" s="3"/>
    </row>
    <row r="2031" spans="1:19" x14ac:dyDescent="0.25">
      <c r="A2031" t="s">
        <v>6126</v>
      </c>
      <c r="B2031" t="s">
        <v>6127</v>
      </c>
      <c r="C2031" t="s">
        <v>16179</v>
      </c>
      <c r="D2031" t="s">
        <v>2820</v>
      </c>
      <c r="E2031">
        <v>4083</v>
      </c>
      <c r="F2031" s="3">
        <v>40702</v>
      </c>
      <c r="H2031" t="s">
        <v>15523</v>
      </c>
      <c r="I2031" t="s">
        <v>16180</v>
      </c>
      <c r="K2031" t="e">
        <v>#N/A</v>
      </c>
      <c r="S2031" s="3"/>
    </row>
    <row r="2032" spans="1:19" x14ac:dyDescent="0.25">
      <c r="A2032" t="s">
        <v>6128</v>
      </c>
      <c r="B2032" t="s">
        <v>6129</v>
      </c>
      <c r="C2032" t="s">
        <v>16179</v>
      </c>
      <c r="D2032" t="s">
        <v>47</v>
      </c>
      <c r="E2032">
        <v>4008</v>
      </c>
      <c r="F2032" s="3">
        <v>40702</v>
      </c>
      <c r="H2032" t="s">
        <v>15523</v>
      </c>
      <c r="I2032" t="s">
        <v>16180</v>
      </c>
      <c r="K2032" t="e">
        <v>#N/A</v>
      </c>
      <c r="S2032" s="3"/>
    </row>
    <row r="2033" spans="1:19" x14ac:dyDescent="0.25">
      <c r="A2033" t="s">
        <v>6130</v>
      </c>
      <c r="B2033" t="s">
        <v>6131</v>
      </c>
      <c r="C2033" t="s">
        <v>16179</v>
      </c>
      <c r="D2033" t="s">
        <v>47</v>
      </c>
      <c r="E2033">
        <v>4060</v>
      </c>
      <c r="F2033" s="3">
        <v>40702</v>
      </c>
      <c r="H2033" t="s">
        <v>15523</v>
      </c>
      <c r="I2033" t="s">
        <v>16180</v>
      </c>
      <c r="K2033" t="e">
        <v>#N/A</v>
      </c>
      <c r="S2033" s="3"/>
    </row>
    <row r="2034" spans="1:19" x14ac:dyDescent="0.25">
      <c r="A2034" t="s">
        <v>6132</v>
      </c>
      <c r="B2034" t="s">
        <v>6133</v>
      </c>
      <c r="C2034" t="s">
        <v>16179</v>
      </c>
      <c r="D2034" t="s">
        <v>47</v>
      </c>
      <c r="E2034">
        <v>4056</v>
      </c>
      <c r="F2034" s="3">
        <v>40702</v>
      </c>
      <c r="H2034" t="s">
        <v>15523</v>
      </c>
      <c r="I2034" t="s">
        <v>16180</v>
      </c>
      <c r="K2034" t="e">
        <v>#N/A</v>
      </c>
      <c r="S2034" s="3"/>
    </row>
    <row r="2035" spans="1:19" x14ac:dyDescent="0.25">
      <c r="A2035" t="s">
        <v>6134</v>
      </c>
      <c r="B2035" t="s">
        <v>6135</v>
      </c>
      <c r="C2035" t="s">
        <v>16179</v>
      </c>
      <c r="D2035" t="s">
        <v>47</v>
      </c>
      <c r="E2035">
        <v>4054</v>
      </c>
      <c r="F2035" s="3">
        <v>40702</v>
      </c>
      <c r="H2035" t="s">
        <v>15523</v>
      </c>
      <c r="I2035" t="s">
        <v>16180</v>
      </c>
      <c r="K2035" t="e">
        <v>#N/A</v>
      </c>
      <c r="S2035" s="3"/>
    </row>
    <row r="2036" spans="1:19" x14ac:dyDescent="0.25">
      <c r="A2036" t="s">
        <v>6136</v>
      </c>
      <c r="B2036" t="s">
        <v>6137</v>
      </c>
      <c r="C2036" t="s">
        <v>16179</v>
      </c>
      <c r="D2036" t="s">
        <v>47</v>
      </c>
      <c r="E2036">
        <v>4091</v>
      </c>
      <c r="F2036" s="3">
        <v>43442</v>
      </c>
      <c r="H2036" t="s">
        <v>15523</v>
      </c>
      <c r="I2036" t="s">
        <v>16180</v>
      </c>
      <c r="K2036" t="e">
        <v>#N/A</v>
      </c>
      <c r="S2036" s="3"/>
    </row>
    <row r="2037" spans="1:19" x14ac:dyDescent="0.25">
      <c r="A2037" t="s">
        <v>6138</v>
      </c>
      <c r="B2037" t="s">
        <v>6139</v>
      </c>
      <c r="C2037" t="s">
        <v>16179</v>
      </c>
      <c r="D2037" t="s">
        <v>47</v>
      </c>
      <c r="E2037">
        <v>4061</v>
      </c>
      <c r="F2037" s="3">
        <v>40702</v>
      </c>
      <c r="H2037" t="s">
        <v>15523</v>
      </c>
      <c r="I2037" t="s">
        <v>16180</v>
      </c>
      <c r="K2037" t="e">
        <v>#N/A</v>
      </c>
      <c r="S2037" s="3"/>
    </row>
    <row r="2038" spans="1:19" x14ac:dyDescent="0.25">
      <c r="A2038" t="s">
        <v>6140</v>
      </c>
      <c r="B2038" t="s">
        <v>6141</v>
      </c>
      <c r="C2038" t="s">
        <v>16179</v>
      </c>
      <c r="D2038" t="s">
        <v>47</v>
      </c>
      <c r="E2038">
        <v>4065</v>
      </c>
      <c r="F2038" s="3">
        <v>41121</v>
      </c>
      <c r="H2038" t="s">
        <v>15523</v>
      </c>
      <c r="I2038" t="s">
        <v>16180</v>
      </c>
      <c r="K2038" t="e">
        <v>#N/A</v>
      </c>
      <c r="S2038" s="3"/>
    </row>
    <row r="2039" spans="1:19" x14ac:dyDescent="0.25">
      <c r="A2039" t="s">
        <v>6142</v>
      </c>
      <c r="B2039" t="s">
        <v>6143</v>
      </c>
      <c r="C2039" t="s">
        <v>16179</v>
      </c>
      <c r="D2039" t="s">
        <v>666</v>
      </c>
      <c r="E2039">
        <v>4850</v>
      </c>
      <c r="F2039" s="3">
        <v>42376</v>
      </c>
      <c r="H2039" t="s">
        <v>15523</v>
      </c>
      <c r="I2039" t="s">
        <v>16180</v>
      </c>
      <c r="K2039" t="e">
        <v>#N/A</v>
      </c>
      <c r="S2039" s="3"/>
    </row>
    <row r="2040" spans="1:19" x14ac:dyDescent="0.25">
      <c r="A2040" t="s">
        <v>6144</v>
      </c>
      <c r="B2040" t="s">
        <v>6145</v>
      </c>
      <c r="C2040" t="s">
        <v>16179</v>
      </c>
      <c r="D2040" t="s">
        <v>666</v>
      </c>
      <c r="E2040">
        <v>5166</v>
      </c>
      <c r="F2040" s="3">
        <v>41972</v>
      </c>
      <c r="H2040" t="s">
        <v>15523</v>
      </c>
      <c r="I2040" t="s">
        <v>16180</v>
      </c>
      <c r="K2040" t="e">
        <v>#N/A</v>
      </c>
      <c r="S2040" s="3"/>
    </row>
    <row r="2041" spans="1:19" x14ac:dyDescent="0.25">
      <c r="A2041" t="s">
        <v>6146</v>
      </c>
      <c r="B2041" t="s">
        <v>6147</v>
      </c>
      <c r="C2041" t="s">
        <v>16179</v>
      </c>
      <c r="D2041" t="s">
        <v>666</v>
      </c>
      <c r="E2041">
        <v>5578</v>
      </c>
      <c r="F2041" s="3">
        <v>42446</v>
      </c>
      <c r="H2041" t="s">
        <v>15523</v>
      </c>
      <c r="I2041" t="s">
        <v>16180</v>
      </c>
      <c r="K2041" t="e">
        <v>#N/A</v>
      </c>
      <c r="S2041" s="3"/>
    </row>
    <row r="2042" spans="1:19" x14ac:dyDescent="0.25">
      <c r="A2042" t="s">
        <v>6148</v>
      </c>
      <c r="B2042" t="s">
        <v>6149</v>
      </c>
      <c r="C2042" t="s">
        <v>16179</v>
      </c>
      <c r="D2042" t="s">
        <v>666</v>
      </c>
      <c r="E2042">
        <v>5580</v>
      </c>
      <c r="F2042" s="3">
        <v>42446</v>
      </c>
      <c r="H2042" t="s">
        <v>15523</v>
      </c>
      <c r="I2042" t="s">
        <v>16180</v>
      </c>
      <c r="K2042" t="e">
        <v>#N/A</v>
      </c>
      <c r="S2042" s="3"/>
    </row>
    <row r="2043" spans="1:19" x14ac:dyDescent="0.25">
      <c r="A2043" t="s">
        <v>6150</v>
      </c>
      <c r="B2043" t="s">
        <v>6151</v>
      </c>
      <c r="C2043" t="s">
        <v>16179</v>
      </c>
      <c r="D2043" t="s">
        <v>666</v>
      </c>
      <c r="E2043">
        <v>5579</v>
      </c>
      <c r="F2043" s="3">
        <v>42446</v>
      </c>
      <c r="H2043" t="s">
        <v>15523</v>
      </c>
      <c r="I2043" t="s">
        <v>16180</v>
      </c>
      <c r="K2043" t="e">
        <v>#N/A</v>
      </c>
      <c r="S2043" s="3"/>
    </row>
    <row r="2044" spans="1:19" x14ac:dyDescent="0.25">
      <c r="A2044" t="s">
        <v>6152</v>
      </c>
      <c r="B2044" t="s">
        <v>6153</v>
      </c>
      <c r="C2044" t="s">
        <v>16179</v>
      </c>
      <c r="D2044" t="s">
        <v>666</v>
      </c>
      <c r="E2044">
        <v>5390</v>
      </c>
      <c r="F2044" s="3">
        <v>42273</v>
      </c>
      <c r="H2044" t="s">
        <v>15523</v>
      </c>
      <c r="I2044" t="s">
        <v>16180</v>
      </c>
      <c r="K2044" t="e">
        <v>#N/A</v>
      </c>
      <c r="S2044" s="3"/>
    </row>
    <row r="2045" spans="1:19" x14ac:dyDescent="0.25">
      <c r="A2045" t="s">
        <v>6154</v>
      </c>
      <c r="B2045" t="s">
        <v>6155</v>
      </c>
      <c r="C2045" t="s">
        <v>16179</v>
      </c>
      <c r="D2045" t="s">
        <v>666</v>
      </c>
      <c r="E2045">
        <v>5391</v>
      </c>
      <c r="F2045" s="3">
        <v>42273</v>
      </c>
      <c r="H2045" t="s">
        <v>15523</v>
      </c>
      <c r="I2045" t="s">
        <v>16180</v>
      </c>
      <c r="K2045" t="e">
        <v>#N/A</v>
      </c>
      <c r="S2045" s="3"/>
    </row>
    <row r="2046" spans="1:19" x14ac:dyDescent="0.25">
      <c r="A2046" t="s">
        <v>6156</v>
      </c>
      <c r="B2046" t="s">
        <v>6157</v>
      </c>
      <c r="C2046" t="s">
        <v>16179</v>
      </c>
      <c r="D2046" t="s">
        <v>666</v>
      </c>
      <c r="E2046">
        <v>5392</v>
      </c>
      <c r="F2046" s="3">
        <v>42273</v>
      </c>
      <c r="H2046" t="s">
        <v>15523</v>
      </c>
      <c r="I2046" t="s">
        <v>16180</v>
      </c>
      <c r="K2046" t="e">
        <v>#N/A</v>
      </c>
      <c r="S2046" s="3"/>
    </row>
    <row r="2047" spans="1:19" x14ac:dyDescent="0.25">
      <c r="A2047" t="s">
        <v>6158</v>
      </c>
      <c r="B2047" t="s">
        <v>6159</v>
      </c>
      <c r="C2047" t="s">
        <v>16179</v>
      </c>
      <c r="D2047" t="s">
        <v>666</v>
      </c>
      <c r="E2047">
        <v>5393</v>
      </c>
      <c r="F2047" s="3">
        <v>42273</v>
      </c>
      <c r="H2047" t="s">
        <v>15523</v>
      </c>
      <c r="I2047" t="s">
        <v>16180</v>
      </c>
      <c r="K2047" t="e">
        <v>#N/A</v>
      </c>
      <c r="S2047" s="3"/>
    </row>
    <row r="2048" spans="1:19" x14ac:dyDescent="0.25">
      <c r="A2048" t="s">
        <v>6160</v>
      </c>
      <c r="B2048" t="s">
        <v>6161</v>
      </c>
      <c r="C2048" t="s">
        <v>16179</v>
      </c>
      <c r="D2048" t="s">
        <v>666</v>
      </c>
      <c r="E2048">
        <v>5394</v>
      </c>
      <c r="F2048" s="3">
        <v>42273</v>
      </c>
      <c r="H2048" t="s">
        <v>15523</v>
      </c>
      <c r="I2048" t="s">
        <v>16180</v>
      </c>
      <c r="K2048" t="e">
        <v>#N/A</v>
      </c>
      <c r="S2048" s="3"/>
    </row>
    <row r="2049" spans="1:19" x14ac:dyDescent="0.25">
      <c r="A2049" t="s">
        <v>6162</v>
      </c>
      <c r="B2049" t="s">
        <v>6163</v>
      </c>
      <c r="C2049" t="s">
        <v>16179</v>
      </c>
      <c r="D2049" t="s">
        <v>666</v>
      </c>
      <c r="E2049">
        <v>5395</v>
      </c>
      <c r="F2049" s="3">
        <v>42273</v>
      </c>
      <c r="H2049" t="s">
        <v>15523</v>
      </c>
      <c r="I2049" t="s">
        <v>16180</v>
      </c>
      <c r="K2049" t="e">
        <v>#N/A</v>
      </c>
      <c r="S2049" s="3"/>
    </row>
    <row r="2050" spans="1:19" x14ac:dyDescent="0.25">
      <c r="A2050" t="s">
        <v>6164</v>
      </c>
      <c r="B2050" t="s">
        <v>6165</v>
      </c>
      <c r="C2050" t="s">
        <v>16179</v>
      </c>
      <c r="D2050" t="s">
        <v>666</v>
      </c>
      <c r="E2050">
        <v>5396</v>
      </c>
      <c r="F2050" s="3">
        <v>42273</v>
      </c>
      <c r="H2050" t="s">
        <v>15523</v>
      </c>
      <c r="I2050" t="s">
        <v>16180</v>
      </c>
      <c r="K2050" t="e">
        <v>#N/A</v>
      </c>
      <c r="S2050" s="3"/>
    </row>
    <row r="2051" spans="1:19" x14ac:dyDescent="0.25">
      <c r="A2051" t="s">
        <v>6166</v>
      </c>
      <c r="B2051" t="s">
        <v>6167</v>
      </c>
      <c r="C2051" t="s">
        <v>16179</v>
      </c>
      <c r="D2051" t="s">
        <v>666</v>
      </c>
      <c r="E2051">
        <v>5397</v>
      </c>
      <c r="F2051" s="3">
        <v>42273</v>
      </c>
      <c r="H2051" t="s">
        <v>15523</v>
      </c>
      <c r="I2051" t="s">
        <v>16180</v>
      </c>
      <c r="K2051" t="e">
        <v>#N/A</v>
      </c>
      <c r="S2051" s="3"/>
    </row>
    <row r="2052" spans="1:19" x14ac:dyDescent="0.25">
      <c r="A2052" t="s">
        <v>6168</v>
      </c>
      <c r="B2052" t="s">
        <v>6169</v>
      </c>
      <c r="C2052" t="s">
        <v>16179</v>
      </c>
      <c r="D2052" t="s">
        <v>666</v>
      </c>
      <c r="E2052">
        <v>5398</v>
      </c>
      <c r="F2052" s="3">
        <v>42273</v>
      </c>
      <c r="H2052" t="s">
        <v>15523</v>
      </c>
      <c r="I2052" t="s">
        <v>16180</v>
      </c>
      <c r="K2052" t="e">
        <v>#N/A</v>
      </c>
      <c r="S2052" s="3"/>
    </row>
    <row r="2053" spans="1:19" x14ac:dyDescent="0.25">
      <c r="A2053" t="s">
        <v>6170</v>
      </c>
      <c r="B2053" t="s">
        <v>6171</v>
      </c>
      <c r="C2053" t="s">
        <v>16179</v>
      </c>
      <c r="D2053" t="s">
        <v>666</v>
      </c>
      <c r="E2053">
        <v>5399</v>
      </c>
      <c r="F2053" s="3">
        <v>42273</v>
      </c>
      <c r="H2053" t="s">
        <v>15523</v>
      </c>
      <c r="I2053" t="s">
        <v>16180</v>
      </c>
      <c r="K2053" t="e">
        <v>#N/A</v>
      </c>
      <c r="S2053" s="3"/>
    </row>
    <row r="2054" spans="1:19" x14ac:dyDescent="0.25">
      <c r="A2054" t="s">
        <v>6172</v>
      </c>
      <c r="B2054" t="s">
        <v>6173</v>
      </c>
      <c r="C2054" t="s">
        <v>16179</v>
      </c>
      <c r="D2054" t="s">
        <v>666</v>
      </c>
      <c r="E2054">
        <v>5400</v>
      </c>
      <c r="F2054" s="3">
        <v>42273</v>
      </c>
      <c r="H2054" t="s">
        <v>15523</v>
      </c>
      <c r="I2054" t="s">
        <v>16180</v>
      </c>
      <c r="K2054" t="e">
        <v>#N/A</v>
      </c>
      <c r="S2054" s="3"/>
    </row>
    <row r="2055" spans="1:19" x14ac:dyDescent="0.25">
      <c r="A2055" t="s">
        <v>6174</v>
      </c>
      <c r="B2055" t="s">
        <v>6175</v>
      </c>
      <c r="C2055" t="s">
        <v>16179</v>
      </c>
      <c r="D2055" t="s">
        <v>666</v>
      </c>
      <c r="E2055">
        <v>5401</v>
      </c>
      <c r="F2055" s="3">
        <v>42273</v>
      </c>
      <c r="H2055" t="s">
        <v>15523</v>
      </c>
      <c r="I2055" t="s">
        <v>16180</v>
      </c>
      <c r="K2055" t="e">
        <v>#N/A</v>
      </c>
      <c r="S2055" s="3"/>
    </row>
    <row r="2056" spans="1:19" x14ac:dyDescent="0.25">
      <c r="A2056" t="s">
        <v>6176</v>
      </c>
      <c r="B2056" t="s">
        <v>6177</v>
      </c>
      <c r="C2056" t="s">
        <v>16179</v>
      </c>
      <c r="D2056" t="s">
        <v>666</v>
      </c>
      <c r="E2056">
        <v>5402</v>
      </c>
      <c r="F2056" s="3">
        <v>42273</v>
      </c>
      <c r="H2056" t="s">
        <v>15523</v>
      </c>
      <c r="I2056" t="s">
        <v>16180</v>
      </c>
      <c r="K2056" t="e">
        <v>#N/A</v>
      </c>
      <c r="S2056" s="3"/>
    </row>
    <row r="2057" spans="1:19" x14ac:dyDescent="0.25">
      <c r="A2057" t="s">
        <v>6178</v>
      </c>
      <c r="B2057" t="s">
        <v>6179</v>
      </c>
      <c r="C2057" t="s">
        <v>16179</v>
      </c>
      <c r="D2057" t="s">
        <v>666</v>
      </c>
      <c r="E2057">
        <v>5403</v>
      </c>
      <c r="F2057" s="3">
        <v>42273</v>
      </c>
      <c r="H2057" t="s">
        <v>15523</v>
      </c>
      <c r="I2057" t="s">
        <v>16180</v>
      </c>
      <c r="K2057" t="e">
        <v>#N/A</v>
      </c>
      <c r="S2057" s="3"/>
    </row>
    <row r="2058" spans="1:19" x14ac:dyDescent="0.25">
      <c r="A2058" t="s">
        <v>6180</v>
      </c>
      <c r="B2058" t="s">
        <v>6181</v>
      </c>
      <c r="C2058" t="s">
        <v>16179</v>
      </c>
      <c r="D2058" t="s">
        <v>666</v>
      </c>
      <c r="E2058">
        <v>5404</v>
      </c>
      <c r="F2058" s="3">
        <v>42273</v>
      </c>
      <c r="H2058" t="s">
        <v>15523</v>
      </c>
      <c r="I2058" t="s">
        <v>16180</v>
      </c>
      <c r="K2058" t="e">
        <v>#N/A</v>
      </c>
      <c r="S2058" s="3"/>
    </row>
    <row r="2059" spans="1:19" x14ac:dyDescent="0.25">
      <c r="A2059" t="s">
        <v>6182</v>
      </c>
      <c r="B2059" t="s">
        <v>6183</v>
      </c>
      <c r="C2059" t="s">
        <v>16179</v>
      </c>
      <c r="D2059" t="s">
        <v>666</v>
      </c>
      <c r="E2059">
        <v>5405</v>
      </c>
      <c r="F2059" s="3">
        <v>42273</v>
      </c>
      <c r="H2059" t="s">
        <v>15523</v>
      </c>
      <c r="I2059" t="s">
        <v>16180</v>
      </c>
      <c r="K2059" t="e">
        <v>#N/A</v>
      </c>
      <c r="S2059" s="3"/>
    </row>
    <row r="2060" spans="1:19" x14ac:dyDescent="0.25">
      <c r="A2060" t="s">
        <v>6184</v>
      </c>
      <c r="B2060" t="s">
        <v>6185</v>
      </c>
      <c r="C2060" t="s">
        <v>16179</v>
      </c>
      <c r="D2060" t="s">
        <v>666</v>
      </c>
      <c r="E2060">
        <v>5406</v>
      </c>
      <c r="F2060" s="3">
        <v>42273</v>
      </c>
      <c r="H2060" t="s">
        <v>15523</v>
      </c>
      <c r="I2060" t="s">
        <v>16180</v>
      </c>
      <c r="K2060" t="e">
        <v>#N/A</v>
      </c>
      <c r="S2060" s="3"/>
    </row>
    <row r="2061" spans="1:19" x14ac:dyDescent="0.25">
      <c r="A2061" t="s">
        <v>6186</v>
      </c>
      <c r="B2061" t="s">
        <v>6187</v>
      </c>
      <c r="C2061" t="s">
        <v>16179</v>
      </c>
      <c r="D2061" t="s">
        <v>666</v>
      </c>
      <c r="E2061">
        <v>5407</v>
      </c>
      <c r="F2061" s="3">
        <v>42273</v>
      </c>
      <c r="H2061" t="s">
        <v>15523</v>
      </c>
      <c r="I2061" t="s">
        <v>16180</v>
      </c>
      <c r="K2061" t="e">
        <v>#N/A</v>
      </c>
      <c r="S2061" s="3"/>
    </row>
    <row r="2062" spans="1:19" x14ac:dyDescent="0.25">
      <c r="A2062" t="s">
        <v>6188</v>
      </c>
      <c r="B2062" t="s">
        <v>6189</v>
      </c>
      <c r="C2062" t="s">
        <v>16179</v>
      </c>
      <c r="D2062" t="s">
        <v>666</v>
      </c>
      <c r="E2062">
        <v>5408</v>
      </c>
      <c r="F2062" s="3">
        <v>42273</v>
      </c>
      <c r="H2062" t="s">
        <v>15523</v>
      </c>
      <c r="I2062" t="s">
        <v>16180</v>
      </c>
      <c r="K2062" t="e">
        <v>#N/A</v>
      </c>
      <c r="S2062" s="3"/>
    </row>
    <row r="2063" spans="1:19" x14ac:dyDescent="0.25">
      <c r="A2063" t="s">
        <v>6190</v>
      </c>
      <c r="B2063" t="s">
        <v>6191</v>
      </c>
      <c r="C2063" t="s">
        <v>16179</v>
      </c>
      <c r="D2063" t="s">
        <v>666</v>
      </c>
      <c r="E2063">
        <v>5409</v>
      </c>
      <c r="F2063" s="3">
        <v>42273</v>
      </c>
      <c r="H2063" t="s">
        <v>15523</v>
      </c>
      <c r="I2063" t="s">
        <v>16180</v>
      </c>
      <c r="K2063" t="e">
        <v>#N/A</v>
      </c>
      <c r="S2063" s="3"/>
    </row>
    <row r="2064" spans="1:19" x14ac:dyDescent="0.25">
      <c r="A2064" t="s">
        <v>6192</v>
      </c>
      <c r="B2064" t="s">
        <v>6193</v>
      </c>
      <c r="C2064" t="s">
        <v>16179</v>
      </c>
      <c r="D2064" t="s">
        <v>666</v>
      </c>
      <c r="E2064">
        <v>5410</v>
      </c>
      <c r="F2064" s="3">
        <v>42273</v>
      </c>
      <c r="H2064" t="s">
        <v>15523</v>
      </c>
      <c r="I2064" t="s">
        <v>16180</v>
      </c>
      <c r="K2064" t="e">
        <v>#N/A</v>
      </c>
      <c r="S2064" s="3"/>
    </row>
    <row r="2065" spans="1:19" x14ac:dyDescent="0.25">
      <c r="A2065" t="s">
        <v>6194</v>
      </c>
      <c r="B2065" t="s">
        <v>6195</v>
      </c>
      <c r="C2065" t="s">
        <v>16179</v>
      </c>
      <c r="D2065" t="s">
        <v>666</v>
      </c>
      <c r="E2065">
        <v>5411</v>
      </c>
      <c r="F2065" s="3">
        <v>42273</v>
      </c>
      <c r="H2065" t="s">
        <v>15523</v>
      </c>
      <c r="I2065" t="s">
        <v>16180</v>
      </c>
      <c r="K2065" t="e">
        <v>#N/A</v>
      </c>
      <c r="S2065" s="3"/>
    </row>
    <row r="2066" spans="1:19" x14ac:dyDescent="0.25">
      <c r="A2066" t="s">
        <v>6196</v>
      </c>
      <c r="B2066" t="s">
        <v>6197</v>
      </c>
      <c r="C2066" t="s">
        <v>16179</v>
      </c>
      <c r="D2066" t="s">
        <v>666</v>
      </c>
      <c r="E2066">
        <v>5412</v>
      </c>
      <c r="F2066" s="3">
        <v>42273</v>
      </c>
      <c r="H2066" t="s">
        <v>15523</v>
      </c>
      <c r="I2066" t="s">
        <v>16180</v>
      </c>
      <c r="K2066" t="e">
        <v>#N/A</v>
      </c>
      <c r="S2066" s="3"/>
    </row>
    <row r="2067" spans="1:19" x14ac:dyDescent="0.25">
      <c r="A2067" t="s">
        <v>6198</v>
      </c>
      <c r="B2067" t="s">
        <v>6199</v>
      </c>
      <c r="C2067" t="s">
        <v>16179</v>
      </c>
      <c r="D2067" t="s">
        <v>666</v>
      </c>
      <c r="E2067">
        <v>5413</v>
      </c>
      <c r="F2067" s="3">
        <v>42273</v>
      </c>
      <c r="H2067" t="s">
        <v>15523</v>
      </c>
      <c r="I2067" t="s">
        <v>16180</v>
      </c>
      <c r="K2067" t="e">
        <v>#N/A</v>
      </c>
      <c r="S2067" s="3"/>
    </row>
    <row r="2068" spans="1:19" x14ac:dyDescent="0.25">
      <c r="A2068" t="s">
        <v>6200</v>
      </c>
      <c r="B2068" t="s">
        <v>6201</v>
      </c>
      <c r="C2068" t="s">
        <v>16179</v>
      </c>
      <c r="D2068" t="s">
        <v>666</v>
      </c>
      <c r="E2068">
        <v>5414</v>
      </c>
      <c r="F2068" s="3">
        <v>42273</v>
      </c>
      <c r="H2068" t="s">
        <v>15523</v>
      </c>
      <c r="I2068" t="s">
        <v>16180</v>
      </c>
      <c r="K2068" t="e">
        <v>#N/A</v>
      </c>
      <c r="S2068" s="3"/>
    </row>
    <row r="2069" spans="1:19" x14ac:dyDescent="0.25">
      <c r="A2069" t="s">
        <v>6202</v>
      </c>
      <c r="B2069" t="s">
        <v>6203</v>
      </c>
      <c r="C2069" t="s">
        <v>16179</v>
      </c>
      <c r="D2069" t="s">
        <v>666</v>
      </c>
      <c r="E2069">
        <v>5415</v>
      </c>
      <c r="F2069" s="3">
        <v>42273</v>
      </c>
      <c r="H2069" t="s">
        <v>15523</v>
      </c>
      <c r="I2069" t="s">
        <v>16180</v>
      </c>
      <c r="K2069" t="e">
        <v>#N/A</v>
      </c>
      <c r="S2069" s="3"/>
    </row>
    <row r="2070" spans="1:19" x14ac:dyDescent="0.25">
      <c r="A2070" t="s">
        <v>6204</v>
      </c>
      <c r="B2070" t="s">
        <v>6205</v>
      </c>
      <c r="C2070" t="s">
        <v>16179</v>
      </c>
      <c r="D2070" t="s">
        <v>666</v>
      </c>
      <c r="E2070">
        <v>5416</v>
      </c>
      <c r="F2070" s="3">
        <v>42273</v>
      </c>
      <c r="H2070" t="s">
        <v>15523</v>
      </c>
      <c r="I2070" t="s">
        <v>16180</v>
      </c>
      <c r="K2070" t="e">
        <v>#N/A</v>
      </c>
      <c r="S2070" s="3"/>
    </row>
    <row r="2071" spans="1:19" x14ac:dyDescent="0.25">
      <c r="A2071" t="s">
        <v>6206</v>
      </c>
      <c r="B2071" t="s">
        <v>6207</v>
      </c>
      <c r="C2071" t="s">
        <v>16179</v>
      </c>
      <c r="D2071" t="s">
        <v>666</v>
      </c>
      <c r="E2071">
        <v>5417</v>
      </c>
      <c r="F2071" s="3">
        <v>42273</v>
      </c>
      <c r="H2071" t="s">
        <v>15523</v>
      </c>
      <c r="I2071" t="s">
        <v>16180</v>
      </c>
      <c r="K2071" t="e">
        <v>#N/A</v>
      </c>
      <c r="S2071" s="3"/>
    </row>
    <row r="2072" spans="1:19" x14ac:dyDescent="0.25">
      <c r="A2072" t="s">
        <v>6208</v>
      </c>
      <c r="B2072" t="s">
        <v>6209</v>
      </c>
      <c r="C2072" t="s">
        <v>16179</v>
      </c>
      <c r="D2072" t="s">
        <v>666</v>
      </c>
      <c r="E2072">
        <v>5418</v>
      </c>
      <c r="F2072" s="3">
        <v>42273</v>
      </c>
      <c r="H2072" t="s">
        <v>15523</v>
      </c>
      <c r="I2072" t="s">
        <v>16180</v>
      </c>
      <c r="K2072" t="e">
        <v>#N/A</v>
      </c>
      <c r="S2072" s="3"/>
    </row>
    <row r="2073" spans="1:19" x14ac:dyDescent="0.25">
      <c r="A2073" t="s">
        <v>6210</v>
      </c>
      <c r="B2073" t="s">
        <v>6211</v>
      </c>
      <c r="C2073" t="s">
        <v>16179</v>
      </c>
      <c r="D2073" t="s">
        <v>666</v>
      </c>
      <c r="E2073">
        <v>5419</v>
      </c>
      <c r="F2073" s="3">
        <v>42273</v>
      </c>
      <c r="H2073" t="s">
        <v>15523</v>
      </c>
      <c r="I2073" t="s">
        <v>16180</v>
      </c>
      <c r="K2073" t="e">
        <v>#N/A</v>
      </c>
      <c r="S2073" s="3"/>
    </row>
    <row r="2074" spans="1:19" x14ac:dyDescent="0.25">
      <c r="A2074" t="s">
        <v>6212</v>
      </c>
      <c r="B2074" t="s">
        <v>6213</v>
      </c>
      <c r="C2074" t="s">
        <v>16179</v>
      </c>
      <c r="D2074" t="s">
        <v>666</v>
      </c>
      <c r="E2074">
        <v>5420</v>
      </c>
      <c r="F2074" s="3">
        <v>42273</v>
      </c>
      <c r="H2074" t="s">
        <v>15523</v>
      </c>
      <c r="I2074" t="s">
        <v>16180</v>
      </c>
      <c r="K2074" t="e">
        <v>#N/A</v>
      </c>
      <c r="S2074" s="3"/>
    </row>
    <row r="2075" spans="1:19" x14ac:dyDescent="0.25">
      <c r="A2075" t="s">
        <v>6214</v>
      </c>
      <c r="B2075" t="s">
        <v>6215</v>
      </c>
      <c r="C2075" t="s">
        <v>16179</v>
      </c>
      <c r="D2075" t="s">
        <v>666</v>
      </c>
      <c r="E2075">
        <v>5421</v>
      </c>
      <c r="F2075" s="3">
        <v>42273</v>
      </c>
      <c r="H2075" t="s">
        <v>15523</v>
      </c>
      <c r="I2075" t="s">
        <v>16180</v>
      </c>
      <c r="K2075" t="e">
        <v>#N/A</v>
      </c>
      <c r="S2075" s="3"/>
    </row>
    <row r="2076" spans="1:19" x14ac:dyDescent="0.25">
      <c r="A2076" t="s">
        <v>6216</v>
      </c>
      <c r="B2076" t="s">
        <v>6217</v>
      </c>
      <c r="C2076" t="s">
        <v>16179</v>
      </c>
      <c r="D2076" t="s">
        <v>666</v>
      </c>
      <c r="E2076">
        <v>5422</v>
      </c>
      <c r="F2076" s="3">
        <v>42273</v>
      </c>
      <c r="H2076" t="s">
        <v>15523</v>
      </c>
      <c r="I2076" t="s">
        <v>16180</v>
      </c>
      <c r="K2076" t="e">
        <v>#N/A</v>
      </c>
      <c r="S2076" s="3"/>
    </row>
    <row r="2077" spans="1:19" x14ac:dyDescent="0.25">
      <c r="A2077" t="s">
        <v>6218</v>
      </c>
      <c r="B2077" t="s">
        <v>6219</v>
      </c>
      <c r="C2077" t="s">
        <v>16179</v>
      </c>
      <c r="D2077" t="s">
        <v>666</v>
      </c>
      <c r="E2077">
        <v>5423</v>
      </c>
      <c r="F2077" s="3">
        <v>42273</v>
      </c>
      <c r="H2077" t="s">
        <v>15523</v>
      </c>
      <c r="I2077" t="s">
        <v>16180</v>
      </c>
      <c r="K2077" t="e">
        <v>#N/A</v>
      </c>
      <c r="S2077" s="3"/>
    </row>
    <row r="2078" spans="1:19" x14ac:dyDescent="0.25">
      <c r="A2078" t="s">
        <v>6220</v>
      </c>
      <c r="B2078" t="s">
        <v>6221</v>
      </c>
      <c r="C2078" t="s">
        <v>16179</v>
      </c>
      <c r="D2078" t="s">
        <v>666</v>
      </c>
      <c r="E2078">
        <v>5424</v>
      </c>
      <c r="F2078" s="3">
        <v>42273</v>
      </c>
      <c r="H2078" t="s">
        <v>15523</v>
      </c>
      <c r="I2078" t="s">
        <v>16180</v>
      </c>
      <c r="K2078" t="e">
        <v>#N/A</v>
      </c>
      <c r="S2078" s="3"/>
    </row>
    <row r="2079" spans="1:19" x14ac:dyDescent="0.25">
      <c r="A2079" t="s">
        <v>6222</v>
      </c>
      <c r="B2079" t="s">
        <v>6223</v>
      </c>
      <c r="C2079" t="s">
        <v>16179</v>
      </c>
      <c r="D2079" t="s">
        <v>666</v>
      </c>
      <c r="E2079">
        <v>5425</v>
      </c>
      <c r="F2079" s="3">
        <v>42273</v>
      </c>
      <c r="H2079" t="s">
        <v>15523</v>
      </c>
      <c r="I2079" t="s">
        <v>16180</v>
      </c>
      <c r="K2079" t="e">
        <v>#N/A</v>
      </c>
      <c r="S2079" s="3"/>
    </row>
    <row r="2080" spans="1:19" x14ac:dyDescent="0.25">
      <c r="A2080" t="s">
        <v>6224</v>
      </c>
      <c r="B2080" t="s">
        <v>6225</v>
      </c>
      <c r="C2080" t="s">
        <v>16179</v>
      </c>
      <c r="D2080" t="s">
        <v>666</v>
      </c>
      <c r="E2080">
        <v>5426</v>
      </c>
      <c r="F2080" s="3">
        <v>42273</v>
      </c>
      <c r="H2080" t="s">
        <v>15523</v>
      </c>
      <c r="I2080" t="s">
        <v>16180</v>
      </c>
      <c r="K2080" t="e">
        <v>#N/A</v>
      </c>
      <c r="S2080" s="3"/>
    </row>
    <row r="2081" spans="1:19" x14ac:dyDescent="0.25">
      <c r="A2081" t="s">
        <v>6226</v>
      </c>
      <c r="B2081" t="s">
        <v>6227</v>
      </c>
      <c r="C2081" t="s">
        <v>16179</v>
      </c>
      <c r="D2081" t="s">
        <v>666</v>
      </c>
      <c r="E2081">
        <v>5427</v>
      </c>
      <c r="F2081" s="3">
        <v>42273</v>
      </c>
      <c r="H2081" t="s">
        <v>15523</v>
      </c>
      <c r="I2081" t="s">
        <v>16180</v>
      </c>
      <c r="K2081" t="e">
        <v>#N/A</v>
      </c>
      <c r="S2081" s="3"/>
    </row>
    <row r="2082" spans="1:19" x14ac:dyDescent="0.25">
      <c r="A2082" t="s">
        <v>6228</v>
      </c>
      <c r="B2082" t="s">
        <v>6229</v>
      </c>
      <c r="C2082" t="s">
        <v>16179</v>
      </c>
      <c r="D2082" t="s">
        <v>666</v>
      </c>
      <c r="E2082">
        <v>5428</v>
      </c>
      <c r="F2082" s="3">
        <v>42273</v>
      </c>
      <c r="H2082" t="s">
        <v>15523</v>
      </c>
      <c r="I2082" t="s">
        <v>16180</v>
      </c>
      <c r="K2082" t="e">
        <v>#N/A</v>
      </c>
      <c r="S2082" s="3"/>
    </row>
    <row r="2083" spans="1:19" x14ac:dyDescent="0.25">
      <c r="A2083" t="s">
        <v>6230</v>
      </c>
      <c r="B2083" t="s">
        <v>6231</v>
      </c>
      <c r="C2083" t="s">
        <v>16179</v>
      </c>
      <c r="D2083" t="s">
        <v>666</v>
      </c>
      <c r="E2083">
        <v>5429</v>
      </c>
      <c r="F2083" s="3">
        <v>42273</v>
      </c>
      <c r="H2083" t="s">
        <v>15523</v>
      </c>
      <c r="I2083" t="s">
        <v>16180</v>
      </c>
      <c r="K2083" t="e">
        <v>#N/A</v>
      </c>
      <c r="S2083" s="3"/>
    </row>
    <row r="2084" spans="1:19" x14ac:dyDescent="0.25">
      <c r="A2084" t="s">
        <v>6232</v>
      </c>
      <c r="B2084" t="s">
        <v>6233</v>
      </c>
      <c r="C2084" t="s">
        <v>16179</v>
      </c>
      <c r="D2084" t="s">
        <v>666</v>
      </c>
      <c r="E2084">
        <v>5430</v>
      </c>
      <c r="F2084" s="3">
        <v>42273</v>
      </c>
      <c r="H2084" t="s">
        <v>15523</v>
      </c>
      <c r="I2084" t="s">
        <v>16180</v>
      </c>
      <c r="K2084" t="e">
        <v>#N/A</v>
      </c>
      <c r="S2084" s="3"/>
    </row>
    <row r="2085" spans="1:19" x14ac:dyDescent="0.25">
      <c r="A2085" t="s">
        <v>6234</v>
      </c>
      <c r="B2085" t="s">
        <v>6235</v>
      </c>
      <c r="C2085" t="s">
        <v>16179</v>
      </c>
      <c r="D2085" t="s">
        <v>666</v>
      </c>
      <c r="E2085">
        <v>5431</v>
      </c>
      <c r="F2085" s="3">
        <v>42273</v>
      </c>
      <c r="H2085" t="s">
        <v>15523</v>
      </c>
      <c r="I2085" t="s">
        <v>16180</v>
      </c>
      <c r="K2085" t="e">
        <v>#N/A</v>
      </c>
      <c r="S2085" s="3"/>
    </row>
    <row r="2086" spans="1:19" x14ac:dyDescent="0.25">
      <c r="A2086" t="s">
        <v>6236</v>
      </c>
      <c r="B2086" t="s">
        <v>6237</v>
      </c>
      <c r="C2086" t="s">
        <v>16179</v>
      </c>
      <c r="D2086" t="s">
        <v>666</v>
      </c>
      <c r="E2086">
        <v>5432</v>
      </c>
      <c r="F2086" s="3">
        <v>42273</v>
      </c>
      <c r="H2086" t="s">
        <v>15523</v>
      </c>
      <c r="I2086" t="s">
        <v>16180</v>
      </c>
      <c r="K2086" t="e">
        <v>#N/A</v>
      </c>
      <c r="S2086" s="3"/>
    </row>
    <row r="2087" spans="1:19" x14ac:dyDescent="0.25">
      <c r="A2087" t="s">
        <v>6238</v>
      </c>
      <c r="B2087" t="s">
        <v>6239</v>
      </c>
      <c r="C2087" t="s">
        <v>16179</v>
      </c>
      <c r="D2087" t="s">
        <v>666</v>
      </c>
      <c r="E2087">
        <v>5433</v>
      </c>
      <c r="F2087" s="3">
        <v>42273</v>
      </c>
      <c r="H2087" t="s">
        <v>15523</v>
      </c>
      <c r="I2087" t="s">
        <v>16180</v>
      </c>
      <c r="K2087" t="e">
        <v>#N/A</v>
      </c>
      <c r="S2087" s="3"/>
    </row>
    <row r="2088" spans="1:19" x14ac:dyDescent="0.25">
      <c r="A2088" t="s">
        <v>6240</v>
      </c>
      <c r="B2088" t="s">
        <v>6241</v>
      </c>
      <c r="C2088" t="s">
        <v>16179</v>
      </c>
      <c r="D2088" t="s">
        <v>666</v>
      </c>
      <c r="E2088">
        <v>5434</v>
      </c>
      <c r="F2088" s="3">
        <v>42273</v>
      </c>
      <c r="H2088" t="s">
        <v>15523</v>
      </c>
      <c r="I2088" t="s">
        <v>16180</v>
      </c>
      <c r="K2088" t="e">
        <v>#N/A</v>
      </c>
      <c r="S2088" s="3"/>
    </row>
    <row r="2089" spans="1:19" x14ac:dyDescent="0.25">
      <c r="A2089" t="s">
        <v>6242</v>
      </c>
      <c r="B2089" t="s">
        <v>6243</v>
      </c>
      <c r="C2089" t="s">
        <v>16179</v>
      </c>
      <c r="D2089" t="s">
        <v>666</v>
      </c>
      <c r="E2089">
        <v>5435</v>
      </c>
      <c r="F2089" s="3">
        <v>42273</v>
      </c>
      <c r="H2089" t="s">
        <v>15523</v>
      </c>
      <c r="I2089" t="s">
        <v>16180</v>
      </c>
      <c r="K2089" t="e">
        <v>#N/A</v>
      </c>
      <c r="S2089" s="3"/>
    </row>
    <row r="2090" spans="1:19" x14ac:dyDescent="0.25">
      <c r="A2090" t="s">
        <v>6244</v>
      </c>
      <c r="B2090" t="s">
        <v>6245</v>
      </c>
      <c r="C2090" t="s">
        <v>16179</v>
      </c>
      <c r="D2090" t="s">
        <v>666</v>
      </c>
      <c r="E2090">
        <v>5436</v>
      </c>
      <c r="F2090" s="3">
        <v>42273</v>
      </c>
      <c r="H2090" t="s">
        <v>15523</v>
      </c>
      <c r="I2090" t="s">
        <v>16180</v>
      </c>
      <c r="K2090" t="e">
        <v>#N/A</v>
      </c>
      <c r="S2090" s="3"/>
    </row>
    <row r="2091" spans="1:19" x14ac:dyDescent="0.25">
      <c r="A2091" t="s">
        <v>6246</v>
      </c>
      <c r="B2091" t="s">
        <v>6247</v>
      </c>
      <c r="C2091" t="s">
        <v>16179</v>
      </c>
      <c r="D2091" t="s">
        <v>666</v>
      </c>
      <c r="E2091">
        <v>5437</v>
      </c>
      <c r="F2091" s="3">
        <v>42273</v>
      </c>
      <c r="H2091" t="s">
        <v>15523</v>
      </c>
      <c r="I2091" t="s">
        <v>16180</v>
      </c>
      <c r="K2091" t="e">
        <v>#N/A</v>
      </c>
      <c r="S2091" s="3"/>
    </row>
    <row r="2092" spans="1:19" x14ac:dyDescent="0.25">
      <c r="A2092" t="s">
        <v>6248</v>
      </c>
      <c r="B2092" t="s">
        <v>6249</v>
      </c>
      <c r="C2092" t="s">
        <v>16179</v>
      </c>
      <c r="D2092" t="s">
        <v>666</v>
      </c>
      <c r="E2092">
        <v>5438</v>
      </c>
      <c r="F2092" s="3">
        <v>42273</v>
      </c>
      <c r="H2092" t="s">
        <v>15523</v>
      </c>
      <c r="I2092" t="s">
        <v>16180</v>
      </c>
      <c r="K2092" t="e">
        <v>#N/A</v>
      </c>
      <c r="S2092" s="3"/>
    </row>
    <row r="2093" spans="1:19" x14ac:dyDescent="0.25">
      <c r="A2093" t="s">
        <v>6250</v>
      </c>
      <c r="B2093" t="s">
        <v>6251</v>
      </c>
      <c r="C2093" t="s">
        <v>16179</v>
      </c>
      <c r="D2093" t="s">
        <v>666</v>
      </c>
      <c r="E2093">
        <v>5439</v>
      </c>
      <c r="F2093" s="3">
        <v>42273</v>
      </c>
      <c r="H2093" t="s">
        <v>15523</v>
      </c>
      <c r="I2093" t="s">
        <v>16180</v>
      </c>
      <c r="K2093" t="e">
        <v>#N/A</v>
      </c>
      <c r="S2093" s="3"/>
    </row>
    <row r="2094" spans="1:19" x14ac:dyDescent="0.25">
      <c r="A2094" t="s">
        <v>6252</v>
      </c>
      <c r="B2094" t="s">
        <v>6253</v>
      </c>
      <c r="C2094" t="s">
        <v>16179</v>
      </c>
      <c r="D2094" t="s">
        <v>666</v>
      </c>
      <c r="E2094">
        <v>5440</v>
      </c>
      <c r="F2094" s="3">
        <v>42273</v>
      </c>
      <c r="H2094" t="s">
        <v>15523</v>
      </c>
      <c r="I2094" t="s">
        <v>16180</v>
      </c>
      <c r="K2094" t="e">
        <v>#N/A</v>
      </c>
      <c r="S2094" s="3"/>
    </row>
    <row r="2095" spans="1:19" x14ac:dyDescent="0.25">
      <c r="A2095" t="s">
        <v>6254</v>
      </c>
      <c r="B2095" t="s">
        <v>6255</v>
      </c>
      <c r="C2095" t="s">
        <v>16179</v>
      </c>
      <c r="D2095" t="s">
        <v>666</v>
      </c>
      <c r="E2095">
        <v>5441</v>
      </c>
      <c r="F2095" s="3">
        <v>42273</v>
      </c>
      <c r="H2095" t="s">
        <v>15523</v>
      </c>
      <c r="I2095" t="s">
        <v>16180</v>
      </c>
      <c r="K2095" t="e">
        <v>#N/A</v>
      </c>
      <c r="S2095" s="3"/>
    </row>
    <row r="2096" spans="1:19" x14ac:dyDescent="0.25">
      <c r="A2096" t="s">
        <v>6256</v>
      </c>
      <c r="B2096" t="s">
        <v>6257</v>
      </c>
      <c r="C2096" t="s">
        <v>16179</v>
      </c>
      <c r="D2096" t="s">
        <v>666</v>
      </c>
      <c r="E2096">
        <v>5442</v>
      </c>
      <c r="F2096" s="3">
        <v>42273</v>
      </c>
      <c r="H2096" t="s">
        <v>15523</v>
      </c>
      <c r="I2096" t="s">
        <v>16180</v>
      </c>
      <c r="K2096" t="e">
        <v>#N/A</v>
      </c>
      <c r="S2096" s="3"/>
    </row>
    <row r="2097" spans="1:19" x14ac:dyDescent="0.25">
      <c r="A2097" t="s">
        <v>6258</v>
      </c>
      <c r="B2097" t="s">
        <v>6259</v>
      </c>
      <c r="C2097" t="s">
        <v>16179</v>
      </c>
      <c r="D2097" t="s">
        <v>666</v>
      </c>
      <c r="E2097">
        <v>5443</v>
      </c>
      <c r="F2097" s="3">
        <v>42273</v>
      </c>
      <c r="H2097" t="s">
        <v>15523</v>
      </c>
      <c r="I2097" t="s">
        <v>16180</v>
      </c>
      <c r="K2097" t="e">
        <v>#N/A</v>
      </c>
      <c r="S2097" s="3"/>
    </row>
    <row r="2098" spans="1:19" x14ac:dyDescent="0.25">
      <c r="A2098" t="s">
        <v>6260</v>
      </c>
      <c r="B2098" t="s">
        <v>6261</v>
      </c>
      <c r="C2098" t="s">
        <v>16179</v>
      </c>
      <c r="D2098" t="s">
        <v>666</v>
      </c>
      <c r="E2098">
        <v>5444</v>
      </c>
      <c r="F2098" s="3">
        <v>42273</v>
      </c>
      <c r="H2098" t="s">
        <v>15523</v>
      </c>
      <c r="I2098" t="s">
        <v>16180</v>
      </c>
      <c r="K2098" t="e">
        <v>#N/A</v>
      </c>
      <c r="S2098" s="3"/>
    </row>
    <row r="2099" spans="1:19" x14ac:dyDescent="0.25">
      <c r="A2099" t="s">
        <v>6262</v>
      </c>
      <c r="B2099" t="s">
        <v>6263</v>
      </c>
      <c r="C2099" t="s">
        <v>16179</v>
      </c>
      <c r="D2099" t="s">
        <v>666</v>
      </c>
      <c r="E2099">
        <v>5445</v>
      </c>
      <c r="F2099" s="3">
        <v>42273</v>
      </c>
      <c r="H2099" t="s">
        <v>15523</v>
      </c>
      <c r="I2099" t="s">
        <v>16180</v>
      </c>
      <c r="K2099" t="e">
        <v>#N/A</v>
      </c>
      <c r="S2099" s="3"/>
    </row>
    <row r="2100" spans="1:19" x14ac:dyDescent="0.25">
      <c r="A2100" t="s">
        <v>6264</v>
      </c>
      <c r="B2100" t="s">
        <v>6265</v>
      </c>
      <c r="C2100" t="s">
        <v>16179</v>
      </c>
      <c r="D2100" t="s">
        <v>666</v>
      </c>
      <c r="E2100">
        <v>5446</v>
      </c>
      <c r="F2100" s="3">
        <v>42273</v>
      </c>
      <c r="H2100" t="s">
        <v>15523</v>
      </c>
      <c r="I2100" t="s">
        <v>16180</v>
      </c>
      <c r="K2100" t="e">
        <v>#N/A</v>
      </c>
      <c r="S2100" s="3"/>
    </row>
    <row r="2101" spans="1:19" x14ac:dyDescent="0.25">
      <c r="A2101" t="s">
        <v>6266</v>
      </c>
      <c r="B2101" t="s">
        <v>6267</v>
      </c>
      <c r="C2101" t="s">
        <v>16179</v>
      </c>
      <c r="D2101" t="s">
        <v>666</v>
      </c>
      <c r="E2101">
        <v>5447</v>
      </c>
      <c r="F2101" s="3">
        <v>42273</v>
      </c>
      <c r="H2101" t="s">
        <v>15523</v>
      </c>
      <c r="I2101" t="s">
        <v>16180</v>
      </c>
      <c r="K2101" t="e">
        <v>#N/A</v>
      </c>
      <c r="S2101" s="3"/>
    </row>
    <row r="2102" spans="1:19" x14ac:dyDescent="0.25">
      <c r="A2102" t="s">
        <v>6268</v>
      </c>
      <c r="B2102" t="s">
        <v>6269</v>
      </c>
      <c r="C2102" t="s">
        <v>16179</v>
      </c>
      <c r="D2102" t="s">
        <v>666</v>
      </c>
      <c r="E2102">
        <v>5448</v>
      </c>
      <c r="F2102" s="3">
        <v>42273</v>
      </c>
      <c r="H2102" t="s">
        <v>15523</v>
      </c>
      <c r="I2102" t="s">
        <v>16180</v>
      </c>
      <c r="K2102" t="e">
        <v>#N/A</v>
      </c>
      <c r="S2102" s="3"/>
    </row>
    <row r="2103" spans="1:19" x14ac:dyDescent="0.25">
      <c r="A2103" t="s">
        <v>6270</v>
      </c>
      <c r="B2103" t="s">
        <v>6271</v>
      </c>
      <c r="C2103" t="s">
        <v>16179</v>
      </c>
      <c r="D2103" t="s">
        <v>666</v>
      </c>
      <c r="E2103">
        <v>5449</v>
      </c>
      <c r="F2103" s="3">
        <v>42273</v>
      </c>
      <c r="H2103" t="s">
        <v>15523</v>
      </c>
      <c r="I2103" t="s">
        <v>16180</v>
      </c>
      <c r="K2103" t="e">
        <v>#N/A</v>
      </c>
      <c r="S2103" s="3"/>
    </row>
    <row r="2104" spans="1:19" x14ac:dyDescent="0.25">
      <c r="A2104" t="s">
        <v>6272</v>
      </c>
      <c r="B2104" t="s">
        <v>6273</v>
      </c>
      <c r="C2104" t="s">
        <v>16179</v>
      </c>
      <c r="D2104" t="s">
        <v>666</v>
      </c>
      <c r="E2104">
        <v>5450</v>
      </c>
      <c r="F2104" s="3">
        <v>42273</v>
      </c>
      <c r="H2104" t="s">
        <v>15523</v>
      </c>
      <c r="I2104" t="s">
        <v>16180</v>
      </c>
      <c r="K2104" t="e">
        <v>#N/A</v>
      </c>
      <c r="S2104" s="3"/>
    </row>
    <row r="2105" spans="1:19" x14ac:dyDescent="0.25">
      <c r="A2105" t="s">
        <v>6274</v>
      </c>
      <c r="B2105" t="s">
        <v>6275</v>
      </c>
      <c r="C2105" t="s">
        <v>16179</v>
      </c>
      <c r="D2105" t="s">
        <v>666</v>
      </c>
      <c r="E2105">
        <v>5451</v>
      </c>
      <c r="F2105" s="3">
        <v>42273</v>
      </c>
      <c r="H2105" t="s">
        <v>15523</v>
      </c>
      <c r="I2105" t="s">
        <v>16180</v>
      </c>
      <c r="K2105" t="e">
        <v>#N/A</v>
      </c>
      <c r="S2105" s="3"/>
    </row>
    <row r="2106" spans="1:19" x14ac:dyDescent="0.25">
      <c r="A2106" t="s">
        <v>6276</v>
      </c>
      <c r="B2106" t="s">
        <v>6277</v>
      </c>
      <c r="C2106" t="s">
        <v>16179</v>
      </c>
      <c r="D2106" t="s">
        <v>666</v>
      </c>
      <c r="E2106">
        <v>5452</v>
      </c>
      <c r="F2106" s="3">
        <v>42273</v>
      </c>
      <c r="H2106" t="s">
        <v>15523</v>
      </c>
      <c r="I2106" t="s">
        <v>16180</v>
      </c>
      <c r="K2106" t="e">
        <v>#N/A</v>
      </c>
      <c r="S2106" s="3"/>
    </row>
    <row r="2107" spans="1:19" x14ac:dyDescent="0.25">
      <c r="A2107" t="s">
        <v>6278</v>
      </c>
      <c r="B2107" t="s">
        <v>6279</v>
      </c>
      <c r="C2107" t="s">
        <v>16179</v>
      </c>
      <c r="D2107" t="s">
        <v>666</v>
      </c>
      <c r="E2107">
        <v>5453</v>
      </c>
      <c r="F2107" s="3">
        <v>42273</v>
      </c>
      <c r="H2107" t="s">
        <v>15523</v>
      </c>
      <c r="I2107" t="s">
        <v>16180</v>
      </c>
      <c r="K2107" t="e">
        <v>#N/A</v>
      </c>
      <c r="S2107" s="3"/>
    </row>
    <row r="2108" spans="1:19" x14ac:dyDescent="0.25">
      <c r="A2108" t="s">
        <v>6280</v>
      </c>
      <c r="B2108" t="s">
        <v>6281</v>
      </c>
      <c r="C2108" t="s">
        <v>16179</v>
      </c>
      <c r="D2108" t="s">
        <v>666</v>
      </c>
      <c r="E2108">
        <v>5454</v>
      </c>
      <c r="F2108" s="3">
        <v>42273</v>
      </c>
      <c r="H2108" t="s">
        <v>15523</v>
      </c>
      <c r="I2108" t="s">
        <v>16180</v>
      </c>
      <c r="K2108" t="e">
        <v>#N/A</v>
      </c>
      <c r="S2108" s="3"/>
    </row>
    <row r="2109" spans="1:19" x14ac:dyDescent="0.25">
      <c r="A2109" t="s">
        <v>6282</v>
      </c>
      <c r="B2109" t="s">
        <v>6283</v>
      </c>
      <c r="C2109" t="s">
        <v>16179</v>
      </c>
      <c r="D2109" t="s">
        <v>666</v>
      </c>
      <c r="E2109">
        <v>5455</v>
      </c>
      <c r="F2109" s="3">
        <v>42273</v>
      </c>
      <c r="H2109" t="s">
        <v>15523</v>
      </c>
      <c r="I2109" t="s">
        <v>16180</v>
      </c>
      <c r="K2109" t="e">
        <v>#N/A</v>
      </c>
      <c r="S2109" s="3"/>
    </row>
    <row r="2110" spans="1:19" x14ac:dyDescent="0.25">
      <c r="A2110" t="s">
        <v>6284</v>
      </c>
      <c r="B2110" t="s">
        <v>6285</v>
      </c>
      <c r="C2110" t="s">
        <v>16179</v>
      </c>
      <c r="D2110" t="s">
        <v>666</v>
      </c>
      <c r="E2110">
        <v>5456</v>
      </c>
      <c r="F2110" s="3">
        <v>42273</v>
      </c>
      <c r="H2110" t="s">
        <v>15523</v>
      </c>
      <c r="I2110" t="s">
        <v>16180</v>
      </c>
      <c r="K2110" t="e">
        <v>#N/A</v>
      </c>
      <c r="S2110" s="3"/>
    </row>
    <row r="2111" spans="1:19" x14ac:dyDescent="0.25">
      <c r="A2111" t="s">
        <v>6286</v>
      </c>
      <c r="B2111" t="s">
        <v>6287</v>
      </c>
      <c r="C2111" t="s">
        <v>16179</v>
      </c>
      <c r="D2111" t="s">
        <v>666</v>
      </c>
      <c r="E2111">
        <v>5457</v>
      </c>
      <c r="F2111" s="3">
        <v>42273</v>
      </c>
      <c r="H2111" t="s">
        <v>15523</v>
      </c>
      <c r="I2111" t="s">
        <v>16180</v>
      </c>
      <c r="K2111" t="e">
        <v>#N/A</v>
      </c>
      <c r="S2111" s="3"/>
    </row>
    <row r="2112" spans="1:19" x14ac:dyDescent="0.25">
      <c r="A2112" t="s">
        <v>6288</v>
      </c>
      <c r="B2112" t="s">
        <v>6289</v>
      </c>
      <c r="C2112" t="s">
        <v>16179</v>
      </c>
      <c r="D2112" t="s">
        <v>666</v>
      </c>
      <c r="E2112">
        <v>5458</v>
      </c>
      <c r="F2112" s="3">
        <v>42273</v>
      </c>
      <c r="H2112" t="s">
        <v>15523</v>
      </c>
      <c r="I2112" t="s">
        <v>16180</v>
      </c>
      <c r="K2112" t="e">
        <v>#N/A</v>
      </c>
      <c r="S2112" s="3"/>
    </row>
    <row r="2113" spans="1:19" x14ac:dyDescent="0.25">
      <c r="A2113" t="s">
        <v>6290</v>
      </c>
      <c r="B2113" t="s">
        <v>6291</v>
      </c>
      <c r="C2113" t="s">
        <v>16179</v>
      </c>
      <c r="D2113" t="s">
        <v>666</v>
      </c>
      <c r="E2113">
        <v>5459</v>
      </c>
      <c r="F2113" s="3">
        <v>42273</v>
      </c>
      <c r="H2113" t="s">
        <v>15523</v>
      </c>
      <c r="I2113" t="s">
        <v>16180</v>
      </c>
      <c r="K2113" t="e">
        <v>#N/A</v>
      </c>
      <c r="S2113" s="3"/>
    </row>
    <row r="2114" spans="1:19" x14ac:dyDescent="0.25">
      <c r="A2114" t="s">
        <v>6292</v>
      </c>
      <c r="B2114" t="s">
        <v>6293</v>
      </c>
      <c r="C2114" t="s">
        <v>16179</v>
      </c>
      <c r="D2114" t="s">
        <v>666</v>
      </c>
      <c r="E2114">
        <v>5460</v>
      </c>
      <c r="F2114" s="3">
        <v>42273</v>
      </c>
      <c r="H2114" t="s">
        <v>15523</v>
      </c>
      <c r="I2114" t="s">
        <v>16180</v>
      </c>
      <c r="K2114" t="e">
        <v>#N/A</v>
      </c>
      <c r="S2114" s="3"/>
    </row>
    <row r="2115" spans="1:19" x14ac:dyDescent="0.25">
      <c r="A2115" t="s">
        <v>6294</v>
      </c>
      <c r="B2115" t="s">
        <v>6295</v>
      </c>
      <c r="C2115" t="s">
        <v>16179</v>
      </c>
      <c r="D2115" t="s">
        <v>666</v>
      </c>
      <c r="E2115">
        <v>5461</v>
      </c>
      <c r="F2115" s="3">
        <v>42273</v>
      </c>
      <c r="H2115" t="s">
        <v>15523</v>
      </c>
      <c r="I2115" t="s">
        <v>16180</v>
      </c>
      <c r="K2115" t="e">
        <v>#N/A</v>
      </c>
      <c r="S2115" s="3"/>
    </row>
    <row r="2116" spans="1:19" x14ac:dyDescent="0.25">
      <c r="A2116" t="s">
        <v>6296</v>
      </c>
      <c r="B2116" t="s">
        <v>6297</v>
      </c>
      <c r="C2116" t="s">
        <v>16179</v>
      </c>
      <c r="D2116" t="s">
        <v>666</v>
      </c>
      <c r="E2116">
        <v>5462</v>
      </c>
      <c r="F2116" s="3">
        <v>42273</v>
      </c>
      <c r="H2116" t="s">
        <v>15523</v>
      </c>
      <c r="I2116" t="s">
        <v>16180</v>
      </c>
      <c r="K2116" t="e">
        <v>#N/A</v>
      </c>
      <c r="S2116" s="3"/>
    </row>
    <row r="2117" spans="1:19" x14ac:dyDescent="0.25">
      <c r="A2117" t="s">
        <v>6298</v>
      </c>
      <c r="B2117" t="s">
        <v>6299</v>
      </c>
      <c r="C2117" t="s">
        <v>16179</v>
      </c>
      <c r="D2117" t="s">
        <v>666</v>
      </c>
      <c r="E2117">
        <v>5463</v>
      </c>
      <c r="F2117" s="3">
        <v>42273</v>
      </c>
      <c r="H2117" t="s">
        <v>15523</v>
      </c>
      <c r="I2117" t="s">
        <v>16180</v>
      </c>
      <c r="K2117" t="e">
        <v>#N/A</v>
      </c>
      <c r="S2117" s="3"/>
    </row>
    <row r="2118" spans="1:19" x14ac:dyDescent="0.25">
      <c r="A2118" t="s">
        <v>6300</v>
      </c>
      <c r="B2118" t="s">
        <v>6301</v>
      </c>
      <c r="C2118" t="s">
        <v>16179</v>
      </c>
      <c r="D2118" t="s">
        <v>666</v>
      </c>
      <c r="E2118">
        <v>5464</v>
      </c>
      <c r="F2118" s="3">
        <v>42273</v>
      </c>
      <c r="H2118" t="s">
        <v>15523</v>
      </c>
      <c r="I2118" t="s">
        <v>16180</v>
      </c>
      <c r="K2118" t="e">
        <v>#N/A</v>
      </c>
      <c r="S2118" s="3"/>
    </row>
    <row r="2119" spans="1:19" x14ac:dyDescent="0.25">
      <c r="A2119" t="s">
        <v>6302</v>
      </c>
      <c r="B2119" t="s">
        <v>6303</v>
      </c>
      <c r="C2119" t="s">
        <v>16179</v>
      </c>
      <c r="D2119" t="s">
        <v>666</v>
      </c>
      <c r="E2119">
        <v>5465</v>
      </c>
      <c r="F2119" s="3">
        <v>42273</v>
      </c>
      <c r="H2119" t="s">
        <v>15523</v>
      </c>
      <c r="I2119" t="s">
        <v>16180</v>
      </c>
      <c r="K2119" t="e">
        <v>#N/A</v>
      </c>
      <c r="S2119" s="3"/>
    </row>
    <row r="2120" spans="1:19" x14ac:dyDescent="0.25">
      <c r="A2120" t="s">
        <v>6304</v>
      </c>
      <c r="B2120" t="s">
        <v>6305</v>
      </c>
      <c r="C2120" t="s">
        <v>16179</v>
      </c>
      <c r="D2120" t="s">
        <v>666</v>
      </c>
      <c r="E2120">
        <v>5466</v>
      </c>
      <c r="F2120" s="3">
        <v>42273</v>
      </c>
      <c r="H2120" t="s">
        <v>15523</v>
      </c>
      <c r="I2120" t="s">
        <v>16180</v>
      </c>
      <c r="K2120" t="e">
        <v>#N/A</v>
      </c>
      <c r="S2120" s="3"/>
    </row>
    <row r="2121" spans="1:19" x14ac:dyDescent="0.25">
      <c r="A2121" t="s">
        <v>6306</v>
      </c>
      <c r="B2121" t="s">
        <v>6307</v>
      </c>
      <c r="C2121" t="s">
        <v>16179</v>
      </c>
      <c r="D2121" t="s">
        <v>666</v>
      </c>
      <c r="E2121">
        <v>5467</v>
      </c>
      <c r="F2121" s="3">
        <v>42273</v>
      </c>
      <c r="H2121" t="s">
        <v>15523</v>
      </c>
      <c r="I2121" t="s">
        <v>16180</v>
      </c>
      <c r="K2121" t="e">
        <v>#N/A</v>
      </c>
      <c r="S2121" s="3"/>
    </row>
    <row r="2122" spans="1:19" x14ac:dyDescent="0.25">
      <c r="A2122" t="s">
        <v>6308</v>
      </c>
      <c r="B2122" t="s">
        <v>6309</v>
      </c>
      <c r="C2122" t="s">
        <v>16179</v>
      </c>
      <c r="D2122" t="s">
        <v>666</v>
      </c>
      <c r="E2122">
        <v>5468</v>
      </c>
      <c r="F2122" s="3">
        <v>42273</v>
      </c>
      <c r="H2122" t="s">
        <v>15523</v>
      </c>
      <c r="I2122" t="s">
        <v>16180</v>
      </c>
      <c r="K2122" t="e">
        <v>#N/A</v>
      </c>
      <c r="S2122" s="3"/>
    </row>
    <row r="2123" spans="1:19" x14ac:dyDescent="0.25">
      <c r="A2123" t="s">
        <v>6310</v>
      </c>
      <c r="B2123" t="s">
        <v>6311</v>
      </c>
      <c r="C2123" t="s">
        <v>16179</v>
      </c>
      <c r="D2123" t="s">
        <v>666</v>
      </c>
      <c r="E2123">
        <v>5469</v>
      </c>
      <c r="F2123" s="3">
        <v>42273</v>
      </c>
      <c r="H2123" t="s">
        <v>15523</v>
      </c>
      <c r="I2123" t="s">
        <v>16180</v>
      </c>
      <c r="K2123" t="e">
        <v>#N/A</v>
      </c>
      <c r="S2123" s="3"/>
    </row>
    <row r="2124" spans="1:19" x14ac:dyDescent="0.25">
      <c r="A2124" t="s">
        <v>6312</v>
      </c>
      <c r="B2124" t="s">
        <v>6313</v>
      </c>
      <c r="C2124" t="s">
        <v>16179</v>
      </c>
      <c r="D2124" t="s">
        <v>666</v>
      </c>
      <c r="E2124">
        <v>5470</v>
      </c>
      <c r="F2124" s="3">
        <v>42273</v>
      </c>
      <c r="H2124" t="s">
        <v>15523</v>
      </c>
      <c r="I2124" t="s">
        <v>16180</v>
      </c>
      <c r="K2124" t="e">
        <v>#N/A</v>
      </c>
      <c r="S2124" s="3"/>
    </row>
    <row r="2125" spans="1:19" x14ac:dyDescent="0.25">
      <c r="A2125" t="s">
        <v>6314</v>
      </c>
      <c r="B2125" t="s">
        <v>6315</v>
      </c>
      <c r="C2125" t="s">
        <v>16179</v>
      </c>
      <c r="D2125" t="s">
        <v>666</v>
      </c>
      <c r="E2125">
        <v>5471</v>
      </c>
      <c r="F2125" s="3">
        <v>42273</v>
      </c>
      <c r="H2125" t="s">
        <v>15523</v>
      </c>
      <c r="I2125" t="s">
        <v>16180</v>
      </c>
      <c r="K2125" t="e">
        <v>#N/A</v>
      </c>
      <c r="S2125" s="3"/>
    </row>
    <row r="2126" spans="1:19" x14ac:dyDescent="0.25">
      <c r="A2126" t="s">
        <v>6316</v>
      </c>
      <c r="B2126" t="s">
        <v>6317</v>
      </c>
      <c r="C2126" t="s">
        <v>16179</v>
      </c>
      <c r="D2126" t="s">
        <v>666</v>
      </c>
      <c r="E2126">
        <v>5472</v>
      </c>
      <c r="F2126" s="3">
        <v>42273</v>
      </c>
      <c r="H2126" t="s">
        <v>15523</v>
      </c>
      <c r="I2126" t="s">
        <v>16180</v>
      </c>
      <c r="K2126" t="e">
        <v>#N/A</v>
      </c>
      <c r="S2126" s="3"/>
    </row>
    <row r="2127" spans="1:19" x14ac:dyDescent="0.25">
      <c r="A2127" t="s">
        <v>6318</v>
      </c>
      <c r="B2127" t="s">
        <v>6319</v>
      </c>
      <c r="C2127" t="s">
        <v>16179</v>
      </c>
      <c r="D2127" t="s">
        <v>666</v>
      </c>
      <c r="E2127">
        <v>5473</v>
      </c>
      <c r="F2127" s="3">
        <v>42273</v>
      </c>
      <c r="H2127" t="s">
        <v>15523</v>
      </c>
      <c r="I2127" t="s">
        <v>16180</v>
      </c>
      <c r="K2127" t="e">
        <v>#N/A</v>
      </c>
      <c r="S2127" s="3"/>
    </row>
    <row r="2128" spans="1:19" x14ac:dyDescent="0.25">
      <c r="A2128" t="s">
        <v>6320</v>
      </c>
      <c r="B2128" t="s">
        <v>6321</v>
      </c>
      <c r="C2128" t="s">
        <v>16179</v>
      </c>
      <c r="D2128" t="s">
        <v>666</v>
      </c>
      <c r="E2128">
        <v>5474</v>
      </c>
      <c r="F2128" s="3">
        <v>42273</v>
      </c>
      <c r="H2128" t="s">
        <v>15523</v>
      </c>
      <c r="I2128" t="s">
        <v>16180</v>
      </c>
      <c r="K2128" t="e">
        <v>#N/A</v>
      </c>
      <c r="S2128" s="3"/>
    </row>
    <row r="2129" spans="1:19" x14ac:dyDescent="0.25">
      <c r="A2129" t="s">
        <v>6322</v>
      </c>
      <c r="B2129" t="s">
        <v>6323</v>
      </c>
      <c r="C2129" t="s">
        <v>16179</v>
      </c>
      <c r="D2129" t="s">
        <v>666</v>
      </c>
      <c r="E2129">
        <v>5475</v>
      </c>
      <c r="F2129" s="3">
        <v>42273</v>
      </c>
      <c r="H2129" t="s">
        <v>15523</v>
      </c>
      <c r="I2129" t="s">
        <v>16180</v>
      </c>
      <c r="K2129" t="e">
        <v>#N/A</v>
      </c>
      <c r="S2129" s="3"/>
    </row>
    <row r="2130" spans="1:19" x14ac:dyDescent="0.25">
      <c r="A2130" t="s">
        <v>6324</v>
      </c>
      <c r="B2130" t="s">
        <v>6325</v>
      </c>
      <c r="C2130" t="s">
        <v>16179</v>
      </c>
      <c r="D2130" t="s">
        <v>666</v>
      </c>
      <c r="E2130">
        <v>5476</v>
      </c>
      <c r="F2130" s="3">
        <v>42273</v>
      </c>
      <c r="H2130" t="s">
        <v>15523</v>
      </c>
      <c r="I2130" t="s">
        <v>16180</v>
      </c>
      <c r="K2130" t="e">
        <v>#N/A</v>
      </c>
      <c r="S2130" s="3"/>
    </row>
    <row r="2131" spans="1:19" x14ac:dyDescent="0.25">
      <c r="A2131" t="s">
        <v>6326</v>
      </c>
      <c r="B2131" t="s">
        <v>6327</v>
      </c>
      <c r="C2131" t="s">
        <v>16179</v>
      </c>
      <c r="D2131" t="s">
        <v>666</v>
      </c>
      <c r="E2131">
        <v>5477</v>
      </c>
      <c r="F2131" s="3">
        <v>42273</v>
      </c>
      <c r="H2131" t="s">
        <v>15523</v>
      </c>
      <c r="I2131" t="s">
        <v>16180</v>
      </c>
      <c r="K2131" t="e">
        <v>#N/A</v>
      </c>
      <c r="S2131" s="3"/>
    </row>
    <row r="2132" spans="1:19" x14ac:dyDescent="0.25">
      <c r="A2132" t="s">
        <v>6328</v>
      </c>
      <c r="B2132" t="s">
        <v>6329</v>
      </c>
      <c r="C2132" t="s">
        <v>16179</v>
      </c>
      <c r="D2132" t="s">
        <v>666</v>
      </c>
      <c r="E2132">
        <v>5478</v>
      </c>
      <c r="F2132" s="3">
        <v>42273</v>
      </c>
      <c r="H2132" t="s">
        <v>15523</v>
      </c>
      <c r="I2132" t="s">
        <v>16180</v>
      </c>
      <c r="K2132" t="e">
        <v>#N/A</v>
      </c>
      <c r="S2132" s="3"/>
    </row>
    <row r="2133" spans="1:19" x14ac:dyDescent="0.25">
      <c r="A2133" t="s">
        <v>6330</v>
      </c>
      <c r="B2133" t="s">
        <v>6331</v>
      </c>
      <c r="C2133" t="s">
        <v>16179</v>
      </c>
      <c r="D2133" t="s">
        <v>666</v>
      </c>
      <c r="E2133">
        <v>5479</v>
      </c>
      <c r="F2133" s="3">
        <v>42273</v>
      </c>
      <c r="H2133" t="s">
        <v>15523</v>
      </c>
      <c r="I2133" t="s">
        <v>16180</v>
      </c>
      <c r="K2133" t="e">
        <v>#N/A</v>
      </c>
      <c r="S2133" s="3"/>
    </row>
    <row r="2134" spans="1:19" x14ac:dyDescent="0.25">
      <c r="A2134" t="s">
        <v>6332</v>
      </c>
      <c r="B2134" t="s">
        <v>6333</v>
      </c>
      <c r="C2134" t="s">
        <v>16179</v>
      </c>
      <c r="D2134" t="s">
        <v>666</v>
      </c>
      <c r="E2134">
        <v>5480</v>
      </c>
      <c r="F2134" s="3">
        <v>42273</v>
      </c>
      <c r="H2134" t="s">
        <v>15523</v>
      </c>
      <c r="I2134" t="s">
        <v>16180</v>
      </c>
      <c r="K2134" t="e">
        <v>#N/A</v>
      </c>
      <c r="S2134" s="3"/>
    </row>
    <row r="2135" spans="1:19" x14ac:dyDescent="0.25">
      <c r="A2135" t="s">
        <v>6334</v>
      </c>
      <c r="B2135" t="s">
        <v>6335</v>
      </c>
      <c r="C2135" t="s">
        <v>16179</v>
      </c>
      <c r="D2135" t="s">
        <v>666</v>
      </c>
      <c r="E2135">
        <v>5481</v>
      </c>
      <c r="F2135" s="3">
        <v>42273</v>
      </c>
      <c r="H2135" t="s">
        <v>15523</v>
      </c>
      <c r="I2135" t="s">
        <v>16180</v>
      </c>
      <c r="K2135" t="e">
        <v>#N/A</v>
      </c>
      <c r="S2135" s="3"/>
    </row>
    <row r="2136" spans="1:19" x14ac:dyDescent="0.25">
      <c r="A2136" t="s">
        <v>6336</v>
      </c>
      <c r="B2136" t="s">
        <v>6337</v>
      </c>
      <c r="C2136" t="s">
        <v>16179</v>
      </c>
      <c r="D2136" t="s">
        <v>666</v>
      </c>
      <c r="E2136">
        <v>5482</v>
      </c>
      <c r="F2136" s="3">
        <v>42273</v>
      </c>
      <c r="H2136" t="s">
        <v>15523</v>
      </c>
      <c r="I2136" t="s">
        <v>16180</v>
      </c>
      <c r="K2136" t="e">
        <v>#N/A</v>
      </c>
      <c r="S2136" s="3"/>
    </row>
    <row r="2137" spans="1:19" x14ac:dyDescent="0.25">
      <c r="A2137" t="s">
        <v>6338</v>
      </c>
      <c r="B2137" t="s">
        <v>6339</v>
      </c>
      <c r="C2137" t="s">
        <v>16179</v>
      </c>
      <c r="D2137" t="s">
        <v>666</v>
      </c>
      <c r="E2137">
        <v>5483</v>
      </c>
      <c r="F2137" s="3">
        <v>42273</v>
      </c>
      <c r="H2137" t="s">
        <v>15523</v>
      </c>
      <c r="I2137" t="s">
        <v>16180</v>
      </c>
      <c r="K2137" t="e">
        <v>#N/A</v>
      </c>
      <c r="S2137" s="3"/>
    </row>
    <row r="2138" spans="1:19" x14ac:dyDescent="0.25">
      <c r="A2138" t="s">
        <v>6340</v>
      </c>
      <c r="B2138" t="s">
        <v>6341</v>
      </c>
      <c r="C2138" t="s">
        <v>16179</v>
      </c>
      <c r="D2138" t="s">
        <v>666</v>
      </c>
      <c r="E2138">
        <v>5484</v>
      </c>
      <c r="F2138" s="3">
        <v>42273</v>
      </c>
      <c r="H2138" t="s">
        <v>15523</v>
      </c>
      <c r="I2138" t="s">
        <v>16180</v>
      </c>
      <c r="K2138" t="e">
        <v>#N/A</v>
      </c>
      <c r="S2138" s="3"/>
    </row>
    <row r="2139" spans="1:19" x14ac:dyDescent="0.25">
      <c r="A2139" t="s">
        <v>6342</v>
      </c>
      <c r="B2139" t="s">
        <v>6343</v>
      </c>
      <c r="C2139" t="s">
        <v>16179</v>
      </c>
      <c r="D2139" t="s">
        <v>666</v>
      </c>
      <c r="E2139">
        <v>5485</v>
      </c>
      <c r="F2139" s="3">
        <v>42273</v>
      </c>
      <c r="H2139" t="s">
        <v>15523</v>
      </c>
      <c r="I2139" t="s">
        <v>16180</v>
      </c>
      <c r="K2139" t="e">
        <v>#N/A</v>
      </c>
      <c r="S2139" s="3"/>
    </row>
    <row r="2140" spans="1:19" x14ac:dyDescent="0.25">
      <c r="A2140" t="s">
        <v>6344</v>
      </c>
      <c r="B2140" t="s">
        <v>6345</v>
      </c>
      <c r="C2140" t="s">
        <v>16179</v>
      </c>
      <c r="D2140" t="s">
        <v>666</v>
      </c>
      <c r="E2140">
        <v>5486</v>
      </c>
      <c r="F2140" s="3">
        <v>42273</v>
      </c>
      <c r="H2140" t="s">
        <v>15523</v>
      </c>
      <c r="I2140" t="s">
        <v>16180</v>
      </c>
      <c r="K2140" t="e">
        <v>#N/A</v>
      </c>
      <c r="S2140" s="3"/>
    </row>
    <row r="2141" spans="1:19" x14ac:dyDescent="0.25">
      <c r="A2141" t="s">
        <v>6346</v>
      </c>
      <c r="B2141" t="s">
        <v>6347</v>
      </c>
      <c r="C2141" t="s">
        <v>16179</v>
      </c>
      <c r="D2141" t="s">
        <v>666</v>
      </c>
      <c r="E2141">
        <v>5487</v>
      </c>
      <c r="F2141" s="3">
        <v>42273</v>
      </c>
      <c r="H2141" t="s">
        <v>15523</v>
      </c>
      <c r="I2141" t="s">
        <v>16180</v>
      </c>
      <c r="K2141" t="e">
        <v>#N/A</v>
      </c>
      <c r="S2141" s="3"/>
    </row>
    <row r="2142" spans="1:19" x14ac:dyDescent="0.25">
      <c r="A2142" t="s">
        <v>6348</v>
      </c>
      <c r="B2142" t="s">
        <v>6349</v>
      </c>
      <c r="C2142" t="s">
        <v>16179</v>
      </c>
      <c r="D2142" t="s">
        <v>666</v>
      </c>
      <c r="E2142">
        <v>5488</v>
      </c>
      <c r="F2142" s="3">
        <v>42273</v>
      </c>
      <c r="H2142" t="s">
        <v>15523</v>
      </c>
      <c r="I2142" t="s">
        <v>16180</v>
      </c>
      <c r="K2142" t="e">
        <v>#N/A</v>
      </c>
      <c r="S2142" s="3"/>
    </row>
    <row r="2143" spans="1:19" x14ac:dyDescent="0.25">
      <c r="A2143" t="s">
        <v>6350</v>
      </c>
      <c r="B2143" t="s">
        <v>6351</v>
      </c>
      <c r="C2143" t="s">
        <v>16179</v>
      </c>
      <c r="D2143" t="s">
        <v>666</v>
      </c>
      <c r="E2143">
        <v>5489</v>
      </c>
      <c r="F2143" s="3">
        <v>42273</v>
      </c>
      <c r="H2143" t="s">
        <v>15523</v>
      </c>
      <c r="I2143" t="s">
        <v>16180</v>
      </c>
      <c r="K2143" t="e">
        <v>#N/A</v>
      </c>
      <c r="S2143" s="3"/>
    </row>
    <row r="2144" spans="1:19" x14ac:dyDescent="0.25">
      <c r="A2144" t="s">
        <v>6352</v>
      </c>
      <c r="B2144" t="s">
        <v>6353</v>
      </c>
      <c r="C2144" t="s">
        <v>16179</v>
      </c>
      <c r="D2144" t="s">
        <v>666</v>
      </c>
      <c r="E2144">
        <v>5490</v>
      </c>
      <c r="F2144" s="3">
        <v>42273</v>
      </c>
      <c r="H2144" t="s">
        <v>15523</v>
      </c>
      <c r="I2144" t="s">
        <v>16180</v>
      </c>
      <c r="K2144" t="e">
        <v>#N/A</v>
      </c>
      <c r="S2144" s="3"/>
    </row>
    <row r="2145" spans="1:19" x14ac:dyDescent="0.25">
      <c r="A2145" t="s">
        <v>6354</v>
      </c>
      <c r="B2145" t="s">
        <v>6355</v>
      </c>
      <c r="C2145" t="s">
        <v>16179</v>
      </c>
      <c r="D2145" t="s">
        <v>666</v>
      </c>
      <c r="E2145">
        <v>5491</v>
      </c>
      <c r="F2145" s="3">
        <v>42273</v>
      </c>
      <c r="H2145" t="s">
        <v>15523</v>
      </c>
      <c r="I2145" t="s">
        <v>16180</v>
      </c>
      <c r="K2145" t="e">
        <v>#N/A</v>
      </c>
      <c r="S2145" s="3"/>
    </row>
    <row r="2146" spans="1:19" x14ac:dyDescent="0.25">
      <c r="A2146" t="s">
        <v>6356</v>
      </c>
      <c r="B2146" t="s">
        <v>6357</v>
      </c>
      <c r="C2146" t="s">
        <v>16179</v>
      </c>
      <c r="D2146" t="s">
        <v>666</v>
      </c>
      <c r="E2146">
        <v>5492</v>
      </c>
      <c r="F2146" s="3">
        <v>42273</v>
      </c>
      <c r="H2146" t="s">
        <v>15523</v>
      </c>
      <c r="I2146" t="s">
        <v>16180</v>
      </c>
      <c r="K2146" t="e">
        <v>#N/A</v>
      </c>
      <c r="S2146" s="3"/>
    </row>
    <row r="2147" spans="1:19" x14ac:dyDescent="0.25">
      <c r="A2147" t="s">
        <v>6358</v>
      </c>
      <c r="B2147" t="s">
        <v>6359</v>
      </c>
      <c r="C2147" t="s">
        <v>16179</v>
      </c>
      <c r="D2147" t="s">
        <v>666</v>
      </c>
      <c r="E2147">
        <v>5493</v>
      </c>
      <c r="F2147" s="3">
        <v>42273</v>
      </c>
      <c r="H2147" t="s">
        <v>15523</v>
      </c>
      <c r="I2147" t="s">
        <v>16180</v>
      </c>
      <c r="K2147" t="e">
        <v>#N/A</v>
      </c>
      <c r="S2147" s="3"/>
    </row>
    <row r="2148" spans="1:19" x14ac:dyDescent="0.25">
      <c r="A2148" t="s">
        <v>6360</v>
      </c>
      <c r="B2148" t="s">
        <v>6361</v>
      </c>
      <c r="C2148" t="s">
        <v>16179</v>
      </c>
      <c r="D2148" t="s">
        <v>666</v>
      </c>
      <c r="E2148">
        <v>5494</v>
      </c>
      <c r="F2148" s="3">
        <v>42273</v>
      </c>
      <c r="H2148" t="s">
        <v>15523</v>
      </c>
      <c r="I2148" t="s">
        <v>16180</v>
      </c>
      <c r="K2148" t="e">
        <v>#N/A</v>
      </c>
      <c r="S2148" s="3"/>
    </row>
    <row r="2149" spans="1:19" x14ac:dyDescent="0.25">
      <c r="A2149" t="s">
        <v>6362</v>
      </c>
      <c r="B2149" t="s">
        <v>6363</v>
      </c>
      <c r="C2149" t="s">
        <v>16179</v>
      </c>
      <c r="D2149" t="s">
        <v>666</v>
      </c>
      <c r="E2149">
        <v>5495</v>
      </c>
      <c r="F2149" s="3">
        <v>42273</v>
      </c>
      <c r="H2149" t="s">
        <v>15523</v>
      </c>
      <c r="I2149" t="s">
        <v>16180</v>
      </c>
      <c r="K2149" t="e">
        <v>#N/A</v>
      </c>
      <c r="S2149" s="3"/>
    </row>
    <row r="2150" spans="1:19" x14ac:dyDescent="0.25">
      <c r="A2150" t="s">
        <v>6364</v>
      </c>
      <c r="B2150" t="s">
        <v>6365</v>
      </c>
      <c r="C2150" t="s">
        <v>16179</v>
      </c>
      <c r="D2150" t="s">
        <v>666</v>
      </c>
      <c r="E2150">
        <v>5496</v>
      </c>
      <c r="F2150" s="3">
        <v>42273</v>
      </c>
      <c r="H2150" t="s">
        <v>15523</v>
      </c>
      <c r="I2150" t="s">
        <v>16180</v>
      </c>
      <c r="K2150" t="e">
        <v>#N/A</v>
      </c>
      <c r="S2150" s="3"/>
    </row>
    <row r="2151" spans="1:19" x14ac:dyDescent="0.25">
      <c r="A2151" t="s">
        <v>6366</v>
      </c>
      <c r="B2151" t="s">
        <v>6367</v>
      </c>
      <c r="C2151" t="s">
        <v>16179</v>
      </c>
      <c r="D2151" t="s">
        <v>666</v>
      </c>
      <c r="E2151">
        <v>5497</v>
      </c>
      <c r="F2151" s="3">
        <v>42273</v>
      </c>
      <c r="H2151" t="s">
        <v>15523</v>
      </c>
      <c r="I2151" t="s">
        <v>16180</v>
      </c>
      <c r="K2151" t="e">
        <v>#N/A</v>
      </c>
      <c r="S2151" s="3"/>
    </row>
    <row r="2152" spans="1:19" x14ac:dyDescent="0.25">
      <c r="A2152" t="s">
        <v>6368</v>
      </c>
      <c r="B2152" t="s">
        <v>6369</v>
      </c>
      <c r="C2152" t="s">
        <v>16179</v>
      </c>
      <c r="D2152" t="s">
        <v>666</v>
      </c>
      <c r="E2152">
        <v>5498</v>
      </c>
      <c r="F2152" s="3">
        <v>42273</v>
      </c>
      <c r="H2152" t="s">
        <v>15523</v>
      </c>
      <c r="I2152" t="s">
        <v>16180</v>
      </c>
      <c r="K2152" t="e">
        <v>#N/A</v>
      </c>
      <c r="S2152" s="3"/>
    </row>
    <row r="2153" spans="1:19" x14ac:dyDescent="0.25">
      <c r="A2153" t="s">
        <v>6370</v>
      </c>
      <c r="B2153" t="s">
        <v>6371</v>
      </c>
      <c r="C2153" t="s">
        <v>16179</v>
      </c>
      <c r="D2153" t="s">
        <v>666</v>
      </c>
      <c r="E2153">
        <v>5499</v>
      </c>
      <c r="F2153" s="3">
        <v>42273</v>
      </c>
      <c r="H2153" t="s">
        <v>15523</v>
      </c>
      <c r="I2153" t="s">
        <v>16180</v>
      </c>
      <c r="K2153" t="e">
        <v>#N/A</v>
      </c>
      <c r="S2153" s="3"/>
    </row>
    <row r="2154" spans="1:19" x14ac:dyDescent="0.25">
      <c r="A2154" t="s">
        <v>6372</v>
      </c>
      <c r="B2154" t="s">
        <v>6373</v>
      </c>
      <c r="C2154" t="s">
        <v>16179</v>
      </c>
      <c r="D2154" t="s">
        <v>666</v>
      </c>
      <c r="E2154">
        <v>5500</v>
      </c>
      <c r="F2154" s="3">
        <v>42273</v>
      </c>
      <c r="H2154" t="s">
        <v>15523</v>
      </c>
      <c r="I2154" t="s">
        <v>16180</v>
      </c>
      <c r="K2154" t="e">
        <v>#N/A</v>
      </c>
      <c r="S2154" s="3"/>
    </row>
    <row r="2155" spans="1:19" x14ac:dyDescent="0.25">
      <c r="A2155" t="s">
        <v>6374</v>
      </c>
      <c r="B2155" t="s">
        <v>6375</v>
      </c>
      <c r="C2155" t="s">
        <v>16179</v>
      </c>
      <c r="D2155" t="s">
        <v>666</v>
      </c>
      <c r="E2155">
        <v>5501</v>
      </c>
      <c r="F2155" s="3">
        <v>42273</v>
      </c>
      <c r="H2155" t="s">
        <v>15523</v>
      </c>
      <c r="I2155" t="s">
        <v>16180</v>
      </c>
      <c r="K2155" t="e">
        <v>#N/A</v>
      </c>
      <c r="S2155" s="3"/>
    </row>
    <row r="2156" spans="1:19" x14ac:dyDescent="0.25">
      <c r="A2156" t="s">
        <v>6376</v>
      </c>
      <c r="B2156" t="s">
        <v>6377</v>
      </c>
      <c r="C2156" t="s">
        <v>16179</v>
      </c>
      <c r="D2156" t="s">
        <v>666</v>
      </c>
      <c r="E2156">
        <v>5502</v>
      </c>
      <c r="F2156" s="3">
        <v>42273</v>
      </c>
      <c r="H2156" t="s">
        <v>15523</v>
      </c>
      <c r="I2156" t="s">
        <v>16180</v>
      </c>
      <c r="K2156" t="e">
        <v>#N/A</v>
      </c>
      <c r="S2156" s="3"/>
    </row>
    <row r="2157" spans="1:19" x14ac:dyDescent="0.25">
      <c r="A2157" t="s">
        <v>6378</v>
      </c>
      <c r="B2157" t="s">
        <v>6379</v>
      </c>
      <c r="C2157" t="s">
        <v>16179</v>
      </c>
      <c r="D2157" t="s">
        <v>666</v>
      </c>
      <c r="E2157">
        <v>5503</v>
      </c>
      <c r="F2157" s="3">
        <v>42273</v>
      </c>
      <c r="H2157" t="s">
        <v>15523</v>
      </c>
      <c r="I2157" t="s">
        <v>16180</v>
      </c>
      <c r="K2157" t="e">
        <v>#N/A</v>
      </c>
      <c r="S2157" s="3"/>
    </row>
    <row r="2158" spans="1:19" x14ac:dyDescent="0.25">
      <c r="A2158" t="s">
        <v>6380</v>
      </c>
      <c r="B2158" t="s">
        <v>6381</v>
      </c>
      <c r="C2158" t="s">
        <v>16179</v>
      </c>
      <c r="D2158" t="s">
        <v>666</v>
      </c>
      <c r="E2158">
        <v>5504</v>
      </c>
      <c r="F2158" s="3">
        <v>42273</v>
      </c>
      <c r="H2158" t="s">
        <v>15523</v>
      </c>
      <c r="I2158" t="s">
        <v>16180</v>
      </c>
      <c r="K2158" t="e">
        <v>#N/A</v>
      </c>
      <c r="S2158" s="3"/>
    </row>
    <row r="2159" spans="1:19" x14ac:dyDescent="0.25">
      <c r="A2159" t="s">
        <v>6382</v>
      </c>
      <c r="B2159" t="s">
        <v>6383</v>
      </c>
      <c r="C2159" t="s">
        <v>16179</v>
      </c>
      <c r="D2159" t="s">
        <v>666</v>
      </c>
      <c r="E2159">
        <v>5505</v>
      </c>
      <c r="F2159" s="3">
        <v>42273</v>
      </c>
      <c r="H2159" t="s">
        <v>15523</v>
      </c>
      <c r="I2159" t="s">
        <v>16180</v>
      </c>
      <c r="K2159" t="e">
        <v>#N/A</v>
      </c>
      <c r="S2159" s="3"/>
    </row>
    <row r="2160" spans="1:19" x14ac:dyDescent="0.25">
      <c r="A2160" t="s">
        <v>6384</v>
      </c>
      <c r="B2160" t="s">
        <v>6385</v>
      </c>
      <c r="C2160" t="s">
        <v>16179</v>
      </c>
      <c r="D2160" t="s">
        <v>666</v>
      </c>
      <c r="E2160">
        <v>5506</v>
      </c>
      <c r="F2160" s="3">
        <v>42273</v>
      </c>
      <c r="H2160" t="s">
        <v>15523</v>
      </c>
      <c r="I2160" t="s">
        <v>16180</v>
      </c>
      <c r="K2160" t="e">
        <v>#N/A</v>
      </c>
      <c r="S2160" s="3"/>
    </row>
    <row r="2161" spans="1:19" x14ac:dyDescent="0.25">
      <c r="A2161" t="s">
        <v>6386</v>
      </c>
      <c r="B2161" t="s">
        <v>6387</v>
      </c>
      <c r="C2161" t="s">
        <v>16179</v>
      </c>
      <c r="D2161" t="s">
        <v>666</v>
      </c>
      <c r="E2161">
        <v>5507</v>
      </c>
      <c r="F2161" s="3">
        <v>42273</v>
      </c>
      <c r="H2161" t="s">
        <v>15523</v>
      </c>
      <c r="I2161" t="s">
        <v>16180</v>
      </c>
      <c r="K2161" t="e">
        <v>#N/A</v>
      </c>
      <c r="S2161" s="3"/>
    </row>
    <row r="2162" spans="1:19" x14ac:dyDescent="0.25">
      <c r="A2162" t="s">
        <v>6388</v>
      </c>
      <c r="B2162" t="s">
        <v>6389</v>
      </c>
      <c r="C2162" t="s">
        <v>16179</v>
      </c>
      <c r="D2162" t="s">
        <v>666</v>
      </c>
      <c r="E2162">
        <v>5508</v>
      </c>
      <c r="F2162" s="3">
        <v>42273</v>
      </c>
      <c r="H2162" t="s">
        <v>15523</v>
      </c>
      <c r="I2162" t="s">
        <v>16180</v>
      </c>
      <c r="K2162" t="e">
        <v>#N/A</v>
      </c>
      <c r="S2162" s="3"/>
    </row>
    <row r="2163" spans="1:19" x14ac:dyDescent="0.25">
      <c r="A2163" t="s">
        <v>6390</v>
      </c>
      <c r="B2163" t="s">
        <v>6391</v>
      </c>
      <c r="C2163" t="s">
        <v>16179</v>
      </c>
      <c r="D2163" t="s">
        <v>666</v>
      </c>
      <c r="E2163">
        <v>5509</v>
      </c>
      <c r="F2163" s="3">
        <v>42273</v>
      </c>
      <c r="H2163" t="s">
        <v>15523</v>
      </c>
      <c r="I2163" t="s">
        <v>16180</v>
      </c>
      <c r="K2163" t="e">
        <v>#N/A</v>
      </c>
      <c r="S2163" s="3"/>
    </row>
    <row r="2164" spans="1:19" x14ac:dyDescent="0.25">
      <c r="A2164" t="s">
        <v>6392</v>
      </c>
      <c r="B2164" t="s">
        <v>6393</v>
      </c>
      <c r="C2164" t="s">
        <v>16179</v>
      </c>
      <c r="D2164" t="s">
        <v>666</v>
      </c>
      <c r="E2164">
        <v>5510</v>
      </c>
      <c r="F2164" s="3">
        <v>42273</v>
      </c>
      <c r="H2164" t="s">
        <v>15523</v>
      </c>
      <c r="I2164" t="s">
        <v>16180</v>
      </c>
      <c r="K2164" t="e">
        <v>#N/A</v>
      </c>
      <c r="S2164" s="3"/>
    </row>
    <row r="2165" spans="1:19" x14ac:dyDescent="0.25">
      <c r="A2165" t="s">
        <v>6394</v>
      </c>
      <c r="B2165" t="s">
        <v>6395</v>
      </c>
      <c r="C2165" t="s">
        <v>16179</v>
      </c>
      <c r="D2165" t="s">
        <v>666</v>
      </c>
      <c r="E2165">
        <v>5511</v>
      </c>
      <c r="F2165" s="3">
        <v>42273</v>
      </c>
      <c r="H2165" t="s">
        <v>15523</v>
      </c>
      <c r="I2165" t="s">
        <v>16180</v>
      </c>
      <c r="K2165" t="e">
        <v>#N/A</v>
      </c>
      <c r="S2165" s="3"/>
    </row>
    <row r="2166" spans="1:19" x14ac:dyDescent="0.25">
      <c r="A2166" t="s">
        <v>6396</v>
      </c>
      <c r="B2166" t="s">
        <v>6397</v>
      </c>
      <c r="C2166" t="s">
        <v>16179</v>
      </c>
      <c r="D2166" t="s">
        <v>666</v>
      </c>
      <c r="E2166">
        <v>5512</v>
      </c>
      <c r="F2166" s="3">
        <v>42273</v>
      </c>
      <c r="H2166" t="s">
        <v>15523</v>
      </c>
      <c r="I2166" t="s">
        <v>16180</v>
      </c>
      <c r="K2166" t="e">
        <v>#N/A</v>
      </c>
      <c r="S2166" s="3"/>
    </row>
    <row r="2167" spans="1:19" x14ac:dyDescent="0.25">
      <c r="A2167" t="s">
        <v>6398</v>
      </c>
      <c r="B2167" t="s">
        <v>6399</v>
      </c>
      <c r="C2167" t="s">
        <v>16179</v>
      </c>
      <c r="D2167" t="s">
        <v>666</v>
      </c>
      <c r="E2167">
        <v>5513</v>
      </c>
      <c r="F2167" s="3">
        <v>42273</v>
      </c>
      <c r="H2167" t="s">
        <v>15523</v>
      </c>
      <c r="I2167" t="s">
        <v>16180</v>
      </c>
      <c r="K2167" t="e">
        <v>#N/A</v>
      </c>
      <c r="S2167" s="3"/>
    </row>
    <row r="2168" spans="1:19" x14ac:dyDescent="0.25">
      <c r="A2168" t="s">
        <v>6400</v>
      </c>
      <c r="B2168" t="s">
        <v>6401</v>
      </c>
      <c r="C2168" t="s">
        <v>16179</v>
      </c>
      <c r="D2168" t="s">
        <v>666</v>
      </c>
      <c r="E2168">
        <v>5514</v>
      </c>
      <c r="F2168" s="3">
        <v>42273</v>
      </c>
      <c r="H2168" t="s">
        <v>15523</v>
      </c>
      <c r="I2168" t="s">
        <v>16180</v>
      </c>
      <c r="K2168" t="e">
        <v>#N/A</v>
      </c>
      <c r="S2168" s="3"/>
    </row>
    <row r="2169" spans="1:19" x14ac:dyDescent="0.25">
      <c r="A2169" t="s">
        <v>6402</v>
      </c>
      <c r="B2169" t="s">
        <v>6403</v>
      </c>
      <c r="C2169" t="s">
        <v>16179</v>
      </c>
      <c r="D2169" t="s">
        <v>666</v>
      </c>
      <c r="E2169">
        <v>5515</v>
      </c>
      <c r="F2169" s="3">
        <v>42273</v>
      </c>
      <c r="H2169" t="s">
        <v>15523</v>
      </c>
      <c r="I2169" t="s">
        <v>16180</v>
      </c>
      <c r="K2169" t="e">
        <v>#N/A</v>
      </c>
      <c r="S2169" s="3"/>
    </row>
    <row r="2170" spans="1:19" x14ac:dyDescent="0.25">
      <c r="A2170" t="s">
        <v>6405</v>
      </c>
      <c r="B2170" t="s">
        <v>6406</v>
      </c>
      <c r="C2170" t="s">
        <v>16179</v>
      </c>
      <c r="D2170" t="s">
        <v>666</v>
      </c>
      <c r="E2170">
        <v>1319</v>
      </c>
      <c r="F2170" s="3">
        <v>42357</v>
      </c>
      <c r="H2170" t="s">
        <v>15523</v>
      </c>
      <c r="I2170" t="s">
        <v>16180</v>
      </c>
      <c r="K2170" t="e">
        <v>#N/A</v>
      </c>
      <c r="S2170" s="3"/>
    </row>
    <row r="2171" spans="1:19" x14ac:dyDescent="0.25">
      <c r="A2171" t="s">
        <v>6407</v>
      </c>
      <c r="B2171" t="s">
        <v>6408</v>
      </c>
      <c r="C2171" t="s">
        <v>6409</v>
      </c>
      <c r="D2171" t="s">
        <v>23</v>
      </c>
      <c r="E2171">
        <v>4328</v>
      </c>
      <c r="F2171" s="3">
        <v>40702</v>
      </c>
      <c r="H2171" t="s">
        <v>15523</v>
      </c>
      <c r="I2171" t="s">
        <v>17060</v>
      </c>
      <c r="K2171" t="e">
        <v>#N/A</v>
      </c>
      <c r="S2171" s="3"/>
    </row>
    <row r="2172" spans="1:19" x14ac:dyDescent="0.25">
      <c r="A2172" t="s">
        <v>6410</v>
      </c>
      <c r="B2172" t="s">
        <v>6411</v>
      </c>
      <c r="C2172" t="s">
        <v>16179</v>
      </c>
      <c r="D2172" t="s">
        <v>47</v>
      </c>
      <c r="E2172">
        <v>4067</v>
      </c>
      <c r="F2172" s="3">
        <v>40702</v>
      </c>
      <c r="H2172" t="s">
        <v>15523</v>
      </c>
      <c r="I2172" t="s">
        <v>16180</v>
      </c>
      <c r="K2172" t="e">
        <v>#N/A</v>
      </c>
      <c r="S2172" s="3"/>
    </row>
    <row r="2173" spans="1:19" x14ac:dyDescent="0.25">
      <c r="A2173" t="s">
        <v>6412</v>
      </c>
      <c r="B2173" t="s">
        <v>6413</v>
      </c>
      <c r="C2173" t="s">
        <v>16179</v>
      </c>
      <c r="D2173" t="s">
        <v>47</v>
      </c>
      <c r="E2173">
        <v>4070</v>
      </c>
      <c r="F2173" s="3">
        <v>40702</v>
      </c>
      <c r="H2173" t="s">
        <v>15523</v>
      </c>
      <c r="I2173" t="s">
        <v>16180</v>
      </c>
      <c r="K2173" t="e">
        <v>#N/A</v>
      </c>
      <c r="S2173" s="3"/>
    </row>
    <row r="2174" spans="1:19" x14ac:dyDescent="0.25">
      <c r="A2174" t="s">
        <v>6414</v>
      </c>
      <c r="B2174" t="s">
        <v>6415</v>
      </c>
      <c r="C2174" t="s">
        <v>16179</v>
      </c>
      <c r="D2174" t="s">
        <v>47</v>
      </c>
      <c r="E2174">
        <v>4084</v>
      </c>
      <c r="F2174" s="3">
        <v>40702</v>
      </c>
      <c r="H2174" t="s">
        <v>15523</v>
      </c>
      <c r="I2174" t="s">
        <v>16180</v>
      </c>
      <c r="K2174" t="e">
        <v>#N/A</v>
      </c>
      <c r="S2174" s="3"/>
    </row>
    <row r="2175" spans="1:19" x14ac:dyDescent="0.25">
      <c r="A2175" t="s">
        <v>6416</v>
      </c>
      <c r="B2175" t="s">
        <v>6417</v>
      </c>
      <c r="C2175" t="s">
        <v>16179</v>
      </c>
      <c r="D2175" t="s">
        <v>47</v>
      </c>
      <c r="E2175">
        <v>4086</v>
      </c>
      <c r="F2175" s="3">
        <v>40702</v>
      </c>
      <c r="H2175" t="s">
        <v>15523</v>
      </c>
      <c r="I2175" t="s">
        <v>16180</v>
      </c>
      <c r="K2175" t="e">
        <v>#N/A</v>
      </c>
      <c r="S2175" s="3"/>
    </row>
    <row r="2176" spans="1:19" x14ac:dyDescent="0.25">
      <c r="A2176" t="s">
        <v>6418</v>
      </c>
      <c r="B2176" t="s">
        <v>6419</v>
      </c>
      <c r="C2176" t="s">
        <v>16179</v>
      </c>
      <c r="D2176" t="s">
        <v>2820</v>
      </c>
      <c r="E2176">
        <v>5720</v>
      </c>
      <c r="F2176" s="3">
        <v>42707</v>
      </c>
      <c r="H2176" t="s">
        <v>15523</v>
      </c>
      <c r="I2176" t="s">
        <v>16180</v>
      </c>
      <c r="K2176" t="e">
        <v>#N/A</v>
      </c>
      <c r="S2176" s="3"/>
    </row>
    <row r="2177" spans="1:19" x14ac:dyDescent="0.25">
      <c r="A2177" t="s">
        <v>6420</v>
      </c>
      <c r="B2177" t="s">
        <v>6421</v>
      </c>
      <c r="C2177" t="s">
        <v>16179</v>
      </c>
      <c r="D2177" t="s">
        <v>2820</v>
      </c>
      <c r="E2177">
        <v>5867</v>
      </c>
      <c r="F2177" s="3">
        <v>43078</v>
      </c>
      <c r="H2177" t="s">
        <v>15523</v>
      </c>
      <c r="I2177" t="s">
        <v>16180</v>
      </c>
      <c r="K2177" t="e">
        <v>#N/A</v>
      </c>
      <c r="S2177" s="3"/>
    </row>
    <row r="2178" spans="1:19" x14ac:dyDescent="0.25">
      <c r="A2178" t="s">
        <v>6422</v>
      </c>
      <c r="B2178" t="s">
        <v>6423</v>
      </c>
      <c r="C2178" t="s">
        <v>16179</v>
      </c>
      <c r="D2178" t="s">
        <v>2820</v>
      </c>
      <c r="E2178">
        <v>5868</v>
      </c>
      <c r="F2178" s="3">
        <v>43078</v>
      </c>
      <c r="H2178" t="s">
        <v>15523</v>
      </c>
      <c r="I2178" t="s">
        <v>16180</v>
      </c>
      <c r="K2178" t="e">
        <v>#N/A</v>
      </c>
      <c r="S2178" s="3"/>
    </row>
    <row r="2179" spans="1:19" x14ac:dyDescent="0.25">
      <c r="A2179" t="s">
        <v>6424</v>
      </c>
      <c r="B2179" t="s">
        <v>6425</v>
      </c>
      <c r="C2179" t="s">
        <v>6426</v>
      </c>
      <c r="D2179" t="s">
        <v>23</v>
      </c>
      <c r="E2179">
        <v>4295</v>
      </c>
      <c r="F2179" s="3">
        <v>40702</v>
      </c>
      <c r="H2179" t="s">
        <v>15523</v>
      </c>
      <c r="I2179" t="s">
        <v>17061</v>
      </c>
      <c r="K2179" t="e">
        <v>#N/A</v>
      </c>
      <c r="S2179" s="3"/>
    </row>
    <row r="2180" spans="1:19" x14ac:dyDescent="0.25">
      <c r="A2180" t="s">
        <v>6427</v>
      </c>
      <c r="B2180" t="s">
        <v>6428</v>
      </c>
      <c r="C2180" t="s">
        <v>6429</v>
      </c>
      <c r="D2180" t="s">
        <v>23</v>
      </c>
      <c r="E2180">
        <v>4296</v>
      </c>
      <c r="F2180" s="3">
        <v>40702</v>
      </c>
      <c r="H2180" t="s">
        <v>15523</v>
      </c>
      <c r="I2180" t="s">
        <v>17062</v>
      </c>
      <c r="K2180" t="e">
        <v>#N/A</v>
      </c>
      <c r="S2180" s="3"/>
    </row>
    <row r="2181" spans="1:19" x14ac:dyDescent="0.25">
      <c r="A2181" t="s">
        <v>6430</v>
      </c>
      <c r="B2181" t="s">
        <v>6431</v>
      </c>
      <c r="C2181" t="s">
        <v>6432</v>
      </c>
      <c r="D2181" t="s">
        <v>23</v>
      </c>
      <c r="E2181">
        <v>4297</v>
      </c>
      <c r="F2181" s="3">
        <v>40702</v>
      </c>
      <c r="H2181" t="s">
        <v>15523</v>
      </c>
      <c r="I2181" t="s">
        <v>17063</v>
      </c>
      <c r="K2181" t="e">
        <v>#N/A</v>
      </c>
      <c r="S2181" s="3"/>
    </row>
    <row r="2182" spans="1:19" x14ac:dyDescent="0.25">
      <c r="A2182" t="s">
        <v>6433</v>
      </c>
      <c r="B2182" t="s">
        <v>6434</v>
      </c>
      <c r="C2182" t="s">
        <v>6435</v>
      </c>
      <c r="D2182" t="s">
        <v>23</v>
      </c>
      <c r="E2182">
        <v>2498</v>
      </c>
      <c r="F2182" s="3">
        <v>40702</v>
      </c>
      <c r="H2182" t="s">
        <v>15523</v>
      </c>
      <c r="I2182" t="s">
        <v>17064</v>
      </c>
      <c r="K2182" t="e">
        <v>#N/A</v>
      </c>
      <c r="S2182" s="3"/>
    </row>
    <row r="2183" spans="1:19" x14ac:dyDescent="0.25">
      <c r="A2183" t="s">
        <v>6436</v>
      </c>
      <c r="B2183" t="s">
        <v>6437</v>
      </c>
      <c r="C2183" t="s">
        <v>6438</v>
      </c>
      <c r="D2183" t="s">
        <v>23</v>
      </c>
      <c r="E2183">
        <v>4300</v>
      </c>
      <c r="F2183" s="3">
        <v>40702</v>
      </c>
      <c r="H2183" t="s">
        <v>15523</v>
      </c>
      <c r="I2183" t="s">
        <v>17065</v>
      </c>
      <c r="K2183" t="e">
        <v>#N/A</v>
      </c>
      <c r="S2183" s="3"/>
    </row>
    <row r="2184" spans="1:19" x14ac:dyDescent="0.25">
      <c r="A2184" t="s">
        <v>6439</v>
      </c>
      <c r="B2184" t="s">
        <v>6440</v>
      </c>
      <c r="C2184" t="s">
        <v>6441</v>
      </c>
      <c r="D2184" t="s">
        <v>23</v>
      </c>
      <c r="E2184">
        <v>1343</v>
      </c>
      <c r="F2184" s="3">
        <v>40702</v>
      </c>
      <c r="H2184" t="s">
        <v>15523</v>
      </c>
      <c r="I2184" t="s">
        <v>17066</v>
      </c>
      <c r="K2184" t="e">
        <v>#N/A</v>
      </c>
      <c r="S2184" s="3"/>
    </row>
    <row r="2185" spans="1:19" x14ac:dyDescent="0.25">
      <c r="A2185" t="s">
        <v>6442</v>
      </c>
      <c r="B2185" t="s">
        <v>6443</v>
      </c>
      <c r="C2185" t="s">
        <v>6444</v>
      </c>
      <c r="D2185" t="s">
        <v>23</v>
      </c>
      <c r="E2185">
        <v>4301</v>
      </c>
      <c r="F2185" s="3">
        <v>40702</v>
      </c>
      <c r="H2185" t="s">
        <v>15523</v>
      </c>
      <c r="I2185" t="s">
        <v>17067</v>
      </c>
      <c r="K2185" t="e">
        <v>#N/A</v>
      </c>
      <c r="S2185" s="3"/>
    </row>
    <row r="2186" spans="1:19" x14ac:dyDescent="0.25">
      <c r="A2186" t="s">
        <v>6445</v>
      </c>
      <c r="B2186" t="s">
        <v>6446</v>
      </c>
      <c r="C2186" t="s">
        <v>6447</v>
      </c>
      <c r="D2186" t="s">
        <v>23</v>
      </c>
      <c r="E2186">
        <v>5975</v>
      </c>
      <c r="F2186" s="3">
        <v>43375</v>
      </c>
      <c r="H2186" t="s">
        <v>15523</v>
      </c>
      <c r="I2186" t="s">
        <v>17068</v>
      </c>
      <c r="K2186" t="e">
        <v>#N/A</v>
      </c>
      <c r="S2186" s="3"/>
    </row>
    <row r="2187" spans="1:19" x14ac:dyDescent="0.25">
      <c r="A2187" t="s">
        <v>6448</v>
      </c>
      <c r="B2187" t="s">
        <v>6449</v>
      </c>
      <c r="C2187" t="s">
        <v>6450</v>
      </c>
      <c r="D2187" t="s">
        <v>23</v>
      </c>
      <c r="E2187">
        <v>4303</v>
      </c>
      <c r="F2187" s="3">
        <v>40702</v>
      </c>
      <c r="H2187" t="s">
        <v>15523</v>
      </c>
      <c r="I2187" t="s">
        <v>17069</v>
      </c>
      <c r="K2187" t="e">
        <v>#N/A</v>
      </c>
      <c r="S2187" s="3"/>
    </row>
    <row r="2188" spans="1:19" x14ac:dyDescent="0.25">
      <c r="A2188" t="s">
        <v>6451</v>
      </c>
      <c r="B2188" t="s">
        <v>6452</v>
      </c>
      <c r="C2188" t="s">
        <v>6453</v>
      </c>
      <c r="D2188" t="s">
        <v>23</v>
      </c>
      <c r="E2188">
        <v>5013</v>
      </c>
      <c r="F2188" s="3">
        <v>41660</v>
      </c>
      <c r="H2188" t="s">
        <v>15523</v>
      </c>
      <c r="I2188" t="s">
        <v>17070</v>
      </c>
      <c r="K2188" t="e">
        <v>#N/A</v>
      </c>
      <c r="S2188" s="3"/>
    </row>
    <row r="2189" spans="1:19" x14ac:dyDescent="0.25">
      <c r="A2189" t="s">
        <v>6454</v>
      </c>
      <c r="B2189" t="s">
        <v>6455</v>
      </c>
      <c r="C2189" t="s">
        <v>6456</v>
      </c>
      <c r="D2189" t="s">
        <v>23</v>
      </c>
      <c r="E2189">
        <v>4304</v>
      </c>
      <c r="F2189" s="3">
        <v>40702</v>
      </c>
      <c r="H2189" t="s">
        <v>15523</v>
      </c>
      <c r="I2189" t="s">
        <v>17071</v>
      </c>
      <c r="K2189" t="e">
        <v>#N/A</v>
      </c>
      <c r="S2189" s="3"/>
    </row>
    <row r="2190" spans="1:19" x14ac:dyDescent="0.25">
      <c r="A2190" t="s">
        <v>6457</v>
      </c>
      <c r="B2190" t="s">
        <v>6458</v>
      </c>
      <c r="C2190" t="s">
        <v>6459</v>
      </c>
      <c r="D2190" t="s">
        <v>23</v>
      </c>
      <c r="E2190">
        <v>4305</v>
      </c>
      <c r="F2190" s="3">
        <v>40702</v>
      </c>
      <c r="H2190" t="s">
        <v>15523</v>
      </c>
      <c r="I2190" t="s">
        <v>17072</v>
      </c>
      <c r="K2190" t="e">
        <v>#N/A</v>
      </c>
      <c r="S2190" s="3"/>
    </row>
    <row r="2191" spans="1:19" x14ac:dyDescent="0.25">
      <c r="A2191" t="s">
        <v>6460</v>
      </c>
      <c r="B2191" t="s">
        <v>6461</v>
      </c>
      <c r="C2191" t="s">
        <v>6462</v>
      </c>
      <c r="D2191" t="s">
        <v>23</v>
      </c>
      <c r="E2191">
        <v>4313</v>
      </c>
      <c r="F2191" s="3">
        <v>40702</v>
      </c>
      <c r="H2191" t="s">
        <v>15523</v>
      </c>
      <c r="I2191" t="s">
        <v>17073</v>
      </c>
      <c r="K2191" t="e">
        <v>#N/A</v>
      </c>
      <c r="S2191" s="3"/>
    </row>
    <row r="2192" spans="1:19" x14ac:dyDescent="0.25">
      <c r="A2192" t="s">
        <v>486</v>
      </c>
      <c r="B2192" t="s">
        <v>488</v>
      </c>
      <c r="C2192" s="3">
        <v>2023537</v>
      </c>
      <c r="D2192" t="s">
        <v>23</v>
      </c>
      <c r="E2192">
        <v>4322</v>
      </c>
      <c r="F2192" s="3">
        <v>40915</v>
      </c>
      <c r="H2192" t="s">
        <v>15523</v>
      </c>
      <c r="I2192" t="s">
        <v>17074</v>
      </c>
      <c r="K2192">
        <v>128</v>
      </c>
      <c r="P2192" s="3"/>
      <c r="S2192" s="3"/>
    </row>
    <row r="2193" spans="1:19" x14ac:dyDescent="0.25">
      <c r="A2193" t="s">
        <v>6463</v>
      </c>
      <c r="B2193" t="s">
        <v>6464</v>
      </c>
      <c r="C2193" t="s">
        <v>6465</v>
      </c>
      <c r="D2193" t="s">
        <v>23</v>
      </c>
      <c r="E2193">
        <v>4323</v>
      </c>
      <c r="F2193" s="3">
        <v>40702</v>
      </c>
      <c r="H2193" t="s">
        <v>15523</v>
      </c>
      <c r="I2193" t="s">
        <v>17075</v>
      </c>
      <c r="K2193" t="e">
        <v>#N/A</v>
      </c>
      <c r="S2193" s="3"/>
    </row>
    <row r="2194" spans="1:19" x14ac:dyDescent="0.25">
      <c r="A2194" t="s">
        <v>6466</v>
      </c>
      <c r="B2194" t="s">
        <v>6467</v>
      </c>
      <c r="C2194" t="s">
        <v>6468</v>
      </c>
      <c r="D2194" t="s">
        <v>23</v>
      </c>
      <c r="E2194">
        <v>4325</v>
      </c>
      <c r="F2194" s="3">
        <v>40702</v>
      </c>
      <c r="H2194" t="s">
        <v>15523</v>
      </c>
      <c r="I2194" t="s">
        <v>17076</v>
      </c>
      <c r="K2194" t="e">
        <v>#N/A</v>
      </c>
      <c r="S2194" s="3"/>
    </row>
    <row r="2195" spans="1:19" x14ac:dyDescent="0.25">
      <c r="A2195" t="s">
        <v>6469</v>
      </c>
      <c r="B2195" t="s">
        <v>6470</v>
      </c>
      <c r="C2195" t="s">
        <v>6471</v>
      </c>
      <c r="D2195" t="s">
        <v>23</v>
      </c>
      <c r="E2195">
        <v>6068</v>
      </c>
      <c r="F2195" s="3">
        <v>43802</v>
      </c>
      <c r="H2195" t="s">
        <v>15523</v>
      </c>
      <c r="I2195" t="s">
        <v>17077</v>
      </c>
      <c r="K2195" t="e">
        <v>#N/A</v>
      </c>
      <c r="S2195" s="3"/>
    </row>
    <row r="2196" spans="1:19" x14ac:dyDescent="0.25">
      <c r="A2196" t="s">
        <v>6472</v>
      </c>
      <c r="B2196" t="s">
        <v>6473</v>
      </c>
      <c r="C2196" t="s">
        <v>6474</v>
      </c>
      <c r="D2196" t="s">
        <v>23</v>
      </c>
      <c r="E2196">
        <v>4335</v>
      </c>
      <c r="F2196" s="3">
        <v>40702</v>
      </c>
      <c r="H2196" t="s">
        <v>15523</v>
      </c>
      <c r="I2196" t="s">
        <v>17078</v>
      </c>
      <c r="K2196" t="e">
        <v>#N/A</v>
      </c>
      <c r="S2196" s="3"/>
    </row>
    <row r="2197" spans="1:19" x14ac:dyDescent="0.25">
      <c r="A2197" t="s">
        <v>6475</v>
      </c>
      <c r="B2197" t="s">
        <v>6476</v>
      </c>
      <c r="C2197" t="s">
        <v>6477</v>
      </c>
      <c r="D2197" t="s">
        <v>23</v>
      </c>
      <c r="E2197">
        <v>5124</v>
      </c>
      <c r="F2197" s="3">
        <v>41788</v>
      </c>
      <c r="H2197" t="s">
        <v>15523</v>
      </c>
      <c r="I2197" t="s">
        <v>17079</v>
      </c>
      <c r="K2197" t="e">
        <v>#N/A</v>
      </c>
      <c r="S2197" s="3"/>
    </row>
    <row r="2198" spans="1:19" x14ac:dyDescent="0.25">
      <c r="A2198" t="s">
        <v>6478</v>
      </c>
      <c r="B2198" t="s">
        <v>6479</v>
      </c>
      <c r="C2198" t="s">
        <v>6480</v>
      </c>
      <c r="D2198" t="s">
        <v>23</v>
      </c>
      <c r="E2198">
        <v>4336</v>
      </c>
      <c r="F2198" s="3">
        <v>40702</v>
      </c>
      <c r="H2198" t="s">
        <v>15523</v>
      </c>
      <c r="I2198" t="s">
        <v>17080</v>
      </c>
      <c r="K2198" t="e">
        <v>#N/A</v>
      </c>
      <c r="S2198" s="3"/>
    </row>
    <row r="2199" spans="1:19" x14ac:dyDescent="0.25">
      <c r="A2199" t="s">
        <v>6481</v>
      </c>
      <c r="B2199" t="s">
        <v>6482</v>
      </c>
      <c r="C2199" t="s">
        <v>6483</v>
      </c>
      <c r="D2199" t="s">
        <v>23</v>
      </c>
      <c r="E2199">
        <v>4334</v>
      </c>
      <c r="F2199" s="3">
        <v>40702</v>
      </c>
      <c r="H2199" t="s">
        <v>15523</v>
      </c>
      <c r="I2199" t="s">
        <v>17081</v>
      </c>
      <c r="K2199" t="e">
        <v>#N/A</v>
      </c>
      <c r="S2199" s="3"/>
    </row>
    <row r="2200" spans="1:19" x14ac:dyDescent="0.25">
      <c r="A2200" t="s">
        <v>6484</v>
      </c>
      <c r="B2200" t="s">
        <v>6485</v>
      </c>
      <c r="C2200" t="s">
        <v>6486</v>
      </c>
      <c r="D2200" t="s">
        <v>23</v>
      </c>
      <c r="E2200">
        <v>6033</v>
      </c>
      <c r="F2200" s="3">
        <v>43596</v>
      </c>
      <c r="H2200" t="s">
        <v>15523</v>
      </c>
      <c r="I2200" t="s">
        <v>17082</v>
      </c>
      <c r="K2200" t="e">
        <v>#N/A</v>
      </c>
      <c r="S2200" s="3"/>
    </row>
    <row r="2201" spans="1:19" x14ac:dyDescent="0.25">
      <c r="A2201" t="s">
        <v>6487</v>
      </c>
      <c r="B2201" t="s">
        <v>6488</v>
      </c>
      <c r="C2201" t="s">
        <v>6489</v>
      </c>
      <c r="D2201" t="s">
        <v>23</v>
      </c>
      <c r="E2201">
        <v>5303</v>
      </c>
      <c r="F2201" s="3">
        <v>42133</v>
      </c>
      <c r="H2201" t="s">
        <v>15523</v>
      </c>
      <c r="I2201" t="s">
        <v>17083</v>
      </c>
      <c r="K2201" t="e">
        <v>#N/A</v>
      </c>
      <c r="S2201" s="3"/>
    </row>
    <row r="2202" spans="1:19" x14ac:dyDescent="0.25">
      <c r="A2202" t="s">
        <v>6490</v>
      </c>
      <c r="B2202" t="s">
        <v>6491</v>
      </c>
      <c r="C2202" t="s">
        <v>6492</v>
      </c>
      <c r="D2202" t="s">
        <v>23</v>
      </c>
      <c r="E2202">
        <v>6060</v>
      </c>
      <c r="F2202" s="3">
        <v>43781</v>
      </c>
      <c r="H2202" t="s">
        <v>15523</v>
      </c>
      <c r="I2202" t="s">
        <v>17084</v>
      </c>
      <c r="K2202" t="e">
        <v>#N/A</v>
      </c>
      <c r="S2202" s="3"/>
    </row>
    <row r="2203" spans="1:19" x14ac:dyDescent="0.25">
      <c r="A2203" t="s">
        <v>6493</v>
      </c>
      <c r="B2203" t="s">
        <v>6494</v>
      </c>
      <c r="C2203" t="s">
        <v>6495</v>
      </c>
      <c r="D2203" t="s">
        <v>23</v>
      </c>
      <c r="E2203">
        <v>796</v>
      </c>
      <c r="F2203" s="3">
        <v>40856</v>
      </c>
      <c r="H2203" t="s">
        <v>15523</v>
      </c>
      <c r="I2203" t="s">
        <v>17085</v>
      </c>
      <c r="K2203" t="e">
        <v>#N/A</v>
      </c>
      <c r="S2203" s="3"/>
    </row>
    <row r="2204" spans="1:19" x14ac:dyDescent="0.25">
      <c r="A2204" t="s">
        <v>6496</v>
      </c>
      <c r="B2204" t="s">
        <v>6497</v>
      </c>
      <c r="C2204" t="s">
        <v>6498</v>
      </c>
      <c r="D2204" t="s">
        <v>23</v>
      </c>
      <c r="E2204">
        <v>4356</v>
      </c>
      <c r="F2204" s="3">
        <v>40702</v>
      </c>
      <c r="H2204" t="s">
        <v>15523</v>
      </c>
      <c r="I2204" t="s">
        <v>17086</v>
      </c>
      <c r="K2204" t="e">
        <v>#N/A</v>
      </c>
      <c r="S2204" s="3"/>
    </row>
    <row r="2205" spans="1:19" x14ac:dyDescent="0.25">
      <c r="A2205" t="s">
        <v>6499</v>
      </c>
      <c r="B2205" t="s">
        <v>6500</v>
      </c>
      <c r="C2205" t="s">
        <v>6501</v>
      </c>
      <c r="D2205" t="s">
        <v>23</v>
      </c>
      <c r="E2205">
        <v>4357</v>
      </c>
      <c r="F2205" s="3">
        <v>40702</v>
      </c>
      <c r="H2205" t="s">
        <v>15523</v>
      </c>
      <c r="I2205" t="s">
        <v>17087</v>
      </c>
      <c r="K2205" t="e">
        <v>#N/A</v>
      </c>
      <c r="S2205" s="3"/>
    </row>
    <row r="2206" spans="1:19" x14ac:dyDescent="0.25">
      <c r="A2206" t="s">
        <v>6502</v>
      </c>
      <c r="B2206" t="s">
        <v>6503</v>
      </c>
      <c r="C2206" t="s">
        <v>6504</v>
      </c>
      <c r="D2206" t="s">
        <v>23</v>
      </c>
      <c r="E2206">
        <v>4358</v>
      </c>
      <c r="F2206" s="3">
        <v>40702</v>
      </c>
      <c r="H2206" t="s">
        <v>15523</v>
      </c>
      <c r="I2206" t="s">
        <v>17088</v>
      </c>
      <c r="K2206" t="e">
        <v>#N/A</v>
      </c>
      <c r="S2206" s="3"/>
    </row>
    <row r="2207" spans="1:19" x14ac:dyDescent="0.25">
      <c r="A2207" t="s">
        <v>6505</v>
      </c>
      <c r="B2207" t="s">
        <v>6506</v>
      </c>
      <c r="C2207" t="s">
        <v>6507</v>
      </c>
      <c r="D2207" t="s">
        <v>23</v>
      </c>
      <c r="E2207">
        <v>4359</v>
      </c>
      <c r="F2207" s="3">
        <v>40702</v>
      </c>
      <c r="H2207" t="s">
        <v>15523</v>
      </c>
      <c r="I2207" t="s">
        <v>17089</v>
      </c>
      <c r="K2207" t="e">
        <v>#N/A</v>
      </c>
      <c r="S2207" s="3"/>
    </row>
    <row r="2208" spans="1:19" x14ac:dyDescent="0.25">
      <c r="A2208" t="s">
        <v>6508</v>
      </c>
      <c r="B2208" t="s">
        <v>6509</v>
      </c>
      <c r="C2208" t="s">
        <v>6510</v>
      </c>
      <c r="D2208" t="s">
        <v>23</v>
      </c>
      <c r="E2208">
        <v>4360</v>
      </c>
      <c r="F2208" s="3">
        <v>40702</v>
      </c>
      <c r="H2208" t="s">
        <v>15523</v>
      </c>
      <c r="I2208" t="s">
        <v>17090</v>
      </c>
      <c r="K2208" t="e">
        <v>#N/A</v>
      </c>
      <c r="S2208" s="3"/>
    </row>
    <row r="2209" spans="1:19" x14ac:dyDescent="0.25">
      <c r="A2209" t="s">
        <v>6511</v>
      </c>
      <c r="B2209" t="s">
        <v>6512</v>
      </c>
      <c r="C2209" t="s">
        <v>6513</v>
      </c>
      <c r="D2209" t="s">
        <v>23</v>
      </c>
      <c r="E2209">
        <v>4361</v>
      </c>
      <c r="F2209" s="3">
        <v>40702</v>
      </c>
      <c r="H2209" t="s">
        <v>15523</v>
      </c>
      <c r="I2209" t="s">
        <v>17091</v>
      </c>
      <c r="K2209" t="e">
        <v>#N/A</v>
      </c>
      <c r="S2209" s="3"/>
    </row>
    <row r="2210" spans="1:19" x14ac:dyDescent="0.25">
      <c r="A2210" t="s">
        <v>6514</v>
      </c>
      <c r="B2210" t="s">
        <v>6515</v>
      </c>
      <c r="C2210" t="s">
        <v>6516</v>
      </c>
      <c r="D2210" t="s">
        <v>23</v>
      </c>
      <c r="E2210">
        <v>2323</v>
      </c>
      <c r="F2210" s="3">
        <v>40702</v>
      </c>
      <c r="H2210" t="s">
        <v>15523</v>
      </c>
      <c r="I2210" t="s">
        <v>17092</v>
      </c>
      <c r="K2210" t="e">
        <v>#N/A</v>
      </c>
      <c r="S2210" s="3"/>
    </row>
    <row r="2211" spans="1:19" x14ac:dyDescent="0.25">
      <c r="A2211" t="s">
        <v>6517</v>
      </c>
      <c r="B2211" t="s">
        <v>6518</v>
      </c>
      <c r="C2211" t="s">
        <v>6519</v>
      </c>
      <c r="D2211" t="s">
        <v>23</v>
      </c>
      <c r="E2211">
        <v>4362</v>
      </c>
      <c r="F2211" s="3">
        <v>40702</v>
      </c>
      <c r="H2211" t="s">
        <v>15523</v>
      </c>
      <c r="I2211" t="s">
        <v>17093</v>
      </c>
      <c r="K2211" t="e">
        <v>#N/A</v>
      </c>
      <c r="S2211" s="3"/>
    </row>
    <row r="2212" spans="1:19" x14ac:dyDescent="0.25">
      <c r="A2212" t="s">
        <v>6520</v>
      </c>
      <c r="B2212" t="s">
        <v>6521</v>
      </c>
      <c r="C2212" t="s">
        <v>6522</v>
      </c>
      <c r="D2212" t="s">
        <v>23</v>
      </c>
      <c r="E2212">
        <v>2321</v>
      </c>
      <c r="F2212" s="3">
        <v>40702</v>
      </c>
      <c r="H2212" t="s">
        <v>15523</v>
      </c>
      <c r="I2212" t="s">
        <v>17094</v>
      </c>
      <c r="K2212" t="e">
        <v>#N/A</v>
      </c>
      <c r="S2212" s="3"/>
    </row>
    <row r="2213" spans="1:19" x14ac:dyDescent="0.25">
      <c r="A2213" t="s">
        <v>6523</v>
      </c>
      <c r="B2213" t="s">
        <v>6524</v>
      </c>
      <c r="C2213" t="s">
        <v>6525</v>
      </c>
      <c r="D2213" t="s">
        <v>23</v>
      </c>
      <c r="E2213">
        <v>2318</v>
      </c>
      <c r="F2213" s="3">
        <v>40702</v>
      </c>
      <c r="H2213" t="s">
        <v>15523</v>
      </c>
      <c r="I2213" t="s">
        <v>17095</v>
      </c>
      <c r="K2213" t="e">
        <v>#N/A</v>
      </c>
      <c r="S2213" s="3"/>
    </row>
    <row r="2214" spans="1:19" x14ac:dyDescent="0.25">
      <c r="A2214" t="s">
        <v>6526</v>
      </c>
      <c r="B2214" t="s">
        <v>6527</v>
      </c>
      <c r="C2214" t="s">
        <v>6528</v>
      </c>
      <c r="D2214" t="s">
        <v>23</v>
      </c>
      <c r="E2214">
        <v>2322</v>
      </c>
      <c r="F2214" s="3">
        <v>40702</v>
      </c>
      <c r="H2214" t="s">
        <v>15523</v>
      </c>
      <c r="I2214" t="s">
        <v>17096</v>
      </c>
      <c r="K2214" t="e">
        <v>#N/A</v>
      </c>
      <c r="S2214" s="3"/>
    </row>
    <row r="2215" spans="1:19" x14ac:dyDescent="0.25">
      <c r="A2215" t="s">
        <v>6529</v>
      </c>
      <c r="B2215" t="s">
        <v>6530</v>
      </c>
      <c r="C2215" t="s">
        <v>6531</v>
      </c>
      <c r="D2215" t="s">
        <v>23</v>
      </c>
      <c r="E2215">
        <v>5532</v>
      </c>
      <c r="F2215" s="3">
        <v>42350</v>
      </c>
      <c r="H2215" t="s">
        <v>15523</v>
      </c>
      <c r="I2215" t="s">
        <v>17097</v>
      </c>
      <c r="K2215" t="e">
        <v>#N/A</v>
      </c>
      <c r="S2215" s="3"/>
    </row>
    <row r="2216" spans="1:19" x14ac:dyDescent="0.25">
      <c r="A2216" t="s">
        <v>6532</v>
      </c>
      <c r="B2216" t="s">
        <v>6533</v>
      </c>
      <c r="C2216" t="s">
        <v>6534</v>
      </c>
      <c r="D2216" t="s">
        <v>23</v>
      </c>
      <c r="E2216">
        <v>2523</v>
      </c>
      <c r="F2216" s="3">
        <v>40782</v>
      </c>
      <c r="H2216" t="s">
        <v>15523</v>
      </c>
      <c r="I2216" t="s">
        <v>17098</v>
      </c>
      <c r="K2216" t="e">
        <v>#N/A</v>
      </c>
      <c r="S2216" s="3"/>
    </row>
    <row r="2217" spans="1:19" x14ac:dyDescent="0.25">
      <c r="A2217" t="s">
        <v>6535</v>
      </c>
      <c r="B2217" t="s">
        <v>6536</v>
      </c>
      <c r="C2217" t="s">
        <v>6537</v>
      </c>
      <c r="D2217" t="s">
        <v>23</v>
      </c>
      <c r="E2217">
        <v>4364</v>
      </c>
      <c r="F2217" s="3">
        <v>40702</v>
      </c>
      <c r="H2217" t="s">
        <v>15523</v>
      </c>
      <c r="I2217" t="s">
        <v>17099</v>
      </c>
      <c r="K2217" t="e">
        <v>#N/A</v>
      </c>
      <c r="S2217" s="3"/>
    </row>
    <row r="2218" spans="1:19" x14ac:dyDescent="0.25">
      <c r="A2218" t="s">
        <v>6538</v>
      </c>
      <c r="B2218" t="s">
        <v>6539</v>
      </c>
      <c r="C2218" t="s">
        <v>6540</v>
      </c>
      <c r="D2218" t="s">
        <v>23</v>
      </c>
      <c r="E2218">
        <v>2530</v>
      </c>
      <c r="F2218" s="3">
        <v>40702</v>
      </c>
      <c r="H2218" t="s">
        <v>15523</v>
      </c>
      <c r="I2218" t="s">
        <v>17100</v>
      </c>
      <c r="K2218" t="e">
        <v>#N/A</v>
      </c>
      <c r="S2218" s="3"/>
    </row>
    <row r="2219" spans="1:19" x14ac:dyDescent="0.25">
      <c r="A2219" t="s">
        <v>6541</v>
      </c>
      <c r="B2219" t="s">
        <v>6542</v>
      </c>
      <c r="C2219" t="s">
        <v>6543</v>
      </c>
      <c r="D2219" t="s">
        <v>23</v>
      </c>
      <c r="E2219">
        <v>2315</v>
      </c>
      <c r="F2219" s="3">
        <v>40702</v>
      </c>
      <c r="H2219" t="s">
        <v>15523</v>
      </c>
      <c r="I2219" t="s">
        <v>17101</v>
      </c>
      <c r="K2219" t="e">
        <v>#N/A</v>
      </c>
      <c r="S2219" s="3"/>
    </row>
    <row r="2220" spans="1:19" x14ac:dyDescent="0.25">
      <c r="A2220" t="s">
        <v>6544</v>
      </c>
      <c r="B2220" t="s">
        <v>6545</v>
      </c>
      <c r="C2220" t="s">
        <v>6546</v>
      </c>
      <c r="D2220" t="s">
        <v>23</v>
      </c>
      <c r="E2220">
        <v>2316</v>
      </c>
      <c r="F2220" s="3">
        <v>40702</v>
      </c>
      <c r="H2220" t="s">
        <v>15523</v>
      </c>
      <c r="I2220" t="s">
        <v>17102</v>
      </c>
      <c r="K2220" t="e">
        <v>#N/A</v>
      </c>
      <c r="S2220" s="3"/>
    </row>
    <row r="2221" spans="1:19" x14ac:dyDescent="0.25">
      <c r="A2221" t="s">
        <v>6547</v>
      </c>
      <c r="B2221" t="s">
        <v>6548</v>
      </c>
      <c r="C2221" t="s">
        <v>6549</v>
      </c>
      <c r="D2221" t="s">
        <v>23</v>
      </c>
      <c r="E2221">
        <v>2319</v>
      </c>
      <c r="F2221" s="3">
        <v>40702</v>
      </c>
      <c r="H2221" t="s">
        <v>15523</v>
      </c>
      <c r="I2221" t="s">
        <v>17103</v>
      </c>
      <c r="K2221" t="e">
        <v>#N/A</v>
      </c>
      <c r="S2221" s="3"/>
    </row>
    <row r="2222" spans="1:19" x14ac:dyDescent="0.25">
      <c r="A2222" t="s">
        <v>6550</v>
      </c>
      <c r="B2222" t="s">
        <v>6551</v>
      </c>
      <c r="C2222" t="s">
        <v>6552</v>
      </c>
      <c r="D2222" t="s">
        <v>23</v>
      </c>
      <c r="E2222">
        <v>4365</v>
      </c>
      <c r="F2222" s="3">
        <v>40702</v>
      </c>
      <c r="H2222" t="s">
        <v>15523</v>
      </c>
      <c r="I2222" t="s">
        <v>17104</v>
      </c>
      <c r="K2222" t="e">
        <v>#N/A</v>
      </c>
      <c r="S2222" s="3"/>
    </row>
    <row r="2223" spans="1:19" x14ac:dyDescent="0.25">
      <c r="A2223" t="s">
        <v>6553</v>
      </c>
      <c r="B2223" t="s">
        <v>6554</v>
      </c>
      <c r="C2223" t="s">
        <v>6555</v>
      </c>
      <c r="D2223" t="s">
        <v>23</v>
      </c>
      <c r="E2223">
        <v>4366</v>
      </c>
      <c r="F2223" s="3">
        <v>40702</v>
      </c>
      <c r="H2223" t="s">
        <v>15523</v>
      </c>
      <c r="I2223" t="s">
        <v>17105</v>
      </c>
      <c r="K2223" t="e">
        <v>#N/A</v>
      </c>
      <c r="S2223" s="3"/>
    </row>
    <row r="2224" spans="1:19" x14ac:dyDescent="0.25">
      <c r="A2224" t="s">
        <v>6556</v>
      </c>
      <c r="B2224" t="s">
        <v>6557</v>
      </c>
      <c r="C2224" t="s">
        <v>6558</v>
      </c>
      <c r="D2224" t="s">
        <v>23</v>
      </c>
      <c r="E2224">
        <v>4367</v>
      </c>
      <c r="F2224" s="3">
        <v>40702</v>
      </c>
      <c r="H2224" t="s">
        <v>15523</v>
      </c>
      <c r="I2224" t="s">
        <v>17106</v>
      </c>
      <c r="K2224" t="e">
        <v>#N/A</v>
      </c>
      <c r="S2224" s="3"/>
    </row>
    <row r="2225" spans="1:19" x14ac:dyDescent="0.25">
      <c r="A2225" t="s">
        <v>6559</v>
      </c>
      <c r="B2225" t="s">
        <v>6560</v>
      </c>
      <c r="C2225" t="s">
        <v>6561</v>
      </c>
      <c r="D2225" t="s">
        <v>23</v>
      </c>
      <c r="E2225">
        <v>4368</v>
      </c>
      <c r="F2225" s="3">
        <v>40702</v>
      </c>
      <c r="H2225" t="s">
        <v>15523</v>
      </c>
      <c r="I2225" t="s">
        <v>17107</v>
      </c>
      <c r="K2225" t="e">
        <v>#N/A</v>
      </c>
      <c r="S2225" s="3"/>
    </row>
    <row r="2226" spans="1:19" x14ac:dyDescent="0.25">
      <c r="A2226" t="s">
        <v>6562</v>
      </c>
      <c r="B2226" t="s">
        <v>6563</v>
      </c>
      <c r="C2226" t="s">
        <v>6564</v>
      </c>
      <c r="D2226" t="s">
        <v>23</v>
      </c>
      <c r="E2226">
        <v>4369</v>
      </c>
      <c r="F2226" s="3">
        <v>40702</v>
      </c>
      <c r="H2226" t="s">
        <v>15523</v>
      </c>
      <c r="I2226" t="s">
        <v>17108</v>
      </c>
      <c r="K2226" t="e">
        <v>#N/A</v>
      </c>
      <c r="S2226" s="3"/>
    </row>
    <row r="2227" spans="1:19" x14ac:dyDescent="0.25">
      <c r="A2227" t="s">
        <v>6565</v>
      </c>
      <c r="B2227" t="s">
        <v>6566</v>
      </c>
      <c r="C2227" t="s">
        <v>6567</v>
      </c>
      <c r="D2227" t="s">
        <v>23</v>
      </c>
      <c r="E2227">
        <v>2320</v>
      </c>
      <c r="F2227" s="3">
        <v>40702</v>
      </c>
      <c r="H2227" t="s">
        <v>15523</v>
      </c>
      <c r="I2227" t="s">
        <v>17109</v>
      </c>
      <c r="K2227" t="e">
        <v>#N/A</v>
      </c>
      <c r="S2227" s="3"/>
    </row>
    <row r="2228" spans="1:19" x14ac:dyDescent="0.25">
      <c r="A2228" t="s">
        <v>6568</v>
      </c>
      <c r="B2228" t="s">
        <v>6569</v>
      </c>
      <c r="C2228" t="s">
        <v>6570</v>
      </c>
      <c r="D2228" t="s">
        <v>23</v>
      </c>
      <c r="E2228">
        <v>2317</v>
      </c>
      <c r="F2228" s="3">
        <v>40702</v>
      </c>
      <c r="H2228" t="s">
        <v>15523</v>
      </c>
      <c r="I2228" t="s">
        <v>17110</v>
      </c>
      <c r="K2228" t="e">
        <v>#N/A</v>
      </c>
      <c r="S2228" s="3"/>
    </row>
    <row r="2229" spans="1:19" x14ac:dyDescent="0.25">
      <c r="A2229" t="s">
        <v>6571</v>
      </c>
      <c r="B2229" t="s">
        <v>6572</v>
      </c>
      <c r="C2229" t="s">
        <v>6573</v>
      </c>
      <c r="D2229" t="s">
        <v>23</v>
      </c>
      <c r="E2229">
        <v>6067</v>
      </c>
      <c r="F2229" s="3">
        <v>43798</v>
      </c>
      <c r="H2229" t="s">
        <v>15523</v>
      </c>
      <c r="I2229" t="s">
        <v>17111</v>
      </c>
      <c r="K2229" t="e">
        <v>#N/A</v>
      </c>
      <c r="S2229" s="3"/>
    </row>
    <row r="2230" spans="1:19" x14ac:dyDescent="0.25">
      <c r="A2230" t="s">
        <v>6574</v>
      </c>
      <c r="B2230" t="s">
        <v>6575</v>
      </c>
      <c r="C2230" t="s">
        <v>6576</v>
      </c>
      <c r="D2230" t="s">
        <v>23</v>
      </c>
      <c r="E2230">
        <v>5615</v>
      </c>
      <c r="F2230" s="3">
        <v>42591</v>
      </c>
      <c r="H2230" t="s">
        <v>15523</v>
      </c>
      <c r="I2230" t="s">
        <v>17112</v>
      </c>
      <c r="K2230" t="e">
        <v>#N/A</v>
      </c>
      <c r="S2230" s="3"/>
    </row>
    <row r="2231" spans="1:19" x14ac:dyDescent="0.25">
      <c r="A2231" t="s">
        <v>6577</v>
      </c>
      <c r="B2231" t="s">
        <v>6578</v>
      </c>
      <c r="C2231" t="s">
        <v>6579</v>
      </c>
      <c r="D2231" t="s">
        <v>23</v>
      </c>
      <c r="E2231">
        <v>4370</v>
      </c>
      <c r="F2231" s="3">
        <v>40702</v>
      </c>
      <c r="H2231" t="s">
        <v>15523</v>
      </c>
      <c r="I2231" t="s">
        <v>17113</v>
      </c>
      <c r="K2231" t="e">
        <v>#N/A</v>
      </c>
      <c r="S2231" s="3"/>
    </row>
    <row r="2232" spans="1:19" x14ac:dyDescent="0.25">
      <c r="A2232" t="s">
        <v>6580</v>
      </c>
      <c r="B2232" t="s">
        <v>6581</v>
      </c>
      <c r="C2232" t="s">
        <v>6582</v>
      </c>
      <c r="D2232" t="s">
        <v>23</v>
      </c>
      <c r="E2232">
        <v>1372</v>
      </c>
      <c r="F2232" s="3">
        <v>40702</v>
      </c>
      <c r="H2232" t="s">
        <v>15523</v>
      </c>
      <c r="I2232" t="s">
        <v>17114</v>
      </c>
      <c r="K2232" t="e">
        <v>#N/A</v>
      </c>
      <c r="S2232" s="3"/>
    </row>
    <row r="2233" spans="1:19" x14ac:dyDescent="0.25">
      <c r="A2233" t="s">
        <v>6583</v>
      </c>
      <c r="B2233" t="s">
        <v>6584</v>
      </c>
      <c r="C2233" t="s">
        <v>6585</v>
      </c>
      <c r="D2233" t="s">
        <v>23</v>
      </c>
      <c r="E2233">
        <v>5622</v>
      </c>
      <c r="F2233" s="3">
        <v>42591</v>
      </c>
      <c r="H2233" t="s">
        <v>15523</v>
      </c>
      <c r="I2233" t="s">
        <v>17115</v>
      </c>
      <c r="K2233" t="e">
        <v>#N/A</v>
      </c>
      <c r="S2233" s="3"/>
    </row>
    <row r="2234" spans="1:19" x14ac:dyDescent="0.25">
      <c r="A2234" t="s">
        <v>6586</v>
      </c>
      <c r="B2234" t="s">
        <v>6587</v>
      </c>
      <c r="C2234" t="s">
        <v>6588</v>
      </c>
      <c r="D2234" t="s">
        <v>23</v>
      </c>
      <c r="E2234">
        <v>1373</v>
      </c>
      <c r="F2234" s="3">
        <v>40702</v>
      </c>
      <c r="H2234" t="s">
        <v>15523</v>
      </c>
      <c r="I2234" t="s">
        <v>17116</v>
      </c>
      <c r="K2234" t="e">
        <v>#N/A</v>
      </c>
      <c r="S2234" s="3"/>
    </row>
    <row r="2235" spans="1:19" x14ac:dyDescent="0.25">
      <c r="A2235" t="s">
        <v>6589</v>
      </c>
      <c r="B2235" t="s">
        <v>6590</v>
      </c>
      <c r="C2235" t="s">
        <v>6591</v>
      </c>
      <c r="D2235" t="s">
        <v>23</v>
      </c>
      <c r="E2235">
        <v>4371</v>
      </c>
      <c r="F2235" s="3">
        <v>40702</v>
      </c>
      <c r="H2235" t="s">
        <v>15523</v>
      </c>
      <c r="I2235" t="s">
        <v>17117</v>
      </c>
      <c r="K2235" t="e">
        <v>#N/A</v>
      </c>
      <c r="S2235" s="3"/>
    </row>
    <row r="2236" spans="1:19" x14ac:dyDescent="0.25">
      <c r="A2236" t="s">
        <v>6592</v>
      </c>
      <c r="B2236" t="s">
        <v>6593</v>
      </c>
      <c r="C2236" t="s">
        <v>6594</v>
      </c>
      <c r="D2236" t="s">
        <v>23</v>
      </c>
      <c r="E2236">
        <v>4372</v>
      </c>
      <c r="F2236" s="3">
        <v>40702</v>
      </c>
      <c r="H2236" t="s">
        <v>15523</v>
      </c>
      <c r="I2236" t="s">
        <v>17118</v>
      </c>
      <c r="K2236" t="e">
        <v>#N/A</v>
      </c>
      <c r="S2236" s="3"/>
    </row>
    <row r="2237" spans="1:19" x14ac:dyDescent="0.25">
      <c r="A2237" t="s">
        <v>6595</v>
      </c>
      <c r="B2237" t="s">
        <v>6596</v>
      </c>
      <c r="C2237" t="s">
        <v>6597</v>
      </c>
      <c r="D2237" t="s">
        <v>23</v>
      </c>
      <c r="E2237">
        <v>2714</v>
      </c>
      <c r="F2237" s="3">
        <v>40702</v>
      </c>
      <c r="H2237" t="s">
        <v>15523</v>
      </c>
      <c r="I2237" t="s">
        <v>17119</v>
      </c>
      <c r="K2237" t="e">
        <v>#N/A</v>
      </c>
      <c r="S2237" s="3"/>
    </row>
    <row r="2238" spans="1:19" x14ac:dyDescent="0.25">
      <c r="A2238" t="s">
        <v>6598</v>
      </c>
      <c r="B2238" t="s">
        <v>6599</v>
      </c>
      <c r="C2238" t="s">
        <v>6600</v>
      </c>
      <c r="D2238" t="s">
        <v>23</v>
      </c>
      <c r="E2238">
        <v>1374</v>
      </c>
      <c r="F2238" s="3">
        <v>40702</v>
      </c>
      <c r="H2238" t="s">
        <v>15523</v>
      </c>
      <c r="I2238" t="s">
        <v>17120</v>
      </c>
      <c r="K2238" t="e">
        <v>#N/A</v>
      </c>
      <c r="S2238" s="3"/>
    </row>
    <row r="2239" spans="1:19" x14ac:dyDescent="0.25">
      <c r="A2239" t="s">
        <v>6601</v>
      </c>
      <c r="B2239" t="s">
        <v>6602</v>
      </c>
      <c r="C2239" t="s">
        <v>6603</v>
      </c>
      <c r="D2239" t="s">
        <v>23</v>
      </c>
      <c r="E2239">
        <v>2711</v>
      </c>
      <c r="F2239" s="3">
        <v>40702</v>
      </c>
      <c r="H2239" t="s">
        <v>15523</v>
      </c>
      <c r="I2239" t="s">
        <v>17121</v>
      </c>
      <c r="K2239" t="e">
        <v>#N/A</v>
      </c>
      <c r="S2239" s="3"/>
    </row>
    <row r="2240" spans="1:19" x14ac:dyDescent="0.25">
      <c r="A2240" t="s">
        <v>6604</v>
      </c>
      <c r="B2240" t="s">
        <v>6605</v>
      </c>
      <c r="C2240" t="s">
        <v>6606</v>
      </c>
      <c r="D2240" t="s">
        <v>23</v>
      </c>
      <c r="E2240">
        <v>1967</v>
      </c>
      <c r="F2240" s="3">
        <v>40702</v>
      </c>
      <c r="H2240" t="s">
        <v>15523</v>
      </c>
      <c r="I2240" t="s">
        <v>17122</v>
      </c>
      <c r="K2240" t="e">
        <v>#N/A</v>
      </c>
      <c r="S2240" s="3"/>
    </row>
    <row r="2241" spans="1:19" x14ac:dyDescent="0.25">
      <c r="A2241" t="s">
        <v>6607</v>
      </c>
      <c r="B2241" t="s">
        <v>6608</v>
      </c>
      <c r="C2241" t="s">
        <v>6609</v>
      </c>
      <c r="D2241" t="s">
        <v>23</v>
      </c>
      <c r="E2241">
        <v>1375</v>
      </c>
      <c r="F2241" s="3">
        <v>40702</v>
      </c>
      <c r="H2241" t="s">
        <v>15523</v>
      </c>
      <c r="I2241" t="s">
        <v>17123</v>
      </c>
      <c r="K2241" t="e">
        <v>#N/A</v>
      </c>
      <c r="S2241" s="3"/>
    </row>
    <row r="2242" spans="1:19" x14ac:dyDescent="0.25">
      <c r="A2242" t="s">
        <v>6610</v>
      </c>
      <c r="B2242" t="s">
        <v>6611</v>
      </c>
      <c r="C2242" t="s">
        <v>6612</v>
      </c>
      <c r="D2242" t="s">
        <v>23</v>
      </c>
      <c r="E2242">
        <v>4373</v>
      </c>
      <c r="F2242" s="3">
        <v>40702</v>
      </c>
      <c r="H2242" t="s">
        <v>15523</v>
      </c>
      <c r="I2242" t="s">
        <v>17124</v>
      </c>
      <c r="K2242" t="e">
        <v>#N/A</v>
      </c>
      <c r="S2242" s="3"/>
    </row>
    <row r="2243" spans="1:19" x14ac:dyDescent="0.25">
      <c r="A2243" t="s">
        <v>6613</v>
      </c>
      <c r="B2243" t="s">
        <v>6614</v>
      </c>
      <c r="C2243" t="s">
        <v>6615</v>
      </c>
      <c r="D2243" t="s">
        <v>23</v>
      </c>
      <c r="E2243">
        <v>4374</v>
      </c>
      <c r="F2243" s="3">
        <v>40702</v>
      </c>
      <c r="H2243" t="s">
        <v>15523</v>
      </c>
      <c r="I2243" t="s">
        <v>17125</v>
      </c>
      <c r="K2243" t="e">
        <v>#N/A</v>
      </c>
      <c r="S2243" s="3"/>
    </row>
    <row r="2244" spans="1:19" x14ac:dyDescent="0.25">
      <c r="A2244" t="s">
        <v>6616</v>
      </c>
      <c r="B2244" t="s">
        <v>6617</v>
      </c>
      <c r="C2244" t="s">
        <v>6618</v>
      </c>
      <c r="D2244" t="s">
        <v>23</v>
      </c>
      <c r="E2244">
        <v>4375</v>
      </c>
      <c r="F2244" s="3">
        <v>40702</v>
      </c>
      <c r="H2244" t="s">
        <v>15523</v>
      </c>
      <c r="I2244" t="s">
        <v>17126</v>
      </c>
      <c r="K2244" t="e">
        <v>#N/A</v>
      </c>
      <c r="S2244" s="3"/>
    </row>
    <row r="2245" spans="1:19" x14ac:dyDescent="0.25">
      <c r="A2245" t="s">
        <v>6619</v>
      </c>
      <c r="B2245" t="s">
        <v>6620</v>
      </c>
      <c r="C2245" t="s">
        <v>6621</v>
      </c>
      <c r="D2245" t="s">
        <v>23</v>
      </c>
      <c r="E2245">
        <v>1376</v>
      </c>
      <c r="F2245" s="3">
        <v>40702</v>
      </c>
      <c r="H2245" t="s">
        <v>15523</v>
      </c>
      <c r="I2245" t="s">
        <v>17127</v>
      </c>
      <c r="K2245" t="e">
        <v>#N/A</v>
      </c>
      <c r="S2245" s="3"/>
    </row>
    <row r="2246" spans="1:19" x14ac:dyDescent="0.25">
      <c r="A2246" t="s">
        <v>6622</v>
      </c>
      <c r="B2246" t="s">
        <v>6623</v>
      </c>
      <c r="C2246" t="s">
        <v>6624</v>
      </c>
      <c r="D2246" t="s">
        <v>23</v>
      </c>
      <c r="E2246">
        <v>5618</v>
      </c>
      <c r="F2246" s="3">
        <v>42591</v>
      </c>
      <c r="H2246" t="s">
        <v>15523</v>
      </c>
      <c r="I2246" t="s">
        <v>17128</v>
      </c>
      <c r="K2246" t="e">
        <v>#N/A</v>
      </c>
      <c r="S2246" s="3"/>
    </row>
    <row r="2247" spans="1:19" x14ac:dyDescent="0.25">
      <c r="A2247" t="s">
        <v>6625</v>
      </c>
      <c r="B2247" t="s">
        <v>6626</v>
      </c>
      <c r="C2247" t="s">
        <v>6627</v>
      </c>
      <c r="D2247" t="s">
        <v>23</v>
      </c>
      <c r="E2247">
        <v>4376</v>
      </c>
      <c r="F2247" s="3">
        <v>40702</v>
      </c>
      <c r="H2247" t="s">
        <v>15523</v>
      </c>
      <c r="I2247" t="s">
        <v>17129</v>
      </c>
      <c r="K2247" t="e">
        <v>#N/A</v>
      </c>
      <c r="S2247" s="3"/>
    </row>
    <row r="2248" spans="1:19" x14ac:dyDescent="0.25">
      <c r="A2248" t="s">
        <v>6628</v>
      </c>
      <c r="B2248" t="s">
        <v>6629</v>
      </c>
      <c r="C2248" t="s">
        <v>6630</v>
      </c>
      <c r="D2248" t="s">
        <v>23</v>
      </c>
      <c r="E2248">
        <v>5625</v>
      </c>
      <c r="F2248" s="3">
        <v>42591</v>
      </c>
      <c r="H2248" t="s">
        <v>15523</v>
      </c>
      <c r="I2248" t="s">
        <v>17130</v>
      </c>
      <c r="K2248" t="e">
        <v>#N/A</v>
      </c>
      <c r="S2248" s="3"/>
    </row>
    <row r="2249" spans="1:19" x14ac:dyDescent="0.25">
      <c r="A2249" t="s">
        <v>6631</v>
      </c>
      <c r="B2249" t="s">
        <v>6632</v>
      </c>
      <c r="C2249" t="s">
        <v>6633</v>
      </c>
      <c r="D2249" t="s">
        <v>23</v>
      </c>
      <c r="E2249">
        <v>2435</v>
      </c>
      <c r="F2249" s="3">
        <v>40702</v>
      </c>
      <c r="H2249" t="s">
        <v>15523</v>
      </c>
      <c r="I2249" t="s">
        <v>17131</v>
      </c>
      <c r="K2249" t="e">
        <v>#N/A</v>
      </c>
      <c r="S2249" s="3"/>
    </row>
    <row r="2250" spans="1:19" x14ac:dyDescent="0.25">
      <c r="A2250" t="s">
        <v>6634</v>
      </c>
      <c r="B2250" t="s">
        <v>6635</v>
      </c>
      <c r="C2250" t="s">
        <v>6636</v>
      </c>
      <c r="D2250" t="s">
        <v>23</v>
      </c>
      <c r="E2250">
        <v>4377</v>
      </c>
      <c r="F2250" s="3">
        <v>40702</v>
      </c>
      <c r="H2250" t="s">
        <v>15523</v>
      </c>
      <c r="I2250" t="s">
        <v>17132</v>
      </c>
      <c r="K2250" t="e">
        <v>#N/A</v>
      </c>
      <c r="S2250" s="3"/>
    </row>
    <row r="2251" spans="1:19" x14ac:dyDescent="0.25">
      <c r="A2251" t="s">
        <v>6637</v>
      </c>
      <c r="B2251" t="s">
        <v>6638</v>
      </c>
      <c r="C2251" t="s">
        <v>6639</v>
      </c>
      <c r="D2251" t="s">
        <v>23</v>
      </c>
      <c r="E2251">
        <v>1377</v>
      </c>
      <c r="F2251" s="3">
        <v>40702</v>
      </c>
      <c r="H2251" t="s">
        <v>15523</v>
      </c>
      <c r="I2251" t="s">
        <v>17133</v>
      </c>
      <c r="K2251" t="e">
        <v>#N/A</v>
      </c>
      <c r="S2251" s="3"/>
    </row>
    <row r="2252" spans="1:19" x14ac:dyDescent="0.25">
      <c r="A2252" t="s">
        <v>6640</v>
      </c>
      <c r="B2252" t="s">
        <v>6641</v>
      </c>
      <c r="C2252" t="s">
        <v>6642</v>
      </c>
      <c r="D2252" t="s">
        <v>23</v>
      </c>
      <c r="E2252">
        <v>4378</v>
      </c>
      <c r="F2252" s="3">
        <v>40702</v>
      </c>
      <c r="H2252" t="s">
        <v>15523</v>
      </c>
      <c r="I2252" t="s">
        <v>17134</v>
      </c>
      <c r="K2252" t="e">
        <v>#N/A</v>
      </c>
      <c r="S2252" s="3"/>
    </row>
    <row r="2253" spans="1:19" x14ac:dyDescent="0.25">
      <c r="A2253" t="s">
        <v>6643</v>
      </c>
      <c r="B2253" t="s">
        <v>6644</v>
      </c>
      <c r="C2253" t="s">
        <v>6645</v>
      </c>
      <c r="D2253" t="s">
        <v>23</v>
      </c>
      <c r="E2253">
        <v>1378</v>
      </c>
      <c r="F2253" s="3">
        <v>40702</v>
      </c>
      <c r="H2253" t="s">
        <v>15523</v>
      </c>
      <c r="I2253" t="s">
        <v>17135</v>
      </c>
      <c r="K2253" t="e">
        <v>#N/A</v>
      </c>
      <c r="S2253" s="3"/>
    </row>
    <row r="2254" spans="1:19" x14ac:dyDescent="0.25">
      <c r="A2254" t="s">
        <v>6646</v>
      </c>
      <c r="B2254" t="s">
        <v>6647</v>
      </c>
      <c r="C2254" t="s">
        <v>6648</v>
      </c>
      <c r="D2254" t="s">
        <v>23</v>
      </c>
      <c r="E2254">
        <v>2712</v>
      </c>
      <c r="F2254" s="3">
        <v>40702</v>
      </c>
      <c r="H2254" t="s">
        <v>15523</v>
      </c>
      <c r="I2254" t="s">
        <v>17136</v>
      </c>
      <c r="K2254" t="e">
        <v>#N/A</v>
      </c>
      <c r="S2254" s="3"/>
    </row>
    <row r="2255" spans="1:19" x14ac:dyDescent="0.25">
      <c r="A2255" t="s">
        <v>6649</v>
      </c>
      <c r="B2255" t="s">
        <v>6650</v>
      </c>
      <c r="C2255" t="s">
        <v>6651</v>
      </c>
      <c r="D2255" t="s">
        <v>23</v>
      </c>
      <c r="E2255">
        <v>4379</v>
      </c>
      <c r="F2255" s="3">
        <v>40702</v>
      </c>
      <c r="H2255" t="s">
        <v>15523</v>
      </c>
      <c r="I2255" t="s">
        <v>17137</v>
      </c>
      <c r="K2255" t="e">
        <v>#N/A</v>
      </c>
      <c r="S2255" s="3"/>
    </row>
    <row r="2256" spans="1:19" x14ac:dyDescent="0.25">
      <c r="A2256" t="s">
        <v>6652</v>
      </c>
      <c r="B2256" t="s">
        <v>6653</v>
      </c>
      <c r="C2256" t="s">
        <v>6654</v>
      </c>
      <c r="D2256" t="s">
        <v>23</v>
      </c>
      <c r="E2256">
        <v>4380</v>
      </c>
      <c r="F2256" s="3">
        <v>40702</v>
      </c>
      <c r="H2256" t="s">
        <v>15523</v>
      </c>
      <c r="I2256" t="s">
        <v>17138</v>
      </c>
      <c r="K2256" t="e">
        <v>#N/A</v>
      </c>
      <c r="S2256" s="3"/>
    </row>
    <row r="2257" spans="1:19" x14ac:dyDescent="0.25">
      <c r="A2257" t="s">
        <v>6655</v>
      </c>
      <c r="B2257" t="s">
        <v>6656</v>
      </c>
      <c r="C2257" t="s">
        <v>6657</v>
      </c>
      <c r="D2257" t="s">
        <v>23</v>
      </c>
      <c r="E2257">
        <v>4381</v>
      </c>
      <c r="F2257" s="3">
        <v>40702</v>
      </c>
      <c r="H2257" t="s">
        <v>15523</v>
      </c>
      <c r="I2257" t="s">
        <v>17139</v>
      </c>
      <c r="K2257" t="e">
        <v>#N/A</v>
      </c>
      <c r="S2257" s="3"/>
    </row>
    <row r="2258" spans="1:19" x14ac:dyDescent="0.25">
      <c r="A2258" t="s">
        <v>6658</v>
      </c>
      <c r="B2258" t="s">
        <v>6659</v>
      </c>
      <c r="C2258" t="s">
        <v>6660</v>
      </c>
      <c r="D2258" t="s">
        <v>23</v>
      </c>
      <c r="E2258">
        <v>2710</v>
      </c>
      <c r="F2258" s="3">
        <v>40702</v>
      </c>
      <c r="H2258" t="s">
        <v>15523</v>
      </c>
      <c r="I2258" t="s">
        <v>17140</v>
      </c>
      <c r="K2258" t="e">
        <v>#N/A</v>
      </c>
      <c r="S2258" s="3"/>
    </row>
    <row r="2259" spans="1:19" x14ac:dyDescent="0.25">
      <c r="A2259" t="s">
        <v>6661</v>
      </c>
      <c r="B2259" t="s">
        <v>6662</v>
      </c>
      <c r="C2259" t="s">
        <v>6663</v>
      </c>
      <c r="D2259" t="s">
        <v>23</v>
      </c>
      <c r="E2259">
        <v>1968</v>
      </c>
      <c r="F2259" s="3">
        <v>40702</v>
      </c>
      <c r="H2259" t="s">
        <v>15523</v>
      </c>
      <c r="I2259" t="s">
        <v>17141</v>
      </c>
      <c r="K2259" t="e">
        <v>#N/A</v>
      </c>
      <c r="S2259" s="3"/>
    </row>
    <row r="2260" spans="1:19" x14ac:dyDescent="0.25">
      <c r="A2260" t="s">
        <v>6664</v>
      </c>
      <c r="B2260" t="s">
        <v>6665</v>
      </c>
      <c r="C2260" t="s">
        <v>6666</v>
      </c>
      <c r="D2260" t="s">
        <v>23</v>
      </c>
      <c r="E2260">
        <v>4383</v>
      </c>
      <c r="F2260" s="3">
        <v>40702</v>
      </c>
      <c r="H2260" t="s">
        <v>15523</v>
      </c>
      <c r="I2260" t="s">
        <v>17142</v>
      </c>
      <c r="K2260" t="e">
        <v>#N/A</v>
      </c>
      <c r="S2260" s="3"/>
    </row>
    <row r="2261" spans="1:19" x14ac:dyDescent="0.25">
      <c r="A2261" t="s">
        <v>6667</v>
      </c>
      <c r="B2261" t="s">
        <v>6668</v>
      </c>
      <c r="C2261" t="s">
        <v>6669</v>
      </c>
      <c r="D2261" t="s">
        <v>23</v>
      </c>
      <c r="E2261">
        <v>1379</v>
      </c>
      <c r="F2261" s="3">
        <v>40702</v>
      </c>
      <c r="H2261" t="s">
        <v>15523</v>
      </c>
      <c r="I2261" t="s">
        <v>17143</v>
      </c>
      <c r="K2261" t="e">
        <v>#N/A</v>
      </c>
      <c r="S2261" s="3"/>
    </row>
    <row r="2262" spans="1:19" x14ac:dyDescent="0.25">
      <c r="A2262" t="s">
        <v>6670</v>
      </c>
      <c r="B2262" t="s">
        <v>6671</v>
      </c>
      <c r="C2262" t="s">
        <v>6672</v>
      </c>
      <c r="D2262" t="s">
        <v>23</v>
      </c>
      <c r="E2262">
        <v>4385</v>
      </c>
      <c r="F2262" s="3">
        <v>40702</v>
      </c>
      <c r="H2262" t="s">
        <v>15523</v>
      </c>
      <c r="I2262" t="s">
        <v>17144</v>
      </c>
      <c r="K2262" t="e">
        <v>#N/A</v>
      </c>
      <c r="S2262" s="3"/>
    </row>
    <row r="2263" spans="1:19" x14ac:dyDescent="0.25">
      <c r="A2263" t="s">
        <v>6673</v>
      </c>
      <c r="B2263" t="s">
        <v>6674</v>
      </c>
      <c r="C2263" t="s">
        <v>6675</v>
      </c>
      <c r="D2263" t="s">
        <v>23</v>
      </c>
      <c r="E2263">
        <v>4386</v>
      </c>
      <c r="F2263" s="3">
        <v>40702</v>
      </c>
      <c r="H2263" t="s">
        <v>15523</v>
      </c>
      <c r="I2263" t="s">
        <v>17145</v>
      </c>
      <c r="K2263" t="e">
        <v>#N/A</v>
      </c>
      <c r="S2263" s="3"/>
    </row>
    <row r="2264" spans="1:19" x14ac:dyDescent="0.25">
      <c r="A2264" t="s">
        <v>6676</v>
      </c>
      <c r="B2264" t="s">
        <v>6677</v>
      </c>
      <c r="C2264" t="s">
        <v>6678</v>
      </c>
      <c r="D2264" t="s">
        <v>23</v>
      </c>
      <c r="E2264">
        <v>4387</v>
      </c>
      <c r="F2264" s="3">
        <v>40702</v>
      </c>
      <c r="H2264" t="s">
        <v>15523</v>
      </c>
      <c r="I2264" t="s">
        <v>17146</v>
      </c>
      <c r="K2264" t="e">
        <v>#N/A</v>
      </c>
      <c r="S2264" s="3"/>
    </row>
    <row r="2265" spans="1:19" x14ac:dyDescent="0.25">
      <c r="A2265" t="s">
        <v>6679</v>
      </c>
      <c r="B2265" t="s">
        <v>6680</v>
      </c>
      <c r="C2265" t="s">
        <v>6681</v>
      </c>
      <c r="D2265" t="s">
        <v>23</v>
      </c>
      <c r="E2265">
        <v>4388</v>
      </c>
      <c r="F2265" s="3">
        <v>40702</v>
      </c>
      <c r="H2265" t="s">
        <v>15523</v>
      </c>
      <c r="I2265" t="s">
        <v>17147</v>
      </c>
      <c r="K2265" t="e">
        <v>#N/A</v>
      </c>
      <c r="S2265" s="3"/>
    </row>
    <row r="2266" spans="1:19" x14ac:dyDescent="0.25">
      <c r="A2266" t="s">
        <v>6682</v>
      </c>
      <c r="B2266" t="s">
        <v>6683</v>
      </c>
      <c r="C2266" t="s">
        <v>6684</v>
      </c>
      <c r="D2266" t="s">
        <v>23</v>
      </c>
      <c r="E2266">
        <v>5285</v>
      </c>
      <c r="F2266" s="3">
        <v>42084</v>
      </c>
      <c r="H2266" t="s">
        <v>15523</v>
      </c>
      <c r="I2266" t="s">
        <v>17148</v>
      </c>
      <c r="K2266" t="e">
        <v>#N/A</v>
      </c>
      <c r="S2266" s="3"/>
    </row>
    <row r="2267" spans="1:19" x14ac:dyDescent="0.25">
      <c r="A2267" t="s">
        <v>6685</v>
      </c>
      <c r="B2267" t="s">
        <v>6686</v>
      </c>
      <c r="C2267" t="s">
        <v>6687</v>
      </c>
      <c r="D2267" t="s">
        <v>23</v>
      </c>
      <c r="E2267">
        <v>4389</v>
      </c>
      <c r="F2267" s="3">
        <v>40702</v>
      </c>
      <c r="H2267" t="s">
        <v>15523</v>
      </c>
      <c r="I2267" t="s">
        <v>17149</v>
      </c>
      <c r="K2267" t="e">
        <v>#N/A</v>
      </c>
      <c r="S2267" s="3"/>
    </row>
    <row r="2268" spans="1:19" x14ac:dyDescent="0.25">
      <c r="A2268" t="s">
        <v>6688</v>
      </c>
      <c r="B2268" t="s">
        <v>6689</v>
      </c>
      <c r="C2268" t="s">
        <v>6690</v>
      </c>
      <c r="D2268" t="s">
        <v>23</v>
      </c>
      <c r="E2268">
        <v>4390</v>
      </c>
      <c r="F2268" s="3">
        <v>40702</v>
      </c>
      <c r="H2268" t="s">
        <v>15523</v>
      </c>
      <c r="I2268" t="s">
        <v>17150</v>
      </c>
      <c r="K2268" t="e">
        <v>#N/A</v>
      </c>
      <c r="S2268" s="3"/>
    </row>
    <row r="2269" spans="1:19" x14ac:dyDescent="0.25">
      <c r="A2269" t="s">
        <v>6691</v>
      </c>
      <c r="B2269" t="s">
        <v>6692</v>
      </c>
      <c r="C2269" t="s">
        <v>6693</v>
      </c>
      <c r="D2269" t="s">
        <v>23</v>
      </c>
      <c r="E2269">
        <v>2436</v>
      </c>
      <c r="F2269" s="3">
        <v>40702</v>
      </c>
      <c r="H2269" t="s">
        <v>15523</v>
      </c>
      <c r="I2269" t="s">
        <v>17151</v>
      </c>
      <c r="K2269" t="e">
        <v>#N/A</v>
      </c>
      <c r="S2269" s="3"/>
    </row>
    <row r="2270" spans="1:19" x14ac:dyDescent="0.25">
      <c r="A2270" t="s">
        <v>6694</v>
      </c>
      <c r="B2270" t="s">
        <v>6695</v>
      </c>
      <c r="C2270" t="s">
        <v>6696</v>
      </c>
      <c r="D2270" t="s">
        <v>23</v>
      </c>
      <c r="E2270">
        <v>1380</v>
      </c>
      <c r="F2270" s="3">
        <v>40702</v>
      </c>
      <c r="H2270" t="s">
        <v>15523</v>
      </c>
      <c r="I2270" t="s">
        <v>17152</v>
      </c>
      <c r="K2270" t="e">
        <v>#N/A</v>
      </c>
      <c r="S2270" s="3"/>
    </row>
    <row r="2271" spans="1:19" x14ac:dyDescent="0.25">
      <c r="A2271" t="s">
        <v>6697</v>
      </c>
      <c r="B2271" t="s">
        <v>6698</v>
      </c>
      <c r="C2271" t="s">
        <v>6699</v>
      </c>
      <c r="D2271" t="s">
        <v>23</v>
      </c>
      <c r="E2271">
        <v>4391</v>
      </c>
      <c r="F2271" s="3">
        <v>40702</v>
      </c>
      <c r="H2271" t="s">
        <v>15523</v>
      </c>
      <c r="I2271" t="s">
        <v>17153</v>
      </c>
      <c r="K2271" t="e">
        <v>#N/A</v>
      </c>
      <c r="S2271" s="3"/>
    </row>
    <row r="2272" spans="1:19" x14ac:dyDescent="0.25">
      <c r="A2272" t="s">
        <v>6700</v>
      </c>
      <c r="B2272" t="s">
        <v>6701</v>
      </c>
      <c r="C2272" t="s">
        <v>6702</v>
      </c>
      <c r="D2272" t="s">
        <v>23</v>
      </c>
      <c r="E2272">
        <v>4392</v>
      </c>
      <c r="F2272" s="3">
        <v>40702</v>
      </c>
      <c r="H2272" t="s">
        <v>15523</v>
      </c>
      <c r="I2272" t="s">
        <v>17154</v>
      </c>
      <c r="K2272" t="e">
        <v>#N/A</v>
      </c>
      <c r="S2272" s="3"/>
    </row>
    <row r="2273" spans="1:19" x14ac:dyDescent="0.25">
      <c r="A2273" t="s">
        <v>6703</v>
      </c>
      <c r="B2273" t="s">
        <v>6704</v>
      </c>
      <c r="C2273" t="s">
        <v>6705</v>
      </c>
      <c r="D2273" t="s">
        <v>23</v>
      </c>
      <c r="E2273">
        <v>2437</v>
      </c>
      <c r="F2273" s="3">
        <v>40702</v>
      </c>
      <c r="H2273" t="s">
        <v>15523</v>
      </c>
      <c r="I2273" t="s">
        <v>17155</v>
      </c>
      <c r="K2273" t="e">
        <v>#N/A</v>
      </c>
      <c r="S2273" s="3"/>
    </row>
    <row r="2274" spans="1:19" x14ac:dyDescent="0.25">
      <c r="A2274" t="s">
        <v>6706</v>
      </c>
      <c r="B2274" t="s">
        <v>6707</v>
      </c>
      <c r="C2274" t="s">
        <v>6708</v>
      </c>
      <c r="D2274" t="s">
        <v>23</v>
      </c>
      <c r="E2274">
        <v>2721</v>
      </c>
      <c r="F2274" s="3">
        <v>40702</v>
      </c>
      <c r="H2274" t="s">
        <v>15523</v>
      </c>
      <c r="I2274" t="s">
        <v>17156</v>
      </c>
      <c r="K2274" t="e">
        <v>#N/A</v>
      </c>
      <c r="S2274" s="3"/>
    </row>
    <row r="2275" spans="1:19" x14ac:dyDescent="0.25">
      <c r="A2275" t="s">
        <v>6709</v>
      </c>
      <c r="B2275" t="s">
        <v>6710</v>
      </c>
      <c r="C2275" t="s">
        <v>6711</v>
      </c>
      <c r="D2275" t="s">
        <v>23</v>
      </c>
      <c r="E2275">
        <v>4393</v>
      </c>
      <c r="F2275" s="3">
        <v>40702</v>
      </c>
      <c r="H2275" t="s">
        <v>15523</v>
      </c>
      <c r="I2275" t="s">
        <v>17157</v>
      </c>
      <c r="K2275" t="e">
        <v>#N/A</v>
      </c>
      <c r="S2275" s="3"/>
    </row>
    <row r="2276" spans="1:19" x14ac:dyDescent="0.25">
      <c r="A2276" t="s">
        <v>6712</v>
      </c>
      <c r="B2276" t="s">
        <v>6713</v>
      </c>
      <c r="C2276" t="s">
        <v>6714</v>
      </c>
      <c r="D2276" t="s">
        <v>23</v>
      </c>
      <c r="E2276">
        <v>4394</v>
      </c>
      <c r="F2276" s="3">
        <v>40702</v>
      </c>
      <c r="H2276" t="s">
        <v>15523</v>
      </c>
      <c r="I2276" t="s">
        <v>17158</v>
      </c>
      <c r="K2276" t="e">
        <v>#N/A</v>
      </c>
      <c r="S2276" s="3"/>
    </row>
    <row r="2277" spans="1:19" x14ac:dyDescent="0.25">
      <c r="A2277" t="s">
        <v>6715</v>
      </c>
      <c r="B2277" t="s">
        <v>6716</v>
      </c>
      <c r="C2277" t="s">
        <v>6717</v>
      </c>
      <c r="D2277" t="s">
        <v>23</v>
      </c>
      <c r="E2277">
        <v>2438</v>
      </c>
      <c r="F2277" s="3">
        <v>40702</v>
      </c>
      <c r="H2277" t="s">
        <v>15523</v>
      </c>
      <c r="I2277" t="s">
        <v>17159</v>
      </c>
      <c r="K2277" t="e">
        <v>#N/A</v>
      </c>
      <c r="S2277" s="3"/>
    </row>
    <row r="2278" spans="1:19" x14ac:dyDescent="0.25">
      <c r="A2278" t="s">
        <v>6718</v>
      </c>
      <c r="B2278" t="s">
        <v>6719</v>
      </c>
      <c r="C2278" t="s">
        <v>6720</v>
      </c>
      <c r="D2278" t="s">
        <v>23</v>
      </c>
      <c r="E2278">
        <v>4395</v>
      </c>
      <c r="F2278" s="3">
        <v>40702</v>
      </c>
      <c r="H2278" t="s">
        <v>15523</v>
      </c>
      <c r="I2278" t="s">
        <v>17160</v>
      </c>
      <c r="K2278" t="e">
        <v>#N/A</v>
      </c>
      <c r="S2278" s="3"/>
    </row>
    <row r="2279" spans="1:19" x14ac:dyDescent="0.25">
      <c r="A2279" t="s">
        <v>6721</v>
      </c>
      <c r="B2279" t="s">
        <v>6722</v>
      </c>
      <c r="C2279" t="s">
        <v>6723</v>
      </c>
      <c r="D2279" t="s">
        <v>23</v>
      </c>
      <c r="E2279">
        <v>4396</v>
      </c>
      <c r="F2279" s="3">
        <v>40702</v>
      </c>
      <c r="H2279" t="s">
        <v>15523</v>
      </c>
      <c r="I2279" t="s">
        <v>17161</v>
      </c>
      <c r="K2279" t="e">
        <v>#N/A</v>
      </c>
      <c r="S2279" s="3"/>
    </row>
    <row r="2280" spans="1:19" x14ac:dyDescent="0.25">
      <c r="A2280" t="s">
        <v>6724</v>
      </c>
      <c r="B2280" t="s">
        <v>6725</v>
      </c>
      <c r="C2280" t="s">
        <v>6726</v>
      </c>
      <c r="D2280" t="s">
        <v>23</v>
      </c>
      <c r="E2280">
        <v>5616</v>
      </c>
      <c r="F2280" s="3">
        <v>42591</v>
      </c>
      <c r="H2280" t="s">
        <v>15523</v>
      </c>
      <c r="I2280" t="s">
        <v>17162</v>
      </c>
      <c r="K2280" t="e">
        <v>#N/A</v>
      </c>
      <c r="S2280" s="3"/>
    </row>
    <row r="2281" spans="1:19" x14ac:dyDescent="0.25">
      <c r="A2281" t="s">
        <v>6727</v>
      </c>
      <c r="B2281" t="s">
        <v>6728</v>
      </c>
      <c r="C2281" t="s">
        <v>6729</v>
      </c>
      <c r="D2281" t="s">
        <v>23</v>
      </c>
      <c r="E2281">
        <v>4397</v>
      </c>
      <c r="F2281" s="3">
        <v>40702</v>
      </c>
      <c r="H2281" t="s">
        <v>15523</v>
      </c>
      <c r="I2281" t="s">
        <v>17163</v>
      </c>
      <c r="K2281" t="e">
        <v>#N/A</v>
      </c>
      <c r="S2281" s="3"/>
    </row>
    <row r="2282" spans="1:19" x14ac:dyDescent="0.25">
      <c r="A2282" t="s">
        <v>6730</v>
      </c>
      <c r="B2282" t="s">
        <v>6731</v>
      </c>
      <c r="C2282" t="s">
        <v>6732</v>
      </c>
      <c r="D2282" t="s">
        <v>23</v>
      </c>
      <c r="E2282">
        <v>4398</v>
      </c>
      <c r="F2282" s="3">
        <v>40702</v>
      </c>
      <c r="H2282" t="s">
        <v>15523</v>
      </c>
      <c r="I2282" t="s">
        <v>17164</v>
      </c>
      <c r="K2282" t="e">
        <v>#N/A</v>
      </c>
      <c r="S2282" s="3"/>
    </row>
    <row r="2283" spans="1:19" x14ac:dyDescent="0.25">
      <c r="A2283" t="s">
        <v>6733</v>
      </c>
      <c r="B2283" t="s">
        <v>6734</v>
      </c>
      <c r="C2283" t="s">
        <v>6735</v>
      </c>
      <c r="D2283" t="s">
        <v>23</v>
      </c>
      <c r="E2283">
        <v>4399</v>
      </c>
      <c r="F2283" s="3">
        <v>40702</v>
      </c>
      <c r="H2283" t="s">
        <v>15523</v>
      </c>
      <c r="I2283" t="s">
        <v>17165</v>
      </c>
      <c r="K2283" t="e">
        <v>#N/A</v>
      </c>
      <c r="S2283" s="3"/>
    </row>
    <row r="2284" spans="1:19" x14ac:dyDescent="0.25">
      <c r="A2284" t="s">
        <v>6736</v>
      </c>
      <c r="B2284" t="s">
        <v>6737</v>
      </c>
      <c r="C2284" t="s">
        <v>6738</v>
      </c>
      <c r="D2284" t="s">
        <v>23</v>
      </c>
      <c r="E2284">
        <v>5626</v>
      </c>
      <c r="F2284" s="3">
        <v>42591</v>
      </c>
      <c r="H2284" t="s">
        <v>15523</v>
      </c>
      <c r="I2284" t="s">
        <v>17166</v>
      </c>
      <c r="K2284" t="e">
        <v>#N/A</v>
      </c>
      <c r="S2284" s="3"/>
    </row>
    <row r="2285" spans="1:19" x14ac:dyDescent="0.25">
      <c r="A2285" t="s">
        <v>6739</v>
      </c>
      <c r="B2285" t="s">
        <v>6740</v>
      </c>
      <c r="C2285" t="s">
        <v>6741</v>
      </c>
      <c r="D2285" t="s">
        <v>23</v>
      </c>
      <c r="E2285">
        <v>2439</v>
      </c>
      <c r="F2285" s="3">
        <v>40702</v>
      </c>
      <c r="H2285" t="s">
        <v>15523</v>
      </c>
      <c r="I2285" t="s">
        <v>17167</v>
      </c>
      <c r="K2285" t="e">
        <v>#N/A</v>
      </c>
      <c r="S2285" s="3"/>
    </row>
    <row r="2286" spans="1:19" x14ac:dyDescent="0.25">
      <c r="A2286" t="s">
        <v>6742</v>
      </c>
      <c r="B2286" t="s">
        <v>6743</v>
      </c>
      <c r="C2286" t="s">
        <v>6744</v>
      </c>
      <c r="D2286" t="s">
        <v>23</v>
      </c>
      <c r="E2286">
        <v>4400</v>
      </c>
      <c r="F2286" s="3">
        <v>40702</v>
      </c>
      <c r="H2286" t="s">
        <v>15523</v>
      </c>
      <c r="I2286" t="s">
        <v>17168</v>
      </c>
      <c r="K2286" t="e">
        <v>#N/A</v>
      </c>
      <c r="S2286" s="3"/>
    </row>
    <row r="2287" spans="1:19" x14ac:dyDescent="0.25">
      <c r="A2287" t="s">
        <v>6745</v>
      </c>
      <c r="B2287" t="s">
        <v>6746</v>
      </c>
      <c r="C2287" t="s">
        <v>6747</v>
      </c>
      <c r="D2287" t="s">
        <v>23</v>
      </c>
      <c r="E2287">
        <v>1811</v>
      </c>
      <c r="F2287" s="3">
        <v>40702</v>
      </c>
      <c r="H2287" t="s">
        <v>15523</v>
      </c>
      <c r="I2287" t="s">
        <v>17169</v>
      </c>
      <c r="K2287" t="e">
        <v>#N/A</v>
      </c>
      <c r="S2287" s="3"/>
    </row>
    <row r="2288" spans="1:19" x14ac:dyDescent="0.25">
      <c r="A2288" t="s">
        <v>6748</v>
      </c>
      <c r="B2288" t="s">
        <v>6749</v>
      </c>
      <c r="C2288" t="s">
        <v>6750</v>
      </c>
      <c r="D2288" t="s">
        <v>23</v>
      </c>
      <c r="E2288">
        <v>5621</v>
      </c>
      <c r="F2288" s="3">
        <v>42591</v>
      </c>
      <c r="H2288" t="s">
        <v>15523</v>
      </c>
      <c r="I2288" t="s">
        <v>17170</v>
      </c>
      <c r="K2288" t="e">
        <v>#N/A</v>
      </c>
      <c r="S2288" s="3"/>
    </row>
    <row r="2289" spans="1:19" x14ac:dyDescent="0.25">
      <c r="A2289" t="s">
        <v>6751</v>
      </c>
      <c r="B2289" t="s">
        <v>6752</v>
      </c>
      <c r="C2289" t="s">
        <v>6753</v>
      </c>
      <c r="D2289" t="s">
        <v>23</v>
      </c>
      <c r="E2289">
        <v>1381</v>
      </c>
      <c r="F2289" s="3">
        <v>40702</v>
      </c>
      <c r="H2289" t="s">
        <v>15523</v>
      </c>
      <c r="I2289" t="s">
        <v>17171</v>
      </c>
      <c r="K2289" t="e">
        <v>#N/A</v>
      </c>
      <c r="S2289" s="3"/>
    </row>
    <row r="2290" spans="1:19" x14ac:dyDescent="0.25">
      <c r="A2290" t="s">
        <v>6754</v>
      </c>
      <c r="B2290" t="s">
        <v>6755</v>
      </c>
      <c r="C2290" t="s">
        <v>6756</v>
      </c>
      <c r="D2290" t="s">
        <v>23</v>
      </c>
      <c r="E2290">
        <v>5617</v>
      </c>
      <c r="F2290" s="3">
        <v>42591</v>
      </c>
      <c r="H2290" t="s">
        <v>15523</v>
      </c>
      <c r="I2290" t="s">
        <v>17172</v>
      </c>
      <c r="K2290" t="e">
        <v>#N/A</v>
      </c>
      <c r="S2290" s="3"/>
    </row>
    <row r="2291" spans="1:19" x14ac:dyDescent="0.25">
      <c r="A2291" t="s">
        <v>6757</v>
      </c>
      <c r="B2291" t="s">
        <v>6758</v>
      </c>
      <c r="C2291" t="s">
        <v>6759</v>
      </c>
      <c r="D2291" t="s">
        <v>23</v>
      </c>
      <c r="E2291">
        <v>5619</v>
      </c>
      <c r="F2291" s="3">
        <v>42591</v>
      </c>
      <c r="H2291" t="s">
        <v>15523</v>
      </c>
      <c r="I2291" t="s">
        <v>17173</v>
      </c>
      <c r="K2291" t="e">
        <v>#N/A</v>
      </c>
      <c r="S2291" s="3"/>
    </row>
    <row r="2292" spans="1:19" x14ac:dyDescent="0.25">
      <c r="A2292" t="s">
        <v>6760</v>
      </c>
      <c r="B2292" t="s">
        <v>6761</v>
      </c>
      <c r="C2292" t="s">
        <v>6762</v>
      </c>
      <c r="D2292" t="s">
        <v>23</v>
      </c>
      <c r="E2292">
        <v>4401</v>
      </c>
      <c r="F2292" s="3">
        <v>40702</v>
      </c>
      <c r="H2292" t="s">
        <v>15523</v>
      </c>
      <c r="I2292" t="s">
        <v>17174</v>
      </c>
      <c r="K2292" t="e">
        <v>#N/A</v>
      </c>
      <c r="S2292" s="3"/>
    </row>
    <row r="2293" spans="1:19" x14ac:dyDescent="0.25">
      <c r="A2293" t="s">
        <v>6763</v>
      </c>
      <c r="B2293" t="s">
        <v>6764</v>
      </c>
      <c r="C2293" t="s">
        <v>6765</v>
      </c>
      <c r="D2293" t="s">
        <v>23</v>
      </c>
      <c r="E2293">
        <v>2440</v>
      </c>
      <c r="F2293" s="3">
        <v>40702</v>
      </c>
      <c r="H2293" t="s">
        <v>15523</v>
      </c>
      <c r="I2293" t="s">
        <v>17175</v>
      </c>
      <c r="K2293" t="e">
        <v>#N/A</v>
      </c>
      <c r="S2293" s="3"/>
    </row>
    <row r="2294" spans="1:19" x14ac:dyDescent="0.25">
      <c r="A2294" t="s">
        <v>6766</v>
      </c>
      <c r="B2294" t="s">
        <v>6767</v>
      </c>
      <c r="C2294" t="s">
        <v>6768</v>
      </c>
      <c r="D2294" t="s">
        <v>23</v>
      </c>
      <c r="E2294">
        <v>4402</v>
      </c>
      <c r="F2294" s="3">
        <v>40702</v>
      </c>
      <c r="H2294" t="s">
        <v>15523</v>
      </c>
      <c r="I2294" t="s">
        <v>17176</v>
      </c>
      <c r="K2294" t="e">
        <v>#N/A</v>
      </c>
      <c r="S2294" s="3"/>
    </row>
    <row r="2295" spans="1:19" x14ac:dyDescent="0.25">
      <c r="A2295" t="s">
        <v>6769</v>
      </c>
      <c r="B2295" t="s">
        <v>6770</v>
      </c>
      <c r="C2295" t="s">
        <v>6771</v>
      </c>
      <c r="D2295" t="s">
        <v>23</v>
      </c>
      <c r="E2295">
        <v>4403</v>
      </c>
      <c r="F2295" s="3">
        <v>40702</v>
      </c>
      <c r="H2295" t="s">
        <v>15523</v>
      </c>
      <c r="I2295" t="s">
        <v>17177</v>
      </c>
      <c r="K2295" t="e">
        <v>#N/A</v>
      </c>
      <c r="S2295" s="3"/>
    </row>
    <row r="2296" spans="1:19" x14ac:dyDescent="0.25">
      <c r="A2296" t="s">
        <v>6772</v>
      </c>
      <c r="B2296" t="s">
        <v>6773</v>
      </c>
      <c r="C2296" t="s">
        <v>6774</v>
      </c>
      <c r="D2296" t="s">
        <v>23</v>
      </c>
      <c r="E2296">
        <v>5620</v>
      </c>
      <c r="F2296" s="3">
        <v>42591</v>
      </c>
      <c r="H2296" t="s">
        <v>15523</v>
      </c>
      <c r="I2296" t="s">
        <v>17178</v>
      </c>
      <c r="K2296" t="e">
        <v>#N/A</v>
      </c>
      <c r="S2296" s="3"/>
    </row>
    <row r="2297" spans="1:19" x14ac:dyDescent="0.25">
      <c r="A2297" t="s">
        <v>6775</v>
      </c>
      <c r="B2297" t="s">
        <v>6776</v>
      </c>
      <c r="C2297" t="s">
        <v>6777</v>
      </c>
      <c r="D2297" t="s">
        <v>23</v>
      </c>
      <c r="E2297">
        <v>1382</v>
      </c>
      <c r="F2297" s="3">
        <v>40702</v>
      </c>
      <c r="H2297" t="s">
        <v>15523</v>
      </c>
      <c r="I2297" t="s">
        <v>17179</v>
      </c>
      <c r="K2297" t="e">
        <v>#N/A</v>
      </c>
      <c r="S2297" s="3"/>
    </row>
    <row r="2298" spans="1:19" x14ac:dyDescent="0.25">
      <c r="A2298" t="s">
        <v>6778</v>
      </c>
      <c r="B2298" t="s">
        <v>6779</v>
      </c>
      <c r="C2298" t="s">
        <v>6780</v>
      </c>
      <c r="D2298" t="s">
        <v>23</v>
      </c>
      <c r="E2298">
        <v>5623</v>
      </c>
      <c r="F2298" s="3">
        <v>42591</v>
      </c>
      <c r="H2298" t="s">
        <v>15523</v>
      </c>
      <c r="I2298" t="s">
        <v>17180</v>
      </c>
      <c r="K2298" t="e">
        <v>#N/A</v>
      </c>
      <c r="S2298" s="3"/>
    </row>
    <row r="2299" spans="1:19" x14ac:dyDescent="0.25">
      <c r="A2299" t="s">
        <v>6781</v>
      </c>
      <c r="B2299" t="s">
        <v>6782</v>
      </c>
      <c r="C2299" t="s">
        <v>6783</v>
      </c>
      <c r="D2299" t="s">
        <v>23</v>
      </c>
      <c r="E2299">
        <v>4404</v>
      </c>
      <c r="F2299" s="3">
        <v>40702</v>
      </c>
      <c r="H2299" t="s">
        <v>15523</v>
      </c>
      <c r="I2299" t="s">
        <v>17181</v>
      </c>
      <c r="K2299" t="e">
        <v>#N/A</v>
      </c>
      <c r="S2299" s="3"/>
    </row>
    <row r="2300" spans="1:19" x14ac:dyDescent="0.25">
      <c r="A2300" t="s">
        <v>6784</v>
      </c>
      <c r="B2300" t="s">
        <v>6785</v>
      </c>
      <c r="C2300" t="s">
        <v>6786</v>
      </c>
      <c r="D2300" t="s">
        <v>23</v>
      </c>
      <c r="E2300">
        <v>4405</v>
      </c>
      <c r="F2300" s="3">
        <v>40702</v>
      </c>
      <c r="H2300" t="s">
        <v>15523</v>
      </c>
      <c r="I2300" t="s">
        <v>17182</v>
      </c>
      <c r="K2300" t="e">
        <v>#N/A</v>
      </c>
      <c r="S2300" s="3"/>
    </row>
    <row r="2301" spans="1:19" x14ac:dyDescent="0.25">
      <c r="A2301" t="s">
        <v>6787</v>
      </c>
      <c r="B2301" t="s">
        <v>6788</v>
      </c>
      <c r="C2301" t="s">
        <v>6789</v>
      </c>
      <c r="D2301" t="s">
        <v>23</v>
      </c>
      <c r="E2301">
        <v>2441</v>
      </c>
      <c r="F2301" s="3">
        <v>40702</v>
      </c>
      <c r="H2301" t="s">
        <v>15523</v>
      </c>
      <c r="I2301" t="s">
        <v>17183</v>
      </c>
      <c r="K2301" t="e">
        <v>#N/A</v>
      </c>
      <c r="S2301" s="3"/>
    </row>
    <row r="2302" spans="1:19" x14ac:dyDescent="0.25">
      <c r="A2302" t="s">
        <v>6790</v>
      </c>
      <c r="B2302" t="s">
        <v>6791</v>
      </c>
      <c r="C2302" t="s">
        <v>6792</v>
      </c>
      <c r="D2302" t="s">
        <v>23</v>
      </c>
      <c r="E2302">
        <v>4406</v>
      </c>
      <c r="F2302" s="3">
        <v>40702</v>
      </c>
      <c r="H2302" t="s">
        <v>15523</v>
      </c>
      <c r="I2302" t="s">
        <v>17184</v>
      </c>
      <c r="K2302" t="e">
        <v>#N/A</v>
      </c>
      <c r="S2302" s="3"/>
    </row>
    <row r="2303" spans="1:19" x14ac:dyDescent="0.25">
      <c r="A2303" t="s">
        <v>6793</v>
      </c>
      <c r="B2303" t="s">
        <v>6794</v>
      </c>
      <c r="C2303" t="s">
        <v>6795</v>
      </c>
      <c r="D2303" t="s">
        <v>23</v>
      </c>
      <c r="E2303">
        <v>4407</v>
      </c>
      <c r="F2303" s="3">
        <v>40702</v>
      </c>
      <c r="H2303" t="s">
        <v>15523</v>
      </c>
      <c r="I2303" t="s">
        <v>17185</v>
      </c>
      <c r="K2303" t="e">
        <v>#N/A</v>
      </c>
      <c r="S2303" s="3"/>
    </row>
    <row r="2304" spans="1:19" x14ac:dyDescent="0.25">
      <c r="A2304" t="s">
        <v>6796</v>
      </c>
      <c r="B2304" t="s">
        <v>6797</v>
      </c>
      <c r="C2304" t="s">
        <v>6798</v>
      </c>
      <c r="D2304" t="s">
        <v>23</v>
      </c>
      <c r="E2304">
        <v>4408</v>
      </c>
      <c r="F2304" s="3">
        <v>40702</v>
      </c>
      <c r="H2304" t="s">
        <v>15523</v>
      </c>
      <c r="I2304" t="s">
        <v>17186</v>
      </c>
      <c r="K2304" t="e">
        <v>#N/A</v>
      </c>
      <c r="S2304" s="3"/>
    </row>
    <row r="2305" spans="1:19" x14ac:dyDescent="0.25">
      <c r="A2305" t="s">
        <v>6799</v>
      </c>
      <c r="B2305" t="s">
        <v>6800</v>
      </c>
      <c r="C2305" t="s">
        <v>6801</v>
      </c>
      <c r="D2305" t="s">
        <v>23</v>
      </c>
      <c r="E2305">
        <v>1969</v>
      </c>
      <c r="F2305" s="3">
        <v>40702</v>
      </c>
      <c r="H2305" t="s">
        <v>15523</v>
      </c>
      <c r="I2305" t="s">
        <v>17187</v>
      </c>
      <c r="K2305" t="e">
        <v>#N/A</v>
      </c>
      <c r="S2305" s="3"/>
    </row>
    <row r="2306" spans="1:19" x14ac:dyDescent="0.25">
      <c r="A2306" t="s">
        <v>6802</v>
      </c>
      <c r="B2306" t="s">
        <v>6803</v>
      </c>
      <c r="C2306" t="s">
        <v>6804</v>
      </c>
      <c r="D2306" t="s">
        <v>23</v>
      </c>
      <c r="E2306">
        <v>5624</v>
      </c>
      <c r="F2306" s="3">
        <v>42591</v>
      </c>
      <c r="H2306" t="s">
        <v>15523</v>
      </c>
      <c r="I2306" t="s">
        <v>17188</v>
      </c>
      <c r="K2306" t="e">
        <v>#N/A</v>
      </c>
      <c r="S2306" s="3"/>
    </row>
    <row r="2307" spans="1:19" x14ac:dyDescent="0.25">
      <c r="A2307" t="s">
        <v>6805</v>
      </c>
      <c r="B2307" t="s">
        <v>6806</v>
      </c>
      <c r="C2307" t="s">
        <v>6807</v>
      </c>
      <c r="D2307" t="s">
        <v>23</v>
      </c>
      <c r="E2307">
        <v>2713</v>
      </c>
      <c r="F2307" s="3">
        <v>40702</v>
      </c>
      <c r="H2307" t="s">
        <v>15523</v>
      </c>
      <c r="I2307" t="s">
        <v>17189</v>
      </c>
      <c r="K2307" t="e">
        <v>#N/A</v>
      </c>
      <c r="S2307" s="3"/>
    </row>
    <row r="2308" spans="1:19" x14ac:dyDescent="0.25">
      <c r="A2308" t="s">
        <v>6808</v>
      </c>
      <c r="B2308" t="s">
        <v>6809</v>
      </c>
      <c r="C2308" t="s">
        <v>6810</v>
      </c>
      <c r="D2308" t="s">
        <v>23</v>
      </c>
      <c r="E2308">
        <v>4409</v>
      </c>
      <c r="F2308" s="3">
        <v>40702</v>
      </c>
      <c r="H2308" t="s">
        <v>15523</v>
      </c>
      <c r="I2308" t="s">
        <v>17190</v>
      </c>
      <c r="K2308" t="e">
        <v>#N/A</v>
      </c>
      <c r="S2308" s="3"/>
    </row>
    <row r="2309" spans="1:19" x14ac:dyDescent="0.25">
      <c r="A2309" t="s">
        <v>6811</v>
      </c>
      <c r="B2309" t="s">
        <v>6812</v>
      </c>
      <c r="C2309" t="s">
        <v>6813</v>
      </c>
      <c r="D2309" t="s">
        <v>23</v>
      </c>
      <c r="E2309">
        <v>4410</v>
      </c>
      <c r="F2309" s="3">
        <v>40702</v>
      </c>
      <c r="H2309" t="s">
        <v>15523</v>
      </c>
      <c r="I2309" t="s">
        <v>17191</v>
      </c>
      <c r="K2309" t="e">
        <v>#N/A</v>
      </c>
      <c r="S2309" s="3"/>
    </row>
    <row r="2310" spans="1:19" x14ac:dyDescent="0.25">
      <c r="A2310" t="s">
        <v>6814</v>
      </c>
      <c r="B2310" t="s">
        <v>6815</v>
      </c>
      <c r="C2310" t="s">
        <v>6816</v>
      </c>
      <c r="D2310" t="s">
        <v>23</v>
      </c>
      <c r="E2310">
        <v>4411</v>
      </c>
      <c r="F2310" s="3">
        <v>40702</v>
      </c>
      <c r="H2310" t="s">
        <v>15523</v>
      </c>
      <c r="I2310" t="s">
        <v>17192</v>
      </c>
      <c r="K2310" t="e">
        <v>#N/A</v>
      </c>
      <c r="S2310" s="3"/>
    </row>
    <row r="2311" spans="1:19" x14ac:dyDescent="0.25">
      <c r="A2311" t="s">
        <v>6817</v>
      </c>
      <c r="B2311" t="s">
        <v>6818</v>
      </c>
      <c r="C2311" t="s">
        <v>6819</v>
      </c>
      <c r="D2311" t="s">
        <v>23</v>
      </c>
      <c r="E2311">
        <v>4412</v>
      </c>
      <c r="F2311" s="3">
        <v>40702</v>
      </c>
      <c r="H2311" t="s">
        <v>15523</v>
      </c>
      <c r="I2311" t="s">
        <v>17193</v>
      </c>
      <c r="K2311" t="e">
        <v>#N/A</v>
      </c>
      <c r="S2311" s="3"/>
    </row>
    <row r="2312" spans="1:19" x14ac:dyDescent="0.25">
      <c r="A2312" t="s">
        <v>6820</v>
      </c>
      <c r="B2312" t="s">
        <v>6821</v>
      </c>
      <c r="C2312" t="s">
        <v>6822</v>
      </c>
      <c r="D2312" t="s">
        <v>23</v>
      </c>
      <c r="E2312">
        <v>4413</v>
      </c>
      <c r="F2312" s="3">
        <v>40702</v>
      </c>
      <c r="H2312" t="s">
        <v>15523</v>
      </c>
      <c r="I2312" t="s">
        <v>17194</v>
      </c>
      <c r="K2312" t="e">
        <v>#N/A</v>
      </c>
      <c r="S2312" s="3"/>
    </row>
    <row r="2313" spans="1:19" x14ac:dyDescent="0.25">
      <c r="A2313" t="s">
        <v>6823</v>
      </c>
      <c r="B2313" t="s">
        <v>6824</v>
      </c>
      <c r="C2313" t="s">
        <v>6825</v>
      </c>
      <c r="D2313" t="s">
        <v>23</v>
      </c>
      <c r="E2313">
        <v>4414</v>
      </c>
      <c r="F2313" s="3">
        <v>40702</v>
      </c>
      <c r="H2313" t="s">
        <v>15523</v>
      </c>
      <c r="I2313" t="s">
        <v>17195</v>
      </c>
      <c r="K2313" t="e">
        <v>#N/A</v>
      </c>
      <c r="S2313" s="3"/>
    </row>
    <row r="2314" spans="1:19" x14ac:dyDescent="0.25">
      <c r="A2314" t="s">
        <v>6826</v>
      </c>
      <c r="B2314" t="s">
        <v>6827</v>
      </c>
      <c r="C2314" t="s">
        <v>6828</v>
      </c>
      <c r="D2314" t="s">
        <v>23</v>
      </c>
      <c r="E2314">
        <v>90</v>
      </c>
      <c r="F2314" s="3">
        <v>40702</v>
      </c>
      <c r="H2314" t="s">
        <v>15523</v>
      </c>
      <c r="I2314" t="s">
        <v>17196</v>
      </c>
      <c r="K2314" t="e">
        <v>#N/A</v>
      </c>
      <c r="S2314" s="3"/>
    </row>
    <row r="2315" spans="1:19" x14ac:dyDescent="0.25">
      <c r="A2315" t="s">
        <v>6829</v>
      </c>
      <c r="B2315" t="s">
        <v>6830</v>
      </c>
      <c r="C2315" t="s">
        <v>6831</v>
      </c>
      <c r="D2315" t="s">
        <v>23</v>
      </c>
      <c r="E2315">
        <v>24</v>
      </c>
      <c r="F2315" s="3">
        <v>40702</v>
      </c>
      <c r="H2315" t="s">
        <v>15523</v>
      </c>
      <c r="I2315" t="s">
        <v>17197</v>
      </c>
      <c r="K2315" t="e">
        <v>#N/A</v>
      </c>
      <c r="S2315" s="3"/>
    </row>
    <row r="2316" spans="1:19" x14ac:dyDescent="0.25">
      <c r="A2316" t="s">
        <v>6832</v>
      </c>
      <c r="B2316" t="s">
        <v>6833</v>
      </c>
      <c r="C2316" t="s">
        <v>6834</v>
      </c>
      <c r="D2316" t="s">
        <v>23</v>
      </c>
      <c r="E2316">
        <v>14</v>
      </c>
      <c r="F2316" s="3">
        <v>40702</v>
      </c>
      <c r="H2316" t="s">
        <v>15523</v>
      </c>
      <c r="I2316" t="s">
        <v>17198</v>
      </c>
      <c r="K2316" t="e">
        <v>#N/A</v>
      </c>
      <c r="S2316" s="3"/>
    </row>
    <row r="2317" spans="1:19" x14ac:dyDescent="0.25">
      <c r="A2317" t="s">
        <v>6835</v>
      </c>
      <c r="B2317" t="s">
        <v>6836</v>
      </c>
      <c r="C2317" t="s">
        <v>6837</v>
      </c>
      <c r="D2317" t="s">
        <v>23</v>
      </c>
      <c r="E2317">
        <v>20</v>
      </c>
      <c r="F2317" s="3">
        <v>40702</v>
      </c>
      <c r="H2317" t="s">
        <v>15523</v>
      </c>
      <c r="I2317" t="s">
        <v>17199</v>
      </c>
      <c r="K2317" t="e">
        <v>#N/A</v>
      </c>
      <c r="S2317" s="3"/>
    </row>
    <row r="2318" spans="1:19" x14ac:dyDescent="0.25">
      <c r="A2318" t="s">
        <v>6838</v>
      </c>
      <c r="B2318" t="s">
        <v>6839</v>
      </c>
      <c r="C2318" t="s">
        <v>6840</v>
      </c>
      <c r="D2318" t="s">
        <v>23</v>
      </c>
      <c r="E2318">
        <v>22</v>
      </c>
      <c r="F2318" s="3">
        <v>40702</v>
      </c>
      <c r="H2318" t="s">
        <v>15523</v>
      </c>
      <c r="I2318" t="s">
        <v>17200</v>
      </c>
      <c r="K2318" t="e">
        <v>#N/A</v>
      </c>
      <c r="S2318" s="3"/>
    </row>
    <row r="2319" spans="1:19" x14ac:dyDescent="0.25">
      <c r="A2319" t="s">
        <v>6841</v>
      </c>
      <c r="B2319" t="s">
        <v>6842</v>
      </c>
      <c r="C2319" t="s">
        <v>6843</v>
      </c>
      <c r="D2319" t="s">
        <v>23</v>
      </c>
      <c r="E2319">
        <v>11</v>
      </c>
      <c r="F2319" s="3">
        <v>40702</v>
      </c>
      <c r="H2319" t="s">
        <v>15523</v>
      </c>
      <c r="I2319" t="s">
        <v>17201</v>
      </c>
      <c r="K2319" t="e">
        <v>#N/A</v>
      </c>
      <c r="S2319" s="3"/>
    </row>
    <row r="2320" spans="1:19" x14ac:dyDescent="0.25">
      <c r="A2320" t="s">
        <v>6844</v>
      </c>
      <c r="B2320" t="s">
        <v>6845</v>
      </c>
      <c r="C2320" t="s">
        <v>6846</v>
      </c>
      <c r="D2320" t="s">
        <v>23</v>
      </c>
      <c r="E2320">
        <v>1289</v>
      </c>
      <c r="F2320" s="3">
        <v>40702</v>
      </c>
      <c r="H2320" t="s">
        <v>15523</v>
      </c>
      <c r="I2320" t="s">
        <v>17202</v>
      </c>
      <c r="K2320" t="e">
        <v>#N/A</v>
      </c>
      <c r="S2320" s="3"/>
    </row>
    <row r="2321" spans="1:19" x14ac:dyDescent="0.25">
      <c r="A2321" t="s">
        <v>6847</v>
      </c>
      <c r="B2321" t="s">
        <v>6848</v>
      </c>
      <c r="C2321" t="s">
        <v>6849</v>
      </c>
      <c r="D2321" t="s">
        <v>23</v>
      </c>
      <c r="E2321">
        <v>5116</v>
      </c>
      <c r="F2321" s="3">
        <v>41851</v>
      </c>
      <c r="H2321" t="s">
        <v>15523</v>
      </c>
      <c r="I2321" t="s">
        <v>17203</v>
      </c>
      <c r="K2321" t="e">
        <v>#N/A</v>
      </c>
      <c r="S2321" s="3"/>
    </row>
    <row r="2322" spans="1:19" x14ac:dyDescent="0.25">
      <c r="A2322" t="s">
        <v>6850</v>
      </c>
      <c r="B2322" t="s">
        <v>6851</v>
      </c>
      <c r="C2322" t="s">
        <v>6852</v>
      </c>
      <c r="D2322" t="s">
        <v>23</v>
      </c>
      <c r="E2322">
        <v>81</v>
      </c>
      <c r="F2322" s="3">
        <v>41852</v>
      </c>
      <c r="H2322" t="s">
        <v>15523</v>
      </c>
      <c r="I2322" t="s">
        <v>17204</v>
      </c>
      <c r="K2322" t="e">
        <v>#N/A</v>
      </c>
      <c r="S2322" s="3"/>
    </row>
    <row r="2323" spans="1:19" x14ac:dyDescent="0.25">
      <c r="A2323" t="s">
        <v>6853</v>
      </c>
      <c r="B2323" t="s">
        <v>6854</v>
      </c>
      <c r="C2323" t="s">
        <v>6855</v>
      </c>
      <c r="D2323" t="s">
        <v>23</v>
      </c>
      <c r="E2323">
        <v>15</v>
      </c>
      <c r="F2323" s="3">
        <v>40702</v>
      </c>
      <c r="H2323" t="s">
        <v>15523</v>
      </c>
      <c r="I2323" t="s">
        <v>17205</v>
      </c>
      <c r="K2323" t="e">
        <v>#N/A</v>
      </c>
      <c r="S2323" s="3"/>
    </row>
    <row r="2324" spans="1:19" x14ac:dyDescent="0.25">
      <c r="A2324" t="s">
        <v>6856</v>
      </c>
      <c r="B2324" t="s">
        <v>6857</v>
      </c>
      <c r="C2324" t="s">
        <v>6858</v>
      </c>
      <c r="D2324" t="s">
        <v>23</v>
      </c>
      <c r="E2324">
        <v>4415</v>
      </c>
      <c r="F2324" s="3">
        <v>40702</v>
      </c>
      <c r="H2324" t="s">
        <v>15523</v>
      </c>
      <c r="I2324" t="s">
        <v>17206</v>
      </c>
      <c r="K2324" t="e">
        <v>#N/A</v>
      </c>
      <c r="S2324" s="3"/>
    </row>
    <row r="2325" spans="1:19" x14ac:dyDescent="0.25">
      <c r="A2325" t="s">
        <v>6859</v>
      </c>
      <c r="B2325" t="s">
        <v>6860</v>
      </c>
      <c r="C2325" t="s">
        <v>6861</v>
      </c>
      <c r="D2325" t="s">
        <v>23</v>
      </c>
      <c r="E2325">
        <v>21</v>
      </c>
      <c r="F2325" s="3">
        <v>40702</v>
      </c>
      <c r="H2325" t="s">
        <v>15523</v>
      </c>
      <c r="I2325" t="s">
        <v>17207</v>
      </c>
      <c r="K2325" t="e">
        <v>#N/A</v>
      </c>
      <c r="S2325" s="3"/>
    </row>
    <row r="2326" spans="1:19" x14ac:dyDescent="0.25">
      <c r="A2326" t="s">
        <v>6862</v>
      </c>
      <c r="B2326" t="s">
        <v>6863</v>
      </c>
      <c r="C2326" t="s">
        <v>6864</v>
      </c>
      <c r="D2326" t="s">
        <v>23</v>
      </c>
      <c r="E2326">
        <v>23</v>
      </c>
      <c r="F2326" s="3">
        <v>40702</v>
      </c>
      <c r="H2326" t="s">
        <v>15523</v>
      </c>
      <c r="I2326" t="s">
        <v>17208</v>
      </c>
      <c r="K2326" t="e">
        <v>#N/A</v>
      </c>
      <c r="S2326" s="3"/>
    </row>
    <row r="2327" spans="1:19" x14ac:dyDescent="0.25">
      <c r="A2327" t="s">
        <v>6865</v>
      </c>
      <c r="B2327" t="s">
        <v>6866</v>
      </c>
      <c r="C2327" t="s">
        <v>6867</v>
      </c>
      <c r="D2327" t="s">
        <v>23</v>
      </c>
      <c r="E2327">
        <v>79</v>
      </c>
      <c r="F2327" s="3">
        <v>40703</v>
      </c>
      <c r="H2327" t="s">
        <v>15523</v>
      </c>
      <c r="I2327" t="s">
        <v>17209</v>
      </c>
      <c r="K2327" t="e">
        <v>#N/A</v>
      </c>
      <c r="S2327" s="3"/>
    </row>
    <row r="2328" spans="1:19" x14ac:dyDescent="0.25">
      <c r="A2328" t="s">
        <v>6868</v>
      </c>
      <c r="B2328" t="s">
        <v>6869</v>
      </c>
      <c r="C2328" t="s">
        <v>6870</v>
      </c>
      <c r="D2328" t="s">
        <v>23</v>
      </c>
      <c r="E2328">
        <v>12</v>
      </c>
      <c r="F2328" s="3">
        <v>40702</v>
      </c>
      <c r="H2328" t="s">
        <v>15523</v>
      </c>
      <c r="I2328" t="s">
        <v>17210</v>
      </c>
      <c r="K2328" t="e">
        <v>#N/A</v>
      </c>
      <c r="S2328" s="3"/>
    </row>
    <row r="2329" spans="1:19" x14ac:dyDescent="0.25">
      <c r="A2329" t="s">
        <v>6871</v>
      </c>
      <c r="B2329" t="s">
        <v>6872</v>
      </c>
      <c r="C2329" t="s">
        <v>6873</v>
      </c>
      <c r="D2329" t="s">
        <v>23</v>
      </c>
      <c r="E2329">
        <v>13</v>
      </c>
      <c r="F2329" s="3">
        <v>40702</v>
      </c>
      <c r="H2329" t="s">
        <v>15523</v>
      </c>
      <c r="I2329" t="s">
        <v>17211</v>
      </c>
      <c r="K2329" t="e">
        <v>#N/A</v>
      </c>
      <c r="S2329" s="3"/>
    </row>
    <row r="2330" spans="1:19" x14ac:dyDescent="0.25">
      <c r="A2330" t="s">
        <v>6874</v>
      </c>
      <c r="B2330" t="s">
        <v>6875</v>
      </c>
      <c r="C2330" t="s">
        <v>6876</v>
      </c>
      <c r="D2330" t="s">
        <v>23</v>
      </c>
      <c r="E2330">
        <v>1290</v>
      </c>
      <c r="F2330" s="3">
        <v>40702</v>
      </c>
      <c r="H2330" t="s">
        <v>15523</v>
      </c>
      <c r="I2330" t="s">
        <v>17212</v>
      </c>
      <c r="K2330" t="e">
        <v>#N/A</v>
      </c>
      <c r="S2330" s="3"/>
    </row>
    <row r="2331" spans="1:19" x14ac:dyDescent="0.25">
      <c r="A2331" t="s">
        <v>6877</v>
      </c>
      <c r="B2331" t="s">
        <v>6878</v>
      </c>
      <c r="C2331" t="s">
        <v>6879</v>
      </c>
      <c r="D2331" t="s">
        <v>23</v>
      </c>
      <c r="E2331">
        <v>2228</v>
      </c>
      <c r="F2331" s="3">
        <v>40702</v>
      </c>
      <c r="H2331" t="s">
        <v>15523</v>
      </c>
      <c r="I2331" t="s">
        <v>17213</v>
      </c>
      <c r="K2331" t="e">
        <v>#N/A</v>
      </c>
      <c r="S2331" s="3"/>
    </row>
    <row r="2332" spans="1:19" x14ac:dyDescent="0.25">
      <c r="A2332" t="s">
        <v>6880</v>
      </c>
      <c r="B2332" t="s">
        <v>6881</v>
      </c>
      <c r="C2332" t="s">
        <v>6882</v>
      </c>
      <c r="D2332" t="s">
        <v>23</v>
      </c>
      <c r="E2332">
        <v>4418</v>
      </c>
      <c r="F2332" s="3">
        <v>40702</v>
      </c>
      <c r="H2332" t="s">
        <v>15523</v>
      </c>
      <c r="I2332" t="s">
        <v>17214</v>
      </c>
      <c r="K2332" t="e">
        <v>#N/A</v>
      </c>
      <c r="S2332" s="3"/>
    </row>
    <row r="2333" spans="1:19" x14ac:dyDescent="0.25">
      <c r="A2333" t="s">
        <v>6883</v>
      </c>
      <c r="B2333" t="s">
        <v>6884</v>
      </c>
      <c r="C2333" t="s">
        <v>6885</v>
      </c>
      <c r="D2333" t="s">
        <v>23</v>
      </c>
      <c r="E2333">
        <v>25</v>
      </c>
      <c r="F2333" s="3">
        <v>40702</v>
      </c>
      <c r="H2333" t="s">
        <v>15523</v>
      </c>
      <c r="I2333" t="s">
        <v>17215</v>
      </c>
      <c r="K2333" t="e">
        <v>#N/A</v>
      </c>
      <c r="S2333" s="3"/>
    </row>
    <row r="2334" spans="1:19" x14ac:dyDescent="0.25">
      <c r="A2334" t="s">
        <v>6886</v>
      </c>
      <c r="B2334" t="s">
        <v>6887</v>
      </c>
      <c r="C2334" t="s">
        <v>6888</v>
      </c>
      <c r="D2334" t="s">
        <v>23</v>
      </c>
      <c r="E2334">
        <v>4421</v>
      </c>
      <c r="F2334" s="3">
        <v>40702</v>
      </c>
      <c r="H2334" t="s">
        <v>15523</v>
      </c>
      <c r="I2334" t="s">
        <v>17216</v>
      </c>
      <c r="K2334" t="e">
        <v>#N/A</v>
      </c>
      <c r="S2334" s="3"/>
    </row>
    <row r="2335" spans="1:19" x14ac:dyDescent="0.25">
      <c r="A2335" t="s">
        <v>6889</v>
      </c>
      <c r="B2335" t="s">
        <v>6890</v>
      </c>
      <c r="C2335" t="s">
        <v>16179</v>
      </c>
      <c r="D2335" t="s">
        <v>23</v>
      </c>
      <c r="E2335">
        <v>5126</v>
      </c>
      <c r="F2335" s="3">
        <v>41976</v>
      </c>
      <c r="H2335" t="s">
        <v>15523</v>
      </c>
      <c r="I2335" t="s">
        <v>16180</v>
      </c>
      <c r="K2335" t="e">
        <v>#N/A</v>
      </c>
      <c r="S2335" s="3"/>
    </row>
    <row r="2336" spans="1:19" x14ac:dyDescent="0.25">
      <c r="A2336" t="s">
        <v>6891</v>
      </c>
      <c r="B2336" t="s">
        <v>6892</v>
      </c>
      <c r="C2336" t="s">
        <v>16179</v>
      </c>
      <c r="D2336" t="s">
        <v>2820</v>
      </c>
      <c r="E2336">
        <v>4173</v>
      </c>
      <c r="F2336" s="3">
        <v>40702</v>
      </c>
      <c r="H2336" t="s">
        <v>15523</v>
      </c>
      <c r="I2336" t="s">
        <v>16180</v>
      </c>
      <c r="K2336" t="e">
        <v>#N/A</v>
      </c>
      <c r="S2336" s="3"/>
    </row>
    <row r="2337" spans="1:19" x14ac:dyDescent="0.25">
      <c r="A2337" t="s">
        <v>6893</v>
      </c>
      <c r="B2337" t="s">
        <v>6894</v>
      </c>
      <c r="C2337" t="s">
        <v>6895</v>
      </c>
      <c r="D2337" t="s">
        <v>23</v>
      </c>
      <c r="E2337">
        <v>5195</v>
      </c>
      <c r="F2337" s="3">
        <v>42035</v>
      </c>
      <c r="H2337" t="s">
        <v>15523</v>
      </c>
      <c r="I2337" t="s">
        <v>17217</v>
      </c>
      <c r="K2337" t="e">
        <v>#N/A</v>
      </c>
      <c r="S2337" s="3"/>
    </row>
    <row r="2338" spans="1:19" x14ac:dyDescent="0.25">
      <c r="A2338" t="s">
        <v>6896</v>
      </c>
      <c r="B2338" t="s">
        <v>6897</v>
      </c>
      <c r="C2338" t="s">
        <v>6898</v>
      </c>
      <c r="D2338" t="s">
        <v>23</v>
      </c>
      <c r="E2338">
        <v>6002</v>
      </c>
      <c r="F2338" s="3">
        <v>43470</v>
      </c>
      <c r="H2338" t="s">
        <v>15523</v>
      </c>
      <c r="I2338" t="s">
        <v>17218</v>
      </c>
      <c r="K2338" t="e">
        <v>#N/A</v>
      </c>
      <c r="S2338" s="3"/>
    </row>
    <row r="2339" spans="1:19" x14ac:dyDescent="0.25">
      <c r="A2339" t="s">
        <v>6899</v>
      </c>
      <c r="B2339" t="s">
        <v>6900</v>
      </c>
      <c r="C2339" t="s">
        <v>6901</v>
      </c>
      <c r="D2339" t="s">
        <v>23</v>
      </c>
      <c r="E2339">
        <v>4437</v>
      </c>
      <c r="F2339" s="3">
        <v>40702</v>
      </c>
      <c r="H2339" t="s">
        <v>15523</v>
      </c>
      <c r="I2339" t="s">
        <v>17219</v>
      </c>
      <c r="K2339" t="e">
        <v>#N/A</v>
      </c>
      <c r="S2339" s="3"/>
    </row>
    <row r="2340" spans="1:19" x14ac:dyDescent="0.25">
      <c r="A2340" t="s">
        <v>6902</v>
      </c>
      <c r="B2340" t="s">
        <v>6903</v>
      </c>
      <c r="C2340" t="s">
        <v>6904</v>
      </c>
      <c r="D2340" t="s">
        <v>23</v>
      </c>
      <c r="E2340">
        <v>5735</v>
      </c>
      <c r="F2340" s="3">
        <v>42741</v>
      </c>
      <c r="H2340" t="s">
        <v>15523</v>
      </c>
      <c r="I2340" t="s">
        <v>17220</v>
      </c>
      <c r="K2340" t="e">
        <v>#N/A</v>
      </c>
      <c r="S2340" s="3"/>
    </row>
    <row r="2341" spans="1:19" x14ac:dyDescent="0.25">
      <c r="A2341" t="s">
        <v>6905</v>
      </c>
      <c r="B2341" t="s">
        <v>6906</v>
      </c>
      <c r="C2341" t="s">
        <v>6907</v>
      </c>
      <c r="D2341" t="s">
        <v>23</v>
      </c>
      <c r="E2341">
        <v>5736</v>
      </c>
      <c r="F2341" s="3">
        <v>42741</v>
      </c>
      <c r="H2341" t="s">
        <v>15523</v>
      </c>
      <c r="I2341" t="s">
        <v>17221</v>
      </c>
      <c r="K2341" t="e">
        <v>#N/A</v>
      </c>
      <c r="S2341" s="3"/>
    </row>
    <row r="2342" spans="1:19" x14ac:dyDescent="0.25">
      <c r="A2342" t="s">
        <v>6908</v>
      </c>
      <c r="B2342" t="s">
        <v>6909</v>
      </c>
      <c r="C2342" t="s">
        <v>6910</v>
      </c>
      <c r="D2342" t="s">
        <v>23</v>
      </c>
      <c r="E2342">
        <v>5738</v>
      </c>
      <c r="F2342" s="3">
        <v>42741</v>
      </c>
      <c r="H2342" t="s">
        <v>15523</v>
      </c>
      <c r="I2342" t="s">
        <v>17222</v>
      </c>
      <c r="K2342" t="e">
        <v>#N/A</v>
      </c>
      <c r="S2342" s="3"/>
    </row>
    <row r="2343" spans="1:19" x14ac:dyDescent="0.25">
      <c r="A2343" t="s">
        <v>6911</v>
      </c>
      <c r="B2343" t="s">
        <v>6912</v>
      </c>
      <c r="C2343" t="s">
        <v>6913</v>
      </c>
      <c r="D2343" t="s">
        <v>23</v>
      </c>
      <c r="E2343">
        <v>5935</v>
      </c>
      <c r="F2343" s="3">
        <v>43208</v>
      </c>
      <c r="H2343" t="s">
        <v>15523</v>
      </c>
      <c r="I2343" t="s">
        <v>17223</v>
      </c>
      <c r="K2343" t="e">
        <v>#N/A</v>
      </c>
      <c r="S2343" s="3"/>
    </row>
    <row r="2344" spans="1:19" x14ac:dyDescent="0.25">
      <c r="A2344" t="s">
        <v>6914</v>
      </c>
      <c r="B2344" t="s">
        <v>6915</v>
      </c>
      <c r="C2344" t="s">
        <v>6916</v>
      </c>
      <c r="D2344" t="s">
        <v>23</v>
      </c>
      <c r="E2344">
        <v>5936</v>
      </c>
      <c r="F2344" s="3">
        <v>43208</v>
      </c>
      <c r="H2344" t="s">
        <v>15523</v>
      </c>
      <c r="I2344" t="s">
        <v>17224</v>
      </c>
      <c r="K2344" t="e">
        <v>#N/A</v>
      </c>
      <c r="S2344" s="3"/>
    </row>
    <row r="2345" spans="1:19" x14ac:dyDescent="0.25">
      <c r="A2345" t="s">
        <v>6917</v>
      </c>
      <c r="B2345" t="s">
        <v>6918</v>
      </c>
      <c r="C2345" t="s">
        <v>6919</v>
      </c>
      <c r="D2345" t="s">
        <v>23</v>
      </c>
      <c r="E2345">
        <v>4438</v>
      </c>
      <c r="F2345" s="3">
        <v>40702</v>
      </c>
      <c r="H2345" t="s">
        <v>15523</v>
      </c>
      <c r="I2345" t="s">
        <v>17225</v>
      </c>
      <c r="K2345" t="e">
        <v>#N/A</v>
      </c>
      <c r="S2345" s="3"/>
    </row>
    <row r="2346" spans="1:19" x14ac:dyDescent="0.25">
      <c r="A2346" t="s">
        <v>6920</v>
      </c>
      <c r="B2346" t="s">
        <v>6921</v>
      </c>
      <c r="C2346" t="s">
        <v>6922</v>
      </c>
      <c r="D2346" t="s">
        <v>23</v>
      </c>
      <c r="E2346">
        <v>4439</v>
      </c>
      <c r="F2346" s="3">
        <v>40702</v>
      </c>
      <c r="H2346" t="s">
        <v>15523</v>
      </c>
      <c r="I2346" t="s">
        <v>17226</v>
      </c>
      <c r="K2346" t="e">
        <v>#N/A</v>
      </c>
      <c r="S2346" s="3"/>
    </row>
    <row r="2347" spans="1:19" x14ac:dyDescent="0.25">
      <c r="A2347" t="s">
        <v>6923</v>
      </c>
      <c r="B2347" t="s">
        <v>6924</v>
      </c>
      <c r="C2347" t="s">
        <v>6925</v>
      </c>
      <c r="D2347" t="s">
        <v>23</v>
      </c>
      <c r="E2347">
        <v>4440</v>
      </c>
      <c r="F2347" s="3">
        <v>40702</v>
      </c>
      <c r="H2347" t="s">
        <v>15523</v>
      </c>
      <c r="I2347" t="s">
        <v>17227</v>
      </c>
      <c r="K2347" t="e">
        <v>#N/A</v>
      </c>
      <c r="S2347" s="3"/>
    </row>
    <row r="2348" spans="1:19" x14ac:dyDescent="0.25">
      <c r="A2348" t="s">
        <v>6926</v>
      </c>
      <c r="B2348" t="s">
        <v>6927</v>
      </c>
      <c r="C2348" t="s">
        <v>6928</v>
      </c>
      <c r="D2348" t="s">
        <v>23</v>
      </c>
      <c r="E2348">
        <v>4441</v>
      </c>
      <c r="F2348" s="3">
        <v>40702</v>
      </c>
      <c r="H2348" t="s">
        <v>15523</v>
      </c>
      <c r="I2348" t="s">
        <v>17228</v>
      </c>
      <c r="K2348" t="e">
        <v>#N/A</v>
      </c>
      <c r="S2348" s="3"/>
    </row>
    <row r="2349" spans="1:19" x14ac:dyDescent="0.25">
      <c r="A2349" t="s">
        <v>6929</v>
      </c>
      <c r="B2349" t="s">
        <v>6930</v>
      </c>
      <c r="C2349" t="s">
        <v>6931</v>
      </c>
      <c r="D2349" t="s">
        <v>23</v>
      </c>
      <c r="E2349">
        <v>4442</v>
      </c>
      <c r="F2349" s="3">
        <v>40702</v>
      </c>
      <c r="H2349" t="s">
        <v>15523</v>
      </c>
      <c r="I2349" t="s">
        <v>17229</v>
      </c>
      <c r="K2349" t="e">
        <v>#N/A</v>
      </c>
      <c r="S2349" s="3"/>
    </row>
    <row r="2350" spans="1:19" x14ac:dyDescent="0.25">
      <c r="A2350" t="s">
        <v>6932</v>
      </c>
      <c r="B2350" t="s">
        <v>6933</v>
      </c>
      <c r="C2350" t="s">
        <v>6934</v>
      </c>
      <c r="D2350" t="s">
        <v>23</v>
      </c>
      <c r="E2350">
        <v>4443</v>
      </c>
      <c r="F2350" s="3">
        <v>40702</v>
      </c>
      <c r="H2350" t="s">
        <v>15523</v>
      </c>
      <c r="I2350" t="s">
        <v>17230</v>
      </c>
      <c r="K2350" t="e">
        <v>#N/A</v>
      </c>
      <c r="S2350" s="3"/>
    </row>
    <row r="2351" spans="1:19" x14ac:dyDescent="0.25">
      <c r="A2351" t="s">
        <v>6935</v>
      </c>
      <c r="B2351" t="s">
        <v>6936</v>
      </c>
      <c r="C2351" t="s">
        <v>6937</v>
      </c>
      <c r="D2351" t="s">
        <v>23</v>
      </c>
      <c r="E2351">
        <v>5973</v>
      </c>
      <c r="F2351" s="3">
        <v>43354</v>
      </c>
      <c r="H2351" t="s">
        <v>15523</v>
      </c>
      <c r="I2351" t="s">
        <v>17231</v>
      </c>
      <c r="K2351" t="e">
        <v>#N/A</v>
      </c>
      <c r="S2351" s="3"/>
    </row>
    <row r="2352" spans="1:19" x14ac:dyDescent="0.25">
      <c r="A2352" t="s">
        <v>6938</v>
      </c>
      <c r="B2352" t="s">
        <v>6939</v>
      </c>
      <c r="C2352" t="s">
        <v>6940</v>
      </c>
      <c r="D2352" t="s">
        <v>23</v>
      </c>
      <c r="E2352">
        <v>5972</v>
      </c>
      <c r="F2352" s="3">
        <v>43354</v>
      </c>
      <c r="H2352" t="s">
        <v>15523</v>
      </c>
      <c r="I2352" t="s">
        <v>17232</v>
      </c>
      <c r="K2352" t="e">
        <v>#N/A</v>
      </c>
      <c r="S2352" s="3"/>
    </row>
    <row r="2353" spans="1:19" x14ac:dyDescent="0.25">
      <c r="A2353" t="s">
        <v>6941</v>
      </c>
      <c r="B2353" t="s">
        <v>6942</v>
      </c>
      <c r="C2353" t="s">
        <v>6943</v>
      </c>
      <c r="D2353" t="s">
        <v>23</v>
      </c>
      <c r="E2353">
        <v>5970</v>
      </c>
      <c r="F2353" s="3">
        <v>43354</v>
      </c>
      <c r="H2353" t="s">
        <v>15523</v>
      </c>
      <c r="I2353" t="s">
        <v>17233</v>
      </c>
      <c r="K2353" t="e">
        <v>#N/A</v>
      </c>
      <c r="S2353" s="3"/>
    </row>
    <row r="2354" spans="1:19" x14ac:dyDescent="0.25">
      <c r="A2354" t="s">
        <v>6944</v>
      </c>
      <c r="B2354" t="s">
        <v>6945</v>
      </c>
      <c r="C2354" t="s">
        <v>6946</v>
      </c>
      <c r="D2354" t="s">
        <v>23</v>
      </c>
      <c r="E2354">
        <v>5971</v>
      </c>
      <c r="F2354" s="3">
        <v>43354</v>
      </c>
      <c r="H2354" t="s">
        <v>15523</v>
      </c>
      <c r="I2354" t="s">
        <v>17234</v>
      </c>
      <c r="K2354" t="e">
        <v>#N/A</v>
      </c>
      <c r="S2354" s="3"/>
    </row>
    <row r="2355" spans="1:19" x14ac:dyDescent="0.25">
      <c r="A2355" t="s">
        <v>6947</v>
      </c>
      <c r="B2355" t="s">
        <v>6948</v>
      </c>
      <c r="C2355" t="s">
        <v>6949</v>
      </c>
      <c r="D2355" t="s">
        <v>23</v>
      </c>
      <c r="E2355">
        <v>4445</v>
      </c>
      <c r="F2355" s="3">
        <v>40702</v>
      </c>
      <c r="H2355" t="s">
        <v>15523</v>
      </c>
      <c r="I2355" t="s">
        <v>17235</v>
      </c>
      <c r="K2355" t="e">
        <v>#N/A</v>
      </c>
      <c r="S2355" s="3"/>
    </row>
    <row r="2356" spans="1:19" x14ac:dyDescent="0.25">
      <c r="A2356" t="s">
        <v>6950</v>
      </c>
      <c r="B2356" t="s">
        <v>6951</v>
      </c>
      <c r="C2356" t="s">
        <v>6952</v>
      </c>
      <c r="D2356" t="s">
        <v>23</v>
      </c>
      <c r="E2356">
        <v>4446</v>
      </c>
      <c r="F2356" s="3">
        <v>40702</v>
      </c>
      <c r="H2356" t="s">
        <v>15523</v>
      </c>
      <c r="I2356" t="s">
        <v>17236</v>
      </c>
      <c r="K2356" t="e">
        <v>#N/A</v>
      </c>
      <c r="S2356" s="3"/>
    </row>
    <row r="2357" spans="1:19" x14ac:dyDescent="0.25">
      <c r="A2357" t="s">
        <v>6953</v>
      </c>
      <c r="B2357" t="s">
        <v>6954</v>
      </c>
      <c r="C2357" t="s">
        <v>6955</v>
      </c>
      <c r="D2357" t="s">
        <v>23</v>
      </c>
      <c r="E2357">
        <v>4447</v>
      </c>
      <c r="F2357" s="3">
        <v>40702</v>
      </c>
      <c r="H2357" t="s">
        <v>15523</v>
      </c>
      <c r="I2357" t="s">
        <v>17237</v>
      </c>
      <c r="K2357" t="e">
        <v>#N/A</v>
      </c>
      <c r="S2357" s="3"/>
    </row>
    <row r="2358" spans="1:19" x14ac:dyDescent="0.25">
      <c r="A2358" t="s">
        <v>6956</v>
      </c>
      <c r="B2358" t="s">
        <v>6957</v>
      </c>
      <c r="C2358" t="s">
        <v>6958</v>
      </c>
      <c r="D2358" t="s">
        <v>23</v>
      </c>
      <c r="E2358">
        <v>5974</v>
      </c>
      <c r="F2358" s="3">
        <v>43354</v>
      </c>
      <c r="H2358" t="s">
        <v>15523</v>
      </c>
      <c r="I2358" t="s">
        <v>17238</v>
      </c>
      <c r="K2358" t="e">
        <v>#N/A</v>
      </c>
      <c r="S2358" s="3"/>
    </row>
    <row r="2359" spans="1:19" x14ac:dyDescent="0.25">
      <c r="A2359" t="s">
        <v>6959</v>
      </c>
      <c r="B2359" t="s">
        <v>6960</v>
      </c>
      <c r="C2359" t="s">
        <v>6961</v>
      </c>
      <c r="D2359" t="s">
        <v>23</v>
      </c>
      <c r="E2359">
        <v>4448</v>
      </c>
      <c r="F2359" s="3">
        <v>40702</v>
      </c>
      <c r="H2359" t="s">
        <v>15523</v>
      </c>
      <c r="I2359" t="s">
        <v>17239</v>
      </c>
      <c r="K2359" t="e">
        <v>#N/A</v>
      </c>
      <c r="S2359" s="3"/>
    </row>
    <row r="2360" spans="1:19" x14ac:dyDescent="0.25">
      <c r="A2360" t="s">
        <v>6962</v>
      </c>
      <c r="B2360" t="s">
        <v>6963</v>
      </c>
      <c r="C2360" t="s">
        <v>6964</v>
      </c>
      <c r="D2360" t="s">
        <v>23</v>
      </c>
      <c r="E2360">
        <v>4449</v>
      </c>
      <c r="F2360" s="3">
        <v>40702</v>
      </c>
      <c r="H2360" t="s">
        <v>15523</v>
      </c>
      <c r="I2360" t="s">
        <v>17240</v>
      </c>
      <c r="K2360" t="e">
        <v>#N/A</v>
      </c>
      <c r="S2360" s="3"/>
    </row>
    <row r="2361" spans="1:19" x14ac:dyDescent="0.25">
      <c r="A2361" t="s">
        <v>6965</v>
      </c>
      <c r="B2361" t="s">
        <v>6966</v>
      </c>
      <c r="C2361" t="s">
        <v>6967</v>
      </c>
      <c r="D2361" t="s">
        <v>23</v>
      </c>
      <c r="E2361">
        <v>4450</v>
      </c>
      <c r="F2361" s="3">
        <v>40702</v>
      </c>
      <c r="H2361" t="s">
        <v>15523</v>
      </c>
      <c r="I2361" t="s">
        <v>17241</v>
      </c>
      <c r="K2361" t="e">
        <v>#N/A</v>
      </c>
      <c r="S2361" s="3"/>
    </row>
    <row r="2362" spans="1:19" x14ac:dyDescent="0.25">
      <c r="A2362" t="s">
        <v>6968</v>
      </c>
      <c r="B2362" t="s">
        <v>6969</v>
      </c>
      <c r="C2362" t="s">
        <v>6970</v>
      </c>
      <c r="D2362" t="s">
        <v>23</v>
      </c>
      <c r="E2362">
        <v>4451</v>
      </c>
      <c r="F2362" s="3">
        <v>40702</v>
      </c>
      <c r="H2362" t="s">
        <v>15523</v>
      </c>
      <c r="I2362" t="s">
        <v>17242</v>
      </c>
      <c r="K2362" t="e">
        <v>#N/A</v>
      </c>
      <c r="S2362" s="3"/>
    </row>
    <row r="2363" spans="1:19" x14ac:dyDescent="0.25">
      <c r="A2363" t="s">
        <v>6971</v>
      </c>
      <c r="B2363" t="s">
        <v>6972</v>
      </c>
      <c r="C2363" t="s">
        <v>6973</v>
      </c>
      <c r="D2363" t="s">
        <v>23</v>
      </c>
      <c r="E2363">
        <v>724</v>
      </c>
      <c r="F2363" s="3">
        <v>40702</v>
      </c>
      <c r="H2363" t="s">
        <v>15523</v>
      </c>
      <c r="I2363" t="s">
        <v>17243</v>
      </c>
      <c r="K2363" t="e">
        <v>#N/A</v>
      </c>
      <c r="S2363" s="3"/>
    </row>
    <row r="2364" spans="1:19" x14ac:dyDescent="0.25">
      <c r="A2364" t="s">
        <v>6974</v>
      </c>
      <c r="B2364" t="s">
        <v>6975</v>
      </c>
      <c r="C2364" t="s">
        <v>16179</v>
      </c>
      <c r="D2364" t="s">
        <v>47</v>
      </c>
      <c r="E2364">
        <v>1348</v>
      </c>
      <c r="F2364" s="3">
        <v>41456</v>
      </c>
      <c r="H2364" t="s">
        <v>15523</v>
      </c>
      <c r="I2364" t="s">
        <v>16180</v>
      </c>
      <c r="K2364" t="e">
        <v>#N/A</v>
      </c>
      <c r="S2364" s="3"/>
    </row>
    <row r="2365" spans="1:19" x14ac:dyDescent="0.25">
      <c r="A2365" t="s">
        <v>6976</v>
      </c>
      <c r="B2365" t="s">
        <v>6977</v>
      </c>
      <c r="C2365" t="s">
        <v>6978</v>
      </c>
      <c r="D2365" t="s">
        <v>23</v>
      </c>
      <c r="E2365">
        <v>66</v>
      </c>
      <c r="F2365" s="3">
        <v>40702</v>
      </c>
      <c r="H2365" t="s">
        <v>15523</v>
      </c>
      <c r="I2365" t="s">
        <v>17244</v>
      </c>
      <c r="K2365" t="e">
        <v>#N/A</v>
      </c>
      <c r="S2365" s="3"/>
    </row>
    <row r="2366" spans="1:19" x14ac:dyDescent="0.25">
      <c r="A2366" t="s">
        <v>6979</v>
      </c>
      <c r="B2366" t="s">
        <v>6980</v>
      </c>
      <c r="C2366" t="s">
        <v>6981</v>
      </c>
      <c r="D2366" t="s">
        <v>23</v>
      </c>
      <c r="E2366">
        <v>6018</v>
      </c>
      <c r="F2366" s="3">
        <v>43497</v>
      </c>
      <c r="H2366" t="s">
        <v>15523</v>
      </c>
      <c r="I2366" t="s">
        <v>17245</v>
      </c>
      <c r="K2366" t="e">
        <v>#N/A</v>
      </c>
      <c r="S2366" s="3"/>
    </row>
    <row r="2367" spans="1:19" x14ac:dyDescent="0.25">
      <c r="A2367" t="s">
        <v>6982</v>
      </c>
      <c r="B2367" t="s">
        <v>6983</v>
      </c>
      <c r="C2367" t="s">
        <v>16179</v>
      </c>
      <c r="D2367" t="s">
        <v>666</v>
      </c>
      <c r="E2367">
        <v>5994</v>
      </c>
      <c r="F2367" s="3">
        <v>43452</v>
      </c>
      <c r="H2367" t="s">
        <v>15523</v>
      </c>
      <c r="I2367" t="s">
        <v>16180</v>
      </c>
      <c r="K2367" t="e">
        <v>#N/A</v>
      </c>
      <c r="S2367" s="3"/>
    </row>
    <row r="2368" spans="1:19" x14ac:dyDescent="0.25">
      <c r="A2368" t="s">
        <v>6984</v>
      </c>
      <c r="B2368" t="s">
        <v>6985</v>
      </c>
      <c r="C2368" t="s">
        <v>16179</v>
      </c>
      <c r="D2368" t="s">
        <v>47</v>
      </c>
      <c r="E2368">
        <v>5169</v>
      </c>
      <c r="F2368" s="3">
        <v>42017</v>
      </c>
      <c r="H2368" t="s">
        <v>15523</v>
      </c>
      <c r="I2368" t="s">
        <v>16180</v>
      </c>
      <c r="K2368" t="e">
        <v>#N/A</v>
      </c>
      <c r="S2368" s="3"/>
    </row>
    <row r="2369" spans="1:19" x14ac:dyDescent="0.25">
      <c r="A2369" t="s">
        <v>6986</v>
      </c>
      <c r="B2369" t="s">
        <v>6987</v>
      </c>
      <c r="C2369" t="s">
        <v>16179</v>
      </c>
      <c r="D2369" t="s">
        <v>666</v>
      </c>
      <c r="E2369">
        <v>4181</v>
      </c>
      <c r="F2369" s="3">
        <v>40705</v>
      </c>
      <c r="H2369" t="s">
        <v>15523</v>
      </c>
      <c r="I2369" t="s">
        <v>16180</v>
      </c>
      <c r="K2369" t="e">
        <v>#N/A</v>
      </c>
      <c r="S2369" s="3"/>
    </row>
    <row r="2370" spans="1:19" x14ac:dyDescent="0.25">
      <c r="A2370" t="s">
        <v>6988</v>
      </c>
      <c r="B2370" t="s">
        <v>6989</v>
      </c>
      <c r="C2370" t="s">
        <v>16179</v>
      </c>
      <c r="D2370" t="s">
        <v>47</v>
      </c>
      <c r="E2370">
        <v>921</v>
      </c>
      <c r="F2370" s="3">
        <v>40702</v>
      </c>
      <c r="H2370" t="s">
        <v>15523</v>
      </c>
      <c r="I2370" t="s">
        <v>16180</v>
      </c>
      <c r="K2370" t="e">
        <v>#N/A</v>
      </c>
      <c r="S2370" s="3"/>
    </row>
    <row r="2371" spans="1:19" x14ac:dyDescent="0.25">
      <c r="A2371" t="s">
        <v>85</v>
      </c>
      <c r="B2371" t="s">
        <v>88</v>
      </c>
      <c r="C2371" t="s">
        <v>89</v>
      </c>
      <c r="D2371" t="s">
        <v>23</v>
      </c>
      <c r="E2371">
        <v>1334</v>
      </c>
      <c r="F2371" s="3">
        <v>40781</v>
      </c>
      <c r="H2371" t="s">
        <v>15523</v>
      </c>
      <c r="I2371" t="s">
        <v>17246</v>
      </c>
      <c r="K2371">
        <v>20</v>
      </c>
      <c r="S2371" s="3"/>
    </row>
    <row r="2372" spans="1:19" x14ac:dyDescent="0.25">
      <c r="A2372" t="s">
        <v>6990</v>
      </c>
      <c r="B2372" t="s">
        <v>6991</v>
      </c>
      <c r="C2372" t="s">
        <v>16179</v>
      </c>
      <c r="D2372" t="s">
        <v>666</v>
      </c>
      <c r="E2372">
        <v>5168</v>
      </c>
      <c r="F2372" s="3">
        <v>42014</v>
      </c>
      <c r="H2372" t="s">
        <v>15523</v>
      </c>
      <c r="I2372" t="s">
        <v>16180</v>
      </c>
      <c r="K2372" t="e">
        <v>#N/A</v>
      </c>
      <c r="S2372" s="3"/>
    </row>
    <row r="2373" spans="1:19" x14ac:dyDescent="0.25">
      <c r="A2373" t="s">
        <v>6992</v>
      </c>
      <c r="B2373" t="s">
        <v>6993</v>
      </c>
      <c r="C2373" t="s">
        <v>16179</v>
      </c>
      <c r="D2373" t="s">
        <v>2820</v>
      </c>
      <c r="E2373">
        <v>4186</v>
      </c>
      <c r="F2373" s="3">
        <v>40702</v>
      </c>
      <c r="H2373" t="s">
        <v>15523</v>
      </c>
      <c r="I2373" t="s">
        <v>16180</v>
      </c>
      <c r="K2373" t="e">
        <v>#N/A</v>
      </c>
      <c r="S2373" s="3"/>
    </row>
    <row r="2374" spans="1:19" x14ac:dyDescent="0.25">
      <c r="A2374" t="s">
        <v>6994</v>
      </c>
      <c r="B2374" t="s">
        <v>6995</v>
      </c>
      <c r="C2374" t="s">
        <v>16179</v>
      </c>
      <c r="D2374" t="s">
        <v>666</v>
      </c>
      <c r="E2374">
        <v>4187</v>
      </c>
      <c r="F2374" s="3">
        <v>40702</v>
      </c>
      <c r="H2374" t="s">
        <v>15523</v>
      </c>
      <c r="I2374" t="s">
        <v>16180</v>
      </c>
      <c r="K2374" t="e">
        <v>#N/A</v>
      </c>
      <c r="S2374" s="3"/>
    </row>
    <row r="2375" spans="1:19" x14ac:dyDescent="0.25">
      <c r="A2375" t="s">
        <v>6996</v>
      </c>
      <c r="B2375" t="s">
        <v>6997</v>
      </c>
      <c r="C2375" t="s">
        <v>6998</v>
      </c>
      <c r="D2375" t="s">
        <v>23</v>
      </c>
      <c r="E2375">
        <v>4512</v>
      </c>
      <c r="F2375" s="3">
        <v>40702</v>
      </c>
      <c r="H2375" t="s">
        <v>15523</v>
      </c>
      <c r="I2375" t="s">
        <v>17247</v>
      </c>
      <c r="K2375" t="e">
        <v>#N/A</v>
      </c>
      <c r="S2375" s="3"/>
    </row>
    <row r="2376" spans="1:19" x14ac:dyDescent="0.25">
      <c r="A2376" t="s">
        <v>6999</v>
      </c>
      <c r="B2376" t="s">
        <v>7000</v>
      </c>
      <c r="C2376" t="s">
        <v>16179</v>
      </c>
      <c r="D2376" t="s">
        <v>666</v>
      </c>
      <c r="E2376">
        <v>5088</v>
      </c>
      <c r="F2376" s="3">
        <v>41776</v>
      </c>
      <c r="H2376" t="s">
        <v>15523</v>
      </c>
      <c r="I2376" t="s">
        <v>16180</v>
      </c>
      <c r="K2376" t="e">
        <v>#N/A</v>
      </c>
      <c r="S2376" s="3"/>
    </row>
    <row r="2377" spans="1:19" x14ac:dyDescent="0.25">
      <c r="A2377" t="s">
        <v>7001</v>
      </c>
      <c r="B2377" t="s">
        <v>7002</v>
      </c>
      <c r="C2377" t="s">
        <v>16179</v>
      </c>
      <c r="D2377" t="s">
        <v>666</v>
      </c>
      <c r="E2377">
        <v>4196</v>
      </c>
      <c r="F2377" s="3">
        <v>40702</v>
      </c>
      <c r="H2377" t="s">
        <v>15523</v>
      </c>
      <c r="I2377" t="s">
        <v>16180</v>
      </c>
      <c r="K2377" t="e">
        <v>#N/A</v>
      </c>
      <c r="S2377" s="3"/>
    </row>
    <row r="2378" spans="1:19" x14ac:dyDescent="0.25">
      <c r="A2378" t="s">
        <v>7003</v>
      </c>
      <c r="B2378" t="s">
        <v>7004</v>
      </c>
      <c r="C2378" t="s">
        <v>16179</v>
      </c>
      <c r="D2378" t="s">
        <v>47</v>
      </c>
      <c r="E2378">
        <v>4090</v>
      </c>
      <c r="F2378" s="3">
        <v>40702</v>
      </c>
      <c r="H2378" t="s">
        <v>15523</v>
      </c>
      <c r="I2378" t="s">
        <v>16180</v>
      </c>
      <c r="K2378" t="e">
        <v>#N/A</v>
      </c>
      <c r="S2378" s="3"/>
    </row>
    <row r="2379" spans="1:19" x14ac:dyDescent="0.25">
      <c r="A2379" t="s">
        <v>546</v>
      </c>
      <c r="B2379" t="s">
        <v>548</v>
      </c>
      <c r="C2379" t="s">
        <v>549</v>
      </c>
      <c r="D2379" t="s">
        <v>23</v>
      </c>
      <c r="E2379">
        <v>4340</v>
      </c>
      <c r="F2379" s="3">
        <v>40915</v>
      </c>
      <c r="H2379" t="s">
        <v>15523</v>
      </c>
      <c r="I2379" t="s">
        <v>17248</v>
      </c>
      <c r="K2379">
        <v>143</v>
      </c>
      <c r="S2379" s="3"/>
    </row>
    <row r="2380" spans="1:19" x14ac:dyDescent="0.25">
      <c r="A2380" t="s">
        <v>7005</v>
      </c>
      <c r="B2380" t="s">
        <v>7006</v>
      </c>
      <c r="C2380" t="s">
        <v>7007</v>
      </c>
      <c r="D2380" t="s">
        <v>23</v>
      </c>
      <c r="E2380">
        <v>4341</v>
      </c>
      <c r="F2380" s="3">
        <v>40702</v>
      </c>
      <c r="H2380" t="s">
        <v>15523</v>
      </c>
      <c r="I2380" t="s">
        <v>17249</v>
      </c>
      <c r="K2380" t="e">
        <v>#N/A</v>
      </c>
      <c r="S2380" s="3"/>
    </row>
    <row r="2381" spans="1:19" x14ac:dyDescent="0.25">
      <c r="A2381" t="s">
        <v>7008</v>
      </c>
      <c r="B2381" t="s">
        <v>7009</v>
      </c>
      <c r="C2381" t="s">
        <v>7010</v>
      </c>
      <c r="D2381" t="s">
        <v>23</v>
      </c>
      <c r="E2381">
        <v>4342</v>
      </c>
      <c r="F2381" s="3">
        <v>40702</v>
      </c>
      <c r="H2381" t="s">
        <v>15523</v>
      </c>
      <c r="I2381" t="s">
        <v>17250</v>
      </c>
      <c r="K2381" t="e">
        <v>#N/A</v>
      </c>
      <c r="S2381" s="3"/>
    </row>
    <row r="2382" spans="1:19" x14ac:dyDescent="0.25">
      <c r="A2382" t="s">
        <v>7011</v>
      </c>
      <c r="B2382" t="s">
        <v>7012</v>
      </c>
      <c r="C2382" t="s">
        <v>7013</v>
      </c>
      <c r="D2382" t="s">
        <v>23</v>
      </c>
      <c r="E2382">
        <v>4343</v>
      </c>
      <c r="F2382" s="3">
        <v>40702</v>
      </c>
      <c r="H2382" t="s">
        <v>15523</v>
      </c>
      <c r="I2382" t="s">
        <v>17251</v>
      </c>
      <c r="K2382" t="e">
        <v>#N/A</v>
      </c>
      <c r="S2382" s="3"/>
    </row>
    <row r="2383" spans="1:19" x14ac:dyDescent="0.25">
      <c r="A2383" t="s">
        <v>510</v>
      </c>
      <c r="B2383" t="s">
        <v>512</v>
      </c>
      <c r="C2383" t="s">
        <v>513</v>
      </c>
      <c r="D2383" t="s">
        <v>23</v>
      </c>
      <c r="E2383">
        <v>1116</v>
      </c>
      <c r="F2383" s="3">
        <v>40702</v>
      </c>
      <c r="H2383" t="s">
        <v>15523</v>
      </c>
      <c r="I2383" t="s">
        <v>17252</v>
      </c>
      <c r="K2383">
        <v>134</v>
      </c>
      <c r="S2383" s="3"/>
    </row>
    <row r="2384" spans="1:19" x14ac:dyDescent="0.25">
      <c r="A2384" t="s">
        <v>7014</v>
      </c>
      <c r="B2384" t="s">
        <v>7015</v>
      </c>
      <c r="C2384" t="s">
        <v>7016</v>
      </c>
      <c r="D2384" t="s">
        <v>23</v>
      </c>
      <c r="E2384">
        <v>4352</v>
      </c>
      <c r="F2384" s="3">
        <v>40702</v>
      </c>
      <c r="H2384" t="s">
        <v>15523</v>
      </c>
      <c r="I2384" t="s">
        <v>17253</v>
      </c>
      <c r="K2384" t="e">
        <v>#N/A</v>
      </c>
      <c r="S2384" s="3"/>
    </row>
    <row r="2385" spans="1:19" x14ac:dyDescent="0.25">
      <c r="A2385" t="s">
        <v>7017</v>
      </c>
      <c r="B2385" t="s">
        <v>7018</v>
      </c>
      <c r="C2385" t="s">
        <v>7019</v>
      </c>
      <c r="D2385" t="s">
        <v>23</v>
      </c>
      <c r="E2385">
        <v>4353</v>
      </c>
      <c r="F2385" s="3">
        <v>40702</v>
      </c>
      <c r="H2385" t="s">
        <v>15523</v>
      </c>
      <c r="I2385" t="s">
        <v>17254</v>
      </c>
      <c r="K2385" t="e">
        <v>#N/A</v>
      </c>
      <c r="S2385" s="3"/>
    </row>
    <row r="2386" spans="1:19" x14ac:dyDescent="0.25">
      <c r="A2386" t="s">
        <v>7020</v>
      </c>
      <c r="B2386" t="s">
        <v>7021</v>
      </c>
      <c r="C2386" t="s">
        <v>7022</v>
      </c>
      <c r="D2386" t="s">
        <v>23</v>
      </c>
      <c r="E2386">
        <v>4354</v>
      </c>
      <c r="F2386" s="3">
        <v>40702</v>
      </c>
      <c r="H2386" t="s">
        <v>15523</v>
      </c>
      <c r="I2386" t="s">
        <v>17255</v>
      </c>
      <c r="K2386" t="e">
        <v>#N/A</v>
      </c>
      <c r="S2386" s="3"/>
    </row>
    <row r="2387" spans="1:19" x14ac:dyDescent="0.25">
      <c r="A2387" t="s">
        <v>7023</v>
      </c>
      <c r="B2387" t="s">
        <v>7024</v>
      </c>
      <c r="C2387" t="s">
        <v>7025</v>
      </c>
      <c r="D2387" t="s">
        <v>23</v>
      </c>
      <c r="E2387">
        <v>4355</v>
      </c>
      <c r="F2387" s="3">
        <v>40702</v>
      </c>
      <c r="H2387" t="s">
        <v>15523</v>
      </c>
      <c r="I2387" t="s">
        <v>17256</v>
      </c>
      <c r="K2387" t="e">
        <v>#N/A</v>
      </c>
      <c r="S2387" s="3"/>
    </row>
    <row r="2388" spans="1:19" x14ac:dyDescent="0.25">
      <c r="A2388" t="s">
        <v>366</v>
      </c>
      <c r="B2388" t="s">
        <v>368</v>
      </c>
      <c r="C2388" s="3">
        <v>2023568</v>
      </c>
      <c r="D2388" t="s">
        <v>23</v>
      </c>
      <c r="E2388">
        <v>1356</v>
      </c>
      <c r="F2388" s="3">
        <v>40704</v>
      </c>
      <c r="H2388" t="s">
        <v>15523</v>
      </c>
      <c r="I2388" t="s">
        <v>17257</v>
      </c>
      <c r="K2388">
        <v>98</v>
      </c>
      <c r="P2388" s="3"/>
      <c r="S2388" s="3"/>
    </row>
    <row r="2389" spans="1:19" x14ac:dyDescent="0.25">
      <c r="A2389" t="s">
        <v>7026</v>
      </c>
      <c r="B2389" t="s">
        <v>7027</v>
      </c>
      <c r="C2389" t="s">
        <v>7028</v>
      </c>
      <c r="D2389" t="s">
        <v>23</v>
      </c>
      <c r="E2389">
        <v>4422</v>
      </c>
      <c r="F2389" s="3">
        <v>40702</v>
      </c>
      <c r="H2389" t="s">
        <v>15523</v>
      </c>
      <c r="I2389" t="s">
        <v>17258</v>
      </c>
      <c r="K2389" t="e">
        <v>#N/A</v>
      </c>
      <c r="S2389" s="3"/>
    </row>
    <row r="2390" spans="1:19" x14ac:dyDescent="0.25">
      <c r="A2390" t="s">
        <v>7029</v>
      </c>
      <c r="B2390" t="s">
        <v>7030</v>
      </c>
      <c r="C2390" t="s">
        <v>7031</v>
      </c>
      <c r="D2390" t="s">
        <v>23</v>
      </c>
      <c r="E2390">
        <v>4423</v>
      </c>
      <c r="F2390" s="3">
        <v>41976</v>
      </c>
      <c r="H2390" t="s">
        <v>15523</v>
      </c>
      <c r="I2390" t="s">
        <v>17259</v>
      </c>
      <c r="K2390" t="e">
        <v>#N/A</v>
      </c>
      <c r="S2390" s="3"/>
    </row>
    <row r="2391" spans="1:19" x14ac:dyDescent="0.25">
      <c r="A2391" t="s">
        <v>7032</v>
      </c>
      <c r="B2391" t="s">
        <v>7033</v>
      </c>
      <c r="C2391" t="s">
        <v>7034</v>
      </c>
      <c r="D2391" t="s">
        <v>23</v>
      </c>
      <c r="E2391">
        <v>5240</v>
      </c>
      <c r="F2391" s="3">
        <v>42035</v>
      </c>
      <c r="H2391" t="s">
        <v>15523</v>
      </c>
      <c r="I2391" t="s">
        <v>17260</v>
      </c>
      <c r="K2391" t="e">
        <v>#N/A</v>
      </c>
      <c r="S2391" s="3"/>
    </row>
    <row r="2392" spans="1:19" x14ac:dyDescent="0.25">
      <c r="A2392" t="s">
        <v>7035</v>
      </c>
      <c r="B2392" t="s">
        <v>7036</v>
      </c>
      <c r="C2392" t="s">
        <v>7037</v>
      </c>
      <c r="D2392" t="s">
        <v>23</v>
      </c>
      <c r="E2392">
        <v>5325</v>
      </c>
      <c r="F2392" s="3">
        <v>42208</v>
      </c>
      <c r="H2392" t="s">
        <v>15523</v>
      </c>
      <c r="I2392" t="s">
        <v>17261</v>
      </c>
      <c r="K2392" t="e">
        <v>#N/A</v>
      </c>
      <c r="S2392" s="3"/>
    </row>
    <row r="2393" spans="1:19" x14ac:dyDescent="0.25">
      <c r="A2393" t="s">
        <v>7038</v>
      </c>
      <c r="B2393" t="s">
        <v>7039</v>
      </c>
      <c r="C2393" t="s">
        <v>7040</v>
      </c>
      <c r="D2393" t="s">
        <v>23</v>
      </c>
      <c r="E2393">
        <v>1385</v>
      </c>
      <c r="F2393" s="3">
        <v>40702</v>
      </c>
      <c r="H2393" t="s">
        <v>15523</v>
      </c>
      <c r="I2393" t="s">
        <v>17262</v>
      </c>
      <c r="K2393" t="e">
        <v>#N/A</v>
      </c>
      <c r="S2393" s="3"/>
    </row>
    <row r="2394" spans="1:19" x14ac:dyDescent="0.25">
      <c r="A2394" t="s">
        <v>7041</v>
      </c>
      <c r="B2394" t="s">
        <v>7042</v>
      </c>
      <c r="C2394" t="s">
        <v>7043</v>
      </c>
      <c r="D2394" t="s">
        <v>23</v>
      </c>
      <c r="E2394">
        <v>1387</v>
      </c>
      <c r="F2394" s="3">
        <v>40702</v>
      </c>
      <c r="H2394" t="s">
        <v>15523</v>
      </c>
      <c r="I2394" t="s">
        <v>17263</v>
      </c>
      <c r="K2394" t="e">
        <v>#N/A</v>
      </c>
      <c r="S2394" s="3"/>
    </row>
    <row r="2395" spans="1:19" x14ac:dyDescent="0.25">
      <c r="A2395" t="s">
        <v>7044</v>
      </c>
      <c r="B2395" t="s">
        <v>7045</v>
      </c>
      <c r="C2395" t="s">
        <v>7046</v>
      </c>
      <c r="D2395" t="s">
        <v>23</v>
      </c>
      <c r="E2395">
        <v>5190</v>
      </c>
      <c r="F2395" s="3">
        <v>42035</v>
      </c>
      <c r="H2395" t="s">
        <v>15523</v>
      </c>
      <c r="I2395" t="s">
        <v>17264</v>
      </c>
      <c r="K2395" t="e">
        <v>#N/A</v>
      </c>
      <c r="S2395" s="3"/>
    </row>
    <row r="2396" spans="1:19" x14ac:dyDescent="0.25">
      <c r="A2396" t="s">
        <v>7047</v>
      </c>
      <c r="B2396" t="s">
        <v>7048</v>
      </c>
      <c r="C2396" t="s">
        <v>7049</v>
      </c>
      <c r="D2396" t="s">
        <v>23</v>
      </c>
      <c r="E2396">
        <v>4426</v>
      </c>
      <c r="F2396" s="3">
        <v>40702</v>
      </c>
      <c r="H2396" t="s">
        <v>15523</v>
      </c>
      <c r="I2396" t="s">
        <v>17265</v>
      </c>
      <c r="K2396" t="e">
        <v>#N/A</v>
      </c>
      <c r="S2396" s="3"/>
    </row>
    <row r="2397" spans="1:19" x14ac:dyDescent="0.25">
      <c r="A2397" t="s">
        <v>7050</v>
      </c>
      <c r="B2397" t="s">
        <v>7051</v>
      </c>
      <c r="C2397" t="s">
        <v>7052</v>
      </c>
      <c r="D2397" t="s">
        <v>23</v>
      </c>
      <c r="E2397">
        <v>1390</v>
      </c>
      <c r="F2397" s="3">
        <v>40702</v>
      </c>
      <c r="H2397" t="s">
        <v>15523</v>
      </c>
      <c r="I2397" t="s">
        <v>17266</v>
      </c>
      <c r="K2397" t="e">
        <v>#N/A</v>
      </c>
      <c r="S2397" s="3"/>
    </row>
    <row r="2398" spans="1:19" x14ac:dyDescent="0.25">
      <c r="A2398" t="s">
        <v>799</v>
      </c>
      <c r="B2398" t="s">
        <v>800</v>
      </c>
      <c r="C2398" t="s">
        <v>15253</v>
      </c>
      <c r="D2398" t="s">
        <v>23</v>
      </c>
      <c r="E2398">
        <v>1455</v>
      </c>
      <c r="F2398" s="3">
        <v>40702</v>
      </c>
      <c r="H2398" t="s">
        <v>15523</v>
      </c>
      <c r="I2398" t="s">
        <v>17267</v>
      </c>
      <c r="K2398">
        <v>226</v>
      </c>
      <c r="S2398" s="3"/>
    </row>
    <row r="2399" spans="1:19" x14ac:dyDescent="0.25">
      <c r="A2399" t="s">
        <v>7053</v>
      </c>
      <c r="B2399" t="s">
        <v>7054</v>
      </c>
      <c r="C2399" t="s">
        <v>7055</v>
      </c>
      <c r="D2399" t="s">
        <v>23</v>
      </c>
      <c r="E2399">
        <v>5185</v>
      </c>
      <c r="F2399" s="3">
        <v>42035</v>
      </c>
      <c r="H2399" t="s">
        <v>15523</v>
      </c>
      <c r="I2399" t="s">
        <v>17268</v>
      </c>
      <c r="K2399" t="e">
        <v>#N/A</v>
      </c>
      <c r="S2399" s="3"/>
    </row>
    <row r="2400" spans="1:19" x14ac:dyDescent="0.25">
      <c r="A2400" t="s">
        <v>7056</v>
      </c>
      <c r="B2400" t="s">
        <v>7057</v>
      </c>
      <c r="C2400" t="s">
        <v>7058</v>
      </c>
      <c r="D2400" t="s">
        <v>23</v>
      </c>
      <c r="E2400">
        <v>4425</v>
      </c>
      <c r="F2400" s="3">
        <v>40702</v>
      </c>
      <c r="H2400" t="s">
        <v>15523</v>
      </c>
      <c r="I2400" t="s">
        <v>17269</v>
      </c>
      <c r="K2400" t="e">
        <v>#N/A</v>
      </c>
      <c r="S2400" s="3"/>
    </row>
    <row r="2401" spans="1:19" x14ac:dyDescent="0.25">
      <c r="A2401" t="s">
        <v>7059</v>
      </c>
      <c r="B2401" t="s">
        <v>7060</v>
      </c>
      <c r="C2401" t="s">
        <v>7061</v>
      </c>
      <c r="D2401" t="s">
        <v>23</v>
      </c>
      <c r="E2401">
        <v>5576</v>
      </c>
      <c r="F2401" s="3">
        <v>42452</v>
      </c>
      <c r="H2401" t="s">
        <v>15523</v>
      </c>
      <c r="I2401" t="s">
        <v>17270</v>
      </c>
      <c r="K2401" t="e">
        <v>#N/A</v>
      </c>
      <c r="S2401" s="3"/>
    </row>
    <row r="2402" spans="1:19" x14ac:dyDescent="0.25">
      <c r="A2402" t="s">
        <v>7062</v>
      </c>
      <c r="B2402" t="s">
        <v>7063</v>
      </c>
      <c r="C2402" t="s">
        <v>7064</v>
      </c>
      <c r="D2402" t="s">
        <v>23</v>
      </c>
      <c r="E2402">
        <v>4427</v>
      </c>
      <c r="F2402" s="3">
        <v>40702</v>
      </c>
      <c r="H2402" t="s">
        <v>15523</v>
      </c>
      <c r="I2402" t="s">
        <v>17271</v>
      </c>
      <c r="K2402" t="e">
        <v>#N/A</v>
      </c>
      <c r="S2402" s="3"/>
    </row>
    <row r="2403" spans="1:19" x14ac:dyDescent="0.25">
      <c r="A2403" t="s">
        <v>7065</v>
      </c>
      <c r="B2403" t="s">
        <v>7066</v>
      </c>
      <c r="C2403" t="s">
        <v>7067</v>
      </c>
      <c r="D2403" t="s">
        <v>23</v>
      </c>
      <c r="E2403">
        <v>4428</v>
      </c>
      <c r="F2403" s="3">
        <v>40702</v>
      </c>
      <c r="H2403" t="s">
        <v>15523</v>
      </c>
      <c r="I2403" t="s">
        <v>17272</v>
      </c>
      <c r="K2403" t="e">
        <v>#N/A</v>
      </c>
      <c r="S2403" s="3"/>
    </row>
    <row r="2404" spans="1:19" x14ac:dyDescent="0.25">
      <c r="A2404" t="s">
        <v>426</v>
      </c>
      <c r="B2404" t="s">
        <v>428</v>
      </c>
      <c r="C2404" s="3">
        <v>2023781</v>
      </c>
      <c r="D2404" t="s">
        <v>23</v>
      </c>
      <c r="E2404">
        <v>4470</v>
      </c>
      <c r="F2404" s="3">
        <v>40915</v>
      </c>
      <c r="H2404" t="s">
        <v>15523</v>
      </c>
      <c r="I2404" t="s">
        <v>17273</v>
      </c>
      <c r="K2404">
        <v>113</v>
      </c>
      <c r="P2404" s="3"/>
      <c r="S2404" s="3"/>
    </row>
    <row r="2405" spans="1:19" x14ac:dyDescent="0.25">
      <c r="A2405" t="s">
        <v>518</v>
      </c>
      <c r="B2405" t="s">
        <v>520</v>
      </c>
      <c r="C2405" s="3">
        <v>2023663</v>
      </c>
      <c r="D2405" t="s">
        <v>23</v>
      </c>
      <c r="E2405">
        <v>4472</v>
      </c>
      <c r="F2405" s="3">
        <v>40915</v>
      </c>
      <c r="H2405" t="s">
        <v>15523</v>
      </c>
      <c r="I2405" t="s">
        <v>17274</v>
      </c>
      <c r="K2405">
        <v>136</v>
      </c>
      <c r="P2405" s="3"/>
      <c r="S2405" s="3"/>
    </row>
    <row r="2406" spans="1:19" x14ac:dyDescent="0.25">
      <c r="A2406" t="s">
        <v>7068</v>
      </c>
      <c r="B2406" t="s">
        <v>7069</v>
      </c>
      <c r="C2406" t="s">
        <v>7070</v>
      </c>
      <c r="D2406" t="s">
        <v>23</v>
      </c>
      <c r="E2406">
        <v>4473</v>
      </c>
      <c r="F2406" s="3">
        <v>40702</v>
      </c>
      <c r="H2406" t="s">
        <v>15523</v>
      </c>
      <c r="I2406" t="s">
        <v>17275</v>
      </c>
      <c r="K2406" t="e">
        <v>#N/A</v>
      </c>
      <c r="S2406" s="3"/>
    </row>
    <row r="2407" spans="1:19" x14ac:dyDescent="0.25">
      <c r="A2407" t="s">
        <v>7071</v>
      </c>
      <c r="B2407" t="s">
        <v>7072</v>
      </c>
      <c r="C2407" t="s">
        <v>16179</v>
      </c>
      <c r="D2407" t="s">
        <v>23</v>
      </c>
      <c r="E2407">
        <v>4185</v>
      </c>
      <c r="F2407" s="3">
        <v>40781</v>
      </c>
      <c r="H2407" t="s">
        <v>15523</v>
      </c>
      <c r="I2407" t="s">
        <v>16180</v>
      </c>
      <c r="K2407" t="e">
        <v>#N/A</v>
      </c>
      <c r="S2407" s="3"/>
    </row>
    <row r="2408" spans="1:19" x14ac:dyDescent="0.25">
      <c r="A2408" t="s">
        <v>418</v>
      </c>
      <c r="B2408" t="s">
        <v>420</v>
      </c>
      <c r="C2408" t="s">
        <v>421</v>
      </c>
      <c r="D2408" t="s">
        <v>23</v>
      </c>
      <c r="E2408">
        <v>1414</v>
      </c>
      <c r="F2408" s="3">
        <v>40702</v>
      </c>
      <c r="H2408" t="s">
        <v>15523</v>
      </c>
      <c r="I2408" t="s">
        <v>17276</v>
      </c>
      <c r="K2408">
        <v>111</v>
      </c>
      <c r="S2408" s="3"/>
    </row>
    <row r="2409" spans="1:19" x14ac:dyDescent="0.25">
      <c r="A2409" t="s">
        <v>494</v>
      </c>
      <c r="B2409" t="s">
        <v>496</v>
      </c>
      <c r="C2409" s="3">
        <v>2023600</v>
      </c>
      <c r="D2409" t="s">
        <v>23</v>
      </c>
      <c r="E2409">
        <v>1410</v>
      </c>
      <c r="F2409" s="3">
        <v>40704</v>
      </c>
      <c r="H2409" t="s">
        <v>15523</v>
      </c>
      <c r="I2409" t="s">
        <v>17277</v>
      </c>
      <c r="K2409">
        <v>130</v>
      </c>
      <c r="P2409" s="3"/>
      <c r="S2409" s="3"/>
    </row>
    <row r="2410" spans="1:19" x14ac:dyDescent="0.25">
      <c r="A2410" t="s">
        <v>7073</v>
      </c>
      <c r="B2410" t="s">
        <v>7074</v>
      </c>
      <c r="C2410" t="s">
        <v>16179</v>
      </c>
      <c r="D2410" t="s">
        <v>23</v>
      </c>
      <c r="E2410">
        <v>4188</v>
      </c>
      <c r="F2410" s="3">
        <v>40781</v>
      </c>
      <c r="H2410" t="s">
        <v>15523</v>
      </c>
      <c r="I2410" t="s">
        <v>16180</v>
      </c>
      <c r="K2410" t="e">
        <v>#N/A</v>
      </c>
      <c r="S2410" s="3"/>
    </row>
    <row r="2411" spans="1:19" x14ac:dyDescent="0.25">
      <c r="A2411" t="s">
        <v>7075</v>
      </c>
      <c r="B2411" t="s">
        <v>7076</v>
      </c>
      <c r="C2411" t="s">
        <v>16179</v>
      </c>
      <c r="D2411" t="s">
        <v>47</v>
      </c>
      <c r="E2411">
        <v>4680</v>
      </c>
      <c r="F2411" s="3">
        <v>42378</v>
      </c>
      <c r="H2411" t="s">
        <v>15523</v>
      </c>
      <c r="I2411" t="s">
        <v>16180</v>
      </c>
      <c r="K2411" t="e">
        <v>#N/A</v>
      </c>
      <c r="S2411" s="3"/>
    </row>
    <row r="2412" spans="1:19" x14ac:dyDescent="0.25">
      <c r="A2412" t="s">
        <v>7077</v>
      </c>
      <c r="B2412" t="s">
        <v>7078</v>
      </c>
      <c r="C2412" t="s">
        <v>16179</v>
      </c>
      <c r="D2412" t="s">
        <v>47</v>
      </c>
      <c r="E2412">
        <v>4666</v>
      </c>
      <c r="F2412" s="3">
        <v>42378</v>
      </c>
      <c r="H2412" t="s">
        <v>15523</v>
      </c>
      <c r="I2412" t="s">
        <v>16180</v>
      </c>
      <c r="K2412" t="e">
        <v>#N/A</v>
      </c>
      <c r="S2412" s="3"/>
    </row>
    <row r="2413" spans="1:19" x14ac:dyDescent="0.25">
      <c r="A2413" t="s">
        <v>558</v>
      </c>
      <c r="B2413" t="s">
        <v>560</v>
      </c>
      <c r="C2413" s="3">
        <v>2023631</v>
      </c>
      <c r="D2413" t="s">
        <v>23</v>
      </c>
      <c r="E2413">
        <v>4515</v>
      </c>
      <c r="F2413" s="3">
        <v>40915</v>
      </c>
      <c r="H2413" t="s">
        <v>15523</v>
      </c>
      <c r="I2413" t="s">
        <v>17278</v>
      </c>
      <c r="K2413">
        <v>146</v>
      </c>
      <c r="P2413" s="3"/>
      <c r="S2413" s="3"/>
    </row>
    <row r="2414" spans="1:19" x14ac:dyDescent="0.25">
      <c r="A2414" t="s">
        <v>7079</v>
      </c>
      <c r="B2414" t="s">
        <v>7080</v>
      </c>
      <c r="C2414" t="s">
        <v>7081</v>
      </c>
      <c r="D2414" t="s">
        <v>23</v>
      </c>
      <c r="E2414">
        <v>4516</v>
      </c>
      <c r="F2414" s="3">
        <v>40702</v>
      </c>
      <c r="H2414" t="s">
        <v>15523</v>
      </c>
      <c r="I2414" t="s">
        <v>17279</v>
      </c>
      <c r="K2414" t="e">
        <v>#N/A</v>
      </c>
      <c r="S2414" s="3"/>
    </row>
    <row r="2415" spans="1:19" x14ac:dyDescent="0.25">
      <c r="A2415" t="s">
        <v>7082</v>
      </c>
      <c r="B2415" t="s">
        <v>7083</v>
      </c>
      <c r="C2415" t="s">
        <v>7084</v>
      </c>
      <c r="D2415" t="s">
        <v>23</v>
      </c>
      <c r="E2415">
        <v>4517</v>
      </c>
      <c r="F2415" s="3">
        <v>40702</v>
      </c>
      <c r="H2415" t="s">
        <v>15523</v>
      </c>
      <c r="I2415" t="s">
        <v>17280</v>
      </c>
      <c r="K2415" t="e">
        <v>#N/A</v>
      </c>
      <c r="S2415" s="3"/>
    </row>
    <row r="2416" spans="1:19" x14ac:dyDescent="0.25">
      <c r="A2416" t="s">
        <v>7085</v>
      </c>
      <c r="B2416" t="s">
        <v>7086</v>
      </c>
      <c r="C2416" t="s">
        <v>7087</v>
      </c>
      <c r="D2416" t="s">
        <v>23</v>
      </c>
      <c r="E2416">
        <v>5528</v>
      </c>
      <c r="F2416" s="3">
        <v>42333</v>
      </c>
      <c r="H2416" t="s">
        <v>15523</v>
      </c>
      <c r="I2416" t="s">
        <v>17281</v>
      </c>
      <c r="K2416" t="e">
        <v>#N/A</v>
      </c>
      <c r="S2416" s="3"/>
    </row>
    <row r="2417" spans="1:19" x14ac:dyDescent="0.25">
      <c r="A2417" t="s">
        <v>7088</v>
      </c>
      <c r="B2417" t="s">
        <v>7089</v>
      </c>
      <c r="C2417" t="s">
        <v>7090</v>
      </c>
      <c r="D2417" t="s">
        <v>23</v>
      </c>
      <c r="E2417">
        <v>4518</v>
      </c>
      <c r="F2417" s="3">
        <v>40702</v>
      </c>
      <c r="H2417" t="s">
        <v>15523</v>
      </c>
      <c r="I2417" t="s">
        <v>17282</v>
      </c>
      <c r="K2417" t="e">
        <v>#N/A</v>
      </c>
      <c r="S2417" s="3"/>
    </row>
    <row r="2418" spans="1:19" x14ac:dyDescent="0.25">
      <c r="A2418" t="s">
        <v>7091</v>
      </c>
      <c r="B2418" t="s">
        <v>7092</v>
      </c>
      <c r="C2418" t="s">
        <v>7093</v>
      </c>
      <c r="D2418" t="s">
        <v>23</v>
      </c>
      <c r="E2418">
        <v>1445</v>
      </c>
      <c r="F2418" s="3">
        <v>40702</v>
      </c>
      <c r="H2418" t="s">
        <v>15523</v>
      </c>
      <c r="I2418" t="s">
        <v>17283</v>
      </c>
      <c r="K2418" t="e">
        <v>#N/A</v>
      </c>
      <c r="S2418" s="3"/>
    </row>
    <row r="2419" spans="1:19" x14ac:dyDescent="0.25">
      <c r="A2419" t="s">
        <v>7094</v>
      </c>
      <c r="B2419" t="s">
        <v>7095</v>
      </c>
      <c r="C2419" t="s">
        <v>16179</v>
      </c>
      <c r="D2419" t="s">
        <v>47</v>
      </c>
      <c r="E2419">
        <v>3300</v>
      </c>
      <c r="F2419" s="3">
        <v>40702</v>
      </c>
      <c r="H2419" t="s">
        <v>15523</v>
      </c>
      <c r="I2419" t="s">
        <v>16180</v>
      </c>
      <c r="K2419" t="e">
        <v>#N/A</v>
      </c>
      <c r="S2419" s="3"/>
    </row>
    <row r="2420" spans="1:19" x14ac:dyDescent="0.25">
      <c r="A2420" t="s">
        <v>7096</v>
      </c>
      <c r="B2420" t="s">
        <v>7097</v>
      </c>
      <c r="C2420" t="s">
        <v>7098</v>
      </c>
      <c r="D2420" t="s">
        <v>23</v>
      </c>
      <c r="E2420">
        <v>5274</v>
      </c>
      <c r="F2420" s="3">
        <v>42055</v>
      </c>
      <c r="H2420" t="s">
        <v>15523</v>
      </c>
      <c r="I2420" t="s">
        <v>17284</v>
      </c>
      <c r="K2420" t="e">
        <v>#N/A</v>
      </c>
      <c r="S2420" s="3"/>
    </row>
    <row r="2421" spans="1:19" x14ac:dyDescent="0.25">
      <c r="A2421" t="s">
        <v>7099</v>
      </c>
      <c r="B2421" t="s">
        <v>7100</v>
      </c>
      <c r="C2421" t="s">
        <v>16179</v>
      </c>
      <c r="D2421" t="s">
        <v>47</v>
      </c>
      <c r="E2421">
        <v>4245</v>
      </c>
      <c r="F2421" s="3">
        <v>41852</v>
      </c>
      <c r="H2421" t="s">
        <v>15523</v>
      </c>
      <c r="I2421" t="s">
        <v>16180</v>
      </c>
      <c r="K2421" t="e">
        <v>#N/A</v>
      </c>
      <c r="S2421" s="3"/>
    </row>
    <row r="2422" spans="1:19" x14ac:dyDescent="0.25">
      <c r="A2422" t="s">
        <v>7101</v>
      </c>
      <c r="B2422" t="s">
        <v>7102</v>
      </c>
      <c r="C2422" t="s">
        <v>7103</v>
      </c>
      <c r="D2422" t="s">
        <v>23</v>
      </c>
      <c r="E2422">
        <v>4549</v>
      </c>
      <c r="F2422" s="3">
        <v>40702</v>
      </c>
      <c r="H2422" t="s">
        <v>15523</v>
      </c>
      <c r="I2422" t="s">
        <v>17285</v>
      </c>
      <c r="K2422" t="e">
        <v>#N/A</v>
      </c>
      <c r="S2422" s="3"/>
    </row>
    <row r="2423" spans="1:19" x14ac:dyDescent="0.25">
      <c r="A2423" t="s">
        <v>7104</v>
      </c>
      <c r="B2423" t="s">
        <v>7105</v>
      </c>
      <c r="C2423" t="s">
        <v>16179</v>
      </c>
      <c r="D2423" t="s">
        <v>666</v>
      </c>
      <c r="E2423">
        <v>5266</v>
      </c>
      <c r="F2423" s="3">
        <v>42047</v>
      </c>
      <c r="H2423" t="s">
        <v>15523</v>
      </c>
      <c r="I2423" t="s">
        <v>16180</v>
      </c>
      <c r="K2423" t="e">
        <v>#N/A</v>
      </c>
      <c r="S2423" s="3"/>
    </row>
    <row r="2424" spans="1:19" x14ac:dyDescent="0.25">
      <c r="A2424" t="s">
        <v>7106</v>
      </c>
      <c r="B2424" t="s">
        <v>7107</v>
      </c>
      <c r="C2424" t="s">
        <v>7108</v>
      </c>
      <c r="D2424" t="s">
        <v>23</v>
      </c>
      <c r="E2424">
        <v>4558</v>
      </c>
      <c r="F2424" s="3">
        <v>40702</v>
      </c>
      <c r="H2424" t="s">
        <v>15523</v>
      </c>
      <c r="I2424" t="s">
        <v>17286</v>
      </c>
      <c r="K2424" t="e">
        <v>#N/A</v>
      </c>
      <c r="S2424" s="3"/>
    </row>
    <row r="2425" spans="1:19" x14ac:dyDescent="0.25">
      <c r="A2425" t="s">
        <v>7109</v>
      </c>
      <c r="B2425" t="s">
        <v>7110</v>
      </c>
      <c r="C2425" t="s">
        <v>16179</v>
      </c>
      <c r="D2425" t="s">
        <v>47</v>
      </c>
      <c r="E2425">
        <v>4094</v>
      </c>
      <c r="F2425" s="3">
        <v>40702</v>
      </c>
      <c r="H2425" t="s">
        <v>15523</v>
      </c>
      <c r="I2425" t="s">
        <v>16180</v>
      </c>
      <c r="K2425" t="e">
        <v>#N/A</v>
      </c>
      <c r="S2425" s="3"/>
    </row>
    <row r="2426" spans="1:19" x14ac:dyDescent="0.25">
      <c r="A2426" t="s">
        <v>164</v>
      </c>
      <c r="B2426" t="s">
        <v>165</v>
      </c>
      <c r="C2426" t="s">
        <v>16179</v>
      </c>
      <c r="D2426" t="s">
        <v>47</v>
      </c>
      <c r="E2426">
        <v>1456</v>
      </c>
      <c r="F2426" s="3">
        <v>40702</v>
      </c>
      <c r="H2426" t="s">
        <v>15523</v>
      </c>
      <c r="I2426" t="s">
        <v>16180</v>
      </c>
      <c r="K2426" t="e">
        <v>#N/A</v>
      </c>
      <c r="S2426" s="3"/>
    </row>
    <row r="2427" spans="1:19" x14ac:dyDescent="0.25">
      <c r="A2427" t="s">
        <v>7111</v>
      </c>
      <c r="B2427" t="s">
        <v>7112</v>
      </c>
      <c r="C2427" t="s">
        <v>16179</v>
      </c>
      <c r="D2427" t="s">
        <v>47</v>
      </c>
      <c r="E2427">
        <v>6044</v>
      </c>
      <c r="F2427" s="3">
        <v>43725</v>
      </c>
      <c r="H2427" t="s">
        <v>15523</v>
      </c>
      <c r="I2427" t="s">
        <v>16180</v>
      </c>
      <c r="K2427" t="e">
        <v>#N/A</v>
      </c>
      <c r="S2427" s="3"/>
    </row>
    <row r="2428" spans="1:19" x14ac:dyDescent="0.25">
      <c r="A2428" t="s">
        <v>7113</v>
      </c>
      <c r="B2428" t="s">
        <v>7114</v>
      </c>
      <c r="C2428" t="s">
        <v>16179</v>
      </c>
      <c r="D2428" t="s">
        <v>47</v>
      </c>
      <c r="E2428">
        <v>4101</v>
      </c>
      <c r="F2428" s="3">
        <v>40702</v>
      </c>
      <c r="H2428" t="s">
        <v>15523</v>
      </c>
      <c r="I2428" t="s">
        <v>16180</v>
      </c>
      <c r="K2428" t="e">
        <v>#N/A</v>
      </c>
      <c r="S2428" s="3"/>
    </row>
    <row r="2429" spans="1:19" x14ac:dyDescent="0.25">
      <c r="A2429" t="s">
        <v>7115</v>
      </c>
      <c r="B2429" t="s">
        <v>7116</v>
      </c>
      <c r="C2429" t="s">
        <v>16179</v>
      </c>
      <c r="D2429" t="s">
        <v>666</v>
      </c>
      <c r="E2429">
        <v>4257</v>
      </c>
      <c r="F2429" s="3">
        <v>40781</v>
      </c>
      <c r="H2429" t="s">
        <v>15523</v>
      </c>
      <c r="I2429" t="s">
        <v>16180</v>
      </c>
      <c r="K2429" t="e">
        <v>#N/A</v>
      </c>
      <c r="S2429" s="3"/>
    </row>
    <row r="2430" spans="1:19" x14ac:dyDescent="0.25">
      <c r="A2430" t="s">
        <v>7117</v>
      </c>
      <c r="B2430" t="s">
        <v>7118</v>
      </c>
      <c r="C2430" t="s">
        <v>16179</v>
      </c>
      <c r="D2430" t="s">
        <v>23</v>
      </c>
      <c r="E2430">
        <v>5014</v>
      </c>
      <c r="F2430" s="3">
        <v>41660</v>
      </c>
      <c r="H2430" t="s">
        <v>15523</v>
      </c>
      <c r="I2430" t="s">
        <v>16180</v>
      </c>
      <c r="K2430" t="e">
        <v>#N/A</v>
      </c>
      <c r="S2430" s="3"/>
    </row>
    <row r="2431" spans="1:19" x14ac:dyDescent="0.25">
      <c r="A2431" t="s">
        <v>7119</v>
      </c>
      <c r="B2431" t="s">
        <v>7120</v>
      </c>
      <c r="C2431" t="s">
        <v>16179</v>
      </c>
      <c r="D2431" t="s">
        <v>2820</v>
      </c>
      <c r="E2431">
        <v>4261</v>
      </c>
      <c r="F2431" s="3">
        <v>40702</v>
      </c>
      <c r="H2431" t="s">
        <v>15523</v>
      </c>
      <c r="I2431" t="s">
        <v>16180</v>
      </c>
      <c r="K2431" t="e">
        <v>#N/A</v>
      </c>
      <c r="S2431" s="3"/>
    </row>
    <row r="2432" spans="1:19" x14ac:dyDescent="0.25">
      <c r="A2432" t="s">
        <v>7121</v>
      </c>
      <c r="B2432" t="s">
        <v>7122</v>
      </c>
      <c r="C2432" t="s">
        <v>16179</v>
      </c>
      <c r="D2432" t="s">
        <v>47</v>
      </c>
      <c r="E2432">
        <v>5614</v>
      </c>
      <c r="F2432" s="3">
        <v>42539</v>
      </c>
      <c r="H2432" t="s">
        <v>15523</v>
      </c>
      <c r="I2432" t="s">
        <v>16180</v>
      </c>
      <c r="K2432" t="e">
        <v>#N/A</v>
      </c>
      <c r="S2432" s="3"/>
    </row>
    <row r="2433" spans="1:19" x14ac:dyDescent="0.25">
      <c r="A2433" t="s">
        <v>7123</v>
      </c>
      <c r="B2433" t="s">
        <v>7124</v>
      </c>
      <c r="C2433" t="s">
        <v>16179</v>
      </c>
      <c r="D2433" t="s">
        <v>47</v>
      </c>
      <c r="E2433">
        <v>5613</v>
      </c>
      <c r="F2433" s="3">
        <v>42539</v>
      </c>
      <c r="H2433" t="s">
        <v>15523</v>
      </c>
      <c r="I2433" t="s">
        <v>16180</v>
      </c>
      <c r="K2433" t="e">
        <v>#N/A</v>
      </c>
      <c r="S2433" s="3"/>
    </row>
    <row r="2434" spans="1:19" x14ac:dyDescent="0.25">
      <c r="A2434" t="s">
        <v>7125</v>
      </c>
      <c r="B2434" t="s">
        <v>7126</v>
      </c>
      <c r="C2434" t="s">
        <v>16179</v>
      </c>
      <c r="D2434" t="s">
        <v>47</v>
      </c>
      <c r="E2434">
        <v>5529</v>
      </c>
      <c r="F2434" s="3">
        <v>42341</v>
      </c>
      <c r="H2434" t="s">
        <v>15523</v>
      </c>
      <c r="I2434" t="s">
        <v>16180</v>
      </c>
      <c r="K2434" t="e">
        <v>#N/A</v>
      </c>
      <c r="S2434" s="3"/>
    </row>
    <row r="2435" spans="1:19" x14ac:dyDescent="0.25">
      <c r="A2435" t="s">
        <v>534</v>
      </c>
      <c r="B2435" t="s">
        <v>536</v>
      </c>
      <c r="C2435" t="s">
        <v>537</v>
      </c>
      <c r="D2435" t="s">
        <v>23</v>
      </c>
      <c r="E2435">
        <v>4550</v>
      </c>
      <c r="F2435" s="3">
        <v>40915</v>
      </c>
      <c r="H2435" t="s">
        <v>15523</v>
      </c>
      <c r="I2435" t="s">
        <v>17287</v>
      </c>
      <c r="K2435">
        <v>140</v>
      </c>
      <c r="S2435" s="3"/>
    </row>
    <row r="2436" spans="1:19" x14ac:dyDescent="0.25">
      <c r="A2436" t="s">
        <v>7127</v>
      </c>
      <c r="B2436" t="s">
        <v>7128</v>
      </c>
      <c r="C2436" t="s">
        <v>7129</v>
      </c>
      <c r="D2436" t="s">
        <v>23</v>
      </c>
      <c r="E2436">
        <v>4551</v>
      </c>
      <c r="F2436" s="3">
        <v>40702</v>
      </c>
      <c r="H2436" t="s">
        <v>15523</v>
      </c>
      <c r="I2436" t="s">
        <v>17288</v>
      </c>
      <c r="K2436" t="e">
        <v>#N/A</v>
      </c>
      <c r="S2436" s="3"/>
    </row>
    <row r="2437" spans="1:19" x14ac:dyDescent="0.25">
      <c r="A2437" t="s">
        <v>7130</v>
      </c>
      <c r="B2437" t="s">
        <v>7131</v>
      </c>
      <c r="C2437" t="s">
        <v>7132</v>
      </c>
      <c r="D2437" t="s">
        <v>23</v>
      </c>
      <c r="E2437">
        <v>4552</v>
      </c>
      <c r="F2437" s="3">
        <v>40702</v>
      </c>
      <c r="H2437" t="s">
        <v>15523</v>
      </c>
      <c r="I2437" t="s">
        <v>17289</v>
      </c>
      <c r="K2437" t="e">
        <v>#N/A</v>
      </c>
      <c r="S2437" s="3"/>
    </row>
    <row r="2438" spans="1:19" x14ac:dyDescent="0.25">
      <c r="A2438" t="s">
        <v>7133</v>
      </c>
      <c r="B2438" t="s">
        <v>7134</v>
      </c>
      <c r="C2438" t="s">
        <v>7135</v>
      </c>
      <c r="D2438" t="s">
        <v>23</v>
      </c>
      <c r="E2438">
        <v>4553</v>
      </c>
      <c r="F2438" s="3">
        <v>40702</v>
      </c>
      <c r="H2438" t="s">
        <v>15523</v>
      </c>
      <c r="I2438" t="s">
        <v>17290</v>
      </c>
      <c r="K2438" t="e">
        <v>#N/A</v>
      </c>
      <c r="S2438" s="3"/>
    </row>
    <row r="2439" spans="1:19" x14ac:dyDescent="0.25">
      <c r="A2439" t="s">
        <v>7136</v>
      </c>
      <c r="B2439" t="s">
        <v>7137</v>
      </c>
      <c r="C2439" t="s">
        <v>7138</v>
      </c>
      <c r="D2439" t="s">
        <v>23</v>
      </c>
      <c r="E2439">
        <v>4554</v>
      </c>
      <c r="F2439" s="3">
        <v>40702</v>
      </c>
      <c r="H2439" t="s">
        <v>15523</v>
      </c>
      <c r="I2439" t="s">
        <v>17291</v>
      </c>
      <c r="K2439" t="e">
        <v>#N/A</v>
      </c>
      <c r="S2439" s="3"/>
    </row>
    <row r="2440" spans="1:19" x14ac:dyDescent="0.25">
      <c r="A2440" t="s">
        <v>7139</v>
      </c>
      <c r="B2440" t="s">
        <v>7140</v>
      </c>
      <c r="C2440" t="s">
        <v>7141</v>
      </c>
      <c r="D2440" t="s">
        <v>23</v>
      </c>
      <c r="E2440">
        <v>4555</v>
      </c>
      <c r="F2440" s="3">
        <v>40702</v>
      </c>
      <c r="H2440" t="s">
        <v>15523</v>
      </c>
      <c r="I2440" t="s">
        <v>17292</v>
      </c>
      <c r="K2440" t="e">
        <v>#N/A</v>
      </c>
      <c r="S2440" s="3"/>
    </row>
    <row r="2441" spans="1:19" x14ac:dyDescent="0.25">
      <c r="A2441" t="s">
        <v>330</v>
      </c>
      <c r="B2441" t="s">
        <v>332</v>
      </c>
      <c r="C2441" t="s">
        <v>333</v>
      </c>
      <c r="D2441" t="s">
        <v>23</v>
      </c>
      <c r="E2441">
        <v>1987</v>
      </c>
      <c r="F2441" s="3">
        <v>40702</v>
      </c>
      <c r="H2441" t="s">
        <v>15523</v>
      </c>
      <c r="I2441" t="s">
        <v>17293</v>
      </c>
      <c r="K2441">
        <v>89</v>
      </c>
      <c r="S2441" s="3"/>
    </row>
    <row r="2442" spans="1:19" x14ac:dyDescent="0.25">
      <c r="A2442" t="s">
        <v>7142</v>
      </c>
      <c r="B2442" t="s">
        <v>7143</v>
      </c>
      <c r="C2442" t="s">
        <v>7144</v>
      </c>
      <c r="D2442" t="s">
        <v>23</v>
      </c>
      <c r="E2442">
        <v>4557</v>
      </c>
      <c r="F2442" s="3">
        <v>40702</v>
      </c>
      <c r="H2442" t="s">
        <v>15523</v>
      </c>
      <c r="I2442" t="s">
        <v>17294</v>
      </c>
      <c r="K2442" t="e">
        <v>#N/A</v>
      </c>
      <c r="S2442" s="3"/>
    </row>
    <row r="2443" spans="1:19" x14ac:dyDescent="0.25">
      <c r="A2443" t="s">
        <v>482</v>
      </c>
      <c r="B2443" t="s">
        <v>484</v>
      </c>
      <c r="C2443" t="s">
        <v>485</v>
      </c>
      <c r="D2443" t="s">
        <v>23</v>
      </c>
      <c r="E2443">
        <v>4559</v>
      </c>
      <c r="F2443" s="3">
        <v>40915</v>
      </c>
      <c r="H2443" t="s">
        <v>15523</v>
      </c>
      <c r="I2443" t="s">
        <v>17295</v>
      </c>
      <c r="K2443">
        <v>127</v>
      </c>
      <c r="S2443" s="3"/>
    </row>
    <row r="2444" spans="1:19" x14ac:dyDescent="0.25">
      <c r="A2444" t="s">
        <v>7145</v>
      </c>
      <c r="B2444" t="s">
        <v>7146</v>
      </c>
      <c r="C2444" t="s">
        <v>7147</v>
      </c>
      <c r="D2444" t="s">
        <v>23</v>
      </c>
      <c r="E2444">
        <v>4560</v>
      </c>
      <c r="F2444" s="3">
        <v>40702</v>
      </c>
      <c r="H2444" t="s">
        <v>15523</v>
      </c>
      <c r="I2444" t="s">
        <v>17296</v>
      </c>
      <c r="K2444" t="e">
        <v>#N/A</v>
      </c>
      <c r="S2444" s="3"/>
    </row>
    <row r="2445" spans="1:19" x14ac:dyDescent="0.25">
      <c r="A2445" t="s">
        <v>598</v>
      </c>
      <c r="B2445" t="s">
        <v>600</v>
      </c>
      <c r="C2445" t="s">
        <v>601</v>
      </c>
      <c r="D2445" t="s">
        <v>23</v>
      </c>
      <c r="E2445">
        <v>4567</v>
      </c>
      <c r="F2445" s="3">
        <v>40915</v>
      </c>
      <c r="H2445" t="s">
        <v>15523</v>
      </c>
      <c r="I2445" t="s">
        <v>17297</v>
      </c>
      <c r="K2445">
        <v>156</v>
      </c>
      <c r="S2445" s="3"/>
    </row>
    <row r="2446" spans="1:19" x14ac:dyDescent="0.25">
      <c r="A2446" t="s">
        <v>626</v>
      </c>
      <c r="B2446" t="s">
        <v>628</v>
      </c>
      <c r="C2446" t="s">
        <v>629</v>
      </c>
      <c r="D2446" t="s">
        <v>23</v>
      </c>
      <c r="E2446">
        <v>4568</v>
      </c>
      <c r="F2446" s="3">
        <v>40915</v>
      </c>
      <c r="H2446" t="s">
        <v>15523</v>
      </c>
      <c r="I2446" t="s">
        <v>17298</v>
      </c>
      <c r="K2446">
        <v>163</v>
      </c>
      <c r="S2446" s="3"/>
    </row>
    <row r="2447" spans="1:19" x14ac:dyDescent="0.25">
      <c r="A2447" t="s">
        <v>362</v>
      </c>
      <c r="B2447" t="s">
        <v>364</v>
      </c>
      <c r="C2447" t="s">
        <v>365</v>
      </c>
      <c r="D2447" t="s">
        <v>23</v>
      </c>
      <c r="E2447">
        <v>1461</v>
      </c>
      <c r="F2447" s="3">
        <v>40702</v>
      </c>
      <c r="H2447" t="s">
        <v>15523</v>
      </c>
      <c r="I2447" t="s">
        <v>17299</v>
      </c>
      <c r="K2447">
        <v>97</v>
      </c>
      <c r="S2447" s="3"/>
    </row>
    <row r="2448" spans="1:19" x14ac:dyDescent="0.25">
      <c r="A2448" t="s">
        <v>526</v>
      </c>
      <c r="B2448" t="s">
        <v>528</v>
      </c>
      <c r="C2448" t="s">
        <v>529</v>
      </c>
      <c r="D2448" t="s">
        <v>23</v>
      </c>
      <c r="E2448">
        <v>4573</v>
      </c>
      <c r="F2448" s="3">
        <v>40915</v>
      </c>
      <c r="H2448" t="s">
        <v>15523</v>
      </c>
      <c r="I2448" t="s">
        <v>17300</v>
      </c>
      <c r="K2448">
        <v>138</v>
      </c>
      <c r="S2448" s="3"/>
    </row>
    <row r="2449" spans="1:19" x14ac:dyDescent="0.25">
      <c r="A2449" t="s">
        <v>358</v>
      </c>
      <c r="B2449" t="s">
        <v>360</v>
      </c>
      <c r="C2449" t="s">
        <v>361</v>
      </c>
      <c r="D2449" t="s">
        <v>23</v>
      </c>
      <c r="E2449">
        <v>4577</v>
      </c>
      <c r="F2449" s="3">
        <v>40915</v>
      </c>
      <c r="H2449" t="s">
        <v>15523</v>
      </c>
      <c r="I2449" t="s">
        <v>17301</v>
      </c>
      <c r="K2449">
        <v>96</v>
      </c>
      <c r="S2449" s="3"/>
    </row>
    <row r="2450" spans="1:19" x14ac:dyDescent="0.25">
      <c r="A2450" t="s">
        <v>7148</v>
      </c>
      <c r="B2450" t="s">
        <v>7149</v>
      </c>
      <c r="C2450" t="s">
        <v>7150</v>
      </c>
      <c r="D2450" t="s">
        <v>23</v>
      </c>
      <c r="E2450">
        <v>4578</v>
      </c>
      <c r="F2450" s="3">
        <v>40702</v>
      </c>
      <c r="H2450" t="s">
        <v>15523</v>
      </c>
      <c r="I2450" t="s">
        <v>17302</v>
      </c>
      <c r="K2450" t="e">
        <v>#N/A</v>
      </c>
      <c r="S2450" s="3"/>
    </row>
    <row r="2451" spans="1:19" x14ac:dyDescent="0.25">
      <c r="A2451" t="s">
        <v>7151</v>
      </c>
      <c r="B2451" t="s">
        <v>7152</v>
      </c>
      <c r="C2451" t="s">
        <v>7153</v>
      </c>
      <c r="D2451" t="s">
        <v>23</v>
      </c>
      <c r="E2451">
        <v>4579</v>
      </c>
      <c r="F2451" s="3">
        <v>40702</v>
      </c>
      <c r="H2451" t="s">
        <v>15523</v>
      </c>
      <c r="I2451" t="s">
        <v>17303</v>
      </c>
      <c r="K2451" t="e">
        <v>#N/A</v>
      </c>
      <c r="S2451" s="3"/>
    </row>
    <row r="2452" spans="1:19" x14ac:dyDescent="0.25">
      <c r="A2452" t="s">
        <v>245</v>
      </c>
      <c r="B2452" t="s">
        <v>248</v>
      </c>
      <c r="C2452" t="s">
        <v>249</v>
      </c>
      <c r="D2452" t="s">
        <v>23</v>
      </c>
      <c r="E2452">
        <v>1511</v>
      </c>
      <c r="F2452" s="3">
        <v>40702</v>
      </c>
      <c r="H2452" t="s">
        <v>15523</v>
      </c>
      <c r="I2452" t="s">
        <v>17304</v>
      </c>
      <c r="K2452">
        <v>68</v>
      </c>
      <c r="S2452" s="3"/>
    </row>
    <row r="2453" spans="1:19" x14ac:dyDescent="0.25">
      <c r="A2453" t="s">
        <v>7154</v>
      </c>
      <c r="B2453" t="s">
        <v>7155</v>
      </c>
      <c r="C2453" t="s">
        <v>16179</v>
      </c>
      <c r="D2453" t="s">
        <v>47</v>
      </c>
      <c r="E2453">
        <v>5154</v>
      </c>
      <c r="F2453" s="3">
        <v>41935</v>
      </c>
      <c r="H2453" t="s">
        <v>15523</v>
      </c>
      <c r="I2453" t="s">
        <v>16180</v>
      </c>
      <c r="K2453" t="e">
        <v>#N/A</v>
      </c>
      <c r="S2453" s="3"/>
    </row>
    <row r="2454" spans="1:19" x14ac:dyDescent="0.25">
      <c r="A2454" t="s">
        <v>7156</v>
      </c>
      <c r="B2454" t="s">
        <v>7157</v>
      </c>
      <c r="C2454" t="s">
        <v>16179</v>
      </c>
      <c r="D2454" t="s">
        <v>47</v>
      </c>
      <c r="E2454">
        <v>3665</v>
      </c>
      <c r="F2454" s="3">
        <v>41935</v>
      </c>
      <c r="H2454" t="s">
        <v>15523</v>
      </c>
      <c r="I2454" t="s">
        <v>16180</v>
      </c>
      <c r="K2454" t="e">
        <v>#N/A</v>
      </c>
      <c r="S2454" s="3"/>
    </row>
    <row r="2455" spans="1:19" x14ac:dyDescent="0.25">
      <c r="A2455" t="s">
        <v>7158</v>
      </c>
      <c r="B2455" t="s">
        <v>7159</v>
      </c>
      <c r="C2455" t="s">
        <v>16179</v>
      </c>
      <c r="D2455" t="s">
        <v>23</v>
      </c>
      <c r="E2455">
        <v>1703</v>
      </c>
      <c r="F2455" s="3">
        <v>41461</v>
      </c>
      <c r="H2455" t="s">
        <v>15523</v>
      </c>
      <c r="I2455" t="s">
        <v>16180</v>
      </c>
      <c r="K2455" t="e">
        <v>#N/A</v>
      </c>
      <c r="S2455" s="3"/>
    </row>
    <row r="2456" spans="1:19" x14ac:dyDescent="0.25">
      <c r="A2456" t="s">
        <v>7160</v>
      </c>
      <c r="B2456" t="s">
        <v>7161</v>
      </c>
      <c r="C2456" t="s">
        <v>7162</v>
      </c>
      <c r="D2456" t="s">
        <v>23</v>
      </c>
      <c r="E2456">
        <v>1706</v>
      </c>
      <c r="F2456" s="3">
        <v>40702</v>
      </c>
      <c r="H2456" t="s">
        <v>15523</v>
      </c>
      <c r="I2456" t="s">
        <v>17305</v>
      </c>
      <c r="K2456" t="e">
        <v>#N/A</v>
      </c>
      <c r="S2456" s="3"/>
    </row>
    <row r="2457" spans="1:19" x14ac:dyDescent="0.25">
      <c r="A2457" t="s">
        <v>7163</v>
      </c>
      <c r="B2457" t="s">
        <v>7164</v>
      </c>
      <c r="C2457" t="s">
        <v>16179</v>
      </c>
      <c r="D2457" t="s">
        <v>666</v>
      </c>
      <c r="E2457">
        <v>1464</v>
      </c>
      <c r="F2457" s="3">
        <v>40702</v>
      </c>
      <c r="H2457" t="s">
        <v>15523</v>
      </c>
      <c r="I2457" t="s">
        <v>16180</v>
      </c>
      <c r="K2457" t="e">
        <v>#N/A</v>
      </c>
      <c r="S2457" s="3"/>
    </row>
    <row r="2458" spans="1:19" x14ac:dyDescent="0.25">
      <c r="A2458" t="s">
        <v>7165</v>
      </c>
      <c r="B2458" t="s">
        <v>7166</v>
      </c>
      <c r="C2458" t="s">
        <v>16179</v>
      </c>
      <c r="D2458" t="s">
        <v>47</v>
      </c>
      <c r="E2458">
        <v>4103</v>
      </c>
      <c r="F2458" s="3">
        <v>40702</v>
      </c>
      <c r="H2458" t="s">
        <v>15523</v>
      </c>
      <c r="I2458" t="s">
        <v>16180</v>
      </c>
      <c r="K2458" t="e">
        <v>#N/A</v>
      </c>
      <c r="S2458" s="3"/>
    </row>
    <row r="2459" spans="1:19" x14ac:dyDescent="0.25">
      <c r="A2459" t="s">
        <v>7167</v>
      </c>
      <c r="B2459" t="s">
        <v>7168</v>
      </c>
      <c r="C2459" t="s">
        <v>16179</v>
      </c>
      <c r="D2459" t="s">
        <v>2820</v>
      </c>
      <c r="E2459">
        <v>4306</v>
      </c>
      <c r="F2459" s="3">
        <v>40702</v>
      </c>
      <c r="H2459" t="s">
        <v>15523</v>
      </c>
      <c r="I2459" t="s">
        <v>16180</v>
      </c>
      <c r="K2459" t="e">
        <v>#N/A</v>
      </c>
      <c r="S2459" s="3"/>
    </row>
    <row r="2460" spans="1:19" x14ac:dyDescent="0.25">
      <c r="A2460" t="s">
        <v>7169</v>
      </c>
      <c r="B2460" t="s">
        <v>7170</v>
      </c>
      <c r="C2460" t="s">
        <v>16179</v>
      </c>
      <c r="D2460" t="s">
        <v>666</v>
      </c>
      <c r="E2460">
        <v>4314</v>
      </c>
      <c r="F2460" s="3">
        <v>40781</v>
      </c>
      <c r="H2460" t="s">
        <v>15523</v>
      </c>
      <c r="I2460" t="s">
        <v>16180</v>
      </c>
      <c r="K2460" t="e">
        <v>#N/A</v>
      </c>
      <c r="S2460" s="3"/>
    </row>
    <row r="2461" spans="1:19" x14ac:dyDescent="0.25">
      <c r="A2461" t="s">
        <v>7171</v>
      </c>
      <c r="B2461" t="s">
        <v>7172</v>
      </c>
      <c r="C2461" t="s">
        <v>16179</v>
      </c>
      <c r="D2461" t="s">
        <v>666</v>
      </c>
      <c r="E2461">
        <v>5761</v>
      </c>
      <c r="F2461" s="3">
        <v>42763</v>
      </c>
      <c r="H2461" t="s">
        <v>15523</v>
      </c>
      <c r="I2461" t="s">
        <v>16180</v>
      </c>
      <c r="K2461" t="e">
        <v>#N/A</v>
      </c>
      <c r="S2461" s="3"/>
    </row>
    <row r="2462" spans="1:19" x14ac:dyDescent="0.25">
      <c r="A2462" t="s">
        <v>7173</v>
      </c>
      <c r="B2462" t="s">
        <v>7174</v>
      </c>
      <c r="C2462" t="s">
        <v>16179</v>
      </c>
      <c r="D2462" t="s">
        <v>666</v>
      </c>
      <c r="E2462">
        <v>4315</v>
      </c>
      <c r="F2462" s="3">
        <v>40934</v>
      </c>
      <c r="H2462" t="s">
        <v>15523</v>
      </c>
      <c r="I2462" t="s">
        <v>16180</v>
      </c>
      <c r="K2462" t="e">
        <v>#N/A</v>
      </c>
      <c r="S2462" s="3"/>
    </row>
    <row r="2463" spans="1:19" x14ac:dyDescent="0.25">
      <c r="A2463" t="s">
        <v>7175</v>
      </c>
      <c r="B2463" t="s">
        <v>7176</v>
      </c>
      <c r="C2463" t="s">
        <v>16179</v>
      </c>
      <c r="D2463" t="s">
        <v>666</v>
      </c>
      <c r="E2463">
        <v>4316</v>
      </c>
      <c r="F2463" s="3">
        <v>40702</v>
      </c>
      <c r="H2463" t="s">
        <v>15523</v>
      </c>
      <c r="I2463" t="s">
        <v>16180</v>
      </c>
      <c r="K2463" t="e">
        <v>#N/A</v>
      </c>
      <c r="S2463" s="3"/>
    </row>
    <row r="2464" spans="1:19" x14ac:dyDescent="0.25">
      <c r="A2464" t="s">
        <v>7177</v>
      </c>
      <c r="B2464" t="s">
        <v>7178</v>
      </c>
      <c r="C2464" t="s">
        <v>16179</v>
      </c>
      <c r="D2464" t="s">
        <v>2779</v>
      </c>
      <c r="E2464">
        <v>4327</v>
      </c>
      <c r="F2464" s="3">
        <v>40783</v>
      </c>
      <c r="H2464" t="s">
        <v>15523</v>
      </c>
      <c r="I2464" t="s">
        <v>16180</v>
      </c>
      <c r="K2464" t="e">
        <v>#N/A</v>
      </c>
      <c r="S2464" s="3"/>
    </row>
    <row r="2465" spans="1:19" x14ac:dyDescent="0.25">
      <c r="A2465" t="s">
        <v>7179</v>
      </c>
      <c r="B2465" t="s">
        <v>7180</v>
      </c>
      <c r="C2465" t="s">
        <v>16179</v>
      </c>
      <c r="D2465" t="s">
        <v>2779</v>
      </c>
      <c r="E2465">
        <v>4331</v>
      </c>
      <c r="F2465" s="3">
        <v>40783</v>
      </c>
      <c r="H2465" t="s">
        <v>15523</v>
      </c>
      <c r="I2465" t="s">
        <v>16180</v>
      </c>
      <c r="K2465" t="e">
        <v>#N/A</v>
      </c>
      <c r="S2465" s="3"/>
    </row>
    <row r="2466" spans="1:19" x14ac:dyDescent="0.25">
      <c r="A2466" t="s">
        <v>7181</v>
      </c>
      <c r="B2466" t="s">
        <v>7182</v>
      </c>
      <c r="C2466" t="s">
        <v>16179</v>
      </c>
      <c r="D2466" t="s">
        <v>2779</v>
      </c>
      <c r="E2466">
        <v>4332</v>
      </c>
      <c r="F2466" s="3">
        <v>40783</v>
      </c>
      <c r="H2466" t="s">
        <v>15523</v>
      </c>
      <c r="I2466" t="s">
        <v>16180</v>
      </c>
      <c r="K2466" t="e">
        <v>#N/A</v>
      </c>
      <c r="S2466" s="3"/>
    </row>
    <row r="2467" spans="1:19" x14ac:dyDescent="0.25">
      <c r="A2467" t="s">
        <v>7183</v>
      </c>
      <c r="B2467" t="s">
        <v>7184</v>
      </c>
      <c r="C2467" t="s">
        <v>16179</v>
      </c>
      <c r="D2467" t="s">
        <v>666</v>
      </c>
      <c r="E2467">
        <v>4452</v>
      </c>
      <c r="F2467" s="3">
        <v>40702</v>
      </c>
      <c r="H2467" t="s">
        <v>15523</v>
      </c>
      <c r="I2467" t="s">
        <v>16180</v>
      </c>
      <c r="K2467" t="e">
        <v>#N/A</v>
      </c>
      <c r="S2467" s="3"/>
    </row>
    <row r="2468" spans="1:19" x14ac:dyDescent="0.25">
      <c r="A2468" t="s">
        <v>7185</v>
      </c>
      <c r="B2468" t="s">
        <v>7186</v>
      </c>
      <c r="C2468" t="s">
        <v>16179</v>
      </c>
      <c r="D2468" t="s">
        <v>47</v>
      </c>
      <c r="E2468">
        <v>4454</v>
      </c>
      <c r="F2468" s="3">
        <v>43442</v>
      </c>
      <c r="H2468" t="s">
        <v>15523</v>
      </c>
      <c r="I2468" t="s">
        <v>16180</v>
      </c>
      <c r="K2468" t="e">
        <v>#N/A</v>
      </c>
      <c r="S2468" s="3"/>
    </row>
    <row r="2469" spans="1:19" x14ac:dyDescent="0.25">
      <c r="A2469" t="s">
        <v>7187</v>
      </c>
      <c r="B2469" t="s">
        <v>7188</v>
      </c>
      <c r="C2469" t="s">
        <v>16179</v>
      </c>
      <c r="D2469" t="s">
        <v>2820</v>
      </c>
      <c r="E2469">
        <v>4468</v>
      </c>
      <c r="F2469" s="3">
        <v>40702</v>
      </c>
      <c r="H2469" t="s">
        <v>15523</v>
      </c>
      <c r="I2469" t="s">
        <v>16180</v>
      </c>
      <c r="K2469" t="e">
        <v>#N/A</v>
      </c>
      <c r="S2469" s="3"/>
    </row>
    <row r="2470" spans="1:19" x14ac:dyDescent="0.25">
      <c r="A2470" t="s">
        <v>7189</v>
      </c>
      <c r="B2470" t="s">
        <v>7190</v>
      </c>
      <c r="C2470" t="s">
        <v>7191</v>
      </c>
      <c r="D2470" t="s">
        <v>23</v>
      </c>
      <c r="E2470">
        <v>4642</v>
      </c>
      <c r="F2470" s="3">
        <v>40702</v>
      </c>
      <c r="H2470" t="s">
        <v>15523</v>
      </c>
      <c r="I2470" t="s">
        <v>17306</v>
      </c>
      <c r="K2470" t="e">
        <v>#N/A</v>
      </c>
      <c r="S2470" s="3"/>
    </row>
    <row r="2471" spans="1:19" x14ac:dyDescent="0.25">
      <c r="A2471" t="s">
        <v>7192</v>
      </c>
      <c r="B2471" t="s">
        <v>7193</v>
      </c>
      <c r="C2471" t="s">
        <v>16179</v>
      </c>
      <c r="D2471" t="s">
        <v>47</v>
      </c>
      <c r="E2471">
        <v>5931</v>
      </c>
      <c r="F2471" s="3">
        <v>43200</v>
      </c>
      <c r="H2471" t="s">
        <v>15523</v>
      </c>
      <c r="I2471" t="s">
        <v>16180</v>
      </c>
      <c r="K2471" t="e">
        <v>#N/A</v>
      </c>
      <c r="S2471" s="3"/>
    </row>
    <row r="2472" spans="1:19" x14ac:dyDescent="0.25">
      <c r="A2472" t="s">
        <v>7194</v>
      </c>
      <c r="B2472" t="s">
        <v>7195</v>
      </c>
      <c r="C2472" t="s">
        <v>16179</v>
      </c>
      <c r="D2472" t="s">
        <v>666</v>
      </c>
      <c r="E2472">
        <v>5267</v>
      </c>
      <c r="F2472" s="3">
        <v>42047</v>
      </c>
      <c r="H2472" t="s">
        <v>15523</v>
      </c>
      <c r="I2472" t="s">
        <v>16180</v>
      </c>
      <c r="K2472" t="e">
        <v>#N/A</v>
      </c>
      <c r="S2472" s="3"/>
    </row>
    <row r="2473" spans="1:19" x14ac:dyDescent="0.25">
      <c r="A2473" t="s">
        <v>7196</v>
      </c>
      <c r="B2473" t="s">
        <v>7197</v>
      </c>
      <c r="C2473" t="s">
        <v>16179</v>
      </c>
      <c r="D2473" t="s">
        <v>666</v>
      </c>
      <c r="E2473">
        <v>4505</v>
      </c>
      <c r="F2473" s="3">
        <v>40702</v>
      </c>
      <c r="H2473" t="s">
        <v>15523</v>
      </c>
      <c r="I2473" t="s">
        <v>16180</v>
      </c>
      <c r="K2473" t="e">
        <v>#N/A</v>
      </c>
      <c r="S2473" s="3"/>
    </row>
    <row r="2474" spans="1:19" x14ac:dyDescent="0.25">
      <c r="A2474" t="s">
        <v>7198</v>
      </c>
      <c r="B2474" t="s">
        <v>7199</v>
      </c>
      <c r="C2474" t="s">
        <v>16179</v>
      </c>
      <c r="D2474" t="s">
        <v>47</v>
      </c>
      <c r="E2474">
        <v>4107</v>
      </c>
      <c r="F2474" s="3">
        <v>40702</v>
      </c>
      <c r="H2474" t="s">
        <v>15523</v>
      </c>
      <c r="I2474" t="s">
        <v>16180</v>
      </c>
      <c r="K2474" t="e">
        <v>#N/A</v>
      </c>
      <c r="S2474" s="3"/>
    </row>
    <row r="2475" spans="1:19" x14ac:dyDescent="0.25">
      <c r="A2475" t="s">
        <v>7200</v>
      </c>
      <c r="B2475" t="s">
        <v>7201</v>
      </c>
      <c r="C2475" t="s">
        <v>16179</v>
      </c>
      <c r="D2475" t="s">
        <v>47</v>
      </c>
      <c r="E2475">
        <v>4108</v>
      </c>
      <c r="F2475" s="3">
        <v>40702</v>
      </c>
      <c r="H2475" t="s">
        <v>15523</v>
      </c>
      <c r="I2475" t="s">
        <v>16180</v>
      </c>
      <c r="K2475" t="e">
        <v>#N/A</v>
      </c>
      <c r="S2475" s="3"/>
    </row>
    <row r="2476" spans="1:19" x14ac:dyDescent="0.25">
      <c r="A2476" t="s">
        <v>7202</v>
      </c>
      <c r="B2476" t="s">
        <v>7203</v>
      </c>
      <c r="C2476" t="s">
        <v>16179</v>
      </c>
      <c r="D2476" t="s">
        <v>47</v>
      </c>
      <c r="E2476">
        <v>4109</v>
      </c>
      <c r="F2476" s="3">
        <v>40702</v>
      </c>
      <c r="H2476" t="s">
        <v>15523</v>
      </c>
      <c r="I2476" t="s">
        <v>16180</v>
      </c>
      <c r="K2476" t="e">
        <v>#N/A</v>
      </c>
      <c r="S2476" s="3"/>
    </row>
    <row r="2477" spans="1:19" x14ac:dyDescent="0.25">
      <c r="A2477" t="s">
        <v>7204</v>
      </c>
      <c r="B2477" t="s">
        <v>7205</v>
      </c>
      <c r="C2477" t="s">
        <v>16179</v>
      </c>
      <c r="D2477" t="s">
        <v>47</v>
      </c>
      <c r="E2477">
        <v>4120</v>
      </c>
      <c r="F2477" s="3">
        <v>40702</v>
      </c>
      <c r="H2477" t="s">
        <v>15523</v>
      </c>
      <c r="I2477" t="s">
        <v>16180</v>
      </c>
      <c r="K2477" t="e">
        <v>#N/A</v>
      </c>
      <c r="S2477" s="3"/>
    </row>
    <row r="2478" spans="1:19" x14ac:dyDescent="0.25">
      <c r="A2478" t="s">
        <v>7206</v>
      </c>
      <c r="B2478" t="s">
        <v>7207</v>
      </c>
      <c r="C2478" t="s">
        <v>16179</v>
      </c>
      <c r="D2478" t="s">
        <v>47</v>
      </c>
      <c r="E2478">
        <v>1482</v>
      </c>
      <c r="F2478" s="3">
        <v>40702</v>
      </c>
      <c r="H2478" t="s">
        <v>15523</v>
      </c>
      <c r="I2478" t="s">
        <v>16180</v>
      </c>
      <c r="K2478" t="e">
        <v>#N/A</v>
      </c>
      <c r="S2478" s="3"/>
    </row>
    <row r="2479" spans="1:19" x14ac:dyDescent="0.25">
      <c r="A2479" t="s">
        <v>7208</v>
      </c>
      <c r="B2479" t="s">
        <v>7209</v>
      </c>
      <c r="C2479" t="s">
        <v>16179</v>
      </c>
      <c r="D2479" t="s">
        <v>666</v>
      </c>
      <c r="E2479">
        <v>1483</v>
      </c>
      <c r="F2479" s="3">
        <v>40934</v>
      </c>
      <c r="H2479" t="s">
        <v>15523</v>
      </c>
      <c r="I2479" t="s">
        <v>16180</v>
      </c>
      <c r="K2479" t="e">
        <v>#N/A</v>
      </c>
      <c r="S2479" s="3"/>
    </row>
    <row r="2480" spans="1:19" x14ac:dyDescent="0.25">
      <c r="A2480" t="s">
        <v>7210</v>
      </c>
      <c r="B2480" t="s">
        <v>7211</v>
      </c>
      <c r="C2480" t="s">
        <v>16179</v>
      </c>
      <c r="D2480" t="s">
        <v>47</v>
      </c>
      <c r="E2480">
        <v>6006</v>
      </c>
      <c r="F2480" s="3">
        <v>43495</v>
      </c>
      <c r="H2480" t="s">
        <v>15523</v>
      </c>
      <c r="I2480" t="s">
        <v>16180</v>
      </c>
      <c r="K2480" t="e">
        <v>#N/A</v>
      </c>
      <c r="S2480" s="3"/>
    </row>
    <row r="2481" spans="1:19" x14ac:dyDescent="0.25">
      <c r="A2481" t="s">
        <v>7212</v>
      </c>
      <c r="B2481" t="s">
        <v>7213</v>
      </c>
      <c r="C2481" s="3">
        <v>2025884</v>
      </c>
      <c r="D2481" t="s">
        <v>23</v>
      </c>
      <c r="E2481">
        <v>4670</v>
      </c>
      <c r="F2481" s="3">
        <v>40704</v>
      </c>
      <c r="H2481" t="s">
        <v>15523</v>
      </c>
      <c r="I2481" t="s">
        <v>17307</v>
      </c>
      <c r="K2481" t="e">
        <v>#N/A</v>
      </c>
      <c r="P2481" s="3"/>
      <c r="S2481" s="3"/>
    </row>
    <row r="2482" spans="1:19" x14ac:dyDescent="0.25">
      <c r="A2482" t="s">
        <v>7215</v>
      </c>
      <c r="B2482" t="s">
        <v>7216</v>
      </c>
      <c r="C2482" t="s">
        <v>7217</v>
      </c>
      <c r="D2482" t="s">
        <v>23</v>
      </c>
      <c r="E2482">
        <v>1513</v>
      </c>
      <c r="F2482" s="3">
        <v>40702</v>
      </c>
      <c r="H2482" t="s">
        <v>15523</v>
      </c>
      <c r="I2482" t="s">
        <v>17308</v>
      </c>
      <c r="K2482" t="e">
        <v>#N/A</v>
      </c>
      <c r="S2482" s="3"/>
    </row>
    <row r="2483" spans="1:19" x14ac:dyDescent="0.25">
      <c r="A2483" t="s">
        <v>101</v>
      </c>
      <c r="B2483" t="s">
        <v>103</v>
      </c>
      <c r="C2483" t="s">
        <v>104</v>
      </c>
      <c r="D2483" t="s">
        <v>23</v>
      </c>
      <c r="E2483">
        <v>1508</v>
      </c>
      <c r="F2483" s="3">
        <v>40703</v>
      </c>
      <c r="H2483" t="s">
        <v>15523</v>
      </c>
      <c r="I2483" t="s">
        <v>17309</v>
      </c>
      <c r="K2483">
        <v>24</v>
      </c>
      <c r="S2483" s="3"/>
    </row>
    <row r="2484" spans="1:19" x14ac:dyDescent="0.25">
      <c r="A2484" t="s">
        <v>7218</v>
      </c>
      <c r="B2484" t="s">
        <v>7219</v>
      </c>
      <c r="C2484" t="s">
        <v>16179</v>
      </c>
      <c r="D2484" t="s">
        <v>2779</v>
      </c>
      <c r="E2484">
        <v>4581</v>
      </c>
      <c r="F2484" s="3">
        <v>40783</v>
      </c>
      <c r="H2484" t="s">
        <v>15523</v>
      </c>
      <c r="I2484" t="s">
        <v>16180</v>
      </c>
      <c r="K2484" t="e">
        <v>#N/A</v>
      </c>
      <c r="S2484" s="3"/>
    </row>
    <row r="2485" spans="1:19" x14ac:dyDescent="0.25">
      <c r="A2485" t="s">
        <v>7220</v>
      </c>
      <c r="B2485" t="s">
        <v>7221</v>
      </c>
      <c r="C2485" t="s">
        <v>16179</v>
      </c>
      <c r="D2485" t="s">
        <v>47</v>
      </c>
      <c r="E2485">
        <v>4175</v>
      </c>
      <c r="F2485" s="3">
        <v>40934</v>
      </c>
      <c r="H2485" t="s">
        <v>15523</v>
      </c>
      <c r="I2485" t="s">
        <v>16180</v>
      </c>
      <c r="K2485" t="e">
        <v>#N/A</v>
      </c>
      <c r="S2485" s="3"/>
    </row>
    <row r="2486" spans="1:19" x14ac:dyDescent="0.25">
      <c r="A2486" t="s">
        <v>7222</v>
      </c>
      <c r="B2486" t="s">
        <v>7223</v>
      </c>
      <c r="C2486" t="s">
        <v>16179</v>
      </c>
      <c r="D2486" t="s">
        <v>47</v>
      </c>
      <c r="E2486">
        <v>5932</v>
      </c>
      <c r="F2486" s="3">
        <v>43200</v>
      </c>
      <c r="H2486" t="s">
        <v>15523</v>
      </c>
      <c r="I2486" t="s">
        <v>16180</v>
      </c>
      <c r="K2486" t="e">
        <v>#N/A</v>
      </c>
      <c r="S2486" s="3"/>
    </row>
    <row r="2487" spans="1:19" x14ac:dyDescent="0.25">
      <c r="A2487" t="s">
        <v>7224</v>
      </c>
      <c r="B2487" t="s">
        <v>7225</v>
      </c>
      <c r="C2487" t="s">
        <v>16179</v>
      </c>
      <c r="D2487" t="s">
        <v>47</v>
      </c>
      <c r="E2487">
        <v>5290</v>
      </c>
      <c r="F2487" s="3">
        <v>42087</v>
      </c>
      <c r="H2487" t="s">
        <v>15523</v>
      </c>
      <c r="I2487" t="s">
        <v>16180</v>
      </c>
      <c r="K2487" t="e">
        <v>#N/A</v>
      </c>
      <c r="S2487" s="3"/>
    </row>
    <row r="2488" spans="1:19" x14ac:dyDescent="0.25">
      <c r="A2488" t="s">
        <v>7226</v>
      </c>
      <c r="B2488" t="s">
        <v>7227</v>
      </c>
      <c r="C2488" t="s">
        <v>16179</v>
      </c>
      <c r="D2488" t="s">
        <v>47</v>
      </c>
      <c r="E2488">
        <v>4226</v>
      </c>
      <c r="F2488" s="3">
        <v>40783</v>
      </c>
      <c r="H2488" t="s">
        <v>15523</v>
      </c>
      <c r="I2488" t="s">
        <v>16180</v>
      </c>
      <c r="K2488" t="e">
        <v>#N/A</v>
      </c>
      <c r="S2488" s="3"/>
    </row>
    <row r="2489" spans="1:19" x14ac:dyDescent="0.25">
      <c r="A2489" t="s">
        <v>7228</v>
      </c>
      <c r="B2489" t="s">
        <v>7229</v>
      </c>
      <c r="C2489" t="s">
        <v>16179</v>
      </c>
      <c r="D2489" t="s">
        <v>47</v>
      </c>
      <c r="E2489">
        <v>4244</v>
      </c>
      <c r="F2489" s="3">
        <v>40783</v>
      </c>
      <c r="H2489" t="s">
        <v>15523</v>
      </c>
      <c r="I2489" t="s">
        <v>16180</v>
      </c>
      <c r="K2489" t="e">
        <v>#N/A</v>
      </c>
      <c r="S2489" s="3"/>
    </row>
    <row r="2490" spans="1:19" x14ac:dyDescent="0.25">
      <c r="A2490" t="s">
        <v>7230</v>
      </c>
      <c r="B2490" t="s">
        <v>7231</v>
      </c>
      <c r="C2490" t="s">
        <v>16179</v>
      </c>
      <c r="D2490" t="s">
        <v>47</v>
      </c>
      <c r="E2490">
        <v>4248</v>
      </c>
      <c r="F2490" s="3">
        <v>40783</v>
      </c>
      <c r="H2490" t="s">
        <v>15523</v>
      </c>
      <c r="I2490" t="s">
        <v>16180</v>
      </c>
      <c r="K2490" t="e">
        <v>#N/A</v>
      </c>
      <c r="S2490" s="3"/>
    </row>
    <row r="2491" spans="1:19" x14ac:dyDescent="0.25">
      <c r="A2491" t="s">
        <v>7232</v>
      </c>
      <c r="B2491" t="s">
        <v>7233</v>
      </c>
      <c r="C2491" t="s">
        <v>16179</v>
      </c>
      <c r="D2491" t="s">
        <v>47</v>
      </c>
      <c r="E2491">
        <v>4183</v>
      </c>
      <c r="F2491" s="3">
        <v>40783</v>
      </c>
      <c r="H2491" t="s">
        <v>15523</v>
      </c>
      <c r="I2491" t="s">
        <v>16180</v>
      </c>
      <c r="K2491" t="e">
        <v>#N/A</v>
      </c>
      <c r="S2491" s="3"/>
    </row>
    <row r="2492" spans="1:19" x14ac:dyDescent="0.25">
      <c r="A2492" t="s">
        <v>7234</v>
      </c>
      <c r="B2492" t="s">
        <v>7235</v>
      </c>
      <c r="C2492" t="s">
        <v>16179</v>
      </c>
      <c r="D2492" t="s">
        <v>47</v>
      </c>
      <c r="E2492">
        <v>5015</v>
      </c>
      <c r="F2492" s="3">
        <v>41660</v>
      </c>
      <c r="H2492" t="s">
        <v>15523</v>
      </c>
      <c r="I2492" t="s">
        <v>16180</v>
      </c>
      <c r="K2492" t="e">
        <v>#N/A</v>
      </c>
      <c r="S2492" s="3"/>
    </row>
    <row r="2493" spans="1:19" x14ac:dyDescent="0.25">
      <c r="A2493" t="s">
        <v>7236</v>
      </c>
      <c r="B2493" t="s">
        <v>7237</v>
      </c>
      <c r="C2493" t="s">
        <v>16179</v>
      </c>
      <c r="D2493" t="s">
        <v>47</v>
      </c>
      <c r="E2493">
        <v>6065</v>
      </c>
      <c r="F2493" s="3">
        <v>43781</v>
      </c>
      <c r="H2493" t="s">
        <v>15523</v>
      </c>
      <c r="I2493" t="s">
        <v>16180</v>
      </c>
      <c r="K2493" t="e">
        <v>#N/A</v>
      </c>
      <c r="S2493" s="3"/>
    </row>
    <row r="2494" spans="1:19" x14ac:dyDescent="0.25">
      <c r="A2494" t="s">
        <v>7238</v>
      </c>
      <c r="B2494" t="s">
        <v>7239</v>
      </c>
      <c r="C2494" t="s">
        <v>16179</v>
      </c>
      <c r="D2494" t="s">
        <v>47</v>
      </c>
      <c r="E2494">
        <v>4249</v>
      </c>
      <c r="F2494" s="3">
        <v>40783</v>
      </c>
      <c r="H2494" t="s">
        <v>15523</v>
      </c>
      <c r="I2494" t="s">
        <v>16180</v>
      </c>
      <c r="K2494" t="e">
        <v>#N/A</v>
      </c>
      <c r="S2494" s="3"/>
    </row>
    <row r="2495" spans="1:19" x14ac:dyDescent="0.25">
      <c r="A2495" t="s">
        <v>7240</v>
      </c>
      <c r="B2495" t="s">
        <v>7241</v>
      </c>
      <c r="C2495" t="s">
        <v>16179</v>
      </c>
      <c r="D2495" t="s">
        <v>47</v>
      </c>
      <c r="E2495">
        <v>4256</v>
      </c>
      <c r="F2495" s="3">
        <v>40783</v>
      </c>
      <c r="H2495" t="s">
        <v>15523</v>
      </c>
      <c r="I2495" t="s">
        <v>16180</v>
      </c>
      <c r="K2495" t="e">
        <v>#N/A</v>
      </c>
      <c r="S2495" s="3"/>
    </row>
    <row r="2496" spans="1:19" x14ac:dyDescent="0.25">
      <c r="A2496" t="s">
        <v>7242</v>
      </c>
      <c r="B2496" t="s">
        <v>7243</v>
      </c>
      <c r="C2496" t="s">
        <v>16179</v>
      </c>
      <c r="D2496" t="s">
        <v>47</v>
      </c>
      <c r="E2496">
        <v>5949</v>
      </c>
      <c r="F2496" s="3">
        <v>43235</v>
      </c>
      <c r="H2496" t="s">
        <v>15523</v>
      </c>
      <c r="I2496" t="s">
        <v>16180</v>
      </c>
      <c r="K2496" t="e">
        <v>#N/A</v>
      </c>
      <c r="S2496" s="3"/>
    </row>
    <row r="2497" spans="1:19" x14ac:dyDescent="0.25">
      <c r="A2497" t="s">
        <v>7244</v>
      </c>
      <c r="B2497" t="s">
        <v>7245</v>
      </c>
      <c r="C2497" t="s">
        <v>16179</v>
      </c>
      <c r="D2497" t="s">
        <v>47</v>
      </c>
      <c r="E2497">
        <v>4611</v>
      </c>
      <c r="F2497" s="3">
        <v>41935</v>
      </c>
      <c r="H2497" t="s">
        <v>15523</v>
      </c>
      <c r="I2497" t="s">
        <v>16180</v>
      </c>
      <c r="K2497" t="e">
        <v>#N/A</v>
      </c>
      <c r="S2497" s="3"/>
    </row>
    <row r="2498" spans="1:19" x14ac:dyDescent="0.25">
      <c r="A2498" t="s">
        <v>7246</v>
      </c>
      <c r="B2498" t="s">
        <v>7247</v>
      </c>
      <c r="C2498" t="s">
        <v>16179</v>
      </c>
      <c r="D2498" t="s">
        <v>47</v>
      </c>
      <c r="E2498">
        <v>4612</v>
      </c>
      <c r="F2498" s="3">
        <v>41935</v>
      </c>
      <c r="H2498" t="s">
        <v>15523</v>
      </c>
      <c r="I2498" t="s">
        <v>16180</v>
      </c>
      <c r="K2498" t="e">
        <v>#N/A</v>
      </c>
      <c r="S2498" s="3"/>
    </row>
    <row r="2499" spans="1:19" x14ac:dyDescent="0.25">
      <c r="A2499" t="s">
        <v>7248</v>
      </c>
      <c r="B2499" t="s">
        <v>7249</v>
      </c>
      <c r="C2499" t="s">
        <v>16179</v>
      </c>
      <c r="D2499" t="s">
        <v>666</v>
      </c>
      <c r="E2499">
        <v>5016</v>
      </c>
      <c r="F2499" s="3">
        <v>41660</v>
      </c>
      <c r="H2499" t="s">
        <v>15523</v>
      </c>
      <c r="I2499" t="s">
        <v>16180</v>
      </c>
      <c r="K2499" t="e">
        <v>#N/A</v>
      </c>
      <c r="S2499" s="3"/>
    </row>
    <row r="2500" spans="1:19" x14ac:dyDescent="0.25">
      <c r="A2500" t="s">
        <v>7250</v>
      </c>
      <c r="B2500" t="s">
        <v>7251</v>
      </c>
      <c r="C2500" t="s">
        <v>16179</v>
      </c>
      <c r="D2500" t="s">
        <v>2820</v>
      </c>
      <c r="E2500">
        <v>5630</v>
      </c>
      <c r="F2500" s="3">
        <v>42607</v>
      </c>
      <c r="H2500" t="s">
        <v>15523</v>
      </c>
      <c r="I2500" t="s">
        <v>16180</v>
      </c>
      <c r="K2500" t="e">
        <v>#N/A</v>
      </c>
      <c r="S2500" s="3"/>
    </row>
    <row r="2501" spans="1:19" x14ac:dyDescent="0.25">
      <c r="A2501" t="s">
        <v>7252</v>
      </c>
      <c r="B2501" t="s">
        <v>7253</v>
      </c>
      <c r="C2501" t="s">
        <v>16179</v>
      </c>
      <c r="D2501" t="s">
        <v>666</v>
      </c>
      <c r="E2501">
        <v>5265</v>
      </c>
      <c r="F2501" s="3">
        <v>42047</v>
      </c>
      <c r="H2501" t="s">
        <v>15523</v>
      </c>
      <c r="I2501" t="s">
        <v>16180</v>
      </c>
      <c r="K2501" t="e">
        <v>#N/A</v>
      </c>
      <c r="S2501" s="3"/>
    </row>
    <row r="2502" spans="1:19" x14ac:dyDescent="0.25">
      <c r="A2502" t="s">
        <v>7254</v>
      </c>
      <c r="B2502" t="s">
        <v>7255</v>
      </c>
      <c r="C2502" t="s">
        <v>16179</v>
      </c>
      <c r="D2502" t="s">
        <v>666</v>
      </c>
      <c r="E2502">
        <v>5956</v>
      </c>
      <c r="F2502" s="3">
        <v>43250</v>
      </c>
      <c r="H2502" t="s">
        <v>15523</v>
      </c>
      <c r="I2502" t="s">
        <v>16180</v>
      </c>
      <c r="K2502" t="e">
        <v>#N/A</v>
      </c>
      <c r="S2502" s="3"/>
    </row>
    <row r="2503" spans="1:19" x14ac:dyDescent="0.25">
      <c r="A2503" t="s">
        <v>7256</v>
      </c>
      <c r="B2503" t="s">
        <v>7257</v>
      </c>
      <c r="C2503" t="s">
        <v>16179</v>
      </c>
      <c r="D2503" t="s">
        <v>666</v>
      </c>
      <c r="E2503">
        <v>4617</v>
      </c>
      <c r="F2503" s="3">
        <v>40702</v>
      </c>
      <c r="H2503" t="s">
        <v>15523</v>
      </c>
      <c r="I2503" t="s">
        <v>16180</v>
      </c>
      <c r="K2503" t="e">
        <v>#N/A</v>
      </c>
      <c r="S2503" s="3"/>
    </row>
    <row r="2504" spans="1:19" x14ac:dyDescent="0.25">
      <c r="A2504" t="s">
        <v>7258</v>
      </c>
      <c r="B2504" t="s">
        <v>7259</v>
      </c>
      <c r="C2504" t="s">
        <v>16179</v>
      </c>
      <c r="D2504" t="s">
        <v>666</v>
      </c>
      <c r="E2504">
        <v>4619</v>
      </c>
      <c r="F2504" s="3">
        <v>40781</v>
      </c>
      <c r="H2504" t="s">
        <v>15523</v>
      </c>
      <c r="I2504" t="s">
        <v>16180</v>
      </c>
      <c r="K2504" t="e">
        <v>#N/A</v>
      </c>
      <c r="S2504" s="3"/>
    </row>
    <row r="2505" spans="1:19" x14ac:dyDescent="0.25">
      <c r="A2505" t="s">
        <v>7260</v>
      </c>
      <c r="B2505" t="s">
        <v>7261</v>
      </c>
      <c r="C2505" t="s">
        <v>16179</v>
      </c>
      <c r="D2505" t="s">
        <v>47</v>
      </c>
      <c r="E2505">
        <v>4620</v>
      </c>
      <c r="F2505" s="3">
        <v>43442</v>
      </c>
      <c r="H2505" t="s">
        <v>15523</v>
      </c>
      <c r="I2505" t="s">
        <v>16180</v>
      </c>
      <c r="K2505" t="e">
        <v>#N/A</v>
      </c>
      <c r="S2505" s="3"/>
    </row>
    <row r="2506" spans="1:19" x14ac:dyDescent="0.25">
      <c r="A2506" t="s">
        <v>7262</v>
      </c>
      <c r="B2506" t="s">
        <v>7263</v>
      </c>
      <c r="C2506" t="s">
        <v>16179</v>
      </c>
      <c r="D2506" t="s">
        <v>47</v>
      </c>
      <c r="E2506">
        <v>4260</v>
      </c>
      <c r="F2506" s="3">
        <v>40702</v>
      </c>
      <c r="H2506" t="s">
        <v>15523</v>
      </c>
      <c r="I2506" t="s">
        <v>16180</v>
      </c>
      <c r="K2506" t="e">
        <v>#N/A</v>
      </c>
      <c r="S2506" s="3"/>
    </row>
    <row r="2507" spans="1:19" x14ac:dyDescent="0.25">
      <c r="A2507" t="s">
        <v>7264</v>
      </c>
      <c r="B2507" t="s">
        <v>7265</v>
      </c>
      <c r="C2507" t="s">
        <v>16179</v>
      </c>
      <c r="D2507" t="s">
        <v>2820</v>
      </c>
      <c r="E2507">
        <v>5869</v>
      </c>
      <c r="F2507" s="3">
        <v>43078</v>
      </c>
      <c r="H2507" t="s">
        <v>15523</v>
      </c>
      <c r="I2507" t="s">
        <v>16180</v>
      </c>
      <c r="K2507" t="e">
        <v>#N/A</v>
      </c>
      <c r="S2507" s="3"/>
    </row>
    <row r="2508" spans="1:19" x14ac:dyDescent="0.25">
      <c r="A2508" t="s">
        <v>7266</v>
      </c>
      <c r="B2508" t="s">
        <v>7267</v>
      </c>
      <c r="C2508" t="s">
        <v>16179</v>
      </c>
      <c r="D2508" t="s">
        <v>47</v>
      </c>
      <c r="E2508">
        <v>4294</v>
      </c>
      <c r="F2508" s="3">
        <v>41111</v>
      </c>
      <c r="H2508" t="s">
        <v>15523</v>
      </c>
      <c r="I2508" t="s">
        <v>16180</v>
      </c>
      <c r="K2508" t="e">
        <v>#N/A</v>
      </c>
      <c r="S2508" s="3"/>
    </row>
    <row r="2509" spans="1:19" x14ac:dyDescent="0.25">
      <c r="A2509" t="s">
        <v>7268</v>
      </c>
      <c r="B2509" t="s">
        <v>7269</v>
      </c>
      <c r="C2509" t="s">
        <v>16179</v>
      </c>
      <c r="D2509" t="s">
        <v>2820</v>
      </c>
      <c r="E2509">
        <v>5870</v>
      </c>
      <c r="F2509" s="3">
        <v>43078</v>
      </c>
      <c r="H2509" t="s">
        <v>15523</v>
      </c>
      <c r="I2509" t="s">
        <v>16180</v>
      </c>
      <c r="K2509" t="e">
        <v>#N/A</v>
      </c>
      <c r="S2509" s="3"/>
    </row>
    <row r="2510" spans="1:19" x14ac:dyDescent="0.25">
      <c r="A2510" t="s">
        <v>7270</v>
      </c>
      <c r="B2510" t="s">
        <v>7271</v>
      </c>
      <c r="C2510" t="s">
        <v>16179</v>
      </c>
      <c r="D2510" t="s">
        <v>2820</v>
      </c>
      <c r="E2510">
        <v>5871</v>
      </c>
      <c r="F2510" s="3">
        <v>43078</v>
      </c>
      <c r="H2510" t="s">
        <v>15523</v>
      </c>
      <c r="I2510" t="s">
        <v>16180</v>
      </c>
      <c r="K2510" t="e">
        <v>#N/A</v>
      </c>
      <c r="S2510" s="3"/>
    </row>
    <row r="2511" spans="1:19" x14ac:dyDescent="0.25">
      <c r="A2511" t="s">
        <v>7272</v>
      </c>
      <c r="B2511" t="s">
        <v>7273</v>
      </c>
      <c r="C2511" t="s">
        <v>16179</v>
      </c>
      <c r="D2511" t="s">
        <v>2820</v>
      </c>
      <c r="E2511">
        <v>5872</v>
      </c>
      <c r="F2511" s="3">
        <v>43078</v>
      </c>
      <c r="H2511" t="s">
        <v>15523</v>
      </c>
      <c r="I2511" t="s">
        <v>16180</v>
      </c>
      <c r="K2511" t="e">
        <v>#N/A</v>
      </c>
      <c r="S2511" s="3"/>
    </row>
    <row r="2512" spans="1:19" x14ac:dyDescent="0.25">
      <c r="A2512" t="s">
        <v>7274</v>
      </c>
      <c r="B2512" t="s">
        <v>7275</v>
      </c>
      <c r="C2512" t="s">
        <v>16179</v>
      </c>
      <c r="D2512" t="s">
        <v>2820</v>
      </c>
      <c r="E2512">
        <v>5873</v>
      </c>
      <c r="F2512" s="3">
        <v>43078</v>
      </c>
      <c r="H2512" t="s">
        <v>15523</v>
      </c>
      <c r="I2512" t="s">
        <v>16180</v>
      </c>
      <c r="K2512" t="e">
        <v>#N/A</v>
      </c>
      <c r="S2512" s="3"/>
    </row>
    <row r="2513" spans="1:19" x14ac:dyDescent="0.25">
      <c r="A2513" t="s">
        <v>7276</v>
      </c>
      <c r="B2513" t="s">
        <v>7277</v>
      </c>
      <c r="C2513" t="s">
        <v>16179</v>
      </c>
      <c r="D2513" t="s">
        <v>2820</v>
      </c>
      <c r="E2513">
        <v>5874</v>
      </c>
      <c r="F2513" s="3">
        <v>43078</v>
      </c>
      <c r="H2513" t="s">
        <v>15523</v>
      </c>
      <c r="I2513" t="s">
        <v>16180</v>
      </c>
      <c r="K2513" t="e">
        <v>#N/A</v>
      </c>
      <c r="S2513" s="3"/>
    </row>
    <row r="2514" spans="1:19" x14ac:dyDescent="0.25">
      <c r="A2514" t="s">
        <v>7278</v>
      </c>
      <c r="B2514" t="s">
        <v>7279</v>
      </c>
      <c r="C2514" t="s">
        <v>16179</v>
      </c>
      <c r="D2514" t="s">
        <v>47</v>
      </c>
      <c r="E2514">
        <v>1499</v>
      </c>
      <c r="F2514" s="3">
        <v>40702</v>
      </c>
      <c r="H2514" t="s">
        <v>15523</v>
      </c>
      <c r="I2514" t="s">
        <v>16180</v>
      </c>
      <c r="K2514" t="e">
        <v>#N/A</v>
      </c>
      <c r="S2514" s="3"/>
    </row>
    <row r="2515" spans="1:19" x14ac:dyDescent="0.25">
      <c r="A2515" t="s">
        <v>7280</v>
      </c>
      <c r="B2515" t="s">
        <v>7281</v>
      </c>
      <c r="C2515" t="s">
        <v>16179</v>
      </c>
      <c r="D2515" t="s">
        <v>47</v>
      </c>
      <c r="E2515">
        <v>4511</v>
      </c>
      <c r="F2515" s="3">
        <v>40702</v>
      </c>
      <c r="H2515" t="s">
        <v>15523</v>
      </c>
      <c r="I2515" t="s">
        <v>16180</v>
      </c>
      <c r="K2515" t="e">
        <v>#N/A</v>
      </c>
      <c r="S2515" s="3"/>
    </row>
    <row r="2516" spans="1:19" x14ac:dyDescent="0.25">
      <c r="A2516" t="s">
        <v>7282</v>
      </c>
      <c r="B2516" t="s">
        <v>7283</v>
      </c>
      <c r="C2516" t="s">
        <v>16179</v>
      </c>
      <c r="D2516" t="s">
        <v>2820</v>
      </c>
      <c r="E2516">
        <v>4628</v>
      </c>
      <c r="F2516" s="3">
        <v>40702</v>
      </c>
      <c r="H2516" t="s">
        <v>15523</v>
      </c>
      <c r="I2516" t="s">
        <v>16180</v>
      </c>
      <c r="K2516" t="e">
        <v>#N/A</v>
      </c>
      <c r="S2516" s="3"/>
    </row>
    <row r="2517" spans="1:19" x14ac:dyDescent="0.25">
      <c r="A2517" t="s">
        <v>7284</v>
      </c>
      <c r="B2517" t="s">
        <v>7285</v>
      </c>
      <c r="C2517" t="s">
        <v>16179</v>
      </c>
      <c r="D2517" t="s">
        <v>2820</v>
      </c>
      <c r="E2517">
        <v>4629</v>
      </c>
      <c r="F2517" s="3">
        <v>40929</v>
      </c>
      <c r="H2517" t="s">
        <v>15523</v>
      </c>
      <c r="I2517" t="s">
        <v>16180</v>
      </c>
      <c r="K2517" t="e">
        <v>#N/A</v>
      </c>
      <c r="S2517" s="3"/>
    </row>
    <row r="2518" spans="1:19" x14ac:dyDescent="0.25">
      <c r="A2518" t="s">
        <v>7286</v>
      </c>
      <c r="B2518" t="s">
        <v>7287</v>
      </c>
      <c r="C2518" t="s">
        <v>16179</v>
      </c>
      <c r="D2518" t="s">
        <v>666</v>
      </c>
      <c r="E2518">
        <v>4630</v>
      </c>
      <c r="F2518" s="3">
        <v>40929</v>
      </c>
      <c r="H2518" t="s">
        <v>15523</v>
      </c>
      <c r="I2518" t="s">
        <v>16180</v>
      </c>
      <c r="K2518" t="e">
        <v>#N/A</v>
      </c>
      <c r="S2518" s="3"/>
    </row>
    <row r="2519" spans="1:19" x14ac:dyDescent="0.25">
      <c r="A2519" t="s">
        <v>7288</v>
      </c>
      <c r="B2519" t="s">
        <v>7289</v>
      </c>
      <c r="C2519" t="s">
        <v>16179</v>
      </c>
      <c r="D2519" t="s">
        <v>47</v>
      </c>
      <c r="E2519">
        <v>4513</v>
      </c>
      <c r="F2519" s="3">
        <v>40702</v>
      </c>
      <c r="H2519" t="s">
        <v>15523</v>
      </c>
      <c r="I2519" t="s">
        <v>16180</v>
      </c>
      <c r="K2519" t="e">
        <v>#N/A</v>
      </c>
      <c r="S2519" s="3"/>
    </row>
    <row r="2520" spans="1:19" x14ac:dyDescent="0.25">
      <c r="A2520" t="s">
        <v>7290</v>
      </c>
      <c r="B2520" t="s">
        <v>7291</v>
      </c>
      <c r="C2520" t="s">
        <v>16179</v>
      </c>
      <c r="D2520" t="s">
        <v>47</v>
      </c>
      <c r="E2520">
        <v>4519</v>
      </c>
      <c r="F2520" s="3">
        <v>40702</v>
      </c>
      <c r="H2520" t="s">
        <v>15523</v>
      </c>
      <c r="I2520" t="s">
        <v>16180</v>
      </c>
      <c r="K2520" t="e">
        <v>#N/A</v>
      </c>
      <c r="S2520" s="3"/>
    </row>
    <row r="2521" spans="1:19" x14ac:dyDescent="0.25">
      <c r="A2521" t="s">
        <v>7292</v>
      </c>
      <c r="B2521" t="s">
        <v>7293</v>
      </c>
      <c r="C2521" t="s">
        <v>16179</v>
      </c>
      <c r="D2521" t="s">
        <v>2820</v>
      </c>
      <c r="E2521">
        <v>4635</v>
      </c>
      <c r="F2521" s="3">
        <v>40702</v>
      </c>
      <c r="H2521" t="s">
        <v>15523</v>
      </c>
      <c r="I2521" t="s">
        <v>16180</v>
      </c>
      <c r="K2521" t="e">
        <v>#N/A</v>
      </c>
      <c r="S2521" s="3"/>
    </row>
    <row r="2522" spans="1:19" x14ac:dyDescent="0.25">
      <c r="A2522" t="s">
        <v>7294</v>
      </c>
      <c r="B2522" t="s">
        <v>7295</v>
      </c>
      <c r="C2522" t="s">
        <v>16179</v>
      </c>
      <c r="D2522" t="s">
        <v>666</v>
      </c>
      <c r="E2522">
        <v>4636</v>
      </c>
      <c r="F2522" s="3">
        <v>40781</v>
      </c>
      <c r="H2522" t="s">
        <v>15523</v>
      </c>
      <c r="I2522" t="s">
        <v>16180</v>
      </c>
      <c r="K2522" t="e">
        <v>#N/A</v>
      </c>
      <c r="S2522" s="3"/>
    </row>
    <row r="2523" spans="1:19" x14ac:dyDescent="0.25">
      <c r="A2523" t="s">
        <v>7296</v>
      </c>
      <c r="B2523" t="s">
        <v>7297</v>
      </c>
      <c r="C2523" t="s">
        <v>16179</v>
      </c>
      <c r="D2523" t="s">
        <v>666</v>
      </c>
      <c r="E2523">
        <v>4637</v>
      </c>
      <c r="F2523" s="3">
        <v>40781</v>
      </c>
      <c r="H2523" t="s">
        <v>15523</v>
      </c>
      <c r="I2523" t="s">
        <v>16180</v>
      </c>
      <c r="K2523" t="e">
        <v>#N/A</v>
      </c>
      <c r="S2523" s="3"/>
    </row>
    <row r="2524" spans="1:19" x14ac:dyDescent="0.25">
      <c r="A2524" t="s">
        <v>7298</v>
      </c>
      <c r="B2524" t="s">
        <v>7299</v>
      </c>
      <c r="C2524" t="s">
        <v>16179</v>
      </c>
      <c r="D2524" t="s">
        <v>2820</v>
      </c>
      <c r="E2524">
        <v>4638</v>
      </c>
      <c r="F2524" s="3">
        <v>40702</v>
      </c>
      <c r="H2524" t="s">
        <v>15523</v>
      </c>
      <c r="I2524" t="s">
        <v>16180</v>
      </c>
      <c r="K2524" t="e">
        <v>#N/A</v>
      </c>
      <c r="S2524" s="3"/>
    </row>
    <row r="2525" spans="1:19" x14ac:dyDescent="0.25">
      <c r="A2525" t="s">
        <v>7300</v>
      </c>
      <c r="B2525" t="s">
        <v>7301</v>
      </c>
      <c r="C2525" t="s">
        <v>16179</v>
      </c>
      <c r="D2525" t="s">
        <v>666</v>
      </c>
      <c r="E2525">
        <v>4639</v>
      </c>
      <c r="F2525" s="3">
        <v>40934</v>
      </c>
      <c r="H2525" t="s">
        <v>15523</v>
      </c>
      <c r="I2525" t="s">
        <v>16180</v>
      </c>
      <c r="K2525" t="e">
        <v>#N/A</v>
      </c>
      <c r="S2525" s="3"/>
    </row>
    <row r="2526" spans="1:19" x14ac:dyDescent="0.25">
      <c r="A2526" t="s">
        <v>386</v>
      </c>
      <c r="B2526" t="s">
        <v>388</v>
      </c>
      <c r="C2526" t="s">
        <v>389</v>
      </c>
      <c r="D2526" t="s">
        <v>23</v>
      </c>
      <c r="E2526">
        <v>301</v>
      </c>
      <c r="F2526" s="3">
        <v>40702</v>
      </c>
      <c r="H2526" t="s">
        <v>15523</v>
      </c>
      <c r="I2526" t="s">
        <v>17310</v>
      </c>
      <c r="K2526">
        <v>103</v>
      </c>
      <c r="S2526" s="3"/>
    </row>
    <row r="2527" spans="1:19" x14ac:dyDescent="0.25">
      <c r="A2527" t="s">
        <v>7302</v>
      </c>
      <c r="B2527" t="s">
        <v>7303</v>
      </c>
      <c r="C2527" t="s">
        <v>7304</v>
      </c>
      <c r="D2527" t="s">
        <v>23</v>
      </c>
      <c r="E2527">
        <v>4596</v>
      </c>
      <c r="F2527" s="3">
        <v>40702</v>
      </c>
      <c r="H2527" t="s">
        <v>15523</v>
      </c>
      <c r="I2527" t="s">
        <v>17311</v>
      </c>
      <c r="K2527" t="e">
        <v>#N/A</v>
      </c>
      <c r="S2527" s="3"/>
    </row>
    <row r="2528" spans="1:19" x14ac:dyDescent="0.25">
      <c r="A2528" t="s">
        <v>7305</v>
      </c>
      <c r="B2528" t="s">
        <v>7306</v>
      </c>
      <c r="C2528" t="s">
        <v>7307</v>
      </c>
      <c r="D2528" t="s">
        <v>23</v>
      </c>
      <c r="E2528">
        <v>4597</v>
      </c>
      <c r="F2528" s="3">
        <v>40702</v>
      </c>
      <c r="H2528" t="s">
        <v>15523</v>
      </c>
      <c r="I2528" t="s">
        <v>17312</v>
      </c>
      <c r="K2528" t="e">
        <v>#N/A</v>
      </c>
      <c r="S2528" s="3"/>
    </row>
    <row r="2529" spans="1:19" x14ac:dyDescent="0.25">
      <c r="A2529" t="s">
        <v>7308</v>
      </c>
      <c r="B2529" t="s">
        <v>7309</v>
      </c>
      <c r="C2529" t="s">
        <v>7310</v>
      </c>
      <c r="D2529" t="s">
        <v>23</v>
      </c>
      <c r="E2529">
        <v>4598</v>
      </c>
      <c r="F2529" s="3">
        <v>40702</v>
      </c>
      <c r="H2529" t="s">
        <v>15523</v>
      </c>
      <c r="I2529" t="s">
        <v>17313</v>
      </c>
      <c r="K2529" t="e">
        <v>#N/A</v>
      </c>
      <c r="S2529" s="3"/>
    </row>
    <row r="2530" spans="1:19" x14ac:dyDescent="0.25">
      <c r="A2530" t="s">
        <v>7311</v>
      </c>
      <c r="B2530" t="s">
        <v>7312</v>
      </c>
      <c r="C2530" t="s">
        <v>7313</v>
      </c>
      <c r="D2530" t="s">
        <v>23</v>
      </c>
      <c r="E2530">
        <v>4599</v>
      </c>
      <c r="F2530" s="3">
        <v>40702</v>
      </c>
      <c r="H2530" t="s">
        <v>15523</v>
      </c>
      <c r="I2530" t="s">
        <v>17314</v>
      </c>
      <c r="K2530" t="e">
        <v>#N/A</v>
      </c>
      <c r="S2530" s="3"/>
    </row>
    <row r="2531" spans="1:19" x14ac:dyDescent="0.25">
      <c r="A2531" t="s">
        <v>266</v>
      </c>
      <c r="B2531" t="s">
        <v>268</v>
      </c>
      <c r="C2531" t="s">
        <v>269</v>
      </c>
      <c r="D2531" t="s">
        <v>23</v>
      </c>
      <c r="E2531">
        <v>1469</v>
      </c>
      <c r="F2531" s="3">
        <v>40702</v>
      </c>
      <c r="H2531" t="s">
        <v>15523</v>
      </c>
      <c r="I2531" t="s">
        <v>17315</v>
      </c>
      <c r="K2531">
        <v>73</v>
      </c>
      <c r="S2531" s="3"/>
    </row>
    <row r="2532" spans="1:19" x14ac:dyDescent="0.25">
      <c r="A2532" t="s">
        <v>7314</v>
      </c>
      <c r="B2532" t="s">
        <v>7315</v>
      </c>
      <c r="C2532" t="s">
        <v>7316</v>
      </c>
      <c r="D2532" t="s">
        <v>23</v>
      </c>
      <c r="E2532">
        <v>4604</v>
      </c>
      <c r="F2532" s="3">
        <v>40702</v>
      </c>
      <c r="H2532" t="s">
        <v>15523</v>
      </c>
      <c r="I2532" t="s">
        <v>17316</v>
      </c>
      <c r="K2532" t="e">
        <v>#N/A</v>
      </c>
      <c r="S2532" s="3"/>
    </row>
    <row r="2533" spans="1:19" x14ac:dyDescent="0.25">
      <c r="A2533" t="s">
        <v>318</v>
      </c>
      <c r="B2533" t="s">
        <v>320</v>
      </c>
      <c r="C2533" t="s">
        <v>321</v>
      </c>
      <c r="D2533" t="s">
        <v>23</v>
      </c>
      <c r="E2533">
        <v>1476</v>
      </c>
      <c r="F2533" s="3">
        <v>40782</v>
      </c>
      <c r="H2533" t="s">
        <v>15523</v>
      </c>
      <c r="I2533" t="s">
        <v>17317</v>
      </c>
      <c r="K2533">
        <v>86</v>
      </c>
      <c r="S2533" s="3"/>
    </row>
    <row r="2534" spans="1:19" x14ac:dyDescent="0.25">
      <c r="A2534" t="s">
        <v>7317</v>
      </c>
      <c r="B2534" t="s">
        <v>7318</v>
      </c>
      <c r="C2534" t="s">
        <v>7319</v>
      </c>
      <c r="D2534" t="s">
        <v>23</v>
      </c>
      <c r="E2534">
        <v>4633</v>
      </c>
      <c r="F2534" s="3">
        <v>40702</v>
      </c>
      <c r="H2534" t="s">
        <v>15523</v>
      </c>
      <c r="I2534" t="s">
        <v>17318</v>
      </c>
      <c r="K2534" t="e">
        <v>#N/A</v>
      </c>
      <c r="S2534" s="3"/>
    </row>
    <row r="2535" spans="1:19" x14ac:dyDescent="0.25">
      <c r="A2535" t="s">
        <v>7320</v>
      </c>
      <c r="B2535" t="s">
        <v>7321</v>
      </c>
      <c r="C2535" t="s">
        <v>7322</v>
      </c>
      <c r="D2535" t="s">
        <v>23</v>
      </c>
      <c r="E2535">
        <v>5547</v>
      </c>
      <c r="F2535" s="3">
        <v>42385</v>
      </c>
      <c r="H2535" t="s">
        <v>15523</v>
      </c>
      <c r="I2535" t="s">
        <v>17319</v>
      </c>
      <c r="K2535" t="e">
        <v>#N/A</v>
      </c>
      <c r="S2535" s="3"/>
    </row>
    <row r="2536" spans="1:19" x14ac:dyDescent="0.25">
      <c r="A2536" t="s">
        <v>7323</v>
      </c>
      <c r="B2536" t="s">
        <v>7324</v>
      </c>
      <c r="C2536" t="s">
        <v>7325</v>
      </c>
      <c r="D2536" t="s">
        <v>23</v>
      </c>
      <c r="E2536">
        <v>5548</v>
      </c>
      <c r="F2536" s="3">
        <v>42385</v>
      </c>
      <c r="H2536" t="s">
        <v>15523</v>
      </c>
      <c r="I2536" t="s">
        <v>17320</v>
      </c>
      <c r="K2536" t="e">
        <v>#N/A</v>
      </c>
      <c r="S2536" s="3"/>
    </row>
    <row r="2537" spans="1:19" x14ac:dyDescent="0.25">
      <c r="A2537" t="s">
        <v>606</v>
      </c>
      <c r="B2537" t="s">
        <v>608</v>
      </c>
      <c r="C2537" t="s">
        <v>609</v>
      </c>
      <c r="D2537" t="s">
        <v>23</v>
      </c>
      <c r="E2537">
        <v>4646</v>
      </c>
      <c r="F2537" s="3">
        <v>40915</v>
      </c>
      <c r="H2537" t="s">
        <v>15523</v>
      </c>
      <c r="I2537" t="s">
        <v>17321</v>
      </c>
      <c r="K2537">
        <v>158</v>
      </c>
      <c r="S2537" s="3"/>
    </row>
    <row r="2538" spans="1:19" x14ac:dyDescent="0.25">
      <c r="A2538" t="s">
        <v>239</v>
      </c>
      <c r="B2538" t="s">
        <v>241</v>
      </c>
      <c r="C2538" t="s">
        <v>242</v>
      </c>
      <c r="D2538" t="s">
        <v>23</v>
      </c>
      <c r="E2538">
        <v>1479</v>
      </c>
      <c r="F2538" s="3">
        <v>40702</v>
      </c>
      <c r="H2538" t="s">
        <v>15523</v>
      </c>
      <c r="I2538" t="s">
        <v>17322</v>
      </c>
      <c r="K2538">
        <v>66</v>
      </c>
      <c r="S2538" s="3"/>
    </row>
    <row r="2539" spans="1:19" x14ac:dyDescent="0.25">
      <c r="A2539" t="s">
        <v>97</v>
      </c>
      <c r="B2539" t="s">
        <v>99</v>
      </c>
      <c r="C2539" t="s">
        <v>100</v>
      </c>
      <c r="D2539" t="s">
        <v>23</v>
      </c>
      <c r="E2539">
        <v>4656</v>
      </c>
      <c r="F2539" s="3">
        <v>40702</v>
      </c>
      <c r="H2539" t="s">
        <v>15523</v>
      </c>
      <c r="I2539" t="s">
        <v>17323</v>
      </c>
      <c r="K2539">
        <v>23</v>
      </c>
      <c r="S2539" s="3"/>
    </row>
    <row r="2540" spans="1:19" x14ac:dyDescent="0.25">
      <c r="A2540" t="s">
        <v>430</v>
      </c>
      <c r="B2540" t="s">
        <v>432</v>
      </c>
      <c r="C2540" t="s">
        <v>433</v>
      </c>
      <c r="D2540" t="s">
        <v>23</v>
      </c>
      <c r="E2540">
        <v>1466</v>
      </c>
      <c r="F2540" s="3">
        <v>40702</v>
      </c>
      <c r="H2540" t="s">
        <v>15523</v>
      </c>
      <c r="I2540" t="s">
        <v>17324</v>
      </c>
      <c r="K2540">
        <v>114</v>
      </c>
      <c r="S2540" s="3"/>
    </row>
    <row r="2541" spans="1:19" x14ac:dyDescent="0.25">
      <c r="A2541" t="s">
        <v>7326</v>
      </c>
      <c r="B2541" t="s">
        <v>7327</v>
      </c>
      <c r="C2541" t="s">
        <v>7328</v>
      </c>
      <c r="D2541" t="s">
        <v>23</v>
      </c>
      <c r="E2541">
        <v>4667</v>
      </c>
      <c r="F2541" s="3">
        <v>40702</v>
      </c>
      <c r="H2541" t="s">
        <v>15523</v>
      </c>
      <c r="I2541" t="s">
        <v>17325</v>
      </c>
      <c r="K2541" t="e">
        <v>#N/A</v>
      </c>
      <c r="S2541" s="3"/>
    </row>
    <row r="2542" spans="1:19" x14ac:dyDescent="0.25">
      <c r="A2542" t="s">
        <v>382</v>
      </c>
      <c r="B2542" t="s">
        <v>384</v>
      </c>
      <c r="C2542" t="s">
        <v>385</v>
      </c>
      <c r="D2542" t="s">
        <v>23</v>
      </c>
      <c r="E2542">
        <v>1564</v>
      </c>
      <c r="F2542" s="3">
        <v>40702</v>
      </c>
      <c r="H2542" t="s">
        <v>15523</v>
      </c>
      <c r="I2542" t="s">
        <v>17326</v>
      </c>
      <c r="K2542">
        <v>102</v>
      </c>
      <c r="S2542" s="3"/>
    </row>
    <row r="2543" spans="1:19" x14ac:dyDescent="0.25">
      <c r="A2543" t="s">
        <v>7329</v>
      </c>
      <c r="B2543" t="s">
        <v>7330</v>
      </c>
      <c r="C2543" t="s">
        <v>7331</v>
      </c>
      <c r="D2543" t="s">
        <v>23</v>
      </c>
      <c r="E2543">
        <v>4668</v>
      </c>
      <c r="F2543" s="3">
        <v>40702</v>
      </c>
      <c r="H2543" t="s">
        <v>15523</v>
      </c>
      <c r="I2543" t="s">
        <v>17327</v>
      </c>
      <c r="K2543" t="e">
        <v>#N/A</v>
      </c>
      <c r="S2543" s="3"/>
    </row>
    <row r="2544" spans="1:19" x14ac:dyDescent="0.25">
      <c r="A2544" t="s">
        <v>7332</v>
      </c>
      <c r="B2544" t="s">
        <v>7333</v>
      </c>
      <c r="C2544" t="s">
        <v>7334</v>
      </c>
      <c r="D2544" t="s">
        <v>23</v>
      </c>
      <c r="E2544">
        <v>4669</v>
      </c>
      <c r="F2544" s="3">
        <v>40702</v>
      </c>
      <c r="H2544" t="s">
        <v>15523</v>
      </c>
      <c r="I2544" t="s">
        <v>17328</v>
      </c>
      <c r="K2544" t="e">
        <v>#N/A</v>
      </c>
      <c r="S2544" s="3"/>
    </row>
    <row r="2545" spans="1:19" x14ac:dyDescent="0.25">
      <c r="A2545" t="s">
        <v>334</v>
      </c>
      <c r="B2545" t="s">
        <v>336</v>
      </c>
      <c r="C2545" t="s">
        <v>337</v>
      </c>
      <c r="D2545" t="s">
        <v>23</v>
      </c>
      <c r="E2545">
        <v>1501</v>
      </c>
      <c r="F2545" s="3">
        <v>40702</v>
      </c>
      <c r="H2545" t="s">
        <v>15523</v>
      </c>
      <c r="I2545" t="s">
        <v>17329</v>
      </c>
      <c r="K2545">
        <v>90</v>
      </c>
      <c r="S2545" s="3"/>
    </row>
    <row r="2546" spans="1:19" x14ac:dyDescent="0.25">
      <c r="A2546" t="s">
        <v>7335</v>
      </c>
      <c r="B2546" t="s">
        <v>7336</v>
      </c>
      <c r="C2546" t="s">
        <v>7337</v>
      </c>
      <c r="D2546" t="s">
        <v>23</v>
      </c>
      <c r="E2546">
        <v>4703</v>
      </c>
      <c r="F2546" s="3">
        <v>40702</v>
      </c>
      <c r="H2546" t="s">
        <v>15523</v>
      </c>
      <c r="I2546" t="s">
        <v>17330</v>
      </c>
      <c r="K2546" t="e">
        <v>#N/A</v>
      </c>
      <c r="S2546" s="3"/>
    </row>
    <row r="2547" spans="1:19" x14ac:dyDescent="0.25">
      <c r="A2547" t="s">
        <v>7338</v>
      </c>
      <c r="B2547" t="s">
        <v>7339</v>
      </c>
      <c r="C2547" t="s">
        <v>7340</v>
      </c>
      <c r="D2547" t="s">
        <v>23</v>
      </c>
      <c r="E2547">
        <v>4704</v>
      </c>
      <c r="F2547" s="3">
        <v>40702</v>
      </c>
      <c r="H2547" t="s">
        <v>15523</v>
      </c>
      <c r="I2547" t="s">
        <v>17331</v>
      </c>
      <c r="K2547" t="e">
        <v>#N/A</v>
      </c>
      <c r="S2547" s="3"/>
    </row>
    <row r="2548" spans="1:19" x14ac:dyDescent="0.25">
      <c r="A2548" t="s">
        <v>7341</v>
      </c>
      <c r="B2548" t="s">
        <v>7342</v>
      </c>
      <c r="C2548" t="s">
        <v>7343</v>
      </c>
      <c r="D2548" t="s">
        <v>23</v>
      </c>
      <c r="E2548">
        <v>4705</v>
      </c>
      <c r="F2548" s="3">
        <v>40702</v>
      </c>
      <c r="H2548" t="s">
        <v>15523</v>
      </c>
      <c r="I2548" t="s">
        <v>17332</v>
      </c>
      <c r="K2548" t="e">
        <v>#N/A</v>
      </c>
      <c r="S2548" s="3"/>
    </row>
    <row r="2549" spans="1:19" x14ac:dyDescent="0.25">
      <c r="A2549" t="s">
        <v>7344</v>
      </c>
      <c r="B2549" t="s">
        <v>7345</v>
      </c>
      <c r="C2549" t="s">
        <v>16179</v>
      </c>
      <c r="D2549" t="s">
        <v>23</v>
      </c>
      <c r="E2549">
        <v>4625</v>
      </c>
      <c r="F2549" s="3">
        <v>40782</v>
      </c>
      <c r="H2549" t="s">
        <v>15523</v>
      </c>
      <c r="I2549" t="s">
        <v>16180</v>
      </c>
      <c r="K2549" t="e">
        <v>#N/A</v>
      </c>
      <c r="S2549" s="3"/>
    </row>
    <row r="2550" spans="1:19" x14ac:dyDescent="0.25">
      <c r="A2550" t="s">
        <v>7346</v>
      </c>
      <c r="B2550" t="s">
        <v>7347</v>
      </c>
      <c r="C2550" t="s">
        <v>16179</v>
      </c>
      <c r="D2550" t="s">
        <v>47</v>
      </c>
      <c r="E2550">
        <v>1522</v>
      </c>
      <c r="F2550" s="3">
        <v>40702</v>
      </c>
      <c r="H2550" t="s">
        <v>15523</v>
      </c>
      <c r="I2550" t="s">
        <v>16180</v>
      </c>
      <c r="K2550" t="e">
        <v>#N/A</v>
      </c>
      <c r="S2550" s="3"/>
    </row>
    <row r="2551" spans="1:19" x14ac:dyDescent="0.25">
      <c r="A2551" t="s">
        <v>7348</v>
      </c>
      <c r="B2551" t="s">
        <v>7349</v>
      </c>
      <c r="C2551" t="s">
        <v>16179</v>
      </c>
      <c r="D2551" t="s">
        <v>47</v>
      </c>
      <c r="E2551">
        <v>5117</v>
      </c>
      <c r="F2551" s="3">
        <v>41851</v>
      </c>
      <c r="H2551" t="s">
        <v>15523</v>
      </c>
      <c r="I2551" t="s">
        <v>16180</v>
      </c>
      <c r="K2551" t="e">
        <v>#N/A</v>
      </c>
      <c r="S2551" s="3"/>
    </row>
    <row r="2552" spans="1:19" x14ac:dyDescent="0.25">
      <c r="A2552" t="s">
        <v>7350</v>
      </c>
      <c r="B2552" t="s">
        <v>7351</v>
      </c>
      <c r="C2552" t="s">
        <v>7352</v>
      </c>
      <c r="D2552" t="s">
        <v>23</v>
      </c>
      <c r="E2552">
        <v>1599</v>
      </c>
      <c r="F2552" s="3">
        <v>40702</v>
      </c>
      <c r="H2552" t="s">
        <v>15523</v>
      </c>
      <c r="I2552" t="s">
        <v>17333</v>
      </c>
      <c r="K2552" t="e">
        <v>#N/A</v>
      </c>
      <c r="S2552" s="3"/>
    </row>
    <row r="2553" spans="1:19" x14ac:dyDescent="0.25">
      <c r="A2553" t="s">
        <v>7353</v>
      </c>
      <c r="B2553" t="s">
        <v>7354</v>
      </c>
      <c r="C2553" t="s">
        <v>7355</v>
      </c>
      <c r="D2553" t="s">
        <v>23</v>
      </c>
      <c r="E2553">
        <v>4754</v>
      </c>
      <c r="F2553" s="3">
        <v>40702</v>
      </c>
      <c r="H2553" t="s">
        <v>15523</v>
      </c>
      <c r="I2553" t="s">
        <v>17334</v>
      </c>
      <c r="K2553" t="e">
        <v>#N/A</v>
      </c>
      <c r="S2553" s="3"/>
    </row>
    <row r="2554" spans="1:19" x14ac:dyDescent="0.25">
      <c r="A2554" t="s">
        <v>7356</v>
      </c>
      <c r="B2554" t="s">
        <v>7357</v>
      </c>
      <c r="C2554" t="s">
        <v>7358</v>
      </c>
      <c r="D2554" t="s">
        <v>23</v>
      </c>
      <c r="E2554">
        <v>4755</v>
      </c>
      <c r="F2554" s="3">
        <v>40702</v>
      </c>
      <c r="H2554" t="s">
        <v>15523</v>
      </c>
      <c r="I2554" t="s">
        <v>17335</v>
      </c>
      <c r="K2554" t="e">
        <v>#N/A</v>
      </c>
      <c r="S2554" s="3"/>
    </row>
    <row r="2555" spans="1:19" x14ac:dyDescent="0.25">
      <c r="A2555" t="s">
        <v>7359</v>
      </c>
      <c r="B2555" t="s">
        <v>7360</v>
      </c>
      <c r="C2555" t="s">
        <v>7361</v>
      </c>
      <c r="D2555" t="s">
        <v>23</v>
      </c>
      <c r="E2555">
        <v>4756</v>
      </c>
      <c r="F2555" s="3">
        <v>40702</v>
      </c>
      <c r="H2555" t="s">
        <v>15523</v>
      </c>
      <c r="I2555" t="s">
        <v>17336</v>
      </c>
      <c r="K2555" t="e">
        <v>#N/A</v>
      </c>
      <c r="S2555" s="3"/>
    </row>
    <row r="2556" spans="1:19" x14ac:dyDescent="0.25">
      <c r="A2556" t="s">
        <v>7362</v>
      </c>
      <c r="B2556" t="s">
        <v>7363</v>
      </c>
      <c r="C2556" t="s">
        <v>7364</v>
      </c>
      <c r="D2556" t="s">
        <v>23</v>
      </c>
      <c r="E2556">
        <v>4757</v>
      </c>
      <c r="F2556" s="3">
        <v>40702</v>
      </c>
      <c r="H2556" t="s">
        <v>15523</v>
      </c>
      <c r="I2556" t="s">
        <v>17337</v>
      </c>
      <c r="K2556" t="e">
        <v>#N/A</v>
      </c>
      <c r="S2556" s="3"/>
    </row>
    <row r="2557" spans="1:19" x14ac:dyDescent="0.25">
      <c r="A2557" t="s">
        <v>7365</v>
      </c>
      <c r="B2557" t="s">
        <v>7366</v>
      </c>
      <c r="C2557" t="s">
        <v>7367</v>
      </c>
      <c r="D2557" t="s">
        <v>23</v>
      </c>
      <c r="E2557">
        <v>4758</v>
      </c>
      <c r="F2557" s="3">
        <v>40702</v>
      </c>
      <c r="H2557" t="s">
        <v>15523</v>
      </c>
      <c r="I2557" t="s">
        <v>17338</v>
      </c>
      <c r="K2557" t="e">
        <v>#N/A</v>
      </c>
      <c r="S2557" s="3"/>
    </row>
    <row r="2558" spans="1:19" x14ac:dyDescent="0.25">
      <c r="A2558" t="s">
        <v>7368</v>
      </c>
      <c r="B2558" t="s">
        <v>7369</v>
      </c>
      <c r="C2558" t="s">
        <v>7370</v>
      </c>
      <c r="D2558" t="s">
        <v>23</v>
      </c>
      <c r="E2558">
        <v>6070</v>
      </c>
      <c r="F2558" s="3">
        <v>43823</v>
      </c>
      <c r="H2558" t="s">
        <v>15523</v>
      </c>
      <c r="I2558" t="s">
        <v>17339</v>
      </c>
      <c r="K2558" t="e">
        <v>#N/A</v>
      </c>
      <c r="S2558" s="3"/>
    </row>
    <row r="2559" spans="1:19" x14ac:dyDescent="0.25">
      <c r="A2559" t="s">
        <v>7371</v>
      </c>
      <c r="B2559" t="s">
        <v>7372</v>
      </c>
      <c r="C2559" t="s">
        <v>7373</v>
      </c>
      <c r="D2559" t="s">
        <v>23</v>
      </c>
      <c r="E2559">
        <v>4759</v>
      </c>
      <c r="F2559" s="3">
        <v>40702</v>
      </c>
      <c r="H2559" t="s">
        <v>15523</v>
      </c>
      <c r="I2559" t="s">
        <v>17340</v>
      </c>
      <c r="K2559" t="e">
        <v>#N/A</v>
      </c>
      <c r="S2559" s="3"/>
    </row>
    <row r="2560" spans="1:19" x14ac:dyDescent="0.25">
      <c r="A2560" t="s">
        <v>7374</v>
      </c>
      <c r="B2560" t="s">
        <v>7375</v>
      </c>
      <c r="C2560" t="s">
        <v>7376</v>
      </c>
      <c r="D2560" t="s">
        <v>23</v>
      </c>
      <c r="E2560">
        <v>5585</v>
      </c>
      <c r="F2560" s="3">
        <v>42448</v>
      </c>
      <c r="H2560" t="s">
        <v>15523</v>
      </c>
      <c r="I2560" t="s">
        <v>17341</v>
      </c>
      <c r="K2560" t="e">
        <v>#N/A</v>
      </c>
      <c r="S2560" s="3"/>
    </row>
    <row r="2561" spans="1:19" x14ac:dyDescent="0.25">
      <c r="A2561" t="s">
        <v>7377</v>
      </c>
      <c r="B2561" t="s">
        <v>7378</v>
      </c>
      <c r="C2561" t="s">
        <v>7379</v>
      </c>
      <c r="D2561" t="s">
        <v>23</v>
      </c>
      <c r="E2561">
        <v>5584</v>
      </c>
      <c r="F2561" s="3">
        <v>42448</v>
      </c>
      <c r="H2561" t="s">
        <v>15523</v>
      </c>
      <c r="I2561" t="s">
        <v>17342</v>
      </c>
      <c r="K2561" t="e">
        <v>#N/A</v>
      </c>
      <c r="S2561" s="3"/>
    </row>
    <row r="2562" spans="1:19" x14ac:dyDescent="0.25">
      <c r="A2562" t="s">
        <v>7380</v>
      </c>
      <c r="B2562" t="s">
        <v>7381</v>
      </c>
      <c r="C2562" t="s">
        <v>7382</v>
      </c>
      <c r="D2562" t="s">
        <v>23</v>
      </c>
      <c r="E2562">
        <v>2309</v>
      </c>
      <c r="F2562" s="3">
        <v>40702</v>
      </c>
      <c r="H2562" t="s">
        <v>15523</v>
      </c>
      <c r="I2562" t="s">
        <v>17343</v>
      </c>
      <c r="K2562" t="e">
        <v>#N/A</v>
      </c>
      <c r="S2562" s="3"/>
    </row>
    <row r="2563" spans="1:19" x14ac:dyDescent="0.25">
      <c r="A2563" t="s">
        <v>7383</v>
      </c>
      <c r="B2563" t="s">
        <v>7384</v>
      </c>
      <c r="C2563" t="s">
        <v>7385</v>
      </c>
      <c r="D2563" t="s">
        <v>23</v>
      </c>
      <c r="E2563">
        <v>5234</v>
      </c>
      <c r="F2563" s="3">
        <v>42035</v>
      </c>
      <c r="H2563" t="s">
        <v>15523</v>
      </c>
      <c r="I2563" t="s">
        <v>17344</v>
      </c>
      <c r="K2563" t="e">
        <v>#N/A</v>
      </c>
      <c r="S2563" s="3"/>
    </row>
    <row r="2564" spans="1:19" x14ac:dyDescent="0.25">
      <c r="A2564" t="s">
        <v>7386</v>
      </c>
      <c r="B2564" t="s">
        <v>7387</v>
      </c>
      <c r="C2564" t="s">
        <v>7388</v>
      </c>
      <c r="D2564" t="s">
        <v>23</v>
      </c>
      <c r="E2564">
        <v>1538</v>
      </c>
      <c r="F2564" s="3">
        <v>40702</v>
      </c>
      <c r="H2564" t="s">
        <v>15523</v>
      </c>
      <c r="I2564" t="s">
        <v>17345</v>
      </c>
      <c r="K2564" t="e">
        <v>#N/A</v>
      </c>
      <c r="S2564" s="3"/>
    </row>
    <row r="2565" spans="1:19" x14ac:dyDescent="0.25">
      <c r="A2565" t="s">
        <v>7389</v>
      </c>
      <c r="B2565" t="s">
        <v>7390</v>
      </c>
      <c r="C2565" t="s">
        <v>7391</v>
      </c>
      <c r="D2565" t="s">
        <v>23</v>
      </c>
      <c r="E2565">
        <v>2027</v>
      </c>
      <c r="F2565" s="3">
        <v>40702</v>
      </c>
      <c r="H2565" t="s">
        <v>15523</v>
      </c>
      <c r="I2565" t="s">
        <v>17346</v>
      </c>
      <c r="K2565" t="e">
        <v>#N/A</v>
      </c>
      <c r="S2565" s="3"/>
    </row>
    <row r="2566" spans="1:19" x14ac:dyDescent="0.25">
      <c r="A2566" t="s">
        <v>7392</v>
      </c>
      <c r="B2566" t="s">
        <v>7393</v>
      </c>
      <c r="C2566" t="s">
        <v>7394</v>
      </c>
      <c r="D2566" t="s">
        <v>23</v>
      </c>
      <c r="E2566">
        <v>4761</v>
      </c>
      <c r="F2566" s="3">
        <v>43441</v>
      </c>
      <c r="H2566" t="s">
        <v>15523</v>
      </c>
      <c r="I2566" t="s">
        <v>17347</v>
      </c>
      <c r="K2566" t="e">
        <v>#N/A</v>
      </c>
      <c r="S2566" s="3"/>
    </row>
    <row r="2567" spans="1:19" x14ac:dyDescent="0.25">
      <c r="A2567" t="s">
        <v>7395</v>
      </c>
      <c r="B2567" t="s">
        <v>7396</v>
      </c>
      <c r="C2567" t="s">
        <v>7397</v>
      </c>
      <c r="D2567" t="s">
        <v>23</v>
      </c>
      <c r="E2567">
        <v>1536</v>
      </c>
      <c r="F2567" s="3">
        <v>40702</v>
      </c>
      <c r="H2567" t="s">
        <v>15523</v>
      </c>
      <c r="I2567" t="s">
        <v>17348</v>
      </c>
      <c r="K2567" t="e">
        <v>#N/A</v>
      </c>
      <c r="S2567" s="3"/>
    </row>
    <row r="2568" spans="1:19" x14ac:dyDescent="0.25">
      <c r="A2568" t="s">
        <v>7398</v>
      </c>
      <c r="B2568" t="s">
        <v>7399</v>
      </c>
      <c r="C2568" t="s">
        <v>7400</v>
      </c>
      <c r="D2568" t="s">
        <v>23</v>
      </c>
      <c r="E2568">
        <v>5191</v>
      </c>
      <c r="F2568" s="3">
        <v>42035</v>
      </c>
      <c r="H2568" t="s">
        <v>15523</v>
      </c>
      <c r="I2568" t="s">
        <v>17349</v>
      </c>
      <c r="K2568" t="e">
        <v>#N/A</v>
      </c>
      <c r="S2568" s="3"/>
    </row>
    <row r="2569" spans="1:19" x14ac:dyDescent="0.25">
      <c r="A2569" t="s">
        <v>7401</v>
      </c>
      <c r="B2569" t="s">
        <v>7402</v>
      </c>
      <c r="C2569" t="s">
        <v>7403</v>
      </c>
      <c r="D2569" t="s">
        <v>23</v>
      </c>
      <c r="E2569">
        <v>1540</v>
      </c>
      <c r="F2569" s="3">
        <v>40702</v>
      </c>
      <c r="H2569" t="s">
        <v>15523</v>
      </c>
      <c r="I2569" t="s">
        <v>17350</v>
      </c>
      <c r="K2569" t="e">
        <v>#N/A</v>
      </c>
      <c r="S2569" s="3"/>
    </row>
    <row r="2570" spans="1:19" x14ac:dyDescent="0.25">
      <c r="A2570" t="s">
        <v>7404</v>
      </c>
      <c r="B2570" t="s">
        <v>7405</v>
      </c>
      <c r="C2570" t="s">
        <v>7406</v>
      </c>
      <c r="D2570" t="s">
        <v>23</v>
      </c>
      <c r="E2570">
        <v>1542</v>
      </c>
      <c r="F2570" s="3">
        <v>40702</v>
      </c>
      <c r="H2570" t="s">
        <v>15523</v>
      </c>
      <c r="I2570" t="s">
        <v>17351</v>
      </c>
      <c r="K2570" t="e">
        <v>#N/A</v>
      </c>
      <c r="S2570" s="3"/>
    </row>
    <row r="2571" spans="1:19" x14ac:dyDescent="0.25">
      <c r="A2571" t="s">
        <v>7407</v>
      </c>
      <c r="B2571" t="s">
        <v>7408</v>
      </c>
      <c r="C2571" t="s">
        <v>7409</v>
      </c>
      <c r="D2571" t="s">
        <v>23</v>
      </c>
      <c r="E2571">
        <v>4764</v>
      </c>
      <c r="F2571" s="3">
        <v>40702</v>
      </c>
      <c r="H2571" t="s">
        <v>15523</v>
      </c>
      <c r="I2571" t="s">
        <v>17352</v>
      </c>
      <c r="K2571" t="e">
        <v>#N/A</v>
      </c>
      <c r="S2571" s="3"/>
    </row>
    <row r="2572" spans="1:19" x14ac:dyDescent="0.25">
      <c r="A2572" t="s">
        <v>7410</v>
      </c>
      <c r="B2572" t="s">
        <v>7411</v>
      </c>
      <c r="C2572" t="s">
        <v>7412</v>
      </c>
      <c r="D2572" t="s">
        <v>23</v>
      </c>
      <c r="E2572">
        <v>4765</v>
      </c>
      <c r="F2572" s="3">
        <v>40702</v>
      </c>
      <c r="H2572" t="s">
        <v>15523</v>
      </c>
      <c r="I2572" t="s">
        <v>17353</v>
      </c>
      <c r="K2572" t="e">
        <v>#N/A</v>
      </c>
      <c r="S2572" s="3"/>
    </row>
    <row r="2573" spans="1:19" x14ac:dyDescent="0.25">
      <c r="A2573" t="s">
        <v>7413</v>
      </c>
      <c r="B2573" t="s">
        <v>7414</v>
      </c>
      <c r="C2573" t="s">
        <v>7415</v>
      </c>
      <c r="D2573" t="s">
        <v>23</v>
      </c>
      <c r="E2573">
        <v>1544</v>
      </c>
      <c r="F2573" s="3">
        <v>40702</v>
      </c>
      <c r="H2573" t="s">
        <v>15523</v>
      </c>
      <c r="I2573" t="s">
        <v>17354</v>
      </c>
      <c r="K2573" t="e">
        <v>#N/A</v>
      </c>
      <c r="S2573" s="3"/>
    </row>
    <row r="2574" spans="1:19" x14ac:dyDescent="0.25">
      <c r="A2574" t="s">
        <v>7416</v>
      </c>
      <c r="B2574" t="s">
        <v>7417</v>
      </c>
      <c r="C2574" t="s">
        <v>7418</v>
      </c>
      <c r="D2574" t="s">
        <v>23</v>
      </c>
      <c r="E2574">
        <v>5164</v>
      </c>
      <c r="F2574" s="3">
        <v>41956</v>
      </c>
      <c r="H2574" t="s">
        <v>15523</v>
      </c>
      <c r="I2574" t="s">
        <v>17355</v>
      </c>
      <c r="K2574" t="e">
        <v>#N/A</v>
      </c>
      <c r="S2574" s="3"/>
    </row>
    <row r="2575" spans="1:19" x14ac:dyDescent="0.25">
      <c r="A2575" t="s">
        <v>7419</v>
      </c>
      <c r="B2575" t="s">
        <v>7420</v>
      </c>
      <c r="C2575" t="s">
        <v>7421</v>
      </c>
      <c r="D2575" t="s">
        <v>23</v>
      </c>
      <c r="E2575">
        <v>1546</v>
      </c>
      <c r="F2575" s="3">
        <v>40702</v>
      </c>
      <c r="H2575" t="s">
        <v>15523</v>
      </c>
      <c r="I2575" t="s">
        <v>17356</v>
      </c>
      <c r="K2575" t="e">
        <v>#N/A</v>
      </c>
      <c r="S2575" s="3"/>
    </row>
    <row r="2576" spans="1:19" x14ac:dyDescent="0.25">
      <c r="A2576" t="s">
        <v>7422</v>
      </c>
      <c r="B2576" t="s">
        <v>7423</v>
      </c>
      <c r="C2576" t="s">
        <v>7424</v>
      </c>
      <c r="D2576" t="s">
        <v>23</v>
      </c>
      <c r="E2576">
        <v>4760</v>
      </c>
      <c r="F2576" s="3">
        <v>40702</v>
      </c>
      <c r="H2576" t="s">
        <v>15523</v>
      </c>
      <c r="I2576" t="s">
        <v>17357</v>
      </c>
      <c r="K2576" t="e">
        <v>#N/A</v>
      </c>
      <c r="S2576" s="3"/>
    </row>
    <row r="2577" spans="1:19" x14ac:dyDescent="0.25">
      <c r="A2577" t="s">
        <v>7425</v>
      </c>
      <c r="B2577" t="s">
        <v>7426</v>
      </c>
      <c r="C2577" t="s">
        <v>7427</v>
      </c>
      <c r="D2577" t="s">
        <v>23</v>
      </c>
      <c r="E2577">
        <v>4762</v>
      </c>
      <c r="F2577" s="3">
        <v>40702</v>
      </c>
      <c r="H2577" t="s">
        <v>15523</v>
      </c>
      <c r="I2577" t="s">
        <v>17358</v>
      </c>
      <c r="K2577" t="e">
        <v>#N/A</v>
      </c>
      <c r="S2577" s="3"/>
    </row>
    <row r="2578" spans="1:19" x14ac:dyDescent="0.25">
      <c r="A2578" t="s">
        <v>7428</v>
      </c>
      <c r="B2578" t="s">
        <v>7429</v>
      </c>
      <c r="C2578" t="s">
        <v>7430</v>
      </c>
      <c r="D2578" t="s">
        <v>23</v>
      </c>
      <c r="E2578">
        <v>4763</v>
      </c>
      <c r="F2578" s="3">
        <v>40702</v>
      </c>
      <c r="H2578" t="s">
        <v>15523</v>
      </c>
      <c r="I2578" t="s">
        <v>17359</v>
      </c>
      <c r="K2578" t="e">
        <v>#N/A</v>
      </c>
      <c r="S2578" s="3"/>
    </row>
    <row r="2579" spans="1:19" x14ac:dyDescent="0.25">
      <c r="A2579" t="s">
        <v>7431</v>
      </c>
      <c r="B2579" t="s">
        <v>7432</v>
      </c>
      <c r="C2579" t="s">
        <v>7433</v>
      </c>
      <c r="D2579" t="s">
        <v>23</v>
      </c>
      <c r="E2579">
        <v>4766</v>
      </c>
      <c r="F2579" s="3">
        <v>40702</v>
      </c>
      <c r="H2579" t="s">
        <v>15523</v>
      </c>
      <c r="I2579" t="s">
        <v>17360</v>
      </c>
      <c r="K2579" t="e">
        <v>#N/A</v>
      </c>
      <c r="S2579" s="3"/>
    </row>
    <row r="2580" spans="1:19" x14ac:dyDescent="0.25">
      <c r="A2580" t="s">
        <v>7434</v>
      </c>
      <c r="B2580" t="s">
        <v>7435</v>
      </c>
      <c r="C2580" t="s">
        <v>7436</v>
      </c>
      <c r="D2580" t="s">
        <v>23</v>
      </c>
      <c r="E2580">
        <v>1548</v>
      </c>
      <c r="F2580" s="3">
        <v>40702</v>
      </c>
      <c r="H2580" t="s">
        <v>15523</v>
      </c>
      <c r="I2580" t="s">
        <v>17361</v>
      </c>
      <c r="K2580" t="e">
        <v>#N/A</v>
      </c>
      <c r="S2580" s="3"/>
    </row>
    <row r="2581" spans="1:19" x14ac:dyDescent="0.25">
      <c r="A2581" t="s">
        <v>7437</v>
      </c>
      <c r="B2581" t="s">
        <v>7438</v>
      </c>
      <c r="C2581" t="s">
        <v>7439</v>
      </c>
      <c r="D2581" t="s">
        <v>23</v>
      </c>
      <c r="E2581">
        <v>4767</v>
      </c>
      <c r="F2581" s="3">
        <v>40702</v>
      </c>
      <c r="H2581" t="s">
        <v>15523</v>
      </c>
      <c r="I2581" t="s">
        <v>17362</v>
      </c>
      <c r="K2581" t="e">
        <v>#N/A</v>
      </c>
      <c r="S2581" s="3"/>
    </row>
    <row r="2582" spans="1:19" x14ac:dyDescent="0.25">
      <c r="A2582" t="s">
        <v>7440</v>
      </c>
      <c r="B2582" t="s">
        <v>7441</v>
      </c>
      <c r="C2582" t="s">
        <v>7442</v>
      </c>
      <c r="D2582" t="s">
        <v>23</v>
      </c>
      <c r="E2582">
        <v>4771</v>
      </c>
      <c r="F2582" s="3">
        <v>40702</v>
      </c>
      <c r="H2582" t="s">
        <v>15523</v>
      </c>
      <c r="I2582" t="s">
        <v>17363</v>
      </c>
      <c r="K2582" t="e">
        <v>#N/A</v>
      </c>
      <c r="S2582" s="3"/>
    </row>
    <row r="2583" spans="1:19" x14ac:dyDescent="0.25">
      <c r="A2583" t="s">
        <v>7443</v>
      </c>
      <c r="B2583" t="s">
        <v>7444</v>
      </c>
      <c r="C2583" t="s">
        <v>16179</v>
      </c>
      <c r="D2583" t="s">
        <v>47</v>
      </c>
      <c r="E2583">
        <v>4520</v>
      </c>
      <c r="F2583" s="3">
        <v>40823</v>
      </c>
      <c r="H2583" t="s">
        <v>15523</v>
      </c>
      <c r="I2583" t="s">
        <v>16180</v>
      </c>
      <c r="K2583" t="e">
        <v>#N/A</v>
      </c>
      <c r="S2583" s="3"/>
    </row>
    <row r="2584" spans="1:19" x14ac:dyDescent="0.25">
      <c r="A2584" t="s">
        <v>7445</v>
      </c>
      <c r="B2584" t="s">
        <v>7446</v>
      </c>
      <c r="C2584" t="s">
        <v>16179</v>
      </c>
      <c r="D2584" t="s">
        <v>47</v>
      </c>
      <c r="E2584">
        <v>4582</v>
      </c>
      <c r="F2584" s="3">
        <v>40823</v>
      </c>
      <c r="H2584" t="s">
        <v>15523</v>
      </c>
      <c r="I2584" t="s">
        <v>16180</v>
      </c>
      <c r="K2584" t="e">
        <v>#N/A</v>
      </c>
      <c r="S2584" s="3"/>
    </row>
    <row r="2585" spans="1:19" x14ac:dyDescent="0.25">
      <c r="A2585" t="s">
        <v>7447</v>
      </c>
      <c r="B2585" t="s">
        <v>7448</v>
      </c>
      <c r="C2585" t="s">
        <v>16179</v>
      </c>
      <c r="D2585" t="s">
        <v>47</v>
      </c>
      <c r="E2585">
        <v>4580</v>
      </c>
      <c r="F2585" s="3">
        <v>40823</v>
      </c>
      <c r="H2585" t="s">
        <v>15523</v>
      </c>
      <c r="I2585" t="s">
        <v>16180</v>
      </c>
      <c r="K2585" t="e">
        <v>#N/A</v>
      </c>
      <c r="S2585" s="3"/>
    </row>
    <row r="2586" spans="1:19" x14ac:dyDescent="0.25">
      <c r="A2586" t="s">
        <v>7449</v>
      </c>
      <c r="B2586" t="s">
        <v>7450</v>
      </c>
      <c r="C2586" t="s">
        <v>7451</v>
      </c>
      <c r="D2586" t="s">
        <v>23</v>
      </c>
      <c r="E2586">
        <v>4783</v>
      </c>
      <c r="F2586" s="3">
        <v>40702</v>
      </c>
      <c r="H2586" t="s">
        <v>15523</v>
      </c>
      <c r="I2586" t="s">
        <v>17364</v>
      </c>
      <c r="K2586" t="e">
        <v>#N/A</v>
      </c>
      <c r="S2586" s="3"/>
    </row>
    <row r="2587" spans="1:19" x14ac:dyDescent="0.25">
      <c r="A2587" t="s">
        <v>7452</v>
      </c>
      <c r="B2587" t="s">
        <v>7453</v>
      </c>
      <c r="C2587" t="s">
        <v>7454</v>
      </c>
      <c r="D2587" t="s">
        <v>23</v>
      </c>
      <c r="E2587">
        <v>1590</v>
      </c>
      <c r="F2587" s="3">
        <v>40702</v>
      </c>
      <c r="H2587" t="s">
        <v>15523</v>
      </c>
      <c r="I2587" t="s">
        <v>17365</v>
      </c>
      <c r="K2587" t="e">
        <v>#N/A</v>
      </c>
      <c r="S2587" s="3"/>
    </row>
    <row r="2588" spans="1:19" x14ac:dyDescent="0.25">
      <c r="A2588" t="s">
        <v>7455</v>
      </c>
      <c r="B2588" t="s">
        <v>7456</v>
      </c>
      <c r="C2588" t="s">
        <v>7457</v>
      </c>
      <c r="D2588" t="s">
        <v>23</v>
      </c>
      <c r="E2588">
        <v>5813</v>
      </c>
      <c r="F2588" s="3">
        <v>42868</v>
      </c>
      <c r="H2588" t="s">
        <v>15523</v>
      </c>
      <c r="I2588" t="s">
        <v>17366</v>
      </c>
      <c r="K2588" t="e">
        <v>#N/A</v>
      </c>
      <c r="S2588" s="3"/>
    </row>
    <row r="2589" spans="1:19" x14ac:dyDescent="0.25">
      <c r="A2589" t="s">
        <v>7458</v>
      </c>
      <c r="B2589" t="s">
        <v>7459</v>
      </c>
      <c r="C2589" t="s">
        <v>7460</v>
      </c>
      <c r="D2589" t="s">
        <v>23</v>
      </c>
      <c r="E2589">
        <v>4787</v>
      </c>
      <c r="F2589" s="3">
        <v>40702</v>
      </c>
      <c r="H2589" t="s">
        <v>15523</v>
      </c>
      <c r="I2589" t="s">
        <v>17367</v>
      </c>
      <c r="K2589" t="e">
        <v>#N/A</v>
      </c>
      <c r="S2589" s="3"/>
    </row>
    <row r="2590" spans="1:19" x14ac:dyDescent="0.25">
      <c r="A2590" t="s">
        <v>7461</v>
      </c>
      <c r="B2590" t="s">
        <v>7462</v>
      </c>
      <c r="C2590" t="s">
        <v>7463</v>
      </c>
      <c r="D2590" t="s">
        <v>23</v>
      </c>
      <c r="E2590">
        <v>4789</v>
      </c>
      <c r="F2590" s="3">
        <v>40702</v>
      </c>
      <c r="H2590" t="s">
        <v>15523</v>
      </c>
      <c r="I2590" t="s">
        <v>17368</v>
      </c>
      <c r="K2590" t="e">
        <v>#N/A</v>
      </c>
      <c r="S2590" s="3"/>
    </row>
    <row r="2591" spans="1:19" x14ac:dyDescent="0.25">
      <c r="A2591" t="s">
        <v>7464</v>
      </c>
      <c r="B2591" t="s">
        <v>7465</v>
      </c>
      <c r="C2591" t="s">
        <v>7466</v>
      </c>
      <c r="D2591" t="s">
        <v>23</v>
      </c>
      <c r="E2591">
        <v>4790</v>
      </c>
      <c r="F2591" s="3">
        <v>40702</v>
      </c>
      <c r="H2591" t="s">
        <v>15523</v>
      </c>
      <c r="I2591" t="s">
        <v>17369</v>
      </c>
      <c r="K2591" t="e">
        <v>#N/A</v>
      </c>
      <c r="S2591" s="3"/>
    </row>
    <row r="2592" spans="1:19" x14ac:dyDescent="0.25">
      <c r="A2592" t="s">
        <v>7467</v>
      </c>
      <c r="B2592" t="s">
        <v>7468</v>
      </c>
      <c r="C2592" t="s">
        <v>7469</v>
      </c>
      <c r="D2592" t="s">
        <v>23</v>
      </c>
      <c r="E2592">
        <v>52</v>
      </c>
      <c r="F2592" s="3">
        <v>40702</v>
      </c>
      <c r="H2592" t="s">
        <v>15523</v>
      </c>
      <c r="I2592" t="s">
        <v>17370</v>
      </c>
      <c r="K2592" t="e">
        <v>#N/A</v>
      </c>
      <c r="S2592" s="3"/>
    </row>
    <row r="2593" spans="1:19" x14ac:dyDescent="0.25">
      <c r="A2593" t="s">
        <v>7470</v>
      </c>
      <c r="B2593" t="s">
        <v>7471</v>
      </c>
      <c r="C2593" t="s">
        <v>7472</v>
      </c>
      <c r="D2593" t="s">
        <v>23</v>
      </c>
      <c r="E2593">
        <v>5017</v>
      </c>
      <c r="F2593" s="3">
        <v>41660</v>
      </c>
      <c r="H2593" t="s">
        <v>15523</v>
      </c>
      <c r="I2593" t="s">
        <v>17371</v>
      </c>
      <c r="K2593" t="e">
        <v>#N/A</v>
      </c>
      <c r="S2593" s="3"/>
    </row>
    <row r="2594" spans="1:19" x14ac:dyDescent="0.25">
      <c r="A2594" t="s">
        <v>7473</v>
      </c>
      <c r="B2594" t="s">
        <v>7474</v>
      </c>
      <c r="C2594" t="s">
        <v>7475</v>
      </c>
      <c r="D2594" t="s">
        <v>23</v>
      </c>
      <c r="E2594">
        <v>4791</v>
      </c>
      <c r="F2594" s="3">
        <v>40702</v>
      </c>
      <c r="H2594" t="s">
        <v>15523</v>
      </c>
      <c r="I2594" t="s">
        <v>17372</v>
      </c>
      <c r="K2594" t="e">
        <v>#N/A</v>
      </c>
      <c r="S2594" s="3"/>
    </row>
    <row r="2595" spans="1:19" x14ac:dyDescent="0.25">
      <c r="A2595" t="s">
        <v>7476</v>
      </c>
      <c r="B2595" t="s">
        <v>7477</v>
      </c>
      <c r="C2595" t="s">
        <v>7478</v>
      </c>
      <c r="D2595" t="s">
        <v>23</v>
      </c>
      <c r="E2595">
        <v>1606</v>
      </c>
      <c r="F2595" s="3">
        <v>40702</v>
      </c>
      <c r="H2595" t="s">
        <v>15523</v>
      </c>
      <c r="I2595" t="s">
        <v>17373</v>
      </c>
      <c r="K2595" t="e">
        <v>#N/A</v>
      </c>
      <c r="S2595" s="3"/>
    </row>
    <row r="2596" spans="1:19" x14ac:dyDescent="0.25">
      <c r="A2596" t="s">
        <v>7479</v>
      </c>
      <c r="B2596" t="s">
        <v>7480</v>
      </c>
      <c r="C2596" t="s">
        <v>7481</v>
      </c>
      <c r="D2596" t="s">
        <v>23</v>
      </c>
      <c r="E2596">
        <v>1607</v>
      </c>
      <c r="F2596" s="3">
        <v>40702</v>
      </c>
      <c r="H2596" t="s">
        <v>15523</v>
      </c>
      <c r="I2596" t="s">
        <v>17374</v>
      </c>
      <c r="K2596" t="e">
        <v>#N/A</v>
      </c>
      <c r="S2596" s="3"/>
    </row>
    <row r="2597" spans="1:19" x14ac:dyDescent="0.25">
      <c r="A2597" t="s">
        <v>7482</v>
      </c>
      <c r="B2597" t="s">
        <v>7483</v>
      </c>
      <c r="C2597" t="s">
        <v>7484</v>
      </c>
      <c r="D2597" t="s">
        <v>23</v>
      </c>
      <c r="E2597">
        <v>4792</v>
      </c>
      <c r="F2597" s="3">
        <v>40702</v>
      </c>
      <c r="H2597" t="s">
        <v>15523</v>
      </c>
      <c r="I2597" t="s">
        <v>17375</v>
      </c>
      <c r="K2597" t="e">
        <v>#N/A</v>
      </c>
      <c r="S2597" s="3"/>
    </row>
    <row r="2598" spans="1:19" x14ac:dyDescent="0.25">
      <c r="A2598" t="s">
        <v>7485</v>
      </c>
      <c r="B2598" t="s">
        <v>7486</v>
      </c>
      <c r="C2598" t="s">
        <v>7487</v>
      </c>
      <c r="D2598" t="s">
        <v>23</v>
      </c>
      <c r="E2598">
        <v>1609</v>
      </c>
      <c r="F2598" s="3">
        <v>40702</v>
      </c>
      <c r="H2598" t="s">
        <v>15523</v>
      </c>
      <c r="I2598" t="s">
        <v>17376</v>
      </c>
      <c r="K2598" t="e">
        <v>#N/A</v>
      </c>
      <c r="S2598" s="3"/>
    </row>
    <row r="2599" spans="1:19" x14ac:dyDescent="0.25">
      <c r="A2599" t="s">
        <v>7488</v>
      </c>
      <c r="B2599" t="s">
        <v>7489</v>
      </c>
      <c r="C2599" t="s">
        <v>7490</v>
      </c>
      <c r="D2599" t="s">
        <v>23</v>
      </c>
      <c r="E2599">
        <v>4793</v>
      </c>
      <c r="F2599" s="3">
        <v>40702</v>
      </c>
      <c r="H2599" t="s">
        <v>15523</v>
      </c>
      <c r="I2599" t="s">
        <v>17377</v>
      </c>
      <c r="K2599" t="e">
        <v>#N/A</v>
      </c>
      <c r="S2599" s="3"/>
    </row>
    <row r="2600" spans="1:19" x14ac:dyDescent="0.25">
      <c r="A2600" t="s">
        <v>7491</v>
      </c>
      <c r="B2600" t="s">
        <v>7492</v>
      </c>
      <c r="C2600" t="s">
        <v>7493</v>
      </c>
      <c r="D2600" t="s">
        <v>23</v>
      </c>
      <c r="E2600">
        <v>4794</v>
      </c>
      <c r="F2600" s="3">
        <v>40702</v>
      </c>
      <c r="H2600" t="s">
        <v>15523</v>
      </c>
      <c r="I2600" t="s">
        <v>17378</v>
      </c>
      <c r="K2600" t="e">
        <v>#N/A</v>
      </c>
      <c r="S2600" s="3"/>
    </row>
    <row r="2601" spans="1:19" x14ac:dyDescent="0.25">
      <c r="A2601" t="s">
        <v>7494</v>
      </c>
      <c r="B2601" t="s">
        <v>7495</v>
      </c>
      <c r="C2601" t="s">
        <v>7496</v>
      </c>
      <c r="D2601" t="s">
        <v>23</v>
      </c>
      <c r="E2601">
        <v>1608</v>
      </c>
      <c r="F2601" s="3">
        <v>40702</v>
      </c>
      <c r="H2601" t="s">
        <v>15523</v>
      </c>
      <c r="I2601" t="s">
        <v>17379</v>
      </c>
      <c r="K2601" t="e">
        <v>#N/A</v>
      </c>
      <c r="S2601" s="3"/>
    </row>
    <row r="2602" spans="1:19" x14ac:dyDescent="0.25">
      <c r="A2602" t="s">
        <v>7497</v>
      </c>
      <c r="B2602" t="s">
        <v>7498</v>
      </c>
      <c r="C2602" t="s">
        <v>7499</v>
      </c>
      <c r="D2602" t="s">
        <v>23</v>
      </c>
      <c r="E2602">
        <v>5597</v>
      </c>
      <c r="F2602" s="3">
        <v>42551</v>
      </c>
      <c r="H2602" t="s">
        <v>15523</v>
      </c>
      <c r="I2602" t="s">
        <v>17380</v>
      </c>
      <c r="K2602" t="e">
        <v>#N/A</v>
      </c>
      <c r="S2602" s="3"/>
    </row>
    <row r="2603" spans="1:19" x14ac:dyDescent="0.25">
      <c r="A2603" t="s">
        <v>7500</v>
      </c>
      <c r="B2603" t="s">
        <v>7501</v>
      </c>
      <c r="C2603" t="s">
        <v>7502</v>
      </c>
      <c r="D2603" t="s">
        <v>23</v>
      </c>
      <c r="E2603">
        <v>1622</v>
      </c>
      <c r="F2603" s="3">
        <v>40702</v>
      </c>
      <c r="H2603" t="s">
        <v>15523</v>
      </c>
      <c r="I2603" t="s">
        <v>17381</v>
      </c>
      <c r="K2603" t="e">
        <v>#N/A</v>
      </c>
      <c r="S2603" s="3"/>
    </row>
    <row r="2604" spans="1:19" x14ac:dyDescent="0.25">
      <c r="A2604" t="s">
        <v>7503</v>
      </c>
      <c r="B2604" t="s">
        <v>7504</v>
      </c>
      <c r="C2604" t="s">
        <v>7505</v>
      </c>
      <c r="D2604" t="s">
        <v>23</v>
      </c>
      <c r="E2604">
        <v>2210</v>
      </c>
      <c r="F2604" s="3">
        <v>41461</v>
      </c>
      <c r="H2604" t="s">
        <v>15523</v>
      </c>
      <c r="I2604" t="s">
        <v>17382</v>
      </c>
      <c r="K2604" t="e">
        <v>#N/A</v>
      </c>
      <c r="S2604" s="3"/>
    </row>
    <row r="2605" spans="1:19" x14ac:dyDescent="0.25">
      <c r="A2605" t="s">
        <v>7506</v>
      </c>
      <c r="B2605" t="s">
        <v>7507</v>
      </c>
      <c r="C2605" t="s">
        <v>7508</v>
      </c>
      <c r="D2605" t="s">
        <v>23</v>
      </c>
      <c r="E2605">
        <v>1591</v>
      </c>
      <c r="F2605" s="3">
        <v>40702</v>
      </c>
      <c r="H2605" t="s">
        <v>15523</v>
      </c>
      <c r="I2605" t="s">
        <v>17383</v>
      </c>
      <c r="K2605" t="e">
        <v>#N/A</v>
      </c>
      <c r="S2605" s="3"/>
    </row>
    <row r="2606" spans="1:19" x14ac:dyDescent="0.25">
      <c r="A2606" t="s">
        <v>7509</v>
      </c>
      <c r="B2606" t="s">
        <v>7510</v>
      </c>
      <c r="C2606" t="s">
        <v>7511</v>
      </c>
      <c r="D2606" t="s">
        <v>23</v>
      </c>
      <c r="E2606">
        <v>1712</v>
      </c>
      <c r="F2606" s="3">
        <v>40702</v>
      </c>
      <c r="H2606" t="s">
        <v>15523</v>
      </c>
      <c r="I2606" t="s">
        <v>17384</v>
      </c>
      <c r="K2606" t="e">
        <v>#N/A</v>
      </c>
      <c r="S2606" s="3"/>
    </row>
    <row r="2607" spans="1:19" x14ac:dyDescent="0.25">
      <c r="A2607" t="s">
        <v>7512</v>
      </c>
      <c r="B2607" t="s">
        <v>7513</v>
      </c>
      <c r="C2607" t="s">
        <v>7514</v>
      </c>
      <c r="D2607" t="s">
        <v>23</v>
      </c>
      <c r="E2607">
        <v>4796</v>
      </c>
      <c r="F2607" s="3">
        <v>40702</v>
      </c>
      <c r="H2607" t="s">
        <v>15523</v>
      </c>
      <c r="I2607" t="s">
        <v>17385</v>
      </c>
      <c r="K2607" t="e">
        <v>#N/A</v>
      </c>
      <c r="S2607" s="3"/>
    </row>
    <row r="2608" spans="1:19" x14ac:dyDescent="0.25">
      <c r="A2608" t="s">
        <v>7515</v>
      </c>
      <c r="B2608" t="s">
        <v>7516</v>
      </c>
      <c r="C2608" t="s">
        <v>7517</v>
      </c>
      <c r="D2608" t="s">
        <v>23</v>
      </c>
      <c r="E2608">
        <v>4797</v>
      </c>
      <c r="F2608" s="3">
        <v>40702</v>
      </c>
      <c r="H2608" t="s">
        <v>15523</v>
      </c>
      <c r="I2608" t="s">
        <v>17386</v>
      </c>
      <c r="K2608" t="e">
        <v>#N/A</v>
      </c>
      <c r="S2608" s="3"/>
    </row>
    <row r="2609" spans="1:19" x14ac:dyDescent="0.25">
      <c r="A2609" t="s">
        <v>7518</v>
      </c>
      <c r="B2609" t="s">
        <v>7519</v>
      </c>
      <c r="C2609" t="s">
        <v>7520</v>
      </c>
      <c r="D2609" t="s">
        <v>23</v>
      </c>
      <c r="E2609">
        <v>4795</v>
      </c>
      <c r="F2609" s="3">
        <v>40702</v>
      </c>
      <c r="H2609" t="s">
        <v>15523</v>
      </c>
      <c r="I2609" t="s">
        <v>17387</v>
      </c>
      <c r="K2609" t="e">
        <v>#N/A</v>
      </c>
      <c r="S2609" s="3"/>
    </row>
    <row r="2610" spans="1:19" x14ac:dyDescent="0.25">
      <c r="A2610" t="s">
        <v>7521</v>
      </c>
      <c r="B2610" t="s">
        <v>7522</v>
      </c>
      <c r="C2610" t="s">
        <v>7523</v>
      </c>
      <c r="D2610" t="s">
        <v>23</v>
      </c>
      <c r="E2610">
        <v>4798</v>
      </c>
      <c r="F2610" s="3">
        <v>40702</v>
      </c>
      <c r="H2610" t="s">
        <v>15523</v>
      </c>
      <c r="I2610" t="s">
        <v>17388</v>
      </c>
      <c r="K2610" t="e">
        <v>#N/A</v>
      </c>
      <c r="S2610" s="3"/>
    </row>
    <row r="2611" spans="1:19" x14ac:dyDescent="0.25">
      <c r="A2611" t="s">
        <v>7524</v>
      </c>
      <c r="B2611" t="s">
        <v>7525</v>
      </c>
      <c r="C2611" t="s">
        <v>7526</v>
      </c>
      <c r="D2611" t="s">
        <v>23</v>
      </c>
      <c r="E2611">
        <v>4799</v>
      </c>
      <c r="F2611" s="3">
        <v>41031</v>
      </c>
      <c r="H2611" t="s">
        <v>15523</v>
      </c>
      <c r="I2611" t="s">
        <v>17389</v>
      </c>
      <c r="K2611" t="e">
        <v>#N/A</v>
      </c>
      <c r="S2611" s="3"/>
    </row>
    <row r="2612" spans="1:19" x14ac:dyDescent="0.25">
      <c r="A2612" t="s">
        <v>7527</v>
      </c>
      <c r="B2612" t="s">
        <v>7528</v>
      </c>
      <c r="C2612" t="s">
        <v>7529</v>
      </c>
      <c r="D2612" t="s">
        <v>23</v>
      </c>
      <c r="E2612">
        <v>4810</v>
      </c>
      <c r="F2612" s="3">
        <v>40702</v>
      </c>
      <c r="H2612" t="s">
        <v>15523</v>
      </c>
      <c r="I2612" t="s">
        <v>17390</v>
      </c>
      <c r="K2612" t="e">
        <v>#N/A</v>
      </c>
      <c r="S2612" s="3"/>
    </row>
    <row r="2613" spans="1:19" x14ac:dyDescent="0.25">
      <c r="A2613" t="s">
        <v>7530</v>
      </c>
      <c r="B2613" t="s">
        <v>7531</v>
      </c>
      <c r="C2613" t="s">
        <v>7532</v>
      </c>
      <c r="D2613" t="s">
        <v>23</v>
      </c>
      <c r="E2613">
        <v>4807</v>
      </c>
      <c r="F2613" s="3">
        <v>40702</v>
      </c>
      <c r="H2613" t="s">
        <v>15523</v>
      </c>
      <c r="I2613" t="s">
        <v>17391</v>
      </c>
      <c r="K2613" t="e">
        <v>#N/A</v>
      </c>
      <c r="S2613" s="3"/>
    </row>
    <row r="2614" spans="1:19" x14ac:dyDescent="0.25">
      <c r="A2614" t="s">
        <v>792</v>
      </c>
      <c r="B2614" t="s">
        <v>793</v>
      </c>
      <c r="C2614" t="s">
        <v>794</v>
      </c>
      <c r="D2614" t="s">
        <v>23</v>
      </c>
      <c r="E2614">
        <v>1711</v>
      </c>
      <c r="F2614" s="3">
        <v>40702</v>
      </c>
      <c r="H2614" t="s">
        <v>15523</v>
      </c>
      <c r="I2614" t="s">
        <v>17392</v>
      </c>
      <c r="K2614">
        <v>224</v>
      </c>
      <c r="S2614" s="3"/>
    </row>
    <row r="2615" spans="1:19" x14ac:dyDescent="0.25">
      <c r="A2615" t="s">
        <v>7533</v>
      </c>
      <c r="B2615" t="s">
        <v>7534</v>
      </c>
      <c r="C2615" t="s">
        <v>7535</v>
      </c>
      <c r="D2615" t="s">
        <v>23</v>
      </c>
      <c r="E2615">
        <v>1597</v>
      </c>
      <c r="F2615" s="3">
        <v>40702</v>
      </c>
      <c r="H2615" t="s">
        <v>15523</v>
      </c>
      <c r="I2615" t="s">
        <v>17393</v>
      </c>
      <c r="K2615" t="e">
        <v>#N/A</v>
      </c>
      <c r="S2615" s="3"/>
    </row>
    <row r="2616" spans="1:19" x14ac:dyDescent="0.25">
      <c r="A2616" t="s">
        <v>7536</v>
      </c>
      <c r="B2616" t="s">
        <v>7537</v>
      </c>
      <c r="C2616" t="s">
        <v>7538</v>
      </c>
      <c r="D2616" t="s">
        <v>23</v>
      </c>
      <c r="E2616">
        <v>4808</v>
      </c>
      <c r="F2616" s="3">
        <v>40702</v>
      </c>
      <c r="H2616" t="s">
        <v>15523</v>
      </c>
      <c r="I2616" t="s">
        <v>17394</v>
      </c>
      <c r="K2616" t="e">
        <v>#N/A</v>
      </c>
      <c r="S2616" s="3"/>
    </row>
    <row r="2617" spans="1:19" x14ac:dyDescent="0.25">
      <c r="A2617" t="s">
        <v>7539</v>
      </c>
      <c r="B2617" t="s">
        <v>7540</v>
      </c>
      <c r="C2617" t="s">
        <v>7541</v>
      </c>
      <c r="D2617" t="s">
        <v>23</v>
      </c>
      <c r="E2617">
        <v>1598</v>
      </c>
      <c r="F2617" s="3">
        <v>40702</v>
      </c>
      <c r="H2617" t="s">
        <v>15523</v>
      </c>
      <c r="I2617" t="s">
        <v>17395</v>
      </c>
      <c r="K2617" t="e">
        <v>#N/A</v>
      </c>
      <c r="S2617" s="3"/>
    </row>
    <row r="2618" spans="1:19" x14ac:dyDescent="0.25">
      <c r="A2618" t="s">
        <v>7542</v>
      </c>
      <c r="B2618" t="s">
        <v>7543</v>
      </c>
      <c r="C2618" t="s">
        <v>7544</v>
      </c>
      <c r="D2618" t="s">
        <v>23</v>
      </c>
      <c r="E2618">
        <v>1603</v>
      </c>
      <c r="F2618" s="3">
        <v>43441</v>
      </c>
      <c r="H2618" t="s">
        <v>15523</v>
      </c>
      <c r="I2618" t="s">
        <v>17396</v>
      </c>
      <c r="K2618" t="e">
        <v>#N/A</v>
      </c>
      <c r="S2618" s="3"/>
    </row>
    <row r="2619" spans="1:19" x14ac:dyDescent="0.25">
      <c r="A2619" t="s">
        <v>7545</v>
      </c>
      <c r="B2619" t="s">
        <v>7546</v>
      </c>
      <c r="C2619" t="s">
        <v>7547</v>
      </c>
      <c r="D2619" t="s">
        <v>23</v>
      </c>
      <c r="E2619">
        <v>1594</v>
      </c>
      <c r="F2619" s="3">
        <v>40702</v>
      </c>
      <c r="H2619" t="s">
        <v>15523</v>
      </c>
      <c r="I2619" t="s">
        <v>17397</v>
      </c>
      <c r="K2619" t="e">
        <v>#N/A</v>
      </c>
      <c r="S2619" s="3"/>
    </row>
    <row r="2620" spans="1:19" x14ac:dyDescent="0.25">
      <c r="A2620" t="s">
        <v>7548</v>
      </c>
      <c r="B2620" t="s">
        <v>7549</v>
      </c>
      <c r="C2620" t="s">
        <v>7550</v>
      </c>
      <c r="D2620" t="s">
        <v>23</v>
      </c>
      <c r="E2620">
        <v>5198</v>
      </c>
      <c r="F2620" s="3">
        <v>42035</v>
      </c>
      <c r="H2620" t="s">
        <v>15523</v>
      </c>
      <c r="I2620" t="s">
        <v>17398</v>
      </c>
      <c r="K2620" t="e">
        <v>#N/A</v>
      </c>
      <c r="S2620" s="3"/>
    </row>
    <row r="2621" spans="1:19" x14ac:dyDescent="0.25">
      <c r="A2621" t="s">
        <v>7551</v>
      </c>
      <c r="B2621" t="s">
        <v>7552</v>
      </c>
      <c r="C2621" t="s">
        <v>7553</v>
      </c>
      <c r="D2621" t="s">
        <v>23</v>
      </c>
      <c r="E2621">
        <v>1601</v>
      </c>
      <c r="F2621" s="3">
        <v>40702</v>
      </c>
      <c r="H2621" t="s">
        <v>15523</v>
      </c>
      <c r="I2621" t="s">
        <v>17399</v>
      </c>
      <c r="K2621" t="e">
        <v>#N/A</v>
      </c>
      <c r="S2621" s="3"/>
    </row>
    <row r="2622" spans="1:19" x14ac:dyDescent="0.25">
      <c r="A2622" t="s">
        <v>7554</v>
      </c>
      <c r="B2622" t="s">
        <v>7555</v>
      </c>
      <c r="C2622" t="s">
        <v>7556</v>
      </c>
      <c r="D2622" t="s">
        <v>23</v>
      </c>
      <c r="E2622">
        <v>4809</v>
      </c>
      <c r="F2622" s="3">
        <v>40702</v>
      </c>
      <c r="H2622" t="s">
        <v>15523</v>
      </c>
      <c r="I2622" t="s">
        <v>17400</v>
      </c>
      <c r="K2622" t="e">
        <v>#N/A</v>
      </c>
      <c r="S2622" s="3"/>
    </row>
    <row r="2623" spans="1:19" x14ac:dyDescent="0.25">
      <c r="A2623" t="s">
        <v>7557</v>
      </c>
      <c r="B2623" t="s">
        <v>7558</v>
      </c>
      <c r="C2623" t="s">
        <v>7559</v>
      </c>
      <c r="D2623" t="s">
        <v>23</v>
      </c>
      <c r="E2623">
        <v>1800</v>
      </c>
      <c r="F2623" s="3">
        <v>40702</v>
      </c>
      <c r="H2623" t="s">
        <v>15523</v>
      </c>
      <c r="I2623" t="s">
        <v>17401</v>
      </c>
      <c r="K2623" t="e">
        <v>#N/A</v>
      </c>
      <c r="S2623" s="3"/>
    </row>
    <row r="2624" spans="1:19" x14ac:dyDescent="0.25">
      <c r="A2624" t="s">
        <v>7560</v>
      </c>
      <c r="B2624" t="s">
        <v>7561</v>
      </c>
      <c r="C2624" t="s">
        <v>16179</v>
      </c>
      <c r="D2624" t="s">
        <v>47</v>
      </c>
      <c r="E2624">
        <v>5151</v>
      </c>
      <c r="F2624" s="3">
        <v>41935</v>
      </c>
      <c r="H2624" t="s">
        <v>15523</v>
      </c>
      <c r="I2624" t="s">
        <v>16180</v>
      </c>
      <c r="K2624" t="e">
        <v>#N/A</v>
      </c>
      <c r="S2624" s="3"/>
    </row>
    <row r="2625" spans="1:19" x14ac:dyDescent="0.25">
      <c r="A2625" t="s">
        <v>7562</v>
      </c>
      <c r="B2625" t="s">
        <v>7563</v>
      </c>
      <c r="C2625" t="s">
        <v>16179</v>
      </c>
      <c r="D2625" t="s">
        <v>47</v>
      </c>
      <c r="E2625">
        <v>4659</v>
      </c>
      <c r="F2625" s="3">
        <v>41935</v>
      </c>
      <c r="H2625" t="s">
        <v>15523</v>
      </c>
      <c r="I2625" t="s">
        <v>16180</v>
      </c>
      <c r="K2625" t="e">
        <v>#N/A</v>
      </c>
      <c r="S2625" s="3"/>
    </row>
    <row r="2626" spans="1:19" x14ac:dyDescent="0.25">
      <c r="A2626" t="s">
        <v>7564</v>
      </c>
      <c r="B2626" t="s">
        <v>7565</v>
      </c>
      <c r="C2626" t="s">
        <v>7566</v>
      </c>
      <c r="D2626" t="s">
        <v>23</v>
      </c>
      <c r="E2626">
        <v>4826</v>
      </c>
      <c r="F2626" s="3">
        <v>40702</v>
      </c>
      <c r="H2626" t="s">
        <v>15523</v>
      </c>
      <c r="I2626" t="s">
        <v>17402</v>
      </c>
      <c r="K2626" t="e">
        <v>#N/A</v>
      </c>
      <c r="S2626" s="3"/>
    </row>
    <row r="2627" spans="1:19" x14ac:dyDescent="0.25">
      <c r="A2627" t="s">
        <v>7567</v>
      </c>
      <c r="B2627" t="s">
        <v>7568</v>
      </c>
      <c r="C2627" t="s">
        <v>16179</v>
      </c>
      <c r="D2627" t="s">
        <v>47</v>
      </c>
      <c r="E2627">
        <v>4602</v>
      </c>
      <c r="F2627" s="3">
        <v>40783</v>
      </c>
      <c r="H2627" t="s">
        <v>15523</v>
      </c>
      <c r="I2627" t="s">
        <v>16180</v>
      </c>
      <c r="K2627" t="e">
        <v>#N/A</v>
      </c>
      <c r="S2627" s="3"/>
    </row>
    <row r="2628" spans="1:19" x14ac:dyDescent="0.25">
      <c r="A2628" t="s">
        <v>7569</v>
      </c>
      <c r="B2628" t="s">
        <v>7570</v>
      </c>
      <c r="C2628" t="s">
        <v>7571</v>
      </c>
      <c r="D2628" t="s">
        <v>23</v>
      </c>
      <c r="E2628">
        <v>4832</v>
      </c>
      <c r="F2628" s="3">
        <v>40702</v>
      </c>
      <c r="H2628" t="s">
        <v>15523</v>
      </c>
      <c r="I2628" t="s">
        <v>17403</v>
      </c>
      <c r="K2628" t="e">
        <v>#N/A</v>
      </c>
      <c r="S2628" s="3"/>
    </row>
    <row r="2629" spans="1:19" x14ac:dyDescent="0.25">
      <c r="A2629" t="s">
        <v>7572</v>
      </c>
      <c r="B2629" t="s">
        <v>7573</v>
      </c>
      <c r="C2629" t="s">
        <v>7574</v>
      </c>
      <c r="D2629" t="s">
        <v>23</v>
      </c>
      <c r="E2629">
        <v>5888</v>
      </c>
      <c r="F2629" s="3">
        <v>43144</v>
      </c>
      <c r="H2629" t="s">
        <v>15523</v>
      </c>
      <c r="I2629" t="s">
        <v>17404</v>
      </c>
      <c r="K2629" t="e">
        <v>#N/A</v>
      </c>
      <c r="S2629" s="3"/>
    </row>
    <row r="2630" spans="1:19" x14ac:dyDescent="0.25">
      <c r="A2630" t="s">
        <v>7575</v>
      </c>
      <c r="B2630" t="s">
        <v>7576</v>
      </c>
      <c r="C2630" t="s">
        <v>7577</v>
      </c>
      <c r="D2630" t="s">
        <v>23</v>
      </c>
      <c r="E2630">
        <v>5194</v>
      </c>
      <c r="F2630" s="3">
        <v>42035</v>
      </c>
      <c r="H2630" t="s">
        <v>15523</v>
      </c>
      <c r="I2630" t="s">
        <v>17405</v>
      </c>
      <c r="K2630" t="e">
        <v>#N/A</v>
      </c>
      <c r="S2630" s="3"/>
    </row>
    <row r="2631" spans="1:19" x14ac:dyDescent="0.25">
      <c r="A2631" t="s">
        <v>7578</v>
      </c>
      <c r="B2631" t="s">
        <v>7579</v>
      </c>
      <c r="C2631" t="s">
        <v>7580</v>
      </c>
      <c r="D2631" t="s">
        <v>23</v>
      </c>
      <c r="E2631">
        <v>4848</v>
      </c>
      <c r="F2631" s="3">
        <v>40702</v>
      </c>
      <c r="H2631" t="s">
        <v>15523</v>
      </c>
      <c r="I2631" t="s">
        <v>17406</v>
      </c>
      <c r="K2631" t="e">
        <v>#N/A</v>
      </c>
      <c r="S2631" s="3"/>
    </row>
    <row r="2632" spans="1:19" x14ac:dyDescent="0.25">
      <c r="A2632" t="s">
        <v>7581</v>
      </c>
      <c r="B2632" t="s">
        <v>7582</v>
      </c>
      <c r="C2632" t="s">
        <v>7583</v>
      </c>
      <c r="D2632" t="s">
        <v>23</v>
      </c>
      <c r="E2632">
        <v>1610</v>
      </c>
      <c r="F2632" s="3">
        <v>40702</v>
      </c>
      <c r="H2632" t="s">
        <v>15523</v>
      </c>
      <c r="I2632" t="s">
        <v>17407</v>
      </c>
      <c r="K2632" t="e">
        <v>#N/A</v>
      </c>
      <c r="S2632" s="3"/>
    </row>
    <row r="2633" spans="1:19" x14ac:dyDescent="0.25">
      <c r="A2633" t="s">
        <v>7584</v>
      </c>
      <c r="B2633" t="s">
        <v>7585</v>
      </c>
      <c r="C2633" t="s">
        <v>7586</v>
      </c>
      <c r="D2633" t="s">
        <v>23</v>
      </c>
      <c r="E2633">
        <v>4847</v>
      </c>
      <c r="F2633" s="3">
        <v>40702</v>
      </c>
      <c r="H2633" t="s">
        <v>15523</v>
      </c>
      <c r="I2633" t="s">
        <v>17408</v>
      </c>
      <c r="K2633" t="e">
        <v>#N/A</v>
      </c>
      <c r="S2633" s="3"/>
    </row>
    <row r="2634" spans="1:19" x14ac:dyDescent="0.25">
      <c r="A2634" t="s">
        <v>7587</v>
      </c>
      <c r="B2634" t="s">
        <v>7588</v>
      </c>
      <c r="C2634" t="s">
        <v>16179</v>
      </c>
      <c r="D2634" t="s">
        <v>666</v>
      </c>
      <c r="E2634">
        <v>6031</v>
      </c>
      <c r="F2634" s="3">
        <v>43553</v>
      </c>
      <c r="H2634" t="s">
        <v>15523</v>
      </c>
      <c r="I2634" t="s">
        <v>16180</v>
      </c>
      <c r="K2634" t="e">
        <v>#N/A</v>
      </c>
      <c r="S2634" s="3"/>
    </row>
    <row r="2635" spans="1:19" x14ac:dyDescent="0.25">
      <c r="A2635" t="s">
        <v>7589</v>
      </c>
      <c r="B2635" t="s">
        <v>7590</v>
      </c>
      <c r="C2635" t="s">
        <v>16179</v>
      </c>
      <c r="D2635" t="s">
        <v>666</v>
      </c>
      <c r="E2635">
        <v>1554</v>
      </c>
      <c r="F2635" s="3">
        <v>40702</v>
      </c>
      <c r="H2635" t="s">
        <v>15523</v>
      </c>
      <c r="I2635" t="s">
        <v>16180</v>
      </c>
      <c r="K2635" t="e">
        <v>#N/A</v>
      </c>
      <c r="S2635" s="3"/>
    </row>
    <row r="2636" spans="1:19" x14ac:dyDescent="0.25">
      <c r="A2636" t="s">
        <v>7591</v>
      </c>
      <c r="B2636" t="s">
        <v>7592</v>
      </c>
      <c r="C2636" t="s">
        <v>16179</v>
      </c>
      <c r="D2636" t="s">
        <v>47</v>
      </c>
      <c r="E2636">
        <v>5636</v>
      </c>
      <c r="F2636" s="3">
        <v>42707</v>
      </c>
      <c r="H2636" t="s">
        <v>15523</v>
      </c>
      <c r="I2636" t="s">
        <v>16180</v>
      </c>
      <c r="K2636" t="e">
        <v>#N/A</v>
      </c>
      <c r="S2636" s="3"/>
    </row>
    <row r="2637" spans="1:19" x14ac:dyDescent="0.25">
      <c r="A2637" t="s">
        <v>7593</v>
      </c>
      <c r="B2637" t="s">
        <v>7594</v>
      </c>
      <c r="C2637" t="s">
        <v>7595</v>
      </c>
      <c r="D2637" t="s">
        <v>23</v>
      </c>
      <c r="E2637">
        <v>4875</v>
      </c>
      <c r="F2637" s="3">
        <v>40782</v>
      </c>
      <c r="H2637" t="s">
        <v>15523</v>
      </c>
      <c r="I2637" t="s">
        <v>17409</v>
      </c>
      <c r="K2637" t="e">
        <v>#N/A</v>
      </c>
      <c r="S2637" s="3"/>
    </row>
    <row r="2638" spans="1:19" x14ac:dyDescent="0.25">
      <c r="A2638" t="s">
        <v>7596</v>
      </c>
      <c r="B2638" t="s">
        <v>7597</v>
      </c>
      <c r="C2638" t="s">
        <v>7598</v>
      </c>
      <c r="D2638" t="s">
        <v>23</v>
      </c>
      <c r="E2638">
        <v>2022</v>
      </c>
      <c r="F2638" s="3">
        <v>40702</v>
      </c>
      <c r="H2638" t="s">
        <v>15523</v>
      </c>
      <c r="I2638" t="s">
        <v>17410</v>
      </c>
      <c r="K2638" t="e">
        <v>#N/A</v>
      </c>
      <c r="S2638" s="3"/>
    </row>
    <row r="2639" spans="1:19" x14ac:dyDescent="0.25">
      <c r="A2639" t="s">
        <v>7599</v>
      </c>
      <c r="B2639" t="s">
        <v>7600</v>
      </c>
      <c r="C2639" t="s">
        <v>16179</v>
      </c>
      <c r="D2639" t="s">
        <v>47</v>
      </c>
      <c r="E2639">
        <v>4606</v>
      </c>
      <c r="F2639" s="3">
        <v>40702</v>
      </c>
      <c r="H2639" t="s">
        <v>15523</v>
      </c>
      <c r="I2639" t="s">
        <v>16180</v>
      </c>
      <c r="K2639" t="e">
        <v>#N/A</v>
      </c>
      <c r="S2639" s="3"/>
    </row>
    <row r="2640" spans="1:19" x14ac:dyDescent="0.25">
      <c r="A2640" t="s">
        <v>7601</v>
      </c>
      <c r="B2640" t="s">
        <v>7602</v>
      </c>
      <c r="C2640" t="s">
        <v>16179</v>
      </c>
      <c r="D2640" t="s">
        <v>23</v>
      </c>
      <c r="E2640">
        <v>5018</v>
      </c>
      <c r="F2640" s="3">
        <v>41660</v>
      </c>
      <c r="H2640" t="s">
        <v>15523</v>
      </c>
      <c r="I2640" t="s">
        <v>16180</v>
      </c>
      <c r="K2640" t="e">
        <v>#N/A</v>
      </c>
      <c r="S2640" s="3"/>
    </row>
    <row r="2641" spans="1:19" x14ac:dyDescent="0.25">
      <c r="A2641" t="s">
        <v>7603</v>
      </c>
      <c r="B2641" t="s">
        <v>7604</v>
      </c>
      <c r="C2641" t="s">
        <v>16179</v>
      </c>
      <c r="D2641" t="s">
        <v>23</v>
      </c>
      <c r="E2641">
        <v>5019</v>
      </c>
      <c r="F2641" s="3">
        <v>41660</v>
      </c>
      <c r="H2641" t="s">
        <v>15523</v>
      </c>
      <c r="I2641" t="s">
        <v>16180</v>
      </c>
      <c r="K2641" t="e">
        <v>#N/A</v>
      </c>
      <c r="S2641" s="3"/>
    </row>
    <row r="2642" spans="1:19" x14ac:dyDescent="0.25">
      <c r="A2642" t="s">
        <v>672</v>
      </c>
      <c r="B2642" t="s">
        <v>673</v>
      </c>
      <c r="C2642" t="s">
        <v>16179</v>
      </c>
      <c r="D2642" t="s">
        <v>666</v>
      </c>
      <c r="E2642">
        <v>4671</v>
      </c>
      <c r="F2642" s="3">
        <v>40702</v>
      </c>
      <c r="H2642" t="s">
        <v>15523</v>
      </c>
      <c r="I2642" t="s">
        <v>16180</v>
      </c>
      <c r="K2642">
        <v>178</v>
      </c>
      <c r="S2642" s="3"/>
    </row>
    <row r="2643" spans="1:19" x14ac:dyDescent="0.25">
      <c r="A2643" t="s">
        <v>7605</v>
      </c>
      <c r="B2643" t="s">
        <v>7606</v>
      </c>
      <c r="C2643" t="s">
        <v>16179</v>
      </c>
      <c r="D2643" t="s">
        <v>2820</v>
      </c>
      <c r="E2643">
        <v>4673</v>
      </c>
      <c r="F2643" s="3">
        <v>40702</v>
      </c>
      <c r="H2643" t="s">
        <v>15523</v>
      </c>
      <c r="I2643" t="s">
        <v>16180</v>
      </c>
      <c r="K2643" t="e">
        <v>#N/A</v>
      </c>
      <c r="S2643" s="3"/>
    </row>
    <row r="2644" spans="1:19" x14ac:dyDescent="0.25">
      <c r="A2644" t="s">
        <v>7607</v>
      </c>
      <c r="B2644" t="s">
        <v>7608</v>
      </c>
      <c r="C2644" t="s">
        <v>7609</v>
      </c>
      <c r="D2644" t="s">
        <v>23</v>
      </c>
      <c r="E2644">
        <v>4887</v>
      </c>
      <c r="F2644" s="3">
        <v>40702</v>
      </c>
      <c r="H2644" t="s">
        <v>15523</v>
      </c>
      <c r="I2644" t="s">
        <v>17411</v>
      </c>
      <c r="K2644" t="e">
        <v>#N/A</v>
      </c>
      <c r="S2644" s="3"/>
    </row>
    <row r="2645" spans="1:19" x14ac:dyDescent="0.25">
      <c r="A2645" t="s">
        <v>7610</v>
      </c>
      <c r="B2645" t="s">
        <v>7611</v>
      </c>
      <c r="C2645" t="s">
        <v>7612</v>
      </c>
      <c r="D2645" t="s">
        <v>23</v>
      </c>
      <c r="E2645">
        <v>4889</v>
      </c>
      <c r="F2645" s="3">
        <v>40702</v>
      </c>
      <c r="H2645" t="s">
        <v>15523</v>
      </c>
      <c r="I2645" t="s">
        <v>17412</v>
      </c>
      <c r="K2645" t="e">
        <v>#N/A</v>
      </c>
      <c r="S2645" s="3"/>
    </row>
    <row r="2646" spans="1:19" x14ac:dyDescent="0.25">
      <c r="A2646" t="s">
        <v>7613</v>
      </c>
      <c r="B2646" t="s">
        <v>7614</v>
      </c>
      <c r="C2646" t="s">
        <v>16179</v>
      </c>
      <c r="D2646" t="s">
        <v>47</v>
      </c>
      <c r="E2646">
        <v>4677</v>
      </c>
      <c r="F2646" s="3">
        <v>43442</v>
      </c>
      <c r="H2646" t="s">
        <v>15523</v>
      </c>
      <c r="I2646" t="s">
        <v>16180</v>
      </c>
      <c r="K2646" t="e">
        <v>#N/A</v>
      </c>
      <c r="S2646" s="3"/>
    </row>
    <row r="2647" spans="1:19" x14ac:dyDescent="0.25">
      <c r="A2647" t="s">
        <v>7615</v>
      </c>
      <c r="B2647" t="s">
        <v>7616</v>
      </c>
      <c r="C2647" t="s">
        <v>16179</v>
      </c>
      <c r="D2647" t="s">
        <v>666</v>
      </c>
      <c r="E2647">
        <v>5167</v>
      </c>
      <c r="F2647" s="3">
        <v>41972</v>
      </c>
      <c r="H2647" t="s">
        <v>15523</v>
      </c>
      <c r="I2647" t="s">
        <v>16180</v>
      </c>
      <c r="K2647" t="e">
        <v>#N/A</v>
      </c>
      <c r="S2647" s="3"/>
    </row>
    <row r="2648" spans="1:19" x14ac:dyDescent="0.25">
      <c r="A2648" t="s">
        <v>7617</v>
      </c>
      <c r="B2648" t="s">
        <v>7618</v>
      </c>
      <c r="C2648" t="s">
        <v>16179</v>
      </c>
      <c r="D2648" t="s">
        <v>666</v>
      </c>
      <c r="E2648">
        <v>5138</v>
      </c>
      <c r="F2648" s="3">
        <v>41928</v>
      </c>
      <c r="H2648" t="s">
        <v>15523</v>
      </c>
      <c r="I2648" t="s">
        <v>16180</v>
      </c>
      <c r="K2648" t="e">
        <v>#N/A</v>
      </c>
      <c r="S2648" s="3"/>
    </row>
    <row r="2649" spans="1:19" x14ac:dyDescent="0.25">
      <c r="A2649" t="s">
        <v>7619</v>
      </c>
      <c r="B2649" t="s">
        <v>7620</v>
      </c>
      <c r="C2649" t="s">
        <v>16179</v>
      </c>
      <c r="D2649" t="s">
        <v>47</v>
      </c>
      <c r="E2649">
        <v>2031</v>
      </c>
      <c r="F2649" s="3">
        <v>40702</v>
      </c>
      <c r="H2649" t="s">
        <v>15523</v>
      </c>
      <c r="I2649" t="s">
        <v>16180</v>
      </c>
      <c r="K2649" t="e">
        <v>#N/A</v>
      </c>
      <c r="S2649" s="3"/>
    </row>
    <row r="2650" spans="1:19" x14ac:dyDescent="0.25">
      <c r="A2650" t="s">
        <v>7621</v>
      </c>
      <c r="B2650" t="s">
        <v>7622</v>
      </c>
      <c r="C2650" t="s">
        <v>16179</v>
      </c>
      <c r="D2650" t="s">
        <v>2820</v>
      </c>
      <c r="E2650">
        <v>5838</v>
      </c>
      <c r="F2650" s="3">
        <v>43082</v>
      </c>
      <c r="H2650" t="s">
        <v>15523</v>
      </c>
      <c r="I2650" t="s">
        <v>16180</v>
      </c>
      <c r="K2650" t="e">
        <v>#N/A</v>
      </c>
      <c r="S2650" s="3"/>
    </row>
    <row r="2651" spans="1:19" x14ac:dyDescent="0.25">
      <c r="A2651" t="s">
        <v>7623</v>
      </c>
      <c r="B2651" t="s">
        <v>7624</v>
      </c>
      <c r="C2651" t="s">
        <v>16179</v>
      </c>
      <c r="D2651" t="s">
        <v>2820</v>
      </c>
      <c r="E2651">
        <v>4681</v>
      </c>
      <c r="F2651" s="3">
        <v>40702</v>
      </c>
      <c r="H2651" t="s">
        <v>15523</v>
      </c>
      <c r="I2651" t="s">
        <v>16180</v>
      </c>
      <c r="K2651" t="e">
        <v>#N/A</v>
      </c>
      <c r="S2651" s="3"/>
    </row>
    <row r="2652" spans="1:19" x14ac:dyDescent="0.25">
      <c r="A2652" t="s">
        <v>7625</v>
      </c>
      <c r="B2652" t="s">
        <v>7626</v>
      </c>
      <c r="C2652" t="s">
        <v>7627</v>
      </c>
      <c r="D2652" t="s">
        <v>23</v>
      </c>
      <c r="E2652">
        <v>5020</v>
      </c>
      <c r="F2652" s="3">
        <v>41660</v>
      </c>
      <c r="H2652" t="s">
        <v>15523</v>
      </c>
      <c r="I2652" t="s">
        <v>17413</v>
      </c>
      <c r="K2652" t="e">
        <v>#N/A</v>
      </c>
      <c r="S2652" s="3"/>
    </row>
    <row r="2653" spans="1:19" x14ac:dyDescent="0.25">
      <c r="A2653" t="s">
        <v>7628</v>
      </c>
      <c r="B2653" t="s">
        <v>7629</v>
      </c>
      <c r="C2653" t="s">
        <v>16179</v>
      </c>
      <c r="D2653" t="s">
        <v>23</v>
      </c>
      <c r="E2653">
        <v>4682</v>
      </c>
      <c r="F2653" s="3">
        <v>40781</v>
      </c>
      <c r="H2653" t="s">
        <v>15523</v>
      </c>
      <c r="I2653" t="s">
        <v>16180</v>
      </c>
      <c r="K2653" t="e">
        <v>#N/A</v>
      </c>
      <c r="S2653" s="3"/>
    </row>
    <row r="2654" spans="1:19" x14ac:dyDescent="0.25">
      <c r="A2654" t="s">
        <v>7630</v>
      </c>
      <c r="B2654" t="s">
        <v>7631</v>
      </c>
      <c r="C2654" t="s">
        <v>16179</v>
      </c>
      <c r="D2654" t="s">
        <v>47</v>
      </c>
      <c r="E2654">
        <v>5105</v>
      </c>
      <c r="F2654" s="3">
        <v>41851</v>
      </c>
      <c r="H2654" t="s">
        <v>15523</v>
      </c>
      <c r="I2654" t="s">
        <v>16180</v>
      </c>
      <c r="K2654" t="e">
        <v>#N/A</v>
      </c>
      <c r="S2654" s="3"/>
    </row>
    <row r="2655" spans="1:19" x14ac:dyDescent="0.25">
      <c r="A2655" t="s">
        <v>7632</v>
      </c>
      <c r="B2655" t="s">
        <v>7633</v>
      </c>
      <c r="C2655" t="s">
        <v>16179</v>
      </c>
      <c r="D2655" t="s">
        <v>47</v>
      </c>
      <c r="E2655">
        <v>5106</v>
      </c>
      <c r="F2655" s="3">
        <v>41851</v>
      </c>
      <c r="H2655" t="s">
        <v>15523</v>
      </c>
      <c r="I2655" t="s">
        <v>16180</v>
      </c>
      <c r="K2655" t="e">
        <v>#N/A</v>
      </c>
      <c r="S2655" s="3"/>
    </row>
    <row r="2656" spans="1:19" x14ac:dyDescent="0.25">
      <c r="A2656" t="s">
        <v>474</v>
      </c>
      <c r="B2656" t="s">
        <v>476</v>
      </c>
      <c r="C2656" t="s">
        <v>477</v>
      </c>
      <c r="D2656" t="s">
        <v>23</v>
      </c>
      <c r="E2656">
        <v>1518</v>
      </c>
      <c r="F2656" s="3">
        <v>40915</v>
      </c>
      <c r="H2656" t="s">
        <v>15523</v>
      </c>
      <c r="I2656" t="s">
        <v>17414</v>
      </c>
      <c r="K2656">
        <v>125</v>
      </c>
      <c r="S2656" s="3"/>
    </row>
    <row r="2657" spans="1:19" x14ac:dyDescent="0.25">
      <c r="A2657" t="s">
        <v>7634</v>
      </c>
      <c r="B2657" t="s">
        <v>7635</v>
      </c>
      <c r="C2657" t="s">
        <v>7636</v>
      </c>
      <c r="D2657" t="s">
        <v>23</v>
      </c>
      <c r="E2657">
        <v>4769</v>
      </c>
      <c r="F2657" s="3">
        <v>40702</v>
      </c>
      <c r="H2657" t="s">
        <v>15523</v>
      </c>
      <c r="I2657" t="s">
        <v>17415</v>
      </c>
      <c r="K2657" t="e">
        <v>#N/A</v>
      </c>
      <c r="S2657" s="3"/>
    </row>
    <row r="2658" spans="1:19" x14ac:dyDescent="0.25">
      <c r="A2658" t="s">
        <v>7637</v>
      </c>
      <c r="B2658" t="s">
        <v>7638</v>
      </c>
      <c r="C2658" t="s">
        <v>7639</v>
      </c>
      <c r="D2658" t="s">
        <v>23</v>
      </c>
      <c r="E2658">
        <v>5983</v>
      </c>
      <c r="F2658" s="3">
        <v>43375</v>
      </c>
      <c r="H2658" t="s">
        <v>15523</v>
      </c>
      <c r="I2658" t="s">
        <v>17416</v>
      </c>
      <c r="K2658" t="e">
        <v>#N/A</v>
      </c>
      <c r="S2658" s="3"/>
    </row>
    <row r="2659" spans="1:19" x14ac:dyDescent="0.25">
      <c r="A2659" t="s">
        <v>7640</v>
      </c>
      <c r="B2659" t="s">
        <v>7641</v>
      </c>
      <c r="C2659" t="s">
        <v>7642</v>
      </c>
      <c r="D2659" t="s">
        <v>23</v>
      </c>
      <c r="E2659">
        <v>75</v>
      </c>
      <c r="F2659" s="3">
        <v>40702</v>
      </c>
      <c r="H2659" t="s">
        <v>15523</v>
      </c>
      <c r="I2659" t="s">
        <v>17417</v>
      </c>
      <c r="K2659" t="e">
        <v>#N/A</v>
      </c>
      <c r="S2659" s="3"/>
    </row>
    <row r="2660" spans="1:19" x14ac:dyDescent="0.25">
      <c r="A2660" t="s">
        <v>7643</v>
      </c>
      <c r="B2660" t="s">
        <v>7644</v>
      </c>
      <c r="C2660" t="s">
        <v>7645</v>
      </c>
      <c r="D2660" t="s">
        <v>23</v>
      </c>
      <c r="E2660">
        <v>1586</v>
      </c>
      <c r="F2660" s="3">
        <v>40702</v>
      </c>
      <c r="H2660" t="s">
        <v>15523</v>
      </c>
      <c r="I2660" t="s">
        <v>17418</v>
      </c>
      <c r="K2660" t="e">
        <v>#N/A</v>
      </c>
      <c r="S2660" s="3"/>
    </row>
    <row r="2661" spans="1:19" x14ac:dyDescent="0.25">
      <c r="A2661" t="s">
        <v>7646</v>
      </c>
      <c r="B2661" t="s">
        <v>7647</v>
      </c>
      <c r="C2661" t="s">
        <v>7648</v>
      </c>
      <c r="D2661" t="s">
        <v>23</v>
      </c>
      <c r="E2661">
        <v>2297</v>
      </c>
      <c r="F2661" s="3">
        <v>40702</v>
      </c>
      <c r="H2661" t="s">
        <v>15523</v>
      </c>
      <c r="I2661" t="s">
        <v>17419</v>
      </c>
      <c r="K2661" t="e">
        <v>#N/A</v>
      </c>
      <c r="S2661" s="3"/>
    </row>
    <row r="2662" spans="1:19" x14ac:dyDescent="0.25">
      <c r="A2662" t="s">
        <v>7649</v>
      </c>
      <c r="B2662" t="s">
        <v>7650</v>
      </c>
      <c r="C2662" t="s">
        <v>7651</v>
      </c>
      <c r="D2662" t="s">
        <v>23</v>
      </c>
      <c r="E2662">
        <v>4773</v>
      </c>
      <c r="F2662" s="3">
        <v>40702</v>
      </c>
      <c r="H2662" t="s">
        <v>15523</v>
      </c>
      <c r="I2662" t="s">
        <v>17420</v>
      </c>
      <c r="K2662" t="e">
        <v>#N/A</v>
      </c>
      <c r="S2662" s="3"/>
    </row>
    <row r="2663" spans="1:19" x14ac:dyDescent="0.25">
      <c r="A2663" t="s">
        <v>7652</v>
      </c>
      <c r="B2663" t="s">
        <v>7653</v>
      </c>
      <c r="C2663" t="s">
        <v>7654</v>
      </c>
      <c r="D2663" t="s">
        <v>23</v>
      </c>
      <c r="E2663">
        <v>4774</v>
      </c>
      <c r="F2663" s="3">
        <v>40702</v>
      </c>
      <c r="H2663" t="s">
        <v>15523</v>
      </c>
      <c r="I2663" t="s">
        <v>17421</v>
      </c>
      <c r="K2663" t="e">
        <v>#N/A</v>
      </c>
      <c r="S2663" s="3"/>
    </row>
    <row r="2664" spans="1:19" x14ac:dyDescent="0.25">
      <c r="A2664" t="s">
        <v>7655</v>
      </c>
      <c r="B2664" t="s">
        <v>7656</v>
      </c>
      <c r="C2664" t="s">
        <v>7657</v>
      </c>
      <c r="D2664" t="s">
        <v>23</v>
      </c>
      <c r="E2664">
        <v>4776</v>
      </c>
      <c r="F2664" s="3">
        <v>40702</v>
      </c>
      <c r="H2664" t="s">
        <v>15523</v>
      </c>
      <c r="I2664" t="s">
        <v>17422</v>
      </c>
      <c r="K2664" t="e">
        <v>#N/A</v>
      </c>
      <c r="S2664" s="3"/>
    </row>
    <row r="2665" spans="1:19" x14ac:dyDescent="0.25">
      <c r="A2665" t="s">
        <v>7658</v>
      </c>
      <c r="B2665" t="s">
        <v>7659</v>
      </c>
      <c r="C2665" t="s">
        <v>7660</v>
      </c>
      <c r="D2665" t="s">
        <v>23</v>
      </c>
      <c r="E2665">
        <v>4777</v>
      </c>
      <c r="F2665" s="3">
        <v>40702</v>
      </c>
      <c r="H2665" t="s">
        <v>15523</v>
      </c>
      <c r="I2665" t="s">
        <v>17423</v>
      </c>
      <c r="K2665" t="e">
        <v>#N/A</v>
      </c>
      <c r="S2665" s="3"/>
    </row>
    <row r="2666" spans="1:19" x14ac:dyDescent="0.25">
      <c r="A2666" t="s">
        <v>7661</v>
      </c>
      <c r="B2666" t="s">
        <v>7662</v>
      </c>
      <c r="C2666" t="s">
        <v>7663</v>
      </c>
      <c r="D2666" t="s">
        <v>23</v>
      </c>
      <c r="E2666">
        <v>5021</v>
      </c>
      <c r="F2666" s="3">
        <v>41660</v>
      </c>
      <c r="H2666" t="s">
        <v>15523</v>
      </c>
      <c r="I2666" t="s">
        <v>17424</v>
      </c>
      <c r="K2666" t="e">
        <v>#N/A</v>
      </c>
      <c r="S2666" s="3"/>
    </row>
    <row r="2667" spans="1:19" x14ac:dyDescent="0.25">
      <c r="A2667" t="s">
        <v>7664</v>
      </c>
      <c r="B2667" t="s">
        <v>7665</v>
      </c>
      <c r="C2667" t="s">
        <v>7666</v>
      </c>
      <c r="D2667" t="s">
        <v>23</v>
      </c>
      <c r="E2667">
        <v>4779</v>
      </c>
      <c r="F2667" s="3">
        <v>40702</v>
      </c>
      <c r="H2667" t="s">
        <v>15523</v>
      </c>
      <c r="I2667" t="s">
        <v>17425</v>
      </c>
      <c r="K2667" t="e">
        <v>#N/A</v>
      </c>
      <c r="S2667" s="3"/>
    </row>
    <row r="2668" spans="1:19" x14ac:dyDescent="0.25">
      <c r="A2668" t="s">
        <v>7667</v>
      </c>
      <c r="B2668" t="s">
        <v>7668</v>
      </c>
      <c r="C2668" t="s">
        <v>7669</v>
      </c>
      <c r="D2668" t="s">
        <v>23</v>
      </c>
      <c r="E2668">
        <v>1589</v>
      </c>
      <c r="F2668" s="3">
        <v>40702</v>
      </c>
      <c r="H2668" t="s">
        <v>15523</v>
      </c>
      <c r="I2668" t="s">
        <v>17426</v>
      </c>
      <c r="K2668" t="e">
        <v>#N/A</v>
      </c>
      <c r="S2668" s="3"/>
    </row>
    <row r="2669" spans="1:19" x14ac:dyDescent="0.25">
      <c r="A2669" t="s">
        <v>7670</v>
      </c>
      <c r="B2669" t="s">
        <v>7671</v>
      </c>
      <c r="C2669" t="s">
        <v>7672</v>
      </c>
      <c r="D2669" t="s">
        <v>23</v>
      </c>
      <c r="E2669">
        <v>4780</v>
      </c>
      <c r="F2669" s="3">
        <v>40702</v>
      </c>
      <c r="H2669" t="s">
        <v>15523</v>
      </c>
      <c r="I2669" t="s">
        <v>17427</v>
      </c>
      <c r="K2669" t="e">
        <v>#N/A</v>
      </c>
      <c r="S2669" s="3"/>
    </row>
    <row r="2670" spans="1:19" x14ac:dyDescent="0.25">
      <c r="A2670" t="s">
        <v>442</v>
      </c>
      <c r="B2670" t="s">
        <v>444</v>
      </c>
      <c r="C2670" t="s">
        <v>445</v>
      </c>
      <c r="D2670" t="s">
        <v>23</v>
      </c>
      <c r="E2670">
        <v>4781</v>
      </c>
      <c r="F2670" s="3">
        <v>40702</v>
      </c>
      <c r="H2670" t="s">
        <v>15523</v>
      </c>
      <c r="I2670" t="s">
        <v>17428</v>
      </c>
      <c r="K2670">
        <v>117</v>
      </c>
      <c r="S2670" s="3"/>
    </row>
    <row r="2671" spans="1:19" x14ac:dyDescent="0.25">
      <c r="A2671" t="s">
        <v>7673</v>
      </c>
      <c r="B2671" t="s">
        <v>7674</v>
      </c>
      <c r="C2671" t="s">
        <v>7675</v>
      </c>
      <c r="D2671" t="s">
        <v>23</v>
      </c>
      <c r="E2671">
        <v>4782</v>
      </c>
      <c r="F2671" s="3">
        <v>40702</v>
      </c>
      <c r="H2671" t="s">
        <v>15523</v>
      </c>
      <c r="I2671" t="s">
        <v>17429</v>
      </c>
      <c r="K2671" t="e">
        <v>#N/A</v>
      </c>
      <c r="S2671" s="3"/>
    </row>
    <row r="2672" spans="1:19" x14ac:dyDescent="0.25">
      <c r="A2672" t="s">
        <v>7676</v>
      </c>
      <c r="B2672" t="s">
        <v>7677</v>
      </c>
      <c r="C2672" t="s">
        <v>7678</v>
      </c>
      <c r="D2672" t="s">
        <v>23</v>
      </c>
      <c r="E2672">
        <v>4784</v>
      </c>
      <c r="F2672" s="3">
        <v>40702</v>
      </c>
      <c r="H2672" t="s">
        <v>15523</v>
      </c>
      <c r="I2672" t="s">
        <v>17430</v>
      </c>
      <c r="K2672" t="e">
        <v>#N/A</v>
      </c>
      <c r="S2672" s="3"/>
    </row>
    <row r="2673" spans="1:19" x14ac:dyDescent="0.25">
      <c r="A2673" t="s">
        <v>7679</v>
      </c>
      <c r="B2673" t="s">
        <v>7680</v>
      </c>
      <c r="C2673" t="s">
        <v>7681</v>
      </c>
      <c r="D2673" t="s">
        <v>23</v>
      </c>
      <c r="E2673">
        <v>4785</v>
      </c>
      <c r="F2673" s="3">
        <v>40702</v>
      </c>
      <c r="H2673" t="s">
        <v>15523</v>
      </c>
      <c r="I2673" t="s">
        <v>17431</v>
      </c>
      <c r="K2673" t="e">
        <v>#N/A</v>
      </c>
      <c r="S2673" s="3"/>
    </row>
    <row r="2674" spans="1:19" x14ac:dyDescent="0.25">
      <c r="A2674" t="s">
        <v>354</v>
      </c>
      <c r="B2674" t="s">
        <v>356</v>
      </c>
      <c r="C2674" t="s">
        <v>357</v>
      </c>
      <c r="D2674" t="s">
        <v>23</v>
      </c>
      <c r="E2674">
        <v>4786</v>
      </c>
      <c r="F2674" s="3">
        <v>40915</v>
      </c>
      <c r="H2674" t="s">
        <v>15523</v>
      </c>
      <c r="I2674" t="s">
        <v>17432</v>
      </c>
      <c r="K2674">
        <v>95</v>
      </c>
      <c r="S2674" s="3"/>
    </row>
    <row r="2675" spans="1:19" x14ac:dyDescent="0.25">
      <c r="A2675" t="s">
        <v>7682</v>
      </c>
      <c r="B2675" t="s">
        <v>7683</v>
      </c>
      <c r="C2675" t="s">
        <v>7684</v>
      </c>
      <c r="D2675" t="s">
        <v>23</v>
      </c>
      <c r="E2675">
        <v>4800</v>
      </c>
      <c r="F2675" s="3">
        <v>40702</v>
      </c>
      <c r="H2675" t="s">
        <v>15523</v>
      </c>
      <c r="I2675" t="s">
        <v>17433</v>
      </c>
      <c r="K2675" t="e">
        <v>#N/A</v>
      </c>
      <c r="S2675" s="3"/>
    </row>
    <row r="2676" spans="1:19" x14ac:dyDescent="0.25">
      <c r="A2676" t="s">
        <v>7685</v>
      </c>
      <c r="B2676" t="s">
        <v>7686</v>
      </c>
      <c r="C2676" t="s">
        <v>7687</v>
      </c>
      <c r="D2676" t="s">
        <v>23</v>
      </c>
      <c r="E2676">
        <v>4801</v>
      </c>
      <c r="F2676" s="3">
        <v>40702</v>
      </c>
      <c r="H2676" t="s">
        <v>15523</v>
      </c>
      <c r="I2676" t="s">
        <v>17434</v>
      </c>
      <c r="K2676" t="e">
        <v>#N/A</v>
      </c>
      <c r="S2676" s="3"/>
    </row>
    <row r="2677" spans="1:19" x14ac:dyDescent="0.25">
      <c r="A2677" t="s">
        <v>7688</v>
      </c>
      <c r="B2677" t="s">
        <v>7689</v>
      </c>
      <c r="C2677" t="s">
        <v>7690</v>
      </c>
      <c r="D2677" t="s">
        <v>23</v>
      </c>
      <c r="E2677">
        <v>4802</v>
      </c>
      <c r="F2677" s="3">
        <v>41852</v>
      </c>
      <c r="H2677" t="s">
        <v>15523</v>
      </c>
      <c r="I2677" t="s">
        <v>17435</v>
      </c>
      <c r="K2677" t="e">
        <v>#N/A</v>
      </c>
      <c r="S2677" s="3"/>
    </row>
    <row r="2678" spans="1:19" x14ac:dyDescent="0.25">
      <c r="A2678" t="s">
        <v>7691</v>
      </c>
      <c r="B2678" t="s">
        <v>7692</v>
      </c>
      <c r="C2678" t="s">
        <v>7693</v>
      </c>
      <c r="D2678" t="s">
        <v>23</v>
      </c>
      <c r="E2678">
        <v>4803</v>
      </c>
      <c r="F2678" s="3">
        <v>40702</v>
      </c>
      <c r="H2678" t="s">
        <v>15523</v>
      </c>
      <c r="I2678" t="s">
        <v>17436</v>
      </c>
      <c r="K2678" t="e">
        <v>#N/A</v>
      </c>
      <c r="S2678" s="3"/>
    </row>
    <row r="2679" spans="1:19" x14ac:dyDescent="0.25">
      <c r="A2679" t="s">
        <v>7694</v>
      </c>
      <c r="B2679" t="s">
        <v>7695</v>
      </c>
      <c r="C2679" t="s">
        <v>7696</v>
      </c>
      <c r="D2679" t="s">
        <v>23</v>
      </c>
      <c r="E2679">
        <v>5022</v>
      </c>
      <c r="F2679" s="3">
        <v>41660</v>
      </c>
      <c r="H2679" t="s">
        <v>15523</v>
      </c>
      <c r="I2679" t="s">
        <v>17437</v>
      </c>
      <c r="K2679" t="e">
        <v>#N/A</v>
      </c>
      <c r="S2679" s="3"/>
    </row>
    <row r="2680" spans="1:19" x14ac:dyDescent="0.25">
      <c r="A2680" t="s">
        <v>7697</v>
      </c>
      <c r="B2680" t="s">
        <v>7698</v>
      </c>
      <c r="C2680" t="s">
        <v>7699</v>
      </c>
      <c r="D2680" t="s">
        <v>23</v>
      </c>
      <c r="E2680">
        <v>6034</v>
      </c>
      <c r="F2680" s="3">
        <v>43596</v>
      </c>
      <c r="H2680" t="s">
        <v>15523</v>
      </c>
      <c r="I2680" t="s">
        <v>17438</v>
      </c>
      <c r="K2680" t="e">
        <v>#N/A</v>
      </c>
      <c r="S2680" s="3"/>
    </row>
    <row r="2681" spans="1:19" x14ac:dyDescent="0.25">
      <c r="A2681" t="s">
        <v>7700</v>
      </c>
      <c r="B2681" t="s">
        <v>7701</v>
      </c>
      <c r="C2681" t="s">
        <v>16179</v>
      </c>
      <c r="D2681" t="s">
        <v>23</v>
      </c>
      <c r="E2681">
        <v>4657</v>
      </c>
      <c r="F2681" s="3">
        <v>40702</v>
      </c>
      <c r="H2681" t="s">
        <v>15523</v>
      </c>
      <c r="I2681" t="s">
        <v>16180</v>
      </c>
      <c r="K2681" t="e">
        <v>#N/A</v>
      </c>
      <c r="S2681" s="3"/>
    </row>
    <row r="2682" spans="1:19" x14ac:dyDescent="0.25">
      <c r="A2682" t="s">
        <v>7702</v>
      </c>
      <c r="B2682" t="s">
        <v>7703</v>
      </c>
      <c r="C2682" t="s">
        <v>7704</v>
      </c>
      <c r="D2682" t="s">
        <v>23</v>
      </c>
      <c r="E2682">
        <v>5189</v>
      </c>
      <c r="F2682" s="3">
        <v>42035</v>
      </c>
      <c r="H2682" t="s">
        <v>15523</v>
      </c>
      <c r="I2682" t="s">
        <v>17439</v>
      </c>
      <c r="K2682" t="e">
        <v>#N/A</v>
      </c>
      <c r="S2682" s="3"/>
    </row>
    <row r="2683" spans="1:19" x14ac:dyDescent="0.25">
      <c r="A2683" t="s">
        <v>7705</v>
      </c>
      <c r="B2683" t="s">
        <v>7706</v>
      </c>
      <c r="C2683" t="s">
        <v>7707</v>
      </c>
      <c r="D2683" t="s">
        <v>23</v>
      </c>
      <c r="E2683">
        <v>4805</v>
      </c>
      <c r="F2683" s="3">
        <v>40702</v>
      </c>
      <c r="H2683" t="s">
        <v>15523</v>
      </c>
      <c r="I2683" t="s">
        <v>17440</v>
      </c>
      <c r="K2683" t="e">
        <v>#N/A</v>
      </c>
      <c r="S2683" s="3"/>
    </row>
    <row r="2684" spans="1:19" x14ac:dyDescent="0.25">
      <c r="A2684" t="s">
        <v>7708</v>
      </c>
      <c r="B2684" t="s">
        <v>7709</v>
      </c>
      <c r="C2684" t="s">
        <v>7710</v>
      </c>
      <c r="D2684" t="s">
        <v>23</v>
      </c>
      <c r="E2684">
        <v>4806</v>
      </c>
      <c r="F2684" s="3">
        <v>40702</v>
      </c>
      <c r="H2684" t="s">
        <v>15523</v>
      </c>
      <c r="I2684" t="s">
        <v>17441</v>
      </c>
      <c r="K2684" t="e">
        <v>#N/A</v>
      </c>
      <c r="S2684" s="3"/>
    </row>
    <row r="2685" spans="1:19" x14ac:dyDescent="0.25">
      <c r="A2685" t="s">
        <v>7711</v>
      </c>
      <c r="B2685" t="s">
        <v>7712</v>
      </c>
      <c r="C2685" t="s">
        <v>7713</v>
      </c>
      <c r="D2685" t="s">
        <v>23</v>
      </c>
      <c r="E2685">
        <v>4811</v>
      </c>
      <c r="F2685" s="3">
        <v>40702</v>
      </c>
      <c r="H2685" t="s">
        <v>15523</v>
      </c>
      <c r="I2685" t="s">
        <v>17442</v>
      </c>
      <c r="K2685" t="e">
        <v>#N/A</v>
      </c>
      <c r="S2685" s="3"/>
    </row>
    <row r="2686" spans="1:19" x14ac:dyDescent="0.25">
      <c r="A2686" t="s">
        <v>7714</v>
      </c>
      <c r="B2686" t="s">
        <v>7715</v>
      </c>
      <c r="C2686" t="s">
        <v>7716</v>
      </c>
      <c r="D2686" t="s">
        <v>23</v>
      </c>
      <c r="E2686">
        <v>2450</v>
      </c>
      <c r="F2686" s="3">
        <v>40702</v>
      </c>
      <c r="H2686" t="s">
        <v>15523</v>
      </c>
      <c r="I2686" t="s">
        <v>17443</v>
      </c>
      <c r="K2686" t="e">
        <v>#N/A</v>
      </c>
      <c r="S2686" s="3"/>
    </row>
    <row r="2687" spans="1:19" x14ac:dyDescent="0.25">
      <c r="A2687" t="s">
        <v>7717</v>
      </c>
      <c r="B2687" t="s">
        <v>7718</v>
      </c>
      <c r="C2687" t="s">
        <v>7719</v>
      </c>
      <c r="D2687" t="s">
        <v>23</v>
      </c>
      <c r="E2687">
        <v>4813</v>
      </c>
      <c r="F2687" s="3">
        <v>41230</v>
      </c>
      <c r="H2687" t="s">
        <v>15523</v>
      </c>
      <c r="I2687" t="s">
        <v>17444</v>
      </c>
      <c r="K2687" t="e">
        <v>#N/A</v>
      </c>
      <c r="S2687" s="3"/>
    </row>
    <row r="2688" spans="1:19" x14ac:dyDescent="0.25">
      <c r="A2688" t="s">
        <v>7720</v>
      </c>
      <c r="B2688" t="s">
        <v>7721</v>
      </c>
      <c r="C2688" t="s">
        <v>7722</v>
      </c>
      <c r="D2688" t="s">
        <v>23</v>
      </c>
      <c r="E2688">
        <v>4812</v>
      </c>
      <c r="F2688" s="3">
        <v>41230</v>
      </c>
      <c r="H2688" t="s">
        <v>15523</v>
      </c>
      <c r="I2688" t="s">
        <v>17445</v>
      </c>
      <c r="K2688" t="e">
        <v>#N/A</v>
      </c>
      <c r="S2688" s="3"/>
    </row>
    <row r="2689" spans="1:19" x14ac:dyDescent="0.25">
      <c r="A2689" t="s">
        <v>7723</v>
      </c>
      <c r="B2689" t="s">
        <v>7724</v>
      </c>
      <c r="C2689" t="s">
        <v>7725</v>
      </c>
      <c r="D2689" t="s">
        <v>23</v>
      </c>
      <c r="E2689">
        <v>5023</v>
      </c>
      <c r="F2689" s="3">
        <v>41660</v>
      </c>
      <c r="H2689" t="s">
        <v>15523</v>
      </c>
      <c r="I2689" t="s">
        <v>17446</v>
      </c>
      <c r="K2689" t="e">
        <v>#N/A</v>
      </c>
      <c r="S2689" s="3"/>
    </row>
    <row r="2690" spans="1:19" x14ac:dyDescent="0.25">
      <c r="A2690" t="s">
        <v>7726</v>
      </c>
      <c r="B2690" t="s">
        <v>7727</v>
      </c>
      <c r="C2690" t="s">
        <v>7728</v>
      </c>
      <c r="D2690" t="s">
        <v>23</v>
      </c>
      <c r="E2690">
        <v>4814</v>
      </c>
      <c r="F2690" s="3">
        <v>40702</v>
      </c>
      <c r="H2690" t="s">
        <v>15523</v>
      </c>
      <c r="I2690" t="s">
        <v>17447</v>
      </c>
      <c r="K2690" t="e">
        <v>#N/A</v>
      </c>
      <c r="S2690" s="3"/>
    </row>
    <row r="2691" spans="1:19" x14ac:dyDescent="0.25">
      <c r="A2691" t="s">
        <v>390</v>
      </c>
      <c r="B2691" t="s">
        <v>7729</v>
      </c>
      <c r="C2691" t="s">
        <v>392</v>
      </c>
      <c r="D2691" t="s">
        <v>23</v>
      </c>
      <c r="E2691">
        <v>1520</v>
      </c>
      <c r="F2691" s="3">
        <v>41852</v>
      </c>
      <c r="H2691" t="s">
        <v>15523</v>
      </c>
      <c r="I2691" t="s">
        <v>17448</v>
      </c>
      <c r="K2691" t="e">
        <v>#N/A</v>
      </c>
      <c r="S2691" s="3"/>
    </row>
    <row r="2692" spans="1:19" x14ac:dyDescent="0.25">
      <c r="A2692" t="s">
        <v>7730</v>
      </c>
      <c r="B2692" t="s">
        <v>7731</v>
      </c>
      <c r="C2692" t="s">
        <v>7732</v>
      </c>
      <c r="D2692" t="s">
        <v>23</v>
      </c>
      <c r="E2692">
        <v>4815</v>
      </c>
      <c r="F2692" s="3">
        <v>41852</v>
      </c>
      <c r="H2692" t="s">
        <v>15523</v>
      </c>
      <c r="I2692" t="s">
        <v>17449</v>
      </c>
      <c r="K2692" t="e">
        <v>#N/A</v>
      </c>
      <c r="S2692" s="3"/>
    </row>
    <row r="2693" spans="1:19" x14ac:dyDescent="0.25">
      <c r="A2693" t="s">
        <v>7733</v>
      </c>
      <c r="B2693" t="s">
        <v>7734</v>
      </c>
      <c r="C2693" t="s">
        <v>7735</v>
      </c>
      <c r="D2693" t="s">
        <v>23</v>
      </c>
      <c r="E2693">
        <v>4816</v>
      </c>
      <c r="F2693" s="3">
        <v>41852</v>
      </c>
      <c r="H2693" t="s">
        <v>15523</v>
      </c>
      <c r="I2693" t="s">
        <v>17450</v>
      </c>
      <c r="K2693" t="e">
        <v>#N/A</v>
      </c>
      <c r="S2693" s="3"/>
    </row>
    <row r="2694" spans="1:19" x14ac:dyDescent="0.25">
      <c r="A2694" t="s">
        <v>7736</v>
      </c>
      <c r="B2694" t="s">
        <v>7737</v>
      </c>
      <c r="C2694" t="s">
        <v>7738</v>
      </c>
      <c r="D2694" t="s">
        <v>23</v>
      </c>
      <c r="E2694">
        <v>4817</v>
      </c>
      <c r="F2694" s="3">
        <v>41852</v>
      </c>
      <c r="H2694" t="s">
        <v>15523</v>
      </c>
      <c r="I2694" t="s">
        <v>17451</v>
      </c>
      <c r="K2694" t="e">
        <v>#N/A</v>
      </c>
      <c r="S2694" s="3"/>
    </row>
    <row r="2695" spans="1:19" x14ac:dyDescent="0.25">
      <c r="A2695" t="s">
        <v>7739</v>
      </c>
      <c r="B2695" t="s">
        <v>7740</v>
      </c>
      <c r="C2695" t="s">
        <v>7741</v>
      </c>
      <c r="D2695" t="s">
        <v>23</v>
      </c>
      <c r="E2695">
        <v>4818</v>
      </c>
      <c r="F2695" s="3">
        <v>41852</v>
      </c>
      <c r="H2695" t="s">
        <v>15523</v>
      </c>
      <c r="I2695" t="s">
        <v>17452</v>
      </c>
      <c r="K2695" t="e">
        <v>#N/A</v>
      </c>
      <c r="S2695" s="3"/>
    </row>
    <row r="2696" spans="1:19" x14ac:dyDescent="0.25">
      <c r="A2696" t="s">
        <v>7742</v>
      </c>
      <c r="B2696" t="s">
        <v>7743</v>
      </c>
      <c r="C2696" t="s">
        <v>7744</v>
      </c>
      <c r="D2696" t="s">
        <v>23</v>
      </c>
      <c r="E2696">
        <v>4819</v>
      </c>
      <c r="F2696" s="3">
        <v>40702</v>
      </c>
      <c r="H2696" t="s">
        <v>15523</v>
      </c>
      <c r="I2696" t="s">
        <v>17453</v>
      </c>
      <c r="K2696" t="e">
        <v>#N/A</v>
      </c>
      <c r="S2696" s="3"/>
    </row>
    <row r="2697" spans="1:19" x14ac:dyDescent="0.25">
      <c r="A2697" t="s">
        <v>7745</v>
      </c>
      <c r="B2697" t="s">
        <v>7746</v>
      </c>
      <c r="C2697" t="s">
        <v>7747</v>
      </c>
      <c r="D2697" t="s">
        <v>23</v>
      </c>
      <c r="E2697">
        <v>1605</v>
      </c>
      <c r="F2697" s="3">
        <v>40702</v>
      </c>
      <c r="H2697" t="s">
        <v>15523</v>
      </c>
      <c r="I2697" t="s">
        <v>17454</v>
      </c>
      <c r="K2697" t="e">
        <v>#N/A</v>
      </c>
      <c r="S2697" s="3"/>
    </row>
    <row r="2698" spans="1:19" x14ac:dyDescent="0.25">
      <c r="A2698" t="s">
        <v>7748</v>
      </c>
      <c r="B2698" t="s">
        <v>7749</v>
      </c>
      <c r="C2698" t="s">
        <v>7750</v>
      </c>
      <c r="D2698" t="s">
        <v>23</v>
      </c>
      <c r="E2698">
        <v>4839</v>
      </c>
      <c r="F2698" s="3">
        <v>40702</v>
      </c>
      <c r="H2698" t="s">
        <v>15523</v>
      </c>
      <c r="I2698" t="s">
        <v>17455</v>
      </c>
      <c r="K2698" t="e">
        <v>#N/A</v>
      </c>
      <c r="S2698" s="3"/>
    </row>
    <row r="2699" spans="1:19" x14ac:dyDescent="0.25">
      <c r="A2699" t="s">
        <v>7751</v>
      </c>
      <c r="B2699" t="s">
        <v>7752</v>
      </c>
      <c r="C2699" t="s">
        <v>7753</v>
      </c>
      <c r="D2699" t="s">
        <v>23</v>
      </c>
      <c r="E2699">
        <v>4840</v>
      </c>
      <c r="F2699" s="3">
        <v>40702</v>
      </c>
      <c r="H2699" t="s">
        <v>15523</v>
      </c>
      <c r="I2699" t="s">
        <v>17456</v>
      </c>
      <c r="K2699" t="e">
        <v>#N/A</v>
      </c>
      <c r="S2699" s="3"/>
    </row>
    <row r="2700" spans="1:19" x14ac:dyDescent="0.25">
      <c r="A2700" t="s">
        <v>7754</v>
      </c>
      <c r="B2700" t="s">
        <v>7755</v>
      </c>
      <c r="C2700" t="s">
        <v>7756</v>
      </c>
      <c r="D2700" t="s">
        <v>23</v>
      </c>
      <c r="E2700">
        <v>4841</v>
      </c>
      <c r="F2700" s="3">
        <v>40702</v>
      </c>
      <c r="H2700" t="s">
        <v>15523</v>
      </c>
      <c r="I2700" t="s">
        <v>17457</v>
      </c>
      <c r="K2700" t="e">
        <v>#N/A</v>
      </c>
      <c r="S2700" s="3"/>
    </row>
    <row r="2701" spans="1:19" x14ac:dyDescent="0.25">
      <c r="A2701" t="s">
        <v>7757</v>
      </c>
      <c r="B2701" t="s">
        <v>7758</v>
      </c>
      <c r="C2701" t="s">
        <v>7759</v>
      </c>
      <c r="D2701" t="s">
        <v>23</v>
      </c>
      <c r="E2701">
        <v>1612</v>
      </c>
      <c r="F2701" s="3">
        <v>40702</v>
      </c>
      <c r="H2701" t="s">
        <v>15523</v>
      </c>
      <c r="I2701" t="s">
        <v>17458</v>
      </c>
      <c r="K2701" t="e">
        <v>#N/A</v>
      </c>
      <c r="S2701" s="3"/>
    </row>
    <row r="2702" spans="1:19" x14ac:dyDescent="0.25">
      <c r="A2702" t="s">
        <v>7760</v>
      </c>
      <c r="B2702" t="s">
        <v>7761</v>
      </c>
      <c r="C2702" t="s">
        <v>7762</v>
      </c>
      <c r="D2702" t="s">
        <v>23</v>
      </c>
      <c r="E2702">
        <v>4843</v>
      </c>
      <c r="F2702" s="3">
        <v>40702</v>
      </c>
      <c r="H2702" t="s">
        <v>15523</v>
      </c>
      <c r="I2702" t="s">
        <v>17459</v>
      </c>
      <c r="K2702" t="e">
        <v>#N/A</v>
      </c>
      <c r="S2702" s="3"/>
    </row>
    <row r="2703" spans="1:19" x14ac:dyDescent="0.25">
      <c r="A2703" t="s">
        <v>7763</v>
      </c>
      <c r="B2703" t="s">
        <v>7764</v>
      </c>
      <c r="C2703" t="s">
        <v>7765</v>
      </c>
      <c r="D2703" t="s">
        <v>23</v>
      </c>
      <c r="E2703">
        <v>4844</v>
      </c>
      <c r="F2703" s="3">
        <v>40702</v>
      </c>
      <c r="H2703" t="s">
        <v>15523</v>
      </c>
      <c r="I2703" t="s">
        <v>17460</v>
      </c>
      <c r="K2703" t="e">
        <v>#N/A</v>
      </c>
      <c r="S2703" s="3"/>
    </row>
    <row r="2704" spans="1:19" x14ac:dyDescent="0.25">
      <c r="A2704" t="s">
        <v>7766</v>
      </c>
      <c r="B2704" t="s">
        <v>7767</v>
      </c>
      <c r="C2704" t="s">
        <v>7768</v>
      </c>
      <c r="D2704" t="s">
        <v>23</v>
      </c>
      <c r="E2704">
        <v>4846</v>
      </c>
      <c r="F2704" s="3">
        <v>40702</v>
      </c>
      <c r="H2704" t="s">
        <v>15523</v>
      </c>
      <c r="I2704" t="s">
        <v>17461</v>
      </c>
      <c r="K2704" t="e">
        <v>#N/A</v>
      </c>
      <c r="S2704" s="3"/>
    </row>
    <row r="2705" spans="1:19" x14ac:dyDescent="0.25">
      <c r="A2705" t="s">
        <v>7769</v>
      </c>
      <c r="B2705" t="s">
        <v>7770</v>
      </c>
      <c r="C2705" t="s">
        <v>7771</v>
      </c>
      <c r="D2705" t="s">
        <v>23</v>
      </c>
      <c r="E2705">
        <v>5197</v>
      </c>
      <c r="F2705" s="3">
        <v>42035</v>
      </c>
      <c r="H2705" t="s">
        <v>15523</v>
      </c>
      <c r="I2705" t="s">
        <v>17462</v>
      </c>
      <c r="K2705" t="e">
        <v>#N/A</v>
      </c>
      <c r="S2705" s="3"/>
    </row>
    <row r="2706" spans="1:19" x14ac:dyDescent="0.25">
      <c r="A2706" t="s">
        <v>542</v>
      </c>
      <c r="B2706" t="s">
        <v>544</v>
      </c>
      <c r="C2706" t="s">
        <v>545</v>
      </c>
      <c r="D2706" t="s">
        <v>23</v>
      </c>
      <c r="E2706">
        <v>1563</v>
      </c>
      <c r="F2706" s="3">
        <v>40702</v>
      </c>
      <c r="H2706" t="s">
        <v>15523</v>
      </c>
      <c r="I2706" t="s">
        <v>17463</v>
      </c>
      <c r="K2706">
        <v>142</v>
      </c>
      <c r="S2706" s="3"/>
    </row>
    <row r="2707" spans="1:19" x14ac:dyDescent="0.25">
      <c r="A2707" t="s">
        <v>7772</v>
      </c>
      <c r="B2707" t="s">
        <v>7773</v>
      </c>
      <c r="C2707" t="s">
        <v>16179</v>
      </c>
      <c r="D2707" t="s">
        <v>47</v>
      </c>
      <c r="E2707">
        <v>3663</v>
      </c>
      <c r="F2707" s="3">
        <v>41935</v>
      </c>
      <c r="H2707" t="s">
        <v>15523</v>
      </c>
      <c r="I2707" t="s">
        <v>16180</v>
      </c>
      <c r="K2707" t="e">
        <v>#N/A</v>
      </c>
      <c r="S2707" s="3"/>
    </row>
    <row r="2708" spans="1:19" x14ac:dyDescent="0.25">
      <c r="A2708" t="s">
        <v>7774</v>
      </c>
      <c r="B2708" t="s">
        <v>7775</v>
      </c>
      <c r="C2708" t="s">
        <v>16179</v>
      </c>
      <c r="D2708" t="s">
        <v>47</v>
      </c>
      <c r="E2708">
        <v>5153</v>
      </c>
      <c r="F2708" s="3">
        <v>41935</v>
      </c>
      <c r="H2708" t="s">
        <v>15523</v>
      </c>
      <c r="I2708" t="s">
        <v>16180</v>
      </c>
      <c r="K2708" t="e">
        <v>#N/A</v>
      </c>
      <c r="S2708" s="3"/>
    </row>
    <row r="2709" spans="1:19" x14ac:dyDescent="0.25">
      <c r="A2709" t="s">
        <v>7776</v>
      </c>
      <c r="B2709" t="s">
        <v>7777</v>
      </c>
      <c r="C2709" t="s">
        <v>7778</v>
      </c>
      <c r="D2709" t="s">
        <v>23</v>
      </c>
      <c r="E2709">
        <v>4852</v>
      </c>
      <c r="F2709" s="3">
        <v>40702</v>
      </c>
      <c r="H2709" t="s">
        <v>15523</v>
      </c>
      <c r="I2709" t="s">
        <v>17464</v>
      </c>
      <c r="K2709" t="e">
        <v>#N/A</v>
      </c>
      <c r="S2709" s="3"/>
    </row>
    <row r="2710" spans="1:19" x14ac:dyDescent="0.25">
      <c r="A2710" t="s">
        <v>7779</v>
      </c>
      <c r="B2710" t="s">
        <v>7780</v>
      </c>
      <c r="C2710" t="s">
        <v>7781</v>
      </c>
      <c r="D2710" t="s">
        <v>23</v>
      </c>
      <c r="E2710">
        <v>4853</v>
      </c>
      <c r="F2710" s="3">
        <v>40702</v>
      </c>
      <c r="H2710" t="s">
        <v>15523</v>
      </c>
      <c r="I2710" t="s">
        <v>17465</v>
      </c>
      <c r="K2710" t="e">
        <v>#N/A</v>
      </c>
      <c r="S2710" s="3"/>
    </row>
    <row r="2711" spans="1:19" x14ac:dyDescent="0.25">
      <c r="A2711" t="s">
        <v>7782</v>
      </c>
      <c r="B2711" t="s">
        <v>7783</v>
      </c>
      <c r="C2711" t="s">
        <v>7784</v>
      </c>
      <c r="D2711" t="s">
        <v>23</v>
      </c>
      <c r="E2711">
        <v>4854</v>
      </c>
      <c r="F2711" s="3">
        <v>40702</v>
      </c>
      <c r="H2711" t="s">
        <v>15523</v>
      </c>
      <c r="I2711" t="s">
        <v>17466</v>
      </c>
      <c r="K2711" t="e">
        <v>#N/A</v>
      </c>
      <c r="S2711" s="3"/>
    </row>
    <row r="2712" spans="1:19" x14ac:dyDescent="0.25">
      <c r="A2712" t="s">
        <v>7785</v>
      </c>
      <c r="B2712" t="s">
        <v>7786</v>
      </c>
      <c r="C2712" t="s">
        <v>7787</v>
      </c>
      <c r="D2712" t="s">
        <v>23</v>
      </c>
      <c r="E2712">
        <v>4855</v>
      </c>
      <c r="F2712" s="3">
        <v>40702</v>
      </c>
      <c r="H2712" t="s">
        <v>15523</v>
      </c>
      <c r="I2712" t="s">
        <v>17467</v>
      </c>
      <c r="K2712" t="e">
        <v>#N/A</v>
      </c>
      <c r="S2712" s="3"/>
    </row>
    <row r="2713" spans="1:19" x14ac:dyDescent="0.25">
      <c r="A2713" t="s">
        <v>7788</v>
      </c>
      <c r="B2713" t="s">
        <v>7789</v>
      </c>
      <c r="C2713" t="s">
        <v>7790</v>
      </c>
      <c r="D2713" t="s">
        <v>23</v>
      </c>
      <c r="E2713">
        <v>4856</v>
      </c>
      <c r="F2713" s="3">
        <v>40702</v>
      </c>
      <c r="H2713" t="s">
        <v>15523</v>
      </c>
      <c r="I2713" t="s">
        <v>17468</v>
      </c>
      <c r="K2713" t="e">
        <v>#N/A</v>
      </c>
      <c r="S2713" s="3"/>
    </row>
    <row r="2714" spans="1:19" x14ac:dyDescent="0.25">
      <c r="A2714" t="s">
        <v>7791</v>
      </c>
      <c r="B2714" t="s">
        <v>7792</v>
      </c>
      <c r="C2714" t="s">
        <v>545</v>
      </c>
      <c r="D2714" t="s">
        <v>23</v>
      </c>
      <c r="E2714">
        <v>4857</v>
      </c>
      <c r="F2714" s="3">
        <v>40781</v>
      </c>
      <c r="H2714" t="s">
        <v>15523</v>
      </c>
      <c r="I2714" t="s">
        <v>17463</v>
      </c>
      <c r="K2714" t="e">
        <v>#N/A</v>
      </c>
      <c r="S2714" s="3"/>
    </row>
    <row r="2715" spans="1:19" x14ac:dyDescent="0.25">
      <c r="A2715" t="s">
        <v>7793</v>
      </c>
      <c r="B2715" t="s">
        <v>7794</v>
      </c>
      <c r="C2715" t="s">
        <v>7795</v>
      </c>
      <c r="D2715" t="s">
        <v>23</v>
      </c>
      <c r="E2715">
        <v>4858</v>
      </c>
      <c r="F2715" s="3">
        <v>40702</v>
      </c>
      <c r="H2715" t="s">
        <v>15523</v>
      </c>
      <c r="I2715" t="s">
        <v>17469</v>
      </c>
      <c r="K2715" t="e">
        <v>#N/A</v>
      </c>
      <c r="S2715" s="3"/>
    </row>
    <row r="2716" spans="1:19" x14ac:dyDescent="0.25">
      <c r="A2716" t="s">
        <v>7796</v>
      </c>
      <c r="B2716" t="s">
        <v>7797</v>
      </c>
      <c r="C2716" t="s">
        <v>16179</v>
      </c>
      <c r="D2716" t="s">
        <v>47</v>
      </c>
      <c r="E2716">
        <v>4663</v>
      </c>
      <c r="F2716" s="3">
        <v>41935</v>
      </c>
      <c r="H2716" t="s">
        <v>15523</v>
      </c>
      <c r="I2716" t="s">
        <v>16180</v>
      </c>
      <c r="K2716" t="e">
        <v>#N/A</v>
      </c>
      <c r="S2716" s="3"/>
    </row>
    <row r="2717" spans="1:19" x14ac:dyDescent="0.25">
      <c r="A2717" t="s">
        <v>7798</v>
      </c>
      <c r="B2717" t="s">
        <v>7799</v>
      </c>
      <c r="C2717" t="s">
        <v>7800</v>
      </c>
      <c r="D2717" t="s">
        <v>23</v>
      </c>
      <c r="E2717">
        <v>4860</v>
      </c>
      <c r="F2717" s="3">
        <v>40702</v>
      </c>
      <c r="H2717" t="s">
        <v>15523</v>
      </c>
      <c r="I2717" t="s">
        <v>17470</v>
      </c>
      <c r="K2717" t="e">
        <v>#N/A</v>
      </c>
      <c r="S2717" s="3"/>
    </row>
    <row r="2718" spans="1:19" x14ac:dyDescent="0.25">
      <c r="A2718" t="s">
        <v>7801</v>
      </c>
      <c r="B2718" t="s">
        <v>7802</v>
      </c>
      <c r="C2718" t="s">
        <v>7803</v>
      </c>
      <c r="D2718" t="s">
        <v>23</v>
      </c>
      <c r="E2718">
        <v>4868</v>
      </c>
      <c r="F2718" s="3">
        <v>41230</v>
      </c>
      <c r="H2718" t="s">
        <v>15523</v>
      </c>
      <c r="I2718" t="s">
        <v>17471</v>
      </c>
      <c r="K2718" t="e">
        <v>#N/A</v>
      </c>
      <c r="S2718" s="3"/>
    </row>
    <row r="2719" spans="1:19" x14ac:dyDescent="0.25">
      <c r="A2719" t="s">
        <v>270</v>
      </c>
      <c r="B2719" t="s">
        <v>272</v>
      </c>
      <c r="C2719" t="s">
        <v>273</v>
      </c>
      <c r="D2719" t="s">
        <v>23</v>
      </c>
      <c r="E2719">
        <v>1565</v>
      </c>
      <c r="F2719" s="3">
        <v>40702</v>
      </c>
      <c r="H2719" t="s">
        <v>15523</v>
      </c>
      <c r="I2719" t="s">
        <v>17472</v>
      </c>
      <c r="K2719">
        <v>74</v>
      </c>
      <c r="S2719" s="3"/>
    </row>
    <row r="2720" spans="1:19" x14ac:dyDescent="0.25">
      <c r="A2720" t="s">
        <v>7804</v>
      </c>
      <c r="B2720" t="s">
        <v>7805</v>
      </c>
      <c r="C2720" t="s">
        <v>7806</v>
      </c>
      <c r="D2720" t="s">
        <v>23</v>
      </c>
      <c r="E2720">
        <v>1585</v>
      </c>
      <c r="F2720" s="3">
        <v>40702</v>
      </c>
      <c r="H2720" t="s">
        <v>15523</v>
      </c>
      <c r="I2720" t="s">
        <v>17473</v>
      </c>
      <c r="K2720" t="e">
        <v>#N/A</v>
      </c>
      <c r="S2720" s="3"/>
    </row>
    <row r="2721" spans="1:19" x14ac:dyDescent="0.25">
      <c r="A2721" t="s">
        <v>7807</v>
      </c>
      <c r="B2721" t="s">
        <v>7808</v>
      </c>
      <c r="C2721" t="s">
        <v>7809</v>
      </c>
      <c r="D2721" t="s">
        <v>23</v>
      </c>
      <c r="E2721">
        <v>6078</v>
      </c>
      <c r="F2721" s="3">
        <v>43854</v>
      </c>
      <c r="H2721" t="s">
        <v>15523</v>
      </c>
      <c r="I2721" t="s">
        <v>17474</v>
      </c>
      <c r="K2721" t="e">
        <v>#N/A</v>
      </c>
      <c r="S2721" s="3"/>
    </row>
    <row r="2722" spans="1:19" x14ac:dyDescent="0.25">
      <c r="A2722" t="s">
        <v>7810</v>
      </c>
      <c r="B2722" t="s">
        <v>7811</v>
      </c>
      <c r="C2722" t="s">
        <v>7812</v>
      </c>
      <c r="D2722" t="s">
        <v>23</v>
      </c>
      <c r="E2722">
        <v>4870</v>
      </c>
      <c r="F2722" s="3">
        <v>40702</v>
      </c>
      <c r="H2722" t="s">
        <v>15523</v>
      </c>
      <c r="I2722" t="s">
        <v>17475</v>
      </c>
      <c r="K2722" t="e">
        <v>#N/A</v>
      </c>
      <c r="S2722" s="3"/>
    </row>
    <row r="2723" spans="1:19" x14ac:dyDescent="0.25">
      <c r="A2723" t="s">
        <v>506</v>
      </c>
      <c r="B2723" t="s">
        <v>508</v>
      </c>
      <c r="C2723" t="s">
        <v>509</v>
      </c>
      <c r="D2723" t="s">
        <v>23</v>
      </c>
      <c r="E2723">
        <v>1553</v>
      </c>
      <c r="F2723" s="3">
        <v>40702</v>
      </c>
      <c r="H2723" t="s">
        <v>15523</v>
      </c>
      <c r="I2723" t="s">
        <v>17476</v>
      </c>
      <c r="K2723">
        <v>133</v>
      </c>
      <c r="S2723" s="3"/>
    </row>
    <row r="2724" spans="1:19" x14ac:dyDescent="0.25">
      <c r="A2724" t="s">
        <v>7813</v>
      </c>
      <c r="B2724" t="s">
        <v>7814</v>
      </c>
      <c r="C2724" t="s">
        <v>7815</v>
      </c>
      <c r="D2724" t="s">
        <v>23</v>
      </c>
      <c r="E2724">
        <v>4871</v>
      </c>
      <c r="F2724" s="3">
        <v>40702</v>
      </c>
      <c r="H2724" t="s">
        <v>15523</v>
      </c>
      <c r="I2724" t="s">
        <v>17477</v>
      </c>
      <c r="K2724" t="e">
        <v>#N/A</v>
      </c>
      <c r="S2724" s="3"/>
    </row>
    <row r="2725" spans="1:19" x14ac:dyDescent="0.25">
      <c r="A2725" t="s">
        <v>7816</v>
      </c>
      <c r="B2725" t="s">
        <v>7817</v>
      </c>
      <c r="C2725" t="s">
        <v>7818</v>
      </c>
      <c r="D2725" t="s">
        <v>23</v>
      </c>
      <c r="E2725">
        <v>4872</v>
      </c>
      <c r="F2725" s="3">
        <v>40702</v>
      </c>
      <c r="H2725" t="s">
        <v>15523</v>
      </c>
      <c r="I2725" t="s">
        <v>17478</v>
      </c>
      <c r="K2725" t="e">
        <v>#N/A</v>
      </c>
      <c r="S2725" s="3"/>
    </row>
    <row r="2726" spans="1:19" x14ac:dyDescent="0.25">
      <c r="A2726" t="s">
        <v>7819</v>
      </c>
      <c r="B2726" t="s">
        <v>7820</v>
      </c>
      <c r="C2726" t="s">
        <v>7821</v>
      </c>
      <c r="D2726" t="s">
        <v>23</v>
      </c>
      <c r="E2726">
        <v>4873</v>
      </c>
      <c r="F2726" s="3">
        <v>40702</v>
      </c>
      <c r="H2726" t="s">
        <v>15523</v>
      </c>
      <c r="I2726" t="s">
        <v>17479</v>
      </c>
      <c r="K2726" t="e">
        <v>#N/A</v>
      </c>
      <c r="S2726" s="3"/>
    </row>
    <row r="2727" spans="1:19" x14ac:dyDescent="0.25">
      <c r="A2727" t="s">
        <v>457</v>
      </c>
      <c r="B2727" t="s">
        <v>459</v>
      </c>
      <c r="C2727" t="s">
        <v>460</v>
      </c>
      <c r="D2727" t="s">
        <v>23</v>
      </c>
      <c r="E2727">
        <v>4874</v>
      </c>
      <c r="F2727" s="3">
        <v>40702</v>
      </c>
      <c r="H2727" t="s">
        <v>15523</v>
      </c>
      <c r="I2727" t="s">
        <v>17480</v>
      </c>
      <c r="K2727">
        <v>121</v>
      </c>
      <c r="S2727" s="3"/>
    </row>
    <row r="2728" spans="1:19" x14ac:dyDescent="0.25">
      <c r="A2728" t="s">
        <v>7822</v>
      </c>
      <c r="B2728" t="s">
        <v>7823</v>
      </c>
      <c r="C2728" t="s">
        <v>16179</v>
      </c>
      <c r="D2728" t="s">
        <v>47</v>
      </c>
      <c r="E2728">
        <v>5107</v>
      </c>
      <c r="F2728" s="3">
        <v>41940</v>
      </c>
      <c r="H2728" t="s">
        <v>15523</v>
      </c>
      <c r="I2728" t="s">
        <v>16180</v>
      </c>
      <c r="K2728" t="e">
        <v>#N/A</v>
      </c>
      <c r="S2728" s="3"/>
    </row>
    <row r="2729" spans="1:19" x14ac:dyDescent="0.25">
      <c r="A2729" t="s">
        <v>7824</v>
      </c>
      <c r="B2729" t="s">
        <v>7825</v>
      </c>
      <c r="C2729" t="s">
        <v>16179</v>
      </c>
      <c r="D2729" t="s">
        <v>47</v>
      </c>
      <c r="E2729">
        <v>4664</v>
      </c>
      <c r="F2729" s="3">
        <v>41940</v>
      </c>
      <c r="H2729" t="s">
        <v>15523</v>
      </c>
      <c r="I2729" t="s">
        <v>16180</v>
      </c>
      <c r="K2729" t="e">
        <v>#N/A</v>
      </c>
      <c r="S2729" s="3"/>
    </row>
    <row r="2730" spans="1:19" x14ac:dyDescent="0.25">
      <c r="A2730" t="s">
        <v>7826</v>
      </c>
      <c r="B2730" t="s">
        <v>7827</v>
      </c>
      <c r="C2730" t="s">
        <v>16179</v>
      </c>
      <c r="D2730" t="s">
        <v>47</v>
      </c>
      <c r="E2730">
        <v>4665</v>
      </c>
      <c r="F2730" s="3">
        <v>41940</v>
      </c>
      <c r="H2730" t="s">
        <v>15523</v>
      </c>
      <c r="I2730" t="s">
        <v>16180</v>
      </c>
      <c r="K2730" t="e">
        <v>#N/A</v>
      </c>
      <c r="S2730" s="3"/>
    </row>
    <row r="2731" spans="1:19" x14ac:dyDescent="0.25">
      <c r="A2731" t="s">
        <v>7828</v>
      </c>
      <c r="B2731" t="s">
        <v>7829</v>
      </c>
      <c r="C2731" t="s">
        <v>16179</v>
      </c>
      <c r="D2731" t="s">
        <v>47</v>
      </c>
      <c r="E2731">
        <v>5108</v>
      </c>
      <c r="F2731" s="3">
        <v>41851</v>
      </c>
      <c r="H2731" t="s">
        <v>15523</v>
      </c>
      <c r="I2731" t="s">
        <v>16180</v>
      </c>
      <c r="K2731" t="e">
        <v>#N/A</v>
      </c>
      <c r="S2731" s="3"/>
    </row>
    <row r="2732" spans="1:19" x14ac:dyDescent="0.25">
      <c r="A2732" t="s">
        <v>7830</v>
      </c>
      <c r="B2732" t="s">
        <v>7831</v>
      </c>
      <c r="C2732" t="s">
        <v>7832</v>
      </c>
      <c r="D2732" t="s">
        <v>23</v>
      </c>
      <c r="E2732">
        <v>4876</v>
      </c>
      <c r="F2732" s="3">
        <v>40702</v>
      </c>
      <c r="H2732" t="s">
        <v>15523</v>
      </c>
      <c r="I2732" t="s">
        <v>17481</v>
      </c>
      <c r="K2732" t="e">
        <v>#N/A</v>
      </c>
      <c r="S2732" s="3"/>
    </row>
    <row r="2733" spans="1:19" x14ac:dyDescent="0.25">
      <c r="A2733" t="s">
        <v>7833</v>
      </c>
      <c r="B2733" t="s">
        <v>7834</v>
      </c>
      <c r="C2733" t="s">
        <v>7835</v>
      </c>
      <c r="D2733" t="s">
        <v>23</v>
      </c>
      <c r="E2733">
        <v>2496</v>
      </c>
      <c r="F2733" s="3">
        <v>40702</v>
      </c>
      <c r="H2733" t="s">
        <v>15523</v>
      </c>
      <c r="I2733" t="s">
        <v>17482</v>
      </c>
      <c r="K2733" t="e">
        <v>#N/A</v>
      </c>
      <c r="S2733" s="3"/>
    </row>
    <row r="2734" spans="1:19" x14ac:dyDescent="0.25">
      <c r="A2734" t="s">
        <v>7836</v>
      </c>
      <c r="B2734" t="s">
        <v>7837</v>
      </c>
      <c r="C2734" t="s">
        <v>7838</v>
      </c>
      <c r="D2734" t="s">
        <v>23</v>
      </c>
      <c r="E2734">
        <v>5024</v>
      </c>
      <c r="F2734" s="3">
        <v>41660</v>
      </c>
      <c r="H2734" t="s">
        <v>15523</v>
      </c>
      <c r="I2734" t="s">
        <v>17483</v>
      </c>
      <c r="K2734" t="e">
        <v>#N/A</v>
      </c>
      <c r="S2734" s="3"/>
    </row>
    <row r="2735" spans="1:19" x14ac:dyDescent="0.25">
      <c r="A2735" t="s">
        <v>7839</v>
      </c>
      <c r="B2735" t="s">
        <v>7840</v>
      </c>
      <c r="C2735" t="s">
        <v>7841</v>
      </c>
      <c r="D2735" t="s">
        <v>23</v>
      </c>
      <c r="E2735">
        <v>4878</v>
      </c>
      <c r="F2735" s="3">
        <v>40702</v>
      </c>
      <c r="H2735" t="s">
        <v>15523</v>
      </c>
      <c r="I2735" t="s">
        <v>17484</v>
      </c>
      <c r="K2735" t="e">
        <v>#N/A</v>
      </c>
      <c r="S2735" s="3"/>
    </row>
    <row r="2736" spans="1:19" x14ac:dyDescent="0.25">
      <c r="A2736" t="s">
        <v>796</v>
      </c>
      <c r="B2736" t="s">
        <v>797</v>
      </c>
      <c r="C2736" t="s">
        <v>798</v>
      </c>
      <c r="D2736" t="s">
        <v>23</v>
      </c>
      <c r="E2736">
        <v>1568</v>
      </c>
      <c r="F2736" s="3">
        <v>40702</v>
      </c>
      <c r="H2736" t="s">
        <v>15523</v>
      </c>
      <c r="I2736" t="s">
        <v>17485</v>
      </c>
      <c r="K2736">
        <v>225</v>
      </c>
      <c r="S2736" s="3"/>
    </row>
    <row r="2737" spans="1:19" x14ac:dyDescent="0.25">
      <c r="A2737" t="s">
        <v>7842</v>
      </c>
      <c r="B2737" t="s">
        <v>7843</v>
      </c>
      <c r="C2737" t="s">
        <v>16179</v>
      </c>
      <c r="D2737" t="s">
        <v>47</v>
      </c>
      <c r="E2737">
        <v>4676</v>
      </c>
      <c r="F2737" s="3">
        <v>41852</v>
      </c>
      <c r="H2737" t="s">
        <v>15523</v>
      </c>
      <c r="I2737" t="s">
        <v>16180</v>
      </c>
      <c r="K2737" t="e">
        <v>#N/A</v>
      </c>
      <c r="S2737" s="3"/>
    </row>
    <row r="2738" spans="1:19" x14ac:dyDescent="0.25">
      <c r="A2738" t="s">
        <v>7844</v>
      </c>
      <c r="B2738" t="s">
        <v>7845</v>
      </c>
      <c r="C2738" t="s">
        <v>16179</v>
      </c>
      <c r="D2738" t="s">
        <v>47</v>
      </c>
      <c r="E2738">
        <v>5523</v>
      </c>
      <c r="F2738" s="3">
        <v>42322</v>
      </c>
      <c r="H2738" t="s">
        <v>15523</v>
      </c>
      <c r="I2738" t="s">
        <v>16180</v>
      </c>
      <c r="K2738" t="e">
        <v>#N/A</v>
      </c>
      <c r="S2738" s="3"/>
    </row>
    <row r="2739" spans="1:19" x14ac:dyDescent="0.25">
      <c r="A2739" t="s">
        <v>7846</v>
      </c>
      <c r="B2739" t="s">
        <v>7847</v>
      </c>
      <c r="C2739" t="s">
        <v>16179</v>
      </c>
      <c r="D2739" t="s">
        <v>47</v>
      </c>
      <c r="E2739">
        <v>5524</v>
      </c>
      <c r="F2739" s="3">
        <v>42322</v>
      </c>
      <c r="H2739" t="s">
        <v>15523</v>
      </c>
      <c r="I2739" t="s">
        <v>16180</v>
      </c>
      <c r="K2739" t="e">
        <v>#N/A</v>
      </c>
      <c r="S2739" s="3"/>
    </row>
    <row r="2740" spans="1:19" x14ac:dyDescent="0.25">
      <c r="A2740" t="s">
        <v>7848</v>
      </c>
      <c r="B2740" t="s">
        <v>7849</v>
      </c>
      <c r="C2740" t="s">
        <v>16179</v>
      </c>
      <c r="D2740" t="s">
        <v>47</v>
      </c>
      <c r="E2740">
        <v>5520</v>
      </c>
      <c r="F2740" s="3">
        <v>42322</v>
      </c>
      <c r="H2740" t="s">
        <v>15523</v>
      </c>
      <c r="I2740" t="s">
        <v>16180</v>
      </c>
      <c r="K2740" t="e">
        <v>#N/A</v>
      </c>
      <c r="S2740" s="3"/>
    </row>
    <row r="2741" spans="1:19" x14ac:dyDescent="0.25">
      <c r="A2741" t="s">
        <v>7850</v>
      </c>
      <c r="B2741" t="s">
        <v>7851</v>
      </c>
      <c r="C2741" t="s">
        <v>16179</v>
      </c>
      <c r="D2741" t="s">
        <v>47</v>
      </c>
      <c r="E2741">
        <v>5525</v>
      </c>
      <c r="F2741" s="3">
        <v>42322</v>
      </c>
      <c r="H2741" t="s">
        <v>15523</v>
      </c>
      <c r="I2741" t="s">
        <v>16180</v>
      </c>
      <c r="K2741" t="e">
        <v>#N/A</v>
      </c>
      <c r="S2741" s="3"/>
    </row>
    <row r="2742" spans="1:19" x14ac:dyDescent="0.25">
      <c r="A2742" t="s">
        <v>7852</v>
      </c>
      <c r="B2742" t="s">
        <v>7853</v>
      </c>
      <c r="C2742" t="s">
        <v>16179</v>
      </c>
      <c r="D2742" t="s">
        <v>47</v>
      </c>
      <c r="E2742">
        <v>5526</v>
      </c>
      <c r="F2742" s="3">
        <v>42322</v>
      </c>
      <c r="H2742" t="s">
        <v>15523</v>
      </c>
      <c r="I2742" t="s">
        <v>16180</v>
      </c>
      <c r="K2742" t="e">
        <v>#N/A</v>
      </c>
      <c r="S2742" s="3"/>
    </row>
    <row r="2743" spans="1:19" x14ac:dyDescent="0.25">
      <c r="A2743" t="s">
        <v>7854</v>
      </c>
      <c r="B2743" t="s">
        <v>7855</v>
      </c>
      <c r="C2743" t="s">
        <v>16179</v>
      </c>
      <c r="D2743" t="s">
        <v>47</v>
      </c>
      <c r="E2743">
        <v>5522</v>
      </c>
      <c r="F2743" s="3">
        <v>42322</v>
      </c>
      <c r="H2743" t="s">
        <v>15523</v>
      </c>
      <c r="I2743" t="s">
        <v>16180</v>
      </c>
      <c r="K2743" t="e">
        <v>#N/A</v>
      </c>
      <c r="S2743" s="3"/>
    </row>
    <row r="2744" spans="1:19" x14ac:dyDescent="0.25">
      <c r="A2744" t="s">
        <v>7856</v>
      </c>
      <c r="B2744" t="s">
        <v>7857</v>
      </c>
      <c r="C2744" t="s">
        <v>16179</v>
      </c>
      <c r="D2744" t="s">
        <v>47</v>
      </c>
      <c r="E2744">
        <v>5521</v>
      </c>
      <c r="F2744" s="3">
        <v>42322</v>
      </c>
      <c r="H2744" t="s">
        <v>15523</v>
      </c>
      <c r="I2744" t="s">
        <v>16180</v>
      </c>
      <c r="K2744" t="e">
        <v>#N/A</v>
      </c>
      <c r="S2744" s="3"/>
    </row>
    <row r="2745" spans="1:19" x14ac:dyDescent="0.25">
      <c r="A2745" t="s">
        <v>7858</v>
      </c>
      <c r="B2745" t="s">
        <v>7859</v>
      </c>
      <c r="C2745" t="s">
        <v>16179</v>
      </c>
      <c r="D2745" t="s">
        <v>47</v>
      </c>
      <c r="E2745">
        <v>5527</v>
      </c>
      <c r="F2745" s="3">
        <v>42322</v>
      </c>
      <c r="H2745" t="s">
        <v>15523</v>
      </c>
      <c r="I2745" t="s">
        <v>16180</v>
      </c>
      <c r="K2745" t="e">
        <v>#N/A</v>
      </c>
      <c r="S2745" s="3"/>
    </row>
    <row r="2746" spans="1:19" x14ac:dyDescent="0.25">
      <c r="A2746" t="s">
        <v>7860</v>
      </c>
      <c r="B2746" t="s">
        <v>7861</v>
      </c>
      <c r="C2746" t="s">
        <v>16179</v>
      </c>
      <c r="D2746" t="s">
        <v>47</v>
      </c>
      <c r="E2746">
        <v>5519</v>
      </c>
      <c r="F2746" s="3">
        <v>42322</v>
      </c>
      <c r="H2746" t="s">
        <v>15523</v>
      </c>
      <c r="I2746" t="s">
        <v>16180</v>
      </c>
      <c r="K2746" t="e">
        <v>#N/A</v>
      </c>
      <c r="S2746" s="3"/>
    </row>
    <row r="2747" spans="1:19" x14ac:dyDescent="0.25">
      <c r="A2747" t="s">
        <v>7862</v>
      </c>
      <c r="B2747" t="s">
        <v>7863</v>
      </c>
      <c r="C2747" t="s">
        <v>7864</v>
      </c>
      <c r="D2747" t="s">
        <v>23</v>
      </c>
      <c r="E2747">
        <v>4900</v>
      </c>
      <c r="F2747" s="3">
        <v>40702</v>
      </c>
      <c r="H2747" t="s">
        <v>15523</v>
      </c>
      <c r="I2747" t="s">
        <v>17486</v>
      </c>
      <c r="K2747" t="e">
        <v>#N/A</v>
      </c>
      <c r="S2747" s="3"/>
    </row>
    <row r="2748" spans="1:19" x14ac:dyDescent="0.25">
      <c r="A2748" t="s">
        <v>7865</v>
      </c>
      <c r="B2748" t="s">
        <v>7866</v>
      </c>
      <c r="C2748" t="s">
        <v>7867</v>
      </c>
      <c r="D2748" t="s">
        <v>23</v>
      </c>
      <c r="E2748">
        <v>4901</v>
      </c>
      <c r="F2748" s="3">
        <v>40702</v>
      </c>
      <c r="H2748" t="s">
        <v>15523</v>
      </c>
      <c r="I2748" t="s">
        <v>17487</v>
      </c>
      <c r="K2748" t="e">
        <v>#N/A</v>
      </c>
      <c r="S2748" s="3"/>
    </row>
    <row r="2749" spans="1:19" x14ac:dyDescent="0.25">
      <c r="A2749" t="s">
        <v>550</v>
      </c>
      <c r="B2749" t="s">
        <v>552</v>
      </c>
      <c r="C2749" t="s">
        <v>553</v>
      </c>
      <c r="D2749" t="s">
        <v>23</v>
      </c>
      <c r="E2749">
        <v>1637</v>
      </c>
      <c r="F2749" s="3">
        <v>40702</v>
      </c>
      <c r="H2749" t="s">
        <v>15523</v>
      </c>
      <c r="I2749" t="s">
        <v>17488</v>
      </c>
      <c r="K2749">
        <v>144</v>
      </c>
      <c r="S2749" s="3"/>
    </row>
    <row r="2750" spans="1:19" x14ac:dyDescent="0.25">
      <c r="A2750" t="s">
        <v>7868</v>
      </c>
      <c r="B2750" t="s">
        <v>7869</v>
      </c>
      <c r="C2750" t="s">
        <v>7870</v>
      </c>
      <c r="D2750" t="s">
        <v>23</v>
      </c>
      <c r="E2750">
        <v>4903</v>
      </c>
      <c r="F2750" s="3">
        <v>40702</v>
      </c>
      <c r="H2750" t="s">
        <v>15523</v>
      </c>
      <c r="I2750" t="s">
        <v>17489</v>
      </c>
      <c r="K2750" t="e">
        <v>#N/A</v>
      </c>
      <c r="S2750" s="3"/>
    </row>
    <row r="2751" spans="1:19" x14ac:dyDescent="0.25">
      <c r="A2751" t="s">
        <v>7871</v>
      </c>
      <c r="B2751" t="s">
        <v>7872</v>
      </c>
      <c r="C2751" t="s">
        <v>7873</v>
      </c>
      <c r="D2751" t="s">
        <v>23</v>
      </c>
      <c r="E2751">
        <v>4904</v>
      </c>
      <c r="F2751" s="3">
        <v>40702</v>
      </c>
      <c r="H2751" t="s">
        <v>15523</v>
      </c>
      <c r="I2751" t="s">
        <v>17490</v>
      </c>
      <c r="K2751" t="e">
        <v>#N/A</v>
      </c>
      <c r="S2751" s="3"/>
    </row>
    <row r="2752" spans="1:19" x14ac:dyDescent="0.25">
      <c r="A2752" t="s">
        <v>7874</v>
      </c>
      <c r="B2752" t="s">
        <v>7875</v>
      </c>
      <c r="C2752" t="s">
        <v>7876</v>
      </c>
      <c r="D2752" t="s">
        <v>23</v>
      </c>
      <c r="E2752">
        <v>4905</v>
      </c>
      <c r="F2752" s="3">
        <v>40702</v>
      </c>
      <c r="H2752" t="s">
        <v>15523</v>
      </c>
      <c r="I2752" t="s">
        <v>17491</v>
      </c>
      <c r="K2752" t="e">
        <v>#N/A</v>
      </c>
      <c r="S2752" s="3"/>
    </row>
    <row r="2753" spans="1:19" x14ac:dyDescent="0.25">
      <c r="A2753" t="s">
        <v>7877</v>
      </c>
      <c r="B2753" t="s">
        <v>7878</v>
      </c>
      <c r="C2753" t="s">
        <v>7879</v>
      </c>
      <c r="D2753" t="s">
        <v>23</v>
      </c>
      <c r="E2753">
        <v>4906</v>
      </c>
      <c r="F2753" s="3">
        <v>40702</v>
      </c>
      <c r="H2753" t="s">
        <v>15523</v>
      </c>
      <c r="I2753" t="s">
        <v>17492</v>
      </c>
      <c r="K2753" t="e">
        <v>#N/A</v>
      </c>
      <c r="S2753" s="3"/>
    </row>
    <row r="2754" spans="1:19" x14ac:dyDescent="0.25">
      <c r="A2754" t="s">
        <v>7880</v>
      </c>
      <c r="B2754" t="s">
        <v>7881</v>
      </c>
      <c r="C2754" t="s">
        <v>553</v>
      </c>
      <c r="D2754" t="s">
        <v>23</v>
      </c>
      <c r="E2754">
        <v>4907</v>
      </c>
      <c r="F2754" s="3">
        <v>40781</v>
      </c>
      <c r="H2754" t="s">
        <v>15523</v>
      </c>
      <c r="I2754" t="s">
        <v>17488</v>
      </c>
      <c r="K2754" t="e">
        <v>#N/A</v>
      </c>
      <c r="S2754" s="3"/>
    </row>
    <row r="2755" spans="1:19" x14ac:dyDescent="0.25">
      <c r="A2755" t="s">
        <v>7882</v>
      </c>
      <c r="B2755" t="s">
        <v>7883</v>
      </c>
      <c r="C2755" t="s">
        <v>16179</v>
      </c>
      <c r="D2755" t="s">
        <v>47</v>
      </c>
      <c r="E2755">
        <v>5025</v>
      </c>
      <c r="F2755" s="3">
        <v>41660</v>
      </c>
      <c r="H2755" t="s">
        <v>15523</v>
      </c>
      <c r="I2755" t="s">
        <v>16180</v>
      </c>
      <c r="K2755" t="e">
        <v>#N/A</v>
      </c>
      <c r="S2755" s="3"/>
    </row>
    <row r="2756" spans="1:19" x14ac:dyDescent="0.25">
      <c r="A2756" t="s">
        <v>274</v>
      </c>
      <c r="B2756" t="s">
        <v>276</v>
      </c>
      <c r="C2756" t="s">
        <v>277</v>
      </c>
      <c r="D2756" t="s">
        <v>23</v>
      </c>
      <c r="E2756">
        <v>1642</v>
      </c>
      <c r="F2756" s="3">
        <v>40702</v>
      </c>
      <c r="H2756" t="s">
        <v>15523</v>
      </c>
      <c r="I2756" t="s">
        <v>17493</v>
      </c>
      <c r="K2756">
        <v>75</v>
      </c>
      <c r="S2756" s="3"/>
    </row>
    <row r="2757" spans="1:19" x14ac:dyDescent="0.25">
      <c r="A2757" t="s">
        <v>7884</v>
      </c>
      <c r="B2757" t="s">
        <v>7885</v>
      </c>
      <c r="C2757" t="s">
        <v>7886</v>
      </c>
      <c r="D2757" t="s">
        <v>23</v>
      </c>
      <c r="E2757">
        <v>4909</v>
      </c>
      <c r="F2757" s="3">
        <v>40702</v>
      </c>
      <c r="H2757" t="s">
        <v>15523</v>
      </c>
      <c r="I2757" t="s">
        <v>17494</v>
      </c>
      <c r="K2757" t="e">
        <v>#N/A</v>
      </c>
      <c r="S2757" s="3"/>
    </row>
    <row r="2758" spans="1:19" x14ac:dyDescent="0.25">
      <c r="A2758" t="s">
        <v>7887</v>
      </c>
      <c r="B2758" t="s">
        <v>7888</v>
      </c>
      <c r="C2758" t="s">
        <v>16179</v>
      </c>
      <c r="D2758" t="s">
        <v>47</v>
      </c>
      <c r="E2758">
        <v>4622</v>
      </c>
      <c r="F2758" s="3">
        <v>40702</v>
      </c>
      <c r="H2758" t="s">
        <v>15523</v>
      </c>
      <c r="I2758" t="s">
        <v>16180</v>
      </c>
      <c r="K2758" t="e">
        <v>#N/A</v>
      </c>
      <c r="S2758" s="3"/>
    </row>
    <row r="2759" spans="1:19" x14ac:dyDescent="0.25">
      <c r="A2759" t="s">
        <v>7889</v>
      </c>
      <c r="B2759" t="s">
        <v>7890</v>
      </c>
      <c r="C2759" t="s">
        <v>16179</v>
      </c>
      <c r="D2759" t="s">
        <v>2820</v>
      </c>
      <c r="E2759">
        <v>4684</v>
      </c>
      <c r="F2759" s="3">
        <v>40702</v>
      </c>
      <c r="H2759" t="s">
        <v>15523</v>
      </c>
      <c r="I2759" t="s">
        <v>16180</v>
      </c>
      <c r="K2759" t="e">
        <v>#N/A</v>
      </c>
      <c r="S2759" s="3"/>
    </row>
    <row r="2760" spans="1:19" x14ac:dyDescent="0.25">
      <c r="A2760" t="s">
        <v>7891</v>
      </c>
      <c r="B2760" t="s">
        <v>7892</v>
      </c>
      <c r="C2760" t="s">
        <v>16179</v>
      </c>
      <c r="D2760" t="s">
        <v>666</v>
      </c>
      <c r="E2760">
        <v>4685</v>
      </c>
      <c r="F2760" s="3">
        <v>40781</v>
      </c>
      <c r="H2760" t="s">
        <v>15523</v>
      </c>
      <c r="I2760" t="s">
        <v>16180</v>
      </c>
      <c r="K2760" t="e">
        <v>#N/A</v>
      </c>
      <c r="S2760" s="3"/>
    </row>
    <row r="2761" spans="1:19" x14ac:dyDescent="0.25">
      <c r="A2761" t="s">
        <v>7893</v>
      </c>
      <c r="B2761" t="s">
        <v>7894</v>
      </c>
      <c r="C2761" t="s">
        <v>16179</v>
      </c>
      <c r="D2761" t="s">
        <v>2779</v>
      </c>
      <c r="E2761">
        <v>1694</v>
      </c>
      <c r="F2761" s="3">
        <v>40783</v>
      </c>
      <c r="H2761" t="s">
        <v>15523</v>
      </c>
      <c r="I2761" t="s">
        <v>16180</v>
      </c>
      <c r="K2761" t="e">
        <v>#N/A</v>
      </c>
      <c r="S2761" s="3"/>
    </row>
    <row r="2762" spans="1:19" x14ac:dyDescent="0.25">
      <c r="A2762" t="s">
        <v>7895</v>
      </c>
      <c r="B2762" t="s">
        <v>7896</v>
      </c>
      <c r="C2762" t="s">
        <v>16179</v>
      </c>
      <c r="D2762" t="s">
        <v>47</v>
      </c>
      <c r="E2762">
        <v>4624</v>
      </c>
      <c r="F2762" s="3">
        <v>40702</v>
      </c>
      <c r="H2762" t="s">
        <v>15523</v>
      </c>
      <c r="I2762" t="s">
        <v>16180</v>
      </c>
      <c r="K2762" t="e">
        <v>#N/A</v>
      </c>
      <c r="S2762" s="3"/>
    </row>
    <row r="2763" spans="1:19" x14ac:dyDescent="0.25">
      <c r="A2763" t="s">
        <v>7897</v>
      </c>
      <c r="B2763" t="s">
        <v>7898</v>
      </c>
      <c r="C2763" t="s">
        <v>16179</v>
      </c>
      <c r="D2763" t="s">
        <v>47</v>
      </c>
      <c r="E2763">
        <v>4623</v>
      </c>
      <c r="F2763" s="3">
        <v>40782</v>
      </c>
      <c r="H2763" t="s">
        <v>15523</v>
      </c>
      <c r="I2763" t="s">
        <v>16180</v>
      </c>
      <c r="K2763" t="e">
        <v>#N/A</v>
      </c>
      <c r="S2763" s="3"/>
    </row>
    <row r="2764" spans="1:19" x14ac:dyDescent="0.25">
      <c r="A2764" t="s">
        <v>7899</v>
      </c>
      <c r="B2764" t="s">
        <v>7900</v>
      </c>
      <c r="C2764" t="s">
        <v>16179</v>
      </c>
      <c r="D2764" t="s">
        <v>2779</v>
      </c>
      <c r="E2764">
        <v>4688</v>
      </c>
      <c r="F2764" s="3">
        <v>40783</v>
      </c>
      <c r="H2764" t="s">
        <v>15523</v>
      </c>
      <c r="I2764" t="s">
        <v>16180</v>
      </c>
      <c r="K2764" t="e">
        <v>#N/A</v>
      </c>
      <c r="S2764" s="3"/>
    </row>
    <row r="2765" spans="1:19" x14ac:dyDescent="0.25">
      <c r="A2765" t="s">
        <v>7901</v>
      </c>
      <c r="B2765" t="s">
        <v>7902</v>
      </c>
      <c r="C2765" t="s">
        <v>16179</v>
      </c>
      <c r="D2765" t="s">
        <v>2779</v>
      </c>
      <c r="E2765">
        <v>4689</v>
      </c>
      <c r="F2765" s="3">
        <v>40783</v>
      </c>
      <c r="H2765" t="s">
        <v>15523</v>
      </c>
      <c r="I2765" t="s">
        <v>16180</v>
      </c>
      <c r="K2765" t="e">
        <v>#N/A</v>
      </c>
      <c r="S2765" s="3"/>
    </row>
    <row r="2766" spans="1:19" x14ac:dyDescent="0.25">
      <c r="A2766" t="s">
        <v>7903</v>
      </c>
      <c r="B2766" t="s">
        <v>7904</v>
      </c>
      <c r="C2766" t="s">
        <v>16179</v>
      </c>
      <c r="D2766" t="s">
        <v>47</v>
      </c>
      <c r="E2766">
        <v>4627</v>
      </c>
      <c r="F2766" s="3">
        <v>40702</v>
      </c>
      <c r="H2766" t="s">
        <v>15523</v>
      </c>
      <c r="I2766" t="s">
        <v>16180</v>
      </c>
      <c r="K2766" t="e">
        <v>#N/A</v>
      </c>
      <c r="S2766" s="3"/>
    </row>
    <row r="2767" spans="1:19" x14ac:dyDescent="0.25">
      <c r="A2767" t="s">
        <v>7905</v>
      </c>
      <c r="B2767" t="s">
        <v>7906</v>
      </c>
      <c r="C2767" t="s">
        <v>16179</v>
      </c>
      <c r="D2767" t="s">
        <v>47</v>
      </c>
      <c r="E2767">
        <v>5080</v>
      </c>
      <c r="F2767" s="3">
        <v>41711</v>
      </c>
      <c r="H2767" t="s">
        <v>15523</v>
      </c>
      <c r="I2767" t="s">
        <v>16180</v>
      </c>
      <c r="K2767" t="e">
        <v>#N/A</v>
      </c>
      <c r="S2767" s="3"/>
    </row>
    <row r="2768" spans="1:19" x14ac:dyDescent="0.25">
      <c r="A2768" t="s">
        <v>7907</v>
      </c>
      <c r="B2768" t="s">
        <v>7908</v>
      </c>
      <c r="C2768" t="s">
        <v>16179</v>
      </c>
      <c r="D2768" t="s">
        <v>47</v>
      </c>
      <c r="E2768">
        <v>4700</v>
      </c>
      <c r="F2768" s="3">
        <v>40783</v>
      </c>
      <c r="H2768" t="s">
        <v>15523</v>
      </c>
      <c r="I2768" t="s">
        <v>16180</v>
      </c>
      <c r="K2768" t="e">
        <v>#N/A</v>
      </c>
      <c r="S2768" s="3"/>
    </row>
    <row r="2769" spans="1:19" x14ac:dyDescent="0.25">
      <c r="A2769" t="s">
        <v>7909</v>
      </c>
      <c r="B2769" t="s">
        <v>7910</v>
      </c>
      <c r="C2769" t="s">
        <v>16179</v>
      </c>
      <c r="D2769" t="s">
        <v>666</v>
      </c>
      <c r="E2769">
        <v>4692</v>
      </c>
      <c r="F2769" s="3">
        <v>40934</v>
      </c>
      <c r="H2769" t="s">
        <v>15523</v>
      </c>
      <c r="I2769" t="s">
        <v>16180</v>
      </c>
      <c r="K2769" t="e">
        <v>#N/A</v>
      </c>
      <c r="S2769" s="3"/>
    </row>
    <row r="2770" spans="1:19" x14ac:dyDescent="0.25">
      <c r="A2770" t="s">
        <v>7911</v>
      </c>
      <c r="B2770" t="s">
        <v>7912</v>
      </c>
      <c r="C2770" t="s">
        <v>16179</v>
      </c>
      <c r="D2770" t="s">
        <v>47</v>
      </c>
      <c r="E2770">
        <v>5084</v>
      </c>
      <c r="F2770" s="3">
        <v>41577</v>
      </c>
      <c r="H2770" t="s">
        <v>15523</v>
      </c>
      <c r="I2770" t="s">
        <v>16180</v>
      </c>
      <c r="K2770" t="e">
        <v>#N/A</v>
      </c>
      <c r="S2770" s="3"/>
    </row>
    <row r="2771" spans="1:19" x14ac:dyDescent="0.25">
      <c r="A2771" t="s">
        <v>7913</v>
      </c>
      <c r="B2771" t="s">
        <v>7914</v>
      </c>
      <c r="C2771" t="s">
        <v>16179</v>
      </c>
      <c r="D2771" t="s">
        <v>47</v>
      </c>
      <c r="E2771">
        <v>4706</v>
      </c>
      <c r="F2771" s="3">
        <v>40702</v>
      </c>
      <c r="H2771" t="s">
        <v>15523</v>
      </c>
      <c r="I2771" t="s">
        <v>16180</v>
      </c>
      <c r="K2771" t="e">
        <v>#N/A</v>
      </c>
      <c r="S2771" s="3"/>
    </row>
    <row r="2772" spans="1:19" x14ac:dyDescent="0.25">
      <c r="A2772" t="s">
        <v>7915</v>
      </c>
      <c r="B2772" t="s">
        <v>7916</v>
      </c>
      <c r="C2772" t="s">
        <v>16179</v>
      </c>
      <c r="D2772" t="s">
        <v>47</v>
      </c>
      <c r="E2772">
        <v>4712</v>
      </c>
      <c r="F2772" s="3">
        <v>40722</v>
      </c>
      <c r="H2772" t="s">
        <v>15523</v>
      </c>
      <c r="I2772" t="s">
        <v>16180</v>
      </c>
      <c r="K2772" t="e">
        <v>#N/A</v>
      </c>
      <c r="S2772" s="3"/>
    </row>
    <row r="2773" spans="1:19" x14ac:dyDescent="0.25">
      <c r="A2773" t="s">
        <v>7917</v>
      </c>
      <c r="B2773" t="s">
        <v>7918</v>
      </c>
      <c r="C2773" t="s">
        <v>16179</v>
      </c>
      <c r="D2773" t="s">
        <v>2820</v>
      </c>
      <c r="E2773">
        <v>4701</v>
      </c>
      <c r="F2773" s="3">
        <v>40702</v>
      </c>
      <c r="H2773" t="s">
        <v>15523</v>
      </c>
      <c r="I2773" t="s">
        <v>16180</v>
      </c>
      <c r="K2773" t="e">
        <v>#N/A</v>
      </c>
      <c r="S2773" s="3"/>
    </row>
    <row r="2774" spans="1:19" x14ac:dyDescent="0.25">
      <c r="A2774" t="s">
        <v>7919</v>
      </c>
      <c r="B2774" t="s">
        <v>7920</v>
      </c>
      <c r="C2774" t="s">
        <v>16179</v>
      </c>
      <c r="D2774" t="s">
        <v>666</v>
      </c>
      <c r="E2774">
        <v>1645</v>
      </c>
      <c r="F2774" s="3">
        <v>40702</v>
      </c>
      <c r="H2774" t="s">
        <v>15523</v>
      </c>
      <c r="I2774" t="s">
        <v>16180</v>
      </c>
      <c r="K2774" t="e">
        <v>#N/A</v>
      </c>
      <c r="S2774" s="3"/>
    </row>
    <row r="2775" spans="1:19" x14ac:dyDescent="0.25">
      <c r="A2775" t="s">
        <v>7921</v>
      </c>
      <c r="B2775" t="s">
        <v>7922</v>
      </c>
      <c r="C2775" t="s">
        <v>16179</v>
      </c>
      <c r="D2775" t="s">
        <v>2820</v>
      </c>
      <c r="E2775">
        <v>5633</v>
      </c>
      <c r="F2775" s="3">
        <v>42711</v>
      </c>
      <c r="H2775" t="s">
        <v>15523</v>
      </c>
      <c r="I2775" t="s">
        <v>16180</v>
      </c>
      <c r="K2775" t="e">
        <v>#N/A</v>
      </c>
      <c r="S2775" s="3"/>
    </row>
    <row r="2776" spans="1:19" x14ac:dyDescent="0.25">
      <c r="A2776" t="s">
        <v>7923</v>
      </c>
      <c r="B2776" t="s">
        <v>7924</v>
      </c>
      <c r="C2776" t="s">
        <v>16179</v>
      </c>
      <c r="D2776" t="s">
        <v>47</v>
      </c>
      <c r="E2776">
        <v>4713</v>
      </c>
      <c r="F2776" s="3">
        <v>40702</v>
      </c>
      <c r="H2776" t="s">
        <v>15523</v>
      </c>
      <c r="I2776" t="s">
        <v>16180</v>
      </c>
      <c r="K2776" t="e">
        <v>#N/A</v>
      </c>
      <c r="S2776" s="3"/>
    </row>
    <row r="2777" spans="1:19" x14ac:dyDescent="0.25">
      <c r="A2777" t="s">
        <v>7925</v>
      </c>
      <c r="B2777" t="s">
        <v>7926</v>
      </c>
      <c r="C2777" t="s">
        <v>16179</v>
      </c>
      <c r="D2777" t="s">
        <v>2820</v>
      </c>
      <c r="E2777">
        <v>4707</v>
      </c>
      <c r="F2777" s="3">
        <v>40702</v>
      </c>
      <c r="H2777" t="s">
        <v>15523</v>
      </c>
      <c r="I2777" t="s">
        <v>16180</v>
      </c>
      <c r="K2777" t="e">
        <v>#N/A</v>
      </c>
      <c r="S2777" s="3"/>
    </row>
    <row r="2778" spans="1:19" x14ac:dyDescent="0.25">
      <c r="A2778" t="s">
        <v>7927</v>
      </c>
      <c r="B2778" t="s">
        <v>7928</v>
      </c>
      <c r="C2778" t="s">
        <v>16179</v>
      </c>
      <c r="D2778" t="s">
        <v>666</v>
      </c>
      <c r="E2778">
        <v>5026</v>
      </c>
      <c r="F2778" s="3">
        <v>42704</v>
      </c>
      <c r="H2778" t="s">
        <v>15523</v>
      </c>
      <c r="I2778" t="s">
        <v>16180</v>
      </c>
      <c r="K2778" t="e">
        <v>#N/A</v>
      </c>
      <c r="S2778" s="3"/>
    </row>
    <row r="2779" spans="1:19" x14ac:dyDescent="0.25">
      <c r="A2779" t="s">
        <v>7929</v>
      </c>
      <c r="B2779" t="s">
        <v>7930</v>
      </c>
      <c r="C2779" t="s">
        <v>16179</v>
      </c>
      <c r="D2779" t="s">
        <v>47</v>
      </c>
      <c r="E2779">
        <v>5278</v>
      </c>
      <c r="F2779" s="3">
        <v>43442</v>
      </c>
      <c r="H2779" t="s">
        <v>15523</v>
      </c>
      <c r="I2779" t="s">
        <v>16180</v>
      </c>
      <c r="K2779" t="e">
        <v>#N/A</v>
      </c>
      <c r="S2779" s="3"/>
    </row>
    <row r="2780" spans="1:19" x14ac:dyDescent="0.25">
      <c r="A2780" t="s">
        <v>7931</v>
      </c>
      <c r="B2780" t="s">
        <v>7932</v>
      </c>
      <c r="C2780" t="s">
        <v>16179</v>
      </c>
      <c r="D2780" t="s">
        <v>2820</v>
      </c>
      <c r="E2780">
        <v>5722</v>
      </c>
      <c r="F2780" s="3">
        <v>42707</v>
      </c>
      <c r="H2780" t="s">
        <v>15523</v>
      </c>
      <c r="I2780" t="s">
        <v>16180</v>
      </c>
      <c r="K2780" t="e">
        <v>#N/A</v>
      </c>
      <c r="S2780" s="3"/>
    </row>
    <row r="2781" spans="1:19" x14ac:dyDescent="0.25">
      <c r="A2781" t="s">
        <v>7933</v>
      </c>
      <c r="B2781" t="s">
        <v>7934</v>
      </c>
      <c r="C2781" t="s">
        <v>16179</v>
      </c>
      <c r="D2781" t="s">
        <v>2820</v>
      </c>
      <c r="E2781">
        <v>5723</v>
      </c>
      <c r="F2781" s="3">
        <v>42707</v>
      </c>
      <c r="H2781" t="s">
        <v>15523</v>
      </c>
      <c r="I2781" t="s">
        <v>16180</v>
      </c>
      <c r="K2781" t="e">
        <v>#N/A</v>
      </c>
      <c r="S2781" s="3"/>
    </row>
    <row r="2782" spans="1:19" x14ac:dyDescent="0.25">
      <c r="A2782" t="s">
        <v>7935</v>
      </c>
      <c r="B2782" t="s">
        <v>7936</v>
      </c>
      <c r="C2782" t="s">
        <v>16179</v>
      </c>
      <c r="D2782" t="s">
        <v>2820</v>
      </c>
      <c r="E2782">
        <v>5724</v>
      </c>
      <c r="F2782" s="3">
        <v>42707</v>
      </c>
      <c r="H2782" t="s">
        <v>15523</v>
      </c>
      <c r="I2782" t="s">
        <v>16180</v>
      </c>
      <c r="K2782" t="e">
        <v>#N/A</v>
      </c>
      <c r="S2782" s="3"/>
    </row>
    <row r="2783" spans="1:19" x14ac:dyDescent="0.25">
      <c r="A2783" t="s">
        <v>7937</v>
      </c>
      <c r="B2783" t="s">
        <v>7938</v>
      </c>
      <c r="C2783" t="s">
        <v>16179</v>
      </c>
      <c r="D2783" t="s">
        <v>666</v>
      </c>
      <c r="E2783">
        <v>5693</v>
      </c>
      <c r="F2783" s="3">
        <v>42707</v>
      </c>
      <c r="H2783" t="s">
        <v>15523</v>
      </c>
      <c r="I2783" t="s">
        <v>16180</v>
      </c>
      <c r="K2783" t="e">
        <v>#N/A</v>
      </c>
      <c r="S2783" s="3"/>
    </row>
    <row r="2784" spans="1:19" x14ac:dyDescent="0.25">
      <c r="A2784" t="s">
        <v>7939</v>
      </c>
      <c r="B2784" t="s">
        <v>7940</v>
      </c>
      <c r="C2784" t="s">
        <v>16179</v>
      </c>
      <c r="D2784" t="s">
        <v>666</v>
      </c>
      <c r="E2784">
        <v>5710</v>
      </c>
      <c r="F2784" s="3">
        <v>42707</v>
      </c>
      <c r="H2784" t="s">
        <v>15523</v>
      </c>
      <c r="I2784" t="s">
        <v>16180</v>
      </c>
      <c r="K2784" t="e">
        <v>#N/A</v>
      </c>
      <c r="S2784" s="3"/>
    </row>
    <row r="2785" spans="1:19" x14ac:dyDescent="0.25">
      <c r="A2785" t="s">
        <v>7941</v>
      </c>
      <c r="B2785" t="s">
        <v>7942</v>
      </c>
      <c r="C2785" t="s">
        <v>16179</v>
      </c>
      <c r="D2785" t="s">
        <v>666</v>
      </c>
      <c r="E2785">
        <v>5694</v>
      </c>
      <c r="F2785" s="3">
        <v>42707</v>
      </c>
      <c r="H2785" t="s">
        <v>15523</v>
      </c>
      <c r="I2785" t="s">
        <v>16180</v>
      </c>
      <c r="K2785" t="e">
        <v>#N/A</v>
      </c>
      <c r="S2785" s="3"/>
    </row>
    <row r="2786" spans="1:19" x14ac:dyDescent="0.25">
      <c r="A2786" t="s">
        <v>7943</v>
      </c>
      <c r="B2786" t="s">
        <v>7944</v>
      </c>
      <c r="C2786" t="s">
        <v>16179</v>
      </c>
      <c r="D2786" t="s">
        <v>666</v>
      </c>
      <c r="E2786">
        <v>5704</v>
      </c>
      <c r="F2786" s="3">
        <v>42707</v>
      </c>
      <c r="H2786" t="s">
        <v>15523</v>
      </c>
      <c r="I2786" t="s">
        <v>16180</v>
      </c>
      <c r="K2786" t="e">
        <v>#N/A</v>
      </c>
      <c r="S2786" s="3"/>
    </row>
    <row r="2787" spans="1:19" x14ac:dyDescent="0.25">
      <c r="A2787" t="s">
        <v>7945</v>
      </c>
      <c r="B2787" t="s">
        <v>7946</v>
      </c>
      <c r="C2787" t="s">
        <v>16179</v>
      </c>
      <c r="D2787" t="s">
        <v>666</v>
      </c>
      <c r="E2787">
        <v>5706</v>
      </c>
      <c r="F2787" s="3">
        <v>42707</v>
      </c>
      <c r="H2787" t="s">
        <v>15523</v>
      </c>
      <c r="I2787" t="s">
        <v>16180</v>
      </c>
      <c r="K2787" t="e">
        <v>#N/A</v>
      </c>
      <c r="S2787" s="3"/>
    </row>
    <row r="2788" spans="1:19" x14ac:dyDescent="0.25">
      <c r="A2788" t="s">
        <v>7947</v>
      </c>
      <c r="B2788" t="s">
        <v>7948</v>
      </c>
      <c r="C2788" t="s">
        <v>16179</v>
      </c>
      <c r="D2788" t="s">
        <v>666</v>
      </c>
      <c r="E2788">
        <v>5933</v>
      </c>
      <c r="F2788" s="3">
        <v>43200</v>
      </c>
      <c r="H2788" t="s">
        <v>15523</v>
      </c>
      <c r="I2788" t="s">
        <v>16180</v>
      </c>
      <c r="K2788" t="e">
        <v>#N/A</v>
      </c>
      <c r="S2788" s="3"/>
    </row>
    <row r="2789" spans="1:19" x14ac:dyDescent="0.25">
      <c r="A2789" t="s">
        <v>7949</v>
      </c>
      <c r="B2789" t="s">
        <v>7950</v>
      </c>
      <c r="C2789" t="s">
        <v>16179</v>
      </c>
      <c r="D2789" t="s">
        <v>666</v>
      </c>
      <c r="E2789">
        <v>5709</v>
      </c>
      <c r="F2789" s="3">
        <v>42707</v>
      </c>
      <c r="H2789" t="s">
        <v>15523</v>
      </c>
      <c r="I2789" t="s">
        <v>16180</v>
      </c>
      <c r="K2789" t="e">
        <v>#N/A</v>
      </c>
      <c r="S2789" s="3"/>
    </row>
    <row r="2790" spans="1:19" x14ac:dyDescent="0.25">
      <c r="A2790" t="s">
        <v>7951</v>
      </c>
      <c r="B2790" t="s">
        <v>7952</v>
      </c>
      <c r="C2790" t="s">
        <v>16179</v>
      </c>
      <c r="D2790" t="s">
        <v>666</v>
      </c>
      <c r="E2790">
        <v>5703</v>
      </c>
      <c r="F2790" s="3">
        <v>43287</v>
      </c>
      <c r="H2790" t="s">
        <v>15523</v>
      </c>
      <c r="I2790" t="s">
        <v>16180</v>
      </c>
      <c r="K2790" t="e">
        <v>#N/A</v>
      </c>
      <c r="S2790" s="3"/>
    </row>
    <row r="2791" spans="1:19" x14ac:dyDescent="0.25">
      <c r="A2791" t="s">
        <v>7953</v>
      </c>
      <c r="B2791" t="s">
        <v>7954</v>
      </c>
      <c r="C2791" t="s">
        <v>16179</v>
      </c>
      <c r="D2791" t="s">
        <v>666</v>
      </c>
      <c r="E2791">
        <v>5695</v>
      </c>
      <c r="F2791" s="3">
        <v>42707</v>
      </c>
      <c r="H2791" t="s">
        <v>15523</v>
      </c>
      <c r="I2791" t="s">
        <v>16180</v>
      </c>
      <c r="K2791" t="e">
        <v>#N/A</v>
      </c>
      <c r="S2791" s="3"/>
    </row>
    <row r="2792" spans="1:19" x14ac:dyDescent="0.25">
      <c r="A2792" t="s">
        <v>7955</v>
      </c>
      <c r="B2792" t="s">
        <v>7956</v>
      </c>
      <c r="C2792" t="s">
        <v>16179</v>
      </c>
      <c r="D2792" t="s">
        <v>666</v>
      </c>
      <c r="E2792">
        <v>5697</v>
      </c>
      <c r="F2792" s="3">
        <v>42707</v>
      </c>
      <c r="H2792" t="s">
        <v>15523</v>
      </c>
      <c r="I2792" t="s">
        <v>16180</v>
      </c>
      <c r="K2792" t="e">
        <v>#N/A</v>
      </c>
      <c r="S2792" s="3"/>
    </row>
    <row r="2793" spans="1:19" x14ac:dyDescent="0.25">
      <c r="A2793" t="s">
        <v>7957</v>
      </c>
      <c r="B2793" t="s">
        <v>7958</v>
      </c>
      <c r="C2793" t="s">
        <v>16179</v>
      </c>
      <c r="D2793" t="s">
        <v>666</v>
      </c>
      <c r="E2793">
        <v>5696</v>
      </c>
      <c r="F2793" s="3">
        <v>42707</v>
      </c>
      <c r="H2793" t="s">
        <v>15523</v>
      </c>
      <c r="I2793" t="s">
        <v>16180</v>
      </c>
      <c r="K2793" t="e">
        <v>#N/A</v>
      </c>
      <c r="S2793" s="3"/>
    </row>
    <row r="2794" spans="1:19" x14ac:dyDescent="0.25">
      <c r="A2794" t="s">
        <v>7959</v>
      </c>
      <c r="B2794" t="s">
        <v>7960</v>
      </c>
      <c r="C2794" t="s">
        <v>16179</v>
      </c>
      <c r="D2794" t="s">
        <v>666</v>
      </c>
      <c r="E2794">
        <v>5708</v>
      </c>
      <c r="F2794" s="3">
        <v>42707</v>
      </c>
      <c r="H2794" t="s">
        <v>15523</v>
      </c>
      <c r="I2794" t="s">
        <v>16180</v>
      </c>
      <c r="K2794" t="e">
        <v>#N/A</v>
      </c>
      <c r="S2794" s="3"/>
    </row>
    <row r="2795" spans="1:19" x14ac:dyDescent="0.25">
      <c r="A2795" t="s">
        <v>7961</v>
      </c>
      <c r="B2795" t="s">
        <v>7962</v>
      </c>
      <c r="C2795" t="s">
        <v>16179</v>
      </c>
      <c r="D2795" t="s">
        <v>666</v>
      </c>
      <c r="E2795">
        <v>5705</v>
      </c>
      <c r="F2795" s="3">
        <v>42707</v>
      </c>
      <c r="H2795" t="s">
        <v>15523</v>
      </c>
      <c r="I2795" t="s">
        <v>16180</v>
      </c>
      <c r="K2795" t="e">
        <v>#N/A</v>
      </c>
      <c r="S2795" s="3"/>
    </row>
    <row r="2796" spans="1:19" x14ac:dyDescent="0.25">
      <c r="A2796" t="s">
        <v>7963</v>
      </c>
      <c r="B2796" t="s">
        <v>7964</v>
      </c>
      <c r="C2796" t="s">
        <v>16179</v>
      </c>
      <c r="D2796" t="s">
        <v>666</v>
      </c>
      <c r="E2796">
        <v>5702</v>
      </c>
      <c r="F2796" s="3">
        <v>42707</v>
      </c>
      <c r="H2796" t="s">
        <v>15523</v>
      </c>
      <c r="I2796" t="s">
        <v>16180</v>
      </c>
      <c r="K2796" t="e">
        <v>#N/A</v>
      </c>
      <c r="S2796" s="3"/>
    </row>
    <row r="2797" spans="1:19" x14ac:dyDescent="0.25">
      <c r="A2797" t="s">
        <v>7965</v>
      </c>
      <c r="B2797" t="s">
        <v>7966</v>
      </c>
      <c r="C2797" t="s">
        <v>16179</v>
      </c>
      <c r="D2797" t="s">
        <v>666</v>
      </c>
      <c r="E2797">
        <v>5711</v>
      </c>
      <c r="F2797" s="3">
        <v>42707</v>
      </c>
      <c r="H2797" t="s">
        <v>15523</v>
      </c>
      <c r="I2797" t="s">
        <v>16180</v>
      </c>
      <c r="K2797" t="e">
        <v>#N/A</v>
      </c>
      <c r="S2797" s="3"/>
    </row>
    <row r="2798" spans="1:19" x14ac:dyDescent="0.25">
      <c r="A2798" t="s">
        <v>7967</v>
      </c>
      <c r="B2798" t="s">
        <v>7968</v>
      </c>
      <c r="C2798" t="s">
        <v>16179</v>
      </c>
      <c r="D2798" t="s">
        <v>666</v>
      </c>
      <c r="E2798">
        <v>5707</v>
      </c>
      <c r="F2798" s="3">
        <v>42707</v>
      </c>
      <c r="H2798" t="s">
        <v>15523</v>
      </c>
      <c r="I2798" t="s">
        <v>16180</v>
      </c>
      <c r="K2798" t="e">
        <v>#N/A</v>
      </c>
      <c r="S2798" s="3"/>
    </row>
    <row r="2799" spans="1:19" x14ac:dyDescent="0.25">
      <c r="A2799" t="s">
        <v>7969</v>
      </c>
      <c r="B2799" t="s">
        <v>7970</v>
      </c>
      <c r="C2799" t="s">
        <v>16179</v>
      </c>
      <c r="D2799" t="s">
        <v>666</v>
      </c>
      <c r="E2799">
        <v>5698</v>
      </c>
      <c r="F2799" s="3">
        <v>42707</v>
      </c>
      <c r="H2799" t="s">
        <v>15523</v>
      </c>
      <c r="I2799" t="s">
        <v>16180</v>
      </c>
      <c r="K2799" t="e">
        <v>#N/A</v>
      </c>
      <c r="S2799" s="3"/>
    </row>
    <row r="2800" spans="1:19" x14ac:dyDescent="0.25">
      <c r="A2800" t="s">
        <v>7971</v>
      </c>
      <c r="B2800" t="s">
        <v>7972</v>
      </c>
      <c r="C2800" t="s">
        <v>16179</v>
      </c>
      <c r="D2800" t="s">
        <v>666</v>
      </c>
      <c r="E2800">
        <v>5700</v>
      </c>
      <c r="F2800" s="3">
        <v>42707</v>
      </c>
      <c r="H2800" t="s">
        <v>15523</v>
      </c>
      <c r="I2800" t="s">
        <v>16180</v>
      </c>
      <c r="K2800" t="e">
        <v>#N/A</v>
      </c>
      <c r="S2800" s="3"/>
    </row>
    <row r="2801" spans="1:19" x14ac:dyDescent="0.25">
      <c r="A2801" t="s">
        <v>7973</v>
      </c>
      <c r="B2801" t="s">
        <v>7974</v>
      </c>
      <c r="C2801" t="s">
        <v>16179</v>
      </c>
      <c r="D2801" t="s">
        <v>666</v>
      </c>
      <c r="E2801">
        <v>5699</v>
      </c>
      <c r="F2801" s="3">
        <v>42707</v>
      </c>
      <c r="H2801" t="s">
        <v>15523</v>
      </c>
      <c r="I2801" t="s">
        <v>16180</v>
      </c>
      <c r="K2801" t="e">
        <v>#N/A</v>
      </c>
      <c r="S2801" s="3"/>
    </row>
    <row r="2802" spans="1:19" x14ac:dyDescent="0.25">
      <c r="A2802" t="s">
        <v>7975</v>
      </c>
      <c r="B2802" t="s">
        <v>7976</v>
      </c>
      <c r="C2802" t="s">
        <v>16179</v>
      </c>
      <c r="D2802" t="s">
        <v>666</v>
      </c>
      <c r="E2802">
        <v>5701</v>
      </c>
      <c r="F2802" s="3">
        <v>42707</v>
      </c>
      <c r="H2802" t="s">
        <v>15523</v>
      </c>
      <c r="I2802" t="s">
        <v>16180</v>
      </c>
      <c r="K2802" t="e">
        <v>#N/A</v>
      </c>
      <c r="S2802" s="3"/>
    </row>
    <row r="2803" spans="1:19" x14ac:dyDescent="0.25">
      <c r="A2803" t="s">
        <v>7977</v>
      </c>
      <c r="B2803" t="s">
        <v>7978</v>
      </c>
      <c r="C2803" t="s">
        <v>16179</v>
      </c>
      <c r="D2803" t="s">
        <v>666</v>
      </c>
      <c r="E2803">
        <v>5712</v>
      </c>
      <c r="F2803" s="3">
        <v>42707</v>
      </c>
      <c r="H2803" t="s">
        <v>15523</v>
      </c>
      <c r="I2803" t="s">
        <v>16180</v>
      </c>
      <c r="K2803" t="e">
        <v>#N/A</v>
      </c>
      <c r="S2803" s="3"/>
    </row>
    <row r="2804" spans="1:19" x14ac:dyDescent="0.25">
      <c r="A2804" t="s">
        <v>7979</v>
      </c>
      <c r="B2804" t="s">
        <v>7980</v>
      </c>
      <c r="C2804" t="s">
        <v>16179</v>
      </c>
      <c r="D2804" t="s">
        <v>666</v>
      </c>
      <c r="E2804">
        <v>5713</v>
      </c>
      <c r="F2804" s="3">
        <v>42707</v>
      </c>
      <c r="H2804" t="s">
        <v>15523</v>
      </c>
      <c r="I2804" t="s">
        <v>16180</v>
      </c>
      <c r="K2804" t="e">
        <v>#N/A</v>
      </c>
      <c r="S2804" s="3"/>
    </row>
    <row r="2805" spans="1:19" x14ac:dyDescent="0.25">
      <c r="A2805" t="s">
        <v>7981</v>
      </c>
      <c r="B2805" t="s">
        <v>7982</v>
      </c>
      <c r="C2805" t="s">
        <v>16179</v>
      </c>
      <c r="D2805" t="s">
        <v>666</v>
      </c>
      <c r="E2805">
        <v>6038</v>
      </c>
      <c r="F2805" s="3">
        <v>43672</v>
      </c>
      <c r="H2805" t="s">
        <v>15523</v>
      </c>
      <c r="I2805" t="s">
        <v>16180</v>
      </c>
      <c r="K2805" t="e">
        <v>#N/A</v>
      </c>
      <c r="S2805" s="3"/>
    </row>
    <row r="2806" spans="1:19" x14ac:dyDescent="0.25">
      <c r="A2806" t="s">
        <v>7983</v>
      </c>
      <c r="B2806" t="s">
        <v>7984</v>
      </c>
      <c r="C2806" t="s">
        <v>16179</v>
      </c>
      <c r="D2806" t="s">
        <v>2820</v>
      </c>
      <c r="E2806">
        <v>4708</v>
      </c>
      <c r="F2806" s="3">
        <v>40702</v>
      </c>
      <c r="H2806" t="s">
        <v>15523</v>
      </c>
      <c r="I2806" t="s">
        <v>16180</v>
      </c>
      <c r="K2806" t="e">
        <v>#N/A</v>
      </c>
      <c r="S2806" s="3"/>
    </row>
    <row r="2807" spans="1:19" x14ac:dyDescent="0.25">
      <c r="A2807" t="s">
        <v>7985</v>
      </c>
      <c r="B2807" t="s">
        <v>7986</v>
      </c>
      <c r="C2807" t="s">
        <v>16179</v>
      </c>
      <c r="D2807" t="s">
        <v>666</v>
      </c>
      <c r="E2807">
        <v>4709</v>
      </c>
      <c r="F2807" s="3">
        <v>40934</v>
      </c>
      <c r="H2807" t="s">
        <v>15523</v>
      </c>
      <c r="I2807" t="s">
        <v>16180</v>
      </c>
      <c r="K2807" t="e">
        <v>#N/A</v>
      </c>
      <c r="S2807" s="3"/>
    </row>
    <row r="2808" spans="1:19" x14ac:dyDescent="0.25">
      <c r="A2808" t="s">
        <v>7987</v>
      </c>
      <c r="B2808" t="s">
        <v>7988</v>
      </c>
      <c r="C2808" t="s">
        <v>16179</v>
      </c>
      <c r="D2808" t="s">
        <v>2820</v>
      </c>
      <c r="E2808">
        <v>4710</v>
      </c>
      <c r="F2808" s="3">
        <v>40702</v>
      </c>
      <c r="H2808" t="s">
        <v>15523</v>
      </c>
      <c r="I2808" t="s">
        <v>16180</v>
      </c>
      <c r="K2808" t="e">
        <v>#N/A</v>
      </c>
      <c r="S2808" s="3"/>
    </row>
    <row r="2809" spans="1:19" x14ac:dyDescent="0.25">
      <c r="A2809" t="s">
        <v>7989</v>
      </c>
      <c r="B2809" t="s">
        <v>7990</v>
      </c>
      <c r="C2809" t="s">
        <v>16179</v>
      </c>
      <c r="D2809" t="s">
        <v>2820</v>
      </c>
      <c r="E2809">
        <v>5629</v>
      </c>
      <c r="F2809" s="3">
        <v>42607</v>
      </c>
      <c r="H2809" t="s">
        <v>15523</v>
      </c>
      <c r="I2809" t="s">
        <v>16180</v>
      </c>
      <c r="K2809" t="e">
        <v>#N/A</v>
      </c>
      <c r="S2809" s="3"/>
    </row>
    <row r="2810" spans="1:19" x14ac:dyDescent="0.25">
      <c r="A2810" t="s">
        <v>7991</v>
      </c>
      <c r="B2810" t="s">
        <v>7992</v>
      </c>
      <c r="C2810" t="s">
        <v>16179</v>
      </c>
      <c r="D2810" t="s">
        <v>666</v>
      </c>
      <c r="E2810">
        <v>4711</v>
      </c>
      <c r="F2810" s="3">
        <v>40781</v>
      </c>
      <c r="H2810" t="s">
        <v>15523</v>
      </c>
      <c r="I2810" t="s">
        <v>16180</v>
      </c>
      <c r="K2810" t="e">
        <v>#N/A</v>
      </c>
      <c r="S2810" s="3"/>
    </row>
    <row r="2811" spans="1:19" x14ac:dyDescent="0.25">
      <c r="A2811" t="s">
        <v>7993</v>
      </c>
      <c r="B2811" t="s">
        <v>7994</v>
      </c>
      <c r="C2811" t="s">
        <v>16179</v>
      </c>
      <c r="D2811" t="s">
        <v>47</v>
      </c>
      <c r="E2811">
        <v>4716</v>
      </c>
      <c r="F2811" s="3">
        <v>40702</v>
      </c>
      <c r="H2811" t="s">
        <v>15523</v>
      </c>
      <c r="I2811" t="s">
        <v>16180</v>
      </c>
      <c r="K2811" t="e">
        <v>#N/A</v>
      </c>
      <c r="S2811" s="3"/>
    </row>
    <row r="2812" spans="1:19" x14ac:dyDescent="0.25">
      <c r="A2812" t="s">
        <v>7995</v>
      </c>
      <c r="B2812" t="s">
        <v>7996</v>
      </c>
      <c r="C2812" t="s">
        <v>16179</v>
      </c>
      <c r="D2812" t="s">
        <v>47</v>
      </c>
      <c r="E2812">
        <v>4719</v>
      </c>
      <c r="F2812" s="3">
        <v>40702</v>
      </c>
      <c r="H2812" t="s">
        <v>15523</v>
      </c>
      <c r="I2812" t="s">
        <v>16180</v>
      </c>
      <c r="K2812" t="e">
        <v>#N/A</v>
      </c>
      <c r="S2812" s="3"/>
    </row>
    <row r="2813" spans="1:19" x14ac:dyDescent="0.25">
      <c r="A2813" t="s">
        <v>7997</v>
      </c>
      <c r="B2813" t="s">
        <v>7998</v>
      </c>
      <c r="C2813" t="s">
        <v>16179</v>
      </c>
      <c r="D2813" t="s">
        <v>2779</v>
      </c>
      <c r="E2813">
        <v>4714</v>
      </c>
      <c r="F2813" s="3">
        <v>40783</v>
      </c>
      <c r="H2813" t="s">
        <v>15523</v>
      </c>
      <c r="I2813" t="s">
        <v>16180</v>
      </c>
      <c r="K2813" t="e">
        <v>#N/A</v>
      </c>
      <c r="S2813" s="3"/>
    </row>
    <row r="2814" spans="1:19" x14ac:dyDescent="0.25">
      <c r="A2814" t="s">
        <v>7999</v>
      </c>
      <c r="B2814" t="s">
        <v>8000</v>
      </c>
      <c r="C2814" t="s">
        <v>16179</v>
      </c>
      <c r="D2814" t="s">
        <v>47</v>
      </c>
      <c r="E2814">
        <v>4715</v>
      </c>
      <c r="F2814" s="3">
        <v>40702</v>
      </c>
      <c r="H2814" t="s">
        <v>15523</v>
      </c>
      <c r="I2814" t="s">
        <v>16180</v>
      </c>
      <c r="K2814" t="e">
        <v>#N/A</v>
      </c>
      <c r="S2814" s="3"/>
    </row>
    <row r="2815" spans="1:19" x14ac:dyDescent="0.25">
      <c r="A2815" t="s">
        <v>8001</v>
      </c>
      <c r="B2815" t="s">
        <v>8002</v>
      </c>
      <c r="C2815" t="s">
        <v>16179</v>
      </c>
      <c r="D2815" t="s">
        <v>47</v>
      </c>
      <c r="E2815">
        <v>4693</v>
      </c>
      <c r="F2815" s="3">
        <v>40702</v>
      </c>
      <c r="H2815" t="s">
        <v>15523</v>
      </c>
      <c r="I2815" t="s">
        <v>16180</v>
      </c>
      <c r="K2815" t="e">
        <v>#N/A</v>
      </c>
      <c r="S2815" s="3"/>
    </row>
    <row r="2816" spans="1:19" x14ac:dyDescent="0.25">
      <c r="A2816" t="s">
        <v>8003</v>
      </c>
      <c r="B2816" t="s">
        <v>8004</v>
      </c>
      <c r="C2816" t="s">
        <v>16179</v>
      </c>
      <c r="D2816" t="s">
        <v>666</v>
      </c>
      <c r="E2816">
        <v>4717</v>
      </c>
      <c r="F2816" s="3">
        <v>40783</v>
      </c>
      <c r="H2816" t="s">
        <v>15523</v>
      </c>
      <c r="I2816" t="s">
        <v>16180</v>
      </c>
      <c r="K2816" t="e">
        <v>#N/A</v>
      </c>
      <c r="S2816" s="3"/>
    </row>
    <row r="2817" spans="1:19" x14ac:dyDescent="0.25">
      <c r="A2817" t="s">
        <v>478</v>
      </c>
      <c r="B2817" t="s">
        <v>480</v>
      </c>
      <c r="C2817" t="s">
        <v>481</v>
      </c>
      <c r="D2817" t="s">
        <v>23</v>
      </c>
      <c r="E2817">
        <v>1685</v>
      </c>
      <c r="F2817" s="3">
        <v>40702</v>
      </c>
      <c r="H2817" t="s">
        <v>15523</v>
      </c>
      <c r="I2817" t="s">
        <v>17495</v>
      </c>
      <c r="K2817">
        <v>126</v>
      </c>
      <c r="S2817" s="3"/>
    </row>
    <row r="2818" spans="1:19" x14ac:dyDescent="0.25">
      <c r="A2818" t="s">
        <v>8005</v>
      </c>
      <c r="B2818" t="s">
        <v>8006</v>
      </c>
      <c r="C2818" t="s">
        <v>8007</v>
      </c>
      <c r="D2818" t="s">
        <v>23</v>
      </c>
      <c r="E2818">
        <v>4922</v>
      </c>
      <c r="F2818" s="3">
        <v>40702</v>
      </c>
      <c r="H2818" t="s">
        <v>15523</v>
      </c>
      <c r="I2818" t="s">
        <v>17496</v>
      </c>
      <c r="K2818" t="e">
        <v>#N/A</v>
      </c>
      <c r="S2818" s="3"/>
    </row>
    <row r="2819" spans="1:19" x14ac:dyDescent="0.25">
      <c r="A2819" t="s">
        <v>8008</v>
      </c>
      <c r="B2819" t="s">
        <v>8009</v>
      </c>
      <c r="C2819" t="s">
        <v>16179</v>
      </c>
      <c r="D2819" t="s">
        <v>47</v>
      </c>
      <c r="E2819">
        <v>4721</v>
      </c>
      <c r="F2819" s="3">
        <v>40702</v>
      </c>
      <c r="H2819" t="s">
        <v>15523</v>
      </c>
      <c r="I2819" t="s">
        <v>16180</v>
      </c>
      <c r="K2819" t="e">
        <v>#N/A</v>
      </c>
      <c r="S2819" s="3"/>
    </row>
    <row r="2820" spans="1:19" x14ac:dyDescent="0.25">
      <c r="A2820" t="s">
        <v>8010</v>
      </c>
      <c r="B2820" t="s">
        <v>8011</v>
      </c>
      <c r="C2820" t="s">
        <v>16179</v>
      </c>
      <c r="D2820" t="s">
        <v>2820</v>
      </c>
      <c r="E2820">
        <v>4720</v>
      </c>
      <c r="F2820" s="3">
        <v>40702</v>
      </c>
      <c r="H2820" t="s">
        <v>15523</v>
      </c>
      <c r="I2820" t="s">
        <v>16180</v>
      </c>
      <c r="K2820" t="e">
        <v>#N/A</v>
      </c>
      <c r="S2820" s="3"/>
    </row>
    <row r="2821" spans="1:19" x14ac:dyDescent="0.25">
      <c r="A2821" t="s">
        <v>8012</v>
      </c>
      <c r="B2821" t="s">
        <v>8013</v>
      </c>
      <c r="C2821" t="s">
        <v>16179</v>
      </c>
      <c r="D2821" t="s">
        <v>47</v>
      </c>
      <c r="E2821">
        <v>5085</v>
      </c>
      <c r="F2821" s="3">
        <v>41577</v>
      </c>
      <c r="H2821" t="s">
        <v>15523</v>
      </c>
      <c r="I2821" t="s">
        <v>16180</v>
      </c>
      <c r="K2821" t="e">
        <v>#N/A</v>
      </c>
      <c r="S2821" s="3"/>
    </row>
    <row r="2822" spans="1:19" x14ac:dyDescent="0.25">
      <c r="A2822" t="s">
        <v>8014</v>
      </c>
      <c r="B2822" t="s">
        <v>8015</v>
      </c>
      <c r="C2822" t="s">
        <v>16179</v>
      </c>
      <c r="D2822" t="s">
        <v>47</v>
      </c>
      <c r="E2822">
        <v>4723</v>
      </c>
      <c r="F2822" s="3">
        <v>40702</v>
      </c>
      <c r="H2822" t="s">
        <v>15523</v>
      </c>
      <c r="I2822" t="s">
        <v>16180</v>
      </c>
      <c r="K2822" t="e">
        <v>#N/A</v>
      </c>
      <c r="S2822" s="3"/>
    </row>
    <row r="2823" spans="1:19" x14ac:dyDescent="0.25">
      <c r="A2823" t="s">
        <v>8016</v>
      </c>
      <c r="B2823" t="s">
        <v>8017</v>
      </c>
      <c r="C2823" t="s">
        <v>16179</v>
      </c>
      <c r="D2823" t="s">
        <v>47</v>
      </c>
      <c r="E2823">
        <v>4722</v>
      </c>
      <c r="F2823" s="3">
        <v>40929</v>
      </c>
      <c r="H2823" t="s">
        <v>15523</v>
      </c>
      <c r="I2823" t="s">
        <v>16180</v>
      </c>
      <c r="K2823" t="e">
        <v>#N/A</v>
      </c>
      <c r="S2823" s="3"/>
    </row>
    <row r="2824" spans="1:19" x14ac:dyDescent="0.25">
      <c r="A2824" t="s">
        <v>8018</v>
      </c>
      <c r="B2824" t="s">
        <v>8019</v>
      </c>
      <c r="C2824" t="s">
        <v>16179</v>
      </c>
      <c r="D2824" t="s">
        <v>47</v>
      </c>
      <c r="E2824">
        <v>4725</v>
      </c>
      <c r="F2824" s="3">
        <v>40929</v>
      </c>
      <c r="H2824" t="s">
        <v>15523</v>
      </c>
      <c r="I2824" t="s">
        <v>16180</v>
      </c>
      <c r="K2824" t="e">
        <v>#N/A</v>
      </c>
      <c r="S2824" s="3"/>
    </row>
    <row r="2825" spans="1:19" x14ac:dyDescent="0.25">
      <c r="A2825" t="s">
        <v>8020</v>
      </c>
      <c r="B2825" t="s">
        <v>8021</v>
      </c>
      <c r="C2825" t="s">
        <v>16179</v>
      </c>
      <c r="D2825" t="s">
        <v>47</v>
      </c>
      <c r="E2825">
        <v>4724</v>
      </c>
      <c r="F2825" s="3">
        <v>40702</v>
      </c>
      <c r="H2825" t="s">
        <v>15523</v>
      </c>
      <c r="I2825" t="s">
        <v>16180</v>
      </c>
      <c r="K2825" t="e">
        <v>#N/A</v>
      </c>
      <c r="S2825" s="3"/>
    </row>
    <row r="2826" spans="1:19" x14ac:dyDescent="0.25">
      <c r="A2826" t="s">
        <v>8022</v>
      </c>
      <c r="B2826" t="s">
        <v>8023</v>
      </c>
      <c r="C2826" t="s">
        <v>16179</v>
      </c>
      <c r="D2826" t="s">
        <v>47</v>
      </c>
      <c r="E2826">
        <v>4729</v>
      </c>
      <c r="F2826" s="3">
        <v>40702</v>
      </c>
      <c r="H2826" t="s">
        <v>15523</v>
      </c>
      <c r="I2826" t="s">
        <v>16180</v>
      </c>
      <c r="K2826" t="e">
        <v>#N/A</v>
      </c>
      <c r="S2826" s="3"/>
    </row>
    <row r="2827" spans="1:19" x14ac:dyDescent="0.25">
      <c r="A2827" t="s">
        <v>8024</v>
      </c>
      <c r="B2827" t="s">
        <v>8025</v>
      </c>
      <c r="C2827" t="s">
        <v>16179</v>
      </c>
      <c r="D2827" t="s">
        <v>666</v>
      </c>
      <c r="E2827">
        <v>4726</v>
      </c>
      <c r="F2827" s="3">
        <v>40781</v>
      </c>
      <c r="H2827" t="s">
        <v>15523</v>
      </c>
      <c r="I2827" t="s">
        <v>16180</v>
      </c>
      <c r="K2827" t="e">
        <v>#N/A</v>
      </c>
      <c r="S2827" s="3"/>
    </row>
    <row r="2828" spans="1:19" x14ac:dyDescent="0.25">
      <c r="A2828" t="s">
        <v>8026</v>
      </c>
      <c r="B2828" t="s">
        <v>8027</v>
      </c>
      <c r="C2828" t="s">
        <v>16179</v>
      </c>
      <c r="D2828" t="s">
        <v>666</v>
      </c>
      <c r="E2828">
        <v>4728</v>
      </c>
      <c r="F2828" s="3">
        <v>40782</v>
      </c>
      <c r="H2828" t="s">
        <v>15523</v>
      </c>
      <c r="I2828" t="s">
        <v>16180</v>
      </c>
      <c r="K2828" t="e">
        <v>#N/A</v>
      </c>
      <c r="S2828" s="3"/>
    </row>
    <row r="2829" spans="1:19" x14ac:dyDescent="0.25">
      <c r="A2829" t="s">
        <v>8028</v>
      </c>
      <c r="B2829" t="s">
        <v>8029</v>
      </c>
      <c r="C2829" t="s">
        <v>16179</v>
      </c>
      <c r="D2829" t="s">
        <v>47</v>
      </c>
      <c r="E2829">
        <v>4746</v>
      </c>
      <c r="F2829" s="3">
        <v>40702</v>
      </c>
      <c r="H2829" t="s">
        <v>15523</v>
      </c>
      <c r="I2829" t="s">
        <v>16180</v>
      </c>
      <c r="K2829" t="e">
        <v>#N/A</v>
      </c>
      <c r="S2829" s="3"/>
    </row>
    <row r="2830" spans="1:19" x14ac:dyDescent="0.25">
      <c r="A2830" t="s">
        <v>8030</v>
      </c>
      <c r="B2830" t="s">
        <v>8031</v>
      </c>
      <c r="C2830" t="s">
        <v>16179</v>
      </c>
      <c r="D2830" t="s">
        <v>2820</v>
      </c>
      <c r="E2830">
        <v>4730</v>
      </c>
      <c r="F2830" s="3">
        <v>40702</v>
      </c>
      <c r="H2830" t="s">
        <v>15523</v>
      </c>
      <c r="I2830" t="s">
        <v>16180</v>
      </c>
      <c r="K2830" t="e">
        <v>#N/A</v>
      </c>
      <c r="S2830" s="3"/>
    </row>
    <row r="2831" spans="1:19" x14ac:dyDescent="0.25">
      <c r="A2831" t="s">
        <v>8032</v>
      </c>
      <c r="B2831" t="s">
        <v>8033</v>
      </c>
      <c r="C2831" t="s">
        <v>16179</v>
      </c>
      <c r="D2831" t="s">
        <v>47</v>
      </c>
      <c r="E2831">
        <v>4607</v>
      </c>
      <c r="F2831" s="3">
        <v>40702</v>
      </c>
      <c r="H2831" t="s">
        <v>15523</v>
      </c>
      <c r="I2831" t="s">
        <v>16180</v>
      </c>
      <c r="K2831" t="e">
        <v>#N/A</v>
      </c>
      <c r="S2831" s="3"/>
    </row>
    <row r="2832" spans="1:19" x14ac:dyDescent="0.25">
      <c r="A2832" t="s">
        <v>8034</v>
      </c>
      <c r="B2832" t="s">
        <v>8035</v>
      </c>
      <c r="C2832" t="s">
        <v>16179</v>
      </c>
      <c r="D2832" t="s">
        <v>47</v>
      </c>
      <c r="E2832">
        <v>4747</v>
      </c>
      <c r="F2832" s="3">
        <v>40702</v>
      </c>
      <c r="H2832" t="s">
        <v>15523</v>
      </c>
      <c r="I2832" t="s">
        <v>16180</v>
      </c>
      <c r="K2832" t="e">
        <v>#N/A</v>
      </c>
      <c r="S2832" s="3"/>
    </row>
    <row r="2833" spans="1:19" x14ac:dyDescent="0.25">
      <c r="A2833" t="s">
        <v>8036</v>
      </c>
      <c r="B2833" t="s">
        <v>8037</v>
      </c>
      <c r="C2833" t="s">
        <v>16179</v>
      </c>
      <c r="D2833" t="s">
        <v>47</v>
      </c>
      <c r="E2833">
        <v>4748</v>
      </c>
      <c r="F2833" s="3">
        <v>40702</v>
      </c>
      <c r="H2833" t="s">
        <v>15523</v>
      </c>
      <c r="I2833" t="s">
        <v>16180</v>
      </c>
      <c r="K2833" t="e">
        <v>#N/A</v>
      </c>
      <c r="S2833" s="3"/>
    </row>
    <row r="2834" spans="1:19" x14ac:dyDescent="0.25">
      <c r="A2834" t="s">
        <v>8038</v>
      </c>
      <c r="B2834" t="s">
        <v>8039</v>
      </c>
      <c r="C2834" t="s">
        <v>16179</v>
      </c>
      <c r="D2834" t="s">
        <v>47</v>
      </c>
      <c r="E2834">
        <v>4749</v>
      </c>
      <c r="F2834" s="3">
        <v>40702</v>
      </c>
      <c r="H2834" t="s">
        <v>15523</v>
      </c>
      <c r="I2834" t="s">
        <v>16180</v>
      </c>
      <c r="K2834" t="e">
        <v>#N/A</v>
      </c>
      <c r="S2834" s="3"/>
    </row>
    <row r="2835" spans="1:19" x14ac:dyDescent="0.25">
      <c r="A2835" t="s">
        <v>8040</v>
      </c>
      <c r="B2835" t="s">
        <v>8041</v>
      </c>
      <c r="C2835" t="s">
        <v>16179</v>
      </c>
      <c r="D2835" t="s">
        <v>47</v>
      </c>
      <c r="E2835">
        <v>4750</v>
      </c>
      <c r="F2835" s="3">
        <v>40783</v>
      </c>
      <c r="H2835" t="s">
        <v>15523</v>
      </c>
      <c r="I2835" t="s">
        <v>16180</v>
      </c>
      <c r="K2835" t="e">
        <v>#N/A</v>
      </c>
      <c r="S2835" s="3"/>
    </row>
    <row r="2836" spans="1:19" x14ac:dyDescent="0.25">
      <c r="A2836" t="s">
        <v>8042</v>
      </c>
      <c r="B2836" t="s">
        <v>8043</v>
      </c>
      <c r="C2836" t="s">
        <v>16179</v>
      </c>
      <c r="D2836" t="s">
        <v>666</v>
      </c>
      <c r="E2836">
        <v>4751</v>
      </c>
      <c r="F2836" s="3">
        <v>40705</v>
      </c>
      <c r="H2836" t="s">
        <v>15523</v>
      </c>
      <c r="I2836" t="s">
        <v>16180</v>
      </c>
      <c r="K2836" t="e">
        <v>#N/A</v>
      </c>
      <c r="S2836" s="3"/>
    </row>
    <row r="2837" spans="1:19" x14ac:dyDescent="0.25">
      <c r="A2837" t="s">
        <v>8044</v>
      </c>
      <c r="B2837" t="s">
        <v>8045</v>
      </c>
      <c r="C2837" t="s">
        <v>8046</v>
      </c>
      <c r="D2837" t="s">
        <v>23</v>
      </c>
      <c r="E2837">
        <v>4925</v>
      </c>
      <c r="F2837" s="3">
        <v>40702</v>
      </c>
      <c r="H2837" t="s">
        <v>15523</v>
      </c>
      <c r="I2837" t="s">
        <v>17497</v>
      </c>
      <c r="K2837" t="e">
        <v>#N/A</v>
      </c>
      <c r="S2837" s="3"/>
    </row>
    <row r="2838" spans="1:19" x14ac:dyDescent="0.25">
      <c r="A2838" t="s">
        <v>8047</v>
      </c>
      <c r="B2838" t="s">
        <v>8048</v>
      </c>
      <c r="C2838" t="s">
        <v>16179</v>
      </c>
      <c r="D2838" t="s">
        <v>47</v>
      </c>
      <c r="E2838">
        <v>4768</v>
      </c>
      <c r="F2838" s="3">
        <v>43442</v>
      </c>
      <c r="H2838" t="s">
        <v>15523</v>
      </c>
      <c r="I2838" t="s">
        <v>16180</v>
      </c>
      <c r="K2838" t="e">
        <v>#N/A</v>
      </c>
      <c r="S2838" s="3"/>
    </row>
    <row r="2839" spans="1:19" x14ac:dyDescent="0.25">
      <c r="A2839" t="s">
        <v>398</v>
      </c>
      <c r="B2839" t="s">
        <v>400</v>
      </c>
      <c r="C2839" t="s">
        <v>401</v>
      </c>
      <c r="D2839" t="s">
        <v>23</v>
      </c>
      <c r="E2839">
        <v>4924</v>
      </c>
      <c r="F2839" s="3">
        <v>40915</v>
      </c>
      <c r="H2839" t="s">
        <v>15523</v>
      </c>
      <c r="I2839" t="s">
        <v>17498</v>
      </c>
      <c r="K2839">
        <v>106</v>
      </c>
      <c r="S2839" s="3"/>
    </row>
    <row r="2840" spans="1:19" x14ac:dyDescent="0.25">
      <c r="A2840" t="s">
        <v>338</v>
      </c>
      <c r="B2840" t="s">
        <v>340</v>
      </c>
      <c r="C2840" t="s">
        <v>341</v>
      </c>
      <c r="D2840" t="s">
        <v>23</v>
      </c>
      <c r="E2840">
        <v>1690</v>
      </c>
      <c r="F2840" s="3">
        <v>40702</v>
      </c>
      <c r="H2840" t="s">
        <v>15523</v>
      </c>
      <c r="I2840" t="s">
        <v>17499</v>
      </c>
      <c r="K2840">
        <v>91</v>
      </c>
      <c r="S2840" s="3"/>
    </row>
    <row r="2841" spans="1:19" x14ac:dyDescent="0.25">
      <c r="A2841" t="s">
        <v>8049</v>
      </c>
      <c r="B2841" t="s">
        <v>8050</v>
      </c>
      <c r="C2841" t="s">
        <v>8051</v>
      </c>
      <c r="D2841" t="s">
        <v>23</v>
      </c>
      <c r="E2841">
        <v>4926</v>
      </c>
      <c r="F2841" s="3">
        <v>40702</v>
      </c>
      <c r="H2841" t="s">
        <v>15523</v>
      </c>
      <c r="I2841" t="s">
        <v>17500</v>
      </c>
      <c r="K2841" t="e">
        <v>#N/A</v>
      </c>
      <c r="S2841" s="3"/>
    </row>
    <row r="2842" spans="1:19" x14ac:dyDescent="0.25">
      <c r="A2842" t="s">
        <v>8052</v>
      </c>
      <c r="B2842" t="s">
        <v>8053</v>
      </c>
      <c r="C2842" t="s">
        <v>8054</v>
      </c>
      <c r="D2842" t="s">
        <v>23</v>
      </c>
      <c r="E2842">
        <v>4927</v>
      </c>
      <c r="F2842" s="3">
        <v>40702</v>
      </c>
      <c r="H2842" t="s">
        <v>15523</v>
      </c>
      <c r="I2842" t="s">
        <v>17501</v>
      </c>
      <c r="K2842" t="e">
        <v>#N/A</v>
      </c>
      <c r="S2842" s="3"/>
    </row>
    <row r="2843" spans="1:19" x14ac:dyDescent="0.25">
      <c r="A2843" t="s">
        <v>8055</v>
      </c>
      <c r="B2843" t="s">
        <v>8056</v>
      </c>
      <c r="C2843" t="s">
        <v>16179</v>
      </c>
      <c r="D2843" t="s">
        <v>47</v>
      </c>
      <c r="E2843">
        <v>4772</v>
      </c>
      <c r="F2843" s="3">
        <v>43442</v>
      </c>
      <c r="H2843" t="s">
        <v>15523</v>
      </c>
      <c r="I2843" t="s">
        <v>16180</v>
      </c>
      <c r="K2843" t="e">
        <v>#N/A</v>
      </c>
      <c r="S2843" s="3"/>
    </row>
    <row r="2844" spans="1:19" x14ac:dyDescent="0.25">
      <c r="A2844" t="s">
        <v>461</v>
      </c>
      <c r="B2844" t="s">
        <v>463</v>
      </c>
      <c r="C2844" t="s">
        <v>464</v>
      </c>
      <c r="D2844" t="s">
        <v>23</v>
      </c>
      <c r="E2844">
        <v>1689</v>
      </c>
      <c r="F2844" s="3">
        <v>40702</v>
      </c>
      <c r="H2844" t="s">
        <v>15523</v>
      </c>
      <c r="I2844" t="s">
        <v>17502</v>
      </c>
      <c r="K2844">
        <v>122</v>
      </c>
      <c r="S2844" s="3"/>
    </row>
    <row r="2845" spans="1:19" x14ac:dyDescent="0.25">
      <c r="A2845" t="s">
        <v>8057</v>
      </c>
      <c r="B2845" t="s">
        <v>8058</v>
      </c>
      <c r="C2845" t="s">
        <v>8059</v>
      </c>
      <c r="D2845" t="s">
        <v>23</v>
      </c>
      <c r="E2845">
        <v>4928</v>
      </c>
      <c r="F2845" s="3">
        <v>40702</v>
      </c>
      <c r="H2845" t="s">
        <v>15523</v>
      </c>
      <c r="I2845" t="s">
        <v>17503</v>
      </c>
      <c r="K2845" t="e">
        <v>#N/A</v>
      </c>
      <c r="S2845" s="3"/>
    </row>
    <row r="2846" spans="1:19" x14ac:dyDescent="0.25">
      <c r="A2846" t="s">
        <v>8060</v>
      </c>
      <c r="B2846" t="s">
        <v>8061</v>
      </c>
      <c r="C2846" t="s">
        <v>16179</v>
      </c>
      <c r="D2846" t="s">
        <v>666</v>
      </c>
      <c r="E2846">
        <v>4804</v>
      </c>
      <c r="F2846" s="3">
        <v>40702</v>
      </c>
      <c r="H2846" t="s">
        <v>15523</v>
      </c>
      <c r="I2846" t="s">
        <v>16180</v>
      </c>
      <c r="K2846" t="e">
        <v>#N/A</v>
      </c>
      <c r="S2846" s="3"/>
    </row>
    <row r="2847" spans="1:19" x14ac:dyDescent="0.25">
      <c r="A2847" t="s">
        <v>8062</v>
      </c>
      <c r="B2847" t="s">
        <v>8063</v>
      </c>
      <c r="C2847" t="s">
        <v>16179</v>
      </c>
      <c r="D2847" t="s">
        <v>2820</v>
      </c>
      <c r="E2847">
        <v>5875</v>
      </c>
      <c r="F2847" s="3">
        <v>43078</v>
      </c>
      <c r="H2847" t="s">
        <v>15523</v>
      </c>
      <c r="I2847" t="s">
        <v>16180</v>
      </c>
      <c r="K2847" t="e">
        <v>#N/A</v>
      </c>
      <c r="S2847" s="3"/>
    </row>
    <row r="2848" spans="1:19" x14ac:dyDescent="0.25">
      <c r="A2848" t="s">
        <v>8064</v>
      </c>
      <c r="B2848" t="s">
        <v>8065</v>
      </c>
      <c r="C2848" t="s">
        <v>16179</v>
      </c>
      <c r="D2848" t="s">
        <v>2820</v>
      </c>
      <c r="E2848">
        <v>5876</v>
      </c>
      <c r="F2848" s="3">
        <v>43078</v>
      </c>
      <c r="H2848" t="s">
        <v>15523</v>
      </c>
      <c r="I2848" t="s">
        <v>16180</v>
      </c>
      <c r="K2848" t="e">
        <v>#N/A</v>
      </c>
      <c r="S2848" s="3"/>
    </row>
    <row r="2849" spans="1:19" x14ac:dyDescent="0.25">
      <c r="A2849" t="s">
        <v>8066</v>
      </c>
      <c r="B2849" t="s">
        <v>8067</v>
      </c>
      <c r="C2849" t="s">
        <v>16179</v>
      </c>
      <c r="D2849" t="s">
        <v>47</v>
      </c>
      <c r="E2849">
        <v>3349</v>
      </c>
      <c r="F2849" s="3">
        <v>40702</v>
      </c>
      <c r="H2849" t="s">
        <v>15523</v>
      </c>
      <c r="I2849" t="s">
        <v>16180</v>
      </c>
      <c r="K2849" t="e">
        <v>#N/A</v>
      </c>
      <c r="S2849" s="3"/>
    </row>
    <row r="2850" spans="1:19" x14ac:dyDescent="0.25">
      <c r="A2850" t="s">
        <v>8068</v>
      </c>
      <c r="B2850" t="s">
        <v>8069</v>
      </c>
      <c r="C2850" t="s">
        <v>16179</v>
      </c>
      <c r="D2850" t="s">
        <v>666</v>
      </c>
      <c r="E2850">
        <v>4827</v>
      </c>
      <c r="F2850" s="3">
        <v>40702</v>
      </c>
      <c r="H2850" t="s">
        <v>15523</v>
      </c>
      <c r="I2850" t="s">
        <v>16180</v>
      </c>
      <c r="K2850" t="e">
        <v>#N/A</v>
      </c>
      <c r="S2850" s="3"/>
    </row>
    <row r="2851" spans="1:19" x14ac:dyDescent="0.25">
      <c r="A2851" t="s">
        <v>8070</v>
      </c>
      <c r="B2851" t="s">
        <v>8071</v>
      </c>
      <c r="C2851" t="s">
        <v>16179</v>
      </c>
      <c r="D2851" t="s">
        <v>2820</v>
      </c>
      <c r="E2851">
        <v>4836</v>
      </c>
      <c r="F2851" s="3">
        <v>40702</v>
      </c>
      <c r="H2851" t="s">
        <v>15523</v>
      </c>
      <c r="I2851" t="s">
        <v>16180</v>
      </c>
      <c r="K2851" t="e">
        <v>#N/A</v>
      </c>
      <c r="S2851" s="3"/>
    </row>
    <row r="2852" spans="1:19" x14ac:dyDescent="0.25">
      <c r="A2852" t="s">
        <v>8072</v>
      </c>
      <c r="B2852" t="s">
        <v>8073</v>
      </c>
      <c r="C2852" t="s">
        <v>16179</v>
      </c>
      <c r="D2852" t="s">
        <v>2820</v>
      </c>
      <c r="E2852">
        <v>4851</v>
      </c>
      <c r="F2852" s="3">
        <v>40702</v>
      </c>
      <c r="H2852" t="s">
        <v>15523</v>
      </c>
      <c r="I2852" t="s">
        <v>16180</v>
      </c>
      <c r="K2852" t="e">
        <v>#N/A</v>
      </c>
      <c r="S2852" s="3"/>
    </row>
    <row r="2853" spans="1:19" x14ac:dyDescent="0.25">
      <c r="A2853" t="s">
        <v>8074</v>
      </c>
      <c r="B2853" t="s">
        <v>8075</v>
      </c>
      <c r="C2853" t="s">
        <v>16179</v>
      </c>
      <c r="D2853" t="s">
        <v>666</v>
      </c>
      <c r="E2853">
        <v>4859</v>
      </c>
      <c r="F2853" s="3">
        <v>41111</v>
      </c>
      <c r="H2853" t="s">
        <v>15523</v>
      </c>
      <c r="I2853" t="s">
        <v>16180</v>
      </c>
      <c r="K2853" t="e">
        <v>#N/A</v>
      </c>
      <c r="S2853" s="3"/>
    </row>
    <row r="2854" spans="1:19" x14ac:dyDescent="0.25">
      <c r="A2854" t="s">
        <v>8076</v>
      </c>
      <c r="B2854" t="s">
        <v>8077</v>
      </c>
      <c r="C2854" t="s">
        <v>16179</v>
      </c>
      <c r="D2854" t="s">
        <v>2820</v>
      </c>
      <c r="E2854">
        <v>4862</v>
      </c>
      <c r="F2854" s="3">
        <v>42357</v>
      </c>
      <c r="H2854" t="s">
        <v>15523</v>
      </c>
      <c r="I2854" t="s">
        <v>16180</v>
      </c>
      <c r="K2854" t="e">
        <v>#N/A</v>
      </c>
      <c r="S2854" s="3"/>
    </row>
    <row r="2855" spans="1:19" x14ac:dyDescent="0.25">
      <c r="A2855" t="s">
        <v>302</v>
      </c>
      <c r="B2855" t="s">
        <v>304</v>
      </c>
      <c r="C2855" t="s">
        <v>305</v>
      </c>
      <c r="D2855" t="s">
        <v>23</v>
      </c>
      <c r="E2855">
        <v>1693</v>
      </c>
      <c r="F2855" s="3">
        <v>40702</v>
      </c>
      <c r="H2855" t="s">
        <v>15523</v>
      </c>
      <c r="I2855" t="s">
        <v>17504</v>
      </c>
      <c r="K2855">
        <v>82</v>
      </c>
      <c r="S2855" s="3"/>
    </row>
    <row r="2856" spans="1:19" x14ac:dyDescent="0.25">
      <c r="A2856" t="s">
        <v>8078</v>
      </c>
      <c r="B2856" t="s">
        <v>8079</v>
      </c>
      <c r="C2856" t="s">
        <v>8080</v>
      </c>
      <c r="D2856" t="s">
        <v>23</v>
      </c>
      <c r="E2856">
        <v>4930</v>
      </c>
      <c r="F2856" s="3">
        <v>40702</v>
      </c>
      <c r="H2856" t="s">
        <v>15523</v>
      </c>
      <c r="I2856" t="s">
        <v>17505</v>
      </c>
      <c r="K2856" t="e">
        <v>#N/A</v>
      </c>
      <c r="S2856" s="3"/>
    </row>
    <row r="2857" spans="1:19" x14ac:dyDescent="0.25">
      <c r="A2857" t="s">
        <v>8081</v>
      </c>
      <c r="B2857" t="s">
        <v>8082</v>
      </c>
      <c r="C2857" t="s">
        <v>8083</v>
      </c>
      <c r="D2857" t="s">
        <v>23</v>
      </c>
      <c r="E2857">
        <v>4931</v>
      </c>
      <c r="F2857" s="3">
        <v>40702</v>
      </c>
      <c r="H2857" t="s">
        <v>15523</v>
      </c>
      <c r="I2857" t="s">
        <v>17506</v>
      </c>
      <c r="K2857" t="e">
        <v>#N/A</v>
      </c>
      <c r="S2857" s="3"/>
    </row>
    <row r="2858" spans="1:19" x14ac:dyDescent="0.25">
      <c r="A2858" t="s">
        <v>8084</v>
      </c>
      <c r="B2858" t="s">
        <v>8085</v>
      </c>
      <c r="C2858" t="s">
        <v>8086</v>
      </c>
      <c r="D2858" t="s">
        <v>23</v>
      </c>
      <c r="E2858">
        <v>6079</v>
      </c>
      <c r="F2858" s="3">
        <v>43854</v>
      </c>
      <c r="H2858" t="s">
        <v>15523</v>
      </c>
      <c r="I2858" t="s">
        <v>17507</v>
      </c>
      <c r="K2858" t="e">
        <v>#N/A</v>
      </c>
      <c r="S2858" s="3"/>
    </row>
    <row r="2859" spans="1:19" x14ac:dyDescent="0.25">
      <c r="A2859" t="s">
        <v>8087</v>
      </c>
      <c r="B2859" t="s">
        <v>8088</v>
      </c>
      <c r="C2859" t="s">
        <v>8089</v>
      </c>
      <c r="D2859" t="s">
        <v>23</v>
      </c>
      <c r="E2859">
        <v>6016</v>
      </c>
      <c r="F2859" s="3">
        <v>43497</v>
      </c>
      <c r="H2859" t="s">
        <v>15523</v>
      </c>
      <c r="I2859" t="s">
        <v>17508</v>
      </c>
      <c r="K2859" t="e">
        <v>#N/A</v>
      </c>
      <c r="S2859" s="3"/>
    </row>
    <row r="2860" spans="1:19" x14ac:dyDescent="0.25">
      <c r="A2860" t="s">
        <v>342</v>
      </c>
      <c r="B2860" t="s">
        <v>344</v>
      </c>
      <c r="C2860" t="s">
        <v>345</v>
      </c>
      <c r="D2860" t="s">
        <v>23</v>
      </c>
      <c r="E2860">
        <v>1695</v>
      </c>
      <c r="F2860" s="3">
        <v>40702</v>
      </c>
      <c r="H2860" t="s">
        <v>15523</v>
      </c>
      <c r="I2860" t="s">
        <v>17509</v>
      </c>
      <c r="K2860">
        <v>92</v>
      </c>
      <c r="S2860" s="3"/>
    </row>
    <row r="2861" spans="1:19" x14ac:dyDescent="0.25">
      <c r="A2861" t="s">
        <v>8090</v>
      </c>
      <c r="B2861" t="s">
        <v>8091</v>
      </c>
      <c r="C2861" t="s">
        <v>8092</v>
      </c>
      <c r="D2861" t="s">
        <v>23</v>
      </c>
      <c r="E2861">
        <v>4934</v>
      </c>
      <c r="F2861" s="3">
        <v>40702</v>
      </c>
      <c r="H2861" t="s">
        <v>15523</v>
      </c>
      <c r="I2861" t="s">
        <v>17510</v>
      </c>
      <c r="K2861" t="e">
        <v>#N/A</v>
      </c>
      <c r="S2861" s="3"/>
    </row>
    <row r="2862" spans="1:19" x14ac:dyDescent="0.25">
      <c r="A2862" t="s">
        <v>8093</v>
      </c>
      <c r="B2862" t="s">
        <v>8094</v>
      </c>
      <c r="C2862" t="s">
        <v>8095</v>
      </c>
      <c r="D2862" t="s">
        <v>23</v>
      </c>
      <c r="E2862">
        <v>273</v>
      </c>
      <c r="F2862" s="3">
        <v>40702</v>
      </c>
      <c r="H2862" t="s">
        <v>15523</v>
      </c>
      <c r="I2862" t="s">
        <v>17511</v>
      </c>
      <c r="K2862" t="e">
        <v>#N/A</v>
      </c>
      <c r="S2862" s="3"/>
    </row>
    <row r="2863" spans="1:19" x14ac:dyDescent="0.25">
      <c r="A2863" t="s">
        <v>8096</v>
      </c>
      <c r="B2863" t="s">
        <v>8097</v>
      </c>
      <c r="C2863" t="s">
        <v>8098</v>
      </c>
      <c r="D2863" t="s">
        <v>23</v>
      </c>
      <c r="E2863">
        <v>3117</v>
      </c>
      <c r="F2863" s="3">
        <v>40702</v>
      </c>
      <c r="H2863" t="s">
        <v>15523</v>
      </c>
      <c r="I2863" t="s">
        <v>17512</v>
      </c>
      <c r="K2863" t="e">
        <v>#N/A</v>
      </c>
      <c r="S2863" s="3"/>
    </row>
    <row r="2864" spans="1:19" x14ac:dyDescent="0.25">
      <c r="A2864" t="s">
        <v>8099</v>
      </c>
      <c r="B2864" t="s">
        <v>8100</v>
      </c>
      <c r="C2864" t="s">
        <v>8101</v>
      </c>
      <c r="D2864" t="s">
        <v>23</v>
      </c>
      <c r="E2864">
        <v>3125</v>
      </c>
      <c r="F2864" s="3">
        <v>40702</v>
      </c>
      <c r="H2864" t="s">
        <v>15523</v>
      </c>
      <c r="I2864" t="s">
        <v>17513</v>
      </c>
      <c r="K2864" t="e">
        <v>#N/A</v>
      </c>
      <c r="S2864" s="3"/>
    </row>
    <row r="2865" spans="1:19" x14ac:dyDescent="0.25">
      <c r="A2865" t="s">
        <v>8102</v>
      </c>
      <c r="B2865" t="s">
        <v>8103</v>
      </c>
      <c r="C2865" t="s">
        <v>8104</v>
      </c>
      <c r="D2865" t="s">
        <v>23</v>
      </c>
      <c r="E2865">
        <v>5110</v>
      </c>
      <c r="F2865" s="3">
        <v>41788</v>
      </c>
      <c r="H2865" t="s">
        <v>15523</v>
      </c>
      <c r="I2865" t="s">
        <v>17514</v>
      </c>
      <c r="K2865" t="e">
        <v>#N/A</v>
      </c>
      <c r="S2865" s="3"/>
    </row>
    <row r="2866" spans="1:19" x14ac:dyDescent="0.25">
      <c r="A2866" t="s">
        <v>8105</v>
      </c>
      <c r="B2866" t="s">
        <v>8106</v>
      </c>
      <c r="C2866" t="s">
        <v>8107</v>
      </c>
      <c r="D2866" t="s">
        <v>23</v>
      </c>
      <c r="E2866">
        <v>3146</v>
      </c>
      <c r="F2866" s="3">
        <v>40702</v>
      </c>
      <c r="H2866" t="s">
        <v>15523</v>
      </c>
      <c r="I2866" t="s">
        <v>17515</v>
      </c>
      <c r="K2866" t="e">
        <v>#N/A</v>
      </c>
      <c r="S2866" s="3"/>
    </row>
    <row r="2867" spans="1:19" x14ac:dyDescent="0.25">
      <c r="A2867" t="s">
        <v>8108</v>
      </c>
      <c r="B2867" t="s">
        <v>8109</v>
      </c>
      <c r="C2867" t="s">
        <v>8110</v>
      </c>
      <c r="D2867" t="s">
        <v>23</v>
      </c>
      <c r="E2867">
        <v>271</v>
      </c>
      <c r="F2867" s="3">
        <v>40702</v>
      </c>
      <c r="H2867" t="s">
        <v>15523</v>
      </c>
      <c r="I2867" t="s">
        <v>17516</v>
      </c>
      <c r="K2867" t="e">
        <v>#N/A</v>
      </c>
      <c r="S2867" s="3"/>
    </row>
    <row r="2868" spans="1:19" x14ac:dyDescent="0.25">
      <c r="A2868" t="s">
        <v>8111</v>
      </c>
      <c r="B2868" t="s">
        <v>8112</v>
      </c>
      <c r="C2868" t="s">
        <v>8113</v>
      </c>
      <c r="D2868" t="s">
        <v>23</v>
      </c>
      <c r="E2868">
        <v>360</v>
      </c>
      <c r="F2868" s="3">
        <v>40702</v>
      </c>
      <c r="H2868" t="s">
        <v>15523</v>
      </c>
      <c r="I2868" t="s">
        <v>17517</v>
      </c>
      <c r="K2868" t="e">
        <v>#N/A</v>
      </c>
      <c r="S2868" s="3"/>
    </row>
    <row r="2869" spans="1:19" x14ac:dyDescent="0.25">
      <c r="A2869" t="s">
        <v>8114</v>
      </c>
      <c r="B2869" t="s">
        <v>8115</v>
      </c>
      <c r="C2869" t="s">
        <v>8116</v>
      </c>
      <c r="D2869" t="s">
        <v>23</v>
      </c>
      <c r="E2869">
        <v>1792</v>
      </c>
      <c r="F2869" s="3">
        <v>40702</v>
      </c>
      <c r="H2869" t="s">
        <v>15523</v>
      </c>
      <c r="I2869" t="s">
        <v>17518</v>
      </c>
      <c r="K2869" t="e">
        <v>#N/A</v>
      </c>
      <c r="S2869" s="3"/>
    </row>
    <row r="2870" spans="1:19" x14ac:dyDescent="0.25">
      <c r="A2870" t="s">
        <v>8117</v>
      </c>
      <c r="B2870" t="s">
        <v>8118</v>
      </c>
      <c r="C2870" t="s">
        <v>8119</v>
      </c>
      <c r="D2870" t="s">
        <v>23</v>
      </c>
      <c r="E2870">
        <v>2304</v>
      </c>
      <c r="F2870" s="3">
        <v>40702</v>
      </c>
      <c r="H2870" t="s">
        <v>15523</v>
      </c>
      <c r="I2870" t="s">
        <v>17519</v>
      </c>
      <c r="K2870" t="e">
        <v>#N/A</v>
      </c>
      <c r="S2870" s="3"/>
    </row>
    <row r="2871" spans="1:19" x14ac:dyDescent="0.25">
      <c r="A2871" t="s">
        <v>8120</v>
      </c>
      <c r="B2871" t="s">
        <v>8121</v>
      </c>
      <c r="C2871" t="s">
        <v>8122</v>
      </c>
      <c r="D2871" t="s">
        <v>23</v>
      </c>
      <c r="E2871">
        <v>1756</v>
      </c>
      <c r="F2871" s="3">
        <v>40702</v>
      </c>
      <c r="H2871" t="s">
        <v>15523</v>
      </c>
      <c r="I2871" t="s">
        <v>17520</v>
      </c>
      <c r="K2871" t="e">
        <v>#N/A</v>
      </c>
      <c r="S2871" s="3"/>
    </row>
    <row r="2872" spans="1:19" x14ac:dyDescent="0.25">
      <c r="A2872" t="s">
        <v>8123</v>
      </c>
      <c r="B2872" t="s">
        <v>8124</v>
      </c>
      <c r="C2872" t="s">
        <v>8125</v>
      </c>
      <c r="D2872" t="s">
        <v>23</v>
      </c>
      <c r="E2872">
        <v>253</v>
      </c>
      <c r="F2872" s="3">
        <v>40702</v>
      </c>
      <c r="H2872" t="s">
        <v>15523</v>
      </c>
      <c r="I2872" t="s">
        <v>17521</v>
      </c>
      <c r="K2872" t="e">
        <v>#N/A</v>
      </c>
      <c r="S2872" s="3"/>
    </row>
    <row r="2873" spans="1:19" x14ac:dyDescent="0.25">
      <c r="A2873" t="s">
        <v>8126</v>
      </c>
      <c r="B2873" t="s">
        <v>8127</v>
      </c>
      <c r="C2873" t="s">
        <v>8128</v>
      </c>
      <c r="D2873" t="s">
        <v>23</v>
      </c>
      <c r="E2873">
        <v>3124</v>
      </c>
      <c r="F2873" s="3">
        <v>40702</v>
      </c>
      <c r="H2873" t="s">
        <v>15523</v>
      </c>
      <c r="I2873" t="s">
        <v>17522</v>
      </c>
      <c r="K2873" t="e">
        <v>#N/A</v>
      </c>
      <c r="S2873" s="3"/>
    </row>
    <row r="2874" spans="1:19" x14ac:dyDescent="0.25">
      <c r="A2874" t="s">
        <v>8129</v>
      </c>
      <c r="B2874" t="s">
        <v>8130</v>
      </c>
      <c r="C2874" t="s">
        <v>8131</v>
      </c>
      <c r="D2874" t="s">
        <v>23</v>
      </c>
      <c r="E2874">
        <v>3120</v>
      </c>
      <c r="F2874" s="3">
        <v>40702</v>
      </c>
      <c r="H2874" t="s">
        <v>15523</v>
      </c>
      <c r="I2874" t="s">
        <v>17523</v>
      </c>
      <c r="K2874" t="e">
        <v>#N/A</v>
      </c>
      <c r="S2874" s="3"/>
    </row>
    <row r="2875" spans="1:19" x14ac:dyDescent="0.25">
      <c r="A2875" t="s">
        <v>8132</v>
      </c>
      <c r="B2875" t="s">
        <v>8133</v>
      </c>
      <c r="C2875" t="s">
        <v>8134</v>
      </c>
      <c r="D2875" t="s">
        <v>23</v>
      </c>
      <c r="E2875">
        <v>3122</v>
      </c>
      <c r="F2875" s="3">
        <v>40702</v>
      </c>
      <c r="H2875" t="s">
        <v>15523</v>
      </c>
      <c r="I2875" t="s">
        <v>17524</v>
      </c>
      <c r="K2875" t="e">
        <v>#N/A</v>
      </c>
      <c r="S2875" s="3"/>
    </row>
    <row r="2876" spans="1:19" x14ac:dyDescent="0.25">
      <c r="A2876" t="s">
        <v>8135</v>
      </c>
      <c r="B2876" t="s">
        <v>8136</v>
      </c>
      <c r="C2876" t="s">
        <v>8137</v>
      </c>
      <c r="D2876" t="s">
        <v>23</v>
      </c>
      <c r="E2876">
        <v>246</v>
      </c>
      <c r="F2876" s="3">
        <v>40702</v>
      </c>
      <c r="H2876" t="s">
        <v>15523</v>
      </c>
      <c r="I2876" t="s">
        <v>17525</v>
      </c>
      <c r="K2876" t="e">
        <v>#N/A</v>
      </c>
      <c r="S2876" s="3"/>
    </row>
    <row r="2877" spans="1:19" x14ac:dyDescent="0.25">
      <c r="A2877" t="s">
        <v>8138</v>
      </c>
      <c r="B2877" t="s">
        <v>8139</v>
      </c>
      <c r="C2877" t="s">
        <v>8140</v>
      </c>
      <c r="D2877" t="s">
        <v>23</v>
      </c>
      <c r="E2877">
        <v>3126</v>
      </c>
      <c r="F2877" s="3">
        <v>43082</v>
      </c>
      <c r="H2877" t="s">
        <v>15523</v>
      </c>
      <c r="I2877" t="s">
        <v>17526</v>
      </c>
      <c r="K2877" t="e">
        <v>#N/A</v>
      </c>
      <c r="S2877" s="3"/>
    </row>
    <row r="2878" spans="1:19" x14ac:dyDescent="0.25">
      <c r="A2878" t="s">
        <v>8141</v>
      </c>
      <c r="B2878" t="s">
        <v>8142</v>
      </c>
      <c r="C2878" t="s">
        <v>8143</v>
      </c>
      <c r="D2878" t="s">
        <v>23</v>
      </c>
      <c r="E2878">
        <v>254</v>
      </c>
      <c r="F2878" s="3">
        <v>40702</v>
      </c>
      <c r="H2878" t="s">
        <v>15523</v>
      </c>
      <c r="I2878" t="s">
        <v>17527</v>
      </c>
      <c r="K2878" t="e">
        <v>#N/A</v>
      </c>
      <c r="S2878" s="3"/>
    </row>
    <row r="2879" spans="1:19" x14ac:dyDescent="0.25">
      <c r="A2879" t="s">
        <v>8144</v>
      </c>
      <c r="B2879" t="s">
        <v>8145</v>
      </c>
      <c r="C2879" t="s">
        <v>8146</v>
      </c>
      <c r="D2879" t="s">
        <v>23</v>
      </c>
      <c r="E2879">
        <v>5027</v>
      </c>
      <c r="F2879" s="3">
        <v>41660</v>
      </c>
      <c r="H2879" t="s">
        <v>15523</v>
      </c>
      <c r="I2879" t="s">
        <v>17528</v>
      </c>
      <c r="K2879" t="e">
        <v>#N/A</v>
      </c>
      <c r="S2879" s="3"/>
    </row>
    <row r="2880" spans="1:19" x14ac:dyDescent="0.25">
      <c r="A2880" t="s">
        <v>8147</v>
      </c>
      <c r="B2880" t="s">
        <v>8148</v>
      </c>
      <c r="C2880" t="s">
        <v>8149</v>
      </c>
      <c r="D2880" t="s">
        <v>23</v>
      </c>
      <c r="E2880">
        <v>3127</v>
      </c>
      <c r="F2880" s="3">
        <v>40702</v>
      </c>
      <c r="H2880" t="s">
        <v>15523</v>
      </c>
      <c r="I2880" t="s">
        <v>17529</v>
      </c>
      <c r="K2880" t="e">
        <v>#N/A</v>
      </c>
      <c r="S2880" s="3"/>
    </row>
    <row r="2881" spans="1:19" x14ac:dyDescent="0.25">
      <c r="A2881" t="s">
        <v>8150</v>
      </c>
      <c r="B2881" t="s">
        <v>8151</v>
      </c>
      <c r="C2881" t="s">
        <v>8152</v>
      </c>
      <c r="D2881" t="s">
        <v>23</v>
      </c>
      <c r="E2881">
        <v>3128</v>
      </c>
      <c r="F2881" s="3">
        <v>40702</v>
      </c>
      <c r="H2881" t="s">
        <v>15523</v>
      </c>
      <c r="I2881" t="s">
        <v>17530</v>
      </c>
      <c r="K2881" t="e">
        <v>#N/A</v>
      </c>
      <c r="S2881" s="3"/>
    </row>
    <row r="2882" spans="1:19" x14ac:dyDescent="0.25">
      <c r="A2882" t="s">
        <v>8153</v>
      </c>
      <c r="B2882" t="s">
        <v>8154</v>
      </c>
      <c r="C2882" t="s">
        <v>8155</v>
      </c>
      <c r="D2882" t="s">
        <v>23</v>
      </c>
      <c r="E2882">
        <v>3129</v>
      </c>
      <c r="F2882" s="3">
        <v>40702</v>
      </c>
      <c r="H2882" t="s">
        <v>15523</v>
      </c>
      <c r="I2882" t="s">
        <v>17531</v>
      </c>
      <c r="K2882" t="e">
        <v>#N/A</v>
      </c>
      <c r="S2882" s="3"/>
    </row>
    <row r="2883" spans="1:19" x14ac:dyDescent="0.25">
      <c r="A2883" t="s">
        <v>8156</v>
      </c>
      <c r="B2883" t="s">
        <v>8157</v>
      </c>
      <c r="C2883" t="s">
        <v>8158</v>
      </c>
      <c r="D2883" t="s">
        <v>23</v>
      </c>
      <c r="E2883">
        <v>3130</v>
      </c>
      <c r="F2883" s="3">
        <v>40702</v>
      </c>
      <c r="H2883" t="s">
        <v>15523</v>
      </c>
      <c r="I2883" t="s">
        <v>17532</v>
      </c>
      <c r="K2883" t="e">
        <v>#N/A</v>
      </c>
      <c r="S2883" s="3"/>
    </row>
    <row r="2884" spans="1:19" x14ac:dyDescent="0.25">
      <c r="A2884" t="s">
        <v>8159</v>
      </c>
      <c r="B2884" t="s">
        <v>8160</v>
      </c>
      <c r="C2884" t="s">
        <v>8161</v>
      </c>
      <c r="D2884" t="s">
        <v>23</v>
      </c>
      <c r="E2884">
        <v>3131</v>
      </c>
      <c r="F2884" s="3">
        <v>41230</v>
      </c>
      <c r="H2884" t="s">
        <v>15523</v>
      </c>
      <c r="I2884" t="s">
        <v>17533</v>
      </c>
      <c r="K2884" t="e">
        <v>#N/A</v>
      </c>
      <c r="S2884" s="3"/>
    </row>
    <row r="2885" spans="1:19" x14ac:dyDescent="0.25">
      <c r="A2885" t="s">
        <v>8162</v>
      </c>
      <c r="B2885" t="s">
        <v>8163</v>
      </c>
      <c r="C2885" t="s">
        <v>8164</v>
      </c>
      <c r="D2885" t="s">
        <v>23</v>
      </c>
      <c r="E2885">
        <v>3132</v>
      </c>
      <c r="F2885" s="3">
        <v>40702</v>
      </c>
      <c r="H2885" t="s">
        <v>15523</v>
      </c>
      <c r="I2885" t="s">
        <v>17534</v>
      </c>
      <c r="K2885" t="e">
        <v>#N/A</v>
      </c>
      <c r="S2885" s="3"/>
    </row>
    <row r="2886" spans="1:19" x14ac:dyDescent="0.25">
      <c r="A2886" t="s">
        <v>8165</v>
      </c>
      <c r="B2886" t="s">
        <v>8166</v>
      </c>
      <c r="C2886" t="s">
        <v>8167</v>
      </c>
      <c r="D2886" t="s">
        <v>23</v>
      </c>
      <c r="E2886">
        <v>3133</v>
      </c>
      <c r="F2886" s="3">
        <v>41006</v>
      </c>
      <c r="H2886" t="s">
        <v>15523</v>
      </c>
      <c r="I2886" t="s">
        <v>17535</v>
      </c>
      <c r="K2886" t="e">
        <v>#N/A</v>
      </c>
      <c r="S2886" s="3"/>
    </row>
    <row r="2887" spans="1:19" x14ac:dyDescent="0.25">
      <c r="A2887" t="s">
        <v>8168</v>
      </c>
      <c r="B2887" t="s">
        <v>8169</v>
      </c>
      <c r="C2887" t="s">
        <v>8170</v>
      </c>
      <c r="D2887" t="s">
        <v>23</v>
      </c>
      <c r="E2887">
        <v>3134</v>
      </c>
      <c r="F2887" s="3">
        <v>40702</v>
      </c>
      <c r="H2887" t="s">
        <v>15523</v>
      </c>
      <c r="I2887" t="s">
        <v>17536</v>
      </c>
      <c r="K2887" t="e">
        <v>#N/A</v>
      </c>
      <c r="S2887" s="3"/>
    </row>
    <row r="2888" spans="1:19" x14ac:dyDescent="0.25">
      <c r="A2888" t="s">
        <v>8171</v>
      </c>
      <c r="B2888" t="s">
        <v>8172</v>
      </c>
      <c r="C2888" t="s">
        <v>8173</v>
      </c>
      <c r="D2888" t="s">
        <v>23</v>
      </c>
      <c r="E2888">
        <v>1755</v>
      </c>
      <c r="F2888" s="3">
        <v>40702</v>
      </c>
      <c r="H2888" t="s">
        <v>15523</v>
      </c>
      <c r="I2888" t="s">
        <v>17537</v>
      </c>
      <c r="K2888" t="e">
        <v>#N/A</v>
      </c>
      <c r="S2888" s="3"/>
    </row>
    <row r="2889" spans="1:19" x14ac:dyDescent="0.25">
      <c r="A2889" t="s">
        <v>8174</v>
      </c>
      <c r="B2889" t="s">
        <v>8175</v>
      </c>
      <c r="C2889" t="s">
        <v>8176</v>
      </c>
      <c r="D2889" t="s">
        <v>23</v>
      </c>
      <c r="E2889">
        <v>3135</v>
      </c>
      <c r="F2889" s="3">
        <v>42075</v>
      </c>
      <c r="H2889" t="s">
        <v>15523</v>
      </c>
      <c r="I2889" t="s">
        <v>17538</v>
      </c>
      <c r="K2889" t="e">
        <v>#N/A</v>
      </c>
      <c r="S2889" s="3"/>
    </row>
    <row r="2890" spans="1:19" x14ac:dyDescent="0.25">
      <c r="A2890" t="s">
        <v>8177</v>
      </c>
      <c r="B2890" t="s">
        <v>8178</v>
      </c>
      <c r="C2890" t="s">
        <v>8179</v>
      </c>
      <c r="D2890" t="s">
        <v>23</v>
      </c>
      <c r="E2890">
        <v>250</v>
      </c>
      <c r="F2890" s="3">
        <v>40702</v>
      </c>
      <c r="H2890" t="s">
        <v>15523</v>
      </c>
      <c r="I2890" t="s">
        <v>17539</v>
      </c>
      <c r="K2890" t="e">
        <v>#N/A</v>
      </c>
      <c r="S2890" s="3"/>
    </row>
    <row r="2891" spans="1:19" x14ac:dyDescent="0.25">
      <c r="A2891" t="s">
        <v>8180</v>
      </c>
      <c r="B2891" t="s">
        <v>8181</v>
      </c>
      <c r="C2891" t="s">
        <v>8182</v>
      </c>
      <c r="D2891" t="s">
        <v>23</v>
      </c>
      <c r="E2891">
        <v>256</v>
      </c>
      <c r="F2891" s="3">
        <v>40702</v>
      </c>
      <c r="H2891" t="s">
        <v>15523</v>
      </c>
      <c r="I2891" t="s">
        <v>17540</v>
      </c>
      <c r="K2891" t="e">
        <v>#N/A</v>
      </c>
      <c r="S2891" s="3"/>
    </row>
    <row r="2892" spans="1:19" x14ac:dyDescent="0.25">
      <c r="A2892" t="s">
        <v>8183</v>
      </c>
      <c r="B2892" t="s">
        <v>8184</v>
      </c>
      <c r="C2892" t="s">
        <v>8185</v>
      </c>
      <c r="D2892" t="s">
        <v>23</v>
      </c>
      <c r="E2892">
        <v>251</v>
      </c>
      <c r="F2892" s="3">
        <v>40702</v>
      </c>
      <c r="H2892" t="s">
        <v>15523</v>
      </c>
      <c r="I2892" t="s">
        <v>17541</v>
      </c>
      <c r="K2892" t="e">
        <v>#N/A</v>
      </c>
      <c r="S2892" s="3"/>
    </row>
    <row r="2893" spans="1:19" x14ac:dyDescent="0.25">
      <c r="A2893" t="s">
        <v>8186</v>
      </c>
      <c r="B2893" t="s">
        <v>8187</v>
      </c>
      <c r="C2893" t="s">
        <v>8188</v>
      </c>
      <c r="D2893" t="s">
        <v>23</v>
      </c>
      <c r="E2893">
        <v>3136</v>
      </c>
      <c r="F2893" s="3">
        <v>41216</v>
      </c>
      <c r="H2893" t="s">
        <v>15523</v>
      </c>
      <c r="I2893" t="s">
        <v>17542</v>
      </c>
      <c r="K2893" t="e">
        <v>#N/A</v>
      </c>
      <c r="S2893" s="3"/>
    </row>
    <row r="2894" spans="1:19" x14ac:dyDescent="0.25">
      <c r="A2894" t="s">
        <v>8189</v>
      </c>
      <c r="B2894" t="s">
        <v>8190</v>
      </c>
      <c r="C2894" t="s">
        <v>8191</v>
      </c>
      <c r="D2894" t="s">
        <v>23</v>
      </c>
      <c r="E2894">
        <v>269</v>
      </c>
      <c r="F2894" s="3">
        <v>40702</v>
      </c>
      <c r="H2894" t="s">
        <v>15523</v>
      </c>
      <c r="I2894" t="s">
        <v>17543</v>
      </c>
      <c r="K2894" t="e">
        <v>#N/A</v>
      </c>
      <c r="S2894" s="3"/>
    </row>
    <row r="2895" spans="1:19" x14ac:dyDescent="0.25">
      <c r="A2895" t="s">
        <v>8192</v>
      </c>
      <c r="B2895" t="s">
        <v>8193</v>
      </c>
      <c r="C2895" t="s">
        <v>8194</v>
      </c>
      <c r="D2895" t="s">
        <v>23</v>
      </c>
      <c r="E2895">
        <v>3139</v>
      </c>
      <c r="F2895" s="3">
        <v>40702</v>
      </c>
      <c r="H2895" t="s">
        <v>15523</v>
      </c>
      <c r="I2895" t="s">
        <v>17544</v>
      </c>
      <c r="K2895" t="e">
        <v>#N/A</v>
      </c>
      <c r="S2895" s="3"/>
    </row>
    <row r="2896" spans="1:19" x14ac:dyDescent="0.25">
      <c r="A2896" t="s">
        <v>8195</v>
      </c>
      <c r="B2896" t="s">
        <v>8196</v>
      </c>
      <c r="C2896" t="s">
        <v>8197</v>
      </c>
      <c r="D2896" t="s">
        <v>23</v>
      </c>
      <c r="E2896">
        <v>3149</v>
      </c>
      <c r="F2896" s="3">
        <v>40702</v>
      </c>
      <c r="H2896" t="s">
        <v>15523</v>
      </c>
      <c r="I2896" t="s">
        <v>17545</v>
      </c>
      <c r="K2896" t="e">
        <v>#N/A</v>
      </c>
      <c r="S2896" s="3"/>
    </row>
    <row r="2897" spans="1:19" x14ac:dyDescent="0.25">
      <c r="A2897" t="s">
        <v>8198</v>
      </c>
      <c r="B2897" t="s">
        <v>8199</v>
      </c>
      <c r="C2897" t="s">
        <v>8200</v>
      </c>
      <c r="D2897" t="s">
        <v>23</v>
      </c>
      <c r="E2897">
        <v>264</v>
      </c>
      <c r="F2897" s="3">
        <v>40702</v>
      </c>
      <c r="H2897" t="s">
        <v>15523</v>
      </c>
      <c r="I2897" t="s">
        <v>17546</v>
      </c>
      <c r="K2897" t="e">
        <v>#N/A</v>
      </c>
      <c r="S2897" s="3"/>
    </row>
    <row r="2898" spans="1:19" x14ac:dyDescent="0.25">
      <c r="A2898" t="s">
        <v>8201</v>
      </c>
      <c r="B2898" t="s">
        <v>8202</v>
      </c>
      <c r="C2898" t="s">
        <v>8203</v>
      </c>
      <c r="D2898" t="s">
        <v>23</v>
      </c>
      <c r="E2898">
        <v>267</v>
      </c>
      <c r="F2898" s="3">
        <v>40702</v>
      </c>
      <c r="H2898" t="s">
        <v>15523</v>
      </c>
      <c r="I2898" t="s">
        <v>17547</v>
      </c>
      <c r="K2898" t="e">
        <v>#N/A</v>
      </c>
      <c r="S2898" s="3"/>
    </row>
    <row r="2899" spans="1:19" x14ac:dyDescent="0.25">
      <c r="A2899" t="s">
        <v>8204</v>
      </c>
      <c r="B2899" t="s">
        <v>8205</v>
      </c>
      <c r="C2899" t="s">
        <v>8206</v>
      </c>
      <c r="D2899" t="s">
        <v>23</v>
      </c>
      <c r="E2899">
        <v>265</v>
      </c>
      <c r="F2899" s="3">
        <v>40702</v>
      </c>
      <c r="H2899" t="s">
        <v>15523</v>
      </c>
      <c r="I2899" t="s">
        <v>17548</v>
      </c>
      <c r="K2899" t="e">
        <v>#N/A</v>
      </c>
      <c r="S2899" s="3"/>
    </row>
    <row r="2900" spans="1:19" x14ac:dyDescent="0.25">
      <c r="A2900" t="s">
        <v>8207</v>
      </c>
      <c r="B2900" t="s">
        <v>8208</v>
      </c>
      <c r="C2900" t="s">
        <v>8209</v>
      </c>
      <c r="D2900" t="s">
        <v>23</v>
      </c>
      <c r="E2900">
        <v>266</v>
      </c>
      <c r="F2900" s="3">
        <v>40702</v>
      </c>
      <c r="H2900" t="s">
        <v>15523</v>
      </c>
      <c r="I2900" t="s">
        <v>17549</v>
      </c>
      <c r="K2900" t="e">
        <v>#N/A</v>
      </c>
      <c r="S2900" s="3"/>
    </row>
    <row r="2901" spans="1:19" x14ac:dyDescent="0.25">
      <c r="A2901" t="s">
        <v>8210</v>
      </c>
      <c r="B2901" t="s">
        <v>8211</v>
      </c>
      <c r="C2901" t="s">
        <v>8212</v>
      </c>
      <c r="D2901" t="s">
        <v>23</v>
      </c>
      <c r="E2901">
        <v>268</v>
      </c>
      <c r="F2901" s="3">
        <v>40702</v>
      </c>
      <c r="H2901" t="s">
        <v>15523</v>
      </c>
      <c r="I2901" t="s">
        <v>17550</v>
      </c>
      <c r="K2901" t="e">
        <v>#N/A</v>
      </c>
      <c r="S2901" s="3"/>
    </row>
    <row r="2902" spans="1:19" x14ac:dyDescent="0.25">
      <c r="A2902" t="s">
        <v>8213</v>
      </c>
      <c r="B2902" t="s">
        <v>8214</v>
      </c>
      <c r="C2902" t="s">
        <v>8215</v>
      </c>
      <c r="D2902" t="s">
        <v>23</v>
      </c>
      <c r="E2902">
        <v>3151</v>
      </c>
      <c r="F2902" s="3">
        <v>41230</v>
      </c>
      <c r="H2902" t="s">
        <v>15523</v>
      </c>
      <c r="I2902" t="s">
        <v>17551</v>
      </c>
      <c r="K2902" t="e">
        <v>#N/A</v>
      </c>
      <c r="S2902" s="3"/>
    </row>
    <row r="2903" spans="1:19" x14ac:dyDescent="0.25">
      <c r="A2903" t="s">
        <v>8216</v>
      </c>
      <c r="B2903" t="s">
        <v>8217</v>
      </c>
      <c r="C2903" t="s">
        <v>8218</v>
      </c>
      <c r="D2903" t="s">
        <v>23</v>
      </c>
      <c r="E2903">
        <v>5275</v>
      </c>
      <c r="F2903" s="3">
        <v>42055</v>
      </c>
      <c r="H2903" t="s">
        <v>15523</v>
      </c>
      <c r="I2903" t="s">
        <v>17552</v>
      </c>
      <c r="K2903" t="e">
        <v>#N/A</v>
      </c>
      <c r="S2903" s="3"/>
    </row>
    <row r="2904" spans="1:19" x14ac:dyDescent="0.25">
      <c r="A2904" t="s">
        <v>8219</v>
      </c>
      <c r="B2904" t="s">
        <v>8220</v>
      </c>
      <c r="C2904" t="s">
        <v>8221</v>
      </c>
      <c r="D2904" t="s">
        <v>23</v>
      </c>
      <c r="E2904">
        <v>283</v>
      </c>
      <c r="F2904" s="3">
        <v>40702</v>
      </c>
      <c r="H2904" t="s">
        <v>15523</v>
      </c>
      <c r="I2904" t="s">
        <v>17553</v>
      </c>
      <c r="K2904" t="e">
        <v>#N/A</v>
      </c>
      <c r="S2904" s="3"/>
    </row>
    <row r="2905" spans="1:19" x14ac:dyDescent="0.25">
      <c r="A2905" t="s">
        <v>8222</v>
      </c>
      <c r="B2905" t="s">
        <v>8223</v>
      </c>
      <c r="C2905" t="s">
        <v>8224</v>
      </c>
      <c r="D2905" t="s">
        <v>23</v>
      </c>
      <c r="E2905">
        <v>3154</v>
      </c>
      <c r="F2905" s="3">
        <v>40702</v>
      </c>
      <c r="H2905" t="s">
        <v>15523</v>
      </c>
      <c r="I2905" t="s">
        <v>17554</v>
      </c>
      <c r="K2905" t="e">
        <v>#N/A</v>
      </c>
      <c r="S2905" s="3"/>
    </row>
    <row r="2906" spans="1:19" x14ac:dyDescent="0.25">
      <c r="A2906" t="s">
        <v>8225</v>
      </c>
      <c r="B2906" t="s">
        <v>8226</v>
      </c>
      <c r="C2906" t="s">
        <v>8227</v>
      </c>
      <c r="D2906" t="s">
        <v>23</v>
      </c>
      <c r="E2906">
        <v>282</v>
      </c>
      <c r="F2906" s="3">
        <v>40702</v>
      </c>
      <c r="H2906" t="s">
        <v>15523</v>
      </c>
      <c r="I2906" t="s">
        <v>17555</v>
      </c>
      <c r="K2906" t="e">
        <v>#N/A</v>
      </c>
      <c r="S2906" s="3"/>
    </row>
    <row r="2907" spans="1:19" x14ac:dyDescent="0.25">
      <c r="A2907" t="s">
        <v>8228</v>
      </c>
      <c r="B2907" t="s">
        <v>8229</v>
      </c>
      <c r="C2907" t="s">
        <v>8230</v>
      </c>
      <c r="D2907" t="s">
        <v>23</v>
      </c>
      <c r="E2907">
        <v>3155</v>
      </c>
      <c r="F2907" s="3">
        <v>40702</v>
      </c>
      <c r="H2907" t="s">
        <v>15523</v>
      </c>
      <c r="I2907" t="s">
        <v>17556</v>
      </c>
      <c r="K2907" t="e">
        <v>#N/A</v>
      </c>
      <c r="S2907" s="3"/>
    </row>
    <row r="2908" spans="1:19" x14ac:dyDescent="0.25">
      <c r="A2908" t="s">
        <v>8231</v>
      </c>
      <c r="B2908" t="s">
        <v>8232</v>
      </c>
      <c r="C2908" t="s">
        <v>8233</v>
      </c>
      <c r="D2908" t="s">
        <v>23</v>
      </c>
      <c r="E2908">
        <v>3156</v>
      </c>
      <c r="F2908" s="3">
        <v>40702</v>
      </c>
      <c r="H2908" t="s">
        <v>15523</v>
      </c>
      <c r="I2908" t="s">
        <v>17557</v>
      </c>
      <c r="K2908" t="e">
        <v>#N/A</v>
      </c>
      <c r="S2908" s="3"/>
    </row>
    <row r="2909" spans="1:19" x14ac:dyDescent="0.25">
      <c r="A2909" t="s">
        <v>8234</v>
      </c>
      <c r="B2909" t="s">
        <v>8235</v>
      </c>
      <c r="C2909" t="s">
        <v>8236</v>
      </c>
      <c r="D2909" t="s">
        <v>23</v>
      </c>
      <c r="E2909">
        <v>6084</v>
      </c>
      <c r="F2909" s="3">
        <v>43865</v>
      </c>
      <c r="H2909" t="s">
        <v>15523</v>
      </c>
      <c r="I2909" t="s">
        <v>17558</v>
      </c>
      <c r="K2909" t="e">
        <v>#N/A</v>
      </c>
      <c r="S2909" s="3"/>
    </row>
    <row r="2910" spans="1:19" x14ac:dyDescent="0.25">
      <c r="A2910" t="s">
        <v>8237</v>
      </c>
      <c r="B2910" t="s">
        <v>8238</v>
      </c>
      <c r="C2910" t="s">
        <v>8239</v>
      </c>
      <c r="D2910" t="s">
        <v>23</v>
      </c>
      <c r="E2910">
        <v>3159</v>
      </c>
      <c r="F2910" s="3">
        <v>41230</v>
      </c>
      <c r="H2910" t="s">
        <v>15523</v>
      </c>
      <c r="I2910" t="s">
        <v>17559</v>
      </c>
      <c r="K2910" t="e">
        <v>#N/A</v>
      </c>
      <c r="S2910" s="3"/>
    </row>
    <row r="2911" spans="1:19" x14ac:dyDescent="0.25">
      <c r="A2911" t="s">
        <v>8240</v>
      </c>
      <c r="B2911" t="s">
        <v>8241</v>
      </c>
      <c r="C2911" t="s">
        <v>8242</v>
      </c>
      <c r="D2911" t="s">
        <v>23</v>
      </c>
      <c r="E2911">
        <v>293</v>
      </c>
      <c r="F2911" s="3">
        <v>41461</v>
      </c>
      <c r="H2911" t="s">
        <v>15523</v>
      </c>
      <c r="I2911" t="s">
        <v>17560</v>
      </c>
      <c r="K2911" t="e">
        <v>#N/A</v>
      </c>
      <c r="S2911" s="3"/>
    </row>
    <row r="2912" spans="1:19" x14ac:dyDescent="0.25">
      <c r="A2912" t="s">
        <v>8243</v>
      </c>
      <c r="B2912" t="s">
        <v>8244</v>
      </c>
      <c r="C2912" t="s">
        <v>8245</v>
      </c>
      <c r="D2912" t="s">
        <v>23</v>
      </c>
      <c r="E2912">
        <v>6052</v>
      </c>
      <c r="F2912" s="3">
        <v>43781</v>
      </c>
      <c r="H2912" t="s">
        <v>15523</v>
      </c>
      <c r="I2912" t="s">
        <v>17561</v>
      </c>
      <c r="K2912" t="e">
        <v>#N/A</v>
      </c>
      <c r="S2912" s="3"/>
    </row>
    <row r="2913" spans="1:19" x14ac:dyDescent="0.25">
      <c r="A2913" t="s">
        <v>8246</v>
      </c>
      <c r="B2913" t="s">
        <v>8247</v>
      </c>
      <c r="C2913" t="s">
        <v>8248</v>
      </c>
      <c r="D2913" t="s">
        <v>23</v>
      </c>
      <c r="E2913">
        <v>3165</v>
      </c>
      <c r="F2913" s="3">
        <v>40702</v>
      </c>
      <c r="H2913" t="s">
        <v>15523</v>
      </c>
      <c r="I2913" t="s">
        <v>17562</v>
      </c>
      <c r="K2913" t="e">
        <v>#N/A</v>
      </c>
      <c r="S2913" s="3"/>
    </row>
    <row r="2914" spans="1:19" x14ac:dyDescent="0.25">
      <c r="A2914" t="s">
        <v>8249</v>
      </c>
      <c r="B2914" t="s">
        <v>8250</v>
      </c>
      <c r="C2914" t="s">
        <v>8251</v>
      </c>
      <c r="D2914" t="s">
        <v>23</v>
      </c>
      <c r="E2914">
        <v>3164</v>
      </c>
      <c r="F2914" s="3">
        <v>40702</v>
      </c>
      <c r="H2914" t="s">
        <v>15523</v>
      </c>
      <c r="I2914" t="s">
        <v>17563</v>
      </c>
      <c r="K2914" t="e">
        <v>#N/A</v>
      </c>
      <c r="S2914" s="3"/>
    </row>
    <row r="2915" spans="1:19" x14ac:dyDescent="0.25">
      <c r="A2915" t="s">
        <v>8252</v>
      </c>
      <c r="B2915" t="s">
        <v>8253</v>
      </c>
      <c r="C2915" t="s">
        <v>8254</v>
      </c>
      <c r="D2915" t="s">
        <v>23</v>
      </c>
      <c r="E2915">
        <v>5136</v>
      </c>
      <c r="F2915" s="3">
        <v>41860</v>
      </c>
      <c r="H2915" t="s">
        <v>15523</v>
      </c>
      <c r="I2915" t="s">
        <v>17564</v>
      </c>
      <c r="K2915" t="e">
        <v>#N/A</v>
      </c>
      <c r="S2915" s="3"/>
    </row>
    <row r="2916" spans="1:19" x14ac:dyDescent="0.25">
      <c r="A2916" t="s">
        <v>8255</v>
      </c>
      <c r="B2916" t="s">
        <v>8256</v>
      </c>
      <c r="C2916" t="s">
        <v>8257</v>
      </c>
      <c r="D2916" t="s">
        <v>23</v>
      </c>
      <c r="E2916">
        <v>3166</v>
      </c>
      <c r="F2916" s="3">
        <v>41216</v>
      </c>
      <c r="H2916" t="s">
        <v>15523</v>
      </c>
      <c r="I2916" t="s">
        <v>17565</v>
      </c>
      <c r="K2916" t="e">
        <v>#N/A</v>
      </c>
      <c r="S2916" s="3"/>
    </row>
    <row r="2917" spans="1:19" x14ac:dyDescent="0.25">
      <c r="A2917" t="s">
        <v>8258</v>
      </c>
      <c r="B2917" t="s">
        <v>8259</v>
      </c>
      <c r="C2917" t="s">
        <v>8260</v>
      </c>
      <c r="D2917" t="s">
        <v>23</v>
      </c>
      <c r="E2917">
        <v>3167</v>
      </c>
      <c r="F2917" s="3">
        <v>40702</v>
      </c>
      <c r="H2917" t="s">
        <v>15523</v>
      </c>
      <c r="I2917" t="s">
        <v>17566</v>
      </c>
      <c r="K2917" t="e">
        <v>#N/A</v>
      </c>
      <c r="S2917" s="3"/>
    </row>
    <row r="2918" spans="1:19" x14ac:dyDescent="0.25">
      <c r="A2918" t="s">
        <v>8261</v>
      </c>
      <c r="B2918" t="s">
        <v>8262</v>
      </c>
      <c r="C2918" t="s">
        <v>8263</v>
      </c>
      <c r="D2918" t="s">
        <v>23</v>
      </c>
      <c r="E2918">
        <v>5137</v>
      </c>
      <c r="F2918" s="3">
        <v>41928</v>
      </c>
      <c r="H2918" t="s">
        <v>15523</v>
      </c>
      <c r="I2918" t="s">
        <v>17567</v>
      </c>
      <c r="K2918" t="e">
        <v>#N/A</v>
      </c>
      <c r="S2918" s="3"/>
    </row>
    <row r="2919" spans="1:19" x14ac:dyDescent="0.25">
      <c r="A2919" t="s">
        <v>8264</v>
      </c>
      <c r="B2919" t="s">
        <v>8265</v>
      </c>
      <c r="C2919" t="s">
        <v>8266</v>
      </c>
      <c r="D2919" t="s">
        <v>23</v>
      </c>
      <c r="E2919">
        <v>5739</v>
      </c>
      <c r="F2919" s="3">
        <v>42742</v>
      </c>
      <c r="H2919" t="s">
        <v>15523</v>
      </c>
      <c r="I2919" t="s">
        <v>17568</v>
      </c>
      <c r="K2919" t="e">
        <v>#N/A</v>
      </c>
      <c r="S2919" s="3"/>
    </row>
    <row r="2920" spans="1:19" x14ac:dyDescent="0.25">
      <c r="A2920" t="s">
        <v>8267</v>
      </c>
      <c r="B2920" t="s">
        <v>8268</v>
      </c>
      <c r="C2920" t="s">
        <v>8269</v>
      </c>
      <c r="D2920" t="s">
        <v>23</v>
      </c>
      <c r="E2920">
        <v>312</v>
      </c>
      <c r="F2920" s="3">
        <v>40702</v>
      </c>
      <c r="H2920" t="s">
        <v>15523</v>
      </c>
      <c r="I2920" t="s">
        <v>17569</v>
      </c>
      <c r="K2920" t="e">
        <v>#N/A</v>
      </c>
      <c r="S2920" s="3"/>
    </row>
    <row r="2921" spans="1:19" x14ac:dyDescent="0.25">
      <c r="A2921" t="s">
        <v>8270</v>
      </c>
      <c r="B2921" t="s">
        <v>8271</v>
      </c>
      <c r="C2921" t="s">
        <v>8272</v>
      </c>
      <c r="D2921" t="s">
        <v>23</v>
      </c>
      <c r="E2921">
        <v>287</v>
      </c>
      <c r="F2921" s="3">
        <v>40702</v>
      </c>
      <c r="H2921" t="s">
        <v>15523</v>
      </c>
      <c r="I2921" t="s">
        <v>17570</v>
      </c>
      <c r="K2921" t="e">
        <v>#N/A</v>
      </c>
      <c r="S2921" s="3"/>
    </row>
    <row r="2922" spans="1:19" x14ac:dyDescent="0.25">
      <c r="A2922" t="s">
        <v>8273</v>
      </c>
      <c r="B2922" t="s">
        <v>8274</v>
      </c>
      <c r="C2922" t="s">
        <v>8275</v>
      </c>
      <c r="D2922" t="s">
        <v>23</v>
      </c>
      <c r="E2922">
        <v>285</v>
      </c>
      <c r="F2922" s="3">
        <v>40702</v>
      </c>
      <c r="H2922" t="s">
        <v>15523</v>
      </c>
      <c r="I2922" t="s">
        <v>17571</v>
      </c>
      <c r="K2922" t="e">
        <v>#N/A</v>
      </c>
      <c r="S2922" s="3"/>
    </row>
    <row r="2923" spans="1:19" x14ac:dyDescent="0.25">
      <c r="A2923" t="s">
        <v>8276</v>
      </c>
      <c r="B2923" t="s">
        <v>8277</v>
      </c>
      <c r="C2923" t="s">
        <v>8278</v>
      </c>
      <c r="D2923" t="s">
        <v>23</v>
      </c>
      <c r="E2923">
        <v>5242</v>
      </c>
      <c r="F2923" s="3">
        <v>42040</v>
      </c>
      <c r="H2923" t="s">
        <v>15523</v>
      </c>
      <c r="I2923" t="s">
        <v>17572</v>
      </c>
      <c r="K2923" t="e">
        <v>#N/A</v>
      </c>
      <c r="S2923" s="3"/>
    </row>
    <row r="2924" spans="1:19" x14ac:dyDescent="0.25">
      <c r="A2924" t="s">
        <v>8279</v>
      </c>
      <c r="B2924" t="s">
        <v>8280</v>
      </c>
      <c r="C2924" t="s">
        <v>8281</v>
      </c>
      <c r="D2924" t="s">
        <v>23</v>
      </c>
      <c r="E2924">
        <v>3168</v>
      </c>
      <c r="F2924" s="3">
        <v>41230</v>
      </c>
      <c r="H2924" t="s">
        <v>15523</v>
      </c>
      <c r="I2924" t="s">
        <v>17573</v>
      </c>
      <c r="K2924" t="e">
        <v>#N/A</v>
      </c>
      <c r="S2924" s="3"/>
    </row>
    <row r="2925" spans="1:19" x14ac:dyDescent="0.25">
      <c r="A2925" t="s">
        <v>8282</v>
      </c>
      <c r="B2925" t="s">
        <v>8283</v>
      </c>
      <c r="C2925" t="s">
        <v>8284</v>
      </c>
      <c r="D2925" t="s">
        <v>23</v>
      </c>
      <c r="E2925">
        <v>286</v>
      </c>
      <c r="F2925" s="3">
        <v>40702</v>
      </c>
      <c r="H2925" t="s">
        <v>15523</v>
      </c>
      <c r="I2925" t="s">
        <v>17574</v>
      </c>
      <c r="K2925" t="e">
        <v>#N/A</v>
      </c>
      <c r="S2925" s="3"/>
    </row>
    <row r="2926" spans="1:19" x14ac:dyDescent="0.25">
      <c r="A2926" t="s">
        <v>8285</v>
      </c>
      <c r="B2926" t="s">
        <v>8286</v>
      </c>
      <c r="C2926" t="s">
        <v>8287</v>
      </c>
      <c r="D2926" t="s">
        <v>23</v>
      </c>
      <c r="E2926">
        <v>3169</v>
      </c>
      <c r="F2926" s="3">
        <v>40702</v>
      </c>
      <c r="H2926" t="s">
        <v>15523</v>
      </c>
      <c r="I2926" t="s">
        <v>17575</v>
      </c>
      <c r="K2926" t="e">
        <v>#N/A</v>
      </c>
      <c r="S2926" s="3"/>
    </row>
    <row r="2927" spans="1:19" x14ac:dyDescent="0.25">
      <c r="A2927" t="s">
        <v>8288</v>
      </c>
      <c r="B2927" t="s">
        <v>8289</v>
      </c>
      <c r="C2927" t="s">
        <v>8290</v>
      </c>
      <c r="D2927" t="s">
        <v>23</v>
      </c>
      <c r="E2927">
        <v>3171</v>
      </c>
      <c r="F2927" s="3">
        <v>40702</v>
      </c>
      <c r="H2927" t="s">
        <v>15523</v>
      </c>
      <c r="I2927" t="s">
        <v>17576</v>
      </c>
      <c r="K2927" t="e">
        <v>#N/A</v>
      </c>
      <c r="S2927" s="3"/>
    </row>
    <row r="2928" spans="1:19" x14ac:dyDescent="0.25">
      <c r="A2928" t="s">
        <v>8291</v>
      </c>
      <c r="B2928" t="s">
        <v>8292</v>
      </c>
      <c r="C2928" t="s">
        <v>8293</v>
      </c>
      <c r="D2928" t="s">
        <v>23</v>
      </c>
      <c r="E2928">
        <v>3170</v>
      </c>
      <c r="F2928" s="3">
        <v>40702</v>
      </c>
      <c r="H2928" t="s">
        <v>15523</v>
      </c>
      <c r="I2928" t="s">
        <v>17577</v>
      </c>
      <c r="K2928" t="e">
        <v>#N/A</v>
      </c>
      <c r="S2928" s="3"/>
    </row>
    <row r="2929" spans="1:19" x14ac:dyDescent="0.25">
      <c r="A2929" t="s">
        <v>8294</v>
      </c>
      <c r="B2929" t="s">
        <v>8295</v>
      </c>
      <c r="C2929" t="s">
        <v>8296</v>
      </c>
      <c r="D2929" t="s">
        <v>23</v>
      </c>
      <c r="E2929">
        <v>295</v>
      </c>
      <c r="F2929" s="3">
        <v>40702</v>
      </c>
      <c r="H2929" t="s">
        <v>15523</v>
      </c>
      <c r="I2929" t="s">
        <v>17578</v>
      </c>
      <c r="K2929" t="e">
        <v>#N/A</v>
      </c>
      <c r="S2929" s="3"/>
    </row>
    <row r="2930" spans="1:19" x14ac:dyDescent="0.25">
      <c r="A2930" t="s">
        <v>8297</v>
      </c>
      <c r="B2930" t="s">
        <v>8298</v>
      </c>
      <c r="C2930" t="s">
        <v>8299</v>
      </c>
      <c r="D2930" t="s">
        <v>23</v>
      </c>
      <c r="E2930">
        <v>297</v>
      </c>
      <c r="F2930" s="3">
        <v>40702</v>
      </c>
      <c r="H2930" t="s">
        <v>15523</v>
      </c>
      <c r="I2930" t="s">
        <v>17579</v>
      </c>
      <c r="K2930" t="e">
        <v>#N/A</v>
      </c>
      <c r="S2930" s="3"/>
    </row>
    <row r="2931" spans="1:19" x14ac:dyDescent="0.25">
      <c r="A2931" t="s">
        <v>8300</v>
      </c>
      <c r="B2931" t="s">
        <v>8301</v>
      </c>
      <c r="C2931" t="s">
        <v>8302</v>
      </c>
      <c r="D2931" t="s">
        <v>23</v>
      </c>
      <c r="E2931">
        <v>300</v>
      </c>
      <c r="F2931" s="3">
        <v>40702</v>
      </c>
      <c r="H2931" t="s">
        <v>15523</v>
      </c>
      <c r="I2931" t="s">
        <v>17580</v>
      </c>
      <c r="K2931" t="e">
        <v>#N/A</v>
      </c>
      <c r="S2931" s="3"/>
    </row>
    <row r="2932" spans="1:19" x14ac:dyDescent="0.25">
      <c r="A2932" t="s">
        <v>8303</v>
      </c>
      <c r="B2932" t="s">
        <v>8304</v>
      </c>
      <c r="C2932" t="s">
        <v>8305</v>
      </c>
      <c r="D2932" t="s">
        <v>23</v>
      </c>
      <c r="E2932">
        <v>298</v>
      </c>
      <c r="F2932" s="3">
        <v>40702</v>
      </c>
      <c r="H2932" t="s">
        <v>15523</v>
      </c>
      <c r="I2932" t="s">
        <v>17581</v>
      </c>
      <c r="K2932" t="e">
        <v>#N/A</v>
      </c>
      <c r="S2932" s="3"/>
    </row>
    <row r="2933" spans="1:19" x14ac:dyDescent="0.25">
      <c r="A2933" t="s">
        <v>8306</v>
      </c>
      <c r="B2933" t="s">
        <v>8307</v>
      </c>
      <c r="C2933" t="s">
        <v>8308</v>
      </c>
      <c r="D2933" t="s">
        <v>23</v>
      </c>
      <c r="E2933">
        <v>3174</v>
      </c>
      <c r="F2933" s="3">
        <v>40775</v>
      </c>
      <c r="H2933" t="s">
        <v>15523</v>
      </c>
      <c r="I2933" t="s">
        <v>17582</v>
      </c>
      <c r="K2933" t="e">
        <v>#N/A</v>
      </c>
      <c r="S2933" s="3"/>
    </row>
    <row r="2934" spans="1:19" x14ac:dyDescent="0.25">
      <c r="A2934" t="s">
        <v>8309</v>
      </c>
      <c r="B2934" t="s">
        <v>8310</v>
      </c>
      <c r="C2934" t="s">
        <v>8311</v>
      </c>
      <c r="D2934" t="s">
        <v>23</v>
      </c>
      <c r="E2934">
        <v>1766</v>
      </c>
      <c r="F2934" s="3">
        <v>41461</v>
      </c>
      <c r="H2934" t="s">
        <v>15523</v>
      </c>
      <c r="I2934" t="s">
        <v>17583</v>
      </c>
      <c r="K2934" t="e">
        <v>#N/A</v>
      </c>
      <c r="S2934" s="3"/>
    </row>
    <row r="2935" spans="1:19" x14ac:dyDescent="0.25">
      <c r="A2935" t="s">
        <v>8312</v>
      </c>
      <c r="B2935" t="s">
        <v>8313</v>
      </c>
      <c r="C2935" t="s">
        <v>8314</v>
      </c>
      <c r="D2935" t="s">
        <v>23</v>
      </c>
      <c r="E2935">
        <v>6087</v>
      </c>
      <c r="F2935" s="3">
        <v>43865</v>
      </c>
      <c r="H2935" t="s">
        <v>15523</v>
      </c>
      <c r="I2935" t="s">
        <v>17584</v>
      </c>
      <c r="K2935" t="e">
        <v>#N/A</v>
      </c>
      <c r="S2935" s="3"/>
    </row>
    <row r="2936" spans="1:19" x14ac:dyDescent="0.25">
      <c r="A2936" t="s">
        <v>8315</v>
      </c>
      <c r="B2936" t="s">
        <v>8316</v>
      </c>
      <c r="C2936" t="s">
        <v>8317</v>
      </c>
      <c r="D2936" t="s">
        <v>23</v>
      </c>
      <c r="E2936">
        <v>701</v>
      </c>
      <c r="F2936" s="3">
        <v>40702</v>
      </c>
      <c r="H2936" t="s">
        <v>15523</v>
      </c>
      <c r="I2936" t="s">
        <v>17585</v>
      </c>
      <c r="K2936" t="e">
        <v>#N/A</v>
      </c>
      <c r="S2936" s="3"/>
    </row>
    <row r="2937" spans="1:19" x14ac:dyDescent="0.25">
      <c r="A2937" t="s">
        <v>8318</v>
      </c>
      <c r="B2937" t="s">
        <v>8319</v>
      </c>
      <c r="C2937" t="s">
        <v>8320</v>
      </c>
      <c r="D2937" t="s">
        <v>23</v>
      </c>
      <c r="E2937">
        <v>5253</v>
      </c>
      <c r="F2937" s="3">
        <v>42042</v>
      </c>
      <c r="H2937" t="s">
        <v>15523</v>
      </c>
      <c r="I2937" t="s">
        <v>17586</v>
      </c>
      <c r="K2937" t="e">
        <v>#N/A</v>
      </c>
      <c r="S2937" s="3"/>
    </row>
    <row r="2938" spans="1:19" x14ac:dyDescent="0.25">
      <c r="A2938" t="s">
        <v>8321</v>
      </c>
      <c r="B2938" t="s">
        <v>8322</v>
      </c>
      <c r="C2938" t="s">
        <v>8323</v>
      </c>
      <c r="D2938" t="s">
        <v>23</v>
      </c>
      <c r="E2938">
        <v>313</v>
      </c>
      <c r="F2938" s="3">
        <v>40702</v>
      </c>
      <c r="H2938" t="s">
        <v>15523</v>
      </c>
      <c r="I2938" t="s">
        <v>17587</v>
      </c>
      <c r="K2938" t="e">
        <v>#N/A</v>
      </c>
      <c r="S2938" s="3"/>
    </row>
    <row r="2939" spans="1:19" x14ac:dyDescent="0.25">
      <c r="A2939" t="s">
        <v>8324</v>
      </c>
      <c r="B2939" t="s">
        <v>8325</v>
      </c>
      <c r="C2939" t="s">
        <v>8326</v>
      </c>
      <c r="D2939" t="s">
        <v>23</v>
      </c>
      <c r="E2939">
        <v>323</v>
      </c>
      <c r="F2939" s="3">
        <v>40702</v>
      </c>
      <c r="H2939" t="s">
        <v>15523</v>
      </c>
      <c r="I2939" t="s">
        <v>17588</v>
      </c>
      <c r="K2939" t="e">
        <v>#N/A</v>
      </c>
      <c r="S2939" s="3"/>
    </row>
    <row r="2940" spans="1:19" x14ac:dyDescent="0.25">
      <c r="A2940" t="s">
        <v>8327</v>
      </c>
      <c r="B2940" t="s">
        <v>8328</v>
      </c>
      <c r="C2940" t="s">
        <v>8329</v>
      </c>
      <c r="D2940" t="s">
        <v>23</v>
      </c>
      <c r="E2940">
        <v>3181</v>
      </c>
      <c r="F2940" s="3">
        <v>40702</v>
      </c>
      <c r="H2940" t="s">
        <v>15523</v>
      </c>
      <c r="I2940" t="s">
        <v>17589</v>
      </c>
      <c r="K2940" t="e">
        <v>#N/A</v>
      </c>
      <c r="S2940" s="3"/>
    </row>
    <row r="2941" spans="1:19" x14ac:dyDescent="0.25">
      <c r="A2941" t="s">
        <v>8330</v>
      </c>
      <c r="B2941" t="s">
        <v>8331</v>
      </c>
      <c r="C2941" t="s">
        <v>8332</v>
      </c>
      <c r="D2941" t="s">
        <v>23</v>
      </c>
      <c r="E2941">
        <v>5828</v>
      </c>
      <c r="F2941" s="3">
        <v>42956</v>
      </c>
      <c r="H2941" t="s">
        <v>15523</v>
      </c>
      <c r="I2941" t="s">
        <v>17590</v>
      </c>
      <c r="K2941" t="e">
        <v>#N/A</v>
      </c>
      <c r="S2941" s="3"/>
    </row>
    <row r="2942" spans="1:19" x14ac:dyDescent="0.25">
      <c r="A2942" t="s">
        <v>8333</v>
      </c>
      <c r="B2942" t="s">
        <v>8334</v>
      </c>
      <c r="C2942" t="s">
        <v>8335</v>
      </c>
      <c r="D2942" t="s">
        <v>23</v>
      </c>
      <c r="E2942">
        <v>5298</v>
      </c>
      <c r="F2942" s="3">
        <v>42133</v>
      </c>
      <c r="H2942" t="s">
        <v>15523</v>
      </c>
      <c r="I2942" t="s">
        <v>17591</v>
      </c>
      <c r="K2942" t="e">
        <v>#N/A</v>
      </c>
      <c r="S2942" s="3"/>
    </row>
    <row r="2943" spans="1:19" x14ac:dyDescent="0.25">
      <c r="A2943" t="s">
        <v>8336</v>
      </c>
      <c r="B2943" t="s">
        <v>8337</v>
      </c>
      <c r="C2943" t="s">
        <v>8338</v>
      </c>
      <c r="D2943" t="s">
        <v>23</v>
      </c>
      <c r="E2943">
        <v>3186</v>
      </c>
      <c r="F2943" s="3">
        <v>40702</v>
      </c>
      <c r="H2943" t="s">
        <v>15523</v>
      </c>
      <c r="I2943" t="s">
        <v>17592</v>
      </c>
      <c r="K2943" t="e">
        <v>#N/A</v>
      </c>
      <c r="S2943" s="3"/>
    </row>
    <row r="2944" spans="1:19" x14ac:dyDescent="0.25">
      <c r="A2944" t="s">
        <v>8339</v>
      </c>
      <c r="B2944" t="s">
        <v>8340</v>
      </c>
      <c r="C2944" t="s">
        <v>8341</v>
      </c>
      <c r="D2944" t="s">
        <v>23</v>
      </c>
      <c r="E2944">
        <v>324</v>
      </c>
      <c r="F2944" s="3">
        <v>40702</v>
      </c>
      <c r="H2944" t="s">
        <v>15523</v>
      </c>
      <c r="I2944" t="s">
        <v>17593</v>
      </c>
      <c r="K2944" t="e">
        <v>#N/A</v>
      </c>
      <c r="S2944" s="3"/>
    </row>
    <row r="2945" spans="1:19" x14ac:dyDescent="0.25">
      <c r="A2945" t="s">
        <v>8342</v>
      </c>
      <c r="B2945" t="s">
        <v>8343</v>
      </c>
      <c r="C2945" t="s">
        <v>8344</v>
      </c>
      <c r="D2945" t="s">
        <v>23</v>
      </c>
      <c r="E2945">
        <v>3189</v>
      </c>
      <c r="F2945" s="3">
        <v>40702</v>
      </c>
      <c r="H2945" t="s">
        <v>15523</v>
      </c>
      <c r="I2945" t="s">
        <v>17594</v>
      </c>
      <c r="K2945" t="e">
        <v>#N/A</v>
      </c>
      <c r="S2945" s="3"/>
    </row>
    <row r="2946" spans="1:19" x14ac:dyDescent="0.25">
      <c r="A2946" t="s">
        <v>8345</v>
      </c>
      <c r="B2946" t="s">
        <v>8346</v>
      </c>
      <c r="C2946" t="s">
        <v>8347</v>
      </c>
      <c r="D2946" t="s">
        <v>23</v>
      </c>
      <c r="E2946">
        <v>325</v>
      </c>
      <c r="F2946" s="3">
        <v>40702</v>
      </c>
      <c r="H2946" t="s">
        <v>15523</v>
      </c>
      <c r="I2946" t="s">
        <v>17595</v>
      </c>
      <c r="K2946" t="e">
        <v>#N/A</v>
      </c>
      <c r="S2946" s="3"/>
    </row>
    <row r="2947" spans="1:19" x14ac:dyDescent="0.25">
      <c r="A2947" t="s">
        <v>8348</v>
      </c>
      <c r="B2947" t="s">
        <v>8349</v>
      </c>
      <c r="C2947" t="s">
        <v>8350</v>
      </c>
      <c r="D2947" t="s">
        <v>23</v>
      </c>
      <c r="E2947">
        <v>2336</v>
      </c>
      <c r="F2947" s="3">
        <v>40702</v>
      </c>
      <c r="H2947" t="s">
        <v>15523</v>
      </c>
      <c r="I2947" t="s">
        <v>17596</v>
      </c>
      <c r="K2947" t="e">
        <v>#N/A</v>
      </c>
      <c r="S2947" s="3"/>
    </row>
    <row r="2948" spans="1:19" x14ac:dyDescent="0.25">
      <c r="A2948" t="s">
        <v>8351</v>
      </c>
      <c r="B2948" t="s">
        <v>8352</v>
      </c>
      <c r="C2948" t="s">
        <v>8353</v>
      </c>
      <c r="D2948" t="s">
        <v>23</v>
      </c>
      <c r="E2948">
        <v>3192</v>
      </c>
      <c r="F2948" s="3">
        <v>40702</v>
      </c>
      <c r="H2948" t="s">
        <v>15523</v>
      </c>
      <c r="I2948" t="s">
        <v>17597</v>
      </c>
      <c r="K2948" t="e">
        <v>#N/A</v>
      </c>
      <c r="S2948" s="3"/>
    </row>
    <row r="2949" spans="1:19" x14ac:dyDescent="0.25">
      <c r="A2949" t="s">
        <v>8354</v>
      </c>
      <c r="B2949" t="s">
        <v>8355</v>
      </c>
      <c r="C2949" t="s">
        <v>8356</v>
      </c>
      <c r="D2949" t="s">
        <v>23</v>
      </c>
      <c r="E2949">
        <v>5323</v>
      </c>
      <c r="F2949" s="3">
        <v>42208</v>
      </c>
      <c r="H2949" t="s">
        <v>15523</v>
      </c>
      <c r="I2949" t="s">
        <v>17598</v>
      </c>
      <c r="K2949" t="e">
        <v>#N/A</v>
      </c>
      <c r="S2949" s="3"/>
    </row>
    <row r="2950" spans="1:19" x14ac:dyDescent="0.25">
      <c r="A2950" t="s">
        <v>8357</v>
      </c>
      <c r="B2950" t="s">
        <v>8358</v>
      </c>
      <c r="C2950" t="s">
        <v>8359</v>
      </c>
      <c r="D2950" t="s">
        <v>23</v>
      </c>
      <c r="E2950">
        <v>3193</v>
      </c>
      <c r="F2950" s="3">
        <v>40702</v>
      </c>
      <c r="H2950" t="s">
        <v>15523</v>
      </c>
      <c r="I2950" t="s">
        <v>17599</v>
      </c>
      <c r="K2950" t="e">
        <v>#N/A</v>
      </c>
      <c r="S2950" s="3"/>
    </row>
    <row r="2951" spans="1:19" x14ac:dyDescent="0.25">
      <c r="A2951" t="s">
        <v>8360</v>
      </c>
      <c r="B2951" t="s">
        <v>8361</v>
      </c>
      <c r="C2951" t="s">
        <v>8362</v>
      </c>
      <c r="D2951" t="s">
        <v>23</v>
      </c>
      <c r="E2951">
        <v>3194</v>
      </c>
      <c r="F2951" s="3">
        <v>41230</v>
      </c>
      <c r="H2951" t="s">
        <v>15523</v>
      </c>
      <c r="I2951" t="s">
        <v>17600</v>
      </c>
      <c r="K2951" t="e">
        <v>#N/A</v>
      </c>
      <c r="S2951" s="3"/>
    </row>
    <row r="2952" spans="1:19" x14ac:dyDescent="0.25">
      <c r="A2952" t="s">
        <v>8363</v>
      </c>
      <c r="B2952" t="s">
        <v>8364</v>
      </c>
      <c r="C2952" t="s">
        <v>8365</v>
      </c>
      <c r="D2952" t="s">
        <v>23</v>
      </c>
      <c r="E2952">
        <v>3195</v>
      </c>
      <c r="F2952" s="3">
        <v>40702</v>
      </c>
      <c r="H2952" t="s">
        <v>15523</v>
      </c>
      <c r="I2952" t="s">
        <v>17601</v>
      </c>
      <c r="K2952" t="e">
        <v>#N/A</v>
      </c>
      <c r="S2952" s="3"/>
    </row>
    <row r="2953" spans="1:19" x14ac:dyDescent="0.25">
      <c r="A2953" t="s">
        <v>8366</v>
      </c>
      <c r="B2953" t="s">
        <v>8367</v>
      </c>
      <c r="C2953" t="s">
        <v>8368</v>
      </c>
      <c r="D2953" t="s">
        <v>23</v>
      </c>
      <c r="E2953">
        <v>3196</v>
      </c>
      <c r="F2953" s="3">
        <v>40702</v>
      </c>
      <c r="H2953" t="s">
        <v>15523</v>
      </c>
      <c r="I2953" t="s">
        <v>17602</v>
      </c>
      <c r="K2953" t="e">
        <v>#N/A</v>
      </c>
      <c r="S2953" s="3"/>
    </row>
    <row r="2954" spans="1:19" x14ac:dyDescent="0.25">
      <c r="A2954" t="s">
        <v>8369</v>
      </c>
      <c r="B2954" t="s">
        <v>8370</v>
      </c>
      <c r="C2954" t="s">
        <v>8371</v>
      </c>
      <c r="D2954" t="s">
        <v>23</v>
      </c>
      <c r="E2954">
        <v>3197</v>
      </c>
      <c r="F2954" s="3">
        <v>40702</v>
      </c>
      <c r="H2954" t="s">
        <v>15523</v>
      </c>
      <c r="I2954" t="s">
        <v>17603</v>
      </c>
      <c r="K2954" t="e">
        <v>#N/A</v>
      </c>
      <c r="S2954" s="3"/>
    </row>
    <row r="2955" spans="1:19" x14ac:dyDescent="0.25">
      <c r="A2955" t="s">
        <v>8372</v>
      </c>
      <c r="B2955" t="s">
        <v>8373</v>
      </c>
      <c r="C2955" t="s">
        <v>8374</v>
      </c>
      <c r="D2955" t="s">
        <v>23</v>
      </c>
      <c r="E2955">
        <v>5028</v>
      </c>
      <c r="F2955" s="3">
        <v>41660</v>
      </c>
      <c r="H2955" t="s">
        <v>15523</v>
      </c>
      <c r="I2955" t="s">
        <v>17604</v>
      </c>
      <c r="K2955" t="e">
        <v>#N/A</v>
      </c>
      <c r="S2955" s="3"/>
    </row>
    <row r="2956" spans="1:19" x14ac:dyDescent="0.25">
      <c r="A2956" t="s">
        <v>8375</v>
      </c>
      <c r="B2956" t="s">
        <v>8376</v>
      </c>
      <c r="C2956" t="s">
        <v>8377</v>
      </c>
      <c r="D2956" t="s">
        <v>23</v>
      </c>
      <c r="E2956">
        <v>3198</v>
      </c>
      <c r="F2956" s="3">
        <v>40702</v>
      </c>
      <c r="H2956" t="s">
        <v>15523</v>
      </c>
      <c r="I2956" t="s">
        <v>17605</v>
      </c>
      <c r="K2956" t="e">
        <v>#N/A</v>
      </c>
      <c r="S2956" s="3"/>
    </row>
    <row r="2957" spans="1:19" x14ac:dyDescent="0.25">
      <c r="A2957" t="s">
        <v>8378</v>
      </c>
      <c r="B2957" t="s">
        <v>8379</v>
      </c>
      <c r="C2957" t="s">
        <v>8380</v>
      </c>
      <c r="D2957" t="s">
        <v>23</v>
      </c>
      <c r="E2957">
        <v>5029</v>
      </c>
      <c r="F2957" s="3">
        <v>41660</v>
      </c>
      <c r="H2957" t="s">
        <v>15523</v>
      </c>
      <c r="I2957" t="s">
        <v>17606</v>
      </c>
      <c r="K2957" t="e">
        <v>#N/A</v>
      </c>
      <c r="S2957" s="3"/>
    </row>
    <row r="2958" spans="1:19" x14ac:dyDescent="0.25">
      <c r="A2958" t="s">
        <v>8381</v>
      </c>
      <c r="B2958" t="s">
        <v>8382</v>
      </c>
      <c r="C2958" t="s">
        <v>8383</v>
      </c>
      <c r="D2958" t="s">
        <v>23</v>
      </c>
      <c r="E2958">
        <v>3207</v>
      </c>
      <c r="F2958" s="3">
        <v>40702</v>
      </c>
      <c r="H2958" t="s">
        <v>15523</v>
      </c>
      <c r="I2958" t="s">
        <v>17607</v>
      </c>
      <c r="K2958" t="e">
        <v>#N/A</v>
      </c>
      <c r="S2958" s="3"/>
    </row>
    <row r="2959" spans="1:19" x14ac:dyDescent="0.25">
      <c r="A2959" t="s">
        <v>8384</v>
      </c>
      <c r="B2959" t="s">
        <v>8385</v>
      </c>
      <c r="C2959" t="s">
        <v>8386</v>
      </c>
      <c r="D2959" t="s">
        <v>23</v>
      </c>
      <c r="E2959">
        <v>3244</v>
      </c>
      <c r="F2959" s="3">
        <v>40702</v>
      </c>
      <c r="H2959" t="s">
        <v>15523</v>
      </c>
      <c r="I2959" t="s">
        <v>17608</v>
      </c>
      <c r="K2959" t="e">
        <v>#N/A</v>
      </c>
      <c r="S2959" s="3"/>
    </row>
    <row r="2960" spans="1:19" x14ac:dyDescent="0.25">
      <c r="A2960" t="s">
        <v>8387</v>
      </c>
      <c r="B2960" t="s">
        <v>8388</v>
      </c>
      <c r="C2960" t="s">
        <v>8389</v>
      </c>
      <c r="D2960" t="s">
        <v>23</v>
      </c>
      <c r="E2960">
        <v>366</v>
      </c>
      <c r="F2960" s="3">
        <v>40702</v>
      </c>
      <c r="H2960" t="s">
        <v>15523</v>
      </c>
      <c r="I2960" t="s">
        <v>17609</v>
      </c>
      <c r="K2960" t="e">
        <v>#N/A</v>
      </c>
      <c r="S2960" s="3"/>
    </row>
    <row r="2961" spans="1:19" x14ac:dyDescent="0.25">
      <c r="A2961" t="s">
        <v>8390</v>
      </c>
      <c r="B2961" t="s">
        <v>8391</v>
      </c>
      <c r="C2961" t="s">
        <v>8392</v>
      </c>
      <c r="D2961" t="s">
        <v>23</v>
      </c>
      <c r="E2961">
        <v>367</v>
      </c>
      <c r="F2961" s="3">
        <v>40702</v>
      </c>
      <c r="H2961" t="s">
        <v>15523</v>
      </c>
      <c r="I2961" t="s">
        <v>17610</v>
      </c>
      <c r="K2961" t="e">
        <v>#N/A</v>
      </c>
      <c r="S2961" s="3"/>
    </row>
    <row r="2962" spans="1:19" x14ac:dyDescent="0.25">
      <c r="A2962" t="s">
        <v>8393</v>
      </c>
      <c r="B2962" t="s">
        <v>8394</v>
      </c>
      <c r="C2962" t="s">
        <v>8395</v>
      </c>
      <c r="D2962" t="s">
        <v>23</v>
      </c>
      <c r="E2962">
        <v>3203</v>
      </c>
      <c r="F2962" s="3">
        <v>41023</v>
      </c>
      <c r="H2962" t="s">
        <v>15523</v>
      </c>
      <c r="I2962" t="s">
        <v>17611</v>
      </c>
      <c r="K2962" t="e">
        <v>#N/A</v>
      </c>
      <c r="S2962" s="3"/>
    </row>
    <row r="2963" spans="1:19" x14ac:dyDescent="0.25">
      <c r="A2963" t="s">
        <v>8396</v>
      </c>
      <c r="B2963" t="s">
        <v>8397</v>
      </c>
      <c r="C2963" t="s">
        <v>8398</v>
      </c>
      <c r="D2963" t="s">
        <v>23</v>
      </c>
      <c r="E2963">
        <v>3204</v>
      </c>
      <c r="F2963" s="3">
        <v>40702</v>
      </c>
      <c r="H2963" t="s">
        <v>15523</v>
      </c>
      <c r="I2963" t="s">
        <v>17612</v>
      </c>
      <c r="K2963" t="e">
        <v>#N/A</v>
      </c>
      <c r="S2963" s="3"/>
    </row>
    <row r="2964" spans="1:19" x14ac:dyDescent="0.25">
      <c r="A2964" t="s">
        <v>8399</v>
      </c>
      <c r="B2964" t="s">
        <v>8400</v>
      </c>
      <c r="C2964" t="s">
        <v>8401</v>
      </c>
      <c r="D2964" t="s">
        <v>23</v>
      </c>
      <c r="E2964">
        <v>365</v>
      </c>
      <c r="F2964" s="3">
        <v>40702</v>
      </c>
      <c r="H2964" t="s">
        <v>15523</v>
      </c>
      <c r="I2964" t="s">
        <v>17613</v>
      </c>
      <c r="K2964" t="e">
        <v>#N/A</v>
      </c>
      <c r="S2964" s="3"/>
    </row>
    <row r="2965" spans="1:19" x14ac:dyDescent="0.25">
      <c r="A2965" t="s">
        <v>8402</v>
      </c>
      <c r="B2965" t="s">
        <v>8403</v>
      </c>
      <c r="C2965" t="s">
        <v>8404</v>
      </c>
      <c r="D2965" t="s">
        <v>23</v>
      </c>
      <c r="E2965">
        <v>3209</v>
      </c>
      <c r="F2965" s="3">
        <v>41041</v>
      </c>
      <c r="H2965" t="s">
        <v>15523</v>
      </c>
      <c r="I2965" t="s">
        <v>17614</v>
      </c>
      <c r="K2965" t="e">
        <v>#N/A</v>
      </c>
      <c r="S2965" s="3"/>
    </row>
    <row r="2966" spans="1:19" x14ac:dyDescent="0.25">
      <c r="A2966" t="s">
        <v>8405</v>
      </c>
      <c r="B2966" t="s">
        <v>8406</v>
      </c>
      <c r="C2966" t="s">
        <v>8407</v>
      </c>
      <c r="D2966" t="s">
        <v>23</v>
      </c>
      <c r="E2966">
        <v>337</v>
      </c>
      <c r="F2966" s="3">
        <v>40702</v>
      </c>
      <c r="H2966" t="s">
        <v>15523</v>
      </c>
      <c r="I2966" t="s">
        <v>17615</v>
      </c>
      <c r="K2966" t="e">
        <v>#N/A</v>
      </c>
      <c r="S2966" s="3"/>
    </row>
    <row r="2967" spans="1:19" x14ac:dyDescent="0.25">
      <c r="A2967" t="s">
        <v>8408</v>
      </c>
      <c r="B2967" t="s">
        <v>8409</v>
      </c>
      <c r="C2967" t="s">
        <v>8410</v>
      </c>
      <c r="D2967" t="s">
        <v>23</v>
      </c>
      <c r="E2967">
        <v>3213</v>
      </c>
      <c r="F2967" s="3">
        <v>40702</v>
      </c>
      <c r="H2967" t="s">
        <v>15523</v>
      </c>
      <c r="I2967" t="s">
        <v>17616</v>
      </c>
      <c r="K2967" t="e">
        <v>#N/A</v>
      </c>
      <c r="S2967" s="3"/>
    </row>
    <row r="2968" spans="1:19" x14ac:dyDescent="0.25">
      <c r="A2968" t="s">
        <v>8411</v>
      </c>
      <c r="B2968" t="s">
        <v>8412</v>
      </c>
      <c r="C2968" t="s">
        <v>8413</v>
      </c>
      <c r="D2968" t="s">
        <v>23</v>
      </c>
      <c r="E2968">
        <v>3214</v>
      </c>
      <c r="F2968" s="3">
        <v>40702</v>
      </c>
      <c r="H2968" t="s">
        <v>15523</v>
      </c>
      <c r="I2968" t="s">
        <v>17617</v>
      </c>
      <c r="K2968" t="e">
        <v>#N/A</v>
      </c>
      <c r="S2968" s="3"/>
    </row>
    <row r="2969" spans="1:19" x14ac:dyDescent="0.25">
      <c r="A2969" t="s">
        <v>8414</v>
      </c>
      <c r="B2969" t="s">
        <v>8415</v>
      </c>
      <c r="C2969" t="s">
        <v>8416</v>
      </c>
      <c r="D2969" t="s">
        <v>23</v>
      </c>
      <c r="E2969">
        <v>336</v>
      </c>
      <c r="F2969" s="3">
        <v>40702</v>
      </c>
      <c r="H2969" t="s">
        <v>15523</v>
      </c>
      <c r="I2969" t="s">
        <v>17618</v>
      </c>
      <c r="K2969" t="e">
        <v>#N/A</v>
      </c>
      <c r="S2969" s="3"/>
    </row>
    <row r="2970" spans="1:19" x14ac:dyDescent="0.25">
      <c r="A2970" t="s">
        <v>8417</v>
      </c>
      <c r="B2970" t="s">
        <v>8418</v>
      </c>
      <c r="C2970" t="s">
        <v>8419</v>
      </c>
      <c r="D2970" t="s">
        <v>23</v>
      </c>
      <c r="E2970">
        <v>5606</v>
      </c>
      <c r="F2970" s="3">
        <v>42493</v>
      </c>
      <c r="H2970" t="s">
        <v>15523</v>
      </c>
      <c r="I2970" t="s">
        <v>17619</v>
      </c>
      <c r="K2970" t="e">
        <v>#N/A</v>
      </c>
      <c r="S2970" s="3"/>
    </row>
    <row r="2971" spans="1:19" x14ac:dyDescent="0.25">
      <c r="A2971" t="s">
        <v>8420</v>
      </c>
      <c r="B2971" t="s">
        <v>8421</v>
      </c>
      <c r="C2971" t="s">
        <v>8422</v>
      </c>
      <c r="D2971" t="s">
        <v>23</v>
      </c>
      <c r="E2971">
        <v>339</v>
      </c>
      <c r="F2971" s="3">
        <v>40702</v>
      </c>
      <c r="H2971" t="s">
        <v>15523</v>
      </c>
      <c r="I2971" t="s">
        <v>17620</v>
      </c>
      <c r="K2971" t="e">
        <v>#N/A</v>
      </c>
      <c r="S2971" s="3"/>
    </row>
    <row r="2972" spans="1:19" x14ac:dyDescent="0.25">
      <c r="A2972" t="s">
        <v>8423</v>
      </c>
      <c r="B2972" t="s">
        <v>8424</v>
      </c>
      <c r="C2972" t="s">
        <v>8425</v>
      </c>
      <c r="D2972" t="s">
        <v>23</v>
      </c>
      <c r="E2972">
        <v>338</v>
      </c>
      <c r="F2972" s="3">
        <v>40702</v>
      </c>
      <c r="H2972" t="s">
        <v>15523</v>
      </c>
      <c r="I2972" t="s">
        <v>17621</v>
      </c>
      <c r="K2972" t="e">
        <v>#N/A</v>
      </c>
      <c r="S2972" s="3"/>
    </row>
    <row r="2973" spans="1:19" x14ac:dyDescent="0.25">
      <c r="A2973" t="s">
        <v>8426</v>
      </c>
      <c r="B2973" t="s">
        <v>8427</v>
      </c>
      <c r="C2973" t="s">
        <v>8428</v>
      </c>
      <c r="D2973" t="s">
        <v>23</v>
      </c>
      <c r="E2973">
        <v>3217</v>
      </c>
      <c r="F2973" s="3">
        <v>41006</v>
      </c>
      <c r="H2973" t="s">
        <v>15523</v>
      </c>
      <c r="I2973" t="s">
        <v>17622</v>
      </c>
      <c r="K2973" t="e">
        <v>#N/A</v>
      </c>
      <c r="S2973" s="3"/>
    </row>
    <row r="2974" spans="1:19" x14ac:dyDescent="0.25">
      <c r="A2974" t="s">
        <v>8429</v>
      </c>
      <c r="B2974" t="s">
        <v>8430</v>
      </c>
      <c r="C2974" t="s">
        <v>8431</v>
      </c>
      <c r="D2974" t="s">
        <v>23</v>
      </c>
      <c r="E2974">
        <v>3218</v>
      </c>
      <c r="F2974" s="3">
        <v>40702</v>
      </c>
      <c r="H2974" t="s">
        <v>15523</v>
      </c>
      <c r="I2974" t="s">
        <v>17623</v>
      </c>
      <c r="K2974" t="e">
        <v>#N/A</v>
      </c>
      <c r="S2974" s="3"/>
    </row>
    <row r="2975" spans="1:19" x14ac:dyDescent="0.25">
      <c r="A2975" t="s">
        <v>8432</v>
      </c>
      <c r="B2975" t="s">
        <v>8433</v>
      </c>
      <c r="C2975" t="s">
        <v>8434</v>
      </c>
      <c r="D2975" t="s">
        <v>23</v>
      </c>
      <c r="E2975">
        <v>6036</v>
      </c>
      <c r="F2975" s="3">
        <v>43665</v>
      </c>
      <c r="H2975" t="s">
        <v>15523</v>
      </c>
      <c r="I2975" t="s">
        <v>17624</v>
      </c>
      <c r="K2975" t="e">
        <v>#N/A</v>
      </c>
      <c r="S2975" s="3"/>
    </row>
    <row r="2976" spans="1:19" x14ac:dyDescent="0.25">
      <c r="A2976" t="s">
        <v>8435</v>
      </c>
      <c r="B2976" t="s">
        <v>8436</v>
      </c>
      <c r="C2976" t="s">
        <v>8437</v>
      </c>
      <c r="D2976" t="s">
        <v>23</v>
      </c>
      <c r="E2976">
        <v>340</v>
      </c>
      <c r="F2976" s="3">
        <v>40702</v>
      </c>
      <c r="H2976" t="s">
        <v>15523</v>
      </c>
      <c r="I2976" t="s">
        <v>17625</v>
      </c>
      <c r="K2976" t="e">
        <v>#N/A</v>
      </c>
      <c r="S2976" s="3"/>
    </row>
    <row r="2977" spans="1:19" x14ac:dyDescent="0.25">
      <c r="A2977" t="s">
        <v>8438</v>
      </c>
      <c r="B2977" t="s">
        <v>8439</v>
      </c>
      <c r="C2977" t="s">
        <v>8440</v>
      </c>
      <c r="D2977" t="s">
        <v>23</v>
      </c>
      <c r="E2977">
        <v>3219</v>
      </c>
      <c r="F2977" s="3">
        <v>41006</v>
      </c>
      <c r="H2977" t="s">
        <v>15523</v>
      </c>
      <c r="I2977" t="s">
        <v>17626</v>
      </c>
      <c r="K2977" t="e">
        <v>#N/A</v>
      </c>
      <c r="S2977" s="3"/>
    </row>
    <row r="2978" spans="1:19" x14ac:dyDescent="0.25">
      <c r="A2978" t="s">
        <v>8441</v>
      </c>
      <c r="B2978" t="s">
        <v>8442</v>
      </c>
      <c r="C2978" t="s">
        <v>8443</v>
      </c>
      <c r="D2978" t="s">
        <v>23</v>
      </c>
      <c r="E2978">
        <v>3220</v>
      </c>
      <c r="F2978" s="3">
        <v>40702</v>
      </c>
      <c r="H2978" t="s">
        <v>15523</v>
      </c>
      <c r="I2978" t="s">
        <v>17627</v>
      </c>
      <c r="K2978" t="e">
        <v>#N/A</v>
      </c>
      <c r="S2978" s="3"/>
    </row>
    <row r="2979" spans="1:19" x14ac:dyDescent="0.25">
      <c r="A2979" t="s">
        <v>8444</v>
      </c>
      <c r="B2979" t="s">
        <v>8445</v>
      </c>
      <c r="C2979" t="s">
        <v>8446</v>
      </c>
      <c r="D2979" t="s">
        <v>23</v>
      </c>
      <c r="E2979">
        <v>3222</v>
      </c>
      <c r="F2979" s="3">
        <v>40702</v>
      </c>
      <c r="H2979" t="s">
        <v>15523</v>
      </c>
      <c r="I2979" t="s">
        <v>17628</v>
      </c>
      <c r="K2979" t="e">
        <v>#N/A</v>
      </c>
      <c r="S2979" s="3"/>
    </row>
    <row r="2980" spans="1:19" x14ac:dyDescent="0.25">
      <c r="A2980" t="s">
        <v>8447</v>
      </c>
      <c r="B2980" t="s">
        <v>8448</v>
      </c>
      <c r="C2980" t="s">
        <v>8449</v>
      </c>
      <c r="D2980" t="s">
        <v>23</v>
      </c>
      <c r="E2980">
        <v>361</v>
      </c>
      <c r="F2980" s="3">
        <v>40703</v>
      </c>
      <c r="H2980" t="s">
        <v>15523</v>
      </c>
      <c r="I2980" t="s">
        <v>17629</v>
      </c>
      <c r="K2980" t="e">
        <v>#N/A</v>
      </c>
      <c r="S2980" s="3"/>
    </row>
    <row r="2981" spans="1:19" x14ac:dyDescent="0.25">
      <c r="A2981" t="s">
        <v>8450</v>
      </c>
      <c r="B2981" t="s">
        <v>8451</v>
      </c>
      <c r="C2981" t="s">
        <v>8452</v>
      </c>
      <c r="D2981" t="s">
        <v>23</v>
      </c>
      <c r="E2981">
        <v>3224</v>
      </c>
      <c r="F2981" s="3">
        <v>40702</v>
      </c>
      <c r="H2981" t="s">
        <v>15523</v>
      </c>
      <c r="I2981" t="s">
        <v>17630</v>
      </c>
      <c r="K2981" t="e">
        <v>#N/A</v>
      </c>
      <c r="S2981" s="3"/>
    </row>
    <row r="2982" spans="1:19" x14ac:dyDescent="0.25">
      <c r="A2982" t="s">
        <v>8453</v>
      </c>
      <c r="B2982" t="s">
        <v>8454</v>
      </c>
      <c r="C2982" t="s">
        <v>8455</v>
      </c>
      <c r="D2982" t="s">
        <v>23</v>
      </c>
      <c r="E2982">
        <v>6009</v>
      </c>
      <c r="F2982" s="3">
        <v>43497</v>
      </c>
      <c r="H2982" t="s">
        <v>15523</v>
      </c>
      <c r="I2982" t="s">
        <v>17631</v>
      </c>
      <c r="K2982" t="e">
        <v>#N/A</v>
      </c>
      <c r="S2982" s="3"/>
    </row>
    <row r="2983" spans="1:19" x14ac:dyDescent="0.25">
      <c r="A2983" t="s">
        <v>8456</v>
      </c>
      <c r="B2983" t="s">
        <v>8457</v>
      </c>
      <c r="C2983" t="s">
        <v>8458</v>
      </c>
      <c r="D2983" t="s">
        <v>23</v>
      </c>
      <c r="E2983">
        <v>6010</v>
      </c>
      <c r="F2983" s="3">
        <v>43497</v>
      </c>
      <c r="H2983" t="s">
        <v>15523</v>
      </c>
      <c r="I2983" t="s">
        <v>17632</v>
      </c>
      <c r="K2983" t="e">
        <v>#N/A</v>
      </c>
      <c r="S2983" s="3"/>
    </row>
    <row r="2984" spans="1:19" x14ac:dyDescent="0.25">
      <c r="A2984" t="s">
        <v>8459</v>
      </c>
      <c r="B2984" t="s">
        <v>8460</v>
      </c>
      <c r="C2984" t="s">
        <v>8461</v>
      </c>
      <c r="D2984" t="s">
        <v>23</v>
      </c>
      <c r="E2984">
        <v>6011</v>
      </c>
      <c r="F2984" s="3">
        <v>43497</v>
      </c>
      <c r="H2984" t="s">
        <v>15523</v>
      </c>
      <c r="I2984" t="s">
        <v>17633</v>
      </c>
      <c r="K2984" t="e">
        <v>#N/A</v>
      </c>
      <c r="S2984" s="3"/>
    </row>
    <row r="2985" spans="1:19" x14ac:dyDescent="0.25">
      <c r="A2985" t="s">
        <v>8462</v>
      </c>
      <c r="B2985" t="s">
        <v>8463</v>
      </c>
      <c r="C2985" t="s">
        <v>8464</v>
      </c>
      <c r="D2985" t="s">
        <v>23</v>
      </c>
      <c r="E2985">
        <v>6012</v>
      </c>
      <c r="F2985" s="3">
        <v>43497</v>
      </c>
      <c r="H2985" t="s">
        <v>15523</v>
      </c>
      <c r="I2985" t="s">
        <v>17634</v>
      </c>
      <c r="K2985" t="e">
        <v>#N/A</v>
      </c>
      <c r="S2985" s="3"/>
    </row>
    <row r="2986" spans="1:19" x14ac:dyDescent="0.25">
      <c r="A2986" t="s">
        <v>8465</v>
      </c>
      <c r="B2986" t="s">
        <v>8466</v>
      </c>
      <c r="C2986" t="s">
        <v>8467</v>
      </c>
      <c r="D2986" t="s">
        <v>23</v>
      </c>
      <c r="E2986">
        <v>6008</v>
      </c>
      <c r="F2986" s="3">
        <v>43497</v>
      </c>
      <c r="H2986" t="s">
        <v>15523</v>
      </c>
      <c r="I2986" t="s">
        <v>17635</v>
      </c>
      <c r="K2986" t="e">
        <v>#N/A</v>
      </c>
      <c r="S2986" s="3"/>
    </row>
    <row r="2987" spans="1:19" x14ac:dyDescent="0.25">
      <c r="A2987" t="s">
        <v>8468</v>
      </c>
      <c r="B2987" t="s">
        <v>8469</v>
      </c>
      <c r="C2987" t="s">
        <v>8470</v>
      </c>
      <c r="D2987" t="s">
        <v>23</v>
      </c>
      <c r="E2987">
        <v>3221</v>
      </c>
      <c r="F2987" s="3">
        <v>40702</v>
      </c>
      <c r="H2987" t="s">
        <v>15523</v>
      </c>
      <c r="I2987" t="s">
        <v>17636</v>
      </c>
      <c r="K2987" t="e">
        <v>#N/A</v>
      </c>
      <c r="S2987" s="3"/>
    </row>
    <row r="2988" spans="1:19" x14ac:dyDescent="0.25">
      <c r="A2988" t="s">
        <v>8471</v>
      </c>
      <c r="B2988" t="s">
        <v>8472</v>
      </c>
      <c r="C2988" t="s">
        <v>8473</v>
      </c>
      <c r="D2988" t="s">
        <v>23</v>
      </c>
      <c r="E2988">
        <v>3223</v>
      </c>
      <c r="F2988" s="3">
        <v>40702</v>
      </c>
      <c r="H2988" t="s">
        <v>15523</v>
      </c>
      <c r="I2988" t="s">
        <v>17637</v>
      </c>
      <c r="K2988" t="e">
        <v>#N/A</v>
      </c>
      <c r="S2988" s="3"/>
    </row>
    <row r="2989" spans="1:19" x14ac:dyDescent="0.25">
      <c r="A2989" t="s">
        <v>8474</v>
      </c>
      <c r="B2989" t="s">
        <v>8475</v>
      </c>
      <c r="C2989" t="s">
        <v>8476</v>
      </c>
      <c r="D2989" t="s">
        <v>23</v>
      </c>
      <c r="E2989">
        <v>5255</v>
      </c>
      <c r="F2989" s="3">
        <v>42042</v>
      </c>
      <c r="H2989" t="s">
        <v>15523</v>
      </c>
      <c r="I2989" t="s">
        <v>17638</v>
      </c>
      <c r="K2989" t="e">
        <v>#N/A</v>
      </c>
      <c r="S2989" s="3"/>
    </row>
    <row r="2990" spans="1:19" x14ac:dyDescent="0.25">
      <c r="A2990" t="s">
        <v>8477</v>
      </c>
      <c r="B2990" t="s">
        <v>8478</v>
      </c>
      <c r="C2990" t="s">
        <v>8479</v>
      </c>
      <c r="D2990" t="s">
        <v>23</v>
      </c>
      <c r="E2990">
        <v>3225</v>
      </c>
      <c r="F2990" s="3">
        <v>40702</v>
      </c>
      <c r="H2990" t="s">
        <v>15523</v>
      </c>
      <c r="I2990" t="s">
        <v>17639</v>
      </c>
      <c r="K2990" t="e">
        <v>#N/A</v>
      </c>
      <c r="S2990" s="3"/>
    </row>
    <row r="2991" spans="1:19" x14ac:dyDescent="0.25">
      <c r="A2991" t="s">
        <v>8480</v>
      </c>
      <c r="B2991" t="s">
        <v>8481</v>
      </c>
      <c r="C2991" t="s">
        <v>8482</v>
      </c>
      <c r="D2991" t="s">
        <v>23</v>
      </c>
      <c r="E2991">
        <v>3226</v>
      </c>
      <c r="F2991" s="3">
        <v>40702</v>
      </c>
      <c r="H2991" t="s">
        <v>15523</v>
      </c>
      <c r="I2991" t="s">
        <v>17640</v>
      </c>
      <c r="K2991" t="e">
        <v>#N/A</v>
      </c>
      <c r="S2991" s="3"/>
    </row>
    <row r="2992" spans="1:19" x14ac:dyDescent="0.25">
      <c r="A2992" t="s">
        <v>8483</v>
      </c>
      <c r="B2992" t="s">
        <v>8484</v>
      </c>
      <c r="C2992" t="s">
        <v>8485</v>
      </c>
      <c r="D2992" t="s">
        <v>23</v>
      </c>
      <c r="E2992">
        <v>3227</v>
      </c>
      <c r="F2992" s="3">
        <v>40702</v>
      </c>
      <c r="H2992" t="s">
        <v>15523</v>
      </c>
      <c r="I2992" t="s">
        <v>17641</v>
      </c>
      <c r="K2992" t="e">
        <v>#N/A</v>
      </c>
      <c r="S2992" s="3"/>
    </row>
    <row r="2993" spans="1:19" x14ac:dyDescent="0.25">
      <c r="A2993" t="s">
        <v>8486</v>
      </c>
      <c r="B2993" t="s">
        <v>8487</v>
      </c>
      <c r="C2993" t="s">
        <v>8488</v>
      </c>
      <c r="D2993" t="s">
        <v>23</v>
      </c>
      <c r="E2993">
        <v>3228</v>
      </c>
      <c r="F2993" s="3">
        <v>40702</v>
      </c>
      <c r="H2993" t="s">
        <v>15523</v>
      </c>
      <c r="I2993" t="s">
        <v>17642</v>
      </c>
      <c r="K2993" t="e">
        <v>#N/A</v>
      </c>
      <c r="S2993" s="3"/>
    </row>
    <row r="2994" spans="1:19" x14ac:dyDescent="0.25">
      <c r="A2994" t="s">
        <v>8489</v>
      </c>
      <c r="B2994" t="s">
        <v>8490</v>
      </c>
      <c r="C2994" s="3">
        <v>698836</v>
      </c>
      <c r="D2994" t="s">
        <v>23</v>
      </c>
      <c r="E2994">
        <v>3229</v>
      </c>
      <c r="F2994" s="3">
        <v>40704</v>
      </c>
      <c r="H2994" t="s">
        <v>15523</v>
      </c>
      <c r="I2994" t="s">
        <v>17643</v>
      </c>
      <c r="K2994" t="e">
        <v>#N/A</v>
      </c>
      <c r="P2994" s="3"/>
      <c r="S2994" s="3"/>
    </row>
    <row r="2995" spans="1:19" x14ac:dyDescent="0.25">
      <c r="A2995" t="s">
        <v>8492</v>
      </c>
      <c r="B2995" t="s">
        <v>8493</v>
      </c>
      <c r="C2995" t="s">
        <v>8494</v>
      </c>
      <c r="D2995" t="s">
        <v>23</v>
      </c>
      <c r="E2995">
        <v>3230</v>
      </c>
      <c r="F2995" s="3">
        <v>40702</v>
      </c>
      <c r="H2995" t="s">
        <v>15523</v>
      </c>
      <c r="I2995" t="s">
        <v>17644</v>
      </c>
      <c r="K2995" t="e">
        <v>#N/A</v>
      </c>
      <c r="S2995" s="3"/>
    </row>
    <row r="2996" spans="1:19" x14ac:dyDescent="0.25">
      <c r="A2996" t="s">
        <v>8495</v>
      </c>
      <c r="B2996" t="s">
        <v>8496</v>
      </c>
      <c r="C2996" t="s">
        <v>8497</v>
      </c>
      <c r="D2996" t="s">
        <v>23</v>
      </c>
      <c r="E2996">
        <v>356</v>
      </c>
      <c r="F2996" s="3">
        <v>40702</v>
      </c>
      <c r="H2996" t="s">
        <v>15523</v>
      </c>
      <c r="I2996" t="s">
        <v>17645</v>
      </c>
      <c r="K2996" t="e">
        <v>#N/A</v>
      </c>
      <c r="S2996" s="3"/>
    </row>
    <row r="2997" spans="1:19" x14ac:dyDescent="0.25">
      <c r="A2997" t="s">
        <v>8498</v>
      </c>
      <c r="B2997" t="s">
        <v>8499</v>
      </c>
      <c r="C2997" t="s">
        <v>8500</v>
      </c>
      <c r="D2997" t="s">
        <v>23</v>
      </c>
      <c r="E2997">
        <v>359</v>
      </c>
      <c r="F2997" s="3">
        <v>40702</v>
      </c>
      <c r="H2997" t="s">
        <v>15523</v>
      </c>
      <c r="I2997" t="s">
        <v>17646</v>
      </c>
      <c r="K2997" t="e">
        <v>#N/A</v>
      </c>
      <c r="S2997" s="3"/>
    </row>
    <row r="2998" spans="1:19" x14ac:dyDescent="0.25">
      <c r="A2998" t="s">
        <v>8501</v>
      </c>
      <c r="B2998" t="s">
        <v>8502</v>
      </c>
      <c r="C2998" t="s">
        <v>8503</v>
      </c>
      <c r="D2998" t="s">
        <v>23</v>
      </c>
      <c r="E2998">
        <v>3231</v>
      </c>
      <c r="F2998" s="3">
        <v>40702</v>
      </c>
      <c r="H2998" t="s">
        <v>15523</v>
      </c>
      <c r="I2998" t="s">
        <v>17647</v>
      </c>
      <c r="K2998" t="e">
        <v>#N/A</v>
      </c>
      <c r="S2998" s="3"/>
    </row>
    <row r="2999" spans="1:19" x14ac:dyDescent="0.25">
      <c r="A2999" t="s">
        <v>8504</v>
      </c>
      <c r="B2999" t="s">
        <v>8505</v>
      </c>
      <c r="C2999" t="s">
        <v>8506</v>
      </c>
      <c r="D2999" t="s">
        <v>23</v>
      </c>
      <c r="E2999">
        <v>5883</v>
      </c>
      <c r="F2999" s="3">
        <v>43124</v>
      </c>
      <c r="H2999" t="s">
        <v>15523</v>
      </c>
      <c r="I2999" t="s">
        <v>17648</v>
      </c>
      <c r="K2999" t="e">
        <v>#N/A</v>
      </c>
      <c r="S2999" s="3"/>
    </row>
    <row r="3000" spans="1:19" x14ac:dyDescent="0.25">
      <c r="A3000" t="s">
        <v>8507</v>
      </c>
      <c r="B3000" t="s">
        <v>8508</v>
      </c>
      <c r="C3000" t="s">
        <v>8509</v>
      </c>
      <c r="D3000" t="s">
        <v>23</v>
      </c>
      <c r="E3000">
        <v>3232</v>
      </c>
      <c r="F3000" s="3">
        <v>40702</v>
      </c>
      <c r="H3000" t="s">
        <v>15523</v>
      </c>
      <c r="I3000" t="s">
        <v>17649</v>
      </c>
      <c r="K3000" t="e">
        <v>#N/A</v>
      </c>
      <c r="S3000" s="3"/>
    </row>
    <row r="3001" spans="1:19" x14ac:dyDescent="0.25">
      <c r="A3001" t="s">
        <v>8510</v>
      </c>
      <c r="B3001" t="s">
        <v>8511</v>
      </c>
      <c r="C3001" t="s">
        <v>8512</v>
      </c>
      <c r="D3001" t="s">
        <v>23</v>
      </c>
      <c r="E3001">
        <v>3233</v>
      </c>
      <c r="F3001" s="3">
        <v>40702</v>
      </c>
      <c r="H3001" t="s">
        <v>15523</v>
      </c>
      <c r="I3001" t="s">
        <v>17650</v>
      </c>
      <c r="K3001" t="e">
        <v>#N/A</v>
      </c>
      <c r="S3001" s="3"/>
    </row>
    <row r="3002" spans="1:19" x14ac:dyDescent="0.25">
      <c r="A3002" t="s">
        <v>8513</v>
      </c>
      <c r="B3002" t="s">
        <v>8514</v>
      </c>
      <c r="C3002" t="s">
        <v>8515</v>
      </c>
      <c r="D3002" t="s">
        <v>23</v>
      </c>
      <c r="E3002">
        <v>3234</v>
      </c>
      <c r="F3002" s="3">
        <v>40702</v>
      </c>
      <c r="H3002" t="s">
        <v>15523</v>
      </c>
      <c r="I3002" t="s">
        <v>17651</v>
      </c>
      <c r="K3002" t="e">
        <v>#N/A</v>
      </c>
      <c r="S3002" s="3"/>
    </row>
    <row r="3003" spans="1:19" x14ac:dyDescent="0.25">
      <c r="A3003" t="s">
        <v>8516</v>
      </c>
      <c r="B3003" t="s">
        <v>8517</v>
      </c>
      <c r="C3003" t="s">
        <v>8518</v>
      </c>
      <c r="D3003" t="s">
        <v>23</v>
      </c>
      <c r="E3003">
        <v>5131</v>
      </c>
      <c r="F3003" s="3">
        <v>41860</v>
      </c>
      <c r="H3003" t="s">
        <v>15523</v>
      </c>
      <c r="I3003" t="s">
        <v>17652</v>
      </c>
      <c r="K3003" t="e">
        <v>#N/A</v>
      </c>
      <c r="S3003" s="3"/>
    </row>
    <row r="3004" spans="1:19" x14ac:dyDescent="0.25">
      <c r="A3004" t="s">
        <v>8519</v>
      </c>
      <c r="B3004" t="s">
        <v>8520</v>
      </c>
      <c r="C3004" t="s">
        <v>8521</v>
      </c>
      <c r="D3004" t="s">
        <v>23</v>
      </c>
      <c r="E3004">
        <v>3235</v>
      </c>
      <c r="F3004" s="3">
        <v>40702</v>
      </c>
      <c r="H3004" t="s">
        <v>15523</v>
      </c>
      <c r="I3004" t="s">
        <v>17653</v>
      </c>
      <c r="K3004" t="e">
        <v>#N/A</v>
      </c>
      <c r="S3004" s="3"/>
    </row>
    <row r="3005" spans="1:19" x14ac:dyDescent="0.25">
      <c r="A3005" t="s">
        <v>8522</v>
      </c>
      <c r="B3005" t="s">
        <v>8523</v>
      </c>
      <c r="C3005" t="s">
        <v>8524</v>
      </c>
      <c r="D3005" t="s">
        <v>23</v>
      </c>
      <c r="E3005">
        <v>5030</v>
      </c>
      <c r="F3005" s="3">
        <v>41660</v>
      </c>
      <c r="H3005" t="s">
        <v>15523</v>
      </c>
      <c r="I3005" t="s">
        <v>17654</v>
      </c>
      <c r="K3005" t="e">
        <v>#N/A</v>
      </c>
      <c r="S3005" s="3"/>
    </row>
    <row r="3006" spans="1:19" x14ac:dyDescent="0.25">
      <c r="A3006" t="s">
        <v>8525</v>
      </c>
      <c r="B3006" t="s">
        <v>8526</v>
      </c>
      <c r="C3006" t="s">
        <v>8527</v>
      </c>
      <c r="D3006" t="s">
        <v>23</v>
      </c>
      <c r="E3006">
        <v>3236</v>
      </c>
      <c r="F3006" s="3">
        <v>40702</v>
      </c>
      <c r="H3006" t="s">
        <v>15523</v>
      </c>
      <c r="I3006" t="s">
        <v>17655</v>
      </c>
      <c r="K3006" t="e">
        <v>#N/A</v>
      </c>
      <c r="S3006" s="3"/>
    </row>
    <row r="3007" spans="1:19" x14ac:dyDescent="0.25">
      <c r="A3007" t="s">
        <v>8528</v>
      </c>
      <c r="B3007" t="s">
        <v>8529</v>
      </c>
      <c r="C3007" t="s">
        <v>8530</v>
      </c>
      <c r="D3007" t="s">
        <v>23</v>
      </c>
      <c r="E3007">
        <v>3241</v>
      </c>
      <c r="F3007" s="3">
        <v>40702</v>
      </c>
      <c r="H3007" t="s">
        <v>15523</v>
      </c>
      <c r="I3007" t="s">
        <v>17656</v>
      </c>
      <c r="K3007" t="e">
        <v>#N/A</v>
      </c>
      <c r="S3007" s="3"/>
    </row>
    <row r="3008" spans="1:19" x14ac:dyDescent="0.25">
      <c r="A3008" t="s">
        <v>8531</v>
      </c>
      <c r="B3008" t="s">
        <v>8532</v>
      </c>
      <c r="C3008" t="s">
        <v>8533</v>
      </c>
      <c r="D3008" t="s">
        <v>23</v>
      </c>
      <c r="E3008">
        <v>2463</v>
      </c>
      <c r="F3008" s="3">
        <v>40702</v>
      </c>
      <c r="H3008" t="s">
        <v>15523</v>
      </c>
      <c r="I3008" t="s">
        <v>17657</v>
      </c>
      <c r="K3008" t="e">
        <v>#N/A</v>
      </c>
      <c r="S3008" s="3"/>
    </row>
    <row r="3009" spans="1:19" x14ac:dyDescent="0.25">
      <c r="A3009" t="s">
        <v>8534</v>
      </c>
      <c r="B3009" t="s">
        <v>8535</v>
      </c>
      <c r="C3009" t="s">
        <v>8536</v>
      </c>
      <c r="D3009" t="s">
        <v>23</v>
      </c>
      <c r="E3009">
        <v>375</v>
      </c>
      <c r="F3009" s="3">
        <v>40702</v>
      </c>
      <c r="H3009" t="s">
        <v>15523</v>
      </c>
      <c r="I3009" t="s">
        <v>17658</v>
      </c>
      <c r="K3009" t="e">
        <v>#N/A</v>
      </c>
      <c r="S3009" s="3"/>
    </row>
    <row r="3010" spans="1:19" x14ac:dyDescent="0.25">
      <c r="A3010" t="s">
        <v>8537</v>
      </c>
      <c r="B3010" t="s">
        <v>8538</v>
      </c>
      <c r="C3010" t="s">
        <v>8539</v>
      </c>
      <c r="D3010" t="s">
        <v>23</v>
      </c>
      <c r="E3010">
        <v>377</v>
      </c>
      <c r="F3010" s="3">
        <v>40702</v>
      </c>
      <c r="H3010" t="s">
        <v>15523</v>
      </c>
      <c r="I3010" t="s">
        <v>17659</v>
      </c>
      <c r="K3010" t="e">
        <v>#N/A</v>
      </c>
      <c r="S3010" s="3"/>
    </row>
    <row r="3011" spans="1:19" x14ac:dyDescent="0.25">
      <c r="A3011" t="s">
        <v>8540</v>
      </c>
      <c r="B3011" t="s">
        <v>8541</v>
      </c>
      <c r="C3011" t="s">
        <v>8542</v>
      </c>
      <c r="D3011" t="s">
        <v>23</v>
      </c>
      <c r="E3011">
        <v>3250</v>
      </c>
      <c r="F3011" s="3">
        <v>40702</v>
      </c>
      <c r="H3011" t="s">
        <v>15523</v>
      </c>
      <c r="I3011" t="s">
        <v>17660</v>
      </c>
      <c r="K3011" t="e">
        <v>#N/A</v>
      </c>
      <c r="S3011" s="3"/>
    </row>
    <row r="3012" spans="1:19" x14ac:dyDescent="0.25">
      <c r="A3012" t="s">
        <v>8543</v>
      </c>
      <c r="B3012" t="s">
        <v>8544</v>
      </c>
      <c r="C3012" t="s">
        <v>8545</v>
      </c>
      <c r="D3012" t="s">
        <v>23</v>
      </c>
      <c r="E3012">
        <v>376</v>
      </c>
      <c r="F3012" s="3">
        <v>40702</v>
      </c>
      <c r="H3012" t="s">
        <v>15523</v>
      </c>
      <c r="I3012" t="s">
        <v>17661</v>
      </c>
      <c r="K3012" t="e">
        <v>#N/A</v>
      </c>
      <c r="S3012" s="3"/>
    </row>
    <row r="3013" spans="1:19" x14ac:dyDescent="0.25">
      <c r="A3013" t="s">
        <v>8546</v>
      </c>
      <c r="B3013" t="s">
        <v>8547</v>
      </c>
      <c r="C3013" t="s">
        <v>8548</v>
      </c>
      <c r="D3013" t="s">
        <v>23</v>
      </c>
      <c r="E3013">
        <v>3254</v>
      </c>
      <c r="F3013" s="3">
        <v>40702</v>
      </c>
      <c r="H3013" t="s">
        <v>15523</v>
      </c>
      <c r="I3013" t="s">
        <v>17662</v>
      </c>
      <c r="K3013" t="e">
        <v>#N/A</v>
      </c>
      <c r="S3013" s="3"/>
    </row>
    <row r="3014" spans="1:19" x14ac:dyDescent="0.25">
      <c r="A3014" t="s">
        <v>8549</v>
      </c>
      <c r="B3014" t="s">
        <v>8550</v>
      </c>
      <c r="C3014" t="s">
        <v>8551</v>
      </c>
      <c r="D3014" t="s">
        <v>23</v>
      </c>
      <c r="E3014">
        <v>3257</v>
      </c>
      <c r="F3014" s="3">
        <v>40702</v>
      </c>
      <c r="H3014" t="s">
        <v>15523</v>
      </c>
      <c r="I3014" t="s">
        <v>17663</v>
      </c>
      <c r="K3014" t="e">
        <v>#N/A</v>
      </c>
      <c r="S3014" s="3"/>
    </row>
    <row r="3015" spans="1:19" x14ac:dyDescent="0.25">
      <c r="A3015" t="s">
        <v>8552</v>
      </c>
      <c r="B3015" t="s">
        <v>8553</v>
      </c>
      <c r="C3015" t="s">
        <v>8554</v>
      </c>
      <c r="D3015" t="s">
        <v>23</v>
      </c>
      <c r="E3015">
        <v>3260</v>
      </c>
      <c r="F3015" s="3">
        <v>41230</v>
      </c>
      <c r="H3015" t="s">
        <v>15523</v>
      </c>
      <c r="I3015" t="s">
        <v>17664</v>
      </c>
      <c r="K3015" t="e">
        <v>#N/A</v>
      </c>
      <c r="S3015" s="3"/>
    </row>
    <row r="3016" spans="1:19" x14ac:dyDescent="0.25">
      <c r="A3016" t="s">
        <v>8555</v>
      </c>
      <c r="B3016" t="s">
        <v>8556</v>
      </c>
      <c r="C3016" t="s">
        <v>8557</v>
      </c>
      <c r="D3016" t="s">
        <v>23</v>
      </c>
      <c r="E3016">
        <v>3261</v>
      </c>
      <c r="F3016" s="3">
        <v>40702</v>
      </c>
      <c r="H3016" t="s">
        <v>15523</v>
      </c>
      <c r="I3016" t="s">
        <v>17665</v>
      </c>
      <c r="K3016" t="e">
        <v>#N/A</v>
      </c>
      <c r="S3016" s="3"/>
    </row>
    <row r="3017" spans="1:19" x14ac:dyDescent="0.25">
      <c r="A3017" t="s">
        <v>8558</v>
      </c>
      <c r="B3017" t="s">
        <v>8559</v>
      </c>
      <c r="C3017" t="s">
        <v>8560</v>
      </c>
      <c r="D3017" t="s">
        <v>23</v>
      </c>
      <c r="E3017">
        <v>2337</v>
      </c>
      <c r="F3017" s="3">
        <v>40702</v>
      </c>
      <c r="H3017" t="s">
        <v>15523</v>
      </c>
      <c r="I3017" t="s">
        <v>17666</v>
      </c>
      <c r="K3017" t="e">
        <v>#N/A</v>
      </c>
      <c r="S3017" s="3"/>
    </row>
    <row r="3018" spans="1:19" x14ac:dyDescent="0.25">
      <c r="A3018" t="s">
        <v>8561</v>
      </c>
      <c r="B3018" t="s">
        <v>8562</v>
      </c>
      <c r="C3018" t="s">
        <v>8563</v>
      </c>
      <c r="D3018" t="s">
        <v>23</v>
      </c>
      <c r="E3018">
        <v>3263</v>
      </c>
      <c r="F3018" s="3">
        <v>40702</v>
      </c>
      <c r="H3018" t="s">
        <v>15523</v>
      </c>
      <c r="I3018" t="s">
        <v>17667</v>
      </c>
      <c r="K3018" t="e">
        <v>#N/A</v>
      </c>
      <c r="S3018" s="3"/>
    </row>
    <row r="3019" spans="1:19" x14ac:dyDescent="0.25">
      <c r="A3019" t="s">
        <v>8564</v>
      </c>
      <c r="B3019" t="s">
        <v>8565</v>
      </c>
      <c r="C3019" t="s">
        <v>8566</v>
      </c>
      <c r="D3019" t="s">
        <v>23</v>
      </c>
      <c r="E3019">
        <v>76</v>
      </c>
      <c r="F3019" s="3">
        <v>40702</v>
      </c>
      <c r="H3019" t="s">
        <v>15523</v>
      </c>
      <c r="I3019" t="s">
        <v>17668</v>
      </c>
      <c r="K3019" t="e">
        <v>#N/A</v>
      </c>
      <c r="S3019" s="3"/>
    </row>
    <row r="3020" spans="1:19" x14ac:dyDescent="0.25">
      <c r="A3020" t="s">
        <v>8567</v>
      </c>
      <c r="B3020" t="s">
        <v>8568</v>
      </c>
      <c r="C3020" s="3">
        <v>207134</v>
      </c>
      <c r="D3020" t="s">
        <v>23</v>
      </c>
      <c r="E3020">
        <v>3265</v>
      </c>
      <c r="F3020" s="3">
        <v>40704</v>
      </c>
      <c r="H3020" t="s">
        <v>15523</v>
      </c>
      <c r="I3020" t="s">
        <v>17669</v>
      </c>
      <c r="K3020" t="e">
        <v>#N/A</v>
      </c>
      <c r="P3020" s="3"/>
      <c r="S3020" s="3"/>
    </row>
    <row r="3021" spans="1:19" x14ac:dyDescent="0.25">
      <c r="A3021" t="s">
        <v>8570</v>
      </c>
      <c r="B3021" t="s">
        <v>8571</v>
      </c>
      <c r="C3021" t="s">
        <v>8572</v>
      </c>
      <c r="D3021" t="s">
        <v>23</v>
      </c>
      <c r="E3021">
        <v>5998</v>
      </c>
      <c r="F3021" s="3">
        <v>43470</v>
      </c>
      <c r="H3021" t="s">
        <v>15523</v>
      </c>
      <c r="I3021" t="s">
        <v>17670</v>
      </c>
      <c r="K3021" t="e">
        <v>#N/A</v>
      </c>
      <c r="S3021" s="3"/>
    </row>
    <row r="3022" spans="1:19" x14ac:dyDescent="0.25">
      <c r="A3022" t="s">
        <v>8573</v>
      </c>
      <c r="B3022" t="s">
        <v>8574</v>
      </c>
      <c r="C3022" t="s">
        <v>8575</v>
      </c>
      <c r="D3022" t="s">
        <v>23</v>
      </c>
      <c r="E3022">
        <v>3267</v>
      </c>
      <c r="F3022" s="3">
        <v>40702</v>
      </c>
      <c r="H3022" t="s">
        <v>15523</v>
      </c>
      <c r="I3022" t="s">
        <v>17671</v>
      </c>
      <c r="K3022" t="e">
        <v>#N/A</v>
      </c>
      <c r="S3022" s="3"/>
    </row>
    <row r="3023" spans="1:19" x14ac:dyDescent="0.25">
      <c r="A3023" t="s">
        <v>8576</v>
      </c>
      <c r="B3023" t="s">
        <v>8577</v>
      </c>
      <c r="C3023" t="s">
        <v>8578</v>
      </c>
      <c r="D3023" t="s">
        <v>23</v>
      </c>
      <c r="E3023">
        <v>3266</v>
      </c>
      <c r="F3023" s="3">
        <v>40702</v>
      </c>
      <c r="H3023" t="s">
        <v>15523</v>
      </c>
      <c r="I3023" t="s">
        <v>17672</v>
      </c>
      <c r="K3023" t="e">
        <v>#N/A</v>
      </c>
      <c r="S3023" s="3"/>
    </row>
    <row r="3024" spans="1:19" x14ac:dyDescent="0.25">
      <c r="A3024" t="s">
        <v>8579</v>
      </c>
      <c r="B3024" t="s">
        <v>8580</v>
      </c>
      <c r="C3024" t="s">
        <v>8581</v>
      </c>
      <c r="D3024" t="s">
        <v>23</v>
      </c>
      <c r="E3024">
        <v>3268</v>
      </c>
      <c r="F3024" s="3">
        <v>40702</v>
      </c>
      <c r="H3024" t="s">
        <v>15523</v>
      </c>
      <c r="I3024" t="s">
        <v>17673</v>
      </c>
      <c r="K3024" t="e">
        <v>#N/A</v>
      </c>
      <c r="S3024" s="3"/>
    </row>
    <row r="3025" spans="1:19" x14ac:dyDescent="0.25">
      <c r="A3025" t="s">
        <v>8582</v>
      </c>
      <c r="B3025" t="s">
        <v>8583</v>
      </c>
      <c r="C3025" t="s">
        <v>8584</v>
      </c>
      <c r="D3025" t="s">
        <v>23</v>
      </c>
      <c r="E3025">
        <v>5077</v>
      </c>
      <c r="F3025" s="3">
        <v>41683</v>
      </c>
      <c r="H3025" t="s">
        <v>15523</v>
      </c>
      <c r="I3025" t="s">
        <v>17674</v>
      </c>
      <c r="K3025" t="e">
        <v>#N/A</v>
      </c>
      <c r="S3025" s="3"/>
    </row>
    <row r="3026" spans="1:19" x14ac:dyDescent="0.25">
      <c r="A3026" t="s">
        <v>8585</v>
      </c>
      <c r="B3026" t="s">
        <v>8586</v>
      </c>
      <c r="C3026" t="s">
        <v>8587</v>
      </c>
      <c r="D3026" t="s">
        <v>23</v>
      </c>
      <c r="E3026">
        <v>3270</v>
      </c>
      <c r="F3026" s="3">
        <v>40702</v>
      </c>
      <c r="H3026" t="s">
        <v>15523</v>
      </c>
      <c r="I3026" t="s">
        <v>17675</v>
      </c>
      <c r="K3026" t="e">
        <v>#N/A</v>
      </c>
      <c r="S3026" s="3"/>
    </row>
    <row r="3027" spans="1:19" x14ac:dyDescent="0.25">
      <c r="A3027" t="s">
        <v>8588</v>
      </c>
      <c r="B3027" t="s">
        <v>8589</v>
      </c>
      <c r="C3027" t="s">
        <v>8590</v>
      </c>
      <c r="D3027" t="s">
        <v>23</v>
      </c>
      <c r="E3027">
        <v>3271</v>
      </c>
      <c r="F3027" s="3">
        <v>40702</v>
      </c>
      <c r="H3027" t="s">
        <v>15523</v>
      </c>
      <c r="I3027" t="s">
        <v>17676</v>
      </c>
      <c r="K3027" t="e">
        <v>#N/A</v>
      </c>
      <c r="S3027" s="3"/>
    </row>
    <row r="3028" spans="1:19" x14ac:dyDescent="0.25">
      <c r="A3028" t="s">
        <v>8591</v>
      </c>
      <c r="B3028" t="s">
        <v>8592</v>
      </c>
      <c r="C3028" t="s">
        <v>8593</v>
      </c>
      <c r="D3028" t="s">
        <v>23</v>
      </c>
      <c r="E3028">
        <v>388</v>
      </c>
      <c r="F3028" s="3">
        <v>40702</v>
      </c>
      <c r="H3028" t="s">
        <v>15523</v>
      </c>
      <c r="I3028" t="s">
        <v>17677</v>
      </c>
      <c r="K3028" t="e">
        <v>#N/A</v>
      </c>
      <c r="S3028" s="3"/>
    </row>
    <row r="3029" spans="1:19" x14ac:dyDescent="0.25">
      <c r="A3029" t="s">
        <v>8594</v>
      </c>
      <c r="B3029" t="s">
        <v>8595</v>
      </c>
      <c r="C3029" t="s">
        <v>8596</v>
      </c>
      <c r="D3029" t="s">
        <v>23</v>
      </c>
      <c r="E3029">
        <v>3272</v>
      </c>
      <c r="F3029" s="3">
        <v>40702</v>
      </c>
      <c r="H3029" t="s">
        <v>15523</v>
      </c>
      <c r="I3029" t="s">
        <v>17678</v>
      </c>
      <c r="K3029" t="e">
        <v>#N/A</v>
      </c>
      <c r="S3029" s="3"/>
    </row>
    <row r="3030" spans="1:19" x14ac:dyDescent="0.25">
      <c r="A3030" t="s">
        <v>8597</v>
      </c>
      <c r="B3030" t="s">
        <v>8598</v>
      </c>
      <c r="C3030" t="s">
        <v>8599</v>
      </c>
      <c r="D3030" t="s">
        <v>23</v>
      </c>
      <c r="E3030">
        <v>389</v>
      </c>
      <c r="F3030" s="3">
        <v>40702</v>
      </c>
      <c r="H3030" t="s">
        <v>15523</v>
      </c>
      <c r="I3030" t="s">
        <v>17679</v>
      </c>
      <c r="K3030" t="e">
        <v>#N/A</v>
      </c>
      <c r="S3030" s="3"/>
    </row>
    <row r="3031" spans="1:19" x14ac:dyDescent="0.25">
      <c r="A3031" t="s">
        <v>8600</v>
      </c>
      <c r="B3031" t="s">
        <v>8601</v>
      </c>
      <c r="C3031" t="s">
        <v>8602</v>
      </c>
      <c r="D3031" t="s">
        <v>23</v>
      </c>
      <c r="E3031">
        <v>3273</v>
      </c>
      <c r="F3031" s="3">
        <v>40702</v>
      </c>
      <c r="H3031" t="s">
        <v>15523</v>
      </c>
      <c r="I3031" t="s">
        <v>17680</v>
      </c>
      <c r="K3031" t="e">
        <v>#N/A</v>
      </c>
      <c r="S3031" s="3"/>
    </row>
    <row r="3032" spans="1:19" x14ac:dyDescent="0.25">
      <c r="A3032" t="s">
        <v>8603</v>
      </c>
      <c r="B3032" t="s">
        <v>8604</v>
      </c>
      <c r="C3032" t="s">
        <v>8605</v>
      </c>
      <c r="D3032" t="s">
        <v>23</v>
      </c>
      <c r="E3032">
        <v>5031</v>
      </c>
      <c r="F3032" s="3">
        <v>41660</v>
      </c>
      <c r="H3032" t="s">
        <v>15523</v>
      </c>
      <c r="I3032" t="s">
        <v>17681</v>
      </c>
      <c r="K3032" t="e">
        <v>#N/A</v>
      </c>
      <c r="S3032" s="3"/>
    </row>
    <row r="3033" spans="1:19" x14ac:dyDescent="0.25">
      <c r="A3033" t="s">
        <v>8606</v>
      </c>
      <c r="B3033" t="s">
        <v>8607</v>
      </c>
      <c r="C3033" t="s">
        <v>8608</v>
      </c>
      <c r="D3033" t="s">
        <v>23</v>
      </c>
      <c r="E3033">
        <v>3283</v>
      </c>
      <c r="F3033" s="3">
        <v>40702</v>
      </c>
      <c r="H3033" t="s">
        <v>15523</v>
      </c>
      <c r="I3033" t="s">
        <v>17682</v>
      </c>
      <c r="K3033" t="e">
        <v>#N/A</v>
      </c>
      <c r="S3033" s="3"/>
    </row>
    <row r="3034" spans="1:19" x14ac:dyDescent="0.25">
      <c r="A3034" t="s">
        <v>8609</v>
      </c>
      <c r="B3034" t="s">
        <v>8610</v>
      </c>
      <c r="C3034" t="s">
        <v>8611</v>
      </c>
      <c r="D3034" t="s">
        <v>23</v>
      </c>
      <c r="E3034">
        <v>390</v>
      </c>
      <c r="F3034" s="3">
        <v>40702</v>
      </c>
      <c r="H3034" t="s">
        <v>15523</v>
      </c>
      <c r="I3034" t="s">
        <v>17683</v>
      </c>
      <c r="K3034" t="e">
        <v>#N/A</v>
      </c>
      <c r="S3034" s="3"/>
    </row>
    <row r="3035" spans="1:19" x14ac:dyDescent="0.25">
      <c r="A3035" t="s">
        <v>8612</v>
      </c>
      <c r="B3035" t="s">
        <v>8613</v>
      </c>
      <c r="C3035" t="s">
        <v>8614</v>
      </c>
      <c r="D3035" t="s">
        <v>23</v>
      </c>
      <c r="E3035">
        <v>3284</v>
      </c>
      <c r="F3035" s="3">
        <v>40702</v>
      </c>
      <c r="H3035" t="s">
        <v>15523</v>
      </c>
      <c r="I3035" t="s">
        <v>17684</v>
      </c>
      <c r="K3035" t="e">
        <v>#N/A</v>
      </c>
      <c r="S3035" s="3"/>
    </row>
    <row r="3036" spans="1:19" x14ac:dyDescent="0.25">
      <c r="A3036" t="s">
        <v>8615</v>
      </c>
      <c r="B3036" t="s">
        <v>8616</v>
      </c>
      <c r="C3036" t="s">
        <v>8617</v>
      </c>
      <c r="D3036" t="s">
        <v>23</v>
      </c>
      <c r="E3036">
        <v>3285</v>
      </c>
      <c r="F3036" s="3">
        <v>40702</v>
      </c>
      <c r="H3036" t="s">
        <v>15523</v>
      </c>
      <c r="I3036" t="s">
        <v>17685</v>
      </c>
      <c r="K3036" t="e">
        <v>#N/A</v>
      </c>
      <c r="S3036" s="3"/>
    </row>
    <row r="3037" spans="1:19" x14ac:dyDescent="0.25">
      <c r="A3037" t="s">
        <v>8618</v>
      </c>
      <c r="B3037" t="s">
        <v>8619</v>
      </c>
      <c r="C3037" t="s">
        <v>8620</v>
      </c>
      <c r="D3037" t="s">
        <v>23</v>
      </c>
      <c r="E3037">
        <v>6005</v>
      </c>
      <c r="F3037" s="3">
        <v>43483</v>
      </c>
      <c r="H3037" t="s">
        <v>15523</v>
      </c>
      <c r="I3037" t="s">
        <v>17686</v>
      </c>
      <c r="K3037" t="e">
        <v>#N/A</v>
      </c>
      <c r="S3037" s="3"/>
    </row>
    <row r="3038" spans="1:19" x14ac:dyDescent="0.25">
      <c r="A3038" t="s">
        <v>8621</v>
      </c>
      <c r="B3038" t="s">
        <v>8622</v>
      </c>
      <c r="C3038" t="s">
        <v>8623</v>
      </c>
      <c r="D3038" t="s">
        <v>23</v>
      </c>
      <c r="E3038">
        <v>3286</v>
      </c>
      <c r="F3038" s="3">
        <v>40702</v>
      </c>
      <c r="H3038" t="s">
        <v>15523</v>
      </c>
      <c r="I3038" t="s">
        <v>17687</v>
      </c>
      <c r="K3038" t="e">
        <v>#N/A</v>
      </c>
      <c r="S3038" s="3"/>
    </row>
    <row r="3039" spans="1:19" x14ac:dyDescent="0.25">
      <c r="A3039" t="s">
        <v>8624</v>
      </c>
      <c r="B3039" t="s">
        <v>8625</v>
      </c>
      <c r="C3039" t="s">
        <v>8626</v>
      </c>
      <c r="D3039" t="s">
        <v>23</v>
      </c>
      <c r="E3039">
        <v>3289</v>
      </c>
      <c r="F3039" s="3">
        <v>40702</v>
      </c>
      <c r="H3039" t="s">
        <v>15523</v>
      </c>
      <c r="I3039" t="s">
        <v>17688</v>
      </c>
      <c r="K3039" t="e">
        <v>#N/A</v>
      </c>
      <c r="S3039" s="3"/>
    </row>
    <row r="3040" spans="1:19" x14ac:dyDescent="0.25">
      <c r="A3040" t="s">
        <v>8627</v>
      </c>
      <c r="B3040" t="s">
        <v>8628</v>
      </c>
      <c r="C3040" t="s">
        <v>8629</v>
      </c>
      <c r="D3040" t="s">
        <v>23</v>
      </c>
      <c r="E3040">
        <v>3290</v>
      </c>
      <c r="F3040" s="3">
        <v>41230</v>
      </c>
      <c r="H3040" t="s">
        <v>15523</v>
      </c>
      <c r="I3040" t="s">
        <v>17689</v>
      </c>
      <c r="K3040" t="e">
        <v>#N/A</v>
      </c>
      <c r="S3040" s="3"/>
    </row>
    <row r="3041" spans="1:19" x14ac:dyDescent="0.25">
      <c r="A3041" t="s">
        <v>8630</v>
      </c>
      <c r="B3041" t="s">
        <v>8631</v>
      </c>
      <c r="C3041" t="s">
        <v>8632</v>
      </c>
      <c r="D3041" t="s">
        <v>23</v>
      </c>
      <c r="E3041">
        <v>3293</v>
      </c>
      <c r="F3041" s="3">
        <v>40702</v>
      </c>
      <c r="H3041" t="s">
        <v>15523</v>
      </c>
      <c r="I3041" t="s">
        <v>17690</v>
      </c>
      <c r="K3041" t="e">
        <v>#N/A</v>
      </c>
      <c r="S3041" s="3"/>
    </row>
    <row r="3042" spans="1:19" x14ac:dyDescent="0.25">
      <c r="A3042" t="s">
        <v>8633</v>
      </c>
      <c r="B3042" t="s">
        <v>8634</v>
      </c>
      <c r="C3042" t="s">
        <v>8635</v>
      </c>
      <c r="D3042" t="s">
        <v>23</v>
      </c>
      <c r="E3042">
        <v>404</v>
      </c>
      <c r="F3042" s="3">
        <v>40702</v>
      </c>
      <c r="H3042" t="s">
        <v>15523</v>
      </c>
      <c r="I3042" t="s">
        <v>17691</v>
      </c>
      <c r="K3042" t="e">
        <v>#N/A</v>
      </c>
      <c r="S3042" s="3"/>
    </row>
    <row r="3043" spans="1:19" x14ac:dyDescent="0.25">
      <c r="A3043" t="s">
        <v>8636</v>
      </c>
      <c r="B3043" t="s">
        <v>8637</v>
      </c>
      <c r="C3043" t="s">
        <v>8638</v>
      </c>
      <c r="D3043" t="s">
        <v>23</v>
      </c>
      <c r="E3043">
        <v>3294</v>
      </c>
      <c r="F3043" s="3">
        <v>41230</v>
      </c>
      <c r="H3043" t="s">
        <v>15523</v>
      </c>
      <c r="I3043" t="s">
        <v>17692</v>
      </c>
      <c r="K3043" t="e">
        <v>#N/A</v>
      </c>
      <c r="S3043" s="3"/>
    </row>
    <row r="3044" spans="1:19" x14ac:dyDescent="0.25">
      <c r="A3044" t="s">
        <v>8639</v>
      </c>
      <c r="B3044" t="s">
        <v>8640</v>
      </c>
      <c r="C3044" t="s">
        <v>8641</v>
      </c>
      <c r="D3044" t="s">
        <v>23</v>
      </c>
      <c r="E3044">
        <v>3295</v>
      </c>
      <c r="F3044" s="3">
        <v>41230</v>
      </c>
      <c r="H3044" t="s">
        <v>15523</v>
      </c>
      <c r="I3044" t="s">
        <v>17693</v>
      </c>
      <c r="K3044" t="e">
        <v>#N/A</v>
      </c>
      <c r="S3044" s="3"/>
    </row>
    <row r="3045" spans="1:19" x14ac:dyDescent="0.25">
      <c r="A3045" t="s">
        <v>8642</v>
      </c>
      <c r="B3045" t="s">
        <v>8643</v>
      </c>
      <c r="C3045" t="s">
        <v>8644</v>
      </c>
      <c r="D3045" t="s">
        <v>23</v>
      </c>
      <c r="E3045">
        <v>403</v>
      </c>
      <c r="F3045" s="3">
        <v>40702</v>
      </c>
      <c r="H3045" t="s">
        <v>15523</v>
      </c>
      <c r="I3045" t="s">
        <v>17694</v>
      </c>
      <c r="K3045" t="e">
        <v>#N/A</v>
      </c>
      <c r="S3045" s="3"/>
    </row>
    <row r="3046" spans="1:19" x14ac:dyDescent="0.25">
      <c r="A3046" t="s">
        <v>8645</v>
      </c>
      <c r="B3046" t="s">
        <v>8646</v>
      </c>
      <c r="C3046" t="s">
        <v>8647</v>
      </c>
      <c r="D3046" t="s">
        <v>23</v>
      </c>
      <c r="E3046">
        <v>3296</v>
      </c>
      <c r="F3046" s="3">
        <v>40702</v>
      </c>
      <c r="H3046" t="s">
        <v>15523</v>
      </c>
      <c r="I3046" t="s">
        <v>17695</v>
      </c>
      <c r="K3046" t="e">
        <v>#N/A</v>
      </c>
      <c r="S3046" s="3"/>
    </row>
    <row r="3047" spans="1:19" x14ac:dyDescent="0.25">
      <c r="A3047" t="s">
        <v>8648</v>
      </c>
      <c r="B3047" t="s">
        <v>8649</v>
      </c>
      <c r="C3047" t="s">
        <v>8650</v>
      </c>
      <c r="D3047" t="s">
        <v>23</v>
      </c>
      <c r="E3047">
        <v>407</v>
      </c>
      <c r="F3047" s="3">
        <v>40702</v>
      </c>
      <c r="H3047" t="s">
        <v>15523</v>
      </c>
      <c r="I3047" t="s">
        <v>17696</v>
      </c>
      <c r="K3047" t="e">
        <v>#N/A</v>
      </c>
      <c r="S3047" s="3"/>
    </row>
    <row r="3048" spans="1:19" x14ac:dyDescent="0.25">
      <c r="A3048" t="s">
        <v>8651</v>
      </c>
      <c r="B3048" t="s">
        <v>8652</v>
      </c>
      <c r="C3048" t="s">
        <v>8653</v>
      </c>
      <c r="D3048" t="s">
        <v>23</v>
      </c>
      <c r="E3048">
        <v>409</v>
      </c>
      <c r="F3048" s="3">
        <v>40702</v>
      </c>
      <c r="H3048" t="s">
        <v>15523</v>
      </c>
      <c r="I3048" t="s">
        <v>17697</v>
      </c>
      <c r="K3048" t="e">
        <v>#N/A</v>
      </c>
      <c r="S3048" s="3"/>
    </row>
    <row r="3049" spans="1:19" x14ac:dyDescent="0.25">
      <c r="A3049" t="s">
        <v>8654</v>
      </c>
      <c r="B3049" t="s">
        <v>8655</v>
      </c>
      <c r="C3049" t="s">
        <v>8656</v>
      </c>
      <c r="D3049" t="s">
        <v>23</v>
      </c>
      <c r="E3049">
        <v>408</v>
      </c>
      <c r="F3049" s="3">
        <v>40702</v>
      </c>
      <c r="H3049" t="s">
        <v>15523</v>
      </c>
      <c r="I3049" t="s">
        <v>17698</v>
      </c>
      <c r="K3049" t="e">
        <v>#N/A</v>
      </c>
      <c r="S3049" s="3"/>
    </row>
    <row r="3050" spans="1:19" x14ac:dyDescent="0.25">
      <c r="A3050" t="s">
        <v>8657</v>
      </c>
      <c r="B3050" t="s">
        <v>8658</v>
      </c>
      <c r="C3050" t="s">
        <v>8659</v>
      </c>
      <c r="D3050" t="s">
        <v>23</v>
      </c>
      <c r="E3050">
        <v>3297</v>
      </c>
      <c r="F3050" s="3">
        <v>40702</v>
      </c>
      <c r="H3050" t="s">
        <v>15523</v>
      </c>
      <c r="I3050" t="s">
        <v>17699</v>
      </c>
      <c r="K3050" t="e">
        <v>#N/A</v>
      </c>
      <c r="S3050" s="3"/>
    </row>
    <row r="3051" spans="1:19" x14ac:dyDescent="0.25">
      <c r="A3051" t="s">
        <v>8660</v>
      </c>
      <c r="B3051" t="s">
        <v>8661</v>
      </c>
      <c r="C3051" t="s">
        <v>8662</v>
      </c>
      <c r="D3051" t="s">
        <v>23</v>
      </c>
      <c r="E3051">
        <v>3298</v>
      </c>
      <c r="F3051" s="3">
        <v>41006</v>
      </c>
      <c r="H3051" t="s">
        <v>15523</v>
      </c>
      <c r="I3051" t="s">
        <v>17700</v>
      </c>
      <c r="K3051" t="e">
        <v>#N/A</v>
      </c>
      <c r="S3051" s="3"/>
    </row>
    <row r="3052" spans="1:19" x14ac:dyDescent="0.25">
      <c r="A3052" t="s">
        <v>8663</v>
      </c>
      <c r="B3052" t="s">
        <v>8664</v>
      </c>
      <c r="C3052" t="s">
        <v>8665</v>
      </c>
      <c r="D3052" t="s">
        <v>23</v>
      </c>
      <c r="E3052">
        <v>6082</v>
      </c>
      <c r="F3052" s="3">
        <v>43865</v>
      </c>
      <c r="H3052" t="s">
        <v>15523</v>
      </c>
      <c r="I3052" t="s">
        <v>17701</v>
      </c>
      <c r="K3052" t="e">
        <v>#N/A</v>
      </c>
      <c r="S3052" s="3"/>
    </row>
    <row r="3053" spans="1:19" x14ac:dyDescent="0.25">
      <c r="A3053" t="s">
        <v>8666</v>
      </c>
      <c r="B3053" t="s">
        <v>8667</v>
      </c>
      <c r="C3053" t="s">
        <v>8668</v>
      </c>
      <c r="D3053" t="s">
        <v>23</v>
      </c>
      <c r="E3053">
        <v>6092</v>
      </c>
      <c r="F3053" s="3">
        <v>43865</v>
      </c>
      <c r="H3053" t="s">
        <v>15523</v>
      </c>
      <c r="I3053" t="s">
        <v>17702</v>
      </c>
      <c r="K3053" t="e">
        <v>#N/A</v>
      </c>
      <c r="S3053" s="3"/>
    </row>
    <row r="3054" spans="1:19" x14ac:dyDescent="0.25">
      <c r="A3054" t="s">
        <v>8669</v>
      </c>
      <c r="B3054" t="s">
        <v>8670</v>
      </c>
      <c r="C3054" t="s">
        <v>8671</v>
      </c>
      <c r="D3054" t="s">
        <v>23</v>
      </c>
      <c r="E3054">
        <v>6090</v>
      </c>
      <c r="F3054" s="3">
        <v>43865</v>
      </c>
      <c r="H3054" t="s">
        <v>15523</v>
      </c>
      <c r="I3054" t="s">
        <v>17703</v>
      </c>
      <c r="K3054" t="e">
        <v>#N/A</v>
      </c>
      <c r="S3054" s="3"/>
    </row>
    <row r="3055" spans="1:19" x14ac:dyDescent="0.25">
      <c r="A3055" t="s">
        <v>8672</v>
      </c>
      <c r="B3055" t="s">
        <v>8673</v>
      </c>
      <c r="C3055" t="s">
        <v>8674</v>
      </c>
      <c r="D3055" t="s">
        <v>23</v>
      </c>
      <c r="E3055">
        <v>5032</v>
      </c>
      <c r="F3055" s="3">
        <v>41660</v>
      </c>
      <c r="H3055" t="s">
        <v>15523</v>
      </c>
      <c r="I3055" t="s">
        <v>17704</v>
      </c>
      <c r="K3055" t="e">
        <v>#N/A</v>
      </c>
      <c r="S3055" s="3"/>
    </row>
    <row r="3056" spans="1:19" x14ac:dyDescent="0.25">
      <c r="A3056" t="s">
        <v>8675</v>
      </c>
      <c r="B3056" t="s">
        <v>8676</v>
      </c>
      <c r="C3056" t="s">
        <v>8677</v>
      </c>
      <c r="D3056" t="s">
        <v>23</v>
      </c>
      <c r="E3056">
        <v>6091</v>
      </c>
      <c r="F3056" s="3">
        <v>43865</v>
      </c>
      <c r="H3056" t="s">
        <v>15523</v>
      </c>
      <c r="I3056" t="s">
        <v>17705</v>
      </c>
      <c r="K3056" t="e">
        <v>#N/A</v>
      </c>
      <c r="S3056" s="3"/>
    </row>
    <row r="3057" spans="1:19" x14ac:dyDescent="0.25">
      <c r="A3057" t="s">
        <v>8678</v>
      </c>
      <c r="B3057" t="s">
        <v>8679</v>
      </c>
      <c r="C3057" t="s">
        <v>8680</v>
      </c>
      <c r="D3057" t="s">
        <v>23</v>
      </c>
      <c r="E3057">
        <v>520</v>
      </c>
      <c r="F3057" s="3">
        <v>40702</v>
      </c>
      <c r="H3057" t="s">
        <v>15523</v>
      </c>
      <c r="I3057" t="s">
        <v>17706</v>
      </c>
      <c r="K3057" t="e">
        <v>#N/A</v>
      </c>
      <c r="S3057" s="3"/>
    </row>
    <row r="3058" spans="1:19" x14ac:dyDescent="0.25">
      <c r="A3058" t="s">
        <v>8681</v>
      </c>
      <c r="B3058" t="s">
        <v>8682</v>
      </c>
      <c r="C3058" t="s">
        <v>8683</v>
      </c>
      <c r="D3058" t="s">
        <v>23</v>
      </c>
      <c r="E3058">
        <v>3308</v>
      </c>
      <c r="F3058" s="3">
        <v>40702</v>
      </c>
      <c r="H3058" t="s">
        <v>15523</v>
      </c>
      <c r="I3058" t="s">
        <v>17707</v>
      </c>
      <c r="K3058" t="e">
        <v>#N/A</v>
      </c>
      <c r="S3058" s="3"/>
    </row>
    <row r="3059" spans="1:19" x14ac:dyDescent="0.25">
      <c r="A3059" t="s">
        <v>8684</v>
      </c>
      <c r="B3059" t="s">
        <v>8685</v>
      </c>
      <c r="C3059" t="s">
        <v>8686</v>
      </c>
      <c r="D3059" t="s">
        <v>23</v>
      </c>
      <c r="E3059">
        <v>6096</v>
      </c>
      <c r="F3059" s="3">
        <v>43865</v>
      </c>
      <c r="H3059" t="s">
        <v>15523</v>
      </c>
      <c r="I3059" t="s">
        <v>17708</v>
      </c>
      <c r="K3059" t="e">
        <v>#N/A</v>
      </c>
      <c r="S3059" s="3"/>
    </row>
    <row r="3060" spans="1:19" x14ac:dyDescent="0.25">
      <c r="A3060" t="s">
        <v>8687</v>
      </c>
      <c r="B3060" t="s">
        <v>8688</v>
      </c>
      <c r="C3060" t="s">
        <v>8689</v>
      </c>
      <c r="D3060" t="s">
        <v>23</v>
      </c>
      <c r="E3060">
        <v>521</v>
      </c>
      <c r="F3060" s="3">
        <v>40702</v>
      </c>
      <c r="H3060" t="s">
        <v>15523</v>
      </c>
      <c r="I3060" t="s">
        <v>17709</v>
      </c>
      <c r="K3060" t="e">
        <v>#N/A</v>
      </c>
      <c r="S3060" s="3"/>
    </row>
    <row r="3061" spans="1:19" x14ac:dyDescent="0.25">
      <c r="A3061" t="s">
        <v>8690</v>
      </c>
      <c r="B3061" t="s">
        <v>8691</v>
      </c>
      <c r="C3061" t="s">
        <v>8692</v>
      </c>
      <c r="D3061" t="s">
        <v>23</v>
      </c>
      <c r="E3061">
        <v>6098</v>
      </c>
      <c r="F3061" s="3">
        <v>43865</v>
      </c>
      <c r="H3061" t="s">
        <v>15523</v>
      </c>
      <c r="I3061" t="s">
        <v>17710</v>
      </c>
      <c r="K3061" t="e">
        <v>#N/A</v>
      </c>
      <c r="S3061" s="3"/>
    </row>
    <row r="3062" spans="1:19" x14ac:dyDescent="0.25">
      <c r="A3062" t="s">
        <v>8693</v>
      </c>
      <c r="B3062" t="s">
        <v>8694</v>
      </c>
      <c r="C3062" t="s">
        <v>8695</v>
      </c>
      <c r="D3062" t="s">
        <v>23</v>
      </c>
      <c r="E3062">
        <v>5836</v>
      </c>
      <c r="F3062" s="3">
        <v>43082</v>
      </c>
      <c r="H3062" t="s">
        <v>15523</v>
      </c>
      <c r="I3062" t="s">
        <v>17711</v>
      </c>
      <c r="K3062" t="e">
        <v>#N/A</v>
      </c>
      <c r="S3062" s="3"/>
    </row>
    <row r="3063" spans="1:19" x14ac:dyDescent="0.25">
      <c r="A3063" t="s">
        <v>8696</v>
      </c>
      <c r="B3063" t="s">
        <v>8697</v>
      </c>
      <c r="C3063" t="s">
        <v>8698</v>
      </c>
      <c r="D3063" t="s">
        <v>23</v>
      </c>
      <c r="E3063">
        <v>6089</v>
      </c>
      <c r="F3063" s="3">
        <v>43865</v>
      </c>
      <c r="H3063" t="s">
        <v>15523</v>
      </c>
      <c r="I3063" t="s">
        <v>17712</v>
      </c>
      <c r="K3063" t="e">
        <v>#N/A</v>
      </c>
      <c r="S3063" s="3"/>
    </row>
    <row r="3064" spans="1:19" x14ac:dyDescent="0.25">
      <c r="A3064" t="s">
        <v>8699</v>
      </c>
      <c r="B3064" t="s">
        <v>8700</v>
      </c>
      <c r="C3064" t="s">
        <v>8701</v>
      </c>
      <c r="D3064" t="s">
        <v>23</v>
      </c>
      <c r="E3064">
        <v>6081</v>
      </c>
      <c r="F3064" s="3">
        <v>43865</v>
      </c>
      <c r="H3064" t="s">
        <v>15523</v>
      </c>
      <c r="I3064" t="s">
        <v>17713</v>
      </c>
      <c r="K3064" t="e">
        <v>#N/A</v>
      </c>
      <c r="S3064" s="3"/>
    </row>
    <row r="3065" spans="1:19" x14ac:dyDescent="0.25">
      <c r="A3065" t="s">
        <v>8702</v>
      </c>
      <c r="B3065" t="s">
        <v>8703</v>
      </c>
      <c r="C3065" t="s">
        <v>8704</v>
      </c>
      <c r="D3065" t="s">
        <v>23</v>
      </c>
      <c r="E3065">
        <v>6088</v>
      </c>
      <c r="F3065" s="3">
        <v>43865</v>
      </c>
      <c r="H3065" t="s">
        <v>15523</v>
      </c>
      <c r="I3065" t="s">
        <v>17714</v>
      </c>
      <c r="K3065" t="e">
        <v>#N/A</v>
      </c>
      <c r="S3065" s="3"/>
    </row>
    <row r="3066" spans="1:19" x14ac:dyDescent="0.25">
      <c r="A3066" t="s">
        <v>8705</v>
      </c>
      <c r="B3066" t="s">
        <v>8706</v>
      </c>
      <c r="C3066" t="s">
        <v>8707</v>
      </c>
      <c r="D3066" t="s">
        <v>23</v>
      </c>
      <c r="E3066">
        <v>6094</v>
      </c>
      <c r="F3066" s="3">
        <v>43865</v>
      </c>
      <c r="H3066" t="s">
        <v>15523</v>
      </c>
      <c r="I3066" t="s">
        <v>17715</v>
      </c>
      <c r="K3066" t="e">
        <v>#N/A</v>
      </c>
      <c r="S3066" s="3"/>
    </row>
    <row r="3067" spans="1:19" x14ac:dyDescent="0.25">
      <c r="A3067" t="s">
        <v>8708</v>
      </c>
      <c r="B3067" t="s">
        <v>8709</v>
      </c>
      <c r="C3067" t="s">
        <v>8710</v>
      </c>
      <c r="D3067" t="s">
        <v>23</v>
      </c>
      <c r="E3067">
        <v>522</v>
      </c>
      <c r="F3067" s="3">
        <v>40702</v>
      </c>
      <c r="H3067" t="s">
        <v>15523</v>
      </c>
      <c r="I3067" t="s">
        <v>17716</v>
      </c>
      <c r="K3067" t="e">
        <v>#N/A</v>
      </c>
      <c r="S3067" s="3"/>
    </row>
    <row r="3068" spans="1:19" x14ac:dyDescent="0.25">
      <c r="A3068" t="s">
        <v>8711</v>
      </c>
      <c r="B3068" t="s">
        <v>8712</v>
      </c>
      <c r="C3068" t="s">
        <v>8713</v>
      </c>
      <c r="D3068" t="s">
        <v>23</v>
      </c>
      <c r="E3068">
        <v>5938</v>
      </c>
      <c r="F3068" s="3">
        <v>43208</v>
      </c>
      <c r="H3068" t="s">
        <v>15523</v>
      </c>
      <c r="I3068" t="s">
        <v>17717</v>
      </c>
      <c r="K3068" t="e">
        <v>#N/A</v>
      </c>
      <c r="S3068" s="3"/>
    </row>
    <row r="3069" spans="1:19" x14ac:dyDescent="0.25">
      <c r="A3069" t="s">
        <v>8714</v>
      </c>
      <c r="B3069" t="s">
        <v>8715</v>
      </c>
      <c r="C3069" t="s">
        <v>8716</v>
      </c>
      <c r="D3069" t="s">
        <v>23</v>
      </c>
      <c r="E3069">
        <v>3409</v>
      </c>
      <c r="F3069" s="3">
        <v>40702</v>
      </c>
      <c r="H3069" t="s">
        <v>15523</v>
      </c>
      <c r="I3069" t="s">
        <v>17718</v>
      </c>
      <c r="K3069" t="e">
        <v>#N/A</v>
      </c>
      <c r="S3069" s="3"/>
    </row>
    <row r="3070" spans="1:19" x14ac:dyDescent="0.25">
      <c r="A3070" t="s">
        <v>8717</v>
      </c>
      <c r="B3070" t="s">
        <v>8718</v>
      </c>
      <c r="C3070" t="s">
        <v>8719</v>
      </c>
      <c r="D3070" t="s">
        <v>23</v>
      </c>
      <c r="E3070">
        <v>816</v>
      </c>
      <c r="F3070" s="3">
        <v>40702</v>
      </c>
      <c r="H3070" t="s">
        <v>15523</v>
      </c>
      <c r="I3070" t="s">
        <v>17719</v>
      </c>
      <c r="K3070" t="e">
        <v>#N/A</v>
      </c>
      <c r="S3070" s="3"/>
    </row>
    <row r="3071" spans="1:19" x14ac:dyDescent="0.25">
      <c r="A3071" t="s">
        <v>8720</v>
      </c>
      <c r="B3071" t="s">
        <v>8721</v>
      </c>
      <c r="C3071" t="s">
        <v>8722</v>
      </c>
      <c r="D3071" t="s">
        <v>23</v>
      </c>
      <c r="E3071">
        <v>272</v>
      </c>
      <c r="F3071" s="3">
        <v>40702</v>
      </c>
      <c r="H3071" t="s">
        <v>15523</v>
      </c>
      <c r="I3071" t="s">
        <v>17720</v>
      </c>
      <c r="K3071" t="e">
        <v>#N/A</v>
      </c>
      <c r="S3071" s="3"/>
    </row>
    <row r="3072" spans="1:19" x14ac:dyDescent="0.25">
      <c r="A3072" t="s">
        <v>8723</v>
      </c>
      <c r="B3072" t="s">
        <v>8724</v>
      </c>
      <c r="C3072" t="s">
        <v>8725</v>
      </c>
      <c r="D3072" t="s">
        <v>23</v>
      </c>
      <c r="E3072">
        <v>524</v>
      </c>
      <c r="F3072" s="3">
        <v>40702</v>
      </c>
      <c r="H3072" t="s">
        <v>15523</v>
      </c>
      <c r="I3072" t="s">
        <v>17721</v>
      </c>
      <c r="K3072" t="e">
        <v>#N/A</v>
      </c>
      <c r="S3072" s="3"/>
    </row>
    <row r="3073" spans="1:19" x14ac:dyDescent="0.25">
      <c r="A3073" t="s">
        <v>8726</v>
      </c>
      <c r="B3073" t="s">
        <v>8727</v>
      </c>
      <c r="C3073" t="s">
        <v>8728</v>
      </c>
      <c r="D3073" t="s">
        <v>23</v>
      </c>
      <c r="E3073">
        <v>3520</v>
      </c>
      <c r="F3073" s="3">
        <v>40702</v>
      </c>
      <c r="H3073" t="s">
        <v>15523</v>
      </c>
      <c r="I3073" t="s">
        <v>17722</v>
      </c>
      <c r="K3073" t="e">
        <v>#N/A</v>
      </c>
      <c r="S3073" s="3"/>
    </row>
    <row r="3074" spans="1:19" x14ac:dyDescent="0.25">
      <c r="A3074" t="s">
        <v>8729</v>
      </c>
      <c r="B3074" t="s">
        <v>8730</v>
      </c>
      <c r="C3074" t="s">
        <v>8731</v>
      </c>
      <c r="D3074" t="s">
        <v>23</v>
      </c>
      <c r="E3074">
        <v>3374</v>
      </c>
      <c r="F3074" s="3">
        <v>40702</v>
      </c>
      <c r="H3074" t="s">
        <v>15523</v>
      </c>
      <c r="I3074" t="s">
        <v>17723</v>
      </c>
      <c r="K3074" t="e">
        <v>#N/A</v>
      </c>
      <c r="S3074" s="3"/>
    </row>
    <row r="3075" spans="1:19" x14ac:dyDescent="0.25">
      <c r="A3075" t="s">
        <v>8732</v>
      </c>
      <c r="B3075" t="s">
        <v>8733</v>
      </c>
      <c r="C3075" t="s">
        <v>8734</v>
      </c>
      <c r="D3075" t="s">
        <v>23</v>
      </c>
      <c r="E3075">
        <v>442</v>
      </c>
      <c r="F3075" s="3">
        <v>40702</v>
      </c>
      <c r="H3075" t="s">
        <v>15523</v>
      </c>
      <c r="I3075" t="s">
        <v>17724</v>
      </c>
      <c r="K3075" t="e">
        <v>#N/A</v>
      </c>
      <c r="S3075" s="3"/>
    </row>
    <row r="3076" spans="1:19" x14ac:dyDescent="0.25">
      <c r="A3076" t="s">
        <v>8735</v>
      </c>
      <c r="B3076" t="s">
        <v>8736</v>
      </c>
      <c r="C3076" t="s">
        <v>8737</v>
      </c>
      <c r="D3076" t="s">
        <v>23</v>
      </c>
      <c r="E3076">
        <v>443</v>
      </c>
      <c r="F3076" s="3">
        <v>41461</v>
      </c>
      <c r="H3076" t="s">
        <v>15523</v>
      </c>
      <c r="I3076" t="s">
        <v>17725</v>
      </c>
      <c r="K3076" t="e">
        <v>#N/A</v>
      </c>
      <c r="S3076" s="3"/>
    </row>
    <row r="3077" spans="1:19" x14ac:dyDescent="0.25">
      <c r="A3077" t="s">
        <v>8738</v>
      </c>
      <c r="B3077" t="s">
        <v>8739</v>
      </c>
      <c r="C3077" t="s">
        <v>8740</v>
      </c>
      <c r="D3077" t="s">
        <v>23</v>
      </c>
      <c r="E3077">
        <v>3375</v>
      </c>
      <c r="F3077" s="3">
        <v>40702</v>
      </c>
      <c r="H3077" t="s">
        <v>15523</v>
      </c>
      <c r="I3077" t="s">
        <v>17726</v>
      </c>
      <c r="K3077" t="e">
        <v>#N/A</v>
      </c>
      <c r="S3077" s="3"/>
    </row>
    <row r="3078" spans="1:19" x14ac:dyDescent="0.25">
      <c r="A3078" t="s">
        <v>8741</v>
      </c>
      <c r="B3078" t="s">
        <v>8742</v>
      </c>
      <c r="C3078" t="s">
        <v>8743</v>
      </c>
      <c r="D3078" t="s">
        <v>23</v>
      </c>
      <c r="E3078">
        <v>451</v>
      </c>
      <c r="F3078" s="3">
        <v>40702</v>
      </c>
      <c r="H3078" t="s">
        <v>15523</v>
      </c>
      <c r="I3078" t="s">
        <v>17727</v>
      </c>
      <c r="K3078" t="e">
        <v>#N/A</v>
      </c>
      <c r="S3078" s="3"/>
    </row>
    <row r="3079" spans="1:19" x14ac:dyDescent="0.25">
      <c r="A3079" t="s">
        <v>8744</v>
      </c>
      <c r="B3079" t="s">
        <v>8745</v>
      </c>
      <c r="C3079" t="s">
        <v>8746</v>
      </c>
      <c r="D3079" t="s">
        <v>23</v>
      </c>
      <c r="E3079">
        <v>1797</v>
      </c>
      <c r="F3079" s="3">
        <v>41461</v>
      </c>
      <c r="H3079" t="s">
        <v>15523</v>
      </c>
      <c r="I3079" t="s">
        <v>17728</v>
      </c>
      <c r="K3079" t="e">
        <v>#N/A</v>
      </c>
      <c r="S3079" s="3"/>
    </row>
    <row r="3080" spans="1:19" x14ac:dyDescent="0.25">
      <c r="A3080" t="s">
        <v>8747</v>
      </c>
      <c r="B3080" t="s">
        <v>8748</v>
      </c>
      <c r="C3080" t="s">
        <v>8749</v>
      </c>
      <c r="D3080" t="s">
        <v>23</v>
      </c>
      <c r="E3080">
        <v>5033</v>
      </c>
      <c r="F3080" s="3">
        <v>41660</v>
      </c>
      <c r="H3080" t="s">
        <v>15523</v>
      </c>
      <c r="I3080" t="s">
        <v>17729</v>
      </c>
      <c r="K3080" t="e">
        <v>#N/A</v>
      </c>
      <c r="S3080" s="3"/>
    </row>
    <row r="3081" spans="1:19" x14ac:dyDescent="0.25">
      <c r="A3081" t="s">
        <v>8750</v>
      </c>
      <c r="B3081" t="s">
        <v>8751</v>
      </c>
      <c r="C3081" t="s">
        <v>8752</v>
      </c>
      <c r="D3081" t="s">
        <v>23</v>
      </c>
      <c r="E3081">
        <v>5886</v>
      </c>
      <c r="F3081" s="3">
        <v>43130</v>
      </c>
      <c r="H3081" t="s">
        <v>15523</v>
      </c>
      <c r="I3081" t="s">
        <v>17730</v>
      </c>
      <c r="K3081" t="e">
        <v>#N/A</v>
      </c>
      <c r="S3081" s="3"/>
    </row>
    <row r="3082" spans="1:19" x14ac:dyDescent="0.25">
      <c r="A3082" t="s">
        <v>8753</v>
      </c>
      <c r="B3082" t="s">
        <v>8754</v>
      </c>
      <c r="C3082" t="s">
        <v>8755</v>
      </c>
      <c r="D3082" t="s">
        <v>23</v>
      </c>
      <c r="E3082">
        <v>3378</v>
      </c>
      <c r="F3082" s="3">
        <v>41216</v>
      </c>
      <c r="H3082" t="s">
        <v>15523</v>
      </c>
      <c r="I3082" t="s">
        <v>17731</v>
      </c>
      <c r="K3082" t="e">
        <v>#N/A</v>
      </c>
      <c r="S3082" s="3"/>
    </row>
    <row r="3083" spans="1:19" x14ac:dyDescent="0.25">
      <c r="A3083" t="s">
        <v>8756</v>
      </c>
      <c r="B3083" t="s">
        <v>8757</v>
      </c>
      <c r="C3083" s="3">
        <v>191906</v>
      </c>
      <c r="D3083" t="s">
        <v>23</v>
      </c>
      <c r="E3083">
        <v>455</v>
      </c>
      <c r="F3083" s="3">
        <v>40704</v>
      </c>
      <c r="H3083" t="s">
        <v>15523</v>
      </c>
      <c r="I3083" t="s">
        <v>17732</v>
      </c>
      <c r="K3083" t="e">
        <v>#N/A</v>
      </c>
      <c r="P3083" s="3"/>
      <c r="S3083" s="3"/>
    </row>
    <row r="3084" spans="1:19" x14ac:dyDescent="0.25">
      <c r="A3084" t="s">
        <v>8759</v>
      </c>
      <c r="B3084" t="s">
        <v>8760</v>
      </c>
      <c r="C3084" t="s">
        <v>8761</v>
      </c>
      <c r="D3084" t="s">
        <v>23</v>
      </c>
      <c r="E3084">
        <v>456</v>
      </c>
      <c r="F3084" s="3">
        <v>40702</v>
      </c>
      <c r="H3084" t="s">
        <v>15523</v>
      </c>
      <c r="I3084" t="s">
        <v>17733</v>
      </c>
      <c r="K3084" t="e">
        <v>#N/A</v>
      </c>
      <c r="S3084" s="3"/>
    </row>
    <row r="3085" spans="1:19" x14ac:dyDescent="0.25">
      <c r="A3085" t="s">
        <v>8762</v>
      </c>
      <c r="B3085" t="s">
        <v>8763</v>
      </c>
      <c r="C3085" t="s">
        <v>8764</v>
      </c>
      <c r="D3085" t="s">
        <v>23</v>
      </c>
      <c r="E3085">
        <v>465</v>
      </c>
      <c r="F3085" s="3">
        <v>40702</v>
      </c>
      <c r="H3085" t="s">
        <v>15523</v>
      </c>
      <c r="I3085" t="s">
        <v>17734</v>
      </c>
      <c r="K3085" t="e">
        <v>#N/A</v>
      </c>
      <c r="S3085" s="3"/>
    </row>
    <row r="3086" spans="1:19" x14ac:dyDescent="0.25">
      <c r="A3086" t="s">
        <v>8765</v>
      </c>
      <c r="B3086" t="s">
        <v>8766</v>
      </c>
      <c r="C3086" s="3">
        <v>1791337</v>
      </c>
      <c r="D3086" t="s">
        <v>23</v>
      </c>
      <c r="E3086">
        <v>5256</v>
      </c>
      <c r="F3086" s="3">
        <v>42042</v>
      </c>
      <c r="H3086" t="s">
        <v>15523</v>
      </c>
      <c r="I3086" t="s">
        <v>17735</v>
      </c>
      <c r="K3086" t="e">
        <v>#N/A</v>
      </c>
      <c r="P3086" s="3"/>
      <c r="S3086" s="3"/>
    </row>
    <row r="3087" spans="1:19" x14ac:dyDescent="0.25">
      <c r="A3087" t="s">
        <v>8768</v>
      </c>
      <c r="B3087" t="s">
        <v>8769</v>
      </c>
      <c r="C3087" t="s">
        <v>8770</v>
      </c>
      <c r="D3087" t="s">
        <v>23</v>
      </c>
      <c r="E3087">
        <v>460</v>
      </c>
      <c r="F3087" s="3">
        <v>40702</v>
      </c>
      <c r="H3087" t="s">
        <v>15523</v>
      </c>
      <c r="I3087" t="s">
        <v>17736</v>
      </c>
      <c r="K3087" t="e">
        <v>#N/A</v>
      </c>
      <c r="S3087" s="3"/>
    </row>
    <row r="3088" spans="1:19" x14ac:dyDescent="0.25">
      <c r="A3088" t="s">
        <v>8771</v>
      </c>
      <c r="B3088" t="s">
        <v>8772</v>
      </c>
      <c r="C3088" t="s">
        <v>8773</v>
      </c>
      <c r="D3088" t="s">
        <v>23</v>
      </c>
      <c r="E3088">
        <v>461</v>
      </c>
      <c r="F3088" s="3">
        <v>40702</v>
      </c>
      <c r="H3088" t="s">
        <v>15523</v>
      </c>
      <c r="I3088" t="s">
        <v>17737</v>
      </c>
      <c r="K3088" t="e">
        <v>#N/A</v>
      </c>
      <c r="S3088" s="3"/>
    </row>
    <row r="3089" spans="1:19" x14ac:dyDescent="0.25">
      <c r="A3089" t="s">
        <v>8774</v>
      </c>
      <c r="B3089" t="s">
        <v>8775</v>
      </c>
      <c r="C3089" t="s">
        <v>8776</v>
      </c>
      <c r="D3089" t="s">
        <v>23</v>
      </c>
      <c r="E3089">
        <v>462</v>
      </c>
      <c r="F3089" s="3">
        <v>40702</v>
      </c>
      <c r="H3089" t="s">
        <v>15523</v>
      </c>
      <c r="I3089" t="s">
        <v>17738</v>
      </c>
      <c r="K3089" t="e">
        <v>#N/A</v>
      </c>
      <c r="S3089" s="3"/>
    </row>
    <row r="3090" spans="1:19" x14ac:dyDescent="0.25">
      <c r="A3090" t="s">
        <v>8777</v>
      </c>
      <c r="B3090" t="s">
        <v>8778</v>
      </c>
      <c r="C3090" t="s">
        <v>8779</v>
      </c>
      <c r="D3090" t="s">
        <v>23</v>
      </c>
      <c r="E3090">
        <v>3379</v>
      </c>
      <c r="F3090" s="3">
        <v>40702</v>
      </c>
      <c r="H3090" t="s">
        <v>15523</v>
      </c>
      <c r="I3090" t="s">
        <v>17739</v>
      </c>
      <c r="K3090" t="e">
        <v>#N/A</v>
      </c>
      <c r="S3090" s="3"/>
    </row>
    <row r="3091" spans="1:19" x14ac:dyDescent="0.25">
      <c r="A3091" t="s">
        <v>8780</v>
      </c>
      <c r="B3091" t="s">
        <v>8781</v>
      </c>
      <c r="C3091" t="s">
        <v>8782</v>
      </c>
      <c r="D3091" t="s">
        <v>23</v>
      </c>
      <c r="E3091">
        <v>5300</v>
      </c>
      <c r="F3091" s="3">
        <v>42133</v>
      </c>
      <c r="H3091" t="s">
        <v>15523</v>
      </c>
      <c r="I3091" t="s">
        <v>17740</v>
      </c>
      <c r="K3091" t="e">
        <v>#N/A</v>
      </c>
      <c r="S3091" s="3"/>
    </row>
    <row r="3092" spans="1:19" x14ac:dyDescent="0.25">
      <c r="A3092" t="s">
        <v>8783</v>
      </c>
      <c r="B3092" t="s">
        <v>8784</v>
      </c>
      <c r="C3092" t="s">
        <v>8785</v>
      </c>
      <c r="D3092" t="s">
        <v>23</v>
      </c>
      <c r="E3092">
        <v>3380</v>
      </c>
      <c r="F3092" s="3">
        <v>40702</v>
      </c>
      <c r="H3092" t="s">
        <v>15523</v>
      </c>
      <c r="I3092" t="s">
        <v>17741</v>
      </c>
      <c r="K3092" t="e">
        <v>#N/A</v>
      </c>
      <c r="S3092" s="3"/>
    </row>
    <row r="3093" spans="1:19" x14ac:dyDescent="0.25">
      <c r="A3093" t="s">
        <v>8786</v>
      </c>
      <c r="B3093" t="s">
        <v>8787</v>
      </c>
      <c r="C3093" t="s">
        <v>8788</v>
      </c>
      <c r="D3093" t="s">
        <v>23</v>
      </c>
      <c r="E3093">
        <v>3381</v>
      </c>
      <c r="F3093" s="3">
        <v>40702</v>
      </c>
      <c r="H3093" t="s">
        <v>15523</v>
      </c>
      <c r="I3093" t="s">
        <v>17742</v>
      </c>
      <c r="K3093" t="e">
        <v>#N/A</v>
      </c>
      <c r="S3093" s="3"/>
    </row>
    <row r="3094" spans="1:19" x14ac:dyDescent="0.25">
      <c r="A3094" t="s">
        <v>8789</v>
      </c>
      <c r="B3094" t="s">
        <v>8790</v>
      </c>
      <c r="C3094" t="s">
        <v>8791</v>
      </c>
      <c r="D3094" t="s">
        <v>23</v>
      </c>
      <c r="E3094">
        <v>458</v>
      </c>
      <c r="F3094" s="3">
        <v>40702</v>
      </c>
      <c r="H3094" t="s">
        <v>15523</v>
      </c>
      <c r="I3094" t="s">
        <v>17743</v>
      </c>
      <c r="K3094" t="e">
        <v>#N/A</v>
      </c>
      <c r="S3094" s="3"/>
    </row>
    <row r="3095" spans="1:19" x14ac:dyDescent="0.25">
      <c r="A3095" t="s">
        <v>8792</v>
      </c>
      <c r="B3095" t="s">
        <v>8793</v>
      </c>
      <c r="C3095" t="s">
        <v>8794</v>
      </c>
      <c r="D3095" t="s">
        <v>23</v>
      </c>
      <c r="E3095">
        <v>3383</v>
      </c>
      <c r="F3095" s="3">
        <v>40702</v>
      </c>
      <c r="H3095" t="s">
        <v>15523</v>
      </c>
      <c r="I3095" t="s">
        <v>17744</v>
      </c>
      <c r="K3095" t="e">
        <v>#N/A</v>
      </c>
      <c r="S3095" s="3"/>
    </row>
    <row r="3096" spans="1:19" x14ac:dyDescent="0.25">
      <c r="A3096" t="s">
        <v>8795</v>
      </c>
      <c r="B3096" t="s">
        <v>8796</v>
      </c>
      <c r="C3096" t="s">
        <v>8797</v>
      </c>
      <c r="D3096" t="s">
        <v>23</v>
      </c>
      <c r="E3096">
        <v>3384</v>
      </c>
      <c r="F3096" s="3">
        <v>40702</v>
      </c>
      <c r="H3096" t="s">
        <v>15523</v>
      </c>
      <c r="I3096" t="s">
        <v>17745</v>
      </c>
      <c r="K3096" t="e">
        <v>#N/A</v>
      </c>
      <c r="S3096" s="3"/>
    </row>
    <row r="3097" spans="1:19" x14ac:dyDescent="0.25">
      <c r="A3097" t="s">
        <v>8798</v>
      </c>
      <c r="B3097" t="s">
        <v>8799</v>
      </c>
      <c r="C3097" t="s">
        <v>8800</v>
      </c>
      <c r="D3097" t="s">
        <v>23</v>
      </c>
      <c r="E3097">
        <v>459</v>
      </c>
      <c r="F3097" s="3">
        <v>40702</v>
      </c>
      <c r="H3097" t="s">
        <v>15523</v>
      </c>
      <c r="I3097" t="s">
        <v>17746</v>
      </c>
      <c r="K3097" t="e">
        <v>#N/A</v>
      </c>
      <c r="S3097" s="3"/>
    </row>
    <row r="3098" spans="1:19" x14ac:dyDescent="0.25">
      <c r="A3098" t="s">
        <v>8801</v>
      </c>
      <c r="B3098" t="s">
        <v>8802</v>
      </c>
      <c r="C3098" t="s">
        <v>8803</v>
      </c>
      <c r="D3098" t="s">
        <v>23</v>
      </c>
      <c r="E3098">
        <v>3386</v>
      </c>
      <c r="F3098" s="3">
        <v>40702</v>
      </c>
      <c r="H3098" t="s">
        <v>15523</v>
      </c>
      <c r="I3098" t="s">
        <v>17747</v>
      </c>
      <c r="K3098" t="e">
        <v>#N/A</v>
      </c>
      <c r="S3098" s="3"/>
    </row>
    <row r="3099" spans="1:19" x14ac:dyDescent="0.25">
      <c r="A3099" t="s">
        <v>8804</v>
      </c>
      <c r="B3099" t="s">
        <v>8805</v>
      </c>
      <c r="C3099" t="s">
        <v>8806</v>
      </c>
      <c r="D3099" t="s">
        <v>23</v>
      </c>
      <c r="E3099">
        <v>3387</v>
      </c>
      <c r="F3099" s="3">
        <v>40702</v>
      </c>
      <c r="H3099" t="s">
        <v>15523</v>
      </c>
      <c r="I3099" t="s">
        <v>17748</v>
      </c>
      <c r="K3099" t="e">
        <v>#N/A</v>
      </c>
      <c r="S3099" s="3"/>
    </row>
    <row r="3100" spans="1:19" x14ac:dyDescent="0.25">
      <c r="A3100" t="s">
        <v>8807</v>
      </c>
      <c r="B3100" t="s">
        <v>8808</v>
      </c>
      <c r="C3100" t="s">
        <v>8809</v>
      </c>
      <c r="D3100" t="s">
        <v>23</v>
      </c>
      <c r="E3100">
        <v>3388</v>
      </c>
      <c r="F3100" s="3">
        <v>40702</v>
      </c>
      <c r="H3100" t="s">
        <v>15523</v>
      </c>
      <c r="I3100" t="s">
        <v>17749</v>
      </c>
      <c r="K3100" t="e">
        <v>#N/A</v>
      </c>
      <c r="S3100" s="3"/>
    </row>
    <row r="3101" spans="1:19" x14ac:dyDescent="0.25">
      <c r="A3101" t="s">
        <v>8810</v>
      </c>
      <c r="B3101" t="s">
        <v>8811</v>
      </c>
      <c r="C3101" t="s">
        <v>8812</v>
      </c>
      <c r="D3101" t="s">
        <v>23</v>
      </c>
      <c r="E3101">
        <v>2724</v>
      </c>
      <c r="F3101" s="3">
        <v>40702</v>
      </c>
      <c r="H3101" t="s">
        <v>15523</v>
      </c>
      <c r="I3101" t="s">
        <v>17750</v>
      </c>
      <c r="K3101" t="e">
        <v>#N/A</v>
      </c>
      <c r="S3101" s="3"/>
    </row>
    <row r="3102" spans="1:19" x14ac:dyDescent="0.25">
      <c r="A3102" t="s">
        <v>8813</v>
      </c>
      <c r="B3102" t="s">
        <v>8814</v>
      </c>
      <c r="C3102" t="s">
        <v>8815</v>
      </c>
      <c r="D3102" t="s">
        <v>23</v>
      </c>
      <c r="E3102">
        <v>5034</v>
      </c>
      <c r="F3102" s="3">
        <v>41660</v>
      </c>
      <c r="H3102" t="s">
        <v>15523</v>
      </c>
      <c r="I3102" t="s">
        <v>17751</v>
      </c>
      <c r="K3102" t="e">
        <v>#N/A</v>
      </c>
      <c r="S3102" s="3"/>
    </row>
    <row r="3103" spans="1:19" x14ac:dyDescent="0.25">
      <c r="A3103" t="s">
        <v>8816</v>
      </c>
      <c r="B3103" t="s">
        <v>8817</v>
      </c>
      <c r="C3103" t="s">
        <v>8818</v>
      </c>
      <c r="D3103" t="s">
        <v>23</v>
      </c>
      <c r="E3103">
        <v>3399</v>
      </c>
      <c r="F3103" s="3">
        <v>40702</v>
      </c>
      <c r="H3103" t="s">
        <v>15523</v>
      </c>
      <c r="I3103" t="s">
        <v>17752</v>
      </c>
      <c r="K3103" t="e">
        <v>#N/A</v>
      </c>
      <c r="S3103" s="3"/>
    </row>
    <row r="3104" spans="1:19" x14ac:dyDescent="0.25">
      <c r="A3104" t="s">
        <v>8819</v>
      </c>
      <c r="B3104" t="s">
        <v>8820</v>
      </c>
      <c r="C3104" t="s">
        <v>8821</v>
      </c>
      <c r="D3104" t="s">
        <v>23</v>
      </c>
      <c r="E3104">
        <v>3395</v>
      </c>
      <c r="F3104" s="3">
        <v>40702</v>
      </c>
      <c r="H3104" t="s">
        <v>15523</v>
      </c>
      <c r="I3104" t="s">
        <v>17753</v>
      </c>
      <c r="K3104" t="e">
        <v>#N/A</v>
      </c>
      <c r="S3104" s="3"/>
    </row>
    <row r="3105" spans="1:19" x14ac:dyDescent="0.25">
      <c r="A3105" t="s">
        <v>8822</v>
      </c>
      <c r="B3105" t="s">
        <v>8823</v>
      </c>
      <c r="C3105" t="s">
        <v>8824</v>
      </c>
      <c r="D3105" t="s">
        <v>23</v>
      </c>
      <c r="E3105">
        <v>3396</v>
      </c>
      <c r="F3105" s="3">
        <v>40702</v>
      </c>
      <c r="H3105" t="s">
        <v>15523</v>
      </c>
      <c r="I3105" t="s">
        <v>17754</v>
      </c>
      <c r="K3105" t="e">
        <v>#N/A</v>
      </c>
      <c r="S3105" s="3"/>
    </row>
    <row r="3106" spans="1:19" x14ac:dyDescent="0.25">
      <c r="A3106" t="s">
        <v>8825</v>
      </c>
      <c r="B3106" t="s">
        <v>8826</v>
      </c>
      <c r="C3106" t="s">
        <v>8827</v>
      </c>
      <c r="D3106" t="s">
        <v>23</v>
      </c>
      <c r="E3106">
        <v>3397</v>
      </c>
      <c r="F3106" s="3">
        <v>40702</v>
      </c>
      <c r="H3106" t="s">
        <v>15523</v>
      </c>
      <c r="I3106" t="s">
        <v>17755</v>
      </c>
      <c r="K3106" t="e">
        <v>#N/A</v>
      </c>
      <c r="S3106" s="3"/>
    </row>
    <row r="3107" spans="1:19" x14ac:dyDescent="0.25">
      <c r="A3107" t="s">
        <v>8828</v>
      </c>
      <c r="B3107" t="s">
        <v>8829</v>
      </c>
      <c r="C3107" t="s">
        <v>8830</v>
      </c>
      <c r="D3107" t="s">
        <v>23</v>
      </c>
      <c r="E3107">
        <v>3398</v>
      </c>
      <c r="F3107" s="3">
        <v>40702</v>
      </c>
      <c r="H3107" t="s">
        <v>15523</v>
      </c>
      <c r="I3107" t="s">
        <v>17756</v>
      </c>
      <c r="K3107" t="e">
        <v>#N/A</v>
      </c>
      <c r="S3107" s="3"/>
    </row>
    <row r="3108" spans="1:19" x14ac:dyDescent="0.25">
      <c r="A3108" t="s">
        <v>8831</v>
      </c>
      <c r="B3108" t="s">
        <v>8832</v>
      </c>
      <c r="C3108" t="s">
        <v>8833</v>
      </c>
      <c r="D3108" t="s">
        <v>23</v>
      </c>
      <c r="E3108">
        <v>3400</v>
      </c>
      <c r="F3108" s="3">
        <v>40702</v>
      </c>
      <c r="H3108" t="s">
        <v>15523</v>
      </c>
      <c r="I3108" t="s">
        <v>17757</v>
      </c>
      <c r="K3108" t="e">
        <v>#N/A</v>
      </c>
      <c r="S3108" s="3"/>
    </row>
    <row r="3109" spans="1:19" x14ac:dyDescent="0.25">
      <c r="A3109" t="s">
        <v>8834</v>
      </c>
      <c r="B3109" t="s">
        <v>8835</v>
      </c>
      <c r="C3109" t="s">
        <v>8836</v>
      </c>
      <c r="D3109" t="s">
        <v>23</v>
      </c>
      <c r="E3109">
        <v>5302</v>
      </c>
      <c r="F3109" s="3">
        <v>42133</v>
      </c>
      <c r="H3109" t="s">
        <v>15523</v>
      </c>
      <c r="I3109" t="s">
        <v>17758</v>
      </c>
      <c r="K3109" t="e">
        <v>#N/A</v>
      </c>
      <c r="S3109" s="3"/>
    </row>
    <row r="3110" spans="1:19" x14ac:dyDescent="0.25">
      <c r="A3110" t="s">
        <v>8837</v>
      </c>
      <c r="B3110" t="s">
        <v>8838</v>
      </c>
      <c r="C3110" t="s">
        <v>8839</v>
      </c>
      <c r="D3110" t="s">
        <v>23</v>
      </c>
      <c r="E3110">
        <v>3401</v>
      </c>
      <c r="F3110" s="3">
        <v>40702</v>
      </c>
      <c r="H3110" t="s">
        <v>15523</v>
      </c>
      <c r="I3110" t="s">
        <v>17759</v>
      </c>
      <c r="K3110" t="e">
        <v>#N/A</v>
      </c>
      <c r="S3110" s="3"/>
    </row>
    <row r="3111" spans="1:19" x14ac:dyDescent="0.25">
      <c r="A3111" t="s">
        <v>8840</v>
      </c>
      <c r="B3111" t="s">
        <v>8841</v>
      </c>
      <c r="C3111" t="s">
        <v>8842</v>
      </c>
      <c r="D3111" t="s">
        <v>23</v>
      </c>
      <c r="E3111">
        <v>5301</v>
      </c>
      <c r="F3111" s="3">
        <v>42133</v>
      </c>
      <c r="H3111" t="s">
        <v>15523</v>
      </c>
      <c r="I3111" t="s">
        <v>17760</v>
      </c>
      <c r="K3111" t="e">
        <v>#N/A</v>
      </c>
      <c r="S3111" s="3"/>
    </row>
    <row r="3112" spans="1:19" x14ac:dyDescent="0.25">
      <c r="A3112" t="s">
        <v>8843</v>
      </c>
      <c r="B3112" t="s">
        <v>8844</v>
      </c>
      <c r="C3112" t="s">
        <v>8845</v>
      </c>
      <c r="D3112" t="s">
        <v>23</v>
      </c>
      <c r="E3112">
        <v>3402</v>
      </c>
      <c r="F3112" s="3">
        <v>40702</v>
      </c>
      <c r="H3112" t="s">
        <v>15523</v>
      </c>
      <c r="I3112" t="s">
        <v>17761</v>
      </c>
      <c r="K3112" t="e">
        <v>#N/A</v>
      </c>
      <c r="S3112" s="3"/>
    </row>
    <row r="3113" spans="1:19" x14ac:dyDescent="0.25">
      <c r="A3113" t="s">
        <v>8846</v>
      </c>
      <c r="B3113" t="s">
        <v>8847</v>
      </c>
      <c r="C3113" t="s">
        <v>8848</v>
      </c>
      <c r="D3113" t="s">
        <v>23</v>
      </c>
      <c r="E3113">
        <v>3408</v>
      </c>
      <c r="F3113" s="3">
        <v>40702</v>
      </c>
      <c r="H3113" t="s">
        <v>15523</v>
      </c>
      <c r="I3113" t="s">
        <v>17762</v>
      </c>
      <c r="K3113" t="e">
        <v>#N/A</v>
      </c>
      <c r="S3113" s="3"/>
    </row>
    <row r="3114" spans="1:19" x14ac:dyDescent="0.25">
      <c r="A3114" t="s">
        <v>8849</v>
      </c>
      <c r="B3114" t="s">
        <v>8850</v>
      </c>
      <c r="C3114" t="s">
        <v>8851</v>
      </c>
      <c r="D3114" t="s">
        <v>23</v>
      </c>
      <c r="E3114">
        <v>3410</v>
      </c>
      <c r="F3114" s="3">
        <v>40702</v>
      </c>
      <c r="H3114" t="s">
        <v>15523</v>
      </c>
      <c r="I3114" t="s">
        <v>17763</v>
      </c>
      <c r="K3114" t="e">
        <v>#N/A</v>
      </c>
      <c r="S3114" s="3"/>
    </row>
    <row r="3115" spans="1:19" x14ac:dyDescent="0.25">
      <c r="A3115" t="s">
        <v>8852</v>
      </c>
      <c r="B3115" t="s">
        <v>8853</v>
      </c>
      <c r="C3115" t="s">
        <v>8854</v>
      </c>
      <c r="D3115" t="s">
        <v>23</v>
      </c>
      <c r="E3115">
        <v>3411</v>
      </c>
      <c r="F3115" s="3">
        <v>40702</v>
      </c>
      <c r="H3115" t="s">
        <v>15523</v>
      </c>
      <c r="I3115" t="s">
        <v>17764</v>
      </c>
      <c r="K3115" t="e">
        <v>#N/A</v>
      </c>
      <c r="S3115" s="3"/>
    </row>
    <row r="3116" spans="1:19" x14ac:dyDescent="0.25">
      <c r="A3116" t="s">
        <v>8855</v>
      </c>
      <c r="B3116" t="s">
        <v>8856</v>
      </c>
      <c r="C3116" t="s">
        <v>8857</v>
      </c>
      <c r="D3116" t="s">
        <v>23</v>
      </c>
      <c r="E3116">
        <v>3412</v>
      </c>
      <c r="F3116" s="3">
        <v>40702</v>
      </c>
      <c r="H3116" t="s">
        <v>15523</v>
      </c>
      <c r="I3116" t="s">
        <v>17765</v>
      </c>
      <c r="K3116" t="e">
        <v>#N/A</v>
      </c>
      <c r="S3116" s="3"/>
    </row>
    <row r="3117" spans="1:19" x14ac:dyDescent="0.25">
      <c r="A3117" t="s">
        <v>8858</v>
      </c>
      <c r="B3117" t="s">
        <v>8859</v>
      </c>
      <c r="C3117" t="s">
        <v>8860</v>
      </c>
      <c r="D3117" t="s">
        <v>23</v>
      </c>
      <c r="E3117">
        <v>3416</v>
      </c>
      <c r="F3117" s="3">
        <v>40702</v>
      </c>
      <c r="H3117" t="s">
        <v>15523</v>
      </c>
      <c r="I3117" t="s">
        <v>17766</v>
      </c>
      <c r="K3117" t="e">
        <v>#N/A</v>
      </c>
      <c r="S3117" s="3"/>
    </row>
    <row r="3118" spans="1:19" x14ac:dyDescent="0.25">
      <c r="A3118" t="s">
        <v>8861</v>
      </c>
      <c r="B3118" t="s">
        <v>8862</v>
      </c>
      <c r="C3118" t="s">
        <v>8863</v>
      </c>
      <c r="D3118" t="s">
        <v>23</v>
      </c>
      <c r="E3118">
        <v>505</v>
      </c>
      <c r="F3118" s="3">
        <v>40702</v>
      </c>
      <c r="H3118" t="s">
        <v>15523</v>
      </c>
      <c r="I3118" t="s">
        <v>17767</v>
      </c>
      <c r="K3118" t="e">
        <v>#N/A</v>
      </c>
      <c r="S3118" s="3"/>
    </row>
    <row r="3119" spans="1:19" x14ac:dyDescent="0.25">
      <c r="A3119" t="s">
        <v>8864</v>
      </c>
      <c r="B3119" t="s">
        <v>8865</v>
      </c>
      <c r="C3119" t="s">
        <v>8866</v>
      </c>
      <c r="D3119" t="s">
        <v>23</v>
      </c>
      <c r="E3119">
        <v>5175</v>
      </c>
      <c r="F3119" s="3">
        <v>42357</v>
      </c>
      <c r="H3119" t="s">
        <v>15523</v>
      </c>
      <c r="I3119" t="s">
        <v>17768</v>
      </c>
      <c r="K3119" t="e">
        <v>#N/A</v>
      </c>
      <c r="S3119" s="3"/>
    </row>
    <row r="3120" spans="1:19" x14ac:dyDescent="0.25">
      <c r="A3120" t="s">
        <v>8867</v>
      </c>
      <c r="B3120" t="s">
        <v>8868</v>
      </c>
      <c r="C3120" t="s">
        <v>8869</v>
      </c>
      <c r="D3120" t="s">
        <v>23</v>
      </c>
      <c r="E3120">
        <v>3417</v>
      </c>
      <c r="F3120" s="3">
        <v>40702</v>
      </c>
      <c r="H3120" t="s">
        <v>15523</v>
      </c>
      <c r="I3120" t="s">
        <v>17769</v>
      </c>
      <c r="K3120" t="e">
        <v>#N/A</v>
      </c>
      <c r="S3120" s="3"/>
    </row>
    <row r="3121" spans="1:19" x14ac:dyDescent="0.25">
      <c r="A3121" t="s">
        <v>8870</v>
      </c>
      <c r="B3121" t="s">
        <v>8871</v>
      </c>
      <c r="C3121" t="s">
        <v>8872</v>
      </c>
      <c r="D3121" t="s">
        <v>23</v>
      </c>
      <c r="E3121">
        <v>3418</v>
      </c>
      <c r="F3121" s="3">
        <v>40702</v>
      </c>
      <c r="H3121" t="s">
        <v>15523</v>
      </c>
      <c r="I3121" t="s">
        <v>17770</v>
      </c>
      <c r="K3121" t="e">
        <v>#N/A</v>
      </c>
      <c r="S3121" s="3"/>
    </row>
    <row r="3122" spans="1:19" x14ac:dyDescent="0.25">
      <c r="A3122" t="s">
        <v>8873</v>
      </c>
      <c r="B3122" t="s">
        <v>8874</v>
      </c>
      <c r="C3122" t="s">
        <v>8875</v>
      </c>
      <c r="D3122" t="s">
        <v>23</v>
      </c>
      <c r="E3122">
        <v>514</v>
      </c>
      <c r="F3122" s="3">
        <v>40702</v>
      </c>
      <c r="H3122" t="s">
        <v>15523</v>
      </c>
      <c r="I3122" t="s">
        <v>17771</v>
      </c>
      <c r="K3122" t="e">
        <v>#N/A</v>
      </c>
      <c r="S3122" s="3"/>
    </row>
    <row r="3123" spans="1:19" x14ac:dyDescent="0.25">
      <c r="A3123" t="s">
        <v>8876</v>
      </c>
      <c r="B3123" t="s">
        <v>8877</v>
      </c>
      <c r="C3123" t="s">
        <v>8878</v>
      </c>
      <c r="D3123" t="s">
        <v>23</v>
      </c>
      <c r="E3123">
        <v>3419</v>
      </c>
      <c r="F3123" s="3">
        <v>40702</v>
      </c>
      <c r="H3123" t="s">
        <v>15523</v>
      </c>
      <c r="I3123" t="s">
        <v>17772</v>
      </c>
      <c r="K3123" t="e">
        <v>#N/A</v>
      </c>
      <c r="S3123" s="3"/>
    </row>
    <row r="3124" spans="1:19" x14ac:dyDescent="0.25">
      <c r="A3124" t="s">
        <v>8879</v>
      </c>
      <c r="B3124" t="s">
        <v>8880</v>
      </c>
      <c r="C3124" t="s">
        <v>8881</v>
      </c>
      <c r="D3124" t="s">
        <v>23</v>
      </c>
      <c r="E3124">
        <v>3420</v>
      </c>
      <c r="F3124" s="3">
        <v>40702</v>
      </c>
      <c r="H3124" t="s">
        <v>15523</v>
      </c>
      <c r="I3124" t="s">
        <v>17773</v>
      </c>
      <c r="K3124" t="e">
        <v>#N/A</v>
      </c>
      <c r="S3124" s="3"/>
    </row>
    <row r="3125" spans="1:19" x14ac:dyDescent="0.25">
      <c r="A3125" t="s">
        <v>8882</v>
      </c>
      <c r="B3125" t="s">
        <v>8883</v>
      </c>
      <c r="C3125" t="s">
        <v>8884</v>
      </c>
      <c r="D3125" t="s">
        <v>23</v>
      </c>
      <c r="E3125">
        <v>314</v>
      </c>
      <c r="F3125" s="3">
        <v>40702</v>
      </c>
      <c r="H3125" t="s">
        <v>15523</v>
      </c>
      <c r="I3125" t="s">
        <v>17774</v>
      </c>
      <c r="K3125" t="e">
        <v>#N/A</v>
      </c>
      <c r="S3125" s="3"/>
    </row>
    <row r="3126" spans="1:19" x14ac:dyDescent="0.25">
      <c r="A3126" t="s">
        <v>8885</v>
      </c>
      <c r="B3126" t="s">
        <v>8886</v>
      </c>
      <c r="C3126" t="s">
        <v>8887</v>
      </c>
      <c r="D3126" t="s">
        <v>23</v>
      </c>
      <c r="E3126">
        <v>3421</v>
      </c>
      <c r="F3126" s="3">
        <v>40702</v>
      </c>
      <c r="H3126" t="s">
        <v>15523</v>
      </c>
      <c r="I3126" t="s">
        <v>17775</v>
      </c>
      <c r="K3126" t="e">
        <v>#N/A</v>
      </c>
      <c r="S3126" s="3"/>
    </row>
    <row r="3127" spans="1:19" x14ac:dyDescent="0.25">
      <c r="A3127" t="s">
        <v>8888</v>
      </c>
      <c r="B3127" t="s">
        <v>8889</v>
      </c>
      <c r="C3127" t="s">
        <v>8890</v>
      </c>
      <c r="D3127" t="s">
        <v>23</v>
      </c>
      <c r="E3127">
        <v>3422</v>
      </c>
      <c r="F3127" s="3">
        <v>40702</v>
      </c>
      <c r="H3127" t="s">
        <v>15523</v>
      </c>
      <c r="I3127" t="s">
        <v>17776</v>
      </c>
      <c r="K3127" t="e">
        <v>#N/A</v>
      </c>
      <c r="S3127" s="3"/>
    </row>
    <row r="3128" spans="1:19" x14ac:dyDescent="0.25">
      <c r="A3128" t="s">
        <v>8891</v>
      </c>
      <c r="B3128" t="s">
        <v>8892</v>
      </c>
      <c r="C3128" t="s">
        <v>8893</v>
      </c>
      <c r="D3128" t="s">
        <v>23</v>
      </c>
      <c r="E3128">
        <v>3423</v>
      </c>
      <c r="F3128" s="3">
        <v>40702</v>
      </c>
      <c r="H3128" t="s">
        <v>15523</v>
      </c>
      <c r="I3128" t="s">
        <v>17777</v>
      </c>
      <c r="K3128" t="e">
        <v>#N/A</v>
      </c>
      <c r="S3128" s="3"/>
    </row>
    <row r="3129" spans="1:19" x14ac:dyDescent="0.25">
      <c r="A3129" t="s">
        <v>8894</v>
      </c>
      <c r="B3129" t="s">
        <v>8895</v>
      </c>
      <c r="C3129" t="s">
        <v>8896</v>
      </c>
      <c r="D3129" t="s">
        <v>23</v>
      </c>
      <c r="E3129">
        <v>3424</v>
      </c>
      <c r="F3129" s="3">
        <v>40702</v>
      </c>
      <c r="H3129" t="s">
        <v>15523</v>
      </c>
      <c r="I3129" t="s">
        <v>17778</v>
      </c>
      <c r="K3129" t="e">
        <v>#N/A</v>
      </c>
      <c r="S3129" s="3"/>
    </row>
    <row r="3130" spans="1:19" x14ac:dyDescent="0.25">
      <c r="A3130" t="s">
        <v>8897</v>
      </c>
      <c r="B3130" t="s">
        <v>8898</v>
      </c>
      <c r="C3130" t="s">
        <v>8899</v>
      </c>
      <c r="D3130" t="s">
        <v>23</v>
      </c>
      <c r="E3130">
        <v>3425</v>
      </c>
      <c r="F3130" s="3">
        <v>40702</v>
      </c>
      <c r="H3130" t="s">
        <v>15523</v>
      </c>
      <c r="I3130" t="s">
        <v>17779</v>
      </c>
      <c r="K3130" t="e">
        <v>#N/A</v>
      </c>
      <c r="S3130" s="3"/>
    </row>
    <row r="3131" spans="1:19" x14ac:dyDescent="0.25">
      <c r="A3131" t="s">
        <v>8900</v>
      </c>
      <c r="B3131" t="s">
        <v>8901</v>
      </c>
      <c r="C3131" t="s">
        <v>8902</v>
      </c>
      <c r="D3131" t="s">
        <v>23</v>
      </c>
      <c r="E3131">
        <v>3426</v>
      </c>
      <c r="F3131" s="3">
        <v>40702</v>
      </c>
      <c r="H3131" t="s">
        <v>15523</v>
      </c>
      <c r="I3131" t="s">
        <v>17780</v>
      </c>
      <c r="K3131" t="e">
        <v>#N/A</v>
      </c>
      <c r="S3131" s="3"/>
    </row>
    <row r="3132" spans="1:19" x14ac:dyDescent="0.25">
      <c r="A3132" t="s">
        <v>8903</v>
      </c>
      <c r="B3132" t="s">
        <v>8904</v>
      </c>
      <c r="C3132" t="s">
        <v>8905</v>
      </c>
      <c r="D3132" t="s">
        <v>23</v>
      </c>
      <c r="E3132">
        <v>3427</v>
      </c>
      <c r="F3132" s="3">
        <v>40702</v>
      </c>
      <c r="H3132" t="s">
        <v>15523</v>
      </c>
      <c r="I3132" t="s">
        <v>17781</v>
      </c>
      <c r="K3132" t="e">
        <v>#N/A</v>
      </c>
      <c r="S3132" s="3"/>
    </row>
    <row r="3133" spans="1:19" x14ac:dyDescent="0.25">
      <c r="A3133" t="s">
        <v>8906</v>
      </c>
      <c r="B3133" t="s">
        <v>8907</v>
      </c>
      <c r="C3133" t="s">
        <v>8908</v>
      </c>
      <c r="D3133" t="s">
        <v>23</v>
      </c>
      <c r="E3133">
        <v>3428</v>
      </c>
      <c r="F3133" s="3">
        <v>40702</v>
      </c>
      <c r="H3133" t="s">
        <v>15523</v>
      </c>
      <c r="I3133" t="s">
        <v>17782</v>
      </c>
      <c r="K3133" t="e">
        <v>#N/A</v>
      </c>
      <c r="S3133" s="3"/>
    </row>
    <row r="3134" spans="1:19" x14ac:dyDescent="0.25">
      <c r="A3134" t="s">
        <v>8909</v>
      </c>
      <c r="B3134" t="s">
        <v>8910</v>
      </c>
      <c r="C3134" t="s">
        <v>8911</v>
      </c>
      <c r="D3134" t="s">
        <v>23</v>
      </c>
      <c r="E3134">
        <v>3429</v>
      </c>
      <c r="F3134" s="3">
        <v>40702</v>
      </c>
      <c r="H3134" t="s">
        <v>15523</v>
      </c>
      <c r="I3134" t="s">
        <v>17783</v>
      </c>
      <c r="K3134" t="e">
        <v>#N/A</v>
      </c>
      <c r="S3134" s="3"/>
    </row>
    <row r="3135" spans="1:19" x14ac:dyDescent="0.25">
      <c r="A3135" t="s">
        <v>8912</v>
      </c>
      <c r="B3135" t="s">
        <v>8913</v>
      </c>
      <c r="C3135" t="s">
        <v>8914</v>
      </c>
      <c r="D3135" t="s">
        <v>23</v>
      </c>
      <c r="E3135">
        <v>3430</v>
      </c>
      <c r="F3135" s="3">
        <v>40702</v>
      </c>
      <c r="H3135" t="s">
        <v>15523</v>
      </c>
      <c r="I3135" t="s">
        <v>17784</v>
      </c>
      <c r="K3135" t="e">
        <v>#N/A</v>
      </c>
      <c r="S3135" s="3"/>
    </row>
    <row r="3136" spans="1:19" x14ac:dyDescent="0.25">
      <c r="A3136" t="s">
        <v>8915</v>
      </c>
      <c r="B3136" t="s">
        <v>8916</v>
      </c>
      <c r="C3136" t="s">
        <v>8917</v>
      </c>
      <c r="D3136" t="s">
        <v>23</v>
      </c>
      <c r="E3136">
        <v>3431</v>
      </c>
      <c r="F3136" s="3">
        <v>40702</v>
      </c>
      <c r="H3136" t="s">
        <v>15523</v>
      </c>
      <c r="I3136" t="s">
        <v>17785</v>
      </c>
      <c r="K3136" t="e">
        <v>#N/A</v>
      </c>
      <c r="S3136" s="3"/>
    </row>
    <row r="3137" spans="1:19" x14ac:dyDescent="0.25">
      <c r="A3137" t="s">
        <v>8918</v>
      </c>
      <c r="B3137" t="s">
        <v>8919</v>
      </c>
      <c r="C3137" t="s">
        <v>8920</v>
      </c>
      <c r="D3137" t="s">
        <v>23</v>
      </c>
      <c r="E3137">
        <v>3432</v>
      </c>
      <c r="F3137" s="3">
        <v>40702</v>
      </c>
      <c r="H3137" t="s">
        <v>15523</v>
      </c>
      <c r="I3137" t="s">
        <v>17786</v>
      </c>
      <c r="K3137" t="e">
        <v>#N/A</v>
      </c>
      <c r="S3137" s="3"/>
    </row>
    <row r="3138" spans="1:19" x14ac:dyDescent="0.25">
      <c r="A3138" t="s">
        <v>8921</v>
      </c>
      <c r="B3138" t="s">
        <v>8922</v>
      </c>
      <c r="C3138" t="s">
        <v>8923</v>
      </c>
      <c r="D3138" t="s">
        <v>23</v>
      </c>
      <c r="E3138">
        <v>3433</v>
      </c>
      <c r="F3138" s="3">
        <v>41230</v>
      </c>
      <c r="H3138" t="s">
        <v>15523</v>
      </c>
      <c r="I3138" t="s">
        <v>17787</v>
      </c>
      <c r="K3138" t="e">
        <v>#N/A</v>
      </c>
      <c r="S3138" s="3"/>
    </row>
    <row r="3139" spans="1:19" x14ac:dyDescent="0.25">
      <c r="A3139" t="s">
        <v>8924</v>
      </c>
      <c r="B3139" t="s">
        <v>8925</v>
      </c>
      <c r="C3139" t="s">
        <v>8926</v>
      </c>
      <c r="D3139" t="s">
        <v>23</v>
      </c>
      <c r="E3139">
        <v>3434</v>
      </c>
      <c r="F3139" s="3">
        <v>40702</v>
      </c>
      <c r="H3139" t="s">
        <v>15523</v>
      </c>
      <c r="I3139" t="s">
        <v>17788</v>
      </c>
      <c r="K3139" t="e">
        <v>#N/A</v>
      </c>
      <c r="S3139" s="3"/>
    </row>
    <row r="3140" spans="1:19" x14ac:dyDescent="0.25">
      <c r="A3140" t="s">
        <v>8927</v>
      </c>
      <c r="B3140" t="s">
        <v>8928</v>
      </c>
      <c r="C3140" t="s">
        <v>8929</v>
      </c>
      <c r="D3140" t="s">
        <v>23</v>
      </c>
      <c r="E3140">
        <v>5229</v>
      </c>
      <c r="F3140" s="3">
        <v>42035</v>
      </c>
      <c r="H3140" t="s">
        <v>15523</v>
      </c>
      <c r="I3140" t="s">
        <v>17789</v>
      </c>
      <c r="K3140" t="e">
        <v>#N/A</v>
      </c>
      <c r="S3140" s="3"/>
    </row>
    <row r="3141" spans="1:19" x14ac:dyDescent="0.25">
      <c r="A3141" t="s">
        <v>8930</v>
      </c>
      <c r="B3141" t="s">
        <v>8931</v>
      </c>
      <c r="C3141" t="s">
        <v>8932</v>
      </c>
      <c r="D3141" t="s">
        <v>23</v>
      </c>
      <c r="E3141">
        <v>3435</v>
      </c>
      <c r="F3141" s="3">
        <v>41006</v>
      </c>
      <c r="H3141" t="s">
        <v>15523</v>
      </c>
      <c r="I3141" t="s">
        <v>17790</v>
      </c>
      <c r="K3141" t="e">
        <v>#N/A</v>
      </c>
      <c r="S3141" s="3"/>
    </row>
    <row r="3142" spans="1:19" x14ac:dyDescent="0.25">
      <c r="A3142" t="s">
        <v>8933</v>
      </c>
      <c r="B3142" t="s">
        <v>8934</v>
      </c>
      <c r="C3142" t="s">
        <v>8935</v>
      </c>
      <c r="D3142" t="s">
        <v>23</v>
      </c>
      <c r="E3142">
        <v>3436</v>
      </c>
      <c r="F3142" s="3">
        <v>40702</v>
      </c>
      <c r="H3142" t="s">
        <v>15523</v>
      </c>
      <c r="I3142" t="s">
        <v>17791</v>
      </c>
      <c r="K3142" t="e">
        <v>#N/A</v>
      </c>
      <c r="S3142" s="3"/>
    </row>
    <row r="3143" spans="1:19" x14ac:dyDescent="0.25">
      <c r="A3143" t="s">
        <v>8936</v>
      </c>
      <c r="B3143" t="s">
        <v>8937</v>
      </c>
      <c r="C3143" t="s">
        <v>8938</v>
      </c>
      <c r="D3143" t="s">
        <v>23</v>
      </c>
      <c r="E3143">
        <v>3437</v>
      </c>
      <c r="F3143" s="3">
        <v>40702</v>
      </c>
      <c r="H3143" t="s">
        <v>15523</v>
      </c>
      <c r="I3143" t="s">
        <v>17792</v>
      </c>
      <c r="K3143" t="e">
        <v>#N/A</v>
      </c>
      <c r="S3143" s="3"/>
    </row>
    <row r="3144" spans="1:19" x14ac:dyDescent="0.25">
      <c r="A3144" t="s">
        <v>8939</v>
      </c>
      <c r="B3144" t="s">
        <v>8940</v>
      </c>
      <c r="C3144" t="s">
        <v>8941</v>
      </c>
      <c r="D3144" t="s">
        <v>23</v>
      </c>
      <c r="E3144">
        <v>3438</v>
      </c>
      <c r="F3144" s="3">
        <v>40702</v>
      </c>
      <c r="H3144" t="s">
        <v>15523</v>
      </c>
      <c r="I3144" t="s">
        <v>17793</v>
      </c>
      <c r="K3144" t="e">
        <v>#N/A</v>
      </c>
      <c r="S3144" s="3"/>
    </row>
    <row r="3145" spans="1:19" x14ac:dyDescent="0.25">
      <c r="A3145" t="s">
        <v>8942</v>
      </c>
      <c r="B3145" t="s">
        <v>8943</v>
      </c>
      <c r="C3145" t="s">
        <v>8944</v>
      </c>
      <c r="D3145" t="s">
        <v>23</v>
      </c>
      <c r="E3145">
        <v>3439</v>
      </c>
      <c r="F3145" s="3">
        <v>40702</v>
      </c>
      <c r="H3145" t="s">
        <v>15523</v>
      </c>
      <c r="I3145" t="s">
        <v>17794</v>
      </c>
      <c r="K3145" t="e">
        <v>#N/A</v>
      </c>
      <c r="S3145" s="3"/>
    </row>
    <row r="3146" spans="1:19" x14ac:dyDescent="0.25">
      <c r="A3146" t="s">
        <v>8945</v>
      </c>
      <c r="B3146" t="s">
        <v>8946</v>
      </c>
      <c r="C3146" t="s">
        <v>8947</v>
      </c>
      <c r="D3146" t="s">
        <v>23</v>
      </c>
      <c r="E3146">
        <v>3440</v>
      </c>
      <c r="F3146" s="3">
        <v>40702</v>
      </c>
      <c r="H3146" t="s">
        <v>15523</v>
      </c>
      <c r="I3146" t="s">
        <v>17795</v>
      </c>
      <c r="K3146" t="e">
        <v>#N/A</v>
      </c>
      <c r="S3146" s="3"/>
    </row>
    <row r="3147" spans="1:19" x14ac:dyDescent="0.25">
      <c r="A3147" t="s">
        <v>8948</v>
      </c>
      <c r="B3147" t="s">
        <v>8949</v>
      </c>
      <c r="C3147" t="s">
        <v>8950</v>
      </c>
      <c r="D3147" t="s">
        <v>23</v>
      </c>
      <c r="E3147">
        <v>5232</v>
      </c>
      <c r="F3147" s="3">
        <v>42035</v>
      </c>
      <c r="H3147" t="s">
        <v>15523</v>
      </c>
      <c r="I3147" t="s">
        <v>17796</v>
      </c>
      <c r="K3147" t="e">
        <v>#N/A</v>
      </c>
      <c r="S3147" s="3"/>
    </row>
    <row r="3148" spans="1:19" x14ac:dyDescent="0.25">
      <c r="A3148" t="s">
        <v>8951</v>
      </c>
      <c r="B3148" t="s">
        <v>8952</v>
      </c>
      <c r="C3148" t="s">
        <v>8953</v>
      </c>
      <c r="D3148" t="s">
        <v>23</v>
      </c>
      <c r="E3148">
        <v>3441</v>
      </c>
      <c r="F3148" s="3">
        <v>41230</v>
      </c>
      <c r="H3148" t="s">
        <v>15523</v>
      </c>
      <c r="I3148" t="s">
        <v>17797</v>
      </c>
      <c r="K3148" t="e">
        <v>#N/A</v>
      </c>
      <c r="S3148" s="3"/>
    </row>
    <row r="3149" spans="1:19" x14ac:dyDescent="0.25">
      <c r="A3149" t="s">
        <v>8954</v>
      </c>
      <c r="B3149" t="s">
        <v>8955</v>
      </c>
      <c r="C3149" t="s">
        <v>8956</v>
      </c>
      <c r="D3149" t="s">
        <v>23</v>
      </c>
      <c r="E3149">
        <v>5230</v>
      </c>
      <c r="F3149" s="3">
        <v>42035</v>
      </c>
      <c r="H3149" t="s">
        <v>15523</v>
      </c>
      <c r="I3149" t="s">
        <v>17798</v>
      </c>
      <c r="K3149" t="e">
        <v>#N/A</v>
      </c>
      <c r="S3149" s="3"/>
    </row>
    <row r="3150" spans="1:19" x14ac:dyDescent="0.25">
      <c r="A3150" t="s">
        <v>8957</v>
      </c>
      <c r="B3150" t="s">
        <v>8958</v>
      </c>
      <c r="C3150" t="s">
        <v>8959</v>
      </c>
      <c r="D3150" t="s">
        <v>23</v>
      </c>
      <c r="E3150">
        <v>3442</v>
      </c>
      <c r="F3150" s="3">
        <v>40702</v>
      </c>
      <c r="H3150" t="s">
        <v>15523</v>
      </c>
      <c r="I3150" t="s">
        <v>17799</v>
      </c>
      <c r="K3150" t="e">
        <v>#N/A</v>
      </c>
      <c r="S3150" s="3"/>
    </row>
    <row r="3151" spans="1:19" x14ac:dyDescent="0.25">
      <c r="A3151" t="s">
        <v>8960</v>
      </c>
      <c r="B3151" t="s">
        <v>8961</v>
      </c>
      <c r="C3151" t="s">
        <v>8962</v>
      </c>
      <c r="D3151" t="s">
        <v>23</v>
      </c>
      <c r="E3151">
        <v>3448</v>
      </c>
      <c r="F3151" s="3">
        <v>40702</v>
      </c>
      <c r="H3151" t="s">
        <v>15523</v>
      </c>
      <c r="I3151" t="s">
        <v>17800</v>
      </c>
      <c r="K3151" t="e">
        <v>#N/A</v>
      </c>
      <c r="S3151" s="3"/>
    </row>
    <row r="3152" spans="1:19" x14ac:dyDescent="0.25">
      <c r="A3152" t="s">
        <v>8963</v>
      </c>
      <c r="B3152" t="s">
        <v>8964</v>
      </c>
      <c r="C3152" t="s">
        <v>8965</v>
      </c>
      <c r="D3152" t="s">
        <v>23</v>
      </c>
      <c r="E3152">
        <v>3452</v>
      </c>
      <c r="F3152" s="3">
        <v>40702</v>
      </c>
      <c r="H3152" t="s">
        <v>15523</v>
      </c>
      <c r="I3152" t="s">
        <v>17801</v>
      </c>
      <c r="K3152" t="e">
        <v>#N/A</v>
      </c>
      <c r="S3152" s="3"/>
    </row>
    <row r="3153" spans="1:19" x14ac:dyDescent="0.25">
      <c r="A3153" t="s">
        <v>8966</v>
      </c>
      <c r="B3153" t="s">
        <v>8967</v>
      </c>
      <c r="C3153" t="s">
        <v>8968</v>
      </c>
      <c r="D3153" t="s">
        <v>23</v>
      </c>
      <c r="E3153">
        <v>3454</v>
      </c>
      <c r="F3153" s="3">
        <v>41230</v>
      </c>
      <c r="H3153" t="s">
        <v>15523</v>
      </c>
      <c r="I3153" t="s">
        <v>17802</v>
      </c>
      <c r="K3153" t="e">
        <v>#N/A</v>
      </c>
      <c r="S3153" s="3"/>
    </row>
    <row r="3154" spans="1:19" x14ac:dyDescent="0.25">
      <c r="A3154" t="s">
        <v>8969</v>
      </c>
      <c r="B3154" t="s">
        <v>8970</v>
      </c>
      <c r="C3154" t="s">
        <v>8971</v>
      </c>
      <c r="D3154" t="s">
        <v>23</v>
      </c>
      <c r="E3154">
        <v>3455</v>
      </c>
      <c r="F3154" s="3">
        <v>40702</v>
      </c>
      <c r="H3154" t="s">
        <v>15523</v>
      </c>
      <c r="I3154" t="s">
        <v>17803</v>
      </c>
      <c r="K3154" t="e">
        <v>#N/A</v>
      </c>
      <c r="S3154" s="3"/>
    </row>
    <row r="3155" spans="1:19" x14ac:dyDescent="0.25">
      <c r="A3155" t="s">
        <v>8972</v>
      </c>
      <c r="B3155" t="s">
        <v>8973</v>
      </c>
      <c r="C3155" t="s">
        <v>8974</v>
      </c>
      <c r="D3155" t="s">
        <v>23</v>
      </c>
      <c r="E3155">
        <v>3456</v>
      </c>
      <c r="F3155" s="3">
        <v>40702</v>
      </c>
      <c r="H3155" t="s">
        <v>15523</v>
      </c>
      <c r="I3155" t="s">
        <v>17804</v>
      </c>
      <c r="K3155" t="e">
        <v>#N/A</v>
      </c>
      <c r="S3155" s="3"/>
    </row>
    <row r="3156" spans="1:19" x14ac:dyDescent="0.25">
      <c r="A3156" t="s">
        <v>8975</v>
      </c>
      <c r="B3156" t="s">
        <v>8976</v>
      </c>
      <c r="C3156" t="s">
        <v>8977</v>
      </c>
      <c r="D3156" t="s">
        <v>23</v>
      </c>
      <c r="E3156">
        <v>3460</v>
      </c>
      <c r="F3156" s="3">
        <v>40702</v>
      </c>
      <c r="H3156" t="s">
        <v>15523</v>
      </c>
      <c r="I3156" t="s">
        <v>17805</v>
      </c>
      <c r="K3156" t="e">
        <v>#N/A</v>
      </c>
      <c r="S3156" s="3"/>
    </row>
    <row r="3157" spans="1:19" x14ac:dyDescent="0.25">
      <c r="A3157" t="s">
        <v>8978</v>
      </c>
      <c r="B3157" t="s">
        <v>8979</v>
      </c>
      <c r="C3157" t="s">
        <v>8980</v>
      </c>
      <c r="D3157" t="s">
        <v>23</v>
      </c>
      <c r="E3157">
        <v>3461</v>
      </c>
      <c r="F3157" s="3">
        <v>40702</v>
      </c>
      <c r="H3157" t="s">
        <v>15523</v>
      </c>
      <c r="I3157" t="s">
        <v>17806</v>
      </c>
      <c r="K3157" t="e">
        <v>#N/A</v>
      </c>
      <c r="S3157" s="3"/>
    </row>
    <row r="3158" spans="1:19" x14ac:dyDescent="0.25">
      <c r="A3158" t="s">
        <v>8981</v>
      </c>
      <c r="B3158" t="s">
        <v>8982</v>
      </c>
      <c r="C3158" t="s">
        <v>8983</v>
      </c>
      <c r="D3158" t="s">
        <v>23</v>
      </c>
      <c r="E3158">
        <v>3462</v>
      </c>
      <c r="F3158" s="3">
        <v>40702</v>
      </c>
      <c r="H3158" t="s">
        <v>15523</v>
      </c>
      <c r="I3158" t="s">
        <v>17807</v>
      </c>
      <c r="K3158" t="e">
        <v>#N/A</v>
      </c>
      <c r="S3158" s="3"/>
    </row>
    <row r="3159" spans="1:19" x14ac:dyDescent="0.25">
      <c r="A3159" t="s">
        <v>8984</v>
      </c>
      <c r="B3159" t="s">
        <v>8985</v>
      </c>
      <c r="C3159" t="s">
        <v>8986</v>
      </c>
      <c r="D3159" t="s">
        <v>23</v>
      </c>
      <c r="E3159">
        <v>3463</v>
      </c>
      <c r="F3159" s="3">
        <v>40702</v>
      </c>
      <c r="H3159" t="s">
        <v>15523</v>
      </c>
      <c r="I3159" t="s">
        <v>17808</v>
      </c>
      <c r="K3159" t="e">
        <v>#N/A</v>
      </c>
      <c r="S3159" s="3"/>
    </row>
    <row r="3160" spans="1:19" x14ac:dyDescent="0.25">
      <c r="A3160" t="s">
        <v>8987</v>
      </c>
      <c r="B3160" t="s">
        <v>8988</v>
      </c>
      <c r="C3160" t="s">
        <v>8989</v>
      </c>
      <c r="D3160" t="s">
        <v>23</v>
      </c>
      <c r="E3160">
        <v>3464</v>
      </c>
      <c r="F3160" s="3">
        <v>40702</v>
      </c>
      <c r="H3160" t="s">
        <v>15523</v>
      </c>
      <c r="I3160" t="s">
        <v>17809</v>
      </c>
      <c r="K3160" t="e">
        <v>#N/A</v>
      </c>
      <c r="S3160" s="3"/>
    </row>
    <row r="3161" spans="1:19" x14ac:dyDescent="0.25">
      <c r="A3161" t="s">
        <v>8990</v>
      </c>
      <c r="B3161" t="s">
        <v>8991</v>
      </c>
      <c r="C3161" t="s">
        <v>8992</v>
      </c>
      <c r="D3161" t="s">
        <v>23</v>
      </c>
      <c r="E3161">
        <v>5978</v>
      </c>
      <c r="F3161" s="3">
        <v>43375</v>
      </c>
      <c r="H3161" t="s">
        <v>15523</v>
      </c>
      <c r="I3161" t="s">
        <v>17810</v>
      </c>
      <c r="K3161" t="e">
        <v>#N/A</v>
      </c>
      <c r="S3161" s="3"/>
    </row>
    <row r="3162" spans="1:19" x14ac:dyDescent="0.25">
      <c r="A3162" t="s">
        <v>8993</v>
      </c>
      <c r="B3162" t="s">
        <v>8994</v>
      </c>
      <c r="C3162" t="s">
        <v>8995</v>
      </c>
      <c r="D3162" t="s">
        <v>23</v>
      </c>
      <c r="E3162">
        <v>5035</v>
      </c>
      <c r="F3162" s="3">
        <v>41660</v>
      </c>
      <c r="H3162" t="s">
        <v>15523</v>
      </c>
      <c r="I3162" t="s">
        <v>17811</v>
      </c>
      <c r="K3162" t="e">
        <v>#N/A</v>
      </c>
      <c r="S3162" s="3"/>
    </row>
    <row r="3163" spans="1:19" x14ac:dyDescent="0.25">
      <c r="A3163" t="s">
        <v>8996</v>
      </c>
      <c r="B3163" t="s">
        <v>8997</v>
      </c>
      <c r="C3163" t="s">
        <v>8998</v>
      </c>
      <c r="D3163" t="s">
        <v>23</v>
      </c>
      <c r="E3163">
        <v>3466</v>
      </c>
      <c r="F3163" s="3">
        <v>40702</v>
      </c>
      <c r="H3163" t="s">
        <v>15523</v>
      </c>
      <c r="I3163" t="s">
        <v>17812</v>
      </c>
      <c r="K3163" t="e">
        <v>#N/A</v>
      </c>
      <c r="S3163" s="3"/>
    </row>
    <row r="3164" spans="1:19" x14ac:dyDescent="0.25">
      <c r="A3164" t="s">
        <v>8999</v>
      </c>
      <c r="B3164" t="s">
        <v>9000</v>
      </c>
      <c r="C3164" t="s">
        <v>9001</v>
      </c>
      <c r="D3164" t="s">
        <v>23</v>
      </c>
      <c r="E3164">
        <v>2464</v>
      </c>
      <c r="F3164" s="3">
        <v>40702</v>
      </c>
      <c r="H3164" t="s">
        <v>15523</v>
      </c>
      <c r="I3164" t="s">
        <v>17813</v>
      </c>
      <c r="K3164" t="e">
        <v>#N/A</v>
      </c>
      <c r="S3164" s="3"/>
    </row>
    <row r="3165" spans="1:19" x14ac:dyDescent="0.25">
      <c r="A3165" t="s">
        <v>9002</v>
      </c>
      <c r="B3165" t="s">
        <v>9003</v>
      </c>
      <c r="C3165" t="s">
        <v>9004</v>
      </c>
      <c r="D3165" t="s">
        <v>23</v>
      </c>
      <c r="E3165">
        <v>2477</v>
      </c>
      <c r="F3165" s="3">
        <v>40702</v>
      </c>
      <c r="H3165" t="s">
        <v>15523</v>
      </c>
      <c r="I3165" t="s">
        <v>17814</v>
      </c>
      <c r="K3165" t="e">
        <v>#N/A</v>
      </c>
      <c r="S3165" s="3"/>
    </row>
    <row r="3166" spans="1:19" x14ac:dyDescent="0.25">
      <c r="A3166" t="s">
        <v>9005</v>
      </c>
      <c r="B3166" t="s">
        <v>9006</v>
      </c>
      <c r="C3166" t="s">
        <v>9007</v>
      </c>
      <c r="D3166" t="s">
        <v>23</v>
      </c>
      <c r="E3166">
        <v>3467</v>
      </c>
      <c r="F3166" s="3">
        <v>41230</v>
      </c>
      <c r="H3166" t="s">
        <v>15523</v>
      </c>
      <c r="I3166" t="s">
        <v>17815</v>
      </c>
      <c r="K3166" t="e">
        <v>#N/A</v>
      </c>
      <c r="S3166" s="3"/>
    </row>
    <row r="3167" spans="1:19" x14ac:dyDescent="0.25">
      <c r="A3167" t="s">
        <v>9008</v>
      </c>
      <c r="B3167" t="s">
        <v>9009</v>
      </c>
      <c r="C3167" t="s">
        <v>9010</v>
      </c>
      <c r="D3167" t="s">
        <v>23</v>
      </c>
      <c r="E3167">
        <v>3468</v>
      </c>
      <c r="F3167" s="3">
        <v>40702</v>
      </c>
      <c r="H3167" t="s">
        <v>15523</v>
      </c>
      <c r="I3167" t="s">
        <v>17816</v>
      </c>
      <c r="K3167" t="e">
        <v>#N/A</v>
      </c>
      <c r="S3167" s="3"/>
    </row>
    <row r="3168" spans="1:19" x14ac:dyDescent="0.25">
      <c r="A3168" t="s">
        <v>9011</v>
      </c>
      <c r="B3168" t="s">
        <v>9012</v>
      </c>
      <c r="C3168" t="s">
        <v>9013</v>
      </c>
      <c r="D3168" t="s">
        <v>23</v>
      </c>
      <c r="E3168">
        <v>3469</v>
      </c>
      <c r="F3168" s="3">
        <v>41230</v>
      </c>
      <c r="H3168" t="s">
        <v>15523</v>
      </c>
      <c r="I3168" t="s">
        <v>17817</v>
      </c>
      <c r="K3168" t="e">
        <v>#N/A</v>
      </c>
      <c r="S3168" s="3"/>
    </row>
    <row r="3169" spans="1:19" x14ac:dyDescent="0.25">
      <c r="A3169" t="s">
        <v>9014</v>
      </c>
      <c r="B3169" t="s">
        <v>9015</v>
      </c>
      <c r="C3169" t="s">
        <v>9016</v>
      </c>
      <c r="D3169" t="s">
        <v>23</v>
      </c>
      <c r="E3169">
        <v>526</v>
      </c>
      <c r="F3169" s="3">
        <v>40702</v>
      </c>
      <c r="H3169" t="s">
        <v>15523</v>
      </c>
      <c r="I3169" t="s">
        <v>17818</v>
      </c>
      <c r="K3169" t="e">
        <v>#N/A</v>
      </c>
      <c r="S3169" s="3"/>
    </row>
    <row r="3170" spans="1:19" x14ac:dyDescent="0.25">
      <c r="A3170" t="s">
        <v>9017</v>
      </c>
      <c r="B3170" t="s">
        <v>9018</v>
      </c>
      <c r="C3170" t="s">
        <v>9019</v>
      </c>
      <c r="D3170" t="s">
        <v>23</v>
      </c>
      <c r="E3170">
        <v>3470</v>
      </c>
      <c r="F3170" s="3">
        <v>40702</v>
      </c>
      <c r="H3170" t="s">
        <v>15523</v>
      </c>
      <c r="I3170" t="s">
        <v>17819</v>
      </c>
      <c r="K3170" t="e">
        <v>#N/A</v>
      </c>
      <c r="S3170" s="3"/>
    </row>
    <row r="3171" spans="1:19" x14ac:dyDescent="0.25">
      <c r="A3171" t="s">
        <v>9020</v>
      </c>
      <c r="B3171" t="s">
        <v>9021</v>
      </c>
      <c r="C3171" t="s">
        <v>9022</v>
      </c>
      <c r="D3171" t="s">
        <v>23</v>
      </c>
      <c r="E3171">
        <v>3472</v>
      </c>
      <c r="F3171" s="3">
        <v>40702</v>
      </c>
      <c r="H3171" t="s">
        <v>15523</v>
      </c>
      <c r="I3171" t="s">
        <v>17820</v>
      </c>
      <c r="K3171" t="e">
        <v>#N/A</v>
      </c>
      <c r="S3171" s="3"/>
    </row>
    <row r="3172" spans="1:19" x14ac:dyDescent="0.25">
      <c r="A3172" t="s">
        <v>9023</v>
      </c>
      <c r="B3172" t="s">
        <v>9024</v>
      </c>
      <c r="C3172" t="s">
        <v>9025</v>
      </c>
      <c r="D3172" t="s">
        <v>23</v>
      </c>
      <c r="E3172">
        <v>3473</v>
      </c>
      <c r="F3172" s="3">
        <v>40702</v>
      </c>
      <c r="H3172" t="s">
        <v>15523</v>
      </c>
      <c r="I3172" t="s">
        <v>17821</v>
      </c>
      <c r="K3172" t="e">
        <v>#N/A</v>
      </c>
      <c r="S3172" s="3"/>
    </row>
    <row r="3173" spans="1:19" x14ac:dyDescent="0.25">
      <c r="A3173" t="s">
        <v>9026</v>
      </c>
      <c r="B3173" t="s">
        <v>9027</v>
      </c>
      <c r="C3173" t="s">
        <v>9028</v>
      </c>
      <c r="D3173" t="s">
        <v>23</v>
      </c>
      <c r="E3173">
        <v>2465</v>
      </c>
      <c r="F3173" s="3">
        <v>40702</v>
      </c>
      <c r="H3173" t="s">
        <v>15523</v>
      </c>
      <c r="I3173" t="s">
        <v>17822</v>
      </c>
      <c r="K3173" t="e">
        <v>#N/A</v>
      </c>
      <c r="S3173" s="3"/>
    </row>
    <row r="3174" spans="1:19" x14ac:dyDescent="0.25">
      <c r="A3174" t="s">
        <v>9029</v>
      </c>
      <c r="B3174" t="s">
        <v>9030</v>
      </c>
      <c r="C3174" t="s">
        <v>9031</v>
      </c>
      <c r="D3174" t="s">
        <v>23</v>
      </c>
      <c r="E3174">
        <v>3474</v>
      </c>
      <c r="F3174" s="3">
        <v>40702</v>
      </c>
      <c r="H3174" t="s">
        <v>15523</v>
      </c>
      <c r="I3174" t="s">
        <v>17823</v>
      </c>
      <c r="K3174" t="e">
        <v>#N/A</v>
      </c>
      <c r="S3174" s="3"/>
    </row>
    <row r="3175" spans="1:19" x14ac:dyDescent="0.25">
      <c r="A3175" t="s">
        <v>9032</v>
      </c>
      <c r="B3175" t="s">
        <v>9033</v>
      </c>
      <c r="C3175" t="s">
        <v>9034</v>
      </c>
      <c r="D3175" t="s">
        <v>23</v>
      </c>
      <c r="E3175">
        <v>3483</v>
      </c>
      <c r="F3175" s="3">
        <v>40702</v>
      </c>
      <c r="H3175" t="s">
        <v>15523</v>
      </c>
      <c r="I3175" t="s">
        <v>17824</v>
      </c>
      <c r="K3175" t="e">
        <v>#N/A</v>
      </c>
      <c r="S3175" s="3"/>
    </row>
    <row r="3176" spans="1:19" x14ac:dyDescent="0.25">
      <c r="A3176" t="s">
        <v>9035</v>
      </c>
      <c r="B3176" t="s">
        <v>9036</v>
      </c>
      <c r="C3176" t="s">
        <v>9037</v>
      </c>
      <c r="D3176" t="s">
        <v>23</v>
      </c>
      <c r="E3176">
        <v>513</v>
      </c>
      <c r="F3176" s="3">
        <v>40702</v>
      </c>
      <c r="H3176" t="s">
        <v>15523</v>
      </c>
      <c r="I3176" t="s">
        <v>17825</v>
      </c>
      <c r="K3176" t="e">
        <v>#N/A</v>
      </c>
      <c r="S3176" s="3"/>
    </row>
    <row r="3177" spans="1:19" x14ac:dyDescent="0.25">
      <c r="A3177" t="s">
        <v>9038</v>
      </c>
      <c r="B3177" t="s">
        <v>9039</v>
      </c>
      <c r="C3177" t="s">
        <v>9040</v>
      </c>
      <c r="D3177" t="s">
        <v>23</v>
      </c>
      <c r="E3177">
        <v>2236</v>
      </c>
      <c r="F3177" s="3">
        <v>40702</v>
      </c>
      <c r="H3177" t="s">
        <v>15523</v>
      </c>
      <c r="I3177" t="s">
        <v>17826</v>
      </c>
      <c r="K3177" t="e">
        <v>#N/A</v>
      </c>
      <c r="S3177" s="3"/>
    </row>
    <row r="3178" spans="1:19" x14ac:dyDescent="0.25">
      <c r="A3178" t="s">
        <v>9041</v>
      </c>
      <c r="B3178" t="s">
        <v>9042</v>
      </c>
      <c r="C3178" t="s">
        <v>9043</v>
      </c>
      <c r="D3178" t="s">
        <v>23</v>
      </c>
      <c r="E3178">
        <v>3486</v>
      </c>
      <c r="F3178" s="3">
        <v>40702</v>
      </c>
      <c r="H3178" t="s">
        <v>15523</v>
      </c>
      <c r="I3178" t="s">
        <v>17827</v>
      </c>
      <c r="K3178" t="e">
        <v>#N/A</v>
      </c>
      <c r="S3178" s="3"/>
    </row>
    <row r="3179" spans="1:19" x14ac:dyDescent="0.25">
      <c r="A3179" t="s">
        <v>9044</v>
      </c>
      <c r="B3179" t="s">
        <v>9045</v>
      </c>
      <c r="C3179" t="s">
        <v>9046</v>
      </c>
      <c r="D3179" t="s">
        <v>23</v>
      </c>
      <c r="E3179">
        <v>3492</v>
      </c>
      <c r="F3179" s="3">
        <v>40702</v>
      </c>
      <c r="H3179" t="s">
        <v>15523</v>
      </c>
      <c r="I3179" t="s">
        <v>17828</v>
      </c>
      <c r="K3179" t="e">
        <v>#N/A</v>
      </c>
      <c r="S3179" s="3"/>
    </row>
    <row r="3180" spans="1:19" x14ac:dyDescent="0.25">
      <c r="A3180" t="s">
        <v>9047</v>
      </c>
      <c r="B3180" t="s">
        <v>9048</v>
      </c>
      <c r="C3180" t="s">
        <v>9049</v>
      </c>
      <c r="D3180" t="s">
        <v>23</v>
      </c>
      <c r="E3180">
        <v>5550</v>
      </c>
      <c r="F3180" s="3">
        <v>42385</v>
      </c>
      <c r="H3180" t="s">
        <v>15523</v>
      </c>
      <c r="I3180" t="s">
        <v>17829</v>
      </c>
      <c r="K3180" t="e">
        <v>#N/A</v>
      </c>
      <c r="S3180" s="3"/>
    </row>
    <row r="3181" spans="1:19" x14ac:dyDescent="0.25">
      <c r="A3181" t="s">
        <v>9050</v>
      </c>
      <c r="B3181" t="s">
        <v>9051</v>
      </c>
      <c r="C3181" t="s">
        <v>9052</v>
      </c>
      <c r="D3181" t="s">
        <v>23</v>
      </c>
      <c r="E3181">
        <v>3501</v>
      </c>
      <c r="F3181" s="3">
        <v>41230</v>
      </c>
      <c r="H3181" t="s">
        <v>15523</v>
      </c>
      <c r="I3181" t="s">
        <v>17830</v>
      </c>
      <c r="K3181" t="e">
        <v>#N/A</v>
      </c>
      <c r="S3181" s="3"/>
    </row>
    <row r="3182" spans="1:19" x14ac:dyDescent="0.25">
      <c r="A3182" t="s">
        <v>9053</v>
      </c>
      <c r="B3182" t="s">
        <v>9054</v>
      </c>
      <c r="C3182" t="s">
        <v>9055</v>
      </c>
      <c r="D3182" t="s">
        <v>23</v>
      </c>
      <c r="E3182">
        <v>3502</v>
      </c>
      <c r="F3182" s="3">
        <v>40702</v>
      </c>
      <c r="H3182" t="s">
        <v>15523</v>
      </c>
      <c r="I3182" t="s">
        <v>17831</v>
      </c>
      <c r="K3182" t="e">
        <v>#N/A</v>
      </c>
      <c r="S3182" s="3"/>
    </row>
    <row r="3183" spans="1:19" x14ac:dyDescent="0.25">
      <c r="A3183" t="s">
        <v>9056</v>
      </c>
      <c r="B3183" t="s">
        <v>9057</v>
      </c>
      <c r="C3183" t="s">
        <v>9058</v>
      </c>
      <c r="D3183" t="s">
        <v>23</v>
      </c>
      <c r="E3183">
        <v>3504</v>
      </c>
      <c r="F3183" s="3">
        <v>40702</v>
      </c>
      <c r="H3183" t="s">
        <v>15523</v>
      </c>
      <c r="I3183" t="s">
        <v>17832</v>
      </c>
      <c r="K3183" t="e">
        <v>#N/A</v>
      </c>
      <c r="S3183" s="3"/>
    </row>
    <row r="3184" spans="1:19" x14ac:dyDescent="0.25">
      <c r="A3184" t="s">
        <v>9059</v>
      </c>
      <c r="B3184" t="s">
        <v>9060</v>
      </c>
      <c r="C3184" t="s">
        <v>9061</v>
      </c>
      <c r="D3184" t="s">
        <v>23</v>
      </c>
      <c r="E3184">
        <v>1802</v>
      </c>
      <c r="F3184" s="3">
        <v>40702</v>
      </c>
      <c r="H3184" t="s">
        <v>15523</v>
      </c>
      <c r="I3184" t="s">
        <v>17833</v>
      </c>
      <c r="K3184" t="e">
        <v>#N/A</v>
      </c>
      <c r="S3184" s="3"/>
    </row>
    <row r="3185" spans="1:19" x14ac:dyDescent="0.25">
      <c r="A3185" t="s">
        <v>9062</v>
      </c>
      <c r="B3185" t="s">
        <v>9063</v>
      </c>
      <c r="C3185" t="s">
        <v>9064</v>
      </c>
      <c r="D3185" t="s">
        <v>23</v>
      </c>
      <c r="E3185">
        <v>3505</v>
      </c>
      <c r="F3185" s="3">
        <v>40702</v>
      </c>
      <c r="H3185" t="s">
        <v>15523</v>
      </c>
      <c r="I3185" t="s">
        <v>17834</v>
      </c>
      <c r="K3185" t="e">
        <v>#N/A</v>
      </c>
      <c r="S3185" s="3"/>
    </row>
    <row r="3186" spans="1:19" x14ac:dyDescent="0.25">
      <c r="A3186" t="s">
        <v>9065</v>
      </c>
      <c r="B3186" t="s">
        <v>9066</v>
      </c>
      <c r="C3186" t="s">
        <v>9067</v>
      </c>
      <c r="D3186" t="s">
        <v>23</v>
      </c>
      <c r="E3186">
        <v>3506</v>
      </c>
      <c r="F3186" s="3">
        <v>40702</v>
      </c>
      <c r="H3186" t="s">
        <v>15523</v>
      </c>
      <c r="I3186" t="s">
        <v>17835</v>
      </c>
      <c r="K3186" t="e">
        <v>#N/A</v>
      </c>
      <c r="S3186" s="3"/>
    </row>
    <row r="3187" spans="1:19" x14ac:dyDescent="0.25">
      <c r="A3187" t="s">
        <v>9068</v>
      </c>
      <c r="B3187" t="s">
        <v>9069</v>
      </c>
      <c r="C3187" t="s">
        <v>9070</v>
      </c>
      <c r="D3187" t="s">
        <v>23</v>
      </c>
      <c r="E3187">
        <v>3508</v>
      </c>
      <c r="F3187" s="3">
        <v>40702</v>
      </c>
      <c r="H3187" t="s">
        <v>15523</v>
      </c>
      <c r="I3187" t="s">
        <v>17836</v>
      </c>
      <c r="K3187" t="e">
        <v>#N/A</v>
      </c>
      <c r="S3187" s="3"/>
    </row>
    <row r="3188" spans="1:19" x14ac:dyDescent="0.25">
      <c r="A3188" t="s">
        <v>9071</v>
      </c>
      <c r="B3188" t="s">
        <v>9072</v>
      </c>
      <c r="C3188" t="s">
        <v>9073</v>
      </c>
      <c r="D3188" t="s">
        <v>23</v>
      </c>
      <c r="E3188">
        <v>3509</v>
      </c>
      <c r="F3188" s="3">
        <v>40702</v>
      </c>
      <c r="H3188" t="s">
        <v>15523</v>
      </c>
      <c r="I3188" t="s">
        <v>17837</v>
      </c>
      <c r="K3188" t="e">
        <v>#N/A</v>
      </c>
      <c r="S3188" s="3"/>
    </row>
    <row r="3189" spans="1:19" x14ac:dyDescent="0.25">
      <c r="A3189" t="s">
        <v>9074</v>
      </c>
      <c r="B3189" t="s">
        <v>9075</v>
      </c>
      <c r="C3189" t="s">
        <v>9076</v>
      </c>
      <c r="D3189" t="s">
        <v>23</v>
      </c>
      <c r="E3189">
        <v>3511</v>
      </c>
      <c r="F3189" s="3">
        <v>40702</v>
      </c>
      <c r="H3189" t="s">
        <v>15523</v>
      </c>
      <c r="I3189" t="s">
        <v>17838</v>
      </c>
      <c r="K3189" t="e">
        <v>#N/A</v>
      </c>
      <c r="S3189" s="3"/>
    </row>
    <row r="3190" spans="1:19" x14ac:dyDescent="0.25">
      <c r="A3190" t="s">
        <v>9077</v>
      </c>
      <c r="B3190" t="s">
        <v>9078</v>
      </c>
      <c r="C3190" t="s">
        <v>9079</v>
      </c>
      <c r="D3190" t="s">
        <v>23</v>
      </c>
      <c r="E3190">
        <v>311</v>
      </c>
      <c r="F3190" s="3">
        <v>40702</v>
      </c>
      <c r="H3190" t="s">
        <v>15523</v>
      </c>
      <c r="I3190" t="s">
        <v>17839</v>
      </c>
      <c r="K3190" t="e">
        <v>#N/A</v>
      </c>
      <c r="S3190" s="3"/>
    </row>
    <row r="3191" spans="1:19" x14ac:dyDescent="0.25">
      <c r="A3191" t="s">
        <v>9080</v>
      </c>
      <c r="B3191" t="s">
        <v>9081</v>
      </c>
      <c r="C3191" t="s">
        <v>9082</v>
      </c>
      <c r="D3191" t="s">
        <v>23</v>
      </c>
      <c r="E3191">
        <v>3513</v>
      </c>
      <c r="F3191" s="3">
        <v>43082</v>
      </c>
      <c r="H3191" t="s">
        <v>15523</v>
      </c>
      <c r="I3191" t="s">
        <v>17840</v>
      </c>
      <c r="K3191" t="e">
        <v>#N/A</v>
      </c>
      <c r="S3191" s="3"/>
    </row>
    <row r="3192" spans="1:19" x14ac:dyDescent="0.25">
      <c r="A3192" t="s">
        <v>9083</v>
      </c>
      <c r="B3192" t="s">
        <v>9084</v>
      </c>
      <c r="C3192" t="s">
        <v>9085</v>
      </c>
      <c r="D3192" t="s">
        <v>23</v>
      </c>
      <c r="E3192">
        <v>3521</v>
      </c>
      <c r="F3192" s="3">
        <v>40702</v>
      </c>
      <c r="H3192" t="s">
        <v>15523</v>
      </c>
      <c r="I3192" t="s">
        <v>17841</v>
      </c>
      <c r="K3192" t="e">
        <v>#N/A</v>
      </c>
      <c r="S3192" s="3"/>
    </row>
    <row r="3193" spans="1:19" x14ac:dyDescent="0.25">
      <c r="A3193" t="s">
        <v>9086</v>
      </c>
      <c r="B3193" t="s">
        <v>9087</v>
      </c>
      <c r="C3193" t="s">
        <v>9088</v>
      </c>
      <c r="D3193" t="s">
        <v>23</v>
      </c>
      <c r="E3193">
        <v>530</v>
      </c>
      <c r="F3193" s="3">
        <v>40702</v>
      </c>
      <c r="H3193" t="s">
        <v>15523</v>
      </c>
      <c r="I3193" t="s">
        <v>17842</v>
      </c>
      <c r="K3193" t="e">
        <v>#N/A</v>
      </c>
      <c r="S3193" s="3"/>
    </row>
    <row r="3194" spans="1:19" x14ac:dyDescent="0.25">
      <c r="A3194" t="s">
        <v>9089</v>
      </c>
      <c r="B3194" t="s">
        <v>9090</v>
      </c>
      <c r="C3194" t="s">
        <v>9091</v>
      </c>
      <c r="D3194" t="s">
        <v>23</v>
      </c>
      <c r="E3194">
        <v>903</v>
      </c>
      <c r="F3194" s="3">
        <v>40703</v>
      </c>
      <c r="H3194" t="s">
        <v>15523</v>
      </c>
      <c r="I3194" t="s">
        <v>17843</v>
      </c>
      <c r="K3194" t="e">
        <v>#N/A</v>
      </c>
      <c r="S3194" s="3"/>
    </row>
    <row r="3195" spans="1:19" x14ac:dyDescent="0.25">
      <c r="A3195" t="s">
        <v>9092</v>
      </c>
      <c r="B3195" t="s">
        <v>9093</v>
      </c>
      <c r="C3195" t="s">
        <v>9094</v>
      </c>
      <c r="D3195" t="s">
        <v>23</v>
      </c>
      <c r="E3195">
        <v>3523</v>
      </c>
      <c r="F3195" s="3">
        <v>40702</v>
      </c>
      <c r="H3195" t="s">
        <v>15523</v>
      </c>
      <c r="I3195" t="s">
        <v>17844</v>
      </c>
      <c r="K3195" t="e">
        <v>#N/A</v>
      </c>
      <c r="S3195" s="3"/>
    </row>
    <row r="3196" spans="1:19" x14ac:dyDescent="0.25">
      <c r="A3196" t="s">
        <v>9095</v>
      </c>
      <c r="B3196" t="s">
        <v>9096</v>
      </c>
      <c r="C3196" t="s">
        <v>9097</v>
      </c>
      <c r="D3196" t="s">
        <v>23</v>
      </c>
      <c r="E3196">
        <v>538</v>
      </c>
      <c r="F3196" s="3">
        <v>40702</v>
      </c>
      <c r="H3196" t="s">
        <v>15523</v>
      </c>
      <c r="I3196" t="s">
        <v>17845</v>
      </c>
      <c r="K3196" t="e">
        <v>#N/A</v>
      </c>
      <c r="S3196" s="3"/>
    </row>
    <row r="3197" spans="1:19" x14ac:dyDescent="0.25">
      <c r="A3197" t="s">
        <v>9098</v>
      </c>
      <c r="B3197" t="s">
        <v>9099</v>
      </c>
      <c r="C3197" t="s">
        <v>9100</v>
      </c>
      <c r="D3197" t="s">
        <v>23</v>
      </c>
      <c r="E3197">
        <v>3527</v>
      </c>
      <c r="F3197" s="3">
        <v>40702</v>
      </c>
      <c r="H3197" t="s">
        <v>15523</v>
      </c>
      <c r="I3197" t="s">
        <v>17846</v>
      </c>
      <c r="K3197" t="e">
        <v>#N/A</v>
      </c>
      <c r="S3197" s="3"/>
    </row>
    <row r="3198" spans="1:19" x14ac:dyDescent="0.25">
      <c r="A3198" t="s">
        <v>9101</v>
      </c>
      <c r="B3198" t="s">
        <v>9102</v>
      </c>
      <c r="C3198" t="s">
        <v>9103</v>
      </c>
      <c r="D3198" t="s">
        <v>23</v>
      </c>
      <c r="E3198">
        <v>5823</v>
      </c>
      <c r="F3198" s="3">
        <v>42916</v>
      </c>
      <c r="H3198" t="s">
        <v>15523</v>
      </c>
      <c r="I3198" t="s">
        <v>17847</v>
      </c>
      <c r="K3198" t="e">
        <v>#N/A</v>
      </c>
      <c r="S3198" s="3"/>
    </row>
    <row r="3199" spans="1:19" x14ac:dyDescent="0.25">
      <c r="A3199" t="s">
        <v>9104</v>
      </c>
      <c r="B3199" t="s">
        <v>9105</v>
      </c>
      <c r="C3199" t="s">
        <v>9106</v>
      </c>
      <c r="D3199" t="s">
        <v>23</v>
      </c>
      <c r="E3199">
        <v>3528</v>
      </c>
      <c r="F3199" s="3">
        <v>40702</v>
      </c>
      <c r="H3199" t="s">
        <v>15523</v>
      </c>
      <c r="I3199" t="s">
        <v>17848</v>
      </c>
      <c r="K3199" t="e">
        <v>#N/A</v>
      </c>
      <c r="S3199" s="3"/>
    </row>
    <row r="3200" spans="1:19" x14ac:dyDescent="0.25">
      <c r="A3200" t="s">
        <v>9107</v>
      </c>
      <c r="B3200" t="s">
        <v>9108</v>
      </c>
      <c r="C3200" t="s">
        <v>9109</v>
      </c>
      <c r="D3200" t="s">
        <v>23</v>
      </c>
      <c r="E3200">
        <v>5186</v>
      </c>
      <c r="F3200" s="3">
        <v>42035</v>
      </c>
      <c r="H3200" t="s">
        <v>15523</v>
      </c>
      <c r="I3200" t="s">
        <v>17849</v>
      </c>
      <c r="K3200" t="e">
        <v>#N/A</v>
      </c>
      <c r="S3200" s="3"/>
    </row>
    <row r="3201" spans="1:19" x14ac:dyDescent="0.25">
      <c r="A3201" t="s">
        <v>9110</v>
      </c>
      <c r="B3201" t="s">
        <v>9111</v>
      </c>
      <c r="C3201" t="s">
        <v>9112</v>
      </c>
      <c r="D3201" t="s">
        <v>23</v>
      </c>
      <c r="E3201">
        <v>3529</v>
      </c>
      <c r="F3201" s="3">
        <v>40702</v>
      </c>
      <c r="H3201" t="s">
        <v>15523</v>
      </c>
      <c r="I3201" t="s">
        <v>17850</v>
      </c>
      <c r="K3201" t="e">
        <v>#N/A</v>
      </c>
      <c r="S3201" s="3"/>
    </row>
    <row r="3202" spans="1:19" x14ac:dyDescent="0.25">
      <c r="A3202" t="s">
        <v>9113</v>
      </c>
      <c r="B3202" t="s">
        <v>9114</v>
      </c>
      <c r="C3202" t="s">
        <v>9115</v>
      </c>
      <c r="D3202" t="s">
        <v>23</v>
      </c>
      <c r="E3202">
        <v>3530</v>
      </c>
      <c r="F3202" s="3">
        <v>40702</v>
      </c>
      <c r="H3202" t="s">
        <v>15523</v>
      </c>
      <c r="I3202" t="s">
        <v>17851</v>
      </c>
      <c r="K3202" t="e">
        <v>#N/A</v>
      </c>
      <c r="S3202" s="3"/>
    </row>
    <row r="3203" spans="1:19" x14ac:dyDescent="0.25">
      <c r="A3203" t="s">
        <v>9116</v>
      </c>
      <c r="B3203" t="s">
        <v>9117</v>
      </c>
      <c r="C3203" t="s">
        <v>9118</v>
      </c>
      <c r="D3203" t="s">
        <v>23</v>
      </c>
      <c r="E3203">
        <v>540</v>
      </c>
      <c r="F3203" s="3">
        <v>40702</v>
      </c>
      <c r="H3203" t="s">
        <v>15523</v>
      </c>
      <c r="I3203" t="s">
        <v>17852</v>
      </c>
      <c r="K3203" t="e">
        <v>#N/A</v>
      </c>
      <c r="S3203" s="3"/>
    </row>
    <row r="3204" spans="1:19" x14ac:dyDescent="0.25">
      <c r="A3204" t="s">
        <v>9119</v>
      </c>
      <c r="B3204" t="s">
        <v>9120</v>
      </c>
      <c r="C3204" t="s">
        <v>9121</v>
      </c>
      <c r="D3204" t="s">
        <v>23</v>
      </c>
      <c r="E3204">
        <v>5259</v>
      </c>
      <c r="F3204" s="3">
        <v>42042</v>
      </c>
      <c r="H3204" t="s">
        <v>15523</v>
      </c>
      <c r="I3204" t="s">
        <v>17853</v>
      </c>
      <c r="K3204" t="e">
        <v>#N/A</v>
      </c>
      <c r="S3204" s="3"/>
    </row>
    <row r="3205" spans="1:19" x14ac:dyDescent="0.25">
      <c r="A3205" t="s">
        <v>9122</v>
      </c>
      <c r="B3205" t="s">
        <v>9123</v>
      </c>
      <c r="C3205" t="s">
        <v>9124</v>
      </c>
      <c r="D3205" t="s">
        <v>23</v>
      </c>
      <c r="E3205">
        <v>541</v>
      </c>
      <c r="F3205" s="3">
        <v>40702</v>
      </c>
      <c r="H3205" t="s">
        <v>15523</v>
      </c>
      <c r="I3205" t="s">
        <v>17854</v>
      </c>
      <c r="K3205" t="e">
        <v>#N/A</v>
      </c>
      <c r="S3205" s="3"/>
    </row>
    <row r="3206" spans="1:19" x14ac:dyDescent="0.25">
      <c r="A3206" t="s">
        <v>9125</v>
      </c>
      <c r="B3206" t="s">
        <v>9126</v>
      </c>
      <c r="C3206" t="s">
        <v>9127</v>
      </c>
      <c r="D3206" t="s">
        <v>23</v>
      </c>
      <c r="E3206">
        <v>542</v>
      </c>
      <c r="F3206" s="3">
        <v>40702</v>
      </c>
      <c r="H3206" t="s">
        <v>15523</v>
      </c>
      <c r="I3206" t="s">
        <v>17855</v>
      </c>
      <c r="K3206" t="e">
        <v>#N/A</v>
      </c>
      <c r="S3206" s="3"/>
    </row>
    <row r="3207" spans="1:19" x14ac:dyDescent="0.25">
      <c r="A3207" t="s">
        <v>9128</v>
      </c>
      <c r="B3207" t="s">
        <v>9129</v>
      </c>
      <c r="C3207" t="s">
        <v>9130</v>
      </c>
      <c r="D3207" t="s">
        <v>23</v>
      </c>
      <c r="E3207">
        <v>5534</v>
      </c>
      <c r="F3207" s="3">
        <v>42350</v>
      </c>
      <c r="H3207" t="s">
        <v>15523</v>
      </c>
      <c r="I3207" t="s">
        <v>17856</v>
      </c>
      <c r="K3207" t="e">
        <v>#N/A</v>
      </c>
      <c r="S3207" s="3"/>
    </row>
    <row r="3208" spans="1:19" x14ac:dyDescent="0.25">
      <c r="A3208" t="s">
        <v>9131</v>
      </c>
      <c r="B3208" t="s">
        <v>9132</v>
      </c>
      <c r="C3208" t="s">
        <v>9133</v>
      </c>
      <c r="D3208" t="s">
        <v>23</v>
      </c>
      <c r="E3208">
        <v>539</v>
      </c>
      <c r="F3208" s="3">
        <v>40702</v>
      </c>
      <c r="H3208" t="s">
        <v>15523</v>
      </c>
      <c r="I3208" t="s">
        <v>17857</v>
      </c>
      <c r="K3208" t="e">
        <v>#N/A</v>
      </c>
      <c r="S3208" s="3"/>
    </row>
    <row r="3209" spans="1:19" x14ac:dyDescent="0.25">
      <c r="A3209" t="s">
        <v>9134</v>
      </c>
      <c r="B3209" t="s">
        <v>9135</v>
      </c>
      <c r="C3209" t="s">
        <v>9136</v>
      </c>
      <c r="D3209" t="s">
        <v>23</v>
      </c>
      <c r="E3209">
        <v>2478</v>
      </c>
      <c r="F3209" s="3">
        <v>40702</v>
      </c>
      <c r="H3209" t="s">
        <v>15523</v>
      </c>
      <c r="I3209" t="s">
        <v>17858</v>
      </c>
      <c r="K3209" t="e">
        <v>#N/A</v>
      </c>
      <c r="S3209" s="3"/>
    </row>
    <row r="3210" spans="1:19" x14ac:dyDescent="0.25">
      <c r="A3210" t="s">
        <v>9137</v>
      </c>
      <c r="B3210" t="s">
        <v>9138</v>
      </c>
      <c r="C3210" t="s">
        <v>9139</v>
      </c>
      <c r="D3210" t="s">
        <v>23</v>
      </c>
      <c r="E3210">
        <v>5887</v>
      </c>
      <c r="F3210" s="3">
        <v>43144</v>
      </c>
      <c r="H3210" t="s">
        <v>15523</v>
      </c>
      <c r="I3210" t="s">
        <v>17859</v>
      </c>
      <c r="K3210" t="e">
        <v>#N/A</v>
      </c>
      <c r="S3210" s="3"/>
    </row>
    <row r="3211" spans="1:19" x14ac:dyDescent="0.25">
      <c r="A3211" t="s">
        <v>9140</v>
      </c>
      <c r="B3211" t="s">
        <v>9141</v>
      </c>
      <c r="C3211" t="s">
        <v>9142</v>
      </c>
      <c r="D3211" t="s">
        <v>23</v>
      </c>
      <c r="E3211">
        <v>5036</v>
      </c>
      <c r="F3211" s="3">
        <v>41660</v>
      </c>
      <c r="H3211" t="s">
        <v>15523</v>
      </c>
      <c r="I3211" t="s">
        <v>17860</v>
      </c>
      <c r="K3211" t="e">
        <v>#N/A</v>
      </c>
      <c r="S3211" s="3"/>
    </row>
    <row r="3212" spans="1:19" x14ac:dyDescent="0.25">
      <c r="A3212" t="s">
        <v>9143</v>
      </c>
      <c r="B3212" t="s">
        <v>9144</v>
      </c>
      <c r="C3212" t="s">
        <v>9145</v>
      </c>
      <c r="D3212" t="s">
        <v>23</v>
      </c>
      <c r="E3212">
        <v>3532</v>
      </c>
      <c r="F3212" s="3">
        <v>40702</v>
      </c>
      <c r="H3212" t="s">
        <v>15523</v>
      </c>
      <c r="I3212" t="s">
        <v>17861</v>
      </c>
      <c r="K3212" t="e">
        <v>#N/A</v>
      </c>
      <c r="S3212" s="3"/>
    </row>
    <row r="3213" spans="1:19" x14ac:dyDescent="0.25">
      <c r="A3213" t="s">
        <v>9146</v>
      </c>
      <c r="B3213" t="s">
        <v>9147</v>
      </c>
      <c r="C3213" t="s">
        <v>9148</v>
      </c>
      <c r="D3213" t="s">
        <v>23</v>
      </c>
      <c r="E3213">
        <v>2462</v>
      </c>
      <c r="F3213" s="3">
        <v>40702</v>
      </c>
      <c r="H3213" t="s">
        <v>15523</v>
      </c>
      <c r="I3213" t="s">
        <v>17862</v>
      </c>
      <c r="K3213" t="e">
        <v>#N/A</v>
      </c>
      <c r="S3213" s="3"/>
    </row>
    <row r="3214" spans="1:19" x14ac:dyDescent="0.25">
      <c r="A3214" t="s">
        <v>9149</v>
      </c>
      <c r="B3214" t="s">
        <v>9150</v>
      </c>
      <c r="C3214" t="s">
        <v>9151</v>
      </c>
      <c r="D3214" t="s">
        <v>23</v>
      </c>
      <c r="E3214">
        <v>5562</v>
      </c>
      <c r="F3214" s="3">
        <v>42409</v>
      </c>
      <c r="H3214" t="s">
        <v>15523</v>
      </c>
      <c r="I3214" t="s">
        <v>17863</v>
      </c>
      <c r="K3214" t="e">
        <v>#N/A</v>
      </c>
      <c r="S3214" s="3"/>
    </row>
    <row r="3215" spans="1:19" x14ac:dyDescent="0.25">
      <c r="A3215" t="s">
        <v>9152</v>
      </c>
      <c r="B3215" t="s">
        <v>9153</v>
      </c>
      <c r="C3215" t="s">
        <v>9154</v>
      </c>
      <c r="D3215" t="s">
        <v>23</v>
      </c>
      <c r="E3215">
        <v>5172</v>
      </c>
      <c r="F3215" s="3">
        <v>42021</v>
      </c>
      <c r="H3215" t="s">
        <v>15523</v>
      </c>
      <c r="I3215" t="s">
        <v>17864</v>
      </c>
      <c r="K3215" t="e">
        <v>#N/A</v>
      </c>
      <c r="S3215" s="3"/>
    </row>
    <row r="3216" spans="1:19" x14ac:dyDescent="0.25">
      <c r="A3216" t="s">
        <v>9155</v>
      </c>
      <c r="B3216" t="s">
        <v>9156</v>
      </c>
      <c r="C3216" t="s">
        <v>9157</v>
      </c>
      <c r="D3216" t="s">
        <v>23</v>
      </c>
      <c r="E3216">
        <v>3533</v>
      </c>
      <c r="F3216" s="3">
        <v>40702</v>
      </c>
      <c r="H3216" t="s">
        <v>15523</v>
      </c>
      <c r="I3216" t="s">
        <v>17865</v>
      </c>
      <c r="K3216" t="e">
        <v>#N/A</v>
      </c>
      <c r="S3216" s="3"/>
    </row>
    <row r="3217" spans="1:19" x14ac:dyDescent="0.25">
      <c r="A3217" t="s">
        <v>9158</v>
      </c>
      <c r="B3217" t="s">
        <v>9159</v>
      </c>
      <c r="C3217" t="s">
        <v>9160</v>
      </c>
      <c r="D3217" t="s">
        <v>23</v>
      </c>
      <c r="E3217">
        <v>2232</v>
      </c>
      <c r="F3217" s="3">
        <v>40702</v>
      </c>
      <c r="H3217" t="s">
        <v>15523</v>
      </c>
      <c r="I3217" t="s">
        <v>17866</v>
      </c>
      <c r="K3217" t="e">
        <v>#N/A</v>
      </c>
      <c r="S3217" s="3"/>
    </row>
    <row r="3218" spans="1:19" x14ac:dyDescent="0.25">
      <c r="A3218" t="s">
        <v>9161</v>
      </c>
      <c r="B3218" t="s">
        <v>9162</v>
      </c>
      <c r="C3218" t="s">
        <v>9163</v>
      </c>
      <c r="D3218" t="s">
        <v>23</v>
      </c>
      <c r="E3218">
        <v>3534</v>
      </c>
      <c r="F3218" s="3">
        <v>40702</v>
      </c>
      <c r="H3218" t="s">
        <v>15523</v>
      </c>
      <c r="I3218" t="s">
        <v>17867</v>
      </c>
      <c r="K3218" t="e">
        <v>#N/A</v>
      </c>
      <c r="S3218" s="3"/>
    </row>
    <row r="3219" spans="1:19" x14ac:dyDescent="0.25">
      <c r="A3219" t="s">
        <v>9164</v>
      </c>
      <c r="B3219" t="s">
        <v>9165</v>
      </c>
      <c r="C3219" t="s">
        <v>9166</v>
      </c>
      <c r="D3219" t="s">
        <v>23</v>
      </c>
      <c r="E3219">
        <v>546</v>
      </c>
      <c r="F3219" s="3">
        <v>40702</v>
      </c>
      <c r="H3219" t="s">
        <v>15523</v>
      </c>
      <c r="I3219" t="s">
        <v>17868</v>
      </c>
      <c r="K3219" t="e">
        <v>#N/A</v>
      </c>
      <c r="S3219" s="3"/>
    </row>
    <row r="3220" spans="1:19" x14ac:dyDescent="0.25">
      <c r="A3220" t="s">
        <v>9167</v>
      </c>
      <c r="B3220" t="s">
        <v>9168</v>
      </c>
      <c r="C3220" t="s">
        <v>9169</v>
      </c>
      <c r="D3220" t="s">
        <v>23</v>
      </c>
      <c r="E3220">
        <v>5037</v>
      </c>
      <c r="F3220" s="3">
        <v>41660</v>
      </c>
      <c r="H3220" t="s">
        <v>15523</v>
      </c>
      <c r="I3220" t="s">
        <v>17869</v>
      </c>
      <c r="K3220" t="e">
        <v>#N/A</v>
      </c>
      <c r="S3220" s="3"/>
    </row>
    <row r="3221" spans="1:19" x14ac:dyDescent="0.25">
      <c r="A3221" t="s">
        <v>9170</v>
      </c>
      <c r="B3221" t="s">
        <v>9171</v>
      </c>
      <c r="C3221" t="s">
        <v>9172</v>
      </c>
      <c r="D3221" t="s">
        <v>23</v>
      </c>
      <c r="E3221">
        <v>3536</v>
      </c>
      <c r="F3221" s="3">
        <v>40702</v>
      </c>
      <c r="H3221" t="s">
        <v>15523</v>
      </c>
      <c r="I3221" t="s">
        <v>17870</v>
      </c>
      <c r="K3221" t="e">
        <v>#N/A</v>
      </c>
      <c r="S3221" s="3"/>
    </row>
    <row r="3222" spans="1:19" x14ac:dyDescent="0.25">
      <c r="A3222" t="s">
        <v>9173</v>
      </c>
      <c r="B3222" t="s">
        <v>9174</v>
      </c>
      <c r="C3222" t="s">
        <v>9175</v>
      </c>
      <c r="D3222" t="s">
        <v>23</v>
      </c>
      <c r="E3222">
        <v>3535</v>
      </c>
      <c r="F3222" s="3">
        <v>40702</v>
      </c>
      <c r="H3222" t="s">
        <v>15523</v>
      </c>
      <c r="I3222" t="s">
        <v>17871</v>
      </c>
      <c r="K3222" t="e">
        <v>#N/A</v>
      </c>
      <c r="S3222" s="3"/>
    </row>
    <row r="3223" spans="1:19" x14ac:dyDescent="0.25">
      <c r="A3223" t="s">
        <v>9176</v>
      </c>
      <c r="B3223" t="s">
        <v>9177</v>
      </c>
      <c r="C3223" t="s">
        <v>9178</v>
      </c>
      <c r="D3223" t="s">
        <v>23</v>
      </c>
      <c r="E3223">
        <v>3540</v>
      </c>
      <c r="F3223" s="3">
        <v>41230</v>
      </c>
      <c r="H3223" t="s">
        <v>15523</v>
      </c>
      <c r="I3223" t="s">
        <v>17872</v>
      </c>
      <c r="K3223" t="e">
        <v>#N/A</v>
      </c>
      <c r="S3223" s="3"/>
    </row>
    <row r="3224" spans="1:19" x14ac:dyDescent="0.25">
      <c r="A3224" t="s">
        <v>9179</v>
      </c>
      <c r="B3224" t="s">
        <v>9180</v>
      </c>
      <c r="C3224" t="s">
        <v>9181</v>
      </c>
      <c r="D3224" t="s">
        <v>23</v>
      </c>
      <c r="E3224">
        <v>3537</v>
      </c>
      <c r="F3224" s="3">
        <v>40702</v>
      </c>
      <c r="H3224" t="s">
        <v>15523</v>
      </c>
      <c r="I3224" t="s">
        <v>17873</v>
      </c>
      <c r="K3224" t="e">
        <v>#N/A</v>
      </c>
      <c r="S3224" s="3"/>
    </row>
    <row r="3225" spans="1:19" x14ac:dyDescent="0.25">
      <c r="A3225" t="s">
        <v>9182</v>
      </c>
      <c r="B3225" t="s">
        <v>9183</v>
      </c>
      <c r="C3225" t="s">
        <v>9184</v>
      </c>
      <c r="D3225" t="s">
        <v>23</v>
      </c>
      <c r="E3225">
        <v>3538</v>
      </c>
      <c r="F3225" s="3">
        <v>40702</v>
      </c>
      <c r="H3225" t="s">
        <v>15523</v>
      </c>
      <c r="I3225" t="s">
        <v>17874</v>
      </c>
      <c r="K3225" t="e">
        <v>#N/A</v>
      </c>
      <c r="S3225" s="3"/>
    </row>
    <row r="3226" spans="1:19" x14ac:dyDescent="0.25">
      <c r="A3226" t="s">
        <v>9185</v>
      </c>
      <c r="B3226" t="s">
        <v>9186</v>
      </c>
      <c r="C3226" t="s">
        <v>9187</v>
      </c>
      <c r="D3226" t="s">
        <v>23</v>
      </c>
      <c r="E3226">
        <v>3539</v>
      </c>
      <c r="F3226" s="3">
        <v>40702</v>
      </c>
      <c r="H3226" t="s">
        <v>15523</v>
      </c>
      <c r="I3226" t="s">
        <v>17875</v>
      </c>
      <c r="K3226" t="e">
        <v>#N/A</v>
      </c>
      <c r="S3226" s="3"/>
    </row>
    <row r="3227" spans="1:19" x14ac:dyDescent="0.25">
      <c r="A3227" t="s">
        <v>9188</v>
      </c>
      <c r="B3227" t="s">
        <v>9189</v>
      </c>
      <c r="C3227" t="s">
        <v>9190</v>
      </c>
      <c r="D3227" t="s">
        <v>23</v>
      </c>
      <c r="E3227">
        <v>547</v>
      </c>
      <c r="F3227" s="3">
        <v>40702</v>
      </c>
      <c r="H3227" t="s">
        <v>15523</v>
      </c>
      <c r="I3227" t="s">
        <v>17876</v>
      </c>
      <c r="K3227" t="e">
        <v>#N/A</v>
      </c>
      <c r="S3227" s="3"/>
    </row>
    <row r="3228" spans="1:19" x14ac:dyDescent="0.25">
      <c r="A3228" t="s">
        <v>9191</v>
      </c>
      <c r="B3228" t="s">
        <v>9192</v>
      </c>
      <c r="C3228" t="s">
        <v>9193</v>
      </c>
      <c r="D3228" t="s">
        <v>23</v>
      </c>
      <c r="E3228">
        <v>3542</v>
      </c>
      <c r="F3228" s="3">
        <v>40702</v>
      </c>
      <c r="H3228" t="s">
        <v>15523</v>
      </c>
      <c r="I3228" t="s">
        <v>17877</v>
      </c>
      <c r="K3228" t="e">
        <v>#N/A</v>
      </c>
      <c r="S3228" s="3"/>
    </row>
    <row r="3229" spans="1:19" x14ac:dyDescent="0.25">
      <c r="A3229" t="s">
        <v>9194</v>
      </c>
      <c r="B3229" t="s">
        <v>9195</v>
      </c>
      <c r="C3229" t="s">
        <v>9196</v>
      </c>
      <c r="D3229" t="s">
        <v>23</v>
      </c>
      <c r="E3229">
        <v>3543</v>
      </c>
      <c r="F3229" s="3">
        <v>40702</v>
      </c>
      <c r="H3229" t="s">
        <v>15523</v>
      </c>
      <c r="I3229" t="s">
        <v>17878</v>
      </c>
      <c r="K3229" t="e">
        <v>#N/A</v>
      </c>
      <c r="S3229" s="3"/>
    </row>
    <row r="3230" spans="1:19" x14ac:dyDescent="0.25">
      <c r="A3230" t="s">
        <v>9197</v>
      </c>
      <c r="B3230" t="s">
        <v>9198</v>
      </c>
      <c r="C3230" t="s">
        <v>9199</v>
      </c>
      <c r="D3230" t="s">
        <v>23</v>
      </c>
      <c r="E3230">
        <v>562</v>
      </c>
      <c r="F3230" s="3">
        <v>40702</v>
      </c>
      <c r="H3230" t="s">
        <v>15523</v>
      </c>
      <c r="I3230" t="s">
        <v>17879</v>
      </c>
      <c r="K3230" t="e">
        <v>#N/A</v>
      </c>
      <c r="S3230" s="3"/>
    </row>
    <row r="3231" spans="1:19" x14ac:dyDescent="0.25">
      <c r="A3231" t="s">
        <v>9200</v>
      </c>
      <c r="B3231" t="s">
        <v>9201</v>
      </c>
      <c r="C3231" t="s">
        <v>16179</v>
      </c>
      <c r="D3231" t="s">
        <v>47</v>
      </c>
      <c r="E3231">
        <v>5530</v>
      </c>
      <c r="F3231" s="3">
        <v>42341</v>
      </c>
      <c r="H3231" t="s">
        <v>15523</v>
      </c>
      <c r="I3231" t="s">
        <v>16180</v>
      </c>
      <c r="K3231" t="e">
        <v>#N/A</v>
      </c>
      <c r="S3231" s="3"/>
    </row>
    <row r="3232" spans="1:19" x14ac:dyDescent="0.25">
      <c r="A3232" t="s">
        <v>9202</v>
      </c>
      <c r="B3232" t="s">
        <v>9203</v>
      </c>
      <c r="C3232" t="s">
        <v>16179</v>
      </c>
      <c r="D3232" t="s">
        <v>47</v>
      </c>
      <c r="E3232">
        <v>4605</v>
      </c>
      <c r="F3232" s="3">
        <v>40783</v>
      </c>
      <c r="H3232" t="s">
        <v>15523</v>
      </c>
      <c r="I3232" t="s">
        <v>16180</v>
      </c>
      <c r="K3232" t="e">
        <v>#N/A</v>
      </c>
      <c r="S3232" s="3"/>
    </row>
    <row r="3233" spans="1:19" x14ac:dyDescent="0.25">
      <c r="A3233" t="s">
        <v>9204</v>
      </c>
      <c r="B3233" t="s">
        <v>9205</v>
      </c>
      <c r="C3233" t="s">
        <v>9206</v>
      </c>
      <c r="D3233" t="s">
        <v>23</v>
      </c>
      <c r="E3233">
        <v>3550</v>
      </c>
      <c r="F3233" s="3">
        <v>41230</v>
      </c>
      <c r="H3233" t="s">
        <v>15523</v>
      </c>
      <c r="I3233" t="s">
        <v>17880</v>
      </c>
      <c r="K3233" t="e">
        <v>#N/A</v>
      </c>
      <c r="S3233" s="3"/>
    </row>
    <row r="3234" spans="1:19" x14ac:dyDescent="0.25">
      <c r="A3234" t="s">
        <v>9207</v>
      </c>
      <c r="B3234" t="s">
        <v>9208</v>
      </c>
      <c r="C3234" t="s">
        <v>9209</v>
      </c>
      <c r="D3234" t="s">
        <v>23</v>
      </c>
      <c r="E3234">
        <v>3551</v>
      </c>
      <c r="F3234" s="3">
        <v>40702</v>
      </c>
      <c r="H3234" t="s">
        <v>15523</v>
      </c>
      <c r="I3234" t="s">
        <v>17881</v>
      </c>
      <c r="K3234" t="e">
        <v>#N/A</v>
      </c>
      <c r="S3234" s="3"/>
    </row>
    <row r="3235" spans="1:19" x14ac:dyDescent="0.25">
      <c r="A3235" t="s">
        <v>9210</v>
      </c>
      <c r="B3235" t="s">
        <v>9211</v>
      </c>
      <c r="C3235" t="s">
        <v>9212</v>
      </c>
      <c r="D3235" t="s">
        <v>23</v>
      </c>
      <c r="E3235">
        <v>5120</v>
      </c>
      <c r="F3235" s="3">
        <v>41788</v>
      </c>
      <c r="H3235" t="s">
        <v>15523</v>
      </c>
      <c r="I3235" t="s">
        <v>17882</v>
      </c>
      <c r="K3235" t="e">
        <v>#N/A</v>
      </c>
      <c r="S3235" s="3"/>
    </row>
    <row r="3236" spans="1:19" x14ac:dyDescent="0.25">
      <c r="A3236" t="s">
        <v>9213</v>
      </c>
      <c r="B3236" t="s">
        <v>9214</v>
      </c>
      <c r="C3236" t="s">
        <v>9215</v>
      </c>
      <c r="D3236" t="s">
        <v>23</v>
      </c>
      <c r="E3236">
        <v>2479</v>
      </c>
      <c r="F3236" s="3">
        <v>40702</v>
      </c>
      <c r="H3236" t="s">
        <v>15523</v>
      </c>
      <c r="I3236" t="s">
        <v>17883</v>
      </c>
      <c r="K3236" t="e">
        <v>#N/A</v>
      </c>
      <c r="S3236" s="3"/>
    </row>
    <row r="3237" spans="1:19" x14ac:dyDescent="0.25">
      <c r="A3237" t="s">
        <v>9216</v>
      </c>
      <c r="B3237" t="s">
        <v>9217</v>
      </c>
      <c r="C3237" t="s">
        <v>9218</v>
      </c>
      <c r="D3237" t="s">
        <v>23</v>
      </c>
      <c r="E3237">
        <v>3554</v>
      </c>
      <c r="F3237" s="3">
        <v>40702</v>
      </c>
      <c r="H3237" t="s">
        <v>15523</v>
      </c>
      <c r="I3237" t="s">
        <v>17884</v>
      </c>
      <c r="K3237" t="e">
        <v>#N/A</v>
      </c>
      <c r="S3237" s="3"/>
    </row>
    <row r="3238" spans="1:19" x14ac:dyDescent="0.25">
      <c r="A3238" t="s">
        <v>9219</v>
      </c>
      <c r="B3238" t="s">
        <v>9220</v>
      </c>
      <c r="C3238" t="s">
        <v>9221</v>
      </c>
      <c r="D3238" t="s">
        <v>23</v>
      </c>
      <c r="E3238">
        <v>3555</v>
      </c>
      <c r="F3238" s="3">
        <v>40702</v>
      </c>
      <c r="H3238" t="s">
        <v>15523</v>
      </c>
      <c r="I3238" t="s">
        <v>17885</v>
      </c>
      <c r="K3238" t="e">
        <v>#N/A</v>
      </c>
      <c r="S3238" s="3"/>
    </row>
    <row r="3239" spans="1:19" x14ac:dyDescent="0.25">
      <c r="A3239" t="s">
        <v>9222</v>
      </c>
      <c r="B3239" t="s">
        <v>9223</v>
      </c>
      <c r="C3239" t="s">
        <v>9224</v>
      </c>
      <c r="D3239" t="s">
        <v>23</v>
      </c>
      <c r="E3239">
        <v>3583</v>
      </c>
      <c r="F3239" s="3">
        <v>40702</v>
      </c>
      <c r="H3239" t="s">
        <v>15523</v>
      </c>
      <c r="I3239" t="s">
        <v>17886</v>
      </c>
      <c r="K3239" t="e">
        <v>#N/A</v>
      </c>
      <c r="S3239" s="3"/>
    </row>
    <row r="3240" spans="1:19" x14ac:dyDescent="0.25">
      <c r="A3240" t="s">
        <v>9225</v>
      </c>
      <c r="B3240" t="s">
        <v>9226</v>
      </c>
      <c r="C3240" t="s">
        <v>9227</v>
      </c>
      <c r="D3240" t="s">
        <v>23</v>
      </c>
      <c r="E3240">
        <v>3605</v>
      </c>
      <c r="F3240" s="3">
        <v>40702</v>
      </c>
      <c r="H3240" t="s">
        <v>15523</v>
      </c>
      <c r="I3240" t="s">
        <v>17887</v>
      </c>
      <c r="K3240" t="e">
        <v>#N/A</v>
      </c>
      <c r="S3240" s="3"/>
    </row>
    <row r="3241" spans="1:19" x14ac:dyDescent="0.25">
      <c r="A3241" t="s">
        <v>9228</v>
      </c>
      <c r="B3241" t="s">
        <v>9229</v>
      </c>
      <c r="C3241" t="s">
        <v>9230</v>
      </c>
      <c r="D3241" t="s">
        <v>23</v>
      </c>
      <c r="E3241">
        <v>567</v>
      </c>
      <c r="F3241" s="3">
        <v>40702</v>
      </c>
      <c r="H3241" t="s">
        <v>15523</v>
      </c>
      <c r="I3241" t="s">
        <v>17888</v>
      </c>
      <c r="K3241" t="e">
        <v>#N/A</v>
      </c>
      <c r="S3241" s="3"/>
    </row>
    <row r="3242" spans="1:19" x14ac:dyDescent="0.25">
      <c r="A3242" t="s">
        <v>9231</v>
      </c>
      <c r="B3242" t="s">
        <v>9232</v>
      </c>
      <c r="C3242" t="s">
        <v>9233</v>
      </c>
      <c r="D3242" t="s">
        <v>23</v>
      </c>
      <c r="E3242">
        <v>3607</v>
      </c>
      <c r="F3242" s="3">
        <v>40702</v>
      </c>
      <c r="H3242" t="s">
        <v>15523</v>
      </c>
      <c r="I3242" t="s">
        <v>17889</v>
      </c>
      <c r="K3242" t="e">
        <v>#N/A</v>
      </c>
      <c r="S3242" s="3"/>
    </row>
    <row r="3243" spans="1:19" x14ac:dyDescent="0.25">
      <c r="A3243" t="s">
        <v>9234</v>
      </c>
      <c r="B3243" t="s">
        <v>9235</v>
      </c>
      <c r="C3243" t="s">
        <v>9236</v>
      </c>
      <c r="D3243" t="s">
        <v>23</v>
      </c>
      <c r="E3243">
        <v>564</v>
      </c>
      <c r="F3243" s="3">
        <v>40702</v>
      </c>
      <c r="H3243" t="s">
        <v>15523</v>
      </c>
      <c r="I3243" t="s">
        <v>17890</v>
      </c>
      <c r="K3243" t="e">
        <v>#N/A</v>
      </c>
      <c r="S3243" s="3"/>
    </row>
    <row r="3244" spans="1:19" x14ac:dyDescent="0.25">
      <c r="A3244" t="s">
        <v>9237</v>
      </c>
      <c r="B3244" t="s">
        <v>9238</v>
      </c>
      <c r="C3244" t="s">
        <v>9239</v>
      </c>
      <c r="D3244" t="s">
        <v>23</v>
      </c>
      <c r="E3244">
        <v>566</v>
      </c>
      <c r="F3244" s="3">
        <v>40702</v>
      </c>
      <c r="H3244" t="s">
        <v>15523</v>
      </c>
      <c r="I3244" t="s">
        <v>17891</v>
      </c>
      <c r="K3244" t="e">
        <v>#N/A</v>
      </c>
      <c r="S3244" s="3"/>
    </row>
    <row r="3245" spans="1:19" x14ac:dyDescent="0.25">
      <c r="A3245" t="s">
        <v>9240</v>
      </c>
      <c r="B3245" t="s">
        <v>9241</v>
      </c>
      <c r="C3245" s="3">
        <v>2228957</v>
      </c>
      <c r="D3245" t="s">
        <v>23</v>
      </c>
      <c r="E3245">
        <v>5224</v>
      </c>
      <c r="F3245" s="3">
        <v>42035</v>
      </c>
      <c r="H3245" t="s">
        <v>15523</v>
      </c>
      <c r="I3245" t="s">
        <v>17892</v>
      </c>
      <c r="K3245" t="e">
        <v>#N/A</v>
      </c>
      <c r="P3245" s="3"/>
      <c r="S3245" s="3"/>
    </row>
    <row r="3246" spans="1:19" x14ac:dyDescent="0.25">
      <c r="A3246" t="s">
        <v>9243</v>
      </c>
      <c r="B3246" t="s">
        <v>9244</v>
      </c>
      <c r="C3246" t="s">
        <v>9245</v>
      </c>
      <c r="D3246" t="s">
        <v>23</v>
      </c>
      <c r="E3246">
        <v>5551</v>
      </c>
      <c r="F3246" s="3">
        <v>42385</v>
      </c>
      <c r="H3246" t="s">
        <v>15523</v>
      </c>
      <c r="I3246" t="s">
        <v>17893</v>
      </c>
      <c r="K3246" t="e">
        <v>#N/A</v>
      </c>
      <c r="S3246" s="3"/>
    </row>
    <row r="3247" spans="1:19" x14ac:dyDescent="0.25">
      <c r="A3247" t="s">
        <v>9246</v>
      </c>
      <c r="B3247" t="s">
        <v>9247</v>
      </c>
      <c r="C3247" t="s">
        <v>9248</v>
      </c>
      <c r="D3247" t="s">
        <v>23</v>
      </c>
      <c r="E3247">
        <v>571</v>
      </c>
      <c r="F3247" s="3">
        <v>40702</v>
      </c>
      <c r="H3247" t="s">
        <v>15523</v>
      </c>
      <c r="I3247" t="s">
        <v>17894</v>
      </c>
      <c r="K3247" t="e">
        <v>#N/A</v>
      </c>
      <c r="S3247" s="3"/>
    </row>
    <row r="3248" spans="1:19" x14ac:dyDescent="0.25">
      <c r="A3248" t="s">
        <v>9249</v>
      </c>
      <c r="B3248" t="s">
        <v>9250</v>
      </c>
      <c r="C3248" t="s">
        <v>9251</v>
      </c>
      <c r="D3248" t="s">
        <v>23</v>
      </c>
      <c r="E3248">
        <v>3612</v>
      </c>
      <c r="F3248" s="3">
        <v>41006</v>
      </c>
      <c r="H3248" t="s">
        <v>15523</v>
      </c>
      <c r="I3248" t="s">
        <v>17895</v>
      </c>
      <c r="K3248" t="e">
        <v>#N/A</v>
      </c>
      <c r="S3248" s="3"/>
    </row>
    <row r="3249" spans="1:19" x14ac:dyDescent="0.25">
      <c r="A3249" t="s">
        <v>9252</v>
      </c>
      <c r="B3249" t="s">
        <v>9253</v>
      </c>
      <c r="C3249" t="s">
        <v>9254</v>
      </c>
      <c r="D3249" t="s">
        <v>23</v>
      </c>
      <c r="E3249">
        <v>3614</v>
      </c>
      <c r="F3249" s="3">
        <v>40702</v>
      </c>
      <c r="H3249" t="s">
        <v>15523</v>
      </c>
      <c r="I3249" t="s">
        <v>17896</v>
      </c>
      <c r="K3249" t="e">
        <v>#N/A</v>
      </c>
      <c r="S3249" s="3"/>
    </row>
    <row r="3250" spans="1:19" x14ac:dyDescent="0.25">
      <c r="A3250" t="s">
        <v>9255</v>
      </c>
      <c r="B3250" t="s">
        <v>9256</v>
      </c>
      <c r="C3250" t="s">
        <v>9257</v>
      </c>
      <c r="D3250" t="s">
        <v>23</v>
      </c>
      <c r="E3250">
        <v>3613</v>
      </c>
      <c r="F3250" s="3">
        <v>41006</v>
      </c>
      <c r="H3250" t="s">
        <v>15523</v>
      </c>
      <c r="I3250" t="s">
        <v>17897</v>
      </c>
      <c r="K3250" t="e">
        <v>#N/A</v>
      </c>
      <c r="S3250" s="3"/>
    </row>
    <row r="3251" spans="1:19" x14ac:dyDescent="0.25">
      <c r="A3251" t="s">
        <v>9258</v>
      </c>
      <c r="B3251" t="s">
        <v>9259</v>
      </c>
      <c r="C3251" t="s">
        <v>9260</v>
      </c>
      <c r="D3251" t="s">
        <v>23</v>
      </c>
      <c r="E3251">
        <v>3615</v>
      </c>
      <c r="F3251" s="3">
        <v>41006</v>
      </c>
      <c r="H3251" t="s">
        <v>15523</v>
      </c>
      <c r="I3251" t="s">
        <v>17898</v>
      </c>
      <c r="K3251" t="e">
        <v>#N/A</v>
      </c>
      <c r="S3251" s="3"/>
    </row>
    <row r="3252" spans="1:19" x14ac:dyDescent="0.25">
      <c r="A3252" t="s">
        <v>9261</v>
      </c>
      <c r="B3252" t="s">
        <v>9262</v>
      </c>
      <c r="C3252" t="s">
        <v>9263</v>
      </c>
      <c r="D3252" t="s">
        <v>23</v>
      </c>
      <c r="E3252">
        <v>573</v>
      </c>
      <c r="F3252" s="3">
        <v>40702</v>
      </c>
      <c r="H3252" t="s">
        <v>15523</v>
      </c>
      <c r="I3252" t="s">
        <v>17899</v>
      </c>
      <c r="K3252" t="e">
        <v>#N/A</v>
      </c>
      <c r="S3252" s="3"/>
    </row>
    <row r="3253" spans="1:19" x14ac:dyDescent="0.25">
      <c r="A3253" t="s">
        <v>9264</v>
      </c>
      <c r="B3253" t="s">
        <v>9265</v>
      </c>
      <c r="C3253" t="s">
        <v>9266</v>
      </c>
      <c r="D3253" t="s">
        <v>23</v>
      </c>
      <c r="E3253">
        <v>3616</v>
      </c>
      <c r="F3253" s="3">
        <v>40702</v>
      </c>
      <c r="H3253" t="s">
        <v>15523</v>
      </c>
      <c r="I3253" t="s">
        <v>17900</v>
      </c>
      <c r="K3253" t="e">
        <v>#N/A</v>
      </c>
      <c r="S3253" s="3"/>
    </row>
    <row r="3254" spans="1:19" x14ac:dyDescent="0.25">
      <c r="A3254" t="s">
        <v>9267</v>
      </c>
      <c r="B3254" t="s">
        <v>9268</v>
      </c>
      <c r="C3254" t="s">
        <v>9269</v>
      </c>
      <c r="D3254" t="s">
        <v>23</v>
      </c>
      <c r="E3254">
        <v>574</v>
      </c>
      <c r="F3254" s="3">
        <v>40702</v>
      </c>
      <c r="H3254" t="s">
        <v>15523</v>
      </c>
      <c r="I3254" t="s">
        <v>17901</v>
      </c>
      <c r="K3254" t="e">
        <v>#N/A</v>
      </c>
      <c r="S3254" s="3"/>
    </row>
    <row r="3255" spans="1:19" x14ac:dyDescent="0.25">
      <c r="A3255" t="s">
        <v>9270</v>
      </c>
      <c r="B3255" t="s">
        <v>9271</v>
      </c>
      <c r="C3255" t="s">
        <v>9272</v>
      </c>
      <c r="D3255" t="s">
        <v>23</v>
      </c>
      <c r="E3255">
        <v>3622</v>
      </c>
      <c r="F3255" s="3">
        <v>40702</v>
      </c>
      <c r="H3255" t="s">
        <v>15523</v>
      </c>
      <c r="I3255" t="s">
        <v>17902</v>
      </c>
      <c r="K3255" t="e">
        <v>#N/A</v>
      </c>
      <c r="S3255" s="3"/>
    </row>
    <row r="3256" spans="1:19" x14ac:dyDescent="0.25">
      <c r="A3256" t="s">
        <v>9273</v>
      </c>
      <c r="B3256" t="s">
        <v>9274</v>
      </c>
      <c r="C3256" t="s">
        <v>9275</v>
      </c>
      <c r="D3256" t="s">
        <v>23</v>
      </c>
      <c r="E3256">
        <v>5948</v>
      </c>
      <c r="F3256" s="3">
        <v>43208</v>
      </c>
      <c r="H3256" t="s">
        <v>15523</v>
      </c>
      <c r="I3256" t="s">
        <v>17903</v>
      </c>
      <c r="K3256" t="e">
        <v>#N/A</v>
      </c>
      <c r="S3256" s="3"/>
    </row>
    <row r="3257" spans="1:19" x14ac:dyDescent="0.25">
      <c r="A3257" t="s">
        <v>9276</v>
      </c>
      <c r="B3257" t="s">
        <v>9277</v>
      </c>
      <c r="C3257" t="s">
        <v>9278</v>
      </c>
      <c r="D3257" t="s">
        <v>23</v>
      </c>
      <c r="E3257">
        <v>633</v>
      </c>
      <c r="F3257" s="3">
        <v>40702</v>
      </c>
      <c r="H3257" t="s">
        <v>15523</v>
      </c>
      <c r="I3257" t="s">
        <v>17904</v>
      </c>
      <c r="K3257" t="e">
        <v>#N/A</v>
      </c>
      <c r="S3257" s="3"/>
    </row>
    <row r="3258" spans="1:19" x14ac:dyDescent="0.25">
      <c r="A3258" t="s">
        <v>9279</v>
      </c>
      <c r="B3258" t="s">
        <v>9280</v>
      </c>
      <c r="C3258" t="s">
        <v>9281</v>
      </c>
      <c r="D3258" t="s">
        <v>23</v>
      </c>
      <c r="E3258">
        <v>5563</v>
      </c>
      <c r="F3258" s="3">
        <v>42409</v>
      </c>
      <c r="H3258" t="s">
        <v>15523</v>
      </c>
      <c r="I3258" t="s">
        <v>17905</v>
      </c>
      <c r="K3258" t="e">
        <v>#N/A</v>
      </c>
      <c r="S3258" s="3"/>
    </row>
    <row r="3259" spans="1:19" x14ac:dyDescent="0.25">
      <c r="A3259" t="s">
        <v>9282</v>
      </c>
      <c r="B3259" t="s">
        <v>9283</v>
      </c>
      <c r="C3259" t="s">
        <v>9284</v>
      </c>
      <c r="D3259" t="s">
        <v>23</v>
      </c>
      <c r="E3259">
        <v>3645</v>
      </c>
      <c r="F3259" s="3">
        <v>41230</v>
      </c>
      <c r="H3259" t="s">
        <v>15523</v>
      </c>
      <c r="I3259" t="s">
        <v>17906</v>
      </c>
      <c r="K3259" t="e">
        <v>#N/A</v>
      </c>
      <c r="S3259" s="3"/>
    </row>
    <row r="3260" spans="1:19" x14ac:dyDescent="0.25">
      <c r="A3260" t="s">
        <v>9285</v>
      </c>
      <c r="B3260" t="s">
        <v>9286</v>
      </c>
      <c r="C3260" t="s">
        <v>9287</v>
      </c>
      <c r="D3260" t="s">
        <v>23</v>
      </c>
      <c r="E3260">
        <v>3646</v>
      </c>
      <c r="F3260" s="3">
        <v>41006</v>
      </c>
      <c r="H3260" t="s">
        <v>15523</v>
      </c>
      <c r="I3260" t="s">
        <v>17907</v>
      </c>
      <c r="K3260" t="e">
        <v>#N/A</v>
      </c>
      <c r="S3260" s="3"/>
    </row>
    <row r="3261" spans="1:19" x14ac:dyDescent="0.25">
      <c r="A3261" t="s">
        <v>9288</v>
      </c>
      <c r="B3261" t="s">
        <v>9289</v>
      </c>
      <c r="C3261" t="s">
        <v>9290</v>
      </c>
      <c r="D3261" t="s">
        <v>23</v>
      </c>
      <c r="E3261">
        <v>5196</v>
      </c>
      <c r="F3261" s="3">
        <v>42035</v>
      </c>
      <c r="H3261" t="s">
        <v>15523</v>
      </c>
      <c r="I3261" t="s">
        <v>17908</v>
      </c>
      <c r="K3261" t="e">
        <v>#N/A</v>
      </c>
      <c r="S3261" s="3"/>
    </row>
    <row r="3262" spans="1:19" x14ac:dyDescent="0.25">
      <c r="A3262" t="s">
        <v>9291</v>
      </c>
      <c r="B3262" t="s">
        <v>9292</v>
      </c>
      <c r="C3262" t="s">
        <v>9293</v>
      </c>
      <c r="D3262" t="s">
        <v>23</v>
      </c>
      <c r="E3262">
        <v>5212</v>
      </c>
      <c r="F3262" s="3">
        <v>42035</v>
      </c>
      <c r="H3262" t="s">
        <v>15523</v>
      </c>
      <c r="I3262" t="s">
        <v>17909</v>
      </c>
      <c r="K3262" t="e">
        <v>#N/A</v>
      </c>
      <c r="S3262" s="3"/>
    </row>
    <row r="3263" spans="1:19" x14ac:dyDescent="0.25">
      <c r="A3263" t="s">
        <v>9294</v>
      </c>
      <c r="B3263" t="s">
        <v>9295</v>
      </c>
      <c r="C3263" t="s">
        <v>9296</v>
      </c>
      <c r="D3263" t="s">
        <v>23</v>
      </c>
      <c r="E3263">
        <v>3648</v>
      </c>
      <c r="F3263" s="3">
        <v>40913</v>
      </c>
      <c r="H3263" t="s">
        <v>15523</v>
      </c>
      <c r="I3263" t="s">
        <v>17910</v>
      </c>
      <c r="K3263" t="e">
        <v>#N/A</v>
      </c>
      <c r="S3263" s="3"/>
    </row>
    <row r="3264" spans="1:19" x14ac:dyDescent="0.25">
      <c r="A3264" t="s">
        <v>9297</v>
      </c>
      <c r="B3264" t="s">
        <v>9298</v>
      </c>
      <c r="C3264" t="s">
        <v>9299</v>
      </c>
      <c r="D3264" t="s">
        <v>23</v>
      </c>
      <c r="E3264">
        <v>3649</v>
      </c>
      <c r="F3264" s="3">
        <v>40913</v>
      </c>
      <c r="H3264" t="s">
        <v>15523</v>
      </c>
      <c r="I3264" t="s">
        <v>17911</v>
      </c>
      <c r="K3264" t="e">
        <v>#N/A</v>
      </c>
      <c r="S3264" s="3"/>
    </row>
    <row r="3265" spans="1:19" x14ac:dyDescent="0.25">
      <c r="A3265" t="s">
        <v>9300</v>
      </c>
      <c r="B3265" t="s">
        <v>9301</v>
      </c>
      <c r="C3265" t="s">
        <v>9302</v>
      </c>
      <c r="D3265" t="s">
        <v>23</v>
      </c>
      <c r="E3265">
        <v>563</v>
      </c>
      <c r="F3265" s="3">
        <v>40702</v>
      </c>
      <c r="H3265" t="s">
        <v>15523</v>
      </c>
      <c r="I3265" t="s">
        <v>17912</v>
      </c>
      <c r="K3265" t="e">
        <v>#N/A</v>
      </c>
      <c r="S3265" s="3"/>
    </row>
    <row r="3266" spans="1:19" x14ac:dyDescent="0.25">
      <c r="A3266" t="s">
        <v>9303</v>
      </c>
      <c r="B3266" t="s">
        <v>9304</v>
      </c>
      <c r="C3266" t="s">
        <v>9305</v>
      </c>
      <c r="D3266" t="s">
        <v>23</v>
      </c>
      <c r="E3266">
        <v>5157</v>
      </c>
      <c r="F3266" s="3">
        <v>41942</v>
      </c>
      <c r="H3266" t="s">
        <v>15523</v>
      </c>
      <c r="I3266" t="s">
        <v>17913</v>
      </c>
      <c r="K3266" t="e">
        <v>#N/A</v>
      </c>
      <c r="S3266" s="3"/>
    </row>
    <row r="3267" spans="1:19" x14ac:dyDescent="0.25">
      <c r="A3267" t="s">
        <v>9306</v>
      </c>
      <c r="B3267" t="s">
        <v>9307</v>
      </c>
      <c r="C3267" t="s">
        <v>9308</v>
      </c>
      <c r="D3267" t="s">
        <v>23</v>
      </c>
      <c r="E3267">
        <v>2159</v>
      </c>
      <c r="F3267" s="3">
        <v>40702</v>
      </c>
      <c r="H3267" t="s">
        <v>15523</v>
      </c>
      <c r="I3267" t="s">
        <v>17914</v>
      </c>
      <c r="K3267" t="e">
        <v>#N/A</v>
      </c>
      <c r="S3267" s="3"/>
    </row>
    <row r="3268" spans="1:19" x14ac:dyDescent="0.25">
      <c r="A3268" t="s">
        <v>9309</v>
      </c>
      <c r="B3268" t="s">
        <v>9310</v>
      </c>
      <c r="C3268" t="s">
        <v>9311</v>
      </c>
      <c r="D3268" t="s">
        <v>23</v>
      </c>
      <c r="E3268">
        <v>3668</v>
      </c>
      <c r="F3268" s="3">
        <v>40702</v>
      </c>
      <c r="H3268" t="s">
        <v>15523</v>
      </c>
      <c r="I3268" t="s">
        <v>17915</v>
      </c>
      <c r="K3268" t="e">
        <v>#N/A</v>
      </c>
      <c r="S3268" s="3"/>
    </row>
    <row r="3269" spans="1:19" x14ac:dyDescent="0.25">
      <c r="A3269" t="s">
        <v>9312</v>
      </c>
      <c r="B3269" t="s">
        <v>9313</v>
      </c>
      <c r="C3269" s="3">
        <v>197143</v>
      </c>
      <c r="D3269" t="s">
        <v>23</v>
      </c>
      <c r="E3269">
        <v>2455</v>
      </c>
      <c r="F3269" s="3">
        <v>40704</v>
      </c>
      <c r="H3269" t="s">
        <v>15523</v>
      </c>
      <c r="I3269" t="s">
        <v>17916</v>
      </c>
      <c r="K3269" t="e">
        <v>#N/A</v>
      </c>
      <c r="P3269" s="3"/>
      <c r="S3269" s="3"/>
    </row>
    <row r="3270" spans="1:19" x14ac:dyDescent="0.25">
      <c r="A3270" t="s">
        <v>9315</v>
      </c>
      <c r="B3270" t="s">
        <v>9316</v>
      </c>
      <c r="C3270" t="s">
        <v>9317</v>
      </c>
      <c r="D3270" t="s">
        <v>23</v>
      </c>
      <c r="E3270">
        <v>5942</v>
      </c>
      <c r="F3270" s="3">
        <v>43208</v>
      </c>
      <c r="H3270" t="s">
        <v>15523</v>
      </c>
      <c r="I3270" t="s">
        <v>17917</v>
      </c>
      <c r="K3270" t="e">
        <v>#N/A</v>
      </c>
      <c r="S3270" s="3"/>
    </row>
    <row r="3271" spans="1:19" x14ac:dyDescent="0.25">
      <c r="A3271" t="s">
        <v>9318</v>
      </c>
      <c r="B3271" t="s">
        <v>9319</v>
      </c>
      <c r="C3271" t="s">
        <v>9320</v>
      </c>
      <c r="D3271" t="s">
        <v>23</v>
      </c>
      <c r="E3271">
        <v>3672</v>
      </c>
      <c r="F3271" s="3">
        <v>40702</v>
      </c>
      <c r="H3271" t="s">
        <v>15523</v>
      </c>
      <c r="I3271" t="s">
        <v>17918</v>
      </c>
      <c r="K3271" t="e">
        <v>#N/A</v>
      </c>
      <c r="S3271" s="3"/>
    </row>
    <row r="3272" spans="1:19" x14ac:dyDescent="0.25">
      <c r="A3272" t="s">
        <v>9321</v>
      </c>
      <c r="B3272" t="s">
        <v>9322</v>
      </c>
      <c r="C3272" t="s">
        <v>9323</v>
      </c>
      <c r="D3272" t="s">
        <v>23</v>
      </c>
      <c r="E3272">
        <v>5122</v>
      </c>
      <c r="F3272" s="3">
        <v>41788</v>
      </c>
      <c r="H3272" t="s">
        <v>15523</v>
      </c>
      <c r="I3272" t="s">
        <v>17919</v>
      </c>
      <c r="K3272" t="e">
        <v>#N/A</v>
      </c>
      <c r="S3272" s="3"/>
    </row>
    <row r="3273" spans="1:19" x14ac:dyDescent="0.25">
      <c r="A3273" t="s">
        <v>9324</v>
      </c>
      <c r="B3273" t="s">
        <v>9325</v>
      </c>
      <c r="C3273" t="s">
        <v>9326</v>
      </c>
      <c r="D3273" t="s">
        <v>23</v>
      </c>
      <c r="E3273">
        <v>5156</v>
      </c>
      <c r="F3273" s="3">
        <v>41942</v>
      </c>
      <c r="H3273" t="s">
        <v>15523</v>
      </c>
      <c r="I3273" t="s">
        <v>17920</v>
      </c>
      <c r="K3273" t="e">
        <v>#N/A</v>
      </c>
      <c r="S3273" s="3"/>
    </row>
    <row r="3274" spans="1:19" x14ac:dyDescent="0.25">
      <c r="A3274" t="s">
        <v>9327</v>
      </c>
      <c r="B3274" t="s">
        <v>9328</v>
      </c>
      <c r="C3274" t="s">
        <v>9329</v>
      </c>
      <c r="D3274" t="s">
        <v>23</v>
      </c>
      <c r="E3274">
        <v>3691</v>
      </c>
      <c r="F3274" s="3">
        <v>40702</v>
      </c>
      <c r="H3274" t="s">
        <v>15523</v>
      </c>
      <c r="I3274" t="s">
        <v>17921</v>
      </c>
      <c r="K3274" t="e">
        <v>#N/A</v>
      </c>
      <c r="S3274" s="3"/>
    </row>
    <row r="3275" spans="1:19" x14ac:dyDescent="0.25">
      <c r="A3275" t="s">
        <v>9330</v>
      </c>
      <c r="B3275" t="s">
        <v>9331</v>
      </c>
      <c r="C3275" t="s">
        <v>9332</v>
      </c>
      <c r="D3275" t="s">
        <v>23</v>
      </c>
      <c r="E3275">
        <v>3696</v>
      </c>
      <c r="F3275" s="3">
        <v>41230</v>
      </c>
      <c r="H3275" t="s">
        <v>15523</v>
      </c>
      <c r="I3275" t="s">
        <v>17922</v>
      </c>
      <c r="K3275" t="e">
        <v>#N/A</v>
      </c>
      <c r="S3275" s="3"/>
    </row>
    <row r="3276" spans="1:19" x14ac:dyDescent="0.25">
      <c r="A3276" t="s">
        <v>9333</v>
      </c>
      <c r="B3276" t="s">
        <v>9334</v>
      </c>
      <c r="C3276" s="3">
        <v>1537222</v>
      </c>
      <c r="D3276" t="s">
        <v>23</v>
      </c>
      <c r="E3276">
        <v>712</v>
      </c>
      <c r="F3276" s="3">
        <v>40704</v>
      </c>
      <c r="H3276" t="s">
        <v>15523</v>
      </c>
      <c r="I3276" t="s">
        <v>17923</v>
      </c>
      <c r="K3276" t="e">
        <v>#N/A</v>
      </c>
      <c r="P3276" s="3"/>
      <c r="S3276" s="3"/>
    </row>
    <row r="3277" spans="1:19" x14ac:dyDescent="0.25">
      <c r="A3277" t="s">
        <v>9336</v>
      </c>
      <c r="B3277" t="s">
        <v>9337</v>
      </c>
      <c r="C3277" t="s">
        <v>9338</v>
      </c>
      <c r="D3277" t="s">
        <v>23</v>
      </c>
      <c r="E3277">
        <v>740</v>
      </c>
      <c r="F3277" s="3">
        <v>40702</v>
      </c>
      <c r="H3277" t="s">
        <v>15523</v>
      </c>
      <c r="I3277" t="s">
        <v>17924</v>
      </c>
      <c r="K3277" t="e">
        <v>#N/A</v>
      </c>
      <c r="S3277" s="3"/>
    </row>
    <row r="3278" spans="1:19" x14ac:dyDescent="0.25">
      <c r="A3278" t="s">
        <v>9339</v>
      </c>
      <c r="B3278" t="s">
        <v>9340</v>
      </c>
      <c r="C3278" t="s">
        <v>9341</v>
      </c>
      <c r="D3278" t="s">
        <v>23</v>
      </c>
      <c r="E3278">
        <v>3701</v>
      </c>
      <c r="F3278" s="3">
        <v>40702</v>
      </c>
      <c r="H3278" t="s">
        <v>15523</v>
      </c>
      <c r="I3278" t="s">
        <v>17925</v>
      </c>
      <c r="K3278" t="e">
        <v>#N/A</v>
      </c>
      <c r="S3278" s="3"/>
    </row>
    <row r="3279" spans="1:19" x14ac:dyDescent="0.25">
      <c r="A3279" t="s">
        <v>9342</v>
      </c>
      <c r="B3279" t="s">
        <v>9343</v>
      </c>
      <c r="C3279" t="s">
        <v>9344</v>
      </c>
      <c r="D3279" t="s">
        <v>23</v>
      </c>
      <c r="E3279">
        <v>3702</v>
      </c>
      <c r="F3279" s="3">
        <v>40702</v>
      </c>
      <c r="H3279" t="s">
        <v>15523</v>
      </c>
      <c r="I3279" t="s">
        <v>17926</v>
      </c>
      <c r="K3279" t="e">
        <v>#N/A</v>
      </c>
      <c r="S3279" s="3"/>
    </row>
    <row r="3280" spans="1:19" x14ac:dyDescent="0.25">
      <c r="A3280" t="s">
        <v>9345</v>
      </c>
      <c r="B3280" t="s">
        <v>9346</v>
      </c>
      <c r="C3280" t="s">
        <v>16179</v>
      </c>
      <c r="D3280" t="s">
        <v>23</v>
      </c>
      <c r="E3280">
        <v>5767</v>
      </c>
      <c r="F3280" s="3">
        <v>42822</v>
      </c>
      <c r="H3280" t="s">
        <v>15523</v>
      </c>
      <c r="I3280" t="s">
        <v>16180</v>
      </c>
      <c r="K3280" t="e">
        <v>#N/A</v>
      </c>
      <c r="S3280" s="3"/>
    </row>
    <row r="3281" spans="1:19" x14ac:dyDescent="0.25">
      <c r="A3281" t="s">
        <v>9347</v>
      </c>
      <c r="B3281" t="s">
        <v>9348</v>
      </c>
      <c r="C3281" t="s">
        <v>9349</v>
      </c>
      <c r="D3281" t="s">
        <v>23</v>
      </c>
      <c r="E3281">
        <v>5244</v>
      </c>
      <c r="F3281" s="3">
        <v>42040</v>
      </c>
      <c r="H3281" t="s">
        <v>15523</v>
      </c>
      <c r="I3281" t="s">
        <v>17927</v>
      </c>
      <c r="K3281" t="e">
        <v>#N/A</v>
      </c>
      <c r="S3281" s="3"/>
    </row>
    <row r="3282" spans="1:19" x14ac:dyDescent="0.25">
      <c r="A3282" t="s">
        <v>9350</v>
      </c>
      <c r="B3282" t="s">
        <v>9351</v>
      </c>
      <c r="C3282" t="s">
        <v>9352</v>
      </c>
      <c r="D3282" t="s">
        <v>23</v>
      </c>
      <c r="E3282">
        <v>3705</v>
      </c>
      <c r="F3282" s="3">
        <v>40702</v>
      </c>
      <c r="H3282" t="s">
        <v>15523</v>
      </c>
      <c r="I3282" t="s">
        <v>17928</v>
      </c>
      <c r="K3282" t="e">
        <v>#N/A</v>
      </c>
      <c r="S3282" s="3"/>
    </row>
    <row r="3283" spans="1:19" x14ac:dyDescent="0.25">
      <c r="A3283" t="s">
        <v>9353</v>
      </c>
      <c r="B3283" t="s">
        <v>9354</v>
      </c>
      <c r="C3283" t="s">
        <v>9355</v>
      </c>
      <c r="D3283" t="s">
        <v>23</v>
      </c>
      <c r="E3283">
        <v>5964</v>
      </c>
      <c r="F3283" s="3">
        <v>43330</v>
      </c>
      <c r="H3283" t="s">
        <v>15523</v>
      </c>
      <c r="I3283" t="s">
        <v>17929</v>
      </c>
      <c r="K3283" t="e">
        <v>#N/A</v>
      </c>
      <c r="S3283" s="3"/>
    </row>
    <row r="3284" spans="1:19" x14ac:dyDescent="0.25">
      <c r="A3284" t="s">
        <v>9356</v>
      </c>
      <c r="B3284" t="s">
        <v>9357</v>
      </c>
      <c r="C3284" t="s">
        <v>9358</v>
      </c>
      <c r="D3284" t="s">
        <v>23</v>
      </c>
      <c r="E3284">
        <v>5965</v>
      </c>
      <c r="F3284" s="3">
        <v>43330</v>
      </c>
      <c r="H3284" t="s">
        <v>15523</v>
      </c>
      <c r="I3284" t="s">
        <v>17930</v>
      </c>
      <c r="K3284" t="e">
        <v>#N/A</v>
      </c>
      <c r="S3284" s="3"/>
    </row>
    <row r="3285" spans="1:19" x14ac:dyDescent="0.25">
      <c r="A3285" t="s">
        <v>9359</v>
      </c>
      <c r="B3285" t="s">
        <v>9360</v>
      </c>
      <c r="C3285" t="s">
        <v>9361</v>
      </c>
      <c r="D3285" t="s">
        <v>23</v>
      </c>
      <c r="E3285">
        <v>3706</v>
      </c>
      <c r="F3285" s="3">
        <v>40702</v>
      </c>
      <c r="H3285" t="s">
        <v>15523</v>
      </c>
      <c r="I3285" t="s">
        <v>17931</v>
      </c>
      <c r="K3285" t="e">
        <v>#N/A</v>
      </c>
      <c r="S3285" s="3"/>
    </row>
    <row r="3286" spans="1:19" x14ac:dyDescent="0.25">
      <c r="A3286" t="s">
        <v>9362</v>
      </c>
      <c r="B3286" t="s">
        <v>9363</v>
      </c>
      <c r="C3286" t="s">
        <v>9364</v>
      </c>
      <c r="D3286" t="s">
        <v>23</v>
      </c>
      <c r="E3286">
        <v>705</v>
      </c>
      <c r="F3286" s="3">
        <v>40702</v>
      </c>
      <c r="H3286" t="s">
        <v>15523</v>
      </c>
      <c r="I3286" t="s">
        <v>17932</v>
      </c>
      <c r="K3286" t="e">
        <v>#N/A</v>
      </c>
      <c r="S3286" s="3"/>
    </row>
    <row r="3287" spans="1:19" x14ac:dyDescent="0.25">
      <c r="A3287" t="s">
        <v>9365</v>
      </c>
      <c r="B3287" t="s">
        <v>9366</v>
      </c>
      <c r="C3287" t="s">
        <v>9367</v>
      </c>
      <c r="D3287" t="s">
        <v>23</v>
      </c>
      <c r="E3287">
        <v>704</v>
      </c>
      <c r="F3287" s="3">
        <v>40702</v>
      </c>
      <c r="H3287" t="s">
        <v>15523</v>
      </c>
      <c r="I3287" t="s">
        <v>17933</v>
      </c>
      <c r="K3287" t="e">
        <v>#N/A</v>
      </c>
      <c r="S3287" s="3"/>
    </row>
    <row r="3288" spans="1:19" x14ac:dyDescent="0.25">
      <c r="A3288" t="s">
        <v>9368</v>
      </c>
      <c r="B3288" t="s">
        <v>9369</v>
      </c>
      <c r="C3288" t="s">
        <v>9370</v>
      </c>
      <c r="D3288" t="s">
        <v>23</v>
      </c>
      <c r="E3288">
        <v>703</v>
      </c>
      <c r="F3288" s="3">
        <v>40702</v>
      </c>
      <c r="H3288" t="s">
        <v>15523</v>
      </c>
      <c r="I3288" t="s">
        <v>17934</v>
      </c>
      <c r="K3288" t="e">
        <v>#N/A</v>
      </c>
      <c r="S3288" s="3"/>
    </row>
    <row r="3289" spans="1:19" x14ac:dyDescent="0.25">
      <c r="A3289" t="s">
        <v>9371</v>
      </c>
      <c r="B3289" t="s">
        <v>9372</v>
      </c>
      <c r="C3289" t="s">
        <v>9373</v>
      </c>
      <c r="D3289" t="s">
        <v>23</v>
      </c>
      <c r="E3289">
        <v>3708</v>
      </c>
      <c r="F3289" s="3">
        <v>40702</v>
      </c>
      <c r="H3289" t="s">
        <v>15523</v>
      </c>
      <c r="I3289" t="s">
        <v>17935</v>
      </c>
      <c r="K3289" t="e">
        <v>#N/A</v>
      </c>
      <c r="S3289" s="3"/>
    </row>
    <row r="3290" spans="1:19" x14ac:dyDescent="0.25">
      <c r="A3290" t="s">
        <v>9374</v>
      </c>
      <c r="B3290" t="s">
        <v>9375</v>
      </c>
      <c r="C3290" t="s">
        <v>9376</v>
      </c>
      <c r="D3290" t="s">
        <v>23</v>
      </c>
      <c r="E3290">
        <v>3709</v>
      </c>
      <c r="F3290" s="3">
        <v>40702</v>
      </c>
      <c r="H3290" t="s">
        <v>15523</v>
      </c>
      <c r="I3290" t="s">
        <v>17936</v>
      </c>
      <c r="K3290" t="e">
        <v>#N/A</v>
      </c>
      <c r="S3290" s="3"/>
    </row>
    <row r="3291" spans="1:19" x14ac:dyDescent="0.25">
      <c r="A3291" t="s">
        <v>9377</v>
      </c>
      <c r="B3291" t="s">
        <v>9378</v>
      </c>
      <c r="C3291" t="s">
        <v>9379</v>
      </c>
      <c r="D3291" t="s">
        <v>23</v>
      </c>
      <c r="E3291">
        <v>2161</v>
      </c>
      <c r="F3291" s="3">
        <v>40702</v>
      </c>
      <c r="H3291" t="s">
        <v>15523</v>
      </c>
      <c r="I3291" t="s">
        <v>17937</v>
      </c>
      <c r="K3291" t="e">
        <v>#N/A</v>
      </c>
      <c r="S3291" s="3"/>
    </row>
    <row r="3292" spans="1:19" x14ac:dyDescent="0.25">
      <c r="A3292" t="s">
        <v>9380</v>
      </c>
      <c r="B3292" t="s">
        <v>9381</v>
      </c>
      <c r="C3292" t="s">
        <v>9382</v>
      </c>
      <c r="D3292" t="s">
        <v>23</v>
      </c>
      <c r="E3292">
        <v>3710</v>
      </c>
      <c r="F3292" s="3">
        <v>40702</v>
      </c>
      <c r="H3292" t="s">
        <v>15523</v>
      </c>
      <c r="I3292" t="s">
        <v>17938</v>
      </c>
      <c r="K3292" t="e">
        <v>#N/A</v>
      </c>
      <c r="S3292" s="3"/>
    </row>
    <row r="3293" spans="1:19" x14ac:dyDescent="0.25">
      <c r="A3293" t="s">
        <v>9383</v>
      </c>
      <c r="B3293" t="s">
        <v>9384</v>
      </c>
      <c r="C3293" t="s">
        <v>9385</v>
      </c>
      <c r="D3293" t="s">
        <v>23</v>
      </c>
      <c r="E3293">
        <v>3712</v>
      </c>
      <c r="F3293" s="3">
        <v>41031</v>
      </c>
      <c r="H3293" t="s">
        <v>15523</v>
      </c>
      <c r="I3293" t="s">
        <v>17939</v>
      </c>
      <c r="K3293" t="e">
        <v>#N/A</v>
      </c>
      <c r="S3293" s="3"/>
    </row>
    <row r="3294" spans="1:19" x14ac:dyDescent="0.25">
      <c r="A3294" t="s">
        <v>9386</v>
      </c>
      <c r="B3294" t="s">
        <v>9387</v>
      </c>
      <c r="C3294" t="s">
        <v>9388</v>
      </c>
      <c r="D3294" t="s">
        <v>23</v>
      </c>
      <c r="E3294">
        <v>3713</v>
      </c>
      <c r="F3294" s="3">
        <v>40702</v>
      </c>
      <c r="H3294" t="s">
        <v>15523</v>
      </c>
      <c r="I3294" t="s">
        <v>17940</v>
      </c>
      <c r="K3294" t="e">
        <v>#N/A</v>
      </c>
      <c r="S3294" s="3"/>
    </row>
    <row r="3295" spans="1:19" x14ac:dyDescent="0.25">
      <c r="A3295" t="s">
        <v>9389</v>
      </c>
      <c r="B3295" t="s">
        <v>9390</v>
      </c>
      <c r="C3295" t="s">
        <v>9391</v>
      </c>
      <c r="D3295" t="s">
        <v>23</v>
      </c>
      <c r="E3295">
        <v>3714</v>
      </c>
      <c r="F3295" s="3">
        <v>40702</v>
      </c>
      <c r="H3295" t="s">
        <v>15523</v>
      </c>
      <c r="I3295" t="s">
        <v>17941</v>
      </c>
      <c r="K3295" t="e">
        <v>#N/A</v>
      </c>
      <c r="S3295" s="3"/>
    </row>
    <row r="3296" spans="1:19" x14ac:dyDescent="0.25">
      <c r="A3296" t="s">
        <v>9392</v>
      </c>
      <c r="B3296" t="s">
        <v>9393</v>
      </c>
      <c r="C3296" t="s">
        <v>9394</v>
      </c>
      <c r="D3296" t="s">
        <v>23</v>
      </c>
      <c r="E3296">
        <v>3715</v>
      </c>
      <c r="F3296" s="3">
        <v>40702</v>
      </c>
      <c r="H3296" t="s">
        <v>15523</v>
      </c>
      <c r="I3296" t="s">
        <v>17942</v>
      </c>
      <c r="K3296" t="e">
        <v>#N/A</v>
      </c>
      <c r="S3296" s="3"/>
    </row>
    <row r="3297" spans="1:19" x14ac:dyDescent="0.25">
      <c r="A3297" t="s">
        <v>9395</v>
      </c>
      <c r="B3297" t="s">
        <v>9396</v>
      </c>
      <c r="C3297" t="s">
        <v>9397</v>
      </c>
      <c r="D3297" t="s">
        <v>23</v>
      </c>
      <c r="E3297">
        <v>710</v>
      </c>
      <c r="F3297" s="3">
        <v>40702</v>
      </c>
      <c r="H3297" t="s">
        <v>15523</v>
      </c>
      <c r="I3297" t="s">
        <v>17943</v>
      </c>
      <c r="K3297" t="e">
        <v>#N/A</v>
      </c>
      <c r="S3297" s="3"/>
    </row>
    <row r="3298" spans="1:19" x14ac:dyDescent="0.25">
      <c r="A3298" t="s">
        <v>9398</v>
      </c>
      <c r="B3298" t="s">
        <v>9399</v>
      </c>
      <c r="C3298" t="s">
        <v>9400</v>
      </c>
      <c r="D3298" t="s">
        <v>23</v>
      </c>
      <c r="E3298">
        <v>5943</v>
      </c>
      <c r="F3298" s="3">
        <v>43208</v>
      </c>
      <c r="H3298" t="s">
        <v>15523</v>
      </c>
      <c r="I3298" t="s">
        <v>17944</v>
      </c>
      <c r="K3298" t="e">
        <v>#N/A</v>
      </c>
      <c r="S3298" s="3"/>
    </row>
    <row r="3299" spans="1:19" x14ac:dyDescent="0.25">
      <c r="A3299" t="s">
        <v>9401</v>
      </c>
      <c r="B3299" t="s">
        <v>9402</v>
      </c>
      <c r="C3299" t="s">
        <v>9403</v>
      </c>
      <c r="D3299" t="s">
        <v>23</v>
      </c>
      <c r="E3299">
        <v>3717</v>
      </c>
      <c r="F3299" s="3">
        <v>41230</v>
      </c>
      <c r="H3299" t="s">
        <v>15523</v>
      </c>
      <c r="I3299" t="s">
        <v>17945</v>
      </c>
      <c r="K3299" t="e">
        <v>#N/A</v>
      </c>
      <c r="S3299" s="3"/>
    </row>
    <row r="3300" spans="1:19" x14ac:dyDescent="0.25">
      <c r="A3300" t="s">
        <v>9404</v>
      </c>
      <c r="B3300" t="s">
        <v>9405</v>
      </c>
      <c r="C3300" t="s">
        <v>9406</v>
      </c>
      <c r="D3300" t="s">
        <v>23</v>
      </c>
      <c r="E3300">
        <v>3718</v>
      </c>
      <c r="F3300" s="3">
        <v>40702</v>
      </c>
      <c r="H3300" t="s">
        <v>15523</v>
      </c>
      <c r="I3300" t="s">
        <v>17946</v>
      </c>
      <c r="K3300" t="e">
        <v>#N/A</v>
      </c>
      <c r="S3300" s="3"/>
    </row>
    <row r="3301" spans="1:19" x14ac:dyDescent="0.25">
      <c r="A3301" t="s">
        <v>9407</v>
      </c>
      <c r="B3301" t="s">
        <v>9408</v>
      </c>
      <c r="C3301" t="s">
        <v>9409</v>
      </c>
      <c r="D3301" t="s">
        <v>23</v>
      </c>
      <c r="E3301">
        <v>6095</v>
      </c>
      <c r="F3301" s="3">
        <v>43865</v>
      </c>
      <c r="H3301" t="s">
        <v>15523</v>
      </c>
      <c r="I3301" t="s">
        <v>17947</v>
      </c>
      <c r="K3301" t="e">
        <v>#N/A</v>
      </c>
      <c r="S3301" s="3"/>
    </row>
    <row r="3302" spans="1:19" x14ac:dyDescent="0.25">
      <c r="A3302" t="s">
        <v>9410</v>
      </c>
      <c r="B3302" t="s">
        <v>9411</v>
      </c>
      <c r="C3302" t="s">
        <v>9412</v>
      </c>
      <c r="D3302" t="s">
        <v>23</v>
      </c>
      <c r="E3302">
        <v>3720</v>
      </c>
      <c r="F3302" s="3">
        <v>40702</v>
      </c>
      <c r="H3302" t="s">
        <v>15523</v>
      </c>
      <c r="I3302" t="s">
        <v>17948</v>
      </c>
      <c r="K3302" t="e">
        <v>#N/A</v>
      </c>
      <c r="S3302" s="3"/>
    </row>
    <row r="3303" spans="1:19" x14ac:dyDescent="0.25">
      <c r="A3303" t="s">
        <v>9413</v>
      </c>
      <c r="B3303" t="s">
        <v>9414</v>
      </c>
      <c r="C3303" t="s">
        <v>9415</v>
      </c>
      <c r="D3303" t="s">
        <v>23</v>
      </c>
      <c r="E3303">
        <v>2480</v>
      </c>
      <c r="F3303" s="3">
        <v>40702</v>
      </c>
      <c r="H3303" t="s">
        <v>15523</v>
      </c>
      <c r="I3303" t="s">
        <v>17949</v>
      </c>
      <c r="K3303" t="e">
        <v>#N/A</v>
      </c>
      <c r="S3303" s="3"/>
    </row>
    <row r="3304" spans="1:19" x14ac:dyDescent="0.25">
      <c r="A3304" t="s">
        <v>9416</v>
      </c>
      <c r="B3304" t="s">
        <v>9417</v>
      </c>
      <c r="C3304" t="s">
        <v>9418</v>
      </c>
      <c r="D3304" t="s">
        <v>23</v>
      </c>
      <c r="E3304">
        <v>2295</v>
      </c>
      <c r="F3304" s="3">
        <v>40702</v>
      </c>
      <c r="H3304" t="s">
        <v>15523</v>
      </c>
      <c r="I3304" t="s">
        <v>17950</v>
      </c>
      <c r="K3304" t="e">
        <v>#N/A</v>
      </c>
      <c r="S3304" s="3"/>
    </row>
    <row r="3305" spans="1:19" x14ac:dyDescent="0.25">
      <c r="A3305" t="s">
        <v>9419</v>
      </c>
      <c r="B3305" t="s">
        <v>9420</v>
      </c>
      <c r="C3305" t="s">
        <v>9421</v>
      </c>
      <c r="D3305" t="s">
        <v>23</v>
      </c>
      <c r="E3305">
        <v>3723</v>
      </c>
      <c r="F3305" s="3">
        <v>40702</v>
      </c>
      <c r="H3305" t="s">
        <v>15523</v>
      </c>
      <c r="I3305" t="s">
        <v>17951</v>
      </c>
      <c r="K3305" t="e">
        <v>#N/A</v>
      </c>
      <c r="S3305" s="3"/>
    </row>
    <row r="3306" spans="1:19" x14ac:dyDescent="0.25">
      <c r="A3306" t="s">
        <v>9422</v>
      </c>
      <c r="B3306" t="s">
        <v>9423</v>
      </c>
      <c r="C3306" t="s">
        <v>9424</v>
      </c>
      <c r="D3306" t="s">
        <v>23</v>
      </c>
      <c r="E3306">
        <v>5601</v>
      </c>
      <c r="F3306" s="3">
        <v>42551</v>
      </c>
      <c r="H3306" t="s">
        <v>15523</v>
      </c>
      <c r="I3306" t="s">
        <v>17952</v>
      </c>
      <c r="K3306" t="e">
        <v>#N/A</v>
      </c>
      <c r="S3306" s="3"/>
    </row>
    <row r="3307" spans="1:19" x14ac:dyDescent="0.25">
      <c r="A3307" t="s">
        <v>9425</v>
      </c>
      <c r="B3307" t="s">
        <v>9426</v>
      </c>
      <c r="C3307" t="s">
        <v>9427</v>
      </c>
      <c r="D3307" t="s">
        <v>23</v>
      </c>
      <c r="E3307">
        <v>3726</v>
      </c>
      <c r="F3307" s="3">
        <v>40702</v>
      </c>
      <c r="H3307" t="s">
        <v>15523</v>
      </c>
      <c r="I3307" t="s">
        <v>17953</v>
      </c>
      <c r="K3307" t="e">
        <v>#N/A</v>
      </c>
      <c r="S3307" s="3"/>
    </row>
    <row r="3308" spans="1:19" x14ac:dyDescent="0.25">
      <c r="A3308" t="s">
        <v>9428</v>
      </c>
      <c r="B3308" t="s">
        <v>9429</v>
      </c>
      <c r="C3308" t="s">
        <v>9430</v>
      </c>
      <c r="D3308" t="s">
        <v>23</v>
      </c>
      <c r="E3308">
        <v>3727</v>
      </c>
      <c r="F3308" s="3">
        <v>40702</v>
      </c>
      <c r="H3308" t="s">
        <v>15523</v>
      </c>
      <c r="I3308" t="s">
        <v>17954</v>
      </c>
      <c r="K3308" t="e">
        <v>#N/A</v>
      </c>
      <c r="S3308" s="3"/>
    </row>
    <row r="3309" spans="1:19" x14ac:dyDescent="0.25">
      <c r="A3309" t="s">
        <v>9431</v>
      </c>
      <c r="B3309" t="s">
        <v>9432</v>
      </c>
      <c r="C3309" t="s">
        <v>9433</v>
      </c>
      <c r="D3309" t="s">
        <v>23</v>
      </c>
      <c r="E3309">
        <v>3728</v>
      </c>
      <c r="F3309" s="3">
        <v>40702</v>
      </c>
      <c r="H3309" t="s">
        <v>15523</v>
      </c>
      <c r="I3309" t="s">
        <v>17955</v>
      </c>
      <c r="K3309" t="e">
        <v>#N/A</v>
      </c>
      <c r="S3309" s="3"/>
    </row>
    <row r="3310" spans="1:19" x14ac:dyDescent="0.25">
      <c r="A3310" t="s">
        <v>9434</v>
      </c>
      <c r="B3310" t="s">
        <v>9435</v>
      </c>
      <c r="C3310" t="s">
        <v>9436</v>
      </c>
      <c r="D3310" t="s">
        <v>23</v>
      </c>
      <c r="E3310">
        <v>721</v>
      </c>
      <c r="F3310" s="3">
        <v>40702</v>
      </c>
      <c r="H3310" t="s">
        <v>15523</v>
      </c>
      <c r="I3310" t="s">
        <v>17956</v>
      </c>
      <c r="K3310" t="e">
        <v>#N/A</v>
      </c>
      <c r="S3310" s="3"/>
    </row>
    <row r="3311" spans="1:19" x14ac:dyDescent="0.25">
      <c r="A3311" t="s">
        <v>9437</v>
      </c>
      <c r="B3311" t="s">
        <v>9438</v>
      </c>
      <c r="C3311" t="s">
        <v>9439</v>
      </c>
      <c r="D3311" t="s">
        <v>23</v>
      </c>
      <c r="E3311">
        <v>3729</v>
      </c>
      <c r="F3311" s="3">
        <v>40702</v>
      </c>
      <c r="H3311" t="s">
        <v>15523</v>
      </c>
      <c r="I3311" t="s">
        <v>17957</v>
      </c>
      <c r="K3311" t="e">
        <v>#N/A</v>
      </c>
      <c r="S3311" s="3"/>
    </row>
    <row r="3312" spans="1:19" x14ac:dyDescent="0.25">
      <c r="A3312" t="s">
        <v>9440</v>
      </c>
      <c r="B3312" t="s">
        <v>9441</v>
      </c>
      <c r="C3312" t="s">
        <v>9442</v>
      </c>
      <c r="D3312" t="s">
        <v>23</v>
      </c>
      <c r="E3312">
        <v>3730</v>
      </c>
      <c r="F3312" s="3">
        <v>40702</v>
      </c>
      <c r="H3312" t="s">
        <v>15523</v>
      </c>
      <c r="I3312" t="s">
        <v>17958</v>
      </c>
      <c r="K3312" t="e">
        <v>#N/A</v>
      </c>
      <c r="S3312" s="3"/>
    </row>
    <row r="3313" spans="1:19" x14ac:dyDescent="0.25">
      <c r="A3313" t="s">
        <v>9443</v>
      </c>
      <c r="B3313" t="s">
        <v>9444</v>
      </c>
      <c r="C3313" t="s">
        <v>9445</v>
      </c>
      <c r="D3313" t="s">
        <v>23</v>
      </c>
      <c r="E3313">
        <v>741</v>
      </c>
      <c r="F3313" s="3">
        <v>40702</v>
      </c>
      <c r="H3313" t="s">
        <v>15523</v>
      </c>
      <c r="I3313" t="s">
        <v>17959</v>
      </c>
      <c r="K3313" t="e">
        <v>#N/A</v>
      </c>
      <c r="S3313" s="3"/>
    </row>
    <row r="3314" spans="1:19" x14ac:dyDescent="0.25">
      <c r="A3314" t="s">
        <v>9446</v>
      </c>
      <c r="B3314" t="s">
        <v>9447</v>
      </c>
      <c r="C3314" t="s">
        <v>9448</v>
      </c>
      <c r="D3314" t="s">
        <v>23</v>
      </c>
      <c r="E3314">
        <v>2294</v>
      </c>
      <c r="F3314" s="3">
        <v>40702</v>
      </c>
      <c r="H3314" t="s">
        <v>15523</v>
      </c>
      <c r="I3314" t="s">
        <v>17960</v>
      </c>
      <c r="K3314" t="e">
        <v>#N/A</v>
      </c>
      <c r="S3314" s="3"/>
    </row>
    <row r="3315" spans="1:19" x14ac:dyDescent="0.25">
      <c r="A3315" t="s">
        <v>9449</v>
      </c>
      <c r="B3315" t="s">
        <v>9450</v>
      </c>
      <c r="C3315" t="s">
        <v>9451</v>
      </c>
      <c r="D3315" t="s">
        <v>23</v>
      </c>
      <c r="E3315">
        <v>3731</v>
      </c>
      <c r="F3315" s="3">
        <v>41230</v>
      </c>
      <c r="H3315" t="s">
        <v>15523</v>
      </c>
      <c r="I3315" t="s">
        <v>17961</v>
      </c>
      <c r="K3315" t="e">
        <v>#N/A</v>
      </c>
      <c r="S3315" s="3"/>
    </row>
    <row r="3316" spans="1:19" x14ac:dyDescent="0.25">
      <c r="A3316" t="s">
        <v>9452</v>
      </c>
      <c r="B3316" t="s">
        <v>9453</v>
      </c>
      <c r="C3316" t="s">
        <v>9454</v>
      </c>
      <c r="D3316" t="s">
        <v>23</v>
      </c>
      <c r="E3316">
        <v>718</v>
      </c>
      <c r="F3316" s="3">
        <v>40702</v>
      </c>
      <c r="H3316" t="s">
        <v>15523</v>
      </c>
      <c r="I3316" t="s">
        <v>17962</v>
      </c>
      <c r="K3316" t="e">
        <v>#N/A</v>
      </c>
      <c r="S3316" s="3"/>
    </row>
    <row r="3317" spans="1:19" x14ac:dyDescent="0.25">
      <c r="A3317" t="s">
        <v>9455</v>
      </c>
      <c r="B3317" t="s">
        <v>9456</v>
      </c>
      <c r="C3317" t="s">
        <v>9457</v>
      </c>
      <c r="D3317" t="s">
        <v>23</v>
      </c>
      <c r="E3317">
        <v>3733</v>
      </c>
      <c r="F3317" s="3">
        <v>40702</v>
      </c>
      <c r="H3317" t="s">
        <v>15523</v>
      </c>
      <c r="I3317" t="s">
        <v>17963</v>
      </c>
      <c r="K3317" t="e">
        <v>#N/A</v>
      </c>
      <c r="S3317" s="3"/>
    </row>
    <row r="3318" spans="1:19" x14ac:dyDescent="0.25">
      <c r="A3318" t="s">
        <v>9458</v>
      </c>
      <c r="B3318" t="s">
        <v>9459</v>
      </c>
      <c r="C3318" t="s">
        <v>9460</v>
      </c>
      <c r="D3318" t="s">
        <v>23</v>
      </c>
      <c r="E3318">
        <v>3732</v>
      </c>
      <c r="F3318" s="3">
        <v>40702</v>
      </c>
      <c r="H3318" t="s">
        <v>15523</v>
      </c>
      <c r="I3318" t="s">
        <v>17964</v>
      </c>
      <c r="K3318" t="e">
        <v>#N/A</v>
      </c>
      <c r="S3318" s="3"/>
    </row>
    <row r="3319" spans="1:19" x14ac:dyDescent="0.25">
      <c r="A3319" t="s">
        <v>9461</v>
      </c>
      <c r="B3319" t="s">
        <v>9462</v>
      </c>
      <c r="C3319" t="s">
        <v>9463</v>
      </c>
      <c r="D3319" t="s">
        <v>23</v>
      </c>
      <c r="E3319">
        <v>5602</v>
      </c>
      <c r="F3319" s="3">
        <v>42551</v>
      </c>
      <c r="H3319" t="s">
        <v>15523</v>
      </c>
      <c r="I3319" t="s">
        <v>17965</v>
      </c>
      <c r="K3319" t="e">
        <v>#N/A</v>
      </c>
      <c r="S3319" s="3"/>
    </row>
    <row r="3320" spans="1:19" x14ac:dyDescent="0.25">
      <c r="A3320" t="s">
        <v>9464</v>
      </c>
      <c r="B3320" t="s">
        <v>9465</v>
      </c>
      <c r="C3320" t="s">
        <v>9466</v>
      </c>
      <c r="D3320" t="s">
        <v>23</v>
      </c>
      <c r="E3320">
        <v>719</v>
      </c>
      <c r="F3320" s="3">
        <v>40702</v>
      </c>
      <c r="H3320" t="s">
        <v>15523</v>
      </c>
      <c r="I3320" t="s">
        <v>17966</v>
      </c>
      <c r="K3320" t="e">
        <v>#N/A</v>
      </c>
      <c r="S3320" s="3"/>
    </row>
    <row r="3321" spans="1:19" x14ac:dyDescent="0.25">
      <c r="A3321" t="s">
        <v>9467</v>
      </c>
      <c r="B3321" t="s">
        <v>9468</v>
      </c>
      <c r="C3321" t="s">
        <v>9469</v>
      </c>
      <c r="D3321" t="s">
        <v>23</v>
      </c>
      <c r="E3321">
        <v>722</v>
      </c>
      <c r="F3321" s="3">
        <v>40702</v>
      </c>
      <c r="H3321" t="s">
        <v>15523</v>
      </c>
      <c r="I3321" t="s">
        <v>17967</v>
      </c>
      <c r="K3321" t="e">
        <v>#N/A</v>
      </c>
      <c r="S3321" s="3"/>
    </row>
    <row r="3322" spans="1:19" x14ac:dyDescent="0.25">
      <c r="A3322" t="s">
        <v>9470</v>
      </c>
      <c r="B3322" t="s">
        <v>9471</v>
      </c>
      <c r="C3322" t="s">
        <v>9472</v>
      </c>
      <c r="D3322" t="s">
        <v>23</v>
      </c>
      <c r="E3322">
        <v>3735</v>
      </c>
      <c r="F3322" s="3">
        <v>40702</v>
      </c>
      <c r="H3322" t="s">
        <v>15523</v>
      </c>
      <c r="I3322" t="s">
        <v>17968</v>
      </c>
      <c r="K3322" t="e">
        <v>#N/A</v>
      </c>
      <c r="S3322" s="3"/>
    </row>
    <row r="3323" spans="1:19" x14ac:dyDescent="0.25">
      <c r="A3323" t="s">
        <v>9473</v>
      </c>
      <c r="B3323" t="s">
        <v>9474</v>
      </c>
      <c r="C3323" t="s">
        <v>9475</v>
      </c>
      <c r="D3323" t="s">
        <v>23</v>
      </c>
      <c r="E3323">
        <v>5304</v>
      </c>
      <c r="F3323" s="3">
        <v>42157</v>
      </c>
      <c r="H3323" t="s">
        <v>15523</v>
      </c>
      <c r="I3323" t="s">
        <v>17969</v>
      </c>
      <c r="K3323" t="e">
        <v>#N/A</v>
      </c>
      <c r="S3323" s="3"/>
    </row>
    <row r="3324" spans="1:19" x14ac:dyDescent="0.25">
      <c r="A3324" t="s">
        <v>9476</v>
      </c>
      <c r="B3324" t="s">
        <v>9477</v>
      </c>
      <c r="C3324" t="s">
        <v>9478</v>
      </c>
      <c r="D3324" t="s">
        <v>23</v>
      </c>
      <c r="E3324">
        <v>3736</v>
      </c>
      <c r="F3324" s="3">
        <v>40702</v>
      </c>
      <c r="H3324" t="s">
        <v>15523</v>
      </c>
      <c r="I3324" t="s">
        <v>17970</v>
      </c>
      <c r="K3324" t="e">
        <v>#N/A</v>
      </c>
      <c r="S3324" s="3"/>
    </row>
    <row r="3325" spans="1:19" x14ac:dyDescent="0.25">
      <c r="A3325" t="s">
        <v>9479</v>
      </c>
      <c r="B3325" t="s">
        <v>9480</v>
      </c>
      <c r="C3325" t="s">
        <v>9481</v>
      </c>
      <c r="D3325" t="s">
        <v>23</v>
      </c>
      <c r="E3325">
        <v>3737</v>
      </c>
      <c r="F3325" s="3">
        <v>40702</v>
      </c>
      <c r="H3325" t="s">
        <v>15523</v>
      </c>
      <c r="I3325" t="s">
        <v>17971</v>
      </c>
      <c r="K3325" t="e">
        <v>#N/A</v>
      </c>
      <c r="S3325" s="3"/>
    </row>
    <row r="3326" spans="1:19" x14ac:dyDescent="0.25">
      <c r="A3326" t="s">
        <v>9482</v>
      </c>
      <c r="B3326" t="s">
        <v>9483</v>
      </c>
      <c r="C3326" t="s">
        <v>9484</v>
      </c>
      <c r="D3326" t="s">
        <v>23</v>
      </c>
      <c r="E3326">
        <v>3738</v>
      </c>
      <c r="F3326" s="3">
        <v>40702</v>
      </c>
      <c r="H3326" t="s">
        <v>15523</v>
      </c>
      <c r="I3326" t="s">
        <v>17972</v>
      </c>
      <c r="K3326" t="e">
        <v>#N/A</v>
      </c>
      <c r="S3326" s="3"/>
    </row>
    <row r="3327" spans="1:19" x14ac:dyDescent="0.25">
      <c r="A3327" t="s">
        <v>9485</v>
      </c>
      <c r="B3327" t="s">
        <v>9486</v>
      </c>
      <c r="C3327" t="s">
        <v>9487</v>
      </c>
      <c r="D3327" t="s">
        <v>23</v>
      </c>
      <c r="E3327">
        <v>3739</v>
      </c>
      <c r="F3327" s="3">
        <v>40702</v>
      </c>
      <c r="H3327" t="s">
        <v>15523</v>
      </c>
      <c r="I3327" t="s">
        <v>17973</v>
      </c>
      <c r="K3327" t="e">
        <v>#N/A</v>
      </c>
      <c r="S3327" s="3"/>
    </row>
    <row r="3328" spans="1:19" x14ac:dyDescent="0.25">
      <c r="A3328" t="s">
        <v>9488</v>
      </c>
      <c r="B3328" t="s">
        <v>9489</v>
      </c>
      <c r="C3328" t="s">
        <v>9490</v>
      </c>
      <c r="D3328" t="s">
        <v>23</v>
      </c>
      <c r="E3328">
        <v>5228</v>
      </c>
      <c r="F3328" s="3">
        <v>42035</v>
      </c>
      <c r="H3328" t="s">
        <v>15523</v>
      </c>
      <c r="I3328" t="s">
        <v>17974</v>
      </c>
      <c r="K3328" t="e">
        <v>#N/A</v>
      </c>
      <c r="S3328" s="3"/>
    </row>
    <row r="3329" spans="1:19" x14ac:dyDescent="0.25">
      <c r="A3329" t="s">
        <v>9491</v>
      </c>
      <c r="B3329" t="s">
        <v>9492</v>
      </c>
      <c r="C3329" t="s">
        <v>9493</v>
      </c>
      <c r="D3329" t="s">
        <v>23</v>
      </c>
      <c r="E3329">
        <v>2083</v>
      </c>
      <c r="F3329" s="3">
        <v>40702</v>
      </c>
      <c r="H3329" t="s">
        <v>15523</v>
      </c>
      <c r="I3329" t="s">
        <v>17975</v>
      </c>
      <c r="K3329" t="e">
        <v>#N/A</v>
      </c>
      <c r="S3329" s="3"/>
    </row>
    <row r="3330" spans="1:19" x14ac:dyDescent="0.25">
      <c r="A3330" t="s">
        <v>9494</v>
      </c>
      <c r="B3330" t="s">
        <v>9495</v>
      </c>
      <c r="C3330" t="s">
        <v>9496</v>
      </c>
      <c r="D3330" t="s">
        <v>23</v>
      </c>
      <c r="E3330">
        <v>3750</v>
      </c>
      <c r="F3330" s="3">
        <v>40702</v>
      </c>
      <c r="H3330" t="s">
        <v>15523</v>
      </c>
      <c r="I3330" t="s">
        <v>17976</v>
      </c>
      <c r="K3330" t="e">
        <v>#N/A</v>
      </c>
      <c r="S3330" s="3"/>
    </row>
    <row r="3331" spans="1:19" x14ac:dyDescent="0.25">
      <c r="A3331" t="s">
        <v>9497</v>
      </c>
      <c r="B3331" t="s">
        <v>9498</v>
      </c>
      <c r="C3331" t="s">
        <v>9499</v>
      </c>
      <c r="D3331" t="s">
        <v>23</v>
      </c>
      <c r="E3331">
        <v>3751</v>
      </c>
      <c r="F3331" s="3">
        <v>40702</v>
      </c>
      <c r="H3331" t="s">
        <v>15523</v>
      </c>
      <c r="I3331" t="s">
        <v>17977</v>
      </c>
      <c r="K3331" t="e">
        <v>#N/A</v>
      </c>
      <c r="S3331" s="3"/>
    </row>
    <row r="3332" spans="1:19" x14ac:dyDescent="0.25">
      <c r="A3332" t="s">
        <v>9500</v>
      </c>
      <c r="B3332" t="s">
        <v>9501</v>
      </c>
      <c r="C3332" t="s">
        <v>9502</v>
      </c>
      <c r="D3332" t="s">
        <v>23</v>
      </c>
      <c r="E3332">
        <v>5038</v>
      </c>
      <c r="F3332" s="3">
        <v>41660</v>
      </c>
      <c r="H3332" t="s">
        <v>15523</v>
      </c>
      <c r="I3332" t="s">
        <v>17978</v>
      </c>
      <c r="K3332" t="e">
        <v>#N/A</v>
      </c>
      <c r="S3332" s="3"/>
    </row>
    <row r="3333" spans="1:19" x14ac:dyDescent="0.25">
      <c r="A3333" t="s">
        <v>9503</v>
      </c>
      <c r="B3333" t="s">
        <v>9504</v>
      </c>
      <c r="C3333" t="s">
        <v>9505</v>
      </c>
      <c r="D3333" t="s">
        <v>23</v>
      </c>
      <c r="E3333">
        <v>750</v>
      </c>
      <c r="F3333" s="3">
        <v>40702</v>
      </c>
      <c r="H3333" t="s">
        <v>15523</v>
      </c>
      <c r="I3333" t="s">
        <v>17979</v>
      </c>
      <c r="K3333" t="e">
        <v>#N/A</v>
      </c>
      <c r="S3333" s="3"/>
    </row>
    <row r="3334" spans="1:19" x14ac:dyDescent="0.25">
      <c r="A3334" t="s">
        <v>9506</v>
      </c>
      <c r="B3334" t="s">
        <v>9507</v>
      </c>
      <c r="C3334" t="s">
        <v>9508</v>
      </c>
      <c r="D3334" t="s">
        <v>23</v>
      </c>
      <c r="E3334">
        <v>3756</v>
      </c>
      <c r="F3334" s="3">
        <v>40702</v>
      </c>
      <c r="H3334" t="s">
        <v>15523</v>
      </c>
      <c r="I3334" t="s">
        <v>17980</v>
      </c>
      <c r="K3334" t="e">
        <v>#N/A</v>
      </c>
      <c r="S3334" s="3"/>
    </row>
    <row r="3335" spans="1:19" x14ac:dyDescent="0.25">
      <c r="A3335" t="s">
        <v>9509</v>
      </c>
      <c r="B3335" t="s">
        <v>9510</v>
      </c>
      <c r="C3335" t="s">
        <v>9511</v>
      </c>
      <c r="D3335" t="s">
        <v>23</v>
      </c>
      <c r="E3335">
        <v>749</v>
      </c>
      <c r="F3335" s="3">
        <v>40702</v>
      </c>
      <c r="H3335" t="s">
        <v>15523</v>
      </c>
      <c r="I3335" t="s">
        <v>17981</v>
      </c>
      <c r="K3335" t="e">
        <v>#N/A</v>
      </c>
      <c r="S3335" s="3"/>
    </row>
    <row r="3336" spans="1:19" x14ac:dyDescent="0.25">
      <c r="A3336" t="s">
        <v>9512</v>
      </c>
      <c r="B3336" t="s">
        <v>9513</v>
      </c>
      <c r="C3336" t="s">
        <v>9514</v>
      </c>
      <c r="D3336" t="s">
        <v>23</v>
      </c>
      <c r="E3336">
        <v>3767</v>
      </c>
      <c r="F3336" s="3">
        <v>40702</v>
      </c>
      <c r="H3336" t="s">
        <v>15523</v>
      </c>
      <c r="I3336" t="s">
        <v>17982</v>
      </c>
      <c r="K3336" t="e">
        <v>#N/A</v>
      </c>
      <c r="S3336" s="3"/>
    </row>
    <row r="3337" spans="1:19" x14ac:dyDescent="0.25">
      <c r="A3337" t="s">
        <v>9515</v>
      </c>
      <c r="B3337" t="s">
        <v>9516</v>
      </c>
      <c r="C3337" t="s">
        <v>9517</v>
      </c>
      <c r="D3337" t="s">
        <v>23</v>
      </c>
      <c r="E3337">
        <v>3768</v>
      </c>
      <c r="F3337" s="3">
        <v>40702</v>
      </c>
      <c r="H3337" t="s">
        <v>15523</v>
      </c>
      <c r="I3337" t="s">
        <v>17983</v>
      </c>
      <c r="K3337" t="e">
        <v>#N/A</v>
      </c>
      <c r="S3337" s="3"/>
    </row>
    <row r="3338" spans="1:19" x14ac:dyDescent="0.25">
      <c r="A3338" t="s">
        <v>9518</v>
      </c>
      <c r="B3338" t="s">
        <v>9519</v>
      </c>
      <c r="C3338" t="s">
        <v>9520</v>
      </c>
      <c r="D3338" t="s">
        <v>23</v>
      </c>
      <c r="E3338">
        <v>5039</v>
      </c>
      <c r="F3338" s="3">
        <v>41660</v>
      </c>
      <c r="H3338" t="s">
        <v>15523</v>
      </c>
      <c r="I3338" t="s">
        <v>17984</v>
      </c>
      <c r="K3338" t="e">
        <v>#N/A</v>
      </c>
      <c r="S3338" s="3"/>
    </row>
    <row r="3339" spans="1:19" x14ac:dyDescent="0.25">
      <c r="A3339" t="s">
        <v>9521</v>
      </c>
      <c r="B3339" t="s">
        <v>9522</v>
      </c>
      <c r="C3339" t="s">
        <v>9523</v>
      </c>
      <c r="D3339" t="s">
        <v>23</v>
      </c>
      <c r="E3339">
        <v>745</v>
      </c>
      <c r="F3339" s="3">
        <v>40702</v>
      </c>
      <c r="H3339" t="s">
        <v>15523</v>
      </c>
      <c r="I3339" t="s">
        <v>17985</v>
      </c>
      <c r="K3339" t="e">
        <v>#N/A</v>
      </c>
      <c r="S3339" s="3"/>
    </row>
    <row r="3340" spans="1:19" x14ac:dyDescent="0.25">
      <c r="A3340" t="s">
        <v>9524</v>
      </c>
      <c r="B3340" t="s">
        <v>9525</v>
      </c>
      <c r="C3340" t="s">
        <v>9526</v>
      </c>
      <c r="D3340" t="s">
        <v>23</v>
      </c>
      <c r="E3340">
        <v>5040</v>
      </c>
      <c r="F3340" s="3">
        <v>41660</v>
      </c>
      <c r="H3340" t="s">
        <v>15523</v>
      </c>
      <c r="I3340" t="s">
        <v>17986</v>
      </c>
      <c r="K3340" t="e">
        <v>#N/A</v>
      </c>
      <c r="S3340" s="3"/>
    </row>
    <row r="3341" spans="1:19" x14ac:dyDescent="0.25">
      <c r="A3341" t="s">
        <v>9527</v>
      </c>
      <c r="B3341" t="s">
        <v>9528</v>
      </c>
      <c r="C3341" t="s">
        <v>9529</v>
      </c>
      <c r="D3341" t="s">
        <v>23</v>
      </c>
      <c r="E3341">
        <v>747</v>
      </c>
      <c r="F3341" s="3">
        <v>40702</v>
      </c>
      <c r="H3341" t="s">
        <v>15523</v>
      </c>
      <c r="I3341" t="s">
        <v>17987</v>
      </c>
      <c r="K3341" t="e">
        <v>#N/A</v>
      </c>
      <c r="S3341" s="3"/>
    </row>
    <row r="3342" spans="1:19" x14ac:dyDescent="0.25">
      <c r="A3342" t="s">
        <v>9530</v>
      </c>
      <c r="B3342" t="s">
        <v>9531</v>
      </c>
      <c r="C3342" t="s">
        <v>9532</v>
      </c>
      <c r="D3342" t="s">
        <v>23</v>
      </c>
      <c r="E3342">
        <v>6053</v>
      </c>
      <c r="F3342" s="3">
        <v>43781</v>
      </c>
      <c r="H3342" t="s">
        <v>15523</v>
      </c>
      <c r="I3342" t="s">
        <v>17988</v>
      </c>
      <c r="K3342" t="e">
        <v>#N/A</v>
      </c>
      <c r="S3342" s="3"/>
    </row>
    <row r="3343" spans="1:19" x14ac:dyDescent="0.25">
      <c r="A3343" t="s">
        <v>9533</v>
      </c>
      <c r="B3343" t="s">
        <v>9534</v>
      </c>
      <c r="C3343" t="s">
        <v>9535</v>
      </c>
      <c r="D3343" t="s">
        <v>23</v>
      </c>
      <c r="E3343">
        <v>3758</v>
      </c>
      <c r="F3343" s="3">
        <v>40702</v>
      </c>
      <c r="H3343" t="s">
        <v>15523</v>
      </c>
      <c r="I3343" t="s">
        <v>17989</v>
      </c>
      <c r="K3343" t="e">
        <v>#N/A</v>
      </c>
      <c r="S3343" s="3"/>
    </row>
    <row r="3344" spans="1:19" x14ac:dyDescent="0.25">
      <c r="A3344" t="s">
        <v>9536</v>
      </c>
      <c r="B3344" t="s">
        <v>9537</v>
      </c>
      <c r="C3344" t="s">
        <v>9538</v>
      </c>
      <c r="D3344" t="s">
        <v>23</v>
      </c>
      <c r="E3344">
        <v>3759</v>
      </c>
      <c r="F3344" s="3">
        <v>40702</v>
      </c>
      <c r="H3344" t="s">
        <v>15523</v>
      </c>
      <c r="I3344" t="s">
        <v>17990</v>
      </c>
      <c r="K3344" t="e">
        <v>#N/A</v>
      </c>
      <c r="S3344" s="3"/>
    </row>
    <row r="3345" spans="1:19" x14ac:dyDescent="0.25">
      <c r="A3345" t="s">
        <v>9539</v>
      </c>
      <c r="B3345" t="s">
        <v>9540</v>
      </c>
      <c r="C3345" t="s">
        <v>9541</v>
      </c>
      <c r="D3345" t="s">
        <v>23</v>
      </c>
      <c r="E3345">
        <v>3760</v>
      </c>
      <c r="F3345" s="3">
        <v>41230</v>
      </c>
      <c r="H3345" t="s">
        <v>15523</v>
      </c>
      <c r="I3345" t="s">
        <v>17991</v>
      </c>
      <c r="K3345" t="e">
        <v>#N/A</v>
      </c>
      <c r="S3345" s="3"/>
    </row>
    <row r="3346" spans="1:19" x14ac:dyDescent="0.25">
      <c r="A3346" t="s">
        <v>9542</v>
      </c>
      <c r="B3346" t="s">
        <v>9543</v>
      </c>
      <c r="C3346" t="s">
        <v>9544</v>
      </c>
      <c r="D3346" t="s">
        <v>23</v>
      </c>
      <c r="E3346">
        <v>3761</v>
      </c>
      <c r="F3346" s="3">
        <v>40702</v>
      </c>
      <c r="H3346" t="s">
        <v>15523</v>
      </c>
      <c r="I3346" t="s">
        <v>17992</v>
      </c>
      <c r="K3346" t="e">
        <v>#N/A</v>
      </c>
      <c r="S3346" s="3"/>
    </row>
    <row r="3347" spans="1:19" x14ac:dyDescent="0.25">
      <c r="A3347" t="s">
        <v>9545</v>
      </c>
      <c r="B3347" t="s">
        <v>9546</v>
      </c>
      <c r="C3347" t="s">
        <v>9547</v>
      </c>
      <c r="D3347" t="s">
        <v>23</v>
      </c>
      <c r="E3347">
        <v>2443</v>
      </c>
      <c r="F3347" s="3">
        <v>40783</v>
      </c>
      <c r="H3347" t="s">
        <v>15523</v>
      </c>
      <c r="I3347" t="s">
        <v>17993</v>
      </c>
      <c r="K3347" t="e">
        <v>#N/A</v>
      </c>
      <c r="S3347" s="3"/>
    </row>
    <row r="3348" spans="1:19" x14ac:dyDescent="0.25">
      <c r="A3348" t="s">
        <v>9548</v>
      </c>
      <c r="B3348" t="s">
        <v>9549</v>
      </c>
      <c r="C3348" t="s">
        <v>9550</v>
      </c>
      <c r="D3348" t="s">
        <v>23</v>
      </c>
      <c r="E3348">
        <v>3762</v>
      </c>
      <c r="F3348" s="3">
        <v>40702</v>
      </c>
      <c r="H3348" t="s">
        <v>15523</v>
      </c>
      <c r="I3348" t="s">
        <v>17994</v>
      </c>
      <c r="K3348" t="e">
        <v>#N/A</v>
      </c>
      <c r="S3348" s="3"/>
    </row>
    <row r="3349" spans="1:19" x14ac:dyDescent="0.25">
      <c r="A3349" t="s">
        <v>9551</v>
      </c>
      <c r="B3349" t="s">
        <v>9552</v>
      </c>
      <c r="C3349" t="s">
        <v>9553</v>
      </c>
      <c r="D3349" t="s">
        <v>23</v>
      </c>
      <c r="E3349">
        <v>2482</v>
      </c>
      <c r="F3349" s="3">
        <v>40702</v>
      </c>
      <c r="H3349" t="s">
        <v>15523</v>
      </c>
      <c r="I3349" t="s">
        <v>17995</v>
      </c>
      <c r="K3349" t="e">
        <v>#N/A</v>
      </c>
      <c r="S3349" s="3"/>
    </row>
    <row r="3350" spans="1:19" x14ac:dyDescent="0.25">
      <c r="A3350" t="s">
        <v>9554</v>
      </c>
      <c r="B3350" t="s">
        <v>9555</v>
      </c>
      <c r="C3350" t="s">
        <v>9556</v>
      </c>
      <c r="D3350" t="s">
        <v>23</v>
      </c>
      <c r="E3350">
        <v>3763</v>
      </c>
      <c r="F3350" s="3">
        <v>40702</v>
      </c>
      <c r="H3350" t="s">
        <v>15523</v>
      </c>
      <c r="I3350" t="s">
        <v>17996</v>
      </c>
      <c r="K3350" t="e">
        <v>#N/A</v>
      </c>
      <c r="S3350" s="3"/>
    </row>
    <row r="3351" spans="1:19" x14ac:dyDescent="0.25">
      <c r="A3351" t="s">
        <v>9557</v>
      </c>
      <c r="B3351" t="s">
        <v>9558</v>
      </c>
      <c r="C3351" t="s">
        <v>9559</v>
      </c>
      <c r="D3351" t="s">
        <v>23</v>
      </c>
      <c r="E3351">
        <v>3764</v>
      </c>
      <c r="F3351" s="3">
        <v>40702</v>
      </c>
      <c r="H3351" t="s">
        <v>15523</v>
      </c>
      <c r="I3351" t="s">
        <v>17997</v>
      </c>
      <c r="K3351" t="e">
        <v>#N/A</v>
      </c>
      <c r="S3351" s="3"/>
    </row>
    <row r="3352" spans="1:19" x14ac:dyDescent="0.25">
      <c r="A3352" t="s">
        <v>9560</v>
      </c>
      <c r="B3352" t="s">
        <v>9561</v>
      </c>
      <c r="C3352" t="s">
        <v>9562</v>
      </c>
      <c r="D3352" t="s">
        <v>23</v>
      </c>
      <c r="E3352">
        <v>3765</v>
      </c>
      <c r="F3352" s="3">
        <v>40702</v>
      </c>
      <c r="H3352" t="s">
        <v>15523</v>
      </c>
      <c r="I3352" t="s">
        <v>17998</v>
      </c>
      <c r="K3352" t="e">
        <v>#N/A</v>
      </c>
      <c r="S3352" s="3"/>
    </row>
    <row r="3353" spans="1:19" x14ac:dyDescent="0.25">
      <c r="A3353" t="s">
        <v>9563</v>
      </c>
      <c r="B3353" t="s">
        <v>9564</v>
      </c>
      <c r="C3353" t="s">
        <v>9565</v>
      </c>
      <c r="D3353" t="s">
        <v>23</v>
      </c>
      <c r="E3353">
        <v>2362</v>
      </c>
      <c r="F3353" s="3">
        <v>40702</v>
      </c>
      <c r="H3353" t="s">
        <v>15523</v>
      </c>
      <c r="I3353" t="s">
        <v>17999</v>
      </c>
      <c r="K3353" t="e">
        <v>#N/A</v>
      </c>
      <c r="S3353" s="3"/>
    </row>
    <row r="3354" spans="1:19" x14ac:dyDescent="0.25">
      <c r="A3354" t="s">
        <v>9566</v>
      </c>
      <c r="B3354" t="s">
        <v>9567</v>
      </c>
      <c r="C3354" t="s">
        <v>9568</v>
      </c>
      <c r="D3354" t="s">
        <v>23</v>
      </c>
      <c r="E3354">
        <v>3766</v>
      </c>
      <c r="F3354" s="3">
        <v>40702</v>
      </c>
      <c r="H3354" t="s">
        <v>15523</v>
      </c>
      <c r="I3354" t="s">
        <v>18000</v>
      </c>
      <c r="K3354" t="e">
        <v>#N/A</v>
      </c>
      <c r="S3354" s="3"/>
    </row>
    <row r="3355" spans="1:19" x14ac:dyDescent="0.25">
      <c r="A3355" t="s">
        <v>9569</v>
      </c>
      <c r="B3355" t="s">
        <v>9570</v>
      </c>
      <c r="C3355" t="s">
        <v>9571</v>
      </c>
      <c r="D3355" t="s">
        <v>23</v>
      </c>
      <c r="E3355">
        <v>5041</v>
      </c>
      <c r="F3355" s="3">
        <v>41660</v>
      </c>
      <c r="H3355" t="s">
        <v>15523</v>
      </c>
      <c r="I3355" t="s">
        <v>18001</v>
      </c>
      <c r="K3355" t="e">
        <v>#N/A</v>
      </c>
      <c r="S3355" s="3"/>
    </row>
    <row r="3356" spans="1:19" x14ac:dyDescent="0.25">
      <c r="A3356" t="s">
        <v>9572</v>
      </c>
      <c r="B3356" t="s">
        <v>9573</v>
      </c>
      <c r="C3356" t="s">
        <v>9574</v>
      </c>
      <c r="D3356" t="s">
        <v>23</v>
      </c>
      <c r="E3356">
        <v>3769</v>
      </c>
      <c r="F3356" s="3">
        <v>40702</v>
      </c>
      <c r="H3356" t="s">
        <v>15523</v>
      </c>
      <c r="I3356" t="s">
        <v>18002</v>
      </c>
      <c r="K3356" t="e">
        <v>#N/A</v>
      </c>
      <c r="S3356" s="3"/>
    </row>
    <row r="3357" spans="1:19" x14ac:dyDescent="0.25">
      <c r="A3357" t="s">
        <v>9575</v>
      </c>
      <c r="B3357" t="s">
        <v>9576</v>
      </c>
      <c r="C3357" t="s">
        <v>9577</v>
      </c>
      <c r="D3357" t="s">
        <v>23</v>
      </c>
      <c r="E3357">
        <v>2468</v>
      </c>
      <c r="F3357" s="3">
        <v>40702</v>
      </c>
      <c r="H3357" t="s">
        <v>15523</v>
      </c>
      <c r="I3357" t="s">
        <v>18003</v>
      </c>
      <c r="K3357" t="e">
        <v>#N/A</v>
      </c>
      <c r="S3357" s="3"/>
    </row>
    <row r="3358" spans="1:19" x14ac:dyDescent="0.25">
      <c r="A3358" t="s">
        <v>9578</v>
      </c>
      <c r="B3358" t="s">
        <v>9579</v>
      </c>
      <c r="C3358" t="s">
        <v>9580</v>
      </c>
      <c r="D3358" t="s">
        <v>23</v>
      </c>
      <c r="E3358">
        <v>3770</v>
      </c>
      <c r="F3358" s="3">
        <v>40702</v>
      </c>
      <c r="H3358" t="s">
        <v>15523</v>
      </c>
      <c r="I3358" t="s">
        <v>18004</v>
      </c>
      <c r="K3358" t="e">
        <v>#N/A</v>
      </c>
      <c r="S3358" s="3"/>
    </row>
    <row r="3359" spans="1:19" x14ac:dyDescent="0.25">
      <c r="A3359" t="s">
        <v>9581</v>
      </c>
      <c r="B3359" t="s">
        <v>9582</v>
      </c>
      <c r="C3359" t="s">
        <v>9583</v>
      </c>
      <c r="D3359" t="s">
        <v>23</v>
      </c>
      <c r="E3359">
        <v>3771</v>
      </c>
      <c r="F3359" s="3">
        <v>40702</v>
      </c>
      <c r="H3359" t="s">
        <v>15523</v>
      </c>
      <c r="I3359" t="s">
        <v>18005</v>
      </c>
      <c r="K3359" t="e">
        <v>#N/A</v>
      </c>
      <c r="S3359" s="3"/>
    </row>
    <row r="3360" spans="1:19" x14ac:dyDescent="0.25">
      <c r="A3360" t="s">
        <v>9584</v>
      </c>
      <c r="B3360" t="s">
        <v>9585</v>
      </c>
      <c r="C3360" t="s">
        <v>9586</v>
      </c>
      <c r="D3360" t="s">
        <v>23</v>
      </c>
      <c r="E3360">
        <v>5564</v>
      </c>
      <c r="F3360" s="3">
        <v>42409</v>
      </c>
      <c r="H3360" t="s">
        <v>15523</v>
      </c>
      <c r="I3360" t="s">
        <v>18006</v>
      </c>
      <c r="K3360" t="e">
        <v>#N/A</v>
      </c>
      <c r="S3360" s="3"/>
    </row>
    <row r="3361" spans="1:19" x14ac:dyDescent="0.25">
      <c r="A3361" t="s">
        <v>9587</v>
      </c>
      <c r="B3361" t="s">
        <v>9588</v>
      </c>
      <c r="C3361" t="s">
        <v>9589</v>
      </c>
      <c r="D3361" t="s">
        <v>23</v>
      </c>
      <c r="E3361">
        <v>759</v>
      </c>
      <c r="F3361" s="3">
        <v>41391</v>
      </c>
      <c r="H3361" t="s">
        <v>15523</v>
      </c>
      <c r="I3361" t="s">
        <v>18007</v>
      </c>
      <c r="K3361" t="e">
        <v>#N/A</v>
      </c>
      <c r="S3361" s="3"/>
    </row>
    <row r="3362" spans="1:19" x14ac:dyDescent="0.25">
      <c r="A3362" t="s">
        <v>9590</v>
      </c>
      <c r="B3362" t="s">
        <v>9591</v>
      </c>
      <c r="C3362" t="s">
        <v>9592</v>
      </c>
      <c r="D3362" t="s">
        <v>23</v>
      </c>
      <c r="E3362">
        <v>3772</v>
      </c>
      <c r="F3362" s="3">
        <v>40702</v>
      </c>
      <c r="H3362" t="s">
        <v>15523</v>
      </c>
      <c r="I3362" t="s">
        <v>18008</v>
      </c>
      <c r="K3362" t="e">
        <v>#N/A</v>
      </c>
      <c r="S3362" s="3"/>
    </row>
    <row r="3363" spans="1:19" x14ac:dyDescent="0.25">
      <c r="A3363" t="s">
        <v>9593</v>
      </c>
      <c r="B3363" t="s">
        <v>9594</v>
      </c>
      <c r="C3363" t="s">
        <v>9595</v>
      </c>
      <c r="D3363" t="s">
        <v>23</v>
      </c>
      <c r="E3363">
        <v>2451</v>
      </c>
      <c r="F3363" s="3">
        <v>40702</v>
      </c>
      <c r="H3363" t="s">
        <v>15523</v>
      </c>
      <c r="I3363" t="s">
        <v>18009</v>
      </c>
      <c r="K3363" t="e">
        <v>#N/A</v>
      </c>
      <c r="S3363" s="3"/>
    </row>
    <row r="3364" spans="1:19" x14ac:dyDescent="0.25">
      <c r="A3364" t="s">
        <v>9596</v>
      </c>
      <c r="B3364" t="s">
        <v>9597</v>
      </c>
      <c r="C3364" t="s">
        <v>9598</v>
      </c>
      <c r="D3364" t="s">
        <v>23</v>
      </c>
      <c r="E3364">
        <v>3773</v>
      </c>
      <c r="F3364" s="3">
        <v>40702</v>
      </c>
      <c r="H3364" t="s">
        <v>15523</v>
      </c>
      <c r="I3364" t="s">
        <v>18010</v>
      </c>
      <c r="K3364" t="e">
        <v>#N/A</v>
      </c>
      <c r="S3364" s="3"/>
    </row>
    <row r="3365" spans="1:19" x14ac:dyDescent="0.25">
      <c r="A3365" t="s">
        <v>9599</v>
      </c>
      <c r="B3365" t="s">
        <v>9600</v>
      </c>
      <c r="C3365" t="s">
        <v>9601</v>
      </c>
      <c r="D3365" t="s">
        <v>23</v>
      </c>
      <c r="E3365">
        <v>5042</v>
      </c>
      <c r="F3365" s="3">
        <v>41660</v>
      </c>
      <c r="H3365" t="s">
        <v>15523</v>
      </c>
      <c r="I3365" t="s">
        <v>18011</v>
      </c>
      <c r="K3365" t="e">
        <v>#N/A</v>
      </c>
      <c r="S3365" s="3"/>
    </row>
    <row r="3366" spans="1:19" x14ac:dyDescent="0.25">
      <c r="A3366" t="s">
        <v>9602</v>
      </c>
      <c r="B3366" t="s">
        <v>9603</v>
      </c>
      <c r="C3366" s="3">
        <v>254642</v>
      </c>
      <c r="D3366" t="s">
        <v>23</v>
      </c>
      <c r="E3366">
        <v>761</v>
      </c>
      <c r="F3366" s="3">
        <v>40704</v>
      </c>
      <c r="H3366" t="s">
        <v>15523</v>
      </c>
      <c r="I3366" t="s">
        <v>18012</v>
      </c>
      <c r="K3366" t="e">
        <v>#N/A</v>
      </c>
      <c r="P3366" s="3"/>
      <c r="S3366" s="3"/>
    </row>
    <row r="3367" spans="1:19" x14ac:dyDescent="0.25">
      <c r="A3367" t="s">
        <v>9605</v>
      </c>
      <c r="B3367" t="s">
        <v>9606</v>
      </c>
      <c r="C3367" t="s">
        <v>9607</v>
      </c>
      <c r="D3367" t="s">
        <v>23</v>
      </c>
      <c r="E3367">
        <v>756</v>
      </c>
      <c r="F3367" s="3">
        <v>40702</v>
      </c>
      <c r="H3367" t="s">
        <v>15523</v>
      </c>
      <c r="I3367" t="s">
        <v>18013</v>
      </c>
      <c r="K3367" t="e">
        <v>#N/A</v>
      </c>
      <c r="S3367" s="3"/>
    </row>
    <row r="3368" spans="1:19" x14ac:dyDescent="0.25">
      <c r="A3368" t="s">
        <v>9608</v>
      </c>
      <c r="B3368" t="s">
        <v>9609</v>
      </c>
      <c r="C3368" t="s">
        <v>9610</v>
      </c>
      <c r="D3368" t="s">
        <v>23</v>
      </c>
      <c r="E3368">
        <v>3774</v>
      </c>
      <c r="F3368" s="3">
        <v>41230</v>
      </c>
      <c r="H3368" t="s">
        <v>15523</v>
      </c>
      <c r="I3368" t="s">
        <v>18014</v>
      </c>
      <c r="K3368" t="e">
        <v>#N/A</v>
      </c>
      <c r="S3368" s="3"/>
    </row>
    <row r="3369" spans="1:19" x14ac:dyDescent="0.25">
      <c r="A3369" t="s">
        <v>9611</v>
      </c>
      <c r="B3369" t="s">
        <v>9612</v>
      </c>
      <c r="C3369" t="s">
        <v>9613</v>
      </c>
      <c r="D3369" t="s">
        <v>23</v>
      </c>
      <c r="E3369">
        <v>3775</v>
      </c>
      <c r="F3369" s="3">
        <v>40702</v>
      </c>
      <c r="H3369" t="s">
        <v>15523</v>
      </c>
      <c r="I3369" t="s">
        <v>18015</v>
      </c>
      <c r="K3369" t="e">
        <v>#N/A</v>
      </c>
      <c r="S3369" s="3"/>
    </row>
    <row r="3370" spans="1:19" x14ac:dyDescent="0.25">
      <c r="A3370" t="s">
        <v>9614</v>
      </c>
      <c r="B3370" t="s">
        <v>9615</v>
      </c>
      <c r="C3370" t="s">
        <v>9616</v>
      </c>
      <c r="D3370" t="s">
        <v>23</v>
      </c>
      <c r="E3370">
        <v>760</v>
      </c>
      <c r="F3370" s="3">
        <v>40702</v>
      </c>
      <c r="H3370" t="s">
        <v>15523</v>
      </c>
      <c r="I3370" t="s">
        <v>18016</v>
      </c>
      <c r="K3370" t="e">
        <v>#N/A</v>
      </c>
      <c r="S3370" s="3"/>
    </row>
    <row r="3371" spans="1:19" x14ac:dyDescent="0.25">
      <c r="A3371" t="s">
        <v>9617</v>
      </c>
      <c r="B3371" t="s">
        <v>9618</v>
      </c>
      <c r="C3371" t="s">
        <v>9619</v>
      </c>
      <c r="D3371" t="s">
        <v>23</v>
      </c>
      <c r="E3371">
        <v>5043</v>
      </c>
      <c r="F3371" s="3">
        <v>41660</v>
      </c>
      <c r="H3371" t="s">
        <v>15523</v>
      </c>
      <c r="I3371" t="s">
        <v>18017</v>
      </c>
      <c r="K3371" t="e">
        <v>#N/A</v>
      </c>
      <c r="S3371" s="3"/>
    </row>
    <row r="3372" spans="1:19" x14ac:dyDescent="0.25">
      <c r="A3372" t="s">
        <v>9620</v>
      </c>
      <c r="B3372" t="s">
        <v>9621</v>
      </c>
      <c r="C3372" t="s">
        <v>9622</v>
      </c>
      <c r="D3372" t="s">
        <v>23</v>
      </c>
      <c r="E3372">
        <v>2483</v>
      </c>
      <c r="F3372" s="3">
        <v>40702</v>
      </c>
      <c r="H3372" t="s">
        <v>15523</v>
      </c>
      <c r="I3372" t="s">
        <v>18018</v>
      </c>
      <c r="K3372" t="e">
        <v>#N/A</v>
      </c>
      <c r="S3372" s="3"/>
    </row>
    <row r="3373" spans="1:19" x14ac:dyDescent="0.25">
      <c r="A3373" t="s">
        <v>9623</v>
      </c>
      <c r="B3373" t="s">
        <v>9624</v>
      </c>
      <c r="C3373" t="s">
        <v>9625</v>
      </c>
      <c r="D3373" t="s">
        <v>23</v>
      </c>
      <c r="E3373">
        <v>762</v>
      </c>
      <c r="F3373" s="3">
        <v>40702</v>
      </c>
      <c r="H3373" t="s">
        <v>15523</v>
      </c>
      <c r="I3373" t="s">
        <v>18019</v>
      </c>
      <c r="K3373" t="e">
        <v>#N/A</v>
      </c>
      <c r="S3373" s="3"/>
    </row>
    <row r="3374" spans="1:19" x14ac:dyDescent="0.25">
      <c r="A3374" t="s">
        <v>9626</v>
      </c>
      <c r="B3374" t="s">
        <v>9627</v>
      </c>
      <c r="C3374" t="s">
        <v>9628</v>
      </c>
      <c r="D3374" t="s">
        <v>23</v>
      </c>
      <c r="E3374">
        <v>3776</v>
      </c>
      <c r="F3374" s="3">
        <v>40702</v>
      </c>
      <c r="H3374" t="s">
        <v>15523</v>
      </c>
      <c r="I3374" t="s">
        <v>18020</v>
      </c>
      <c r="K3374" t="e">
        <v>#N/A</v>
      </c>
      <c r="S3374" s="3"/>
    </row>
    <row r="3375" spans="1:19" x14ac:dyDescent="0.25">
      <c r="A3375" t="s">
        <v>801</v>
      </c>
      <c r="B3375" t="s">
        <v>802</v>
      </c>
      <c r="C3375" t="s">
        <v>14697</v>
      </c>
      <c r="D3375" t="s">
        <v>23</v>
      </c>
      <c r="E3375">
        <v>2481</v>
      </c>
      <c r="F3375" s="3">
        <v>40702</v>
      </c>
      <c r="H3375" t="s">
        <v>15523</v>
      </c>
      <c r="I3375" t="s">
        <v>18021</v>
      </c>
      <c r="K3375">
        <v>227</v>
      </c>
      <c r="S3375" s="3"/>
    </row>
    <row r="3376" spans="1:19" x14ac:dyDescent="0.25">
      <c r="A3376" t="s">
        <v>9629</v>
      </c>
      <c r="B3376" t="s">
        <v>9630</v>
      </c>
      <c r="C3376" t="s">
        <v>9631</v>
      </c>
      <c r="D3376" t="s">
        <v>23</v>
      </c>
      <c r="E3376">
        <v>3777</v>
      </c>
      <c r="F3376" s="3">
        <v>40702</v>
      </c>
      <c r="H3376" t="s">
        <v>15523</v>
      </c>
      <c r="I3376" t="s">
        <v>18022</v>
      </c>
      <c r="K3376" t="e">
        <v>#N/A</v>
      </c>
      <c r="S3376" s="3"/>
    </row>
    <row r="3377" spans="1:19" x14ac:dyDescent="0.25">
      <c r="A3377" t="s">
        <v>9632</v>
      </c>
      <c r="B3377" t="s">
        <v>9633</v>
      </c>
      <c r="C3377" t="s">
        <v>9634</v>
      </c>
      <c r="D3377" t="s">
        <v>23</v>
      </c>
      <c r="E3377">
        <v>3781</v>
      </c>
      <c r="F3377" s="3">
        <v>40702</v>
      </c>
      <c r="H3377" t="s">
        <v>15523</v>
      </c>
      <c r="I3377" t="s">
        <v>18023</v>
      </c>
      <c r="K3377" t="e">
        <v>#N/A</v>
      </c>
      <c r="S3377" s="3"/>
    </row>
    <row r="3378" spans="1:19" x14ac:dyDescent="0.25">
      <c r="A3378" t="s">
        <v>9635</v>
      </c>
      <c r="B3378" t="s">
        <v>9636</v>
      </c>
      <c r="C3378" t="s">
        <v>9637</v>
      </c>
      <c r="D3378" t="s">
        <v>23</v>
      </c>
      <c r="E3378">
        <v>3782</v>
      </c>
      <c r="F3378" s="3">
        <v>40702</v>
      </c>
      <c r="H3378" t="s">
        <v>15523</v>
      </c>
      <c r="I3378" t="s">
        <v>18024</v>
      </c>
      <c r="K3378" t="e">
        <v>#N/A</v>
      </c>
      <c r="S3378" s="3"/>
    </row>
    <row r="3379" spans="1:19" x14ac:dyDescent="0.25">
      <c r="A3379" t="s">
        <v>9638</v>
      </c>
      <c r="B3379" t="s">
        <v>9639</v>
      </c>
      <c r="C3379" t="s">
        <v>9640</v>
      </c>
      <c r="D3379" t="s">
        <v>23</v>
      </c>
      <c r="E3379">
        <v>3784</v>
      </c>
      <c r="F3379" s="3">
        <v>41230</v>
      </c>
      <c r="H3379" t="s">
        <v>15523</v>
      </c>
      <c r="I3379" t="s">
        <v>18025</v>
      </c>
      <c r="K3379" t="e">
        <v>#N/A</v>
      </c>
      <c r="S3379" s="3"/>
    </row>
    <row r="3380" spans="1:19" x14ac:dyDescent="0.25">
      <c r="A3380" t="s">
        <v>9641</v>
      </c>
      <c r="B3380" t="s">
        <v>9642</v>
      </c>
      <c r="C3380" t="s">
        <v>9643</v>
      </c>
      <c r="D3380" t="s">
        <v>23</v>
      </c>
      <c r="E3380">
        <v>5880</v>
      </c>
      <c r="F3380" s="3">
        <v>43798</v>
      </c>
      <c r="H3380" t="s">
        <v>15523</v>
      </c>
      <c r="I3380" t="s">
        <v>18026</v>
      </c>
      <c r="K3380" t="e">
        <v>#N/A</v>
      </c>
      <c r="S3380" s="3"/>
    </row>
    <row r="3381" spans="1:19" x14ac:dyDescent="0.25">
      <c r="A3381" t="s">
        <v>9644</v>
      </c>
      <c r="B3381" t="s">
        <v>9645</v>
      </c>
      <c r="C3381" t="s">
        <v>9646</v>
      </c>
      <c r="D3381" t="s">
        <v>23</v>
      </c>
      <c r="E3381">
        <v>3786</v>
      </c>
      <c r="F3381" s="3">
        <v>40702</v>
      </c>
      <c r="H3381" t="s">
        <v>15523</v>
      </c>
      <c r="I3381" t="s">
        <v>18027</v>
      </c>
      <c r="K3381" t="e">
        <v>#N/A</v>
      </c>
      <c r="S3381" s="3"/>
    </row>
    <row r="3382" spans="1:19" x14ac:dyDescent="0.25">
      <c r="A3382" t="s">
        <v>9647</v>
      </c>
      <c r="B3382" t="s">
        <v>9648</v>
      </c>
      <c r="C3382" t="s">
        <v>9649</v>
      </c>
      <c r="D3382" t="s">
        <v>23</v>
      </c>
      <c r="E3382">
        <v>5879</v>
      </c>
      <c r="F3382" s="3">
        <v>43798</v>
      </c>
      <c r="H3382" t="s">
        <v>15523</v>
      </c>
      <c r="I3382" t="s">
        <v>18028</v>
      </c>
      <c r="K3382" t="e">
        <v>#N/A</v>
      </c>
      <c r="S3382" s="3"/>
    </row>
    <row r="3383" spans="1:19" x14ac:dyDescent="0.25">
      <c r="A3383" t="s">
        <v>9650</v>
      </c>
      <c r="B3383" t="s">
        <v>9651</v>
      </c>
      <c r="C3383" t="s">
        <v>9652</v>
      </c>
      <c r="D3383" t="s">
        <v>23</v>
      </c>
      <c r="E3383">
        <v>5327</v>
      </c>
      <c r="F3383" s="3">
        <v>42231</v>
      </c>
      <c r="H3383" t="s">
        <v>15523</v>
      </c>
      <c r="I3383" t="s">
        <v>18029</v>
      </c>
      <c r="K3383" t="e">
        <v>#N/A</v>
      </c>
      <c r="S3383" s="3"/>
    </row>
    <row r="3384" spans="1:19" x14ac:dyDescent="0.25">
      <c r="A3384" t="s">
        <v>9653</v>
      </c>
      <c r="B3384" t="s">
        <v>9654</v>
      </c>
      <c r="C3384" t="s">
        <v>9655</v>
      </c>
      <c r="D3384" t="s">
        <v>23</v>
      </c>
      <c r="E3384">
        <v>3789</v>
      </c>
      <c r="F3384" s="3">
        <v>41006</v>
      </c>
      <c r="H3384" t="s">
        <v>15523</v>
      </c>
      <c r="I3384" t="s">
        <v>18030</v>
      </c>
      <c r="K3384" t="e">
        <v>#N/A</v>
      </c>
      <c r="S3384" s="3"/>
    </row>
    <row r="3385" spans="1:19" x14ac:dyDescent="0.25">
      <c r="A3385" t="s">
        <v>9656</v>
      </c>
      <c r="B3385" t="s">
        <v>9657</v>
      </c>
      <c r="C3385" t="s">
        <v>9658</v>
      </c>
      <c r="D3385" t="s">
        <v>23</v>
      </c>
      <c r="E3385">
        <v>3790</v>
      </c>
      <c r="F3385" s="3">
        <v>41230</v>
      </c>
      <c r="H3385" t="s">
        <v>15523</v>
      </c>
      <c r="I3385" t="s">
        <v>18031</v>
      </c>
      <c r="K3385" t="e">
        <v>#N/A</v>
      </c>
      <c r="S3385" s="3"/>
    </row>
    <row r="3386" spans="1:19" x14ac:dyDescent="0.25">
      <c r="A3386" t="s">
        <v>9659</v>
      </c>
      <c r="B3386" t="s">
        <v>9660</v>
      </c>
      <c r="C3386" t="s">
        <v>9661</v>
      </c>
      <c r="D3386" t="s">
        <v>23</v>
      </c>
      <c r="E3386">
        <v>3792</v>
      </c>
      <c r="F3386" s="3">
        <v>40702</v>
      </c>
      <c r="H3386" t="s">
        <v>15523</v>
      </c>
      <c r="I3386" t="s">
        <v>18032</v>
      </c>
      <c r="K3386" t="e">
        <v>#N/A</v>
      </c>
      <c r="S3386" s="3"/>
    </row>
    <row r="3387" spans="1:19" x14ac:dyDescent="0.25">
      <c r="A3387" t="s">
        <v>9662</v>
      </c>
      <c r="B3387" t="s">
        <v>9663</v>
      </c>
      <c r="C3387" t="s">
        <v>9664</v>
      </c>
      <c r="D3387" t="s">
        <v>23</v>
      </c>
      <c r="E3387">
        <v>3793</v>
      </c>
      <c r="F3387" s="3">
        <v>40702</v>
      </c>
      <c r="H3387" t="s">
        <v>15523</v>
      </c>
      <c r="I3387" t="s">
        <v>18033</v>
      </c>
      <c r="K3387" t="e">
        <v>#N/A</v>
      </c>
      <c r="S3387" s="3"/>
    </row>
    <row r="3388" spans="1:19" x14ac:dyDescent="0.25">
      <c r="A3388" t="s">
        <v>9665</v>
      </c>
      <c r="B3388" t="s">
        <v>9666</v>
      </c>
      <c r="C3388" t="s">
        <v>9667</v>
      </c>
      <c r="D3388" t="s">
        <v>23</v>
      </c>
      <c r="E3388">
        <v>3794</v>
      </c>
      <c r="F3388" s="3">
        <v>41230</v>
      </c>
      <c r="H3388" t="s">
        <v>15523</v>
      </c>
      <c r="I3388" t="s">
        <v>18034</v>
      </c>
      <c r="K3388" t="e">
        <v>#N/A</v>
      </c>
      <c r="S3388" s="3"/>
    </row>
    <row r="3389" spans="1:19" x14ac:dyDescent="0.25">
      <c r="A3389" t="s">
        <v>9668</v>
      </c>
      <c r="B3389" t="s">
        <v>9669</v>
      </c>
      <c r="C3389" t="s">
        <v>9670</v>
      </c>
      <c r="D3389" t="s">
        <v>23</v>
      </c>
      <c r="E3389">
        <v>3795</v>
      </c>
      <c r="F3389" s="3">
        <v>40702</v>
      </c>
      <c r="H3389" t="s">
        <v>15523</v>
      </c>
      <c r="I3389" t="s">
        <v>18035</v>
      </c>
      <c r="K3389" t="e">
        <v>#N/A</v>
      </c>
      <c r="S3389" s="3"/>
    </row>
    <row r="3390" spans="1:19" x14ac:dyDescent="0.25">
      <c r="A3390" t="s">
        <v>9671</v>
      </c>
      <c r="B3390" t="s">
        <v>9672</v>
      </c>
      <c r="C3390" t="s">
        <v>9673</v>
      </c>
      <c r="D3390" t="s">
        <v>23</v>
      </c>
      <c r="E3390">
        <v>3805</v>
      </c>
      <c r="F3390" s="3">
        <v>40702</v>
      </c>
      <c r="H3390" t="s">
        <v>15523</v>
      </c>
      <c r="I3390" t="s">
        <v>18036</v>
      </c>
      <c r="K3390" t="e">
        <v>#N/A</v>
      </c>
      <c r="S3390" s="3"/>
    </row>
    <row r="3391" spans="1:19" x14ac:dyDescent="0.25">
      <c r="A3391" t="s">
        <v>9674</v>
      </c>
      <c r="B3391" t="s">
        <v>9675</v>
      </c>
      <c r="C3391" t="s">
        <v>9676</v>
      </c>
      <c r="D3391" t="s">
        <v>23</v>
      </c>
      <c r="E3391">
        <v>3817</v>
      </c>
      <c r="F3391" s="3">
        <v>40702</v>
      </c>
      <c r="H3391" t="s">
        <v>15523</v>
      </c>
      <c r="I3391" t="s">
        <v>18037</v>
      </c>
      <c r="K3391" t="e">
        <v>#N/A</v>
      </c>
      <c r="S3391" s="3"/>
    </row>
    <row r="3392" spans="1:19" x14ac:dyDescent="0.25">
      <c r="A3392" t="s">
        <v>9677</v>
      </c>
      <c r="B3392" t="s">
        <v>9678</v>
      </c>
      <c r="C3392" t="s">
        <v>9679</v>
      </c>
      <c r="D3392" t="s">
        <v>23</v>
      </c>
      <c r="E3392">
        <v>3831</v>
      </c>
      <c r="F3392" s="3">
        <v>40702</v>
      </c>
      <c r="H3392" t="s">
        <v>15523</v>
      </c>
      <c r="I3392" t="s">
        <v>18038</v>
      </c>
      <c r="K3392" t="e">
        <v>#N/A</v>
      </c>
      <c r="S3392" s="3"/>
    </row>
    <row r="3393" spans="1:19" x14ac:dyDescent="0.25">
      <c r="A3393" t="s">
        <v>9680</v>
      </c>
      <c r="B3393" t="s">
        <v>9681</v>
      </c>
      <c r="C3393" t="s">
        <v>9682</v>
      </c>
      <c r="D3393" t="s">
        <v>23</v>
      </c>
      <c r="E3393">
        <v>5542</v>
      </c>
      <c r="F3393" s="3">
        <v>42385</v>
      </c>
      <c r="H3393" t="s">
        <v>15523</v>
      </c>
      <c r="I3393" t="s">
        <v>18039</v>
      </c>
      <c r="K3393" t="e">
        <v>#N/A</v>
      </c>
      <c r="S3393" s="3"/>
    </row>
    <row r="3394" spans="1:19" x14ac:dyDescent="0.25">
      <c r="A3394" t="s">
        <v>9683</v>
      </c>
      <c r="B3394" t="s">
        <v>9684</v>
      </c>
      <c r="C3394" t="s">
        <v>9685</v>
      </c>
      <c r="D3394" t="s">
        <v>23</v>
      </c>
      <c r="E3394">
        <v>3796</v>
      </c>
      <c r="F3394" s="3">
        <v>40702</v>
      </c>
      <c r="H3394" t="s">
        <v>15523</v>
      </c>
      <c r="I3394" t="s">
        <v>18040</v>
      </c>
      <c r="K3394" t="e">
        <v>#N/A</v>
      </c>
      <c r="S3394" s="3"/>
    </row>
    <row r="3395" spans="1:19" x14ac:dyDescent="0.25">
      <c r="A3395" t="s">
        <v>9686</v>
      </c>
      <c r="B3395" t="s">
        <v>9687</v>
      </c>
      <c r="C3395" t="s">
        <v>9688</v>
      </c>
      <c r="D3395" t="s">
        <v>23</v>
      </c>
      <c r="E3395">
        <v>3797</v>
      </c>
      <c r="F3395" s="3">
        <v>40702</v>
      </c>
      <c r="H3395" t="s">
        <v>15523</v>
      </c>
      <c r="I3395" t="s">
        <v>18041</v>
      </c>
      <c r="K3395" t="e">
        <v>#N/A</v>
      </c>
      <c r="S3395" s="3"/>
    </row>
    <row r="3396" spans="1:19" x14ac:dyDescent="0.25">
      <c r="A3396" t="s">
        <v>9689</v>
      </c>
      <c r="B3396" t="s">
        <v>9690</v>
      </c>
      <c r="C3396" t="s">
        <v>9691</v>
      </c>
      <c r="D3396" t="s">
        <v>23</v>
      </c>
      <c r="E3396">
        <v>3798</v>
      </c>
      <c r="F3396" s="3">
        <v>40702</v>
      </c>
      <c r="H3396" t="s">
        <v>15523</v>
      </c>
      <c r="I3396" t="s">
        <v>18042</v>
      </c>
      <c r="K3396" t="e">
        <v>#N/A</v>
      </c>
      <c r="S3396" s="3"/>
    </row>
    <row r="3397" spans="1:19" x14ac:dyDescent="0.25">
      <c r="A3397" t="s">
        <v>9692</v>
      </c>
      <c r="B3397" t="s">
        <v>9693</v>
      </c>
      <c r="C3397" t="s">
        <v>9694</v>
      </c>
      <c r="D3397" t="s">
        <v>23</v>
      </c>
      <c r="E3397">
        <v>772</v>
      </c>
      <c r="F3397" s="3">
        <v>40702</v>
      </c>
      <c r="H3397" t="s">
        <v>15523</v>
      </c>
      <c r="I3397" t="s">
        <v>18043</v>
      </c>
      <c r="K3397" t="e">
        <v>#N/A</v>
      </c>
      <c r="S3397" s="3"/>
    </row>
    <row r="3398" spans="1:19" x14ac:dyDescent="0.25">
      <c r="A3398" t="s">
        <v>9695</v>
      </c>
      <c r="B3398" t="s">
        <v>9696</v>
      </c>
      <c r="C3398" t="s">
        <v>9697</v>
      </c>
      <c r="D3398" t="s">
        <v>23</v>
      </c>
      <c r="E3398">
        <v>3799</v>
      </c>
      <c r="F3398" s="3">
        <v>40702</v>
      </c>
      <c r="H3398" t="s">
        <v>15523</v>
      </c>
      <c r="I3398" t="s">
        <v>18044</v>
      </c>
      <c r="K3398" t="e">
        <v>#N/A</v>
      </c>
      <c r="S3398" s="3"/>
    </row>
    <row r="3399" spans="1:19" x14ac:dyDescent="0.25">
      <c r="A3399" t="s">
        <v>9698</v>
      </c>
      <c r="B3399" t="s">
        <v>9699</v>
      </c>
      <c r="C3399" t="s">
        <v>9700</v>
      </c>
      <c r="D3399" t="s">
        <v>23</v>
      </c>
      <c r="E3399">
        <v>3800</v>
      </c>
      <c r="F3399" s="3">
        <v>40702</v>
      </c>
      <c r="H3399" t="s">
        <v>15523</v>
      </c>
      <c r="I3399" t="s">
        <v>18045</v>
      </c>
      <c r="K3399" t="e">
        <v>#N/A</v>
      </c>
      <c r="S3399" s="3"/>
    </row>
    <row r="3400" spans="1:19" x14ac:dyDescent="0.25">
      <c r="A3400" t="s">
        <v>9701</v>
      </c>
      <c r="B3400" t="s">
        <v>9702</v>
      </c>
      <c r="C3400" t="s">
        <v>9703</v>
      </c>
      <c r="D3400" t="s">
        <v>23</v>
      </c>
      <c r="E3400">
        <v>773</v>
      </c>
      <c r="F3400" s="3">
        <v>40702</v>
      </c>
      <c r="H3400" t="s">
        <v>15523</v>
      </c>
      <c r="I3400" t="s">
        <v>18046</v>
      </c>
      <c r="K3400" t="e">
        <v>#N/A</v>
      </c>
      <c r="S3400" s="3"/>
    </row>
    <row r="3401" spans="1:19" x14ac:dyDescent="0.25">
      <c r="A3401" t="s">
        <v>9704</v>
      </c>
      <c r="B3401" t="s">
        <v>9705</v>
      </c>
      <c r="C3401" t="s">
        <v>9706</v>
      </c>
      <c r="D3401" t="s">
        <v>23</v>
      </c>
      <c r="E3401">
        <v>5174</v>
      </c>
      <c r="F3401" s="3">
        <v>42035</v>
      </c>
      <c r="H3401" t="s">
        <v>15523</v>
      </c>
      <c r="I3401" t="s">
        <v>18047</v>
      </c>
      <c r="K3401" t="e">
        <v>#N/A</v>
      </c>
      <c r="S3401" s="3"/>
    </row>
    <row r="3402" spans="1:19" x14ac:dyDescent="0.25">
      <c r="A3402" t="s">
        <v>9707</v>
      </c>
      <c r="B3402" t="s">
        <v>9708</v>
      </c>
      <c r="C3402" t="s">
        <v>9709</v>
      </c>
      <c r="D3402" t="s">
        <v>23</v>
      </c>
      <c r="E3402">
        <v>5944</v>
      </c>
      <c r="F3402" s="3">
        <v>43208</v>
      </c>
      <c r="H3402" t="s">
        <v>15523</v>
      </c>
      <c r="I3402" t="s">
        <v>18048</v>
      </c>
      <c r="K3402" t="e">
        <v>#N/A</v>
      </c>
      <c r="S3402" s="3"/>
    </row>
    <row r="3403" spans="1:19" x14ac:dyDescent="0.25">
      <c r="A3403" t="s">
        <v>9710</v>
      </c>
      <c r="B3403" t="s">
        <v>9711</v>
      </c>
      <c r="C3403" t="s">
        <v>9712</v>
      </c>
      <c r="D3403" t="s">
        <v>23</v>
      </c>
      <c r="E3403">
        <v>3801</v>
      </c>
      <c r="F3403" s="3">
        <v>40702</v>
      </c>
      <c r="H3403" t="s">
        <v>15523</v>
      </c>
      <c r="I3403" t="s">
        <v>18049</v>
      </c>
      <c r="K3403" t="e">
        <v>#N/A</v>
      </c>
      <c r="S3403" s="3"/>
    </row>
    <row r="3404" spans="1:19" x14ac:dyDescent="0.25">
      <c r="A3404" t="s">
        <v>9713</v>
      </c>
      <c r="B3404" t="s">
        <v>9714</v>
      </c>
      <c r="C3404" t="s">
        <v>9715</v>
      </c>
      <c r="D3404" t="s">
        <v>23</v>
      </c>
      <c r="E3404">
        <v>3802</v>
      </c>
      <c r="F3404" s="3">
        <v>40702</v>
      </c>
      <c r="H3404" t="s">
        <v>15523</v>
      </c>
      <c r="I3404" t="s">
        <v>18050</v>
      </c>
      <c r="K3404" t="e">
        <v>#N/A</v>
      </c>
      <c r="S3404" s="3"/>
    </row>
    <row r="3405" spans="1:19" x14ac:dyDescent="0.25">
      <c r="A3405" t="s">
        <v>9716</v>
      </c>
      <c r="B3405" t="s">
        <v>9717</v>
      </c>
      <c r="C3405" t="s">
        <v>9718</v>
      </c>
      <c r="D3405" t="s">
        <v>23</v>
      </c>
      <c r="E3405">
        <v>3803</v>
      </c>
      <c r="F3405" s="3">
        <v>40702</v>
      </c>
      <c r="H3405" t="s">
        <v>15523</v>
      </c>
      <c r="I3405" t="s">
        <v>18051</v>
      </c>
      <c r="K3405" t="e">
        <v>#N/A</v>
      </c>
      <c r="S3405" s="3"/>
    </row>
    <row r="3406" spans="1:19" x14ac:dyDescent="0.25">
      <c r="A3406" t="s">
        <v>9719</v>
      </c>
      <c r="B3406" t="s">
        <v>9720</v>
      </c>
      <c r="C3406" t="s">
        <v>9721</v>
      </c>
      <c r="D3406" t="s">
        <v>23</v>
      </c>
      <c r="E3406">
        <v>3804</v>
      </c>
      <c r="F3406" s="3">
        <v>40702</v>
      </c>
      <c r="H3406" t="s">
        <v>15523</v>
      </c>
      <c r="I3406" t="s">
        <v>18052</v>
      </c>
      <c r="K3406" t="e">
        <v>#N/A</v>
      </c>
      <c r="S3406" s="3"/>
    </row>
    <row r="3407" spans="1:19" x14ac:dyDescent="0.25">
      <c r="A3407" t="s">
        <v>9722</v>
      </c>
      <c r="B3407" t="s">
        <v>9723</v>
      </c>
      <c r="C3407" t="s">
        <v>9724</v>
      </c>
      <c r="D3407" t="s">
        <v>23</v>
      </c>
      <c r="E3407">
        <v>3806</v>
      </c>
      <c r="F3407" s="3">
        <v>41230</v>
      </c>
      <c r="H3407" t="s">
        <v>15523</v>
      </c>
      <c r="I3407" t="s">
        <v>18053</v>
      </c>
      <c r="K3407" t="e">
        <v>#N/A</v>
      </c>
      <c r="S3407" s="3"/>
    </row>
    <row r="3408" spans="1:19" x14ac:dyDescent="0.25">
      <c r="A3408" t="s">
        <v>9725</v>
      </c>
      <c r="B3408" t="s">
        <v>9726</v>
      </c>
      <c r="C3408" t="s">
        <v>9727</v>
      </c>
      <c r="D3408" t="s">
        <v>23</v>
      </c>
      <c r="E3408">
        <v>3807</v>
      </c>
      <c r="F3408" s="3">
        <v>40702</v>
      </c>
      <c r="H3408" t="s">
        <v>15523</v>
      </c>
      <c r="I3408" t="s">
        <v>18054</v>
      </c>
      <c r="K3408" t="e">
        <v>#N/A</v>
      </c>
      <c r="S3408" s="3"/>
    </row>
    <row r="3409" spans="1:19" x14ac:dyDescent="0.25">
      <c r="A3409" t="s">
        <v>9728</v>
      </c>
      <c r="B3409" t="s">
        <v>9729</v>
      </c>
      <c r="C3409" t="s">
        <v>9730</v>
      </c>
      <c r="D3409" t="s">
        <v>23</v>
      </c>
      <c r="E3409">
        <v>3808</v>
      </c>
      <c r="F3409" s="3">
        <v>40702</v>
      </c>
      <c r="H3409" t="s">
        <v>15523</v>
      </c>
      <c r="I3409" t="s">
        <v>18055</v>
      </c>
      <c r="K3409" t="e">
        <v>#N/A</v>
      </c>
      <c r="S3409" s="3"/>
    </row>
    <row r="3410" spans="1:19" x14ac:dyDescent="0.25">
      <c r="A3410" t="s">
        <v>9731</v>
      </c>
      <c r="B3410" t="s">
        <v>9732</v>
      </c>
      <c r="C3410" t="s">
        <v>9733</v>
      </c>
      <c r="D3410" t="s">
        <v>23</v>
      </c>
      <c r="E3410">
        <v>3809</v>
      </c>
      <c r="F3410" s="3">
        <v>40702</v>
      </c>
      <c r="H3410" t="s">
        <v>15523</v>
      </c>
      <c r="I3410" t="s">
        <v>18056</v>
      </c>
      <c r="K3410" t="e">
        <v>#N/A</v>
      </c>
      <c r="S3410" s="3"/>
    </row>
    <row r="3411" spans="1:19" x14ac:dyDescent="0.25">
      <c r="A3411" t="s">
        <v>9734</v>
      </c>
      <c r="B3411" t="s">
        <v>9735</v>
      </c>
      <c r="C3411" t="s">
        <v>9736</v>
      </c>
      <c r="D3411" t="s">
        <v>23</v>
      </c>
      <c r="E3411">
        <v>3810</v>
      </c>
      <c r="F3411" s="3">
        <v>40702</v>
      </c>
      <c r="H3411" t="s">
        <v>15523</v>
      </c>
      <c r="I3411" t="s">
        <v>18057</v>
      </c>
      <c r="K3411" t="e">
        <v>#N/A</v>
      </c>
      <c r="S3411" s="3"/>
    </row>
    <row r="3412" spans="1:19" x14ac:dyDescent="0.25">
      <c r="A3412" t="s">
        <v>9737</v>
      </c>
      <c r="B3412" t="s">
        <v>9738</v>
      </c>
      <c r="C3412" t="s">
        <v>9739</v>
      </c>
      <c r="D3412" t="s">
        <v>23</v>
      </c>
      <c r="E3412">
        <v>3811</v>
      </c>
      <c r="F3412" s="3">
        <v>41230</v>
      </c>
      <c r="H3412" t="s">
        <v>15523</v>
      </c>
      <c r="I3412" t="s">
        <v>18058</v>
      </c>
      <c r="K3412" t="e">
        <v>#N/A</v>
      </c>
      <c r="S3412" s="3"/>
    </row>
    <row r="3413" spans="1:19" x14ac:dyDescent="0.25">
      <c r="A3413" t="s">
        <v>9740</v>
      </c>
      <c r="B3413" t="s">
        <v>9741</v>
      </c>
      <c r="C3413" t="s">
        <v>9742</v>
      </c>
      <c r="D3413" t="s">
        <v>23</v>
      </c>
      <c r="E3413">
        <v>3812</v>
      </c>
      <c r="F3413" s="3">
        <v>40702</v>
      </c>
      <c r="H3413" t="s">
        <v>15523</v>
      </c>
      <c r="I3413" t="s">
        <v>18059</v>
      </c>
      <c r="K3413" t="e">
        <v>#N/A</v>
      </c>
      <c r="S3413" s="3"/>
    </row>
    <row r="3414" spans="1:19" x14ac:dyDescent="0.25">
      <c r="A3414" t="s">
        <v>9743</v>
      </c>
      <c r="B3414" t="s">
        <v>9744</v>
      </c>
      <c r="C3414" t="s">
        <v>9745</v>
      </c>
      <c r="D3414" t="s">
        <v>23</v>
      </c>
      <c r="E3414">
        <v>3813</v>
      </c>
      <c r="F3414" s="3">
        <v>40702</v>
      </c>
      <c r="H3414" t="s">
        <v>15523</v>
      </c>
      <c r="I3414" t="s">
        <v>18060</v>
      </c>
      <c r="K3414" t="e">
        <v>#N/A</v>
      </c>
      <c r="S3414" s="3"/>
    </row>
    <row r="3415" spans="1:19" x14ac:dyDescent="0.25">
      <c r="A3415" t="s">
        <v>9746</v>
      </c>
      <c r="B3415" t="s">
        <v>9747</v>
      </c>
      <c r="C3415" t="s">
        <v>9748</v>
      </c>
      <c r="D3415" t="s">
        <v>23</v>
      </c>
      <c r="E3415">
        <v>3814</v>
      </c>
      <c r="F3415" s="3">
        <v>40702</v>
      </c>
      <c r="H3415" t="s">
        <v>15523</v>
      </c>
      <c r="I3415" t="s">
        <v>18061</v>
      </c>
      <c r="K3415" t="e">
        <v>#N/A</v>
      </c>
      <c r="S3415" s="3"/>
    </row>
    <row r="3416" spans="1:19" x14ac:dyDescent="0.25">
      <c r="A3416" t="s">
        <v>9749</v>
      </c>
      <c r="B3416" t="s">
        <v>9750</v>
      </c>
      <c r="C3416" t="s">
        <v>9751</v>
      </c>
      <c r="D3416" t="s">
        <v>23</v>
      </c>
      <c r="E3416">
        <v>3815</v>
      </c>
      <c r="F3416" s="3">
        <v>40702</v>
      </c>
      <c r="H3416" t="s">
        <v>15523</v>
      </c>
      <c r="I3416" t="s">
        <v>18062</v>
      </c>
      <c r="K3416" t="e">
        <v>#N/A</v>
      </c>
      <c r="S3416" s="3"/>
    </row>
    <row r="3417" spans="1:19" x14ac:dyDescent="0.25">
      <c r="A3417" t="s">
        <v>9752</v>
      </c>
      <c r="B3417" t="s">
        <v>9753</v>
      </c>
      <c r="C3417" t="s">
        <v>9754</v>
      </c>
      <c r="D3417" t="s">
        <v>23</v>
      </c>
      <c r="E3417">
        <v>3816</v>
      </c>
      <c r="F3417" s="3">
        <v>40702</v>
      </c>
      <c r="H3417" t="s">
        <v>15523</v>
      </c>
      <c r="I3417" t="s">
        <v>18063</v>
      </c>
      <c r="K3417" t="e">
        <v>#N/A</v>
      </c>
      <c r="S3417" s="3"/>
    </row>
    <row r="3418" spans="1:19" x14ac:dyDescent="0.25">
      <c r="A3418" t="s">
        <v>9755</v>
      </c>
      <c r="B3418" t="s">
        <v>9756</v>
      </c>
      <c r="C3418" t="s">
        <v>9757</v>
      </c>
      <c r="D3418" t="s">
        <v>23</v>
      </c>
      <c r="E3418">
        <v>5245</v>
      </c>
      <c r="F3418" s="3">
        <v>42040</v>
      </c>
      <c r="H3418" t="s">
        <v>15523</v>
      </c>
      <c r="I3418" t="s">
        <v>18064</v>
      </c>
      <c r="K3418" t="e">
        <v>#N/A</v>
      </c>
      <c r="S3418" s="3"/>
    </row>
    <row r="3419" spans="1:19" x14ac:dyDescent="0.25">
      <c r="A3419" t="s">
        <v>9758</v>
      </c>
      <c r="B3419" t="s">
        <v>9759</v>
      </c>
      <c r="C3419" t="s">
        <v>9760</v>
      </c>
      <c r="D3419" t="s">
        <v>23</v>
      </c>
      <c r="E3419">
        <v>3818</v>
      </c>
      <c r="F3419" s="3">
        <v>41456</v>
      </c>
      <c r="H3419" t="s">
        <v>15523</v>
      </c>
      <c r="I3419" t="s">
        <v>18065</v>
      </c>
      <c r="K3419" t="e">
        <v>#N/A</v>
      </c>
      <c r="S3419" s="3"/>
    </row>
    <row r="3420" spans="1:19" x14ac:dyDescent="0.25">
      <c r="A3420" t="s">
        <v>9761</v>
      </c>
      <c r="B3420" t="s">
        <v>9762</v>
      </c>
      <c r="C3420" t="s">
        <v>9763</v>
      </c>
      <c r="D3420" t="s">
        <v>23</v>
      </c>
      <c r="E3420">
        <v>3819</v>
      </c>
      <c r="F3420" s="3">
        <v>41230</v>
      </c>
      <c r="H3420" t="s">
        <v>15523</v>
      </c>
      <c r="I3420" t="s">
        <v>18066</v>
      </c>
      <c r="K3420" t="e">
        <v>#N/A</v>
      </c>
      <c r="S3420" s="3"/>
    </row>
    <row r="3421" spans="1:19" x14ac:dyDescent="0.25">
      <c r="A3421" t="s">
        <v>9764</v>
      </c>
      <c r="B3421" t="s">
        <v>9765</v>
      </c>
      <c r="C3421" t="s">
        <v>9766</v>
      </c>
      <c r="D3421" t="s">
        <v>23</v>
      </c>
      <c r="E3421">
        <v>6003</v>
      </c>
      <c r="F3421" s="3">
        <v>43483</v>
      </c>
      <c r="H3421" t="s">
        <v>15523</v>
      </c>
      <c r="I3421" t="s">
        <v>18067</v>
      </c>
      <c r="K3421" t="e">
        <v>#N/A</v>
      </c>
      <c r="S3421" s="3"/>
    </row>
    <row r="3422" spans="1:19" x14ac:dyDescent="0.25">
      <c r="A3422" t="s">
        <v>9767</v>
      </c>
      <c r="B3422" t="s">
        <v>9768</v>
      </c>
      <c r="C3422" t="s">
        <v>9769</v>
      </c>
      <c r="D3422" t="s">
        <v>23</v>
      </c>
      <c r="E3422">
        <v>3820</v>
      </c>
      <c r="F3422" s="3">
        <v>40702</v>
      </c>
      <c r="H3422" t="s">
        <v>15523</v>
      </c>
      <c r="I3422" t="s">
        <v>18068</v>
      </c>
      <c r="K3422" t="e">
        <v>#N/A</v>
      </c>
      <c r="S3422" s="3"/>
    </row>
    <row r="3423" spans="1:19" x14ac:dyDescent="0.25">
      <c r="A3423" t="s">
        <v>9770</v>
      </c>
      <c r="B3423" t="s">
        <v>9771</v>
      </c>
      <c r="C3423" t="s">
        <v>9772</v>
      </c>
      <c r="D3423" t="s">
        <v>23</v>
      </c>
      <c r="E3423">
        <v>3821</v>
      </c>
      <c r="F3423" s="3">
        <v>41230</v>
      </c>
      <c r="H3423" t="s">
        <v>15523</v>
      </c>
      <c r="I3423" t="s">
        <v>18069</v>
      </c>
      <c r="K3423" t="e">
        <v>#N/A</v>
      </c>
      <c r="S3423" s="3"/>
    </row>
    <row r="3424" spans="1:19" x14ac:dyDescent="0.25">
      <c r="A3424" t="s">
        <v>9773</v>
      </c>
      <c r="B3424" t="s">
        <v>9774</v>
      </c>
      <c r="C3424" t="s">
        <v>9775</v>
      </c>
      <c r="D3424" t="s">
        <v>23</v>
      </c>
      <c r="E3424">
        <v>3822</v>
      </c>
      <c r="F3424" s="3">
        <v>40702</v>
      </c>
      <c r="H3424" t="s">
        <v>15523</v>
      </c>
      <c r="I3424" t="s">
        <v>18070</v>
      </c>
      <c r="K3424" t="e">
        <v>#N/A</v>
      </c>
      <c r="S3424" s="3"/>
    </row>
    <row r="3425" spans="1:19" x14ac:dyDescent="0.25">
      <c r="A3425" t="s">
        <v>9776</v>
      </c>
      <c r="B3425" t="s">
        <v>9777</v>
      </c>
      <c r="C3425" t="s">
        <v>9778</v>
      </c>
      <c r="D3425" t="s">
        <v>23</v>
      </c>
      <c r="E3425">
        <v>2363</v>
      </c>
      <c r="F3425" s="3">
        <v>40702</v>
      </c>
      <c r="H3425" t="s">
        <v>15523</v>
      </c>
      <c r="I3425" t="s">
        <v>18071</v>
      </c>
      <c r="K3425" t="e">
        <v>#N/A</v>
      </c>
      <c r="S3425" s="3"/>
    </row>
    <row r="3426" spans="1:19" x14ac:dyDescent="0.25">
      <c r="A3426" t="s">
        <v>9779</v>
      </c>
      <c r="B3426" t="s">
        <v>9780</v>
      </c>
      <c r="C3426" t="s">
        <v>9781</v>
      </c>
      <c r="D3426" t="s">
        <v>23</v>
      </c>
      <c r="E3426">
        <v>3823</v>
      </c>
      <c r="F3426" s="3">
        <v>40702</v>
      </c>
      <c r="H3426" t="s">
        <v>15523</v>
      </c>
      <c r="I3426" t="s">
        <v>18072</v>
      </c>
      <c r="K3426" t="e">
        <v>#N/A</v>
      </c>
      <c r="S3426" s="3"/>
    </row>
    <row r="3427" spans="1:19" x14ac:dyDescent="0.25">
      <c r="A3427" t="s">
        <v>9782</v>
      </c>
      <c r="B3427" t="s">
        <v>9783</v>
      </c>
      <c r="C3427" t="s">
        <v>9784</v>
      </c>
      <c r="D3427" t="s">
        <v>23</v>
      </c>
      <c r="E3427">
        <v>3824</v>
      </c>
      <c r="F3427" s="3">
        <v>40702</v>
      </c>
      <c r="H3427" t="s">
        <v>15523</v>
      </c>
      <c r="I3427" t="s">
        <v>18073</v>
      </c>
      <c r="K3427" t="e">
        <v>#N/A</v>
      </c>
      <c r="S3427" s="3"/>
    </row>
    <row r="3428" spans="1:19" x14ac:dyDescent="0.25">
      <c r="A3428" t="s">
        <v>9785</v>
      </c>
      <c r="B3428" t="s">
        <v>9786</v>
      </c>
      <c r="C3428" t="s">
        <v>9787</v>
      </c>
      <c r="D3428" t="s">
        <v>23</v>
      </c>
      <c r="E3428">
        <v>3825</v>
      </c>
      <c r="F3428" s="3">
        <v>41041</v>
      </c>
      <c r="H3428" t="s">
        <v>15523</v>
      </c>
      <c r="I3428" t="s">
        <v>18074</v>
      </c>
      <c r="K3428" t="e">
        <v>#N/A</v>
      </c>
      <c r="S3428" s="3"/>
    </row>
    <row r="3429" spans="1:19" x14ac:dyDescent="0.25">
      <c r="A3429" t="s">
        <v>9788</v>
      </c>
      <c r="B3429" t="s">
        <v>9789</v>
      </c>
      <c r="C3429" s="3">
        <v>151456</v>
      </c>
      <c r="D3429" t="s">
        <v>23</v>
      </c>
      <c r="E3429">
        <v>3826</v>
      </c>
      <c r="F3429" s="3">
        <v>40704</v>
      </c>
      <c r="H3429" t="s">
        <v>15523</v>
      </c>
      <c r="I3429" t="s">
        <v>18075</v>
      </c>
      <c r="K3429" t="e">
        <v>#N/A</v>
      </c>
      <c r="P3429" s="3"/>
      <c r="S3429" s="3"/>
    </row>
    <row r="3430" spans="1:19" x14ac:dyDescent="0.25">
      <c r="A3430" t="s">
        <v>9791</v>
      </c>
      <c r="B3430" t="s">
        <v>9792</v>
      </c>
      <c r="C3430" t="s">
        <v>9793</v>
      </c>
      <c r="D3430" t="s">
        <v>23</v>
      </c>
      <c r="E3430">
        <v>3827</v>
      </c>
      <c r="F3430" s="3">
        <v>40702</v>
      </c>
      <c r="H3430" t="s">
        <v>15523</v>
      </c>
      <c r="I3430" t="s">
        <v>18076</v>
      </c>
      <c r="K3430" t="e">
        <v>#N/A</v>
      </c>
      <c r="S3430" s="3"/>
    </row>
    <row r="3431" spans="1:19" x14ac:dyDescent="0.25">
      <c r="A3431" t="s">
        <v>9794</v>
      </c>
      <c r="B3431" t="s">
        <v>9795</v>
      </c>
      <c r="C3431" t="s">
        <v>9796</v>
      </c>
      <c r="D3431" t="s">
        <v>23</v>
      </c>
      <c r="E3431">
        <v>3828</v>
      </c>
      <c r="F3431" s="3">
        <v>41006</v>
      </c>
      <c r="H3431" t="s">
        <v>15523</v>
      </c>
      <c r="I3431" t="s">
        <v>18077</v>
      </c>
      <c r="K3431" t="e">
        <v>#N/A</v>
      </c>
      <c r="S3431" s="3"/>
    </row>
    <row r="3432" spans="1:19" x14ac:dyDescent="0.25">
      <c r="A3432" t="s">
        <v>9797</v>
      </c>
      <c r="B3432" t="s">
        <v>9798</v>
      </c>
      <c r="C3432" t="s">
        <v>9799</v>
      </c>
      <c r="D3432" t="s">
        <v>23</v>
      </c>
      <c r="E3432">
        <v>3829</v>
      </c>
      <c r="F3432" s="3">
        <v>40702</v>
      </c>
      <c r="H3432" t="s">
        <v>15523</v>
      </c>
      <c r="I3432" t="s">
        <v>18078</v>
      </c>
      <c r="K3432" t="e">
        <v>#N/A</v>
      </c>
      <c r="S3432" s="3"/>
    </row>
    <row r="3433" spans="1:19" x14ac:dyDescent="0.25">
      <c r="A3433" t="s">
        <v>9800</v>
      </c>
      <c r="B3433" t="s">
        <v>9801</v>
      </c>
      <c r="C3433" t="s">
        <v>9802</v>
      </c>
      <c r="D3433" t="s">
        <v>23</v>
      </c>
      <c r="E3433">
        <v>3830</v>
      </c>
      <c r="F3433" s="3">
        <v>40702</v>
      </c>
      <c r="H3433" t="s">
        <v>15523</v>
      </c>
      <c r="I3433" t="s">
        <v>18079</v>
      </c>
      <c r="K3433" t="e">
        <v>#N/A</v>
      </c>
      <c r="S3433" s="3"/>
    </row>
    <row r="3434" spans="1:19" x14ac:dyDescent="0.25">
      <c r="A3434" t="s">
        <v>9803</v>
      </c>
      <c r="B3434" t="s">
        <v>9804</v>
      </c>
      <c r="C3434" t="s">
        <v>9805</v>
      </c>
      <c r="D3434" t="s">
        <v>23</v>
      </c>
      <c r="E3434">
        <v>5979</v>
      </c>
      <c r="F3434" s="3">
        <v>43375</v>
      </c>
      <c r="H3434" t="s">
        <v>15523</v>
      </c>
      <c r="I3434" t="s">
        <v>18080</v>
      </c>
      <c r="K3434" t="e">
        <v>#N/A</v>
      </c>
      <c r="S3434" s="3"/>
    </row>
    <row r="3435" spans="1:19" x14ac:dyDescent="0.25">
      <c r="A3435" t="s">
        <v>9806</v>
      </c>
      <c r="B3435" t="s">
        <v>9807</v>
      </c>
      <c r="C3435" t="s">
        <v>9808</v>
      </c>
      <c r="D3435" t="s">
        <v>23</v>
      </c>
      <c r="E3435">
        <v>2305</v>
      </c>
      <c r="F3435" s="3">
        <v>40702</v>
      </c>
      <c r="H3435" t="s">
        <v>15523</v>
      </c>
      <c r="I3435" t="s">
        <v>18081</v>
      </c>
      <c r="K3435" t="e">
        <v>#N/A</v>
      </c>
      <c r="S3435" s="3"/>
    </row>
    <row r="3436" spans="1:19" x14ac:dyDescent="0.25">
      <c r="A3436" t="s">
        <v>9809</v>
      </c>
      <c r="B3436" t="s">
        <v>9810</v>
      </c>
      <c r="C3436" t="s">
        <v>9811</v>
      </c>
      <c r="D3436" t="s">
        <v>23</v>
      </c>
      <c r="E3436">
        <v>3832</v>
      </c>
      <c r="F3436" s="3">
        <v>41230</v>
      </c>
      <c r="H3436" t="s">
        <v>15523</v>
      </c>
      <c r="I3436" t="s">
        <v>18082</v>
      </c>
      <c r="K3436" t="e">
        <v>#N/A</v>
      </c>
      <c r="S3436" s="3"/>
    </row>
    <row r="3437" spans="1:19" x14ac:dyDescent="0.25">
      <c r="A3437" t="s">
        <v>9812</v>
      </c>
      <c r="B3437" t="s">
        <v>9813</v>
      </c>
      <c r="C3437" t="s">
        <v>9814</v>
      </c>
      <c r="D3437" t="s">
        <v>23</v>
      </c>
      <c r="E3437">
        <v>5078</v>
      </c>
      <c r="F3437" s="3">
        <v>41683</v>
      </c>
      <c r="H3437" t="s">
        <v>15523</v>
      </c>
      <c r="I3437" t="s">
        <v>18083</v>
      </c>
      <c r="K3437" t="e">
        <v>#N/A</v>
      </c>
      <c r="S3437" s="3"/>
    </row>
    <row r="3438" spans="1:19" x14ac:dyDescent="0.25">
      <c r="A3438" t="s">
        <v>9815</v>
      </c>
      <c r="B3438" t="s">
        <v>9816</v>
      </c>
      <c r="C3438" t="s">
        <v>9817</v>
      </c>
      <c r="D3438" t="s">
        <v>23</v>
      </c>
      <c r="E3438">
        <v>783</v>
      </c>
      <c r="F3438" s="3">
        <v>40702</v>
      </c>
      <c r="H3438" t="s">
        <v>15523</v>
      </c>
      <c r="I3438" t="s">
        <v>18084</v>
      </c>
      <c r="K3438" t="e">
        <v>#N/A</v>
      </c>
      <c r="S3438" s="3"/>
    </row>
    <row r="3439" spans="1:19" x14ac:dyDescent="0.25">
      <c r="A3439" t="s">
        <v>9818</v>
      </c>
      <c r="B3439" t="s">
        <v>9819</v>
      </c>
      <c r="C3439" t="s">
        <v>9820</v>
      </c>
      <c r="D3439" t="s">
        <v>23</v>
      </c>
      <c r="E3439">
        <v>3835</v>
      </c>
      <c r="F3439" s="3">
        <v>40702</v>
      </c>
      <c r="H3439" t="s">
        <v>15523</v>
      </c>
      <c r="I3439" t="s">
        <v>18085</v>
      </c>
      <c r="K3439" t="e">
        <v>#N/A</v>
      </c>
      <c r="S3439" s="3"/>
    </row>
    <row r="3440" spans="1:19" x14ac:dyDescent="0.25">
      <c r="A3440" t="s">
        <v>9821</v>
      </c>
      <c r="B3440" t="s">
        <v>9822</v>
      </c>
      <c r="C3440" t="s">
        <v>9823</v>
      </c>
      <c r="D3440" t="s">
        <v>23</v>
      </c>
      <c r="E3440">
        <v>784</v>
      </c>
      <c r="F3440" s="3">
        <v>40702</v>
      </c>
      <c r="H3440" t="s">
        <v>15523</v>
      </c>
      <c r="I3440" t="s">
        <v>18086</v>
      </c>
      <c r="K3440" t="e">
        <v>#N/A</v>
      </c>
      <c r="S3440" s="3"/>
    </row>
    <row r="3441" spans="1:19" x14ac:dyDescent="0.25">
      <c r="A3441" t="s">
        <v>9824</v>
      </c>
      <c r="B3441" t="s">
        <v>9825</v>
      </c>
      <c r="C3441" s="3">
        <v>251417</v>
      </c>
      <c r="D3441" t="s">
        <v>23</v>
      </c>
      <c r="E3441">
        <v>3841</v>
      </c>
      <c r="F3441" s="3">
        <v>40704</v>
      </c>
      <c r="H3441" t="s">
        <v>15523</v>
      </c>
      <c r="I3441" t="s">
        <v>18087</v>
      </c>
      <c r="K3441" t="e">
        <v>#N/A</v>
      </c>
      <c r="P3441" s="3"/>
      <c r="S3441" s="3"/>
    </row>
    <row r="3442" spans="1:19" x14ac:dyDescent="0.25">
      <c r="A3442" t="s">
        <v>9827</v>
      </c>
      <c r="B3442" t="s">
        <v>9828</v>
      </c>
      <c r="C3442" t="s">
        <v>9829</v>
      </c>
      <c r="D3442" t="s">
        <v>23</v>
      </c>
      <c r="E3442">
        <v>3836</v>
      </c>
      <c r="F3442" s="3">
        <v>40702</v>
      </c>
      <c r="H3442" t="s">
        <v>15523</v>
      </c>
      <c r="I3442" t="s">
        <v>18088</v>
      </c>
      <c r="K3442" t="e">
        <v>#N/A</v>
      </c>
      <c r="S3442" s="3"/>
    </row>
    <row r="3443" spans="1:19" x14ac:dyDescent="0.25">
      <c r="A3443" t="s">
        <v>9830</v>
      </c>
      <c r="B3443" t="s">
        <v>9831</v>
      </c>
      <c r="C3443" t="s">
        <v>9832</v>
      </c>
      <c r="D3443" t="s">
        <v>23</v>
      </c>
      <c r="E3443">
        <v>5239</v>
      </c>
      <c r="F3443" s="3">
        <v>42035</v>
      </c>
      <c r="H3443" t="s">
        <v>15523</v>
      </c>
      <c r="I3443" t="s">
        <v>18089</v>
      </c>
      <c r="K3443" t="e">
        <v>#N/A</v>
      </c>
      <c r="S3443" s="3"/>
    </row>
    <row r="3444" spans="1:19" x14ac:dyDescent="0.25">
      <c r="A3444" t="s">
        <v>9833</v>
      </c>
      <c r="B3444" t="s">
        <v>9834</v>
      </c>
      <c r="C3444" t="s">
        <v>9835</v>
      </c>
      <c r="D3444" t="s">
        <v>23</v>
      </c>
      <c r="E3444">
        <v>3837</v>
      </c>
      <c r="F3444" s="3">
        <v>40702</v>
      </c>
      <c r="H3444" t="s">
        <v>15523</v>
      </c>
      <c r="I3444" t="s">
        <v>18090</v>
      </c>
      <c r="K3444" t="e">
        <v>#N/A</v>
      </c>
      <c r="S3444" s="3"/>
    </row>
    <row r="3445" spans="1:19" x14ac:dyDescent="0.25">
      <c r="A3445" t="s">
        <v>9836</v>
      </c>
      <c r="B3445" t="s">
        <v>9837</v>
      </c>
      <c r="C3445" t="s">
        <v>9838</v>
      </c>
      <c r="D3445" t="s">
        <v>23</v>
      </c>
      <c r="E3445">
        <v>3838</v>
      </c>
      <c r="F3445" s="3">
        <v>40702</v>
      </c>
      <c r="H3445" t="s">
        <v>15523</v>
      </c>
      <c r="I3445" t="s">
        <v>18091</v>
      </c>
      <c r="K3445" t="e">
        <v>#N/A</v>
      </c>
      <c r="S3445" s="3"/>
    </row>
    <row r="3446" spans="1:19" x14ac:dyDescent="0.25">
      <c r="A3446" t="s">
        <v>9839</v>
      </c>
      <c r="B3446" t="s">
        <v>9840</v>
      </c>
      <c r="C3446" t="s">
        <v>9841</v>
      </c>
      <c r="D3446" t="s">
        <v>23</v>
      </c>
      <c r="E3446">
        <v>786</v>
      </c>
      <c r="F3446" s="3">
        <v>40702</v>
      </c>
      <c r="H3446" t="s">
        <v>15523</v>
      </c>
      <c r="I3446" t="s">
        <v>18092</v>
      </c>
      <c r="K3446" t="e">
        <v>#N/A</v>
      </c>
      <c r="S3446" s="3"/>
    </row>
    <row r="3447" spans="1:19" x14ac:dyDescent="0.25">
      <c r="A3447" t="s">
        <v>9842</v>
      </c>
      <c r="B3447" t="s">
        <v>9843</v>
      </c>
      <c r="C3447" s="3">
        <v>251386</v>
      </c>
      <c r="D3447" t="s">
        <v>23</v>
      </c>
      <c r="E3447">
        <v>3840</v>
      </c>
      <c r="F3447" s="3">
        <v>40704</v>
      </c>
      <c r="H3447" t="s">
        <v>15523</v>
      </c>
      <c r="I3447" t="s">
        <v>18093</v>
      </c>
      <c r="K3447" t="e">
        <v>#N/A</v>
      </c>
      <c r="P3447" s="3"/>
      <c r="S3447" s="3"/>
    </row>
    <row r="3448" spans="1:19" x14ac:dyDescent="0.25">
      <c r="A3448" t="s">
        <v>9845</v>
      </c>
      <c r="B3448" t="s">
        <v>9846</v>
      </c>
      <c r="C3448" t="s">
        <v>9847</v>
      </c>
      <c r="D3448" t="s">
        <v>23</v>
      </c>
      <c r="E3448">
        <v>2456</v>
      </c>
      <c r="F3448" s="3">
        <v>40702</v>
      </c>
      <c r="H3448" t="s">
        <v>15523</v>
      </c>
      <c r="I3448" t="s">
        <v>18094</v>
      </c>
      <c r="K3448" t="e">
        <v>#N/A</v>
      </c>
      <c r="S3448" s="3"/>
    </row>
    <row r="3449" spans="1:19" x14ac:dyDescent="0.25">
      <c r="A3449" t="s">
        <v>9848</v>
      </c>
      <c r="B3449" t="s">
        <v>9849</v>
      </c>
      <c r="C3449" t="s">
        <v>9850</v>
      </c>
      <c r="D3449" t="s">
        <v>23</v>
      </c>
      <c r="E3449">
        <v>3842</v>
      </c>
      <c r="F3449" s="3">
        <v>40856</v>
      </c>
      <c r="H3449" t="s">
        <v>15523</v>
      </c>
      <c r="I3449" t="s">
        <v>18095</v>
      </c>
      <c r="K3449" t="e">
        <v>#N/A</v>
      </c>
      <c r="S3449" s="3"/>
    </row>
    <row r="3450" spans="1:19" x14ac:dyDescent="0.25">
      <c r="A3450" t="s">
        <v>9851</v>
      </c>
      <c r="B3450" t="s">
        <v>9852</v>
      </c>
      <c r="C3450" t="s">
        <v>9853</v>
      </c>
      <c r="D3450" t="s">
        <v>23</v>
      </c>
      <c r="E3450">
        <v>793</v>
      </c>
      <c r="F3450" s="3">
        <v>40702</v>
      </c>
      <c r="H3450" t="s">
        <v>15523</v>
      </c>
      <c r="I3450" t="s">
        <v>18096</v>
      </c>
      <c r="K3450" t="e">
        <v>#N/A</v>
      </c>
      <c r="S3450" s="3"/>
    </row>
    <row r="3451" spans="1:19" x14ac:dyDescent="0.25">
      <c r="A3451" t="s">
        <v>9854</v>
      </c>
      <c r="B3451" t="s">
        <v>9855</v>
      </c>
      <c r="C3451" t="s">
        <v>9856</v>
      </c>
      <c r="D3451" t="s">
        <v>23</v>
      </c>
      <c r="E3451">
        <v>3843</v>
      </c>
      <c r="F3451" s="3">
        <v>40702</v>
      </c>
      <c r="H3451" t="s">
        <v>15523</v>
      </c>
      <c r="I3451" t="s">
        <v>18097</v>
      </c>
      <c r="K3451" t="e">
        <v>#N/A</v>
      </c>
      <c r="S3451" s="3"/>
    </row>
    <row r="3452" spans="1:19" x14ac:dyDescent="0.25">
      <c r="A3452" t="s">
        <v>9857</v>
      </c>
      <c r="B3452" t="s">
        <v>9858</v>
      </c>
      <c r="C3452" t="s">
        <v>9859</v>
      </c>
      <c r="D3452" t="s">
        <v>23</v>
      </c>
      <c r="E3452">
        <v>2515</v>
      </c>
      <c r="F3452" s="3">
        <v>40702</v>
      </c>
      <c r="H3452" t="s">
        <v>15523</v>
      </c>
      <c r="I3452" t="s">
        <v>18098</v>
      </c>
      <c r="K3452" t="e">
        <v>#N/A</v>
      </c>
      <c r="S3452" s="3"/>
    </row>
    <row r="3453" spans="1:19" x14ac:dyDescent="0.25">
      <c r="A3453" t="s">
        <v>9860</v>
      </c>
      <c r="B3453" t="s">
        <v>9861</v>
      </c>
      <c r="C3453" t="s">
        <v>9862</v>
      </c>
      <c r="D3453" t="s">
        <v>23</v>
      </c>
      <c r="E3453">
        <v>787</v>
      </c>
      <c r="F3453" s="3">
        <v>40702</v>
      </c>
      <c r="H3453" t="s">
        <v>15523</v>
      </c>
      <c r="I3453" t="s">
        <v>18099</v>
      </c>
      <c r="K3453" t="e">
        <v>#N/A</v>
      </c>
      <c r="S3453" s="3"/>
    </row>
    <row r="3454" spans="1:19" x14ac:dyDescent="0.25">
      <c r="A3454" t="s">
        <v>9863</v>
      </c>
      <c r="B3454" t="s">
        <v>9864</v>
      </c>
      <c r="C3454" t="s">
        <v>9865</v>
      </c>
      <c r="D3454" t="s">
        <v>23</v>
      </c>
      <c r="E3454">
        <v>3844</v>
      </c>
      <c r="F3454" s="3">
        <v>40702</v>
      </c>
      <c r="H3454" t="s">
        <v>15523</v>
      </c>
      <c r="I3454" t="s">
        <v>18100</v>
      </c>
      <c r="K3454" t="e">
        <v>#N/A</v>
      </c>
      <c r="S3454" s="3"/>
    </row>
    <row r="3455" spans="1:19" x14ac:dyDescent="0.25">
      <c r="A3455" t="s">
        <v>9866</v>
      </c>
      <c r="B3455" t="s">
        <v>9867</v>
      </c>
      <c r="C3455" t="s">
        <v>9868</v>
      </c>
      <c r="D3455" t="s">
        <v>23</v>
      </c>
      <c r="E3455">
        <v>798</v>
      </c>
      <c r="F3455" s="3">
        <v>40702</v>
      </c>
      <c r="H3455" t="s">
        <v>15523</v>
      </c>
      <c r="I3455" t="s">
        <v>18101</v>
      </c>
      <c r="K3455" t="e">
        <v>#N/A</v>
      </c>
      <c r="S3455" s="3"/>
    </row>
    <row r="3456" spans="1:19" x14ac:dyDescent="0.25">
      <c r="A3456" t="s">
        <v>9869</v>
      </c>
      <c r="B3456" t="s">
        <v>9870</v>
      </c>
      <c r="C3456" t="s">
        <v>9871</v>
      </c>
      <c r="D3456" t="s">
        <v>23</v>
      </c>
      <c r="E3456">
        <v>3845</v>
      </c>
      <c r="F3456" s="3">
        <v>40702</v>
      </c>
      <c r="H3456" t="s">
        <v>15523</v>
      </c>
      <c r="I3456" t="s">
        <v>18102</v>
      </c>
      <c r="K3456" t="e">
        <v>#N/A</v>
      </c>
      <c r="S3456" s="3"/>
    </row>
    <row r="3457" spans="1:19" x14ac:dyDescent="0.25">
      <c r="A3457" t="s">
        <v>9872</v>
      </c>
      <c r="B3457" t="s">
        <v>9873</v>
      </c>
      <c r="C3457" t="s">
        <v>9874</v>
      </c>
      <c r="D3457" t="s">
        <v>23</v>
      </c>
      <c r="E3457">
        <v>5246</v>
      </c>
      <c r="F3457" s="3">
        <v>42040</v>
      </c>
      <c r="H3457" t="s">
        <v>15523</v>
      </c>
      <c r="I3457" t="s">
        <v>18103</v>
      </c>
      <c r="K3457" t="e">
        <v>#N/A</v>
      </c>
      <c r="S3457" s="3"/>
    </row>
    <row r="3458" spans="1:19" x14ac:dyDescent="0.25">
      <c r="A3458" t="s">
        <v>9875</v>
      </c>
      <c r="B3458" t="s">
        <v>9876</v>
      </c>
      <c r="C3458" t="s">
        <v>9877</v>
      </c>
      <c r="D3458" t="s">
        <v>23</v>
      </c>
      <c r="E3458">
        <v>3849</v>
      </c>
      <c r="F3458" s="3">
        <v>40702</v>
      </c>
      <c r="H3458" t="s">
        <v>15523</v>
      </c>
      <c r="I3458" t="s">
        <v>18104</v>
      </c>
      <c r="K3458" t="e">
        <v>#N/A</v>
      </c>
      <c r="S3458" s="3"/>
    </row>
    <row r="3459" spans="1:19" x14ac:dyDescent="0.25">
      <c r="A3459" t="s">
        <v>9878</v>
      </c>
      <c r="B3459" t="s">
        <v>9879</v>
      </c>
      <c r="C3459" t="s">
        <v>9880</v>
      </c>
      <c r="D3459" t="s">
        <v>23</v>
      </c>
      <c r="E3459">
        <v>3850</v>
      </c>
      <c r="F3459" s="3">
        <v>40702</v>
      </c>
      <c r="H3459" t="s">
        <v>15523</v>
      </c>
      <c r="I3459" t="s">
        <v>18105</v>
      </c>
      <c r="K3459" t="e">
        <v>#N/A</v>
      </c>
      <c r="S3459" s="3"/>
    </row>
    <row r="3460" spans="1:19" x14ac:dyDescent="0.25">
      <c r="A3460" t="s">
        <v>9881</v>
      </c>
      <c r="B3460" t="s">
        <v>9882</v>
      </c>
      <c r="C3460" t="s">
        <v>9883</v>
      </c>
      <c r="D3460" t="s">
        <v>23</v>
      </c>
      <c r="E3460">
        <v>3851</v>
      </c>
      <c r="F3460" s="3">
        <v>40702</v>
      </c>
      <c r="H3460" t="s">
        <v>15523</v>
      </c>
      <c r="I3460" t="s">
        <v>18106</v>
      </c>
      <c r="K3460" t="e">
        <v>#N/A</v>
      </c>
      <c r="S3460" s="3"/>
    </row>
    <row r="3461" spans="1:19" x14ac:dyDescent="0.25">
      <c r="A3461" t="s">
        <v>9884</v>
      </c>
      <c r="B3461" t="s">
        <v>9885</v>
      </c>
      <c r="C3461" t="s">
        <v>9886</v>
      </c>
      <c r="D3461" t="s">
        <v>23</v>
      </c>
      <c r="E3461">
        <v>811</v>
      </c>
      <c r="F3461" s="3">
        <v>40702</v>
      </c>
      <c r="H3461" t="s">
        <v>15523</v>
      </c>
      <c r="I3461" t="s">
        <v>18107</v>
      </c>
      <c r="K3461" t="e">
        <v>#N/A</v>
      </c>
      <c r="S3461" s="3"/>
    </row>
    <row r="3462" spans="1:19" x14ac:dyDescent="0.25">
      <c r="A3462" t="s">
        <v>9887</v>
      </c>
      <c r="B3462" t="s">
        <v>9888</v>
      </c>
      <c r="C3462" t="s">
        <v>9889</v>
      </c>
      <c r="D3462" t="s">
        <v>23</v>
      </c>
      <c r="E3462">
        <v>809</v>
      </c>
      <c r="F3462" s="3">
        <v>40702</v>
      </c>
      <c r="H3462" t="s">
        <v>15523</v>
      </c>
      <c r="I3462" t="s">
        <v>18108</v>
      </c>
      <c r="K3462" t="e">
        <v>#N/A</v>
      </c>
      <c r="S3462" s="3"/>
    </row>
    <row r="3463" spans="1:19" x14ac:dyDescent="0.25">
      <c r="A3463" t="s">
        <v>9890</v>
      </c>
      <c r="B3463" t="s">
        <v>9891</v>
      </c>
      <c r="C3463" t="s">
        <v>9892</v>
      </c>
      <c r="D3463" t="s">
        <v>23</v>
      </c>
      <c r="E3463">
        <v>3853</v>
      </c>
      <c r="F3463" s="3">
        <v>40702</v>
      </c>
      <c r="H3463" t="s">
        <v>15523</v>
      </c>
      <c r="I3463" t="s">
        <v>18109</v>
      </c>
      <c r="K3463" t="e">
        <v>#N/A</v>
      </c>
      <c r="S3463" s="3"/>
    </row>
    <row r="3464" spans="1:19" x14ac:dyDescent="0.25">
      <c r="A3464" t="s">
        <v>9893</v>
      </c>
      <c r="B3464" t="s">
        <v>9894</v>
      </c>
      <c r="C3464" t="s">
        <v>9895</v>
      </c>
      <c r="D3464" t="s">
        <v>23</v>
      </c>
      <c r="E3464">
        <v>3854</v>
      </c>
      <c r="F3464" s="3">
        <v>40702</v>
      </c>
      <c r="H3464" t="s">
        <v>15523</v>
      </c>
      <c r="I3464" t="s">
        <v>18110</v>
      </c>
      <c r="K3464" t="e">
        <v>#N/A</v>
      </c>
      <c r="S3464" s="3"/>
    </row>
    <row r="3465" spans="1:19" x14ac:dyDescent="0.25">
      <c r="A3465" t="s">
        <v>9896</v>
      </c>
      <c r="B3465" t="s">
        <v>9897</v>
      </c>
      <c r="C3465" t="s">
        <v>9898</v>
      </c>
      <c r="D3465" t="s">
        <v>23</v>
      </c>
      <c r="E3465">
        <v>810</v>
      </c>
      <c r="F3465" s="3">
        <v>40702</v>
      </c>
      <c r="H3465" t="s">
        <v>15523</v>
      </c>
      <c r="I3465" t="s">
        <v>18111</v>
      </c>
      <c r="K3465" t="e">
        <v>#N/A</v>
      </c>
      <c r="S3465" s="3"/>
    </row>
    <row r="3466" spans="1:19" x14ac:dyDescent="0.25">
      <c r="A3466" t="s">
        <v>9899</v>
      </c>
      <c r="B3466" t="s">
        <v>9900</v>
      </c>
      <c r="C3466" t="s">
        <v>9901</v>
      </c>
      <c r="D3466" t="s">
        <v>23</v>
      </c>
      <c r="E3466">
        <v>3855</v>
      </c>
      <c r="F3466" s="3">
        <v>40702</v>
      </c>
      <c r="H3466" t="s">
        <v>15523</v>
      </c>
      <c r="I3466" t="s">
        <v>18112</v>
      </c>
      <c r="K3466" t="e">
        <v>#N/A</v>
      </c>
      <c r="S3466" s="3"/>
    </row>
    <row r="3467" spans="1:19" x14ac:dyDescent="0.25">
      <c r="A3467" t="s">
        <v>9902</v>
      </c>
      <c r="B3467" t="s">
        <v>9903</v>
      </c>
      <c r="C3467" t="s">
        <v>9904</v>
      </c>
      <c r="D3467" t="s">
        <v>23</v>
      </c>
      <c r="E3467">
        <v>5516</v>
      </c>
      <c r="F3467" s="3">
        <v>42294</v>
      </c>
      <c r="H3467" t="s">
        <v>15523</v>
      </c>
      <c r="I3467" t="s">
        <v>18113</v>
      </c>
      <c r="K3467" t="e">
        <v>#N/A</v>
      </c>
      <c r="S3467" s="3"/>
    </row>
    <row r="3468" spans="1:19" x14ac:dyDescent="0.25">
      <c r="A3468" t="s">
        <v>9905</v>
      </c>
      <c r="B3468" t="s">
        <v>9906</v>
      </c>
      <c r="C3468" t="s">
        <v>9907</v>
      </c>
      <c r="D3468" t="s">
        <v>23</v>
      </c>
      <c r="E3468">
        <v>3856</v>
      </c>
      <c r="F3468" s="3">
        <v>40702</v>
      </c>
      <c r="H3468" t="s">
        <v>15523</v>
      </c>
      <c r="I3468" t="s">
        <v>18114</v>
      </c>
      <c r="K3468" t="e">
        <v>#N/A</v>
      </c>
      <c r="S3468" s="3"/>
    </row>
    <row r="3469" spans="1:19" x14ac:dyDescent="0.25">
      <c r="A3469" t="s">
        <v>9908</v>
      </c>
      <c r="B3469" t="s">
        <v>9909</v>
      </c>
      <c r="C3469" t="s">
        <v>9910</v>
      </c>
      <c r="D3469" t="s">
        <v>23</v>
      </c>
      <c r="E3469">
        <v>3857</v>
      </c>
      <c r="F3469" s="3">
        <v>40702</v>
      </c>
      <c r="H3469" t="s">
        <v>15523</v>
      </c>
      <c r="I3469" t="s">
        <v>18115</v>
      </c>
      <c r="K3469" t="e">
        <v>#N/A</v>
      </c>
      <c r="S3469" s="3"/>
    </row>
    <row r="3470" spans="1:19" x14ac:dyDescent="0.25">
      <c r="A3470" t="s">
        <v>9911</v>
      </c>
      <c r="B3470" t="s">
        <v>9912</v>
      </c>
      <c r="C3470" t="s">
        <v>9913</v>
      </c>
      <c r="D3470" t="s">
        <v>23</v>
      </c>
      <c r="E3470">
        <v>6061</v>
      </c>
      <c r="F3470" s="3">
        <v>43781</v>
      </c>
      <c r="H3470" t="s">
        <v>15523</v>
      </c>
      <c r="I3470" t="s">
        <v>18116</v>
      </c>
      <c r="K3470" t="e">
        <v>#N/A</v>
      </c>
      <c r="S3470" s="3"/>
    </row>
    <row r="3471" spans="1:19" x14ac:dyDescent="0.25">
      <c r="A3471" t="s">
        <v>9914</v>
      </c>
      <c r="B3471" t="s">
        <v>9915</v>
      </c>
      <c r="C3471" t="s">
        <v>9916</v>
      </c>
      <c r="D3471" t="s">
        <v>23</v>
      </c>
      <c r="E3471">
        <v>3861</v>
      </c>
      <c r="F3471" s="3">
        <v>40702</v>
      </c>
      <c r="H3471" t="s">
        <v>15523</v>
      </c>
      <c r="I3471" t="s">
        <v>18117</v>
      </c>
      <c r="K3471" t="e">
        <v>#N/A</v>
      </c>
      <c r="S3471" s="3"/>
    </row>
    <row r="3472" spans="1:19" x14ac:dyDescent="0.25">
      <c r="A3472" t="s">
        <v>9917</v>
      </c>
      <c r="B3472" t="s">
        <v>9918</v>
      </c>
      <c r="C3472" t="s">
        <v>9919</v>
      </c>
      <c r="D3472" t="s">
        <v>23</v>
      </c>
      <c r="E3472">
        <v>3862</v>
      </c>
      <c r="F3472" s="3">
        <v>40702</v>
      </c>
      <c r="H3472" t="s">
        <v>15523</v>
      </c>
      <c r="I3472" t="s">
        <v>18118</v>
      </c>
      <c r="K3472" t="e">
        <v>#N/A</v>
      </c>
      <c r="S3472" s="3"/>
    </row>
    <row r="3473" spans="1:19" x14ac:dyDescent="0.25">
      <c r="A3473" t="s">
        <v>9920</v>
      </c>
      <c r="B3473" t="s">
        <v>9921</v>
      </c>
      <c r="C3473" t="s">
        <v>9922</v>
      </c>
      <c r="D3473" t="s">
        <v>23</v>
      </c>
      <c r="E3473">
        <v>5271</v>
      </c>
      <c r="F3473" s="3">
        <v>42055</v>
      </c>
      <c r="H3473" t="s">
        <v>15523</v>
      </c>
      <c r="I3473" t="s">
        <v>18119</v>
      </c>
      <c r="K3473" t="e">
        <v>#N/A</v>
      </c>
      <c r="S3473" s="3"/>
    </row>
    <row r="3474" spans="1:19" x14ac:dyDescent="0.25">
      <c r="A3474" t="s">
        <v>9923</v>
      </c>
      <c r="B3474" t="s">
        <v>9924</v>
      </c>
      <c r="C3474" t="s">
        <v>9925</v>
      </c>
      <c r="D3474" t="s">
        <v>23</v>
      </c>
      <c r="E3474">
        <v>5272</v>
      </c>
      <c r="F3474" s="3">
        <v>42055</v>
      </c>
      <c r="H3474" t="s">
        <v>15523</v>
      </c>
      <c r="I3474" t="s">
        <v>18120</v>
      </c>
      <c r="K3474" t="e">
        <v>#N/A</v>
      </c>
      <c r="S3474" s="3"/>
    </row>
    <row r="3475" spans="1:19" x14ac:dyDescent="0.25">
      <c r="A3475" t="s">
        <v>9926</v>
      </c>
      <c r="B3475" t="s">
        <v>9927</v>
      </c>
      <c r="C3475" t="s">
        <v>9928</v>
      </c>
      <c r="D3475" t="s">
        <v>23</v>
      </c>
      <c r="E3475">
        <v>5213</v>
      </c>
      <c r="F3475" s="3">
        <v>42035</v>
      </c>
      <c r="H3475" t="s">
        <v>15523</v>
      </c>
      <c r="I3475" t="s">
        <v>18121</v>
      </c>
      <c r="K3475" t="e">
        <v>#N/A</v>
      </c>
      <c r="S3475" s="3"/>
    </row>
    <row r="3476" spans="1:19" x14ac:dyDescent="0.25">
      <c r="A3476" t="s">
        <v>9929</v>
      </c>
      <c r="B3476" t="s">
        <v>9930</v>
      </c>
      <c r="C3476" t="s">
        <v>9931</v>
      </c>
      <c r="D3476" t="s">
        <v>23</v>
      </c>
      <c r="E3476">
        <v>5215</v>
      </c>
      <c r="F3476" s="3">
        <v>42035</v>
      </c>
      <c r="H3476" t="s">
        <v>15523</v>
      </c>
      <c r="I3476" t="s">
        <v>18122</v>
      </c>
      <c r="K3476" t="e">
        <v>#N/A</v>
      </c>
      <c r="S3476" s="3"/>
    </row>
    <row r="3477" spans="1:19" x14ac:dyDescent="0.25">
      <c r="A3477" t="s">
        <v>9932</v>
      </c>
      <c r="B3477" t="s">
        <v>9933</v>
      </c>
      <c r="C3477" t="s">
        <v>9934</v>
      </c>
      <c r="D3477" t="s">
        <v>23</v>
      </c>
      <c r="E3477">
        <v>5305</v>
      </c>
      <c r="F3477" s="3">
        <v>42157</v>
      </c>
      <c r="H3477" t="s">
        <v>15523</v>
      </c>
      <c r="I3477" t="s">
        <v>18123</v>
      </c>
      <c r="K3477" t="e">
        <v>#N/A</v>
      </c>
      <c r="S3477" s="3"/>
    </row>
    <row r="3478" spans="1:19" x14ac:dyDescent="0.25">
      <c r="A3478" t="s">
        <v>9935</v>
      </c>
      <c r="B3478" t="s">
        <v>9936</v>
      </c>
      <c r="C3478" t="s">
        <v>9937</v>
      </c>
      <c r="D3478" t="s">
        <v>23</v>
      </c>
      <c r="E3478">
        <v>2469</v>
      </c>
      <c r="F3478" s="3">
        <v>40702</v>
      </c>
      <c r="H3478" t="s">
        <v>15523</v>
      </c>
      <c r="I3478" t="s">
        <v>18124</v>
      </c>
      <c r="K3478" t="e">
        <v>#N/A</v>
      </c>
      <c r="S3478" s="3"/>
    </row>
    <row r="3479" spans="1:19" x14ac:dyDescent="0.25">
      <c r="A3479" t="s">
        <v>9938</v>
      </c>
      <c r="B3479" t="s">
        <v>9939</v>
      </c>
      <c r="C3479" t="s">
        <v>9940</v>
      </c>
      <c r="D3479" t="s">
        <v>23</v>
      </c>
      <c r="E3479">
        <v>3865</v>
      </c>
      <c r="F3479" s="3">
        <v>40702</v>
      </c>
      <c r="H3479" t="s">
        <v>15523</v>
      </c>
      <c r="I3479" t="s">
        <v>18125</v>
      </c>
      <c r="K3479" t="e">
        <v>#N/A</v>
      </c>
      <c r="S3479" s="3"/>
    </row>
    <row r="3480" spans="1:19" x14ac:dyDescent="0.25">
      <c r="A3480" t="s">
        <v>9941</v>
      </c>
      <c r="B3480" t="s">
        <v>9942</v>
      </c>
      <c r="C3480" t="s">
        <v>9943</v>
      </c>
      <c r="D3480" t="s">
        <v>23</v>
      </c>
      <c r="E3480">
        <v>5306</v>
      </c>
      <c r="F3480" s="3">
        <v>42157</v>
      </c>
      <c r="H3480" t="s">
        <v>15523</v>
      </c>
      <c r="I3480" t="s">
        <v>18126</v>
      </c>
      <c r="K3480" t="e">
        <v>#N/A</v>
      </c>
      <c r="S3480" s="3"/>
    </row>
    <row r="3481" spans="1:19" x14ac:dyDescent="0.25">
      <c r="A3481" t="s">
        <v>9944</v>
      </c>
      <c r="B3481" t="s">
        <v>9945</v>
      </c>
      <c r="C3481" t="s">
        <v>9946</v>
      </c>
      <c r="D3481" t="s">
        <v>23</v>
      </c>
      <c r="E3481">
        <v>5211</v>
      </c>
      <c r="F3481" s="3">
        <v>42035</v>
      </c>
      <c r="H3481" t="s">
        <v>15523</v>
      </c>
      <c r="I3481" t="s">
        <v>18127</v>
      </c>
      <c r="K3481" t="e">
        <v>#N/A</v>
      </c>
      <c r="S3481" s="3"/>
    </row>
    <row r="3482" spans="1:19" x14ac:dyDescent="0.25">
      <c r="A3482" t="s">
        <v>9947</v>
      </c>
      <c r="B3482" t="s">
        <v>9948</v>
      </c>
      <c r="C3482" t="s">
        <v>9949</v>
      </c>
      <c r="D3482" t="s">
        <v>23</v>
      </c>
      <c r="E3482">
        <v>3872</v>
      </c>
      <c r="F3482" s="3">
        <v>41230</v>
      </c>
      <c r="H3482" t="s">
        <v>15523</v>
      </c>
      <c r="I3482" t="s">
        <v>18128</v>
      </c>
      <c r="K3482" t="e">
        <v>#N/A</v>
      </c>
      <c r="S3482" s="3"/>
    </row>
    <row r="3483" spans="1:19" x14ac:dyDescent="0.25">
      <c r="A3483" t="s">
        <v>9950</v>
      </c>
      <c r="B3483" t="s">
        <v>9951</v>
      </c>
      <c r="C3483" t="s">
        <v>9952</v>
      </c>
      <c r="D3483" t="s">
        <v>23</v>
      </c>
      <c r="E3483">
        <v>3873</v>
      </c>
      <c r="F3483" s="3">
        <v>41230</v>
      </c>
      <c r="H3483" t="s">
        <v>15523</v>
      </c>
      <c r="I3483" t="s">
        <v>18129</v>
      </c>
      <c r="K3483" t="e">
        <v>#N/A</v>
      </c>
      <c r="S3483" s="3"/>
    </row>
    <row r="3484" spans="1:19" x14ac:dyDescent="0.25">
      <c r="A3484" t="s">
        <v>9953</v>
      </c>
      <c r="B3484" t="s">
        <v>9954</v>
      </c>
      <c r="C3484" t="s">
        <v>9955</v>
      </c>
      <c r="D3484" t="s">
        <v>23</v>
      </c>
      <c r="E3484">
        <v>6083</v>
      </c>
      <c r="F3484" s="3">
        <v>43865</v>
      </c>
      <c r="H3484" t="s">
        <v>15523</v>
      </c>
      <c r="I3484" t="s">
        <v>18130</v>
      </c>
      <c r="K3484" t="e">
        <v>#N/A</v>
      </c>
      <c r="S3484" s="3"/>
    </row>
    <row r="3485" spans="1:19" x14ac:dyDescent="0.25">
      <c r="A3485" t="s">
        <v>9956</v>
      </c>
      <c r="B3485" t="s">
        <v>9957</v>
      </c>
      <c r="C3485" t="s">
        <v>9958</v>
      </c>
      <c r="D3485" t="s">
        <v>23</v>
      </c>
      <c r="E3485">
        <v>3876</v>
      </c>
      <c r="F3485" s="3">
        <v>40702</v>
      </c>
      <c r="H3485" t="s">
        <v>15523</v>
      </c>
      <c r="I3485" t="s">
        <v>18131</v>
      </c>
      <c r="K3485" t="e">
        <v>#N/A</v>
      </c>
      <c r="S3485" s="3"/>
    </row>
    <row r="3486" spans="1:19" x14ac:dyDescent="0.25">
      <c r="A3486" t="s">
        <v>9959</v>
      </c>
      <c r="B3486" t="s">
        <v>9960</v>
      </c>
      <c r="C3486" t="s">
        <v>9961</v>
      </c>
      <c r="D3486" t="s">
        <v>23</v>
      </c>
      <c r="E3486">
        <v>3877</v>
      </c>
      <c r="F3486" s="3">
        <v>40702</v>
      </c>
      <c r="H3486" t="s">
        <v>15523</v>
      </c>
      <c r="I3486" t="s">
        <v>18132</v>
      </c>
      <c r="K3486" t="e">
        <v>#N/A</v>
      </c>
      <c r="S3486" s="3"/>
    </row>
    <row r="3487" spans="1:19" x14ac:dyDescent="0.25">
      <c r="A3487" t="s">
        <v>9962</v>
      </c>
      <c r="B3487" t="s">
        <v>9963</v>
      </c>
      <c r="C3487" t="s">
        <v>9964</v>
      </c>
      <c r="D3487" t="s">
        <v>23</v>
      </c>
      <c r="E3487">
        <v>3878</v>
      </c>
      <c r="F3487" s="3">
        <v>40702</v>
      </c>
      <c r="H3487" t="s">
        <v>15523</v>
      </c>
      <c r="I3487" t="s">
        <v>18133</v>
      </c>
      <c r="K3487" t="e">
        <v>#N/A</v>
      </c>
      <c r="S3487" s="3"/>
    </row>
    <row r="3488" spans="1:19" x14ac:dyDescent="0.25">
      <c r="A3488" t="s">
        <v>9965</v>
      </c>
      <c r="B3488" t="s">
        <v>9966</v>
      </c>
      <c r="C3488" t="s">
        <v>9967</v>
      </c>
      <c r="D3488" t="s">
        <v>23</v>
      </c>
      <c r="E3488">
        <v>1858</v>
      </c>
      <c r="F3488" s="3">
        <v>40702</v>
      </c>
      <c r="H3488" t="s">
        <v>15523</v>
      </c>
      <c r="I3488" t="s">
        <v>18134</v>
      </c>
      <c r="K3488" t="e">
        <v>#N/A</v>
      </c>
      <c r="S3488" s="3"/>
    </row>
    <row r="3489" spans="1:19" x14ac:dyDescent="0.25">
      <c r="A3489" t="s">
        <v>9968</v>
      </c>
      <c r="B3489" t="s">
        <v>9969</v>
      </c>
      <c r="C3489" t="s">
        <v>9970</v>
      </c>
      <c r="D3489" t="s">
        <v>23</v>
      </c>
      <c r="E3489">
        <v>3879</v>
      </c>
      <c r="F3489" s="3">
        <v>40702</v>
      </c>
      <c r="H3489" t="s">
        <v>15523</v>
      </c>
      <c r="I3489" t="s">
        <v>18135</v>
      </c>
      <c r="K3489" t="e">
        <v>#N/A</v>
      </c>
      <c r="S3489" s="3"/>
    </row>
    <row r="3490" spans="1:19" x14ac:dyDescent="0.25">
      <c r="A3490" t="s">
        <v>9971</v>
      </c>
      <c r="B3490" t="s">
        <v>9972</v>
      </c>
      <c r="C3490" t="s">
        <v>9973</v>
      </c>
      <c r="D3490" t="s">
        <v>23</v>
      </c>
      <c r="E3490">
        <v>2263</v>
      </c>
      <c r="F3490" s="3">
        <v>40702</v>
      </c>
      <c r="H3490" t="s">
        <v>15523</v>
      </c>
      <c r="I3490" t="s">
        <v>18136</v>
      </c>
      <c r="K3490" t="e">
        <v>#N/A</v>
      </c>
      <c r="S3490" s="3"/>
    </row>
    <row r="3491" spans="1:19" x14ac:dyDescent="0.25">
      <c r="A3491" t="s">
        <v>9974</v>
      </c>
      <c r="B3491" t="s">
        <v>9975</v>
      </c>
      <c r="C3491" t="s">
        <v>9976</v>
      </c>
      <c r="D3491" t="s">
        <v>23</v>
      </c>
      <c r="E3491">
        <v>732</v>
      </c>
      <c r="F3491" s="3">
        <v>40702</v>
      </c>
      <c r="H3491" t="s">
        <v>15523</v>
      </c>
      <c r="I3491" t="s">
        <v>18137</v>
      </c>
      <c r="K3491" t="e">
        <v>#N/A</v>
      </c>
      <c r="S3491" s="3"/>
    </row>
    <row r="3492" spans="1:19" x14ac:dyDescent="0.25">
      <c r="A3492" t="s">
        <v>9977</v>
      </c>
      <c r="B3492" t="s">
        <v>9978</v>
      </c>
      <c r="C3492" t="s">
        <v>9979</v>
      </c>
      <c r="D3492" t="s">
        <v>23</v>
      </c>
      <c r="E3492">
        <v>3880</v>
      </c>
      <c r="F3492" s="3">
        <v>40702</v>
      </c>
      <c r="H3492" t="s">
        <v>15523</v>
      </c>
      <c r="I3492" t="s">
        <v>18138</v>
      </c>
      <c r="K3492" t="e">
        <v>#N/A</v>
      </c>
      <c r="S3492" s="3"/>
    </row>
    <row r="3493" spans="1:19" x14ac:dyDescent="0.25">
      <c r="A3493" t="s">
        <v>9980</v>
      </c>
      <c r="B3493" t="s">
        <v>9981</v>
      </c>
      <c r="C3493" t="s">
        <v>9982</v>
      </c>
      <c r="D3493" t="s">
        <v>23</v>
      </c>
      <c r="E3493">
        <v>3882</v>
      </c>
      <c r="F3493" s="3">
        <v>40702</v>
      </c>
      <c r="H3493" t="s">
        <v>15523</v>
      </c>
      <c r="I3493" t="s">
        <v>18139</v>
      </c>
      <c r="K3493" t="e">
        <v>#N/A</v>
      </c>
      <c r="S3493" s="3"/>
    </row>
    <row r="3494" spans="1:19" x14ac:dyDescent="0.25">
      <c r="A3494" t="s">
        <v>9983</v>
      </c>
      <c r="B3494" t="s">
        <v>9984</v>
      </c>
      <c r="C3494" t="s">
        <v>9985</v>
      </c>
      <c r="D3494" t="s">
        <v>23</v>
      </c>
      <c r="E3494">
        <v>838</v>
      </c>
      <c r="F3494" s="3">
        <v>40702</v>
      </c>
      <c r="H3494" t="s">
        <v>15523</v>
      </c>
      <c r="I3494" t="s">
        <v>18140</v>
      </c>
      <c r="K3494" t="e">
        <v>#N/A</v>
      </c>
      <c r="S3494" s="3"/>
    </row>
    <row r="3495" spans="1:19" x14ac:dyDescent="0.25">
      <c r="A3495" t="s">
        <v>9986</v>
      </c>
      <c r="B3495" t="s">
        <v>9987</v>
      </c>
      <c r="C3495" t="s">
        <v>9988</v>
      </c>
      <c r="D3495" t="s">
        <v>23</v>
      </c>
      <c r="E3495">
        <v>5044</v>
      </c>
      <c r="F3495" s="3">
        <v>41660</v>
      </c>
      <c r="H3495" t="s">
        <v>15523</v>
      </c>
      <c r="I3495" t="s">
        <v>18141</v>
      </c>
      <c r="K3495" t="e">
        <v>#N/A</v>
      </c>
      <c r="S3495" s="3"/>
    </row>
    <row r="3496" spans="1:19" x14ac:dyDescent="0.25">
      <c r="A3496" t="s">
        <v>9989</v>
      </c>
      <c r="B3496" t="s">
        <v>9990</v>
      </c>
      <c r="C3496" t="s">
        <v>9991</v>
      </c>
      <c r="D3496" t="s">
        <v>23</v>
      </c>
      <c r="E3496">
        <v>5045</v>
      </c>
      <c r="F3496" s="3">
        <v>41660</v>
      </c>
      <c r="H3496" t="s">
        <v>15523</v>
      </c>
      <c r="I3496" t="s">
        <v>18142</v>
      </c>
      <c r="K3496" t="e">
        <v>#N/A</v>
      </c>
      <c r="S3496" s="3"/>
    </row>
    <row r="3497" spans="1:19" x14ac:dyDescent="0.25">
      <c r="A3497" t="s">
        <v>9992</v>
      </c>
      <c r="B3497" t="s">
        <v>9993</v>
      </c>
      <c r="C3497" t="s">
        <v>9994</v>
      </c>
      <c r="D3497" t="s">
        <v>23</v>
      </c>
      <c r="E3497">
        <v>840</v>
      </c>
      <c r="F3497" s="3">
        <v>40702</v>
      </c>
      <c r="H3497" t="s">
        <v>15523</v>
      </c>
      <c r="I3497" t="s">
        <v>18143</v>
      </c>
      <c r="K3497" t="e">
        <v>#N/A</v>
      </c>
      <c r="S3497" s="3"/>
    </row>
    <row r="3498" spans="1:19" x14ac:dyDescent="0.25">
      <c r="A3498" t="s">
        <v>9995</v>
      </c>
      <c r="B3498" t="s">
        <v>9996</v>
      </c>
      <c r="C3498" t="s">
        <v>9997</v>
      </c>
      <c r="D3498" t="s">
        <v>23</v>
      </c>
      <c r="E3498">
        <v>3883</v>
      </c>
      <c r="F3498" s="3">
        <v>40702</v>
      </c>
      <c r="H3498" t="s">
        <v>15523</v>
      </c>
      <c r="I3498" t="s">
        <v>18144</v>
      </c>
      <c r="K3498" t="e">
        <v>#N/A</v>
      </c>
      <c r="S3498" s="3"/>
    </row>
    <row r="3499" spans="1:19" x14ac:dyDescent="0.25">
      <c r="A3499" t="s">
        <v>9998</v>
      </c>
      <c r="B3499" t="s">
        <v>9999</v>
      </c>
      <c r="C3499" t="s">
        <v>10000</v>
      </c>
      <c r="D3499" t="s">
        <v>23</v>
      </c>
      <c r="E3499">
        <v>5279</v>
      </c>
      <c r="F3499" s="3">
        <v>42077</v>
      </c>
      <c r="H3499" t="s">
        <v>15523</v>
      </c>
      <c r="I3499" t="s">
        <v>18145</v>
      </c>
      <c r="K3499" t="e">
        <v>#N/A</v>
      </c>
      <c r="S3499" s="3"/>
    </row>
    <row r="3500" spans="1:19" x14ac:dyDescent="0.25">
      <c r="A3500" t="s">
        <v>10001</v>
      </c>
      <c r="B3500" t="s">
        <v>10002</v>
      </c>
      <c r="C3500" t="s">
        <v>10003</v>
      </c>
      <c r="D3500" t="s">
        <v>23</v>
      </c>
      <c r="E3500">
        <v>3891</v>
      </c>
      <c r="F3500" s="3">
        <v>40702</v>
      </c>
      <c r="H3500" t="s">
        <v>15523</v>
      </c>
      <c r="I3500" t="s">
        <v>18146</v>
      </c>
      <c r="K3500" t="e">
        <v>#N/A</v>
      </c>
      <c r="S3500" s="3"/>
    </row>
    <row r="3501" spans="1:19" x14ac:dyDescent="0.25">
      <c r="A3501" t="s">
        <v>10004</v>
      </c>
      <c r="B3501" t="s">
        <v>10005</v>
      </c>
      <c r="C3501" s="3">
        <v>1537285</v>
      </c>
      <c r="D3501" t="s">
        <v>23</v>
      </c>
      <c r="E3501">
        <v>5046</v>
      </c>
      <c r="F3501" s="3">
        <v>41660</v>
      </c>
      <c r="H3501" t="s">
        <v>15523</v>
      </c>
      <c r="I3501" t="s">
        <v>18147</v>
      </c>
      <c r="K3501" t="e">
        <v>#N/A</v>
      </c>
      <c r="P3501" s="3"/>
      <c r="S3501" s="3"/>
    </row>
    <row r="3502" spans="1:19" x14ac:dyDescent="0.25">
      <c r="A3502" t="s">
        <v>10007</v>
      </c>
      <c r="B3502" t="s">
        <v>10008</v>
      </c>
      <c r="C3502" t="s">
        <v>10009</v>
      </c>
      <c r="D3502" t="s">
        <v>23</v>
      </c>
      <c r="E3502">
        <v>3903</v>
      </c>
      <c r="F3502" s="3">
        <v>40702</v>
      </c>
      <c r="H3502" t="s">
        <v>15523</v>
      </c>
      <c r="I3502" t="s">
        <v>18148</v>
      </c>
      <c r="K3502" t="e">
        <v>#N/A</v>
      </c>
      <c r="S3502" s="3"/>
    </row>
    <row r="3503" spans="1:19" x14ac:dyDescent="0.25">
      <c r="A3503" t="s">
        <v>10010</v>
      </c>
      <c r="B3503" t="s">
        <v>10011</v>
      </c>
      <c r="C3503" t="s">
        <v>10012</v>
      </c>
      <c r="D3503" t="s">
        <v>23</v>
      </c>
      <c r="E3503">
        <v>3904</v>
      </c>
      <c r="F3503" s="3">
        <v>40702</v>
      </c>
      <c r="H3503" t="s">
        <v>15523</v>
      </c>
      <c r="I3503" t="s">
        <v>18149</v>
      </c>
      <c r="K3503" t="e">
        <v>#N/A</v>
      </c>
      <c r="S3503" s="3"/>
    </row>
    <row r="3504" spans="1:19" x14ac:dyDescent="0.25">
      <c r="A3504" t="s">
        <v>10013</v>
      </c>
      <c r="B3504" t="s">
        <v>10014</v>
      </c>
      <c r="C3504" t="s">
        <v>10015</v>
      </c>
      <c r="D3504" t="s">
        <v>23</v>
      </c>
      <c r="E3504">
        <v>3906</v>
      </c>
      <c r="F3504" s="3">
        <v>40702</v>
      </c>
      <c r="H3504" t="s">
        <v>15523</v>
      </c>
      <c r="I3504" t="s">
        <v>18150</v>
      </c>
      <c r="K3504" t="e">
        <v>#N/A</v>
      </c>
      <c r="S3504" s="3"/>
    </row>
    <row r="3505" spans="1:19" x14ac:dyDescent="0.25">
      <c r="A3505" t="s">
        <v>10016</v>
      </c>
      <c r="B3505" t="s">
        <v>10017</v>
      </c>
      <c r="C3505" t="s">
        <v>10018</v>
      </c>
      <c r="D3505" t="s">
        <v>23</v>
      </c>
      <c r="E3505">
        <v>3905</v>
      </c>
      <c r="F3505" s="3">
        <v>40702</v>
      </c>
      <c r="H3505" t="s">
        <v>15523</v>
      </c>
      <c r="I3505" t="s">
        <v>18151</v>
      </c>
      <c r="K3505" t="e">
        <v>#N/A</v>
      </c>
      <c r="S3505" s="3"/>
    </row>
    <row r="3506" spans="1:19" x14ac:dyDescent="0.25">
      <c r="A3506" t="s">
        <v>10019</v>
      </c>
      <c r="B3506" t="s">
        <v>10020</v>
      </c>
      <c r="C3506" t="s">
        <v>10021</v>
      </c>
      <c r="D3506" t="s">
        <v>23</v>
      </c>
      <c r="E3506">
        <v>5135</v>
      </c>
      <c r="F3506" s="3">
        <v>41852</v>
      </c>
      <c r="H3506" t="s">
        <v>15523</v>
      </c>
      <c r="I3506" t="s">
        <v>18152</v>
      </c>
      <c r="K3506" t="e">
        <v>#N/A</v>
      </c>
      <c r="S3506" s="3"/>
    </row>
    <row r="3507" spans="1:19" x14ac:dyDescent="0.25">
      <c r="A3507" t="s">
        <v>10022</v>
      </c>
      <c r="B3507" t="s">
        <v>10023</v>
      </c>
      <c r="C3507" t="s">
        <v>10024</v>
      </c>
      <c r="D3507" t="s">
        <v>23</v>
      </c>
      <c r="E3507">
        <v>5820</v>
      </c>
      <c r="F3507" s="3">
        <v>42871</v>
      </c>
      <c r="H3507" t="s">
        <v>15523</v>
      </c>
      <c r="I3507" t="s">
        <v>18153</v>
      </c>
      <c r="K3507" t="e">
        <v>#N/A</v>
      </c>
      <c r="S3507" s="3"/>
    </row>
    <row r="3508" spans="1:19" x14ac:dyDescent="0.25">
      <c r="A3508" t="s">
        <v>10025</v>
      </c>
      <c r="B3508" t="s">
        <v>10026</v>
      </c>
      <c r="C3508" t="s">
        <v>10027</v>
      </c>
      <c r="D3508" t="s">
        <v>23</v>
      </c>
      <c r="E3508">
        <v>3899</v>
      </c>
      <c r="F3508" s="3">
        <v>40702</v>
      </c>
      <c r="H3508" t="s">
        <v>15523</v>
      </c>
      <c r="I3508" t="s">
        <v>18154</v>
      </c>
      <c r="K3508" t="e">
        <v>#N/A</v>
      </c>
      <c r="S3508" s="3"/>
    </row>
    <row r="3509" spans="1:19" x14ac:dyDescent="0.25">
      <c r="A3509" t="s">
        <v>10028</v>
      </c>
      <c r="B3509" t="s">
        <v>10029</v>
      </c>
      <c r="C3509" t="s">
        <v>10030</v>
      </c>
      <c r="D3509" t="s">
        <v>23</v>
      </c>
      <c r="E3509">
        <v>395</v>
      </c>
      <c r="F3509" s="3">
        <v>40702</v>
      </c>
      <c r="H3509" t="s">
        <v>15523</v>
      </c>
      <c r="I3509" t="s">
        <v>18155</v>
      </c>
      <c r="K3509" t="e">
        <v>#N/A</v>
      </c>
      <c r="S3509" s="3"/>
    </row>
    <row r="3510" spans="1:19" x14ac:dyDescent="0.25">
      <c r="A3510" t="s">
        <v>10031</v>
      </c>
      <c r="B3510" t="s">
        <v>10032</v>
      </c>
      <c r="C3510" t="s">
        <v>10033</v>
      </c>
      <c r="D3510" t="s">
        <v>23</v>
      </c>
      <c r="E3510">
        <v>3900</v>
      </c>
      <c r="F3510" s="3">
        <v>40702</v>
      </c>
      <c r="H3510" t="s">
        <v>15523</v>
      </c>
      <c r="I3510" t="s">
        <v>18156</v>
      </c>
      <c r="K3510" t="e">
        <v>#N/A</v>
      </c>
      <c r="S3510" s="3"/>
    </row>
    <row r="3511" spans="1:19" x14ac:dyDescent="0.25">
      <c r="A3511" t="s">
        <v>10034</v>
      </c>
      <c r="B3511" t="s">
        <v>10035</v>
      </c>
      <c r="C3511" t="s">
        <v>10036</v>
      </c>
      <c r="D3511" t="s">
        <v>23</v>
      </c>
      <c r="E3511">
        <v>3901</v>
      </c>
      <c r="F3511" s="3">
        <v>40702</v>
      </c>
      <c r="H3511" t="s">
        <v>15523</v>
      </c>
      <c r="I3511" t="s">
        <v>18157</v>
      </c>
      <c r="K3511" t="e">
        <v>#N/A</v>
      </c>
      <c r="S3511" s="3"/>
    </row>
    <row r="3512" spans="1:19" x14ac:dyDescent="0.25">
      <c r="A3512" t="s">
        <v>10037</v>
      </c>
      <c r="B3512" t="s">
        <v>10038</v>
      </c>
      <c r="C3512" t="s">
        <v>10039</v>
      </c>
      <c r="D3512" t="s">
        <v>23</v>
      </c>
      <c r="E3512">
        <v>3902</v>
      </c>
      <c r="F3512" s="3">
        <v>40702</v>
      </c>
      <c r="H3512" t="s">
        <v>15523</v>
      </c>
      <c r="I3512" t="s">
        <v>18158</v>
      </c>
      <c r="K3512" t="e">
        <v>#N/A</v>
      </c>
      <c r="S3512" s="3"/>
    </row>
    <row r="3513" spans="1:19" x14ac:dyDescent="0.25">
      <c r="A3513" t="s">
        <v>10040</v>
      </c>
      <c r="B3513" t="s">
        <v>10041</v>
      </c>
      <c r="C3513" t="s">
        <v>10042</v>
      </c>
      <c r="D3513" t="s">
        <v>23</v>
      </c>
      <c r="E3513">
        <v>3907</v>
      </c>
      <c r="F3513" s="3">
        <v>41230</v>
      </c>
      <c r="H3513" t="s">
        <v>15523</v>
      </c>
      <c r="I3513" t="s">
        <v>18159</v>
      </c>
      <c r="K3513" t="e">
        <v>#N/A</v>
      </c>
      <c r="S3513" s="3"/>
    </row>
    <row r="3514" spans="1:19" x14ac:dyDescent="0.25">
      <c r="A3514" t="s">
        <v>10043</v>
      </c>
      <c r="B3514" t="s">
        <v>10044</v>
      </c>
      <c r="C3514" t="s">
        <v>10045</v>
      </c>
      <c r="D3514" t="s">
        <v>23</v>
      </c>
      <c r="E3514">
        <v>859</v>
      </c>
      <c r="F3514" s="3">
        <v>40702</v>
      </c>
      <c r="H3514" t="s">
        <v>15523</v>
      </c>
      <c r="I3514" t="s">
        <v>18160</v>
      </c>
      <c r="K3514" t="e">
        <v>#N/A</v>
      </c>
      <c r="S3514" s="3"/>
    </row>
    <row r="3515" spans="1:19" x14ac:dyDescent="0.25">
      <c r="A3515" t="s">
        <v>10046</v>
      </c>
      <c r="B3515" t="s">
        <v>10047</v>
      </c>
      <c r="C3515" t="s">
        <v>10048</v>
      </c>
      <c r="D3515" t="s">
        <v>23</v>
      </c>
      <c r="E3515">
        <v>5192</v>
      </c>
      <c r="F3515" s="3">
        <v>42035</v>
      </c>
      <c r="H3515" t="s">
        <v>15523</v>
      </c>
      <c r="I3515" t="s">
        <v>18161</v>
      </c>
      <c r="K3515" t="e">
        <v>#N/A</v>
      </c>
      <c r="S3515" s="3"/>
    </row>
    <row r="3516" spans="1:19" x14ac:dyDescent="0.25">
      <c r="A3516" t="s">
        <v>10049</v>
      </c>
      <c r="B3516" t="s">
        <v>10050</v>
      </c>
      <c r="C3516" t="s">
        <v>10051</v>
      </c>
      <c r="D3516" t="s">
        <v>23</v>
      </c>
      <c r="E3516">
        <v>3935</v>
      </c>
      <c r="F3516" s="3">
        <v>40702</v>
      </c>
      <c r="H3516" t="s">
        <v>15523</v>
      </c>
      <c r="I3516" t="s">
        <v>18162</v>
      </c>
      <c r="K3516" t="e">
        <v>#N/A</v>
      </c>
      <c r="S3516" s="3"/>
    </row>
    <row r="3517" spans="1:19" x14ac:dyDescent="0.25">
      <c r="A3517" t="s">
        <v>10052</v>
      </c>
      <c r="B3517" t="s">
        <v>10053</v>
      </c>
      <c r="C3517" t="s">
        <v>10054</v>
      </c>
      <c r="D3517" t="s">
        <v>23</v>
      </c>
      <c r="E3517">
        <v>3964</v>
      </c>
      <c r="F3517" s="3">
        <v>40702</v>
      </c>
      <c r="H3517" t="s">
        <v>15523</v>
      </c>
      <c r="I3517" t="s">
        <v>18163</v>
      </c>
      <c r="K3517" t="e">
        <v>#N/A</v>
      </c>
      <c r="S3517" s="3"/>
    </row>
    <row r="3518" spans="1:19" x14ac:dyDescent="0.25">
      <c r="A3518" t="s">
        <v>10055</v>
      </c>
      <c r="B3518" t="s">
        <v>10056</v>
      </c>
      <c r="C3518" t="s">
        <v>10057</v>
      </c>
      <c r="D3518" t="s">
        <v>23</v>
      </c>
      <c r="E3518">
        <v>3966</v>
      </c>
      <c r="F3518" s="3">
        <v>40702</v>
      </c>
      <c r="H3518" t="s">
        <v>15523</v>
      </c>
      <c r="I3518" t="s">
        <v>18164</v>
      </c>
      <c r="K3518" t="e">
        <v>#N/A</v>
      </c>
      <c r="S3518" s="3"/>
    </row>
    <row r="3519" spans="1:19" x14ac:dyDescent="0.25">
      <c r="A3519" t="s">
        <v>10058</v>
      </c>
      <c r="B3519" t="s">
        <v>10059</v>
      </c>
      <c r="C3519" t="s">
        <v>10060</v>
      </c>
      <c r="D3519" t="s">
        <v>23</v>
      </c>
      <c r="E3519">
        <v>1878</v>
      </c>
      <c r="F3519" s="3">
        <v>40702</v>
      </c>
      <c r="H3519" t="s">
        <v>15523</v>
      </c>
      <c r="I3519" t="s">
        <v>18165</v>
      </c>
      <c r="K3519" t="e">
        <v>#N/A</v>
      </c>
      <c r="S3519" s="3"/>
    </row>
    <row r="3520" spans="1:19" x14ac:dyDescent="0.25">
      <c r="A3520" t="s">
        <v>10061</v>
      </c>
      <c r="B3520" t="s">
        <v>10062</v>
      </c>
      <c r="C3520" t="s">
        <v>10063</v>
      </c>
      <c r="D3520" t="s">
        <v>23</v>
      </c>
      <c r="E3520">
        <v>3967</v>
      </c>
      <c r="F3520" s="3">
        <v>40702</v>
      </c>
      <c r="H3520" t="s">
        <v>15523</v>
      </c>
      <c r="I3520" t="s">
        <v>18166</v>
      </c>
      <c r="K3520" t="e">
        <v>#N/A</v>
      </c>
      <c r="S3520" s="3"/>
    </row>
    <row r="3521" spans="1:19" x14ac:dyDescent="0.25">
      <c r="A3521" t="s">
        <v>10064</v>
      </c>
      <c r="B3521" t="s">
        <v>10065</v>
      </c>
      <c r="C3521" t="s">
        <v>10066</v>
      </c>
      <c r="D3521" t="s">
        <v>23</v>
      </c>
      <c r="E3521">
        <v>3973</v>
      </c>
      <c r="F3521" s="3">
        <v>40702</v>
      </c>
      <c r="H3521" t="s">
        <v>15523</v>
      </c>
      <c r="I3521" t="s">
        <v>18167</v>
      </c>
      <c r="K3521" t="e">
        <v>#N/A</v>
      </c>
      <c r="S3521" s="3"/>
    </row>
    <row r="3522" spans="1:19" x14ac:dyDescent="0.25">
      <c r="A3522" t="s">
        <v>10067</v>
      </c>
      <c r="B3522" t="s">
        <v>10068</v>
      </c>
      <c r="C3522" t="s">
        <v>10069</v>
      </c>
      <c r="D3522" t="s">
        <v>23</v>
      </c>
      <c r="E3522">
        <v>5957</v>
      </c>
      <c r="F3522" s="3">
        <v>43259</v>
      </c>
      <c r="H3522" t="s">
        <v>15523</v>
      </c>
      <c r="I3522" t="s">
        <v>18168</v>
      </c>
      <c r="K3522" t="e">
        <v>#N/A</v>
      </c>
      <c r="S3522" s="3"/>
    </row>
    <row r="3523" spans="1:19" x14ac:dyDescent="0.25">
      <c r="A3523" t="s">
        <v>10070</v>
      </c>
      <c r="B3523" t="s">
        <v>10071</v>
      </c>
      <c r="C3523" t="s">
        <v>10072</v>
      </c>
      <c r="D3523" t="s">
        <v>23</v>
      </c>
      <c r="E3523">
        <v>2264</v>
      </c>
      <c r="F3523" s="3">
        <v>41461</v>
      </c>
      <c r="H3523" t="s">
        <v>15523</v>
      </c>
      <c r="I3523" t="s">
        <v>18169</v>
      </c>
      <c r="K3523" t="e">
        <v>#N/A</v>
      </c>
      <c r="S3523" s="3"/>
    </row>
    <row r="3524" spans="1:19" x14ac:dyDescent="0.25">
      <c r="A3524" t="s">
        <v>10073</v>
      </c>
      <c r="B3524" t="s">
        <v>10074</v>
      </c>
      <c r="C3524" t="s">
        <v>10075</v>
      </c>
      <c r="D3524" t="s">
        <v>23</v>
      </c>
      <c r="E3524">
        <v>902</v>
      </c>
      <c r="F3524" s="3">
        <v>40702</v>
      </c>
      <c r="H3524" t="s">
        <v>15523</v>
      </c>
      <c r="I3524" t="s">
        <v>18170</v>
      </c>
      <c r="K3524" t="e">
        <v>#N/A</v>
      </c>
      <c r="S3524" s="3"/>
    </row>
    <row r="3525" spans="1:19" x14ac:dyDescent="0.25">
      <c r="A3525" t="s">
        <v>10076</v>
      </c>
      <c r="B3525" t="s">
        <v>10077</v>
      </c>
      <c r="C3525" t="s">
        <v>10078</v>
      </c>
      <c r="D3525" t="s">
        <v>23</v>
      </c>
      <c r="E3525">
        <v>3976</v>
      </c>
      <c r="F3525" s="3">
        <v>40782</v>
      </c>
      <c r="H3525" t="s">
        <v>15523</v>
      </c>
      <c r="I3525" t="s">
        <v>18171</v>
      </c>
      <c r="K3525" t="e">
        <v>#N/A</v>
      </c>
      <c r="S3525" s="3"/>
    </row>
    <row r="3526" spans="1:19" x14ac:dyDescent="0.25">
      <c r="A3526" t="s">
        <v>10079</v>
      </c>
      <c r="B3526" t="s">
        <v>10080</v>
      </c>
      <c r="C3526" t="s">
        <v>10081</v>
      </c>
      <c r="D3526" t="s">
        <v>23</v>
      </c>
      <c r="E3526">
        <v>3977</v>
      </c>
      <c r="F3526" s="3">
        <v>40702</v>
      </c>
      <c r="H3526" t="s">
        <v>15523</v>
      </c>
      <c r="I3526" t="s">
        <v>18172</v>
      </c>
      <c r="K3526" t="e">
        <v>#N/A</v>
      </c>
      <c r="S3526" s="3"/>
    </row>
    <row r="3527" spans="1:19" x14ac:dyDescent="0.25">
      <c r="A3527" t="s">
        <v>10082</v>
      </c>
      <c r="B3527" t="s">
        <v>10083</v>
      </c>
      <c r="C3527" t="s">
        <v>10084</v>
      </c>
      <c r="D3527" t="s">
        <v>23</v>
      </c>
      <c r="E3527">
        <v>5206</v>
      </c>
      <c r="F3527" s="3">
        <v>42035</v>
      </c>
      <c r="H3527" t="s">
        <v>15523</v>
      </c>
      <c r="I3527" t="s">
        <v>18173</v>
      </c>
      <c r="K3527" t="e">
        <v>#N/A</v>
      </c>
      <c r="S3527" s="3"/>
    </row>
    <row r="3528" spans="1:19" x14ac:dyDescent="0.25">
      <c r="A3528" t="s">
        <v>10085</v>
      </c>
      <c r="B3528" t="s">
        <v>10086</v>
      </c>
      <c r="C3528" t="s">
        <v>10087</v>
      </c>
      <c r="D3528" t="s">
        <v>23</v>
      </c>
      <c r="E3528">
        <v>5587</v>
      </c>
      <c r="F3528" s="3">
        <v>42551</v>
      </c>
      <c r="H3528" t="s">
        <v>15523</v>
      </c>
      <c r="I3528" t="s">
        <v>18174</v>
      </c>
      <c r="K3528" t="e">
        <v>#N/A</v>
      </c>
      <c r="S3528" s="3"/>
    </row>
    <row r="3529" spans="1:19" x14ac:dyDescent="0.25">
      <c r="A3529" t="s">
        <v>10088</v>
      </c>
      <c r="B3529" t="s">
        <v>10089</v>
      </c>
      <c r="C3529" t="s">
        <v>10090</v>
      </c>
      <c r="D3529" t="s">
        <v>23</v>
      </c>
      <c r="E3529">
        <v>896</v>
      </c>
      <c r="F3529" s="3">
        <v>41461</v>
      </c>
      <c r="H3529" t="s">
        <v>15523</v>
      </c>
      <c r="I3529" t="s">
        <v>18175</v>
      </c>
      <c r="K3529" t="e">
        <v>#N/A</v>
      </c>
      <c r="S3529" s="3"/>
    </row>
    <row r="3530" spans="1:19" x14ac:dyDescent="0.25">
      <c r="A3530" t="s">
        <v>10091</v>
      </c>
      <c r="B3530" t="s">
        <v>10092</v>
      </c>
      <c r="C3530" t="s">
        <v>10093</v>
      </c>
      <c r="D3530" t="s">
        <v>23</v>
      </c>
      <c r="E3530">
        <v>3978</v>
      </c>
      <c r="F3530" s="3">
        <v>40702</v>
      </c>
      <c r="H3530" t="s">
        <v>15523</v>
      </c>
      <c r="I3530" t="s">
        <v>18176</v>
      </c>
      <c r="K3530" t="e">
        <v>#N/A</v>
      </c>
      <c r="S3530" s="3"/>
    </row>
    <row r="3531" spans="1:19" x14ac:dyDescent="0.25">
      <c r="A3531" t="s">
        <v>10094</v>
      </c>
      <c r="B3531" t="s">
        <v>10095</v>
      </c>
      <c r="C3531" t="s">
        <v>10096</v>
      </c>
      <c r="D3531" t="s">
        <v>23</v>
      </c>
      <c r="E3531">
        <v>895</v>
      </c>
      <c r="F3531" s="3">
        <v>40702</v>
      </c>
      <c r="H3531" t="s">
        <v>15523</v>
      </c>
      <c r="I3531" t="s">
        <v>18177</v>
      </c>
      <c r="K3531" t="e">
        <v>#N/A</v>
      </c>
      <c r="S3531" s="3"/>
    </row>
    <row r="3532" spans="1:19" x14ac:dyDescent="0.25">
      <c r="A3532" t="s">
        <v>10097</v>
      </c>
      <c r="B3532" t="s">
        <v>10098</v>
      </c>
      <c r="C3532" t="s">
        <v>10099</v>
      </c>
      <c r="D3532" t="s">
        <v>23</v>
      </c>
      <c r="E3532">
        <v>5069</v>
      </c>
      <c r="F3532" s="3">
        <v>41776</v>
      </c>
      <c r="H3532" t="s">
        <v>15523</v>
      </c>
      <c r="I3532" t="s">
        <v>18178</v>
      </c>
      <c r="K3532" t="e">
        <v>#N/A</v>
      </c>
      <c r="S3532" s="3"/>
    </row>
    <row r="3533" spans="1:19" x14ac:dyDescent="0.25">
      <c r="A3533" t="s">
        <v>10100</v>
      </c>
      <c r="B3533" t="s">
        <v>10101</v>
      </c>
      <c r="C3533" t="s">
        <v>10102</v>
      </c>
      <c r="D3533" t="s">
        <v>23</v>
      </c>
      <c r="E3533">
        <v>3981</v>
      </c>
      <c r="F3533" s="3">
        <v>40806</v>
      </c>
      <c r="H3533" t="s">
        <v>15523</v>
      </c>
      <c r="I3533" t="s">
        <v>18179</v>
      </c>
      <c r="K3533" t="e">
        <v>#N/A</v>
      </c>
      <c r="S3533" s="3"/>
    </row>
    <row r="3534" spans="1:19" x14ac:dyDescent="0.25">
      <c r="A3534" t="s">
        <v>10103</v>
      </c>
      <c r="B3534" t="s">
        <v>10104</v>
      </c>
      <c r="C3534" t="s">
        <v>10105</v>
      </c>
      <c r="D3534" t="s">
        <v>23</v>
      </c>
      <c r="E3534">
        <v>4010</v>
      </c>
      <c r="F3534" s="3">
        <v>40702</v>
      </c>
      <c r="H3534" t="s">
        <v>15523</v>
      </c>
      <c r="I3534" t="s">
        <v>18180</v>
      </c>
      <c r="K3534" t="e">
        <v>#N/A</v>
      </c>
      <c r="S3534" s="3"/>
    </row>
    <row r="3535" spans="1:19" x14ac:dyDescent="0.25">
      <c r="A3535" t="s">
        <v>10106</v>
      </c>
      <c r="B3535" t="s">
        <v>10107</v>
      </c>
      <c r="C3535" t="s">
        <v>10108</v>
      </c>
      <c r="D3535" t="s">
        <v>23</v>
      </c>
      <c r="E3535">
        <v>889</v>
      </c>
      <c r="F3535" s="3">
        <v>40702</v>
      </c>
      <c r="H3535" t="s">
        <v>15523</v>
      </c>
      <c r="I3535" t="s">
        <v>18181</v>
      </c>
      <c r="K3535" t="e">
        <v>#N/A</v>
      </c>
      <c r="S3535" s="3"/>
    </row>
    <row r="3536" spans="1:19" x14ac:dyDescent="0.25">
      <c r="A3536" t="s">
        <v>10109</v>
      </c>
      <c r="B3536" t="s">
        <v>10110</v>
      </c>
      <c r="C3536" t="s">
        <v>10111</v>
      </c>
      <c r="D3536" t="s">
        <v>23</v>
      </c>
      <c r="E3536">
        <v>892</v>
      </c>
      <c r="F3536" s="3">
        <v>41461</v>
      </c>
      <c r="H3536" t="s">
        <v>15523</v>
      </c>
      <c r="I3536" t="s">
        <v>18182</v>
      </c>
      <c r="K3536" t="e">
        <v>#N/A</v>
      </c>
      <c r="S3536" s="3"/>
    </row>
    <row r="3537" spans="1:19" x14ac:dyDescent="0.25">
      <c r="A3537" t="s">
        <v>10112</v>
      </c>
      <c r="B3537" t="s">
        <v>10113</v>
      </c>
      <c r="C3537" t="s">
        <v>10114</v>
      </c>
      <c r="D3537" t="s">
        <v>23</v>
      </c>
      <c r="E3537">
        <v>2470</v>
      </c>
      <c r="F3537" s="3">
        <v>40702</v>
      </c>
      <c r="H3537" t="s">
        <v>15523</v>
      </c>
      <c r="I3537" t="s">
        <v>18183</v>
      </c>
      <c r="K3537" t="e">
        <v>#N/A</v>
      </c>
      <c r="S3537" s="3"/>
    </row>
    <row r="3538" spans="1:19" x14ac:dyDescent="0.25">
      <c r="A3538" t="s">
        <v>10115</v>
      </c>
      <c r="B3538" t="s">
        <v>10116</v>
      </c>
      <c r="C3538" t="s">
        <v>10117</v>
      </c>
      <c r="D3538" t="s">
        <v>23</v>
      </c>
      <c r="E3538">
        <v>893</v>
      </c>
      <c r="F3538" s="3">
        <v>40702</v>
      </c>
      <c r="H3538" t="s">
        <v>15523</v>
      </c>
      <c r="I3538" t="s">
        <v>18184</v>
      </c>
      <c r="K3538" t="e">
        <v>#N/A</v>
      </c>
      <c r="S3538" s="3"/>
    </row>
    <row r="3539" spans="1:19" x14ac:dyDescent="0.25">
      <c r="A3539" t="s">
        <v>10118</v>
      </c>
      <c r="B3539" t="s">
        <v>10119</v>
      </c>
      <c r="C3539" t="s">
        <v>10120</v>
      </c>
      <c r="D3539" t="s">
        <v>23</v>
      </c>
      <c r="E3539">
        <v>3979</v>
      </c>
      <c r="F3539" s="3">
        <v>40702</v>
      </c>
      <c r="H3539" t="s">
        <v>15523</v>
      </c>
      <c r="I3539" t="s">
        <v>18185</v>
      </c>
      <c r="K3539" t="e">
        <v>#N/A</v>
      </c>
      <c r="S3539" s="3"/>
    </row>
    <row r="3540" spans="1:19" x14ac:dyDescent="0.25">
      <c r="A3540" t="s">
        <v>10121</v>
      </c>
      <c r="B3540" t="s">
        <v>10122</v>
      </c>
      <c r="C3540" t="s">
        <v>10123</v>
      </c>
      <c r="D3540" t="s">
        <v>23</v>
      </c>
      <c r="E3540">
        <v>3980</v>
      </c>
      <c r="F3540" s="3">
        <v>40702</v>
      </c>
      <c r="H3540" t="s">
        <v>15523</v>
      </c>
      <c r="I3540" t="s">
        <v>18186</v>
      </c>
      <c r="K3540" t="e">
        <v>#N/A</v>
      </c>
      <c r="S3540" s="3"/>
    </row>
    <row r="3541" spans="1:19" x14ac:dyDescent="0.25">
      <c r="A3541" t="s">
        <v>10124</v>
      </c>
      <c r="B3541" t="s">
        <v>10125</v>
      </c>
      <c r="C3541" t="s">
        <v>10126</v>
      </c>
      <c r="D3541" t="s">
        <v>23</v>
      </c>
      <c r="E3541">
        <v>3982</v>
      </c>
      <c r="F3541" s="3">
        <v>40702</v>
      </c>
      <c r="H3541" t="s">
        <v>15523</v>
      </c>
      <c r="I3541" t="s">
        <v>18187</v>
      </c>
      <c r="K3541" t="e">
        <v>#N/A</v>
      </c>
      <c r="S3541" s="3"/>
    </row>
    <row r="3542" spans="1:19" x14ac:dyDescent="0.25">
      <c r="A3542" t="s">
        <v>10127</v>
      </c>
      <c r="B3542" t="s">
        <v>10128</v>
      </c>
      <c r="C3542" t="s">
        <v>10129</v>
      </c>
      <c r="D3542" t="s">
        <v>23</v>
      </c>
      <c r="E3542">
        <v>907</v>
      </c>
      <c r="F3542" s="3">
        <v>40702</v>
      </c>
      <c r="H3542" t="s">
        <v>15523</v>
      </c>
      <c r="I3542" t="s">
        <v>18188</v>
      </c>
      <c r="K3542" t="e">
        <v>#N/A</v>
      </c>
      <c r="S3542" s="3"/>
    </row>
    <row r="3543" spans="1:19" x14ac:dyDescent="0.25">
      <c r="A3543" t="s">
        <v>10130</v>
      </c>
      <c r="B3543" t="s">
        <v>10131</v>
      </c>
      <c r="C3543" t="s">
        <v>10132</v>
      </c>
      <c r="D3543" t="s">
        <v>23</v>
      </c>
      <c r="E3543">
        <v>3984</v>
      </c>
      <c r="F3543" s="3">
        <v>40702</v>
      </c>
      <c r="H3543" t="s">
        <v>15523</v>
      </c>
      <c r="I3543" t="s">
        <v>18189</v>
      </c>
      <c r="K3543" t="e">
        <v>#N/A</v>
      </c>
      <c r="S3543" s="3"/>
    </row>
    <row r="3544" spans="1:19" x14ac:dyDescent="0.25">
      <c r="A3544" t="s">
        <v>10133</v>
      </c>
      <c r="B3544" t="s">
        <v>10134</v>
      </c>
      <c r="C3544" t="s">
        <v>10135</v>
      </c>
      <c r="D3544" t="s">
        <v>23</v>
      </c>
      <c r="E3544">
        <v>3985</v>
      </c>
      <c r="F3544" s="3">
        <v>40702</v>
      </c>
      <c r="H3544" t="s">
        <v>15523</v>
      </c>
      <c r="I3544" t="s">
        <v>18190</v>
      </c>
      <c r="K3544" t="e">
        <v>#N/A</v>
      </c>
      <c r="S3544" s="3"/>
    </row>
    <row r="3545" spans="1:19" x14ac:dyDescent="0.25">
      <c r="A3545" t="s">
        <v>10136</v>
      </c>
      <c r="B3545" t="s">
        <v>10137</v>
      </c>
      <c r="C3545" t="s">
        <v>10138</v>
      </c>
      <c r="D3545" t="s">
        <v>23</v>
      </c>
      <c r="E3545">
        <v>908</v>
      </c>
      <c r="F3545" s="3">
        <v>40702</v>
      </c>
      <c r="H3545" t="s">
        <v>15523</v>
      </c>
      <c r="I3545" t="s">
        <v>18191</v>
      </c>
      <c r="K3545" t="e">
        <v>#N/A</v>
      </c>
      <c r="S3545" s="3"/>
    </row>
    <row r="3546" spans="1:19" x14ac:dyDescent="0.25">
      <c r="A3546" t="s">
        <v>10139</v>
      </c>
      <c r="B3546" t="s">
        <v>10140</v>
      </c>
      <c r="C3546" t="s">
        <v>10141</v>
      </c>
      <c r="D3546" t="s">
        <v>23</v>
      </c>
      <c r="E3546">
        <v>5598</v>
      </c>
      <c r="F3546" s="3">
        <v>42551</v>
      </c>
      <c r="H3546" t="s">
        <v>15523</v>
      </c>
      <c r="I3546" t="s">
        <v>18192</v>
      </c>
      <c r="K3546" t="e">
        <v>#N/A</v>
      </c>
      <c r="S3546" s="3"/>
    </row>
    <row r="3547" spans="1:19" x14ac:dyDescent="0.25">
      <c r="A3547" t="s">
        <v>10142</v>
      </c>
      <c r="B3547" t="s">
        <v>10143</v>
      </c>
      <c r="C3547" t="s">
        <v>10144</v>
      </c>
      <c r="D3547" t="s">
        <v>23</v>
      </c>
      <c r="E3547">
        <v>909</v>
      </c>
      <c r="F3547" s="3">
        <v>40702</v>
      </c>
      <c r="H3547" t="s">
        <v>15523</v>
      </c>
      <c r="I3547" t="s">
        <v>18193</v>
      </c>
      <c r="K3547" t="e">
        <v>#N/A</v>
      </c>
      <c r="S3547" s="3"/>
    </row>
    <row r="3548" spans="1:19" x14ac:dyDescent="0.25">
      <c r="A3548" t="s">
        <v>10145</v>
      </c>
      <c r="B3548" t="s">
        <v>10146</v>
      </c>
      <c r="C3548" s="3">
        <v>1872907</v>
      </c>
      <c r="D3548" t="s">
        <v>23</v>
      </c>
      <c r="E3548">
        <v>5263</v>
      </c>
      <c r="F3548" s="3">
        <v>42047</v>
      </c>
      <c r="H3548" t="s">
        <v>15523</v>
      </c>
      <c r="I3548" t="s">
        <v>18194</v>
      </c>
      <c r="K3548" t="e">
        <v>#N/A</v>
      </c>
      <c r="P3548" s="3"/>
      <c r="S3548" s="3"/>
    </row>
    <row r="3549" spans="1:19" x14ac:dyDescent="0.25">
      <c r="A3549" t="s">
        <v>10148</v>
      </c>
      <c r="B3549" t="s">
        <v>10149</v>
      </c>
      <c r="C3549" t="s">
        <v>10150</v>
      </c>
      <c r="D3549" t="s">
        <v>23</v>
      </c>
      <c r="E3549">
        <v>2306</v>
      </c>
      <c r="F3549" s="3">
        <v>40702</v>
      </c>
      <c r="H3549" t="s">
        <v>15523</v>
      </c>
      <c r="I3549" t="s">
        <v>18195</v>
      </c>
      <c r="K3549" t="e">
        <v>#N/A</v>
      </c>
      <c r="S3549" s="3"/>
    </row>
    <row r="3550" spans="1:19" x14ac:dyDescent="0.25">
      <c r="A3550" t="s">
        <v>10151</v>
      </c>
      <c r="B3550" t="s">
        <v>10152</v>
      </c>
      <c r="C3550" t="s">
        <v>10153</v>
      </c>
      <c r="D3550" t="s">
        <v>23</v>
      </c>
      <c r="E3550">
        <v>2300</v>
      </c>
      <c r="F3550" s="3">
        <v>40702</v>
      </c>
      <c r="H3550" t="s">
        <v>15523</v>
      </c>
      <c r="I3550" t="s">
        <v>18196</v>
      </c>
      <c r="K3550" t="e">
        <v>#N/A</v>
      </c>
      <c r="S3550" s="3"/>
    </row>
    <row r="3551" spans="1:19" x14ac:dyDescent="0.25">
      <c r="A3551" t="s">
        <v>10154</v>
      </c>
      <c r="B3551" t="s">
        <v>10155</v>
      </c>
      <c r="C3551" t="s">
        <v>10156</v>
      </c>
      <c r="D3551" t="s">
        <v>23</v>
      </c>
      <c r="E3551">
        <v>3993</v>
      </c>
      <c r="F3551" s="3">
        <v>40702</v>
      </c>
      <c r="H3551" t="s">
        <v>15523</v>
      </c>
      <c r="I3551" t="s">
        <v>18197</v>
      </c>
      <c r="K3551" t="e">
        <v>#N/A</v>
      </c>
      <c r="S3551" s="3"/>
    </row>
    <row r="3552" spans="1:19" x14ac:dyDescent="0.25">
      <c r="A3552" t="s">
        <v>10157</v>
      </c>
      <c r="B3552" t="s">
        <v>10158</v>
      </c>
      <c r="C3552" t="s">
        <v>10159</v>
      </c>
      <c r="D3552" t="s">
        <v>23</v>
      </c>
      <c r="E3552">
        <v>5047</v>
      </c>
      <c r="F3552" s="3">
        <v>41660</v>
      </c>
      <c r="H3552" t="s">
        <v>15523</v>
      </c>
      <c r="I3552" t="s">
        <v>18198</v>
      </c>
      <c r="K3552" t="e">
        <v>#N/A</v>
      </c>
      <c r="S3552" s="3"/>
    </row>
    <row r="3553" spans="1:19" x14ac:dyDescent="0.25">
      <c r="A3553" t="s">
        <v>10160</v>
      </c>
      <c r="B3553" t="s">
        <v>10161</v>
      </c>
      <c r="C3553" t="s">
        <v>10162</v>
      </c>
      <c r="D3553" t="s">
        <v>23</v>
      </c>
      <c r="E3553">
        <v>880</v>
      </c>
      <c r="F3553" s="3">
        <v>40702</v>
      </c>
      <c r="H3553" t="s">
        <v>15523</v>
      </c>
      <c r="I3553" t="s">
        <v>18199</v>
      </c>
      <c r="K3553" t="e">
        <v>#N/A</v>
      </c>
      <c r="S3553" s="3"/>
    </row>
    <row r="3554" spans="1:19" x14ac:dyDescent="0.25">
      <c r="A3554" t="s">
        <v>10163</v>
      </c>
      <c r="B3554" t="s">
        <v>10164</v>
      </c>
      <c r="C3554" t="s">
        <v>10165</v>
      </c>
      <c r="D3554" t="s">
        <v>23</v>
      </c>
      <c r="E3554">
        <v>881</v>
      </c>
      <c r="F3554" s="3">
        <v>40702</v>
      </c>
      <c r="H3554" t="s">
        <v>15523</v>
      </c>
      <c r="I3554" t="s">
        <v>18200</v>
      </c>
      <c r="K3554" t="e">
        <v>#N/A</v>
      </c>
      <c r="S3554" s="3"/>
    </row>
    <row r="3555" spans="1:19" x14ac:dyDescent="0.25">
      <c r="A3555" t="s">
        <v>10166</v>
      </c>
      <c r="B3555" t="s">
        <v>10167</v>
      </c>
      <c r="C3555" t="s">
        <v>10168</v>
      </c>
      <c r="D3555" t="s">
        <v>23</v>
      </c>
      <c r="E3555">
        <v>1882</v>
      </c>
      <c r="F3555" s="3">
        <v>40702</v>
      </c>
      <c r="H3555" t="s">
        <v>15523</v>
      </c>
      <c r="I3555" t="s">
        <v>18201</v>
      </c>
      <c r="K3555" t="e">
        <v>#N/A</v>
      </c>
      <c r="S3555" s="3"/>
    </row>
    <row r="3556" spans="1:19" x14ac:dyDescent="0.25">
      <c r="A3556" t="s">
        <v>10169</v>
      </c>
      <c r="B3556" t="s">
        <v>10170</v>
      </c>
      <c r="C3556" t="s">
        <v>10171</v>
      </c>
      <c r="D3556" t="s">
        <v>23</v>
      </c>
      <c r="E3556">
        <v>4000</v>
      </c>
      <c r="F3556" s="3">
        <v>40702</v>
      </c>
      <c r="H3556" t="s">
        <v>15523</v>
      </c>
      <c r="I3556" t="s">
        <v>18202</v>
      </c>
      <c r="K3556" t="e">
        <v>#N/A</v>
      </c>
      <c r="S3556" s="3"/>
    </row>
    <row r="3557" spans="1:19" x14ac:dyDescent="0.25">
      <c r="A3557" t="s">
        <v>10172</v>
      </c>
      <c r="B3557" t="s">
        <v>10173</v>
      </c>
      <c r="C3557" t="s">
        <v>10174</v>
      </c>
      <c r="D3557" t="s">
        <v>23</v>
      </c>
      <c r="E3557">
        <v>3999</v>
      </c>
      <c r="F3557" s="3">
        <v>40702</v>
      </c>
      <c r="H3557" t="s">
        <v>15523</v>
      </c>
      <c r="I3557" t="s">
        <v>18203</v>
      </c>
      <c r="K3557" t="e">
        <v>#N/A</v>
      </c>
      <c r="S3557" s="3"/>
    </row>
    <row r="3558" spans="1:19" x14ac:dyDescent="0.25">
      <c r="A3558" t="s">
        <v>10175</v>
      </c>
      <c r="B3558" t="s">
        <v>10176</v>
      </c>
      <c r="C3558" t="s">
        <v>10177</v>
      </c>
      <c r="D3558" t="s">
        <v>23</v>
      </c>
      <c r="E3558">
        <v>2471</v>
      </c>
      <c r="F3558" s="3">
        <v>40702</v>
      </c>
      <c r="H3558" t="s">
        <v>15523</v>
      </c>
      <c r="I3558" t="s">
        <v>18204</v>
      </c>
      <c r="K3558" t="e">
        <v>#N/A</v>
      </c>
      <c r="S3558" s="3"/>
    </row>
    <row r="3559" spans="1:19" x14ac:dyDescent="0.25">
      <c r="A3559" t="s">
        <v>10178</v>
      </c>
      <c r="B3559" t="s">
        <v>10179</v>
      </c>
      <c r="C3559" t="s">
        <v>10180</v>
      </c>
      <c r="D3559" t="s">
        <v>23</v>
      </c>
      <c r="E3559">
        <v>4001</v>
      </c>
      <c r="F3559" s="3">
        <v>43082</v>
      </c>
      <c r="H3559" t="s">
        <v>15523</v>
      </c>
      <c r="I3559" t="s">
        <v>18205</v>
      </c>
      <c r="K3559" t="e">
        <v>#N/A</v>
      </c>
      <c r="S3559" s="3"/>
    </row>
    <row r="3560" spans="1:19" x14ac:dyDescent="0.25">
      <c r="A3560" t="s">
        <v>10181</v>
      </c>
      <c r="B3560" t="s">
        <v>10182</v>
      </c>
      <c r="C3560" t="s">
        <v>10183</v>
      </c>
      <c r="D3560" t="s">
        <v>23</v>
      </c>
      <c r="E3560">
        <v>5834</v>
      </c>
      <c r="F3560" s="3">
        <v>43082</v>
      </c>
      <c r="H3560" t="s">
        <v>15523</v>
      </c>
      <c r="I3560" t="s">
        <v>18206</v>
      </c>
      <c r="K3560" t="e">
        <v>#N/A</v>
      </c>
      <c r="S3560" s="3"/>
    </row>
    <row r="3561" spans="1:19" x14ac:dyDescent="0.25">
      <c r="A3561" t="s">
        <v>10184</v>
      </c>
      <c r="B3561" t="s">
        <v>10185</v>
      </c>
      <c r="C3561" t="s">
        <v>10186</v>
      </c>
      <c r="D3561" t="s">
        <v>23</v>
      </c>
      <c r="E3561">
        <v>5048</v>
      </c>
      <c r="F3561" s="3">
        <v>41660</v>
      </c>
      <c r="H3561" t="s">
        <v>15523</v>
      </c>
      <c r="I3561" t="s">
        <v>18207</v>
      </c>
      <c r="K3561" t="e">
        <v>#N/A</v>
      </c>
      <c r="S3561" s="3"/>
    </row>
    <row r="3562" spans="1:19" x14ac:dyDescent="0.25">
      <c r="A3562" t="s">
        <v>10187</v>
      </c>
      <c r="B3562" t="s">
        <v>10188</v>
      </c>
      <c r="C3562" t="s">
        <v>10189</v>
      </c>
      <c r="D3562" t="s">
        <v>23</v>
      </c>
      <c r="E3562">
        <v>890</v>
      </c>
      <c r="F3562" s="3">
        <v>40702</v>
      </c>
      <c r="H3562" t="s">
        <v>15523</v>
      </c>
      <c r="I3562" t="s">
        <v>18208</v>
      </c>
      <c r="K3562" t="e">
        <v>#N/A</v>
      </c>
      <c r="S3562" s="3"/>
    </row>
    <row r="3563" spans="1:19" x14ac:dyDescent="0.25">
      <c r="A3563" t="s">
        <v>10190</v>
      </c>
      <c r="B3563" t="s">
        <v>10191</v>
      </c>
      <c r="C3563" t="s">
        <v>10192</v>
      </c>
      <c r="D3563" t="s">
        <v>23</v>
      </c>
      <c r="E3563">
        <v>4012</v>
      </c>
      <c r="F3563" s="3">
        <v>40702</v>
      </c>
      <c r="H3563" t="s">
        <v>15523</v>
      </c>
      <c r="I3563" t="s">
        <v>18209</v>
      </c>
      <c r="K3563" t="e">
        <v>#N/A</v>
      </c>
      <c r="S3563" s="3"/>
    </row>
    <row r="3564" spans="1:19" x14ac:dyDescent="0.25">
      <c r="A3564" t="s">
        <v>10193</v>
      </c>
      <c r="B3564" t="s">
        <v>10194</v>
      </c>
      <c r="C3564" t="s">
        <v>10195</v>
      </c>
      <c r="D3564" t="s">
        <v>23</v>
      </c>
      <c r="E3564">
        <v>4013</v>
      </c>
      <c r="F3564" s="3">
        <v>40702</v>
      </c>
      <c r="H3564" t="s">
        <v>15523</v>
      </c>
      <c r="I3564" t="s">
        <v>18210</v>
      </c>
      <c r="K3564" t="e">
        <v>#N/A</v>
      </c>
      <c r="S3564" s="3"/>
    </row>
    <row r="3565" spans="1:19" x14ac:dyDescent="0.25">
      <c r="A3565" t="s">
        <v>10196</v>
      </c>
      <c r="B3565" t="s">
        <v>10197</v>
      </c>
      <c r="C3565" t="s">
        <v>10198</v>
      </c>
      <c r="D3565" t="s">
        <v>23</v>
      </c>
      <c r="E3565">
        <v>905</v>
      </c>
      <c r="F3565" s="3">
        <v>41461</v>
      </c>
      <c r="H3565" t="s">
        <v>15523</v>
      </c>
      <c r="I3565" t="s">
        <v>18211</v>
      </c>
      <c r="K3565" t="e">
        <v>#N/A</v>
      </c>
      <c r="S3565" s="3"/>
    </row>
    <row r="3566" spans="1:19" x14ac:dyDescent="0.25">
      <c r="A3566" t="s">
        <v>10199</v>
      </c>
      <c r="B3566" t="s">
        <v>10200</v>
      </c>
      <c r="C3566" t="s">
        <v>10201</v>
      </c>
      <c r="D3566" t="s">
        <v>23</v>
      </c>
      <c r="E3566">
        <v>4015</v>
      </c>
      <c r="F3566" s="3">
        <v>40702</v>
      </c>
      <c r="H3566" t="s">
        <v>15523</v>
      </c>
      <c r="I3566" t="s">
        <v>18212</v>
      </c>
      <c r="K3566" t="e">
        <v>#N/A</v>
      </c>
      <c r="S3566" s="3"/>
    </row>
    <row r="3567" spans="1:19" x14ac:dyDescent="0.25">
      <c r="A3567" t="s">
        <v>10202</v>
      </c>
      <c r="B3567" t="s">
        <v>10203</v>
      </c>
      <c r="C3567" t="s">
        <v>10204</v>
      </c>
      <c r="D3567" t="s">
        <v>23</v>
      </c>
      <c r="E3567">
        <v>913</v>
      </c>
      <c r="F3567" s="3">
        <v>40702</v>
      </c>
      <c r="H3567" t="s">
        <v>15523</v>
      </c>
      <c r="I3567" t="s">
        <v>18213</v>
      </c>
      <c r="K3567" t="e">
        <v>#N/A</v>
      </c>
      <c r="S3567" s="3"/>
    </row>
    <row r="3568" spans="1:19" x14ac:dyDescent="0.25">
      <c r="A3568" t="s">
        <v>10205</v>
      </c>
      <c r="B3568" t="s">
        <v>10206</v>
      </c>
      <c r="C3568" t="s">
        <v>10207</v>
      </c>
      <c r="D3568" t="s">
        <v>23</v>
      </c>
      <c r="E3568">
        <v>4016</v>
      </c>
      <c r="F3568" s="3">
        <v>40702</v>
      </c>
      <c r="H3568" t="s">
        <v>15523</v>
      </c>
      <c r="I3568" t="s">
        <v>18214</v>
      </c>
      <c r="K3568" t="e">
        <v>#N/A</v>
      </c>
      <c r="S3568" s="3"/>
    </row>
    <row r="3569" spans="1:19" x14ac:dyDescent="0.25">
      <c r="A3569" t="s">
        <v>10208</v>
      </c>
      <c r="B3569" t="s">
        <v>10209</v>
      </c>
      <c r="C3569" t="s">
        <v>10210</v>
      </c>
      <c r="D3569" t="s">
        <v>23</v>
      </c>
      <c r="E3569">
        <v>4017</v>
      </c>
      <c r="F3569" s="3">
        <v>40702</v>
      </c>
      <c r="H3569" t="s">
        <v>15523</v>
      </c>
      <c r="I3569" t="s">
        <v>18215</v>
      </c>
      <c r="K3569" t="e">
        <v>#N/A</v>
      </c>
      <c r="S3569" s="3"/>
    </row>
    <row r="3570" spans="1:19" x14ac:dyDescent="0.25">
      <c r="A3570" t="s">
        <v>10211</v>
      </c>
      <c r="B3570" t="s">
        <v>10212</v>
      </c>
      <c r="C3570" t="s">
        <v>10213</v>
      </c>
      <c r="D3570" t="s">
        <v>23</v>
      </c>
      <c r="E3570">
        <v>4023</v>
      </c>
      <c r="F3570" s="3">
        <v>40702</v>
      </c>
      <c r="H3570" t="s">
        <v>15523</v>
      </c>
      <c r="I3570" t="s">
        <v>18216</v>
      </c>
      <c r="K3570" t="e">
        <v>#N/A</v>
      </c>
      <c r="S3570" s="3"/>
    </row>
    <row r="3571" spans="1:19" x14ac:dyDescent="0.25">
      <c r="A3571" t="s">
        <v>10214</v>
      </c>
      <c r="B3571" t="s">
        <v>10215</v>
      </c>
      <c r="C3571" t="s">
        <v>10216</v>
      </c>
      <c r="D3571" t="s">
        <v>23</v>
      </c>
      <c r="E3571">
        <v>4024</v>
      </c>
      <c r="F3571" s="3">
        <v>40702</v>
      </c>
      <c r="H3571" t="s">
        <v>15523</v>
      </c>
      <c r="I3571" t="s">
        <v>18217</v>
      </c>
      <c r="K3571" t="e">
        <v>#N/A</v>
      </c>
      <c r="S3571" s="3"/>
    </row>
    <row r="3572" spans="1:19" x14ac:dyDescent="0.25">
      <c r="A3572" t="s">
        <v>10217</v>
      </c>
      <c r="B3572" t="s">
        <v>10218</v>
      </c>
      <c r="C3572" t="s">
        <v>10219</v>
      </c>
      <c r="D3572" t="s">
        <v>23</v>
      </c>
      <c r="E3572">
        <v>4025</v>
      </c>
      <c r="F3572" s="3">
        <v>40702</v>
      </c>
      <c r="H3572" t="s">
        <v>15523</v>
      </c>
      <c r="I3572" t="s">
        <v>18218</v>
      </c>
      <c r="K3572" t="e">
        <v>#N/A</v>
      </c>
      <c r="S3572" s="3"/>
    </row>
    <row r="3573" spans="1:19" x14ac:dyDescent="0.25">
      <c r="A3573" t="s">
        <v>10220</v>
      </c>
      <c r="B3573" t="s">
        <v>10221</v>
      </c>
      <c r="C3573" t="s">
        <v>10222</v>
      </c>
      <c r="D3573" t="s">
        <v>23</v>
      </c>
      <c r="E3573">
        <v>5079</v>
      </c>
      <c r="F3573" s="3">
        <v>41683</v>
      </c>
      <c r="H3573" t="s">
        <v>15523</v>
      </c>
      <c r="I3573" t="s">
        <v>18219</v>
      </c>
      <c r="K3573" t="e">
        <v>#N/A</v>
      </c>
      <c r="S3573" s="3"/>
    </row>
    <row r="3574" spans="1:19" x14ac:dyDescent="0.25">
      <c r="A3574" t="s">
        <v>10223</v>
      </c>
      <c r="B3574" t="s">
        <v>10224</v>
      </c>
      <c r="C3574" t="s">
        <v>10225</v>
      </c>
      <c r="D3574" t="s">
        <v>23</v>
      </c>
      <c r="E3574">
        <v>4029</v>
      </c>
      <c r="F3574" s="3">
        <v>40702</v>
      </c>
      <c r="H3574" t="s">
        <v>15523</v>
      </c>
      <c r="I3574" t="s">
        <v>18220</v>
      </c>
      <c r="K3574" t="e">
        <v>#N/A</v>
      </c>
      <c r="S3574" s="3"/>
    </row>
    <row r="3575" spans="1:19" x14ac:dyDescent="0.25">
      <c r="A3575" t="s">
        <v>10226</v>
      </c>
      <c r="B3575" t="s">
        <v>10227</v>
      </c>
      <c r="C3575" t="s">
        <v>10228</v>
      </c>
      <c r="D3575" t="s">
        <v>23</v>
      </c>
      <c r="E3575">
        <v>4030</v>
      </c>
      <c r="F3575" s="3">
        <v>40702</v>
      </c>
      <c r="H3575" t="s">
        <v>15523</v>
      </c>
      <c r="I3575" t="s">
        <v>18221</v>
      </c>
      <c r="K3575" t="e">
        <v>#N/A</v>
      </c>
      <c r="S3575" s="3"/>
    </row>
    <row r="3576" spans="1:19" x14ac:dyDescent="0.25">
      <c r="A3576" t="s">
        <v>10229</v>
      </c>
      <c r="B3576" t="s">
        <v>10230</v>
      </c>
      <c r="C3576" t="s">
        <v>10231</v>
      </c>
      <c r="D3576" t="s">
        <v>23</v>
      </c>
      <c r="E3576">
        <v>4031</v>
      </c>
      <c r="F3576" s="3">
        <v>40702</v>
      </c>
      <c r="H3576" t="s">
        <v>15523</v>
      </c>
      <c r="I3576" t="s">
        <v>18222</v>
      </c>
      <c r="K3576" t="e">
        <v>#N/A</v>
      </c>
      <c r="S3576" s="3"/>
    </row>
    <row r="3577" spans="1:19" x14ac:dyDescent="0.25">
      <c r="A3577" t="s">
        <v>10232</v>
      </c>
      <c r="B3577" t="s">
        <v>10233</v>
      </c>
      <c r="C3577" t="s">
        <v>10234</v>
      </c>
      <c r="D3577" t="s">
        <v>23</v>
      </c>
      <c r="E3577">
        <v>4033</v>
      </c>
      <c r="F3577" s="3">
        <v>40702</v>
      </c>
      <c r="H3577" t="s">
        <v>15523</v>
      </c>
      <c r="I3577" t="s">
        <v>18223</v>
      </c>
      <c r="K3577" t="e">
        <v>#N/A</v>
      </c>
      <c r="S3577" s="3"/>
    </row>
    <row r="3578" spans="1:19" x14ac:dyDescent="0.25">
      <c r="A3578" t="s">
        <v>10235</v>
      </c>
      <c r="B3578" t="s">
        <v>10236</v>
      </c>
      <c r="C3578" t="s">
        <v>10237</v>
      </c>
      <c r="D3578" t="s">
        <v>23</v>
      </c>
      <c r="E3578">
        <v>906</v>
      </c>
      <c r="F3578" s="3">
        <v>40702</v>
      </c>
      <c r="H3578" t="s">
        <v>15523</v>
      </c>
      <c r="I3578" t="s">
        <v>18224</v>
      </c>
      <c r="K3578" t="e">
        <v>#N/A</v>
      </c>
      <c r="S3578" s="3"/>
    </row>
    <row r="3579" spans="1:19" x14ac:dyDescent="0.25">
      <c r="A3579" t="s">
        <v>10238</v>
      </c>
      <c r="B3579" t="s">
        <v>10239</v>
      </c>
      <c r="C3579" t="s">
        <v>10240</v>
      </c>
      <c r="D3579" t="s">
        <v>23</v>
      </c>
      <c r="E3579">
        <v>4035</v>
      </c>
      <c r="F3579" s="3">
        <v>40702</v>
      </c>
      <c r="H3579" t="s">
        <v>15523</v>
      </c>
      <c r="I3579" t="s">
        <v>18225</v>
      </c>
      <c r="K3579" t="e">
        <v>#N/A</v>
      </c>
      <c r="S3579" s="3"/>
    </row>
    <row r="3580" spans="1:19" x14ac:dyDescent="0.25">
      <c r="A3580" t="s">
        <v>10241</v>
      </c>
      <c r="B3580" t="s">
        <v>10242</v>
      </c>
      <c r="C3580" t="s">
        <v>10243</v>
      </c>
      <c r="D3580" t="s">
        <v>23</v>
      </c>
      <c r="E3580">
        <v>4036</v>
      </c>
      <c r="F3580" s="3">
        <v>41006</v>
      </c>
      <c r="H3580" t="s">
        <v>15523</v>
      </c>
      <c r="I3580" t="s">
        <v>18226</v>
      </c>
      <c r="K3580" t="e">
        <v>#N/A</v>
      </c>
      <c r="S3580" s="3"/>
    </row>
    <row r="3581" spans="1:19" x14ac:dyDescent="0.25">
      <c r="A3581" t="s">
        <v>10244</v>
      </c>
      <c r="B3581" t="s">
        <v>10245</v>
      </c>
      <c r="C3581" t="s">
        <v>10246</v>
      </c>
      <c r="D3581" t="s">
        <v>23</v>
      </c>
      <c r="E3581">
        <v>4037</v>
      </c>
      <c r="F3581" s="3">
        <v>40702</v>
      </c>
      <c r="H3581" t="s">
        <v>15523</v>
      </c>
      <c r="I3581" t="s">
        <v>18227</v>
      </c>
      <c r="K3581" t="e">
        <v>#N/A</v>
      </c>
      <c r="S3581" s="3"/>
    </row>
    <row r="3582" spans="1:19" x14ac:dyDescent="0.25">
      <c r="A3582" t="s">
        <v>10247</v>
      </c>
      <c r="B3582" t="s">
        <v>10248</v>
      </c>
      <c r="C3582" t="s">
        <v>10249</v>
      </c>
      <c r="D3582" t="s">
        <v>23</v>
      </c>
      <c r="E3582">
        <v>4038</v>
      </c>
      <c r="F3582" s="3">
        <v>40702</v>
      </c>
      <c r="H3582" t="s">
        <v>15523</v>
      </c>
      <c r="I3582" t="s">
        <v>18228</v>
      </c>
      <c r="K3582" t="e">
        <v>#N/A</v>
      </c>
      <c r="S3582" s="3"/>
    </row>
    <row r="3583" spans="1:19" x14ac:dyDescent="0.25">
      <c r="A3583" t="s">
        <v>10250</v>
      </c>
      <c r="B3583" t="s">
        <v>10251</v>
      </c>
      <c r="C3583" t="s">
        <v>10252</v>
      </c>
      <c r="D3583" t="s">
        <v>23</v>
      </c>
      <c r="E3583">
        <v>5125</v>
      </c>
      <c r="F3583" s="3">
        <v>41818</v>
      </c>
      <c r="H3583" t="s">
        <v>15523</v>
      </c>
      <c r="I3583" t="s">
        <v>18229</v>
      </c>
      <c r="K3583" t="e">
        <v>#N/A</v>
      </c>
      <c r="S3583" s="3"/>
    </row>
    <row r="3584" spans="1:19" x14ac:dyDescent="0.25">
      <c r="A3584" t="s">
        <v>10253</v>
      </c>
      <c r="B3584" t="s">
        <v>10254</v>
      </c>
      <c r="C3584" t="s">
        <v>10255</v>
      </c>
      <c r="D3584" t="s">
        <v>23</v>
      </c>
      <c r="E3584">
        <v>4039</v>
      </c>
      <c r="F3584" s="3">
        <v>40702</v>
      </c>
      <c r="H3584" t="s">
        <v>15523</v>
      </c>
      <c r="I3584" t="s">
        <v>18230</v>
      </c>
      <c r="K3584" t="e">
        <v>#N/A</v>
      </c>
      <c r="S3584" s="3"/>
    </row>
    <row r="3585" spans="1:19" x14ac:dyDescent="0.25">
      <c r="A3585" t="s">
        <v>10256</v>
      </c>
      <c r="B3585" t="s">
        <v>10257</v>
      </c>
      <c r="C3585" t="s">
        <v>10258</v>
      </c>
      <c r="D3585" t="s">
        <v>23</v>
      </c>
      <c r="E3585">
        <v>4040</v>
      </c>
      <c r="F3585" s="3">
        <v>40702</v>
      </c>
      <c r="H3585" t="s">
        <v>15523</v>
      </c>
      <c r="I3585" t="s">
        <v>18231</v>
      </c>
      <c r="K3585" t="e">
        <v>#N/A</v>
      </c>
      <c r="S3585" s="3"/>
    </row>
    <row r="3586" spans="1:19" x14ac:dyDescent="0.25">
      <c r="A3586" t="s">
        <v>10259</v>
      </c>
      <c r="B3586" t="s">
        <v>10260</v>
      </c>
      <c r="C3586" t="s">
        <v>10261</v>
      </c>
      <c r="D3586" t="s">
        <v>23</v>
      </c>
      <c r="E3586">
        <v>4041</v>
      </c>
      <c r="F3586" s="3">
        <v>40702</v>
      </c>
      <c r="H3586" t="s">
        <v>15523</v>
      </c>
      <c r="I3586" t="s">
        <v>18232</v>
      </c>
      <c r="K3586" t="e">
        <v>#N/A</v>
      </c>
      <c r="S3586" s="3"/>
    </row>
    <row r="3587" spans="1:19" x14ac:dyDescent="0.25">
      <c r="A3587" t="s">
        <v>10262</v>
      </c>
      <c r="B3587" t="s">
        <v>10263</v>
      </c>
      <c r="C3587" t="s">
        <v>10264</v>
      </c>
      <c r="D3587" t="s">
        <v>23</v>
      </c>
      <c r="E3587">
        <v>4042</v>
      </c>
      <c r="F3587" s="3">
        <v>40702</v>
      </c>
      <c r="H3587" t="s">
        <v>15523</v>
      </c>
      <c r="I3587" t="s">
        <v>18233</v>
      </c>
      <c r="K3587" t="e">
        <v>#N/A</v>
      </c>
      <c r="S3587" s="3"/>
    </row>
    <row r="3588" spans="1:19" x14ac:dyDescent="0.25">
      <c r="A3588" t="s">
        <v>10265</v>
      </c>
      <c r="B3588" t="s">
        <v>10266</v>
      </c>
      <c r="C3588" t="s">
        <v>10267</v>
      </c>
      <c r="D3588" t="s">
        <v>23</v>
      </c>
      <c r="E3588">
        <v>4043</v>
      </c>
      <c r="F3588" s="3">
        <v>43441</v>
      </c>
      <c r="H3588" t="s">
        <v>15523</v>
      </c>
      <c r="I3588" t="s">
        <v>18234</v>
      </c>
      <c r="K3588" t="e">
        <v>#N/A</v>
      </c>
      <c r="S3588" s="3"/>
    </row>
    <row r="3589" spans="1:19" x14ac:dyDescent="0.25">
      <c r="A3589" t="s">
        <v>10268</v>
      </c>
      <c r="B3589" t="s">
        <v>10269</v>
      </c>
      <c r="C3589" t="s">
        <v>10270</v>
      </c>
      <c r="D3589" t="s">
        <v>23</v>
      </c>
      <c r="E3589">
        <v>4044</v>
      </c>
      <c r="F3589" s="3">
        <v>40702</v>
      </c>
      <c r="H3589" t="s">
        <v>15523</v>
      </c>
      <c r="I3589" t="s">
        <v>18235</v>
      </c>
      <c r="K3589" t="e">
        <v>#N/A</v>
      </c>
      <c r="S3589" s="3"/>
    </row>
    <row r="3590" spans="1:19" x14ac:dyDescent="0.25">
      <c r="A3590" t="s">
        <v>10271</v>
      </c>
      <c r="B3590" t="s">
        <v>10272</v>
      </c>
      <c r="C3590" t="s">
        <v>10273</v>
      </c>
      <c r="D3590" t="s">
        <v>23</v>
      </c>
      <c r="E3590">
        <v>4045</v>
      </c>
      <c r="F3590" s="3">
        <v>40702</v>
      </c>
      <c r="H3590" t="s">
        <v>15523</v>
      </c>
      <c r="I3590" t="s">
        <v>18236</v>
      </c>
      <c r="K3590" t="e">
        <v>#N/A</v>
      </c>
      <c r="S3590" s="3"/>
    </row>
    <row r="3591" spans="1:19" x14ac:dyDescent="0.25">
      <c r="A3591" t="s">
        <v>10274</v>
      </c>
      <c r="B3591" t="s">
        <v>10275</v>
      </c>
      <c r="C3591" t="s">
        <v>10276</v>
      </c>
      <c r="D3591" t="s">
        <v>23</v>
      </c>
      <c r="E3591">
        <v>4046</v>
      </c>
      <c r="F3591" s="3">
        <v>40702</v>
      </c>
      <c r="H3591" t="s">
        <v>15523</v>
      </c>
      <c r="I3591" t="s">
        <v>18237</v>
      </c>
      <c r="K3591" t="e">
        <v>#N/A</v>
      </c>
      <c r="S3591" s="3"/>
    </row>
    <row r="3592" spans="1:19" x14ac:dyDescent="0.25">
      <c r="A3592" t="s">
        <v>10277</v>
      </c>
      <c r="B3592" t="s">
        <v>10278</v>
      </c>
      <c r="C3592" t="s">
        <v>10279</v>
      </c>
      <c r="D3592" t="s">
        <v>23</v>
      </c>
      <c r="E3592">
        <v>4047</v>
      </c>
      <c r="F3592" s="3">
        <v>40702</v>
      </c>
      <c r="H3592" t="s">
        <v>15523</v>
      </c>
      <c r="I3592" t="s">
        <v>18238</v>
      </c>
      <c r="K3592" t="e">
        <v>#N/A</v>
      </c>
      <c r="S3592" s="3"/>
    </row>
    <row r="3593" spans="1:19" x14ac:dyDescent="0.25">
      <c r="A3593" t="s">
        <v>10280</v>
      </c>
      <c r="B3593" t="s">
        <v>10281</v>
      </c>
      <c r="C3593" t="s">
        <v>10282</v>
      </c>
      <c r="D3593" t="s">
        <v>23</v>
      </c>
      <c r="E3593">
        <v>4049</v>
      </c>
      <c r="F3593" s="3">
        <v>40702</v>
      </c>
      <c r="H3593" t="s">
        <v>15523</v>
      </c>
      <c r="I3593" t="s">
        <v>18239</v>
      </c>
      <c r="K3593" t="e">
        <v>#N/A</v>
      </c>
      <c r="S3593" s="3"/>
    </row>
    <row r="3594" spans="1:19" x14ac:dyDescent="0.25">
      <c r="A3594" t="s">
        <v>10283</v>
      </c>
      <c r="B3594" t="s">
        <v>10284</v>
      </c>
      <c r="C3594" t="s">
        <v>10285</v>
      </c>
      <c r="D3594" t="s">
        <v>23</v>
      </c>
      <c r="E3594">
        <v>5553</v>
      </c>
      <c r="F3594" s="3">
        <v>42385</v>
      </c>
      <c r="H3594" t="s">
        <v>15523</v>
      </c>
      <c r="I3594" t="s">
        <v>18240</v>
      </c>
      <c r="K3594" t="e">
        <v>#N/A</v>
      </c>
      <c r="S3594" s="3"/>
    </row>
    <row r="3595" spans="1:19" x14ac:dyDescent="0.25">
      <c r="A3595" t="s">
        <v>10286</v>
      </c>
      <c r="B3595" t="s">
        <v>10287</v>
      </c>
      <c r="C3595" t="s">
        <v>10288</v>
      </c>
      <c r="D3595" t="s">
        <v>23</v>
      </c>
      <c r="E3595">
        <v>2472</v>
      </c>
      <c r="F3595" s="3">
        <v>40702</v>
      </c>
      <c r="H3595" t="s">
        <v>15523</v>
      </c>
      <c r="I3595" t="s">
        <v>18241</v>
      </c>
      <c r="K3595" t="e">
        <v>#N/A</v>
      </c>
      <c r="S3595" s="3"/>
    </row>
    <row r="3596" spans="1:19" x14ac:dyDescent="0.25">
      <c r="A3596" t="s">
        <v>10289</v>
      </c>
      <c r="B3596" t="s">
        <v>10290</v>
      </c>
      <c r="C3596" t="s">
        <v>10291</v>
      </c>
      <c r="D3596" t="s">
        <v>23</v>
      </c>
      <c r="E3596">
        <v>4059</v>
      </c>
      <c r="F3596" s="3">
        <v>40702</v>
      </c>
      <c r="H3596" t="s">
        <v>15523</v>
      </c>
      <c r="I3596" t="s">
        <v>18242</v>
      </c>
      <c r="K3596" t="e">
        <v>#N/A</v>
      </c>
      <c r="S3596" s="3"/>
    </row>
    <row r="3597" spans="1:19" x14ac:dyDescent="0.25">
      <c r="A3597" t="s">
        <v>10292</v>
      </c>
      <c r="B3597" t="s">
        <v>10293</v>
      </c>
      <c r="C3597" t="s">
        <v>16179</v>
      </c>
      <c r="D3597" t="s">
        <v>23</v>
      </c>
      <c r="E3597">
        <v>3887</v>
      </c>
      <c r="F3597" s="3">
        <v>40702</v>
      </c>
      <c r="H3597" t="s">
        <v>15523</v>
      </c>
      <c r="I3597" t="s">
        <v>16180</v>
      </c>
      <c r="K3597" t="e">
        <v>#N/A</v>
      </c>
      <c r="S3597" s="3"/>
    </row>
    <row r="3598" spans="1:19" x14ac:dyDescent="0.25">
      <c r="A3598" t="s">
        <v>10294</v>
      </c>
      <c r="B3598" t="s">
        <v>10295</v>
      </c>
      <c r="C3598" t="s">
        <v>16179</v>
      </c>
      <c r="D3598" t="s">
        <v>23</v>
      </c>
      <c r="E3598">
        <v>3888</v>
      </c>
      <c r="F3598" s="3">
        <v>40702</v>
      </c>
      <c r="H3598" t="s">
        <v>15523</v>
      </c>
      <c r="I3598" t="s">
        <v>16180</v>
      </c>
      <c r="K3598" t="e">
        <v>#N/A</v>
      </c>
      <c r="S3598" s="3"/>
    </row>
    <row r="3599" spans="1:19" x14ac:dyDescent="0.25">
      <c r="A3599" t="s">
        <v>10296</v>
      </c>
      <c r="B3599" t="s">
        <v>10297</v>
      </c>
      <c r="C3599" t="s">
        <v>10298</v>
      </c>
      <c r="D3599" t="s">
        <v>23</v>
      </c>
      <c r="E3599">
        <v>4063</v>
      </c>
      <c r="F3599" s="3">
        <v>40702</v>
      </c>
      <c r="H3599" t="s">
        <v>15523</v>
      </c>
      <c r="I3599" t="s">
        <v>18243</v>
      </c>
      <c r="K3599" t="e">
        <v>#N/A</v>
      </c>
      <c r="S3599" s="3"/>
    </row>
    <row r="3600" spans="1:19" x14ac:dyDescent="0.25">
      <c r="A3600" t="s">
        <v>10299</v>
      </c>
      <c r="B3600" t="s">
        <v>10300</v>
      </c>
      <c r="C3600" t="s">
        <v>10301</v>
      </c>
      <c r="D3600" t="s">
        <v>23</v>
      </c>
      <c r="E3600">
        <v>4074</v>
      </c>
      <c r="F3600" s="3">
        <v>40702</v>
      </c>
      <c r="H3600" t="s">
        <v>15523</v>
      </c>
      <c r="I3600" t="s">
        <v>18244</v>
      </c>
      <c r="K3600" t="e">
        <v>#N/A</v>
      </c>
      <c r="S3600" s="3"/>
    </row>
    <row r="3601" spans="1:19" x14ac:dyDescent="0.25">
      <c r="A3601" t="s">
        <v>10302</v>
      </c>
      <c r="B3601" t="s">
        <v>10303</v>
      </c>
      <c r="C3601" t="s">
        <v>10304</v>
      </c>
      <c r="D3601" t="s">
        <v>23</v>
      </c>
      <c r="E3601">
        <v>4075</v>
      </c>
      <c r="F3601" s="3">
        <v>40702</v>
      </c>
      <c r="H3601" t="s">
        <v>15523</v>
      </c>
      <c r="I3601" t="s">
        <v>18245</v>
      </c>
      <c r="K3601" t="e">
        <v>#N/A</v>
      </c>
      <c r="S3601" s="3"/>
    </row>
    <row r="3602" spans="1:19" x14ac:dyDescent="0.25">
      <c r="A3602" t="s">
        <v>10305</v>
      </c>
      <c r="B3602" t="s">
        <v>10306</v>
      </c>
      <c r="C3602" t="s">
        <v>10307</v>
      </c>
      <c r="D3602" t="s">
        <v>23</v>
      </c>
      <c r="E3602">
        <v>5247</v>
      </c>
      <c r="F3602" s="3">
        <v>42040</v>
      </c>
      <c r="H3602" t="s">
        <v>15523</v>
      </c>
      <c r="I3602" t="s">
        <v>18246</v>
      </c>
      <c r="K3602" t="e">
        <v>#N/A</v>
      </c>
      <c r="S3602" s="3"/>
    </row>
    <row r="3603" spans="1:19" x14ac:dyDescent="0.25">
      <c r="A3603" t="s">
        <v>10308</v>
      </c>
      <c r="B3603" t="s">
        <v>10309</v>
      </c>
      <c r="C3603" t="s">
        <v>10310</v>
      </c>
      <c r="D3603" t="s">
        <v>23</v>
      </c>
      <c r="E3603">
        <v>5980</v>
      </c>
      <c r="F3603" s="3">
        <v>43375</v>
      </c>
      <c r="H3603" t="s">
        <v>15523</v>
      </c>
      <c r="I3603" t="s">
        <v>18247</v>
      </c>
      <c r="K3603" t="e">
        <v>#N/A</v>
      </c>
      <c r="S3603" s="3"/>
    </row>
    <row r="3604" spans="1:19" x14ac:dyDescent="0.25">
      <c r="A3604" t="s">
        <v>10311</v>
      </c>
      <c r="B3604" t="s">
        <v>10312</v>
      </c>
      <c r="C3604" t="s">
        <v>10313</v>
      </c>
      <c r="D3604" t="s">
        <v>23</v>
      </c>
      <c r="E3604">
        <v>4077</v>
      </c>
      <c r="F3604" s="3">
        <v>40702</v>
      </c>
      <c r="H3604" t="s">
        <v>15523</v>
      </c>
      <c r="I3604" t="s">
        <v>18248</v>
      </c>
      <c r="K3604" t="e">
        <v>#N/A</v>
      </c>
      <c r="S3604" s="3"/>
    </row>
    <row r="3605" spans="1:19" x14ac:dyDescent="0.25">
      <c r="A3605" t="s">
        <v>10314</v>
      </c>
      <c r="B3605" t="s">
        <v>10315</v>
      </c>
      <c r="C3605" t="s">
        <v>10316</v>
      </c>
      <c r="D3605" t="s">
        <v>23</v>
      </c>
      <c r="E3605">
        <v>2233</v>
      </c>
      <c r="F3605" s="3">
        <v>40702</v>
      </c>
      <c r="H3605" t="s">
        <v>15523</v>
      </c>
      <c r="I3605" t="s">
        <v>18249</v>
      </c>
      <c r="K3605" t="e">
        <v>#N/A</v>
      </c>
      <c r="S3605" s="3"/>
    </row>
    <row r="3606" spans="1:19" x14ac:dyDescent="0.25">
      <c r="A3606" t="s">
        <v>10317</v>
      </c>
      <c r="B3606" t="s">
        <v>10318</v>
      </c>
      <c r="C3606" s="3">
        <v>96639</v>
      </c>
      <c r="D3606" t="s">
        <v>23</v>
      </c>
      <c r="E3606">
        <v>1898</v>
      </c>
      <c r="F3606" s="3">
        <v>40704</v>
      </c>
      <c r="H3606" t="s">
        <v>15523</v>
      </c>
      <c r="I3606" t="s">
        <v>18250</v>
      </c>
      <c r="K3606" t="e">
        <v>#N/A</v>
      </c>
      <c r="P3606" s="3"/>
      <c r="S3606" s="3"/>
    </row>
    <row r="3607" spans="1:19" x14ac:dyDescent="0.25">
      <c r="A3607" t="s">
        <v>10320</v>
      </c>
      <c r="B3607" t="s">
        <v>10321</v>
      </c>
      <c r="C3607" t="s">
        <v>10322</v>
      </c>
      <c r="D3607" t="s">
        <v>23</v>
      </c>
      <c r="E3607">
        <v>4085</v>
      </c>
      <c r="F3607" s="3">
        <v>40702</v>
      </c>
      <c r="H3607" t="s">
        <v>15523</v>
      </c>
      <c r="I3607" t="s">
        <v>18251</v>
      </c>
      <c r="K3607" t="e">
        <v>#N/A</v>
      </c>
      <c r="S3607" s="3"/>
    </row>
    <row r="3608" spans="1:19" x14ac:dyDescent="0.25">
      <c r="A3608" t="s">
        <v>10323</v>
      </c>
      <c r="B3608" t="s">
        <v>10324</v>
      </c>
      <c r="C3608" t="s">
        <v>10325</v>
      </c>
      <c r="D3608" t="s">
        <v>23</v>
      </c>
      <c r="E3608">
        <v>5966</v>
      </c>
      <c r="F3608" s="3">
        <v>43330</v>
      </c>
      <c r="H3608" t="s">
        <v>15523</v>
      </c>
      <c r="I3608" t="s">
        <v>18252</v>
      </c>
      <c r="K3608" t="e">
        <v>#N/A</v>
      </c>
      <c r="S3608" s="3"/>
    </row>
    <row r="3609" spans="1:19" x14ac:dyDescent="0.25">
      <c r="A3609" t="s">
        <v>10326</v>
      </c>
      <c r="B3609" t="s">
        <v>10327</v>
      </c>
      <c r="C3609" t="s">
        <v>10328</v>
      </c>
      <c r="D3609" t="s">
        <v>23</v>
      </c>
      <c r="E3609">
        <v>4087</v>
      </c>
      <c r="F3609" s="3">
        <v>41230</v>
      </c>
      <c r="H3609" t="s">
        <v>15523</v>
      </c>
      <c r="I3609" t="s">
        <v>18253</v>
      </c>
      <c r="K3609" t="e">
        <v>#N/A</v>
      </c>
      <c r="S3609" s="3"/>
    </row>
    <row r="3610" spans="1:19" x14ac:dyDescent="0.25">
      <c r="A3610" t="s">
        <v>10329</v>
      </c>
      <c r="B3610" t="s">
        <v>10330</v>
      </c>
      <c r="C3610" t="s">
        <v>10331</v>
      </c>
      <c r="D3610" t="s">
        <v>23</v>
      </c>
      <c r="E3610">
        <v>4088</v>
      </c>
      <c r="F3610" s="3">
        <v>40702</v>
      </c>
      <c r="H3610" t="s">
        <v>15523</v>
      </c>
      <c r="I3610" t="s">
        <v>18254</v>
      </c>
      <c r="K3610" t="e">
        <v>#N/A</v>
      </c>
      <c r="S3610" s="3"/>
    </row>
    <row r="3611" spans="1:19" x14ac:dyDescent="0.25">
      <c r="A3611" t="s">
        <v>10332</v>
      </c>
      <c r="B3611" t="s">
        <v>10333</v>
      </c>
      <c r="C3611" t="s">
        <v>10334</v>
      </c>
      <c r="D3611" t="s">
        <v>23</v>
      </c>
      <c r="E3611">
        <v>4089</v>
      </c>
      <c r="F3611" s="3">
        <v>40702</v>
      </c>
      <c r="H3611" t="s">
        <v>15523</v>
      </c>
      <c r="I3611" t="s">
        <v>18255</v>
      </c>
      <c r="K3611" t="e">
        <v>#N/A</v>
      </c>
      <c r="S3611" s="3"/>
    </row>
    <row r="3612" spans="1:19" x14ac:dyDescent="0.25">
      <c r="A3612" t="s">
        <v>10335</v>
      </c>
      <c r="B3612" t="s">
        <v>10336</v>
      </c>
      <c r="C3612" t="s">
        <v>10337</v>
      </c>
      <c r="D3612" t="s">
        <v>23</v>
      </c>
      <c r="E3612">
        <v>4093</v>
      </c>
      <c r="F3612" s="3">
        <v>40702</v>
      </c>
      <c r="H3612" t="s">
        <v>15523</v>
      </c>
      <c r="I3612" t="s">
        <v>18256</v>
      </c>
      <c r="K3612" t="e">
        <v>#N/A</v>
      </c>
      <c r="S3612" s="3"/>
    </row>
    <row r="3613" spans="1:19" x14ac:dyDescent="0.25">
      <c r="A3613" t="s">
        <v>10338</v>
      </c>
      <c r="B3613" t="s">
        <v>10339</v>
      </c>
      <c r="C3613" t="s">
        <v>10340</v>
      </c>
      <c r="D3613" t="s">
        <v>23</v>
      </c>
      <c r="E3613">
        <v>5765</v>
      </c>
      <c r="F3613" s="3">
        <v>42822</v>
      </c>
      <c r="H3613" t="s">
        <v>15523</v>
      </c>
      <c r="I3613" t="s">
        <v>18257</v>
      </c>
      <c r="K3613" t="e">
        <v>#N/A</v>
      </c>
      <c r="S3613" s="3"/>
    </row>
    <row r="3614" spans="1:19" x14ac:dyDescent="0.25">
      <c r="A3614" t="s">
        <v>10341</v>
      </c>
      <c r="B3614" t="s">
        <v>10342</v>
      </c>
      <c r="C3614" t="s">
        <v>10343</v>
      </c>
      <c r="D3614" t="s">
        <v>23</v>
      </c>
      <c r="E3614">
        <v>1900</v>
      </c>
      <c r="F3614" s="3">
        <v>40702</v>
      </c>
      <c r="H3614" t="s">
        <v>15523</v>
      </c>
      <c r="I3614" t="s">
        <v>18258</v>
      </c>
      <c r="K3614" t="e">
        <v>#N/A</v>
      </c>
      <c r="S3614" s="3"/>
    </row>
    <row r="3615" spans="1:19" x14ac:dyDescent="0.25">
      <c r="A3615" t="s">
        <v>10344</v>
      </c>
      <c r="B3615" t="s">
        <v>10345</v>
      </c>
      <c r="C3615" t="s">
        <v>10346</v>
      </c>
      <c r="D3615" t="s">
        <v>23</v>
      </c>
      <c r="E3615">
        <v>2484</v>
      </c>
      <c r="F3615" s="3">
        <v>40702</v>
      </c>
      <c r="H3615" t="s">
        <v>15523</v>
      </c>
      <c r="I3615" t="s">
        <v>18259</v>
      </c>
      <c r="K3615" t="e">
        <v>#N/A</v>
      </c>
      <c r="S3615" s="3"/>
    </row>
    <row r="3616" spans="1:19" x14ac:dyDescent="0.25">
      <c r="A3616" t="s">
        <v>10347</v>
      </c>
      <c r="B3616" t="s">
        <v>10348</v>
      </c>
      <c r="C3616" t="s">
        <v>10349</v>
      </c>
      <c r="D3616" t="s">
        <v>23</v>
      </c>
      <c r="E3616">
        <v>1114</v>
      </c>
      <c r="F3616" s="3">
        <v>40702</v>
      </c>
      <c r="H3616" t="s">
        <v>15523</v>
      </c>
      <c r="I3616" t="s">
        <v>18260</v>
      </c>
      <c r="K3616" t="e">
        <v>#N/A</v>
      </c>
      <c r="S3616" s="3"/>
    </row>
    <row r="3617" spans="1:19" x14ac:dyDescent="0.25">
      <c r="A3617" t="s">
        <v>10350</v>
      </c>
      <c r="B3617" t="s">
        <v>10351</v>
      </c>
      <c r="C3617" t="s">
        <v>10352</v>
      </c>
      <c r="D3617" t="s">
        <v>23</v>
      </c>
      <c r="E3617">
        <v>1113</v>
      </c>
      <c r="F3617" s="3">
        <v>40702</v>
      </c>
      <c r="H3617" t="s">
        <v>15523</v>
      </c>
      <c r="I3617" t="s">
        <v>18261</v>
      </c>
      <c r="K3617" t="e">
        <v>#N/A</v>
      </c>
      <c r="S3617" s="3"/>
    </row>
    <row r="3618" spans="1:19" x14ac:dyDescent="0.25">
      <c r="A3618" t="s">
        <v>10353</v>
      </c>
      <c r="B3618" t="s">
        <v>10354</v>
      </c>
      <c r="C3618" t="s">
        <v>10355</v>
      </c>
      <c r="D3618" t="s">
        <v>23</v>
      </c>
      <c r="E3618">
        <v>6007</v>
      </c>
      <c r="F3618" s="3">
        <v>43495</v>
      </c>
      <c r="H3618" t="s">
        <v>15523</v>
      </c>
      <c r="I3618" t="s">
        <v>18262</v>
      </c>
      <c r="K3618" t="e">
        <v>#N/A</v>
      </c>
      <c r="S3618" s="3"/>
    </row>
    <row r="3619" spans="1:19" x14ac:dyDescent="0.25">
      <c r="A3619" t="s">
        <v>10356</v>
      </c>
      <c r="B3619" t="s">
        <v>10357</v>
      </c>
      <c r="C3619" t="s">
        <v>10358</v>
      </c>
      <c r="D3619" t="s">
        <v>23</v>
      </c>
      <c r="E3619">
        <v>4095</v>
      </c>
      <c r="F3619" s="3">
        <v>41230</v>
      </c>
      <c r="H3619" t="s">
        <v>15523</v>
      </c>
      <c r="I3619" t="s">
        <v>18263</v>
      </c>
      <c r="K3619" t="e">
        <v>#N/A</v>
      </c>
      <c r="S3619" s="3"/>
    </row>
    <row r="3620" spans="1:19" x14ac:dyDescent="0.25">
      <c r="A3620" t="s">
        <v>10359</v>
      </c>
      <c r="B3620" t="s">
        <v>10360</v>
      </c>
      <c r="C3620" t="s">
        <v>10361</v>
      </c>
      <c r="D3620" t="s">
        <v>23</v>
      </c>
      <c r="E3620">
        <v>4096</v>
      </c>
      <c r="F3620" s="3">
        <v>40702</v>
      </c>
      <c r="H3620" t="s">
        <v>15523</v>
      </c>
      <c r="I3620" t="s">
        <v>18264</v>
      </c>
      <c r="K3620" t="e">
        <v>#N/A</v>
      </c>
      <c r="S3620" s="3"/>
    </row>
    <row r="3621" spans="1:19" x14ac:dyDescent="0.25">
      <c r="A3621" t="s">
        <v>10362</v>
      </c>
      <c r="B3621" t="s">
        <v>10363</v>
      </c>
      <c r="C3621" t="s">
        <v>10364</v>
      </c>
      <c r="D3621" t="s">
        <v>23</v>
      </c>
      <c r="E3621">
        <v>4104</v>
      </c>
      <c r="F3621" s="3">
        <v>40702</v>
      </c>
      <c r="H3621" t="s">
        <v>15523</v>
      </c>
      <c r="I3621" t="s">
        <v>18265</v>
      </c>
      <c r="K3621" t="e">
        <v>#N/A</v>
      </c>
      <c r="S3621" s="3"/>
    </row>
    <row r="3622" spans="1:19" x14ac:dyDescent="0.25">
      <c r="A3622" t="s">
        <v>10365</v>
      </c>
      <c r="B3622" t="s">
        <v>10366</v>
      </c>
      <c r="C3622" t="s">
        <v>10367</v>
      </c>
      <c r="D3622" t="s">
        <v>23</v>
      </c>
      <c r="E3622">
        <v>4110</v>
      </c>
      <c r="F3622" s="3">
        <v>43798</v>
      </c>
      <c r="H3622" t="s">
        <v>15523</v>
      </c>
      <c r="I3622" t="s">
        <v>18266</v>
      </c>
      <c r="K3622" t="e">
        <v>#N/A</v>
      </c>
      <c r="S3622" s="3"/>
    </row>
    <row r="3623" spans="1:19" x14ac:dyDescent="0.25">
      <c r="A3623" t="s">
        <v>10368</v>
      </c>
      <c r="B3623" t="s">
        <v>10369</v>
      </c>
      <c r="C3623" t="s">
        <v>10370</v>
      </c>
      <c r="D3623" t="s">
        <v>23</v>
      </c>
      <c r="E3623">
        <v>4114</v>
      </c>
      <c r="F3623" s="3">
        <v>40702</v>
      </c>
      <c r="H3623" t="s">
        <v>15523</v>
      </c>
      <c r="I3623" t="s">
        <v>18267</v>
      </c>
      <c r="K3623" t="e">
        <v>#N/A</v>
      </c>
      <c r="S3623" s="3"/>
    </row>
    <row r="3624" spans="1:19" x14ac:dyDescent="0.25">
      <c r="A3624" t="s">
        <v>10371</v>
      </c>
      <c r="B3624" t="s">
        <v>10372</v>
      </c>
      <c r="C3624" t="s">
        <v>10373</v>
      </c>
      <c r="D3624" t="s">
        <v>23</v>
      </c>
      <c r="E3624">
        <v>4111</v>
      </c>
      <c r="F3624" s="3">
        <v>40702</v>
      </c>
      <c r="H3624" t="s">
        <v>15523</v>
      </c>
      <c r="I3624" t="s">
        <v>18268</v>
      </c>
      <c r="K3624" t="e">
        <v>#N/A</v>
      </c>
      <c r="S3624" s="3"/>
    </row>
    <row r="3625" spans="1:19" x14ac:dyDescent="0.25">
      <c r="A3625" t="s">
        <v>10374</v>
      </c>
      <c r="B3625" t="s">
        <v>10375</v>
      </c>
      <c r="C3625" t="s">
        <v>10376</v>
      </c>
      <c r="D3625" t="s">
        <v>23</v>
      </c>
      <c r="E3625">
        <v>4112</v>
      </c>
      <c r="F3625" s="3">
        <v>40702</v>
      </c>
      <c r="H3625" t="s">
        <v>15523</v>
      </c>
      <c r="I3625" t="s">
        <v>18269</v>
      </c>
      <c r="K3625" t="e">
        <v>#N/A</v>
      </c>
      <c r="S3625" s="3"/>
    </row>
    <row r="3626" spans="1:19" x14ac:dyDescent="0.25">
      <c r="A3626" t="s">
        <v>10377</v>
      </c>
      <c r="B3626" t="s">
        <v>10378</v>
      </c>
      <c r="C3626" t="s">
        <v>10379</v>
      </c>
      <c r="D3626" t="s">
        <v>23</v>
      </c>
      <c r="E3626">
        <v>1924</v>
      </c>
      <c r="F3626" s="3">
        <v>43133</v>
      </c>
      <c r="H3626" t="s">
        <v>15523</v>
      </c>
      <c r="I3626" t="s">
        <v>18270</v>
      </c>
      <c r="K3626" t="e">
        <v>#N/A</v>
      </c>
      <c r="S3626" s="3"/>
    </row>
    <row r="3627" spans="1:19" x14ac:dyDescent="0.25">
      <c r="A3627" t="s">
        <v>10380</v>
      </c>
      <c r="B3627" t="s">
        <v>10381</v>
      </c>
      <c r="C3627" t="s">
        <v>10382</v>
      </c>
      <c r="D3627" t="s">
        <v>23</v>
      </c>
      <c r="E3627">
        <v>4113</v>
      </c>
      <c r="F3627" s="3">
        <v>40702</v>
      </c>
      <c r="H3627" t="s">
        <v>15523</v>
      </c>
      <c r="I3627" t="s">
        <v>18271</v>
      </c>
      <c r="K3627" t="e">
        <v>#N/A</v>
      </c>
      <c r="S3627" s="3"/>
    </row>
    <row r="3628" spans="1:19" x14ac:dyDescent="0.25">
      <c r="A3628" t="s">
        <v>10383</v>
      </c>
      <c r="B3628" t="s">
        <v>10384</v>
      </c>
      <c r="C3628" t="s">
        <v>10385</v>
      </c>
      <c r="D3628" t="s">
        <v>23</v>
      </c>
      <c r="E3628">
        <v>4115</v>
      </c>
      <c r="F3628" s="3">
        <v>40702</v>
      </c>
      <c r="H3628" t="s">
        <v>15523</v>
      </c>
      <c r="I3628" t="s">
        <v>18272</v>
      </c>
      <c r="K3628" t="e">
        <v>#N/A</v>
      </c>
      <c r="S3628" s="3"/>
    </row>
    <row r="3629" spans="1:19" x14ac:dyDescent="0.25">
      <c r="A3629" t="s">
        <v>10386</v>
      </c>
      <c r="B3629" t="s">
        <v>10387</v>
      </c>
      <c r="C3629" t="s">
        <v>10388</v>
      </c>
      <c r="D3629" t="s">
        <v>23</v>
      </c>
      <c r="E3629">
        <v>1127</v>
      </c>
      <c r="F3629" s="3">
        <v>40702</v>
      </c>
      <c r="H3629" t="s">
        <v>15523</v>
      </c>
      <c r="I3629" t="s">
        <v>18273</v>
      </c>
      <c r="K3629" t="e">
        <v>#N/A</v>
      </c>
      <c r="S3629" s="3"/>
    </row>
    <row r="3630" spans="1:19" x14ac:dyDescent="0.25">
      <c r="A3630" t="s">
        <v>10389</v>
      </c>
      <c r="B3630" t="s">
        <v>10390</v>
      </c>
      <c r="C3630" t="s">
        <v>10391</v>
      </c>
      <c r="D3630" t="s">
        <v>23</v>
      </c>
      <c r="E3630">
        <v>1714</v>
      </c>
      <c r="F3630" s="3">
        <v>40702</v>
      </c>
      <c r="H3630" t="s">
        <v>15523</v>
      </c>
      <c r="I3630" t="s">
        <v>18274</v>
      </c>
      <c r="K3630" t="e">
        <v>#N/A</v>
      </c>
      <c r="S3630" s="3"/>
    </row>
    <row r="3631" spans="1:19" x14ac:dyDescent="0.25">
      <c r="A3631" t="s">
        <v>10392</v>
      </c>
      <c r="B3631" t="s">
        <v>10393</v>
      </c>
      <c r="C3631" s="3">
        <v>2234562</v>
      </c>
      <c r="D3631" t="s">
        <v>23</v>
      </c>
      <c r="E3631">
        <v>4116</v>
      </c>
      <c r="F3631" s="3">
        <v>40704</v>
      </c>
      <c r="H3631" t="s">
        <v>15523</v>
      </c>
      <c r="I3631" t="s">
        <v>18275</v>
      </c>
      <c r="K3631" t="e">
        <v>#N/A</v>
      </c>
      <c r="P3631" s="3"/>
      <c r="S3631" s="3"/>
    </row>
    <row r="3632" spans="1:19" x14ac:dyDescent="0.25">
      <c r="A3632" t="s">
        <v>10395</v>
      </c>
      <c r="B3632" t="s">
        <v>10396</v>
      </c>
      <c r="C3632" t="s">
        <v>10397</v>
      </c>
      <c r="D3632" t="s">
        <v>23</v>
      </c>
      <c r="E3632">
        <v>4117</v>
      </c>
      <c r="F3632" s="3">
        <v>40702</v>
      </c>
      <c r="H3632" t="s">
        <v>15523</v>
      </c>
      <c r="I3632" t="s">
        <v>18276</v>
      </c>
      <c r="K3632" t="e">
        <v>#N/A</v>
      </c>
      <c r="S3632" s="3"/>
    </row>
    <row r="3633" spans="1:19" x14ac:dyDescent="0.25">
      <c r="A3633" t="s">
        <v>10398</v>
      </c>
      <c r="B3633" t="s">
        <v>10399</v>
      </c>
      <c r="C3633" t="s">
        <v>10400</v>
      </c>
      <c r="D3633" t="s">
        <v>23</v>
      </c>
      <c r="E3633">
        <v>6021</v>
      </c>
      <c r="F3633" s="3">
        <v>43518</v>
      </c>
      <c r="H3633" t="s">
        <v>15523</v>
      </c>
      <c r="I3633" t="s">
        <v>18277</v>
      </c>
      <c r="K3633" t="e">
        <v>#N/A</v>
      </c>
      <c r="S3633" s="3"/>
    </row>
    <row r="3634" spans="1:19" x14ac:dyDescent="0.25">
      <c r="A3634" t="s">
        <v>10401</v>
      </c>
      <c r="B3634" t="s">
        <v>10402</v>
      </c>
      <c r="C3634" t="s">
        <v>10403</v>
      </c>
      <c r="D3634" t="s">
        <v>23</v>
      </c>
      <c r="E3634">
        <v>4118</v>
      </c>
      <c r="F3634" s="3">
        <v>40702</v>
      </c>
      <c r="H3634" t="s">
        <v>15523</v>
      </c>
      <c r="I3634" t="s">
        <v>18278</v>
      </c>
      <c r="K3634" t="e">
        <v>#N/A</v>
      </c>
      <c r="S3634" s="3"/>
    </row>
    <row r="3635" spans="1:19" x14ac:dyDescent="0.25">
      <c r="A3635" t="s">
        <v>10404</v>
      </c>
      <c r="B3635" t="s">
        <v>10405</v>
      </c>
      <c r="C3635" t="s">
        <v>10406</v>
      </c>
      <c r="D3635" t="s">
        <v>23</v>
      </c>
      <c r="E3635">
        <v>4119</v>
      </c>
      <c r="F3635" s="3">
        <v>41230</v>
      </c>
      <c r="H3635" t="s">
        <v>15523</v>
      </c>
      <c r="I3635" t="s">
        <v>18279</v>
      </c>
      <c r="K3635" t="e">
        <v>#N/A</v>
      </c>
      <c r="S3635" s="3"/>
    </row>
    <row r="3636" spans="1:19" x14ac:dyDescent="0.25">
      <c r="A3636" t="s">
        <v>10407</v>
      </c>
      <c r="B3636" t="s">
        <v>10408</v>
      </c>
      <c r="C3636" t="s">
        <v>10409</v>
      </c>
      <c r="D3636" t="s">
        <v>23</v>
      </c>
      <c r="E3636">
        <v>4121</v>
      </c>
      <c r="F3636" s="3">
        <v>40702</v>
      </c>
      <c r="H3636" t="s">
        <v>15523</v>
      </c>
      <c r="I3636" t="s">
        <v>18280</v>
      </c>
      <c r="K3636" t="e">
        <v>#N/A</v>
      </c>
      <c r="S3636" s="3"/>
    </row>
    <row r="3637" spans="1:19" x14ac:dyDescent="0.25">
      <c r="A3637" t="s">
        <v>10410</v>
      </c>
      <c r="B3637" t="s">
        <v>10411</v>
      </c>
      <c r="C3637" t="s">
        <v>10412</v>
      </c>
      <c r="D3637" t="s">
        <v>23</v>
      </c>
      <c r="E3637">
        <v>1145</v>
      </c>
      <c r="F3637" s="3">
        <v>40702</v>
      </c>
      <c r="H3637" t="s">
        <v>15523</v>
      </c>
      <c r="I3637" t="s">
        <v>18281</v>
      </c>
      <c r="K3637" t="e">
        <v>#N/A</v>
      </c>
      <c r="S3637" s="3"/>
    </row>
    <row r="3638" spans="1:19" x14ac:dyDescent="0.25">
      <c r="A3638" t="s">
        <v>10413</v>
      </c>
      <c r="B3638" t="s">
        <v>10414</v>
      </c>
      <c r="C3638" t="s">
        <v>10415</v>
      </c>
      <c r="D3638" t="s">
        <v>23</v>
      </c>
      <c r="E3638">
        <v>4133</v>
      </c>
      <c r="F3638" s="3">
        <v>40702</v>
      </c>
      <c r="H3638" t="s">
        <v>15523</v>
      </c>
      <c r="I3638" t="s">
        <v>18282</v>
      </c>
      <c r="K3638" t="e">
        <v>#N/A</v>
      </c>
      <c r="S3638" s="3"/>
    </row>
    <row r="3639" spans="1:19" x14ac:dyDescent="0.25">
      <c r="A3639" t="s">
        <v>10416</v>
      </c>
      <c r="B3639" t="s">
        <v>10417</v>
      </c>
      <c r="C3639" t="s">
        <v>10418</v>
      </c>
      <c r="D3639" t="s">
        <v>23</v>
      </c>
      <c r="E3639">
        <v>4134</v>
      </c>
      <c r="F3639" s="3">
        <v>40702</v>
      </c>
      <c r="H3639" t="s">
        <v>15523</v>
      </c>
      <c r="I3639" t="s">
        <v>18283</v>
      </c>
      <c r="K3639" t="e">
        <v>#N/A</v>
      </c>
      <c r="S3639" s="3"/>
    </row>
    <row r="3640" spans="1:19" x14ac:dyDescent="0.25">
      <c r="A3640" t="s">
        <v>10419</v>
      </c>
      <c r="B3640" t="s">
        <v>10420</v>
      </c>
      <c r="C3640" t="s">
        <v>10421</v>
      </c>
      <c r="D3640" t="s">
        <v>23</v>
      </c>
      <c r="E3640">
        <v>4135</v>
      </c>
      <c r="F3640" s="3">
        <v>40702</v>
      </c>
      <c r="H3640" t="s">
        <v>15523</v>
      </c>
      <c r="I3640" t="s">
        <v>18284</v>
      </c>
      <c r="K3640" t="e">
        <v>#N/A</v>
      </c>
      <c r="S3640" s="3"/>
    </row>
    <row r="3641" spans="1:19" x14ac:dyDescent="0.25">
      <c r="A3641" t="s">
        <v>10422</v>
      </c>
      <c r="B3641" t="s">
        <v>10423</v>
      </c>
      <c r="C3641" t="s">
        <v>10424</v>
      </c>
      <c r="D3641" t="s">
        <v>23</v>
      </c>
      <c r="E3641">
        <v>1133</v>
      </c>
      <c r="F3641" s="3">
        <v>40702</v>
      </c>
      <c r="H3641" t="s">
        <v>15523</v>
      </c>
      <c r="I3641" t="s">
        <v>18285</v>
      </c>
      <c r="K3641" t="e">
        <v>#N/A</v>
      </c>
      <c r="S3641" s="3"/>
    </row>
    <row r="3642" spans="1:19" x14ac:dyDescent="0.25">
      <c r="A3642" t="s">
        <v>10425</v>
      </c>
      <c r="B3642" t="s">
        <v>10426</v>
      </c>
      <c r="C3642" t="s">
        <v>10427</v>
      </c>
      <c r="D3642" t="s">
        <v>23</v>
      </c>
      <c r="E3642">
        <v>4136</v>
      </c>
      <c r="F3642" s="3">
        <v>40702</v>
      </c>
      <c r="H3642" t="s">
        <v>15523</v>
      </c>
      <c r="I3642" t="s">
        <v>18286</v>
      </c>
      <c r="K3642" t="e">
        <v>#N/A</v>
      </c>
      <c r="S3642" s="3"/>
    </row>
    <row r="3643" spans="1:19" x14ac:dyDescent="0.25">
      <c r="A3643" t="s">
        <v>10428</v>
      </c>
      <c r="B3643" t="s">
        <v>10429</v>
      </c>
      <c r="C3643" t="s">
        <v>10430</v>
      </c>
      <c r="D3643" t="s">
        <v>23</v>
      </c>
      <c r="E3643">
        <v>4137</v>
      </c>
      <c r="F3643" s="3">
        <v>40702</v>
      </c>
      <c r="H3643" t="s">
        <v>15523</v>
      </c>
      <c r="I3643" t="s">
        <v>18287</v>
      </c>
      <c r="K3643" t="e">
        <v>#N/A</v>
      </c>
      <c r="S3643" s="3"/>
    </row>
    <row r="3644" spans="1:19" x14ac:dyDescent="0.25">
      <c r="A3644" t="s">
        <v>10431</v>
      </c>
      <c r="B3644" t="s">
        <v>10432</v>
      </c>
      <c r="C3644" t="s">
        <v>10433</v>
      </c>
      <c r="D3644" t="s">
        <v>23</v>
      </c>
      <c r="E3644">
        <v>4138</v>
      </c>
      <c r="F3644" s="3">
        <v>41230</v>
      </c>
      <c r="H3644" t="s">
        <v>15523</v>
      </c>
      <c r="I3644" t="s">
        <v>18288</v>
      </c>
      <c r="K3644" t="e">
        <v>#N/A</v>
      </c>
      <c r="S3644" s="3"/>
    </row>
    <row r="3645" spans="1:19" x14ac:dyDescent="0.25">
      <c r="A3645" t="s">
        <v>10434</v>
      </c>
      <c r="B3645" t="s">
        <v>10435</v>
      </c>
      <c r="C3645" s="3">
        <v>214405</v>
      </c>
      <c r="D3645" t="s">
        <v>23</v>
      </c>
      <c r="E3645">
        <v>4139</v>
      </c>
      <c r="F3645" s="3">
        <v>40704</v>
      </c>
      <c r="H3645" t="s">
        <v>15523</v>
      </c>
      <c r="I3645" t="s">
        <v>18289</v>
      </c>
      <c r="K3645" t="e">
        <v>#N/A</v>
      </c>
      <c r="P3645" s="3"/>
      <c r="S3645" s="3"/>
    </row>
    <row r="3646" spans="1:19" x14ac:dyDescent="0.25">
      <c r="A3646" t="s">
        <v>10437</v>
      </c>
      <c r="B3646" t="s">
        <v>10438</v>
      </c>
      <c r="C3646" t="s">
        <v>10439</v>
      </c>
      <c r="D3646" t="s">
        <v>23</v>
      </c>
      <c r="E3646">
        <v>5945</v>
      </c>
      <c r="F3646" s="3">
        <v>43208</v>
      </c>
      <c r="H3646" t="s">
        <v>15523</v>
      </c>
      <c r="I3646" t="s">
        <v>18290</v>
      </c>
      <c r="K3646" t="e">
        <v>#N/A</v>
      </c>
      <c r="S3646" s="3"/>
    </row>
    <row r="3647" spans="1:19" x14ac:dyDescent="0.25">
      <c r="A3647" t="s">
        <v>10440</v>
      </c>
      <c r="B3647" t="s">
        <v>10441</v>
      </c>
      <c r="C3647" t="s">
        <v>10442</v>
      </c>
      <c r="D3647" t="s">
        <v>23</v>
      </c>
      <c r="E3647">
        <v>4140</v>
      </c>
      <c r="F3647" s="3">
        <v>40702</v>
      </c>
      <c r="H3647" t="s">
        <v>15523</v>
      </c>
      <c r="I3647" t="s">
        <v>18291</v>
      </c>
      <c r="K3647" t="e">
        <v>#N/A</v>
      </c>
      <c r="S3647" s="3"/>
    </row>
    <row r="3648" spans="1:19" x14ac:dyDescent="0.25">
      <c r="A3648" t="s">
        <v>10443</v>
      </c>
      <c r="B3648" t="s">
        <v>10444</v>
      </c>
      <c r="C3648" t="s">
        <v>10445</v>
      </c>
      <c r="D3648" t="s">
        <v>23</v>
      </c>
      <c r="E3648">
        <v>4141</v>
      </c>
      <c r="F3648" s="3">
        <v>40702</v>
      </c>
      <c r="H3648" t="s">
        <v>15523</v>
      </c>
      <c r="I3648" t="s">
        <v>18292</v>
      </c>
      <c r="K3648" t="e">
        <v>#N/A</v>
      </c>
      <c r="S3648" s="3"/>
    </row>
    <row r="3649" spans="1:19" x14ac:dyDescent="0.25">
      <c r="A3649" t="s">
        <v>10446</v>
      </c>
      <c r="B3649" t="s">
        <v>10447</v>
      </c>
      <c r="C3649" t="s">
        <v>10448</v>
      </c>
      <c r="D3649" t="s">
        <v>23</v>
      </c>
      <c r="E3649">
        <v>4142</v>
      </c>
      <c r="F3649" s="3">
        <v>40702</v>
      </c>
      <c r="H3649" t="s">
        <v>15523</v>
      </c>
      <c r="I3649" t="s">
        <v>18293</v>
      </c>
      <c r="K3649" t="e">
        <v>#N/A</v>
      </c>
      <c r="S3649" s="3"/>
    </row>
    <row r="3650" spans="1:19" x14ac:dyDescent="0.25">
      <c r="A3650" t="s">
        <v>10449</v>
      </c>
      <c r="B3650" t="s">
        <v>10450</v>
      </c>
      <c r="C3650" t="s">
        <v>10451</v>
      </c>
      <c r="D3650" t="s">
        <v>23</v>
      </c>
      <c r="E3650">
        <v>4143</v>
      </c>
      <c r="F3650" s="3">
        <v>40740</v>
      </c>
      <c r="H3650" t="s">
        <v>15523</v>
      </c>
      <c r="I3650" t="s">
        <v>18294</v>
      </c>
      <c r="K3650" t="e">
        <v>#N/A</v>
      </c>
      <c r="S3650" s="3"/>
    </row>
    <row r="3651" spans="1:19" x14ac:dyDescent="0.25">
      <c r="A3651" t="s">
        <v>10452</v>
      </c>
      <c r="B3651" t="s">
        <v>10453</v>
      </c>
      <c r="C3651" t="s">
        <v>10454</v>
      </c>
      <c r="D3651" t="s">
        <v>23</v>
      </c>
      <c r="E3651">
        <v>5233</v>
      </c>
      <c r="F3651" s="3">
        <v>42035</v>
      </c>
      <c r="H3651" t="s">
        <v>15523</v>
      </c>
      <c r="I3651" t="s">
        <v>18295</v>
      </c>
      <c r="K3651" t="e">
        <v>#N/A</v>
      </c>
      <c r="S3651" s="3"/>
    </row>
    <row r="3652" spans="1:19" x14ac:dyDescent="0.25">
      <c r="A3652" t="s">
        <v>10455</v>
      </c>
      <c r="B3652" t="s">
        <v>10456</v>
      </c>
      <c r="C3652" t="s">
        <v>10457</v>
      </c>
      <c r="D3652" t="s">
        <v>23</v>
      </c>
      <c r="E3652">
        <v>4145</v>
      </c>
      <c r="F3652" s="3">
        <v>41230</v>
      </c>
      <c r="H3652" t="s">
        <v>15523</v>
      </c>
      <c r="I3652" t="s">
        <v>18296</v>
      </c>
      <c r="K3652" t="e">
        <v>#N/A</v>
      </c>
      <c r="S3652" s="3"/>
    </row>
    <row r="3653" spans="1:19" x14ac:dyDescent="0.25">
      <c r="A3653" t="s">
        <v>10458</v>
      </c>
      <c r="B3653" t="s">
        <v>10459</v>
      </c>
      <c r="C3653" t="s">
        <v>10460</v>
      </c>
      <c r="D3653" t="s">
        <v>23</v>
      </c>
      <c r="E3653">
        <v>4146</v>
      </c>
      <c r="F3653" s="3">
        <v>40702</v>
      </c>
      <c r="H3653" t="s">
        <v>15523</v>
      </c>
      <c r="I3653" t="s">
        <v>18297</v>
      </c>
      <c r="K3653" t="e">
        <v>#N/A</v>
      </c>
      <c r="S3653" s="3"/>
    </row>
    <row r="3654" spans="1:19" x14ac:dyDescent="0.25">
      <c r="A3654" t="s">
        <v>10461</v>
      </c>
      <c r="B3654" t="s">
        <v>10462</v>
      </c>
      <c r="C3654" t="s">
        <v>10463</v>
      </c>
      <c r="D3654" t="s">
        <v>23</v>
      </c>
      <c r="E3654">
        <v>4147</v>
      </c>
      <c r="F3654" s="3">
        <v>40702</v>
      </c>
      <c r="H3654" t="s">
        <v>15523</v>
      </c>
      <c r="I3654" t="s">
        <v>18298</v>
      </c>
      <c r="K3654" t="e">
        <v>#N/A</v>
      </c>
      <c r="S3654" s="3"/>
    </row>
    <row r="3655" spans="1:19" x14ac:dyDescent="0.25">
      <c r="A3655" t="s">
        <v>10464</v>
      </c>
      <c r="B3655" t="s">
        <v>10465</v>
      </c>
      <c r="C3655" t="s">
        <v>10466</v>
      </c>
      <c r="D3655" t="s">
        <v>23</v>
      </c>
      <c r="E3655">
        <v>4148</v>
      </c>
      <c r="F3655" s="3">
        <v>40702</v>
      </c>
      <c r="H3655" t="s">
        <v>15523</v>
      </c>
      <c r="I3655" t="s">
        <v>18299</v>
      </c>
      <c r="K3655" t="e">
        <v>#N/A</v>
      </c>
      <c r="S3655" s="3"/>
    </row>
    <row r="3656" spans="1:19" x14ac:dyDescent="0.25">
      <c r="A3656" t="s">
        <v>10467</v>
      </c>
      <c r="B3656" t="s">
        <v>10468</v>
      </c>
      <c r="C3656" t="s">
        <v>10469</v>
      </c>
      <c r="D3656" t="s">
        <v>23</v>
      </c>
      <c r="E3656">
        <v>5248</v>
      </c>
      <c r="F3656" s="3">
        <v>42040</v>
      </c>
      <c r="H3656" t="s">
        <v>15523</v>
      </c>
      <c r="I3656" t="s">
        <v>18300</v>
      </c>
      <c r="K3656" t="e">
        <v>#N/A</v>
      </c>
      <c r="S3656" s="3"/>
    </row>
    <row r="3657" spans="1:19" x14ac:dyDescent="0.25">
      <c r="A3657" t="s">
        <v>10470</v>
      </c>
      <c r="B3657" t="s">
        <v>10471</v>
      </c>
      <c r="C3657" t="s">
        <v>10472</v>
      </c>
      <c r="D3657" t="s">
        <v>23</v>
      </c>
      <c r="E3657">
        <v>4149</v>
      </c>
      <c r="F3657" s="3">
        <v>40702</v>
      </c>
      <c r="H3657" t="s">
        <v>15523</v>
      </c>
      <c r="I3657" t="s">
        <v>18301</v>
      </c>
      <c r="K3657" t="e">
        <v>#N/A</v>
      </c>
      <c r="S3657" s="3"/>
    </row>
    <row r="3658" spans="1:19" x14ac:dyDescent="0.25">
      <c r="A3658" t="s">
        <v>10473</v>
      </c>
      <c r="B3658" t="s">
        <v>10474</v>
      </c>
      <c r="C3658" t="s">
        <v>10475</v>
      </c>
      <c r="D3658" t="s">
        <v>23</v>
      </c>
      <c r="E3658">
        <v>4150</v>
      </c>
      <c r="F3658" s="3">
        <v>40702</v>
      </c>
      <c r="H3658" t="s">
        <v>15523</v>
      </c>
      <c r="I3658" t="s">
        <v>18302</v>
      </c>
      <c r="K3658" t="e">
        <v>#N/A</v>
      </c>
      <c r="S3658" s="3"/>
    </row>
    <row r="3659" spans="1:19" x14ac:dyDescent="0.25">
      <c r="A3659" t="s">
        <v>10476</v>
      </c>
      <c r="B3659" t="s">
        <v>10477</v>
      </c>
      <c r="C3659" t="s">
        <v>10478</v>
      </c>
      <c r="D3659" t="s">
        <v>23</v>
      </c>
      <c r="E3659">
        <v>5049</v>
      </c>
      <c r="F3659" s="3">
        <v>41660</v>
      </c>
      <c r="H3659" t="s">
        <v>15523</v>
      </c>
      <c r="I3659" t="s">
        <v>18303</v>
      </c>
      <c r="K3659" t="e">
        <v>#N/A</v>
      </c>
      <c r="S3659" s="3"/>
    </row>
    <row r="3660" spans="1:19" x14ac:dyDescent="0.25">
      <c r="A3660" t="s">
        <v>10479</v>
      </c>
      <c r="B3660" t="s">
        <v>10480</v>
      </c>
      <c r="C3660" t="s">
        <v>10481</v>
      </c>
      <c r="D3660" t="s">
        <v>23</v>
      </c>
      <c r="E3660">
        <v>4151</v>
      </c>
      <c r="F3660" s="3">
        <v>40702</v>
      </c>
      <c r="H3660" t="s">
        <v>15523</v>
      </c>
      <c r="I3660" t="s">
        <v>18304</v>
      </c>
      <c r="K3660" t="e">
        <v>#N/A</v>
      </c>
      <c r="S3660" s="3"/>
    </row>
    <row r="3661" spans="1:19" x14ac:dyDescent="0.25">
      <c r="A3661" t="s">
        <v>10482</v>
      </c>
      <c r="B3661" t="s">
        <v>10483</v>
      </c>
      <c r="C3661" t="s">
        <v>10484</v>
      </c>
      <c r="D3661" t="s">
        <v>23</v>
      </c>
      <c r="E3661">
        <v>4152</v>
      </c>
      <c r="F3661" s="3">
        <v>40702</v>
      </c>
      <c r="H3661" t="s">
        <v>15523</v>
      </c>
      <c r="I3661" t="s">
        <v>18305</v>
      </c>
      <c r="K3661" t="e">
        <v>#N/A</v>
      </c>
      <c r="S3661" s="3"/>
    </row>
    <row r="3662" spans="1:19" x14ac:dyDescent="0.25">
      <c r="A3662" t="s">
        <v>10485</v>
      </c>
      <c r="B3662" t="s">
        <v>10486</v>
      </c>
      <c r="C3662" t="s">
        <v>10487</v>
      </c>
      <c r="D3662" t="s">
        <v>23</v>
      </c>
      <c r="E3662">
        <v>4153</v>
      </c>
      <c r="F3662" s="3">
        <v>40782</v>
      </c>
      <c r="H3662" t="s">
        <v>15523</v>
      </c>
      <c r="I3662" t="s">
        <v>18306</v>
      </c>
      <c r="K3662" t="e">
        <v>#N/A</v>
      </c>
      <c r="S3662" s="3"/>
    </row>
    <row r="3663" spans="1:19" x14ac:dyDescent="0.25">
      <c r="A3663" t="s">
        <v>10488</v>
      </c>
      <c r="B3663" t="s">
        <v>10489</v>
      </c>
      <c r="C3663" t="s">
        <v>10490</v>
      </c>
      <c r="D3663" t="s">
        <v>23</v>
      </c>
      <c r="E3663">
        <v>1141</v>
      </c>
      <c r="F3663" s="3">
        <v>41461</v>
      </c>
      <c r="H3663" t="s">
        <v>15523</v>
      </c>
      <c r="I3663" t="s">
        <v>18307</v>
      </c>
      <c r="K3663" t="e">
        <v>#N/A</v>
      </c>
      <c r="S3663" s="3"/>
    </row>
    <row r="3664" spans="1:19" x14ac:dyDescent="0.25">
      <c r="A3664" t="s">
        <v>10491</v>
      </c>
      <c r="B3664" t="s">
        <v>10492</v>
      </c>
      <c r="C3664" t="s">
        <v>10493</v>
      </c>
      <c r="D3664" t="s">
        <v>23</v>
      </c>
      <c r="E3664">
        <v>4159</v>
      </c>
      <c r="F3664" s="3">
        <v>40702</v>
      </c>
      <c r="H3664" t="s">
        <v>15523</v>
      </c>
      <c r="I3664" t="s">
        <v>18308</v>
      </c>
      <c r="K3664" t="e">
        <v>#N/A</v>
      </c>
      <c r="S3664" s="3"/>
    </row>
    <row r="3665" spans="1:19" x14ac:dyDescent="0.25">
      <c r="A3665" t="s">
        <v>10494</v>
      </c>
      <c r="B3665" t="s">
        <v>10495</v>
      </c>
      <c r="C3665" t="s">
        <v>10496</v>
      </c>
      <c r="D3665" t="s">
        <v>23</v>
      </c>
      <c r="E3665">
        <v>5178</v>
      </c>
      <c r="F3665" s="3">
        <v>42035</v>
      </c>
      <c r="H3665" t="s">
        <v>15523</v>
      </c>
      <c r="I3665" t="s">
        <v>18309</v>
      </c>
      <c r="K3665" t="e">
        <v>#N/A</v>
      </c>
      <c r="S3665" s="3"/>
    </row>
    <row r="3666" spans="1:19" x14ac:dyDescent="0.25">
      <c r="A3666" t="s">
        <v>10497</v>
      </c>
      <c r="B3666" t="s">
        <v>10498</v>
      </c>
      <c r="C3666" t="s">
        <v>10499</v>
      </c>
      <c r="D3666" t="s">
        <v>23</v>
      </c>
      <c r="E3666">
        <v>1184</v>
      </c>
      <c r="F3666" s="3">
        <v>40782</v>
      </c>
      <c r="H3666" t="s">
        <v>15523</v>
      </c>
      <c r="I3666" t="s">
        <v>18310</v>
      </c>
      <c r="K3666" t="e">
        <v>#N/A</v>
      </c>
      <c r="S3666" s="3"/>
    </row>
    <row r="3667" spans="1:19" x14ac:dyDescent="0.25">
      <c r="A3667" t="s">
        <v>10500</v>
      </c>
      <c r="B3667" t="s">
        <v>10501</v>
      </c>
      <c r="C3667" t="s">
        <v>10502</v>
      </c>
      <c r="D3667" t="s">
        <v>23</v>
      </c>
      <c r="E3667">
        <v>1148</v>
      </c>
      <c r="F3667" s="3">
        <v>40782</v>
      </c>
      <c r="H3667" t="s">
        <v>15523</v>
      </c>
      <c r="I3667" t="s">
        <v>18311</v>
      </c>
      <c r="K3667" t="e">
        <v>#N/A</v>
      </c>
      <c r="S3667" s="3"/>
    </row>
    <row r="3668" spans="1:19" x14ac:dyDescent="0.25">
      <c r="A3668" t="s">
        <v>10503</v>
      </c>
      <c r="B3668" t="s">
        <v>10504</v>
      </c>
      <c r="C3668" t="s">
        <v>10505</v>
      </c>
      <c r="D3668" t="s">
        <v>23</v>
      </c>
      <c r="E3668">
        <v>1188</v>
      </c>
      <c r="F3668" s="3">
        <v>40702</v>
      </c>
      <c r="H3668" t="s">
        <v>15523</v>
      </c>
      <c r="I3668" t="s">
        <v>18312</v>
      </c>
      <c r="K3668" t="e">
        <v>#N/A</v>
      </c>
      <c r="S3668" s="3"/>
    </row>
    <row r="3669" spans="1:19" x14ac:dyDescent="0.25">
      <c r="A3669" t="s">
        <v>10506</v>
      </c>
      <c r="B3669" t="s">
        <v>10507</v>
      </c>
      <c r="C3669" t="s">
        <v>10508</v>
      </c>
      <c r="D3669" t="s">
        <v>23</v>
      </c>
      <c r="E3669">
        <v>4154</v>
      </c>
      <c r="F3669" s="3">
        <v>40702</v>
      </c>
      <c r="H3669" t="s">
        <v>15523</v>
      </c>
      <c r="I3669" t="s">
        <v>18313</v>
      </c>
      <c r="K3669" t="e">
        <v>#N/A</v>
      </c>
      <c r="S3669" s="3"/>
    </row>
    <row r="3670" spans="1:19" x14ac:dyDescent="0.25">
      <c r="A3670" t="s">
        <v>10509</v>
      </c>
      <c r="B3670" t="s">
        <v>10510</v>
      </c>
      <c r="C3670" t="s">
        <v>10511</v>
      </c>
      <c r="D3670" t="s">
        <v>23</v>
      </c>
      <c r="E3670">
        <v>4155</v>
      </c>
      <c r="F3670" s="3">
        <v>40702</v>
      </c>
      <c r="H3670" t="s">
        <v>15523</v>
      </c>
      <c r="I3670" t="s">
        <v>18314</v>
      </c>
      <c r="K3670" t="e">
        <v>#N/A</v>
      </c>
      <c r="S3670" s="3"/>
    </row>
    <row r="3671" spans="1:19" x14ac:dyDescent="0.25">
      <c r="A3671" t="s">
        <v>10512</v>
      </c>
      <c r="B3671" t="s">
        <v>10513</v>
      </c>
      <c r="C3671" t="s">
        <v>10514</v>
      </c>
      <c r="D3671" t="s">
        <v>23</v>
      </c>
      <c r="E3671">
        <v>4156</v>
      </c>
      <c r="F3671" s="3">
        <v>40702</v>
      </c>
      <c r="H3671" t="s">
        <v>15523</v>
      </c>
      <c r="I3671" t="s">
        <v>18315</v>
      </c>
      <c r="K3671" t="e">
        <v>#N/A</v>
      </c>
      <c r="S3671" s="3"/>
    </row>
    <row r="3672" spans="1:19" x14ac:dyDescent="0.25">
      <c r="A3672" t="s">
        <v>10515</v>
      </c>
      <c r="B3672" t="s">
        <v>10516</v>
      </c>
      <c r="C3672" t="s">
        <v>10517</v>
      </c>
      <c r="D3672" t="s">
        <v>23</v>
      </c>
      <c r="E3672">
        <v>5554</v>
      </c>
      <c r="F3672" s="3">
        <v>42385</v>
      </c>
      <c r="H3672" t="s">
        <v>15523</v>
      </c>
      <c r="I3672" t="s">
        <v>18316</v>
      </c>
      <c r="K3672" t="e">
        <v>#N/A</v>
      </c>
      <c r="S3672" s="3"/>
    </row>
    <row r="3673" spans="1:19" x14ac:dyDescent="0.25">
      <c r="A3673" t="s">
        <v>10518</v>
      </c>
      <c r="B3673" t="s">
        <v>10519</v>
      </c>
      <c r="C3673" t="s">
        <v>10520</v>
      </c>
      <c r="D3673" t="s">
        <v>23</v>
      </c>
      <c r="E3673">
        <v>1155</v>
      </c>
      <c r="F3673" s="3">
        <v>40702</v>
      </c>
      <c r="H3673" t="s">
        <v>15523</v>
      </c>
      <c r="I3673" t="s">
        <v>18317</v>
      </c>
      <c r="K3673" t="e">
        <v>#N/A</v>
      </c>
      <c r="S3673" s="3"/>
    </row>
    <row r="3674" spans="1:19" x14ac:dyDescent="0.25">
      <c r="A3674" t="s">
        <v>10521</v>
      </c>
      <c r="B3674" t="s">
        <v>10522</v>
      </c>
      <c r="C3674" t="s">
        <v>10523</v>
      </c>
      <c r="D3674" t="s">
        <v>23</v>
      </c>
      <c r="E3674">
        <v>4157</v>
      </c>
      <c r="F3674" s="3">
        <v>40702</v>
      </c>
      <c r="H3674" t="s">
        <v>15523</v>
      </c>
      <c r="I3674" t="s">
        <v>18318</v>
      </c>
      <c r="K3674" t="e">
        <v>#N/A</v>
      </c>
      <c r="S3674" s="3"/>
    </row>
    <row r="3675" spans="1:19" x14ac:dyDescent="0.25">
      <c r="A3675" t="s">
        <v>10524</v>
      </c>
      <c r="B3675" t="s">
        <v>10525</v>
      </c>
      <c r="C3675" t="s">
        <v>10526</v>
      </c>
      <c r="D3675" t="s">
        <v>23</v>
      </c>
      <c r="E3675">
        <v>4158</v>
      </c>
      <c r="F3675" s="3">
        <v>40702</v>
      </c>
      <c r="H3675" t="s">
        <v>15523</v>
      </c>
      <c r="I3675" t="s">
        <v>18319</v>
      </c>
      <c r="K3675" t="e">
        <v>#N/A</v>
      </c>
      <c r="S3675" s="3"/>
    </row>
    <row r="3676" spans="1:19" x14ac:dyDescent="0.25">
      <c r="A3676" t="s">
        <v>10527</v>
      </c>
      <c r="B3676" t="s">
        <v>10528</v>
      </c>
      <c r="C3676" t="s">
        <v>10529</v>
      </c>
      <c r="D3676" t="s">
        <v>23</v>
      </c>
      <c r="E3676">
        <v>5132</v>
      </c>
      <c r="F3676" s="3">
        <v>41860</v>
      </c>
      <c r="H3676" t="s">
        <v>15523</v>
      </c>
      <c r="I3676" t="s">
        <v>18320</v>
      </c>
      <c r="K3676" t="e">
        <v>#N/A</v>
      </c>
      <c r="S3676" s="3"/>
    </row>
    <row r="3677" spans="1:19" x14ac:dyDescent="0.25">
      <c r="A3677" t="s">
        <v>10530</v>
      </c>
      <c r="B3677" t="s">
        <v>10531</v>
      </c>
      <c r="C3677" t="s">
        <v>10532</v>
      </c>
      <c r="D3677" t="s">
        <v>23</v>
      </c>
      <c r="E3677">
        <v>5134</v>
      </c>
      <c r="F3677" s="3">
        <v>41895</v>
      </c>
      <c r="H3677" t="s">
        <v>15523</v>
      </c>
      <c r="I3677" t="s">
        <v>18321</v>
      </c>
      <c r="K3677" t="e">
        <v>#N/A</v>
      </c>
      <c r="S3677" s="3"/>
    </row>
    <row r="3678" spans="1:19" x14ac:dyDescent="0.25">
      <c r="A3678" t="s">
        <v>10533</v>
      </c>
      <c r="B3678" t="s">
        <v>10534</v>
      </c>
      <c r="C3678" t="s">
        <v>10535</v>
      </c>
      <c r="D3678" t="s">
        <v>23</v>
      </c>
      <c r="E3678">
        <v>1185</v>
      </c>
      <c r="F3678" s="3">
        <v>40702</v>
      </c>
      <c r="H3678" t="s">
        <v>15523</v>
      </c>
      <c r="I3678" t="s">
        <v>18322</v>
      </c>
      <c r="K3678" t="e">
        <v>#N/A</v>
      </c>
      <c r="S3678" s="3"/>
    </row>
    <row r="3679" spans="1:19" x14ac:dyDescent="0.25">
      <c r="A3679" t="s">
        <v>10536</v>
      </c>
      <c r="B3679" t="s">
        <v>10537</v>
      </c>
      <c r="C3679" t="s">
        <v>10538</v>
      </c>
      <c r="D3679" t="s">
        <v>23</v>
      </c>
      <c r="E3679">
        <v>5815</v>
      </c>
      <c r="F3679" s="3">
        <v>42871</v>
      </c>
      <c r="H3679" t="s">
        <v>15523</v>
      </c>
      <c r="I3679" t="s">
        <v>18323</v>
      </c>
      <c r="K3679" t="e">
        <v>#N/A</v>
      </c>
      <c r="S3679" s="3"/>
    </row>
    <row r="3680" spans="1:19" x14ac:dyDescent="0.25">
      <c r="A3680" t="s">
        <v>10539</v>
      </c>
      <c r="B3680" t="s">
        <v>10540</v>
      </c>
      <c r="C3680" t="s">
        <v>10541</v>
      </c>
      <c r="D3680" t="s">
        <v>23</v>
      </c>
      <c r="E3680">
        <v>5816</v>
      </c>
      <c r="F3680" s="3">
        <v>42871</v>
      </c>
      <c r="H3680" t="s">
        <v>15523</v>
      </c>
      <c r="I3680" t="s">
        <v>18324</v>
      </c>
      <c r="K3680" t="e">
        <v>#N/A</v>
      </c>
      <c r="S3680" s="3"/>
    </row>
    <row r="3681" spans="1:19" x14ac:dyDescent="0.25">
      <c r="A3681" t="s">
        <v>10542</v>
      </c>
      <c r="B3681" t="s">
        <v>10543</v>
      </c>
      <c r="C3681" t="s">
        <v>10544</v>
      </c>
      <c r="D3681" t="s">
        <v>23</v>
      </c>
      <c r="E3681">
        <v>1158</v>
      </c>
      <c r="F3681" s="3">
        <v>40702</v>
      </c>
      <c r="H3681" t="s">
        <v>15523</v>
      </c>
      <c r="I3681" t="s">
        <v>18325</v>
      </c>
      <c r="K3681" t="e">
        <v>#N/A</v>
      </c>
      <c r="S3681" s="3"/>
    </row>
    <row r="3682" spans="1:19" x14ac:dyDescent="0.25">
      <c r="A3682" t="s">
        <v>10545</v>
      </c>
      <c r="B3682" t="s">
        <v>10546</v>
      </c>
      <c r="C3682" t="s">
        <v>10547</v>
      </c>
      <c r="D3682" t="s">
        <v>23</v>
      </c>
      <c r="E3682">
        <v>4160</v>
      </c>
      <c r="F3682" s="3">
        <v>40702</v>
      </c>
      <c r="H3682" t="s">
        <v>15523</v>
      </c>
      <c r="I3682" t="s">
        <v>18326</v>
      </c>
      <c r="K3682" t="e">
        <v>#N/A</v>
      </c>
      <c r="S3682" s="3"/>
    </row>
    <row r="3683" spans="1:19" x14ac:dyDescent="0.25">
      <c r="A3683" t="s">
        <v>10548</v>
      </c>
      <c r="B3683" t="s">
        <v>10549</v>
      </c>
      <c r="C3683" t="s">
        <v>10550</v>
      </c>
      <c r="D3683" t="s">
        <v>23</v>
      </c>
      <c r="E3683">
        <v>2307</v>
      </c>
      <c r="F3683" s="3">
        <v>40702</v>
      </c>
      <c r="H3683" t="s">
        <v>15523</v>
      </c>
      <c r="I3683" t="s">
        <v>18327</v>
      </c>
      <c r="K3683" t="e">
        <v>#N/A</v>
      </c>
      <c r="S3683" s="3"/>
    </row>
    <row r="3684" spans="1:19" x14ac:dyDescent="0.25">
      <c r="A3684" t="s">
        <v>10551</v>
      </c>
      <c r="B3684" t="s">
        <v>10552</v>
      </c>
      <c r="C3684" s="3">
        <v>268728</v>
      </c>
      <c r="D3684" t="s">
        <v>23</v>
      </c>
      <c r="E3684">
        <v>1157</v>
      </c>
      <c r="F3684" s="3">
        <v>40704</v>
      </c>
      <c r="H3684" t="s">
        <v>15523</v>
      </c>
      <c r="I3684" t="s">
        <v>18328</v>
      </c>
      <c r="K3684" t="e">
        <v>#N/A</v>
      </c>
      <c r="P3684" s="3"/>
      <c r="S3684" s="3"/>
    </row>
    <row r="3685" spans="1:19" x14ac:dyDescent="0.25">
      <c r="A3685" t="s">
        <v>10554</v>
      </c>
      <c r="B3685" t="s">
        <v>10555</v>
      </c>
      <c r="C3685" t="s">
        <v>10556</v>
      </c>
      <c r="D3685" t="s">
        <v>23</v>
      </c>
      <c r="E3685">
        <v>1156</v>
      </c>
      <c r="F3685" s="3">
        <v>40702</v>
      </c>
      <c r="H3685" t="s">
        <v>15523</v>
      </c>
      <c r="I3685" t="s">
        <v>18329</v>
      </c>
      <c r="K3685" t="e">
        <v>#N/A</v>
      </c>
      <c r="S3685" s="3"/>
    </row>
    <row r="3686" spans="1:19" x14ac:dyDescent="0.25">
      <c r="A3686" t="s">
        <v>10557</v>
      </c>
      <c r="B3686" t="s">
        <v>10558</v>
      </c>
      <c r="C3686" t="s">
        <v>10559</v>
      </c>
      <c r="D3686" t="s">
        <v>23</v>
      </c>
      <c r="E3686">
        <v>2485</v>
      </c>
      <c r="F3686" s="3">
        <v>40702</v>
      </c>
      <c r="H3686" t="s">
        <v>15523</v>
      </c>
      <c r="I3686" t="s">
        <v>18330</v>
      </c>
      <c r="K3686" t="e">
        <v>#N/A</v>
      </c>
      <c r="S3686" s="3"/>
    </row>
    <row r="3687" spans="1:19" x14ac:dyDescent="0.25">
      <c r="A3687" t="s">
        <v>10560</v>
      </c>
      <c r="B3687" t="s">
        <v>10561</v>
      </c>
      <c r="C3687" t="s">
        <v>10562</v>
      </c>
      <c r="D3687" t="s">
        <v>23</v>
      </c>
      <c r="E3687">
        <v>4161</v>
      </c>
      <c r="F3687" s="3">
        <v>40702</v>
      </c>
      <c r="H3687" t="s">
        <v>15523</v>
      </c>
      <c r="I3687" t="s">
        <v>18331</v>
      </c>
      <c r="K3687" t="e">
        <v>#N/A</v>
      </c>
      <c r="S3687" s="3"/>
    </row>
    <row r="3688" spans="1:19" x14ac:dyDescent="0.25">
      <c r="A3688" t="s">
        <v>10563</v>
      </c>
      <c r="B3688" t="s">
        <v>10564</v>
      </c>
      <c r="C3688" t="s">
        <v>10565</v>
      </c>
      <c r="D3688" t="s">
        <v>23</v>
      </c>
      <c r="E3688">
        <v>1186</v>
      </c>
      <c r="F3688" s="3">
        <v>40702</v>
      </c>
      <c r="H3688" t="s">
        <v>15523</v>
      </c>
      <c r="I3688" t="s">
        <v>18332</v>
      </c>
      <c r="K3688" t="e">
        <v>#N/A</v>
      </c>
      <c r="S3688" s="3"/>
    </row>
    <row r="3689" spans="1:19" x14ac:dyDescent="0.25">
      <c r="A3689" t="s">
        <v>10566</v>
      </c>
      <c r="B3689" t="s">
        <v>10567</v>
      </c>
      <c r="C3689" t="s">
        <v>10568</v>
      </c>
      <c r="D3689" t="s">
        <v>23</v>
      </c>
      <c r="E3689">
        <v>4162</v>
      </c>
      <c r="F3689" s="3">
        <v>40702</v>
      </c>
      <c r="H3689" t="s">
        <v>15523</v>
      </c>
      <c r="I3689" t="s">
        <v>18333</v>
      </c>
      <c r="K3689" t="e">
        <v>#N/A</v>
      </c>
      <c r="S3689" s="3"/>
    </row>
    <row r="3690" spans="1:19" x14ac:dyDescent="0.25">
      <c r="A3690" t="s">
        <v>10569</v>
      </c>
      <c r="B3690" t="s">
        <v>10570</v>
      </c>
      <c r="C3690" t="s">
        <v>10571</v>
      </c>
      <c r="D3690" t="s">
        <v>23</v>
      </c>
      <c r="E3690">
        <v>4163</v>
      </c>
      <c r="F3690" s="3">
        <v>40702</v>
      </c>
      <c r="H3690" t="s">
        <v>15523</v>
      </c>
      <c r="I3690" t="s">
        <v>18334</v>
      </c>
      <c r="K3690" t="e">
        <v>#N/A</v>
      </c>
      <c r="S3690" s="3"/>
    </row>
    <row r="3691" spans="1:19" x14ac:dyDescent="0.25">
      <c r="A3691" t="s">
        <v>10572</v>
      </c>
      <c r="B3691" t="s">
        <v>10573</v>
      </c>
      <c r="C3691" t="s">
        <v>10574</v>
      </c>
      <c r="D3691" t="s">
        <v>23</v>
      </c>
      <c r="E3691">
        <v>4164</v>
      </c>
      <c r="F3691" s="3">
        <v>40702</v>
      </c>
      <c r="H3691" t="s">
        <v>15523</v>
      </c>
      <c r="I3691" t="s">
        <v>18335</v>
      </c>
      <c r="K3691" t="e">
        <v>#N/A</v>
      </c>
      <c r="S3691" s="3"/>
    </row>
    <row r="3692" spans="1:19" x14ac:dyDescent="0.25">
      <c r="A3692" t="s">
        <v>10575</v>
      </c>
      <c r="B3692" t="s">
        <v>10576</v>
      </c>
      <c r="C3692" t="s">
        <v>10577</v>
      </c>
      <c r="D3692" t="s">
        <v>23</v>
      </c>
      <c r="E3692">
        <v>1187</v>
      </c>
      <c r="F3692" s="3">
        <v>40702</v>
      </c>
      <c r="H3692" t="s">
        <v>15523</v>
      </c>
      <c r="I3692" t="s">
        <v>18336</v>
      </c>
      <c r="K3692" t="e">
        <v>#N/A</v>
      </c>
      <c r="S3692" s="3"/>
    </row>
    <row r="3693" spans="1:19" x14ac:dyDescent="0.25">
      <c r="A3693" t="s">
        <v>10578</v>
      </c>
      <c r="B3693" t="s">
        <v>10579</v>
      </c>
      <c r="C3693" t="s">
        <v>10580</v>
      </c>
      <c r="D3693" t="s">
        <v>23</v>
      </c>
      <c r="E3693">
        <v>5960</v>
      </c>
      <c r="F3693" s="3">
        <v>43316</v>
      </c>
      <c r="H3693" t="s">
        <v>15523</v>
      </c>
      <c r="I3693" t="s">
        <v>18337</v>
      </c>
      <c r="K3693" t="e">
        <v>#N/A</v>
      </c>
      <c r="S3693" s="3"/>
    </row>
    <row r="3694" spans="1:19" x14ac:dyDescent="0.25">
      <c r="A3694" t="s">
        <v>10581</v>
      </c>
      <c r="B3694" t="s">
        <v>10582</v>
      </c>
      <c r="C3694" t="s">
        <v>10583</v>
      </c>
      <c r="D3694" t="s">
        <v>23</v>
      </c>
      <c r="E3694">
        <v>5981</v>
      </c>
      <c r="F3694" s="3">
        <v>43375</v>
      </c>
      <c r="H3694" t="s">
        <v>15523</v>
      </c>
      <c r="I3694" t="s">
        <v>18338</v>
      </c>
      <c r="K3694" t="e">
        <v>#N/A</v>
      </c>
      <c r="S3694" s="3"/>
    </row>
    <row r="3695" spans="1:19" x14ac:dyDescent="0.25">
      <c r="A3695" t="s">
        <v>10584</v>
      </c>
      <c r="B3695" t="s">
        <v>10585</v>
      </c>
      <c r="C3695" t="s">
        <v>10586</v>
      </c>
      <c r="D3695" t="s">
        <v>23</v>
      </c>
      <c r="E3695">
        <v>4165</v>
      </c>
      <c r="F3695" s="3">
        <v>40702</v>
      </c>
      <c r="H3695" t="s">
        <v>15523</v>
      </c>
      <c r="I3695" t="s">
        <v>18339</v>
      </c>
      <c r="K3695" t="e">
        <v>#N/A</v>
      </c>
      <c r="S3695" s="3"/>
    </row>
    <row r="3696" spans="1:19" x14ac:dyDescent="0.25">
      <c r="A3696" t="s">
        <v>10587</v>
      </c>
      <c r="B3696" t="s">
        <v>10588</v>
      </c>
      <c r="C3696" t="s">
        <v>10589</v>
      </c>
      <c r="D3696" t="s">
        <v>23</v>
      </c>
      <c r="E3696">
        <v>1191</v>
      </c>
      <c r="F3696" s="3">
        <v>40702</v>
      </c>
      <c r="H3696" t="s">
        <v>15523</v>
      </c>
      <c r="I3696" t="s">
        <v>18340</v>
      </c>
      <c r="K3696" t="e">
        <v>#N/A</v>
      </c>
      <c r="S3696" s="3"/>
    </row>
    <row r="3697" spans="1:19" x14ac:dyDescent="0.25">
      <c r="A3697" t="s">
        <v>10590</v>
      </c>
      <c r="B3697" t="s">
        <v>10591</v>
      </c>
      <c r="C3697" t="s">
        <v>10592</v>
      </c>
      <c r="D3697" t="s">
        <v>23</v>
      </c>
      <c r="E3697">
        <v>4166</v>
      </c>
      <c r="F3697" s="3">
        <v>40702</v>
      </c>
      <c r="H3697" t="s">
        <v>15523</v>
      </c>
      <c r="I3697" t="s">
        <v>18341</v>
      </c>
      <c r="K3697" t="e">
        <v>#N/A</v>
      </c>
      <c r="S3697" s="3"/>
    </row>
    <row r="3698" spans="1:19" x14ac:dyDescent="0.25">
      <c r="A3698" t="s">
        <v>10593</v>
      </c>
      <c r="B3698" t="s">
        <v>10594</v>
      </c>
      <c r="C3698" t="s">
        <v>10595</v>
      </c>
      <c r="D3698" t="s">
        <v>23</v>
      </c>
      <c r="E3698">
        <v>5254</v>
      </c>
      <c r="F3698" s="3">
        <v>42042</v>
      </c>
      <c r="H3698" t="s">
        <v>15523</v>
      </c>
      <c r="I3698" t="s">
        <v>18342</v>
      </c>
      <c r="K3698" t="e">
        <v>#N/A</v>
      </c>
      <c r="S3698" s="3"/>
    </row>
    <row r="3699" spans="1:19" x14ac:dyDescent="0.25">
      <c r="A3699" t="s">
        <v>10596</v>
      </c>
      <c r="B3699" t="s">
        <v>10597</v>
      </c>
      <c r="C3699" t="s">
        <v>10598</v>
      </c>
      <c r="D3699" t="s">
        <v>23</v>
      </c>
      <c r="E3699">
        <v>4171</v>
      </c>
      <c r="F3699" s="3">
        <v>41230</v>
      </c>
      <c r="H3699" t="s">
        <v>15523</v>
      </c>
      <c r="I3699" t="s">
        <v>18343</v>
      </c>
      <c r="K3699" t="e">
        <v>#N/A</v>
      </c>
      <c r="S3699" s="3"/>
    </row>
    <row r="3700" spans="1:19" x14ac:dyDescent="0.25">
      <c r="A3700" t="s">
        <v>10599</v>
      </c>
      <c r="B3700" t="s">
        <v>10600</v>
      </c>
      <c r="C3700" t="s">
        <v>10601</v>
      </c>
      <c r="D3700" t="s">
        <v>23</v>
      </c>
      <c r="E3700">
        <v>4172</v>
      </c>
      <c r="F3700" s="3">
        <v>41230</v>
      </c>
      <c r="H3700" t="s">
        <v>15523</v>
      </c>
      <c r="I3700" t="s">
        <v>18344</v>
      </c>
      <c r="K3700" t="e">
        <v>#N/A</v>
      </c>
      <c r="S3700" s="3"/>
    </row>
    <row r="3701" spans="1:19" x14ac:dyDescent="0.25">
      <c r="A3701" t="s">
        <v>10602</v>
      </c>
      <c r="B3701" t="s">
        <v>10603</v>
      </c>
      <c r="C3701" t="s">
        <v>10604</v>
      </c>
      <c r="D3701" t="s">
        <v>23</v>
      </c>
      <c r="E3701">
        <v>5199</v>
      </c>
      <c r="F3701" s="3">
        <v>42035</v>
      </c>
      <c r="H3701" t="s">
        <v>15523</v>
      </c>
      <c r="I3701" t="s">
        <v>18345</v>
      </c>
      <c r="K3701" t="e">
        <v>#N/A</v>
      </c>
      <c r="S3701" s="3"/>
    </row>
    <row r="3702" spans="1:19" x14ac:dyDescent="0.25">
      <c r="A3702" t="s">
        <v>10605</v>
      </c>
      <c r="B3702" t="s">
        <v>10606</v>
      </c>
      <c r="C3702" t="s">
        <v>10607</v>
      </c>
      <c r="D3702" t="s">
        <v>23</v>
      </c>
      <c r="E3702">
        <v>5276</v>
      </c>
      <c r="F3702" s="3">
        <v>42063</v>
      </c>
      <c r="H3702" t="s">
        <v>15523</v>
      </c>
      <c r="I3702" t="s">
        <v>18346</v>
      </c>
      <c r="K3702" t="e">
        <v>#N/A</v>
      </c>
      <c r="S3702" s="3"/>
    </row>
    <row r="3703" spans="1:19" x14ac:dyDescent="0.25">
      <c r="A3703" t="s">
        <v>10608</v>
      </c>
      <c r="B3703" t="s">
        <v>10609</v>
      </c>
      <c r="C3703" t="s">
        <v>10610</v>
      </c>
      <c r="D3703" t="s">
        <v>23</v>
      </c>
      <c r="E3703">
        <v>5539</v>
      </c>
      <c r="F3703" s="3">
        <v>42357</v>
      </c>
      <c r="H3703" t="s">
        <v>15523</v>
      </c>
      <c r="I3703" t="s">
        <v>18347</v>
      </c>
      <c r="K3703" t="e">
        <v>#N/A</v>
      </c>
      <c r="S3703" s="3"/>
    </row>
    <row r="3704" spans="1:19" x14ac:dyDescent="0.25">
      <c r="A3704" t="s">
        <v>10611</v>
      </c>
      <c r="B3704" t="s">
        <v>10612</v>
      </c>
      <c r="C3704" t="s">
        <v>10613</v>
      </c>
      <c r="D3704" t="s">
        <v>23</v>
      </c>
      <c r="E3704">
        <v>1200</v>
      </c>
      <c r="F3704" s="3">
        <v>40703</v>
      </c>
      <c r="H3704" t="s">
        <v>15523</v>
      </c>
      <c r="I3704" t="s">
        <v>18348</v>
      </c>
      <c r="K3704" t="e">
        <v>#N/A</v>
      </c>
      <c r="S3704" s="3"/>
    </row>
    <row r="3705" spans="1:19" x14ac:dyDescent="0.25">
      <c r="A3705" t="s">
        <v>10614</v>
      </c>
      <c r="B3705" t="s">
        <v>10615</v>
      </c>
      <c r="C3705" t="s">
        <v>16179</v>
      </c>
      <c r="D3705" t="s">
        <v>23</v>
      </c>
      <c r="E3705">
        <v>5531</v>
      </c>
      <c r="F3705" s="3">
        <v>42341</v>
      </c>
      <c r="H3705" t="s">
        <v>15523</v>
      </c>
      <c r="I3705" t="s">
        <v>16180</v>
      </c>
      <c r="K3705" t="e">
        <v>#N/A</v>
      </c>
      <c r="S3705" s="3"/>
    </row>
    <row r="3706" spans="1:19" x14ac:dyDescent="0.25">
      <c r="A3706" t="s">
        <v>10616</v>
      </c>
      <c r="B3706" t="s">
        <v>10617</v>
      </c>
      <c r="C3706" t="s">
        <v>10618</v>
      </c>
      <c r="D3706" t="s">
        <v>23</v>
      </c>
      <c r="E3706">
        <v>1240</v>
      </c>
      <c r="F3706" s="3">
        <v>40702</v>
      </c>
      <c r="H3706" t="s">
        <v>15523</v>
      </c>
      <c r="I3706" t="s">
        <v>18349</v>
      </c>
      <c r="K3706" t="e">
        <v>#N/A</v>
      </c>
      <c r="S3706" s="3"/>
    </row>
    <row r="3707" spans="1:19" x14ac:dyDescent="0.25">
      <c r="A3707" t="s">
        <v>10619</v>
      </c>
      <c r="B3707" t="s">
        <v>10620</v>
      </c>
      <c r="C3707" t="s">
        <v>10621</v>
      </c>
      <c r="D3707" t="s">
        <v>23</v>
      </c>
      <c r="E3707">
        <v>1149</v>
      </c>
      <c r="F3707" s="3">
        <v>40702</v>
      </c>
      <c r="H3707" t="s">
        <v>15523</v>
      </c>
      <c r="I3707" t="s">
        <v>18350</v>
      </c>
      <c r="K3707" t="e">
        <v>#N/A</v>
      </c>
      <c r="S3707" s="3"/>
    </row>
    <row r="3708" spans="1:19" x14ac:dyDescent="0.25">
      <c r="A3708" t="s">
        <v>10622</v>
      </c>
      <c r="B3708" t="s">
        <v>10623</v>
      </c>
      <c r="C3708" t="s">
        <v>10624</v>
      </c>
      <c r="D3708" t="s">
        <v>23</v>
      </c>
      <c r="E3708">
        <v>4176</v>
      </c>
      <c r="F3708" s="3">
        <v>40702</v>
      </c>
      <c r="H3708" t="s">
        <v>15523</v>
      </c>
      <c r="I3708" t="s">
        <v>18351</v>
      </c>
      <c r="K3708" t="e">
        <v>#N/A</v>
      </c>
      <c r="S3708" s="3"/>
    </row>
    <row r="3709" spans="1:19" x14ac:dyDescent="0.25">
      <c r="A3709" t="s">
        <v>10625</v>
      </c>
      <c r="B3709" t="s">
        <v>10626</v>
      </c>
      <c r="C3709" t="s">
        <v>10627</v>
      </c>
      <c r="D3709" t="s">
        <v>23</v>
      </c>
      <c r="E3709">
        <v>1151</v>
      </c>
      <c r="F3709" s="3">
        <v>40702</v>
      </c>
      <c r="H3709" t="s">
        <v>15523</v>
      </c>
      <c r="I3709" t="s">
        <v>18352</v>
      </c>
      <c r="K3709" t="e">
        <v>#N/A</v>
      </c>
      <c r="S3709" s="3"/>
    </row>
    <row r="3710" spans="1:19" x14ac:dyDescent="0.25">
      <c r="A3710" t="s">
        <v>10628</v>
      </c>
      <c r="B3710" t="s">
        <v>10629</v>
      </c>
      <c r="C3710" t="s">
        <v>10630</v>
      </c>
      <c r="D3710" t="s">
        <v>23</v>
      </c>
      <c r="E3710">
        <v>1242</v>
      </c>
      <c r="F3710" s="3">
        <v>40702</v>
      </c>
      <c r="H3710" t="s">
        <v>15523</v>
      </c>
      <c r="I3710" t="s">
        <v>18353</v>
      </c>
      <c r="K3710" t="e">
        <v>#N/A</v>
      </c>
      <c r="S3710" s="3"/>
    </row>
    <row r="3711" spans="1:19" x14ac:dyDescent="0.25">
      <c r="A3711" t="s">
        <v>10631</v>
      </c>
      <c r="B3711" t="s">
        <v>10632</v>
      </c>
      <c r="C3711" t="s">
        <v>10633</v>
      </c>
      <c r="D3711" t="s">
        <v>23</v>
      </c>
      <c r="E3711">
        <v>4182</v>
      </c>
      <c r="F3711" s="3">
        <v>40702</v>
      </c>
      <c r="H3711" t="s">
        <v>15523</v>
      </c>
      <c r="I3711" t="s">
        <v>18354</v>
      </c>
      <c r="K3711" t="e">
        <v>#N/A</v>
      </c>
      <c r="S3711" s="3"/>
    </row>
    <row r="3712" spans="1:19" x14ac:dyDescent="0.25">
      <c r="A3712" t="s">
        <v>10634</v>
      </c>
      <c r="B3712" t="s">
        <v>10635</v>
      </c>
      <c r="C3712" t="s">
        <v>10636</v>
      </c>
      <c r="D3712" t="s">
        <v>23</v>
      </c>
      <c r="E3712">
        <v>1254</v>
      </c>
      <c r="F3712" s="3">
        <v>40702</v>
      </c>
      <c r="H3712" t="s">
        <v>15523</v>
      </c>
      <c r="I3712" t="s">
        <v>18355</v>
      </c>
      <c r="K3712" t="e">
        <v>#N/A</v>
      </c>
      <c r="S3712" s="3"/>
    </row>
    <row r="3713" spans="1:19" x14ac:dyDescent="0.25">
      <c r="A3713" t="s">
        <v>10637</v>
      </c>
      <c r="B3713" t="s">
        <v>10638</v>
      </c>
      <c r="C3713" t="s">
        <v>10639</v>
      </c>
      <c r="D3713" t="s">
        <v>23</v>
      </c>
      <c r="E3713">
        <v>4184</v>
      </c>
      <c r="F3713" s="3">
        <v>40702</v>
      </c>
      <c r="H3713" t="s">
        <v>15523</v>
      </c>
      <c r="I3713" t="s">
        <v>18356</v>
      </c>
      <c r="K3713" t="e">
        <v>#N/A</v>
      </c>
      <c r="S3713" s="3"/>
    </row>
    <row r="3714" spans="1:19" x14ac:dyDescent="0.25">
      <c r="A3714" t="s">
        <v>10640</v>
      </c>
      <c r="B3714" t="s">
        <v>10641</v>
      </c>
      <c r="C3714" t="s">
        <v>10642</v>
      </c>
      <c r="D3714" t="s">
        <v>23</v>
      </c>
      <c r="E3714">
        <v>2486</v>
      </c>
      <c r="F3714" s="3">
        <v>40702</v>
      </c>
      <c r="H3714" t="s">
        <v>15523</v>
      </c>
      <c r="I3714" t="s">
        <v>18357</v>
      </c>
      <c r="K3714" t="e">
        <v>#N/A</v>
      </c>
      <c r="S3714" s="3"/>
    </row>
    <row r="3715" spans="1:19" x14ac:dyDescent="0.25">
      <c r="A3715" t="s">
        <v>10643</v>
      </c>
      <c r="B3715" t="s">
        <v>10644</v>
      </c>
      <c r="C3715" t="s">
        <v>10645</v>
      </c>
      <c r="D3715" t="s">
        <v>23</v>
      </c>
      <c r="E3715">
        <v>1925</v>
      </c>
      <c r="F3715" s="3">
        <v>40702</v>
      </c>
      <c r="H3715" t="s">
        <v>15523</v>
      </c>
      <c r="I3715" t="s">
        <v>18358</v>
      </c>
      <c r="K3715" t="e">
        <v>#N/A</v>
      </c>
      <c r="S3715" s="3"/>
    </row>
    <row r="3716" spans="1:19" x14ac:dyDescent="0.25">
      <c r="A3716" t="s">
        <v>10646</v>
      </c>
      <c r="B3716" t="s">
        <v>10647</v>
      </c>
      <c r="C3716" t="s">
        <v>10648</v>
      </c>
      <c r="D3716" t="s">
        <v>23</v>
      </c>
      <c r="E3716">
        <v>5556</v>
      </c>
      <c r="F3716" s="3">
        <v>42385</v>
      </c>
      <c r="H3716" t="s">
        <v>15523</v>
      </c>
      <c r="I3716" t="s">
        <v>18359</v>
      </c>
      <c r="K3716" t="e">
        <v>#N/A</v>
      </c>
      <c r="S3716" s="3"/>
    </row>
    <row r="3717" spans="1:19" x14ac:dyDescent="0.25">
      <c r="A3717" t="s">
        <v>10649</v>
      </c>
      <c r="B3717" t="s">
        <v>10650</v>
      </c>
      <c r="C3717" t="s">
        <v>10651</v>
      </c>
      <c r="D3717" t="s">
        <v>23</v>
      </c>
      <c r="E3717">
        <v>4189</v>
      </c>
      <c r="F3717" s="3">
        <v>40702</v>
      </c>
      <c r="H3717" t="s">
        <v>15523</v>
      </c>
      <c r="I3717" t="s">
        <v>18360</v>
      </c>
      <c r="K3717" t="e">
        <v>#N/A</v>
      </c>
      <c r="S3717" s="3"/>
    </row>
    <row r="3718" spans="1:19" x14ac:dyDescent="0.25">
      <c r="A3718" t="s">
        <v>10652</v>
      </c>
      <c r="B3718" t="s">
        <v>10653</v>
      </c>
      <c r="C3718" t="s">
        <v>10654</v>
      </c>
      <c r="D3718" t="s">
        <v>23</v>
      </c>
      <c r="E3718">
        <v>5946</v>
      </c>
      <c r="F3718" s="3">
        <v>43208</v>
      </c>
      <c r="H3718" t="s">
        <v>15523</v>
      </c>
      <c r="I3718" t="s">
        <v>18361</v>
      </c>
      <c r="K3718" t="e">
        <v>#N/A</v>
      </c>
      <c r="S3718" s="3"/>
    </row>
    <row r="3719" spans="1:19" x14ac:dyDescent="0.25">
      <c r="A3719" t="s">
        <v>10655</v>
      </c>
      <c r="B3719" t="s">
        <v>10656</v>
      </c>
      <c r="C3719" t="s">
        <v>16179</v>
      </c>
      <c r="D3719" t="s">
        <v>23</v>
      </c>
      <c r="E3719">
        <v>2716</v>
      </c>
      <c r="F3719" s="3">
        <v>40702</v>
      </c>
      <c r="H3719" t="s">
        <v>15523</v>
      </c>
      <c r="I3719" t="s">
        <v>16180</v>
      </c>
      <c r="K3719" t="e">
        <v>#N/A</v>
      </c>
      <c r="S3719" s="3"/>
    </row>
    <row r="3720" spans="1:19" x14ac:dyDescent="0.25">
      <c r="A3720" t="s">
        <v>10657</v>
      </c>
      <c r="B3720" t="s">
        <v>10658</v>
      </c>
      <c r="C3720" t="s">
        <v>16179</v>
      </c>
      <c r="D3720" t="s">
        <v>23</v>
      </c>
      <c r="E3720">
        <v>2715</v>
      </c>
      <c r="F3720" s="3">
        <v>40702</v>
      </c>
      <c r="H3720" t="s">
        <v>15523</v>
      </c>
      <c r="I3720" t="s">
        <v>16180</v>
      </c>
      <c r="K3720" t="e">
        <v>#N/A</v>
      </c>
      <c r="S3720" s="3"/>
    </row>
    <row r="3721" spans="1:19" x14ac:dyDescent="0.25">
      <c r="A3721" t="s">
        <v>10659</v>
      </c>
      <c r="B3721" t="s">
        <v>10660</v>
      </c>
      <c r="C3721" t="s">
        <v>10661</v>
      </c>
      <c r="D3721" t="s">
        <v>23</v>
      </c>
      <c r="E3721">
        <v>4192</v>
      </c>
      <c r="F3721" s="3">
        <v>40702</v>
      </c>
      <c r="H3721" t="s">
        <v>15523</v>
      </c>
      <c r="I3721" t="s">
        <v>18362</v>
      </c>
      <c r="K3721" t="e">
        <v>#N/A</v>
      </c>
      <c r="S3721" s="3"/>
    </row>
    <row r="3722" spans="1:19" x14ac:dyDescent="0.25">
      <c r="A3722" t="s">
        <v>10662</v>
      </c>
      <c r="B3722" t="s">
        <v>10663</v>
      </c>
      <c r="C3722" t="s">
        <v>10664</v>
      </c>
      <c r="D3722" t="s">
        <v>23</v>
      </c>
      <c r="E3722">
        <v>4193</v>
      </c>
      <c r="F3722" s="3">
        <v>40702</v>
      </c>
      <c r="H3722" t="s">
        <v>15523</v>
      </c>
      <c r="I3722" t="s">
        <v>18363</v>
      </c>
      <c r="K3722" t="e">
        <v>#N/A</v>
      </c>
      <c r="S3722" s="3"/>
    </row>
    <row r="3723" spans="1:19" x14ac:dyDescent="0.25">
      <c r="A3723" t="s">
        <v>10665</v>
      </c>
      <c r="B3723" t="s">
        <v>10666</v>
      </c>
      <c r="C3723" t="s">
        <v>10667</v>
      </c>
      <c r="D3723" t="s">
        <v>23</v>
      </c>
      <c r="E3723">
        <v>4194</v>
      </c>
      <c r="F3723" s="3">
        <v>40702</v>
      </c>
      <c r="H3723" t="s">
        <v>15523</v>
      </c>
      <c r="I3723" t="s">
        <v>18364</v>
      </c>
      <c r="K3723" t="e">
        <v>#N/A</v>
      </c>
      <c r="S3723" s="3"/>
    </row>
    <row r="3724" spans="1:19" x14ac:dyDescent="0.25">
      <c r="A3724" t="s">
        <v>10668</v>
      </c>
      <c r="B3724" t="s">
        <v>10669</v>
      </c>
      <c r="C3724" t="s">
        <v>10670</v>
      </c>
      <c r="D3724" t="s">
        <v>23</v>
      </c>
      <c r="E3724">
        <v>4195</v>
      </c>
      <c r="F3724" s="3">
        <v>40782</v>
      </c>
      <c r="H3724" t="s">
        <v>15523</v>
      </c>
      <c r="I3724" t="s">
        <v>18365</v>
      </c>
      <c r="K3724" t="e">
        <v>#N/A</v>
      </c>
      <c r="S3724" s="3"/>
    </row>
    <row r="3725" spans="1:19" x14ac:dyDescent="0.25">
      <c r="A3725" t="s">
        <v>10671</v>
      </c>
      <c r="B3725" t="s">
        <v>10672</v>
      </c>
      <c r="C3725" t="s">
        <v>10673</v>
      </c>
      <c r="D3725" t="s">
        <v>23</v>
      </c>
      <c r="E3725">
        <v>4197</v>
      </c>
      <c r="F3725" s="3">
        <v>40702</v>
      </c>
      <c r="H3725" t="s">
        <v>15523</v>
      </c>
      <c r="I3725" t="s">
        <v>18366</v>
      </c>
      <c r="K3725" t="e">
        <v>#N/A</v>
      </c>
      <c r="S3725" s="3"/>
    </row>
    <row r="3726" spans="1:19" x14ac:dyDescent="0.25">
      <c r="A3726" t="s">
        <v>10674</v>
      </c>
      <c r="B3726" t="s">
        <v>10675</v>
      </c>
      <c r="C3726" t="s">
        <v>10676</v>
      </c>
      <c r="D3726" t="s">
        <v>23</v>
      </c>
      <c r="E3726">
        <v>4198</v>
      </c>
      <c r="F3726" s="3">
        <v>40702</v>
      </c>
      <c r="H3726" t="s">
        <v>15523</v>
      </c>
      <c r="I3726" t="s">
        <v>18367</v>
      </c>
      <c r="K3726" t="e">
        <v>#N/A</v>
      </c>
      <c r="S3726" s="3"/>
    </row>
    <row r="3727" spans="1:19" x14ac:dyDescent="0.25">
      <c r="A3727" t="s">
        <v>10677</v>
      </c>
      <c r="B3727" t="s">
        <v>10678</v>
      </c>
      <c r="C3727" t="s">
        <v>10679</v>
      </c>
      <c r="D3727" t="s">
        <v>23</v>
      </c>
      <c r="E3727">
        <v>6080</v>
      </c>
      <c r="F3727" s="3">
        <v>43865</v>
      </c>
      <c r="H3727" t="s">
        <v>15523</v>
      </c>
      <c r="I3727" t="s">
        <v>18368</v>
      </c>
      <c r="K3727" t="e">
        <v>#N/A</v>
      </c>
      <c r="S3727" s="3"/>
    </row>
    <row r="3728" spans="1:19" x14ac:dyDescent="0.25">
      <c r="A3728" t="s">
        <v>10680</v>
      </c>
      <c r="B3728" t="s">
        <v>10681</v>
      </c>
      <c r="C3728" t="s">
        <v>10682</v>
      </c>
      <c r="D3728" t="s">
        <v>23</v>
      </c>
      <c r="E3728">
        <v>1152</v>
      </c>
      <c r="F3728" s="3">
        <v>40702</v>
      </c>
      <c r="H3728" t="s">
        <v>15523</v>
      </c>
      <c r="I3728" t="s">
        <v>18369</v>
      </c>
      <c r="K3728" t="e">
        <v>#N/A</v>
      </c>
      <c r="S3728" s="3"/>
    </row>
    <row r="3729" spans="1:19" x14ac:dyDescent="0.25">
      <c r="A3729" t="s">
        <v>10683</v>
      </c>
      <c r="B3729" t="s">
        <v>10684</v>
      </c>
      <c r="C3729" t="s">
        <v>10685</v>
      </c>
      <c r="D3729" t="s">
        <v>23</v>
      </c>
      <c r="E3729">
        <v>4210</v>
      </c>
      <c r="F3729" s="3">
        <v>40702</v>
      </c>
      <c r="H3729" t="s">
        <v>15523</v>
      </c>
      <c r="I3729" t="s">
        <v>18370</v>
      </c>
      <c r="K3729" t="e">
        <v>#N/A</v>
      </c>
      <c r="S3729" s="3"/>
    </row>
    <row r="3730" spans="1:19" x14ac:dyDescent="0.25">
      <c r="A3730" t="s">
        <v>10686</v>
      </c>
      <c r="B3730" t="s">
        <v>10687</v>
      </c>
      <c r="C3730" t="s">
        <v>10688</v>
      </c>
      <c r="D3730" t="s">
        <v>23</v>
      </c>
      <c r="E3730">
        <v>2473</v>
      </c>
      <c r="F3730" s="3">
        <v>40702</v>
      </c>
      <c r="H3730" t="s">
        <v>15523</v>
      </c>
      <c r="I3730" t="s">
        <v>18371</v>
      </c>
      <c r="K3730" t="e">
        <v>#N/A</v>
      </c>
      <c r="S3730" s="3"/>
    </row>
    <row r="3731" spans="1:19" x14ac:dyDescent="0.25">
      <c r="A3731" t="s">
        <v>10689</v>
      </c>
      <c r="B3731" t="s">
        <v>10690</v>
      </c>
      <c r="C3731" t="s">
        <v>10691</v>
      </c>
      <c r="D3731" t="s">
        <v>23</v>
      </c>
      <c r="E3731">
        <v>1261</v>
      </c>
      <c r="F3731" s="3">
        <v>40702</v>
      </c>
      <c r="H3731" t="s">
        <v>15523</v>
      </c>
      <c r="I3731" t="s">
        <v>18372</v>
      </c>
      <c r="K3731" t="e">
        <v>#N/A</v>
      </c>
      <c r="S3731" s="3"/>
    </row>
    <row r="3732" spans="1:19" x14ac:dyDescent="0.25">
      <c r="A3732" t="s">
        <v>10692</v>
      </c>
      <c r="B3732" t="s">
        <v>10693</v>
      </c>
      <c r="C3732" t="s">
        <v>10694</v>
      </c>
      <c r="D3732" t="s">
        <v>23</v>
      </c>
      <c r="E3732">
        <v>4230</v>
      </c>
      <c r="F3732" s="3">
        <v>40702</v>
      </c>
      <c r="H3732" t="s">
        <v>15523</v>
      </c>
      <c r="I3732" t="s">
        <v>18373</v>
      </c>
      <c r="K3732" t="e">
        <v>#N/A</v>
      </c>
      <c r="S3732" s="3"/>
    </row>
    <row r="3733" spans="1:19" x14ac:dyDescent="0.25">
      <c r="A3733" t="s">
        <v>10695</v>
      </c>
      <c r="B3733" t="s">
        <v>10696</v>
      </c>
      <c r="C3733" t="s">
        <v>10697</v>
      </c>
      <c r="D3733" t="s">
        <v>23</v>
      </c>
      <c r="E3733">
        <v>4231</v>
      </c>
      <c r="F3733" s="3">
        <v>41006</v>
      </c>
      <c r="H3733" t="s">
        <v>15523</v>
      </c>
      <c r="I3733" t="s">
        <v>18374</v>
      </c>
      <c r="K3733" t="e">
        <v>#N/A</v>
      </c>
      <c r="S3733" s="3"/>
    </row>
    <row r="3734" spans="1:19" x14ac:dyDescent="0.25">
      <c r="A3734" t="s">
        <v>10698</v>
      </c>
      <c r="B3734" t="s">
        <v>10699</v>
      </c>
      <c r="C3734" t="s">
        <v>10700</v>
      </c>
      <c r="D3734" t="s">
        <v>23</v>
      </c>
      <c r="E3734">
        <v>2474</v>
      </c>
      <c r="F3734" s="3">
        <v>40702</v>
      </c>
      <c r="H3734" t="s">
        <v>15523</v>
      </c>
      <c r="I3734" t="s">
        <v>18375</v>
      </c>
      <c r="K3734" t="e">
        <v>#N/A</v>
      </c>
      <c r="S3734" s="3"/>
    </row>
    <row r="3735" spans="1:19" x14ac:dyDescent="0.25">
      <c r="A3735" t="s">
        <v>10701</v>
      </c>
      <c r="B3735" t="s">
        <v>10702</v>
      </c>
      <c r="C3735" t="s">
        <v>10703</v>
      </c>
      <c r="D3735" t="s">
        <v>23</v>
      </c>
      <c r="E3735">
        <v>4232</v>
      </c>
      <c r="F3735" s="3">
        <v>40702</v>
      </c>
      <c r="H3735" t="s">
        <v>15523</v>
      </c>
      <c r="I3735" t="s">
        <v>18376</v>
      </c>
      <c r="K3735" t="e">
        <v>#N/A</v>
      </c>
      <c r="S3735" s="3"/>
    </row>
    <row r="3736" spans="1:19" x14ac:dyDescent="0.25">
      <c r="A3736" t="s">
        <v>10704</v>
      </c>
      <c r="B3736" t="s">
        <v>10705</v>
      </c>
      <c r="C3736" t="s">
        <v>10706</v>
      </c>
      <c r="D3736" t="s">
        <v>23</v>
      </c>
      <c r="E3736">
        <v>4235</v>
      </c>
      <c r="F3736" s="3">
        <v>40702</v>
      </c>
      <c r="H3736" t="s">
        <v>15523</v>
      </c>
      <c r="I3736" t="s">
        <v>18377</v>
      </c>
      <c r="K3736" t="e">
        <v>#N/A</v>
      </c>
      <c r="S3736" s="3"/>
    </row>
    <row r="3737" spans="1:19" x14ac:dyDescent="0.25">
      <c r="A3737" t="s">
        <v>10707</v>
      </c>
      <c r="B3737" t="s">
        <v>10708</v>
      </c>
      <c r="C3737" t="s">
        <v>10709</v>
      </c>
      <c r="D3737" t="s">
        <v>23</v>
      </c>
      <c r="E3737">
        <v>4243</v>
      </c>
      <c r="F3737" s="3">
        <v>41006</v>
      </c>
      <c r="H3737" t="s">
        <v>15523</v>
      </c>
      <c r="I3737" t="s">
        <v>18378</v>
      </c>
      <c r="K3737" t="e">
        <v>#N/A</v>
      </c>
      <c r="S3737" s="3"/>
    </row>
    <row r="3738" spans="1:19" x14ac:dyDescent="0.25">
      <c r="A3738" t="s">
        <v>10710</v>
      </c>
      <c r="B3738" t="s">
        <v>10711</v>
      </c>
      <c r="C3738" t="s">
        <v>10712</v>
      </c>
      <c r="D3738" t="s">
        <v>23</v>
      </c>
      <c r="E3738">
        <v>4246</v>
      </c>
      <c r="F3738" s="3">
        <v>41230</v>
      </c>
      <c r="H3738" t="s">
        <v>15523</v>
      </c>
      <c r="I3738" t="s">
        <v>18379</v>
      </c>
      <c r="K3738" t="e">
        <v>#N/A</v>
      </c>
      <c r="S3738" s="3"/>
    </row>
    <row r="3739" spans="1:19" x14ac:dyDescent="0.25">
      <c r="A3739" t="s">
        <v>10713</v>
      </c>
      <c r="B3739" t="s">
        <v>10714</v>
      </c>
      <c r="C3739" t="s">
        <v>10715</v>
      </c>
      <c r="D3739" t="s">
        <v>23</v>
      </c>
      <c r="E3739">
        <v>5251</v>
      </c>
      <c r="F3739" s="3">
        <v>42042</v>
      </c>
      <c r="H3739" t="s">
        <v>15523</v>
      </c>
      <c r="I3739" t="s">
        <v>18380</v>
      </c>
      <c r="K3739" t="e">
        <v>#N/A</v>
      </c>
      <c r="S3739" s="3"/>
    </row>
    <row r="3740" spans="1:19" x14ac:dyDescent="0.25">
      <c r="A3740" t="s">
        <v>10716</v>
      </c>
      <c r="B3740" t="s">
        <v>10717</v>
      </c>
      <c r="C3740" t="s">
        <v>10718</v>
      </c>
      <c r="D3740" t="s">
        <v>23</v>
      </c>
      <c r="E3740">
        <v>4247</v>
      </c>
      <c r="F3740" s="3">
        <v>40702</v>
      </c>
      <c r="H3740" t="s">
        <v>15523</v>
      </c>
      <c r="I3740" t="s">
        <v>18381</v>
      </c>
      <c r="K3740" t="e">
        <v>#N/A</v>
      </c>
      <c r="S3740" s="3"/>
    </row>
    <row r="3741" spans="1:19" x14ac:dyDescent="0.25">
      <c r="A3741" t="s">
        <v>10719</v>
      </c>
      <c r="B3741" t="s">
        <v>10720</v>
      </c>
      <c r="C3741" t="s">
        <v>10721</v>
      </c>
      <c r="D3741" t="s">
        <v>23</v>
      </c>
      <c r="E3741">
        <v>4254</v>
      </c>
      <c r="F3741" s="3">
        <v>40702</v>
      </c>
      <c r="H3741" t="s">
        <v>15523</v>
      </c>
      <c r="I3741" t="s">
        <v>18382</v>
      </c>
      <c r="K3741" t="e">
        <v>#N/A</v>
      </c>
      <c r="S3741" s="3"/>
    </row>
    <row r="3742" spans="1:19" x14ac:dyDescent="0.25">
      <c r="A3742" t="s">
        <v>10722</v>
      </c>
      <c r="B3742" t="s">
        <v>10723</v>
      </c>
      <c r="C3742" t="s">
        <v>10724</v>
      </c>
      <c r="D3742" t="s">
        <v>23</v>
      </c>
      <c r="E3742">
        <v>1934</v>
      </c>
      <c r="F3742" s="3">
        <v>40702</v>
      </c>
      <c r="H3742" t="s">
        <v>15523</v>
      </c>
      <c r="I3742" t="s">
        <v>18383</v>
      </c>
      <c r="K3742" t="e">
        <v>#N/A</v>
      </c>
      <c r="S3742" s="3"/>
    </row>
    <row r="3743" spans="1:19" x14ac:dyDescent="0.25">
      <c r="A3743" t="s">
        <v>10725</v>
      </c>
      <c r="B3743" t="s">
        <v>10726</v>
      </c>
      <c r="C3743" t="s">
        <v>10727</v>
      </c>
      <c r="D3743" t="s">
        <v>23</v>
      </c>
      <c r="E3743">
        <v>4258</v>
      </c>
      <c r="F3743" s="3">
        <v>40702</v>
      </c>
      <c r="H3743" t="s">
        <v>15523</v>
      </c>
      <c r="I3743" t="s">
        <v>18384</v>
      </c>
      <c r="K3743" t="e">
        <v>#N/A</v>
      </c>
      <c r="S3743" s="3"/>
    </row>
    <row r="3744" spans="1:19" x14ac:dyDescent="0.25">
      <c r="A3744" t="s">
        <v>10728</v>
      </c>
      <c r="B3744" t="s">
        <v>10729</v>
      </c>
      <c r="C3744" t="s">
        <v>10730</v>
      </c>
      <c r="D3744" t="s">
        <v>23</v>
      </c>
      <c r="E3744">
        <v>4259</v>
      </c>
      <c r="F3744" s="3">
        <v>40702</v>
      </c>
      <c r="H3744" t="s">
        <v>15523</v>
      </c>
      <c r="I3744" t="s">
        <v>18385</v>
      </c>
      <c r="K3744" t="e">
        <v>#N/A</v>
      </c>
      <c r="S3744" s="3"/>
    </row>
    <row r="3745" spans="1:19" x14ac:dyDescent="0.25">
      <c r="A3745" t="s">
        <v>10731</v>
      </c>
      <c r="B3745" t="s">
        <v>10732</v>
      </c>
      <c r="C3745" t="s">
        <v>10733</v>
      </c>
      <c r="D3745" t="s">
        <v>23</v>
      </c>
      <c r="E3745">
        <v>4274</v>
      </c>
      <c r="F3745" s="3">
        <v>40782</v>
      </c>
      <c r="H3745" t="s">
        <v>15523</v>
      </c>
      <c r="I3745" t="s">
        <v>18386</v>
      </c>
      <c r="K3745" t="e">
        <v>#N/A</v>
      </c>
      <c r="S3745" s="3"/>
    </row>
    <row r="3746" spans="1:19" x14ac:dyDescent="0.25">
      <c r="A3746" t="s">
        <v>10734</v>
      </c>
      <c r="B3746" t="s">
        <v>10735</v>
      </c>
      <c r="C3746" t="s">
        <v>10736</v>
      </c>
      <c r="D3746" t="s">
        <v>23</v>
      </c>
      <c r="E3746">
        <v>5557</v>
      </c>
      <c r="F3746" s="3">
        <v>42385</v>
      </c>
      <c r="H3746" t="s">
        <v>15523</v>
      </c>
      <c r="I3746" t="s">
        <v>18387</v>
      </c>
      <c r="K3746" t="e">
        <v>#N/A</v>
      </c>
      <c r="S3746" s="3"/>
    </row>
    <row r="3747" spans="1:19" x14ac:dyDescent="0.25">
      <c r="A3747" t="s">
        <v>10737</v>
      </c>
      <c r="B3747" t="s">
        <v>10738</v>
      </c>
      <c r="C3747" t="s">
        <v>10739</v>
      </c>
      <c r="D3747" t="s">
        <v>23</v>
      </c>
      <c r="E3747">
        <v>4276</v>
      </c>
      <c r="F3747" s="3">
        <v>41230</v>
      </c>
      <c r="H3747" t="s">
        <v>15523</v>
      </c>
      <c r="I3747" t="s">
        <v>18388</v>
      </c>
      <c r="K3747" t="e">
        <v>#N/A</v>
      </c>
      <c r="S3747" s="3"/>
    </row>
    <row r="3748" spans="1:19" x14ac:dyDescent="0.25">
      <c r="A3748" t="s">
        <v>10740</v>
      </c>
      <c r="B3748" t="s">
        <v>10741</v>
      </c>
      <c r="C3748" t="s">
        <v>10742</v>
      </c>
      <c r="D3748" t="s">
        <v>23</v>
      </c>
      <c r="E3748">
        <v>4277</v>
      </c>
      <c r="F3748" s="3">
        <v>40702</v>
      </c>
      <c r="H3748" t="s">
        <v>15523</v>
      </c>
      <c r="I3748" t="s">
        <v>18389</v>
      </c>
      <c r="K3748" t="e">
        <v>#N/A</v>
      </c>
      <c r="S3748" s="3"/>
    </row>
    <row r="3749" spans="1:19" x14ac:dyDescent="0.25">
      <c r="A3749" t="s">
        <v>10743</v>
      </c>
      <c r="B3749" t="s">
        <v>10744</v>
      </c>
      <c r="C3749" t="s">
        <v>10745</v>
      </c>
      <c r="D3749" t="s">
        <v>23</v>
      </c>
      <c r="E3749">
        <v>4278</v>
      </c>
      <c r="F3749" s="3">
        <v>40702</v>
      </c>
      <c r="H3749" t="s">
        <v>15523</v>
      </c>
      <c r="I3749" t="s">
        <v>18390</v>
      </c>
      <c r="K3749" t="e">
        <v>#N/A</v>
      </c>
      <c r="S3749" s="3"/>
    </row>
    <row r="3750" spans="1:19" x14ac:dyDescent="0.25">
      <c r="A3750" t="s">
        <v>10746</v>
      </c>
      <c r="B3750" t="s">
        <v>10747</v>
      </c>
      <c r="C3750" t="s">
        <v>10748</v>
      </c>
      <c r="D3750" t="s">
        <v>23</v>
      </c>
      <c r="E3750">
        <v>5173</v>
      </c>
      <c r="F3750" s="3">
        <v>42035</v>
      </c>
      <c r="H3750" t="s">
        <v>15523</v>
      </c>
      <c r="I3750" t="s">
        <v>18391</v>
      </c>
      <c r="K3750" t="e">
        <v>#N/A</v>
      </c>
      <c r="S3750" s="3"/>
    </row>
    <row r="3751" spans="1:19" x14ac:dyDescent="0.25">
      <c r="A3751" t="s">
        <v>10749</v>
      </c>
      <c r="B3751" t="s">
        <v>10750</v>
      </c>
      <c r="C3751" t="s">
        <v>10751</v>
      </c>
      <c r="D3751" t="s">
        <v>23</v>
      </c>
      <c r="E3751">
        <v>1285</v>
      </c>
      <c r="F3751" s="3">
        <v>40702</v>
      </c>
      <c r="H3751" t="s">
        <v>15523</v>
      </c>
      <c r="I3751" t="s">
        <v>18392</v>
      </c>
      <c r="K3751" t="e">
        <v>#N/A</v>
      </c>
      <c r="S3751" s="3"/>
    </row>
    <row r="3752" spans="1:19" x14ac:dyDescent="0.25">
      <c r="A3752" t="s">
        <v>10752</v>
      </c>
      <c r="B3752" t="s">
        <v>10753</v>
      </c>
      <c r="C3752" t="s">
        <v>10754</v>
      </c>
      <c r="D3752" t="s">
        <v>23</v>
      </c>
      <c r="E3752">
        <v>4311</v>
      </c>
      <c r="F3752" s="3">
        <v>40702</v>
      </c>
      <c r="H3752" t="s">
        <v>15523</v>
      </c>
      <c r="I3752" t="s">
        <v>18393</v>
      </c>
      <c r="K3752" t="e">
        <v>#N/A</v>
      </c>
      <c r="S3752" s="3"/>
    </row>
    <row r="3753" spans="1:19" x14ac:dyDescent="0.25">
      <c r="A3753" t="s">
        <v>10755</v>
      </c>
      <c r="B3753" t="s">
        <v>10756</v>
      </c>
      <c r="C3753" t="s">
        <v>10757</v>
      </c>
      <c r="D3753" t="s">
        <v>23</v>
      </c>
      <c r="E3753">
        <v>4330</v>
      </c>
      <c r="F3753" s="3">
        <v>40702</v>
      </c>
      <c r="H3753" t="s">
        <v>15523</v>
      </c>
      <c r="I3753" t="s">
        <v>18394</v>
      </c>
      <c r="K3753" t="e">
        <v>#N/A</v>
      </c>
      <c r="S3753" s="3"/>
    </row>
    <row r="3754" spans="1:19" x14ac:dyDescent="0.25">
      <c r="A3754" t="s">
        <v>10758</v>
      </c>
      <c r="B3754" t="s">
        <v>10759</v>
      </c>
      <c r="C3754" t="s">
        <v>10760</v>
      </c>
      <c r="D3754" t="s">
        <v>23</v>
      </c>
      <c r="E3754">
        <v>4298</v>
      </c>
      <c r="F3754" s="3">
        <v>40702</v>
      </c>
      <c r="H3754" t="s">
        <v>15523</v>
      </c>
      <c r="I3754" t="s">
        <v>18395</v>
      </c>
      <c r="K3754" t="e">
        <v>#N/A</v>
      </c>
      <c r="S3754" s="3"/>
    </row>
    <row r="3755" spans="1:19" x14ac:dyDescent="0.25">
      <c r="A3755" t="s">
        <v>10761</v>
      </c>
      <c r="B3755" t="s">
        <v>10762</v>
      </c>
      <c r="C3755" t="s">
        <v>10763</v>
      </c>
      <c r="D3755" t="s">
        <v>23</v>
      </c>
      <c r="E3755">
        <v>4302</v>
      </c>
      <c r="F3755" s="3">
        <v>40702</v>
      </c>
      <c r="H3755" t="s">
        <v>15523</v>
      </c>
      <c r="I3755" t="s">
        <v>18396</v>
      </c>
      <c r="K3755" t="e">
        <v>#N/A</v>
      </c>
      <c r="S3755" s="3"/>
    </row>
    <row r="3756" spans="1:19" x14ac:dyDescent="0.25">
      <c r="A3756" t="s">
        <v>10764</v>
      </c>
      <c r="B3756" t="s">
        <v>10765</v>
      </c>
      <c r="C3756" t="s">
        <v>10766</v>
      </c>
      <c r="D3756" t="s">
        <v>23</v>
      </c>
      <c r="E3756">
        <v>1331</v>
      </c>
      <c r="F3756" s="3">
        <v>40703</v>
      </c>
      <c r="H3756" t="s">
        <v>15523</v>
      </c>
      <c r="I3756" t="s">
        <v>18397</v>
      </c>
      <c r="K3756" t="e">
        <v>#N/A</v>
      </c>
      <c r="S3756" s="3"/>
    </row>
    <row r="3757" spans="1:19" x14ac:dyDescent="0.25">
      <c r="A3757" t="s">
        <v>803</v>
      </c>
      <c r="B3757" t="s">
        <v>804</v>
      </c>
      <c r="C3757" t="s">
        <v>18398</v>
      </c>
      <c r="D3757" t="s">
        <v>23</v>
      </c>
      <c r="E3757">
        <v>5573</v>
      </c>
      <c r="F3757" s="3">
        <v>42452</v>
      </c>
      <c r="H3757" t="s">
        <v>15523</v>
      </c>
      <c r="I3757" t="s">
        <v>18399</v>
      </c>
      <c r="K3757">
        <v>228</v>
      </c>
      <c r="S3757" s="3"/>
    </row>
    <row r="3758" spans="1:19" x14ac:dyDescent="0.25">
      <c r="A3758" t="s">
        <v>10767</v>
      </c>
      <c r="B3758" t="s">
        <v>10768</v>
      </c>
      <c r="C3758" t="s">
        <v>10769</v>
      </c>
      <c r="D3758" t="s">
        <v>23</v>
      </c>
      <c r="E3758">
        <v>2313</v>
      </c>
      <c r="F3758" s="3">
        <v>40702</v>
      </c>
      <c r="H3758" t="s">
        <v>15523</v>
      </c>
      <c r="I3758" t="s">
        <v>18400</v>
      </c>
      <c r="K3758" t="e">
        <v>#N/A</v>
      </c>
      <c r="S3758" s="3"/>
    </row>
    <row r="3759" spans="1:19" x14ac:dyDescent="0.25">
      <c r="A3759" t="s">
        <v>10770</v>
      </c>
      <c r="B3759" t="s">
        <v>10771</v>
      </c>
      <c r="C3759" t="s">
        <v>10772</v>
      </c>
      <c r="D3759" t="s">
        <v>23</v>
      </c>
      <c r="E3759">
        <v>4309</v>
      </c>
      <c r="F3759" s="3">
        <v>40702</v>
      </c>
      <c r="H3759" t="s">
        <v>15523</v>
      </c>
      <c r="I3759" t="s">
        <v>18401</v>
      </c>
      <c r="K3759" t="e">
        <v>#N/A</v>
      </c>
      <c r="S3759" s="3"/>
    </row>
    <row r="3760" spans="1:19" x14ac:dyDescent="0.25">
      <c r="A3760" t="s">
        <v>10773</v>
      </c>
      <c r="B3760" t="s">
        <v>10774</v>
      </c>
      <c r="C3760" t="s">
        <v>10775</v>
      </c>
      <c r="D3760" t="s">
        <v>23</v>
      </c>
      <c r="E3760">
        <v>4310</v>
      </c>
      <c r="F3760" s="3">
        <v>40702</v>
      </c>
      <c r="H3760" t="s">
        <v>15523</v>
      </c>
      <c r="I3760" t="s">
        <v>18402</v>
      </c>
      <c r="K3760" t="e">
        <v>#N/A</v>
      </c>
      <c r="S3760" s="3"/>
    </row>
    <row r="3761" spans="1:19" x14ac:dyDescent="0.25">
      <c r="A3761" t="s">
        <v>10776</v>
      </c>
      <c r="B3761" t="s">
        <v>10777</v>
      </c>
      <c r="C3761" t="s">
        <v>10778</v>
      </c>
      <c r="D3761" t="s">
        <v>23</v>
      </c>
      <c r="E3761">
        <v>5257</v>
      </c>
      <c r="F3761" s="3">
        <v>42042</v>
      </c>
      <c r="H3761" t="s">
        <v>15523</v>
      </c>
      <c r="I3761" t="s">
        <v>18403</v>
      </c>
      <c r="K3761" t="e">
        <v>#N/A</v>
      </c>
      <c r="S3761" s="3"/>
    </row>
    <row r="3762" spans="1:19" x14ac:dyDescent="0.25">
      <c r="A3762" t="s">
        <v>10779</v>
      </c>
      <c r="B3762" t="s">
        <v>10780</v>
      </c>
      <c r="C3762" t="s">
        <v>10781</v>
      </c>
      <c r="D3762" t="s">
        <v>23</v>
      </c>
      <c r="E3762">
        <v>5538</v>
      </c>
      <c r="F3762" s="3">
        <v>42357</v>
      </c>
      <c r="H3762" t="s">
        <v>15523</v>
      </c>
      <c r="I3762" t="s">
        <v>18404</v>
      </c>
      <c r="K3762" t="e">
        <v>#N/A</v>
      </c>
      <c r="S3762" s="3"/>
    </row>
    <row r="3763" spans="1:19" x14ac:dyDescent="0.25">
      <c r="A3763" t="s">
        <v>10782</v>
      </c>
      <c r="B3763" t="s">
        <v>10783</v>
      </c>
      <c r="C3763" t="s">
        <v>10784</v>
      </c>
      <c r="D3763" t="s">
        <v>23</v>
      </c>
      <c r="E3763">
        <v>1296</v>
      </c>
      <c r="F3763" s="3">
        <v>40702</v>
      </c>
      <c r="H3763" t="s">
        <v>15523</v>
      </c>
      <c r="I3763" t="s">
        <v>18405</v>
      </c>
      <c r="K3763" t="e">
        <v>#N/A</v>
      </c>
      <c r="S3763" s="3"/>
    </row>
    <row r="3764" spans="1:19" x14ac:dyDescent="0.25">
      <c r="A3764" t="s">
        <v>10785</v>
      </c>
      <c r="B3764" t="s">
        <v>10786</v>
      </c>
      <c r="C3764" t="s">
        <v>10787</v>
      </c>
      <c r="D3764" t="s">
        <v>23</v>
      </c>
      <c r="E3764">
        <v>5087</v>
      </c>
      <c r="F3764" s="3">
        <v>41606</v>
      </c>
      <c r="H3764" t="s">
        <v>15523</v>
      </c>
      <c r="I3764" t="s">
        <v>18406</v>
      </c>
      <c r="K3764" t="e">
        <v>#N/A</v>
      </c>
      <c r="S3764" s="3"/>
    </row>
    <row r="3765" spans="1:19" x14ac:dyDescent="0.25">
      <c r="A3765" t="s">
        <v>10788</v>
      </c>
      <c r="B3765" t="s">
        <v>10789</v>
      </c>
      <c r="C3765" t="s">
        <v>10790</v>
      </c>
      <c r="D3765" t="s">
        <v>23</v>
      </c>
      <c r="E3765">
        <v>1297</v>
      </c>
      <c r="F3765" s="3">
        <v>40702</v>
      </c>
      <c r="H3765" t="s">
        <v>15523</v>
      </c>
      <c r="I3765" t="s">
        <v>18407</v>
      </c>
      <c r="K3765" t="e">
        <v>#N/A</v>
      </c>
      <c r="S3765" s="3"/>
    </row>
    <row r="3766" spans="1:19" x14ac:dyDescent="0.25">
      <c r="A3766" t="s">
        <v>10791</v>
      </c>
      <c r="B3766" t="s">
        <v>10792</v>
      </c>
      <c r="C3766" t="s">
        <v>10793</v>
      </c>
      <c r="D3766" t="s">
        <v>23</v>
      </c>
      <c r="E3766">
        <v>4319</v>
      </c>
      <c r="F3766" s="3">
        <v>40702</v>
      </c>
      <c r="H3766" t="s">
        <v>15523</v>
      </c>
      <c r="I3766" t="s">
        <v>18408</v>
      </c>
      <c r="K3766" t="e">
        <v>#N/A</v>
      </c>
      <c r="S3766" s="3"/>
    </row>
    <row r="3767" spans="1:19" x14ac:dyDescent="0.25">
      <c r="A3767" t="s">
        <v>10794</v>
      </c>
      <c r="B3767" t="s">
        <v>10795</v>
      </c>
      <c r="C3767" t="s">
        <v>10796</v>
      </c>
      <c r="D3767" t="s">
        <v>23</v>
      </c>
      <c r="E3767">
        <v>4320</v>
      </c>
      <c r="F3767" s="3">
        <v>41230</v>
      </c>
      <c r="H3767" t="s">
        <v>15523</v>
      </c>
      <c r="I3767" t="s">
        <v>18409</v>
      </c>
      <c r="K3767" t="e">
        <v>#N/A</v>
      </c>
      <c r="S3767" s="3"/>
    </row>
    <row r="3768" spans="1:19" x14ac:dyDescent="0.25">
      <c r="A3768" t="s">
        <v>10797</v>
      </c>
      <c r="B3768" t="s">
        <v>10798</v>
      </c>
      <c r="C3768" t="s">
        <v>10799</v>
      </c>
      <c r="D3768" t="s">
        <v>23</v>
      </c>
      <c r="E3768">
        <v>5310</v>
      </c>
      <c r="F3768" s="3">
        <v>42172</v>
      </c>
      <c r="H3768" t="s">
        <v>15523</v>
      </c>
      <c r="I3768" t="s">
        <v>18410</v>
      </c>
      <c r="K3768" t="e">
        <v>#N/A</v>
      </c>
      <c r="S3768" s="3"/>
    </row>
    <row r="3769" spans="1:19" x14ac:dyDescent="0.25">
      <c r="A3769" t="s">
        <v>10800</v>
      </c>
      <c r="B3769" t="s">
        <v>10801</v>
      </c>
      <c r="C3769" t="s">
        <v>10802</v>
      </c>
      <c r="D3769" t="s">
        <v>23</v>
      </c>
      <c r="E3769">
        <v>4321</v>
      </c>
      <c r="F3769" s="3">
        <v>40702</v>
      </c>
      <c r="H3769" t="s">
        <v>15523</v>
      </c>
      <c r="I3769" t="s">
        <v>18411</v>
      </c>
      <c r="K3769" t="e">
        <v>#N/A</v>
      </c>
      <c r="S3769" s="3"/>
    </row>
    <row r="3770" spans="1:19" x14ac:dyDescent="0.25">
      <c r="A3770" t="s">
        <v>10803</v>
      </c>
      <c r="B3770" t="s">
        <v>10804</v>
      </c>
      <c r="C3770" t="s">
        <v>10805</v>
      </c>
      <c r="D3770" t="s">
        <v>23</v>
      </c>
      <c r="E3770">
        <v>4324</v>
      </c>
      <c r="F3770" s="3">
        <v>40702</v>
      </c>
      <c r="H3770" t="s">
        <v>15523</v>
      </c>
      <c r="I3770" t="s">
        <v>18412</v>
      </c>
      <c r="K3770" t="e">
        <v>#N/A</v>
      </c>
      <c r="S3770" s="3"/>
    </row>
    <row r="3771" spans="1:19" x14ac:dyDescent="0.25">
      <c r="A3771" t="s">
        <v>10806</v>
      </c>
      <c r="B3771" t="s">
        <v>10807</v>
      </c>
      <c r="C3771" t="s">
        <v>10808</v>
      </c>
      <c r="D3771" t="s">
        <v>23</v>
      </c>
      <c r="E3771">
        <v>5609</v>
      </c>
      <c r="F3771" s="3">
        <v>42514</v>
      </c>
      <c r="H3771" t="s">
        <v>15523</v>
      </c>
      <c r="I3771" t="s">
        <v>18413</v>
      </c>
      <c r="K3771" t="e">
        <v>#N/A</v>
      </c>
      <c r="S3771" s="3"/>
    </row>
    <row r="3772" spans="1:19" x14ac:dyDescent="0.25">
      <c r="A3772" t="s">
        <v>10809</v>
      </c>
      <c r="B3772" t="s">
        <v>10810</v>
      </c>
      <c r="C3772" t="s">
        <v>10811</v>
      </c>
      <c r="D3772" t="s">
        <v>23</v>
      </c>
      <c r="E3772">
        <v>4329</v>
      </c>
      <c r="F3772" s="3">
        <v>40702</v>
      </c>
      <c r="H3772" t="s">
        <v>15523</v>
      </c>
      <c r="I3772" t="s">
        <v>18414</v>
      </c>
      <c r="K3772" t="e">
        <v>#N/A</v>
      </c>
      <c r="S3772" s="3"/>
    </row>
    <row r="3773" spans="1:19" x14ac:dyDescent="0.25">
      <c r="A3773" t="s">
        <v>10812</v>
      </c>
      <c r="B3773" t="s">
        <v>10813</v>
      </c>
      <c r="C3773" t="s">
        <v>10814</v>
      </c>
      <c r="D3773" t="s">
        <v>23</v>
      </c>
      <c r="E3773">
        <v>5050</v>
      </c>
      <c r="F3773" s="3">
        <v>41660</v>
      </c>
      <c r="H3773" t="s">
        <v>15523</v>
      </c>
      <c r="I3773" t="s">
        <v>18415</v>
      </c>
      <c r="K3773" t="e">
        <v>#N/A</v>
      </c>
      <c r="S3773" s="3"/>
    </row>
    <row r="3774" spans="1:19" x14ac:dyDescent="0.25">
      <c r="A3774" t="s">
        <v>10815</v>
      </c>
      <c r="B3774" t="s">
        <v>10816</v>
      </c>
      <c r="C3774" t="s">
        <v>10817</v>
      </c>
      <c r="D3774" t="s">
        <v>23</v>
      </c>
      <c r="E3774">
        <v>5947</v>
      </c>
      <c r="F3774" s="3">
        <v>43208</v>
      </c>
      <c r="H3774" t="s">
        <v>15523</v>
      </c>
      <c r="I3774" t="s">
        <v>18416</v>
      </c>
      <c r="K3774" t="e">
        <v>#N/A</v>
      </c>
      <c r="S3774" s="3"/>
    </row>
    <row r="3775" spans="1:19" x14ac:dyDescent="0.25">
      <c r="A3775" t="s">
        <v>10818</v>
      </c>
      <c r="B3775" t="s">
        <v>10819</v>
      </c>
      <c r="C3775" t="s">
        <v>10820</v>
      </c>
      <c r="D3775" t="s">
        <v>23</v>
      </c>
      <c r="E3775">
        <v>4337</v>
      </c>
      <c r="F3775" s="3">
        <v>40702</v>
      </c>
      <c r="H3775" t="s">
        <v>15523</v>
      </c>
      <c r="I3775" t="s">
        <v>18417</v>
      </c>
      <c r="K3775" t="e">
        <v>#N/A</v>
      </c>
      <c r="S3775" s="3"/>
    </row>
    <row r="3776" spans="1:19" x14ac:dyDescent="0.25">
      <c r="A3776" t="s">
        <v>10821</v>
      </c>
      <c r="B3776" t="s">
        <v>10822</v>
      </c>
      <c r="C3776" t="s">
        <v>10823</v>
      </c>
      <c r="D3776" t="s">
        <v>23</v>
      </c>
      <c r="E3776">
        <v>1964</v>
      </c>
      <c r="F3776" s="3">
        <v>40702</v>
      </c>
      <c r="H3776" t="s">
        <v>15523</v>
      </c>
      <c r="I3776" t="s">
        <v>18418</v>
      </c>
      <c r="K3776" t="e">
        <v>#N/A</v>
      </c>
      <c r="S3776" s="3"/>
    </row>
    <row r="3777" spans="1:19" x14ac:dyDescent="0.25">
      <c r="A3777" t="s">
        <v>10824</v>
      </c>
      <c r="B3777" t="s">
        <v>10825</v>
      </c>
      <c r="C3777" t="s">
        <v>10826</v>
      </c>
      <c r="D3777" t="s">
        <v>23</v>
      </c>
      <c r="E3777">
        <v>4338</v>
      </c>
      <c r="F3777" s="3">
        <v>40702</v>
      </c>
      <c r="H3777" t="s">
        <v>15523</v>
      </c>
      <c r="I3777" t="s">
        <v>18419</v>
      </c>
      <c r="K3777" t="e">
        <v>#N/A</v>
      </c>
      <c r="S3777" s="3"/>
    </row>
    <row r="3778" spans="1:19" x14ac:dyDescent="0.25">
      <c r="A3778" t="s">
        <v>10827</v>
      </c>
      <c r="B3778" t="s">
        <v>10828</v>
      </c>
      <c r="C3778" t="s">
        <v>10829</v>
      </c>
      <c r="D3778" t="s">
        <v>23</v>
      </c>
      <c r="E3778">
        <v>6017</v>
      </c>
      <c r="F3778" s="3">
        <v>43497</v>
      </c>
      <c r="H3778" t="s">
        <v>15523</v>
      </c>
      <c r="I3778" t="s">
        <v>18420</v>
      </c>
      <c r="K3778" t="e">
        <v>#N/A</v>
      </c>
      <c r="S3778" s="3"/>
    </row>
    <row r="3779" spans="1:19" x14ac:dyDescent="0.25">
      <c r="A3779" t="s">
        <v>10830</v>
      </c>
      <c r="B3779" t="s">
        <v>10831</v>
      </c>
      <c r="C3779" t="s">
        <v>10832</v>
      </c>
      <c r="D3779" t="s">
        <v>23</v>
      </c>
      <c r="E3779">
        <v>4419</v>
      </c>
      <c r="F3779" s="3">
        <v>40702</v>
      </c>
      <c r="H3779" t="s">
        <v>15523</v>
      </c>
      <c r="I3779" t="s">
        <v>18421</v>
      </c>
      <c r="K3779" t="e">
        <v>#N/A</v>
      </c>
      <c r="S3779" s="3"/>
    </row>
    <row r="3780" spans="1:19" x14ac:dyDescent="0.25">
      <c r="A3780" t="s">
        <v>10833</v>
      </c>
      <c r="B3780" t="s">
        <v>10834</v>
      </c>
      <c r="C3780" t="s">
        <v>10835</v>
      </c>
      <c r="D3780" t="s">
        <v>23</v>
      </c>
      <c r="E3780">
        <v>4420</v>
      </c>
      <c r="F3780" s="3">
        <v>40702</v>
      </c>
      <c r="H3780" t="s">
        <v>15523</v>
      </c>
      <c r="I3780" t="s">
        <v>18422</v>
      </c>
      <c r="K3780" t="e">
        <v>#N/A</v>
      </c>
      <c r="S3780" s="3"/>
    </row>
    <row r="3781" spans="1:19" x14ac:dyDescent="0.25">
      <c r="A3781" t="s">
        <v>10836</v>
      </c>
      <c r="B3781" t="s">
        <v>10837</v>
      </c>
      <c r="C3781" t="s">
        <v>10838</v>
      </c>
      <c r="D3781" t="s">
        <v>23</v>
      </c>
      <c r="E3781">
        <v>4444</v>
      </c>
      <c r="F3781" s="3">
        <v>40702</v>
      </c>
      <c r="H3781" t="s">
        <v>15523</v>
      </c>
      <c r="I3781" t="s">
        <v>18423</v>
      </c>
      <c r="K3781" t="e">
        <v>#N/A</v>
      </c>
      <c r="S3781" s="3"/>
    </row>
    <row r="3782" spans="1:19" x14ac:dyDescent="0.25">
      <c r="A3782" t="s">
        <v>150</v>
      </c>
      <c r="B3782" t="s">
        <v>151</v>
      </c>
      <c r="C3782" t="s">
        <v>16179</v>
      </c>
      <c r="D3782" t="s">
        <v>47</v>
      </c>
      <c r="E3782">
        <v>1398</v>
      </c>
      <c r="F3782" s="3">
        <v>40703</v>
      </c>
      <c r="H3782" t="s">
        <v>15523</v>
      </c>
      <c r="I3782" t="s">
        <v>16180</v>
      </c>
      <c r="K3782" t="e">
        <v>#N/A</v>
      </c>
      <c r="S3782" s="3"/>
    </row>
    <row r="3783" spans="1:19" x14ac:dyDescent="0.25">
      <c r="A3783" t="s">
        <v>10839</v>
      </c>
      <c r="B3783" t="s">
        <v>10840</v>
      </c>
      <c r="C3783" t="s">
        <v>10841</v>
      </c>
      <c r="D3783" t="s">
        <v>23</v>
      </c>
      <c r="E3783">
        <v>1984</v>
      </c>
      <c r="F3783" s="3">
        <v>40702</v>
      </c>
      <c r="H3783" t="s">
        <v>15523</v>
      </c>
      <c r="I3783" t="s">
        <v>18424</v>
      </c>
      <c r="K3783" t="e">
        <v>#N/A</v>
      </c>
      <c r="S3783" s="3"/>
    </row>
    <row r="3784" spans="1:19" x14ac:dyDescent="0.25">
      <c r="A3784" t="s">
        <v>10842</v>
      </c>
      <c r="B3784" t="s">
        <v>10843</v>
      </c>
      <c r="C3784" t="s">
        <v>10844</v>
      </c>
      <c r="D3784" t="s">
        <v>23</v>
      </c>
      <c r="E3784">
        <v>4344</v>
      </c>
      <c r="F3784" s="3">
        <v>40702</v>
      </c>
      <c r="H3784" t="s">
        <v>15523</v>
      </c>
      <c r="I3784" t="s">
        <v>18425</v>
      </c>
      <c r="K3784" t="e">
        <v>#N/A</v>
      </c>
      <c r="S3784" s="3"/>
    </row>
    <row r="3785" spans="1:19" x14ac:dyDescent="0.25">
      <c r="A3785" t="s">
        <v>10845</v>
      </c>
      <c r="B3785" t="s">
        <v>10846</v>
      </c>
      <c r="C3785" t="s">
        <v>10847</v>
      </c>
      <c r="D3785" t="s">
        <v>23</v>
      </c>
      <c r="E3785">
        <v>5158</v>
      </c>
      <c r="F3785" s="3">
        <v>41942</v>
      </c>
      <c r="H3785" t="s">
        <v>15523</v>
      </c>
      <c r="I3785" t="s">
        <v>18426</v>
      </c>
      <c r="K3785" t="e">
        <v>#N/A</v>
      </c>
      <c r="S3785" s="3"/>
    </row>
    <row r="3786" spans="1:19" x14ac:dyDescent="0.25">
      <c r="A3786" t="s">
        <v>10848</v>
      </c>
      <c r="B3786" t="s">
        <v>10849</v>
      </c>
      <c r="C3786" t="s">
        <v>10850</v>
      </c>
      <c r="D3786" t="s">
        <v>23</v>
      </c>
      <c r="E3786">
        <v>4345</v>
      </c>
      <c r="F3786" s="3">
        <v>40702</v>
      </c>
      <c r="H3786" t="s">
        <v>15523</v>
      </c>
      <c r="I3786" t="s">
        <v>18427</v>
      </c>
      <c r="K3786" t="e">
        <v>#N/A</v>
      </c>
      <c r="S3786" s="3"/>
    </row>
    <row r="3787" spans="1:19" x14ac:dyDescent="0.25">
      <c r="A3787" t="s">
        <v>10851</v>
      </c>
      <c r="B3787" t="s">
        <v>10852</v>
      </c>
      <c r="C3787" t="s">
        <v>10853</v>
      </c>
      <c r="D3787" t="s">
        <v>23</v>
      </c>
      <c r="E3787">
        <v>4346</v>
      </c>
      <c r="F3787" s="3">
        <v>40702</v>
      </c>
      <c r="H3787" t="s">
        <v>15523</v>
      </c>
      <c r="I3787" t="s">
        <v>18428</v>
      </c>
      <c r="K3787" t="e">
        <v>#N/A</v>
      </c>
      <c r="S3787" s="3"/>
    </row>
    <row r="3788" spans="1:19" x14ac:dyDescent="0.25">
      <c r="A3788" t="s">
        <v>10854</v>
      </c>
      <c r="B3788" t="s">
        <v>10855</v>
      </c>
      <c r="C3788" t="s">
        <v>10856</v>
      </c>
      <c r="D3788" t="s">
        <v>23</v>
      </c>
      <c r="E3788">
        <v>4347</v>
      </c>
      <c r="F3788" s="3">
        <v>40702</v>
      </c>
      <c r="H3788" t="s">
        <v>15523</v>
      </c>
      <c r="I3788" t="s">
        <v>18429</v>
      </c>
      <c r="K3788" t="e">
        <v>#N/A</v>
      </c>
      <c r="S3788" s="3"/>
    </row>
    <row r="3789" spans="1:19" x14ac:dyDescent="0.25">
      <c r="A3789" t="s">
        <v>10857</v>
      </c>
      <c r="B3789" t="s">
        <v>10858</v>
      </c>
      <c r="C3789" t="s">
        <v>10859</v>
      </c>
      <c r="D3789" t="s">
        <v>23</v>
      </c>
      <c r="E3789">
        <v>4348</v>
      </c>
      <c r="F3789" s="3">
        <v>40702</v>
      </c>
      <c r="H3789" t="s">
        <v>15523</v>
      </c>
      <c r="I3789" t="s">
        <v>18430</v>
      </c>
      <c r="K3789" t="e">
        <v>#N/A</v>
      </c>
      <c r="S3789" s="3"/>
    </row>
    <row r="3790" spans="1:19" x14ac:dyDescent="0.25">
      <c r="A3790" t="s">
        <v>10860</v>
      </c>
      <c r="B3790" t="s">
        <v>10861</v>
      </c>
      <c r="C3790" t="s">
        <v>10862</v>
      </c>
      <c r="D3790" t="s">
        <v>23</v>
      </c>
      <c r="E3790">
        <v>4349</v>
      </c>
      <c r="F3790" s="3">
        <v>41031</v>
      </c>
      <c r="H3790" t="s">
        <v>15523</v>
      </c>
      <c r="I3790" t="s">
        <v>18431</v>
      </c>
      <c r="K3790" t="e">
        <v>#N/A</v>
      </c>
      <c r="S3790" s="3"/>
    </row>
    <row r="3791" spans="1:19" x14ac:dyDescent="0.25">
      <c r="A3791" t="s">
        <v>10863</v>
      </c>
      <c r="B3791" t="s">
        <v>10864</v>
      </c>
      <c r="C3791" t="s">
        <v>10865</v>
      </c>
      <c r="D3791" t="s">
        <v>23</v>
      </c>
      <c r="E3791">
        <v>4350</v>
      </c>
      <c r="F3791" s="3">
        <v>41006</v>
      </c>
      <c r="H3791" t="s">
        <v>15523</v>
      </c>
      <c r="I3791" t="s">
        <v>18432</v>
      </c>
      <c r="K3791" t="e">
        <v>#N/A</v>
      </c>
      <c r="S3791" s="3"/>
    </row>
    <row r="3792" spans="1:19" x14ac:dyDescent="0.25">
      <c r="A3792" t="s">
        <v>10866</v>
      </c>
      <c r="B3792" t="s">
        <v>10867</v>
      </c>
      <c r="C3792" t="s">
        <v>10868</v>
      </c>
      <c r="D3792" t="s">
        <v>23</v>
      </c>
      <c r="E3792">
        <v>4351</v>
      </c>
      <c r="F3792" s="3">
        <v>41006</v>
      </c>
      <c r="H3792" t="s">
        <v>15523</v>
      </c>
      <c r="I3792" t="s">
        <v>18433</v>
      </c>
      <c r="K3792" t="e">
        <v>#N/A</v>
      </c>
      <c r="S3792" s="3"/>
    </row>
    <row r="3793" spans="1:19" x14ac:dyDescent="0.25">
      <c r="A3793" t="s">
        <v>10869</v>
      </c>
      <c r="B3793" t="s">
        <v>10870</v>
      </c>
      <c r="C3793" t="s">
        <v>10871</v>
      </c>
      <c r="D3793" t="s">
        <v>23</v>
      </c>
      <c r="E3793">
        <v>5051</v>
      </c>
      <c r="F3793" s="3">
        <v>41660</v>
      </c>
      <c r="H3793" t="s">
        <v>15523</v>
      </c>
      <c r="I3793" t="s">
        <v>18434</v>
      </c>
      <c r="K3793" t="e">
        <v>#N/A</v>
      </c>
      <c r="S3793" s="3"/>
    </row>
    <row r="3794" spans="1:19" x14ac:dyDescent="0.25">
      <c r="A3794" t="s">
        <v>10872</v>
      </c>
      <c r="B3794" t="s">
        <v>10873</v>
      </c>
      <c r="C3794" t="s">
        <v>10874</v>
      </c>
      <c r="D3794" t="s">
        <v>23</v>
      </c>
      <c r="E3794">
        <v>1359</v>
      </c>
      <c r="F3794" s="3">
        <v>40702</v>
      </c>
      <c r="H3794" t="s">
        <v>15523</v>
      </c>
      <c r="I3794" t="s">
        <v>18435</v>
      </c>
      <c r="K3794" t="e">
        <v>#N/A</v>
      </c>
      <c r="S3794" s="3"/>
    </row>
    <row r="3795" spans="1:19" x14ac:dyDescent="0.25">
      <c r="A3795" t="s">
        <v>10875</v>
      </c>
      <c r="B3795" t="s">
        <v>10876</v>
      </c>
      <c r="C3795" t="s">
        <v>10877</v>
      </c>
      <c r="D3795" t="s">
        <v>23</v>
      </c>
      <c r="E3795">
        <v>4424</v>
      </c>
      <c r="F3795" s="3">
        <v>40702</v>
      </c>
      <c r="H3795" t="s">
        <v>15523</v>
      </c>
      <c r="I3795" t="s">
        <v>18436</v>
      </c>
      <c r="K3795" t="e">
        <v>#N/A</v>
      </c>
      <c r="S3795" s="3"/>
    </row>
    <row r="3796" spans="1:19" x14ac:dyDescent="0.25">
      <c r="A3796" t="s">
        <v>10878</v>
      </c>
      <c r="B3796" t="s">
        <v>10879</v>
      </c>
      <c r="C3796" t="s">
        <v>10880</v>
      </c>
      <c r="D3796" t="s">
        <v>23</v>
      </c>
      <c r="E3796">
        <v>2301</v>
      </c>
      <c r="F3796" s="3">
        <v>40702</v>
      </c>
      <c r="H3796" t="s">
        <v>15523</v>
      </c>
      <c r="I3796" t="s">
        <v>18437</v>
      </c>
      <c r="K3796" t="e">
        <v>#N/A</v>
      </c>
      <c r="S3796" s="3"/>
    </row>
    <row r="3797" spans="1:19" x14ac:dyDescent="0.25">
      <c r="A3797" t="s">
        <v>10881</v>
      </c>
      <c r="B3797" t="s">
        <v>10882</v>
      </c>
      <c r="C3797" t="s">
        <v>10883</v>
      </c>
      <c r="D3797" t="s">
        <v>23</v>
      </c>
      <c r="E3797">
        <v>4429</v>
      </c>
      <c r="F3797" s="3">
        <v>40702</v>
      </c>
      <c r="H3797" t="s">
        <v>15523</v>
      </c>
      <c r="I3797" t="s">
        <v>18438</v>
      </c>
      <c r="K3797" t="e">
        <v>#N/A</v>
      </c>
      <c r="S3797" s="3"/>
    </row>
    <row r="3798" spans="1:19" x14ac:dyDescent="0.25">
      <c r="A3798" t="s">
        <v>10884</v>
      </c>
      <c r="B3798" t="s">
        <v>10885</v>
      </c>
      <c r="C3798" t="s">
        <v>10886</v>
      </c>
      <c r="D3798" t="s">
        <v>23</v>
      </c>
      <c r="E3798">
        <v>4430</v>
      </c>
      <c r="F3798" s="3">
        <v>40702</v>
      </c>
      <c r="H3798" t="s">
        <v>15523</v>
      </c>
      <c r="I3798" t="s">
        <v>18439</v>
      </c>
      <c r="K3798" t="e">
        <v>#N/A</v>
      </c>
      <c r="S3798" s="3"/>
    </row>
    <row r="3799" spans="1:19" x14ac:dyDescent="0.25">
      <c r="A3799" t="s">
        <v>10887</v>
      </c>
      <c r="B3799" t="s">
        <v>10888</v>
      </c>
      <c r="C3799" t="s">
        <v>10889</v>
      </c>
      <c r="D3799" t="s">
        <v>23</v>
      </c>
      <c r="E3799">
        <v>2302</v>
      </c>
      <c r="F3799" s="3">
        <v>40702</v>
      </c>
      <c r="H3799" t="s">
        <v>15523</v>
      </c>
      <c r="I3799" t="s">
        <v>18440</v>
      </c>
      <c r="K3799" t="e">
        <v>#N/A</v>
      </c>
      <c r="S3799" s="3"/>
    </row>
    <row r="3800" spans="1:19" x14ac:dyDescent="0.25">
      <c r="A3800" t="s">
        <v>10890</v>
      </c>
      <c r="B3800" t="s">
        <v>10891</v>
      </c>
      <c r="C3800" t="s">
        <v>10892</v>
      </c>
      <c r="D3800" t="s">
        <v>23</v>
      </c>
      <c r="E3800">
        <v>1971</v>
      </c>
      <c r="F3800" s="3">
        <v>40702</v>
      </c>
      <c r="H3800" t="s">
        <v>15523</v>
      </c>
      <c r="I3800" t="s">
        <v>18441</v>
      </c>
      <c r="K3800" t="e">
        <v>#N/A</v>
      </c>
      <c r="S3800" s="3"/>
    </row>
    <row r="3801" spans="1:19" x14ac:dyDescent="0.25">
      <c r="A3801" t="s">
        <v>10893</v>
      </c>
      <c r="B3801" t="s">
        <v>10894</v>
      </c>
      <c r="C3801" t="s">
        <v>10895</v>
      </c>
      <c r="D3801" t="s">
        <v>23</v>
      </c>
      <c r="E3801">
        <v>5817</v>
      </c>
      <c r="F3801" s="3">
        <v>42871</v>
      </c>
      <c r="H3801" t="s">
        <v>15523</v>
      </c>
      <c r="I3801" t="s">
        <v>18442</v>
      </c>
      <c r="K3801" t="e">
        <v>#N/A</v>
      </c>
      <c r="S3801" s="3"/>
    </row>
    <row r="3802" spans="1:19" x14ac:dyDescent="0.25">
      <c r="A3802" t="s">
        <v>10896</v>
      </c>
      <c r="B3802" t="s">
        <v>10897</v>
      </c>
      <c r="C3802" t="s">
        <v>10898</v>
      </c>
      <c r="D3802" t="s">
        <v>23</v>
      </c>
      <c r="E3802">
        <v>4431</v>
      </c>
      <c r="F3802" s="3">
        <v>40702</v>
      </c>
      <c r="H3802" t="s">
        <v>15523</v>
      </c>
      <c r="I3802" t="s">
        <v>18443</v>
      </c>
      <c r="K3802" t="e">
        <v>#N/A</v>
      </c>
      <c r="S3802" s="3"/>
    </row>
    <row r="3803" spans="1:19" x14ac:dyDescent="0.25">
      <c r="A3803" t="s">
        <v>10899</v>
      </c>
      <c r="B3803" t="s">
        <v>10900</v>
      </c>
      <c r="C3803" t="s">
        <v>10901</v>
      </c>
      <c r="D3803" t="s">
        <v>23</v>
      </c>
      <c r="E3803">
        <v>6054</v>
      </c>
      <c r="F3803" s="3">
        <v>43781</v>
      </c>
      <c r="H3803" t="s">
        <v>15523</v>
      </c>
      <c r="I3803" t="s">
        <v>18444</v>
      </c>
      <c r="K3803" t="e">
        <v>#N/A</v>
      </c>
      <c r="S3803" s="3"/>
    </row>
    <row r="3804" spans="1:19" x14ac:dyDescent="0.25">
      <c r="A3804" t="s">
        <v>10902</v>
      </c>
      <c r="B3804" t="s">
        <v>10903</v>
      </c>
      <c r="C3804" t="s">
        <v>10904</v>
      </c>
      <c r="D3804" t="s">
        <v>23</v>
      </c>
      <c r="E3804">
        <v>5818</v>
      </c>
      <c r="F3804" s="3">
        <v>42871</v>
      </c>
      <c r="H3804" t="s">
        <v>15523</v>
      </c>
      <c r="I3804" t="s">
        <v>18445</v>
      </c>
      <c r="K3804" t="e">
        <v>#N/A</v>
      </c>
      <c r="S3804" s="3"/>
    </row>
    <row r="3805" spans="1:19" x14ac:dyDescent="0.25">
      <c r="A3805" t="s">
        <v>10905</v>
      </c>
      <c r="B3805" t="s">
        <v>10906</v>
      </c>
      <c r="C3805" t="s">
        <v>10907</v>
      </c>
      <c r="D3805" t="s">
        <v>23</v>
      </c>
      <c r="E3805">
        <v>4432</v>
      </c>
      <c r="F3805" s="3">
        <v>40702</v>
      </c>
      <c r="H3805" t="s">
        <v>15523</v>
      </c>
      <c r="I3805" t="s">
        <v>18446</v>
      </c>
      <c r="K3805" t="e">
        <v>#N/A</v>
      </c>
      <c r="S3805" s="3"/>
    </row>
    <row r="3806" spans="1:19" x14ac:dyDescent="0.25">
      <c r="A3806" t="s">
        <v>10908</v>
      </c>
      <c r="B3806" t="s">
        <v>10909</v>
      </c>
      <c r="C3806" t="s">
        <v>10910</v>
      </c>
      <c r="D3806" t="s">
        <v>23</v>
      </c>
      <c r="E3806">
        <v>4434</v>
      </c>
      <c r="F3806" s="3">
        <v>40702</v>
      </c>
      <c r="H3806" t="s">
        <v>15523</v>
      </c>
      <c r="I3806" t="s">
        <v>18447</v>
      </c>
      <c r="K3806" t="e">
        <v>#N/A</v>
      </c>
      <c r="S3806" s="3"/>
    </row>
    <row r="3807" spans="1:19" x14ac:dyDescent="0.25">
      <c r="A3807" t="s">
        <v>10911</v>
      </c>
      <c r="B3807" t="s">
        <v>10912</v>
      </c>
      <c r="C3807" t="s">
        <v>10913</v>
      </c>
      <c r="D3807" t="s">
        <v>23</v>
      </c>
      <c r="E3807">
        <v>4433</v>
      </c>
      <c r="F3807" s="3">
        <v>41230</v>
      </c>
      <c r="H3807" t="s">
        <v>15523</v>
      </c>
      <c r="I3807" t="s">
        <v>18448</v>
      </c>
      <c r="K3807" t="e">
        <v>#N/A</v>
      </c>
      <c r="S3807" s="3"/>
    </row>
    <row r="3808" spans="1:19" x14ac:dyDescent="0.25">
      <c r="A3808" t="s">
        <v>10914</v>
      </c>
      <c r="B3808" t="s">
        <v>10915</v>
      </c>
      <c r="C3808" t="s">
        <v>10916</v>
      </c>
      <c r="D3808" t="s">
        <v>23</v>
      </c>
      <c r="E3808">
        <v>1394</v>
      </c>
      <c r="F3808" s="3">
        <v>40702</v>
      </c>
      <c r="H3808" t="s">
        <v>15523</v>
      </c>
      <c r="I3808" t="s">
        <v>18449</v>
      </c>
      <c r="K3808" t="e">
        <v>#N/A</v>
      </c>
      <c r="S3808" s="3"/>
    </row>
    <row r="3809" spans="1:19" x14ac:dyDescent="0.25">
      <c r="A3809" t="s">
        <v>10917</v>
      </c>
      <c r="B3809" t="s">
        <v>10918</v>
      </c>
      <c r="C3809" t="s">
        <v>10919</v>
      </c>
      <c r="D3809" t="s">
        <v>23</v>
      </c>
      <c r="E3809">
        <v>4435</v>
      </c>
      <c r="F3809" s="3">
        <v>40702</v>
      </c>
      <c r="H3809" t="s">
        <v>15523</v>
      </c>
      <c r="I3809" t="s">
        <v>18450</v>
      </c>
      <c r="K3809" t="e">
        <v>#N/A</v>
      </c>
      <c r="S3809" s="3"/>
    </row>
    <row r="3810" spans="1:19" x14ac:dyDescent="0.25">
      <c r="A3810" t="s">
        <v>10920</v>
      </c>
      <c r="B3810" t="s">
        <v>10921</v>
      </c>
      <c r="C3810" t="s">
        <v>10922</v>
      </c>
      <c r="D3810" t="s">
        <v>23</v>
      </c>
      <c r="E3810">
        <v>4436</v>
      </c>
      <c r="F3810" s="3">
        <v>41006</v>
      </c>
      <c r="H3810" t="s">
        <v>15523</v>
      </c>
      <c r="I3810" t="s">
        <v>18451</v>
      </c>
      <c r="K3810" t="e">
        <v>#N/A</v>
      </c>
      <c r="S3810" s="3"/>
    </row>
    <row r="3811" spans="1:19" x14ac:dyDescent="0.25">
      <c r="A3811" t="s">
        <v>10923</v>
      </c>
      <c r="B3811" t="s">
        <v>10924</v>
      </c>
      <c r="C3811" t="s">
        <v>10925</v>
      </c>
      <c r="D3811" t="s">
        <v>23</v>
      </c>
      <c r="E3811">
        <v>4456</v>
      </c>
      <c r="F3811" s="3">
        <v>40702</v>
      </c>
      <c r="H3811" t="s">
        <v>15523</v>
      </c>
      <c r="I3811" t="s">
        <v>18452</v>
      </c>
      <c r="K3811" t="e">
        <v>#N/A</v>
      </c>
      <c r="S3811" s="3"/>
    </row>
    <row r="3812" spans="1:19" x14ac:dyDescent="0.25">
      <c r="A3812" t="s">
        <v>10926</v>
      </c>
      <c r="B3812" t="s">
        <v>10927</v>
      </c>
      <c r="C3812" s="3">
        <v>6607</v>
      </c>
      <c r="D3812" t="s">
        <v>23</v>
      </c>
      <c r="E3812">
        <v>4457</v>
      </c>
      <c r="F3812" s="3">
        <v>40704</v>
      </c>
      <c r="H3812" t="s">
        <v>15523</v>
      </c>
      <c r="I3812" t="s">
        <v>18453</v>
      </c>
      <c r="K3812" t="e">
        <v>#N/A</v>
      </c>
      <c r="P3812" s="3"/>
      <c r="S3812" s="3"/>
    </row>
    <row r="3813" spans="1:19" x14ac:dyDescent="0.25">
      <c r="A3813" t="s">
        <v>10929</v>
      </c>
      <c r="B3813" t="s">
        <v>10930</v>
      </c>
      <c r="C3813" t="s">
        <v>10931</v>
      </c>
      <c r="D3813" t="s">
        <v>23</v>
      </c>
      <c r="E3813">
        <v>4458</v>
      </c>
      <c r="F3813" s="3">
        <v>40702</v>
      </c>
      <c r="H3813" t="s">
        <v>15523</v>
      </c>
      <c r="I3813" t="s">
        <v>18454</v>
      </c>
      <c r="K3813" t="e">
        <v>#N/A</v>
      </c>
      <c r="S3813" s="3"/>
    </row>
    <row r="3814" spans="1:19" x14ac:dyDescent="0.25">
      <c r="A3814" t="s">
        <v>10932</v>
      </c>
      <c r="B3814" t="s">
        <v>10933</v>
      </c>
      <c r="C3814" t="s">
        <v>10934</v>
      </c>
      <c r="D3814" t="s">
        <v>23</v>
      </c>
      <c r="E3814">
        <v>4459</v>
      </c>
      <c r="F3814" s="3">
        <v>40736</v>
      </c>
      <c r="H3814" t="s">
        <v>15523</v>
      </c>
      <c r="I3814" t="s">
        <v>18455</v>
      </c>
      <c r="K3814" t="e">
        <v>#N/A</v>
      </c>
      <c r="S3814" s="3"/>
    </row>
    <row r="3815" spans="1:19" x14ac:dyDescent="0.25">
      <c r="A3815" t="s">
        <v>10935</v>
      </c>
      <c r="B3815" t="s">
        <v>10936</v>
      </c>
      <c r="C3815" t="s">
        <v>10937</v>
      </c>
      <c r="D3815" t="s">
        <v>23</v>
      </c>
      <c r="E3815">
        <v>4460</v>
      </c>
      <c r="F3815" s="3">
        <v>40702</v>
      </c>
      <c r="H3815" t="s">
        <v>15523</v>
      </c>
      <c r="I3815" t="s">
        <v>18456</v>
      </c>
      <c r="K3815" t="e">
        <v>#N/A</v>
      </c>
      <c r="S3815" s="3"/>
    </row>
    <row r="3816" spans="1:19" x14ac:dyDescent="0.25">
      <c r="A3816" t="s">
        <v>10938</v>
      </c>
      <c r="B3816" t="s">
        <v>10939</v>
      </c>
      <c r="C3816" t="s">
        <v>10940</v>
      </c>
      <c r="D3816" t="s">
        <v>23</v>
      </c>
      <c r="E3816">
        <v>4461</v>
      </c>
      <c r="F3816" s="3">
        <v>40702</v>
      </c>
      <c r="H3816" t="s">
        <v>15523</v>
      </c>
      <c r="I3816" t="s">
        <v>18457</v>
      </c>
      <c r="K3816" t="e">
        <v>#N/A</v>
      </c>
      <c r="S3816" s="3"/>
    </row>
    <row r="3817" spans="1:19" x14ac:dyDescent="0.25">
      <c r="A3817" t="s">
        <v>10941</v>
      </c>
      <c r="B3817" t="s">
        <v>10942</v>
      </c>
      <c r="C3817" t="s">
        <v>10943</v>
      </c>
      <c r="D3817" t="s">
        <v>23</v>
      </c>
      <c r="E3817">
        <v>1405</v>
      </c>
      <c r="F3817" s="3">
        <v>40702</v>
      </c>
      <c r="H3817" t="s">
        <v>15523</v>
      </c>
      <c r="I3817" t="s">
        <v>18458</v>
      </c>
      <c r="K3817" t="e">
        <v>#N/A</v>
      </c>
      <c r="S3817" s="3"/>
    </row>
    <row r="3818" spans="1:19" x14ac:dyDescent="0.25">
      <c r="A3818" t="s">
        <v>10944</v>
      </c>
      <c r="B3818" t="s">
        <v>10945</v>
      </c>
      <c r="C3818" t="s">
        <v>10946</v>
      </c>
      <c r="D3818" t="s">
        <v>23</v>
      </c>
      <c r="E3818">
        <v>4462</v>
      </c>
      <c r="F3818" s="3">
        <v>40702</v>
      </c>
      <c r="H3818" t="s">
        <v>15523</v>
      </c>
      <c r="I3818" t="s">
        <v>18459</v>
      </c>
      <c r="K3818" t="e">
        <v>#N/A</v>
      </c>
      <c r="S3818" s="3"/>
    </row>
    <row r="3819" spans="1:19" x14ac:dyDescent="0.25">
      <c r="A3819" t="s">
        <v>10947</v>
      </c>
      <c r="B3819" t="s">
        <v>10948</v>
      </c>
      <c r="C3819" t="s">
        <v>10949</v>
      </c>
      <c r="D3819" t="s">
        <v>23</v>
      </c>
      <c r="E3819">
        <v>4463</v>
      </c>
      <c r="F3819" s="3">
        <v>40702</v>
      </c>
      <c r="H3819" t="s">
        <v>15523</v>
      </c>
      <c r="I3819" t="s">
        <v>18460</v>
      </c>
      <c r="K3819" t="e">
        <v>#N/A</v>
      </c>
      <c r="S3819" s="3"/>
    </row>
    <row r="3820" spans="1:19" x14ac:dyDescent="0.25">
      <c r="A3820" t="s">
        <v>10950</v>
      </c>
      <c r="B3820" t="s">
        <v>10951</v>
      </c>
      <c r="C3820" t="s">
        <v>10952</v>
      </c>
      <c r="D3820" t="s">
        <v>23</v>
      </c>
      <c r="E3820">
        <v>1406</v>
      </c>
      <c r="F3820" s="3">
        <v>40702</v>
      </c>
      <c r="H3820" t="s">
        <v>15523</v>
      </c>
      <c r="I3820" t="s">
        <v>18461</v>
      </c>
      <c r="K3820" t="e">
        <v>#N/A</v>
      </c>
      <c r="S3820" s="3"/>
    </row>
    <row r="3821" spans="1:19" x14ac:dyDescent="0.25">
      <c r="A3821" t="s">
        <v>10953</v>
      </c>
      <c r="B3821" t="s">
        <v>10954</v>
      </c>
      <c r="C3821" t="s">
        <v>10955</v>
      </c>
      <c r="D3821" t="s">
        <v>23</v>
      </c>
      <c r="E3821">
        <v>4464</v>
      </c>
      <c r="F3821" s="3">
        <v>40702</v>
      </c>
      <c r="H3821" t="s">
        <v>15523</v>
      </c>
      <c r="I3821" t="s">
        <v>18462</v>
      </c>
      <c r="K3821" t="e">
        <v>#N/A</v>
      </c>
      <c r="S3821" s="3"/>
    </row>
    <row r="3822" spans="1:19" x14ac:dyDescent="0.25">
      <c r="A3822" t="s">
        <v>10956</v>
      </c>
      <c r="B3822" t="s">
        <v>10957</v>
      </c>
      <c r="C3822" t="s">
        <v>10958</v>
      </c>
      <c r="D3822" t="s">
        <v>23</v>
      </c>
      <c r="E3822">
        <v>4465</v>
      </c>
      <c r="F3822" s="3">
        <v>40702</v>
      </c>
      <c r="H3822" t="s">
        <v>15523</v>
      </c>
      <c r="I3822" t="s">
        <v>18463</v>
      </c>
      <c r="K3822" t="e">
        <v>#N/A</v>
      </c>
      <c r="S3822" s="3"/>
    </row>
    <row r="3823" spans="1:19" x14ac:dyDescent="0.25">
      <c r="A3823" t="s">
        <v>10959</v>
      </c>
      <c r="B3823" t="s">
        <v>10960</v>
      </c>
      <c r="C3823" t="s">
        <v>10961</v>
      </c>
      <c r="D3823" t="s">
        <v>23</v>
      </c>
      <c r="E3823">
        <v>4466</v>
      </c>
      <c r="F3823" s="3">
        <v>41006</v>
      </c>
      <c r="H3823" t="s">
        <v>15523</v>
      </c>
      <c r="I3823" t="s">
        <v>18464</v>
      </c>
      <c r="K3823" t="e">
        <v>#N/A</v>
      </c>
      <c r="S3823" s="3"/>
    </row>
    <row r="3824" spans="1:19" x14ac:dyDescent="0.25">
      <c r="A3824" t="s">
        <v>10962</v>
      </c>
      <c r="B3824" t="s">
        <v>10963</v>
      </c>
      <c r="C3824" t="s">
        <v>10964</v>
      </c>
      <c r="D3824" t="s">
        <v>23</v>
      </c>
      <c r="E3824">
        <v>4467</v>
      </c>
      <c r="F3824" s="3">
        <v>41230</v>
      </c>
      <c r="H3824" t="s">
        <v>15523</v>
      </c>
      <c r="I3824" t="s">
        <v>18465</v>
      </c>
      <c r="K3824" t="e">
        <v>#N/A</v>
      </c>
      <c r="S3824" s="3"/>
    </row>
    <row r="3825" spans="1:19" x14ac:dyDescent="0.25">
      <c r="A3825" t="s">
        <v>10965</v>
      </c>
      <c r="B3825" t="s">
        <v>10966</v>
      </c>
      <c r="C3825" t="s">
        <v>10967</v>
      </c>
      <c r="D3825" t="s">
        <v>23</v>
      </c>
      <c r="E3825">
        <v>4469</v>
      </c>
      <c r="F3825" s="3">
        <v>40702</v>
      </c>
      <c r="H3825" t="s">
        <v>15523</v>
      </c>
      <c r="I3825" t="s">
        <v>18466</v>
      </c>
      <c r="K3825" t="e">
        <v>#N/A</v>
      </c>
      <c r="S3825" s="3"/>
    </row>
    <row r="3826" spans="1:19" x14ac:dyDescent="0.25">
      <c r="A3826" t="s">
        <v>10968</v>
      </c>
      <c r="B3826" t="s">
        <v>10969</v>
      </c>
      <c r="C3826" t="s">
        <v>10970</v>
      </c>
      <c r="D3826" t="s">
        <v>23</v>
      </c>
      <c r="E3826">
        <v>1411</v>
      </c>
      <c r="F3826" s="3">
        <v>40702</v>
      </c>
      <c r="H3826" t="s">
        <v>15523</v>
      </c>
      <c r="I3826" t="s">
        <v>18467</v>
      </c>
      <c r="K3826" t="e">
        <v>#N/A</v>
      </c>
      <c r="S3826" s="3"/>
    </row>
    <row r="3827" spans="1:19" x14ac:dyDescent="0.25">
      <c r="A3827" t="s">
        <v>10971</v>
      </c>
      <c r="B3827" t="s">
        <v>10972</v>
      </c>
      <c r="C3827" t="s">
        <v>10973</v>
      </c>
      <c r="D3827" t="s">
        <v>23</v>
      </c>
      <c r="E3827">
        <v>4475</v>
      </c>
      <c r="F3827" s="3">
        <v>40702</v>
      </c>
      <c r="H3827" t="s">
        <v>15523</v>
      </c>
      <c r="I3827" t="s">
        <v>18468</v>
      </c>
      <c r="K3827" t="e">
        <v>#N/A</v>
      </c>
      <c r="S3827" s="3"/>
    </row>
    <row r="3828" spans="1:19" x14ac:dyDescent="0.25">
      <c r="A3828" t="s">
        <v>10974</v>
      </c>
      <c r="B3828" t="s">
        <v>10975</v>
      </c>
      <c r="C3828" s="3">
        <v>2594322</v>
      </c>
      <c r="D3828" t="s">
        <v>23</v>
      </c>
      <c r="E3828">
        <v>4474</v>
      </c>
      <c r="F3828" s="3">
        <v>40704</v>
      </c>
      <c r="H3828" t="s">
        <v>15523</v>
      </c>
      <c r="I3828" t="s">
        <v>18469</v>
      </c>
      <c r="K3828" t="e">
        <v>#N/A</v>
      </c>
      <c r="P3828" s="3"/>
      <c r="S3828" s="3"/>
    </row>
    <row r="3829" spans="1:19" x14ac:dyDescent="0.25">
      <c r="A3829" t="s">
        <v>10977</v>
      </c>
      <c r="B3829" t="s">
        <v>10978</v>
      </c>
      <c r="C3829" t="s">
        <v>10979</v>
      </c>
      <c r="D3829" t="s">
        <v>23</v>
      </c>
      <c r="E3829">
        <v>5237</v>
      </c>
      <c r="F3829" s="3">
        <v>42035</v>
      </c>
      <c r="H3829" t="s">
        <v>15523</v>
      </c>
      <c r="I3829" t="s">
        <v>18470</v>
      </c>
      <c r="K3829" t="e">
        <v>#N/A</v>
      </c>
      <c r="S3829" s="3"/>
    </row>
    <row r="3830" spans="1:19" x14ac:dyDescent="0.25">
      <c r="A3830" t="s">
        <v>10980</v>
      </c>
      <c r="B3830" t="s">
        <v>10981</v>
      </c>
      <c r="C3830" t="s">
        <v>10982</v>
      </c>
      <c r="D3830" t="s">
        <v>23</v>
      </c>
      <c r="E3830">
        <v>4476</v>
      </c>
      <c r="F3830" s="3">
        <v>40702</v>
      </c>
      <c r="H3830" t="s">
        <v>15523</v>
      </c>
      <c r="I3830" t="s">
        <v>18471</v>
      </c>
      <c r="K3830" t="e">
        <v>#N/A</v>
      </c>
      <c r="S3830" s="3"/>
    </row>
    <row r="3831" spans="1:19" x14ac:dyDescent="0.25">
      <c r="A3831" t="s">
        <v>10983</v>
      </c>
      <c r="B3831" t="s">
        <v>10984</v>
      </c>
      <c r="C3831" t="s">
        <v>10985</v>
      </c>
      <c r="D3831" t="s">
        <v>23</v>
      </c>
      <c r="E3831">
        <v>4477</v>
      </c>
      <c r="F3831" s="3">
        <v>40702</v>
      </c>
      <c r="H3831" t="s">
        <v>15523</v>
      </c>
      <c r="I3831" t="s">
        <v>18472</v>
      </c>
      <c r="K3831" t="e">
        <v>#N/A</v>
      </c>
      <c r="S3831" s="3"/>
    </row>
    <row r="3832" spans="1:19" x14ac:dyDescent="0.25">
      <c r="A3832" t="s">
        <v>10986</v>
      </c>
      <c r="B3832" t="s">
        <v>10987</v>
      </c>
      <c r="C3832" t="s">
        <v>10988</v>
      </c>
      <c r="D3832" t="s">
        <v>23</v>
      </c>
      <c r="E3832">
        <v>4478</v>
      </c>
      <c r="F3832" s="3">
        <v>40702</v>
      </c>
      <c r="H3832" t="s">
        <v>15523</v>
      </c>
      <c r="I3832" t="s">
        <v>18473</v>
      </c>
      <c r="K3832" t="e">
        <v>#N/A</v>
      </c>
      <c r="S3832" s="3"/>
    </row>
    <row r="3833" spans="1:19" x14ac:dyDescent="0.25">
      <c r="A3833" t="s">
        <v>10989</v>
      </c>
      <c r="B3833" t="s">
        <v>10990</v>
      </c>
      <c r="C3833" t="s">
        <v>10991</v>
      </c>
      <c r="D3833" t="s">
        <v>23</v>
      </c>
      <c r="E3833">
        <v>4479</v>
      </c>
      <c r="F3833" s="3">
        <v>40702</v>
      </c>
      <c r="H3833" t="s">
        <v>15523</v>
      </c>
      <c r="I3833" t="s">
        <v>18474</v>
      </c>
      <c r="K3833" t="e">
        <v>#N/A</v>
      </c>
      <c r="S3833" s="3"/>
    </row>
    <row r="3834" spans="1:19" x14ac:dyDescent="0.25">
      <c r="A3834" t="s">
        <v>10992</v>
      </c>
      <c r="B3834" t="s">
        <v>10993</v>
      </c>
      <c r="C3834" t="s">
        <v>10994</v>
      </c>
      <c r="D3834" t="s">
        <v>23</v>
      </c>
      <c r="E3834">
        <v>4480</v>
      </c>
      <c r="F3834" s="3">
        <v>40702</v>
      </c>
      <c r="H3834" t="s">
        <v>15523</v>
      </c>
      <c r="I3834" t="s">
        <v>18475</v>
      </c>
      <c r="K3834" t="e">
        <v>#N/A</v>
      </c>
      <c r="S3834" s="3"/>
    </row>
    <row r="3835" spans="1:19" x14ac:dyDescent="0.25">
      <c r="A3835" t="s">
        <v>10995</v>
      </c>
      <c r="B3835" t="s">
        <v>10996</v>
      </c>
      <c r="C3835" s="3">
        <v>1677687</v>
      </c>
      <c r="D3835" t="s">
        <v>23</v>
      </c>
      <c r="E3835">
        <v>2488</v>
      </c>
      <c r="F3835" s="3">
        <v>40704</v>
      </c>
      <c r="H3835" t="s">
        <v>15523</v>
      </c>
      <c r="I3835" t="s">
        <v>18476</v>
      </c>
      <c r="K3835" t="e">
        <v>#N/A</v>
      </c>
      <c r="P3835" s="3"/>
      <c r="S3835" s="3"/>
    </row>
    <row r="3836" spans="1:19" x14ac:dyDescent="0.25">
      <c r="A3836" t="s">
        <v>10998</v>
      </c>
      <c r="B3836" t="s">
        <v>10999</v>
      </c>
      <c r="C3836" t="s">
        <v>11000</v>
      </c>
      <c r="D3836" t="s">
        <v>23</v>
      </c>
      <c r="E3836">
        <v>4482</v>
      </c>
      <c r="F3836" s="3">
        <v>40702</v>
      </c>
      <c r="H3836" t="s">
        <v>15523</v>
      </c>
      <c r="I3836" t="s">
        <v>18477</v>
      </c>
      <c r="K3836" t="e">
        <v>#N/A</v>
      </c>
      <c r="S3836" s="3"/>
    </row>
    <row r="3837" spans="1:19" x14ac:dyDescent="0.25">
      <c r="A3837" t="s">
        <v>11001</v>
      </c>
      <c r="B3837" t="s">
        <v>11002</v>
      </c>
      <c r="C3837" t="s">
        <v>11003</v>
      </c>
      <c r="D3837" t="s">
        <v>23</v>
      </c>
      <c r="E3837">
        <v>4484</v>
      </c>
      <c r="F3837" s="3">
        <v>40702</v>
      </c>
      <c r="H3837" t="s">
        <v>15523</v>
      </c>
      <c r="I3837" t="s">
        <v>18478</v>
      </c>
      <c r="K3837" t="e">
        <v>#N/A</v>
      </c>
      <c r="S3837" s="3"/>
    </row>
    <row r="3838" spans="1:19" x14ac:dyDescent="0.25">
      <c r="A3838" t="s">
        <v>11004</v>
      </c>
      <c r="B3838" t="s">
        <v>11005</v>
      </c>
      <c r="C3838" t="s">
        <v>11006</v>
      </c>
      <c r="D3838" t="s">
        <v>23</v>
      </c>
      <c r="E3838">
        <v>4485</v>
      </c>
      <c r="F3838" s="3">
        <v>41031</v>
      </c>
      <c r="H3838" t="s">
        <v>15523</v>
      </c>
      <c r="I3838" t="s">
        <v>18479</v>
      </c>
      <c r="K3838" t="e">
        <v>#N/A</v>
      </c>
      <c r="S3838" s="3"/>
    </row>
    <row r="3839" spans="1:19" x14ac:dyDescent="0.25">
      <c r="A3839" t="s">
        <v>11007</v>
      </c>
      <c r="B3839" t="s">
        <v>11008</v>
      </c>
      <c r="C3839" t="s">
        <v>11009</v>
      </c>
      <c r="D3839" t="s">
        <v>23</v>
      </c>
      <c r="E3839">
        <v>6055</v>
      </c>
      <c r="F3839" s="3">
        <v>43781</v>
      </c>
      <c r="H3839" t="s">
        <v>15523</v>
      </c>
      <c r="I3839" t="s">
        <v>18480</v>
      </c>
      <c r="K3839" t="e">
        <v>#N/A</v>
      </c>
      <c r="S3839" s="3"/>
    </row>
    <row r="3840" spans="1:19" x14ac:dyDescent="0.25">
      <c r="A3840" t="s">
        <v>11010</v>
      </c>
      <c r="B3840" t="s">
        <v>11011</v>
      </c>
      <c r="C3840" t="s">
        <v>11012</v>
      </c>
      <c r="D3840" t="s">
        <v>23</v>
      </c>
      <c r="E3840">
        <v>2489</v>
      </c>
      <c r="F3840" s="3">
        <v>40702</v>
      </c>
      <c r="H3840" t="s">
        <v>15523</v>
      </c>
      <c r="I3840" t="s">
        <v>18481</v>
      </c>
      <c r="K3840" t="e">
        <v>#N/A</v>
      </c>
      <c r="S3840" s="3"/>
    </row>
    <row r="3841" spans="1:19" x14ac:dyDescent="0.25">
      <c r="A3841" t="s">
        <v>11013</v>
      </c>
      <c r="B3841" t="s">
        <v>11014</v>
      </c>
      <c r="C3841" t="s">
        <v>11015</v>
      </c>
      <c r="D3841" t="s">
        <v>23</v>
      </c>
      <c r="E3841">
        <v>1416</v>
      </c>
      <c r="F3841" s="3">
        <v>40702</v>
      </c>
      <c r="H3841" t="s">
        <v>15523</v>
      </c>
      <c r="I3841" t="s">
        <v>18482</v>
      </c>
      <c r="K3841" t="e">
        <v>#N/A</v>
      </c>
      <c r="S3841" s="3"/>
    </row>
    <row r="3842" spans="1:19" x14ac:dyDescent="0.25">
      <c r="A3842" t="s">
        <v>11016</v>
      </c>
      <c r="B3842" t="s">
        <v>11017</v>
      </c>
      <c r="C3842" t="s">
        <v>11018</v>
      </c>
      <c r="D3842" t="s">
        <v>23</v>
      </c>
      <c r="E3842">
        <v>5884</v>
      </c>
      <c r="F3842" s="3">
        <v>43124</v>
      </c>
      <c r="H3842" t="s">
        <v>15523</v>
      </c>
      <c r="I3842" t="s">
        <v>18483</v>
      </c>
      <c r="K3842" t="e">
        <v>#N/A</v>
      </c>
      <c r="S3842" s="3"/>
    </row>
    <row r="3843" spans="1:19" x14ac:dyDescent="0.25">
      <c r="A3843" t="s">
        <v>11019</v>
      </c>
      <c r="B3843" t="s">
        <v>11020</v>
      </c>
      <c r="C3843" t="s">
        <v>11021</v>
      </c>
      <c r="D3843" t="s">
        <v>23</v>
      </c>
      <c r="E3843">
        <v>4488</v>
      </c>
      <c r="F3843" s="3">
        <v>40702</v>
      </c>
      <c r="H3843" t="s">
        <v>15523</v>
      </c>
      <c r="I3843" t="s">
        <v>18484</v>
      </c>
      <c r="K3843" t="e">
        <v>#N/A</v>
      </c>
      <c r="S3843" s="3"/>
    </row>
    <row r="3844" spans="1:19" x14ac:dyDescent="0.25">
      <c r="A3844" t="s">
        <v>11022</v>
      </c>
      <c r="B3844" t="s">
        <v>11023</v>
      </c>
      <c r="C3844" t="s">
        <v>11024</v>
      </c>
      <c r="D3844" t="s">
        <v>23</v>
      </c>
      <c r="E3844">
        <v>1417</v>
      </c>
      <c r="F3844" s="3">
        <v>40702</v>
      </c>
      <c r="H3844" t="s">
        <v>15523</v>
      </c>
      <c r="I3844" t="s">
        <v>18485</v>
      </c>
      <c r="K3844" t="e">
        <v>#N/A</v>
      </c>
      <c r="S3844" s="3"/>
    </row>
    <row r="3845" spans="1:19" x14ac:dyDescent="0.25">
      <c r="A3845" t="s">
        <v>11025</v>
      </c>
      <c r="B3845" t="s">
        <v>11026</v>
      </c>
      <c r="C3845" t="s">
        <v>11027</v>
      </c>
      <c r="D3845" t="s">
        <v>23</v>
      </c>
      <c r="E3845">
        <v>1418</v>
      </c>
      <c r="F3845" s="3">
        <v>40702</v>
      </c>
      <c r="H3845" t="s">
        <v>15523</v>
      </c>
      <c r="I3845" t="s">
        <v>18486</v>
      </c>
      <c r="K3845" t="e">
        <v>#N/A</v>
      </c>
      <c r="S3845" s="3"/>
    </row>
    <row r="3846" spans="1:19" x14ac:dyDescent="0.25">
      <c r="A3846" t="s">
        <v>11028</v>
      </c>
      <c r="B3846" t="s">
        <v>11029</v>
      </c>
      <c r="C3846" t="s">
        <v>11030</v>
      </c>
      <c r="D3846" t="s">
        <v>23</v>
      </c>
      <c r="E3846">
        <v>1419</v>
      </c>
      <c r="F3846" s="3">
        <v>40702</v>
      </c>
      <c r="H3846" t="s">
        <v>15523</v>
      </c>
      <c r="I3846" t="s">
        <v>18487</v>
      </c>
      <c r="K3846" t="e">
        <v>#N/A</v>
      </c>
      <c r="S3846" s="3"/>
    </row>
    <row r="3847" spans="1:19" x14ac:dyDescent="0.25">
      <c r="A3847" t="s">
        <v>11031</v>
      </c>
      <c r="B3847" t="s">
        <v>11032</v>
      </c>
      <c r="C3847" t="s">
        <v>11033</v>
      </c>
      <c r="D3847" t="s">
        <v>23</v>
      </c>
      <c r="E3847">
        <v>5052</v>
      </c>
      <c r="F3847" s="3">
        <v>41660</v>
      </c>
      <c r="H3847" t="s">
        <v>15523</v>
      </c>
      <c r="I3847" t="s">
        <v>18488</v>
      </c>
      <c r="K3847" t="e">
        <v>#N/A</v>
      </c>
      <c r="S3847" s="3"/>
    </row>
    <row r="3848" spans="1:19" x14ac:dyDescent="0.25">
      <c r="A3848" t="s">
        <v>11034</v>
      </c>
      <c r="B3848" t="s">
        <v>11035</v>
      </c>
      <c r="C3848" t="s">
        <v>11036</v>
      </c>
      <c r="D3848" t="s">
        <v>23</v>
      </c>
      <c r="E3848">
        <v>2490</v>
      </c>
      <c r="F3848" s="3">
        <v>40702</v>
      </c>
      <c r="H3848" t="s">
        <v>15523</v>
      </c>
      <c r="I3848" t="s">
        <v>18489</v>
      </c>
      <c r="K3848" t="e">
        <v>#N/A</v>
      </c>
      <c r="S3848" s="3"/>
    </row>
    <row r="3849" spans="1:19" x14ac:dyDescent="0.25">
      <c r="A3849" t="s">
        <v>11037</v>
      </c>
      <c r="B3849" t="s">
        <v>11038</v>
      </c>
      <c r="C3849" t="s">
        <v>11039</v>
      </c>
      <c r="D3849" t="s">
        <v>23</v>
      </c>
      <c r="E3849">
        <v>4491</v>
      </c>
      <c r="F3849" s="3">
        <v>40702</v>
      </c>
      <c r="H3849" t="s">
        <v>15523</v>
      </c>
      <c r="I3849" t="s">
        <v>18490</v>
      </c>
      <c r="K3849" t="e">
        <v>#N/A</v>
      </c>
      <c r="S3849" s="3"/>
    </row>
    <row r="3850" spans="1:19" x14ac:dyDescent="0.25">
      <c r="A3850" t="s">
        <v>11040</v>
      </c>
      <c r="B3850" t="s">
        <v>11041</v>
      </c>
      <c r="C3850" t="s">
        <v>11042</v>
      </c>
      <c r="D3850" t="s">
        <v>23</v>
      </c>
      <c r="E3850">
        <v>2173</v>
      </c>
      <c r="F3850" s="3">
        <v>40702</v>
      </c>
      <c r="H3850" t="s">
        <v>15523</v>
      </c>
      <c r="I3850" t="s">
        <v>18491</v>
      </c>
      <c r="K3850" t="e">
        <v>#N/A</v>
      </c>
      <c r="S3850" s="3"/>
    </row>
    <row r="3851" spans="1:19" x14ac:dyDescent="0.25">
      <c r="A3851" t="s">
        <v>11043</v>
      </c>
      <c r="B3851" t="s">
        <v>11044</v>
      </c>
      <c r="C3851" t="s">
        <v>11045</v>
      </c>
      <c r="D3851" t="s">
        <v>23</v>
      </c>
      <c r="E3851">
        <v>1421</v>
      </c>
      <c r="F3851" s="3">
        <v>40702</v>
      </c>
      <c r="H3851" t="s">
        <v>15523</v>
      </c>
      <c r="I3851" t="s">
        <v>18492</v>
      </c>
      <c r="K3851" t="e">
        <v>#N/A</v>
      </c>
      <c r="S3851" s="3"/>
    </row>
    <row r="3852" spans="1:19" x14ac:dyDescent="0.25">
      <c r="A3852" t="s">
        <v>11046</v>
      </c>
      <c r="B3852" t="s">
        <v>11047</v>
      </c>
      <c r="C3852" t="s">
        <v>11048</v>
      </c>
      <c r="D3852" t="s">
        <v>23</v>
      </c>
      <c r="E3852">
        <v>4492</v>
      </c>
      <c r="F3852" s="3">
        <v>41230</v>
      </c>
      <c r="H3852" t="s">
        <v>15523</v>
      </c>
      <c r="I3852" t="s">
        <v>18493</v>
      </c>
      <c r="K3852" t="e">
        <v>#N/A</v>
      </c>
      <c r="S3852" s="3"/>
    </row>
    <row r="3853" spans="1:19" x14ac:dyDescent="0.25">
      <c r="A3853" t="s">
        <v>11049</v>
      </c>
      <c r="B3853" t="s">
        <v>11050</v>
      </c>
      <c r="C3853" t="s">
        <v>11051</v>
      </c>
      <c r="D3853" t="s">
        <v>23</v>
      </c>
      <c r="E3853">
        <v>1438</v>
      </c>
      <c r="F3853" s="3">
        <v>40702</v>
      </c>
      <c r="H3853" t="s">
        <v>15523</v>
      </c>
      <c r="I3853" t="s">
        <v>18494</v>
      </c>
      <c r="K3853" t="e">
        <v>#N/A</v>
      </c>
      <c r="S3853" s="3"/>
    </row>
    <row r="3854" spans="1:19" x14ac:dyDescent="0.25">
      <c r="A3854" t="s">
        <v>11052</v>
      </c>
      <c r="B3854" t="s">
        <v>11053</v>
      </c>
      <c r="C3854" t="s">
        <v>11054</v>
      </c>
      <c r="D3854" t="s">
        <v>23</v>
      </c>
      <c r="E3854">
        <v>1422</v>
      </c>
      <c r="F3854" s="3">
        <v>40702</v>
      </c>
      <c r="H3854" t="s">
        <v>15523</v>
      </c>
      <c r="I3854" t="s">
        <v>18495</v>
      </c>
      <c r="K3854" t="e">
        <v>#N/A</v>
      </c>
      <c r="S3854" s="3"/>
    </row>
    <row r="3855" spans="1:19" x14ac:dyDescent="0.25">
      <c r="A3855" t="s">
        <v>11055</v>
      </c>
      <c r="B3855" t="s">
        <v>11056</v>
      </c>
      <c r="C3855" t="s">
        <v>11057</v>
      </c>
      <c r="D3855" t="s">
        <v>23</v>
      </c>
      <c r="E3855">
        <v>1429</v>
      </c>
      <c r="F3855" s="3">
        <v>43441</v>
      </c>
      <c r="H3855" t="s">
        <v>15523</v>
      </c>
      <c r="I3855" t="s">
        <v>18496</v>
      </c>
      <c r="K3855" t="e">
        <v>#N/A</v>
      </c>
      <c r="S3855" s="3"/>
    </row>
    <row r="3856" spans="1:19" x14ac:dyDescent="0.25">
      <c r="A3856" t="s">
        <v>11058</v>
      </c>
      <c r="B3856" t="s">
        <v>11059</v>
      </c>
      <c r="C3856" t="s">
        <v>11060</v>
      </c>
      <c r="D3856" t="s">
        <v>23</v>
      </c>
      <c r="E3856">
        <v>5081</v>
      </c>
      <c r="F3856" s="3">
        <v>41727</v>
      </c>
      <c r="H3856" t="s">
        <v>15523</v>
      </c>
      <c r="I3856" t="s">
        <v>18497</v>
      </c>
      <c r="K3856" t="e">
        <v>#N/A</v>
      </c>
      <c r="S3856" s="3"/>
    </row>
    <row r="3857" spans="1:19" x14ac:dyDescent="0.25">
      <c r="A3857" t="s">
        <v>11061</v>
      </c>
      <c r="B3857" t="s">
        <v>11062</v>
      </c>
      <c r="C3857" t="s">
        <v>11063</v>
      </c>
      <c r="D3857" t="s">
        <v>23</v>
      </c>
      <c r="E3857">
        <v>4494</v>
      </c>
      <c r="F3857" s="3">
        <v>40702</v>
      </c>
      <c r="H3857" t="s">
        <v>15523</v>
      </c>
      <c r="I3857" t="s">
        <v>18498</v>
      </c>
      <c r="K3857" t="e">
        <v>#N/A</v>
      </c>
      <c r="S3857" s="3"/>
    </row>
    <row r="3858" spans="1:19" x14ac:dyDescent="0.25">
      <c r="A3858" t="s">
        <v>11064</v>
      </c>
      <c r="B3858" t="s">
        <v>11065</v>
      </c>
      <c r="C3858" t="s">
        <v>11066</v>
      </c>
      <c r="D3858" t="s">
        <v>23</v>
      </c>
      <c r="E3858">
        <v>4495</v>
      </c>
      <c r="F3858" s="3">
        <v>40702</v>
      </c>
      <c r="H3858" t="s">
        <v>15523</v>
      </c>
      <c r="I3858" t="s">
        <v>18499</v>
      </c>
      <c r="K3858" t="e">
        <v>#N/A</v>
      </c>
      <c r="S3858" s="3"/>
    </row>
    <row r="3859" spans="1:19" x14ac:dyDescent="0.25">
      <c r="A3859" t="s">
        <v>11067</v>
      </c>
      <c r="B3859" t="s">
        <v>11068</v>
      </c>
      <c r="C3859" t="s">
        <v>11069</v>
      </c>
      <c r="D3859" t="s">
        <v>23</v>
      </c>
      <c r="E3859">
        <v>4496</v>
      </c>
      <c r="F3859" s="3">
        <v>40702</v>
      </c>
      <c r="H3859" t="s">
        <v>15523</v>
      </c>
      <c r="I3859" t="s">
        <v>18500</v>
      </c>
      <c r="K3859" t="e">
        <v>#N/A</v>
      </c>
      <c r="S3859" s="3"/>
    </row>
    <row r="3860" spans="1:19" x14ac:dyDescent="0.25">
      <c r="A3860" t="s">
        <v>11070</v>
      </c>
      <c r="B3860" t="s">
        <v>11071</v>
      </c>
      <c r="C3860" t="s">
        <v>11072</v>
      </c>
      <c r="D3860" t="s">
        <v>23</v>
      </c>
      <c r="E3860">
        <v>4497</v>
      </c>
      <c r="F3860" s="3">
        <v>40702</v>
      </c>
      <c r="H3860" t="s">
        <v>15523</v>
      </c>
      <c r="I3860" t="s">
        <v>18501</v>
      </c>
      <c r="K3860" t="e">
        <v>#N/A</v>
      </c>
      <c r="S3860" s="3"/>
    </row>
    <row r="3861" spans="1:19" x14ac:dyDescent="0.25">
      <c r="A3861" t="s">
        <v>11073</v>
      </c>
      <c r="B3861" t="s">
        <v>11074</v>
      </c>
      <c r="C3861" t="s">
        <v>11075</v>
      </c>
      <c r="D3861" t="s">
        <v>23</v>
      </c>
      <c r="E3861">
        <v>1424</v>
      </c>
      <c r="F3861" s="3">
        <v>40702</v>
      </c>
      <c r="H3861" t="s">
        <v>15523</v>
      </c>
      <c r="I3861" t="s">
        <v>18502</v>
      </c>
      <c r="K3861" t="e">
        <v>#N/A</v>
      </c>
      <c r="S3861" s="3"/>
    </row>
    <row r="3862" spans="1:19" x14ac:dyDescent="0.25">
      <c r="A3862" t="s">
        <v>11076</v>
      </c>
      <c r="B3862" t="s">
        <v>11077</v>
      </c>
      <c r="C3862" t="s">
        <v>11078</v>
      </c>
      <c r="D3862" t="s">
        <v>23</v>
      </c>
      <c r="E3862">
        <v>4499</v>
      </c>
      <c r="F3862" s="3">
        <v>40702</v>
      </c>
      <c r="H3862" t="s">
        <v>15523</v>
      </c>
      <c r="I3862" t="s">
        <v>18503</v>
      </c>
      <c r="K3862" t="e">
        <v>#N/A</v>
      </c>
      <c r="S3862" s="3"/>
    </row>
    <row r="3863" spans="1:19" x14ac:dyDescent="0.25">
      <c r="A3863" t="s">
        <v>11079</v>
      </c>
      <c r="B3863" t="s">
        <v>11080</v>
      </c>
      <c r="C3863" t="s">
        <v>11081</v>
      </c>
      <c r="D3863" t="s">
        <v>23</v>
      </c>
      <c r="E3863">
        <v>4500</v>
      </c>
      <c r="F3863" s="3">
        <v>40702</v>
      </c>
      <c r="H3863" t="s">
        <v>15523</v>
      </c>
      <c r="I3863" t="s">
        <v>18504</v>
      </c>
      <c r="K3863" t="e">
        <v>#N/A</v>
      </c>
      <c r="S3863" s="3"/>
    </row>
    <row r="3864" spans="1:19" x14ac:dyDescent="0.25">
      <c r="A3864" t="s">
        <v>11082</v>
      </c>
      <c r="B3864" t="s">
        <v>11083</v>
      </c>
      <c r="C3864" t="s">
        <v>11084</v>
      </c>
      <c r="D3864" t="s">
        <v>23</v>
      </c>
      <c r="E3864">
        <v>4501</v>
      </c>
      <c r="F3864" s="3">
        <v>40702</v>
      </c>
      <c r="H3864" t="s">
        <v>15523</v>
      </c>
      <c r="I3864" t="s">
        <v>18505</v>
      </c>
      <c r="K3864" t="e">
        <v>#N/A</v>
      </c>
      <c r="S3864" s="3"/>
    </row>
    <row r="3865" spans="1:19" x14ac:dyDescent="0.25">
      <c r="A3865" t="s">
        <v>11085</v>
      </c>
      <c r="B3865" t="s">
        <v>11086</v>
      </c>
      <c r="C3865" t="s">
        <v>11087</v>
      </c>
      <c r="D3865" t="s">
        <v>23</v>
      </c>
      <c r="E3865">
        <v>2491</v>
      </c>
      <c r="F3865" s="3">
        <v>40702</v>
      </c>
      <c r="H3865" t="s">
        <v>15523</v>
      </c>
      <c r="I3865" t="s">
        <v>18506</v>
      </c>
      <c r="K3865" t="e">
        <v>#N/A</v>
      </c>
      <c r="S3865" s="3"/>
    </row>
    <row r="3866" spans="1:19" x14ac:dyDescent="0.25">
      <c r="A3866" t="s">
        <v>11088</v>
      </c>
      <c r="B3866" t="s">
        <v>11089</v>
      </c>
      <c r="C3866" t="s">
        <v>11090</v>
      </c>
      <c r="D3866" t="s">
        <v>23</v>
      </c>
      <c r="E3866">
        <v>4502</v>
      </c>
      <c r="F3866" s="3">
        <v>40702</v>
      </c>
      <c r="H3866" t="s">
        <v>15523</v>
      </c>
      <c r="I3866" t="s">
        <v>18507</v>
      </c>
      <c r="K3866" t="e">
        <v>#N/A</v>
      </c>
      <c r="S3866" s="3"/>
    </row>
    <row r="3867" spans="1:19" x14ac:dyDescent="0.25">
      <c r="A3867" t="s">
        <v>11091</v>
      </c>
      <c r="B3867" t="s">
        <v>11092</v>
      </c>
      <c r="C3867" t="s">
        <v>11093</v>
      </c>
      <c r="D3867" t="s">
        <v>23</v>
      </c>
      <c r="E3867">
        <v>5599</v>
      </c>
      <c r="F3867" s="3">
        <v>42551</v>
      </c>
      <c r="H3867" t="s">
        <v>15523</v>
      </c>
      <c r="I3867" t="s">
        <v>18508</v>
      </c>
      <c r="K3867" t="e">
        <v>#N/A</v>
      </c>
      <c r="S3867" s="3"/>
    </row>
    <row r="3868" spans="1:19" x14ac:dyDescent="0.25">
      <c r="A3868" t="s">
        <v>11094</v>
      </c>
      <c r="B3868" t="s">
        <v>11095</v>
      </c>
      <c r="C3868" t="s">
        <v>11096</v>
      </c>
      <c r="D3868" t="s">
        <v>23</v>
      </c>
      <c r="E3868">
        <v>1431</v>
      </c>
      <c r="F3868" s="3">
        <v>40702</v>
      </c>
      <c r="H3868" t="s">
        <v>15523</v>
      </c>
      <c r="I3868" t="s">
        <v>18509</v>
      </c>
      <c r="K3868" t="e">
        <v>#N/A</v>
      </c>
      <c r="S3868" s="3"/>
    </row>
    <row r="3869" spans="1:19" x14ac:dyDescent="0.25">
      <c r="A3869" t="s">
        <v>11097</v>
      </c>
      <c r="B3869" t="s">
        <v>11098</v>
      </c>
      <c r="C3869" t="s">
        <v>11099</v>
      </c>
      <c r="D3869" t="s">
        <v>23</v>
      </c>
      <c r="E3869">
        <v>4503</v>
      </c>
      <c r="F3869" s="3">
        <v>40702</v>
      </c>
      <c r="H3869" t="s">
        <v>15523</v>
      </c>
      <c r="I3869" t="s">
        <v>18510</v>
      </c>
      <c r="K3869" t="e">
        <v>#N/A</v>
      </c>
      <c r="S3869" s="3"/>
    </row>
    <row r="3870" spans="1:19" x14ac:dyDescent="0.25">
      <c r="A3870" t="s">
        <v>11100</v>
      </c>
      <c r="B3870" t="s">
        <v>11101</v>
      </c>
      <c r="C3870" t="s">
        <v>11102</v>
      </c>
      <c r="D3870" t="s">
        <v>23</v>
      </c>
      <c r="E3870">
        <v>1428</v>
      </c>
      <c r="F3870" s="3">
        <v>40702</v>
      </c>
      <c r="H3870" t="s">
        <v>15523</v>
      </c>
      <c r="I3870" t="s">
        <v>18511</v>
      </c>
      <c r="K3870" t="e">
        <v>#N/A</v>
      </c>
      <c r="S3870" s="3"/>
    </row>
    <row r="3871" spans="1:19" x14ac:dyDescent="0.25">
      <c r="A3871" t="s">
        <v>11103</v>
      </c>
      <c r="B3871" t="s">
        <v>11104</v>
      </c>
      <c r="C3871" t="s">
        <v>11105</v>
      </c>
      <c r="D3871" t="s">
        <v>23</v>
      </c>
      <c r="E3871">
        <v>4504</v>
      </c>
      <c r="F3871" s="3">
        <v>40702</v>
      </c>
      <c r="H3871" t="s">
        <v>15523</v>
      </c>
      <c r="I3871" t="s">
        <v>18512</v>
      </c>
      <c r="K3871" t="e">
        <v>#N/A</v>
      </c>
      <c r="S3871" s="3"/>
    </row>
    <row r="3872" spans="1:19" x14ac:dyDescent="0.25">
      <c r="A3872" t="s">
        <v>11106</v>
      </c>
      <c r="B3872" t="s">
        <v>11107</v>
      </c>
      <c r="C3872" t="s">
        <v>11108</v>
      </c>
      <c r="D3872" t="s">
        <v>23</v>
      </c>
      <c r="E3872">
        <v>1432</v>
      </c>
      <c r="F3872" s="3">
        <v>40702</v>
      </c>
      <c r="H3872" t="s">
        <v>15523</v>
      </c>
      <c r="I3872" t="s">
        <v>18513</v>
      </c>
      <c r="K3872" t="e">
        <v>#N/A</v>
      </c>
      <c r="S3872" s="3"/>
    </row>
    <row r="3873" spans="1:19" x14ac:dyDescent="0.25">
      <c r="A3873" t="s">
        <v>11109</v>
      </c>
      <c r="B3873" t="s">
        <v>11110</v>
      </c>
      <c r="C3873" t="s">
        <v>11111</v>
      </c>
      <c r="D3873" t="s">
        <v>23</v>
      </c>
      <c r="E3873">
        <v>1427</v>
      </c>
      <c r="F3873" s="3">
        <v>40702</v>
      </c>
      <c r="H3873" t="s">
        <v>15523</v>
      </c>
      <c r="I3873" t="s">
        <v>18514</v>
      </c>
      <c r="K3873" t="e">
        <v>#N/A</v>
      </c>
      <c r="S3873" s="3"/>
    </row>
    <row r="3874" spans="1:19" x14ac:dyDescent="0.25">
      <c r="A3874" t="s">
        <v>11112</v>
      </c>
      <c r="B3874" t="s">
        <v>11113</v>
      </c>
      <c r="C3874" t="s">
        <v>11114</v>
      </c>
      <c r="D3874" t="s">
        <v>23</v>
      </c>
      <c r="E3874">
        <v>4506</v>
      </c>
      <c r="F3874" s="3">
        <v>41006</v>
      </c>
      <c r="H3874" t="s">
        <v>15523</v>
      </c>
      <c r="I3874" t="s">
        <v>18515</v>
      </c>
      <c r="K3874" t="e">
        <v>#N/A</v>
      </c>
      <c r="S3874" s="3"/>
    </row>
    <row r="3875" spans="1:19" x14ac:dyDescent="0.25">
      <c r="A3875" t="s">
        <v>11115</v>
      </c>
      <c r="B3875" t="s">
        <v>11116</v>
      </c>
      <c r="C3875" t="s">
        <v>11117</v>
      </c>
      <c r="D3875" t="s">
        <v>23</v>
      </c>
      <c r="E3875">
        <v>2361</v>
      </c>
      <c r="F3875" s="3">
        <v>40702</v>
      </c>
      <c r="H3875" t="s">
        <v>15523</v>
      </c>
      <c r="I3875" t="s">
        <v>18516</v>
      </c>
      <c r="K3875" t="e">
        <v>#N/A</v>
      </c>
      <c r="S3875" s="3"/>
    </row>
    <row r="3876" spans="1:19" x14ac:dyDescent="0.25">
      <c r="A3876" t="s">
        <v>11118</v>
      </c>
      <c r="B3876" t="s">
        <v>11119</v>
      </c>
      <c r="C3876" t="s">
        <v>11120</v>
      </c>
      <c r="D3876" t="s">
        <v>23</v>
      </c>
      <c r="E3876">
        <v>4507</v>
      </c>
      <c r="F3876" s="3">
        <v>40702</v>
      </c>
      <c r="H3876" t="s">
        <v>15523</v>
      </c>
      <c r="I3876" t="s">
        <v>18517</v>
      </c>
      <c r="K3876" t="e">
        <v>#N/A</v>
      </c>
      <c r="S3876" s="3"/>
    </row>
    <row r="3877" spans="1:19" x14ac:dyDescent="0.25">
      <c r="A3877" t="s">
        <v>11121</v>
      </c>
      <c r="B3877" t="s">
        <v>11122</v>
      </c>
      <c r="C3877" t="s">
        <v>11123</v>
      </c>
      <c r="D3877" t="s">
        <v>23</v>
      </c>
      <c r="E3877">
        <v>4508</v>
      </c>
      <c r="F3877" s="3">
        <v>40702</v>
      </c>
      <c r="H3877" t="s">
        <v>15523</v>
      </c>
      <c r="I3877" t="s">
        <v>18518</v>
      </c>
      <c r="K3877" t="e">
        <v>#N/A</v>
      </c>
      <c r="S3877" s="3"/>
    </row>
    <row r="3878" spans="1:19" x14ac:dyDescent="0.25">
      <c r="A3878" t="s">
        <v>11124</v>
      </c>
      <c r="B3878" t="s">
        <v>11125</v>
      </c>
      <c r="C3878" t="s">
        <v>11126</v>
      </c>
      <c r="D3878" t="s">
        <v>23</v>
      </c>
      <c r="E3878">
        <v>4509</v>
      </c>
      <c r="F3878" s="3">
        <v>40702</v>
      </c>
      <c r="H3878" t="s">
        <v>15523</v>
      </c>
      <c r="I3878" t="s">
        <v>18519</v>
      </c>
      <c r="K3878" t="e">
        <v>#N/A</v>
      </c>
      <c r="S3878" s="3"/>
    </row>
    <row r="3879" spans="1:19" x14ac:dyDescent="0.25">
      <c r="A3879" t="s">
        <v>11127</v>
      </c>
      <c r="B3879" t="s">
        <v>11128</v>
      </c>
      <c r="C3879" t="s">
        <v>11129</v>
      </c>
      <c r="D3879" t="s">
        <v>23</v>
      </c>
      <c r="E3879">
        <v>5252</v>
      </c>
      <c r="F3879" s="3">
        <v>42042</v>
      </c>
      <c r="H3879" t="s">
        <v>15523</v>
      </c>
      <c r="I3879" t="s">
        <v>18520</v>
      </c>
      <c r="K3879" t="e">
        <v>#N/A</v>
      </c>
      <c r="S3879" s="3"/>
    </row>
    <row r="3880" spans="1:19" x14ac:dyDescent="0.25">
      <c r="A3880" t="s">
        <v>11130</v>
      </c>
      <c r="B3880" t="s">
        <v>11131</v>
      </c>
      <c r="C3880" t="s">
        <v>11132</v>
      </c>
      <c r="D3880" t="s">
        <v>23</v>
      </c>
      <c r="E3880">
        <v>4510</v>
      </c>
      <c r="F3880" s="3">
        <v>40702</v>
      </c>
      <c r="H3880" t="s">
        <v>15523</v>
      </c>
      <c r="I3880" t="s">
        <v>18521</v>
      </c>
      <c r="K3880" t="e">
        <v>#N/A</v>
      </c>
      <c r="S3880" s="3"/>
    </row>
    <row r="3881" spans="1:19" x14ac:dyDescent="0.25">
      <c r="A3881" t="s">
        <v>11133</v>
      </c>
      <c r="B3881" t="s">
        <v>11134</v>
      </c>
      <c r="C3881" t="s">
        <v>11135</v>
      </c>
      <c r="D3881" t="s">
        <v>23</v>
      </c>
      <c r="E3881">
        <v>2445</v>
      </c>
      <c r="F3881" s="3">
        <v>40702</v>
      </c>
      <c r="H3881" t="s">
        <v>15523</v>
      </c>
      <c r="I3881" t="s">
        <v>18522</v>
      </c>
      <c r="K3881" t="e">
        <v>#N/A</v>
      </c>
      <c r="S3881" s="3"/>
    </row>
    <row r="3882" spans="1:19" x14ac:dyDescent="0.25">
      <c r="A3882" t="s">
        <v>11136</v>
      </c>
      <c r="B3882" t="s">
        <v>11137</v>
      </c>
      <c r="C3882" t="s">
        <v>11138</v>
      </c>
      <c r="D3882" t="s">
        <v>23</v>
      </c>
      <c r="E3882">
        <v>236</v>
      </c>
      <c r="F3882" s="3">
        <v>40702</v>
      </c>
      <c r="H3882" t="s">
        <v>15523</v>
      </c>
      <c r="I3882" t="s">
        <v>18523</v>
      </c>
      <c r="K3882" t="e">
        <v>#N/A</v>
      </c>
      <c r="S3882" s="3"/>
    </row>
    <row r="3883" spans="1:19" x14ac:dyDescent="0.25">
      <c r="A3883" t="s">
        <v>11139</v>
      </c>
      <c r="B3883" t="s">
        <v>11140</v>
      </c>
      <c r="C3883" t="s">
        <v>11141</v>
      </c>
      <c r="D3883" t="s">
        <v>23</v>
      </c>
      <c r="E3883">
        <v>4514</v>
      </c>
      <c r="F3883" s="3">
        <v>40702</v>
      </c>
      <c r="H3883" t="s">
        <v>15523</v>
      </c>
      <c r="I3883" t="s">
        <v>18524</v>
      </c>
      <c r="K3883" t="e">
        <v>#N/A</v>
      </c>
      <c r="S3883" s="3"/>
    </row>
    <row r="3884" spans="1:19" x14ac:dyDescent="0.25">
      <c r="A3884" t="s">
        <v>11142</v>
      </c>
      <c r="B3884" t="s">
        <v>11143</v>
      </c>
      <c r="C3884" t="s">
        <v>11144</v>
      </c>
      <c r="D3884" t="s">
        <v>23</v>
      </c>
      <c r="E3884">
        <v>4521</v>
      </c>
      <c r="F3884" s="3">
        <v>40702</v>
      </c>
      <c r="H3884" t="s">
        <v>15523</v>
      </c>
      <c r="I3884" t="s">
        <v>18525</v>
      </c>
      <c r="K3884" t="e">
        <v>#N/A</v>
      </c>
      <c r="S3884" s="3"/>
    </row>
    <row r="3885" spans="1:19" x14ac:dyDescent="0.25">
      <c r="A3885" t="s">
        <v>11145</v>
      </c>
      <c r="B3885" t="s">
        <v>11146</v>
      </c>
      <c r="C3885" t="s">
        <v>11147</v>
      </c>
      <c r="D3885" t="s">
        <v>23</v>
      </c>
      <c r="E3885">
        <v>1444</v>
      </c>
      <c r="F3885" s="3">
        <v>40702</v>
      </c>
      <c r="H3885" t="s">
        <v>15523</v>
      </c>
      <c r="I3885" t="s">
        <v>18526</v>
      </c>
      <c r="K3885" t="e">
        <v>#N/A</v>
      </c>
      <c r="S3885" s="3"/>
    </row>
    <row r="3886" spans="1:19" x14ac:dyDescent="0.25">
      <c r="A3886" t="s">
        <v>11148</v>
      </c>
      <c r="B3886" t="s">
        <v>11149</v>
      </c>
      <c r="C3886" t="s">
        <v>11150</v>
      </c>
      <c r="D3886" t="s">
        <v>23</v>
      </c>
      <c r="E3886">
        <v>5603</v>
      </c>
      <c r="F3886" s="3">
        <v>42551</v>
      </c>
      <c r="H3886" t="s">
        <v>15523</v>
      </c>
      <c r="I3886" t="s">
        <v>18527</v>
      </c>
      <c r="K3886" t="e">
        <v>#N/A</v>
      </c>
      <c r="S3886" s="3"/>
    </row>
    <row r="3887" spans="1:19" x14ac:dyDescent="0.25">
      <c r="A3887" t="s">
        <v>11151</v>
      </c>
      <c r="B3887" t="s">
        <v>11152</v>
      </c>
      <c r="C3887" t="s">
        <v>11153</v>
      </c>
      <c r="D3887" t="s">
        <v>23</v>
      </c>
      <c r="E3887">
        <v>4522</v>
      </c>
      <c r="F3887" s="3">
        <v>40702</v>
      </c>
      <c r="H3887" t="s">
        <v>15523</v>
      </c>
      <c r="I3887" t="s">
        <v>18528</v>
      </c>
      <c r="K3887" t="e">
        <v>#N/A</v>
      </c>
      <c r="S3887" s="3"/>
    </row>
    <row r="3888" spans="1:19" x14ac:dyDescent="0.25">
      <c r="A3888" t="s">
        <v>11154</v>
      </c>
      <c r="B3888" t="s">
        <v>11155</v>
      </c>
      <c r="C3888" t="s">
        <v>11156</v>
      </c>
      <c r="D3888" t="s">
        <v>23</v>
      </c>
      <c r="E3888">
        <v>4523</v>
      </c>
      <c r="F3888" s="3">
        <v>40702</v>
      </c>
      <c r="H3888" t="s">
        <v>15523</v>
      </c>
      <c r="I3888" t="s">
        <v>18529</v>
      </c>
      <c r="K3888" t="e">
        <v>#N/A</v>
      </c>
      <c r="S3888" s="3"/>
    </row>
    <row r="3889" spans="1:19" x14ac:dyDescent="0.25">
      <c r="A3889" t="s">
        <v>11157</v>
      </c>
      <c r="B3889" t="s">
        <v>11158</v>
      </c>
      <c r="C3889" t="s">
        <v>11159</v>
      </c>
      <c r="D3889" t="s">
        <v>23</v>
      </c>
      <c r="E3889">
        <v>4524</v>
      </c>
      <c r="F3889" s="3">
        <v>40702</v>
      </c>
      <c r="H3889" t="s">
        <v>15523</v>
      </c>
      <c r="I3889" t="s">
        <v>18530</v>
      </c>
      <c r="K3889" t="e">
        <v>#N/A</v>
      </c>
      <c r="S3889" s="3"/>
    </row>
    <row r="3890" spans="1:19" x14ac:dyDescent="0.25">
      <c r="A3890" t="s">
        <v>11160</v>
      </c>
      <c r="B3890" t="s">
        <v>11161</v>
      </c>
      <c r="C3890" t="s">
        <v>11162</v>
      </c>
      <c r="D3890" t="s">
        <v>23</v>
      </c>
      <c r="E3890">
        <v>1450</v>
      </c>
      <c r="F3890" s="3">
        <v>40702</v>
      </c>
      <c r="H3890" t="s">
        <v>15523</v>
      </c>
      <c r="I3890" t="s">
        <v>18531</v>
      </c>
      <c r="K3890" t="e">
        <v>#N/A</v>
      </c>
      <c r="S3890" s="3"/>
    </row>
    <row r="3891" spans="1:19" x14ac:dyDescent="0.25">
      <c r="A3891" t="s">
        <v>11163</v>
      </c>
      <c r="B3891" t="s">
        <v>11164</v>
      </c>
      <c r="C3891" t="s">
        <v>11165</v>
      </c>
      <c r="D3891" t="s">
        <v>23</v>
      </c>
      <c r="E3891">
        <v>4525</v>
      </c>
      <c r="F3891" s="3">
        <v>40702</v>
      </c>
      <c r="H3891" t="s">
        <v>15523</v>
      </c>
      <c r="I3891" t="s">
        <v>18532</v>
      </c>
      <c r="K3891" t="e">
        <v>#N/A</v>
      </c>
      <c r="S3891" s="3"/>
    </row>
    <row r="3892" spans="1:19" x14ac:dyDescent="0.25">
      <c r="A3892" t="s">
        <v>11166</v>
      </c>
      <c r="B3892" t="s">
        <v>11167</v>
      </c>
      <c r="C3892" t="s">
        <v>11168</v>
      </c>
      <c r="D3892" t="s">
        <v>23</v>
      </c>
      <c r="E3892">
        <v>4526</v>
      </c>
      <c r="F3892" s="3">
        <v>40702</v>
      </c>
      <c r="H3892" t="s">
        <v>15523</v>
      </c>
      <c r="I3892" t="s">
        <v>18533</v>
      </c>
      <c r="K3892" t="e">
        <v>#N/A</v>
      </c>
      <c r="S3892" s="3"/>
    </row>
    <row r="3893" spans="1:19" x14ac:dyDescent="0.25">
      <c r="A3893" t="s">
        <v>11169</v>
      </c>
      <c r="B3893" t="s">
        <v>11170</v>
      </c>
      <c r="C3893" t="s">
        <v>11171</v>
      </c>
      <c r="D3893" t="s">
        <v>23</v>
      </c>
      <c r="E3893">
        <v>5249</v>
      </c>
      <c r="F3893" s="3">
        <v>42040</v>
      </c>
      <c r="H3893" t="s">
        <v>15523</v>
      </c>
      <c r="I3893" t="s">
        <v>18534</v>
      </c>
      <c r="K3893" t="e">
        <v>#N/A</v>
      </c>
      <c r="S3893" s="3"/>
    </row>
    <row r="3894" spans="1:19" x14ac:dyDescent="0.25">
      <c r="A3894" t="s">
        <v>11172</v>
      </c>
      <c r="B3894" t="s">
        <v>11173</v>
      </c>
      <c r="C3894" t="s">
        <v>11174</v>
      </c>
      <c r="D3894" t="s">
        <v>23</v>
      </c>
      <c r="E3894">
        <v>1451</v>
      </c>
      <c r="F3894" s="3">
        <v>40702</v>
      </c>
      <c r="H3894" t="s">
        <v>15523</v>
      </c>
      <c r="I3894" t="s">
        <v>18535</v>
      </c>
      <c r="K3894" t="e">
        <v>#N/A</v>
      </c>
      <c r="S3894" s="3"/>
    </row>
    <row r="3895" spans="1:19" x14ac:dyDescent="0.25">
      <c r="A3895" t="s">
        <v>11175</v>
      </c>
      <c r="B3895" t="s">
        <v>11176</v>
      </c>
      <c r="C3895" t="s">
        <v>11177</v>
      </c>
      <c r="D3895" t="s">
        <v>23</v>
      </c>
      <c r="E3895">
        <v>4527</v>
      </c>
      <c r="F3895" s="3">
        <v>40702</v>
      </c>
      <c r="H3895" t="s">
        <v>15523</v>
      </c>
      <c r="I3895" t="s">
        <v>18536</v>
      </c>
      <c r="K3895" t="e">
        <v>#N/A</v>
      </c>
      <c r="S3895" s="3"/>
    </row>
    <row r="3896" spans="1:19" x14ac:dyDescent="0.25">
      <c r="A3896" t="s">
        <v>11178</v>
      </c>
      <c r="B3896" t="s">
        <v>11179</v>
      </c>
      <c r="C3896" t="s">
        <v>11180</v>
      </c>
      <c r="D3896" t="s">
        <v>23</v>
      </c>
      <c r="E3896">
        <v>4528</v>
      </c>
      <c r="F3896" s="3">
        <v>41112</v>
      </c>
      <c r="H3896" t="s">
        <v>15523</v>
      </c>
      <c r="I3896" t="s">
        <v>18537</v>
      </c>
      <c r="K3896" t="e">
        <v>#N/A</v>
      </c>
      <c r="S3896" s="3"/>
    </row>
    <row r="3897" spans="1:19" x14ac:dyDescent="0.25">
      <c r="A3897" t="s">
        <v>11181</v>
      </c>
      <c r="B3897" t="s">
        <v>11182</v>
      </c>
      <c r="C3897" t="s">
        <v>11183</v>
      </c>
      <c r="D3897" t="s">
        <v>23</v>
      </c>
      <c r="E3897">
        <v>4529</v>
      </c>
      <c r="F3897" s="3">
        <v>41111</v>
      </c>
      <c r="H3897" t="s">
        <v>15523</v>
      </c>
      <c r="I3897" t="s">
        <v>18538</v>
      </c>
      <c r="K3897" t="e">
        <v>#N/A</v>
      </c>
      <c r="S3897" s="3"/>
    </row>
    <row r="3898" spans="1:19" x14ac:dyDescent="0.25">
      <c r="A3898" t="s">
        <v>11184</v>
      </c>
      <c r="B3898" t="s">
        <v>11185</v>
      </c>
      <c r="C3898" t="s">
        <v>11186</v>
      </c>
      <c r="D3898" t="s">
        <v>23</v>
      </c>
      <c r="E3898">
        <v>4530</v>
      </c>
      <c r="F3898" s="3">
        <v>40702</v>
      </c>
      <c r="H3898" t="s">
        <v>15523</v>
      </c>
      <c r="I3898" t="s">
        <v>18539</v>
      </c>
      <c r="K3898" t="e">
        <v>#N/A</v>
      </c>
      <c r="S3898" s="3"/>
    </row>
    <row r="3899" spans="1:19" x14ac:dyDescent="0.25">
      <c r="A3899" t="s">
        <v>11187</v>
      </c>
      <c r="B3899" t="s">
        <v>11188</v>
      </c>
      <c r="C3899" t="s">
        <v>11189</v>
      </c>
      <c r="D3899" t="s">
        <v>23</v>
      </c>
      <c r="E3899">
        <v>4531</v>
      </c>
      <c r="F3899" s="3">
        <v>40702</v>
      </c>
      <c r="H3899" t="s">
        <v>15523</v>
      </c>
      <c r="I3899" t="s">
        <v>18540</v>
      </c>
      <c r="K3899" t="e">
        <v>#N/A</v>
      </c>
      <c r="S3899" s="3"/>
    </row>
    <row r="3900" spans="1:19" x14ac:dyDescent="0.25">
      <c r="A3900" t="s">
        <v>11190</v>
      </c>
      <c r="B3900" t="s">
        <v>11191</v>
      </c>
      <c r="C3900" t="s">
        <v>11192</v>
      </c>
      <c r="D3900" t="s">
        <v>23</v>
      </c>
      <c r="E3900">
        <v>4532</v>
      </c>
      <c r="F3900" s="3">
        <v>40702</v>
      </c>
      <c r="H3900" t="s">
        <v>15523</v>
      </c>
      <c r="I3900" t="s">
        <v>18541</v>
      </c>
      <c r="K3900" t="e">
        <v>#N/A</v>
      </c>
      <c r="S3900" s="3"/>
    </row>
    <row r="3901" spans="1:19" x14ac:dyDescent="0.25">
      <c r="A3901" t="s">
        <v>11193</v>
      </c>
      <c r="B3901" t="s">
        <v>11194</v>
      </c>
      <c r="C3901" t="s">
        <v>11195</v>
      </c>
      <c r="D3901" t="s">
        <v>23</v>
      </c>
      <c r="E3901">
        <v>2303</v>
      </c>
      <c r="F3901" s="3">
        <v>40702</v>
      </c>
      <c r="H3901" t="s">
        <v>15523</v>
      </c>
      <c r="I3901" t="s">
        <v>18542</v>
      </c>
      <c r="K3901" t="e">
        <v>#N/A</v>
      </c>
      <c r="S3901" s="3"/>
    </row>
    <row r="3902" spans="1:19" x14ac:dyDescent="0.25">
      <c r="A3902" t="s">
        <v>11196</v>
      </c>
      <c r="B3902" t="s">
        <v>11197</v>
      </c>
      <c r="C3902" t="s">
        <v>11198</v>
      </c>
      <c r="D3902" t="s">
        <v>23</v>
      </c>
      <c r="E3902">
        <v>5934</v>
      </c>
      <c r="F3902" s="3">
        <v>43203</v>
      </c>
      <c r="H3902" t="s">
        <v>15523</v>
      </c>
      <c r="I3902" t="s">
        <v>18543</v>
      </c>
      <c r="K3902" t="e">
        <v>#N/A</v>
      </c>
      <c r="S3902" s="3"/>
    </row>
    <row r="3903" spans="1:19" x14ac:dyDescent="0.25">
      <c r="A3903" t="s">
        <v>11199</v>
      </c>
      <c r="B3903" t="s">
        <v>11200</v>
      </c>
      <c r="C3903" t="s">
        <v>11201</v>
      </c>
      <c r="D3903" t="s">
        <v>23</v>
      </c>
      <c r="E3903">
        <v>4533</v>
      </c>
      <c r="F3903" s="3">
        <v>40702</v>
      </c>
      <c r="H3903" t="s">
        <v>15523</v>
      </c>
      <c r="I3903" t="s">
        <v>18544</v>
      </c>
      <c r="K3903" t="e">
        <v>#N/A</v>
      </c>
      <c r="S3903" s="3"/>
    </row>
    <row r="3904" spans="1:19" x14ac:dyDescent="0.25">
      <c r="A3904" t="s">
        <v>11202</v>
      </c>
      <c r="B3904" t="s">
        <v>11203</v>
      </c>
      <c r="C3904" t="s">
        <v>11204</v>
      </c>
      <c r="D3904" t="s">
        <v>23</v>
      </c>
      <c r="E3904">
        <v>4534</v>
      </c>
      <c r="F3904" s="3">
        <v>40702</v>
      </c>
      <c r="H3904" t="s">
        <v>15523</v>
      </c>
      <c r="I3904" t="s">
        <v>18545</v>
      </c>
      <c r="K3904" t="e">
        <v>#N/A</v>
      </c>
      <c r="S3904" s="3"/>
    </row>
    <row r="3905" spans="1:19" x14ac:dyDescent="0.25">
      <c r="A3905" t="s">
        <v>11205</v>
      </c>
      <c r="B3905" t="s">
        <v>11206</v>
      </c>
      <c r="C3905" t="s">
        <v>11207</v>
      </c>
      <c r="D3905" t="s">
        <v>23</v>
      </c>
      <c r="E3905">
        <v>4535</v>
      </c>
      <c r="F3905" s="3">
        <v>40736</v>
      </c>
      <c r="H3905" t="s">
        <v>15523</v>
      </c>
      <c r="I3905" t="s">
        <v>18546</v>
      </c>
      <c r="K3905" t="e">
        <v>#N/A</v>
      </c>
      <c r="S3905" s="3"/>
    </row>
    <row r="3906" spans="1:19" x14ac:dyDescent="0.25">
      <c r="A3906" t="s">
        <v>11208</v>
      </c>
      <c r="B3906" t="s">
        <v>11209</v>
      </c>
      <c r="C3906" t="s">
        <v>11210</v>
      </c>
      <c r="D3906" t="s">
        <v>23</v>
      </c>
      <c r="E3906">
        <v>4536</v>
      </c>
      <c r="F3906" s="3">
        <v>40702</v>
      </c>
      <c r="H3906" t="s">
        <v>15523</v>
      </c>
      <c r="I3906" t="s">
        <v>18547</v>
      </c>
      <c r="K3906" t="e">
        <v>#N/A</v>
      </c>
      <c r="S3906" s="3"/>
    </row>
    <row r="3907" spans="1:19" x14ac:dyDescent="0.25">
      <c r="A3907" t="s">
        <v>11211</v>
      </c>
      <c r="B3907" t="s">
        <v>11212</v>
      </c>
      <c r="C3907" t="s">
        <v>11213</v>
      </c>
      <c r="D3907" t="s">
        <v>23</v>
      </c>
      <c r="E3907">
        <v>4537</v>
      </c>
      <c r="F3907" s="3">
        <v>40702</v>
      </c>
      <c r="H3907" t="s">
        <v>15523</v>
      </c>
      <c r="I3907" t="s">
        <v>18548</v>
      </c>
      <c r="K3907" t="e">
        <v>#N/A</v>
      </c>
      <c r="S3907" s="3"/>
    </row>
    <row r="3908" spans="1:19" x14ac:dyDescent="0.25">
      <c r="A3908" t="s">
        <v>11214</v>
      </c>
      <c r="B3908" t="s">
        <v>11215</v>
      </c>
      <c r="C3908" t="s">
        <v>11216</v>
      </c>
      <c r="D3908" t="s">
        <v>23</v>
      </c>
      <c r="E3908">
        <v>5280</v>
      </c>
      <c r="F3908" s="3">
        <v>42082</v>
      </c>
      <c r="H3908" t="s">
        <v>15523</v>
      </c>
      <c r="I3908" t="s">
        <v>18549</v>
      </c>
      <c r="K3908" t="e">
        <v>#N/A</v>
      </c>
      <c r="S3908" s="3"/>
    </row>
    <row r="3909" spans="1:19" x14ac:dyDescent="0.25">
      <c r="A3909" t="s">
        <v>11217</v>
      </c>
      <c r="B3909" t="s">
        <v>11218</v>
      </c>
      <c r="C3909" t="s">
        <v>11219</v>
      </c>
      <c r="D3909" t="s">
        <v>23</v>
      </c>
      <c r="E3909">
        <v>5345</v>
      </c>
      <c r="F3909" s="3">
        <v>42229</v>
      </c>
      <c r="H3909" t="s">
        <v>15523</v>
      </c>
      <c r="I3909" t="s">
        <v>18550</v>
      </c>
      <c r="K3909" t="e">
        <v>#N/A</v>
      </c>
      <c r="S3909" s="3"/>
    </row>
    <row r="3910" spans="1:19" x14ac:dyDescent="0.25">
      <c r="A3910" t="s">
        <v>11220</v>
      </c>
      <c r="B3910" t="s">
        <v>11221</v>
      </c>
      <c r="C3910" t="s">
        <v>11222</v>
      </c>
      <c r="D3910" t="s">
        <v>23</v>
      </c>
      <c r="E3910">
        <v>4539</v>
      </c>
      <c r="F3910" s="3">
        <v>40702</v>
      </c>
      <c r="H3910" t="s">
        <v>15523</v>
      </c>
      <c r="I3910" t="s">
        <v>18551</v>
      </c>
      <c r="K3910" t="e">
        <v>#N/A</v>
      </c>
      <c r="S3910" s="3"/>
    </row>
    <row r="3911" spans="1:19" x14ac:dyDescent="0.25">
      <c r="A3911" t="s">
        <v>11223</v>
      </c>
      <c r="B3911" t="s">
        <v>11224</v>
      </c>
      <c r="C3911" t="s">
        <v>11225</v>
      </c>
      <c r="D3911" t="s">
        <v>23</v>
      </c>
      <c r="E3911">
        <v>4540</v>
      </c>
      <c r="F3911" s="3">
        <v>40702</v>
      </c>
      <c r="H3911" t="s">
        <v>15523</v>
      </c>
      <c r="I3911" t="s">
        <v>18552</v>
      </c>
      <c r="K3911" t="e">
        <v>#N/A</v>
      </c>
      <c r="S3911" s="3"/>
    </row>
    <row r="3912" spans="1:19" x14ac:dyDescent="0.25">
      <c r="A3912" t="s">
        <v>11226</v>
      </c>
      <c r="B3912" t="s">
        <v>11227</v>
      </c>
      <c r="C3912" t="s">
        <v>11228</v>
      </c>
      <c r="D3912" t="s">
        <v>23</v>
      </c>
      <c r="E3912">
        <v>4541</v>
      </c>
      <c r="F3912" s="3">
        <v>40702</v>
      </c>
      <c r="H3912" t="s">
        <v>15523</v>
      </c>
      <c r="I3912" t="s">
        <v>18553</v>
      </c>
      <c r="K3912" t="e">
        <v>#N/A</v>
      </c>
      <c r="S3912" s="3"/>
    </row>
    <row r="3913" spans="1:19" x14ac:dyDescent="0.25">
      <c r="A3913" t="s">
        <v>11229</v>
      </c>
      <c r="B3913" t="s">
        <v>11230</v>
      </c>
      <c r="C3913" t="s">
        <v>11231</v>
      </c>
      <c r="D3913" t="s">
        <v>23</v>
      </c>
      <c r="E3913">
        <v>4542</v>
      </c>
      <c r="F3913" s="3">
        <v>40702</v>
      </c>
      <c r="H3913" t="s">
        <v>15523</v>
      </c>
      <c r="I3913" t="s">
        <v>18554</v>
      </c>
      <c r="K3913" t="e">
        <v>#N/A</v>
      </c>
      <c r="S3913" s="3"/>
    </row>
    <row r="3914" spans="1:19" x14ac:dyDescent="0.25">
      <c r="A3914" t="s">
        <v>11232</v>
      </c>
      <c r="B3914" t="s">
        <v>11233</v>
      </c>
      <c r="C3914" t="s">
        <v>11234</v>
      </c>
      <c r="D3914" t="s">
        <v>23</v>
      </c>
      <c r="E3914">
        <v>4543</v>
      </c>
      <c r="F3914" s="3">
        <v>40702</v>
      </c>
      <c r="H3914" t="s">
        <v>15523</v>
      </c>
      <c r="I3914" t="s">
        <v>18555</v>
      </c>
      <c r="K3914" t="e">
        <v>#N/A</v>
      </c>
      <c r="S3914" s="3"/>
    </row>
    <row r="3915" spans="1:19" x14ac:dyDescent="0.25">
      <c r="A3915" t="s">
        <v>11235</v>
      </c>
      <c r="B3915" t="s">
        <v>11236</v>
      </c>
      <c r="C3915" s="3">
        <v>196869</v>
      </c>
      <c r="D3915" t="s">
        <v>23</v>
      </c>
      <c r="E3915">
        <v>469</v>
      </c>
      <c r="F3915" s="3">
        <v>40704</v>
      </c>
      <c r="H3915" t="s">
        <v>15523</v>
      </c>
      <c r="I3915" t="s">
        <v>18556</v>
      </c>
      <c r="K3915" t="e">
        <v>#N/A</v>
      </c>
      <c r="P3915" s="3"/>
      <c r="S3915" s="3"/>
    </row>
    <row r="3916" spans="1:19" x14ac:dyDescent="0.25">
      <c r="A3916" t="s">
        <v>11238</v>
      </c>
      <c r="B3916" t="s">
        <v>11239</v>
      </c>
      <c r="C3916" t="s">
        <v>11240</v>
      </c>
      <c r="D3916" t="s">
        <v>23</v>
      </c>
      <c r="E3916">
        <v>4544</v>
      </c>
      <c r="F3916" s="3">
        <v>40702</v>
      </c>
      <c r="H3916" t="s">
        <v>15523</v>
      </c>
      <c r="I3916" t="s">
        <v>18557</v>
      </c>
      <c r="K3916" t="e">
        <v>#N/A</v>
      </c>
      <c r="S3916" s="3"/>
    </row>
    <row r="3917" spans="1:19" x14ac:dyDescent="0.25">
      <c r="A3917" t="s">
        <v>11241</v>
      </c>
      <c r="B3917" t="s">
        <v>11242</v>
      </c>
      <c r="C3917" t="s">
        <v>11243</v>
      </c>
      <c r="D3917" t="s">
        <v>23</v>
      </c>
      <c r="E3917">
        <v>4545</v>
      </c>
      <c r="F3917" s="3">
        <v>40702</v>
      </c>
      <c r="H3917" t="s">
        <v>15523</v>
      </c>
      <c r="I3917" t="s">
        <v>18558</v>
      </c>
      <c r="K3917" t="e">
        <v>#N/A</v>
      </c>
      <c r="S3917" s="3"/>
    </row>
    <row r="3918" spans="1:19" x14ac:dyDescent="0.25">
      <c r="A3918" t="s">
        <v>11244</v>
      </c>
      <c r="B3918" t="s">
        <v>11245</v>
      </c>
      <c r="C3918" t="s">
        <v>11246</v>
      </c>
      <c r="D3918" t="s">
        <v>23</v>
      </c>
      <c r="E3918">
        <v>4546</v>
      </c>
      <c r="F3918" s="3">
        <v>40702</v>
      </c>
      <c r="H3918" t="s">
        <v>15523</v>
      </c>
      <c r="I3918" t="s">
        <v>18559</v>
      </c>
      <c r="K3918" t="e">
        <v>#N/A</v>
      </c>
      <c r="S3918" s="3"/>
    </row>
    <row r="3919" spans="1:19" x14ac:dyDescent="0.25">
      <c r="A3919" t="s">
        <v>11247</v>
      </c>
      <c r="B3919" t="s">
        <v>11248</v>
      </c>
      <c r="C3919" t="s">
        <v>11249</v>
      </c>
      <c r="D3919" t="s">
        <v>23</v>
      </c>
      <c r="E3919">
        <v>4548</v>
      </c>
      <c r="F3919" s="3">
        <v>40702</v>
      </c>
      <c r="H3919" t="s">
        <v>15523</v>
      </c>
      <c r="I3919" t="s">
        <v>18560</v>
      </c>
      <c r="K3919" t="e">
        <v>#N/A</v>
      </c>
      <c r="S3919" s="3"/>
    </row>
    <row r="3920" spans="1:19" x14ac:dyDescent="0.25">
      <c r="A3920" t="s">
        <v>11250</v>
      </c>
      <c r="B3920" t="s">
        <v>11251</v>
      </c>
      <c r="C3920" t="s">
        <v>11252</v>
      </c>
      <c r="D3920" t="s">
        <v>23</v>
      </c>
      <c r="E3920">
        <v>4547</v>
      </c>
      <c r="F3920" s="3">
        <v>40702</v>
      </c>
      <c r="H3920" t="s">
        <v>15523</v>
      </c>
      <c r="I3920" t="s">
        <v>18561</v>
      </c>
      <c r="K3920" t="e">
        <v>#N/A</v>
      </c>
      <c r="S3920" s="3"/>
    </row>
    <row r="3921" spans="1:19" x14ac:dyDescent="0.25">
      <c r="A3921" t="s">
        <v>11253</v>
      </c>
      <c r="B3921" t="s">
        <v>11254</v>
      </c>
      <c r="C3921" t="s">
        <v>11255</v>
      </c>
      <c r="D3921" t="s">
        <v>23</v>
      </c>
      <c r="E3921">
        <v>4556</v>
      </c>
      <c r="F3921" s="3">
        <v>41230</v>
      </c>
      <c r="H3921" t="s">
        <v>15523</v>
      </c>
      <c r="I3921" t="s">
        <v>18562</v>
      </c>
      <c r="K3921" t="e">
        <v>#N/A</v>
      </c>
      <c r="S3921" s="3"/>
    </row>
    <row r="3922" spans="1:19" x14ac:dyDescent="0.25">
      <c r="A3922" t="s">
        <v>11256</v>
      </c>
      <c r="B3922" t="s">
        <v>11257</v>
      </c>
      <c r="C3922" t="s">
        <v>11258</v>
      </c>
      <c r="D3922" t="s">
        <v>23</v>
      </c>
      <c r="E3922">
        <v>4564</v>
      </c>
      <c r="F3922" s="3">
        <v>41230</v>
      </c>
      <c r="H3922" t="s">
        <v>15523</v>
      </c>
      <c r="I3922" t="s">
        <v>18563</v>
      </c>
      <c r="K3922" t="e">
        <v>#N/A</v>
      </c>
      <c r="S3922" s="3"/>
    </row>
    <row r="3923" spans="1:19" x14ac:dyDescent="0.25">
      <c r="A3923" t="s">
        <v>11259</v>
      </c>
      <c r="B3923" t="s">
        <v>11260</v>
      </c>
      <c r="C3923" t="s">
        <v>11261</v>
      </c>
      <c r="D3923" t="s">
        <v>23</v>
      </c>
      <c r="E3923">
        <v>1459</v>
      </c>
      <c r="F3923" s="3">
        <v>40702</v>
      </c>
      <c r="H3923" t="s">
        <v>15523</v>
      </c>
      <c r="I3923" t="s">
        <v>18564</v>
      </c>
      <c r="K3923" t="e">
        <v>#N/A</v>
      </c>
      <c r="S3923" s="3"/>
    </row>
    <row r="3924" spans="1:19" x14ac:dyDescent="0.25">
      <c r="A3924" t="s">
        <v>11262</v>
      </c>
      <c r="B3924" t="s">
        <v>11263</v>
      </c>
      <c r="C3924" t="s">
        <v>11264</v>
      </c>
      <c r="D3924" t="s">
        <v>23</v>
      </c>
      <c r="E3924">
        <v>4569</v>
      </c>
      <c r="F3924" s="3">
        <v>40702</v>
      </c>
      <c r="H3924" t="s">
        <v>15523</v>
      </c>
      <c r="I3924" t="s">
        <v>18565</v>
      </c>
      <c r="K3924" t="e">
        <v>#N/A</v>
      </c>
      <c r="S3924" s="3"/>
    </row>
    <row r="3925" spans="1:19" x14ac:dyDescent="0.25">
      <c r="A3925" t="s">
        <v>11265</v>
      </c>
      <c r="B3925" t="s">
        <v>11266</v>
      </c>
      <c r="C3925" t="s">
        <v>11267</v>
      </c>
      <c r="D3925" t="s">
        <v>23</v>
      </c>
      <c r="E3925">
        <v>4570</v>
      </c>
      <c r="F3925" s="3">
        <v>40702</v>
      </c>
      <c r="H3925" t="s">
        <v>15523</v>
      </c>
      <c r="I3925" t="s">
        <v>18566</v>
      </c>
      <c r="K3925" t="e">
        <v>#N/A</v>
      </c>
      <c r="S3925" s="3"/>
    </row>
    <row r="3926" spans="1:19" x14ac:dyDescent="0.25">
      <c r="A3926" t="s">
        <v>11268</v>
      </c>
      <c r="B3926" t="s">
        <v>11269</v>
      </c>
      <c r="C3926" t="s">
        <v>11270</v>
      </c>
      <c r="D3926" t="s">
        <v>23</v>
      </c>
      <c r="E3926">
        <v>4572</v>
      </c>
      <c r="F3926" s="3">
        <v>41230</v>
      </c>
      <c r="H3926" t="s">
        <v>15523</v>
      </c>
      <c r="I3926" t="s">
        <v>18567</v>
      </c>
      <c r="K3926" t="e">
        <v>#N/A</v>
      </c>
      <c r="S3926" s="3"/>
    </row>
    <row r="3927" spans="1:19" x14ac:dyDescent="0.25">
      <c r="A3927" t="s">
        <v>11271</v>
      </c>
      <c r="B3927" t="s">
        <v>11272</v>
      </c>
      <c r="C3927" t="s">
        <v>11273</v>
      </c>
      <c r="D3927" t="s">
        <v>23</v>
      </c>
      <c r="E3927">
        <v>5558</v>
      </c>
      <c r="F3927" s="3">
        <v>42385</v>
      </c>
      <c r="H3927" t="s">
        <v>15523</v>
      </c>
      <c r="I3927" t="s">
        <v>18568</v>
      </c>
      <c r="K3927" t="e">
        <v>#N/A</v>
      </c>
      <c r="S3927" s="3"/>
    </row>
    <row r="3928" spans="1:19" x14ac:dyDescent="0.25">
      <c r="A3928" t="s">
        <v>11274</v>
      </c>
      <c r="B3928" t="s">
        <v>11275</v>
      </c>
      <c r="C3928" t="s">
        <v>11276</v>
      </c>
      <c r="D3928" t="s">
        <v>23</v>
      </c>
      <c r="E3928">
        <v>4574</v>
      </c>
      <c r="F3928" s="3">
        <v>40702</v>
      </c>
      <c r="H3928" t="s">
        <v>15523</v>
      </c>
      <c r="I3928" t="s">
        <v>18569</v>
      </c>
      <c r="K3928" t="e">
        <v>#N/A</v>
      </c>
      <c r="S3928" s="3"/>
    </row>
    <row r="3929" spans="1:19" x14ac:dyDescent="0.25">
      <c r="A3929" t="s">
        <v>11277</v>
      </c>
      <c r="B3929" t="s">
        <v>11278</v>
      </c>
      <c r="C3929" t="s">
        <v>11279</v>
      </c>
      <c r="D3929" t="s">
        <v>23</v>
      </c>
      <c r="E3929">
        <v>5628</v>
      </c>
      <c r="F3929" s="3">
        <v>42602</v>
      </c>
      <c r="H3929" t="s">
        <v>15523</v>
      </c>
      <c r="I3929" t="s">
        <v>18570</v>
      </c>
      <c r="K3929" t="e">
        <v>#N/A</v>
      </c>
      <c r="S3929" s="3"/>
    </row>
    <row r="3930" spans="1:19" x14ac:dyDescent="0.25">
      <c r="A3930" t="s">
        <v>11280</v>
      </c>
      <c r="B3930" t="s">
        <v>11281</v>
      </c>
      <c r="C3930" t="s">
        <v>11282</v>
      </c>
      <c r="D3930" t="s">
        <v>23</v>
      </c>
      <c r="E3930">
        <v>4575</v>
      </c>
      <c r="F3930" s="3">
        <v>41230</v>
      </c>
      <c r="H3930" t="s">
        <v>15523</v>
      </c>
      <c r="I3930" t="s">
        <v>18571</v>
      </c>
      <c r="K3930" t="e">
        <v>#N/A</v>
      </c>
      <c r="S3930" s="3"/>
    </row>
    <row r="3931" spans="1:19" x14ac:dyDescent="0.25">
      <c r="A3931" t="s">
        <v>11283</v>
      </c>
      <c r="B3931" t="s">
        <v>11284</v>
      </c>
      <c r="C3931" t="s">
        <v>11285</v>
      </c>
      <c r="D3931" t="s">
        <v>23</v>
      </c>
      <c r="E3931">
        <v>4576</v>
      </c>
      <c r="F3931" s="3">
        <v>40702</v>
      </c>
      <c r="H3931" t="s">
        <v>15523</v>
      </c>
      <c r="I3931" t="s">
        <v>18572</v>
      </c>
      <c r="K3931" t="e">
        <v>#N/A</v>
      </c>
      <c r="S3931" s="3"/>
    </row>
    <row r="3932" spans="1:19" x14ac:dyDescent="0.25">
      <c r="A3932" t="s">
        <v>11286</v>
      </c>
      <c r="B3932" t="s">
        <v>11287</v>
      </c>
      <c r="C3932" t="s">
        <v>11288</v>
      </c>
      <c r="D3932" t="s">
        <v>23</v>
      </c>
      <c r="E3932">
        <v>2492</v>
      </c>
      <c r="F3932" s="3">
        <v>40702</v>
      </c>
      <c r="H3932" t="s">
        <v>15523</v>
      </c>
      <c r="I3932" t="s">
        <v>18573</v>
      </c>
      <c r="K3932" t="e">
        <v>#N/A</v>
      </c>
      <c r="S3932" s="3"/>
    </row>
    <row r="3933" spans="1:19" x14ac:dyDescent="0.25">
      <c r="A3933" t="s">
        <v>11289</v>
      </c>
      <c r="B3933" t="s">
        <v>11290</v>
      </c>
      <c r="C3933" t="s">
        <v>16179</v>
      </c>
      <c r="D3933" t="s">
        <v>23</v>
      </c>
      <c r="E3933">
        <v>4262</v>
      </c>
      <c r="F3933" s="3">
        <v>40702</v>
      </c>
      <c r="H3933" t="s">
        <v>15523</v>
      </c>
      <c r="I3933" t="s">
        <v>16180</v>
      </c>
      <c r="K3933" t="e">
        <v>#N/A</v>
      </c>
      <c r="S3933" s="3"/>
    </row>
    <row r="3934" spans="1:19" x14ac:dyDescent="0.25">
      <c r="A3934" t="s">
        <v>11291</v>
      </c>
      <c r="B3934" t="s">
        <v>11292</v>
      </c>
      <c r="C3934" t="s">
        <v>16179</v>
      </c>
      <c r="D3934" t="s">
        <v>23</v>
      </c>
      <c r="E3934">
        <v>4270</v>
      </c>
      <c r="F3934" s="3">
        <v>40702</v>
      </c>
      <c r="H3934" t="s">
        <v>15523</v>
      </c>
      <c r="I3934" t="s">
        <v>16180</v>
      </c>
      <c r="K3934" t="e">
        <v>#N/A</v>
      </c>
      <c r="S3934" s="3"/>
    </row>
    <row r="3935" spans="1:19" x14ac:dyDescent="0.25">
      <c r="A3935" t="s">
        <v>11293</v>
      </c>
      <c r="B3935" t="s">
        <v>11294</v>
      </c>
      <c r="C3935" t="s">
        <v>16179</v>
      </c>
      <c r="D3935" t="s">
        <v>23</v>
      </c>
      <c r="E3935">
        <v>491</v>
      </c>
      <c r="F3935" s="3">
        <v>40702</v>
      </c>
      <c r="H3935" t="s">
        <v>15523</v>
      </c>
      <c r="I3935" t="s">
        <v>16180</v>
      </c>
      <c r="K3935" t="e">
        <v>#N/A</v>
      </c>
      <c r="S3935" s="3"/>
    </row>
    <row r="3936" spans="1:19" x14ac:dyDescent="0.25">
      <c r="A3936" t="s">
        <v>11295</v>
      </c>
      <c r="B3936" t="s">
        <v>11296</v>
      </c>
      <c r="C3936" t="s">
        <v>16179</v>
      </c>
      <c r="D3936" t="s">
        <v>23</v>
      </c>
      <c r="E3936">
        <v>17</v>
      </c>
      <c r="F3936" s="3">
        <v>40702</v>
      </c>
      <c r="H3936" t="s">
        <v>15523</v>
      </c>
      <c r="I3936" t="s">
        <v>16180</v>
      </c>
      <c r="K3936" t="e">
        <v>#N/A</v>
      </c>
      <c r="S3936" s="3"/>
    </row>
    <row r="3937" spans="1:19" x14ac:dyDescent="0.25">
      <c r="A3937" t="s">
        <v>11297</v>
      </c>
      <c r="B3937" t="s">
        <v>11298</v>
      </c>
      <c r="C3937" t="s">
        <v>16179</v>
      </c>
      <c r="D3937" t="s">
        <v>23</v>
      </c>
      <c r="E3937">
        <v>1143</v>
      </c>
      <c r="F3937" s="3">
        <v>40702</v>
      </c>
      <c r="H3937" t="s">
        <v>15523</v>
      </c>
      <c r="I3937" t="s">
        <v>16180</v>
      </c>
      <c r="K3937" t="e">
        <v>#N/A</v>
      </c>
      <c r="S3937" s="3"/>
    </row>
    <row r="3938" spans="1:19" x14ac:dyDescent="0.25">
      <c r="A3938" t="s">
        <v>11299</v>
      </c>
      <c r="B3938" t="s">
        <v>11300</v>
      </c>
      <c r="C3938" t="s">
        <v>16179</v>
      </c>
      <c r="D3938" t="s">
        <v>23</v>
      </c>
      <c r="E3938">
        <v>4273</v>
      </c>
      <c r="F3938" s="3">
        <v>40702</v>
      </c>
      <c r="H3938" t="s">
        <v>15523</v>
      </c>
      <c r="I3938" t="s">
        <v>16180</v>
      </c>
      <c r="K3938" t="e">
        <v>#N/A</v>
      </c>
      <c r="S3938" s="3"/>
    </row>
    <row r="3939" spans="1:19" x14ac:dyDescent="0.25">
      <c r="A3939" t="s">
        <v>11301</v>
      </c>
      <c r="B3939" t="s">
        <v>11302</v>
      </c>
      <c r="C3939" t="s">
        <v>16179</v>
      </c>
      <c r="D3939" t="s">
        <v>23</v>
      </c>
      <c r="E3939">
        <v>2111</v>
      </c>
      <c r="F3939" s="3">
        <v>41461</v>
      </c>
      <c r="H3939" t="s">
        <v>15523</v>
      </c>
      <c r="I3939" t="s">
        <v>16180</v>
      </c>
      <c r="K3939" t="e">
        <v>#N/A</v>
      </c>
      <c r="S3939" s="3"/>
    </row>
    <row r="3940" spans="1:19" x14ac:dyDescent="0.25">
      <c r="A3940" t="s">
        <v>11303</v>
      </c>
      <c r="B3940" t="s">
        <v>11304</v>
      </c>
      <c r="C3940" t="s">
        <v>16179</v>
      </c>
      <c r="D3940" t="s">
        <v>23</v>
      </c>
      <c r="E3940">
        <v>2722</v>
      </c>
      <c r="F3940" s="3">
        <v>41461</v>
      </c>
      <c r="H3940" t="s">
        <v>15523</v>
      </c>
      <c r="I3940" t="s">
        <v>16180</v>
      </c>
      <c r="K3940" t="e">
        <v>#N/A</v>
      </c>
      <c r="S3940" s="3"/>
    </row>
    <row r="3941" spans="1:19" x14ac:dyDescent="0.25">
      <c r="A3941" t="s">
        <v>11305</v>
      </c>
      <c r="B3941" t="s">
        <v>11306</v>
      </c>
      <c r="C3941" t="s">
        <v>16179</v>
      </c>
      <c r="D3941" t="s">
        <v>23</v>
      </c>
      <c r="E3941">
        <v>1732</v>
      </c>
      <c r="F3941" s="3">
        <v>41461</v>
      </c>
      <c r="H3941" t="s">
        <v>15523</v>
      </c>
      <c r="I3941" t="s">
        <v>16180</v>
      </c>
      <c r="K3941" t="e">
        <v>#N/A</v>
      </c>
      <c r="S3941" s="3"/>
    </row>
    <row r="3942" spans="1:19" x14ac:dyDescent="0.25">
      <c r="A3942" t="s">
        <v>11307</v>
      </c>
      <c r="B3942" t="s">
        <v>11308</v>
      </c>
      <c r="C3942" t="s">
        <v>16179</v>
      </c>
      <c r="D3942" t="s">
        <v>23</v>
      </c>
      <c r="E3942">
        <v>2068</v>
      </c>
      <c r="F3942" s="3">
        <v>40702</v>
      </c>
      <c r="H3942" t="s">
        <v>15523</v>
      </c>
      <c r="I3942" t="s">
        <v>16180</v>
      </c>
      <c r="K3942" t="e">
        <v>#N/A</v>
      </c>
      <c r="S3942" s="3"/>
    </row>
    <row r="3943" spans="1:19" x14ac:dyDescent="0.25">
      <c r="A3943" t="s">
        <v>11309</v>
      </c>
      <c r="B3943" t="s">
        <v>11310</v>
      </c>
      <c r="C3943" t="s">
        <v>16179</v>
      </c>
      <c r="D3943" t="s">
        <v>23</v>
      </c>
      <c r="E3943">
        <v>108</v>
      </c>
      <c r="F3943" s="3">
        <v>41461</v>
      </c>
      <c r="H3943" t="s">
        <v>15523</v>
      </c>
      <c r="I3943" t="s">
        <v>16180</v>
      </c>
      <c r="K3943" t="e">
        <v>#N/A</v>
      </c>
      <c r="S3943" s="3"/>
    </row>
    <row r="3944" spans="1:19" x14ac:dyDescent="0.25">
      <c r="A3944" t="s">
        <v>11311</v>
      </c>
      <c r="B3944" t="s">
        <v>11312</v>
      </c>
      <c r="C3944" t="s">
        <v>16179</v>
      </c>
      <c r="D3944" t="s">
        <v>23</v>
      </c>
      <c r="E3944">
        <v>109</v>
      </c>
      <c r="F3944" s="3">
        <v>40702</v>
      </c>
      <c r="H3944" t="s">
        <v>15523</v>
      </c>
      <c r="I3944" t="s">
        <v>16180</v>
      </c>
      <c r="K3944" t="e">
        <v>#N/A</v>
      </c>
      <c r="S3944" s="3"/>
    </row>
    <row r="3945" spans="1:19" x14ac:dyDescent="0.25">
      <c r="A3945" t="s">
        <v>11313</v>
      </c>
      <c r="B3945" t="s">
        <v>11314</v>
      </c>
      <c r="C3945" t="s">
        <v>16179</v>
      </c>
      <c r="D3945" t="s">
        <v>23</v>
      </c>
      <c r="E3945">
        <v>4279</v>
      </c>
      <c r="F3945" s="3">
        <v>40782</v>
      </c>
      <c r="H3945" t="s">
        <v>15523</v>
      </c>
      <c r="I3945" t="s">
        <v>16180</v>
      </c>
      <c r="K3945" t="e">
        <v>#N/A</v>
      </c>
      <c r="S3945" s="3"/>
    </row>
    <row r="3946" spans="1:19" x14ac:dyDescent="0.25">
      <c r="A3946" t="s">
        <v>11315</v>
      </c>
      <c r="B3946" t="s">
        <v>11316</v>
      </c>
      <c r="C3946" t="s">
        <v>16179</v>
      </c>
      <c r="D3946" t="s">
        <v>23</v>
      </c>
      <c r="E3946">
        <v>4280</v>
      </c>
      <c r="F3946" s="3">
        <v>40782</v>
      </c>
      <c r="H3946" t="s">
        <v>15523</v>
      </c>
      <c r="I3946" t="s">
        <v>16180</v>
      </c>
      <c r="K3946" t="e">
        <v>#N/A</v>
      </c>
      <c r="S3946" s="3"/>
    </row>
    <row r="3947" spans="1:19" x14ac:dyDescent="0.25">
      <c r="A3947" t="s">
        <v>11317</v>
      </c>
      <c r="B3947" t="s">
        <v>11318</v>
      </c>
      <c r="C3947" t="s">
        <v>16179</v>
      </c>
      <c r="D3947" t="s">
        <v>23</v>
      </c>
      <c r="E3947">
        <v>6057</v>
      </c>
      <c r="F3947" s="3">
        <v>43781</v>
      </c>
      <c r="H3947" t="s">
        <v>15523</v>
      </c>
      <c r="I3947" t="s">
        <v>16180</v>
      </c>
      <c r="K3947" t="e">
        <v>#N/A</v>
      </c>
      <c r="S3947" s="3"/>
    </row>
    <row r="3948" spans="1:19" x14ac:dyDescent="0.25">
      <c r="A3948" t="s">
        <v>11319</v>
      </c>
      <c r="B3948" t="s">
        <v>11320</v>
      </c>
      <c r="C3948" t="s">
        <v>16179</v>
      </c>
      <c r="D3948" t="s">
        <v>23</v>
      </c>
      <c r="E3948">
        <v>6062</v>
      </c>
      <c r="F3948" s="3">
        <v>43781</v>
      </c>
      <c r="H3948" t="s">
        <v>15523</v>
      </c>
      <c r="I3948" t="s">
        <v>16180</v>
      </c>
      <c r="K3948" t="e">
        <v>#N/A</v>
      </c>
      <c r="S3948" s="3"/>
    </row>
    <row r="3949" spans="1:19" x14ac:dyDescent="0.25">
      <c r="A3949" t="s">
        <v>11321</v>
      </c>
      <c r="B3949" t="s">
        <v>11322</v>
      </c>
      <c r="C3949" t="s">
        <v>16179</v>
      </c>
      <c r="D3949" t="s">
        <v>23</v>
      </c>
      <c r="E3949">
        <v>5346</v>
      </c>
      <c r="F3949" s="3">
        <v>42259</v>
      </c>
      <c r="H3949" t="s">
        <v>15523</v>
      </c>
      <c r="I3949" t="s">
        <v>16180</v>
      </c>
      <c r="K3949" t="e">
        <v>#N/A</v>
      </c>
      <c r="S3949" s="3"/>
    </row>
    <row r="3950" spans="1:19" x14ac:dyDescent="0.25">
      <c r="A3950" t="s">
        <v>11323</v>
      </c>
      <c r="B3950" t="s">
        <v>11324</v>
      </c>
      <c r="C3950" t="s">
        <v>16179</v>
      </c>
      <c r="D3950" t="s">
        <v>23</v>
      </c>
      <c r="E3950">
        <v>4281</v>
      </c>
      <c r="F3950" s="3">
        <v>40702</v>
      </c>
      <c r="H3950" t="s">
        <v>15523</v>
      </c>
      <c r="I3950" t="s">
        <v>16180</v>
      </c>
      <c r="K3950" t="e">
        <v>#N/A</v>
      </c>
      <c r="S3950" s="3"/>
    </row>
    <row r="3951" spans="1:19" x14ac:dyDescent="0.25">
      <c r="A3951" t="s">
        <v>11325</v>
      </c>
      <c r="B3951" t="s">
        <v>11326</v>
      </c>
      <c r="C3951" t="s">
        <v>16179</v>
      </c>
      <c r="D3951" t="s">
        <v>23</v>
      </c>
      <c r="E3951">
        <v>4293</v>
      </c>
      <c r="F3951" s="3">
        <v>40702</v>
      </c>
      <c r="H3951" t="s">
        <v>15523</v>
      </c>
      <c r="I3951" t="s">
        <v>16180</v>
      </c>
      <c r="K3951" t="e">
        <v>#N/A</v>
      </c>
      <c r="S3951" s="3"/>
    </row>
    <row r="3952" spans="1:19" x14ac:dyDescent="0.25">
      <c r="A3952" t="s">
        <v>11327</v>
      </c>
      <c r="B3952" t="s">
        <v>11328</v>
      </c>
      <c r="C3952" t="s">
        <v>16179</v>
      </c>
      <c r="D3952" t="s">
        <v>23</v>
      </c>
      <c r="E3952">
        <v>192</v>
      </c>
      <c r="F3952" s="3">
        <v>40702</v>
      </c>
      <c r="H3952" t="s">
        <v>15523</v>
      </c>
      <c r="I3952" t="s">
        <v>16180</v>
      </c>
      <c r="K3952" t="e">
        <v>#N/A</v>
      </c>
      <c r="S3952" s="3"/>
    </row>
    <row r="3953" spans="1:19" x14ac:dyDescent="0.25">
      <c r="A3953" t="s">
        <v>11329</v>
      </c>
      <c r="B3953" t="s">
        <v>11330</v>
      </c>
      <c r="C3953" t="s">
        <v>16179</v>
      </c>
      <c r="D3953" t="s">
        <v>23</v>
      </c>
      <c r="E3953">
        <v>1142</v>
      </c>
      <c r="F3953" s="3">
        <v>40702</v>
      </c>
      <c r="H3953" t="s">
        <v>15523</v>
      </c>
      <c r="I3953" t="s">
        <v>16180</v>
      </c>
      <c r="K3953" t="e">
        <v>#N/A</v>
      </c>
      <c r="S3953" s="3"/>
    </row>
    <row r="3954" spans="1:19" x14ac:dyDescent="0.25">
      <c r="A3954" t="s">
        <v>11331</v>
      </c>
      <c r="B3954" t="s">
        <v>11332</v>
      </c>
      <c r="C3954" t="s">
        <v>16179</v>
      </c>
      <c r="D3954" t="s">
        <v>23</v>
      </c>
      <c r="E3954">
        <v>191</v>
      </c>
      <c r="F3954" s="3">
        <v>41461</v>
      </c>
      <c r="H3954" t="s">
        <v>15523</v>
      </c>
      <c r="I3954" t="s">
        <v>16180</v>
      </c>
      <c r="K3954" t="e">
        <v>#N/A</v>
      </c>
      <c r="S3954" s="3"/>
    </row>
    <row r="3955" spans="1:19" x14ac:dyDescent="0.25">
      <c r="A3955" t="s">
        <v>11333</v>
      </c>
      <c r="B3955" t="s">
        <v>11334</v>
      </c>
      <c r="C3955" t="s">
        <v>16179</v>
      </c>
      <c r="D3955" t="s">
        <v>23</v>
      </c>
      <c r="E3955">
        <v>6041</v>
      </c>
      <c r="F3955" s="3">
        <v>43690</v>
      </c>
      <c r="H3955" t="s">
        <v>15523</v>
      </c>
      <c r="I3955" t="s">
        <v>16180</v>
      </c>
      <c r="K3955" t="e">
        <v>#N/A</v>
      </c>
      <c r="S3955" s="3"/>
    </row>
    <row r="3956" spans="1:19" x14ac:dyDescent="0.25">
      <c r="A3956" t="s">
        <v>11335</v>
      </c>
      <c r="B3956" t="s">
        <v>11336</v>
      </c>
      <c r="C3956" t="s">
        <v>16179</v>
      </c>
      <c r="D3956" t="s">
        <v>23</v>
      </c>
      <c r="E3956">
        <v>5768</v>
      </c>
      <c r="F3956" s="3">
        <v>42854</v>
      </c>
      <c r="H3956" t="s">
        <v>15523</v>
      </c>
      <c r="I3956" t="s">
        <v>16180</v>
      </c>
      <c r="K3956" t="e">
        <v>#N/A</v>
      </c>
      <c r="S3956" s="3"/>
    </row>
    <row r="3957" spans="1:19" x14ac:dyDescent="0.25">
      <c r="A3957" t="s">
        <v>11337</v>
      </c>
      <c r="B3957" t="s">
        <v>11338</v>
      </c>
      <c r="C3957" t="s">
        <v>16179</v>
      </c>
      <c r="D3957" t="s">
        <v>23</v>
      </c>
      <c r="E3957">
        <v>189</v>
      </c>
      <c r="F3957" s="3">
        <v>41461</v>
      </c>
      <c r="H3957" t="s">
        <v>15523</v>
      </c>
      <c r="I3957" t="s">
        <v>16180</v>
      </c>
      <c r="K3957" t="e">
        <v>#N/A</v>
      </c>
      <c r="S3957" s="3"/>
    </row>
    <row r="3958" spans="1:19" x14ac:dyDescent="0.25">
      <c r="A3958" t="s">
        <v>11339</v>
      </c>
      <c r="B3958" t="s">
        <v>11340</v>
      </c>
      <c r="C3958" t="s">
        <v>16179</v>
      </c>
      <c r="D3958" t="s">
        <v>23</v>
      </c>
      <c r="E3958">
        <v>5732</v>
      </c>
      <c r="F3958" s="3">
        <v>42741</v>
      </c>
      <c r="H3958" t="s">
        <v>15523</v>
      </c>
      <c r="I3958" t="s">
        <v>16180</v>
      </c>
      <c r="K3958" t="e">
        <v>#N/A</v>
      </c>
      <c r="S3958" s="3"/>
    </row>
    <row r="3959" spans="1:19" x14ac:dyDescent="0.25">
      <c r="A3959" t="s">
        <v>11341</v>
      </c>
      <c r="B3959" t="s">
        <v>11342</v>
      </c>
      <c r="C3959" t="s">
        <v>16179</v>
      </c>
      <c r="D3959" t="s">
        <v>23</v>
      </c>
      <c r="E3959">
        <v>5340</v>
      </c>
      <c r="F3959" s="3">
        <v>42222</v>
      </c>
      <c r="H3959" t="s">
        <v>15523</v>
      </c>
      <c r="I3959" t="s">
        <v>16180</v>
      </c>
      <c r="K3959" t="e">
        <v>#N/A</v>
      </c>
      <c r="S3959" s="3"/>
    </row>
    <row r="3960" spans="1:19" x14ac:dyDescent="0.25">
      <c r="A3960" t="s">
        <v>11343</v>
      </c>
      <c r="B3960" t="s">
        <v>11344</v>
      </c>
      <c r="C3960" t="s">
        <v>11345</v>
      </c>
      <c r="D3960" t="s">
        <v>23</v>
      </c>
      <c r="E3960">
        <v>2367</v>
      </c>
      <c r="F3960" s="3">
        <v>41852</v>
      </c>
      <c r="H3960" t="s">
        <v>15523</v>
      </c>
      <c r="I3960" t="s">
        <v>18574</v>
      </c>
      <c r="K3960" t="e">
        <v>#N/A</v>
      </c>
      <c r="S3960" s="3"/>
    </row>
    <row r="3961" spans="1:19" x14ac:dyDescent="0.25">
      <c r="A3961" t="s">
        <v>11346</v>
      </c>
      <c r="B3961" t="s">
        <v>11347</v>
      </c>
      <c r="C3961" t="s">
        <v>16179</v>
      </c>
      <c r="D3961" t="s">
        <v>23</v>
      </c>
      <c r="E3961">
        <v>2253</v>
      </c>
      <c r="F3961" s="3">
        <v>40856</v>
      </c>
      <c r="H3961" t="s">
        <v>15523</v>
      </c>
      <c r="I3961" t="s">
        <v>16180</v>
      </c>
      <c r="K3961" t="e">
        <v>#N/A</v>
      </c>
      <c r="S3961" s="3"/>
    </row>
    <row r="3962" spans="1:19" x14ac:dyDescent="0.25">
      <c r="A3962" t="s">
        <v>11348</v>
      </c>
      <c r="B3962" t="s">
        <v>11349</v>
      </c>
      <c r="C3962" t="s">
        <v>16179</v>
      </c>
      <c r="D3962" t="s">
        <v>23</v>
      </c>
      <c r="E3962">
        <v>5320</v>
      </c>
      <c r="F3962" s="3">
        <v>42185</v>
      </c>
      <c r="H3962" t="s">
        <v>15523</v>
      </c>
      <c r="I3962" t="s">
        <v>16180</v>
      </c>
      <c r="K3962" t="e">
        <v>#N/A</v>
      </c>
      <c r="S3962" s="3"/>
    </row>
    <row r="3963" spans="1:19" x14ac:dyDescent="0.25">
      <c r="A3963" t="s">
        <v>11350</v>
      </c>
      <c r="B3963" t="s">
        <v>11351</v>
      </c>
      <c r="C3963" t="s">
        <v>16179</v>
      </c>
      <c r="D3963" t="s">
        <v>23</v>
      </c>
      <c r="E3963">
        <v>4299</v>
      </c>
      <c r="F3963" s="3">
        <v>40702</v>
      </c>
      <c r="H3963" t="s">
        <v>15523</v>
      </c>
      <c r="I3963" t="s">
        <v>16180</v>
      </c>
      <c r="K3963" t="e">
        <v>#N/A</v>
      </c>
      <c r="S3963" s="3"/>
    </row>
    <row r="3964" spans="1:19" x14ac:dyDescent="0.25">
      <c r="A3964" t="s">
        <v>11352</v>
      </c>
      <c r="B3964" t="s">
        <v>11353</v>
      </c>
      <c r="C3964" t="s">
        <v>16179</v>
      </c>
      <c r="D3964" t="s">
        <v>23</v>
      </c>
      <c r="E3964">
        <v>302</v>
      </c>
      <c r="F3964" s="3">
        <v>40702</v>
      </c>
      <c r="H3964" t="s">
        <v>15523</v>
      </c>
      <c r="I3964" t="s">
        <v>16180</v>
      </c>
      <c r="K3964" t="e">
        <v>#N/A</v>
      </c>
      <c r="S3964" s="3"/>
    </row>
    <row r="3965" spans="1:19" x14ac:dyDescent="0.25">
      <c r="A3965" t="s">
        <v>11354</v>
      </c>
      <c r="B3965" t="s">
        <v>11355</v>
      </c>
      <c r="C3965" t="s">
        <v>16179</v>
      </c>
      <c r="D3965" t="s">
        <v>23</v>
      </c>
      <c r="E3965">
        <v>1770</v>
      </c>
      <c r="F3965" s="3">
        <v>40702</v>
      </c>
      <c r="H3965" t="s">
        <v>15523</v>
      </c>
      <c r="I3965" t="s">
        <v>16180</v>
      </c>
      <c r="K3965" t="e">
        <v>#N/A</v>
      </c>
      <c r="S3965" s="3"/>
    </row>
    <row r="3966" spans="1:19" x14ac:dyDescent="0.25">
      <c r="A3966" t="s">
        <v>11356</v>
      </c>
      <c r="B3966" t="s">
        <v>11357</v>
      </c>
      <c r="C3966" t="s">
        <v>16179</v>
      </c>
      <c r="D3966" t="s">
        <v>23</v>
      </c>
      <c r="E3966">
        <v>5321</v>
      </c>
      <c r="F3966" s="3">
        <v>42185</v>
      </c>
      <c r="H3966" t="s">
        <v>15523</v>
      </c>
      <c r="I3966" t="s">
        <v>16180</v>
      </c>
      <c r="K3966" t="e">
        <v>#N/A</v>
      </c>
      <c r="S3966" s="3"/>
    </row>
    <row r="3967" spans="1:19" x14ac:dyDescent="0.25">
      <c r="A3967" t="s">
        <v>11358</v>
      </c>
      <c r="B3967" t="s">
        <v>11359</v>
      </c>
      <c r="C3967" t="s">
        <v>16179</v>
      </c>
      <c r="D3967" t="s">
        <v>23</v>
      </c>
      <c r="E3967">
        <v>355</v>
      </c>
      <c r="F3967" s="3">
        <v>40702</v>
      </c>
      <c r="H3967" t="s">
        <v>15523</v>
      </c>
      <c r="I3967" t="s">
        <v>16180</v>
      </c>
      <c r="K3967" t="e">
        <v>#N/A</v>
      </c>
      <c r="S3967" s="3"/>
    </row>
    <row r="3968" spans="1:19" x14ac:dyDescent="0.25">
      <c r="A3968" t="s">
        <v>11360</v>
      </c>
      <c r="B3968" t="s">
        <v>11361</v>
      </c>
      <c r="C3968" t="s">
        <v>16179</v>
      </c>
      <c r="D3968" t="s">
        <v>23</v>
      </c>
      <c r="E3968">
        <v>347</v>
      </c>
      <c r="F3968" s="3">
        <v>40702</v>
      </c>
      <c r="H3968" t="s">
        <v>15523</v>
      </c>
      <c r="I3968" t="s">
        <v>16180</v>
      </c>
      <c r="K3968" t="e">
        <v>#N/A</v>
      </c>
      <c r="S3968" s="3"/>
    </row>
    <row r="3969" spans="1:19" x14ac:dyDescent="0.25">
      <c r="A3969" t="s">
        <v>11362</v>
      </c>
      <c r="B3969" t="s">
        <v>11363</v>
      </c>
      <c r="C3969" t="s">
        <v>16179</v>
      </c>
      <c r="D3969" t="s">
        <v>23</v>
      </c>
      <c r="E3969">
        <v>4307</v>
      </c>
      <c r="F3969" s="3">
        <v>40782</v>
      </c>
      <c r="H3969" t="s">
        <v>15523</v>
      </c>
      <c r="I3969" t="s">
        <v>16180</v>
      </c>
      <c r="K3969" t="e">
        <v>#N/A</v>
      </c>
      <c r="S3969" s="3"/>
    </row>
    <row r="3970" spans="1:19" x14ac:dyDescent="0.25">
      <c r="A3970" t="s">
        <v>11364</v>
      </c>
      <c r="B3970" t="s">
        <v>11365</v>
      </c>
      <c r="C3970" t="s">
        <v>16179</v>
      </c>
      <c r="D3970" t="s">
        <v>23</v>
      </c>
      <c r="E3970">
        <v>2365</v>
      </c>
      <c r="F3970" s="3">
        <v>40782</v>
      </c>
      <c r="H3970" t="s">
        <v>15523</v>
      </c>
      <c r="I3970" t="s">
        <v>16180</v>
      </c>
      <c r="K3970" t="e">
        <v>#N/A</v>
      </c>
      <c r="S3970" s="3"/>
    </row>
    <row r="3971" spans="1:19" x14ac:dyDescent="0.25">
      <c r="A3971" t="s">
        <v>11366</v>
      </c>
      <c r="B3971" t="s">
        <v>11367</v>
      </c>
      <c r="C3971" t="s">
        <v>16179</v>
      </c>
      <c r="D3971" t="s">
        <v>23</v>
      </c>
      <c r="E3971">
        <v>305</v>
      </c>
      <c r="F3971" s="3">
        <v>40702</v>
      </c>
      <c r="H3971" t="s">
        <v>15523</v>
      </c>
      <c r="I3971" t="s">
        <v>16180</v>
      </c>
      <c r="K3971" t="e">
        <v>#N/A</v>
      </c>
      <c r="S3971" s="3"/>
    </row>
    <row r="3972" spans="1:19" x14ac:dyDescent="0.25">
      <c r="A3972" t="s">
        <v>11368</v>
      </c>
      <c r="B3972" t="s">
        <v>11369</v>
      </c>
      <c r="C3972" t="s">
        <v>16179</v>
      </c>
      <c r="D3972" t="s">
        <v>23</v>
      </c>
      <c r="E3972">
        <v>1795</v>
      </c>
      <c r="F3972" s="3">
        <v>41473</v>
      </c>
      <c r="H3972" t="s">
        <v>15523</v>
      </c>
      <c r="I3972" t="s">
        <v>16180</v>
      </c>
      <c r="K3972" t="e">
        <v>#N/A</v>
      </c>
      <c r="S3972" s="3"/>
    </row>
    <row r="3973" spans="1:19" x14ac:dyDescent="0.25">
      <c r="A3973" t="s">
        <v>11370</v>
      </c>
      <c r="B3973" t="s">
        <v>11371</v>
      </c>
      <c r="C3973" t="s">
        <v>16179</v>
      </c>
      <c r="D3973" t="s">
        <v>23</v>
      </c>
      <c r="E3973">
        <v>2269</v>
      </c>
      <c r="F3973" s="3">
        <v>41461</v>
      </c>
      <c r="H3973" t="s">
        <v>15523</v>
      </c>
      <c r="I3973" t="s">
        <v>16180</v>
      </c>
      <c r="K3973" t="e">
        <v>#N/A</v>
      </c>
      <c r="S3973" s="3"/>
    </row>
    <row r="3974" spans="1:19" x14ac:dyDescent="0.25">
      <c r="A3974" t="s">
        <v>11372</v>
      </c>
      <c r="B3974" t="s">
        <v>11373</v>
      </c>
      <c r="C3974" t="s">
        <v>16179</v>
      </c>
      <c r="D3974" t="s">
        <v>23</v>
      </c>
      <c r="E3974">
        <v>2248</v>
      </c>
      <c r="F3974" s="3">
        <v>41473</v>
      </c>
      <c r="H3974" t="s">
        <v>15523</v>
      </c>
      <c r="I3974" t="s">
        <v>16180</v>
      </c>
      <c r="K3974" t="e">
        <v>#N/A</v>
      </c>
      <c r="S3974" s="3"/>
    </row>
    <row r="3975" spans="1:19" x14ac:dyDescent="0.25">
      <c r="A3975" t="s">
        <v>11374</v>
      </c>
      <c r="B3975" t="s">
        <v>11375</v>
      </c>
      <c r="C3975" t="s">
        <v>11376</v>
      </c>
      <c r="D3975" t="s">
        <v>23</v>
      </c>
      <c r="E3975">
        <v>4603</v>
      </c>
      <c r="F3975" s="3">
        <v>40702</v>
      </c>
      <c r="H3975" t="s">
        <v>15523</v>
      </c>
      <c r="I3975" t="s">
        <v>18575</v>
      </c>
      <c r="K3975" t="e">
        <v>#N/A</v>
      </c>
      <c r="S3975" s="3"/>
    </row>
    <row r="3976" spans="1:19" x14ac:dyDescent="0.25">
      <c r="A3976" t="s">
        <v>11377</v>
      </c>
      <c r="B3976" t="s">
        <v>11378</v>
      </c>
      <c r="C3976" t="s">
        <v>16179</v>
      </c>
      <c r="D3976" t="s">
        <v>23</v>
      </c>
      <c r="E3976">
        <v>2358</v>
      </c>
      <c r="F3976" s="3">
        <v>41461</v>
      </c>
      <c r="H3976" t="s">
        <v>15523</v>
      </c>
      <c r="I3976" t="s">
        <v>16180</v>
      </c>
      <c r="K3976" t="e">
        <v>#N/A</v>
      </c>
      <c r="S3976" s="3"/>
    </row>
    <row r="3977" spans="1:19" x14ac:dyDescent="0.25">
      <c r="A3977" t="s">
        <v>11379</v>
      </c>
      <c r="B3977" t="s">
        <v>11380</v>
      </c>
      <c r="C3977" t="s">
        <v>16179</v>
      </c>
      <c r="D3977" t="s">
        <v>23</v>
      </c>
      <c r="E3977">
        <v>5155</v>
      </c>
      <c r="F3977" s="3">
        <v>41942</v>
      </c>
      <c r="H3977" t="s">
        <v>15523</v>
      </c>
      <c r="I3977" t="s">
        <v>16180</v>
      </c>
      <c r="K3977" t="e">
        <v>#N/A</v>
      </c>
      <c r="S3977" s="3"/>
    </row>
    <row r="3978" spans="1:19" x14ac:dyDescent="0.25">
      <c r="A3978" t="s">
        <v>11381</v>
      </c>
      <c r="B3978" t="s">
        <v>11382</v>
      </c>
      <c r="C3978" t="s">
        <v>16179</v>
      </c>
      <c r="D3978" t="s">
        <v>23</v>
      </c>
      <c r="E3978">
        <v>2246</v>
      </c>
      <c r="F3978" s="3">
        <v>41461</v>
      </c>
      <c r="H3978" t="s">
        <v>15523</v>
      </c>
      <c r="I3978" t="s">
        <v>16180</v>
      </c>
      <c r="K3978" t="e">
        <v>#N/A</v>
      </c>
      <c r="S3978" s="3"/>
    </row>
    <row r="3979" spans="1:19" x14ac:dyDescent="0.25">
      <c r="A3979" t="s">
        <v>11383</v>
      </c>
      <c r="B3979" t="s">
        <v>11384</v>
      </c>
      <c r="C3979" t="s">
        <v>16179</v>
      </c>
      <c r="D3979" t="s">
        <v>23</v>
      </c>
      <c r="E3979">
        <v>2250</v>
      </c>
      <c r="F3979" s="3">
        <v>41461</v>
      </c>
      <c r="H3979" t="s">
        <v>15523</v>
      </c>
      <c r="I3979" t="s">
        <v>16180</v>
      </c>
      <c r="K3979" t="e">
        <v>#N/A</v>
      </c>
      <c r="S3979" s="3"/>
    </row>
    <row r="3980" spans="1:19" x14ac:dyDescent="0.25">
      <c r="A3980" t="s">
        <v>11385</v>
      </c>
      <c r="B3980" t="s">
        <v>11386</v>
      </c>
      <c r="C3980" t="s">
        <v>16179</v>
      </c>
      <c r="D3980" t="s">
        <v>23</v>
      </c>
      <c r="E3980">
        <v>2251</v>
      </c>
      <c r="F3980" s="3">
        <v>41461</v>
      </c>
      <c r="H3980" t="s">
        <v>15523</v>
      </c>
      <c r="I3980" t="s">
        <v>16180</v>
      </c>
      <c r="K3980" t="e">
        <v>#N/A</v>
      </c>
      <c r="S3980" s="3"/>
    </row>
    <row r="3981" spans="1:19" x14ac:dyDescent="0.25">
      <c r="A3981" t="s">
        <v>11387</v>
      </c>
      <c r="B3981" t="s">
        <v>11388</v>
      </c>
      <c r="C3981" t="s">
        <v>11389</v>
      </c>
      <c r="D3981" t="s">
        <v>23</v>
      </c>
      <c r="E3981">
        <v>415</v>
      </c>
      <c r="F3981" s="3">
        <v>41473</v>
      </c>
      <c r="H3981" t="s">
        <v>15523</v>
      </c>
      <c r="I3981" t="s">
        <v>18576</v>
      </c>
      <c r="K3981" t="e">
        <v>#N/A</v>
      </c>
      <c r="S3981" s="3"/>
    </row>
    <row r="3982" spans="1:19" x14ac:dyDescent="0.25">
      <c r="A3982" t="s">
        <v>11390</v>
      </c>
      <c r="B3982" t="s">
        <v>11391</v>
      </c>
      <c r="C3982" t="s">
        <v>16179</v>
      </c>
      <c r="D3982" t="s">
        <v>23</v>
      </c>
      <c r="E3982">
        <v>2695</v>
      </c>
      <c r="F3982" s="3">
        <v>41473</v>
      </c>
      <c r="H3982" t="s">
        <v>15523</v>
      </c>
      <c r="I3982" t="s">
        <v>16180</v>
      </c>
      <c r="K3982" t="e">
        <v>#N/A</v>
      </c>
      <c r="S3982" s="3"/>
    </row>
    <row r="3983" spans="1:19" x14ac:dyDescent="0.25">
      <c r="A3983" t="s">
        <v>11392</v>
      </c>
      <c r="B3983" t="s">
        <v>11393</v>
      </c>
      <c r="C3983" t="s">
        <v>16179</v>
      </c>
      <c r="D3983" t="s">
        <v>23</v>
      </c>
      <c r="E3983">
        <v>2267</v>
      </c>
      <c r="F3983" s="3">
        <v>41461</v>
      </c>
      <c r="H3983" t="s">
        <v>15523</v>
      </c>
      <c r="I3983" t="s">
        <v>16180</v>
      </c>
      <c r="K3983" t="e">
        <v>#N/A</v>
      </c>
      <c r="S3983" s="3"/>
    </row>
    <row r="3984" spans="1:19" x14ac:dyDescent="0.25">
      <c r="A3984" t="s">
        <v>11394</v>
      </c>
      <c r="B3984" t="s">
        <v>11395</v>
      </c>
      <c r="C3984" t="s">
        <v>16179</v>
      </c>
      <c r="D3984" t="s">
        <v>23</v>
      </c>
      <c r="E3984">
        <v>4308</v>
      </c>
      <c r="F3984" s="3">
        <v>40702</v>
      </c>
      <c r="H3984" t="s">
        <v>15523</v>
      </c>
      <c r="I3984" t="s">
        <v>16180</v>
      </c>
      <c r="K3984" t="e">
        <v>#N/A</v>
      </c>
      <c r="S3984" s="3"/>
    </row>
    <row r="3985" spans="1:19" x14ac:dyDescent="0.25">
      <c r="A3985" t="s">
        <v>11396</v>
      </c>
      <c r="B3985" t="s">
        <v>11397</v>
      </c>
      <c r="C3985" t="s">
        <v>16179</v>
      </c>
      <c r="D3985" t="s">
        <v>23</v>
      </c>
      <c r="E3985">
        <v>5053</v>
      </c>
      <c r="F3985" s="3">
        <v>41660</v>
      </c>
      <c r="H3985" t="s">
        <v>15523</v>
      </c>
      <c r="I3985" t="s">
        <v>16180</v>
      </c>
      <c r="K3985" t="e">
        <v>#N/A</v>
      </c>
      <c r="S3985" s="3"/>
    </row>
    <row r="3986" spans="1:19" x14ac:dyDescent="0.25">
      <c r="A3986" t="s">
        <v>11398</v>
      </c>
      <c r="B3986" t="s">
        <v>11399</v>
      </c>
      <c r="C3986" t="s">
        <v>16179</v>
      </c>
      <c r="D3986" t="s">
        <v>23</v>
      </c>
      <c r="E3986">
        <v>2268</v>
      </c>
      <c r="F3986" s="3">
        <v>41461</v>
      </c>
      <c r="H3986" t="s">
        <v>15523</v>
      </c>
      <c r="I3986" t="s">
        <v>16180</v>
      </c>
      <c r="K3986" t="e">
        <v>#N/A</v>
      </c>
      <c r="S3986" s="3"/>
    </row>
    <row r="3987" spans="1:19" x14ac:dyDescent="0.25">
      <c r="A3987" t="s">
        <v>11400</v>
      </c>
      <c r="B3987" t="s">
        <v>11401</v>
      </c>
      <c r="C3987" t="s">
        <v>16179</v>
      </c>
      <c r="D3987" t="s">
        <v>23</v>
      </c>
      <c r="E3987">
        <v>309</v>
      </c>
      <c r="F3987" s="3">
        <v>40702</v>
      </c>
      <c r="H3987" t="s">
        <v>15523</v>
      </c>
      <c r="I3987" t="s">
        <v>16180</v>
      </c>
      <c r="K3987" t="e">
        <v>#N/A</v>
      </c>
      <c r="S3987" s="3"/>
    </row>
    <row r="3988" spans="1:19" x14ac:dyDescent="0.25">
      <c r="A3988" t="s">
        <v>11402</v>
      </c>
      <c r="B3988" t="s">
        <v>11403</v>
      </c>
      <c r="C3988" t="s">
        <v>16179</v>
      </c>
      <c r="D3988" t="s">
        <v>23</v>
      </c>
      <c r="E3988">
        <v>4312</v>
      </c>
      <c r="F3988" s="3">
        <v>40702</v>
      </c>
      <c r="H3988" t="s">
        <v>15523</v>
      </c>
      <c r="I3988" t="s">
        <v>16180</v>
      </c>
      <c r="K3988" t="e">
        <v>#N/A</v>
      </c>
      <c r="S3988" s="3"/>
    </row>
    <row r="3989" spans="1:19" x14ac:dyDescent="0.25">
      <c r="A3989" t="s">
        <v>11404</v>
      </c>
      <c r="B3989" t="s">
        <v>11405</v>
      </c>
      <c r="C3989" t="s">
        <v>16179</v>
      </c>
      <c r="D3989" t="s">
        <v>23</v>
      </c>
      <c r="E3989">
        <v>6071</v>
      </c>
      <c r="F3989" s="3">
        <v>43831</v>
      </c>
      <c r="H3989" t="s">
        <v>15523</v>
      </c>
      <c r="I3989" t="s">
        <v>16180</v>
      </c>
      <c r="K3989" t="e">
        <v>#N/A</v>
      </c>
      <c r="S3989" s="3"/>
    </row>
    <row r="3990" spans="1:19" x14ac:dyDescent="0.25">
      <c r="A3990" t="s">
        <v>11406</v>
      </c>
      <c r="B3990" t="s">
        <v>11407</v>
      </c>
      <c r="C3990" t="s">
        <v>16179</v>
      </c>
      <c r="D3990" t="s">
        <v>23</v>
      </c>
      <c r="E3990">
        <v>5170</v>
      </c>
      <c r="F3990" s="3">
        <v>42019</v>
      </c>
      <c r="H3990" t="s">
        <v>15523</v>
      </c>
      <c r="I3990" t="s">
        <v>16180</v>
      </c>
      <c r="K3990" t="e">
        <v>#N/A</v>
      </c>
      <c r="S3990" s="3"/>
    </row>
    <row r="3991" spans="1:19" x14ac:dyDescent="0.25">
      <c r="A3991" t="s">
        <v>11408</v>
      </c>
      <c r="B3991" t="s">
        <v>11409</v>
      </c>
      <c r="C3991" t="s">
        <v>16179</v>
      </c>
      <c r="D3991" t="s">
        <v>23</v>
      </c>
      <c r="E3991">
        <v>515</v>
      </c>
      <c r="F3991" s="3">
        <v>40702</v>
      </c>
      <c r="H3991" t="s">
        <v>15523</v>
      </c>
      <c r="I3991" t="s">
        <v>16180</v>
      </c>
      <c r="K3991" t="e">
        <v>#N/A</v>
      </c>
      <c r="S3991" s="3"/>
    </row>
    <row r="3992" spans="1:19" x14ac:dyDescent="0.25">
      <c r="A3992" t="s">
        <v>11410</v>
      </c>
      <c r="B3992" t="s">
        <v>11411</v>
      </c>
      <c r="C3992" t="s">
        <v>16179</v>
      </c>
      <c r="D3992" t="s">
        <v>23</v>
      </c>
      <c r="E3992">
        <v>2255</v>
      </c>
      <c r="F3992" s="3">
        <v>41461</v>
      </c>
      <c r="H3992" t="s">
        <v>15523</v>
      </c>
      <c r="I3992" t="s">
        <v>16180</v>
      </c>
      <c r="K3992" t="e">
        <v>#N/A</v>
      </c>
      <c r="S3992" s="3"/>
    </row>
    <row r="3993" spans="1:19" x14ac:dyDescent="0.25">
      <c r="A3993" t="s">
        <v>11412</v>
      </c>
      <c r="B3993" t="s">
        <v>11413</v>
      </c>
      <c r="C3993" t="s">
        <v>16179</v>
      </c>
      <c r="D3993" t="s">
        <v>23</v>
      </c>
      <c r="E3993">
        <v>2256</v>
      </c>
      <c r="F3993" s="3">
        <v>41461</v>
      </c>
      <c r="H3993" t="s">
        <v>15523</v>
      </c>
      <c r="I3993" t="s">
        <v>16180</v>
      </c>
      <c r="K3993" t="e">
        <v>#N/A</v>
      </c>
      <c r="S3993" s="3"/>
    </row>
    <row r="3994" spans="1:19" x14ac:dyDescent="0.25">
      <c r="A3994" t="s">
        <v>11414</v>
      </c>
      <c r="B3994" t="s">
        <v>11415</v>
      </c>
      <c r="C3994" t="s">
        <v>16179</v>
      </c>
      <c r="D3994" t="s">
        <v>23</v>
      </c>
      <c r="E3994">
        <v>4317</v>
      </c>
      <c r="F3994" s="3">
        <v>40702</v>
      </c>
      <c r="H3994" t="s">
        <v>15523</v>
      </c>
      <c r="I3994" t="s">
        <v>16180</v>
      </c>
      <c r="K3994" t="e">
        <v>#N/A</v>
      </c>
      <c r="S3994" s="3"/>
    </row>
    <row r="3995" spans="1:19" x14ac:dyDescent="0.25">
      <c r="A3995" t="s">
        <v>11416</v>
      </c>
      <c r="B3995" t="s">
        <v>11417</v>
      </c>
      <c r="C3995" t="s">
        <v>16179</v>
      </c>
      <c r="D3995" t="s">
        <v>23</v>
      </c>
      <c r="E3995">
        <v>4318</v>
      </c>
      <c r="F3995" s="3">
        <v>40702</v>
      </c>
      <c r="H3995" t="s">
        <v>15523</v>
      </c>
      <c r="I3995" t="s">
        <v>16180</v>
      </c>
      <c r="K3995" t="e">
        <v>#N/A</v>
      </c>
      <c r="S3995" s="3"/>
    </row>
    <row r="3996" spans="1:19" x14ac:dyDescent="0.25">
      <c r="A3996" t="s">
        <v>11418</v>
      </c>
      <c r="B3996" t="s">
        <v>11419</v>
      </c>
      <c r="C3996" t="s">
        <v>16179</v>
      </c>
      <c r="D3996" t="s">
        <v>23</v>
      </c>
      <c r="E3996">
        <v>476</v>
      </c>
      <c r="F3996" s="3">
        <v>40703</v>
      </c>
      <c r="H3996" t="s">
        <v>15523</v>
      </c>
      <c r="I3996" t="s">
        <v>16180</v>
      </c>
      <c r="K3996" t="e">
        <v>#N/A</v>
      </c>
      <c r="S3996" s="3"/>
    </row>
    <row r="3997" spans="1:19" x14ac:dyDescent="0.25">
      <c r="A3997" t="s">
        <v>11420</v>
      </c>
      <c r="B3997" t="s">
        <v>11421</v>
      </c>
      <c r="C3997" t="s">
        <v>16179</v>
      </c>
      <c r="D3997" t="s">
        <v>23</v>
      </c>
      <c r="E3997">
        <v>1570</v>
      </c>
      <c r="F3997" s="3">
        <v>40783</v>
      </c>
      <c r="H3997" t="s">
        <v>15523</v>
      </c>
      <c r="I3997" t="s">
        <v>16180</v>
      </c>
      <c r="K3997" t="e">
        <v>#N/A</v>
      </c>
      <c r="S3997" s="3"/>
    </row>
    <row r="3998" spans="1:19" x14ac:dyDescent="0.25">
      <c r="A3998" t="s">
        <v>11422</v>
      </c>
      <c r="B3998" t="s">
        <v>11423</v>
      </c>
      <c r="C3998" t="s">
        <v>16179</v>
      </c>
      <c r="D3998" t="s">
        <v>23</v>
      </c>
      <c r="E3998">
        <v>4326</v>
      </c>
      <c r="F3998" s="3">
        <v>40702</v>
      </c>
      <c r="H3998" t="s">
        <v>15523</v>
      </c>
      <c r="I3998" t="s">
        <v>16180</v>
      </c>
      <c r="K3998" t="e">
        <v>#N/A</v>
      </c>
      <c r="S3998" s="3"/>
    </row>
    <row r="3999" spans="1:19" x14ac:dyDescent="0.25">
      <c r="A3999" t="s">
        <v>11424</v>
      </c>
      <c r="B3999" t="s">
        <v>11425</v>
      </c>
      <c r="C3999" t="s">
        <v>16179</v>
      </c>
      <c r="D3999" t="s">
        <v>23</v>
      </c>
      <c r="E3999">
        <v>482</v>
      </c>
      <c r="F3999" s="3">
        <v>40702</v>
      </c>
      <c r="H3999" t="s">
        <v>15523</v>
      </c>
      <c r="I3999" t="s">
        <v>16180</v>
      </c>
      <c r="K3999" t="e">
        <v>#N/A</v>
      </c>
      <c r="S3999" s="3"/>
    </row>
    <row r="4000" spans="1:19" x14ac:dyDescent="0.25">
      <c r="A4000" t="s">
        <v>11426</v>
      </c>
      <c r="B4000" t="s">
        <v>11427</v>
      </c>
      <c r="C4000" t="s">
        <v>16179</v>
      </c>
      <c r="D4000" t="s">
        <v>23</v>
      </c>
      <c r="E4000">
        <v>480</v>
      </c>
      <c r="F4000" s="3">
        <v>40703</v>
      </c>
      <c r="H4000" t="s">
        <v>15523</v>
      </c>
      <c r="I4000" t="s">
        <v>16180</v>
      </c>
      <c r="K4000" t="e">
        <v>#N/A</v>
      </c>
      <c r="S4000" s="3"/>
    </row>
    <row r="4001" spans="1:19" x14ac:dyDescent="0.25">
      <c r="A4001" t="s">
        <v>11428</v>
      </c>
      <c r="B4001" t="s">
        <v>11429</v>
      </c>
      <c r="C4001" t="s">
        <v>16179</v>
      </c>
      <c r="D4001" t="s">
        <v>23</v>
      </c>
      <c r="E4001">
        <v>2249</v>
      </c>
      <c r="F4001" s="3">
        <v>41461</v>
      </c>
      <c r="H4001" t="s">
        <v>15523</v>
      </c>
      <c r="I4001" t="s">
        <v>16180</v>
      </c>
      <c r="K4001" t="e">
        <v>#N/A</v>
      </c>
      <c r="S4001" s="3"/>
    </row>
    <row r="4002" spans="1:19" x14ac:dyDescent="0.25">
      <c r="A4002" t="s">
        <v>11430</v>
      </c>
      <c r="B4002" t="s">
        <v>11431</v>
      </c>
      <c r="C4002" t="s">
        <v>16179</v>
      </c>
      <c r="D4002" t="s">
        <v>23</v>
      </c>
      <c r="E4002">
        <v>5284</v>
      </c>
      <c r="F4002" s="3">
        <v>42082</v>
      </c>
      <c r="H4002" t="s">
        <v>15523</v>
      </c>
      <c r="I4002" t="s">
        <v>16180</v>
      </c>
      <c r="K4002" t="e">
        <v>#N/A</v>
      </c>
      <c r="S4002" s="3"/>
    </row>
    <row r="4003" spans="1:19" x14ac:dyDescent="0.25">
      <c r="A4003" t="s">
        <v>11432</v>
      </c>
      <c r="B4003" t="s">
        <v>11433</v>
      </c>
      <c r="C4003" t="s">
        <v>16179</v>
      </c>
      <c r="D4003" t="s">
        <v>23</v>
      </c>
      <c r="E4003">
        <v>5054</v>
      </c>
      <c r="F4003" s="3">
        <v>41660</v>
      </c>
      <c r="H4003" t="s">
        <v>15523</v>
      </c>
      <c r="I4003" t="s">
        <v>16180</v>
      </c>
      <c r="K4003" t="e">
        <v>#N/A</v>
      </c>
      <c r="S4003" s="3"/>
    </row>
    <row r="4004" spans="1:19" x14ac:dyDescent="0.25">
      <c r="A4004" t="s">
        <v>11434</v>
      </c>
      <c r="B4004" t="s">
        <v>11435</v>
      </c>
      <c r="C4004" t="s">
        <v>16179</v>
      </c>
      <c r="D4004" t="s">
        <v>23</v>
      </c>
      <c r="E4004">
        <v>4339</v>
      </c>
      <c r="F4004" s="3">
        <v>40782</v>
      </c>
      <c r="H4004" t="s">
        <v>15523</v>
      </c>
      <c r="I4004" t="s">
        <v>16180</v>
      </c>
      <c r="K4004" t="e">
        <v>#N/A</v>
      </c>
      <c r="S4004" s="3"/>
    </row>
    <row r="4005" spans="1:19" x14ac:dyDescent="0.25">
      <c r="A4005" t="s">
        <v>11436</v>
      </c>
      <c r="B4005" t="s">
        <v>11437</v>
      </c>
      <c r="C4005" t="s">
        <v>16179</v>
      </c>
      <c r="D4005" t="s">
        <v>23</v>
      </c>
      <c r="E4005">
        <v>2094</v>
      </c>
      <c r="F4005" s="3">
        <v>40782</v>
      </c>
      <c r="H4005" t="s">
        <v>15523</v>
      </c>
      <c r="I4005" t="s">
        <v>16180</v>
      </c>
      <c r="K4005" t="e">
        <v>#N/A</v>
      </c>
      <c r="S4005" s="3"/>
    </row>
    <row r="4006" spans="1:19" x14ac:dyDescent="0.25">
      <c r="A4006" t="s">
        <v>11438</v>
      </c>
      <c r="B4006" t="s">
        <v>11439</v>
      </c>
      <c r="C4006" t="s">
        <v>16179</v>
      </c>
      <c r="D4006" t="s">
        <v>23</v>
      </c>
      <c r="E4006">
        <v>607</v>
      </c>
      <c r="F4006" s="3">
        <v>40782</v>
      </c>
      <c r="H4006" t="s">
        <v>15523</v>
      </c>
      <c r="I4006" t="s">
        <v>16180</v>
      </c>
      <c r="K4006" t="e">
        <v>#N/A</v>
      </c>
      <c r="S4006" s="3"/>
    </row>
    <row r="4007" spans="1:19" x14ac:dyDescent="0.25">
      <c r="A4007" t="s">
        <v>11440</v>
      </c>
      <c r="B4007" t="s">
        <v>11441</v>
      </c>
      <c r="C4007" t="s">
        <v>16179</v>
      </c>
      <c r="D4007" t="s">
        <v>23</v>
      </c>
      <c r="E4007">
        <v>519</v>
      </c>
      <c r="F4007" s="3">
        <v>40782</v>
      </c>
      <c r="H4007" t="s">
        <v>15523</v>
      </c>
      <c r="I4007" t="s">
        <v>16180</v>
      </c>
      <c r="K4007" t="e">
        <v>#N/A</v>
      </c>
      <c r="S4007" s="3"/>
    </row>
    <row r="4008" spans="1:19" x14ac:dyDescent="0.25">
      <c r="A4008" t="s">
        <v>11442</v>
      </c>
      <c r="B4008" t="s">
        <v>11443</v>
      </c>
      <c r="C4008" t="s">
        <v>16179</v>
      </c>
      <c r="D4008" t="s">
        <v>23</v>
      </c>
      <c r="E4008">
        <v>4935</v>
      </c>
      <c r="F4008" s="3">
        <v>41418</v>
      </c>
      <c r="H4008" t="s">
        <v>15523</v>
      </c>
      <c r="I4008" t="s">
        <v>16180</v>
      </c>
      <c r="K4008" t="e">
        <v>#N/A</v>
      </c>
      <c r="S4008" s="3"/>
    </row>
    <row r="4009" spans="1:19" x14ac:dyDescent="0.25">
      <c r="A4009" t="s">
        <v>11444</v>
      </c>
      <c r="B4009" t="s">
        <v>11445</v>
      </c>
      <c r="C4009" t="s">
        <v>16179</v>
      </c>
      <c r="D4009" t="s">
        <v>23</v>
      </c>
      <c r="E4009">
        <v>622</v>
      </c>
      <c r="F4009" s="3">
        <v>40702</v>
      </c>
      <c r="H4009" t="s">
        <v>15523</v>
      </c>
      <c r="I4009" t="s">
        <v>16180</v>
      </c>
      <c r="K4009" t="e">
        <v>#N/A</v>
      </c>
      <c r="S4009" s="3"/>
    </row>
    <row r="4010" spans="1:19" x14ac:dyDescent="0.25">
      <c r="A4010" t="s">
        <v>11446</v>
      </c>
      <c r="B4010" t="s">
        <v>11447</v>
      </c>
      <c r="C4010" t="s">
        <v>16179</v>
      </c>
      <c r="D4010" t="s">
        <v>23</v>
      </c>
      <c r="E4010">
        <v>615</v>
      </c>
      <c r="F4010" s="3">
        <v>40703</v>
      </c>
      <c r="H4010" t="s">
        <v>15523</v>
      </c>
      <c r="I4010" t="s">
        <v>16180</v>
      </c>
      <c r="K4010" t="e">
        <v>#N/A</v>
      </c>
      <c r="S4010" s="3"/>
    </row>
    <row r="4011" spans="1:19" x14ac:dyDescent="0.25">
      <c r="A4011" t="s">
        <v>11448</v>
      </c>
      <c r="B4011" t="s">
        <v>11449</v>
      </c>
      <c r="C4011" t="s">
        <v>16179</v>
      </c>
      <c r="D4011" t="s">
        <v>23</v>
      </c>
      <c r="E4011">
        <v>4363</v>
      </c>
      <c r="F4011" s="3">
        <v>41188</v>
      </c>
      <c r="H4011" t="s">
        <v>15523</v>
      </c>
      <c r="I4011" t="s">
        <v>16180</v>
      </c>
      <c r="K4011" t="e">
        <v>#N/A</v>
      </c>
      <c r="S4011" s="3"/>
    </row>
    <row r="4012" spans="1:19" x14ac:dyDescent="0.25">
      <c r="A4012" t="s">
        <v>11450</v>
      </c>
      <c r="B4012" t="s">
        <v>11451</v>
      </c>
      <c r="C4012" t="s">
        <v>16179</v>
      </c>
      <c r="D4012" t="s">
        <v>23</v>
      </c>
      <c r="E4012">
        <v>2073</v>
      </c>
      <c r="F4012" s="3">
        <v>40702</v>
      </c>
      <c r="H4012" t="s">
        <v>15523</v>
      </c>
      <c r="I4012" t="s">
        <v>16180</v>
      </c>
      <c r="K4012" t="e">
        <v>#N/A</v>
      </c>
      <c r="S4012" s="3"/>
    </row>
    <row r="4013" spans="1:19" x14ac:dyDescent="0.25">
      <c r="A4013" t="s">
        <v>11452</v>
      </c>
      <c r="B4013" t="s">
        <v>11453</v>
      </c>
      <c r="C4013" t="s">
        <v>16179</v>
      </c>
      <c r="D4013" t="s">
        <v>23</v>
      </c>
      <c r="E4013">
        <v>552</v>
      </c>
      <c r="F4013" s="3">
        <v>40702</v>
      </c>
      <c r="H4013" t="s">
        <v>15523</v>
      </c>
      <c r="I4013" t="s">
        <v>16180</v>
      </c>
      <c r="K4013" t="e">
        <v>#N/A</v>
      </c>
      <c r="S4013" s="3"/>
    </row>
    <row r="4014" spans="1:19" x14ac:dyDescent="0.25">
      <c r="A4014" t="s">
        <v>11454</v>
      </c>
      <c r="B4014" t="s">
        <v>11455</v>
      </c>
      <c r="C4014" t="s">
        <v>16179</v>
      </c>
      <c r="D4014" t="s">
        <v>23</v>
      </c>
      <c r="E4014">
        <v>553</v>
      </c>
      <c r="F4014" s="3">
        <v>40702</v>
      </c>
      <c r="H4014" t="s">
        <v>15523</v>
      </c>
      <c r="I4014" t="s">
        <v>16180</v>
      </c>
      <c r="K4014" t="e">
        <v>#N/A</v>
      </c>
      <c r="S4014" s="3"/>
    </row>
    <row r="4015" spans="1:19" x14ac:dyDescent="0.25">
      <c r="A4015" t="s">
        <v>11456</v>
      </c>
      <c r="B4015" t="s">
        <v>11457</v>
      </c>
      <c r="C4015" t="s">
        <v>16179</v>
      </c>
      <c r="D4015" t="s">
        <v>23</v>
      </c>
      <c r="E4015">
        <v>554</v>
      </c>
      <c r="F4015" s="3">
        <v>40702</v>
      </c>
      <c r="H4015" t="s">
        <v>15523</v>
      </c>
      <c r="I4015" t="s">
        <v>16180</v>
      </c>
      <c r="K4015" t="e">
        <v>#N/A</v>
      </c>
      <c r="S4015" s="3"/>
    </row>
    <row r="4016" spans="1:19" x14ac:dyDescent="0.25">
      <c r="A4016" t="s">
        <v>11458</v>
      </c>
      <c r="B4016" t="s">
        <v>11459</v>
      </c>
      <c r="C4016" t="s">
        <v>16179</v>
      </c>
      <c r="D4016" t="s">
        <v>23</v>
      </c>
      <c r="E4016">
        <v>4382</v>
      </c>
      <c r="F4016" s="3">
        <v>40702</v>
      </c>
      <c r="H4016" t="s">
        <v>15523</v>
      </c>
      <c r="I4016" t="s">
        <v>16180</v>
      </c>
      <c r="K4016" t="e">
        <v>#N/A</v>
      </c>
      <c r="S4016" s="3"/>
    </row>
    <row r="4017" spans="1:19" x14ac:dyDescent="0.25">
      <c r="A4017" t="s">
        <v>11460</v>
      </c>
      <c r="B4017" t="s">
        <v>11461</v>
      </c>
      <c r="C4017" t="s">
        <v>16179</v>
      </c>
      <c r="D4017" t="s">
        <v>23</v>
      </c>
      <c r="E4017">
        <v>1327</v>
      </c>
      <c r="F4017" s="3">
        <v>40702</v>
      </c>
      <c r="H4017" t="s">
        <v>15523</v>
      </c>
      <c r="I4017" t="s">
        <v>16180</v>
      </c>
      <c r="K4017" t="e">
        <v>#N/A</v>
      </c>
      <c r="S4017" s="3"/>
    </row>
    <row r="4018" spans="1:19" x14ac:dyDescent="0.25">
      <c r="A4018" t="s">
        <v>11462</v>
      </c>
      <c r="B4018" t="s">
        <v>11463</v>
      </c>
      <c r="C4018" t="s">
        <v>16179</v>
      </c>
      <c r="D4018" t="s">
        <v>23</v>
      </c>
      <c r="E4018">
        <v>4384</v>
      </c>
      <c r="F4018" s="3">
        <v>40702</v>
      </c>
      <c r="H4018" t="s">
        <v>15523</v>
      </c>
      <c r="I4018" t="s">
        <v>16180</v>
      </c>
      <c r="K4018" t="e">
        <v>#N/A</v>
      </c>
      <c r="S4018" s="3"/>
    </row>
    <row r="4019" spans="1:19" x14ac:dyDescent="0.25">
      <c r="A4019" t="s">
        <v>11464</v>
      </c>
      <c r="B4019" t="s">
        <v>11465</v>
      </c>
      <c r="C4019" t="s">
        <v>16179</v>
      </c>
      <c r="D4019" t="s">
        <v>23</v>
      </c>
      <c r="E4019">
        <v>555</v>
      </c>
      <c r="F4019" s="3">
        <v>40702</v>
      </c>
      <c r="H4019" t="s">
        <v>15523</v>
      </c>
      <c r="I4019" t="s">
        <v>16180</v>
      </c>
      <c r="K4019" t="e">
        <v>#N/A</v>
      </c>
      <c r="S4019" s="3"/>
    </row>
    <row r="4020" spans="1:19" x14ac:dyDescent="0.25">
      <c r="A4020" t="s">
        <v>11466</v>
      </c>
      <c r="B4020" t="s">
        <v>11467</v>
      </c>
      <c r="C4020" t="s">
        <v>16179</v>
      </c>
      <c r="D4020" t="s">
        <v>23</v>
      </c>
      <c r="E4020">
        <v>4938</v>
      </c>
      <c r="F4020" s="3">
        <v>41530</v>
      </c>
      <c r="H4020" t="s">
        <v>15523</v>
      </c>
      <c r="I4020" t="s">
        <v>16180</v>
      </c>
      <c r="K4020" t="e">
        <v>#N/A</v>
      </c>
      <c r="S4020" s="3"/>
    </row>
    <row r="4021" spans="1:19" x14ac:dyDescent="0.25">
      <c r="A4021" t="s">
        <v>11468</v>
      </c>
      <c r="B4021" t="s">
        <v>11469</v>
      </c>
      <c r="C4021" t="s">
        <v>16179</v>
      </c>
      <c r="D4021" t="s">
        <v>23</v>
      </c>
      <c r="E4021">
        <v>4417</v>
      </c>
      <c r="F4021" s="3">
        <v>43329</v>
      </c>
      <c r="H4021" t="s">
        <v>15523</v>
      </c>
      <c r="I4021" t="s">
        <v>16180</v>
      </c>
      <c r="K4021" t="e">
        <v>#N/A</v>
      </c>
      <c r="S4021" s="3"/>
    </row>
    <row r="4022" spans="1:19" x14ac:dyDescent="0.25">
      <c r="A4022" t="s">
        <v>11470</v>
      </c>
      <c r="B4022" t="s">
        <v>11471</v>
      </c>
      <c r="C4022" t="s">
        <v>16179</v>
      </c>
      <c r="D4022" t="s">
        <v>23</v>
      </c>
      <c r="E4022">
        <v>2160</v>
      </c>
      <c r="F4022" s="3">
        <v>43329</v>
      </c>
      <c r="H4022" t="s">
        <v>15523</v>
      </c>
      <c r="I4022" t="s">
        <v>16180</v>
      </c>
      <c r="K4022" t="e">
        <v>#N/A</v>
      </c>
      <c r="S4022" s="3"/>
    </row>
    <row r="4023" spans="1:19" x14ac:dyDescent="0.25">
      <c r="A4023" t="s">
        <v>11472</v>
      </c>
      <c r="B4023" t="s">
        <v>11473</v>
      </c>
      <c r="C4023" t="s">
        <v>16179</v>
      </c>
      <c r="D4023" t="s">
        <v>666</v>
      </c>
      <c r="E4023">
        <v>5728</v>
      </c>
      <c r="F4023" s="3">
        <v>42707</v>
      </c>
      <c r="H4023" t="s">
        <v>15523</v>
      </c>
      <c r="I4023" t="s">
        <v>16180</v>
      </c>
      <c r="K4023" t="e">
        <v>#N/A</v>
      </c>
      <c r="S4023" s="3"/>
    </row>
    <row r="4024" spans="1:19" x14ac:dyDescent="0.25">
      <c r="A4024" t="s">
        <v>11474</v>
      </c>
      <c r="B4024" t="s">
        <v>11475</v>
      </c>
      <c r="C4024" t="s">
        <v>16179</v>
      </c>
      <c r="D4024" t="s">
        <v>23</v>
      </c>
      <c r="E4024">
        <v>4416</v>
      </c>
      <c r="F4024" s="3">
        <v>40702</v>
      </c>
      <c r="H4024" t="s">
        <v>15523</v>
      </c>
      <c r="I4024" t="s">
        <v>16180</v>
      </c>
      <c r="K4024" t="e">
        <v>#N/A</v>
      </c>
      <c r="S4024" s="3"/>
    </row>
    <row r="4025" spans="1:19" x14ac:dyDescent="0.25">
      <c r="A4025" t="s">
        <v>11476</v>
      </c>
      <c r="B4025" t="s">
        <v>11477</v>
      </c>
      <c r="C4025" t="s">
        <v>16179</v>
      </c>
      <c r="D4025" t="s">
        <v>23</v>
      </c>
      <c r="E4025">
        <v>5541</v>
      </c>
      <c r="F4025" s="3">
        <v>42378</v>
      </c>
      <c r="H4025" t="s">
        <v>15523</v>
      </c>
      <c r="I4025" t="s">
        <v>16180</v>
      </c>
      <c r="K4025" t="e">
        <v>#N/A</v>
      </c>
      <c r="S4025" s="3"/>
    </row>
    <row r="4026" spans="1:19" x14ac:dyDescent="0.25">
      <c r="A4026" t="s">
        <v>11478</v>
      </c>
      <c r="B4026" t="s">
        <v>11479</v>
      </c>
      <c r="C4026" t="s">
        <v>16179</v>
      </c>
      <c r="D4026" t="s">
        <v>23</v>
      </c>
      <c r="E4026">
        <v>681</v>
      </c>
      <c r="F4026" s="3">
        <v>40782</v>
      </c>
      <c r="H4026" t="s">
        <v>15523</v>
      </c>
      <c r="I4026" t="s">
        <v>16180</v>
      </c>
      <c r="K4026" t="e">
        <v>#N/A</v>
      </c>
      <c r="S4026" s="3"/>
    </row>
    <row r="4027" spans="1:19" x14ac:dyDescent="0.25">
      <c r="A4027" t="s">
        <v>11480</v>
      </c>
      <c r="B4027" t="s">
        <v>11481</v>
      </c>
      <c r="C4027" t="s">
        <v>16179</v>
      </c>
      <c r="D4027" t="s">
        <v>23</v>
      </c>
      <c r="E4027">
        <v>5316</v>
      </c>
      <c r="F4027" s="3">
        <v>42185</v>
      </c>
      <c r="H4027" t="s">
        <v>15523</v>
      </c>
      <c r="I4027" t="s">
        <v>16180</v>
      </c>
      <c r="K4027" t="e">
        <v>#N/A</v>
      </c>
      <c r="S4027" s="3"/>
    </row>
    <row r="4028" spans="1:19" x14ac:dyDescent="0.25">
      <c r="A4028" t="s">
        <v>11482</v>
      </c>
      <c r="B4028" t="s">
        <v>11483</v>
      </c>
      <c r="C4028" t="s">
        <v>16179</v>
      </c>
      <c r="D4028" t="s">
        <v>23</v>
      </c>
      <c r="E4028">
        <v>5318</v>
      </c>
      <c r="F4028" s="3">
        <v>42185</v>
      </c>
      <c r="H4028" t="s">
        <v>15523</v>
      </c>
      <c r="I4028" t="s">
        <v>16180</v>
      </c>
      <c r="K4028" t="e">
        <v>#N/A</v>
      </c>
      <c r="S4028" s="3"/>
    </row>
    <row r="4029" spans="1:19" x14ac:dyDescent="0.25">
      <c r="A4029" t="s">
        <v>11484</v>
      </c>
      <c r="B4029" t="s">
        <v>11485</v>
      </c>
      <c r="C4029" t="s">
        <v>16179</v>
      </c>
      <c r="D4029" t="s">
        <v>666</v>
      </c>
      <c r="E4029">
        <v>6046</v>
      </c>
      <c r="F4029" s="3">
        <v>43742</v>
      </c>
      <c r="H4029" t="s">
        <v>15523</v>
      </c>
      <c r="I4029" t="s">
        <v>16180</v>
      </c>
      <c r="K4029" t="e">
        <v>#N/A</v>
      </c>
      <c r="S4029" s="3"/>
    </row>
    <row r="4030" spans="1:19" x14ac:dyDescent="0.25">
      <c r="A4030" t="s">
        <v>11486</v>
      </c>
      <c r="B4030" t="s">
        <v>11487</v>
      </c>
      <c r="C4030" t="s">
        <v>16179</v>
      </c>
      <c r="D4030" t="s">
        <v>23</v>
      </c>
      <c r="E4030">
        <v>4455</v>
      </c>
      <c r="F4030" s="3">
        <v>40702</v>
      </c>
      <c r="H4030" t="s">
        <v>15523</v>
      </c>
      <c r="I4030" t="s">
        <v>16180</v>
      </c>
      <c r="K4030" t="e">
        <v>#N/A</v>
      </c>
      <c r="S4030" s="3"/>
    </row>
    <row r="4031" spans="1:19" x14ac:dyDescent="0.25">
      <c r="A4031" t="s">
        <v>11488</v>
      </c>
      <c r="B4031" t="s">
        <v>11489</v>
      </c>
      <c r="C4031" t="s">
        <v>16179</v>
      </c>
      <c r="D4031" t="s">
        <v>23</v>
      </c>
      <c r="E4031">
        <v>1295</v>
      </c>
      <c r="F4031" s="3">
        <v>40702</v>
      </c>
      <c r="H4031" t="s">
        <v>15523</v>
      </c>
      <c r="I4031" t="s">
        <v>16180</v>
      </c>
      <c r="K4031" t="e">
        <v>#N/A</v>
      </c>
      <c r="S4031" s="3"/>
    </row>
    <row r="4032" spans="1:19" x14ac:dyDescent="0.25">
      <c r="A4032" t="s">
        <v>11490</v>
      </c>
      <c r="B4032" t="s">
        <v>11491</v>
      </c>
      <c r="C4032" t="s">
        <v>16179</v>
      </c>
      <c r="D4032" t="s">
        <v>23</v>
      </c>
      <c r="E4032">
        <v>708</v>
      </c>
      <c r="F4032" s="3">
        <v>40702</v>
      </c>
      <c r="H4032" t="s">
        <v>15523</v>
      </c>
      <c r="I4032" t="s">
        <v>16180</v>
      </c>
      <c r="K4032" t="e">
        <v>#N/A</v>
      </c>
      <c r="S4032" s="3"/>
    </row>
    <row r="4033" spans="1:19" x14ac:dyDescent="0.25">
      <c r="A4033" t="s">
        <v>11492</v>
      </c>
      <c r="B4033" t="s">
        <v>11493</v>
      </c>
      <c r="C4033" t="s">
        <v>16179</v>
      </c>
      <c r="D4033" t="s">
        <v>23</v>
      </c>
      <c r="E4033">
        <v>5308</v>
      </c>
      <c r="F4033" s="3">
        <v>42164</v>
      </c>
      <c r="H4033" t="s">
        <v>15523</v>
      </c>
      <c r="I4033" t="s">
        <v>16180</v>
      </c>
      <c r="K4033" t="e">
        <v>#N/A</v>
      </c>
      <c r="S4033" s="3"/>
    </row>
    <row r="4034" spans="1:19" x14ac:dyDescent="0.25">
      <c r="A4034" t="s">
        <v>11494</v>
      </c>
      <c r="B4034" t="s">
        <v>11495</v>
      </c>
      <c r="C4034" t="s">
        <v>16179</v>
      </c>
      <c r="D4034" t="s">
        <v>23</v>
      </c>
      <c r="E4034">
        <v>4471</v>
      </c>
      <c r="F4034" s="3">
        <v>43798</v>
      </c>
      <c r="H4034" t="s">
        <v>15523</v>
      </c>
      <c r="I4034" t="s">
        <v>16180</v>
      </c>
      <c r="K4034" t="e">
        <v>#N/A</v>
      </c>
      <c r="S4034" s="3"/>
    </row>
    <row r="4035" spans="1:19" x14ac:dyDescent="0.25">
      <c r="A4035" t="s">
        <v>11496</v>
      </c>
      <c r="B4035" t="s">
        <v>11497</v>
      </c>
      <c r="C4035" t="s">
        <v>16179</v>
      </c>
      <c r="D4035" t="s">
        <v>666</v>
      </c>
      <c r="E4035">
        <v>5727</v>
      </c>
      <c r="F4035" s="3">
        <v>42707</v>
      </c>
      <c r="H4035" t="s">
        <v>15523</v>
      </c>
      <c r="I4035" t="s">
        <v>16180</v>
      </c>
      <c r="K4035" t="e">
        <v>#N/A</v>
      </c>
      <c r="S4035" s="3"/>
    </row>
    <row r="4036" spans="1:19" x14ac:dyDescent="0.25">
      <c r="A4036" t="s">
        <v>11498</v>
      </c>
      <c r="B4036" t="s">
        <v>11499</v>
      </c>
      <c r="C4036" t="s">
        <v>16179</v>
      </c>
      <c r="D4036" t="s">
        <v>23</v>
      </c>
      <c r="E4036">
        <v>767</v>
      </c>
      <c r="F4036" s="3">
        <v>40702</v>
      </c>
      <c r="H4036" t="s">
        <v>15523</v>
      </c>
      <c r="I4036" t="s">
        <v>16180</v>
      </c>
      <c r="K4036" t="e">
        <v>#N/A</v>
      </c>
      <c r="S4036" s="3"/>
    </row>
    <row r="4037" spans="1:19" x14ac:dyDescent="0.25">
      <c r="A4037" t="s">
        <v>11500</v>
      </c>
      <c r="B4037" t="s">
        <v>11501</v>
      </c>
      <c r="C4037" t="s">
        <v>16179</v>
      </c>
      <c r="D4037" t="s">
        <v>23</v>
      </c>
      <c r="E4037">
        <v>753</v>
      </c>
      <c r="F4037" s="3">
        <v>40702</v>
      </c>
      <c r="H4037" t="s">
        <v>15523</v>
      </c>
      <c r="I4037" t="s">
        <v>16180</v>
      </c>
      <c r="K4037" t="e">
        <v>#N/A</v>
      </c>
      <c r="S4037" s="3"/>
    </row>
    <row r="4038" spans="1:19" x14ac:dyDescent="0.25">
      <c r="A4038" t="s">
        <v>11502</v>
      </c>
      <c r="B4038" t="s">
        <v>11503</v>
      </c>
      <c r="C4038" t="s">
        <v>16179</v>
      </c>
      <c r="D4038" t="s">
        <v>23</v>
      </c>
      <c r="E4038">
        <v>4481</v>
      </c>
      <c r="F4038" s="3">
        <v>40702</v>
      </c>
      <c r="H4038" t="s">
        <v>15523</v>
      </c>
      <c r="I4038" t="s">
        <v>16180</v>
      </c>
      <c r="K4038" t="e">
        <v>#N/A</v>
      </c>
      <c r="S4038" s="3"/>
    </row>
    <row r="4039" spans="1:19" x14ac:dyDescent="0.25">
      <c r="A4039" t="s">
        <v>11504</v>
      </c>
      <c r="B4039" t="s">
        <v>11505</v>
      </c>
      <c r="C4039" t="s">
        <v>16179</v>
      </c>
      <c r="D4039" t="s">
        <v>23</v>
      </c>
      <c r="E4039">
        <v>470</v>
      </c>
      <c r="F4039" s="3">
        <v>40781</v>
      </c>
      <c r="H4039" t="s">
        <v>15523</v>
      </c>
      <c r="I4039" t="s">
        <v>16180</v>
      </c>
      <c r="K4039" t="e">
        <v>#N/A</v>
      </c>
      <c r="S4039" s="3"/>
    </row>
    <row r="4040" spans="1:19" x14ac:dyDescent="0.25">
      <c r="A4040" t="s">
        <v>11506</v>
      </c>
      <c r="B4040" t="s">
        <v>11507</v>
      </c>
      <c r="C4040" t="s">
        <v>11508</v>
      </c>
      <c r="D4040" t="s">
        <v>23</v>
      </c>
      <c r="E4040">
        <v>5725</v>
      </c>
      <c r="F4040" s="3">
        <v>43483</v>
      </c>
      <c r="H4040" t="s">
        <v>15523</v>
      </c>
      <c r="I4040" t="s">
        <v>18577</v>
      </c>
      <c r="K4040" t="e">
        <v>#N/A</v>
      </c>
      <c r="S4040" s="3"/>
    </row>
    <row r="4041" spans="1:19" x14ac:dyDescent="0.25">
      <c r="A4041" t="s">
        <v>11509</v>
      </c>
      <c r="B4041" t="s">
        <v>11510</v>
      </c>
      <c r="C4041" t="s">
        <v>16179</v>
      </c>
      <c r="D4041" t="s">
        <v>23</v>
      </c>
      <c r="E4041">
        <v>4487</v>
      </c>
      <c r="F4041" s="3">
        <v>40702</v>
      </c>
      <c r="H4041" t="s">
        <v>15523</v>
      </c>
      <c r="I4041" t="s">
        <v>16180</v>
      </c>
      <c r="K4041" t="e">
        <v>#N/A</v>
      </c>
      <c r="S4041" s="3"/>
    </row>
    <row r="4042" spans="1:19" x14ac:dyDescent="0.25">
      <c r="A4042" t="s">
        <v>11511</v>
      </c>
      <c r="B4042" t="s">
        <v>11512</v>
      </c>
      <c r="C4042" t="s">
        <v>16179</v>
      </c>
      <c r="D4042" t="s">
        <v>23</v>
      </c>
      <c r="E4042">
        <v>4489</v>
      </c>
      <c r="F4042" s="3">
        <v>40782</v>
      </c>
      <c r="H4042" t="s">
        <v>15523</v>
      </c>
      <c r="I4042" t="s">
        <v>16180</v>
      </c>
      <c r="K4042" t="e">
        <v>#N/A</v>
      </c>
      <c r="S4042" s="3"/>
    </row>
    <row r="4043" spans="1:19" x14ac:dyDescent="0.25">
      <c r="A4043" t="s">
        <v>11513</v>
      </c>
      <c r="B4043" t="s">
        <v>11514</v>
      </c>
      <c r="C4043" t="s">
        <v>16179</v>
      </c>
      <c r="D4043" t="s">
        <v>23</v>
      </c>
      <c r="E4043">
        <v>4490</v>
      </c>
      <c r="F4043" s="3">
        <v>40782</v>
      </c>
      <c r="H4043" t="s">
        <v>15523</v>
      </c>
      <c r="I4043" t="s">
        <v>16180</v>
      </c>
      <c r="K4043" t="e">
        <v>#N/A</v>
      </c>
      <c r="S4043" s="3"/>
    </row>
    <row r="4044" spans="1:19" x14ac:dyDescent="0.25">
      <c r="A4044" t="s">
        <v>11515</v>
      </c>
      <c r="B4044" t="s">
        <v>11516</v>
      </c>
      <c r="C4044" t="s">
        <v>11517</v>
      </c>
      <c r="D4044" t="s">
        <v>23</v>
      </c>
      <c r="E4044">
        <v>4651</v>
      </c>
      <c r="F4044" s="3">
        <v>40783</v>
      </c>
      <c r="H4044" t="s">
        <v>15523</v>
      </c>
      <c r="I4044" t="s">
        <v>18578</v>
      </c>
      <c r="K4044" t="e">
        <v>#N/A</v>
      </c>
      <c r="S4044" s="3"/>
    </row>
    <row r="4045" spans="1:19" x14ac:dyDescent="0.25">
      <c r="A4045" t="s">
        <v>11518</v>
      </c>
      <c r="B4045" t="s">
        <v>11519</v>
      </c>
      <c r="C4045" t="s">
        <v>16179</v>
      </c>
      <c r="D4045" t="s">
        <v>23</v>
      </c>
      <c r="E4045">
        <v>2009</v>
      </c>
      <c r="F4045" s="3">
        <v>40702</v>
      </c>
      <c r="H4045" t="s">
        <v>15523</v>
      </c>
      <c r="I4045" t="s">
        <v>16180</v>
      </c>
      <c r="K4045" t="e">
        <v>#N/A</v>
      </c>
      <c r="S4045" s="3"/>
    </row>
    <row r="4046" spans="1:19" x14ac:dyDescent="0.25">
      <c r="A4046" t="s">
        <v>11520</v>
      </c>
      <c r="B4046" t="s">
        <v>11521</v>
      </c>
      <c r="C4046" t="s">
        <v>16179</v>
      </c>
      <c r="D4046" t="s">
        <v>23</v>
      </c>
      <c r="E4046">
        <v>849</v>
      </c>
      <c r="F4046" s="3">
        <v>40702</v>
      </c>
      <c r="H4046" t="s">
        <v>15523</v>
      </c>
      <c r="I4046" t="s">
        <v>16180</v>
      </c>
      <c r="K4046" t="e">
        <v>#N/A</v>
      </c>
      <c r="S4046" s="3"/>
    </row>
    <row r="4047" spans="1:19" x14ac:dyDescent="0.25">
      <c r="A4047" t="s">
        <v>11522</v>
      </c>
      <c r="B4047" t="s">
        <v>11523</v>
      </c>
      <c r="C4047" t="s">
        <v>16179</v>
      </c>
      <c r="D4047" t="s">
        <v>23</v>
      </c>
      <c r="E4047">
        <v>848</v>
      </c>
      <c r="F4047" s="3">
        <v>40702</v>
      </c>
      <c r="H4047" t="s">
        <v>15523</v>
      </c>
      <c r="I4047" t="s">
        <v>16180</v>
      </c>
      <c r="K4047" t="e">
        <v>#N/A</v>
      </c>
      <c r="S4047" s="3"/>
    </row>
    <row r="4048" spans="1:19" x14ac:dyDescent="0.25">
      <c r="A4048" t="s">
        <v>11524</v>
      </c>
      <c r="B4048" t="s">
        <v>11525</v>
      </c>
      <c r="C4048" t="s">
        <v>16179</v>
      </c>
      <c r="D4048" t="s">
        <v>23</v>
      </c>
      <c r="E4048">
        <v>4493</v>
      </c>
      <c r="F4048" s="3">
        <v>40702</v>
      </c>
      <c r="H4048" t="s">
        <v>15523</v>
      </c>
      <c r="I4048" t="s">
        <v>16180</v>
      </c>
      <c r="K4048" t="e">
        <v>#N/A</v>
      </c>
      <c r="S4048" s="3"/>
    </row>
    <row r="4049" spans="1:19" x14ac:dyDescent="0.25">
      <c r="A4049" t="s">
        <v>11526</v>
      </c>
      <c r="B4049" t="s">
        <v>11527</v>
      </c>
      <c r="C4049" t="s">
        <v>16179</v>
      </c>
      <c r="D4049" t="s">
        <v>23</v>
      </c>
      <c r="E4049">
        <v>854</v>
      </c>
      <c r="F4049" s="3">
        <v>40782</v>
      </c>
      <c r="H4049" t="s">
        <v>15523</v>
      </c>
      <c r="I4049" t="s">
        <v>16180</v>
      </c>
      <c r="K4049" t="e">
        <v>#N/A</v>
      </c>
      <c r="S4049" s="3"/>
    </row>
    <row r="4050" spans="1:19" x14ac:dyDescent="0.25">
      <c r="A4050" t="s">
        <v>11528</v>
      </c>
      <c r="B4050" t="s">
        <v>11529</v>
      </c>
      <c r="C4050" t="s">
        <v>16179</v>
      </c>
      <c r="D4050" t="s">
        <v>23</v>
      </c>
      <c r="E4050">
        <v>857</v>
      </c>
      <c r="F4050" s="3">
        <v>40702</v>
      </c>
      <c r="H4050" t="s">
        <v>15523</v>
      </c>
      <c r="I4050" t="s">
        <v>16180</v>
      </c>
      <c r="K4050" t="e">
        <v>#N/A</v>
      </c>
      <c r="S4050" s="3"/>
    </row>
    <row r="4051" spans="1:19" x14ac:dyDescent="0.25">
      <c r="A4051" t="s">
        <v>11530</v>
      </c>
      <c r="B4051" t="s">
        <v>11531</v>
      </c>
      <c r="C4051" t="s">
        <v>16179</v>
      </c>
      <c r="D4051" t="s">
        <v>23</v>
      </c>
      <c r="E4051">
        <v>864</v>
      </c>
      <c r="F4051" s="3">
        <v>40702</v>
      </c>
      <c r="H4051" t="s">
        <v>15523</v>
      </c>
      <c r="I4051" t="s">
        <v>16180</v>
      </c>
      <c r="K4051" t="e">
        <v>#N/A</v>
      </c>
      <c r="S4051" s="3"/>
    </row>
    <row r="4052" spans="1:19" x14ac:dyDescent="0.25">
      <c r="A4052" t="s">
        <v>11532</v>
      </c>
      <c r="B4052" t="s">
        <v>11533</v>
      </c>
      <c r="C4052" t="s">
        <v>16179</v>
      </c>
      <c r="D4052" t="s">
        <v>23</v>
      </c>
      <c r="E4052">
        <v>401</v>
      </c>
      <c r="F4052" s="3">
        <v>40702</v>
      </c>
      <c r="H4052" t="s">
        <v>15523</v>
      </c>
      <c r="I4052" t="s">
        <v>16180</v>
      </c>
      <c r="K4052" t="e">
        <v>#N/A</v>
      </c>
      <c r="S4052" s="3"/>
    </row>
    <row r="4053" spans="1:19" x14ac:dyDescent="0.25">
      <c r="A4053" t="s">
        <v>11534</v>
      </c>
      <c r="B4053" t="s">
        <v>11535</v>
      </c>
      <c r="C4053" t="s">
        <v>16179</v>
      </c>
      <c r="D4053" t="s">
        <v>23</v>
      </c>
      <c r="E4053">
        <v>4562</v>
      </c>
      <c r="F4053" s="3">
        <v>40702</v>
      </c>
      <c r="H4053" t="s">
        <v>15523</v>
      </c>
      <c r="I4053" t="s">
        <v>16180</v>
      </c>
      <c r="K4053" t="e">
        <v>#N/A</v>
      </c>
      <c r="S4053" s="3"/>
    </row>
    <row r="4054" spans="1:19" x14ac:dyDescent="0.25">
      <c r="A4054" t="s">
        <v>11536</v>
      </c>
      <c r="B4054" t="s">
        <v>11537</v>
      </c>
      <c r="C4054" t="s">
        <v>16179</v>
      </c>
      <c r="D4054" t="s">
        <v>23</v>
      </c>
      <c r="E4054">
        <v>2561</v>
      </c>
      <c r="F4054" s="3">
        <v>40782</v>
      </c>
      <c r="H4054" t="s">
        <v>15523</v>
      </c>
      <c r="I4054" t="s">
        <v>16180</v>
      </c>
      <c r="K4054" t="e">
        <v>#N/A</v>
      </c>
      <c r="S4054" s="3"/>
    </row>
    <row r="4055" spans="1:19" x14ac:dyDescent="0.25">
      <c r="A4055" t="s">
        <v>11538</v>
      </c>
      <c r="B4055" t="s">
        <v>11539</v>
      </c>
      <c r="C4055" t="s">
        <v>16179</v>
      </c>
      <c r="D4055" t="s">
        <v>23</v>
      </c>
      <c r="E4055">
        <v>1248</v>
      </c>
      <c r="F4055" s="3">
        <v>40782</v>
      </c>
      <c r="H4055" t="s">
        <v>15523</v>
      </c>
      <c r="I4055" t="s">
        <v>16180</v>
      </c>
      <c r="K4055" t="e">
        <v>#N/A</v>
      </c>
      <c r="S4055" s="3"/>
    </row>
    <row r="4056" spans="1:19" x14ac:dyDescent="0.25">
      <c r="A4056" t="s">
        <v>11540</v>
      </c>
      <c r="B4056" t="s">
        <v>11541</v>
      </c>
      <c r="C4056" t="s">
        <v>16179</v>
      </c>
      <c r="D4056" t="s">
        <v>23</v>
      </c>
      <c r="E4056">
        <v>4561</v>
      </c>
      <c r="F4056" s="3">
        <v>40782</v>
      </c>
      <c r="H4056" t="s">
        <v>15523</v>
      </c>
      <c r="I4056" t="s">
        <v>16180</v>
      </c>
      <c r="K4056" t="e">
        <v>#N/A</v>
      </c>
      <c r="S4056" s="3"/>
    </row>
    <row r="4057" spans="1:19" x14ac:dyDescent="0.25">
      <c r="A4057" t="s">
        <v>11542</v>
      </c>
      <c r="B4057" t="s">
        <v>11543</v>
      </c>
      <c r="C4057" t="s">
        <v>16179</v>
      </c>
      <c r="D4057" t="s">
        <v>23</v>
      </c>
      <c r="E4057">
        <v>4563</v>
      </c>
      <c r="F4057" s="3">
        <v>40702</v>
      </c>
      <c r="H4057" t="s">
        <v>15523</v>
      </c>
      <c r="I4057" t="s">
        <v>16180</v>
      </c>
      <c r="K4057" t="e">
        <v>#N/A</v>
      </c>
      <c r="S4057" s="3"/>
    </row>
    <row r="4058" spans="1:19" x14ac:dyDescent="0.25">
      <c r="A4058" t="s">
        <v>11544</v>
      </c>
      <c r="B4058" t="s">
        <v>11545</v>
      </c>
      <c r="C4058" t="s">
        <v>16179</v>
      </c>
      <c r="D4058" t="s">
        <v>23</v>
      </c>
      <c r="E4058">
        <v>5055</v>
      </c>
      <c r="F4058" s="3">
        <v>41660</v>
      </c>
      <c r="H4058" t="s">
        <v>15523</v>
      </c>
      <c r="I4058" t="s">
        <v>16180</v>
      </c>
      <c r="K4058" t="e">
        <v>#N/A</v>
      </c>
      <c r="S4058" s="3"/>
    </row>
    <row r="4059" spans="1:19" x14ac:dyDescent="0.25">
      <c r="A4059" t="s">
        <v>11546</v>
      </c>
      <c r="B4059" t="s">
        <v>11547</v>
      </c>
      <c r="C4059" t="s">
        <v>16179</v>
      </c>
      <c r="D4059" t="s">
        <v>23</v>
      </c>
      <c r="E4059">
        <v>2005</v>
      </c>
      <c r="F4059" s="3">
        <v>43497</v>
      </c>
      <c r="H4059" t="s">
        <v>15523</v>
      </c>
      <c r="I4059" t="s">
        <v>16180</v>
      </c>
      <c r="K4059" t="e">
        <v>#N/A</v>
      </c>
      <c r="S4059" s="3"/>
    </row>
    <row r="4060" spans="1:19" x14ac:dyDescent="0.25">
      <c r="A4060" t="s">
        <v>11548</v>
      </c>
      <c r="B4060" t="s">
        <v>11549</v>
      </c>
      <c r="C4060" t="s">
        <v>16179</v>
      </c>
      <c r="D4060" t="s">
        <v>23</v>
      </c>
      <c r="E4060">
        <v>5127</v>
      </c>
      <c r="F4060" s="3">
        <v>41781</v>
      </c>
      <c r="H4060" t="s">
        <v>15523</v>
      </c>
      <c r="I4060" t="s">
        <v>16180</v>
      </c>
      <c r="K4060" t="e">
        <v>#N/A</v>
      </c>
      <c r="S4060" s="3"/>
    </row>
    <row r="4061" spans="1:19" x14ac:dyDescent="0.25">
      <c r="A4061" t="s">
        <v>11550</v>
      </c>
      <c r="B4061" t="s">
        <v>11551</v>
      </c>
      <c r="C4061" t="s">
        <v>16179</v>
      </c>
      <c r="D4061" t="s">
        <v>23</v>
      </c>
      <c r="E4061">
        <v>4571</v>
      </c>
      <c r="F4061" s="3">
        <v>40702</v>
      </c>
      <c r="H4061" t="s">
        <v>15523</v>
      </c>
      <c r="I4061" t="s">
        <v>16180</v>
      </c>
      <c r="K4061" t="e">
        <v>#N/A</v>
      </c>
      <c r="S4061" s="3"/>
    </row>
    <row r="4062" spans="1:19" x14ac:dyDescent="0.25">
      <c r="A4062" t="s">
        <v>11552</v>
      </c>
      <c r="B4062" t="s">
        <v>11553</v>
      </c>
      <c r="C4062" t="s">
        <v>16179</v>
      </c>
      <c r="D4062" t="s">
        <v>23</v>
      </c>
      <c r="E4062">
        <v>1271</v>
      </c>
      <c r="F4062" s="3">
        <v>40702</v>
      </c>
      <c r="H4062" t="s">
        <v>15523</v>
      </c>
      <c r="I4062" t="s">
        <v>16180</v>
      </c>
      <c r="K4062" t="e">
        <v>#N/A</v>
      </c>
      <c r="S4062" s="3"/>
    </row>
    <row r="4063" spans="1:19" x14ac:dyDescent="0.25">
      <c r="A4063" t="s">
        <v>11554</v>
      </c>
      <c r="B4063" t="s">
        <v>11555</v>
      </c>
      <c r="C4063" t="s">
        <v>16179</v>
      </c>
      <c r="D4063" t="s">
        <v>23</v>
      </c>
      <c r="E4063">
        <v>2718</v>
      </c>
      <c r="F4063" s="3">
        <v>43329</v>
      </c>
      <c r="H4063" t="s">
        <v>15523</v>
      </c>
      <c r="I4063" t="s">
        <v>16180</v>
      </c>
      <c r="K4063" t="e">
        <v>#N/A</v>
      </c>
      <c r="S4063" s="3"/>
    </row>
    <row r="4064" spans="1:19" x14ac:dyDescent="0.25">
      <c r="A4064" t="s">
        <v>11556</v>
      </c>
      <c r="B4064" t="s">
        <v>11557</v>
      </c>
      <c r="C4064" t="s">
        <v>16179</v>
      </c>
      <c r="D4064" t="s">
        <v>23</v>
      </c>
      <c r="E4064">
        <v>2717</v>
      </c>
      <c r="F4064" s="3">
        <v>43329</v>
      </c>
      <c r="H4064" t="s">
        <v>15523</v>
      </c>
      <c r="I4064" t="s">
        <v>16180</v>
      </c>
      <c r="K4064" t="e">
        <v>#N/A</v>
      </c>
      <c r="S4064" s="3"/>
    </row>
    <row r="4065" spans="1:19" x14ac:dyDescent="0.25">
      <c r="A4065" t="s">
        <v>11558</v>
      </c>
      <c r="B4065" t="s">
        <v>11559</v>
      </c>
      <c r="C4065" t="s">
        <v>16179</v>
      </c>
      <c r="D4065" t="s">
        <v>23</v>
      </c>
      <c r="E4065">
        <v>2244</v>
      </c>
      <c r="F4065" s="3">
        <v>40722</v>
      </c>
      <c r="H4065" t="s">
        <v>15523</v>
      </c>
      <c r="I4065" t="s">
        <v>16180</v>
      </c>
      <c r="K4065" t="e">
        <v>#N/A</v>
      </c>
      <c r="S4065" s="3"/>
    </row>
    <row r="4066" spans="1:19" x14ac:dyDescent="0.25">
      <c r="A4066" t="s">
        <v>11560</v>
      </c>
      <c r="B4066" t="s">
        <v>11561</v>
      </c>
      <c r="C4066" t="s">
        <v>16179</v>
      </c>
      <c r="D4066" t="s">
        <v>23</v>
      </c>
      <c r="E4066">
        <v>1352</v>
      </c>
      <c r="F4066" s="3">
        <v>43725</v>
      </c>
      <c r="H4066" t="s">
        <v>15523</v>
      </c>
      <c r="I4066" t="s">
        <v>16180</v>
      </c>
      <c r="K4066" t="e">
        <v>#N/A</v>
      </c>
      <c r="S4066" s="3"/>
    </row>
    <row r="4067" spans="1:19" x14ac:dyDescent="0.25">
      <c r="A4067" t="s">
        <v>11562</v>
      </c>
      <c r="B4067" t="s">
        <v>11563</v>
      </c>
      <c r="C4067" t="s">
        <v>16179</v>
      </c>
      <c r="D4067" t="s">
        <v>23</v>
      </c>
      <c r="E4067">
        <v>1353</v>
      </c>
      <c r="F4067" s="3">
        <v>43725</v>
      </c>
      <c r="H4067" t="s">
        <v>15523</v>
      </c>
      <c r="I4067" t="s">
        <v>16180</v>
      </c>
      <c r="K4067" t="e">
        <v>#N/A</v>
      </c>
      <c r="S4067" s="3"/>
    </row>
    <row r="4068" spans="1:19" x14ac:dyDescent="0.25">
      <c r="A4068" t="s">
        <v>11564</v>
      </c>
      <c r="B4068" t="s">
        <v>11565</v>
      </c>
      <c r="C4068" t="s">
        <v>16179</v>
      </c>
      <c r="D4068" t="s">
        <v>23</v>
      </c>
      <c r="E4068">
        <v>5814</v>
      </c>
      <c r="F4068" s="3">
        <v>43725</v>
      </c>
      <c r="H4068" t="s">
        <v>15523</v>
      </c>
      <c r="I4068" t="s">
        <v>16180</v>
      </c>
      <c r="K4068" t="e">
        <v>#N/A</v>
      </c>
      <c r="S4068" s="3"/>
    </row>
    <row r="4069" spans="1:19" x14ac:dyDescent="0.25">
      <c r="A4069" t="s">
        <v>11566</v>
      </c>
      <c r="B4069" t="s">
        <v>11567</v>
      </c>
      <c r="C4069" t="s">
        <v>16179</v>
      </c>
      <c r="D4069" t="s">
        <v>23</v>
      </c>
      <c r="E4069">
        <v>1354</v>
      </c>
      <c r="F4069" s="3">
        <v>43725</v>
      </c>
      <c r="H4069" t="s">
        <v>15523</v>
      </c>
      <c r="I4069" t="s">
        <v>16180</v>
      </c>
      <c r="K4069" t="e">
        <v>#N/A</v>
      </c>
      <c r="S4069" s="3"/>
    </row>
    <row r="4070" spans="1:19" x14ac:dyDescent="0.25">
      <c r="A4070" t="s">
        <v>11568</v>
      </c>
      <c r="B4070" t="s">
        <v>11569</v>
      </c>
      <c r="C4070" t="s">
        <v>16179</v>
      </c>
      <c r="D4070" t="s">
        <v>23</v>
      </c>
      <c r="E4070">
        <v>1716</v>
      </c>
      <c r="F4070" s="3">
        <v>43725</v>
      </c>
      <c r="H4070" t="s">
        <v>15523</v>
      </c>
      <c r="I4070" t="s">
        <v>16180</v>
      </c>
      <c r="K4070" t="e">
        <v>#N/A</v>
      </c>
      <c r="S4070" s="3"/>
    </row>
    <row r="4071" spans="1:19" x14ac:dyDescent="0.25">
      <c r="A4071" t="s">
        <v>11570</v>
      </c>
      <c r="B4071" t="s">
        <v>11571</v>
      </c>
      <c r="C4071" t="s">
        <v>16179</v>
      </c>
      <c r="D4071" t="s">
        <v>23</v>
      </c>
      <c r="E4071">
        <v>4584</v>
      </c>
      <c r="F4071" s="3">
        <v>43725</v>
      </c>
      <c r="H4071" t="s">
        <v>15523</v>
      </c>
      <c r="I4071" t="s">
        <v>16180</v>
      </c>
      <c r="K4071" t="e">
        <v>#N/A</v>
      </c>
      <c r="S4071" s="3"/>
    </row>
    <row r="4072" spans="1:19" x14ac:dyDescent="0.25">
      <c r="A4072" t="s">
        <v>11572</v>
      </c>
      <c r="B4072" t="s">
        <v>11573</v>
      </c>
      <c r="C4072" t="s">
        <v>16179</v>
      </c>
      <c r="D4072" t="s">
        <v>23</v>
      </c>
      <c r="E4072">
        <v>5068</v>
      </c>
      <c r="F4072" s="3">
        <v>43725</v>
      </c>
      <c r="H4072" t="s">
        <v>15523</v>
      </c>
      <c r="I4072" t="s">
        <v>16180</v>
      </c>
      <c r="K4072" t="e">
        <v>#N/A</v>
      </c>
      <c r="S4072" s="3"/>
    </row>
    <row r="4073" spans="1:19" x14ac:dyDescent="0.25">
      <c r="A4073" t="s">
        <v>11574</v>
      </c>
      <c r="B4073" t="s">
        <v>11575</v>
      </c>
      <c r="C4073" t="s">
        <v>16179</v>
      </c>
      <c r="D4073" t="s">
        <v>23</v>
      </c>
      <c r="E4073">
        <v>4585</v>
      </c>
      <c r="F4073" s="3">
        <v>40702</v>
      </c>
      <c r="H4073" t="s">
        <v>15523</v>
      </c>
      <c r="I4073" t="s">
        <v>16180</v>
      </c>
      <c r="K4073" t="e">
        <v>#N/A</v>
      </c>
      <c r="S4073" s="3"/>
    </row>
    <row r="4074" spans="1:19" x14ac:dyDescent="0.25">
      <c r="A4074" t="s">
        <v>11576</v>
      </c>
      <c r="B4074" t="s">
        <v>11577</v>
      </c>
      <c r="C4074" t="s">
        <v>16179</v>
      </c>
      <c r="D4074" t="s">
        <v>23</v>
      </c>
      <c r="E4074">
        <v>4586</v>
      </c>
      <c r="F4074" s="3">
        <v>41230</v>
      </c>
      <c r="H4074" t="s">
        <v>15523</v>
      </c>
      <c r="I4074" t="s">
        <v>16180</v>
      </c>
      <c r="K4074" t="e">
        <v>#N/A</v>
      </c>
      <c r="S4074" s="3"/>
    </row>
    <row r="4075" spans="1:19" x14ac:dyDescent="0.25">
      <c r="A4075" t="s">
        <v>11578</v>
      </c>
      <c r="B4075" t="s">
        <v>11579</v>
      </c>
      <c r="C4075" t="s">
        <v>16179</v>
      </c>
      <c r="D4075" t="s">
        <v>23</v>
      </c>
      <c r="E4075">
        <v>4591</v>
      </c>
      <c r="F4075" s="3">
        <v>40702</v>
      </c>
      <c r="H4075" t="s">
        <v>15523</v>
      </c>
      <c r="I4075" t="s">
        <v>16180</v>
      </c>
      <c r="K4075" t="e">
        <v>#N/A</v>
      </c>
      <c r="S4075" s="3"/>
    </row>
    <row r="4076" spans="1:19" x14ac:dyDescent="0.25">
      <c r="A4076" t="s">
        <v>11580</v>
      </c>
      <c r="B4076" t="s">
        <v>11581</v>
      </c>
      <c r="C4076" t="s">
        <v>16179</v>
      </c>
      <c r="D4076" t="s">
        <v>23</v>
      </c>
      <c r="E4076">
        <v>4592</v>
      </c>
      <c r="F4076" s="3">
        <v>40702</v>
      </c>
      <c r="H4076" t="s">
        <v>15523</v>
      </c>
      <c r="I4076" t="s">
        <v>16180</v>
      </c>
      <c r="K4076" t="e">
        <v>#N/A</v>
      </c>
      <c r="S4076" s="3"/>
    </row>
    <row r="4077" spans="1:19" x14ac:dyDescent="0.25">
      <c r="A4077" t="s">
        <v>11582</v>
      </c>
      <c r="B4077" t="s">
        <v>11583</v>
      </c>
      <c r="C4077" t="s">
        <v>16179</v>
      </c>
      <c r="D4077" t="s">
        <v>23</v>
      </c>
      <c r="E4077">
        <v>5286</v>
      </c>
      <c r="F4077" s="3">
        <v>42084</v>
      </c>
      <c r="H4077" t="s">
        <v>15523</v>
      </c>
      <c r="I4077" t="s">
        <v>16180</v>
      </c>
      <c r="K4077" t="e">
        <v>#N/A</v>
      </c>
      <c r="S4077" s="3"/>
    </row>
    <row r="4078" spans="1:19" x14ac:dyDescent="0.25">
      <c r="A4078" t="s">
        <v>11584</v>
      </c>
      <c r="B4078" t="s">
        <v>11585</v>
      </c>
      <c r="C4078" t="s">
        <v>16179</v>
      </c>
      <c r="D4078" t="s">
        <v>23</v>
      </c>
      <c r="E4078">
        <v>5607</v>
      </c>
      <c r="F4078" s="3">
        <v>42509</v>
      </c>
      <c r="H4078" t="s">
        <v>15523</v>
      </c>
      <c r="I4078" t="s">
        <v>16180</v>
      </c>
      <c r="K4078" t="e">
        <v>#N/A</v>
      </c>
      <c r="S4078" s="3"/>
    </row>
    <row r="4079" spans="1:19" x14ac:dyDescent="0.25">
      <c r="A4079" t="s">
        <v>11586</v>
      </c>
      <c r="B4079" t="s">
        <v>11587</v>
      </c>
      <c r="C4079" t="s">
        <v>16179</v>
      </c>
      <c r="D4079" t="s">
        <v>23</v>
      </c>
      <c r="E4079">
        <v>5540</v>
      </c>
      <c r="F4079" s="3">
        <v>42378</v>
      </c>
      <c r="H4079" t="s">
        <v>15523</v>
      </c>
      <c r="I4079" t="s">
        <v>16180</v>
      </c>
      <c r="K4079" t="e">
        <v>#N/A</v>
      </c>
      <c r="S4079" s="3"/>
    </row>
    <row r="4080" spans="1:19" x14ac:dyDescent="0.25">
      <c r="A4080" t="s">
        <v>11588</v>
      </c>
      <c r="B4080" t="s">
        <v>11589</v>
      </c>
      <c r="C4080" t="s">
        <v>16179</v>
      </c>
      <c r="D4080" t="s">
        <v>23</v>
      </c>
      <c r="E4080">
        <v>4593</v>
      </c>
      <c r="F4080" s="3">
        <v>40702</v>
      </c>
      <c r="H4080" t="s">
        <v>15523</v>
      </c>
      <c r="I4080" t="s">
        <v>16180</v>
      </c>
      <c r="K4080" t="e">
        <v>#N/A</v>
      </c>
      <c r="S4080" s="3"/>
    </row>
    <row r="4081" spans="1:19" x14ac:dyDescent="0.25">
      <c r="A4081" t="s">
        <v>11590</v>
      </c>
      <c r="B4081" t="s">
        <v>11591</v>
      </c>
      <c r="C4081" t="s">
        <v>16179</v>
      </c>
      <c r="D4081" t="s">
        <v>23</v>
      </c>
      <c r="E4081">
        <v>5608</v>
      </c>
      <c r="F4081" s="3">
        <v>42509</v>
      </c>
      <c r="H4081" t="s">
        <v>15523</v>
      </c>
      <c r="I4081" t="s">
        <v>16180</v>
      </c>
      <c r="K4081" t="e">
        <v>#N/A</v>
      </c>
      <c r="S4081" s="3"/>
    </row>
    <row r="4082" spans="1:19" x14ac:dyDescent="0.25">
      <c r="A4082" t="s">
        <v>11592</v>
      </c>
      <c r="B4082" t="s">
        <v>11593</v>
      </c>
      <c r="C4082" t="s">
        <v>16179</v>
      </c>
      <c r="D4082" t="s">
        <v>23</v>
      </c>
      <c r="E4082">
        <v>1713</v>
      </c>
      <c r="F4082" s="3">
        <v>40702</v>
      </c>
      <c r="H4082" t="s">
        <v>15523</v>
      </c>
      <c r="I4082" t="s">
        <v>16180</v>
      </c>
      <c r="K4082" t="e">
        <v>#N/A</v>
      </c>
      <c r="S4082" s="3"/>
    </row>
    <row r="4083" spans="1:19" x14ac:dyDescent="0.25">
      <c r="A4083" t="s">
        <v>11594</v>
      </c>
      <c r="B4083" t="s">
        <v>11595</v>
      </c>
      <c r="C4083" t="s">
        <v>16179</v>
      </c>
      <c r="D4083" t="s">
        <v>23</v>
      </c>
      <c r="E4083">
        <v>4594</v>
      </c>
      <c r="F4083" s="3">
        <v>40702</v>
      </c>
      <c r="H4083" t="s">
        <v>15523</v>
      </c>
      <c r="I4083" t="s">
        <v>16180</v>
      </c>
      <c r="K4083" t="e">
        <v>#N/A</v>
      </c>
      <c r="S4083" s="3"/>
    </row>
    <row r="4084" spans="1:19" x14ac:dyDescent="0.25">
      <c r="A4084" t="s">
        <v>11596</v>
      </c>
      <c r="B4084" t="s">
        <v>11597</v>
      </c>
      <c r="C4084" t="s">
        <v>16179</v>
      </c>
      <c r="D4084" t="s">
        <v>23</v>
      </c>
      <c r="E4084">
        <v>1365</v>
      </c>
      <c r="F4084" s="3">
        <v>40702</v>
      </c>
      <c r="H4084" t="s">
        <v>15523</v>
      </c>
      <c r="I4084" t="s">
        <v>16180</v>
      </c>
      <c r="K4084" t="e">
        <v>#N/A</v>
      </c>
      <c r="S4084" s="3"/>
    </row>
    <row r="4085" spans="1:19" x14ac:dyDescent="0.25">
      <c r="A4085" t="s">
        <v>11598</v>
      </c>
      <c r="B4085" t="s">
        <v>11599</v>
      </c>
      <c r="C4085" t="s">
        <v>16179</v>
      </c>
      <c r="D4085" t="s">
        <v>23</v>
      </c>
      <c r="E4085">
        <v>4595</v>
      </c>
      <c r="F4085" s="3">
        <v>40702</v>
      </c>
      <c r="H4085" t="s">
        <v>15523</v>
      </c>
      <c r="I4085" t="s">
        <v>16180</v>
      </c>
      <c r="K4085" t="e">
        <v>#N/A</v>
      </c>
      <c r="S4085" s="3"/>
    </row>
    <row r="4086" spans="1:19" x14ac:dyDescent="0.25">
      <c r="A4086" t="s">
        <v>11600</v>
      </c>
      <c r="B4086" t="s">
        <v>11601</v>
      </c>
      <c r="C4086" t="s">
        <v>16179</v>
      </c>
      <c r="D4086" t="s">
        <v>23</v>
      </c>
      <c r="E4086">
        <v>4600</v>
      </c>
      <c r="F4086" s="3">
        <v>40702</v>
      </c>
      <c r="H4086" t="s">
        <v>15523</v>
      </c>
      <c r="I4086" t="s">
        <v>16180</v>
      </c>
      <c r="K4086" t="e">
        <v>#N/A</v>
      </c>
      <c r="S4086" s="3"/>
    </row>
    <row r="4087" spans="1:19" x14ac:dyDescent="0.25">
      <c r="A4087" t="s">
        <v>11602</v>
      </c>
      <c r="B4087" t="s">
        <v>11603</v>
      </c>
      <c r="C4087" t="s">
        <v>16179</v>
      </c>
      <c r="D4087" t="s">
        <v>23</v>
      </c>
      <c r="E4087">
        <v>4601</v>
      </c>
      <c r="F4087" s="3">
        <v>40702</v>
      </c>
      <c r="H4087" t="s">
        <v>15523</v>
      </c>
      <c r="I4087" t="s">
        <v>16180</v>
      </c>
      <c r="K4087" t="e">
        <v>#N/A</v>
      </c>
      <c r="S4087" s="3"/>
    </row>
    <row r="4088" spans="1:19" x14ac:dyDescent="0.25">
      <c r="A4088" t="s">
        <v>11604</v>
      </c>
      <c r="B4088" t="s">
        <v>11605</v>
      </c>
      <c r="C4088" t="s">
        <v>16179</v>
      </c>
      <c r="D4088" t="s">
        <v>23</v>
      </c>
      <c r="E4088">
        <v>4610</v>
      </c>
      <c r="F4088" s="3">
        <v>40702</v>
      </c>
      <c r="H4088" t="s">
        <v>15523</v>
      </c>
      <c r="I4088" t="s">
        <v>16180</v>
      </c>
      <c r="K4088" t="e">
        <v>#N/A</v>
      </c>
      <c r="S4088" s="3"/>
    </row>
    <row r="4089" spans="1:19" x14ac:dyDescent="0.25">
      <c r="A4089" t="s">
        <v>11606</v>
      </c>
      <c r="B4089" t="s">
        <v>11607</v>
      </c>
      <c r="C4089" t="s">
        <v>16179</v>
      </c>
      <c r="D4089" t="s">
        <v>23</v>
      </c>
      <c r="E4089">
        <v>4613</v>
      </c>
      <c r="F4089" s="3">
        <v>40702</v>
      </c>
      <c r="H4089" t="s">
        <v>15523</v>
      </c>
      <c r="I4089" t="s">
        <v>16180</v>
      </c>
      <c r="K4089" t="e">
        <v>#N/A</v>
      </c>
      <c r="S4089" s="3"/>
    </row>
    <row r="4090" spans="1:19" x14ac:dyDescent="0.25">
      <c r="A4090" t="s">
        <v>11608</v>
      </c>
      <c r="B4090" t="s">
        <v>11609</v>
      </c>
      <c r="C4090" t="s">
        <v>16179</v>
      </c>
      <c r="D4090" t="s">
        <v>666</v>
      </c>
      <c r="E4090">
        <v>6022</v>
      </c>
      <c r="F4090" s="3">
        <v>43523</v>
      </c>
      <c r="H4090" t="s">
        <v>15523</v>
      </c>
      <c r="I4090" t="s">
        <v>16180</v>
      </c>
      <c r="K4090" t="e">
        <v>#N/A</v>
      </c>
      <c r="S4090" s="3"/>
    </row>
    <row r="4091" spans="1:19" x14ac:dyDescent="0.25">
      <c r="A4091" t="s">
        <v>11610</v>
      </c>
      <c r="B4091" t="s">
        <v>11611</v>
      </c>
      <c r="C4091" t="s">
        <v>16179</v>
      </c>
      <c r="D4091" t="s">
        <v>23</v>
      </c>
      <c r="E4091">
        <v>4615</v>
      </c>
      <c r="F4091" s="3">
        <v>40702</v>
      </c>
      <c r="H4091" t="s">
        <v>15523</v>
      </c>
      <c r="I4091" t="s">
        <v>16180</v>
      </c>
      <c r="K4091" t="e">
        <v>#N/A</v>
      </c>
      <c r="S4091" s="3"/>
    </row>
    <row r="4092" spans="1:19" x14ac:dyDescent="0.25">
      <c r="A4092" t="s">
        <v>11612</v>
      </c>
      <c r="B4092" t="s">
        <v>11613</v>
      </c>
      <c r="C4092" t="s">
        <v>16179</v>
      </c>
      <c r="D4092" t="s">
        <v>666</v>
      </c>
      <c r="E4092">
        <v>5730</v>
      </c>
      <c r="F4092" s="3">
        <v>42707</v>
      </c>
      <c r="H4092" t="s">
        <v>15523</v>
      </c>
      <c r="I4092" t="s">
        <v>16180</v>
      </c>
      <c r="K4092" t="e">
        <v>#N/A</v>
      </c>
      <c r="S4092" s="3"/>
    </row>
    <row r="4093" spans="1:19" x14ac:dyDescent="0.25">
      <c r="A4093" t="s">
        <v>11614</v>
      </c>
      <c r="B4093" t="s">
        <v>11615</v>
      </c>
      <c r="C4093" t="s">
        <v>16179</v>
      </c>
      <c r="D4093" t="s">
        <v>666</v>
      </c>
      <c r="E4093">
        <v>5729</v>
      </c>
      <c r="F4093" s="3">
        <v>42707</v>
      </c>
      <c r="H4093" t="s">
        <v>15523</v>
      </c>
      <c r="I4093" t="s">
        <v>16180</v>
      </c>
      <c r="K4093" t="e">
        <v>#N/A</v>
      </c>
      <c r="S4093" s="3"/>
    </row>
    <row r="4094" spans="1:19" x14ac:dyDescent="0.25">
      <c r="A4094" t="s">
        <v>11616</v>
      </c>
      <c r="B4094" t="s">
        <v>11617</v>
      </c>
      <c r="C4094" t="s">
        <v>16179</v>
      </c>
      <c r="D4094" t="s">
        <v>666</v>
      </c>
      <c r="E4094">
        <v>5889</v>
      </c>
      <c r="F4094" s="3">
        <v>43146</v>
      </c>
      <c r="H4094" t="s">
        <v>15523</v>
      </c>
      <c r="I4094" t="s">
        <v>16180</v>
      </c>
      <c r="K4094" t="e">
        <v>#N/A</v>
      </c>
      <c r="S4094" s="3"/>
    </row>
    <row r="4095" spans="1:19" x14ac:dyDescent="0.25">
      <c r="A4095" t="s">
        <v>11618</v>
      </c>
      <c r="B4095" t="s">
        <v>11619</v>
      </c>
      <c r="C4095" t="s">
        <v>16179</v>
      </c>
      <c r="D4095" t="s">
        <v>23</v>
      </c>
      <c r="E4095">
        <v>4616</v>
      </c>
      <c r="F4095" s="3">
        <v>40702</v>
      </c>
      <c r="H4095" t="s">
        <v>15523</v>
      </c>
      <c r="I4095" t="s">
        <v>16180</v>
      </c>
      <c r="K4095" t="e">
        <v>#N/A</v>
      </c>
      <c r="S4095" s="3"/>
    </row>
    <row r="4096" spans="1:19" x14ac:dyDescent="0.25">
      <c r="A4096" t="s">
        <v>11620</v>
      </c>
      <c r="B4096" t="s">
        <v>11621</v>
      </c>
      <c r="C4096" t="s">
        <v>16179</v>
      </c>
      <c r="D4096" t="s">
        <v>23</v>
      </c>
      <c r="E4096">
        <v>2577</v>
      </c>
      <c r="F4096" s="3">
        <v>40702</v>
      </c>
      <c r="H4096" t="s">
        <v>15523</v>
      </c>
      <c r="I4096" t="s">
        <v>16180</v>
      </c>
      <c r="K4096" t="e">
        <v>#N/A</v>
      </c>
      <c r="S4096" s="3"/>
    </row>
    <row r="4097" spans="1:19" x14ac:dyDescent="0.25">
      <c r="A4097" t="s">
        <v>11622</v>
      </c>
      <c r="B4097" t="s">
        <v>11623</v>
      </c>
      <c r="C4097" t="s">
        <v>16179</v>
      </c>
      <c r="D4097" t="s">
        <v>23</v>
      </c>
      <c r="E4097">
        <v>1533</v>
      </c>
      <c r="F4097" s="3">
        <v>40782</v>
      </c>
      <c r="H4097" t="s">
        <v>15523</v>
      </c>
      <c r="I4097" t="s">
        <v>16180</v>
      </c>
      <c r="K4097" t="e">
        <v>#N/A</v>
      </c>
      <c r="S4097" s="3"/>
    </row>
    <row r="4098" spans="1:19" x14ac:dyDescent="0.25">
      <c r="A4098" t="s">
        <v>11624</v>
      </c>
      <c r="B4098" t="s">
        <v>11625</v>
      </c>
      <c r="C4098" t="s">
        <v>16179</v>
      </c>
      <c r="D4098" t="s">
        <v>23</v>
      </c>
      <c r="E4098">
        <v>1537</v>
      </c>
      <c r="F4098" s="3">
        <v>40782</v>
      </c>
      <c r="H4098" t="s">
        <v>15523</v>
      </c>
      <c r="I4098" t="s">
        <v>16180</v>
      </c>
      <c r="K4098" t="e">
        <v>#N/A</v>
      </c>
      <c r="S4098" s="3"/>
    </row>
    <row r="4099" spans="1:19" x14ac:dyDescent="0.25">
      <c r="A4099" t="s">
        <v>11626</v>
      </c>
      <c r="B4099" t="s">
        <v>11627</v>
      </c>
      <c r="C4099" t="s">
        <v>16179</v>
      </c>
      <c r="D4099" t="s">
        <v>23</v>
      </c>
      <c r="E4099">
        <v>5336</v>
      </c>
      <c r="F4099" s="3">
        <v>42222</v>
      </c>
      <c r="H4099" t="s">
        <v>15523</v>
      </c>
      <c r="I4099" t="s">
        <v>16180</v>
      </c>
      <c r="K4099" t="e">
        <v>#N/A</v>
      </c>
      <c r="S4099" s="3"/>
    </row>
    <row r="4100" spans="1:19" x14ac:dyDescent="0.25">
      <c r="A4100" t="s">
        <v>11628</v>
      </c>
      <c r="B4100" t="s">
        <v>11629</v>
      </c>
      <c r="C4100" t="s">
        <v>16179</v>
      </c>
      <c r="D4100" t="s">
        <v>23</v>
      </c>
      <c r="E4100">
        <v>1593</v>
      </c>
      <c r="F4100" s="3">
        <v>40702</v>
      </c>
      <c r="H4100" t="s">
        <v>15523</v>
      </c>
      <c r="I4100" t="s">
        <v>16180</v>
      </c>
      <c r="K4100" t="e">
        <v>#N/A</v>
      </c>
      <c r="S4100" s="3"/>
    </row>
    <row r="4101" spans="1:19" x14ac:dyDescent="0.25">
      <c r="A4101" t="s">
        <v>11630</v>
      </c>
      <c r="B4101" t="s">
        <v>11631</v>
      </c>
      <c r="C4101" t="s">
        <v>16179</v>
      </c>
      <c r="D4101" t="s">
        <v>23</v>
      </c>
      <c r="E4101">
        <v>1595</v>
      </c>
      <c r="F4101" s="3">
        <v>40702</v>
      </c>
      <c r="H4101" t="s">
        <v>15523</v>
      </c>
      <c r="I4101" t="s">
        <v>16180</v>
      </c>
      <c r="K4101" t="e">
        <v>#N/A</v>
      </c>
      <c r="S4101" s="3"/>
    </row>
    <row r="4102" spans="1:19" x14ac:dyDescent="0.25">
      <c r="A4102" t="s">
        <v>11633</v>
      </c>
      <c r="B4102" t="s">
        <v>11634</v>
      </c>
      <c r="C4102" t="s">
        <v>16179</v>
      </c>
      <c r="D4102" t="s">
        <v>23</v>
      </c>
      <c r="E4102">
        <v>4618</v>
      </c>
      <c r="F4102" s="3">
        <v>41165</v>
      </c>
      <c r="H4102" t="s">
        <v>15523</v>
      </c>
      <c r="I4102" t="s">
        <v>16180</v>
      </c>
      <c r="K4102" t="e">
        <v>#N/A</v>
      </c>
      <c r="S4102" s="3"/>
    </row>
    <row r="4103" spans="1:19" x14ac:dyDescent="0.25">
      <c r="A4103" t="s">
        <v>11635</v>
      </c>
      <c r="B4103" t="s">
        <v>11636</v>
      </c>
      <c r="C4103" t="s">
        <v>16179</v>
      </c>
      <c r="D4103" t="s">
        <v>23</v>
      </c>
      <c r="E4103">
        <v>1600</v>
      </c>
      <c r="F4103" s="3">
        <v>40782</v>
      </c>
      <c r="H4103" t="s">
        <v>15523</v>
      </c>
      <c r="I4103" t="s">
        <v>16180</v>
      </c>
      <c r="K4103" t="e">
        <v>#N/A</v>
      </c>
      <c r="S4103" s="3"/>
    </row>
    <row r="4104" spans="1:19" x14ac:dyDescent="0.25">
      <c r="A4104" t="s">
        <v>11637</v>
      </c>
      <c r="B4104" t="s">
        <v>11638</v>
      </c>
      <c r="C4104" t="s">
        <v>16179</v>
      </c>
      <c r="D4104" t="s">
        <v>23</v>
      </c>
      <c r="E4104">
        <v>5262</v>
      </c>
      <c r="F4104" s="3">
        <v>42047</v>
      </c>
      <c r="H4104" t="s">
        <v>15523</v>
      </c>
      <c r="I4104" t="s">
        <v>16180</v>
      </c>
      <c r="K4104" t="e">
        <v>#N/A</v>
      </c>
      <c r="S4104" s="3"/>
    </row>
    <row r="4105" spans="1:19" x14ac:dyDescent="0.25">
      <c r="A4105" t="s">
        <v>11639</v>
      </c>
      <c r="B4105" t="s">
        <v>11640</v>
      </c>
      <c r="C4105" t="s">
        <v>16179</v>
      </c>
      <c r="D4105" t="s">
        <v>23</v>
      </c>
      <c r="E4105">
        <v>4621</v>
      </c>
      <c r="F4105" s="3">
        <v>41165</v>
      </c>
      <c r="H4105" t="s">
        <v>15523</v>
      </c>
      <c r="I4105" t="s">
        <v>16180</v>
      </c>
      <c r="K4105" t="e">
        <v>#N/A</v>
      </c>
      <c r="S4105" s="3"/>
    </row>
    <row r="4106" spans="1:19" x14ac:dyDescent="0.25">
      <c r="A4106" t="s">
        <v>11641</v>
      </c>
      <c r="B4106" t="s">
        <v>11642</v>
      </c>
      <c r="C4106" t="s">
        <v>16179</v>
      </c>
      <c r="D4106" t="s">
        <v>666</v>
      </c>
      <c r="E4106">
        <v>4626</v>
      </c>
      <c r="F4106" s="3">
        <v>43518</v>
      </c>
      <c r="H4106" t="s">
        <v>15523</v>
      </c>
      <c r="I4106" t="s">
        <v>16180</v>
      </c>
      <c r="K4106" t="e">
        <v>#N/A</v>
      </c>
      <c r="S4106" s="3"/>
    </row>
    <row r="4107" spans="1:19" x14ac:dyDescent="0.25">
      <c r="A4107" t="s">
        <v>11643</v>
      </c>
      <c r="B4107" t="s">
        <v>11644</v>
      </c>
      <c r="C4107" t="s">
        <v>16179</v>
      </c>
      <c r="D4107" t="s">
        <v>23</v>
      </c>
      <c r="E4107">
        <v>5317</v>
      </c>
      <c r="F4107" s="3">
        <v>42185</v>
      </c>
      <c r="H4107" t="s">
        <v>15523</v>
      </c>
      <c r="I4107" t="s">
        <v>16180</v>
      </c>
      <c r="K4107" t="e">
        <v>#N/A</v>
      </c>
      <c r="S4107" s="3"/>
    </row>
    <row r="4108" spans="1:19" x14ac:dyDescent="0.25">
      <c r="A4108" t="s">
        <v>11645</v>
      </c>
      <c r="B4108" t="s">
        <v>11646</v>
      </c>
      <c r="C4108" t="s">
        <v>16179</v>
      </c>
      <c r="D4108" t="s">
        <v>23</v>
      </c>
      <c r="E4108">
        <v>5319</v>
      </c>
      <c r="F4108" s="3">
        <v>42185</v>
      </c>
      <c r="H4108" t="s">
        <v>15523</v>
      </c>
      <c r="I4108" t="s">
        <v>16180</v>
      </c>
      <c r="K4108" t="e">
        <v>#N/A</v>
      </c>
      <c r="S4108" s="3"/>
    </row>
    <row r="4109" spans="1:19" x14ac:dyDescent="0.25">
      <c r="A4109" t="s">
        <v>11647</v>
      </c>
      <c r="B4109" t="s">
        <v>11648</v>
      </c>
      <c r="C4109" t="s">
        <v>16179</v>
      </c>
      <c r="D4109" t="s">
        <v>23</v>
      </c>
      <c r="E4109">
        <v>4641</v>
      </c>
      <c r="F4109" s="3">
        <v>40781</v>
      </c>
      <c r="H4109" t="s">
        <v>15523</v>
      </c>
      <c r="I4109" t="s">
        <v>16180</v>
      </c>
      <c r="K4109" t="e">
        <v>#N/A</v>
      </c>
      <c r="S4109" s="3"/>
    </row>
    <row r="4110" spans="1:19" x14ac:dyDescent="0.25">
      <c r="A4110" t="s">
        <v>11649</v>
      </c>
      <c r="B4110" t="s">
        <v>11650</v>
      </c>
      <c r="C4110" t="s">
        <v>16179</v>
      </c>
      <c r="D4110" t="s">
        <v>23</v>
      </c>
      <c r="E4110">
        <v>4643</v>
      </c>
      <c r="F4110" s="3">
        <v>43518</v>
      </c>
      <c r="H4110" t="s">
        <v>15523</v>
      </c>
      <c r="I4110" t="s">
        <v>16180</v>
      </c>
      <c r="K4110" t="e">
        <v>#N/A</v>
      </c>
      <c r="S4110" s="3"/>
    </row>
    <row r="4111" spans="1:19" x14ac:dyDescent="0.25">
      <c r="A4111" t="s">
        <v>11651</v>
      </c>
      <c r="B4111" t="s">
        <v>11652</v>
      </c>
      <c r="C4111" t="s">
        <v>16179</v>
      </c>
      <c r="D4111" t="s">
        <v>23</v>
      </c>
      <c r="E4111">
        <v>4644</v>
      </c>
      <c r="F4111" s="3">
        <v>40781</v>
      </c>
      <c r="H4111" t="s">
        <v>15523</v>
      </c>
      <c r="I4111" t="s">
        <v>16180</v>
      </c>
      <c r="K4111" t="e">
        <v>#N/A</v>
      </c>
      <c r="S4111" s="3"/>
    </row>
    <row r="4112" spans="1:19" x14ac:dyDescent="0.25">
      <c r="A4112" t="s">
        <v>11653</v>
      </c>
      <c r="B4112" t="s">
        <v>11654</v>
      </c>
      <c r="C4112" t="s">
        <v>16179</v>
      </c>
      <c r="D4112" t="s">
        <v>23</v>
      </c>
      <c r="E4112">
        <v>5307</v>
      </c>
      <c r="F4112" s="3">
        <v>42161</v>
      </c>
      <c r="H4112" t="s">
        <v>15523</v>
      </c>
      <c r="I4112" t="s">
        <v>16180</v>
      </c>
      <c r="K4112" t="e">
        <v>#N/A</v>
      </c>
      <c r="S4112" s="3"/>
    </row>
    <row r="4113" spans="1:19" x14ac:dyDescent="0.25">
      <c r="A4113" t="s">
        <v>11655</v>
      </c>
      <c r="B4113" t="s">
        <v>11656</v>
      </c>
      <c r="C4113" t="s">
        <v>16179</v>
      </c>
      <c r="D4113" t="s">
        <v>23</v>
      </c>
      <c r="E4113">
        <v>1666</v>
      </c>
      <c r="F4113" s="3">
        <v>40702</v>
      </c>
      <c r="H4113" t="s">
        <v>15523</v>
      </c>
      <c r="I4113" t="s">
        <v>16180</v>
      </c>
      <c r="K4113" t="e">
        <v>#N/A</v>
      </c>
      <c r="S4113" s="3"/>
    </row>
    <row r="4114" spans="1:19" x14ac:dyDescent="0.25">
      <c r="A4114" t="s">
        <v>11657</v>
      </c>
      <c r="B4114" t="s">
        <v>11658</v>
      </c>
      <c r="C4114" t="s">
        <v>16179</v>
      </c>
      <c r="D4114" t="s">
        <v>23</v>
      </c>
      <c r="E4114">
        <v>1675</v>
      </c>
      <c r="F4114" s="3">
        <v>40702</v>
      </c>
      <c r="H4114" t="s">
        <v>15523</v>
      </c>
      <c r="I4114" t="s">
        <v>16180</v>
      </c>
      <c r="K4114" t="e">
        <v>#N/A</v>
      </c>
      <c r="S4114" s="3"/>
    </row>
    <row r="4115" spans="1:19" x14ac:dyDescent="0.25">
      <c r="A4115" t="s">
        <v>11659</v>
      </c>
      <c r="B4115" t="s">
        <v>11660</v>
      </c>
      <c r="C4115" t="s">
        <v>16179</v>
      </c>
      <c r="D4115" t="s">
        <v>23</v>
      </c>
      <c r="E4115">
        <v>4645</v>
      </c>
      <c r="F4115" s="3">
        <v>40702</v>
      </c>
      <c r="H4115" t="s">
        <v>15523</v>
      </c>
      <c r="I4115" t="s">
        <v>16180</v>
      </c>
      <c r="K4115" t="e">
        <v>#N/A</v>
      </c>
      <c r="S4115" s="3"/>
    </row>
    <row r="4116" spans="1:19" x14ac:dyDescent="0.25">
      <c r="A4116" t="s">
        <v>11661</v>
      </c>
      <c r="B4116" t="s">
        <v>11662</v>
      </c>
      <c r="C4116" t="s">
        <v>16179</v>
      </c>
      <c r="D4116" t="s">
        <v>23</v>
      </c>
      <c r="E4116">
        <v>5726</v>
      </c>
      <c r="F4116" s="3">
        <v>42707</v>
      </c>
      <c r="H4116" t="s">
        <v>15523</v>
      </c>
      <c r="I4116" t="s">
        <v>16180</v>
      </c>
      <c r="K4116" t="e">
        <v>#N/A</v>
      </c>
      <c r="S4116" s="3"/>
    </row>
    <row r="4117" spans="1:19" x14ac:dyDescent="0.25">
      <c r="A4117" t="s">
        <v>11663</v>
      </c>
      <c r="B4117" t="s">
        <v>11664</v>
      </c>
      <c r="C4117" t="s">
        <v>11665</v>
      </c>
      <c r="D4117" t="s">
        <v>23</v>
      </c>
      <c r="E4117">
        <v>4587</v>
      </c>
      <c r="F4117" s="3">
        <v>40702</v>
      </c>
      <c r="H4117" t="s">
        <v>15523</v>
      </c>
      <c r="I4117" t="s">
        <v>18579</v>
      </c>
      <c r="K4117" t="e">
        <v>#N/A</v>
      </c>
      <c r="S4117" s="3"/>
    </row>
    <row r="4118" spans="1:19" x14ac:dyDescent="0.25">
      <c r="A4118" t="s">
        <v>11666</v>
      </c>
      <c r="B4118" t="s">
        <v>11667</v>
      </c>
      <c r="C4118" t="s">
        <v>11668</v>
      </c>
      <c r="D4118" t="s">
        <v>23</v>
      </c>
      <c r="E4118">
        <v>4588</v>
      </c>
      <c r="F4118" s="3">
        <v>40702</v>
      </c>
      <c r="H4118" t="s">
        <v>15523</v>
      </c>
      <c r="I4118" t="s">
        <v>18580</v>
      </c>
      <c r="K4118" t="e">
        <v>#N/A</v>
      </c>
      <c r="S4118" s="3"/>
    </row>
    <row r="4119" spans="1:19" x14ac:dyDescent="0.25">
      <c r="A4119" t="s">
        <v>11669</v>
      </c>
      <c r="B4119" t="s">
        <v>11670</v>
      </c>
      <c r="C4119" t="s">
        <v>11671</v>
      </c>
      <c r="D4119" t="s">
        <v>23</v>
      </c>
      <c r="E4119">
        <v>2446</v>
      </c>
      <c r="F4119" s="3">
        <v>40702</v>
      </c>
      <c r="H4119" t="s">
        <v>15523</v>
      </c>
      <c r="I4119" t="s">
        <v>18581</v>
      </c>
      <c r="K4119" t="e">
        <v>#N/A</v>
      </c>
      <c r="S4119" s="3"/>
    </row>
    <row r="4120" spans="1:19" x14ac:dyDescent="0.25">
      <c r="A4120" t="s">
        <v>11672</v>
      </c>
      <c r="B4120" t="s">
        <v>11673</v>
      </c>
      <c r="C4120" t="s">
        <v>11674</v>
      </c>
      <c r="D4120" t="s">
        <v>23</v>
      </c>
      <c r="E4120">
        <v>4589</v>
      </c>
      <c r="F4120" s="3">
        <v>40702</v>
      </c>
      <c r="H4120" t="s">
        <v>15523</v>
      </c>
      <c r="I4120" t="s">
        <v>18582</v>
      </c>
      <c r="K4120" t="e">
        <v>#N/A</v>
      </c>
      <c r="S4120" s="3"/>
    </row>
    <row r="4121" spans="1:19" x14ac:dyDescent="0.25">
      <c r="A4121" t="s">
        <v>11675</v>
      </c>
      <c r="B4121" t="s">
        <v>11676</v>
      </c>
      <c r="C4121" t="s">
        <v>11677</v>
      </c>
      <c r="D4121" t="s">
        <v>23</v>
      </c>
      <c r="E4121">
        <v>4590</v>
      </c>
      <c r="F4121" s="3">
        <v>40782</v>
      </c>
      <c r="H4121" t="s">
        <v>15523</v>
      </c>
      <c r="I4121" t="s">
        <v>18583</v>
      </c>
      <c r="K4121" t="e">
        <v>#N/A</v>
      </c>
      <c r="S4121" s="3"/>
    </row>
    <row r="4122" spans="1:19" x14ac:dyDescent="0.25">
      <c r="A4122" t="s">
        <v>11678</v>
      </c>
      <c r="B4122" t="s">
        <v>11679</v>
      </c>
      <c r="C4122" t="s">
        <v>16179</v>
      </c>
      <c r="D4122" t="s">
        <v>23</v>
      </c>
      <c r="E4122">
        <v>2690</v>
      </c>
      <c r="F4122" s="3">
        <v>40702</v>
      </c>
      <c r="H4122" t="s">
        <v>15523</v>
      </c>
      <c r="I4122" t="s">
        <v>16180</v>
      </c>
      <c r="K4122" t="e">
        <v>#N/A</v>
      </c>
      <c r="S4122" s="3"/>
    </row>
    <row r="4123" spans="1:19" x14ac:dyDescent="0.25">
      <c r="A4123" t="s">
        <v>11680</v>
      </c>
      <c r="B4123" t="s">
        <v>11681</v>
      </c>
      <c r="C4123" t="s">
        <v>16179</v>
      </c>
      <c r="D4123" t="s">
        <v>23</v>
      </c>
      <c r="E4123">
        <v>5312</v>
      </c>
      <c r="F4123" s="3">
        <v>42196</v>
      </c>
      <c r="H4123" t="s">
        <v>15523</v>
      </c>
      <c r="I4123" t="s">
        <v>16180</v>
      </c>
      <c r="K4123" t="e">
        <v>#N/A</v>
      </c>
      <c r="S4123" s="3"/>
    </row>
    <row r="4124" spans="1:19" x14ac:dyDescent="0.25">
      <c r="A4124" t="s">
        <v>11682</v>
      </c>
      <c r="B4124" t="s">
        <v>11683</v>
      </c>
      <c r="C4124" t="s">
        <v>16179</v>
      </c>
      <c r="D4124" t="s">
        <v>23</v>
      </c>
      <c r="E4124">
        <v>5287</v>
      </c>
      <c r="F4124" s="3">
        <v>42087</v>
      </c>
      <c r="H4124" t="s">
        <v>15523</v>
      </c>
      <c r="I4124" t="s">
        <v>16180</v>
      </c>
      <c r="K4124" t="e">
        <v>#N/A</v>
      </c>
      <c r="S4124" s="3"/>
    </row>
    <row r="4125" spans="1:19" x14ac:dyDescent="0.25">
      <c r="A4125" t="s">
        <v>11684</v>
      </c>
      <c r="B4125" t="s">
        <v>11685</v>
      </c>
      <c r="C4125" t="s">
        <v>16179</v>
      </c>
      <c r="D4125" t="s">
        <v>23</v>
      </c>
      <c r="E4125">
        <v>5313</v>
      </c>
      <c r="F4125" s="3">
        <v>42196</v>
      </c>
      <c r="H4125" t="s">
        <v>15523</v>
      </c>
      <c r="I4125" t="s">
        <v>16180</v>
      </c>
      <c r="K4125" t="e">
        <v>#N/A</v>
      </c>
      <c r="S4125" s="3"/>
    </row>
    <row r="4126" spans="1:19" x14ac:dyDescent="0.25">
      <c r="A4126" t="s">
        <v>11686</v>
      </c>
      <c r="B4126" t="s">
        <v>11687</v>
      </c>
      <c r="C4126" t="s">
        <v>16179</v>
      </c>
      <c r="D4126" t="s">
        <v>23</v>
      </c>
      <c r="E4126">
        <v>2719</v>
      </c>
      <c r="F4126" s="3">
        <v>40702</v>
      </c>
      <c r="H4126" t="s">
        <v>15523</v>
      </c>
      <c r="I4126" t="s">
        <v>16180</v>
      </c>
      <c r="K4126" t="e">
        <v>#N/A</v>
      </c>
      <c r="S4126" s="3"/>
    </row>
    <row r="4127" spans="1:19" x14ac:dyDescent="0.25">
      <c r="A4127" t="s">
        <v>11688</v>
      </c>
      <c r="B4127" t="s">
        <v>11689</v>
      </c>
      <c r="C4127" t="s">
        <v>16179</v>
      </c>
      <c r="D4127" t="s">
        <v>23</v>
      </c>
      <c r="E4127">
        <v>2069</v>
      </c>
      <c r="F4127" s="3">
        <v>41461</v>
      </c>
      <c r="H4127" t="s">
        <v>15523</v>
      </c>
      <c r="I4127" t="s">
        <v>16180</v>
      </c>
      <c r="K4127" t="e">
        <v>#N/A</v>
      </c>
      <c r="S4127" s="3"/>
    </row>
    <row r="4128" spans="1:19" x14ac:dyDescent="0.25">
      <c r="A4128" t="s">
        <v>11690</v>
      </c>
      <c r="B4128" t="s">
        <v>11691</v>
      </c>
      <c r="C4128" t="s">
        <v>16179</v>
      </c>
      <c r="D4128" t="s">
        <v>23</v>
      </c>
      <c r="E4128">
        <v>531</v>
      </c>
      <c r="F4128" s="3">
        <v>40782</v>
      </c>
      <c r="H4128" t="s">
        <v>15523</v>
      </c>
      <c r="I4128" t="s">
        <v>16180</v>
      </c>
      <c r="K4128" t="e">
        <v>#N/A</v>
      </c>
      <c r="S4128" s="3"/>
    </row>
    <row r="4129" spans="1:19" x14ac:dyDescent="0.25">
      <c r="A4129" t="s">
        <v>11692</v>
      </c>
      <c r="B4129" t="s">
        <v>11693</v>
      </c>
      <c r="C4129" t="s">
        <v>16179</v>
      </c>
      <c r="D4129" t="s">
        <v>23</v>
      </c>
      <c r="E4129">
        <v>193</v>
      </c>
      <c r="F4129" s="3">
        <v>40702</v>
      </c>
      <c r="H4129" t="s">
        <v>15523</v>
      </c>
      <c r="I4129" t="s">
        <v>16180</v>
      </c>
      <c r="K4129" t="e">
        <v>#N/A</v>
      </c>
      <c r="S4129" s="3"/>
    </row>
    <row r="4130" spans="1:19" x14ac:dyDescent="0.25">
      <c r="A4130" t="s">
        <v>11694</v>
      </c>
      <c r="B4130" t="s">
        <v>11695</v>
      </c>
      <c r="C4130" t="s">
        <v>16179</v>
      </c>
      <c r="D4130" t="s">
        <v>23</v>
      </c>
      <c r="E4130">
        <v>2247</v>
      </c>
      <c r="F4130" s="3">
        <v>41461</v>
      </c>
      <c r="H4130" t="s">
        <v>15523</v>
      </c>
      <c r="I4130" t="s">
        <v>16180</v>
      </c>
      <c r="K4130" t="e">
        <v>#N/A</v>
      </c>
      <c r="S4130" s="3"/>
    </row>
    <row r="4131" spans="1:19" x14ac:dyDescent="0.25">
      <c r="A4131" t="s">
        <v>11696</v>
      </c>
      <c r="B4131" t="s">
        <v>11697</v>
      </c>
      <c r="C4131" t="s">
        <v>16179</v>
      </c>
      <c r="D4131" t="s">
        <v>23</v>
      </c>
      <c r="E4131">
        <v>4333</v>
      </c>
      <c r="F4131" s="3">
        <v>40702</v>
      </c>
      <c r="H4131" t="s">
        <v>15523</v>
      </c>
      <c r="I4131" t="s">
        <v>16180</v>
      </c>
      <c r="K4131" t="e">
        <v>#N/A</v>
      </c>
      <c r="S4131" s="3"/>
    </row>
    <row r="4132" spans="1:19" x14ac:dyDescent="0.25">
      <c r="A4132" t="s">
        <v>11698</v>
      </c>
      <c r="B4132" t="s">
        <v>11699</v>
      </c>
      <c r="C4132" t="s">
        <v>16179</v>
      </c>
      <c r="D4132" t="s">
        <v>23</v>
      </c>
      <c r="E4132">
        <v>5073</v>
      </c>
      <c r="F4132" s="3">
        <v>41741</v>
      </c>
      <c r="H4132" t="s">
        <v>15523</v>
      </c>
      <c r="I4132" t="s">
        <v>16180</v>
      </c>
      <c r="K4132" t="e">
        <v>#N/A</v>
      </c>
      <c r="S4132" s="3"/>
    </row>
    <row r="4133" spans="1:19" x14ac:dyDescent="0.25">
      <c r="A4133" t="s">
        <v>11700</v>
      </c>
      <c r="B4133" t="s">
        <v>11701</v>
      </c>
      <c r="C4133" t="s">
        <v>16179</v>
      </c>
      <c r="D4133" t="s">
        <v>23</v>
      </c>
      <c r="E4133">
        <v>5074</v>
      </c>
      <c r="F4133" s="3">
        <v>41741</v>
      </c>
      <c r="H4133" t="s">
        <v>15523</v>
      </c>
      <c r="I4133" t="s">
        <v>16180</v>
      </c>
      <c r="K4133" t="e">
        <v>#N/A</v>
      </c>
      <c r="S4133" s="3"/>
    </row>
    <row r="4134" spans="1:19" x14ac:dyDescent="0.25">
      <c r="A4134" t="s">
        <v>11702</v>
      </c>
      <c r="B4134" t="s">
        <v>11703</v>
      </c>
      <c r="C4134" t="s">
        <v>16179</v>
      </c>
      <c r="D4134" t="s">
        <v>23</v>
      </c>
      <c r="E4134">
        <v>5075</v>
      </c>
      <c r="F4134" s="3">
        <v>41741</v>
      </c>
      <c r="H4134" t="s">
        <v>15523</v>
      </c>
      <c r="I4134" t="s">
        <v>16180</v>
      </c>
      <c r="K4134" t="e">
        <v>#N/A</v>
      </c>
      <c r="S4134" s="3"/>
    </row>
    <row r="4135" spans="1:19" x14ac:dyDescent="0.25">
      <c r="A4135" t="s">
        <v>11704</v>
      </c>
      <c r="B4135" t="s">
        <v>11705</v>
      </c>
      <c r="C4135" t="s">
        <v>16179</v>
      </c>
      <c r="D4135" t="s">
        <v>23</v>
      </c>
      <c r="E4135">
        <v>2065</v>
      </c>
      <c r="F4135" s="3">
        <v>40782</v>
      </c>
      <c r="H4135" t="s">
        <v>15523</v>
      </c>
      <c r="I4135" t="s">
        <v>16180</v>
      </c>
      <c r="K4135" t="e">
        <v>#N/A</v>
      </c>
      <c r="S4135" s="3"/>
    </row>
    <row r="4136" spans="1:19" x14ac:dyDescent="0.25">
      <c r="A4136" t="s">
        <v>11706</v>
      </c>
      <c r="B4136" t="s">
        <v>11707</v>
      </c>
      <c r="C4136" t="s">
        <v>16179</v>
      </c>
      <c r="D4136" t="s">
        <v>23</v>
      </c>
      <c r="E4136">
        <v>2081</v>
      </c>
      <c r="F4136" s="3">
        <v>40702</v>
      </c>
      <c r="H4136" t="s">
        <v>15523</v>
      </c>
      <c r="I4136" t="s">
        <v>16180</v>
      </c>
      <c r="K4136" t="e">
        <v>#N/A</v>
      </c>
      <c r="S4136" s="3"/>
    </row>
    <row r="4137" spans="1:19" x14ac:dyDescent="0.25">
      <c r="A4137" t="s">
        <v>11708</v>
      </c>
      <c r="B4137" t="s">
        <v>11709</v>
      </c>
      <c r="C4137" t="s">
        <v>16179</v>
      </c>
      <c r="D4137" t="s">
        <v>23</v>
      </c>
      <c r="E4137">
        <v>689</v>
      </c>
      <c r="F4137" s="3">
        <v>40702</v>
      </c>
      <c r="H4137" t="s">
        <v>15523</v>
      </c>
      <c r="I4137" t="s">
        <v>16180</v>
      </c>
      <c r="K4137" t="e">
        <v>#N/A</v>
      </c>
      <c r="S4137" s="3"/>
    </row>
    <row r="4138" spans="1:19" x14ac:dyDescent="0.25">
      <c r="A4138" t="s">
        <v>11710</v>
      </c>
      <c r="B4138" t="s">
        <v>11711</v>
      </c>
      <c r="C4138" t="s">
        <v>16179</v>
      </c>
      <c r="D4138" t="s">
        <v>23</v>
      </c>
      <c r="E4138">
        <v>2254</v>
      </c>
      <c r="F4138" s="3">
        <v>40702</v>
      </c>
      <c r="H4138" t="s">
        <v>15523</v>
      </c>
      <c r="I4138" t="s">
        <v>16180</v>
      </c>
      <c r="K4138" t="e">
        <v>#N/A</v>
      </c>
      <c r="S4138" s="3"/>
    </row>
    <row r="4139" spans="1:19" x14ac:dyDescent="0.25">
      <c r="A4139" t="s">
        <v>11712</v>
      </c>
      <c r="B4139" t="s">
        <v>11713</v>
      </c>
      <c r="C4139" t="s">
        <v>16179</v>
      </c>
      <c r="D4139" t="s">
        <v>23</v>
      </c>
      <c r="E4139">
        <v>690</v>
      </c>
      <c r="F4139" s="3">
        <v>40702</v>
      </c>
      <c r="H4139" t="s">
        <v>15523</v>
      </c>
      <c r="I4139" t="s">
        <v>16180</v>
      </c>
      <c r="K4139" t="e">
        <v>#N/A</v>
      </c>
      <c r="S4139" s="3"/>
    </row>
    <row r="4140" spans="1:19" x14ac:dyDescent="0.25">
      <c r="A4140" t="s">
        <v>11714</v>
      </c>
      <c r="B4140" t="s">
        <v>11715</v>
      </c>
      <c r="C4140" t="s">
        <v>11716</v>
      </c>
      <c r="D4140" t="s">
        <v>23</v>
      </c>
      <c r="E4140">
        <v>1473</v>
      </c>
      <c r="F4140" s="3">
        <v>40702</v>
      </c>
      <c r="H4140" t="s">
        <v>15523</v>
      </c>
      <c r="I4140" t="s">
        <v>18584</v>
      </c>
      <c r="K4140" t="e">
        <v>#N/A</v>
      </c>
      <c r="S4140" s="3"/>
    </row>
    <row r="4141" spans="1:19" x14ac:dyDescent="0.25">
      <c r="A4141" t="s">
        <v>11717</v>
      </c>
      <c r="B4141" t="s">
        <v>11718</v>
      </c>
      <c r="C4141" t="s">
        <v>11719</v>
      </c>
      <c r="D4141" t="s">
        <v>23</v>
      </c>
      <c r="E4141">
        <v>5590</v>
      </c>
      <c r="F4141" s="3">
        <v>42551</v>
      </c>
      <c r="H4141" t="s">
        <v>15523</v>
      </c>
      <c r="I4141" t="s">
        <v>18585</v>
      </c>
      <c r="K4141" t="e">
        <v>#N/A</v>
      </c>
      <c r="S4141" s="3"/>
    </row>
    <row r="4142" spans="1:19" x14ac:dyDescent="0.25">
      <c r="A4142" t="s">
        <v>11720</v>
      </c>
      <c r="B4142" t="s">
        <v>11721</v>
      </c>
      <c r="C4142" t="s">
        <v>11722</v>
      </c>
      <c r="D4142" t="s">
        <v>23</v>
      </c>
      <c r="E4142">
        <v>1474</v>
      </c>
      <c r="F4142" s="3">
        <v>40702</v>
      </c>
      <c r="H4142" t="s">
        <v>15523</v>
      </c>
      <c r="I4142" t="s">
        <v>18586</v>
      </c>
      <c r="K4142" t="e">
        <v>#N/A</v>
      </c>
      <c r="S4142" s="3"/>
    </row>
    <row r="4143" spans="1:19" x14ac:dyDescent="0.25">
      <c r="A4143" t="s">
        <v>11723</v>
      </c>
      <c r="B4143" t="s">
        <v>11724</v>
      </c>
      <c r="C4143" t="s">
        <v>11725</v>
      </c>
      <c r="D4143" t="s">
        <v>23</v>
      </c>
      <c r="E4143">
        <v>5745</v>
      </c>
      <c r="F4143" s="3">
        <v>42754</v>
      </c>
      <c r="H4143" t="s">
        <v>15523</v>
      </c>
      <c r="I4143" t="s">
        <v>18587</v>
      </c>
      <c r="K4143" t="e">
        <v>#N/A</v>
      </c>
      <c r="S4143" s="3"/>
    </row>
    <row r="4144" spans="1:19" x14ac:dyDescent="0.25">
      <c r="A4144" t="s">
        <v>11726</v>
      </c>
      <c r="B4144" t="s">
        <v>11727</v>
      </c>
      <c r="C4144" t="s">
        <v>11728</v>
      </c>
      <c r="D4144" t="s">
        <v>23</v>
      </c>
      <c r="E4144">
        <v>4634</v>
      </c>
      <c r="F4144" s="3">
        <v>40702</v>
      </c>
      <c r="H4144" t="s">
        <v>15523</v>
      </c>
      <c r="I4144" t="s">
        <v>18588</v>
      </c>
      <c r="K4144" t="e">
        <v>#N/A</v>
      </c>
      <c r="S4144" s="3"/>
    </row>
    <row r="4145" spans="1:19" x14ac:dyDescent="0.25">
      <c r="A4145" t="s">
        <v>11729</v>
      </c>
      <c r="B4145" t="s">
        <v>11730</v>
      </c>
      <c r="C4145" t="s">
        <v>11731</v>
      </c>
      <c r="D4145" t="s">
        <v>23</v>
      </c>
      <c r="E4145">
        <v>5885</v>
      </c>
      <c r="F4145" s="3">
        <v>43124</v>
      </c>
      <c r="H4145" t="s">
        <v>15523</v>
      </c>
      <c r="I4145" t="s">
        <v>18589</v>
      </c>
      <c r="K4145" t="e">
        <v>#N/A</v>
      </c>
      <c r="S4145" s="3"/>
    </row>
    <row r="4146" spans="1:19" x14ac:dyDescent="0.25">
      <c r="A4146" t="s">
        <v>11732</v>
      </c>
      <c r="B4146" t="s">
        <v>11733</v>
      </c>
      <c r="C4146" t="s">
        <v>16179</v>
      </c>
      <c r="D4146" t="s">
        <v>23</v>
      </c>
      <c r="E4146">
        <v>270</v>
      </c>
      <c r="F4146" s="3">
        <v>40702</v>
      </c>
      <c r="H4146" t="s">
        <v>15523</v>
      </c>
      <c r="I4146" t="s">
        <v>16180</v>
      </c>
      <c r="K4146" t="e">
        <v>#N/A</v>
      </c>
      <c r="S4146" s="3"/>
    </row>
    <row r="4147" spans="1:19" x14ac:dyDescent="0.25">
      <c r="A4147" t="s">
        <v>11734</v>
      </c>
      <c r="B4147" t="s">
        <v>11735</v>
      </c>
      <c r="C4147" t="s">
        <v>16179</v>
      </c>
      <c r="D4147" t="s">
        <v>23</v>
      </c>
      <c r="E4147">
        <v>4453</v>
      </c>
      <c r="F4147" s="3">
        <v>40702</v>
      </c>
      <c r="H4147" t="s">
        <v>15523</v>
      </c>
      <c r="I4147" t="s">
        <v>16180</v>
      </c>
      <c r="K4147" t="e">
        <v>#N/A</v>
      </c>
      <c r="S4147" s="3"/>
    </row>
    <row r="4148" spans="1:19" x14ac:dyDescent="0.25">
      <c r="A4148" t="s">
        <v>11736</v>
      </c>
      <c r="B4148" t="s">
        <v>11737</v>
      </c>
      <c r="C4148" t="s">
        <v>11738</v>
      </c>
      <c r="D4148" t="s">
        <v>23</v>
      </c>
      <c r="E4148">
        <v>4640</v>
      </c>
      <c r="F4148" s="3">
        <v>41230</v>
      </c>
      <c r="H4148" t="s">
        <v>15523</v>
      </c>
      <c r="I4148" t="s">
        <v>18590</v>
      </c>
      <c r="K4148" t="e">
        <v>#N/A</v>
      </c>
      <c r="S4148" s="3"/>
    </row>
    <row r="4149" spans="1:19" x14ac:dyDescent="0.25">
      <c r="A4149" t="s">
        <v>11739</v>
      </c>
      <c r="B4149" t="s">
        <v>11740</v>
      </c>
      <c r="C4149" t="s">
        <v>16179</v>
      </c>
      <c r="D4149" t="s">
        <v>23</v>
      </c>
      <c r="E4149">
        <v>5311</v>
      </c>
      <c r="F4149" s="3">
        <v>42196</v>
      </c>
      <c r="H4149" t="s">
        <v>15523</v>
      </c>
      <c r="I4149" t="s">
        <v>16180</v>
      </c>
      <c r="K4149" t="e">
        <v>#N/A</v>
      </c>
      <c r="S4149" s="3"/>
    </row>
    <row r="4150" spans="1:19" x14ac:dyDescent="0.25">
      <c r="A4150" t="s">
        <v>11741</v>
      </c>
      <c r="B4150" t="s">
        <v>11742</v>
      </c>
      <c r="C4150" t="s">
        <v>16179</v>
      </c>
      <c r="D4150" t="s">
        <v>23</v>
      </c>
      <c r="E4150">
        <v>4483</v>
      </c>
      <c r="F4150" s="3">
        <v>40703</v>
      </c>
      <c r="H4150" t="s">
        <v>15523</v>
      </c>
      <c r="I4150" t="s">
        <v>16180</v>
      </c>
      <c r="K4150" t="e">
        <v>#N/A</v>
      </c>
      <c r="S4150" s="3"/>
    </row>
    <row r="4151" spans="1:19" x14ac:dyDescent="0.25">
      <c r="A4151" t="s">
        <v>11743</v>
      </c>
      <c r="B4151" t="s">
        <v>11744</v>
      </c>
      <c r="C4151" t="s">
        <v>16179</v>
      </c>
      <c r="D4151" t="s">
        <v>23</v>
      </c>
      <c r="E4151">
        <v>808</v>
      </c>
      <c r="F4151" s="3">
        <v>40705</v>
      </c>
      <c r="H4151" t="s">
        <v>15523</v>
      </c>
      <c r="I4151" t="s">
        <v>16180</v>
      </c>
      <c r="K4151" t="e">
        <v>#N/A</v>
      </c>
      <c r="S4151" s="3"/>
    </row>
    <row r="4152" spans="1:19" x14ac:dyDescent="0.25">
      <c r="A4152" t="s">
        <v>11745</v>
      </c>
      <c r="B4152" t="s">
        <v>11746</v>
      </c>
      <c r="C4152" t="s">
        <v>16179</v>
      </c>
      <c r="D4152" t="s">
        <v>23</v>
      </c>
      <c r="E4152">
        <v>4486</v>
      </c>
      <c r="F4152" s="3">
        <v>40702</v>
      </c>
      <c r="H4152" t="s">
        <v>15523</v>
      </c>
      <c r="I4152" t="s">
        <v>16180</v>
      </c>
      <c r="K4152" t="e">
        <v>#N/A</v>
      </c>
      <c r="S4152" s="3"/>
    </row>
    <row r="4153" spans="1:19" x14ac:dyDescent="0.25">
      <c r="A4153" t="s">
        <v>11747</v>
      </c>
      <c r="B4153" t="s">
        <v>11748</v>
      </c>
      <c r="C4153" t="s">
        <v>16179</v>
      </c>
      <c r="D4153" t="s">
        <v>23</v>
      </c>
      <c r="E4153">
        <v>2578</v>
      </c>
      <c r="F4153" s="3">
        <v>40705</v>
      </c>
      <c r="H4153" t="s">
        <v>15523</v>
      </c>
      <c r="I4153" t="s">
        <v>16180</v>
      </c>
      <c r="K4153" t="e">
        <v>#N/A</v>
      </c>
      <c r="S4153" s="3"/>
    </row>
    <row r="4154" spans="1:19" x14ac:dyDescent="0.25">
      <c r="A4154" t="s">
        <v>11749</v>
      </c>
      <c r="B4154" t="s">
        <v>11750</v>
      </c>
      <c r="C4154" t="s">
        <v>16179</v>
      </c>
      <c r="D4154" t="s">
        <v>23</v>
      </c>
      <c r="E4154">
        <v>5315</v>
      </c>
      <c r="F4154" s="3">
        <v>42196</v>
      </c>
      <c r="H4154" t="s">
        <v>15523</v>
      </c>
      <c r="I4154" t="s">
        <v>16180</v>
      </c>
      <c r="K4154" t="e">
        <v>#N/A</v>
      </c>
      <c r="S4154" s="3"/>
    </row>
    <row r="4155" spans="1:19" x14ac:dyDescent="0.25">
      <c r="A4155" t="s">
        <v>11751</v>
      </c>
      <c r="B4155" t="s">
        <v>11752</v>
      </c>
      <c r="C4155" t="s">
        <v>16179</v>
      </c>
      <c r="D4155" t="s">
        <v>23</v>
      </c>
      <c r="E4155">
        <v>5086</v>
      </c>
      <c r="F4155" s="3">
        <v>41577</v>
      </c>
      <c r="H4155" t="s">
        <v>15523</v>
      </c>
      <c r="I4155" t="s">
        <v>16180</v>
      </c>
      <c r="K4155" t="e">
        <v>#N/A</v>
      </c>
      <c r="S4155" s="3"/>
    </row>
    <row r="4156" spans="1:19" x14ac:dyDescent="0.25">
      <c r="A4156" t="s">
        <v>11753</v>
      </c>
      <c r="B4156" t="s">
        <v>11754</v>
      </c>
      <c r="C4156" t="s">
        <v>16179</v>
      </c>
      <c r="D4156" t="s">
        <v>23</v>
      </c>
      <c r="E4156">
        <v>6042</v>
      </c>
      <c r="F4156" s="3">
        <v>43714</v>
      </c>
      <c r="H4156" t="s">
        <v>15523</v>
      </c>
      <c r="I4156" t="s">
        <v>16180</v>
      </c>
      <c r="K4156" t="e">
        <v>#N/A</v>
      </c>
      <c r="S4156" s="3"/>
    </row>
    <row r="4157" spans="1:19" x14ac:dyDescent="0.25">
      <c r="A4157" t="s">
        <v>11755</v>
      </c>
      <c r="B4157" t="s">
        <v>11756</v>
      </c>
      <c r="C4157" t="s">
        <v>11757</v>
      </c>
      <c r="D4157" t="s">
        <v>23</v>
      </c>
      <c r="E4157">
        <v>4653</v>
      </c>
      <c r="F4157" s="3">
        <v>40702</v>
      </c>
      <c r="H4157" t="s">
        <v>15523</v>
      </c>
      <c r="I4157" t="s">
        <v>18591</v>
      </c>
      <c r="K4157" t="e">
        <v>#N/A</v>
      </c>
      <c r="S4157" s="3"/>
    </row>
    <row r="4158" spans="1:19" x14ac:dyDescent="0.25">
      <c r="A4158" t="s">
        <v>11758</v>
      </c>
      <c r="B4158" t="s">
        <v>11759</v>
      </c>
      <c r="C4158" t="s">
        <v>11760</v>
      </c>
      <c r="D4158" t="s">
        <v>23</v>
      </c>
      <c r="E4158">
        <v>4654</v>
      </c>
      <c r="F4158" s="3">
        <v>40702</v>
      </c>
      <c r="H4158" t="s">
        <v>15523</v>
      </c>
      <c r="I4158" t="s">
        <v>18592</v>
      </c>
      <c r="K4158" t="e">
        <v>#N/A</v>
      </c>
      <c r="S4158" s="3"/>
    </row>
    <row r="4159" spans="1:19" x14ac:dyDescent="0.25">
      <c r="A4159" t="s">
        <v>11761</v>
      </c>
      <c r="B4159" t="s">
        <v>11762</v>
      </c>
      <c r="C4159" t="s">
        <v>11763</v>
      </c>
      <c r="D4159" t="s">
        <v>23</v>
      </c>
      <c r="E4159">
        <v>1481</v>
      </c>
      <c r="F4159" s="3">
        <v>40702</v>
      </c>
      <c r="H4159" t="s">
        <v>15523</v>
      </c>
      <c r="I4159" t="s">
        <v>18593</v>
      </c>
      <c r="K4159" t="e">
        <v>#N/A</v>
      </c>
      <c r="S4159" s="3"/>
    </row>
    <row r="4160" spans="1:19" x14ac:dyDescent="0.25">
      <c r="A4160" t="s">
        <v>11764</v>
      </c>
      <c r="B4160" t="s">
        <v>11765</v>
      </c>
      <c r="C4160" t="s">
        <v>11766</v>
      </c>
      <c r="D4160" t="s">
        <v>23</v>
      </c>
      <c r="E4160">
        <v>4655</v>
      </c>
      <c r="F4160" s="3">
        <v>40702</v>
      </c>
      <c r="H4160" t="s">
        <v>15523</v>
      </c>
      <c r="I4160" t="s">
        <v>18594</v>
      </c>
      <c r="K4160" t="e">
        <v>#N/A</v>
      </c>
      <c r="S4160" s="3"/>
    </row>
    <row r="4161" spans="1:19" x14ac:dyDescent="0.25">
      <c r="A4161" t="s">
        <v>11767</v>
      </c>
      <c r="B4161" t="s">
        <v>11768</v>
      </c>
      <c r="C4161" t="s">
        <v>11769</v>
      </c>
      <c r="D4161" t="s">
        <v>23</v>
      </c>
      <c r="E4161">
        <v>1480</v>
      </c>
      <c r="F4161" s="3">
        <v>40702</v>
      </c>
      <c r="H4161" t="s">
        <v>15523</v>
      </c>
      <c r="I4161" t="s">
        <v>18595</v>
      </c>
      <c r="K4161" t="e">
        <v>#N/A</v>
      </c>
      <c r="S4161" s="3"/>
    </row>
    <row r="4162" spans="1:19" x14ac:dyDescent="0.25">
      <c r="A4162" t="s">
        <v>11770</v>
      </c>
      <c r="B4162" t="s">
        <v>11771</v>
      </c>
      <c r="C4162" t="s">
        <v>11772</v>
      </c>
      <c r="D4162" t="s">
        <v>23</v>
      </c>
      <c r="E4162">
        <v>5833</v>
      </c>
      <c r="F4162" s="3">
        <v>43082</v>
      </c>
      <c r="H4162" t="s">
        <v>15523</v>
      </c>
      <c r="I4162" t="s">
        <v>18596</v>
      </c>
      <c r="K4162" t="e">
        <v>#N/A</v>
      </c>
      <c r="S4162" s="3"/>
    </row>
    <row r="4163" spans="1:19" x14ac:dyDescent="0.25">
      <c r="A4163" t="s">
        <v>11773</v>
      </c>
      <c r="B4163" t="s">
        <v>11774</v>
      </c>
      <c r="C4163" t="s">
        <v>11775</v>
      </c>
      <c r="D4163" t="s">
        <v>23</v>
      </c>
      <c r="E4163">
        <v>6059</v>
      </c>
      <c r="F4163" s="3">
        <v>43781</v>
      </c>
      <c r="H4163" t="s">
        <v>15523</v>
      </c>
      <c r="I4163" t="s">
        <v>18597</v>
      </c>
      <c r="K4163" t="e">
        <v>#N/A</v>
      </c>
      <c r="S4163" s="3"/>
    </row>
    <row r="4164" spans="1:19" x14ac:dyDescent="0.25">
      <c r="A4164" t="s">
        <v>11776</v>
      </c>
      <c r="B4164" t="s">
        <v>11777</v>
      </c>
      <c r="C4164" t="s">
        <v>16179</v>
      </c>
      <c r="D4164" t="s">
        <v>23</v>
      </c>
      <c r="E4164">
        <v>5288</v>
      </c>
      <c r="F4164" s="3">
        <v>42087</v>
      </c>
      <c r="H4164" t="s">
        <v>15523</v>
      </c>
      <c r="I4164" t="s">
        <v>16180</v>
      </c>
      <c r="K4164" t="e">
        <v>#N/A</v>
      </c>
      <c r="S4164" s="3"/>
    </row>
    <row r="4165" spans="1:19" x14ac:dyDescent="0.25">
      <c r="A4165" t="s">
        <v>11778</v>
      </c>
      <c r="B4165" t="s">
        <v>11779</v>
      </c>
      <c r="C4165" t="s">
        <v>16179</v>
      </c>
      <c r="D4165" t="s">
        <v>23</v>
      </c>
      <c r="E4165">
        <v>4498</v>
      </c>
      <c r="F4165" s="3">
        <v>40782</v>
      </c>
      <c r="H4165" t="s">
        <v>15523</v>
      </c>
      <c r="I4165" t="s">
        <v>16180</v>
      </c>
      <c r="K4165" t="e">
        <v>#N/A</v>
      </c>
      <c r="S4165" s="3"/>
    </row>
    <row r="4166" spans="1:19" x14ac:dyDescent="0.25">
      <c r="A4166" t="s">
        <v>11780</v>
      </c>
      <c r="B4166" t="s">
        <v>11781</v>
      </c>
      <c r="C4166" t="s">
        <v>16179</v>
      </c>
      <c r="D4166" t="s">
        <v>23</v>
      </c>
      <c r="E4166">
        <v>5967</v>
      </c>
      <c r="F4166" s="3">
        <v>43330</v>
      </c>
      <c r="H4166" t="s">
        <v>15523</v>
      </c>
      <c r="I4166" t="s">
        <v>16180</v>
      </c>
      <c r="K4166" t="e">
        <v>#N/A</v>
      </c>
      <c r="S4166" s="3"/>
    </row>
    <row r="4167" spans="1:19" x14ac:dyDescent="0.25">
      <c r="A4167" t="s">
        <v>11782</v>
      </c>
      <c r="B4167" t="s">
        <v>11783</v>
      </c>
      <c r="C4167" t="s">
        <v>16179</v>
      </c>
      <c r="D4167" t="s">
        <v>23</v>
      </c>
      <c r="E4167">
        <v>6039</v>
      </c>
      <c r="F4167" s="3">
        <v>43677</v>
      </c>
      <c r="H4167" t="s">
        <v>15523</v>
      </c>
      <c r="I4167" t="s">
        <v>16180</v>
      </c>
      <c r="K4167" t="e">
        <v>#N/A</v>
      </c>
      <c r="S4167" s="3"/>
    </row>
    <row r="4168" spans="1:19" x14ac:dyDescent="0.25">
      <c r="A4168" t="s">
        <v>11784</v>
      </c>
      <c r="B4168" t="s">
        <v>11785</v>
      </c>
      <c r="C4168" t="s">
        <v>16179</v>
      </c>
      <c r="D4168" t="s">
        <v>23</v>
      </c>
      <c r="E4168">
        <v>6040</v>
      </c>
      <c r="F4168" s="3">
        <v>43677</v>
      </c>
      <c r="H4168" t="s">
        <v>15523</v>
      </c>
      <c r="I4168" t="s">
        <v>16180</v>
      </c>
      <c r="K4168" t="e">
        <v>#N/A</v>
      </c>
      <c r="S4168" s="3"/>
    </row>
    <row r="4169" spans="1:19" x14ac:dyDescent="0.25">
      <c r="A4169" t="s">
        <v>11786</v>
      </c>
      <c r="B4169" t="s">
        <v>11787</v>
      </c>
      <c r="C4169" t="s">
        <v>16179</v>
      </c>
      <c r="D4169" t="s">
        <v>23</v>
      </c>
      <c r="E4169">
        <v>4565</v>
      </c>
      <c r="F4169" s="3">
        <v>40702</v>
      </c>
      <c r="H4169" t="s">
        <v>15523</v>
      </c>
      <c r="I4169" t="s">
        <v>16180</v>
      </c>
      <c r="K4169" t="e">
        <v>#N/A</v>
      </c>
      <c r="S4169" s="3"/>
    </row>
    <row r="4170" spans="1:19" x14ac:dyDescent="0.25">
      <c r="A4170" t="s">
        <v>11788</v>
      </c>
      <c r="B4170" t="s">
        <v>11789</v>
      </c>
      <c r="C4170" t="s">
        <v>16179</v>
      </c>
      <c r="D4170" t="s">
        <v>23</v>
      </c>
      <c r="E4170">
        <v>5292</v>
      </c>
      <c r="F4170" s="3">
        <v>42088</v>
      </c>
      <c r="H4170" t="s">
        <v>15523</v>
      </c>
      <c r="I4170" t="s">
        <v>16180</v>
      </c>
      <c r="K4170" t="e">
        <v>#N/A</v>
      </c>
      <c r="S4170" s="3"/>
    </row>
    <row r="4171" spans="1:19" x14ac:dyDescent="0.25">
      <c r="A4171" t="s">
        <v>11790</v>
      </c>
      <c r="B4171" t="s">
        <v>11791</v>
      </c>
      <c r="C4171" t="s">
        <v>16179</v>
      </c>
      <c r="D4171" t="s">
        <v>23</v>
      </c>
      <c r="E4171">
        <v>5293</v>
      </c>
      <c r="F4171" s="3">
        <v>42088</v>
      </c>
      <c r="H4171" t="s">
        <v>15523</v>
      </c>
      <c r="I4171" t="s">
        <v>16180</v>
      </c>
      <c r="K4171" t="e">
        <v>#N/A</v>
      </c>
      <c r="S4171" s="3"/>
    </row>
    <row r="4172" spans="1:19" x14ac:dyDescent="0.25">
      <c r="A4172" t="s">
        <v>11792</v>
      </c>
      <c r="B4172" t="s">
        <v>11793</v>
      </c>
      <c r="C4172" t="s">
        <v>16179</v>
      </c>
      <c r="D4172" t="s">
        <v>23</v>
      </c>
      <c r="E4172">
        <v>4566</v>
      </c>
      <c r="F4172" s="3">
        <v>40702</v>
      </c>
      <c r="H4172" t="s">
        <v>15523</v>
      </c>
      <c r="I4172" t="s">
        <v>16180</v>
      </c>
      <c r="K4172" t="e">
        <v>#N/A</v>
      </c>
      <c r="S4172" s="3"/>
    </row>
    <row r="4173" spans="1:19" x14ac:dyDescent="0.25">
      <c r="A4173" t="s">
        <v>11794</v>
      </c>
      <c r="B4173" t="s">
        <v>11795</v>
      </c>
      <c r="C4173" t="s">
        <v>11796</v>
      </c>
      <c r="D4173" t="s">
        <v>23</v>
      </c>
      <c r="E4173">
        <v>1488</v>
      </c>
      <c r="F4173" s="3">
        <v>41461</v>
      </c>
      <c r="H4173" t="s">
        <v>15523</v>
      </c>
      <c r="I4173" t="s">
        <v>18598</v>
      </c>
      <c r="K4173" t="e">
        <v>#N/A</v>
      </c>
      <c r="S4173" s="3"/>
    </row>
    <row r="4174" spans="1:19" x14ac:dyDescent="0.25">
      <c r="A4174" t="s">
        <v>11797</v>
      </c>
      <c r="B4174" t="s">
        <v>11798</v>
      </c>
      <c r="C4174" t="s">
        <v>16179</v>
      </c>
      <c r="D4174" t="s">
        <v>23</v>
      </c>
      <c r="E4174">
        <v>2583</v>
      </c>
      <c r="F4174" s="3">
        <v>40702</v>
      </c>
      <c r="H4174" t="s">
        <v>15523</v>
      </c>
      <c r="I4174" t="s">
        <v>16180</v>
      </c>
      <c r="K4174" t="e">
        <v>#N/A</v>
      </c>
      <c r="S4174" s="3"/>
    </row>
    <row r="4175" spans="1:19" x14ac:dyDescent="0.25">
      <c r="A4175" t="s">
        <v>11799</v>
      </c>
      <c r="B4175" t="s">
        <v>11800</v>
      </c>
      <c r="C4175" t="s">
        <v>11801</v>
      </c>
      <c r="D4175" t="s">
        <v>23</v>
      </c>
      <c r="E4175">
        <v>4675</v>
      </c>
      <c r="F4175" s="3">
        <v>40702</v>
      </c>
      <c r="H4175" t="s">
        <v>15523</v>
      </c>
      <c r="I4175" t="s">
        <v>18599</v>
      </c>
      <c r="K4175" t="e">
        <v>#N/A</v>
      </c>
      <c r="S4175" s="3"/>
    </row>
    <row r="4176" spans="1:19" x14ac:dyDescent="0.25">
      <c r="A4176" t="s">
        <v>11802</v>
      </c>
      <c r="B4176" t="s">
        <v>11803</v>
      </c>
      <c r="C4176" t="s">
        <v>16179</v>
      </c>
      <c r="D4176" t="s">
        <v>23</v>
      </c>
      <c r="E4176">
        <v>4583</v>
      </c>
      <c r="F4176" s="3">
        <v>40702</v>
      </c>
      <c r="H4176" t="s">
        <v>15523</v>
      </c>
      <c r="I4176" t="s">
        <v>16180</v>
      </c>
      <c r="K4176" t="e">
        <v>#N/A</v>
      </c>
      <c r="S4176" s="3"/>
    </row>
    <row r="4177" spans="1:19" x14ac:dyDescent="0.25">
      <c r="A4177" t="s">
        <v>11804</v>
      </c>
      <c r="B4177" t="s">
        <v>11805</v>
      </c>
      <c r="C4177" t="s">
        <v>16179</v>
      </c>
      <c r="D4177" t="s">
        <v>23</v>
      </c>
      <c r="E4177">
        <v>5627</v>
      </c>
      <c r="F4177" s="3">
        <v>42602</v>
      </c>
      <c r="H4177" t="s">
        <v>15523</v>
      </c>
      <c r="I4177" t="s">
        <v>16180</v>
      </c>
      <c r="K4177" t="e">
        <v>#N/A</v>
      </c>
      <c r="S4177" s="3"/>
    </row>
    <row r="4178" spans="1:19" x14ac:dyDescent="0.25">
      <c r="A4178" t="s">
        <v>11806</v>
      </c>
      <c r="B4178" t="s">
        <v>11807</v>
      </c>
      <c r="C4178" t="s">
        <v>16179</v>
      </c>
      <c r="D4178" t="s">
        <v>23</v>
      </c>
      <c r="E4178">
        <v>4608</v>
      </c>
      <c r="F4178" s="3">
        <v>40702</v>
      </c>
      <c r="H4178" t="s">
        <v>15523</v>
      </c>
      <c r="I4178" t="s">
        <v>16180</v>
      </c>
      <c r="K4178" t="e">
        <v>#N/A</v>
      </c>
      <c r="S4178" s="3"/>
    </row>
    <row r="4179" spans="1:19" x14ac:dyDescent="0.25">
      <c r="A4179" t="s">
        <v>11808</v>
      </c>
      <c r="B4179" t="s">
        <v>11809</v>
      </c>
      <c r="C4179" t="s">
        <v>16179</v>
      </c>
      <c r="D4179" t="s">
        <v>23</v>
      </c>
      <c r="E4179">
        <v>4609</v>
      </c>
      <c r="F4179" s="3">
        <v>40702</v>
      </c>
      <c r="H4179" t="s">
        <v>15523</v>
      </c>
      <c r="I4179" t="s">
        <v>16180</v>
      </c>
      <c r="K4179" t="e">
        <v>#N/A</v>
      </c>
      <c r="S4179" s="3"/>
    </row>
    <row r="4180" spans="1:19" x14ac:dyDescent="0.25">
      <c r="A4180" t="s">
        <v>11810</v>
      </c>
      <c r="B4180" t="s">
        <v>11811</v>
      </c>
      <c r="C4180" t="s">
        <v>11812</v>
      </c>
      <c r="D4180" t="s">
        <v>23</v>
      </c>
      <c r="E4180">
        <v>4694</v>
      </c>
      <c r="F4180" s="3">
        <v>40702</v>
      </c>
      <c r="H4180" t="s">
        <v>15523</v>
      </c>
      <c r="I4180" t="s">
        <v>18600</v>
      </c>
      <c r="K4180" t="e">
        <v>#N/A</v>
      </c>
      <c r="S4180" s="3"/>
    </row>
    <row r="4181" spans="1:19" x14ac:dyDescent="0.25">
      <c r="A4181" t="s">
        <v>11813</v>
      </c>
      <c r="B4181" t="s">
        <v>11814</v>
      </c>
      <c r="C4181" t="s">
        <v>11815</v>
      </c>
      <c r="D4181" t="s">
        <v>23</v>
      </c>
      <c r="E4181">
        <v>4695</v>
      </c>
      <c r="F4181" s="3">
        <v>41013</v>
      </c>
      <c r="H4181" t="s">
        <v>15523</v>
      </c>
      <c r="I4181" t="s">
        <v>18601</v>
      </c>
      <c r="K4181" t="e">
        <v>#N/A</v>
      </c>
      <c r="S4181" s="3"/>
    </row>
    <row r="4182" spans="1:19" x14ac:dyDescent="0.25">
      <c r="A4182" t="s">
        <v>11816</v>
      </c>
      <c r="B4182" t="s">
        <v>11817</v>
      </c>
      <c r="C4182" t="s">
        <v>11818</v>
      </c>
      <c r="D4182" t="s">
        <v>23</v>
      </c>
      <c r="E4182">
        <v>4696</v>
      </c>
      <c r="F4182" s="3">
        <v>41013</v>
      </c>
      <c r="H4182" t="s">
        <v>15523</v>
      </c>
      <c r="I4182" t="s">
        <v>18602</v>
      </c>
      <c r="K4182" t="e">
        <v>#N/A</v>
      </c>
      <c r="S4182" s="3"/>
    </row>
    <row r="4183" spans="1:19" x14ac:dyDescent="0.25">
      <c r="A4183" t="s">
        <v>11819</v>
      </c>
      <c r="B4183" t="s">
        <v>11820</v>
      </c>
      <c r="C4183" t="s">
        <v>11821</v>
      </c>
      <c r="D4183" t="s">
        <v>23</v>
      </c>
      <c r="E4183">
        <v>4697</v>
      </c>
      <c r="F4183" s="3">
        <v>40702</v>
      </c>
      <c r="H4183" t="s">
        <v>15523</v>
      </c>
      <c r="I4183" t="s">
        <v>18603</v>
      </c>
      <c r="K4183" t="e">
        <v>#N/A</v>
      </c>
      <c r="S4183" s="3"/>
    </row>
    <row r="4184" spans="1:19" x14ac:dyDescent="0.25">
      <c r="A4184" t="s">
        <v>11822</v>
      </c>
      <c r="B4184" t="s">
        <v>11823</v>
      </c>
      <c r="C4184" t="s">
        <v>11824</v>
      </c>
      <c r="D4184" t="s">
        <v>23</v>
      </c>
      <c r="E4184">
        <v>2493</v>
      </c>
      <c r="F4184" s="3">
        <v>40702</v>
      </c>
      <c r="H4184" t="s">
        <v>15523</v>
      </c>
      <c r="I4184" t="s">
        <v>18604</v>
      </c>
      <c r="K4184" t="e">
        <v>#N/A</v>
      </c>
      <c r="S4184" s="3"/>
    </row>
    <row r="4185" spans="1:19" x14ac:dyDescent="0.25">
      <c r="A4185" t="s">
        <v>11825</v>
      </c>
      <c r="B4185" t="s">
        <v>11826</v>
      </c>
      <c r="C4185" t="s">
        <v>11827</v>
      </c>
      <c r="D4185" t="s">
        <v>23</v>
      </c>
      <c r="E4185">
        <v>4698</v>
      </c>
      <c r="F4185" s="3">
        <v>40702</v>
      </c>
      <c r="H4185" t="s">
        <v>15523</v>
      </c>
      <c r="I4185" t="s">
        <v>18605</v>
      </c>
      <c r="K4185" t="e">
        <v>#N/A</v>
      </c>
      <c r="S4185" s="3"/>
    </row>
    <row r="4186" spans="1:19" x14ac:dyDescent="0.25">
      <c r="A4186" t="s">
        <v>11828</v>
      </c>
      <c r="B4186" t="s">
        <v>11829</v>
      </c>
      <c r="C4186" t="s">
        <v>11830</v>
      </c>
      <c r="D4186" t="s">
        <v>23</v>
      </c>
      <c r="E4186">
        <v>6056</v>
      </c>
      <c r="F4186" s="3">
        <v>43781</v>
      </c>
      <c r="H4186" t="s">
        <v>15523</v>
      </c>
      <c r="I4186" t="s">
        <v>18606</v>
      </c>
      <c r="K4186" t="e">
        <v>#N/A</v>
      </c>
      <c r="S4186" s="3"/>
    </row>
    <row r="4187" spans="1:19" x14ac:dyDescent="0.25">
      <c r="A4187" t="s">
        <v>11831</v>
      </c>
      <c r="B4187" t="s">
        <v>11832</v>
      </c>
      <c r="C4187" t="s">
        <v>11833</v>
      </c>
      <c r="D4187" t="s">
        <v>23</v>
      </c>
      <c r="E4187">
        <v>5056</v>
      </c>
      <c r="F4187" s="3">
        <v>41660</v>
      </c>
      <c r="H4187" t="s">
        <v>15523</v>
      </c>
      <c r="I4187" t="s">
        <v>18607</v>
      </c>
      <c r="K4187" t="e">
        <v>#N/A</v>
      </c>
      <c r="S4187" s="3"/>
    </row>
    <row r="4188" spans="1:19" x14ac:dyDescent="0.25">
      <c r="A4188" t="s">
        <v>11834</v>
      </c>
      <c r="B4188" t="s">
        <v>11835</v>
      </c>
      <c r="C4188" t="s">
        <v>11836</v>
      </c>
      <c r="D4188" t="s">
        <v>23</v>
      </c>
      <c r="E4188">
        <v>4699</v>
      </c>
      <c r="F4188" s="3">
        <v>40702</v>
      </c>
      <c r="H4188" t="s">
        <v>15523</v>
      </c>
      <c r="I4188" t="s">
        <v>18608</v>
      </c>
      <c r="K4188" t="e">
        <v>#N/A</v>
      </c>
      <c r="S4188" s="3"/>
    </row>
    <row r="4189" spans="1:19" x14ac:dyDescent="0.25">
      <c r="A4189" t="s">
        <v>11837</v>
      </c>
      <c r="B4189" t="s">
        <v>11838</v>
      </c>
      <c r="C4189" t="s">
        <v>16179</v>
      </c>
      <c r="D4189" t="s">
        <v>23</v>
      </c>
      <c r="E4189">
        <v>5314</v>
      </c>
      <c r="F4189" s="3">
        <v>42196</v>
      </c>
      <c r="H4189" t="s">
        <v>15523</v>
      </c>
      <c r="I4189" t="s">
        <v>16180</v>
      </c>
      <c r="K4189" t="e">
        <v>#N/A</v>
      </c>
      <c r="S4189" s="3"/>
    </row>
    <row r="4190" spans="1:19" x14ac:dyDescent="0.25">
      <c r="A4190" t="s">
        <v>11839</v>
      </c>
      <c r="B4190" t="s">
        <v>11840</v>
      </c>
      <c r="C4190" t="s">
        <v>16179</v>
      </c>
      <c r="D4190" t="s">
        <v>23</v>
      </c>
      <c r="E4190">
        <v>2177</v>
      </c>
      <c r="F4190" s="3">
        <v>40782</v>
      </c>
      <c r="H4190" t="s">
        <v>15523</v>
      </c>
      <c r="I4190" t="s">
        <v>16180</v>
      </c>
      <c r="K4190" t="e">
        <v>#N/A</v>
      </c>
      <c r="S4190" s="3"/>
    </row>
    <row r="4191" spans="1:19" x14ac:dyDescent="0.25">
      <c r="A4191" t="s">
        <v>11841</v>
      </c>
      <c r="B4191" t="s">
        <v>11842</v>
      </c>
      <c r="C4191" t="s">
        <v>16179</v>
      </c>
      <c r="D4191" t="s">
        <v>23</v>
      </c>
      <c r="E4191">
        <v>4614</v>
      </c>
      <c r="F4191" s="3">
        <v>40782</v>
      </c>
      <c r="H4191" t="s">
        <v>15523</v>
      </c>
      <c r="I4191" t="s">
        <v>16180</v>
      </c>
      <c r="K4191" t="e">
        <v>#N/A</v>
      </c>
      <c r="S4191" s="3"/>
    </row>
    <row r="4192" spans="1:19" x14ac:dyDescent="0.25">
      <c r="A4192" t="s">
        <v>11843</v>
      </c>
      <c r="B4192" t="s">
        <v>11844</v>
      </c>
      <c r="C4192" t="s">
        <v>11845</v>
      </c>
      <c r="D4192" t="s">
        <v>23</v>
      </c>
      <c r="E4192">
        <v>4702</v>
      </c>
      <c r="F4192" s="3">
        <v>40702</v>
      </c>
      <c r="H4192" t="s">
        <v>15523</v>
      </c>
      <c r="I4192" t="s">
        <v>18609</v>
      </c>
      <c r="K4192" t="e">
        <v>#N/A</v>
      </c>
      <c r="S4192" s="3"/>
    </row>
    <row r="4193" spans="1:19" x14ac:dyDescent="0.25">
      <c r="A4193" t="s">
        <v>11846</v>
      </c>
      <c r="B4193" t="s">
        <v>11847</v>
      </c>
      <c r="C4193" t="s">
        <v>16179</v>
      </c>
      <c r="D4193" t="s">
        <v>23</v>
      </c>
      <c r="E4193">
        <v>2689</v>
      </c>
      <c r="F4193" s="3">
        <v>40702</v>
      </c>
      <c r="H4193" t="s">
        <v>15523</v>
      </c>
      <c r="I4193" t="s">
        <v>16180</v>
      </c>
      <c r="K4193" t="e">
        <v>#N/A</v>
      </c>
      <c r="S4193" s="3"/>
    </row>
    <row r="4194" spans="1:19" x14ac:dyDescent="0.25">
      <c r="A4194" t="s">
        <v>11848</v>
      </c>
      <c r="B4194" t="s">
        <v>11849</v>
      </c>
      <c r="C4194" t="s">
        <v>11850</v>
      </c>
      <c r="D4194" t="s">
        <v>23</v>
      </c>
      <c r="E4194">
        <v>4718</v>
      </c>
      <c r="F4194" s="3">
        <v>40702</v>
      </c>
      <c r="H4194" t="s">
        <v>15523</v>
      </c>
      <c r="I4194" t="s">
        <v>18610</v>
      </c>
      <c r="K4194" t="e">
        <v>#N/A</v>
      </c>
      <c r="S4194" s="3"/>
    </row>
    <row r="4195" spans="1:19" x14ac:dyDescent="0.25">
      <c r="A4195" t="s">
        <v>11851</v>
      </c>
      <c r="B4195" t="s">
        <v>11852</v>
      </c>
      <c r="C4195" t="s">
        <v>11853</v>
      </c>
      <c r="D4195" t="s">
        <v>23</v>
      </c>
      <c r="E4195">
        <v>4727</v>
      </c>
      <c r="F4195" s="3">
        <v>40702</v>
      </c>
      <c r="H4195" t="s">
        <v>15523</v>
      </c>
      <c r="I4195" t="s">
        <v>18611</v>
      </c>
      <c r="K4195" t="e">
        <v>#N/A</v>
      </c>
      <c r="S4195" s="3"/>
    </row>
    <row r="4196" spans="1:19" x14ac:dyDescent="0.25">
      <c r="A4196" t="s">
        <v>11854</v>
      </c>
      <c r="B4196" t="s">
        <v>11855</v>
      </c>
      <c r="C4196" t="s">
        <v>11856</v>
      </c>
      <c r="D4196" t="s">
        <v>23</v>
      </c>
      <c r="E4196">
        <v>5057</v>
      </c>
      <c r="F4196" s="3">
        <v>41660</v>
      </c>
      <c r="H4196" t="s">
        <v>15523</v>
      </c>
      <c r="I4196" t="s">
        <v>18612</v>
      </c>
      <c r="K4196" t="e">
        <v>#N/A</v>
      </c>
      <c r="S4196" s="3"/>
    </row>
    <row r="4197" spans="1:19" x14ac:dyDescent="0.25">
      <c r="A4197" t="s">
        <v>11857</v>
      </c>
      <c r="B4197" t="s">
        <v>11858</v>
      </c>
      <c r="C4197" t="s">
        <v>11859</v>
      </c>
      <c r="D4197" t="s">
        <v>23</v>
      </c>
      <c r="E4197">
        <v>1503</v>
      </c>
      <c r="F4197" s="3">
        <v>40702</v>
      </c>
      <c r="H4197" t="s">
        <v>15523</v>
      </c>
      <c r="I4197" t="s">
        <v>18613</v>
      </c>
      <c r="K4197" t="e">
        <v>#N/A</v>
      </c>
      <c r="S4197" s="3"/>
    </row>
    <row r="4198" spans="1:19" x14ac:dyDescent="0.25">
      <c r="A4198" t="s">
        <v>11860</v>
      </c>
      <c r="B4198" t="s">
        <v>11861</v>
      </c>
      <c r="C4198" t="s">
        <v>11862</v>
      </c>
      <c r="D4198" t="s">
        <v>23</v>
      </c>
      <c r="E4198">
        <v>4731</v>
      </c>
      <c r="F4198" s="3">
        <v>40702</v>
      </c>
      <c r="H4198" t="s">
        <v>15523</v>
      </c>
      <c r="I4198" t="s">
        <v>18614</v>
      </c>
      <c r="K4198" t="e">
        <v>#N/A</v>
      </c>
      <c r="S4198" s="3"/>
    </row>
    <row r="4199" spans="1:19" x14ac:dyDescent="0.25">
      <c r="A4199" t="s">
        <v>11863</v>
      </c>
      <c r="B4199" t="s">
        <v>11864</v>
      </c>
      <c r="C4199" t="s">
        <v>11865</v>
      </c>
      <c r="D4199" t="s">
        <v>23</v>
      </c>
      <c r="E4199">
        <v>4732</v>
      </c>
      <c r="F4199" s="3">
        <v>40702</v>
      </c>
      <c r="H4199" t="s">
        <v>15523</v>
      </c>
      <c r="I4199" t="s">
        <v>18615</v>
      </c>
      <c r="K4199" t="e">
        <v>#N/A</v>
      </c>
      <c r="S4199" s="3"/>
    </row>
    <row r="4200" spans="1:19" x14ac:dyDescent="0.25">
      <c r="A4200" t="s">
        <v>11866</v>
      </c>
      <c r="B4200" t="s">
        <v>11867</v>
      </c>
      <c r="C4200" t="s">
        <v>11868</v>
      </c>
      <c r="D4200" t="s">
        <v>23</v>
      </c>
      <c r="E4200">
        <v>4733</v>
      </c>
      <c r="F4200" s="3">
        <v>41230</v>
      </c>
      <c r="H4200" t="s">
        <v>15523</v>
      </c>
      <c r="I4200" t="s">
        <v>18616</v>
      </c>
      <c r="K4200" t="e">
        <v>#N/A</v>
      </c>
      <c r="S4200" s="3"/>
    </row>
    <row r="4201" spans="1:19" x14ac:dyDescent="0.25">
      <c r="A4201" t="s">
        <v>11869</v>
      </c>
      <c r="B4201" t="s">
        <v>11870</v>
      </c>
      <c r="C4201" t="s">
        <v>11871</v>
      </c>
      <c r="D4201" t="s">
        <v>23</v>
      </c>
      <c r="E4201">
        <v>4734</v>
      </c>
      <c r="F4201" s="3">
        <v>40702</v>
      </c>
      <c r="H4201" t="s">
        <v>15523</v>
      </c>
      <c r="I4201" t="s">
        <v>18617</v>
      </c>
      <c r="K4201" t="e">
        <v>#N/A</v>
      </c>
      <c r="S4201" s="3"/>
    </row>
    <row r="4202" spans="1:19" x14ac:dyDescent="0.25">
      <c r="A4202" t="s">
        <v>11872</v>
      </c>
      <c r="B4202" t="s">
        <v>11873</v>
      </c>
      <c r="C4202" t="s">
        <v>11874</v>
      </c>
      <c r="D4202" t="s">
        <v>23</v>
      </c>
      <c r="E4202">
        <v>4735</v>
      </c>
      <c r="F4202" s="3">
        <v>40702</v>
      </c>
      <c r="H4202" t="s">
        <v>15523</v>
      </c>
      <c r="I4202" t="s">
        <v>18618</v>
      </c>
      <c r="K4202" t="e">
        <v>#N/A</v>
      </c>
      <c r="S4202" s="3"/>
    </row>
    <row r="4203" spans="1:19" x14ac:dyDescent="0.25">
      <c r="A4203" t="s">
        <v>11875</v>
      </c>
      <c r="B4203" t="s">
        <v>11876</v>
      </c>
      <c r="C4203" t="s">
        <v>11877</v>
      </c>
      <c r="D4203" t="s">
        <v>23</v>
      </c>
      <c r="E4203">
        <v>4736</v>
      </c>
      <c r="F4203" s="3">
        <v>40702</v>
      </c>
      <c r="H4203" t="s">
        <v>15523</v>
      </c>
      <c r="I4203" t="s">
        <v>18619</v>
      </c>
      <c r="K4203" t="e">
        <v>#N/A</v>
      </c>
      <c r="S4203" s="3"/>
    </row>
    <row r="4204" spans="1:19" x14ac:dyDescent="0.25">
      <c r="A4204" t="s">
        <v>11878</v>
      </c>
      <c r="B4204" t="s">
        <v>11879</v>
      </c>
      <c r="C4204" t="s">
        <v>11880</v>
      </c>
      <c r="D4204" t="s">
        <v>23</v>
      </c>
      <c r="E4204">
        <v>5976</v>
      </c>
      <c r="F4204" s="3">
        <v>43375</v>
      </c>
      <c r="H4204" t="s">
        <v>15523</v>
      </c>
      <c r="I4204" t="s">
        <v>18620</v>
      </c>
      <c r="K4204" t="e">
        <v>#N/A</v>
      </c>
      <c r="S4204" s="3"/>
    </row>
    <row r="4205" spans="1:19" x14ac:dyDescent="0.25">
      <c r="A4205" t="s">
        <v>11881</v>
      </c>
      <c r="B4205" t="s">
        <v>11882</v>
      </c>
      <c r="C4205" t="s">
        <v>11883</v>
      </c>
      <c r="D4205" t="s">
        <v>23</v>
      </c>
      <c r="E4205">
        <v>5604</v>
      </c>
      <c r="F4205" s="3">
        <v>42551</v>
      </c>
      <c r="H4205" t="s">
        <v>15523</v>
      </c>
      <c r="I4205" t="s">
        <v>18621</v>
      </c>
      <c r="K4205" t="e">
        <v>#N/A</v>
      </c>
      <c r="S4205" s="3"/>
    </row>
    <row r="4206" spans="1:19" x14ac:dyDescent="0.25">
      <c r="A4206" t="s">
        <v>11884</v>
      </c>
      <c r="B4206" t="s">
        <v>11885</v>
      </c>
      <c r="C4206" t="s">
        <v>11886</v>
      </c>
      <c r="D4206" t="s">
        <v>23</v>
      </c>
      <c r="E4206">
        <v>4737</v>
      </c>
      <c r="F4206" s="3">
        <v>40702</v>
      </c>
      <c r="H4206" t="s">
        <v>15523</v>
      </c>
      <c r="I4206" t="s">
        <v>18622</v>
      </c>
      <c r="K4206" t="e">
        <v>#N/A</v>
      </c>
      <c r="S4206" s="3"/>
    </row>
    <row r="4207" spans="1:19" x14ac:dyDescent="0.25">
      <c r="A4207" t="s">
        <v>11887</v>
      </c>
      <c r="B4207" t="s">
        <v>11888</v>
      </c>
      <c r="C4207" t="s">
        <v>11889</v>
      </c>
      <c r="D4207" t="s">
        <v>23</v>
      </c>
      <c r="E4207">
        <v>2494</v>
      </c>
      <c r="F4207" s="3">
        <v>40702</v>
      </c>
      <c r="H4207" t="s">
        <v>15523</v>
      </c>
      <c r="I4207" t="s">
        <v>18623</v>
      </c>
      <c r="K4207" t="e">
        <v>#N/A</v>
      </c>
      <c r="S4207" s="3"/>
    </row>
    <row r="4208" spans="1:19" x14ac:dyDescent="0.25">
      <c r="A4208" t="s">
        <v>11890</v>
      </c>
      <c r="B4208" t="s">
        <v>11891</v>
      </c>
      <c r="C4208" t="s">
        <v>11892</v>
      </c>
      <c r="D4208" t="s">
        <v>23</v>
      </c>
      <c r="E4208">
        <v>4738</v>
      </c>
      <c r="F4208" s="3">
        <v>40702</v>
      </c>
      <c r="H4208" t="s">
        <v>15523</v>
      </c>
      <c r="I4208" t="s">
        <v>18624</v>
      </c>
      <c r="K4208" t="e">
        <v>#N/A</v>
      </c>
      <c r="S4208" s="3"/>
    </row>
    <row r="4209" spans="1:19" x14ac:dyDescent="0.25">
      <c r="A4209" t="s">
        <v>11893</v>
      </c>
      <c r="B4209" t="s">
        <v>11894</v>
      </c>
      <c r="C4209" t="s">
        <v>11895</v>
      </c>
      <c r="D4209" t="s">
        <v>23</v>
      </c>
      <c r="E4209">
        <v>4739</v>
      </c>
      <c r="F4209" s="3">
        <v>41230</v>
      </c>
      <c r="H4209" t="s">
        <v>15523</v>
      </c>
      <c r="I4209" t="s">
        <v>18625</v>
      </c>
      <c r="K4209" t="e">
        <v>#N/A</v>
      </c>
      <c r="S4209" s="3"/>
    </row>
    <row r="4210" spans="1:19" x14ac:dyDescent="0.25">
      <c r="A4210" t="s">
        <v>11896</v>
      </c>
      <c r="B4210" t="s">
        <v>11897</v>
      </c>
      <c r="C4210" t="s">
        <v>11898</v>
      </c>
      <c r="D4210" t="s">
        <v>23</v>
      </c>
      <c r="E4210">
        <v>4740</v>
      </c>
      <c r="F4210" s="3">
        <v>40702</v>
      </c>
      <c r="H4210" t="s">
        <v>15523</v>
      </c>
      <c r="I4210" t="s">
        <v>18626</v>
      </c>
      <c r="K4210" t="e">
        <v>#N/A</v>
      </c>
      <c r="S4210" s="3"/>
    </row>
    <row r="4211" spans="1:19" x14ac:dyDescent="0.25">
      <c r="A4211" t="s">
        <v>11899</v>
      </c>
      <c r="B4211" t="s">
        <v>11900</v>
      </c>
      <c r="C4211" t="s">
        <v>11901</v>
      </c>
      <c r="D4211" t="s">
        <v>23</v>
      </c>
      <c r="E4211">
        <v>2475</v>
      </c>
      <c r="F4211" s="3">
        <v>40702</v>
      </c>
      <c r="H4211" t="s">
        <v>15523</v>
      </c>
      <c r="I4211" t="s">
        <v>18627</v>
      </c>
      <c r="K4211" t="e">
        <v>#N/A</v>
      </c>
      <c r="S4211" s="3"/>
    </row>
    <row r="4212" spans="1:19" x14ac:dyDescent="0.25">
      <c r="A4212" t="s">
        <v>11902</v>
      </c>
      <c r="B4212" t="s">
        <v>11903</v>
      </c>
      <c r="C4212" t="s">
        <v>11904</v>
      </c>
      <c r="D4212" t="s">
        <v>23</v>
      </c>
      <c r="E4212">
        <v>4741</v>
      </c>
      <c r="F4212" s="3">
        <v>40702</v>
      </c>
      <c r="H4212" t="s">
        <v>15523</v>
      </c>
      <c r="I4212" t="s">
        <v>18628</v>
      </c>
      <c r="K4212" t="e">
        <v>#N/A</v>
      </c>
      <c r="S4212" s="3"/>
    </row>
    <row r="4213" spans="1:19" x14ac:dyDescent="0.25">
      <c r="A4213" t="s">
        <v>11905</v>
      </c>
      <c r="B4213" t="s">
        <v>11906</v>
      </c>
      <c r="C4213" t="s">
        <v>11907</v>
      </c>
      <c r="D4213" t="s">
        <v>23</v>
      </c>
      <c r="E4213">
        <v>4742</v>
      </c>
      <c r="F4213" s="3">
        <v>40702</v>
      </c>
      <c r="H4213" t="s">
        <v>15523</v>
      </c>
      <c r="I4213" t="s">
        <v>18629</v>
      </c>
      <c r="K4213" t="e">
        <v>#N/A</v>
      </c>
      <c r="S4213" s="3"/>
    </row>
    <row r="4214" spans="1:19" x14ac:dyDescent="0.25">
      <c r="A4214" t="s">
        <v>11908</v>
      </c>
      <c r="B4214" t="s">
        <v>11909</v>
      </c>
      <c r="C4214" t="s">
        <v>11910</v>
      </c>
      <c r="D4214" t="s">
        <v>23</v>
      </c>
      <c r="E4214">
        <v>4743</v>
      </c>
      <c r="F4214" s="3">
        <v>40702</v>
      </c>
      <c r="H4214" t="s">
        <v>15523</v>
      </c>
      <c r="I4214" t="s">
        <v>18630</v>
      </c>
      <c r="K4214" t="e">
        <v>#N/A</v>
      </c>
      <c r="S4214" s="3"/>
    </row>
    <row r="4215" spans="1:19" x14ac:dyDescent="0.25">
      <c r="A4215" t="s">
        <v>11911</v>
      </c>
      <c r="B4215" t="s">
        <v>11912</v>
      </c>
      <c r="C4215" t="s">
        <v>11913</v>
      </c>
      <c r="D4215" t="s">
        <v>23</v>
      </c>
      <c r="E4215">
        <v>4744</v>
      </c>
      <c r="F4215" s="3">
        <v>40702</v>
      </c>
      <c r="H4215" t="s">
        <v>15523</v>
      </c>
      <c r="I4215" t="s">
        <v>18631</v>
      </c>
      <c r="K4215" t="e">
        <v>#N/A</v>
      </c>
      <c r="S4215" s="3"/>
    </row>
    <row r="4216" spans="1:19" x14ac:dyDescent="0.25">
      <c r="A4216" t="s">
        <v>11914</v>
      </c>
      <c r="B4216" t="s">
        <v>11915</v>
      </c>
      <c r="C4216" t="s">
        <v>11916</v>
      </c>
      <c r="D4216" t="s">
        <v>23</v>
      </c>
      <c r="E4216">
        <v>5058</v>
      </c>
      <c r="F4216" s="3">
        <v>41660</v>
      </c>
      <c r="H4216" t="s">
        <v>15523</v>
      </c>
      <c r="I4216" t="s">
        <v>18632</v>
      </c>
      <c r="K4216" t="e">
        <v>#N/A</v>
      </c>
      <c r="S4216" s="3"/>
    </row>
    <row r="4217" spans="1:19" x14ac:dyDescent="0.25">
      <c r="A4217" t="s">
        <v>11917</v>
      </c>
      <c r="B4217" t="s">
        <v>11918</v>
      </c>
      <c r="C4217" t="s">
        <v>11919</v>
      </c>
      <c r="D4217" t="s">
        <v>23</v>
      </c>
      <c r="E4217">
        <v>1515</v>
      </c>
      <c r="F4217" s="3">
        <v>40702</v>
      </c>
      <c r="H4217" t="s">
        <v>15523</v>
      </c>
      <c r="I4217" t="s">
        <v>18633</v>
      </c>
      <c r="K4217" t="e">
        <v>#N/A</v>
      </c>
      <c r="S4217" s="3"/>
    </row>
    <row r="4218" spans="1:19" x14ac:dyDescent="0.25">
      <c r="A4218" t="s">
        <v>11920</v>
      </c>
      <c r="B4218" t="s">
        <v>11921</v>
      </c>
      <c r="C4218" t="s">
        <v>11922</v>
      </c>
      <c r="D4218" t="s">
        <v>23</v>
      </c>
      <c r="E4218">
        <v>4745</v>
      </c>
      <c r="F4218" s="3">
        <v>40702</v>
      </c>
      <c r="H4218" t="s">
        <v>15523</v>
      </c>
      <c r="I4218" t="s">
        <v>18634</v>
      </c>
      <c r="K4218" t="e">
        <v>#N/A</v>
      </c>
      <c r="S4218" s="3"/>
    </row>
    <row r="4219" spans="1:19" x14ac:dyDescent="0.25">
      <c r="A4219" t="s">
        <v>11923</v>
      </c>
      <c r="B4219" t="s">
        <v>11924</v>
      </c>
      <c r="C4219" t="s">
        <v>16179</v>
      </c>
      <c r="D4219" t="s">
        <v>23</v>
      </c>
      <c r="E4219">
        <v>5829</v>
      </c>
      <c r="F4219" s="3">
        <v>43008</v>
      </c>
      <c r="H4219" t="s">
        <v>15523</v>
      </c>
      <c r="I4219" t="s">
        <v>16180</v>
      </c>
      <c r="K4219" t="e">
        <v>#N/A</v>
      </c>
      <c r="S4219" s="3"/>
    </row>
    <row r="4220" spans="1:19" x14ac:dyDescent="0.25">
      <c r="A4220" t="s">
        <v>11925</v>
      </c>
      <c r="B4220" t="s">
        <v>11926</v>
      </c>
      <c r="C4220" t="s">
        <v>16179</v>
      </c>
      <c r="D4220" t="s">
        <v>23</v>
      </c>
      <c r="E4220">
        <v>5577</v>
      </c>
      <c r="F4220" s="3">
        <v>42441</v>
      </c>
      <c r="H4220" t="s">
        <v>15523</v>
      </c>
      <c r="I4220" t="s">
        <v>16180</v>
      </c>
      <c r="K4220" t="e">
        <v>#N/A</v>
      </c>
      <c r="S4220" s="3"/>
    </row>
    <row r="4221" spans="1:19" x14ac:dyDescent="0.25">
      <c r="A4221" t="s">
        <v>11927</v>
      </c>
      <c r="B4221" t="s">
        <v>11928</v>
      </c>
      <c r="C4221" t="s">
        <v>16179</v>
      </c>
      <c r="D4221" t="s">
        <v>23</v>
      </c>
      <c r="E4221">
        <v>5518</v>
      </c>
      <c r="F4221" s="3">
        <v>42297</v>
      </c>
      <c r="H4221" t="s">
        <v>15523</v>
      </c>
      <c r="I4221" t="s">
        <v>16180</v>
      </c>
      <c r="K4221" t="e">
        <v>#N/A</v>
      </c>
      <c r="S4221" s="3"/>
    </row>
    <row r="4222" spans="1:19" x14ac:dyDescent="0.25">
      <c r="A4222" t="s">
        <v>11929</v>
      </c>
      <c r="B4222" t="s">
        <v>11930</v>
      </c>
      <c r="C4222" t="s">
        <v>16179</v>
      </c>
      <c r="D4222" t="s">
        <v>23</v>
      </c>
      <c r="E4222">
        <v>1688</v>
      </c>
      <c r="F4222" s="3">
        <v>40702</v>
      </c>
      <c r="H4222" t="s">
        <v>15523</v>
      </c>
      <c r="I4222" t="s">
        <v>16180</v>
      </c>
      <c r="K4222" t="e">
        <v>#N/A</v>
      </c>
      <c r="S4222" s="3"/>
    </row>
    <row r="4223" spans="1:19" x14ac:dyDescent="0.25">
      <c r="A4223" t="s">
        <v>11931</v>
      </c>
      <c r="B4223" t="s">
        <v>11932</v>
      </c>
      <c r="C4223" t="s">
        <v>16179</v>
      </c>
      <c r="D4223" t="s">
        <v>23</v>
      </c>
      <c r="E4223">
        <v>1686</v>
      </c>
      <c r="F4223" s="3">
        <v>40782</v>
      </c>
      <c r="H4223" t="s">
        <v>15523</v>
      </c>
      <c r="I4223" t="s">
        <v>16180</v>
      </c>
      <c r="K4223" t="e">
        <v>#N/A</v>
      </c>
      <c r="S4223" s="3"/>
    </row>
    <row r="4224" spans="1:19" x14ac:dyDescent="0.25">
      <c r="A4224" t="s">
        <v>11933</v>
      </c>
      <c r="B4224" t="s">
        <v>11934</v>
      </c>
      <c r="C4224" t="s">
        <v>16179</v>
      </c>
      <c r="D4224" t="s">
        <v>23</v>
      </c>
      <c r="E4224">
        <v>4647</v>
      </c>
      <c r="F4224" s="3">
        <v>40702</v>
      </c>
      <c r="H4224" t="s">
        <v>15523</v>
      </c>
      <c r="I4224" t="s">
        <v>16180</v>
      </c>
      <c r="K4224" t="e">
        <v>#N/A</v>
      </c>
      <c r="S4224" s="3"/>
    </row>
    <row r="4225" spans="1:19" x14ac:dyDescent="0.25">
      <c r="A4225" t="s">
        <v>11935</v>
      </c>
      <c r="B4225" t="s">
        <v>11936</v>
      </c>
      <c r="C4225" t="s">
        <v>11937</v>
      </c>
      <c r="D4225" t="s">
        <v>23</v>
      </c>
      <c r="E4225">
        <v>5111</v>
      </c>
      <c r="F4225" s="3">
        <v>41788</v>
      </c>
      <c r="H4225" t="s">
        <v>15523</v>
      </c>
      <c r="I4225" t="s">
        <v>18635</v>
      </c>
      <c r="K4225" t="e">
        <v>#N/A</v>
      </c>
      <c r="S4225" s="3"/>
    </row>
    <row r="4226" spans="1:19" x14ac:dyDescent="0.25">
      <c r="A4226" t="s">
        <v>11938</v>
      </c>
      <c r="B4226" t="s">
        <v>11939</v>
      </c>
      <c r="C4226" t="s">
        <v>11940</v>
      </c>
      <c r="D4226" t="s">
        <v>23</v>
      </c>
      <c r="E4226">
        <v>1578</v>
      </c>
      <c r="F4226" s="3">
        <v>40702</v>
      </c>
      <c r="H4226" t="s">
        <v>15523</v>
      </c>
      <c r="I4226" t="s">
        <v>18636</v>
      </c>
      <c r="K4226" t="e">
        <v>#N/A</v>
      </c>
      <c r="S4226" s="3"/>
    </row>
    <row r="4227" spans="1:19" x14ac:dyDescent="0.25">
      <c r="A4227" t="s">
        <v>11941</v>
      </c>
      <c r="B4227" t="s">
        <v>11942</v>
      </c>
      <c r="C4227" t="s">
        <v>11943</v>
      </c>
      <c r="D4227" t="s">
        <v>23</v>
      </c>
      <c r="E4227">
        <v>4752</v>
      </c>
      <c r="F4227" s="3">
        <v>40702</v>
      </c>
      <c r="H4227" t="s">
        <v>15523</v>
      </c>
      <c r="I4227" t="s">
        <v>18637</v>
      </c>
      <c r="K4227" t="e">
        <v>#N/A</v>
      </c>
      <c r="S4227" s="3"/>
    </row>
    <row r="4228" spans="1:19" x14ac:dyDescent="0.25">
      <c r="A4228" t="s">
        <v>11944</v>
      </c>
      <c r="B4228" t="s">
        <v>11945</v>
      </c>
      <c r="C4228" t="s">
        <v>11946</v>
      </c>
      <c r="D4228" t="s">
        <v>23</v>
      </c>
      <c r="E4228">
        <v>1579</v>
      </c>
      <c r="F4228" s="3">
        <v>40702</v>
      </c>
      <c r="H4228" t="s">
        <v>15523</v>
      </c>
      <c r="I4228" t="s">
        <v>18638</v>
      </c>
      <c r="K4228" t="e">
        <v>#N/A</v>
      </c>
      <c r="S4228" s="3"/>
    </row>
    <row r="4229" spans="1:19" x14ac:dyDescent="0.25">
      <c r="A4229" t="s">
        <v>11947</v>
      </c>
      <c r="B4229" t="s">
        <v>11948</v>
      </c>
      <c r="C4229" t="s">
        <v>11949</v>
      </c>
      <c r="D4229" t="s">
        <v>23</v>
      </c>
      <c r="E4229">
        <v>4753</v>
      </c>
      <c r="F4229" s="3">
        <v>40702</v>
      </c>
      <c r="H4229" t="s">
        <v>15523</v>
      </c>
      <c r="I4229" t="s">
        <v>18639</v>
      </c>
      <c r="K4229" t="e">
        <v>#N/A</v>
      </c>
      <c r="S4229" s="3"/>
    </row>
    <row r="4230" spans="1:19" x14ac:dyDescent="0.25">
      <c r="A4230" t="s">
        <v>11950</v>
      </c>
      <c r="B4230" t="s">
        <v>11951</v>
      </c>
      <c r="C4230" t="s">
        <v>11952</v>
      </c>
      <c r="D4230" t="s">
        <v>23</v>
      </c>
      <c r="E4230">
        <v>6085</v>
      </c>
      <c r="F4230" s="3">
        <v>43865</v>
      </c>
      <c r="H4230" t="s">
        <v>15523</v>
      </c>
      <c r="I4230" t="s">
        <v>18640</v>
      </c>
      <c r="K4230" t="e">
        <v>#N/A</v>
      </c>
      <c r="S4230" s="3"/>
    </row>
    <row r="4231" spans="1:19" x14ac:dyDescent="0.25">
      <c r="A4231" t="s">
        <v>11953</v>
      </c>
      <c r="B4231" t="s">
        <v>11954</v>
      </c>
      <c r="C4231" t="s">
        <v>11955</v>
      </c>
      <c r="D4231" t="s">
        <v>23</v>
      </c>
      <c r="E4231">
        <v>6086</v>
      </c>
      <c r="F4231" s="3">
        <v>43865</v>
      </c>
      <c r="H4231" t="s">
        <v>15523</v>
      </c>
      <c r="I4231" t="s">
        <v>18641</v>
      </c>
      <c r="K4231" t="e">
        <v>#N/A</v>
      </c>
      <c r="S4231" s="3"/>
    </row>
    <row r="4232" spans="1:19" x14ac:dyDescent="0.25">
      <c r="A4232" t="s">
        <v>11956</v>
      </c>
      <c r="B4232" t="s">
        <v>11957</v>
      </c>
      <c r="C4232" t="s">
        <v>11958</v>
      </c>
      <c r="D4232" t="s">
        <v>23</v>
      </c>
      <c r="E4232">
        <v>1580</v>
      </c>
      <c r="F4232" s="3">
        <v>40703</v>
      </c>
      <c r="H4232" t="s">
        <v>15523</v>
      </c>
      <c r="I4232" t="s">
        <v>18642</v>
      </c>
      <c r="K4232" t="e">
        <v>#N/A</v>
      </c>
      <c r="S4232" s="3"/>
    </row>
    <row r="4233" spans="1:19" x14ac:dyDescent="0.25">
      <c r="A4233" t="s">
        <v>11959</v>
      </c>
      <c r="B4233" t="s">
        <v>11960</v>
      </c>
      <c r="C4233" t="s">
        <v>11961</v>
      </c>
      <c r="D4233" t="s">
        <v>23</v>
      </c>
      <c r="E4233">
        <v>1581</v>
      </c>
      <c r="F4233" s="3">
        <v>40702</v>
      </c>
      <c r="H4233" t="s">
        <v>15523</v>
      </c>
      <c r="I4233" t="s">
        <v>18643</v>
      </c>
      <c r="K4233" t="e">
        <v>#N/A</v>
      </c>
      <c r="S4233" s="3"/>
    </row>
    <row r="4234" spans="1:19" x14ac:dyDescent="0.25">
      <c r="A4234" t="s">
        <v>11962</v>
      </c>
      <c r="B4234" t="s">
        <v>11963</v>
      </c>
      <c r="C4234" t="s">
        <v>11964</v>
      </c>
      <c r="D4234" t="s">
        <v>23</v>
      </c>
      <c r="E4234">
        <v>4877</v>
      </c>
      <c r="F4234" s="3">
        <v>40702</v>
      </c>
      <c r="H4234" t="s">
        <v>15523</v>
      </c>
      <c r="I4234" t="s">
        <v>18644</v>
      </c>
      <c r="K4234" t="e">
        <v>#N/A</v>
      </c>
      <c r="S4234" s="3"/>
    </row>
    <row r="4235" spans="1:19" x14ac:dyDescent="0.25">
      <c r="A4235" t="s">
        <v>11965</v>
      </c>
      <c r="B4235" t="s">
        <v>11966</v>
      </c>
      <c r="C4235" t="s">
        <v>11967</v>
      </c>
      <c r="D4235" t="s">
        <v>23</v>
      </c>
      <c r="E4235">
        <v>4898</v>
      </c>
      <c r="F4235" s="3">
        <v>40702</v>
      </c>
      <c r="H4235" t="s">
        <v>15523</v>
      </c>
      <c r="I4235" t="s">
        <v>18645</v>
      </c>
      <c r="K4235" t="e">
        <v>#N/A</v>
      </c>
      <c r="S4235" s="3"/>
    </row>
    <row r="4236" spans="1:19" x14ac:dyDescent="0.25">
      <c r="A4236" t="s">
        <v>11968</v>
      </c>
      <c r="B4236" t="s">
        <v>11969</v>
      </c>
      <c r="C4236" t="s">
        <v>11970</v>
      </c>
      <c r="D4236" t="s">
        <v>23</v>
      </c>
      <c r="E4236">
        <v>4770</v>
      </c>
      <c r="F4236" s="3">
        <v>40702</v>
      </c>
      <c r="H4236" t="s">
        <v>15523</v>
      </c>
      <c r="I4236" t="s">
        <v>18646</v>
      </c>
      <c r="K4236" t="e">
        <v>#N/A</v>
      </c>
      <c r="S4236" s="3"/>
    </row>
    <row r="4237" spans="1:19" x14ac:dyDescent="0.25">
      <c r="A4237" t="s">
        <v>11971</v>
      </c>
      <c r="B4237" t="s">
        <v>11972</v>
      </c>
      <c r="C4237" t="s">
        <v>11973</v>
      </c>
      <c r="D4237" t="s">
        <v>23</v>
      </c>
      <c r="E4237">
        <v>4775</v>
      </c>
      <c r="F4237" s="3">
        <v>40702</v>
      </c>
      <c r="H4237" t="s">
        <v>15523</v>
      </c>
      <c r="I4237" t="s">
        <v>18647</v>
      </c>
      <c r="K4237" t="e">
        <v>#N/A</v>
      </c>
      <c r="S4237" s="3"/>
    </row>
    <row r="4238" spans="1:19" x14ac:dyDescent="0.25">
      <c r="A4238" t="s">
        <v>11974</v>
      </c>
      <c r="B4238" t="s">
        <v>11975</v>
      </c>
      <c r="C4238" t="s">
        <v>11976</v>
      </c>
      <c r="D4238" t="s">
        <v>23</v>
      </c>
      <c r="E4238">
        <v>1517</v>
      </c>
      <c r="F4238" s="3">
        <v>41461</v>
      </c>
      <c r="H4238" t="s">
        <v>15523</v>
      </c>
      <c r="I4238" t="s">
        <v>18648</v>
      </c>
      <c r="K4238" t="e">
        <v>#N/A</v>
      </c>
      <c r="S4238" s="3"/>
    </row>
    <row r="4239" spans="1:19" x14ac:dyDescent="0.25">
      <c r="A4239" t="s">
        <v>11977</v>
      </c>
      <c r="B4239" t="s">
        <v>11978</v>
      </c>
      <c r="C4239" t="s">
        <v>11979</v>
      </c>
      <c r="D4239" t="s">
        <v>23</v>
      </c>
      <c r="E4239">
        <v>4778</v>
      </c>
      <c r="F4239" s="3">
        <v>40702</v>
      </c>
      <c r="H4239" t="s">
        <v>15523</v>
      </c>
      <c r="I4239" t="s">
        <v>18649</v>
      </c>
      <c r="K4239" t="e">
        <v>#N/A</v>
      </c>
      <c r="S4239" s="3"/>
    </row>
    <row r="4240" spans="1:19" x14ac:dyDescent="0.25">
      <c r="A4240" t="s">
        <v>11980</v>
      </c>
      <c r="B4240" t="s">
        <v>11981</v>
      </c>
      <c r="C4240" t="s">
        <v>11982</v>
      </c>
      <c r="D4240" t="s">
        <v>23</v>
      </c>
      <c r="E4240">
        <v>2298</v>
      </c>
      <c r="F4240" s="3">
        <v>40702</v>
      </c>
      <c r="H4240" t="s">
        <v>15523</v>
      </c>
      <c r="I4240" t="s">
        <v>18650</v>
      </c>
      <c r="K4240" t="e">
        <v>#N/A</v>
      </c>
      <c r="S4240" s="3"/>
    </row>
    <row r="4241" spans="1:19" x14ac:dyDescent="0.25">
      <c r="A4241" t="s">
        <v>11983</v>
      </c>
      <c r="B4241" t="s">
        <v>11984</v>
      </c>
      <c r="C4241" t="s">
        <v>11985</v>
      </c>
      <c r="D4241" t="s">
        <v>23</v>
      </c>
      <c r="E4241">
        <v>4820</v>
      </c>
      <c r="F4241" s="3">
        <v>40702</v>
      </c>
      <c r="H4241" t="s">
        <v>15523</v>
      </c>
      <c r="I4241" t="s">
        <v>18651</v>
      </c>
      <c r="K4241" t="e">
        <v>#N/A</v>
      </c>
      <c r="S4241" s="3"/>
    </row>
    <row r="4242" spans="1:19" x14ac:dyDescent="0.25">
      <c r="A4242" t="s">
        <v>11986</v>
      </c>
      <c r="B4242" t="s">
        <v>11987</v>
      </c>
      <c r="C4242" t="s">
        <v>11988</v>
      </c>
      <c r="D4242" t="s">
        <v>23</v>
      </c>
      <c r="E4242">
        <v>4821</v>
      </c>
      <c r="F4242" s="3">
        <v>40702</v>
      </c>
      <c r="H4242" t="s">
        <v>15523</v>
      </c>
      <c r="I4242" t="s">
        <v>18652</v>
      </c>
      <c r="K4242" t="e">
        <v>#N/A</v>
      </c>
      <c r="S4242" s="3"/>
    </row>
    <row r="4243" spans="1:19" x14ac:dyDescent="0.25">
      <c r="A4243" t="s">
        <v>11989</v>
      </c>
      <c r="B4243" t="s">
        <v>11990</v>
      </c>
      <c r="C4243" t="s">
        <v>11991</v>
      </c>
      <c r="D4243" t="s">
        <v>23</v>
      </c>
      <c r="E4243">
        <v>4822</v>
      </c>
      <c r="F4243" s="3">
        <v>40702</v>
      </c>
      <c r="H4243" t="s">
        <v>15523</v>
      </c>
      <c r="I4243" t="s">
        <v>18653</v>
      </c>
      <c r="K4243" t="e">
        <v>#N/A</v>
      </c>
      <c r="S4243" s="3"/>
    </row>
    <row r="4244" spans="1:19" x14ac:dyDescent="0.25">
      <c r="A4244" t="s">
        <v>11992</v>
      </c>
      <c r="B4244" t="s">
        <v>11993</v>
      </c>
      <c r="C4244" t="s">
        <v>11994</v>
      </c>
      <c r="D4244" t="s">
        <v>23</v>
      </c>
      <c r="E4244">
        <v>4823</v>
      </c>
      <c r="F4244" s="3">
        <v>41006</v>
      </c>
      <c r="H4244" t="s">
        <v>15523</v>
      </c>
      <c r="I4244" t="s">
        <v>18654</v>
      </c>
      <c r="K4244" t="e">
        <v>#N/A</v>
      </c>
      <c r="S4244" s="3"/>
    </row>
    <row r="4245" spans="1:19" x14ac:dyDescent="0.25">
      <c r="A4245" t="s">
        <v>11995</v>
      </c>
      <c r="B4245" t="s">
        <v>11996</v>
      </c>
      <c r="C4245" t="s">
        <v>11997</v>
      </c>
      <c r="D4245" t="s">
        <v>23</v>
      </c>
      <c r="E4245">
        <v>4824</v>
      </c>
      <c r="F4245" s="3">
        <v>40702</v>
      </c>
      <c r="H4245" t="s">
        <v>15523</v>
      </c>
      <c r="I4245" t="s">
        <v>18655</v>
      </c>
      <c r="K4245" t="e">
        <v>#N/A</v>
      </c>
      <c r="S4245" s="3"/>
    </row>
    <row r="4246" spans="1:19" x14ac:dyDescent="0.25">
      <c r="A4246" t="s">
        <v>11998</v>
      </c>
      <c r="B4246" t="s">
        <v>11999</v>
      </c>
      <c r="C4246" t="s">
        <v>12000</v>
      </c>
      <c r="D4246" t="s">
        <v>23</v>
      </c>
      <c r="E4246">
        <v>1519</v>
      </c>
      <c r="F4246" s="3">
        <v>40702</v>
      </c>
      <c r="H4246" t="s">
        <v>15523</v>
      </c>
      <c r="I4246" t="s">
        <v>18656</v>
      </c>
      <c r="K4246" t="e">
        <v>#N/A</v>
      </c>
      <c r="S4246" s="3"/>
    </row>
    <row r="4247" spans="1:19" x14ac:dyDescent="0.25">
      <c r="A4247" t="s">
        <v>12001</v>
      </c>
      <c r="B4247" t="s">
        <v>12002</v>
      </c>
      <c r="C4247" t="s">
        <v>12003</v>
      </c>
      <c r="D4247" t="s">
        <v>23</v>
      </c>
      <c r="E4247">
        <v>5819</v>
      </c>
      <c r="F4247" s="3">
        <v>42871</v>
      </c>
      <c r="H4247" t="s">
        <v>15523</v>
      </c>
      <c r="I4247" t="s">
        <v>18657</v>
      </c>
      <c r="K4247" t="e">
        <v>#N/A</v>
      </c>
      <c r="S4247" s="3"/>
    </row>
    <row r="4248" spans="1:19" x14ac:dyDescent="0.25">
      <c r="A4248" t="s">
        <v>12004</v>
      </c>
      <c r="B4248" t="s">
        <v>12005</v>
      </c>
      <c r="C4248" t="s">
        <v>12006</v>
      </c>
      <c r="D4248" t="s">
        <v>23</v>
      </c>
      <c r="E4248">
        <v>2454</v>
      </c>
      <c r="F4248" s="3">
        <v>40702</v>
      </c>
      <c r="H4248" t="s">
        <v>15523</v>
      </c>
      <c r="I4248" t="s">
        <v>18658</v>
      </c>
      <c r="K4248" t="e">
        <v>#N/A</v>
      </c>
      <c r="S4248" s="3"/>
    </row>
    <row r="4249" spans="1:19" x14ac:dyDescent="0.25">
      <c r="A4249" t="s">
        <v>12007</v>
      </c>
      <c r="B4249" t="s">
        <v>12008</v>
      </c>
      <c r="C4249" t="s">
        <v>12009</v>
      </c>
      <c r="D4249" t="s">
        <v>23</v>
      </c>
      <c r="E4249">
        <v>4825</v>
      </c>
      <c r="F4249" s="3">
        <v>40702</v>
      </c>
      <c r="H4249" t="s">
        <v>15523</v>
      </c>
      <c r="I4249" t="s">
        <v>18659</v>
      </c>
      <c r="K4249" t="e">
        <v>#N/A</v>
      </c>
      <c r="S4249" s="3"/>
    </row>
    <row r="4250" spans="1:19" x14ac:dyDescent="0.25">
      <c r="A4250" t="s">
        <v>12010</v>
      </c>
      <c r="B4250" t="s">
        <v>12011</v>
      </c>
      <c r="C4250" t="s">
        <v>12012</v>
      </c>
      <c r="D4250" t="s">
        <v>23</v>
      </c>
      <c r="E4250">
        <v>1521</v>
      </c>
      <c r="F4250" s="3">
        <v>40702</v>
      </c>
      <c r="H4250" t="s">
        <v>15523</v>
      </c>
      <c r="I4250" t="s">
        <v>18660</v>
      </c>
      <c r="K4250" t="e">
        <v>#N/A</v>
      </c>
      <c r="S4250" s="3"/>
    </row>
    <row r="4251" spans="1:19" x14ac:dyDescent="0.25">
      <c r="A4251" t="s">
        <v>12013</v>
      </c>
      <c r="B4251" t="s">
        <v>12014</v>
      </c>
      <c r="C4251" t="s">
        <v>12015</v>
      </c>
      <c r="D4251" t="s">
        <v>23</v>
      </c>
      <c r="E4251">
        <v>4828</v>
      </c>
      <c r="F4251" s="3">
        <v>41230</v>
      </c>
      <c r="H4251" t="s">
        <v>15523</v>
      </c>
      <c r="I4251" t="s">
        <v>18661</v>
      </c>
      <c r="K4251" t="e">
        <v>#N/A</v>
      </c>
      <c r="S4251" s="3"/>
    </row>
    <row r="4252" spans="1:19" x14ac:dyDescent="0.25">
      <c r="A4252" t="s">
        <v>12016</v>
      </c>
      <c r="B4252" t="s">
        <v>12017</v>
      </c>
      <c r="C4252" t="s">
        <v>12018</v>
      </c>
      <c r="D4252" t="s">
        <v>23</v>
      </c>
      <c r="E4252">
        <v>5112</v>
      </c>
      <c r="F4252" s="3">
        <v>41788</v>
      </c>
      <c r="H4252" t="s">
        <v>15523</v>
      </c>
      <c r="I4252" t="s">
        <v>18662</v>
      </c>
      <c r="K4252" t="e">
        <v>#N/A</v>
      </c>
      <c r="S4252" s="3"/>
    </row>
    <row r="4253" spans="1:19" x14ac:dyDescent="0.25">
      <c r="A4253" t="s">
        <v>12019</v>
      </c>
      <c r="B4253" t="s">
        <v>12020</v>
      </c>
      <c r="C4253" t="s">
        <v>12021</v>
      </c>
      <c r="D4253" t="s">
        <v>23</v>
      </c>
      <c r="E4253">
        <v>4829</v>
      </c>
      <c r="F4253" s="3">
        <v>40702</v>
      </c>
      <c r="H4253" t="s">
        <v>15523</v>
      </c>
      <c r="I4253" t="s">
        <v>18663</v>
      </c>
      <c r="K4253" t="e">
        <v>#N/A</v>
      </c>
      <c r="S4253" s="3"/>
    </row>
    <row r="4254" spans="1:19" x14ac:dyDescent="0.25">
      <c r="A4254" t="s">
        <v>12022</v>
      </c>
      <c r="B4254" t="s">
        <v>12023</v>
      </c>
      <c r="C4254" t="s">
        <v>12024</v>
      </c>
      <c r="D4254" t="s">
        <v>23</v>
      </c>
      <c r="E4254">
        <v>4830</v>
      </c>
      <c r="F4254" s="3">
        <v>41031</v>
      </c>
      <c r="H4254" t="s">
        <v>15523</v>
      </c>
      <c r="I4254" t="s">
        <v>18664</v>
      </c>
      <c r="K4254" t="e">
        <v>#N/A</v>
      </c>
      <c r="S4254" s="3"/>
    </row>
    <row r="4255" spans="1:19" x14ac:dyDescent="0.25">
      <c r="A4255" t="s">
        <v>12025</v>
      </c>
      <c r="B4255" t="s">
        <v>12026</v>
      </c>
      <c r="C4255" t="s">
        <v>12027</v>
      </c>
      <c r="D4255" t="s">
        <v>23</v>
      </c>
      <c r="E4255">
        <v>4831</v>
      </c>
      <c r="F4255" s="3">
        <v>40702</v>
      </c>
      <c r="H4255" t="s">
        <v>15523</v>
      </c>
      <c r="I4255" t="s">
        <v>18665</v>
      </c>
      <c r="K4255" t="e">
        <v>#N/A</v>
      </c>
      <c r="S4255" s="3"/>
    </row>
    <row r="4256" spans="1:19" x14ac:dyDescent="0.25">
      <c r="A4256" t="s">
        <v>12028</v>
      </c>
      <c r="B4256" t="s">
        <v>12029</v>
      </c>
      <c r="C4256" t="s">
        <v>12030</v>
      </c>
      <c r="D4256" t="s">
        <v>23</v>
      </c>
      <c r="E4256">
        <v>1525</v>
      </c>
      <c r="F4256" s="3">
        <v>40702</v>
      </c>
      <c r="H4256" t="s">
        <v>15523</v>
      </c>
      <c r="I4256" t="s">
        <v>18666</v>
      </c>
      <c r="K4256" t="e">
        <v>#N/A</v>
      </c>
      <c r="S4256" s="3"/>
    </row>
    <row r="4257" spans="1:19" x14ac:dyDescent="0.25">
      <c r="A4257" t="s">
        <v>12031</v>
      </c>
      <c r="B4257" t="s">
        <v>12032</v>
      </c>
      <c r="C4257" t="s">
        <v>12033</v>
      </c>
      <c r="D4257" t="s">
        <v>23</v>
      </c>
      <c r="E4257">
        <v>4833</v>
      </c>
      <c r="F4257" s="3">
        <v>40702</v>
      </c>
      <c r="H4257" t="s">
        <v>15523</v>
      </c>
      <c r="I4257" t="s">
        <v>18667</v>
      </c>
      <c r="K4257" t="e">
        <v>#N/A</v>
      </c>
      <c r="S4257" s="3"/>
    </row>
    <row r="4258" spans="1:19" x14ac:dyDescent="0.25">
      <c r="A4258" t="s">
        <v>12034</v>
      </c>
      <c r="B4258" t="s">
        <v>12035</v>
      </c>
      <c r="C4258" t="s">
        <v>12036</v>
      </c>
      <c r="D4258" t="s">
        <v>23</v>
      </c>
      <c r="E4258">
        <v>5059</v>
      </c>
      <c r="F4258" s="3">
        <v>41660</v>
      </c>
      <c r="H4258" t="s">
        <v>15523</v>
      </c>
      <c r="I4258" t="s">
        <v>18668</v>
      </c>
      <c r="K4258" t="e">
        <v>#N/A</v>
      </c>
      <c r="S4258" s="3"/>
    </row>
    <row r="4259" spans="1:19" x14ac:dyDescent="0.25">
      <c r="A4259" t="s">
        <v>12037</v>
      </c>
      <c r="B4259" t="s">
        <v>12038</v>
      </c>
      <c r="C4259" t="s">
        <v>12039</v>
      </c>
      <c r="D4259" t="s">
        <v>23</v>
      </c>
      <c r="E4259">
        <v>1523</v>
      </c>
      <c r="F4259" s="3">
        <v>40702</v>
      </c>
      <c r="H4259" t="s">
        <v>15523</v>
      </c>
      <c r="I4259" t="s">
        <v>18669</v>
      </c>
      <c r="K4259" t="e">
        <v>#N/A</v>
      </c>
      <c r="S4259" s="3"/>
    </row>
    <row r="4260" spans="1:19" x14ac:dyDescent="0.25">
      <c r="A4260" t="s">
        <v>12040</v>
      </c>
      <c r="B4260" t="s">
        <v>12041</v>
      </c>
      <c r="C4260" t="s">
        <v>12042</v>
      </c>
      <c r="D4260" t="s">
        <v>23</v>
      </c>
      <c r="E4260">
        <v>5060</v>
      </c>
      <c r="F4260" s="3">
        <v>41660</v>
      </c>
      <c r="H4260" t="s">
        <v>15523</v>
      </c>
      <c r="I4260" t="s">
        <v>18670</v>
      </c>
      <c r="K4260" t="e">
        <v>#N/A</v>
      </c>
      <c r="S4260" s="3"/>
    </row>
    <row r="4261" spans="1:19" x14ac:dyDescent="0.25">
      <c r="A4261" t="s">
        <v>12043</v>
      </c>
      <c r="B4261" t="s">
        <v>12044</v>
      </c>
      <c r="C4261" t="s">
        <v>12045</v>
      </c>
      <c r="D4261" t="s">
        <v>23</v>
      </c>
      <c r="E4261">
        <v>4834</v>
      </c>
      <c r="F4261" s="3">
        <v>40702</v>
      </c>
      <c r="H4261" t="s">
        <v>15523</v>
      </c>
      <c r="I4261" t="s">
        <v>18671</v>
      </c>
      <c r="K4261" t="e">
        <v>#N/A</v>
      </c>
      <c r="S4261" s="3"/>
    </row>
    <row r="4262" spans="1:19" x14ac:dyDescent="0.25">
      <c r="A4262" t="s">
        <v>12046</v>
      </c>
      <c r="B4262" t="s">
        <v>12047</v>
      </c>
      <c r="C4262" t="s">
        <v>12048</v>
      </c>
      <c r="D4262" t="s">
        <v>23</v>
      </c>
      <c r="E4262">
        <v>4835</v>
      </c>
      <c r="F4262" s="3">
        <v>40702</v>
      </c>
      <c r="H4262" t="s">
        <v>15523</v>
      </c>
      <c r="I4262" t="s">
        <v>18672</v>
      </c>
      <c r="K4262" t="e">
        <v>#N/A</v>
      </c>
      <c r="S4262" s="3"/>
    </row>
    <row r="4263" spans="1:19" x14ac:dyDescent="0.25">
      <c r="A4263" t="s">
        <v>12049</v>
      </c>
      <c r="B4263" t="s">
        <v>12050</v>
      </c>
      <c r="C4263" t="s">
        <v>12051</v>
      </c>
      <c r="D4263" t="s">
        <v>23</v>
      </c>
      <c r="E4263">
        <v>1524</v>
      </c>
      <c r="F4263" s="3">
        <v>40702</v>
      </c>
      <c r="H4263" t="s">
        <v>15523</v>
      </c>
      <c r="I4263" t="s">
        <v>18673</v>
      </c>
      <c r="K4263" t="e">
        <v>#N/A</v>
      </c>
      <c r="S4263" s="3"/>
    </row>
    <row r="4264" spans="1:19" x14ac:dyDescent="0.25">
      <c r="A4264" t="s">
        <v>12052</v>
      </c>
      <c r="B4264" t="s">
        <v>12053</v>
      </c>
      <c r="C4264" s="3">
        <v>201256</v>
      </c>
      <c r="D4264" t="s">
        <v>23</v>
      </c>
      <c r="E4264">
        <v>5061</v>
      </c>
      <c r="F4264" s="3">
        <v>41660</v>
      </c>
      <c r="H4264" t="s">
        <v>15523</v>
      </c>
      <c r="I4264" t="s">
        <v>18674</v>
      </c>
      <c r="K4264" t="e">
        <v>#N/A</v>
      </c>
      <c r="P4264" s="3"/>
      <c r="S4264" s="3"/>
    </row>
    <row r="4265" spans="1:19" x14ac:dyDescent="0.25">
      <c r="A4265" t="s">
        <v>12055</v>
      </c>
      <c r="B4265" t="s">
        <v>12056</v>
      </c>
      <c r="C4265" t="s">
        <v>12057</v>
      </c>
      <c r="D4265" t="s">
        <v>23</v>
      </c>
      <c r="E4265">
        <v>1684</v>
      </c>
      <c r="F4265" s="3">
        <v>40702</v>
      </c>
      <c r="H4265" t="s">
        <v>15523</v>
      </c>
      <c r="I4265" t="s">
        <v>18675</v>
      </c>
      <c r="K4265" t="e">
        <v>#N/A</v>
      </c>
      <c r="S4265" s="3"/>
    </row>
    <row r="4266" spans="1:19" x14ac:dyDescent="0.25">
      <c r="A4266" t="s">
        <v>12058</v>
      </c>
      <c r="B4266" t="s">
        <v>12059</v>
      </c>
      <c r="C4266" t="s">
        <v>12060</v>
      </c>
      <c r="D4266" t="s">
        <v>23</v>
      </c>
      <c r="E4266">
        <v>5574</v>
      </c>
      <c r="F4266" s="3">
        <v>42452</v>
      </c>
      <c r="H4266" t="s">
        <v>15523</v>
      </c>
      <c r="I4266" t="s">
        <v>18676</v>
      </c>
      <c r="K4266" t="e">
        <v>#N/A</v>
      </c>
      <c r="S4266" s="3"/>
    </row>
    <row r="4267" spans="1:19" x14ac:dyDescent="0.25">
      <c r="A4267" t="s">
        <v>12061</v>
      </c>
      <c r="B4267" t="s">
        <v>12062</v>
      </c>
      <c r="C4267" t="s">
        <v>12063</v>
      </c>
      <c r="D4267" t="s">
        <v>23</v>
      </c>
      <c r="E4267">
        <v>4837</v>
      </c>
      <c r="F4267" s="3">
        <v>40702</v>
      </c>
      <c r="H4267" t="s">
        <v>15523</v>
      </c>
      <c r="I4267" t="s">
        <v>18677</v>
      </c>
      <c r="K4267" t="e">
        <v>#N/A</v>
      </c>
      <c r="S4267" s="3"/>
    </row>
    <row r="4268" spans="1:19" x14ac:dyDescent="0.25">
      <c r="A4268" t="s">
        <v>12064</v>
      </c>
      <c r="B4268" t="s">
        <v>12065</v>
      </c>
      <c r="C4268" t="s">
        <v>12066</v>
      </c>
      <c r="D4268" t="s">
        <v>23</v>
      </c>
      <c r="E4268">
        <v>5070</v>
      </c>
      <c r="F4268" s="3">
        <v>41776</v>
      </c>
      <c r="H4268" t="s">
        <v>15523</v>
      </c>
      <c r="I4268" t="s">
        <v>18678</v>
      </c>
      <c r="K4268" t="e">
        <v>#N/A</v>
      </c>
      <c r="S4268" s="3"/>
    </row>
    <row r="4269" spans="1:19" x14ac:dyDescent="0.25">
      <c r="A4269" t="s">
        <v>12067</v>
      </c>
      <c r="B4269" t="s">
        <v>12068</v>
      </c>
      <c r="C4269" t="s">
        <v>12069</v>
      </c>
      <c r="D4269" t="s">
        <v>23</v>
      </c>
      <c r="E4269">
        <v>5062</v>
      </c>
      <c r="F4269" s="3">
        <v>41660</v>
      </c>
      <c r="H4269" t="s">
        <v>15523</v>
      </c>
      <c r="I4269" t="s">
        <v>18679</v>
      </c>
      <c r="K4269" t="e">
        <v>#N/A</v>
      </c>
      <c r="S4269" s="3"/>
    </row>
    <row r="4270" spans="1:19" x14ac:dyDescent="0.25">
      <c r="A4270" t="s">
        <v>12070</v>
      </c>
      <c r="B4270" t="s">
        <v>12071</v>
      </c>
      <c r="C4270" t="s">
        <v>12072</v>
      </c>
      <c r="D4270" t="s">
        <v>23</v>
      </c>
      <c r="E4270">
        <v>4842</v>
      </c>
      <c r="F4270" s="3">
        <v>40702</v>
      </c>
      <c r="H4270" t="s">
        <v>15523</v>
      </c>
      <c r="I4270" t="s">
        <v>18680</v>
      </c>
      <c r="K4270" t="e">
        <v>#N/A</v>
      </c>
      <c r="S4270" s="3"/>
    </row>
    <row r="4271" spans="1:19" x14ac:dyDescent="0.25">
      <c r="A4271" t="s">
        <v>12073</v>
      </c>
      <c r="B4271" t="s">
        <v>12074</v>
      </c>
      <c r="C4271" t="s">
        <v>12075</v>
      </c>
      <c r="D4271" t="s">
        <v>23</v>
      </c>
      <c r="E4271">
        <v>4845</v>
      </c>
      <c r="F4271" s="3">
        <v>40702</v>
      </c>
      <c r="H4271" t="s">
        <v>15523</v>
      </c>
      <c r="I4271" t="s">
        <v>18681</v>
      </c>
      <c r="K4271" t="e">
        <v>#N/A</v>
      </c>
      <c r="S4271" s="3"/>
    </row>
    <row r="4272" spans="1:19" x14ac:dyDescent="0.25">
      <c r="A4272" t="s">
        <v>12076</v>
      </c>
      <c r="B4272" t="s">
        <v>12077</v>
      </c>
      <c r="C4272" t="s">
        <v>12078</v>
      </c>
      <c r="D4272" t="s">
        <v>23</v>
      </c>
      <c r="E4272">
        <v>4849</v>
      </c>
      <c r="F4272" s="3">
        <v>40739</v>
      </c>
      <c r="H4272" t="s">
        <v>15523</v>
      </c>
      <c r="I4272" t="s">
        <v>18682</v>
      </c>
      <c r="K4272" t="e">
        <v>#N/A</v>
      </c>
      <c r="S4272" s="3"/>
    </row>
    <row r="4273" spans="1:19" x14ac:dyDescent="0.25">
      <c r="A4273" t="s">
        <v>12079</v>
      </c>
      <c r="B4273" t="s">
        <v>12080</v>
      </c>
      <c r="C4273" t="s">
        <v>12081</v>
      </c>
      <c r="D4273" t="s">
        <v>23</v>
      </c>
      <c r="E4273">
        <v>4861</v>
      </c>
      <c r="F4273" s="3">
        <v>41031</v>
      </c>
      <c r="H4273" t="s">
        <v>15523</v>
      </c>
      <c r="I4273" t="s">
        <v>18683</v>
      </c>
      <c r="K4273" t="e">
        <v>#N/A</v>
      </c>
      <c r="S4273" s="3"/>
    </row>
    <row r="4274" spans="1:19" x14ac:dyDescent="0.25">
      <c r="A4274" t="s">
        <v>12082</v>
      </c>
      <c r="B4274" t="s">
        <v>12083</v>
      </c>
      <c r="C4274" t="s">
        <v>12084</v>
      </c>
      <c r="D4274" t="s">
        <v>23</v>
      </c>
      <c r="E4274">
        <v>4863</v>
      </c>
      <c r="F4274" s="3">
        <v>40702</v>
      </c>
      <c r="H4274" t="s">
        <v>15523</v>
      </c>
      <c r="I4274" t="s">
        <v>18684</v>
      </c>
      <c r="K4274" t="e">
        <v>#N/A</v>
      </c>
      <c r="S4274" s="3"/>
    </row>
    <row r="4275" spans="1:19" x14ac:dyDescent="0.25">
      <c r="A4275" t="s">
        <v>12085</v>
      </c>
      <c r="B4275" t="s">
        <v>12086</v>
      </c>
      <c r="C4275" t="s">
        <v>12087</v>
      </c>
      <c r="D4275" t="s">
        <v>23</v>
      </c>
      <c r="E4275">
        <v>4864</v>
      </c>
      <c r="F4275" s="3">
        <v>40702</v>
      </c>
      <c r="H4275" t="s">
        <v>15523</v>
      </c>
      <c r="I4275" t="s">
        <v>18685</v>
      </c>
      <c r="K4275" t="e">
        <v>#N/A</v>
      </c>
      <c r="S4275" s="3"/>
    </row>
    <row r="4276" spans="1:19" x14ac:dyDescent="0.25">
      <c r="A4276" t="s">
        <v>12088</v>
      </c>
      <c r="B4276" t="s">
        <v>12089</v>
      </c>
      <c r="C4276" t="s">
        <v>12090</v>
      </c>
      <c r="D4276" t="s">
        <v>23</v>
      </c>
      <c r="E4276">
        <v>4865</v>
      </c>
      <c r="F4276" s="3">
        <v>41006</v>
      </c>
      <c r="H4276" t="s">
        <v>15523</v>
      </c>
      <c r="I4276" t="s">
        <v>18686</v>
      </c>
      <c r="K4276" t="e">
        <v>#N/A</v>
      </c>
      <c r="S4276" s="3"/>
    </row>
    <row r="4277" spans="1:19" x14ac:dyDescent="0.25">
      <c r="A4277" t="s">
        <v>12091</v>
      </c>
      <c r="B4277" t="s">
        <v>12092</v>
      </c>
      <c r="C4277" t="s">
        <v>12093</v>
      </c>
      <c r="D4277" t="s">
        <v>23</v>
      </c>
      <c r="E4277">
        <v>4866</v>
      </c>
      <c r="F4277" s="3">
        <v>40702</v>
      </c>
      <c r="H4277" t="s">
        <v>15523</v>
      </c>
      <c r="I4277" t="s">
        <v>18687</v>
      </c>
      <c r="K4277" t="e">
        <v>#N/A</v>
      </c>
      <c r="S4277" s="3"/>
    </row>
    <row r="4278" spans="1:19" x14ac:dyDescent="0.25">
      <c r="A4278" t="s">
        <v>12094</v>
      </c>
      <c r="B4278" t="s">
        <v>12095</v>
      </c>
      <c r="C4278" t="s">
        <v>12096</v>
      </c>
      <c r="D4278" t="s">
        <v>23</v>
      </c>
      <c r="E4278">
        <v>4867</v>
      </c>
      <c r="F4278" s="3">
        <v>40702</v>
      </c>
      <c r="H4278" t="s">
        <v>15523</v>
      </c>
      <c r="I4278" t="s">
        <v>18688</v>
      </c>
      <c r="K4278" t="e">
        <v>#N/A</v>
      </c>
      <c r="S4278" s="3"/>
    </row>
    <row r="4279" spans="1:19" x14ac:dyDescent="0.25">
      <c r="A4279" t="s">
        <v>12097</v>
      </c>
      <c r="B4279" t="s">
        <v>12098</v>
      </c>
      <c r="C4279" t="s">
        <v>12099</v>
      </c>
      <c r="D4279" t="s">
        <v>23</v>
      </c>
      <c r="E4279">
        <v>2012</v>
      </c>
      <c r="F4279" s="3">
        <v>40702</v>
      </c>
      <c r="H4279" t="s">
        <v>15523</v>
      </c>
      <c r="I4279" t="s">
        <v>18689</v>
      </c>
      <c r="K4279" t="e">
        <v>#N/A</v>
      </c>
      <c r="S4279" s="3"/>
    </row>
    <row r="4280" spans="1:19" x14ac:dyDescent="0.25">
      <c r="A4280" t="s">
        <v>12100</v>
      </c>
      <c r="B4280" t="s">
        <v>12101</v>
      </c>
      <c r="C4280" t="s">
        <v>12102</v>
      </c>
      <c r="D4280" t="s">
        <v>23</v>
      </c>
      <c r="E4280">
        <v>2495</v>
      </c>
      <c r="F4280" s="3">
        <v>40702</v>
      </c>
      <c r="H4280" t="s">
        <v>15523</v>
      </c>
      <c r="I4280" t="s">
        <v>18690</v>
      </c>
      <c r="K4280" t="e">
        <v>#N/A</v>
      </c>
      <c r="S4280" s="3"/>
    </row>
    <row r="4281" spans="1:19" x14ac:dyDescent="0.25">
      <c r="A4281" t="s">
        <v>12103</v>
      </c>
      <c r="B4281" t="s">
        <v>12104</v>
      </c>
      <c r="C4281" t="s">
        <v>12105</v>
      </c>
      <c r="D4281" t="s">
        <v>23</v>
      </c>
      <c r="E4281">
        <v>4869</v>
      </c>
      <c r="F4281" s="3">
        <v>41230</v>
      </c>
      <c r="H4281" t="s">
        <v>15523</v>
      </c>
      <c r="I4281" t="s">
        <v>18691</v>
      </c>
      <c r="K4281" t="e">
        <v>#N/A</v>
      </c>
      <c r="S4281" s="3"/>
    </row>
    <row r="4282" spans="1:19" x14ac:dyDescent="0.25">
      <c r="A4282" t="s">
        <v>12106</v>
      </c>
      <c r="B4282" t="s">
        <v>12107</v>
      </c>
      <c r="C4282" t="s">
        <v>12108</v>
      </c>
      <c r="D4282" t="s">
        <v>23</v>
      </c>
      <c r="E4282">
        <v>1189</v>
      </c>
      <c r="F4282" s="3">
        <v>40702</v>
      </c>
      <c r="H4282" t="s">
        <v>15523</v>
      </c>
      <c r="I4282" t="s">
        <v>18692</v>
      </c>
      <c r="K4282" t="e">
        <v>#N/A</v>
      </c>
      <c r="S4282" s="3"/>
    </row>
    <row r="4283" spans="1:19" x14ac:dyDescent="0.25">
      <c r="A4283" t="s">
        <v>12109</v>
      </c>
      <c r="B4283" t="s">
        <v>12110</v>
      </c>
      <c r="C4283" t="s">
        <v>16179</v>
      </c>
      <c r="D4283" t="s">
        <v>23</v>
      </c>
      <c r="E4283">
        <v>1556</v>
      </c>
      <c r="F4283" s="3">
        <v>40794</v>
      </c>
      <c r="H4283" t="s">
        <v>15523</v>
      </c>
      <c r="I4283" t="s">
        <v>16180</v>
      </c>
      <c r="K4283" t="e">
        <v>#N/A</v>
      </c>
      <c r="S4283" s="3"/>
    </row>
    <row r="4284" spans="1:19" x14ac:dyDescent="0.25">
      <c r="A4284" t="s">
        <v>12111</v>
      </c>
      <c r="B4284" t="s">
        <v>12112</v>
      </c>
      <c r="C4284" t="s">
        <v>12113</v>
      </c>
      <c r="D4284" t="s">
        <v>23</v>
      </c>
      <c r="E4284">
        <v>2447</v>
      </c>
      <c r="F4284" s="3">
        <v>40702</v>
      </c>
      <c r="H4284" t="s">
        <v>15523</v>
      </c>
      <c r="I4284" t="s">
        <v>18693</v>
      </c>
      <c r="K4284" t="e">
        <v>#N/A</v>
      </c>
      <c r="S4284" s="3"/>
    </row>
    <row r="4285" spans="1:19" x14ac:dyDescent="0.25">
      <c r="A4285" t="s">
        <v>12114</v>
      </c>
      <c r="B4285" t="s">
        <v>12115</v>
      </c>
      <c r="C4285" t="s">
        <v>12116</v>
      </c>
      <c r="D4285" t="s">
        <v>23</v>
      </c>
      <c r="E4285">
        <v>4879</v>
      </c>
      <c r="F4285" s="3">
        <v>40702</v>
      </c>
      <c r="H4285" t="s">
        <v>15523</v>
      </c>
      <c r="I4285" t="s">
        <v>18694</v>
      </c>
      <c r="K4285" t="e">
        <v>#N/A</v>
      </c>
      <c r="S4285" s="3"/>
    </row>
    <row r="4286" spans="1:19" x14ac:dyDescent="0.25">
      <c r="A4286" t="s">
        <v>12117</v>
      </c>
      <c r="B4286" t="s">
        <v>12118</v>
      </c>
      <c r="C4286" t="s">
        <v>12119</v>
      </c>
      <c r="D4286" t="s">
        <v>23</v>
      </c>
      <c r="E4286">
        <v>4880</v>
      </c>
      <c r="F4286" s="3">
        <v>40702</v>
      </c>
      <c r="H4286" t="s">
        <v>15523</v>
      </c>
      <c r="I4286" t="s">
        <v>18695</v>
      </c>
      <c r="K4286" t="e">
        <v>#N/A</v>
      </c>
      <c r="S4286" s="3"/>
    </row>
    <row r="4287" spans="1:19" x14ac:dyDescent="0.25">
      <c r="A4287" t="s">
        <v>12120</v>
      </c>
      <c r="B4287" t="s">
        <v>12121</v>
      </c>
      <c r="C4287" t="s">
        <v>12122</v>
      </c>
      <c r="D4287" t="s">
        <v>23</v>
      </c>
      <c r="E4287">
        <v>5605</v>
      </c>
      <c r="F4287" s="3">
        <v>42551</v>
      </c>
      <c r="H4287" t="s">
        <v>15523</v>
      </c>
      <c r="I4287" t="s">
        <v>18696</v>
      </c>
      <c r="K4287" t="e">
        <v>#N/A</v>
      </c>
      <c r="S4287" s="3"/>
    </row>
    <row r="4288" spans="1:19" x14ac:dyDescent="0.25">
      <c r="A4288" t="s">
        <v>12123</v>
      </c>
      <c r="B4288" t="s">
        <v>12124</v>
      </c>
      <c r="C4288" t="s">
        <v>12125</v>
      </c>
      <c r="D4288" t="s">
        <v>23</v>
      </c>
      <c r="E4288">
        <v>4881</v>
      </c>
      <c r="F4288" s="3">
        <v>40702</v>
      </c>
      <c r="H4288" t="s">
        <v>15523</v>
      </c>
      <c r="I4288" t="s">
        <v>18697</v>
      </c>
      <c r="K4288" t="e">
        <v>#N/A</v>
      </c>
      <c r="S4288" s="3"/>
    </row>
    <row r="4289" spans="1:19" x14ac:dyDescent="0.25">
      <c r="A4289" t="s">
        <v>12126</v>
      </c>
      <c r="B4289" t="s">
        <v>12127</v>
      </c>
      <c r="C4289" t="s">
        <v>12128</v>
      </c>
      <c r="D4289" t="s">
        <v>23</v>
      </c>
      <c r="E4289">
        <v>4882</v>
      </c>
      <c r="F4289" s="3">
        <v>40702</v>
      </c>
      <c r="H4289" t="s">
        <v>15523</v>
      </c>
      <c r="I4289" t="s">
        <v>18698</v>
      </c>
      <c r="K4289" t="e">
        <v>#N/A</v>
      </c>
      <c r="S4289" s="3"/>
    </row>
    <row r="4290" spans="1:19" x14ac:dyDescent="0.25">
      <c r="A4290" t="s">
        <v>12129</v>
      </c>
      <c r="B4290" t="s">
        <v>12130</v>
      </c>
      <c r="C4290" t="s">
        <v>12131</v>
      </c>
      <c r="D4290" t="s">
        <v>23</v>
      </c>
      <c r="E4290">
        <v>4883</v>
      </c>
      <c r="F4290" s="3">
        <v>40702</v>
      </c>
      <c r="H4290" t="s">
        <v>15523</v>
      </c>
      <c r="I4290" t="s">
        <v>18699</v>
      </c>
      <c r="K4290" t="e">
        <v>#N/A</v>
      </c>
      <c r="S4290" s="3"/>
    </row>
    <row r="4291" spans="1:19" x14ac:dyDescent="0.25">
      <c r="A4291" t="s">
        <v>12132</v>
      </c>
      <c r="B4291" t="s">
        <v>12133</v>
      </c>
      <c r="C4291" t="s">
        <v>12134</v>
      </c>
      <c r="D4291" t="s">
        <v>23</v>
      </c>
      <c r="E4291">
        <v>1560</v>
      </c>
      <c r="F4291" s="3">
        <v>40702</v>
      </c>
      <c r="H4291" t="s">
        <v>15523</v>
      </c>
      <c r="I4291" t="s">
        <v>18700</v>
      </c>
      <c r="K4291" t="e">
        <v>#N/A</v>
      </c>
      <c r="S4291" s="3"/>
    </row>
    <row r="4292" spans="1:19" x14ac:dyDescent="0.25">
      <c r="A4292" t="s">
        <v>12135</v>
      </c>
      <c r="B4292" t="s">
        <v>12136</v>
      </c>
      <c r="C4292" t="s">
        <v>12137</v>
      </c>
      <c r="D4292" t="s">
        <v>23</v>
      </c>
      <c r="E4292">
        <v>1559</v>
      </c>
      <c r="F4292" s="3">
        <v>40702</v>
      </c>
      <c r="H4292" t="s">
        <v>15523</v>
      </c>
      <c r="I4292" t="s">
        <v>18701</v>
      </c>
      <c r="K4292" t="e">
        <v>#N/A</v>
      </c>
      <c r="S4292" s="3"/>
    </row>
    <row r="4293" spans="1:19" x14ac:dyDescent="0.25">
      <c r="A4293" t="s">
        <v>12138</v>
      </c>
      <c r="B4293" t="s">
        <v>12139</v>
      </c>
      <c r="C4293" t="s">
        <v>12140</v>
      </c>
      <c r="D4293" t="s">
        <v>23</v>
      </c>
      <c r="E4293">
        <v>1558</v>
      </c>
      <c r="F4293" s="3">
        <v>40702</v>
      </c>
      <c r="H4293" t="s">
        <v>15523</v>
      </c>
      <c r="I4293" t="s">
        <v>18702</v>
      </c>
      <c r="K4293" t="e">
        <v>#N/A</v>
      </c>
      <c r="S4293" s="3"/>
    </row>
    <row r="4294" spans="1:19" x14ac:dyDescent="0.25">
      <c r="A4294" t="s">
        <v>12141</v>
      </c>
      <c r="B4294" t="s">
        <v>12142</v>
      </c>
      <c r="C4294" t="s">
        <v>12143</v>
      </c>
      <c r="D4294" t="s">
        <v>23</v>
      </c>
      <c r="E4294">
        <v>5063</v>
      </c>
      <c r="F4294" s="3">
        <v>41660</v>
      </c>
      <c r="H4294" t="s">
        <v>15523</v>
      </c>
      <c r="I4294" t="s">
        <v>18703</v>
      </c>
      <c r="K4294" t="e">
        <v>#N/A</v>
      </c>
      <c r="S4294" s="3"/>
    </row>
    <row r="4295" spans="1:19" x14ac:dyDescent="0.25">
      <c r="A4295" t="s">
        <v>12144</v>
      </c>
      <c r="B4295" t="s">
        <v>12145</v>
      </c>
      <c r="C4295" t="s">
        <v>12146</v>
      </c>
      <c r="D4295" t="s">
        <v>23</v>
      </c>
      <c r="E4295">
        <v>1567</v>
      </c>
      <c r="F4295" s="3">
        <v>40702</v>
      </c>
      <c r="H4295" t="s">
        <v>15523</v>
      </c>
      <c r="I4295" t="s">
        <v>18704</v>
      </c>
      <c r="K4295" t="e">
        <v>#N/A</v>
      </c>
      <c r="S4295" s="3"/>
    </row>
    <row r="4296" spans="1:19" x14ac:dyDescent="0.25">
      <c r="A4296" t="s">
        <v>12147</v>
      </c>
      <c r="B4296" t="s">
        <v>12148</v>
      </c>
      <c r="C4296" t="s">
        <v>12149</v>
      </c>
      <c r="D4296" t="s">
        <v>23</v>
      </c>
      <c r="E4296">
        <v>2476</v>
      </c>
      <c r="F4296" s="3">
        <v>40702</v>
      </c>
      <c r="H4296" t="s">
        <v>15523</v>
      </c>
      <c r="I4296" t="s">
        <v>18705</v>
      </c>
      <c r="K4296" t="e">
        <v>#N/A</v>
      </c>
      <c r="S4296" s="3"/>
    </row>
    <row r="4297" spans="1:19" x14ac:dyDescent="0.25">
      <c r="A4297" t="s">
        <v>12150</v>
      </c>
      <c r="B4297" t="s">
        <v>12151</v>
      </c>
      <c r="C4297" t="s">
        <v>12152</v>
      </c>
      <c r="D4297" t="s">
        <v>23</v>
      </c>
      <c r="E4297">
        <v>2235</v>
      </c>
      <c r="F4297" s="3">
        <v>40702</v>
      </c>
      <c r="H4297" t="s">
        <v>15523</v>
      </c>
      <c r="I4297" t="s">
        <v>18706</v>
      </c>
      <c r="K4297" t="e">
        <v>#N/A</v>
      </c>
      <c r="S4297" s="3"/>
    </row>
    <row r="4298" spans="1:19" x14ac:dyDescent="0.25">
      <c r="A4298" t="s">
        <v>12153</v>
      </c>
      <c r="B4298" t="s">
        <v>12154</v>
      </c>
      <c r="C4298" t="s">
        <v>12155</v>
      </c>
      <c r="D4298" t="s">
        <v>23</v>
      </c>
      <c r="E4298">
        <v>1561</v>
      </c>
      <c r="F4298" s="3">
        <v>40702</v>
      </c>
      <c r="H4298" t="s">
        <v>15523</v>
      </c>
      <c r="I4298" t="s">
        <v>18707</v>
      </c>
      <c r="K4298" t="e">
        <v>#N/A</v>
      </c>
      <c r="S4298" s="3"/>
    </row>
    <row r="4299" spans="1:19" x14ac:dyDescent="0.25">
      <c r="A4299" t="s">
        <v>12156</v>
      </c>
      <c r="B4299" t="s">
        <v>12157</v>
      </c>
      <c r="C4299" t="s">
        <v>12158</v>
      </c>
      <c r="D4299" t="s">
        <v>23</v>
      </c>
      <c r="E4299">
        <v>4884</v>
      </c>
      <c r="F4299" s="3">
        <v>40702</v>
      </c>
      <c r="H4299" t="s">
        <v>15523</v>
      </c>
      <c r="I4299" t="s">
        <v>18708</v>
      </c>
      <c r="K4299" t="e">
        <v>#N/A</v>
      </c>
      <c r="S4299" s="3"/>
    </row>
    <row r="4300" spans="1:19" x14ac:dyDescent="0.25">
      <c r="A4300" t="s">
        <v>12159</v>
      </c>
      <c r="B4300" t="s">
        <v>12160</v>
      </c>
      <c r="C4300" t="s">
        <v>12161</v>
      </c>
      <c r="D4300" t="s">
        <v>23</v>
      </c>
      <c r="E4300">
        <v>4885</v>
      </c>
      <c r="F4300" s="3">
        <v>40702</v>
      </c>
      <c r="H4300" t="s">
        <v>15523</v>
      </c>
      <c r="I4300" t="s">
        <v>18709</v>
      </c>
      <c r="K4300" t="e">
        <v>#N/A</v>
      </c>
      <c r="S4300" s="3"/>
    </row>
    <row r="4301" spans="1:19" x14ac:dyDescent="0.25">
      <c r="A4301" t="s">
        <v>12162</v>
      </c>
      <c r="B4301" t="s">
        <v>12163</v>
      </c>
      <c r="C4301" t="s">
        <v>12164</v>
      </c>
      <c r="D4301" t="s">
        <v>23</v>
      </c>
      <c r="E4301">
        <v>4886</v>
      </c>
      <c r="F4301" s="3">
        <v>40702</v>
      </c>
      <c r="H4301" t="s">
        <v>15523</v>
      </c>
      <c r="I4301" t="s">
        <v>18710</v>
      </c>
      <c r="K4301" t="e">
        <v>#N/A</v>
      </c>
      <c r="S4301" s="3"/>
    </row>
    <row r="4302" spans="1:19" x14ac:dyDescent="0.25">
      <c r="A4302" t="s">
        <v>12165</v>
      </c>
      <c r="B4302" t="s">
        <v>12166</v>
      </c>
      <c r="C4302" t="s">
        <v>12167</v>
      </c>
      <c r="D4302" t="s">
        <v>23</v>
      </c>
      <c r="E4302">
        <v>450</v>
      </c>
      <c r="F4302" s="3">
        <v>40702</v>
      </c>
      <c r="H4302" t="s">
        <v>15523</v>
      </c>
      <c r="I4302" t="s">
        <v>18711</v>
      </c>
      <c r="K4302" t="e">
        <v>#N/A</v>
      </c>
      <c r="S4302" s="3"/>
    </row>
    <row r="4303" spans="1:19" x14ac:dyDescent="0.25">
      <c r="A4303" t="s">
        <v>12168</v>
      </c>
      <c r="B4303" t="s">
        <v>12169</v>
      </c>
      <c r="C4303" t="s">
        <v>12170</v>
      </c>
      <c r="D4303" t="s">
        <v>23</v>
      </c>
      <c r="E4303">
        <v>4888</v>
      </c>
      <c r="F4303" s="3">
        <v>40702</v>
      </c>
      <c r="H4303" t="s">
        <v>15523</v>
      </c>
      <c r="I4303" t="s">
        <v>18712</v>
      </c>
      <c r="K4303" t="e">
        <v>#N/A</v>
      </c>
      <c r="S4303" s="3"/>
    </row>
    <row r="4304" spans="1:19" x14ac:dyDescent="0.25">
      <c r="A4304" t="s">
        <v>12171</v>
      </c>
      <c r="B4304" t="s">
        <v>12172</v>
      </c>
      <c r="C4304" t="s">
        <v>12173</v>
      </c>
      <c r="D4304" t="s">
        <v>23</v>
      </c>
      <c r="E4304">
        <v>4890</v>
      </c>
      <c r="F4304" s="3">
        <v>40702</v>
      </c>
      <c r="H4304" t="s">
        <v>15523</v>
      </c>
      <c r="I4304" t="s">
        <v>18713</v>
      </c>
      <c r="K4304" t="e">
        <v>#N/A</v>
      </c>
      <c r="S4304" s="3"/>
    </row>
    <row r="4305" spans="1:19" x14ac:dyDescent="0.25">
      <c r="A4305" t="s">
        <v>12174</v>
      </c>
      <c r="B4305" t="s">
        <v>12175</v>
      </c>
      <c r="C4305" t="s">
        <v>12176</v>
      </c>
      <c r="D4305" t="s">
        <v>23</v>
      </c>
      <c r="E4305">
        <v>4891</v>
      </c>
      <c r="F4305" s="3">
        <v>40702</v>
      </c>
      <c r="H4305" t="s">
        <v>15523</v>
      </c>
      <c r="I4305" t="s">
        <v>18714</v>
      </c>
      <c r="K4305" t="e">
        <v>#N/A</v>
      </c>
      <c r="S4305" s="3"/>
    </row>
    <row r="4306" spans="1:19" x14ac:dyDescent="0.25">
      <c r="A4306" t="s">
        <v>12177</v>
      </c>
      <c r="B4306" t="s">
        <v>12178</v>
      </c>
      <c r="C4306" t="s">
        <v>12179</v>
      </c>
      <c r="D4306" t="s">
        <v>23</v>
      </c>
      <c r="E4306">
        <v>1583</v>
      </c>
      <c r="F4306" s="3">
        <v>40702</v>
      </c>
      <c r="H4306" t="s">
        <v>15523</v>
      </c>
      <c r="I4306" t="s">
        <v>18715</v>
      </c>
      <c r="K4306" t="e">
        <v>#N/A</v>
      </c>
      <c r="S4306" s="3"/>
    </row>
    <row r="4307" spans="1:19" x14ac:dyDescent="0.25">
      <c r="A4307" t="s">
        <v>12180</v>
      </c>
      <c r="B4307" t="s">
        <v>12181</v>
      </c>
      <c r="C4307" t="s">
        <v>12182</v>
      </c>
      <c r="D4307" t="s">
        <v>23</v>
      </c>
      <c r="E4307">
        <v>4892</v>
      </c>
      <c r="F4307" s="3">
        <v>40702</v>
      </c>
      <c r="H4307" t="s">
        <v>15523</v>
      </c>
      <c r="I4307" t="s">
        <v>18716</v>
      </c>
      <c r="K4307" t="e">
        <v>#N/A</v>
      </c>
      <c r="S4307" s="3"/>
    </row>
    <row r="4308" spans="1:19" x14ac:dyDescent="0.25">
      <c r="A4308" t="s">
        <v>12183</v>
      </c>
      <c r="B4308" t="s">
        <v>12184</v>
      </c>
      <c r="C4308" t="s">
        <v>12185</v>
      </c>
      <c r="D4308" t="s">
        <v>23</v>
      </c>
      <c r="E4308">
        <v>4893</v>
      </c>
      <c r="F4308" s="3">
        <v>41230</v>
      </c>
      <c r="H4308" t="s">
        <v>15523</v>
      </c>
      <c r="I4308" t="s">
        <v>18717</v>
      </c>
      <c r="K4308" t="e">
        <v>#N/A</v>
      </c>
      <c r="S4308" s="3"/>
    </row>
    <row r="4309" spans="1:19" x14ac:dyDescent="0.25">
      <c r="A4309" t="s">
        <v>12186</v>
      </c>
      <c r="B4309" t="s">
        <v>12187</v>
      </c>
      <c r="C4309" t="s">
        <v>12188</v>
      </c>
      <c r="D4309" t="s">
        <v>23</v>
      </c>
      <c r="E4309">
        <v>4894</v>
      </c>
      <c r="F4309" s="3">
        <v>40901</v>
      </c>
      <c r="H4309" t="s">
        <v>15523</v>
      </c>
      <c r="I4309" t="s">
        <v>18718</v>
      </c>
      <c r="K4309" t="e">
        <v>#N/A</v>
      </c>
      <c r="S4309" s="3"/>
    </row>
    <row r="4310" spans="1:19" x14ac:dyDescent="0.25">
      <c r="A4310" t="s">
        <v>12189</v>
      </c>
      <c r="B4310" t="s">
        <v>12190</v>
      </c>
      <c r="C4310" t="s">
        <v>12191</v>
      </c>
      <c r="D4310" t="s">
        <v>23</v>
      </c>
      <c r="E4310">
        <v>4895</v>
      </c>
      <c r="F4310" s="3">
        <v>40985</v>
      </c>
      <c r="H4310" t="s">
        <v>15523</v>
      </c>
      <c r="I4310" t="s">
        <v>18719</v>
      </c>
      <c r="K4310" t="e">
        <v>#N/A</v>
      </c>
      <c r="S4310" s="3"/>
    </row>
    <row r="4311" spans="1:19" x14ac:dyDescent="0.25">
      <c r="A4311" t="s">
        <v>12192</v>
      </c>
      <c r="B4311" t="s">
        <v>12193</v>
      </c>
      <c r="C4311" t="s">
        <v>12194</v>
      </c>
      <c r="D4311" t="s">
        <v>23</v>
      </c>
      <c r="E4311">
        <v>4896</v>
      </c>
      <c r="F4311" s="3">
        <v>40702</v>
      </c>
      <c r="H4311" t="s">
        <v>15523</v>
      </c>
      <c r="I4311" t="s">
        <v>18720</v>
      </c>
      <c r="K4311" t="e">
        <v>#N/A</v>
      </c>
      <c r="S4311" s="3"/>
    </row>
    <row r="4312" spans="1:19" x14ac:dyDescent="0.25">
      <c r="A4312" t="s">
        <v>12195</v>
      </c>
      <c r="B4312" t="s">
        <v>12196</v>
      </c>
      <c r="C4312" t="s">
        <v>12197</v>
      </c>
      <c r="D4312" t="s">
        <v>23</v>
      </c>
      <c r="E4312">
        <v>4897</v>
      </c>
      <c r="F4312" s="3">
        <v>40702</v>
      </c>
      <c r="H4312" t="s">
        <v>15523</v>
      </c>
      <c r="I4312" t="s">
        <v>18721</v>
      </c>
      <c r="K4312" t="e">
        <v>#N/A</v>
      </c>
      <c r="S4312" s="3"/>
    </row>
    <row r="4313" spans="1:19" x14ac:dyDescent="0.25">
      <c r="A4313" t="s">
        <v>12198</v>
      </c>
      <c r="B4313" t="s">
        <v>12199</v>
      </c>
      <c r="C4313" t="s">
        <v>12200</v>
      </c>
      <c r="D4313" t="s">
        <v>23</v>
      </c>
      <c r="E4313">
        <v>5076</v>
      </c>
      <c r="F4313" s="3">
        <v>41741</v>
      </c>
      <c r="H4313" t="s">
        <v>15523</v>
      </c>
      <c r="I4313" t="s">
        <v>18722</v>
      </c>
      <c r="K4313" t="e">
        <v>#N/A</v>
      </c>
      <c r="S4313" s="3"/>
    </row>
    <row r="4314" spans="1:19" x14ac:dyDescent="0.25">
      <c r="A4314" t="s">
        <v>12201</v>
      </c>
      <c r="B4314" t="s">
        <v>12202</v>
      </c>
      <c r="C4314" t="s">
        <v>12203</v>
      </c>
      <c r="D4314" t="s">
        <v>23</v>
      </c>
      <c r="E4314">
        <v>1516</v>
      </c>
      <c r="F4314" s="3">
        <v>40702</v>
      </c>
      <c r="H4314" t="s">
        <v>15523</v>
      </c>
      <c r="I4314" t="s">
        <v>18723</v>
      </c>
      <c r="K4314" t="e">
        <v>#N/A</v>
      </c>
      <c r="S4314" s="3"/>
    </row>
    <row r="4315" spans="1:19" x14ac:dyDescent="0.25">
      <c r="A4315" t="s">
        <v>12204</v>
      </c>
      <c r="B4315" t="s">
        <v>12205</v>
      </c>
      <c r="C4315" t="s">
        <v>12206</v>
      </c>
      <c r="D4315" t="s">
        <v>23</v>
      </c>
      <c r="E4315">
        <v>5591</v>
      </c>
      <c r="F4315" s="3">
        <v>42551</v>
      </c>
      <c r="H4315" t="s">
        <v>15523</v>
      </c>
      <c r="I4315" t="s">
        <v>18724</v>
      </c>
      <c r="K4315" t="e">
        <v>#N/A</v>
      </c>
      <c r="S4315" s="3"/>
    </row>
    <row r="4316" spans="1:19" x14ac:dyDescent="0.25">
      <c r="A4316" t="s">
        <v>12207</v>
      </c>
      <c r="B4316" t="s">
        <v>12208</v>
      </c>
      <c r="C4316" t="s">
        <v>12209</v>
      </c>
      <c r="D4316" t="s">
        <v>23</v>
      </c>
      <c r="E4316">
        <v>1528</v>
      </c>
      <c r="F4316" s="3">
        <v>40702</v>
      </c>
      <c r="H4316" t="s">
        <v>15523</v>
      </c>
      <c r="I4316" t="s">
        <v>18725</v>
      </c>
      <c r="K4316" t="e">
        <v>#N/A</v>
      </c>
      <c r="S4316" s="3"/>
    </row>
    <row r="4317" spans="1:19" x14ac:dyDescent="0.25">
      <c r="A4317" t="s">
        <v>12210</v>
      </c>
      <c r="B4317" t="s">
        <v>12211</v>
      </c>
      <c r="C4317" t="s">
        <v>12212</v>
      </c>
      <c r="D4317" t="s">
        <v>23</v>
      </c>
      <c r="E4317">
        <v>4899</v>
      </c>
      <c r="F4317" s="3">
        <v>40702</v>
      </c>
      <c r="H4317" t="s">
        <v>15523</v>
      </c>
      <c r="I4317" t="s">
        <v>18726</v>
      </c>
      <c r="K4317" t="e">
        <v>#N/A</v>
      </c>
      <c r="S4317" s="3"/>
    </row>
    <row r="4318" spans="1:19" x14ac:dyDescent="0.25">
      <c r="A4318" t="s">
        <v>12213</v>
      </c>
      <c r="B4318" t="s">
        <v>12214</v>
      </c>
      <c r="C4318" t="s">
        <v>12215</v>
      </c>
      <c r="D4318" t="s">
        <v>23</v>
      </c>
      <c r="E4318">
        <v>1527</v>
      </c>
      <c r="F4318" s="3">
        <v>40702</v>
      </c>
      <c r="H4318" t="s">
        <v>15523</v>
      </c>
      <c r="I4318" t="s">
        <v>18727</v>
      </c>
      <c r="K4318" t="e">
        <v>#N/A</v>
      </c>
      <c r="S4318" s="3"/>
    </row>
    <row r="4319" spans="1:19" x14ac:dyDescent="0.25">
      <c r="A4319" t="s">
        <v>12216</v>
      </c>
      <c r="B4319" t="s">
        <v>12217</v>
      </c>
      <c r="C4319" t="s">
        <v>12218</v>
      </c>
      <c r="D4319" t="s">
        <v>23</v>
      </c>
      <c r="E4319">
        <v>4902</v>
      </c>
      <c r="F4319" s="3">
        <v>40702</v>
      </c>
      <c r="H4319" t="s">
        <v>15523</v>
      </c>
      <c r="I4319" t="s">
        <v>18728</v>
      </c>
      <c r="K4319" t="e">
        <v>#N/A</v>
      </c>
      <c r="S4319" s="3"/>
    </row>
    <row r="4320" spans="1:19" x14ac:dyDescent="0.25">
      <c r="A4320" t="s">
        <v>12219</v>
      </c>
      <c r="B4320" t="s">
        <v>12220</v>
      </c>
      <c r="C4320" t="s">
        <v>12221</v>
      </c>
      <c r="D4320" t="s">
        <v>23</v>
      </c>
      <c r="E4320">
        <v>5113</v>
      </c>
      <c r="F4320" s="3">
        <v>41788</v>
      </c>
      <c r="H4320" t="s">
        <v>15523</v>
      </c>
      <c r="I4320" t="s">
        <v>18729</v>
      </c>
      <c r="K4320" t="e">
        <v>#N/A</v>
      </c>
      <c r="S4320" s="3"/>
    </row>
    <row r="4321" spans="1:19" x14ac:dyDescent="0.25">
      <c r="A4321" t="s">
        <v>12222</v>
      </c>
      <c r="B4321" t="s">
        <v>12223</v>
      </c>
      <c r="C4321" t="s">
        <v>12224</v>
      </c>
      <c r="D4321" t="s">
        <v>23</v>
      </c>
      <c r="E4321">
        <v>4908</v>
      </c>
      <c r="F4321" s="3">
        <v>40702</v>
      </c>
      <c r="H4321" t="s">
        <v>15523</v>
      </c>
      <c r="I4321" t="s">
        <v>18730</v>
      </c>
      <c r="K4321" t="e">
        <v>#N/A</v>
      </c>
      <c r="S4321" s="3"/>
    </row>
    <row r="4322" spans="1:19" x14ac:dyDescent="0.25">
      <c r="A4322" t="s">
        <v>12225</v>
      </c>
      <c r="B4322" t="s">
        <v>12226</v>
      </c>
      <c r="C4322" t="s">
        <v>12227</v>
      </c>
      <c r="D4322" t="s">
        <v>23</v>
      </c>
      <c r="E4322">
        <v>1638</v>
      </c>
      <c r="F4322" s="3">
        <v>40702</v>
      </c>
      <c r="H4322" t="s">
        <v>15523</v>
      </c>
      <c r="I4322" t="s">
        <v>18731</v>
      </c>
      <c r="K4322" t="e">
        <v>#N/A</v>
      </c>
      <c r="S4322" s="3"/>
    </row>
    <row r="4323" spans="1:19" x14ac:dyDescent="0.25">
      <c r="A4323" t="s">
        <v>12228</v>
      </c>
      <c r="B4323" t="s">
        <v>12229</v>
      </c>
      <c r="C4323" t="s">
        <v>12230</v>
      </c>
      <c r="D4323" t="s">
        <v>23</v>
      </c>
      <c r="E4323">
        <v>4910</v>
      </c>
      <c r="F4323" s="3">
        <v>40702</v>
      </c>
      <c r="H4323" t="s">
        <v>15523</v>
      </c>
      <c r="I4323" t="s">
        <v>18732</v>
      </c>
      <c r="K4323" t="e">
        <v>#N/A</v>
      </c>
      <c r="S4323" s="3"/>
    </row>
    <row r="4324" spans="1:19" x14ac:dyDescent="0.25">
      <c r="A4324" t="s">
        <v>12231</v>
      </c>
      <c r="B4324" t="s">
        <v>12232</v>
      </c>
      <c r="C4324" t="s">
        <v>12233</v>
      </c>
      <c r="D4324" t="s">
        <v>23</v>
      </c>
      <c r="E4324">
        <v>6004</v>
      </c>
      <c r="F4324" s="3">
        <v>43483</v>
      </c>
      <c r="H4324" t="s">
        <v>15523</v>
      </c>
      <c r="I4324" t="s">
        <v>18733</v>
      </c>
      <c r="K4324" t="e">
        <v>#N/A</v>
      </c>
      <c r="S4324" s="3"/>
    </row>
    <row r="4325" spans="1:19" x14ac:dyDescent="0.25">
      <c r="A4325" t="s">
        <v>12234</v>
      </c>
      <c r="B4325" t="s">
        <v>12235</v>
      </c>
      <c r="C4325" t="s">
        <v>12236</v>
      </c>
      <c r="D4325" t="s">
        <v>23</v>
      </c>
      <c r="E4325">
        <v>4911</v>
      </c>
      <c r="F4325" s="3">
        <v>40702</v>
      </c>
      <c r="H4325" t="s">
        <v>15523</v>
      </c>
      <c r="I4325" t="s">
        <v>18734</v>
      </c>
      <c r="K4325" t="e">
        <v>#N/A</v>
      </c>
      <c r="S4325" s="3"/>
    </row>
    <row r="4326" spans="1:19" x14ac:dyDescent="0.25">
      <c r="A4326" t="s">
        <v>12237</v>
      </c>
      <c r="B4326" t="s">
        <v>12238</v>
      </c>
      <c r="C4326" t="s">
        <v>12239</v>
      </c>
      <c r="D4326" t="s">
        <v>23</v>
      </c>
      <c r="E4326">
        <v>1640</v>
      </c>
      <c r="F4326" s="3">
        <v>40702</v>
      </c>
      <c r="H4326" t="s">
        <v>15523</v>
      </c>
      <c r="I4326" t="s">
        <v>18735</v>
      </c>
      <c r="K4326" t="e">
        <v>#N/A</v>
      </c>
      <c r="S4326" s="3"/>
    </row>
    <row r="4327" spans="1:19" x14ac:dyDescent="0.25">
      <c r="A4327" t="s">
        <v>12240</v>
      </c>
      <c r="B4327" t="s">
        <v>12241</v>
      </c>
      <c r="C4327" t="s">
        <v>12242</v>
      </c>
      <c r="D4327" t="s">
        <v>23</v>
      </c>
      <c r="E4327">
        <v>4912</v>
      </c>
      <c r="F4327" s="3">
        <v>40702</v>
      </c>
      <c r="H4327" t="s">
        <v>15523</v>
      </c>
      <c r="I4327" t="s">
        <v>18736</v>
      </c>
      <c r="K4327" t="e">
        <v>#N/A</v>
      </c>
      <c r="S4327" s="3"/>
    </row>
    <row r="4328" spans="1:19" x14ac:dyDescent="0.25">
      <c r="A4328" t="s">
        <v>12243</v>
      </c>
      <c r="B4328" t="s">
        <v>12244</v>
      </c>
      <c r="C4328" t="s">
        <v>12245</v>
      </c>
      <c r="D4328" t="s">
        <v>23</v>
      </c>
      <c r="E4328">
        <v>6058</v>
      </c>
      <c r="F4328" s="3">
        <v>43781</v>
      </c>
      <c r="H4328" t="s">
        <v>15523</v>
      </c>
      <c r="I4328" t="s">
        <v>18737</v>
      </c>
      <c r="K4328" t="e">
        <v>#N/A</v>
      </c>
      <c r="S4328" s="3"/>
    </row>
    <row r="4329" spans="1:19" x14ac:dyDescent="0.25">
      <c r="A4329" t="s">
        <v>12246</v>
      </c>
      <c r="B4329" t="s">
        <v>12247</v>
      </c>
      <c r="C4329" t="s">
        <v>12248</v>
      </c>
      <c r="D4329" t="s">
        <v>23</v>
      </c>
      <c r="E4329">
        <v>4913</v>
      </c>
      <c r="F4329" s="3">
        <v>40702</v>
      </c>
      <c r="H4329" t="s">
        <v>15523</v>
      </c>
      <c r="I4329" t="s">
        <v>18738</v>
      </c>
      <c r="K4329" t="e">
        <v>#N/A</v>
      </c>
      <c r="S4329" s="3"/>
    </row>
    <row r="4330" spans="1:19" x14ac:dyDescent="0.25">
      <c r="A4330" t="s">
        <v>12249</v>
      </c>
      <c r="B4330" t="s">
        <v>12250</v>
      </c>
      <c r="C4330" t="s">
        <v>12251</v>
      </c>
      <c r="D4330" t="s">
        <v>23</v>
      </c>
      <c r="E4330">
        <v>1641</v>
      </c>
      <c r="F4330" s="3">
        <v>40702</v>
      </c>
      <c r="H4330" t="s">
        <v>15523</v>
      </c>
      <c r="I4330" t="s">
        <v>18739</v>
      </c>
      <c r="K4330" t="e">
        <v>#N/A</v>
      </c>
      <c r="S4330" s="3"/>
    </row>
    <row r="4331" spans="1:19" x14ac:dyDescent="0.25">
      <c r="A4331" t="s">
        <v>12252</v>
      </c>
      <c r="B4331" t="s">
        <v>12253</v>
      </c>
      <c r="C4331" t="s">
        <v>12254</v>
      </c>
      <c r="D4331" t="s">
        <v>23</v>
      </c>
      <c r="E4331">
        <v>4914</v>
      </c>
      <c r="F4331" s="3">
        <v>40702</v>
      </c>
      <c r="H4331" t="s">
        <v>15523</v>
      </c>
      <c r="I4331" t="s">
        <v>18740</v>
      </c>
      <c r="K4331" t="e">
        <v>#N/A</v>
      </c>
      <c r="S4331" s="3"/>
    </row>
    <row r="4332" spans="1:19" x14ac:dyDescent="0.25">
      <c r="A4332" t="s">
        <v>12255</v>
      </c>
      <c r="B4332" t="s">
        <v>12256</v>
      </c>
      <c r="C4332" t="s">
        <v>12257</v>
      </c>
      <c r="D4332" t="s">
        <v>23</v>
      </c>
      <c r="E4332">
        <v>4915</v>
      </c>
      <c r="F4332" s="3">
        <v>41230</v>
      </c>
      <c r="H4332" t="s">
        <v>15523</v>
      </c>
      <c r="I4332" t="s">
        <v>18741</v>
      </c>
      <c r="K4332" t="e">
        <v>#N/A</v>
      </c>
      <c r="S4332" s="3"/>
    </row>
    <row r="4333" spans="1:19" x14ac:dyDescent="0.25">
      <c r="A4333" t="s">
        <v>12258</v>
      </c>
      <c r="B4333" t="s">
        <v>12259</v>
      </c>
      <c r="C4333" t="s">
        <v>12260</v>
      </c>
      <c r="D4333" t="s">
        <v>23</v>
      </c>
      <c r="E4333">
        <v>4916</v>
      </c>
      <c r="F4333" s="3">
        <v>40702</v>
      </c>
      <c r="H4333" t="s">
        <v>15523</v>
      </c>
      <c r="I4333" t="s">
        <v>18742</v>
      </c>
      <c r="K4333" t="e">
        <v>#N/A</v>
      </c>
      <c r="S4333" s="3"/>
    </row>
    <row r="4334" spans="1:19" x14ac:dyDescent="0.25">
      <c r="A4334" t="s">
        <v>12261</v>
      </c>
      <c r="B4334" t="s">
        <v>12262</v>
      </c>
      <c r="C4334" t="s">
        <v>12263</v>
      </c>
      <c r="D4334" t="s">
        <v>23</v>
      </c>
      <c r="E4334">
        <v>4917</v>
      </c>
      <c r="F4334" s="3">
        <v>40702</v>
      </c>
      <c r="H4334" t="s">
        <v>15523</v>
      </c>
      <c r="I4334" t="s">
        <v>18743</v>
      </c>
      <c r="K4334" t="e">
        <v>#N/A</v>
      </c>
      <c r="S4334" s="3"/>
    </row>
    <row r="4335" spans="1:19" x14ac:dyDescent="0.25">
      <c r="A4335" t="s">
        <v>12264</v>
      </c>
      <c r="B4335" t="s">
        <v>12265</v>
      </c>
      <c r="C4335" t="s">
        <v>12266</v>
      </c>
      <c r="D4335" t="s">
        <v>23</v>
      </c>
      <c r="E4335">
        <v>4918</v>
      </c>
      <c r="F4335" s="3">
        <v>41230</v>
      </c>
      <c r="H4335" t="s">
        <v>15523</v>
      </c>
      <c r="I4335" t="s">
        <v>18744</v>
      </c>
      <c r="K4335" t="e">
        <v>#N/A</v>
      </c>
      <c r="S4335" s="3"/>
    </row>
    <row r="4336" spans="1:19" x14ac:dyDescent="0.25">
      <c r="A4336" t="s">
        <v>12267</v>
      </c>
      <c r="B4336" t="s">
        <v>12268</v>
      </c>
      <c r="C4336" t="s">
        <v>12269</v>
      </c>
      <c r="D4336" t="s">
        <v>23</v>
      </c>
      <c r="E4336">
        <v>5064</v>
      </c>
      <c r="F4336" s="3">
        <v>41660</v>
      </c>
      <c r="H4336" t="s">
        <v>15523</v>
      </c>
      <c r="I4336" t="s">
        <v>18745</v>
      </c>
      <c r="K4336" t="e">
        <v>#N/A</v>
      </c>
      <c r="S4336" s="3"/>
    </row>
    <row r="4337" spans="1:19" x14ac:dyDescent="0.25">
      <c r="A4337" t="s">
        <v>12270</v>
      </c>
      <c r="B4337" t="s">
        <v>12271</v>
      </c>
      <c r="C4337" t="s">
        <v>12272</v>
      </c>
      <c r="D4337" t="s">
        <v>23</v>
      </c>
      <c r="E4337">
        <v>4919</v>
      </c>
      <c r="F4337" s="3">
        <v>40702</v>
      </c>
      <c r="H4337" t="s">
        <v>15523</v>
      </c>
      <c r="I4337" t="s">
        <v>18746</v>
      </c>
      <c r="K4337" t="e">
        <v>#N/A</v>
      </c>
      <c r="S4337" s="3"/>
    </row>
    <row r="4338" spans="1:19" x14ac:dyDescent="0.25">
      <c r="A4338" t="s">
        <v>12273</v>
      </c>
      <c r="B4338" t="s">
        <v>12274</v>
      </c>
      <c r="C4338" t="s">
        <v>12275</v>
      </c>
      <c r="D4338" t="s">
        <v>23</v>
      </c>
      <c r="E4338">
        <v>1653</v>
      </c>
      <c r="F4338" s="3">
        <v>40702</v>
      </c>
      <c r="H4338" t="s">
        <v>15523</v>
      </c>
      <c r="I4338" t="s">
        <v>18747</v>
      </c>
      <c r="K4338" t="e">
        <v>#N/A</v>
      </c>
      <c r="S4338" s="3"/>
    </row>
    <row r="4339" spans="1:19" x14ac:dyDescent="0.25">
      <c r="A4339" t="s">
        <v>12276</v>
      </c>
      <c r="B4339" t="s">
        <v>12277</v>
      </c>
      <c r="C4339" t="s">
        <v>12278</v>
      </c>
      <c r="D4339" t="s">
        <v>23</v>
      </c>
      <c r="E4339">
        <v>1652</v>
      </c>
      <c r="F4339" s="3">
        <v>40702</v>
      </c>
      <c r="H4339" t="s">
        <v>15523</v>
      </c>
      <c r="I4339" t="s">
        <v>18748</v>
      </c>
      <c r="K4339" t="e">
        <v>#N/A</v>
      </c>
      <c r="S4339" s="3"/>
    </row>
    <row r="4340" spans="1:19" x14ac:dyDescent="0.25">
      <c r="A4340" t="s">
        <v>12279</v>
      </c>
      <c r="B4340" t="s">
        <v>12280</v>
      </c>
      <c r="C4340" t="s">
        <v>12281</v>
      </c>
      <c r="D4340" t="s">
        <v>23</v>
      </c>
      <c r="E4340">
        <v>4920</v>
      </c>
      <c r="F4340" s="3">
        <v>40702</v>
      </c>
      <c r="H4340" t="s">
        <v>15523</v>
      </c>
      <c r="I4340" t="s">
        <v>18749</v>
      </c>
      <c r="K4340" t="e">
        <v>#N/A</v>
      </c>
      <c r="S4340" s="3"/>
    </row>
    <row r="4341" spans="1:19" x14ac:dyDescent="0.25">
      <c r="A4341" t="s">
        <v>12282</v>
      </c>
      <c r="B4341" t="s">
        <v>12283</v>
      </c>
      <c r="C4341" t="s">
        <v>12284</v>
      </c>
      <c r="D4341" t="s">
        <v>23</v>
      </c>
      <c r="E4341">
        <v>4921</v>
      </c>
      <c r="F4341" s="3">
        <v>40702</v>
      </c>
      <c r="H4341" t="s">
        <v>15523</v>
      </c>
      <c r="I4341" t="s">
        <v>18750</v>
      </c>
      <c r="K4341" t="e">
        <v>#N/A</v>
      </c>
      <c r="S4341" s="3"/>
    </row>
    <row r="4342" spans="1:19" x14ac:dyDescent="0.25">
      <c r="A4342" t="s">
        <v>12285</v>
      </c>
      <c r="B4342" t="s">
        <v>12286</v>
      </c>
      <c r="C4342" t="s">
        <v>12287</v>
      </c>
      <c r="D4342" t="s">
        <v>23</v>
      </c>
      <c r="E4342">
        <v>4923</v>
      </c>
      <c r="F4342" s="3">
        <v>40702</v>
      </c>
      <c r="H4342" t="s">
        <v>15523</v>
      </c>
      <c r="I4342" t="s">
        <v>18751</v>
      </c>
      <c r="K4342" t="e">
        <v>#N/A</v>
      </c>
      <c r="S4342" s="3"/>
    </row>
    <row r="4343" spans="1:19" x14ac:dyDescent="0.25">
      <c r="A4343" t="s">
        <v>12288</v>
      </c>
      <c r="B4343" t="s">
        <v>12289</v>
      </c>
      <c r="C4343" t="s">
        <v>12290</v>
      </c>
      <c r="D4343" t="s">
        <v>23</v>
      </c>
      <c r="E4343">
        <v>4932</v>
      </c>
      <c r="F4343" s="3">
        <v>40702</v>
      </c>
      <c r="H4343" t="s">
        <v>15523</v>
      </c>
      <c r="I4343" t="s">
        <v>18752</v>
      </c>
      <c r="K4343" t="e">
        <v>#N/A</v>
      </c>
      <c r="S4343" s="3"/>
    </row>
    <row r="4344" spans="1:19" x14ac:dyDescent="0.25">
      <c r="A4344" t="s">
        <v>12291</v>
      </c>
      <c r="B4344" t="s">
        <v>12292</v>
      </c>
      <c r="C4344" t="s">
        <v>12293</v>
      </c>
      <c r="D4344" t="s">
        <v>23</v>
      </c>
      <c r="E4344">
        <v>2077</v>
      </c>
      <c r="F4344" s="3">
        <v>40702</v>
      </c>
      <c r="H4344" t="s">
        <v>15523</v>
      </c>
      <c r="I4344" t="s">
        <v>18753</v>
      </c>
      <c r="K4344" t="e">
        <v>#N/A</v>
      </c>
      <c r="S4344" s="3"/>
    </row>
    <row r="4345" spans="1:19" x14ac:dyDescent="0.25">
      <c r="A4345" t="s">
        <v>12294</v>
      </c>
      <c r="B4345" t="s">
        <v>12295</v>
      </c>
      <c r="C4345" t="s">
        <v>12296</v>
      </c>
      <c r="D4345" t="s">
        <v>23</v>
      </c>
      <c r="E4345">
        <v>4929</v>
      </c>
      <c r="F4345" s="3">
        <v>40702</v>
      </c>
      <c r="H4345" t="s">
        <v>15523</v>
      </c>
      <c r="I4345" t="s">
        <v>18754</v>
      </c>
      <c r="K4345" t="e">
        <v>#N/A</v>
      </c>
      <c r="S4345" s="3"/>
    </row>
    <row r="4346" spans="1:19" x14ac:dyDescent="0.25">
      <c r="A4346" t="s">
        <v>12297</v>
      </c>
      <c r="B4346" t="s">
        <v>12298</v>
      </c>
      <c r="C4346" t="s">
        <v>12299</v>
      </c>
      <c r="D4346" t="s">
        <v>23</v>
      </c>
      <c r="E4346">
        <v>4933</v>
      </c>
      <c r="F4346" s="3">
        <v>41230</v>
      </c>
      <c r="H4346" t="s">
        <v>15523</v>
      </c>
      <c r="I4346" t="s">
        <v>18755</v>
      </c>
      <c r="K4346" t="e">
        <v>#N/A</v>
      </c>
      <c r="S4346" s="3"/>
    </row>
  </sheetData>
  <autoFilter ref="A1:K4346"/>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98"/>
  <sheetViews>
    <sheetView workbookViewId="0">
      <selection activeCell="A2" sqref="A2:B598"/>
    </sheetView>
  </sheetViews>
  <sheetFormatPr defaultRowHeight="15" x14ac:dyDescent="0.25"/>
  <cols>
    <col min="1" max="1" width="47.5703125" style="27" bestFit="1" customWidth="1"/>
    <col min="2" max="2" width="28.7109375" style="27" bestFit="1" customWidth="1"/>
  </cols>
  <sheetData>
    <row r="1" spans="1:2" x14ac:dyDescent="0.25">
      <c r="A1" s="26" t="s">
        <v>18756</v>
      </c>
      <c r="B1" s="26" t="s">
        <v>18757</v>
      </c>
    </row>
    <row r="2" spans="1:2" x14ac:dyDescent="0.25">
      <c r="A2" t="s">
        <v>12300</v>
      </c>
    </row>
    <row r="3" spans="1:2" x14ac:dyDescent="0.25">
      <c r="A3" t="s">
        <v>12301</v>
      </c>
    </row>
    <row r="4" spans="1:2" x14ac:dyDescent="0.25">
      <c r="A4" t="s">
        <v>12302</v>
      </c>
    </row>
    <row r="5" spans="1:2" x14ac:dyDescent="0.25">
      <c r="A5" t="s">
        <v>12303</v>
      </c>
    </row>
    <row r="6" spans="1:2" x14ac:dyDescent="0.25">
      <c r="A6" t="s">
        <v>12304</v>
      </c>
    </row>
    <row r="7" spans="1:2" x14ac:dyDescent="0.25">
      <c r="A7" t="s">
        <v>12305</v>
      </c>
    </row>
    <row r="8" spans="1:2" x14ac:dyDescent="0.25">
      <c r="A8" t="s">
        <v>12306</v>
      </c>
    </row>
    <row r="9" spans="1:2" x14ac:dyDescent="0.25">
      <c r="A9" t="s">
        <v>12307</v>
      </c>
      <c r="B9" t="s">
        <v>18758</v>
      </c>
    </row>
    <row r="10" spans="1:2" x14ac:dyDescent="0.25">
      <c r="A10" t="s">
        <v>12309</v>
      </c>
    </row>
    <row r="11" spans="1:2" x14ac:dyDescent="0.25">
      <c r="A11" t="s">
        <v>12310</v>
      </c>
      <c r="B11" t="s">
        <v>18759</v>
      </c>
    </row>
    <row r="12" spans="1:2" x14ac:dyDescent="0.25">
      <c r="A12" t="s">
        <v>12312</v>
      </c>
      <c r="B12" t="s">
        <v>18760</v>
      </c>
    </row>
    <row r="13" spans="1:2" x14ac:dyDescent="0.25">
      <c r="A13" t="s">
        <v>12313</v>
      </c>
    </row>
    <row r="14" spans="1:2" x14ac:dyDescent="0.25">
      <c r="A14" t="s">
        <v>12314</v>
      </c>
    </row>
    <row r="15" spans="1:2" x14ac:dyDescent="0.25">
      <c r="A15" t="s">
        <v>12315</v>
      </c>
      <c r="B15" t="s">
        <v>18761</v>
      </c>
    </row>
    <row r="16" spans="1:2" x14ac:dyDescent="0.25">
      <c r="A16" t="s">
        <v>12316</v>
      </c>
    </row>
    <row r="17" spans="1:2" x14ac:dyDescent="0.25">
      <c r="A17" t="s">
        <v>12317</v>
      </c>
    </row>
    <row r="18" spans="1:2" x14ac:dyDescent="0.25">
      <c r="A18" t="s">
        <v>12318</v>
      </c>
    </row>
    <row r="19" spans="1:2" x14ac:dyDescent="0.25">
      <c r="A19" t="s">
        <v>12319</v>
      </c>
    </row>
    <row r="20" spans="1:2" x14ac:dyDescent="0.25">
      <c r="A20" t="s">
        <v>12320</v>
      </c>
      <c r="B20" t="s">
        <v>18762</v>
      </c>
    </row>
    <row r="21" spans="1:2" x14ac:dyDescent="0.25">
      <c r="A21" t="s">
        <v>12321</v>
      </c>
      <c r="B21" t="s">
        <v>18763</v>
      </c>
    </row>
    <row r="22" spans="1:2" x14ac:dyDescent="0.25">
      <c r="A22" t="s">
        <v>12322</v>
      </c>
      <c r="B22" t="s">
        <v>18764</v>
      </c>
    </row>
    <row r="23" spans="1:2" x14ac:dyDescent="0.25">
      <c r="A23" t="s">
        <v>12323</v>
      </c>
      <c r="B23" t="s">
        <v>18765</v>
      </c>
    </row>
    <row r="24" spans="1:2" x14ac:dyDescent="0.25">
      <c r="A24" t="s">
        <v>12325</v>
      </c>
      <c r="B24" t="s">
        <v>18766</v>
      </c>
    </row>
    <row r="25" spans="1:2" x14ac:dyDescent="0.25">
      <c r="A25" t="s">
        <v>12326</v>
      </c>
      <c r="B25" t="s">
        <v>18767</v>
      </c>
    </row>
    <row r="26" spans="1:2" x14ac:dyDescent="0.25">
      <c r="A26" t="s">
        <v>12327</v>
      </c>
    </row>
    <row r="27" spans="1:2" x14ac:dyDescent="0.25">
      <c r="A27" t="s">
        <v>12328</v>
      </c>
    </row>
    <row r="28" spans="1:2" x14ac:dyDescent="0.25">
      <c r="A28" t="s">
        <v>12329</v>
      </c>
    </row>
    <row r="29" spans="1:2" x14ac:dyDescent="0.25">
      <c r="A29" t="s">
        <v>12330</v>
      </c>
    </row>
    <row r="30" spans="1:2" x14ac:dyDescent="0.25">
      <c r="A30" t="s">
        <v>12331</v>
      </c>
    </row>
    <row r="31" spans="1:2" x14ac:dyDescent="0.25">
      <c r="A31" t="s">
        <v>12332</v>
      </c>
    </row>
    <row r="32" spans="1:2" x14ac:dyDescent="0.25">
      <c r="A32" t="s">
        <v>12333</v>
      </c>
    </row>
    <row r="33" spans="1:2" x14ac:dyDescent="0.25">
      <c r="A33" t="s">
        <v>12334</v>
      </c>
    </row>
    <row r="34" spans="1:2" x14ac:dyDescent="0.25">
      <c r="A34" t="s">
        <v>12335</v>
      </c>
      <c r="B34" t="s">
        <v>18768</v>
      </c>
    </row>
    <row r="35" spans="1:2" x14ac:dyDescent="0.25">
      <c r="A35" t="s">
        <v>12336</v>
      </c>
      <c r="B35" t="s">
        <v>18769</v>
      </c>
    </row>
    <row r="36" spans="1:2" x14ac:dyDescent="0.25">
      <c r="A36" t="s">
        <v>12337</v>
      </c>
      <c r="B36" t="s">
        <v>18770</v>
      </c>
    </row>
    <row r="37" spans="1:2" x14ac:dyDescent="0.25">
      <c r="A37" t="s">
        <v>12338</v>
      </c>
    </row>
    <row r="38" spans="1:2" x14ac:dyDescent="0.25">
      <c r="A38" t="s">
        <v>12339</v>
      </c>
      <c r="B38" t="s">
        <v>18771</v>
      </c>
    </row>
    <row r="39" spans="1:2" x14ac:dyDescent="0.25">
      <c r="A39" t="s">
        <v>12340</v>
      </c>
    </row>
    <row r="40" spans="1:2" x14ac:dyDescent="0.25">
      <c r="A40" t="s">
        <v>12341</v>
      </c>
    </row>
    <row r="41" spans="1:2" x14ac:dyDescent="0.25">
      <c r="A41" t="s">
        <v>12342</v>
      </c>
    </row>
    <row r="42" spans="1:2" x14ac:dyDescent="0.25">
      <c r="A42" t="s">
        <v>12343</v>
      </c>
    </row>
    <row r="43" spans="1:2" x14ac:dyDescent="0.25">
      <c r="A43" t="s">
        <v>12344</v>
      </c>
    </row>
    <row r="44" spans="1:2" x14ac:dyDescent="0.25">
      <c r="A44" t="s">
        <v>12345</v>
      </c>
    </row>
    <row r="45" spans="1:2" x14ac:dyDescent="0.25">
      <c r="A45" t="s">
        <v>12346</v>
      </c>
    </row>
    <row r="46" spans="1:2" x14ac:dyDescent="0.25">
      <c r="A46" t="s">
        <v>12347</v>
      </c>
      <c r="B46" t="s">
        <v>18772</v>
      </c>
    </row>
    <row r="47" spans="1:2" x14ac:dyDescent="0.25">
      <c r="A47" t="s">
        <v>12349</v>
      </c>
      <c r="B47" t="s">
        <v>18773</v>
      </c>
    </row>
    <row r="48" spans="1:2" x14ac:dyDescent="0.25">
      <c r="A48" t="s">
        <v>12350</v>
      </c>
    </row>
    <row r="49" spans="1:2" x14ac:dyDescent="0.25">
      <c r="A49" t="s">
        <v>12351</v>
      </c>
    </row>
    <row r="50" spans="1:2" x14ac:dyDescent="0.25">
      <c r="A50" t="s">
        <v>12352</v>
      </c>
    </row>
    <row r="51" spans="1:2" x14ac:dyDescent="0.25">
      <c r="A51" t="s">
        <v>12353</v>
      </c>
      <c r="B51" t="s">
        <v>18774</v>
      </c>
    </row>
    <row r="52" spans="1:2" x14ac:dyDescent="0.25">
      <c r="A52" t="s">
        <v>12354</v>
      </c>
    </row>
    <row r="53" spans="1:2" x14ac:dyDescent="0.25">
      <c r="A53" t="s">
        <v>12355</v>
      </c>
    </row>
    <row r="54" spans="1:2" x14ac:dyDescent="0.25">
      <c r="A54" t="s">
        <v>12356</v>
      </c>
    </row>
    <row r="55" spans="1:2" x14ac:dyDescent="0.25">
      <c r="A55" t="s">
        <v>12357</v>
      </c>
    </row>
    <row r="56" spans="1:2" x14ac:dyDescent="0.25">
      <c r="A56" t="s">
        <v>12358</v>
      </c>
      <c r="B56" t="s">
        <v>18775</v>
      </c>
    </row>
    <row r="57" spans="1:2" x14ac:dyDescent="0.25">
      <c r="A57" t="s">
        <v>12359</v>
      </c>
    </row>
    <row r="58" spans="1:2" x14ac:dyDescent="0.25">
      <c r="A58" t="s">
        <v>12360</v>
      </c>
    </row>
    <row r="59" spans="1:2" x14ac:dyDescent="0.25">
      <c r="A59" t="s">
        <v>12361</v>
      </c>
    </row>
    <row r="60" spans="1:2" x14ac:dyDescent="0.25">
      <c r="A60" t="s">
        <v>12362</v>
      </c>
    </row>
    <row r="61" spans="1:2" x14ac:dyDescent="0.25">
      <c r="A61" t="s">
        <v>12363</v>
      </c>
      <c r="B61" t="s">
        <v>18776</v>
      </c>
    </row>
    <row r="62" spans="1:2" x14ac:dyDescent="0.25">
      <c r="A62" t="s">
        <v>12364</v>
      </c>
    </row>
    <row r="63" spans="1:2" x14ac:dyDescent="0.25">
      <c r="A63" t="s">
        <v>12365</v>
      </c>
    </row>
    <row r="64" spans="1:2" x14ac:dyDescent="0.25">
      <c r="A64" t="s">
        <v>12366</v>
      </c>
    </row>
    <row r="65" spans="1:2" x14ac:dyDescent="0.25">
      <c r="A65" t="s">
        <v>12367</v>
      </c>
      <c r="B65" t="s">
        <v>18777</v>
      </c>
    </row>
    <row r="66" spans="1:2" x14ac:dyDescent="0.25">
      <c r="A66" t="s">
        <v>12368</v>
      </c>
      <c r="B66" t="s">
        <v>18778</v>
      </c>
    </row>
    <row r="67" spans="1:2" x14ac:dyDescent="0.25">
      <c r="A67" t="s">
        <v>12369</v>
      </c>
      <c r="B67" t="s">
        <v>18779</v>
      </c>
    </row>
    <row r="68" spans="1:2" x14ac:dyDescent="0.25">
      <c r="A68" t="s">
        <v>12370</v>
      </c>
    </row>
    <row r="69" spans="1:2" x14ac:dyDescent="0.25">
      <c r="A69" t="s">
        <v>12371</v>
      </c>
    </row>
    <row r="70" spans="1:2" x14ac:dyDescent="0.25">
      <c r="A70" t="s">
        <v>12372</v>
      </c>
    </row>
    <row r="71" spans="1:2" x14ac:dyDescent="0.25">
      <c r="A71" t="s">
        <v>12373</v>
      </c>
      <c r="B71" t="s">
        <v>18780</v>
      </c>
    </row>
    <row r="72" spans="1:2" x14ac:dyDescent="0.25">
      <c r="A72" t="s">
        <v>12374</v>
      </c>
      <c r="B72" t="s">
        <v>18781</v>
      </c>
    </row>
    <row r="73" spans="1:2" x14ac:dyDescent="0.25">
      <c r="A73" t="s">
        <v>12375</v>
      </c>
    </row>
    <row r="74" spans="1:2" x14ac:dyDescent="0.25">
      <c r="A74" t="s">
        <v>12376</v>
      </c>
    </row>
    <row r="75" spans="1:2" x14ac:dyDescent="0.25">
      <c r="A75" t="s">
        <v>12377</v>
      </c>
      <c r="B75" t="s">
        <v>18782</v>
      </c>
    </row>
    <row r="76" spans="1:2" x14ac:dyDescent="0.25">
      <c r="A76" t="s">
        <v>12378</v>
      </c>
      <c r="B76" t="s">
        <v>18783</v>
      </c>
    </row>
    <row r="77" spans="1:2" x14ac:dyDescent="0.25">
      <c r="A77" t="s">
        <v>12379</v>
      </c>
      <c r="B77" t="s">
        <v>18784</v>
      </c>
    </row>
    <row r="78" spans="1:2" x14ac:dyDescent="0.25">
      <c r="A78" t="s">
        <v>12380</v>
      </c>
    </row>
    <row r="79" spans="1:2" x14ac:dyDescent="0.25">
      <c r="A79" t="s">
        <v>12381</v>
      </c>
    </row>
    <row r="80" spans="1:2" x14ac:dyDescent="0.25">
      <c r="A80" t="s">
        <v>12382</v>
      </c>
    </row>
    <row r="81" spans="1:2" x14ac:dyDescent="0.25">
      <c r="A81" t="s">
        <v>12383</v>
      </c>
      <c r="B81" t="s">
        <v>18785</v>
      </c>
    </row>
    <row r="82" spans="1:2" x14ac:dyDescent="0.25">
      <c r="A82" t="s">
        <v>12384</v>
      </c>
    </row>
    <row r="83" spans="1:2" x14ac:dyDescent="0.25">
      <c r="A83" t="s">
        <v>12385</v>
      </c>
    </row>
    <row r="84" spans="1:2" x14ac:dyDescent="0.25">
      <c r="A84" t="s">
        <v>12386</v>
      </c>
    </row>
    <row r="85" spans="1:2" x14ac:dyDescent="0.25">
      <c r="A85" t="s">
        <v>12387</v>
      </c>
    </row>
    <row r="86" spans="1:2" x14ac:dyDescent="0.25">
      <c r="A86" t="s">
        <v>12388</v>
      </c>
    </row>
    <row r="87" spans="1:2" x14ac:dyDescent="0.25">
      <c r="A87" t="s">
        <v>12389</v>
      </c>
      <c r="B87" t="s">
        <v>18786</v>
      </c>
    </row>
    <row r="88" spans="1:2" x14ac:dyDescent="0.25">
      <c r="A88" t="s">
        <v>12390</v>
      </c>
      <c r="B88" t="s">
        <v>18787</v>
      </c>
    </row>
    <row r="89" spans="1:2" x14ac:dyDescent="0.25">
      <c r="A89" t="s">
        <v>12391</v>
      </c>
    </row>
    <row r="90" spans="1:2" x14ac:dyDescent="0.25">
      <c r="A90" t="s">
        <v>12392</v>
      </c>
    </row>
    <row r="91" spans="1:2" x14ac:dyDescent="0.25">
      <c r="A91" t="s">
        <v>12393</v>
      </c>
    </row>
    <row r="92" spans="1:2" x14ac:dyDescent="0.25">
      <c r="A92" t="s">
        <v>12394</v>
      </c>
      <c r="B92" t="s">
        <v>18788</v>
      </c>
    </row>
    <row r="93" spans="1:2" x14ac:dyDescent="0.25">
      <c r="A93" t="s">
        <v>12395</v>
      </c>
    </row>
    <row r="94" spans="1:2" x14ac:dyDescent="0.25">
      <c r="A94" t="s">
        <v>12396</v>
      </c>
    </row>
    <row r="95" spans="1:2" x14ac:dyDescent="0.25">
      <c r="A95" t="s">
        <v>12397</v>
      </c>
    </row>
    <row r="96" spans="1:2" x14ac:dyDescent="0.25">
      <c r="A96" t="s">
        <v>12398</v>
      </c>
    </row>
    <row r="97" spans="1:2" x14ac:dyDescent="0.25">
      <c r="A97" t="s">
        <v>12399</v>
      </c>
    </row>
    <row r="98" spans="1:2" x14ac:dyDescent="0.25">
      <c r="A98" t="s">
        <v>12400</v>
      </c>
    </row>
    <row r="99" spans="1:2" x14ac:dyDescent="0.25">
      <c r="A99" t="s">
        <v>12401</v>
      </c>
    </row>
    <row r="100" spans="1:2" x14ac:dyDescent="0.25">
      <c r="A100" t="s">
        <v>12402</v>
      </c>
      <c r="B100" t="s">
        <v>18789</v>
      </c>
    </row>
    <row r="101" spans="1:2" x14ac:dyDescent="0.25">
      <c r="A101" t="s">
        <v>12403</v>
      </c>
    </row>
    <row r="102" spans="1:2" x14ac:dyDescent="0.25">
      <c r="A102" t="s">
        <v>12404</v>
      </c>
      <c r="B102" t="s">
        <v>18790</v>
      </c>
    </row>
    <row r="103" spans="1:2" x14ac:dyDescent="0.25">
      <c r="A103" t="s">
        <v>12405</v>
      </c>
      <c r="B103" t="s">
        <v>18791</v>
      </c>
    </row>
    <row r="104" spans="1:2" x14ac:dyDescent="0.25">
      <c r="A104" t="s">
        <v>12406</v>
      </c>
    </row>
    <row r="105" spans="1:2" x14ac:dyDescent="0.25">
      <c r="A105" t="s">
        <v>12407</v>
      </c>
    </row>
    <row r="106" spans="1:2" x14ac:dyDescent="0.25">
      <c r="A106" t="s">
        <v>12408</v>
      </c>
    </row>
    <row r="107" spans="1:2" x14ac:dyDescent="0.25">
      <c r="A107" t="s">
        <v>12409</v>
      </c>
    </row>
    <row r="108" spans="1:2" x14ac:dyDescent="0.25">
      <c r="A108" t="s">
        <v>12410</v>
      </c>
      <c r="B108" t="s">
        <v>18792</v>
      </c>
    </row>
    <row r="109" spans="1:2" x14ac:dyDescent="0.25">
      <c r="A109" t="s">
        <v>12411</v>
      </c>
    </row>
    <row r="110" spans="1:2" x14ac:dyDescent="0.25">
      <c r="A110" t="s">
        <v>12412</v>
      </c>
    </row>
    <row r="111" spans="1:2" x14ac:dyDescent="0.25">
      <c r="A111" t="s">
        <v>12413</v>
      </c>
    </row>
    <row r="112" spans="1:2" x14ac:dyDescent="0.25">
      <c r="A112" t="s">
        <v>12414</v>
      </c>
    </row>
    <row r="113" spans="1:2" x14ac:dyDescent="0.25">
      <c r="A113" t="s">
        <v>12415</v>
      </c>
    </row>
    <row r="114" spans="1:2" x14ac:dyDescent="0.25">
      <c r="A114" t="s">
        <v>12416</v>
      </c>
    </row>
    <row r="115" spans="1:2" x14ac:dyDescent="0.25">
      <c r="A115" t="s">
        <v>12417</v>
      </c>
    </row>
    <row r="116" spans="1:2" x14ac:dyDescent="0.25">
      <c r="A116" t="s">
        <v>12418</v>
      </c>
    </row>
    <row r="117" spans="1:2" x14ac:dyDescent="0.25">
      <c r="A117" t="s">
        <v>12419</v>
      </c>
      <c r="B117" t="s">
        <v>18793</v>
      </c>
    </row>
    <row r="118" spans="1:2" x14ac:dyDescent="0.25">
      <c r="A118" t="s">
        <v>12420</v>
      </c>
      <c r="B118" t="s">
        <v>18794</v>
      </c>
    </row>
    <row r="119" spans="1:2" x14ac:dyDescent="0.25">
      <c r="A119" t="s">
        <v>12421</v>
      </c>
    </row>
    <row r="120" spans="1:2" x14ac:dyDescent="0.25">
      <c r="A120" t="s">
        <v>12422</v>
      </c>
    </row>
    <row r="121" spans="1:2" x14ac:dyDescent="0.25">
      <c r="A121" t="s">
        <v>12423</v>
      </c>
      <c r="B121" t="s">
        <v>18795</v>
      </c>
    </row>
    <row r="122" spans="1:2" x14ac:dyDescent="0.25">
      <c r="A122" t="s">
        <v>12424</v>
      </c>
    </row>
    <row r="123" spans="1:2" x14ac:dyDescent="0.25">
      <c r="A123" t="s">
        <v>12425</v>
      </c>
    </row>
    <row r="124" spans="1:2" x14ac:dyDescent="0.25">
      <c r="A124" t="s">
        <v>12426</v>
      </c>
    </row>
    <row r="125" spans="1:2" x14ac:dyDescent="0.25">
      <c r="A125" t="s">
        <v>12427</v>
      </c>
      <c r="B125" t="s">
        <v>18796</v>
      </c>
    </row>
    <row r="126" spans="1:2" x14ac:dyDescent="0.25">
      <c r="A126" t="s">
        <v>12428</v>
      </c>
      <c r="B126" t="s">
        <v>18797</v>
      </c>
    </row>
    <row r="127" spans="1:2" x14ac:dyDescent="0.25">
      <c r="A127" t="s">
        <v>12429</v>
      </c>
    </row>
    <row r="128" spans="1:2" x14ac:dyDescent="0.25">
      <c r="A128" t="s">
        <v>12430</v>
      </c>
    </row>
    <row r="129" spans="1:2" x14ac:dyDescent="0.25">
      <c r="A129" t="s">
        <v>12431</v>
      </c>
    </row>
    <row r="130" spans="1:2" x14ac:dyDescent="0.25">
      <c r="A130" t="s">
        <v>12432</v>
      </c>
    </row>
    <row r="131" spans="1:2" x14ac:dyDescent="0.25">
      <c r="A131" t="s">
        <v>12433</v>
      </c>
    </row>
    <row r="132" spans="1:2" x14ac:dyDescent="0.25">
      <c r="A132" t="s">
        <v>12434</v>
      </c>
      <c r="B132" t="s">
        <v>18798</v>
      </c>
    </row>
    <row r="133" spans="1:2" x14ac:dyDescent="0.25">
      <c r="A133" t="s">
        <v>12435</v>
      </c>
    </row>
    <row r="134" spans="1:2" x14ac:dyDescent="0.25">
      <c r="A134" t="s">
        <v>12436</v>
      </c>
      <c r="B134" t="s">
        <v>18799</v>
      </c>
    </row>
    <row r="135" spans="1:2" x14ac:dyDescent="0.25">
      <c r="A135" t="s">
        <v>12437</v>
      </c>
      <c r="B135" t="s">
        <v>18800</v>
      </c>
    </row>
    <row r="136" spans="1:2" x14ac:dyDescent="0.25">
      <c r="A136" t="s">
        <v>12438</v>
      </c>
      <c r="B136" t="s">
        <v>18801</v>
      </c>
    </row>
    <row r="137" spans="1:2" x14ac:dyDescent="0.25">
      <c r="A137" t="s">
        <v>12439</v>
      </c>
      <c r="B137" t="s">
        <v>18802</v>
      </c>
    </row>
    <row r="138" spans="1:2" x14ac:dyDescent="0.25">
      <c r="A138" t="s">
        <v>12440</v>
      </c>
    </row>
    <row r="139" spans="1:2" x14ac:dyDescent="0.25">
      <c r="A139" t="s">
        <v>12441</v>
      </c>
    </row>
    <row r="140" spans="1:2" x14ac:dyDescent="0.25">
      <c r="A140" t="s">
        <v>12442</v>
      </c>
    </row>
    <row r="141" spans="1:2" x14ac:dyDescent="0.25">
      <c r="A141" t="s">
        <v>12443</v>
      </c>
    </row>
    <row r="142" spans="1:2" x14ac:dyDescent="0.25">
      <c r="A142" t="s">
        <v>12444</v>
      </c>
      <c r="B142" t="s">
        <v>12445</v>
      </c>
    </row>
    <row r="143" spans="1:2" x14ac:dyDescent="0.25">
      <c r="A143" t="s">
        <v>12446</v>
      </c>
    </row>
    <row r="144" spans="1:2" x14ac:dyDescent="0.25">
      <c r="A144" t="s">
        <v>12447</v>
      </c>
    </row>
    <row r="145" spans="1:2" x14ac:dyDescent="0.25">
      <c r="A145" t="s">
        <v>12448</v>
      </c>
    </row>
    <row r="146" spans="1:2" x14ac:dyDescent="0.25">
      <c r="A146" t="s">
        <v>12449</v>
      </c>
    </row>
    <row r="147" spans="1:2" x14ac:dyDescent="0.25">
      <c r="A147" t="s">
        <v>12450</v>
      </c>
    </row>
    <row r="148" spans="1:2" x14ac:dyDescent="0.25">
      <c r="A148" t="s">
        <v>12451</v>
      </c>
      <c r="B148" t="s">
        <v>18803</v>
      </c>
    </row>
    <row r="149" spans="1:2" x14ac:dyDescent="0.25">
      <c r="A149" t="s">
        <v>12452</v>
      </c>
    </row>
    <row r="150" spans="1:2" x14ac:dyDescent="0.25">
      <c r="A150" t="s">
        <v>12453</v>
      </c>
      <c r="B150" t="s">
        <v>18804</v>
      </c>
    </row>
    <row r="151" spans="1:2" x14ac:dyDescent="0.25">
      <c r="A151" t="s">
        <v>12454</v>
      </c>
    </row>
    <row r="152" spans="1:2" x14ac:dyDescent="0.25">
      <c r="A152" t="s">
        <v>12455</v>
      </c>
    </row>
    <row r="153" spans="1:2" x14ac:dyDescent="0.25">
      <c r="A153" t="s">
        <v>12456</v>
      </c>
      <c r="B153" t="s">
        <v>18805</v>
      </c>
    </row>
    <row r="154" spans="1:2" x14ac:dyDescent="0.25">
      <c r="A154" t="s">
        <v>12457</v>
      </c>
      <c r="B154" t="s">
        <v>18806</v>
      </c>
    </row>
    <row r="155" spans="1:2" x14ac:dyDescent="0.25">
      <c r="A155" t="s">
        <v>12458</v>
      </c>
      <c r="B155" t="s">
        <v>18807</v>
      </c>
    </row>
    <row r="156" spans="1:2" x14ac:dyDescent="0.25">
      <c r="A156" t="s">
        <v>12459</v>
      </c>
    </row>
    <row r="157" spans="1:2" x14ac:dyDescent="0.25">
      <c r="A157" t="s">
        <v>12460</v>
      </c>
    </row>
    <row r="158" spans="1:2" x14ac:dyDescent="0.25">
      <c r="A158" t="s">
        <v>12461</v>
      </c>
      <c r="B158" t="s">
        <v>18808</v>
      </c>
    </row>
    <row r="159" spans="1:2" x14ac:dyDescent="0.25">
      <c r="A159" t="s">
        <v>12462</v>
      </c>
    </row>
    <row r="160" spans="1:2" x14ac:dyDescent="0.25">
      <c r="A160" t="s">
        <v>12463</v>
      </c>
      <c r="B160" t="s">
        <v>18809</v>
      </c>
    </row>
    <row r="161" spans="1:2" x14ac:dyDescent="0.25">
      <c r="A161" t="s">
        <v>12464</v>
      </c>
      <c r="B161" t="s">
        <v>18810</v>
      </c>
    </row>
    <row r="162" spans="1:2" x14ac:dyDescent="0.25">
      <c r="A162" t="s">
        <v>12465</v>
      </c>
    </row>
    <row r="163" spans="1:2" x14ac:dyDescent="0.25">
      <c r="A163" t="s">
        <v>12466</v>
      </c>
      <c r="B163" t="s">
        <v>18811</v>
      </c>
    </row>
    <row r="164" spans="1:2" x14ac:dyDescent="0.25">
      <c r="A164" t="s">
        <v>12467</v>
      </c>
    </row>
    <row r="165" spans="1:2" x14ac:dyDescent="0.25">
      <c r="A165" t="s">
        <v>12468</v>
      </c>
      <c r="B165" t="s">
        <v>18812</v>
      </c>
    </row>
    <row r="166" spans="1:2" x14ac:dyDescent="0.25">
      <c r="A166" t="s">
        <v>12469</v>
      </c>
      <c r="B166" t="s">
        <v>18813</v>
      </c>
    </row>
    <row r="167" spans="1:2" x14ac:dyDescent="0.25">
      <c r="A167" t="s">
        <v>12470</v>
      </c>
    </row>
    <row r="168" spans="1:2" x14ac:dyDescent="0.25">
      <c r="A168" t="s">
        <v>12471</v>
      </c>
      <c r="B168" t="s">
        <v>18814</v>
      </c>
    </row>
    <row r="169" spans="1:2" x14ac:dyDescent="0.25">
      <c r="A169" t="s">
        <v>12472</v>
      </c>
      <c r="B169" t="s">
        <v>18815</v>
      </c>
    </row>
    <row r="170" spans="1:2" x14ac:dyDescent="0.25">
      <c r="A170" t="s">
        <v>12473</v>
      </c>
    </row>
    <row r="171" spans="1:2" x14ac:dyDescent="0.25">
      <c r="A171" t="s">
        <v>12474</v>
      </c>
    </row>
    <row r="172" spans="1:2" x14ac:dyDescent="0.25">
      <c r="A172" t="s">
        <v>12475</v>
      </c>
    </row>
    <row r="173" spans="1:2" x14ac:dyDescent="0.25">
      <c r="A173" t="s">
        <v>12476</v>
      </c>
    </row>
    <row r="174" spans="1:2" x14ac:dyDescent="0.25">
      <c r="A174" t="s">
        <v>12477</v>
      </c>
    </row>
    <row r="175" spans="1:2" x14ac:dyDescent="0.25">
      <c r="A175" t="s">
        <v>12478</v>
      </c>
    </row>
    <row r="176" spans="1:2" x14ac:dyDescent="0.25">
      <c r="A176" t="s">
        <v>12479</v>
      </c>
    </row>
    <row r="177" spans="1:2" x14ac:dyDescent="0.25">
      <c r="A177" t="s">
        <v>12480</v>
      </c>
      <c r="B177" t="s">
        <v>18816</v>
      </c>
    </row>
    <row r="178" spans="1:2" x14ac:dyDescent="0.25">
      <c r="A178" t="s">
        <v>12481</v>
      </c>
    </row>
    <row r="179" spans="1:2" x14ac:dyDescent="0.25">
      <c r="A179" t="s">
        <v>12482</v>
      </c>
    </row>
    <row r="180" spans="1:2" x14ac:dyDescent="0.25">
      <c r="A180" t="s">
        <v>12483</v>
      </c>
    </row>
    <row r="181" spans="1:2" x14ac:dyDescent="0.25">
      <c r="A181" t="s">
        <v>12484</v>
      </c>
    </row>
    <row r="182" spans="1:2" x14ac:dyDescent="0.25">
      <c r="A182" t="s">
        <v>12485</v>
      </c>
    </row>
    <row r="183" spans="1:2" x14ac:dyDescent="0.25">
      <c r="A183" t="s">
        <v>12486</v>
      </c>
    </row>
    <row r="184" spans="1:2" x14ac:dyDescent="0.25">
      <c r="A184" t="s">
        <v>12487</v>
      </c>
    </row>
    <row r="185" spans="1:2" x14ac:dyDescent="0.25">
      <c r="A185" t="s">
        <v>12488</v>
      </c>
      <c r="B185" t="s">
        <v>18817</v>
      </c>
    </row>
    <row r="186" spans="1:2" x14ac:dyDescent="0.25">
      <c r="A186" t="s">
        <v>12489</v>
      </c>
    </row>
    <row r="187" spans="1:2" x14ac:dyDescent="0.25">
      <c r="A187" t="s">
        <v>12490</v>
      </c>
    </row>
    <row r="188" spans="1:2" x14ac:dyDescent="0.25">
      <c r="A188" t="s">
        <v>12491</v>
      </c>
    </row>
    <row r="189" spans="1:2" x14ac:dyDescent="0.25">
      <c r="A189" t="s">
        <v>12492</v>
      </c>
    </row>
    <row r="190" spans="1:2" x14ac:dyDescent="0.25">
      <c r="A190" t="s">
        <v>12493</v>
      </c>
    </row>
    <row r="191" spans="1:2" x14ac:dyDescent="0.25">
      <c r="A191" t="s">
        <v>12494</v>
      </c>
      <c r="B191" t="s">
        <v>18818</v>
      </c>
    </row>
    <row r="192" spans="1:2" x14ac:dyDescent="0.25">
      <c r="A192" t="s">
        <v>12495</v>
      </c>
    </row>
    <row r="193" spans="1:2" x14ac:dyDescent="0.25">
      <c r="A193" t="s">
        <v>12496</v>
      </c>
    </row>
    <row r="194" spans="1:2" x14ac:dyDescent="0.25">
      <c r="A194" t="s">
        <v>12497</v>
      </c>
    </row>
    <row r="195" spans="1:2" x14ac:dyDescent="0.25">
      <c r="A195" t="s">
        <v>12498</v>
      </c>
    </row>
    <row r="196" spans="1:2" x14ac:dyDescent="0.25">
      <c r="A196" t="s">
        <v>12499</v>
      </c>
      <c r="B196" t="s">
        <v>18819</v>
      </c>
    </row>
    <row r="197" spans="1:2" x14ac:dyDescent="0.25">
      <c r="A197" t="s">
        <v>12500</v>
      </c>
    </row>
    <row r="198" spans="1:2" x14ac:dyDescent="0.25">
      <c r="A198" t="s">
        <v>12501</v>
      </c>
    </row>
    <row r="199" spans="1:2" x14ac:dyDescent="0.25">
      <c r="A199" t="s">
        <v>12502</v>
      </c>
    </row>
    <row r="200" spans="1:2" x14ac:dyDescent="0.25">
      <c r="A200" t="s">
        <v>12503</v>
      </c>
      <c r="B200" t="s">
        <v>18820</v>
      </c>
    </row>
    <row r="201" spans="1:2" x14ac:dyDescent="0.25">
      <c r="A201" t="s">
        <v>12504</v>
      </c>
      <c r="B201" t="s">
        <v>18821</v>
      </c>
    </row>
    <row r="202" spans="1:2" x14ac:dyDescent="0.25">
      <c r="A202" t="s">
        <v>12505</v>
      </c>
    </row>
    <row r="203" spans="1:2" x14ac:dyDescent="0.25">
      <c r="A203" t="s">
        <v>12506</v>
      </c>
    </row>
    <row r="204" spans="1:2" x14ac:dyDescent="0.25">
      <c r="A204" t="s">
        <v>12507</v>
      </c>
    </row>
    <row r="205" spans="1:2" x14ac:dyDescent="0.25">
      <c r="A205" t="s">
        <v>12508</v>
      </c>
      <c r="B205" t="s">
        <v>18822</v>
      </c>
    </row>
    <row r="206" spans="1:2" x14ac:dyDescent="0.25">
      <c r="A206" t="s">
        <v>12509</v>
      </c>
      <c r="B206" t="s">
        <v>18823</v>
      </c>
    </row>
    <row r="207" spans="1:2" x14ac:dyDescent="0.25">
      <c r="A207" t="s">
        <v>12510</v>
      </c>
      <c r="B207" t="s">
        <v>18824</v>
      </c>
    </row>
    <row r="208" spans="1:2" x14ac:dyDescent="0.25">
      <c r="A208" t="s">
        <v>12511</v>
      </c>
    </row>
    <row r="209" spans="1:2" x14ac:dyDescent="0.25">
      <c r="A209" t="s">
        <v>12512</v>
      </c>
    </row>
    <row r="210" spans="1:2" x14ac:dyDescent="0.25">
      <c r="A210" t="s">
        <v>12513</v>
      </c>
    </row>
    <row r="211" spans="1:2" x14ac:dyDescent="0.25">
      <c r="A211" t="s">
        <v>12514</v>
      </c>
    </row>
    <row r="212" spans="1:2" x14ac:dyDescent="0.25">
      <c r="A212" t="s">
        <v>12515</v>
      </c>
    </row>
    <row r="213" spans="1:2" x14ac:dyDescent="0.25">
      <c r="A213" t="s">
        <v>12516</v>
      </c>
      <c r="B213" t="s">
        <v>18825</v>
      </c>
    </row>
    <row r="214" spans="1:2" x14ac:dyDescent="0.25">
      <c r="A214" t="s">
        <v>12517</v>
      </c>
    </row>
    <row r="215" spans="1:2" x14ac:dyDescent="0.25">
      <c r="A215" t="s">
        <v>12518</v>
      </c>
      <c r="B215" t="s">
        <v>18826</v>
      </c>
    </row>
    <row r="216" spans="1:2" x14ac:dyDescent="0.25">
      <c r="A216" t="s">
        <v>12519</v>
      </c>
    </row>
    <row r="217" spans="1:2" x14ac:dyDescent="0.25">
      <c r="A217" t="s">
        <v>4397</v>
      </c>
    </row>
    <row r="218" spans="1:2" x14ac:dyDescent="0.25">
      <c r="A218" t="s">
        <v>12520</v>
      </c>
    </row>
    <row r="219" spans="1:2" x14ac:dyDescent="0.25">
      <c r="A219" t="s">
        <v>12521</v>
      </c>
    </row>
    <row r="220" spans="1:2" x14ac:dyDescent="0.25">
      <c r="A220" t="s">
        <v>12522</v>
      </c>
      <c r="B220" t="s">
        <v>18827</v>
      </c>
    </row>
    <row r="221" spans="1:2" x14ac:dyDescent="0.25">
      <c r="A221" t="s">
        <v>12523</v>
      </c>
      <c r="B221" t="s">
        <v>18828</v>
      </c>
    </row>
    <row r="222" spans="1:2" x14ac:dyDescent="0.25">
      <c r="A222" t="s">
        <v>12524</v>
      </c>
      <c r="B222" t="s">
        <v>18829</v>
      </c>
    </row>
    <row r="223" spans="1:2" x14ac:dyDescent="0.25">
      <c r="A223" t="s">
        <v>12525</v>
      </c>
    </row>
    <row r="224" spans="1:2" x14ac:dyDescent="0.25">
      <c r="A224" t="s">
        <v>12526</v>
      </c>
    </row>
    <row r="225" spans="1:2" x14ac:dyDescent="0.25">
      <c r="A225" t="s">
        <v>12527</v>
      </c>
    </row>
    <row r="226" spans="1:2" x14ac:dyDescent="0.25">
      <c r="A226" t="s">
        <v>12528</v>
      </c>
      <c r="B226" t="s">
        <v>18830</v>
      </c>
    </row>
    <row r="227" spans="1:2" x14ac:dyDescent="0.25">
      <c r="A227" t="s">
        <v>4753</v>
      </c>
    </row>
    <row r="228" spans="1:2" x14ac:dyDescent="0.25">
      <c r="A228" t="s">
        <v>12530</v>
      </c>
      <c r="B228" t="s">
        <v>18831</v>
      </c>
    </row>
    <row r="229" spans="1:2" x14ac:dyDescent="0.25">
      <c r="A229" t="s">
        <v>12531</v>
      </c>
      <c r="B229" t="s">
        <v>18832</v>
      </c>
    </row>
    <row r="230" spans="1:2" x14ac:dyDescent="0.25">
      <c r="A230" t="s">
        <v>12532</v>
      </c>
    </row>
    <row r="231" spans="1:2" x14ac:dyDescent="0.25">
      <c r="A231" t="s">
        <v>12533</v>
      </c>
    </row>
    <row r="232" spans="1:2" x14ac:dyDescent="0.25">
      <c r="A232" t="s">
        <v>12534</v>
      </c>
      <c r="B232" t="s">
        <v>18833</v>
      </c>
    </row>
    <row r="233" spans="1:2" x14ac:dyDescent="0.25">
      <c r="A233" t="s">
        <v>12535</v>
      </c>
      <c r="B233" t="s">
        <v>18834</v>
      </c>
    </row>
    <row r="234" spans="1:2" x14ac:dyDescent="0.25">
      <c r="A234" t="s">
        <v>12536</v>
      </c>
    </row>
    <row r="235" spans="1:2" x14ac:dyDescent="0.25">
      <c r="A235" t="s">
        <v>12537</v>
      </c>
    </row>
    <row r="236" spans="1:2" x14ac:dyDescent="0.25">
      <c r="A236" t="s">
        <v>12538</v>
      </c>
    </row>
    <row r="237" spans="1:2" x14ac:dyDescent="0.25">
      <c r="A237" t="s">
        <v>12539</v>
      </c>
      <c r="B237" t="s">
        <v>18835</v>
      </c>
    </row>
    <row r="238" spans="1:2" x14ac:dyDescent="0.25">
      <c r="A238" t="s">
        <v>12540</v>
      </c>
      <c r="B238" t="s">
        <v>18836</v>
      </c>
    </row>
    <row r="239" spans="1:2" x14ac:dyDescent="0.25">
      <c r="A239" t="s">
        <v>12541</v>
      </c>
    </row>
    <row r="240" spans="1:2" x14ac:dyDescent="0.25">
      <c r="A240" t="s">
        <v>12542</v>
      </c>
      <c r="B240" t="s">
        <v>18837</v>
      </c>
    </row>
    <row r="241" spans="1:2" x14ac:dyDescent="0.25">
      <c r="A241" t="s">
        <v>12543</v>
      </c>
      <c r="B241" t="s">
        <v>18838</v>
      </c>
    </row>
    <row r="242" spans="1:2" x14ac:dyDescent="0.25">
      <c r="A242" t="s">
        <v>12544</v>
      </c>
    </row>
    <row r="243" spans="1:2" x14ac:dyDescent="0.25">
      <c r="A243" t="s">
        <v>12545</v>
      </c>
    </row>
    <row r="244" spans="1:2" x14ac:dyDescent="0.25">
      <c r="A244" t="s">
        <v>12546</v>
      </c>
    </row>
    <row r="245" spans="1:2" x14ac:dyDescent="0.25">
      <c r="A245" t="s">
        <v>12547</v>
      </c>
      <c r="B245" t="s">
        <v>18839</v>
      </c>
    </row>
    <row r="246" spans="1:2" x14ac:dyDescent="0.25">
      <c r="A246" t="s">
        <v>12548</v>
      </c>
    </row>
    <row r="247" spans="1:2" x14ac:dyDescent="0.25">
      <c r="A247" t="s">
        <v>12549</v>
      </c>
    </row>
    <row r="248" spans="1:2" x14ac:dyDescent="0.25">
      <c r="A248" t="s">
        <v>12550</v>
      </c>
      <c r="B248" t="s">
        <v>18840</v>
      </c>
    </row>
    <row r="249" spans="1:2" x14ac:dyDescent="0.25">
      <c r="A249" t="s">
        <v>12551</v>
      </c>
    </row>
    <row r="250" spans="1:2" x14ac:dyDescent="0.25">
      <c r="A250" t="s">
        <v>12552</v>
      </c>
      <c r="B250" t="s">
        <v>18841</v>
      </c>
    </row>
    <row r="251" spans="1:2" x14ac:dyDescent="0.25">
      <c r="A251" t="s">
        <v>12553</v>
      </c>
    </row>
    <row r="252" spans="1:2" x14ac:dyDescent="0.25">
      <c r="A252" t="s">
        <v>12554</v>
      </c>
    </row>
    <row r="253" spans="1:2" x14ac:dyDescent="0.25">
      <c r="A253" t="s">
        <v>12555</v>
      </c>
      <c r="B253" t="s">
        <v>18842</v>
      </c>
    </row>
    <row r="254" spans="1:2" x14ac:dyDescent="0.25">
      <c r="A254" t="s">
        <v>12556</v>
      </c>
      <c r="B254" t="s">
        <v>18843</v>
      </c>
    </row>
    <row r="255" spans="1:2" x14ac:dyDescent="0.25">
      <c r="A255" t="s">
        <v>12558</v>
      </c>
    </row>
    <row r="256" spans="1:2" x14ac:dyDescent="0.25">
      <c r="A256" t="s">
        <v>12559</v>
      </c>
    </row>
    <row r="257" spans="1:2" x14ac:dyDescent="0.25">
      <c r="A257" t="s">
        <v>12560</v>
      </c>
      <c r="B257" t="s">
        <v>18844</v>
      </c>
    </row>
    <row r="258" spans="1:2" x14ac:dyDescent="0.25">
      <c r="A258" t="s">
        <v>12561</v>
      </c>
      <c r="B258" t="s">
        <v>18845</v>
      </c>
    </row>
    <row r="259" spans="1:2" x14ac:dyDescent="0.25">
      <c r="A259" t="s">
        <v>12562</v>
      </c>
      <c r="B259" t="s">
        <v>18846</v>
      </c>
    </row>
    <row r="260" spans="1:2" x14ac:dyDescent="0.25">
      <c r="A260" t="s">
        <v>12563</v>
      </c>
    </row>
    <row r="261" spans="1:2" x14ac:dyDescent="0.25">
      <c r="A261" t="s">
        <v>12564</v>
      </c>
    </row>
    <row r="262" spans="1:2" x14ac:dyDescent="0.25">
      <c r="A262" t="s">
        <v>12565</v>
      </c>
    </row>
    <row r="263" spans="1:2" x14ac:dyDescent="0.25">
      <c r="A263" t="s">
        <v>12566</v>
      </c>
    </row>
    <row r="264" spans="1:2" x14ac:dyDescent="0.25">
      <c r="A264" t="s">
        <v>12567</v>
      </c>
    </row>
    <row r="265" spans="1:2" x14ac:dyDescent="0.25">
      <c r="A265" t="s">
        <v>12568</v>
      </c>
    </row>
    <row r="266" spans="1:2" x14ac:dyDescent="0.25">
      <c r="A266" t="s">
        <v>12569</v>
      </c>
    </row>
    <row r="267" spans="1:2" x14ac:dyDescent="0.25">
      <c r="A267" t="s">
        <v>12570</v>
      </c>
    </row>
    <row r="268" spans="1:2" x14ac:dyDescent="0.25">
      <c r="A268" t="s">
        <v>12571</v>
      </c>
    </row>
    <row r="269" spans="1:2" x14ac:dyDescent="0.25">
      <c r="A269" t="s">
        <v>12572</v>
      </c>
      <c r="B269" t="s">
        <v>18847</v>
      </c>
    </row>
    <row r="270" spans="1:2" x14ac:dyDescent="0.25">
      <c r="A270" t="s">
        <v>12573</v>
      </c>
      <c r="B270" t="s">
        <v>18848</v>
      </c>
    </row>
    <row r="271" spans="1:2" x14ac:dyDescent="0.25">
      <c r="A271" t="s">
        <v>12574</v>
      </c>
    </row>
    <row r="272" spans="1:2" x14ac:dyDescent="0.25">
      <c r="A272" t="s">
        <v>12575</v>
      </c>
      <c r="B272" t="s">
        <v>18849</v>
      </c>
    </row>
    <row r="273" spans="1:2" x14ac:dyDescent="0.25">
      <c r="A273" t="s">
        <v>12576</v>
      </c>
      <c r="B273" t="s">
        <v>18850</v>
      </c>
    </row>
    <row r="274" spans="1:2" x14ac:dyDescent="0.25">
      <c r="A274" t="s">
        <v>12577</v>
      </c>
      <c r="B274" t="s">
        <v>18851</v>
      </c>
    </row>
    <row r="275" spans="1:2" x14ac:dyDescent="0.25">
      <c r="A275" t="s">
        <v>12578</v>
      </c>
    </row>
    <row r="276" spans="1:2" x14ac:dyDescent="0.25">
      <c r="A276" t="s">
        <v>12579</v>
      </c>
    </row>
    <row r="277" spans="1:2" x14ac:dyDescent="0.25">
      <c r="A277" t="s">
        <v>12580</v>
      </c>
      <c r="B277" t="s">
        <v>18852</v>
      </c>
    </row>
    <row r="278" spans="1:2" x14ac:dyDescent="0.25">
      <c r="A278" t="s">
        <v>12581</v>
      </c>
      <c r="B278" t="s">
        <v>18853</v>
      </c>
    </row>
    <row r="279" spans="1:2" x14ac:dyDescent="0.25">
      <c r="A279" t="s">
        <v>12582</v>
      </c>
      <c r="B279" t="s">
        <v>18854</v>
      </c>
    </row>
    <row r="280" spans="1:2" x14ac:dyDescent="0.25">
      <c r="A280" t="s">
        <v>12583</v>
      </c>
      <c r="B280" t="s">
        <v>18855</v>
      </c>
    </row>
    <row r="281" spans="1:2" x14ac:dyDescent="0.25">
      <c r="A281" t="s">
        <v>12584</v>
      </c>
      <c r="B281" t="s">
        <v>18856</v>
      </c>
    </row>
    <row r="282" spans="1:2" x14ac:dyDescent="0.25">
      <c r="A282" t="s">
        <v>12585</v>
      </c>
    </row>
    <row r="283" spans="1:2" x14ac:dyDescent="0.25">
      <c r="A283" t="s">
        <v>12586</v>
      </c>
      <c r="B283" t="s">
        <v>18857</v>
      </c>
    </row>
    <row r="284" spans="1:2" x14ac:dyDescent="0.25">
      <c r="A284" t="s">
        <v>12587</v>
      </c>
    </row>
    <row r="285" spans="1:2" x14ac:dyDescent="0.25">
      <c r="A285" t="s">
        <v>12588</v>
      </c>
    </row>
    <row r="286" spans="1:2" x14ac:dyDescent="0.25">
      <c r="A286" t="s">
        <v>12589</v>
      </c>
      <c r="B286" t="s">
        <v>18858</v>
      </c>
    </row>
    <row r="287" spans="1:2" x14ac:dyDescent="0.25">
      <c r="A287" t="s">
        <v>12590</v>
      </c>
      <c r="B287" t="s">
        <v>18859</v>
      </c>
    </row>
    <row r="288" spans="1:2" x14ac:dyDescent="0.25">
      <c r="A288" t="s">
        <v>12591</v>
      </c>
    </row>
    <row r="289" spans="1:2" x14ac:dyDescent="0.25">
      <c r="A289" t="s">
        <v>12592</v>
      </c>
      <c r="B289" t="s">
        <v>18860</v>
      </c>
    </row>
    <row r="290" spans="1:2" x14ac:dyDescent="0.25">
      <c r="A290" t="s">
        <v>12593</v>
      </c>
      <c r="B290" t="s">
        <v>18861</v>
      </c>
    </row>
    <row r="291" spans="1:2" x14ac:dyDescent="0.25">
      <c r="A291" t="s">
        <v>12594</v>
      </c>
    </row>
    <row r="292" spans="1:2" x14ac:dyDescent="0.25">
      <c r="A292" t="s">
        <v>12595</v>
      </c>
      <c r="B292" t="s">
        <v>18862</v>
      </c>
    </row>
    <row r="293" spans="1:2" x14ac:dyDescent="0.25">
      <c r="A293" t="s">
        <v>12596</v>
      </c>
    </row>
    <row r="294" spans="1:2" x14ac:dyDescent="0.25">
      <c r="A294" t="s">
        <v>12597</v>
      </c>
      <c r="B294" t="s">
        <v>18863</v>
      </c>
    </row>
    <row r="295" spans="1:2" x14ac:dyDescent="0.25">
      <c r="A295" t="s">
        <v>12598</v>
      </c>
    </row>
    <row r="296" spans="1:2" x14ac:dyDescent="0.25">
      <c r="A296" t="s">
        <v>12599</v>
      </c>
    </row>
    <row r="297" spans="1:2" x14ac:dyDescent="0.25">
      <c r="A297" t="s">
        <v>12600</v>
      </c>
      <c r="B297" t="s">
        <v>18864</v>
      </c>
    </row>
    <row r="298" spans="1:2" x14ac:dyDescent="0.25">
      <c r="A298" t="s">
        <v>12601</v>
      </c>
      <c r="B298" t="s">
        <v>18865</v>
      </c>
    </row>
    <row r="299" spans="1:2" x14ac:dyDescent="0.25">
      <c r="A299" t="s">
        <v>12602</v>
      </c>
    </row>
    <row r="300" spans="1:2" x14ac:dyDescent="0.25">
      <c r="A300" t="s">
        <v>12603</v>
      </c>
    </row>
    <row r="301" spans="1:2" x14ac:dyDescent="0.25">
      <c r="A301" t="s">
        <v>12604</v>
      </c>
      <c r="B301" t="s">
        <v>18866</v>
      </c>
    </row>
    <row r="302" spans="1:2" x14ac:dyDescent="0.25">
      <c r="A302" t="s">
        <v>12605</v>
      </c>
    </row>
    <row r="303" spans="1:2" x14ac:dyDescent="0.25">
      <c r="A303" t="s">
        <v>12606</v>
      </c>
    </row>
    <row r="304" spans="1:2" x14ac:dyDescent="0.25">
      <c r="A304" t="s">
        <v>12607</v>
      </c>
    </row>
    <row r="305" spans="1:2" x14ac:dyDescent="0.25">
      <c r="A305" t="s">
        <v>12608</v>
      </c>
    </row>
    <row r="306" spans="1:2" x14ac:dyDescent="0.25">
      <c r="A306" t="s">
        <v>12609</v>
      </c>
    </row>
    <row r="307" spans="1:2" x14ac:dyDescent="0.25">
      <c r="A307" t="s">
        <v>12610</v>
      </c>
    </row>
    <row r="308" spans="1:2" x14ac:dyDescent="0.25">
      <c r="A308" t="s">
        <v>12611</v>
      </c>
      <c r="B308" t="s">
        <v>18867</v>
      </c>
    </row>
    <row r="309" spans="1:2" x14ac:dyDescent="0.25">
      <c r="A309" t="s">
        <v>12613</v>
      </c>
      <c r="B309" t="s">
        <v>18868</v>
      </c>
    </row>
    <row r="310" spans="1:2" x14ac:dyDescent="0.25">
      <c r="A310" t="s">
        <v>12614</v>
      </c>
      <c r="B310" t="s">
        <v>18869</v>
      </c>
    </row>
    <row r="311" spans="1:2" x14ac:dyDescent="0.25">
      <c r="A311" t="s">
        <v>12616</v>
      </c>
    </row>
    <row r="312" spans="1:2" x14ac:dyDescent="0.25">
      <c r="A312" t="s">
        <v>12617</v>
      </c>
    </row>
    <row r="313" spans="1:2" x14ac:dyDescent="0.25">
      <c r="A313" t="s">
        <v>12618</v>
      </c>
      <c r="B313" t="s">
        <v>18870</v>
      </c>
    </row>
    <row r="314" spans="1:2" x14ac:dyDescent="0.25">
      <c r="A314" t="s">
        <v>12619</v>
      </c>
    </row>
    <row r="315" spans="1:2" x14ac:dyDescent="0.25">
      <c r="A315" t="s">
        <v>12620</v>
      </c>
      <c r="B315" t="s">
        <v>18871</v>
      </c>
    </row>
    <row r="316" spans="1:2" x14ac:dyDescent="0.25">
      <c r="A316" t="s">
        <v>12621</v>
      </c>
    </row>
    <row r="317" spans="1:2" x14ac:dyDescent="0.25">
      <c r="A317" t="s">
        <v>12622</v>
      </c>
    </row>
    <row r="318" spans="1:2" x14ac:dyDescent="0.25">
      <c r="A318" t="s">
        <v>12623</v>
      </c>
    </row>
    <row r="319" spans="1:2" x14ac:dyDescent="0.25">
      <c r="A319" t="s">
        <v>12624</v>
      </c>
    </row>
    <row r="320" spans="1:2" x14ac:dyDescent="0.25">
      <c r="A320" t="s">
        <v>12625</v>
      </c>
    </row>
    <row r="321" spans="1:2" x14ac:dyDescent="0.25">
      <c r="A321" t="s">
        <v>12626</v>
      </c>
    </row>
    <row r="322" spans="1:2" x14ac:dyDescent="0.25">
      <c r="A322" t="s">
        <v>12627</v>
      </c>
    </row>
    <row r="323" spans="1:2" x14ac:dyDescent="0.25">
      <c r="A323" t="s">
        <v>12628</v>
      </c>
    </row>
    <row r="324" spans="1:2" x14ac:dyDescent="0.25">
      <c r="A324" t="s">
        <v>12629</v>
      </c>
      <c r="B324" t="s">
        <v>18872</v>
      </c>
    </row>
    <row r="325" spans="1:2" x14ac:dyDescent="0.25">
      <c r="A325" t="s">
        <v>12630</v>
      </c>
    </row>
    <row r="326" spans="1:2" x14ac:dyDescent="0.25">
      <c r="A326" t="s">
        <v>12631</v>
      </c>
      <c r="B326" t="s">
        <v>18873</v>
      </c>
    </row>
    <row r="327" spans="1:2" x14ac:dyDescent="0.25">
      <c r="A327" t="s">
        <v>12632</v>
      </c>
    </row>
    <row r="328" spans="1:2" x14ac:dyDescent="0.25">
      <c r="A328" t="s">
        <v>12633</v>
      </c>
    </row>
    <row r="329" spans="1:2" x14ac:dyDescent="0.25">
      <c r="A329" t="s">
        <v>12634</v>
      </c>
    </row>
    <row r="330" spans="1:2" x14ac:dyDescent="0.25">
      <c r="A330" t="s">
        <v>12635</v>
      </c>
      <c r="B330" t="s">
        <v>18874</v>
      </c>
    </row>
    <row r="331" spans="1:2" x14ac:dyDescent="0.25">
      <c r="A331" t="s">
        <v>12637</v>
      </c>
    </row>
    <row r="332" spans="1:2" x14ac:dyDescent="0.25">
      <c r="A332" t="s">
        <v>12638</v>
      </c>
      <c r="B332" t="s">
        <v>18875</v>
      </c>
    </row>
    <row r="333" spans="1:2" x14ac:dyDescent="0.25">
      <c r="A333" t="s">
        <v>12639</v>
      </c>
      <c r="B333" t="s">
        <v>18876</v>
      </c>
    </row>
    <row r="334" spans="1:2" x14ac:dyDescent="0.25">
      <c r="A334" t="s">
        <v>12640</v>
      </c>
      <c r="B334" t="s">
        <v>18877</v>
      </c>
    </row>
    <row r="335" spans="1:2" x14ac:dyDescent="0.25">
      <c r="A335" t="s">
        <v>12641</v>
      </c>
      <c r="B335" t="s">
        <v>18878</v>
      </c>
    </row>
    <row r="336" spans="1:2" x14ac:dyDescent="0.25">
      <c r="A336" t="s">
        <v>12642</v>
      </c>
      <c r="B336" t="s">
        <v>18879</v>
      </c>
    </row>
    <row r="337" spans="1:2" x14ac:dyDescent="0.25">
      <c r="A337" t="s">
        <v>12643</v>
      </c>
      <c r="B337" t="s">
        <v>18880</v>
      </c>
    </row>
    <row r="338" spans="1:2" x14ac:dyDescent="0.25">
      <c r="A338" t="s">
        <v>12644</v>
      </c>
      <c r="B338" t="s">
        <v>18881</v>
      </c>
    </row>
    <row r="339" spans="1:2" x14ac:dyDescent="0.25">
      <c r="A339" t="s">
        <v>12645</v>
      </c>
    </row>
    <row r="340" spans="1:2" x14ac:dyDescent="0.25">
      <c r="A340" t="s">
        <v>12646</v>
      </c>
      <c r="B340" t="s">
        <v>18882</v>
      </c>
    </row>
    <row r="341" spans="1:2" x14ac:dyDescent="0.25">
      <c r="A341" t="s">
        <v>12647</v>
      </c>
    </row>
    <row r="342" spans="1:2" x14ac:dyDescent="0.25">
      <c r="A342" t="s">
        <v>12648</v>
      </c>
    </row>
    <row r="343" spans="1:2" x14ac:dyDescent="0.25">
      <c r="A343" t="s">
        <v>12649</v>
      </c>
    </row>
    <row r="344" spans="1:2" x14ac:dyDescent="0.25">
      <c r="A344" t="s">
        <v>12650</v>
      </c>
      <c r="B344" t="s">
        <v>18883</v>
      </c>
    </row>
    <row r="345" spans="1:2" x14ac:dyDescent="0.25">
      <c r="A345" t="s">
        <v>12651</v>
      </c>
      <c r="B345" t="s">
        <v>18884</v>
      </c>
    </row>
    <row r="346" spans="1:2" x14ac:dyDescent="0.25">
      <c r="A346" t="s">
        <v>12652</v>
      </c>
    </row>
    <row r="347" spans="1:2" x14ac:dyDescent="0.25">
      <c r="A347" t="s">
        <v>12653</v>
      </c>
    </row>
    <row r="348" spans="1:2" x14ac:dyDescent="0.25">
      <c r="A348" t="s">
        <v>12654</v>
      </c>
      <c r="B348" t="s">
        <v>18885</v>
      </c>
    </row>
    <row r="349" spans="1:2" x14ac:dyDescent="0.25">
      <c r="A349" t="s">
        <v>12655</v>
      </c>
    </row>
    <row r="350" spans="1:2" x14ac:dyDescent="0.25">
      <c r="A350" t="s">
        <v>12656</v>
      </c>
    </row>
    <row r="351" spans="1:2" x14ac:dyDescent="0.25">
      <c r="A351" t="s">
        <v>12657</v>
      </c>
    </row>
    <row r="352" spans="1:2" x14ac:dyDescent="0.25">
      <c r="A352" t="s">
        <v>12658</v>
      </c>
    </row>
    <row r="353" spans="1:2" x14ac:dyDescent="0.25">
      <c r="A353" t="s">
        <v>12659</v>
      </c>
    </row>
    <row r="354" spans="1:2" x14ac:dyDescent="0.25">
      <c r="A354" t="s">
        <v>12660</v>
      </c>
    </row>
    <row r="355" spans="1:2" x14ac:dyDescent="0.25">
      <c r="A355" t="s">
        <v>12661</v>
      </c>
    </row>
    <row r="356" spans="1:2" x14ac:dyDescent="0.25">
      <c r="A356" t="s">
        <v>12662</v>
      </c>
    </row>
    <row r="357" spans="1:2" x14ac:dyDescent="0.25">
      <c r="A357" t="s">
        <v>12663</v>
      </c>
    </row>
    <row r="358" spans="1:2" x14ac:dyDescent="0.25">
      <c r="A358" t="s">
        <v>12664</v>
      </c>
    </row>
    <row r="359" spans="1:2" x14ac:dyDescent="0.25">
      <c r="A359" t="s">
        <v>12665</v>
      </c>
    </row>
    <row r="360" spans="1:2" x14ac:dyDescent="0.25">
      <c r="A360" t="s">
        <v>12666</v>
      </c>
    </row>
    <row r="361" spans="1:2" x14ac:dyDescent="0.25">
      <c r="A361" t="s">
        <v>12667</v>
      </c>
    </row>
    <row r="362" spans="1:2" x14ac:dyDescent="0.25">
      <c r="A362" t="s">
        <v>12668</v>
      </c>
    </row>
    <row r="363" spans="1:2" x14ac:dyDescent="0.25">
      <c r="A363" t="s">
        <v>12669</v>
      </c>
    </row>
    <row r="364" spans="1:2" x14ac:dyDescent="0.25">
      <c r="A364" t="s">
        <v>12670</v>
      </c>
    </row>
    <row r="365" spans="1:2" x14ac:dyDescent="0.25">
      <c r="A365" t="s">
        <v>12671</v>
      </c>
      <c r="B365" t="s">
        <v>18886</v>
      </c>
    </row>
    <row r="366" spans="1:2" x14ac:dyDescent="0.25">
      <c r="A366" t="s">
        <v>12672</v>
      </c>
    </row>
    <row r="367" spans="1:2" x14ac:dyDescent="0.25">
      <c r="A367" t="s">
        <v>12673</v>
      </c>
      <c r="B367" t="s">
        <v>18887</v>
      </c>
    </row>
    <row r="368" spans="1:2" x14ac:dyDescent="0.25">
      <c r="A368" t="s">
        <v>12674</v>
      </c>
      <c r="B368" t="s">
        <v>18888</v>
      </c>
    </row>
    <row r="369" spans="1:2" x14ac:dyDescent="0.25">
      <c r="A369" t="s">
        <v>12675</v>
      </c>
    </row>
    <row r="370" spans="1:2" x14ac:dyDescent="0.25">
      <c r="A370" t="s">
        <v>12676</v>
      </c>
      <c r="B370" t="s">
        <v>18889</v>
      </c>
    </row>
    <row r="371" spans="1:2" x14ac:dyDescent="0.25">
      <c r="A371" t="s">
        <v>12677</v>
      </c>
    </row>
    <row r="372" spans="1:2" x14ac:dyDescent="0.25">
      <c r="A372" t="s">
        <v>12678</v>
      </c>
      <c r="B372" t="s">
        <v>18890</v>
      </c>
    </row>
    <row r="373" spans="1:2" x14ac:dyDescent="0.25">
      <c r="A373" t="s">
        <v>12679</v>
      </c>
      <c r="B373" t="s">
        <v>18891</v>
      </c>
    </row>
    <row r="374" spans="1:2" x14ac:dyDescent="0.25">
      <c r="A374" t="s">
        <v>12680</v>
      </c>
    </row>
    <row r="375" spans="1:2" x14ac:dyDescent="0.25">
      <c r="A375" t="s">
        <v>12681</v>
      </c>
    </row>
    <row r="376" spans="1:2" x14ac:dyDescent="0.25">
      <c r="A376" t="s">
        <v>12682</v>
      </c>
      <c r="B376" t="s">
        <v>18892</v>
      </c>
    </row>
    <row r="377" spans="1:2" x14ac:dyDescent="0.25">
      <c r="A377" t="s">
        <v>12683</v>
      </c>
    </row>
    <row r="378" spans="1:2" x14ac:dyDescent="0.25">
      <c r="A378" t="s">
        <v>12684</v>
      </c>
    </row>
    <row r="379" spans="1:2" x14ac:dyDescent="0.25">
      <c r="A379" t="s">
        <v>12685</v>
      </c>
      <c r="B379" t="s">
        <v>18893</v>
      </c>
    </row>
    <row r="380" spans="1:2" x14ac:dyDescent="0.25">
      <c r="A380" t="s">
        <v>12686</v>
      </c>
      <c r="B380" t="s">
        <v>18894</v>
      </c>
    </row>
    <row r="381" spans="1:2" x14ac:dyDescent="0.25">
      <c r="A381" t="s">
        <v>12687</v>
      </c>
      <c r="B381" t="s">
        <v>18895</v>
      </c>
    </row>
    <row r="382" spans="1:2" x14ac:dyDescent="0.25">
      <c r="A382" t="s">
        <v>5697</v>
      </c>
    </row>
    <row r="383" spans="1:2" x14ac:dyDescent="0.25">
      <c r="A383" t="s">
        <v>5700</v>
      </c>
      <c r="B383" t="s">
        <v>18896</v>
      </c>
    </row>
    <row r="384" spans="1:2" x14ac:dyDescent="0.25">
      <c r="A384" t="s">
        <v>12689</v>
      </c>
    </row>
    <row r="385" spans="1:2" x14ac:dyDescent="0.25">
      <c r="A385" t="s">
        <v>12690</v>
      </c>
      <c r="B385" t="s">
        <v>18897</v>
      </c>
    </row>
    <row r="386" spans="1:2" x14ac:dyDescent="0.25">
      <c r="A386" t="s">
        <v>12691</v>
      </c>
    </row>
    <row r="387" spans="1:2" x14ac:dyDescent="0.25">
      <c r="A387" t="s">
        <v>12692</v>
      </c>
    </row>
    <row r="388" spans="1:2" x14ac:dyDescent="0.25">
      <c r="A388" t="s">
        <v>12693</v>
      </c>
      <c r="B388" t="s">
        <v>18898</v>
      </c>
    </row>
    <row r="389" spans="1:2" x14ac:dyDescent="0.25">
      <c r="A389" t="s">
        <v>12694</v>
      </c>
      <c r="B389" t="s">
        <v>18899</v>
      </c>
    </row>
    <row r="390" spans="1:2" x14ac:dyDescent="0.25">
      <c r="A390" t="s">
        <v>12695</v>
      </c>
      <c r="B390" t="s">
        <v>18900</v>
      </c>
    </row>
    <row r="391" spans="1:2" x14ac:dyDescent="0.25">
      <c r="A391" t="s">
        <v>12696</v>
      </c>
      <c r="B391" t="s">
        <v>18901</v>
      </c>
    </row>
    <row r="392" spans="1:2" x14ac:dyDescent="0.25">
      <c r="A392" t="s">
        <v>12697</v>
      </c>
    </row>
    <row r="393" spans="1:2" x14ac:dyDescent="0.25">
      <c r="A393" t="s">
        <v>12698</v>
      </c>
      <c r="B393" t="s">
        <v>18902</v>
      </c>
    </row>
    <row r="394" spans="1:2" x14ac:dyDescent="0.25">
      <c r="A394" t="s">
        <v>12699</v>
      </c>
      <c r="B394" t="s">
        <v>18903</v>
      </c>
    </row>
    <row r="395" spans="1:2" x14ac:dyDescent="0.25">
      <c r="A395" t="s">
        <v>12700</v>
      </c>
    </row>
    <row r="396" spans="1:2" x14ac:dyDescent="0.25">
      <c r="A396" t="s">
        <v>12701</v>
      </c>
      <c r="B396" t="s">
        <v>18904</v>
      </c>
    </row>
    <row r="397" spans="1:2" x14ac:dyDescent="0.25">
      <c r="A397" t="s">
        <v>12702</v>
      </c>
    </row>
    <row r="398" spans="1:2" x14ac:dyDescent="0.25">
      <c r="A398" t="s">
        <v>12703</v>
      </c>
      <c r="B398" t="s">
        <v>18905</v>
      </c>
    </row>
    <row r="399" spans="1:2" x14ac:dyDescent="0.25">
      <c r="A399" t="s">
        <v>12704</v>
      </c>
      <c r="B399" t="s">
        <v>18906</v>
      </c>
    </row>
    <row r="400" spans="1:2" x14ac:dyDescent="0.25">
      <c r="A400" t="s">
        <v>12705</v>
      </c>
    </row>
    <row r="401" spans="1:2" x14ac:dyDescent="0.25">
      <c r="A401" t="s">
        <v>12706</v>
      </c>
    </row>
    <row r="402" spans="1:2" x14ac:dyDescent="0.25">
      <c r="A402" t="s">
        <v>12707</v>
      </c>
    </row>
    <row r="403" spans="1:2" x14ac:dyDescent="0.25">
      <c r="A403" t="s">
        <v>12708</v>
      </c>
      <c r="B403" t="s">
        <v>18907</v>
      </c>
    </row>
    <row r="404" spans="1:2" x14ac:dyDescent="0.25">
      <c r="A404" t="s">
        <v>12709</v>
      </c>
      <c r="B404" t="s">
        <v>18908</v>
      </c>
    </row>
    <row r="405" spans="1:2" x14ac:dyDescent="0.25">
      <c r="A405" t="s">
        <v>12710</v>
      </c>
    </row>
    <row r="406" spans="1:2" x14ac:dyDescent="0.25">
      <c r="A406" t="s">
        <v>12711</v>
      </c>
      <c r="B406" t="s">
        <v>18909</v>
      </c>
    </row>
    <row r="407" spans="1:2" x14ac:dyDescent="0.25">
      <c r="A407" t="s">
        <v>12712</v>
      </c>
    </row>
    <row r="408" spans="1:2" x14ac:dyDescent="0.25">
      <c r="A408" t="s">
        <v>12713</v>
      </c>
    </row>
    <row r="409" spans="1:2" x14ac:dyDescent="0.25">
      <c r="A409" t="s">
        <v>12714</v>
      </c>
    </row>
    <row r="410" spans="1:2" x14ac:dyDescent="0.25">
      <c r="A410" t="s">
        <v>12715</v>
      </c>
    </row>
    <row r="411" spans="1:2" x14ac:dyDescent="0.25">
      <c r="A411" t="s">
        <v>12716</v>
      </c>
    </row>
    <row r="412" spans="1:2" x14ac:dyDescent="0.25">
      <c r="A412" t="s">
        <v>12717</v>
      </c>
    </row>
    <row r="413" spans="1:2" x14ac:dyDescent="0.25">
      <c r="A413" t="s">
        <v>12718</v>
      </c>
      <c r="B413" t="s">
        <v>18910</v>
      </c>
    </row>
    <row r="414" spans="1:2" x14ac:dyDescent="0.25">
      <c r="A414" t="s">
        <v>12719</v>
      </c>
      <c r="B414" t="s">
        <v>18911</v>
      </c>
    </row>
    <row r="415" spans="1:2" x14ac:dyDescent="0.25">
      <c r="A415" t="s">
        <v>12720</v>
      </c>
    </row>
    <row r="416" spans="1:2" x14ac:dyDescent="0.25">
      <c r="A416" t="s">
        <v>12721</v>
      </c>
    </row>
    <row r="417" spans="1:2" x14ac:dyDescent="0.25">
      <c r="A417" t="s">
        <v>12722</v>
      </c>
      <c r="B417" t="s">
        <v>18912</v>
      </c>
    </row>
    <row r="418" spans="1:2" x14ac:dyDescent="0.25">
      <c r="A418" t="s">
        <v>12723</v>
      </c>
      <c r="B418" t="s">
        <v>18913</v>
      </c>
    </row>
    <row r="419" spans="1:2" x14ac:dyDescent="0.25">
      <c r="A419" t="s">
        <v>12724</v>
      </c>
      <c r="B419" t="s">
        <v>18914</v>
      </c>
    </row>
    <row r="420" spans="1:2" x14ac:dyDescent="0.25">
      <c r="A420" t="s">
        <v>12725</v>
      </c>
    </row>
    <row r="421" spans="1:2" x14ac:dyDescent="0.25">
      <c r="A421" t="s">
        <v>12726</v>
      </c>
      <c r="B421" t="s">
        <v>18915</v>
      </c>
    </row>
    <row r="422" spans="1:2" x14ac:dyDescent="0.25">
      <c r="A422" t="s">
        <v>12727</v>
      </c>
      <c r="B422" t="s">
        <v>18916</v>
      </c>
    </row>
    <row r="423" spans="1:2" x14ac:dyDescent="0.25">
      <c r="A423" t="s">
        <v>12729</v>
      </c>
      <c r="B423" t="s">
        <v>18867</v>
      </c>
    </row>
    <row r="424" spans="1:2" x14ac:dyDescent="0.25">
      <c r="A424" t="s">
        <v>12730</v>
      </c>
    </row>
    <row r="425" spans="1:2" x14ac:dyDescent="0.25">
      <c r="A425" t="s">
        <v>12731</v>
      </c>
    </row>
    <row r="426" spans="1:2" x14ac:dyDescent="0.25">
      <c r="A426" t="s">
        <v>12732</v>
      </c>
    </row>
    <row r="427" spans="1:2" x14ac:dyDescent="0.25">
      <c r="A427" t="s">
        <v>12733</v>
      </c>
    </row>
    <row r="428" spans="1:2" x14ac:dyDescent="0.25">
      <c r="A428" t="s">
        <v>12734</v>
      </c>
    </row>
    <row r="429" spans="1:2" x14ac:dyDescent="0.25">
      <c r="A429" t="s">
        <v>12735</v>
      </c>
    </row>
    <row r="430" spans="1:2" x14ac:dyDescent="0.25">
      <c r="A430" t="s">
        <v>12736</v>
      </c>
    </row>
    <row r="431" spans="1:2" x14ac:dyDescent="0.25">
      <c r="A431" t="s">
        <v>12737</v>
      </c>
    </row>
    <row r="432" spans="1:2" x14ac:dyDescent="0.25">
      <c r="A432" t="s">
        <v>12738</v>
      </c>
      <c r="B432" t="s">
        <v>18917</v>
      </c>
    </row>
    <row r="433" spans="1:2" x14ac:dyDescent="0.25">
      <c r="A433" t="s">
        <v>12739</v>
      </c>
    </row>
    <row r="434" spans="1:2" x14ac:dyDescent="0.25">
      <c r="A434" t="s">
        <v>12740</v>
      </c>
    </row>
    <row r="435" spans="1:2" x14ac:dyDescent="0.25">
      <c r="A435" t="s">
        <v>12741</v>
      </c>
    </row>
    <row r="436" spans="1:2" x14ac:dyDescent="0.25">
      <c r="A436" t="s">
        <v>12742</v>
      </c>
    </row>
    <row r="437" spans="1:2" x14ac:dyDescent="0.25">
      <c r="A437" t="s">
        <v>12743</v>
      </c>
      <c r="B437" t="s">
        <v>18918</v>
      </c>
    </row>
    <row r="438" spans="1:2" x14ac:dyDescent="0.25">
      <c r="A438" t="s">
        <v>12744</v>
      </c>
    </row>
    <row r="439" spans="1:2" x14ac:dyDescent="0.25">
      <c r="A439" t="s">
        <v>12745</v>
      </c>
    </row>
    <row r="440" spans="1:2" x14ac:dyDescent="0.25">
      <c r="A440" t="s">
        <v>12746</v>
      </c>
    </row>
    <row r="441" spans="1:2" x14ac:dyDescent="0.25">
      <c r="A441" t="s">
        <v>12747</v>
      </c>
    </row>
    <row r="442" spans="1:2" x14ac:dyDescent="0.25">
      <c r="A442" t="s">
        <v>12748</v>
      </c>
    </row>
    <row r="443" spans="1:2" x14ac:dyDescent="0.25">
      <c r="A443" t="s">
        <v>12749</v>
      </c>
    </row>
    <row r="444" spans="1:2" x14ac:dyDescent="0.25">
      <c r="A444" t="s">
        <v>12750</v>
      </c>
    </row>
    <row r="445" spans="1:2" x14ac:dyDescent="0.25">
      <c r="A445" t="s">
        <v>12751</v>
      </c>
    </row>
    <row r="446" spans="1:2" x14ac:dyDescent="0.25">
      <c r="A446" t="s">
        <v>12752</v>
      </c>
      <c r="B446" t="s">
        <v>18919</v>
      </c>
    </row>
    <row r="447" spans="1:2" x14ac:dyDescent="0.25">
      <c r="A447" t="s">
        <v>12753</v>
      </c>
    </row>
    <row r="448" spans="1:2" x14ac:dyDescent="0.25">
      <c r="A448" t="s">
        <v>12754</v>
      </c>
    </row>
    <row r="449" spans="1:2" x14ac:dyDescent="0.25">
      <c r="A449" t="s">
        <v>12755</v>
      </c>
      <c r="B449" t="s">
        <v>18920</v>
      </c>
    </row>
    <row r="450" spans="1:2" x14ac:dyDescent="0.25">
      <c r="A450" t="s">
        <v>12756</v>
      </c>
    </row>
    <row r="451" spans="1:2" x14ac:dyDescent="0.25">
      <c r="A451" t="s">
        <v>12757</v>
      </c>
      <c r="B451" t="s">
        <v>18921</v>
      </c>
    </row>
    <row r="452" spans="1:2" x14ac:dyDescent="0.25">
      <c r="A452" t="s">
        <v>12758</v>
      </c>
    </row>
    <row r="453" spans="1:2" x14ac:dyDescent="0.25">
      <c r="A453" t="s">
        <v>12759</v>
      </c>
    </row>
    <row r="454" spans="1:2" x14ac:dyDescent="0.25">
      <c r="A454" t="s">
        <v>12760</v>
      </c>
      <c r="B454" t="s">
        <v>18922</v>
      </c>
    </row>
    <row r="455" spans="1:2" x14ac:dyDescent="0.25">
      <c r="A455" t="s">
        <v>12761</v>
      </c>
      <c r="B455" t="s">
        <v>18923</v>
      </c>
    </row>
    <row r="456" spans="1:2" x14ac:dyDescent="0.25">
      <c r="A456" t="s">
        <v>12762</v>
      </c>
      <c r="B456" t="s">
        <v>18924</v>
      </c>
    </row>
    <row r="457" spans="1:2" x14ac:dyDescent="0.25">
      <c r="A457" t="s">
        <v>12763</v>
      </c>
    </row>
    <row r="458" spans="1:2" x14ac:dyDescent="0.25">
      <c r="A458" t="s">
        <v>12764</v>
      </c>
    </row>
    <row r="459" spans="1:2" x14ac:dyDescent="0.25">
      <c r="A459" t="s">
        <v>12765</v>
      </c>
      <c r="B459" t="s">
        <v>18925</v>
      </c>
    </row>
    <row r="460" spans="1:2" x14ac:dyDescent="0.25">
      <c r="A460" t="s">
        <v>12766</v>
      </c>
      <c r="B460" t="s">
        <v>18926</v>
      </c>
    </row>
    <row r="461" spans="1:2" x14ac:dyDescent="0.25">
      <c r="A461" t="s">
        <v>12767</v>
      </c>
      <c r="B461" t="s">
        <v>18927</v>
      </c>
    </row>
    <row r="462" spans="1:2" x14ac:dyDescent="0.25">
      <c r="A462" t="s">
        <v>12768</v>
      </c>
      <c r="B462" t="s">
        <v>18928</v>
      </c>
    </row>
    <row r="463" spans="1:2" x14ac:dyDescent="0.25">
      <c r="A463" t="s">
        <v>12769</v>
      </c>
    </row>
    <row r="464" spans="1:2" x14ac:dyDescent="0.25">
      <c r="A464" t="s">
        <v>12770</v>
      </c>
    </row>
    <row r="465" spans="1:2" x14ac:dyDescent="0.25">
      <c r="A465" t="s">
        <v>12771</v>
      </c>
      <c r="B465" t="s">
        <v>18929</v>
      </c>
    </row>
    <row r="466" spans="1:2" x14ac:dyDescent="0.25">
      <c r="A466" t="s">
        <v>12772</v>
      </c>
      <c r="B466" t="s">
        <v>18930</v>
      </c>
    </row>
    <row r="467" spans="1:2" x14ac:dyDescent="0.25">
      <c r="A467" t="s">
        <v>12773</v>
      </c>
    </row>
    <row r="468" spans="1:2" x14ac:dyDescent="0.25">
      <c r="A468" t="s">
        <v>12774</v>
      </c>
    </row>
    <row r="469" spans="1:2" x14ac:dyDescent="0.25">
      <c r="A469" t="s">
        <v>12775</v>
      </c>
    </row>
    <row r="470" spans="1:2" x14ac:dyDescent="0.25">
      <c r="A470" t="s">
        <v>12776</v>
      </c>
    </row>
    <row r="471" spans="1:2" x14ac:dyDescent="0.25">
      <c r="A471" t="s">
        <v>12777</v>
      </c>
      <c r="B471" t="s">
        <v>18931</v>
      </c>
    </row>
    <row r="472" spans="1:2" x14ac:dyDescent="0.25">
      <c r="A472" t="s">
        <v>12778</v>
      </c>
      <c r="B472" t="s">
        <v>18932</v>
      </c>
    </row>
    <row r="473" spans="1:2" x14ac:dyDescent="0.25">
      <c r="A473" t="s">
        <v>12779</v>
      </c>
    </row>
    <row r="474" spans="1:2" x14ac:dyDescent="0.25">
      <c r="A474" t="s">
        <v>12780</v>
      </c>
    </row>
    <row r="475" spans="1:2" x14ac:dyDescent="0.25">
      <c r="A475" t="s">
        <v>12781</v>
      </c>
    </row>
    <row r="476" spans="1:2" x14ac:dyDescent="0.25">
      <c r="A476" t="s">
        <v>12782</v>
      </c>
      <c r="B476" t="s">
        <v>18933</v>
      </c>
    </row>
    <row r="477" spans="1:2" x14ac:dyDescent="0.25">
      <c r="A477" t="s">
        <v>12783</v>
      </c>
    </row>
    <row r="478" spans="1:2" x14ac:dyDescent="0.25">
      <c r="A478" t="s">
        <v>12784</v>
      </c>
    </row>
    <row r="479" spans="1:2" x14ac:dyDescent="0.25">
      <c r="A479" t="s">
        <v>12785</v>
      </c>
      <c r="B479" t="s">
        <v>18934</v>
      </c>
    </row>
    <row r="480" spans="1:2" x14ac:dyDescent="0.25">
      <c r="A480" t="s">
        <v>12786</v>
      </c>
    </row>
    <row r="481" spans="1:2" x14ac:dyDescent="0.25">
      <c r="A481" t="s">
        <v>12787</v>
      </c>
    </row>
    <row r="482" spans="1:2" x14ac:dyDescent="0.25">
      <c r="A482" t="s">
        <v>12788</v>
      </c>
    </row>
    <row r="483" spans="1:2" x14ac:dyDescent="0.25">
      <c r="A483" t="s">
        <v>12789</v>
      </c>
    </row>
    <row r="484" spans="1:2" x14ac:dyDescent="0.25">
      <c r="A484" t="s">
        <v>12790</v>
      </c>
      <c r="B484" t="s">
        <v>18935</v>
      </c>
    </row>
    <row r="485" spans="1:2" x14ac:dyDescent="0.25">
      <c r="A485" t="s">
        <v>12791</v>
      </c>
    </row>
    <row r="486" spans="1:2" x14ac:dyDescent="0.25">
      <c r="A486" t="s">
        <v>12792</v>
      </c>
    </row>
    <row r="487" spans="1:2" x14ac:dyDescent="0.25">
      <c r="A487" t="s">
        <v>12793</v>
      </c>
      <c r="B487" t="s">
        <v>18936</v>
      </c>
    </row>
    <row r="488" spans="1:2" x14ac:dyDescent="0.25">
      <c r="A488" t="s">
        <v>12794</v>
      </c>
      <c r="B488" t="s">
        <v>18937</v>
      </c>
    </row>
    <row r="489" spans="1:2" x14ac:dyDescent="0.25">
      <c r="A489" t="s">
        <v>12795</v>
      </c>
      <c r="B489" t="s">
        <v>18938</v>
      </c>
    </row>
    <row r="490" spans="1:2" x14ac:dyDescent="0.25">
      <c r="A490" t="s">
        <v>12796</v>
      </c>
      <c r="B490" t="s">
        <v>18939</v>
      </c>
    </row>
    <row r="491" spans="1:2" x14ac:dyDescent="0.25">
      <c r="A491" t="s">
        <v>12797</v>
      </c>
      <c r="B491" t="s">
        <v>18940</v>
      </c>
    </row>
    <row r="492" spans="1:2" x14ac:dyDescent="0.25">
      <c r="A492" t="s">
        <v>12798</v>
      </c>
    </row>
    <row r="493" spans="1:2" x14ac:dyDescent="0.25">
      <c r="A493" t="s">
        <v>12799</v>
      </c>
      <c r="B493" t="s">
        <v>18941</v>
      </c>
    </row>
    <row r="494" spans="1:2" x14ac:dyDescent="0.25">
      <c r="A494" t="s">
        <v>12800</v>
      </c>
      <c r="B494" t="s">
        <v>18942</v>
      </c>
    </row>
    <row r="495" spans="1:2" x14ac:dyDescent="0.25">
      <c r="A495" t="s">
        <v>12801</v>
      </c>
    </row>
    <row r="496" spans="1:2" x14ac:dyDescent="0.25">
      <c r="A496" t="s">
        <v>12802</v>
      </c>
      <c r="B496" t="s">
        <v>18943</v>
      </c>
    </row>
    <row r="497" spans="1:2" x14ac:dyDescent="0.25">
      <c r="A497" t="s">
        <v>12803</v>
      </c>
      <c r="B497" t="s">
        <v>18944</v>
      </c>
    </row>
    <row r="498" spans="1:2" x14ac:dyDescent="0.25">
      <c r="A498" t="s">
        <v>12804</v>
      </c>
      <c r="B498" t="s">
        <v>18945</v>
      </c>
    </row>
    <row r="499" spans="1:2" x14ac:dyDescent="0.25">
      <c r="A499" t="s">
        <v>12805</v>
      </c>
      <c r="B499" t="s">
        <v>18946</v>
      </c>
    </row>
    <row r="500" spans="1:2" x14ac:dyDescent="0.25">
      <c r="A500" t="s">
        <v>12806</v>
      </c>
    </row>
    <row r="501" spans="1:2" x14ac:dyDescent="0.25">
      <c r="A501" t="s">
        <v>12807</v>
      </c>
      <c r="B501" t="s">
        <v>18947</v>
      </c>
    </row>
    <row r="502" spans="1:2" x14ac:dyDescent="0.25">
      <c r="A502" t="s">
        <v>12808</v>
      </c>
    </row>
    <row r="503" spans="1:2" x14ac:dyDescent="0.25">
      <c r="A503" t="s">
        <v>12809</v>
      </c>
    </row>
    <row r="504" spans="1:2" x14ac:dyDescent="0.25">
      <c r="A504" t="s">
        <v>12810</v>
      </c>
      <c r="B504" t="s">
        <v>18948</v>
      </c>
    </row>
    <row r="505" spans="1:2" x14ac:dyDescent="0.25">
      <c r="A505" t="s">
        <v>12811</v>
      </c>
      <c r="B505" t="s">
        <v>18949</v>
      </c>
    </row>
    <row r="506" spans="1:2" x14ac:dyDescent="0.25">
      <c r="A506" t="s">
        <v>12812</v>
      </c>
    </row>
    <row r="507" spans="1:2" x14ac:dyDescent="0.25">
      <c r="A507" t="s">
        <v>12813</v>
      </c>
      <c r="B507" t="s">
        <v>18950</v>
      </c>
    </row>
    <row r="508" spans="1:2" x14ac:dyDescent="0.25">
      <c r="A508" t="s">
        <v>12814</v>
      </c>
      <c r="B508" t="s">
        <v>18951</v>
      </c>
    </row>
    <row r="509" spans="1:2" x14ac:dyDescent="0.25">
      <c r="A509" t="s">
        <v>12815</v>
      </c>
    </row>
    <row r="510" spans="1:2" x14ac:dyDescent="0.25">
      <c r="A510" t="s">
        <v>12816</v>
      </c>
    </row>
    <row r="511" spans="1:2" x14ac:dyDescent="0.25">
      <c r="A511" t="s">
        <v>12817</v>
      </c>
      <c r="B511" t="s">
        <v>18952</v>
      </c>
    </row>
    <row r="512" spans="1:2" x14ac:dyDescent="0.25">
      <c r="A512" t="s">
        <v>12818</v>
      </c>
      <c r="B512" t="s">
        <v>18953</v>
      </c>
    </row>
    <row r="513" spans="1:2" x14ac:dyDescent="0.25">
      <c r="A513" t="s">
        <v>12819</v>
      </c>
    </row>
    <row r="514" spans="1:2" x14ac:dyDescent="0.25">
      <c r="A514" t="s">
        <v>12820</v>
      </c>
      <c r="B514" t="s">
        <v>18954</v>
      </c>
    </row>
    <row r="515" spans="1:2" x14ac:dyDescent="0.25">
      <c r="A515" t="s">
        <v>12822</v>
      </c>
    </row>
    <row r="516" spans="1:2" x14ac:dyDescent="0.25">
      <c r="A516" t="s">
        <v>12823</v>
      </c>
    </row>
    <row r="517" spans="1:2" x14ac:dyDescent="0.25">
      <c r="A517" t="s">
        <v>12824</v>
      </c>
    </row>
    <row r="518" spans="1:2" x14ac:dyDescent="0.25">
      <c r="A518" t="s">
        <v>12825</v>
      </c>
    </row>
    <row r="519" spans="1:2" x14ac:dyDescent="0.25">
      <c r="A519" t="s">
        <v>12826</v>
      </c>
    </row>
    <row r="520" spans="1:2" x14ac:dyDescent="0.25">
      <c r="A520" t="s">
        <v>12827</v>
      </c>
    </row>
    <row r="521" spans="1:2" x14ac:dyDescent="0.25">
      <c r="A521" t="s">
        <v>12828</v>
      </c>
      <c r="B521" t="s">
        <v>18955</v>
      </c>
    </row>
    <row r="522" spans="1:2" x14ac:dyDescent="0.25">
      <c r="A522" t="s">
        <v>12829</v>
      </c>
      <c r="B522" t="s">
        <v>18956</v>
      </c>
    </row>
    <row r="523" spans="1:2" x14ac:dyDescent="0.25">
      <c r="A523" t="s">
        <v>12830</v>
      </c>
      <c r="B523" t="s">
        <v>18957</v>
      </c>
    </row>
    <row r="524" spans="1:2" x14ac:dyDescent="0.25">
      <c r="A524" t="s">
        <v>12831</v>
      </c>
      <c r="B524" t="s">
        <v>18958</v>
      </c>
    </row>
    <row r="525" spans="1:2" x14ac:dyDescent="0.25">
      <c r="A525" t="s">
        <v>12832</v>
      </c>
    </row>
    <row r="526" spans="1:2" x14ac:dyDescent="0.25">
      <c r="A526" t="s">
        <v>12833</v>
      </c>
    </row>
    <row r="527" spans="1:2" x14ac:dyDescent="0.25">
      <c r="A527" t="s">
        <v>12834</v>
      </c>
    </row>
    <row r="528" spans="1:2" x14ac:dyDescent="0.25">
      <c r="A528" t="s">
        <v>12835</v>
      </c>
    </row>
    <row r="529" spans="1:2" x14ac:dyDescent="0.25">
      <c r="A529" t="s">
        <v>12836</v>
      </c>
    </row>
    <row r="530" spans="1:2" x14ac:dyDescent="0.25">
      <c r="A530" t="s">
        <v>12837</v>
      </c>
    </row>
    <row r="531" spans="1:2" x14ac:dyDescent="0.25">
      <c r="A531" t="s">
        <v>12838</v>
      </c>
      <c r="B531" t="s">
        <v>18959</v>
      </c>
    </row>
    <row r="532" spans="1:2" x14ac:dyDescent="0.25">
      <c r="A532" t="s">
        <v>12839</v>
      </c>
    </row>
    <row r="533" spans="1:2" x14ac:dyDescent="0.25">
      <c r="A533" t="s">
        <v>12840</v>
      </c>
    </row>
    <row r="534" spans="1:2" x14ac:dyDescent="0.25">
      <c r="A534" t="s">
        <v>12841</v>
      </c>
    </row>
    <row r="535" spans="1:2" x14ac:dyDescent="0.25">
      <c r="A535" t="s">
        <v>12842</v>
      </c>
    </row>
    <row r="536" spans="1:2" x14ac:dyDescent="0.25">
      <c r="A536" t="s">
        <v>12843</v>
      </c>
    </row>
    <row r="537" spans="1:2" x14ac:dyDescent="0.25">
      <c r="A537" t="s">
        <v>12844</v>
      </c>
      <c r="B537" t="s">
        <v>18960</v>
      </c>
    </row>
    <row r="538" spans="1:2" x14ac:dyDescent="0.25">
      <c r="A538" t="s">
        <v>12845</v>
      </c>
      <c r="B538" t="s">
        <v>18961</v>
      </c>
    </row>
    <row r="539" spans="1:2" x14ac:dyDescent="0.25">
      <c r="A539" t="s">
        <v>12846</v>
      </c>
    </row>
    <row r="540" spans="1:2" x14ac:dyDescent="0.25">
      <c r="A540" t="s">
        <v>12847</v>
      </c>
      <c r="B540" t="s">
        <v>18962</v>
      </c>
    </row>
    <row r="541" spans="1:2" x14ac:dyDescent="0.25">
      <c r="A541" t="s">
        <v>12008</v>
      </c>
    </row>
    <row r="542" spans="1:2" x14ac:dyDescent="0.25">
      <c r="A542" t="s">
        <v>12848</v>
      </c>
    </row>
    <row r="543" spans="1:2" x14ac:dyDescent="0.25">
      <c r="A543" t="s">
        <v>12849</v>
      </c>
      <c r="B543" t="s">
        <v>18963</v>
      </c>
    </row>
    <row r="544" spans="1:2" x14ac:dyDescent="0.25">
      <c r="A544" t="s">
        <v>12850</v>
      </c>
    </row>
    <row r="545" spans="1:2" x14ac:dyDescent="0.25">
      <c r="A545" t="s">
        <v>12851</v>
      </c>
      <c r="B545" t="s">
        <v>18964</v>
      </c>
    </row>
    <row r="546" spans="1:2" x14ac:dyDescent="0.25">
      <c r="A546" t="s">
        <v>12852</v>
      </c>
    </row>
    <row r="547" spans="1:2" x14ac:dyDescent="0.25">
      <c r="A547" t="s">
        <v>12853</v>
      </c>
    </row>
    <row r="548" spans="1:2" x14ac:dyDescent="0.25">
      <c r="A548" t="s">
        <v>12854</v>
      </c>
      <c r="B548" t="s">
        <v>18965</v>
      </c>
    </row>
    <row r="549" spans="1:2" x14ac:dyDescent="0.25">
      <c r="A549" t="s">
        <v>12855</v>
      </c>
    </row>
    <row r="550" spans="1:2" x14ac:dyDescent="0.25">
      <c r="A550" t="s">
        <v>12856</v>
      </c>
    </row>
    <row r="551" spans="1:2" x14ac:dyDescent="0.25">
      <c r="A551" t="s">
        <v>12857</v>
      </c>
    </row>
    <row r="552" spans="1:2" x14ac:dyDescent="0.25">
      <c r="A552" t="s">
        <v>12858</v>
      </c>
    </row>
    <row r="553" spans="1:2" x14ac:dyDescent="0.25">
      <c r="A553" t="s">
        <v>12859</v>
      </c>
      <c r="B553" t="s">
        <v>18966</v>
      </c>
    </row>
    <row r="554" spans="1:2" x14ac:dyDescent="0.25">
      <c r="A554" t="s">
        <v>12860</v>
      </c>
      <c r="B554" t="s">
        <v>18967</v>
      </c>
    </row>
    <row r="555" spans="1:2" x14ac:dyDescent="0.25">
      <c r="A555" t="s">
        <v>12861</v>
      </c>
      <c r="B555" t="s">
        <v>18968</v>
      </c>
    </row>
    <row r="556" spans="1:2" x14ac:dyDescent="0.25">
      <c r="A556" t="s">
        <v>12862</v>
      </c>
      <c r="B556" t="s">
        <v>18969</v>
      </c>
    </row>
    <row r="557" spans="1:2" x14ac:dyDescent="0.25">
      <c r="A557" t="s">
        <v>12863</v>
      </c>
    </row>
    <row r="558" spans="1:2" x14ac:dyDescent="0.25">
      <c r="A558" t="s">
        <v>12864</v>
      </c>
    </row>
    <row r="559" spans="1:2" x14ac:dyDescent="0.25">
      <c r="A559" t="s">
        <v>12865</v>
      </c>
    </row>
    <row r="560" spans="1:2" x14ac:dyDescent="0.25">
      <c r="A560" t="s">
        <v>12866</v>
      </c>
      <c r="B560" t="s">
        <v>18970</v>
      </c>
    </row>
    <row r="561" spans="1:2" x14ac:dyDescent="0.25">
      <c r="A561" t="s">
        <v>12867</v>
      </c>
    </row>
    <row r="562" spans="1:2" x14ac:dyDescent="0.25">
      <c r="A562" t="s">
        <v>12868</v>
      </c>
    </row>
    <row r="563" spans="1:2" x14ac:dyDescent="0.25">
      <c r="A563" t="s">
        <v>12869</v>
      </c>
      <c r="B563" t="s">
        <v>18971</v>
      </c>
    </row>
    <row r="564" spans="1:2" x14ac:dyDescent="0.25">
      <c r="A564" t="s">
        <v>12870</v>
      </c>
      <c r="B564" t="s">
        <v>18972</v>
      </c>
    </row>
    <row r="565" spans="1:2" x14ac:dyDescent="0.25">
      <c r="A565" t="s">
        <v>12871</v>
      </c>
    </row>
    <row r="566" spans="1:2" x14ac:dyDescent="0.25">
      <c r="A566" t="s">
        <v>12872</v>
      </c>
      <c r="B566" t="s">
        <v>18973</v>
      </c>
    </row>
    <row r="567" spans="1:2" x14ac:dyDescent="0.25">
      <c r="A567" t="s">
        <v>12873</v>
      </c>
      <c r="B567" t="s">
        <v>18974</v>
      </c>
    </row>
    <row r="568" spans="1:2" x14ac:dyDescent="0.25">
      <c r="A568" t="s">
        <v>12874</v>
      </c>
    </row>
    <row r="569" spans="1:2" x14ac:dyDescent="0.25">
      <c r="A569" t="s">
        <v>12875</v>
      </c>
      <c r="B569" t="s">
        <v>18975</v>
      </c>
    </row>
    <row r="570" spans="1:2" x14ac:dyDescent="0.25">
      <c r="A570" t="s">
        <v>12876</v>
      </c>
    </row>
    <row r="571" spans="1:2" x14ac:dyDescent="0.25">
      <c r="A571" t="s">
        <v>12877</v>
      </c>
    </row>
    <row r="572" spans="1:2" x14ac:dyDescent="0.25">
      <c r="A572" t="s">
        <v>12878</v>
      </c>
      <c r="B572" t="s">
        <v>18976</v>
      </c>
    </row>
    <row r="573" spans="1:2" x14ac:dyDescent="0.25">
      <c r="A573" t="s">
        <v>12879</v>
      </c>
    </row>
    <row r="574" spans="1:2" x14ac:dyDescent="0.25">
      <c r="A574" t="s">
        <v>12880</v>
      </c>
    </row>
    <row r="575" spans="1:2" x14ac:dyDescent="0.25">
      <c r="A575" t="s">
        <v>12881</v>
      </c>
      <c r="B575" t="s">
        <v>18977</v>
      </c>
    </row>
    <row r="576" spans="1:2" x14ac:dyDescent="0.25">
      <c r="A576" t="s">
        <v>12882</v>
      </c>
    </row>
    <row r="577" spans="1:2" x14ac:dyDescent="0.25">
      <c r="A577" t="s">
        <v>12883</v>
      </c>
    </row>
    <row r="578" spans="1:2" x14ac:dyDescent="0.25">
      <c r="A578" t="s">
        <v>12884</v>
      </c>
      <c r="B578" t="s">
        <v>18978</v>
      </c>
    </row>
    <row r="579" spans="1:2" x14ac:dyDescent="0.25">
      <c r="A579" t="s">
        <v>12885</v>
      </c>
      <c r="B579" t="s">
        <v>18979</v>
      </c>
    </row>
    <row r="580" spans="1:2" x14ac:dyDescent="0.25">
      <c r="A580" t="s">
        <v>12887</v>
      </c>
    </row>
    <row r="581" spans="1:2" x14ac:dyDescent="0.25">
      <c r="A581" t="s">
        <v>12888</v>
      </c>
      <c r="B581" t="s">
        <v>18980</v>
      </c>
    </row>
    <row r="582" spans="1:2" x14ac:dyDescent="0.25">
      <c r="A582" t="s">
        <v>12889</v>
      </c>
    </row>
    <row r="583" spans="1:2" x14ac:dyDescent="0.25">
      <c r="A583" t="s">
        <v>12890</v>
      </c>
      <c r="B583" t="s">
        <v>18981</v>
      </c>
    </row>
    <row r="584" spans="1:2" x14ac:dyDescent="0.25">
      <c r="A584" t="s">
        <v>12891</v>
      </c>
    </row>
    <row r="585" spans="1:2" x14ac:dyDescent="0.25">
      <c r="A585" t="s">
        <v>12892</v>
      </c>
      <c r="B585" t="s">
        <v>18982</v>
      </c>
    </row>
    <row r="586" spans="1:2" x14ac:dyDescent="0.25">
      <c r="A586" t="s">
        <v>12893</v>
      </c>
    </row>
    <row r="587" spans="1:2" x14ac:dyDescent="0.25">
      <c r="A587" t="s">
        <v>12894</v>
      </c>
    </row>
    <row r="588" spans="1:2" x14ac:dyDescent="0.25">
      <c r="A588" t="s">
        <v>12895</v>
      </c>
    </row>
    <row r="589" spans="1:2" x14ac:dyDescent="0.25">
      <c r="A589" t="s">
        <v>12896</v>
      </c>
    </row>
    <row r="590" spans="1:2" x14ac:dyDescent="0.25">
      <c r="A590" t="s">
        <v>12897</v>
      </c>
      <c r="B590" t="s">
        <v>18983</v>
      </c>
    </row>
    <row r="591" spans="1:2" x14ac:dyDescent="0.25">
      <c r="A591" t="s">
        <v>12899</v>
      </c>
      <c r="B591" t="s">
        <v>18984</v>
      </c>
    </row>
    <row r="592" spans="1:2" x14ac:dyDescent="0.25">
      <c r="A592" t="s">
        <v>12900</v>
      </c>
    </row>
    <row r="593" spans="1:2" x14ac:dyDescent="0.25">
      <c r="A593" t="s">
        <v>12901</v>
      </c>
    </row>
    <row r="594" spans="1:2" x14ac:dyDescent="0.25">
      <c r="A594" t="s">
        <v>12902</v>
      </c>
      <c r="B594" t="s">
        <v>18985</v>
      </c>
    </row>
    <row r="595" spans="1:2" x14ac:dyDescent="0.25">
      <c r="A595" t="s">
        <v>12903</v>
      </c>
    </row>
    <row r="596" spans="1:2" x14ac:dyDescent="0.25">
      <c r="A596" t="s">
        <v>12904</v>
      </c>
    </row>
    <row r="597" spans="1:2" x14ac:dyDescent="0.25">
      <c r="A597" t="s">
        <v>12905</v>
      </c>
      <c r="B597" t="s">
        <v>18986</v>
      </c>
    </row>
    <row r="598" spans="1:2" x14ac:dyDescent="0.25">
      <c r="A598" t="s">
        <v>12906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915"/>
  <sheetViews>
    <sheetView topLeftCell="A209" workbookViewId="0">
      <selection activeCell="B228" sqref="B228"/>
    </sheetView>
  </sheetViews>
  <sheetFormatPr defaultRowHeight="15" x14ac:dyDescent="0.25"/>
  <cols>
    <col min="1" max="1" width="12.85546875" style="27" bestFit="1" customWidth="1"/>
    <col min="2" max="2" width="70.5703125" style="27" bestFit="1" customWidth="1"/>
    <col min="3" max="3" width="20.85546875" style="27" bestFit="1" customWidth="1"/>
    <col min="4" max="4" width="13.5703125" style="27" bestFit="1" customWidth="1"/>
    <col min="5" max="5" width="24" style="27" bestFit="1" customWidth="1"/>
    <col min="6" max="6" width="48.28515625" style="27" bestFit="1" customWidth="1"/>
    <col min="7" max="7" width="56.140625" style="27" bestFit="1" customWidth="1"/>
  </cols>
  <sheetData>
    <row r="1" spans="1:7" x14ac:dyDescent="0.25">
      <c r="A1" s="25" t="s">
        <v>18987</v>
      </c>
      <c r="B1" s="25" t="s">
        <v>15515</v>
      </c>
      <c r="C1" s="25" t="s">
        <v>18988</v>
      </c>
      <c r="D1" s="25" t="s">
        <v>18989</v>
      </c>
      <c r="E1" s="25" t="s">
        <v>18990</v>
      </c>
      <c r="F1" s="25" t="s">
        <v>15517</v>
      </c>
      <c r="G1" s="25" t="s">
        <v>18991</v>
      </c>
    </row>
    <row r="2" spans="1:7" x14ac:dyDescent="0.25">
      <c r="A2">
        <v>100</v>
      </c>
      <c r="B2" t="str">
        <f>"datum"</f>
        <v>datum</v>
      </c>
      <c r="C2" t="s">
        <v>12907</v>
      </c>
      <c r="D2" t="str">
        <f>""</f>
        <v/>
      </c>
      <c r="E2" t="str">
        <f t="shared" ref="E2:E33" si="0">"Overige parameters "</f>
        <v xml:space="preserve">Overige parameters </v>
      </c>
      <c r="F2" t="str">
        <f>""</f>
        <v/>
      </c>
      <c r="G2" t="str">
        <f>""</f>
        <v/>
      </c>
    </row>
    <row r="3" spans="1:7" x14ac:dyDescent="0.25">
      <c r="A3">
        <v>102</v>
      </c>
      <c r="B3" t="str">
        <f>"tijd"</f>
        <v>tijd</v>
      </c>
      <c r="C3" t="s">
        <v>12909</v>
      </c>
      <c r="D3" t="str">
        <f>""</f>
        <v/>
      </c>
      <c r="E3" t="str">
        <f t="shared" si="0"/>
        <v xml:space="preserve">Overige parameters </v>
      </c>
      <c r="F3" t="str">
        <f>""</f>
        <v/>
      </c>
      <c r="G3" t="str">
        <f>""</f>
        <v/>
      </c>
    </row>
    <row r="4" spans="1:7" x14ac:dyDescent="0.25">
      <c r="A4">
        <v>106</v>
      </c>
      <c r="B4" t="str">
        <f>"luchttemperatuur"</f>
        <v>luchttemperatuur</v>
      </c>
      <c r="C4" t="s">
        <v>152</v>
      </c>
      <c r="D4" t="str">
        <f>""</f>
        <v/>
      </c>
      <c r="E4" t="str">
        <f t="shared" si="0"/>
        <v xml:space="preserve">Overige parameters </v>
      </c>
      <c r="F4" t="str">
        <f>""</f>
        <v/>
      </c>
      <c r="G4" t="str">
        <f>""</f>
        <v/>
      </c>
    </row>
    <row r="5" spans="1:7" x14ac:dyDescent="0.25">
      <c r="A5">
        <v>108</v>
      </c>
      <c r="B5" t="str">
        <f>"neerslag"</f>
        <v>neerslag</v>
      </c>
      <c r="C5" t="s">
        <v>12912</v>
      </c>
      <c r="D5" t="str">
        <f>""</f>
        <v/>
      </c>
      <c r="E5" t="str">
        <f t="shared" si="0"/>
        <v xml:space="preserve">Overige parameters </v>
      </c>
      <c r="F5" t="str">
        <f>""</f>
        <v/>
      </c>
      <c r="G5" t="str">
        <f>""</f>
        <v/>
      </c>
    </row>
    <row r="6" spans="1:7" x14ac:dyDescent="0.25">
      <c r="A6">
        <v>110</v>
      </c>
      <c r="B6" t="str">
        <f>"waterstand"</f>
        <v>waterstand</v>
      </c>
      <c r="C6" t="s">
        <v>12914</v>
      </c>
      <c r="D6" t="str">
        <f>""</f>
        <v/>
      </c>
      <c r="E6" t="str">
        <f t="shared" si="0"/>
        <v xml:space="preserve">Overige parameters </v>
      </c>
      <c r="F6" t="str">
        <f>""</f>
        <v/>
      </c>
      <c r="G6" t="str">
        <f>""</f>
        <v/>
      </c>
    </row>
    <row r="7" spans="1:7" x14ac:dyDescent="0.25">
      <c r="A7">
        <v>112</v>
      </c>
      <c r="B7" t="str">
        <f>"waterafvoer"</f>
        <v>waterafvoer</v>
      </c>
      <c r="C7" t="s">
        <v>12916</v>
      </c>
      <c r="D7" t="str">
        <f>""</f>
        <v/>
      </c>
      <c r="E7" t="str">
        <f t="shared" si="0"/>
        <v xml:space="preserve">Overige parameters </v>
      </c>
      <c r="F7" t="str">
        <f>""</f>
        <v/>
      </c>
      <c r="G7" t="str">
        <f>""</f>
        <v/>
      </c>
    </row>
    <row r="8" spans="1:7" x14ac:dyDescent="0.25">
      <c r="A8">
        <v>114</v>
      </c>
      <c r="B8" t="str">
        <f>"debiet"</f>
        <v>debiet</v>
      </c>
      <c r="C8" t="s">
        <v>12918</v>
      </c>
      <c r="D8" t="str">
        <f>""</f>
        <v/>
      </c>
      <c r="E8" t="str">
        <f t="shared" si="0"/>
        <v xml:space="preserve">Overige parameters </v>
      </c>
      <c r="F8" t="str">
        <f>""</f>
        <v/>
      </c>
      <c r="G8" t="str">
        <f>""</f>
        <v/>
      </c>
    </row>
    <row r="9" spans="1:7" x14ac:dyDescent="0.25">
      <c r="A9">
        <v>120</v>
      </c>
      <c r="B9" t="str">
        <f>"temperatuur"</f>
        <v>temperatuur</v>
      </c>
      <c r="C9" t="s">
        <v>152</v>
      </c>
      <c r="D9" t="str">
        <f>""</f>
        <v/>
      </c>
      <c r="E9" t="str">
        <f t="shared" si="0"/>
        <v xml:space="preserve">Overige parameters </v>
      </c>
      <c r="F9" t="str">
        <f>""</f>
        <v/>
      </c>
      <c r="G9" t="str">
        <f>""</f>
        <v/>
      </c>
    </row>
    <row r="10" spans="1:7" x14ac:dyDescent="0.25">
      <c r="A10">
        <v>122</v>
      </c>
      <c r="B10" t="str">
        <f>"zuurstof"</f>
        <v>zuurstof</v>
      </c>
      <c r="C10" t="s">
        <v>18992</v>
      </c>
      <c r="D10" t="str">
        <f>"7782-44-7"</f>
        <v>7782-44-7</v>
      </c>
      <c r="E10" t="str">
        <f t="shared" si="0"/>
        <v xml:space="preserve">Overige parameters </v>
      </c>
      <c r="F10" t="str">
        <f>""</f>
        <v/>
      </c>
      <c r="G10" t="str">
        <f>""</f>
        <v/>
      </c>
    </row>
    <row r="11" spans="1:7" x14ac:dyDescent="0.25">
      <c r="A11">
        <v>123</v>
      </c>
      <c r="B11" t="str">
        <f>"zuurstofverzadiging"</f>
        <v>zuurstofverzadiging</v>
      </c>
      <c r="C11" t="s">
        <v>12922</v>
      </c>
      <c r="D11" t="str">
        <f>""</f>
        <v/>
      </c>
      <c r="E11" t="str">
        <f t="shared" si="0"/>
        <v xml:space="preserve">Overige parameters </v>
      </c>
      <c r="F11" t="str">
        <f>""</f>
        <v/>
      </c>
      <c r="G11" t="str">
        <f>""</f>
        <v/>
      </c>
    </row>
    <row r="12" spans="1:7" x14ac:dyDescent="0.25">
      <c r="A12">
        <v>126</v>
      </c>
      <c r="B12" t="str">
        <f>"troebelingsgraad"</f>
        <v>troebelingsgraad</v>
      </c>
      <c r="C12" t="s">
        <v>12924</v>
      </c>
      <c r="D12" t="str">
        <f>""</f>
        <v/>
      </c>
      <c r="E12" t="str">
        <f t="shared" si="0"/>
        <v xml:space="preserve">Overige parameters </v>
      </c>
      <c r="F12" t="str">
        <f>""</f>
        <v/>
      </c>
      <c r="G12" t="str">
        <f>""</f>
        <v/>
      </c>
    </row>
    <row r="13" spans="1:7" x14ac:dyDescent="0.25">
      <c r="A13">
        <v>127</v>
      </c>
      <c r="B13" t="str">
        <f>"troebelingsgraad visueel"</f>
        <v>troebelingsgraad visueel</v>
      </c>
      <c r="C13" t="s">
        <v>12927</v>
      </c>
      <c r="D13" t="str">
        <f>""</f>
        <v/>
      </c>
      <c r="E13" t="str">
        <f t="shared" si="0"/>
        <v xml:space="preserve">Overige parameters </v>
      </c>
      <c r="F13" t="str">
        <f>""</f>
        <v/>
      </c>
      <c r="G13" t="str">
        <f>""</f>
        <v/>
      </c>
    </row>
    <row r="14" spans="1:7" x14ac:dyDescent="0.25">
      <c r="A14">
        <v>128</v>
      </c>
      <c r="B14" t="str">
        <f>"gesuspendeerde stoffen"</f>
        <v>gesuspendeerde stoffen</v>
      </c>
      <c r="C14" t="s">
        <v>3108</v>
      </c>
      <c r="D14" t="str">
        <f>""</f>
        <v/>
      </c>
      <c r="E14" t="str">
        <f t="shared" si="0"/>
        <v xml:space="preserve">Overige parameters </v>
      </c>
      <c r="F14" t="str">
        <f>""</f>
        <v/>
      </c>
      <c r="G14" t="str">
        <f>""</f>
        <v/>
      </c>
    </row>
    <row r="15" spans="1:7" x14ac:dyDescent="0.25">
      <c r="A15">
        <v>130</v>
      </c>
      <c r="B15" t="str">
        <f>"doorzichtdiepte"</f>
        <v>doorzichtdiepte</v>
      </c>
      <c r="C15" t="s">
        <v>12929</v>
      </c>
      <c r="D15" t="str">
        <f>""</f>
        <v/>
      </c>
      <c r="E15" t="str">
        <f t="shared" si="0"/>
        <v xml:space="preserve">Overige parameters </v>
      </c>
      <c r="F15" t="str">
        <f>""</f>
        <v/>
      </c>
      <c r="G15" t="str">
        <f>""</f>
        <v/>
      </c>
    </row>
    <row r="16" spans="1:7" x14ac:dyDescent="0.25">
      <c r="A16">
        <v>136</v>
      </c>
      <c r="B16" t="str">
        <f>"MFI (membraanfiltratie-index)"</f>
        <v>MFI (membraanfiltratie-index)</v>
      </c>
      <c r="C16" t="s">
        <v>12931</v>
      </c>
      <c r="D16" t="str">
        <f>""</f>
        <v/>
      </c>
      <c r="E16" t="str">
        <f t="shared" si="0"/>
        <v xml:space="preserve">Overige parameters </v>
      </c>
      <c r="F16" t="str">
        <f>""</f>
        <v/>
      </c>
      <c r="G16" t="str">
        <f>""</f>
        <v/>
      </c>
    </row>
    <row r="17" spans="1:7" x14ac:dyDescent="0.25">
      <c r="A17">
        <v>140</v>
      </c>
      <c r="B17" t="str">
        <f>"totaal beschikbaar chloor"</f>
        <v>totaal beschikbaar chloor</v>
      </c>
      <c r="C17" t="s">
        <v>18993</v>
      </c>
      <c r="D17" t="str">
        <f>"7782-50-5"</f>
        <v>7782-50-5</v>
      </c>
      <c r="E17" t="str">
        <f t="shared" si="0"/>
        <v xml:space="preserve">Overige parameters </v>
      </c>
      <c r="F17" t="str">
        <f>""</f>
        <v/>
      </c>
      <c r="G17" t="str">
        <f>""</f>
        <v/>
      </c>
    </row>
    <row r="18" spans="1:7" x14ac:dyDescent="0.25">
      <c r="A18">
        <v>141</v>
      </c>
      <c r="B18" t="str">
        <f>"vrij beschikbaar chloor"</f>
        <v>vrij beschikbaar chloor</v>
      </c>
      <c r="C18" t="s">
        <v>18993</v>
      </c>
      <c r="D18" t="str">
        <f>"7782-50-5"</f>
        <v>7782-50-5</v>
      </c>
      <c r="E18" t="str">
        <f t="shared" si="0"/>
        <v xml:space="preserve">Overige parameters </v>
      </c>
      <c r="F18" t="str">
        <f>""</f>
        <v/>
      </c>
      <c r="G18" t="str">
        <f>""</f>
        <v/>
      </c>
    </row>
    <row r="19" spans="1:7" x14ac:dyDescent="0.25">
      <c r="A19">
        <v>142</v>
      </c>
      <c r="B19" t="str">
        <f>"gebonden beschikbaar chloor"</f>
        <v>gebonden beschikbaar chloor</v>
      </c>
      <c r="C19" t="s">
        <v>18993</v>
      </c>
      <c r="D19" t="str">
        <f>"7782-50-5"</f>
        <v>7782-50-5</v>
      </c>
      <c r="E19" t="str">
        <f t="shared" si="0"/>
        <v xml:space="preserve">Overige parameters </v>
      </c>
      <c r="F19" t="str">
        <f>""</f>
        <v/>
      </c>
      <c r="G19" t="str">
        <f>""</f>
        <v/>
      </c>
    </row>
    <row r="20" spans="1:7" x14ac:dyDescent="0.25">
      <c r="A20">
        <v>144</v>
      </c>
      <c r="B20" t="str">
        <f>"chloordioxide"</f>
        <v>chloordioxide</v>
      </c>
      <c r="C20" t="s">
        <v>18994</v>
      </c>
      <c r="D20" t="str">
        <f>"10049-04-4"</f>
        <v>10049-04-4</v>
      </c>
      <c r="E20" t="str">
        <f t="shared" si="0"/>
        <v xml:space="preserve">Overige parameters </v>
      </c>
      <c r="F20" t="str">
        <f>""</f>
        <v/>
      </c>
      <c r="G20" t="str">
        <f>""</f>
        <v/>
      </c>
    </row>
    <row r="21" spans="1:7" x14ac:dyDescent="0.25">
      <c r="A21">
        <v>146</v>
      </c>
      <c r="B21" t="str">
        <f>"ozon"</f>
        <v>ozon</v>
      </c>
      <c r="C21" t="s">
        <v>18995</v>
      </c>
      <c r="D21" t="str">
        <f>"10028-15-6"</f>
        <v>10028-15-6</v>
      </c>
      <c r="E21" t="str">
        <f t="shared" si="0"/>
        <v xml:space="preserve">Overige parameters </v>
      </c>
      <c r="F21" t="str">
        <f>""</f>
        <v/>
      </c>
      <c r="G21" t="str">
        <f>""</f>
        <v/>
      </c>
    </row>
    <row r="22" spans="1:7" x14ac:dyDescent="0.25">
      <c r="A22">
        <v>148</v>
      </c>
      <c r="B22" t="str">
        <f>"redoxpotentiaal"</f>
        <v>redoxpotentiaal</v>
      </c>
      <c r="C22" t="s">
        <v>161</v>
      </c>
      <c r="D22" t="str">
        <f>""</f>
        <v/>
      </c>
      <c r="E22" t="str">
        <f t="shared" si="0"/>
        <v xml:space="preserve">Overige parameters </v>
      </c>
      <c r="F22" t="str">
        <f>""</f>
        <v/>
      </c>
      <c r="G22" t="str">
        <f>""</f>
        <v/>
      </c>
    </row>
    <row r="23" spans="1:7" x14ac:dyDescent="0.25">
      <c r="A23">
        <v>152</v>
      </c>
      <c r="B23" t="str">
        <f>"ureum"</f>
        <v>ureum</v>
      </c>
      <c r="C23" t="s">
        <v>3108</v>
      </c>
      <c r="D23" t="str">
        <f>"57-13-6"</f>
        <v>57-13-6</v>
      </c>
      <c r="E23" t="str">
        <f t="shared" si="0"/>
        <v xml:space="preserve">Overige parameters </v>
      </c>
      <c r="F23" t="str">
        <f>""</f>
        <v/>
      </c>
      <c r="G23" t="str">
        <f>""</f>
        <v/>
      </c>
    </row>
    <row r="24" spans="1:7" x14ac:dyDescent="0.25">
      <c r="A24">
        <v>156</v>
      </c>
      <c r="B24" t="str">
        <f>"waterstofperoxide"</f>
        <v>waterstofperoxide</v>
      </c>
      <c r="C24" t="s">
        <v>3108</v>
      </c>
      <c r="D24" t="str">
        <f>"7722-84-1"</f>
        <v>7722-84-1</v>
      </c>
      <c r="E24" t="str">
        <f t="shared" si="0"/>
        <v xml:space="preserve">Overige parameters </v>
      </c>
      <c r="F24" t="str">
        <f>""</f>
        <v/>
      </c>
      <c r="G24" t="str">
        <f>""</f>
        <v/>
      </c>
    </row>
    <row r="25" spans="1:7" x14ac:dyDescent="0.25">
      <c r="A25">
        <v>158</v>
      </c>
      <c r="B25" t="str">
        <f>"jodiumgetal in actief kool"</f>
        <v>jodiumgetal in actief kool</v>
      </c>
      <c r="C25" t="s">
        <v>12940</v>
      </c>
      <c r="D25" t="str">
        <f>""</f>
        <v/>
      </c>
      <c r="E25" t="str">
        <f t="shared" si="0"/>
        <v xml:space="preserve">Overige parameters </v>
      </c>
      <c r="F25" t="str">
        <f>""</f>
        <v/>
      </c>
      <c r="G25" t="str">
        <f>""</f>
        <v/>
      </c>
    </row>
    <row r="26" spans="1:7" x14ac:dyDescent="0.25">
      <c r="A26">
        <v>160</v>
      </c>
      <c r="B26" t="str">
        <f>"totaal beta-radioaktiviteit"</f>
        <v>totaal beta-radioaktiviteit</v>
      </c>
      <c r="C26" t="s">
        <v>12944</v>
      </c>
      <c r="D26" t="str">
        <f>""</f>
        <v/>
      </c>
      <c r="E26" t="str">
        <f t="shared" si="0"/>
        <v xml:space="preserve">Overige parameters </v>
      </c>
      <c r="F26" t="str">
        <f>""</f>
        <v/>
      </c>
      <c r="G26" t="str">
        <f>""</f>
        <v/>
      </c>
    </row>
    <row r="27" spans="1:7" x14ac:dyDescent="0.25">
      <c r="A27">
        <v>161</v>
      </c>
      <c r="B27" t="str">
        <f>"totaal alfa-aktiviteit"</f>
        <v>totaal alfa-aktiviteit</v>
      </c>
      <c r="C27" t="s">
        <v>12944</v>
      </c>
      <c r="D27" t="str">
        <f>""</f>
        <v/>
      </c>
      <c r="E27" t="str">
        <f t="shared" si="0"/>
        <v xml:space="preserve">Overige parameters </v>
      </c>
      <c r="F27" t="str">
        <f>""</f>
        <v/>
      </c>
      <c r="G27" t="str">
        <f>""</f>
        <v/>
      </c>
    </row>
    <row r="28" spans="1:7" x14ac:dyDescent="0.25">
      <c r="A28">
        <v>162</v>
      </c>
      <c r="B28" t="str">
        <f>"rest beta-radioakt. (tot.-K40)"</f>
        <v>rest beta-radioakt. (tot.-K40)</v>
      </c>
      <c r="C28" t="s">
        <v>12944</v>
      </c>
      <c r="D28" t="str">
        <f>""</f>
        <v/>
      </c>
      <c r="E28" t="str">
        <f t="shared" si="0"/>
        <v xml:space="preserve">Overige parameters </v>
      </c>
      <c r="F28" t="str">
        <f>""</f>
        <v/>
      </c>
      <c r="G28" t="str">
        <f>""</f>
        <v/>
      </c>
    </row>
    <row r="29" spans="1:7" x14ac:dyDescent="0.25">
      <c r="A29">
        <v>164</v>
      </c>
      <c r="B29" t="str">
        <f>"tritium"</f>
        <v>tritium</v>
      </c>
      <c r="C29" t="s">
        <v>12944</v>
      </c>
      <c r="D29" t="str">
        <f>""</f>
        <v/>
      </c>
      <c r="E29" t="str">
        <f t="shared" si="0"/>
        <v xml:space="preserve">Overige parameters </v>
      </c>
      <c r="F29" t="str">
        <f>""</f>
        <v/>
      </c>
      <c r="G29" t="str">
        <f>""</f>
        <v/>
      </c>
    </row>
    <row r="30" spans="1:7" x14ac:dyDescent="0.25">
      <c r="A30">
        <v>170</v>
      </c>
      <c r="B30" t="str">
        <f>"geurverdunningsfactor bij 25øC/20øC"</f>
        <v>geurverdunningsfactor bij 25øC/20øC</v>
      </c>
      <c r="C30" t="s">
        <v>12927</v>
      </c>
      <c r="D30" t="str">
        <f>""</f>
        <v/>
      </c>
      <c r="E30" t="str">
        <f t="shared" si="0"/>
        <v xml:space="preserve">Overige parameters </v>
      </c>
      <c r="F30" t="str">
        <f>""</f>
        <v/>
      </c>
      <c r="G30" t="str">
        <f>""</f>
        <v/>
      </c>
    </row>
    <row r="31" spans="1:7" x14ac:dyDescent="0.25">
      <c r="A31">
        <v>172</v>
      </c>
      <c r="B31" t="str">
        <f>"smaakverdunningsfactor bij 25øC/20øC"</f>
        <v>smaakverdunningsfactor bij 25øC/20øC</v>
      </c>
      <c r="C31" t="s">
        <v>12927</v>
      </c>
      <c r="D31" t="str">
        <f>""</f>
        <v/>
      </c>
      <c r="E31" t="str">
        <f t="shared" si="0"/>
        <v xml:space="preserve">Overige parameters </v>
      </c>
      <c r="F31" t="str">
        <f>""</f>
        <v/>
      </c>
      <c r="G31" t="str">
        <f>""</f>
        <v/>
      </c>
    </row>
    <row r="32" spans="1:7" x14ac:dyDescent="0.25">
      <c r="A32">
        <v>173</v>
      </c>
      <c r="B32" t="str">
        <f>"geurgetal, kwantitatief"</f>
        <v>geurgetal, kwantitatief</v>
      </c>
      <c r="C32" t="s">
        <v>12927</v>
      </c>
      <c r="D32" t="str">
        <f>""</f>
        <v/>
      </c>
      <c r="E32" t="str">
        <f t="shared" si="0"/>
        <v xml:space="preserve">Overige parameters </v>
      </c>
      <c r="F32" t="str">
        <f>""</f>
        <v/>
      </c>
      <c r="G32" t="str">
        <f>""</f>
        <v/>
      </c>
    </row>
    <row r="33" spans="1:7" x14ac:dyDescent="0.25">
      <c r="A33">
        <v>174</v>
      </c>
      <c r="B33" t="str">
        <f>"geur, kwalitatief"</f>
        <v>geur, kwalitatief</v>
      </c>
      <c r="C33" t="s">
        <v>12927</v>
      </c>
      <c r="D33" t="str">
        <f>""</f>
        <v/>
      </c>
      <c r="E33" t="str">
        <f t="shared" si="0"/>
        <v xml:space="preserve">Overige parameters </v>
      </c>
      <c r="F33" t="str">
        <f>""</f>
        <v/>
      </c>
      <c r="G33" t="str">
        <f>""</f>
        <v/>
      </c>
    </row>
    <row r="34" spans="1:7" x14ac:dyDescent="0.25">
      <c r="A34">
        <v>175</v>
      </c>
      <c r="B34" t="str">
        <f>"smaakgetal, kwantitatief"</f>
        <v>smaakgetal, kwantitatief</v>
      </c>
      <c r="C34" t="s">
        <v>12927</v>
      </c>
      <c r="D34" t="str">
        <f>""</f>
        <v/>
      </c>
      <c r="E34" t="str">
        <f t="shared" ref="E34:E58" si="1">"Overige parameters "</f>
        <v xml:space="preserve">Overige parameters </v>
      </c>
      <c r="F34" t="str">
        <f>""</f>
        <v/>
      </c>
      <c r="G34" t="str">
        <f>""</f>
        <v/>
      </c>
    </row>
    <row r="35" spans="1:7" x14ac:dyDescent="0.25">
      <c r="A35">
        <v>176</v>
      </c>
      <c r="B35" t="str">
        <f>"smaak, kwalitatief"</f>
        <v>smaak, kwalitatief</v>
      </c>
      <c r="C35" t="s">
        <v>12927</v>
      </c>
      <c r="D35" t="str">
        <f>""</f>
        <v/>
      </c>
      <c r="E35" t="str">
        <f t="shared" si="1"/>
        <v xml:space="preserve">Overige parameters </v>
      </c>
      <c r="F35" t="str">
        <f>""</f>
        <v/>
      </c>
      <c r="G35" t="str">
        <f>""</f>
        <v/>
      </c>
    </row>
    <row r="36" spans="1:7" x14ac:dyDescent="0.25">
      <c r="A36">
        <v>180</v>
      </c>
      <c r="B36" t="str">
        <f>"zuurgraad"</f>
        <v>zuurgraad</v>
      </c>
      <c r="C36" t="s">
        <v>150</v>
      </c>
      <c r="D36" t="str">
        <f>""</f>
        <v/>
      </c>
      <c r="E36" t="str">
        <f t="shared" si="1"/>
        <v xml:space="preserve">Overige parameters </v>
      </c>
      <c r="F36" t="str">
        <f>""</f>
        <v/>
      </c>
      <c r="G36" t="str">
        <f>""</f>
        <v/>
      </c>
    </row>
    <row r="37" spans="1:7" x14ac:dyDescent="0.25">
      <c r="A37">
        <v>182</v>
      </c>
      <c r="B37" t="str">
        <f>"evenwichts-pH"</f>
        <v>evenwichts-pH</v>
      </c>
      <c r="C37" t="s">
        <v>12953</v>
      </c>
      <c r="D37" t="str">
        <f>""</f>
        <v/>
      </c>
      <c r="E37" t="str">
        <f t="shared" si="1"/>
        <v xml:space="preserve">Overige parameters </v>
      </c>
      <c r="F37" t="str">
        <f>""</f>
        <v/>
      </c>
      <c r="G37" t="str">
        <f>""</f>
        <v/>
      </c>
    </row>
    <row r="38" spans="1:7" x14ac:dyDescent="0.25">
      <c r="A38">
        <v>183</v>
      </c>
      <c r="B38" t="str">
        <f>"pH-veld"</f>
        <v>pH-veld</v>
      </c>
      <c r="C38" t="s">
        <v>150</v>
      </c>
      <c r="D38" t="str">
        <f>""</f>
        <v/>
      </c>
      <c r="E38" t="str">
        <f t="shared" si="1"/>
        <v xml:space="preserve">Overige parameters </v>
      </c>
      <c r="F38" t="str">
        <f>""</f>
        <v/>
      </c>
      <c r="G38" t="str">
        <f>""</f>
        <v/>
      </c>
    </row>
    <row r="39" spans="1:7" x14ac:dyDescent="0.25">
      <c r="A39">
        <v>184</v>
      </c>
      <c r="B39" t="str">
        <f>"saturatie-index"</f>
        <v>saturatie-index</v>
      </c>
      <c r="C39" t="s">
        <v>12956</v>
      </c>
      <c r="D39" t="str">
        <f>""</f>
        <v/>
      </c>
      <c r="E39" t="str">
        <f t="shared" si="1"/>
        <v xml:space="preserve">Overige parameters </v>
      </c>
      <c r="F39" t="str">
        <f>""</f>
        <v/>
      </c>
      <c r="G39" t="str">
        <f>""</f>
        <v/>
      </c>
    </row>
    <row r="40" spans="1:7" x14ac:dyDescent="0.25">
      <c r="A40">
        <v>186</v>
      </c>
      <c r="B40" t="str">
        <f>"agressief koolzuur"</f>
        <v>agressief koolzuur</v>
      </c>
      <c r="C40" t="s">
        <v>18996</v>
      </c>
      <c r="D40" t="str">
        <f>""</f>
        <v/>
      </c>
      <c r="E40" t="str">
        <f t="shared" si="1"/>
        <v xml:space="preserve">Overige parameters </v>
      </c>
      <c r="F40" t="str">
        <f>""</f>
        <v/>
      </c>
      <c r="G40" t="str">
        <f>""</f>
        <v/>
      </c>
    </row>
    <row r="41" spans="1:7" x14ac:dyDescent="0.25">
      <c r="A41">
        <v>188</v>
      </c>
      <c r="B41" t="str">
        <f>"Corrosie-index voor gietijzer en staal: [Clî]+2[SO4ýî]/[HCO3î]"</f>
        <v>Corrosie-index voor gietijzer en staal: [Clî]+2[SO4ýî]/[HCO3î]</v>
      </c>
      <c r="C41" t="s">
        <v>12927</v>
      </c>
      <c r="D41" t="str">
        <f>""</f>
        <v/>
      </c>
      <c r="E41" t="str">
        <f t="shared" si="1"/>
        <v xml:space="preserve">Overige parameters </v>
      </c>
      <c r="F41" t="str">
        <f>""</f>
        <v/>
      </c>
      <c r="G41" t="str">
        <f>""</f>
        <v/>
      </c>
    </row>
    <row r="42" spans="1:7" x14ac:dyDescent="0.25">
      <c r="A42">
        <v>190</v>
      </c>
      <c r="B42" t="str">
        <f>"koperopl.verm., 16 h, ..øC"</f>
        <v>koperopl.verm., 16 h, ..øC</v>
      </c>
      <c r="C42" t="s">
        <v>18997</v>
      </c>
      <c r="D42" t="str">
        <f>""</f>
        <v/>
      </c>
      <c r="E42" t="str">
        <f t="shared" si="1"/>
        <v xml:space="preserve">Overige parameters </v>
      </c>
      <c r="F42" t="str">
        <f>""</f>
        <v/>
      </c>
      <c r="G42" t="str">
        <f>""</f>
        <v/>
      </c>
    </row>
    <row r="43" spans="1:7" x14ac:dyDescent="0.25">
      <c r="A43">
        <v>192</v>
      </c>
      <c r="B43" t="str">
        <f>"loodopl. verm., 16 h, ..øC"</f>
        <v>loodopl. verm., 16 h, ..øC</v>
      </c>
      <c r="C43" t="s">
        <v>18998</v>
      </c>
      <c r="D43" t="str">
        <f>""</f>
        <v/>
      </c>
      <c r="E43" t="str">
        <f t="shared" si="1"/>
        <v xml:space="preserve">Overige parameters </v>
      </c>
      <c r="F43" t="str">
        <f>""</f>
        <v/>
      </c>
      <c r="G43" t="str">
        <f>""</f>
        <v/>
      </c>
    </row>
    <row r="44" spans="1:7" x14ac:dyDescent="0.25">
      <c r="A44">
        <v>194</v>
      </c>
      <c r="B44" t="str">
        <f>"zinkopl. verm., 16 h, ..øC"</f>
        <v>zinkopl. verm., 16 h, ..øC</v>
      </c>
      <c r="C44" t="s">
        <v>18999</v>
      </c>
      <c r="D44" t="str">
        <f>""</f>
        <v/>
      </c>
      <c r="E44" t="str">
        <f t="shared" si="1"/>
        <v xml:space="preserve">Overige parameters </v>
      </c>
      <c r="F44" t="str">
        <f>""</f>
        <v/>
      </c>
      <c r="G44" t="str">
        <f>""</f>
        <v/>
      </c>
    </row>
    <row r="45" spans="1:7" x14ac:dyDescent="0.25">
      <c r="A45">
        <v>196</v>
      </c>
      <c r="B45" t="str">
        <f>"Langelierindex"</f>
        <v>Langelierindex</v>
      </c>
      <c r="C45" t="s">
        <v>12927</v>
      </c>
      <c r="D45" t="str">
        <f>""</f>
        <v/>
      </c>
      <c r="E45" t="str">
        <f t="shared" si="1"/>
        <v xml:space="preserve">Overige parameters </v>
      </c>
      <c r="F45" t="str">
        <f>""</f>
        <v/>
      </c>
      <c r="G45" t="str">
        <f>""</f>
        <v/>
      </c>
    </row>
    <row r="46" spans="1:7" x14ac:dyDescent="0.25">
      <c r="A46">
        <v>197</v>
      </c>
      <c r="B46" t="str">
        <f>"theoretisch afzetbaar calciumcarbonaat bij 10øC, TACC10"</f>
        <v>theoretisch afzetbaar calciumcarbonaat bij 10øC, TACC10</v>
      </c>
      <c r="C46" t="s">
        <v>3108</v>
      </c>
      <c r="D46" t="str">
        <f>""</f>
        <v/>
      </c>
      <c r="E46" t="str">
        <f t="shared" si="1"/>
        <v xml:space="preserve">Overige parameters </v>
      </c>
      <c r="F46" t="str">
        <f>""</f>
        <v/>
      </c>
      <c r="G46" t="str">
        <f>""</f>
        <v/>
      </c>
    </row>
    <row r="47" spans="1:7" x14ac:dyDescent="0.25">
      <c r="A47">
        <v>198</v>
      </c>
      <c r="B47" t="str">
        <f>"theoretisch afzetbaar calciumcarbonaat bij 90øC, TACC90"</f>
        <v>theoretisch afzetbaar calciumcarbonaat bij 90øC, TACC90</v>
      </c>
      <c r="C47" t="s">
        <v>3108</v>
      </c>
      <c r="D47" t="str">
        <f>""</f>
        <v/>
      </c>
      <c r="E47" t="str">
        <f t="shared" si="1"/>
        <v xml:space="preserve">Overige parameters </v>
      </c>
      <c r="F47" t="str">
        <f>""</f>
        <v/>
      </c>
      <c r="G47" t="str">
        <f>""</f>
        <v/>
      </c>
    </row>
    <row r="48" spans="1:7" x14ac:dyDescent="0.25">
      <c r="A48">
        <v>200</v>
      </c>
      <c r="B48" t="str">
        <f>"EGV (elek. geleid.verm., 20 øC)"</f>
        <v>EGV (elek. geleid.verm., 20 øC)</v>
      </c>
      <c r="C48" t="s">
        <v>12970</v>
      </c>
      <c r="D48" t="str">
        <f>""</f>
        <v/>
      </c>
      <c r="E48" t="str">
        <f t="shared" si="1"/>
        <v xml:space="preserve">Overige parameters </v>
      </c>
      <c r="F48" t="str">
        <f>""</f>
        <v/>
      </c>
      <c r="G48" t="str">
        <f>""</f>
        <v/>
      </c>
    </row>
    <row r="49" spans="1:7" x14ac:dyDescent="0.25">
      <c r="A49">
        <v>202</v>
      </c>
      <c r="B49" t="str">
        <f>"droogrest, 105 øC"</f>
        <v>droogrest, 105 øC</v>
      </c>
      <c r="C49" t="s">
        <v>3108</v>
      </c>
      <c r="D49" t="str">
        <f>""</f>
        <v/>
      </c>
      <c r="E49" t="str">
        <f t="shared" si="1"/>
        <v xml:space="preserve">Overige parameters </v>
      </c>
      <c r="F49" t="str">
        <f>""</f>
        <v/>
      </c>
      <c r="G49" t="str">
        <f>""</f>
        <v/>
      </c>
    </row>
    <row r="50" spans="1:7" x14ac:dyDescent="0.25">
      <c r="A50">
        <v>203</v>
      </c>
      <c r="B50" t="str">
        <f>"onoplosbare stoffen na destructie"</f>
        <v>onoplosbare stoffen na destructie</v>
      </c>
      <c r="C50" t="s">
        <v>3108</v>
      </c>
      <c r="D50" t="str">
        <f>""</f>
        <v/>
      </c>
      <c r="E50" t="str">
        <f t="shared" si="1"/>
        <v xml:space="preserve">Overige parameters </v>
      </c>
      <c r="F50" t="str">
        <f>""</f>
        <v/>
      </c>
      <c r="G50" t="str">
        <f>""</f>
        <v/>
      </c>
    </row>
    <row r="51" spans="1:7" x14ac:dyDescent="0.25">
      <c r="A51">
        <v>204</v>
      </c>
      <c r="B51" t="str">
        <f>"gloeirest, ... øC"</f>
        <v>gloeirest, ... øC</v>
      </c>
      <c r="C51" t="s">
        <v>3108</v>
      </c>
      <c r="D51" t="str">
        <f>""</f>
        <v/>
      </c>
      <c r="E51" t="str">
        <f t="shared" si="1"/>
        <v xml:space="preserve">Overige parameters </v>
      </c>
      <c r="F51" t="str">
        <f>""</f>
        <v/>
      </c>
      <c r="G51" t="str">
        <f>""</f>
        <v/>
      </c>
    </row>
    <row r="52" spans="1:7" x14ac:dyDescent="0.25">
      <c r="A52">
        <v>206</v>
      </c>
      <c r="B52" t="str">
        <f>"gloeirest, 600 øC"</f>
        <v>gloeirest, 600 øC</v>
      </c>
      <c r="C52" t="s">
        <v>3108</v>
      </c>
      <c r="D52" t="str">
        <f>""</f>
        <v/>
      </c>
      <c r="E52" t="str">
        <f t="shared" si="1"/>
        <v xml:space="preserve">Overige parameters </v>
      </c>
      <c r="F52" t="str">
        <f>""</f>
        <v/>
      </c>
      <c r="G52" t="str">
        <f>""</f>
        <v/>
      </c>
    </row>
    <row r="53" spans="1:7" x14ac:dyDescent="0.25">
      <c r="A53">
        <v>207</v>
      </c>
      <c r="B53" t="str">
        <f>"theoretisch afzetbaar calciumcarbonaat bij 90øC (TACC90)"</f>
        <v>theoretisch afzetbaar calciumcarbonaat bij 90øC (TACC90)</v>
      </c>
      <c r="C53" t="s">
        <v>12976</v>
      </c>
      <c r="D53" t="str">
        <f>""</f>
        <v/>
      </c>
      <c r="E53" t="str">
        <f t="shared" si="1"/>
        <v xml:space="preserve">Overige parameters </v>
      </c>
      <c r="F53" t="str">
        <f>""</f>
        <v/>
      </c>
      <c r="G53" t="str">
        <f>""</f>
        <v/>
      </c>
    </row>
    <row r="54" spans="1:7" x14ac:dyDescent="0.25">
      <c r="A54">
        <v>208</v>
      </c>
      <c r="B54" t="str">
        <f>"theoretisch afzetbaar calciumcarbonaat bij 10øC (TACC10)"</f>
        <v>theoretisch afzetbaar calciumcarbonaat bij 10øC (TACC10)</v>
      </c>
      <c r="C54" t="s">
        <v>12976</v>
      </c>
      <c r="D54" t="str">
        <f>""</f>
        <v/>
      </c>
      <c r="E54" t="str">
        <f t="shared" si="1"/>
        <v xml:space="preserve">Overige parameters </v>
      </c>
      <c r="F54" t="str">
        <f>""</f>
        <v/>
      </c>
      <c r="G54" t="str">
        <f>""</f>
        <v/>
      </c>
    </row>
    <row r="55" spans="1:7" x14ac:dyDescent="0.25">
      <c r="A55">
        <v>210</v>
      </c>
      <c r="B55" t="str">
        <f>"anionen"</f>
        <v>anionen</v>
      </c>
      <c r="C55" t="s">
        <v>12979</v>
      </c>
      <c r="D55" t="str">
        <f>""</f>
        <v/>
      </c>
      <c r="E55" t="str">
        <f t="shared" si="1"/>
        <v xml:space="preserve">Overige parameters </v>
      </c>
      <c r="F55" t="str">
        <f>""</f>
        <v/>
      </c>
      <c r="G55" t="str">
        <f>""</f>
        <v/>
      </c>
    </row>
    <row r="56" spans="1:7" x14ac:dyDescent="0.25">
      <c r="A56">
        <v>212</v>
      </c>
      <c r="B56" t="str">
        <f>"kationen"</f>
        <v>kationen</v>
      </c>
      <c r="C56" t="s">
        <v>12979</v>
      </c>
      <c r="D56" t="str">
        <f>""</f>
        <v/>
      </c>
      <c r="E56" t="str">
        <f t="shared" si="1"/>
        <v xml:space="preserve">Overige parameters </v>
      </c>
      <c r="F56" t="str">
        <f>""</f>
        <v/>
      </c>
      <c r="G56" t="str">
        <f>""</f>
        <v/>
      </c>
    </row>
    <row r="57" spans="1:7" x14ac:dyDescent="0.25">
      <c r="A57">
        <v>214</v>
      </c>
      <c r="B57" t="str">
        <f>"ionenbalans"</f>
        <v>ionenbalans</v>
      </c>
      <c r="C57" t="s">
        <v>12922</v>
      </c>
      <c r="D57" t="str">
        <f>""</f>
        <v/>
      </c>
      <c r="E57" t="str">
        <f t="shared" si="1"/>
        <v xml:space="preserve">Overige parameters </v>
      </c>
      <c r="F57" t="str">
        <f>""</f>
        <v/>
      </c>
      <c r="G57" t="str">
        <f>""</f>
        <v/>
      </c>
    </row>
    <row r="58" spans="1:7" x14ac:dyDescent="0.25">
      <c r="A58">
        <v>216</v>
      </c>
      <c r="B58" t="str">
        <f>"Ionensterkte"</f>
        <v>Ionensterkte</v>
      </c>
      <c r="C58" t="s">
        <v>12976</v>
      </c>
      <c r="D58" t="str">
        <f>""</f>
        <v/>
      </c>
      <c r="E58" t="str">
        <f t="shared" si="1"/>
        <v xml:space="preserve">Overige parameters </v>
      </c>
      <c r="F58" t="str">
        <f>""</f>
        <v/>
      </c>
      <c r="G58" t="str">
        <f>""</f>
        <v/>
      </c>
    </row>
    <row r="59" spans="1:7" x14ac:dyDescent="0.25">
      <c r="A59">
        <v>220</v>
      </c>
      <c r="B59" t="str">
        <f>"koolstofdioxide"</f>
        <v>koolstofdioxide</v>
      </c>
      <c r="C59" t="s">
        <v>18996</v>
      </c>
      <c r="D59" t="str">
        <f>"124-38-9"</f>
        <v>124-38-9</v>
      </c>
      <c r="E59" t="str">
        <f t="shared" ref="E59:E70" si="2">"Anorganische parameters"</f>
        <v>Anorganische parameters</v>
      </c>
      <c r="F59" t="str">
        <f>""</f>
        <v/>
      </c>
      <c r="G59" t="str">
        <f>""</f>
        <v/>
      </c>
    </row>
    <row r="60" spans="1:7" x14ac:dyDescent="0.25">
      <c r="A60">
        <v>222</v>
      </c>
      <c r="B60" t="str">
        <f>"waterstofcarbonaat"</f>
        <v>waterstofcarbonaat</v>
      </c>
      <c r="C60" t="s">
        <v>19000</v>
      </c>
      <c r="D60" t="str">
        <f>"71-52-3"</f>
        <v>71-52-3</v>
      </c>
      <c r="E60" t="str">
        <f t="shared" si="2"/>
        <v>Anorganische parameters</v>
      </c>
      <c r="F60" t="str">
        <f>""</f>
        <v/>
      </c>
      <c r="G60" t="str">
        <f>""</f>
        <v/>
      </c>
    </row>
    <row r="61" spans="1:7" x14ac:dyDescent="0.25">
      <c r="A61">
        <v>223</v>
      </c>
      <c r="B61" t="str">
        <f>"waterstofcarbonaat, na filtratie"</f>
        <v>waterstofcarbonaat, na filtratie</v>
      </c>
      <c r="C61" t="s">
        <v>19000</v>
      </c>
      <c r="D61" t="str">
        <f>"71-52-3"</f>
        <v>71-52-3</v>
      </c>
      <c r="E61" t="str">
        <f t="shared" si="2"/>
        <v>Anorganische parameters</v>
      </c>
      <c r="F61" t="str">
        <f>""</f>
        <v/>
      </c>
      <c r="G61" t="str">
        <f>""</f>
        <v/>
      </c>
    </row>
    <row r="62" spans="1:7" x14ac:dyDescent="0.25">
      <c r="A62">
        <v>224</v>
      </c>
      <c r="B62" t="str">
        <f>"carbonaat"</f>
        <v>carbonaat</v>
      </c>
      <c r="C62" t="s">
        <v>19001</v>
      </c>
      <c r="D62" t="str">
        <f>"3812-32-6"</f>
        <v>3812-32-6</v>
      </c>
      <c r="E62" t="str">
        <f t="shared" si="2"/>
        <v>Anorganische parameters</v>
      </c>
      <c r="F62" t="str">
        <f>""</f>
        <v/>
      </c>
      <c r="G62" t="str">
        <f>""</f>
        <v/>
      </c>
    </row>
    <row r="63" spans="1:7" x14ac:dyDescent="0.25">
      <c r="A63">
        <v>230</v>
      </c>
      <c r="B63" t="str">
        <f>"chloride"</f>
        <v>chloride</v>
      </c>
      <c r="C63" t="s">
        <v>19002</v>
      </c>
      <c r="D63" t="str">
        <f>"16887-00-6"</f>
        <v>16887-00-6</v>
      </c>
      <c r="E63" t="str">
        <f t="shared" si="2"/>
        <v>Anorganische parameters</v>
      </c>
      <c r="F63" t="str">
        <f>""</f>
        <v/>
      </c>
      <c r="G63" t="str">
        <f>""</f>
        <v/>
      </c>
    </row>
    <row r="64" spans="1:7" x14ac:dyDescent="0.25">
      <c r="A64">
        <v>232</v>
      </c>
      <c r="B64" t="str">
        <f>"sulfaat"</f>
        <v>sulfaat</v>
      </c>
      <c r="C64" t="s">
        <v>19003</v>
      </c>
      <c r="D64" t="str">
        <f>"14808-79-8"</f>
        <v>14808-79-8</v>
      </c>
      <c r="E64" t="str">
        <f t="shared" si="2"/>
        <v>Anorganische parameters</v>
      </c>
      <c r="F64" t="str">
        <f>""</f>
        <v/>
      </c>
      <c r="G64" t="str">
        <f>""</f>
        <v/>
      </c>
    </row>
    <row r="65" spans="1:7" x14ac:dyDescent="0.25">
      <c r="A65">
        <v>240</v>
      </c>
      <c r="B65" t="str">
        <f>"natrium"</f>
        <v>natrium</v>
      </c>
      <c r="C65" t="s">
        <v>19004</v>
      </c>
      <c r="D65" t="str">
        <f>"7646-69-7"</f>
        <v>7646-69-7</v>
      </c>
      <c r="E65" t="str">
        <f t="shared" si="2"/>
        <v>Anorganische parameters</v>
      </c>
      <c r="F65" t="str">
        <f>""</f>
        <v/>
      </c>
      <c r="G65" t="str">
        <f>""</f>
        <v/>
      </c>
    </row>
    <row r="66" spans="1:7" x14ac:dyDescent="0.25">
      <c r="A66">
        <v>242</v>
      </c>
      <c r="B66" t="str">
        <f>"kalium"</f>
        <v>kalium</v>
      </c>
      <c r="C66" t="s">
        <v>19005</v>
      </c>
      <c r="D66" t="str">
        <f>"7-9-7440"</f>
        <v>7-9-7440</v>
      </c>
      <c r="E66" t="str">
        <f t="shared" si="2"/>
        <v>Anorganische parameters</v>
      </c>
      <c r="F66" t="str">
        <f>""</f>
        <v/>
      </c>
      <c r="G66" t="str">
        <f>""</f>
        <v/>
      </c>
    </row>
    <row r="67" spans="1:7" x14ac:dyDescent="0.25">
      <c r="A67">
        <v>244</v>
      </c>
      <c r="B67" t="str">
        <f>"calcium"</f>
        <v>calcium</v>
      </c>
      <c r="C67" t="s">
        <v>19006</v>
      </c>
      <c r="D67" t="str">
        <f>"7440-70-2"</f>
        <v>7440-70-2</v>
      </c>
      <c r="E67" t="str">
        <f t="shared" si="2"/>
        <v>Anorganische parameters</v>
      </c>
      <c r="F67" t="str">
        <f>""</f>
        <v/>
      </c>
      <c r="G67" t="str">
        <f>""</f>
        <v/>
      </c>
    </row>
    <row r="68" spans="1:7" x14ac:dyDescent="0.25">
      <c r="A68">
        <v>245</v>
      </c>
      <c r="B68" t="str">
        <f>"calcium, na filtratie"</f>
        <v>calcium, na filtratie</v>
      </c>
      <c r="C68" t="s">
        <v>19006</v>
      </c>
      <c r="D68" t="str">
        <f>"7440-70-2"</f>
        <v>7440-70-2</v>
      </c>
      <c r="E68" t="str">
        <f t="shared" si="2"/>
        <v>Anorganische parameters</v>
      </c>
      <c r="F68" t="str">
        <f>""</f>
        <v/>
      </c>
      <c r="G68" t="str">
        <f>""</f>
        <v/>
      </c>
    </row>
    <row r="69" spans="1:7" x14ac:dyDescent="0.25">
      <c r="A69">
        <v>246</v>
      </c>
      <c r="B69" t="str">
        <f>"magnesium"</f>
        <v>magnesium</v>
      </c>
      <c r="C69" t="s">
        <v>19007</v>
      </c>
      <c r="D69" t="str">
        <f>"7439-95-4"</f>
        <v>7439-95-4</v>
      </c>
      <c r="E69" t="str">
        <f t="shared" si="2"/>
        <v>Anorganische parameters</v>
      </c>
      <c r="F69" t="str">
        <f>""</f>
        <v/>
      </c>
      <c r="G69" t="str">
        <f>""</f>
        <v/>
      </c>
    </row>
    <row r="70" spans="1:7" x14ac:dyDescent="0.25">
      <c r="A70">
        <v>248</v>
      </c>
      <c r="B70" t="str">
        <f>"magnesium, na filtratie over 0.45 æm"</f>
        <v>magnesium, na filtratie over 0.45 æm</v>
      </c>
      <c r="C70" t="s">
        <v>19007</v>
      </c>
      <c r="D70" t="str">
        <f>"7439-95-4"</f>
        <v>7439-95-4</v>
      </c>
      <c r="E70" t="str">
        <f t="shared" si="2"/>
        <v>Anorganische parameters</v>
      </c>
      <c r="F70" t="str">
        <f>""</f>
        <v/>
      </c>
      <c r="G70" t="str">
        <f>""</f>
        <v/>
      </c>
    </row>
    <row r="71" spans="1:7" x14ac:dyDescent="0.25">
      <c r="A71">
        <v>250</v>
      </c>
      <c r="B71" t="str">
        <f>"totale hardheid"</f>
        <v>totale hardheid</v>
      </c>
      <c r="C71" t="s">
        <v>12976</v>
      </c>
      <c r="D71" t="str">
        <f>""</f>
        <v/>
      </c>
      <c r="E71" t="str">
        <f>"Overige parameters "</f>
        <v xml:space="preserve">Overige parameters </v>
      </c>
      <c r="F71" t="str">
        <f>""</f>
        <v/>
      </c>
      <c r="G71" t="str">
        <f>""</f>
        <v/>
      </c>
    </row>
    <row r="72" spans="1:7" x14ac:dyDescent="0.25">
      <c r="A72">
        <v>251</v>
      </c>
      <c r="B72" t="str">
        <f>"totale hardheid, na filtratie"</f>
        <v>totale hardheid, na filtratie</v>
      </c>
      <c r="C72" t="s">
        <v>12976</v>
      </c>
      <c r="D72" t="str">
        <f>""</f>
        <v/>
      </c>
      <c r="E72" t="str">
        <f>"Overige parameters "</f>
        <v xml:space="preserve">Overige parameters </v>
      </c>
      <c r="F72" t="str">
        <f>""</f>
        <v/>
      </c>
      <c r="G72" t="str">
        <f>""</f>
        <v/>
      </c>
    </row>
    <row r="73" spans="1:7" x14ac:dyDescent="0.25">
      <c r="A73">
        <v>252</v>
      </c>
      <c r="B73" t="str">
        <f>"tijdelijke hardheid"</f>
        <v>tijdelijke hardheid</v>
      </c>
      <c r="C73" t="s">
        <v>12976</v>
      </c>
      <c r="D73" t="str">
        <f>""</f>
        <v/>
      </c>
      <c r="E73" t="str">
        <f>"Overige parameters "</f>
        <v xml:space="preserve">Overige parameters </v>
      </c>
      <c r="F73" t="str">
        <f>""</f>
        <v/>
      </c>
      <c r="G73" t="str">
        <f>""</f>
        <v/>
      </c>
    </row>
    <row r="74" spans="1:7" x14ac:dyDescent="0.25">
      <c r="A74">
        <v>253</v>
      </c>
      <c r="B74" t="str">
        <f>"PACCk"</f>
        <v>PACCk</v>
      </c>
      <c r="C74" t="s">
        <v>13001</v>
      </c>
      <c r="D74" t="str">
        <f>""</f>
        <v/>
      </c>
      <c r="E74" t="str">
        <f>"Overige parameters "</f>
        <v xml:space="preserve">Overige parameters </v>
      </c>
      <c r="F74" t="str">
        <f>""</f>
        <v/>
      </c>
      <c r="G74" t="str">
        <f>""</f>
        <v/>
      </c>
    </row>
    <row r="75" spans="1:7" x14ac:dyDescent="0.25">
      <c r="A75">
        <v>254</v>
      </c>
      <c r="B75" t="str">
        <f>"PACCu"</f>
        <v>PACCu</v>
      </c>
      <c r="C75" t="s">
        <v>13001</v>
      </c>
      <c r="D75" t="str">
        <f>""</f>
        <v/>
      </c>
      <c r="E75" t="str">
        <f>"Overige parameters "</f>
        <v xml:space="preserve">Overige parameters </v>
      </c>
      <c r="F75" t="str">
        <f>""</f>
        <v/>
      </c>
      <c r="G75" t="str">
        <f>""</f>
        <v/>
      </c>
    </row>
    <row r="76" spans="1:7" x14ac:dyDescent="0.25">
      <c r="A76">
        <v>271</v>
      </c>
      <c r="B76" t="str">
        <f>"ammonium"</f>
        <v>ammonium</v>
      </c>
      <c r="C76" t="s">
        <v>19008</v>
      </c>
      <c r="D76" t="str">
        <f>"6684-80-6"</f>
        <v>6684-80-6</v>
      </c>
      <c r="E76" t="str">
        <f>"Anorganische parameters"</f>
        <v>Anorganische parameters</v>
      </c>
      <c r="F76" t="str">
        <f>""</f>
        <v/>
      </c>
      <c r="G76" t="str">
        <f>""</f>
        <v/>
      </c>
    </row>
    <row r="77" spans="1:7" x14ac:dyDescent="0.25">
      <c r="A77">
        <v>272</v>
      </c>
      <c r="B77" t="str">
        <f>"albuminoid ammonium"</f>
        <v>albuminoid ammonium</v>
      </c>
      <c r="C77" t="s">
        <v>19009</v>
      </c>
      <c r="D77" t="str">
        <f>""</f>
        <v/>
      </c>
      <c r="E77" t="str">
        <f>"Overige parameters "</f>
        <v xml:space="preserve">Overige parameters </v>
      </c>
      <c r="F77" t="str">
        <f>""</f>
        <v/>
      </c>
      <c r="G77" t="str">
        <f>""</f>
        <v/>
      </c>
    </row>
    <row r="78" spans="1:7" x14ac:dyDescent="0.25">
      <c r="A78">
        <v>274</v>
      </c>
      <c r="B78" t="str">
        <f>"stikstof, Kjeldahl"</f>
        <v>stikstof, Kjeldahl</v>
      </c>
      <c r="C78" t="s">
        <v>19009</v>
      </c>
      <c r="D78" t="str">
        <f>""</f>
        <v/>
      </c>
      <c r="E78" t="str">
        <f>"Overige parameters "</f>
        <v xml:space="preserve">Overige parameters </v>
      </c>
      <c r="F78" t="str">
        <f>""</f>
        <v/>
      </c>
      <c r="G78" t="str">
        <f>""</f>
        <v/>
      </c>
    </row>
    <row r="79" spans="1:7" x14ac:dyDescent="0.25">
      <c r="A79">
        <v>276</v>
      </c>
      <c r="B79" t="str">
        <f>"organisch gebonden stikstof"</f>
        <v>organisch gebonden stikstof</v>
      </c>
      <c r="C79" t="s">
        <v>19009</v>
      </c>
      <c r="D79" t="str">
        <f>""</f>
        <v/>
      </c>
      <c r="E79" t="str">
        <f>"Overige parameters "</f>
        <v xml:space="preserve">Overige parameters </v>
      </c>
      <c r="F79" t="str">
        <f>""</f>
        <v/>
      </c>
      <c r="G79" t="str">
        <f>""</f>
        <v/>
      </c>
    </row>
    <row r="80" spans="1:7" x14ac:dyDescent="0.25">
      <c r="A80">
        <v>279</v>
      </c>
      <c r="B80" t="str">
        <f>"somparameter [nitraat]/50 + [nitriet]/3"</f>
        <v>somparameter [nitraat]/50 + [nitriet]/3</v>
      </c>
      <c r="C80" t="s">
        <v>3108</v>
      </c>
      <c r="D80" t="str">
        <f>""</f>
        <v/>
      </c>
      <c r="E80" t="str">
        <f>"Overige parameters "</f>
        <v xml:space="preserve">Overige parameters </v>
      </c>
      <c r="F80" t="str">
        <f>""</f>
        <v/>
      </c>
      <c r="G80" t="str">
        <f>""</f>
        <v/>
      </c>
    </row>
    <row r="81" spans="1:7" x14ac:dyDescent="0.25">
      <c r="A81">
        <v>281</v>
      </c>
      <c r="B81" t="str">
        <f>"nitriet"</f>
        <v>nitriet</v>
      </c>
      <c r="C81" t="s">
        <v>19010</v>
      </c>
      <c r="D81" t="str">
        <f>"14797-65-0"</f>
        <v>14797-65-0</v>
      </c>
      <c r="E81" t="str">
        <f t="shared" ref="E81:E86" si="3">"Anorganische parameters"</f>
        <v>Anorganische parameters</v>
      </c>
      <c r="F81" t="str">
        <f>""</f>
        <v/>
      </c>
      <c r="G81" t="str">
        <f>""</f>
        <v/>
      </c>
    </row>
    <row r="82" spans="1:7" x14ac:dyDescent="0.25">
      <c r="A82">
        <v>283</v>
      </c>
      <c r="B82" t="str">
        <f>"nitraat"</f>
        <v>nitraat</v>
      </c>
      <c r="C82" t="s">
        <v>19011</v>
      </c>
      <c r="D82" t="str">
        <f>"14797-55-8"</f>
        <v>14797-55-8</v>
      </c>
      <c r="E82" t="str">
        <f t="shared" si="3"/>
        <v>Anorganische parameters</v>
      </c>
      <c r="F82" t="str">
        <f>""</f>
        <v/>
      </c>
      <c r="G82" t="str">
        <f>""</f>
        <v/>
      </c>
    </row>
    <row r="83" spans="1:7" x14ac:dyDescent="0.25">
      <c r="A83">
        <v>284</v>
      </c>
      <c r="B83" t="str">
        <f>"orthofosfaat"</f>
        <v>orthofosfaat</v>
      </c>
      <c r="C83" t="s">
        <v>19012</v>
      </c>
      <c r="D83" t="str">
        <f>"14265-44-2"</f>
        <v>14265-44-2</v>
      </c>
      <c r="E83" t="str">
        <f t="shared" si="3"/>
        <v>Anorganische parameters</v>
      </c>
      <c r="F83" t="str">
        <f>""</f>
        <v/>
      </c>
      <c r="G83" t="str">
        <f>""</f>
        <v/>
      </c>
    </row>
    <row r="84" spans="1:7" x14ac:dyDescent="0.25">
      <c r="A84">
        <v>286</v>
      </c>
      <c r="B84" t="str">
        <f>"totaal fosfaat"</f>
        <v>totaal fosfaat</v>
      </c>
      <c r="C84" t="s">
        <v>19012</v>
      </c>
      <c r="D84" t="str">
        <f>"98059-61-1"</f>
        <v>98059-61-1</v>
      </c>
      <c r="E84" t="str">
        <f t="shared" si="3"/>
        <v>Anorganische parameters</v>
      </c>
      <c r="F84" t="str">
        <f>""</f>
        <v/>
      </c>
      <c r="G84" t="str">
        <f>""</f>
        <v/>
      </c>
    </row>
    <row r="85" spans="1:7" x14ac:dyDescent="0.25">
      <c r="A85">
        <v>288</v>
      </c>
      <c r="B85" t="str">
        <f>"silicaat"</f>
        <v>silicaat</v>
      </c>
      <c r="C85" t="s">
        <v>19013</v>
      </c>
      <c r="D85" t="str">
        <f>"7440-21-3"</f>
        <v>7440-21-3</v>
      </c>
      <c r="E85" t="str">
        <f t="shared" si="3"/>
        <v>Anorganische parameters</v>
      </c>
      <c r="F85" t="str">
        <f>""</f>
        <v/>
      </c>
      <c r="G85" t="str">
        <f>""</f>
        <v/>
      </c>
    </row>
    <row r="86" spans="1:7" x14ac:dyDescent="0.25">
      <c r="A86">
        <v>289</v>
      </c>
      <c r="B86" t="str">
        <f>"silicaat, niet ionogeen"</f>
        <v>silicaat, niet ionogeen</v>
      </c>
      <c r="C86" t="s">
        <v>19013</v>
      </c>
      <c r="D86" t="str">
        <f>"7440-21-4"</f>
        <v>7440-21-4</v>
      </c>
      <c r="E86" t="str">
        <f t="shared" si="3"/>
        <v>Anorganische parameters</v>
      </c>
      <c r="F86" t="str">
        <f>""</f>
        <v/>
      </c>
      <c r="G86" t="str">
        <f>""</f>
        <v/>
      </c>
    </row>
    <row r="87" spans="1:7" x14ac:dyDescent="0.25">
      <c r="A87">
        <v>290</v>
      </c>
      <c r="B87" t="str">
        <f>"gesuspendeerde stoffen (-Calciet)"</f>
        <v>gesuspendeerde stoffen (-Calciet)</v>
      </c>
      <c r="C87" t="s">
        <v>3108</v>
      </c>
      <c r="D87" t="str">
        <f>"72608-12-9"</f>
        <v>72608-12-9</v>
      </c>
      <c r="E87" t="str">
        <f t="shared" ref="E87:E99" si="4">"Overige parameters "</f>
        <v xml:space="preserve">Overige parameters </v>
      </c>
      <c r="F87" t="str">
        <f>""</f>
        <v/>
      </c>
      <c r="G87" t="str">
        <f>""</f>
        <v/>
      </c>
    </row>
    <row r="88" spans="1:7" x14ac:dyDescent="0.25">
      <c r="A88">
        <v>301</v>
      </c>
      <c r="B88" t="str">
        <f>"ijzer"</f>
        <v>ijzer</v>
      </c>
      <c r="C88" t="s">
        <v>19014</v>
      </c>
      <c r="D88" t="str">
        <f>"7439-89-6"</f>
        <v>7439-89-6</v>
      </c>
      <c r="E88" t="str">
        <f t="shared" si="4"/>
        <v xml:space="preserve">Overige parameters </v>
      </c>
      <c r="F88" t="str">
        <f>""</f>
        <v/>
      </c>
      <c r="G88" t="str">
        <f>""</f>
        <v/>
      </c>
    </row>
    <row r="89" spans="1:7" x14ac:dyDescent="0.25">
      <c r="A89">
        <v>303</v>
      </c>
      <c r="B89" t="str">
        <f>"totaal ijzergehalte, titrimetrisch bepaald"</f>
        <v>totaal ijzergehalte, titrimetrisch bepaald</v>
      </c>
      <c r="C89" t="s">
        <v>12922</v>
      </c>
      <c r="D89" t="str">
        <f>""</f>
        <v/>
      </c>
      <c r="E89" t="str">
        <f t="shared" si="4"/>
        <v xml:space="preserve">Overige parameters </v>
      </c>
      <c r="F89" t="str">
        <f>""</f>
        <v/>
      </c>
      <c r="G89" t="str">
        <f>""</f>
        <v/>
      </c>
    </row>
    <row r="90" spans="1:7" x14ac:dyDescent="0.25">
      <c r="A90">
        <v>306</v>
      </c>
      <c r="B90" t="str">
        <f>"mangaan"</f>
        <v>mangaan</v>
      </c>
      <c r="C90" t="s">
        <v>19015</v>
      </c>
      <c r="D90" t="str">
        <f>"7439-96-5"</f>
        <v>7439-96-5</v>
      </c>
      <c r="E90" t="str">
        <f t="shared" si="4"/>
        <v xml:space="preserve">Overige parameters </v>
      </c>
      <c r="F90" t="str">
        <f>""</f>
        <v/>
      </c>
      <c r="G90" t="str">
        <f>""</f>
        <v/>
      </c>
    </row>
    <row r="91" spans="1:7" x14ac:dyDescent="0.25">
      <c r="A91">
        <v>307</v>
      </c>
      <c r="B91" t="str">
        <f>"mangaan, na filtratie over 0,45 æm"</f>
        <v>mangaan, na filtratie over 0,45 æm</v>
      </c>
      <c r="C91" t="s">
        <v>19015</v>
      </c>
      <c r="D91" t="str">
        <f>"7439-96-5"</f>
        <v>7439-96-5</v>
      </c>
      <c r="E91" t="str">
        <f t="shared" si="4"/>
        <v xml:space="preserve">Overige parameters </v>
      </c>
      <c r="F91" t="str">
        <f>""</f>
        <v/>
      </c>
      <c r="G91" t="str">
        <f>""</f>
        <v/>
      </c>
    </row>
    <row r="92" spans="1:7" x14ac:dyDescent="0.25">
      <c r="A92">
        <v>308</v>
      </c>
      <c r="B92" t="str">
        <f>"ijzer, na filtratie over 0,45æm"</f>
        <v>ijzer, na filtratie over 0,45æm</v>
      </c>
      <c r="C92" t="s">
        <v>19014</v>
      </c>
      <c r="D92" t="str">
        <f>"8053-60-9"</f>
        <v>8053-60-9</v>
      </c>
      <c r="E92" t="str">
        <f t="shared" si="4"/>
        <v xml:space="preserve">Overige parameters </v>
      </c>
      <c r="F92" t="str">
        <f>""</f>
        <v/>
      </c>
      <c r="G92" t="str">
        <f>""</f>
        <v/>
      </c>
    </row>
    <row r="93" spans="1:7" x14ac:dyDescent="0.25">
      <c r="A93">
        <v>309</v>
      </c>
      <c r="B93" t="str">
        <f>"boor, na filtr. over 0,45 æm"</f>
        <v>boor, na filtr. over 0,45 æm</v>
      </c>
      <c r="C93" t="s">
        <v>19016</v>
      </c>
      <c r="D93" t="str">
        <f>"7440-42-8"</f>
        <v>7440-42-8</v>
      </c>
      <c r="E93" t="str">
        <f t="shared" si="4"/>
        <v xml:space="preserve">Overige parameters </v>
      </c>
      <c r="F93" t="str">
        <f>""</f>
        <v/>
      </c>
      <c r="G93" t="str">
        <f>""</f>
        <v/>
      </c>
    </row>
    <row r="94" spans="1:7" x14ac:dyDescent="0.25">
      <c r="A94">
        <v>310</v>
      </c>
      <c r="B94" t="str">
        <f>"aluminium"</f>
        <v>aluminium</v>
      </c>
      <c r="C94" t="s">
        <v>19017</v>
      </c>
      <c r="D94" t="str">
        <f>"7429-90-5"</f>
        <v>7429-90-5</v>
      </c>
      <c r="E94" t="str">
        <f t="shared" si="4"/>
        <v xml:space="preserve">Overige parameters </v>
      </c>
      <c r="F94" t="str">
        <f>""</f>
        <v/>
      </c>
      <c r="G94" t="str">
        <f>""</f>
        <v/>
      </c>
    </row>
    <row r="95" spans="1:7" x14ac:dyDescent="0.25">
      <c r="A95">
        <v>311</v>
      </c>
      <c r="B95" t="str">
        <f>"aluminium, na filtratie over 0.45 æm"</f>
        <v>aluminium, na filtratie over 0.45 æm</v>
      </c>
      <c r="C95" t="s">
        <v>19017</v>
      </c>
      <c r="D95" t="str">
        <f>"7429-90-5"</f>
        <v>7429-90-5</v>
      </c>
      <c r="E95" t="str">
        <f t="shared" si="4"/>
        <v xml:space="preserve">Overige parameters </v>
      </c>
      <c r="F95" t="str">
        <f>""</f>
        <v/>
      </c>
      <c r="G95" t="str">
        <f>""</f>
        <v/>
      </c>
    </row>
    <row r="96" spans="1:7" x14ac:dyDescent="0.25">
      <c r="A96">
        <v>312</v>
      </c>
      <c r="B96" t="str">
        <f>"antimoon"</f>
        <v>antimoon</v>
      </c>
      <c r="C96" t="s">
        <v>19018</v>
      </c>
      <c r="D96" t="str">
        <f>"7440-36-0"</f>
        <v>7440-36-0</v>
      </c>
      <c r="E96" t="str">
        <f t="shared" si="4"/>
        <v xml:space="preserve">Overige parameters </v>
      </c>
      <c r="F96" t="str">
        <f>""</f>
        <v/>
      </c>
      <c r="G96" t="str">
        <f>""</f>
        <v/>
      </c>
    </row>
    <row r="97" spans="1:7" x14ac:dyDescent="0.25">
      <c r="A97">
        <v>313</v>
      </c>
      <c r="B97" t="str">
        <f>"antimoon, na filtratie over 0.45 æm"</f>
        <v>antimoon, na filtratie over 0.45 æm</v>
      </c>
      <c r="C97" t="s">
        <v>19018</v>
      </c>
      <c r="D97" t="str">
        <f>"7440-36-0"</f>
        <v>7440-36-0</v>
      </c>
      <c r="E97" t="str">
        <f t="shared" si="4"/>
        <v xml:space="preserve">Overige parameters </v>
      </c>
      <c r="F97" t="str">
        <f>""</f>
        <v/>
      </c>
      <c r="G97" t="str">
        <f>""</f>
        <v/>
      </c>
    </row>
    <row r="98" spans="1:7" x14ac:dyDescent="0.25">
      <c r="A98">
        <v>314</v>
      </c>
      <c r="B98" t="str">
        <f>"arseen"</f>
        <v>arseen</v>
      </c>
      <c r="C98" t="s">
        <v>19019</v>
      </c>
      <c r="D98" t="str">
        <f>"7784-42-1"</f>
        <v>7784-42-1</v>
      </c>
      <c r="E98" t="str">
        <f t="shared" si="4"/>
        <v xml:space="preserve">Overige parameters </v>
      </c>
      <c r="F98" t="str">
        <f>""</f>
        <v/>
      </c>
      <c r="G98" t="str">
        <f>""</f>
        <v/>
      </c>
    </row>
    <row r="99" spans="1:7" x14ac:dyDescent="0.25">
      <c r="A99">
        <v>315</v>
      </c>
      <c r="B99" t="str">
        <f>"arseen, na filtratie over 0.45 æm"</f>
        <v>arseen, na filtratie over 0.45 æm</v>
      </c>
      <c r="C99" t="s">
        <v>19019</v>
      </c>
      <c r="D99" t="str">
        <f>"7784-42-1"</f>
        <v>7784-42-1</v>
      </c>
      <c r="E99" t="str">
        <f t="shared" si="4"/>
        <v xml:space="preserve">Overige parameters </v>
      </c>
      <c r="F99" t="str">
        <f>""</f>
        <v/>
      </c>
      <c r="G99" t="str">
        <f>""</f>
        <v/>
      </c>
    </row>
    <row r="100" spans="1:7" x14ac:dyDescent="0.25">
      <c r="A100">
        <v>316</v>
      </c>
      <c r="B100" t="str">
        <f>"barium"</f>
        <v>barium</v>
      </c>
      <c r="C100" t="s">
        <v>19020</v>
      </c>
      <c r="D100" t="str">
        <f>"7440-39-3"</f>
        <v>7440-39-3</v>
      </c>
      <c r="E100" t="str">
        <f t="shared" ref="E100:E131" si="5">"Anorganische parameters"</f>
        <v>Anorganische parameters</v>
      </c>
      <c r="F100" t="str">
        <f>""</f>
        <v/>
      </c>
      <c r="G100" t="str">
        <f>""</f>
        <v/>
      </c>
    </row>
    <row r="101" spans="1:7" x14ac:dyDescent="0.25">
      <c r="A101">
        <v>317</v>
      </c>
      <c r="B101" t="str">
        <f>"barium, na filtratie over 0.45 æm"</f>
        <v>barium, na filtratie over 0.45 æm</v>
      </c>
      <c r="C101" t="s">
        <v>19020</v>
      </c>
      <c r="D101" t="str">
        <f>"7440-39-3"</f>
        <v>7440-39-3</v>
      </c>
      <c r="E101" t="str">
        <f t="shared" si="5"/>
        <v>Anorganische parameters</v>
      </c>
      <c r="F101" t="str">
        <f>""</f>
        <v/>
      </c>
      <c r="G101" t="str">
        <f>""</f>
        <v/>
      </c>
    </row>
    <row r="102" spans="1:7" x14ac:dyDescent="0.25">
      <c r="A102">
        <v>318</v>
      </c>
      <c r="B102" t="str">
        <f>"beryllium"</f>
        <v>beryllium</v>
      </c>
      <c r="C102" t="s">
        <v>19021</v>
      </c>
      <c r="D102" t="str">
        <f>"7440-41-7"</f>
        <v>7440-41-7</v>
      </c>
      <c r="E102" t="str">
        <f t="shared" si="5"/>
        <v>Anorganische parameters</v>
      </c>
      <c r="F102" t="str">
        <f>""</f>
        <v/>
      </c>
      <c r="G102" t="str">
        <f>""</f>
        <v/>
      </c>
    </row>
    <row r="103" spans="1:7" x14ac:dyDescent="0.25">
      <c r="A103">
        <v>319</v>
      </c>
      <c r="B103" t="str">
        <f>"beryllium, na filtratie over 0.45 æm"</f>
        <v>beryllium, na filtratie over 0.45 æm</v>
      </c>
      <c r="C103" t="s">
        <v>19021</v>
      </c>
      <c r="D103" t="str">
        <f>"7440-41-7"</f>
        <v>7440-41-7</v>
      </c>
      <c r="E103" t="str">
        <f t="shared" si="5"/>
        <v>Anorganische parameters</v>
      </c>
      <c r="F103" t="str">
        <f>""</f>
        <v/>
      </c>
      <c r="G103" t="str">
        <f>""</f>
        <v/>
      </c>
    </row>
    <row r="104" spans="1:7" x14ac:dyDescent="0.25">
      <c r="A104">
        <v>320</v>
      </c>
      <c r="B104" t="str">
        <f>"bismuth"</f>
        <v>bismuth</v>
      </c>
      <c r="C104" t="s">
        <v>19022</v>
      </c>
      <c r="D104" t="str">
        <f>"7440-69-9"</f>
        <v>7440-69-9</v>
      </c>
      <c r="E104" t="str">
        <f t="shared" si="5"/>
        <v>Anorganische parameters</v>
      </c>
      <c r="F104" t="str">
        <f>""</f>
        <v/>
      </c>
      <c r="G104" t="str">
        <f>""</f>
        <v/>
      </c>
    </row>
    <row r="105" spans="1:7" x14ac:dyDescent="0.25">
      <c r="A105">
        <v>321</v>
      </c>
      <c r="B105" t="str">
        <f>"bismuth, na filtratie over 0.45"</f>
        <v>bismuth, na filtratie over 0.45</v>
      </c>
      <c r="C105" t="s">
        <v>19022</v>
      </c>
      <c r="D105" t="str">
        <f>"7440-69-9"</f>
        <v>7440-69-9</v>
      </c>
      <c r="E105" t="str">
        <f t="shared" si="5"/>
        <v>Anorganische parameters</v>
      </c>
      <c r="F105" t="str">
        <f>""</f>
        <v/>
      </c>
      <c r="G105" t="str">
        <f>""</f>
        <v/>
      </c>
    </row>
    <row r="106" spans="1:7" x14ac:dyDescent="0.25">
      <c r="A106">
        <v>323</v>
      </c>
      <c r="B106" t="str">
        <f>"boor"</f>
        <v>boor</v>
      </c>
      <c r="C106" t="s">
        <v>19023</v>
      </c>
      <c r="D106" t="str">
        <f>"7440-42-8"</f>
        <v>7440-42-8</v>
      </c>
      <c r="E106" t="str">
        <f t="shared" si="5"/>
        <v>Anorganische parameters</v>
      </c>
      <c r="F106" t="str">
        <f>""</f>
        <v/>
      </c>
      <c r="G106" t="str">
        <f>""</f>
        <v/>
      </c>
    </row>
    <row r="107" spans="1:7" x14ac:dyDescent="0.25">
      <c r="A107">
        <v>324</v>
      </c>
      <c r="B107" t="str">
        <f>"cadmium"</f>
        <v>cadmium</v>
      </c>
      <c r="C107" t="s">
        <v>19024</v>
      </c>
      <c r="D107" t="str">
        <f>"7440-43-9"</f>
        <v>7440-43-9</v>
      </c>
      <c r="E107" t="str">
        <f t="shared" si="5"/>
        <v>Anorganische parameters</v>
      </c>
      <c r="F107" t="str">
        <f>""</f>
        <v/>
      </c>
      <c r="G107" t="str">
        <f>""</f>
        <v/>
      </c>
    </row>
    <row r="108" spans="1:7" x14ac:dyDescent="0.25">
      <c r="A108">
        <v>325</v>
      </c>
      <c r="B108" t="str">
        <f>"cadmium, na filtratie over 0.45 æm"</f>
        <v>cadmium, na filtratie over 0.45 æm</v>
      </c>
      <c r="C108" t="s">
        <v>19024</v>
      </c>
      <c r="D108" t="str">
        <f>"7440-43-9"</f>
        <v>7440-43-9</v>
      </c>
      <c r="E108" t="str">
        <f t="shared" si="5"/>
        <v>Anorganische parameters</v>
      </c>
      <c r="F108" t="str">
        <f>""</f>
        <v/>
      </c>
      <c r="G108" t="str">
        <f>""</f>
        <v/>
      </c>
    </row>
    <row r="109" spans="1:7" x14ac:dyDescent="0.25">
      <c r="A109">
        <v>326</v>
      </c>
      <c r="B109" t="str">
        <f>"chroom"</f>
        <v>chroom</v>
      </c>
      <c r="C109" t="s">
        <v>19025</v>
      </c>
      <c r="D109" t="str">
        <f>"7440-47-3"</f>
        <v>7440-47-3</v>
      </c>
      <c r="E109" t="str">
        <f t="shared" si="5"/>
        <v>Anorganische parameters</v>
      </c>
      <c r="F109" t="str">
        <f>""</f>
        <v/>
      </c>
      <c r="G109" t="str">
        <f>""</f>
        <v/>
      </c>
    </row>
    <row r="110" spans="1:7" x14ac:dyDescent="0.25">
      <c r="A110">
        <v>327</v>
      </c>
      <c r="B110" t="str">
        <f>"chroom, na filtratie over 0.45 æm"</f>
        <v>chroom, na filtratie over 0.45 æm</v>
      </c>
      <c r="C110" t="s">
        <v>19025</v>
      </c>
      <c r="D110" t="str">
        <f>"7440-47-3"</f>
        <v>7440-47-3</v>
      </c>
      <c r="E110" t="str">
        <f t="shared" si="5"/>
        <v>Anorganische parameters</v>
      </c>
      <c r="F110" t="str">
        <f>""</f>
        <v/>
      </c>
      <c r="G110" t="str">
        <f>""</f>
        <v/>
      </c>
    </row>
    <row r="111" spans="1:7" x14ac:dyDescent="0.25">
      <c r="A111">
        <v>328</v>
      </c>
      <c r="B111" t="str">
        <f>"kobalt"</f>
        <v>kobalt</v>
      </c>
      <c r="C111" t="s">
        <v>19026</v>
      </c>
      <c r="D111" t="str">
        <f>"7440-48-4"</f>
        <v>7440-48-4</v>
      </c>
      <c r="E111" t="str">
        <f t="shared" si="5"/>
        <v>Anorganische parameters</v>
      </c>
      <c r="F111" t="str">
        <f>""</f>
        <v/>
      </c>
      <c r="G111" t="str">
        <f>""</f>
        <v/>
      </c>
    </row>
    <row r="112" spans="1:7" x14ac:dyDescent="0.25">
      <c r="A112">
        <v>329</v>
      </c>
      <c r="B112" t="str">
        <f>"kobalt, na filtratie over 0.45 æm"</f>
        <v>kobalt, na filtratie over 0.45 æm</v>
      </c>
      <c r="C112" t="s">
        <v>19026</v>
      </c>
      <c r="D112" t="str">
        <f>"7440-48-4"</f>
        <v>7440-48-4</v>
      </c>
      <c r="E112" t="str">
        <f t="shared" si="5"/>
        <v>Anorganische parameters</v>
      </c>
      <c r="F112" t="str">
        <f>""</f>
        <v/>
      </c>
      <c r="G112" t="str">
        <f>""</f>
        <v/>
      </c>
    </row>
    <row r="113" spans="1:7" x14ac:dyDescent="0.25">
      <c r="A113">
        <v>330</v>
      </c>
      <c r="B113" t="str">
        <f>"koper"</f>
        <v>koper</v>
      </c>
      <c r="C113" t="s">
        <v>19027</v>
      </c>
      <c r="D113" t="str">
        <f>"7440-50-8"</f>
        <v>7440-50-8</v>
      </c>
      <c r="E113" t="str">
        <f t="shared" si="5"/>
        <v>Anorganische parameters</v>
      </c>
      <c r="F113" t="str">
        <f>""</f>
        <v/>
      </c>
      <c r="G113" t="str">
        <f>""</f>
        <v/>
      </c>
    </row>
    <row r="114" spans="1:7" x14ac:dyDescent="0.25">
      <c r="A114">
        <v>331</v>
      </c>
      <c r="B114" t="str">
        <f>"koper, na filtratie over 0.45 æm"</f>
        <v>koper, na filtratie over 0.45 æm</v>
      </c>
      <c r="C114" t="s">
        <v>19027</v>
      </c>
      <c r="D114" t="str">
        <f>"7440-50-8"</f>
        <v>7440-50-8</v>
      </c>
      <c r="E114" t="str">
        <f t="shared" si="5"/>
        <v>Anorganische parameters</v>
      </c>
      <c r="F114" t="str">
        <f>""</f>
        <v/>
      </c>
      <c r="G114" t="str">
        <f>""</f>
        <v/>
      </c>
    </row>
    <row r="115" spans="1:7" x14ac:dyDescent="0.25">
      <c r="A115">
        <v>332</v>
      </c>
      <c r="B115" t="str">
        <f>"kwik"</f>
        <v>kwik</v>
      </c>
      <c r="C115" t="s">
        <v>19028</v>
      </c>
      <c r="D115" t="str">
        <f>"7439-97-6"</f>
        <v>7439-97-6</v>
      </c>
      <c r="E115" t="str">
        <f t="shared" si="5"/>
        <v>Anorganische parameters</v>
      </c>
      <c r="F115" t="str">
        <f>""</f>
        <v/>
      </c>
      <c r="G115" t="str">
        <f>""</f>
        <v/>
      </c>
    </row>
    <row r="116" spans="1:7" x14ac:dyDescent="0.25">
      <c r="A116">
        <v>333</v>
      </c>
      <c r="B116" t="str">
        <f>"kwik, na filtratie over 0.45 æm"</f>
        <v>kwik, na filtratie over 0.45 æm</v>
      </c>
      <c r="C116" t="s">
        <v>19028</v>
      </c>
      <c r="D116" t="str">
        <f>"7439-97-6"</f>
        <v>7439-97-6</v>
      </c>
      <c r="E116" t="str">
        <f t="shared" si="5"/>
        <v>Anorganische parameters</v>
      </c>
      <c r="F116" t="str">
        <f>""</f>
        <v/>
      </c>
      <c r="G116" t="str">
        <f>""</f>
        <v/>
      </c>
    </row>
    <row r="117" spans="1:7" x14ac:dyDescent="0.25">
      <c r="A117">
        <v>334</v>
      </c>
      <c r="B117" t="str">
        <f>"lood"</f>
        <v>lood</v>
      </c>
      <c r="C117" t="s">
        <v>19029</v>
      </c>
      <c r="D117" t="str">
        <f>"7439-92-1"</f>
        <v>7439-92-1</v>
      </c>
      <c r="E117" t="str">
        <f t="shared" si="5"/>
        <v>Anorganische parameters</v>
      </c>
      <c r="F117" t="str">
        <f>""</f>
        <v/>
      </c>
      <c r="G117" t="str">
        <f>""</f>
        <v/>
      </c>
    </row>
    <row r="118" spans="1:7" x14ac:dyDescent="0.25">
      <c r="A118">
        <v>335</v>
      </c>
      <c r="B118" t="str">
        <f>"lood, na filtratie over 0.45 æm"</f>
        <v>lood, na filtratie over 0.45 æm</v>
      </c>
      <c r="C118" t="s">
        <v>19029</v>
      </c>
      <c r="D118" t="str">
        <f>"7439-92-1"</f>
        <v>7439-92-1</v>
      </c>
      <c r="E118" t="str">
        <f t="shared" si="5"/>
        <v>Anorganische parameters</v>
      </c>
      <c r="F118" t="str">
        <f>""</f>
        <v/>
      </c>
      <c r="G118" t="str">
        <f>""</f>
        <v/>
      </c>
    </row>
    <row r="119" spans="1:7" x14ac:dyDescent="0.25">
      <c r="A119">
        <v>336</v>
      </c>
      <c r="B119" t="str">
        <f>"lithium"</f>
        <v>lithium</v>
      </c>
      <c r="C119" t="s">
        <v>19030</v>
      </c>
      <c r="D119" t="str">
        <f>"7439-93-2"</f>
        <v>7439-93-2</v>
      </c>
      <c r="E119" t="str">
        <f t="shared" si="5"/>
        <v>Anorganische parameters</v>
      </c>
      <c r="F119" t="str">
        <f>""</f>
        <v/>
      </c>
      <c r="G119" t="str">
        <f>""</f>
        <v/>
      </c>
    </row>
    <row r="120" spans="1:7" x14ac:dyDescent="0.25">
      <c r="A120">
        <v>337</v>
      </c>
      <c r="B120" t="str">
        <f>"lithium, na filtratie over 0.45 æm"</f>
        <v>lithium, na filtratie over 0.45 æm</v>
      </c>
      <c r="C120" t="s">
        <v>19030</v>
      </c>
      <c r="D120" t="str">
        <f>"7439-93-2"</f>
        <v>7439-93-2</v>
      </c>
      <c r="E120" t="str">
        <f t="shared" si="5"/>
        <v>Anorganische parameters</v>
      </c>
      <c r="F120" t="str">
        <f>""</f>
        <v/>
      </c>
      <c r="G120" t="str">
        <f>""</f>
        <v/>
      </c>
    </row>
    <row r="121" spans="1:7" x14ac:dyDescent="0.25">
      <c r="A121">
        <v>338</v>
      </c>
      <c r="B121" t="str">
        <f>"molybdeen"</f>
        <v>molybdeen</v>
      </c>
      <c r="C121" t="s">
        <v>19031</v>
      </c>
      <c r="D121" t="str">
        <f>"7439-98-7"</f>
        <v>7439-98-7</v>
      </c>
      <c r="E121" t="str">
        <f t="shared" si="5"/>
        <v>Anorganische parameters</v>
      </c>
      <c r="F121" t="str">
        <f>""</f>
        <v/>
      </c>
      <c r="G121" t="str">
        <f>""</f>
        <v/>
      </c>
    </row>
    <row r="122" spans="1:7" x14ac:dyDescent="0.25">
      <c r="A122">
        <v>339</v>
      </c>
      <c r="B122" t="str">
        <f>"molybdeen, na filtratie over 0.45 æm"</f>
        <v>molybdeen, na filtratie over 0.45 æm</v>
      </c>
      <c r="C122" t="s">
        <v>19031</v>
      </c>
      <c r="D122" t="str">
        <f>"7439-98-7"</f>
        <v>7439-98-7</v>
      </c>
      <c r="E122" t="str">
        <f t="shared" si="5"/>
        <v>Anorganische parameters</v>
      </c>
      <c r="F122" t="str">
        <f>""</f>
        <v/>
      </c>
      <c r="G122" t="str">
        <f>""</f>
        <v/>
      </c>
    </row>
    <row r="123" spans="1:7" x14ac:dyDescent="0.25">
      <c r="A123">
        <v>340</v>
      </c>
      <c r="B123" t="str">
        <f>"nikkel"</f>
        <v>nikkel</v>
      </c>
      <c r="C123" t="s">
        <v>19032</v>
      </c>
      <c r="D123" t="str">
        <f>"7440-02-0"</f>
        <v>7440-02-0</v>
      </c>
      <c r="E123" t="str">
        <f t="shared" si="5"/>
        <v>Anorganische parameters</v>
      </c>
      <c r="F123" t="str">
        <f>""</f>
        <v/>
      </c>
      <c r="G123" t="str">
        <f>""</f>
        <v/>
      </c>
    </row>
    <row r="124" spans="1:7" x14ac:dyDescent="0.25">
      <c r="A124">
        <v>341</v>
      </c>
      <c r="B124" t="str">
        <f>"nikkel, na filtratie over 0.45 æm"</f>
        <v>nikkel, na filtratie over 0.45 æm</v>
      </c>
      <c r="C124" t="s">
        <v>19032</v>
      </c>
      <c r="D124" t="str">
        <f>"7440-02-0"</f>
        <v>7440-02-0</v>
      </c>
      <c r="E124" t="str">
        <f t="shared" si="5"/>
        <v>Anorganische parameters</v>
      </c>
      <c r="F124" t="str">
        <f>""</f>
        <v/>
      </c>
      <c r="G124" t="str">
        <f>""</f>
        <v/>
      </c>
    </row>
    <row r="125" spans="1:7" x14ac:dyDescent="0.25">
      <c r="A125">
        <v>342</v>
      </c>
      <c r="B125" t="str">
        <f>"seleen"</f>
        <v>seleen</v>
      </c>
      <c r="C125" t="s">
        <v>19033</v>
      </c>
      <c r="D125" t="str">
        <f>"7782-49-2"</f>
        <v>7782-49-2</v>
      </c>
      <c r="E125" t="str">
        <f t="shared" si="5"/>
        <v>Anorganische parameters</v>
      </c>
      <c r="F125" t="str">
        <f>""</f>
        <v/>
      </c>
      <c r="G125" t="str">
        <f>""</f>
        <v/>
      </c>
    </row>
    <row r="126" spans="1:7" x14ac:dyDescent="0.25">
      <c r="A126">
        <v>343</v>
      </c>
      <c r="B126" t="str">
        <f>"strontium"</f>
        <v>strontium</v>
      </c>
      <c r="C126" t="s">
        <v>19034</v>
      </c>
      <c r="D126" t="str">
        <f>"7440-24-6"</f>
        <v>7440-24-6</v>
      </c>
      <c r="E126" t="str">
        <f t="shared" si="5"/>
        <v>Anorganische parameters</v>
      </c>
      <c r="F126" t="str">
        <f>""</f>
        <v/>
      </c>
      <c r="G126" t="str">
        <f>""</f>
        <v/>
      </c>
    </row>
    <row r="127" spans="1:7" x14ac:dyDescent="0.25">
      <c r="A127">
        <v>344</v>
      </c>
      <c r="B127" t="str">
        <f>"thallium"</f>
        <v>thallium</v>
      </c>
      <c r="C127" t="s">
        <v>19035</v>
      </c>
      <c r="D127" t="str">
        <f>"7440-28-0"</f>
        <v>7440-28-0</v>
      </c>
      <c r="E127" t="str">
        <f t="shared" si="5"/>
        <v>Anorganische parameters</v>
      </c>
      <c r="F127" t="str">
        <f>""</f>
        <v/>
      </c>
      <c r="G127" t="str">
        <f>""</f>
        <v/>
      </c>
    </row>
    <row r="128" spans="1:7" x14ac:dyDescent="0.25">
      <c r="A128">
        <v>345</v>
      </c>
      <c r="B128" t="str">
        <f>"telluur"</f>
        <v>telluur</v>
      </c>
      <c r="C128" t="s">
        <v>19036</v>
      </c>
      <c r="D128" t="str">
        <f>"13494-80-9"</f>
        <v>13494-80-9</v>
      </c>
      <c r="E128" t="str">
        <f t="shared" si="5"/>
        <v>Anorganische parameters</v>
      </c>
      <c r="F128" t="str">
        <f>""</f>
        <v/>
      </c>
      <c r="G128" t="str">
        <f>""</f>
        <v/>
      </c>
    </row>
    <row r="129" spans="1:7" x14ac:dyDescent="0.25">
      <c r="A129">
        <v>346</v>
      </c>
      <c r="B129" t="str">
        <f>"tin"</f>
        <v>tin</v>
      </c>
      <c r="C129" t="s">
        <v>19037</v>
      </c>
      <c r="D129" t="str">
        <f>"7440-31-5"</f>
        <v>7440-31-5</v>
      </c>
      <c r="E129" t="str">
        <f t="shared" si="5"/>
        <v>Anorganische parameters</v>
      </c>
      <c r="F129" t="str">
        <f>""</f>
        <v/>
      </c>
      <c r="G129" t="str">
        <f>""</f>
        <v/>
      </c>
    </row>
    <row r="130" spans="1:7" x14ac:dyDescent="0.25">
      <c r="A130">
        <v>347</v>
      </c>
      <c r="B130" t="str">
        <f>"tin, na filtratie over 0.45 æm"</f>
        <v>tin, na filtratie over 0.45 æm</v>
      </c>
      <c r="C130" t="s">
        <v>19037</v>
      </c>
      <c r="D130" t="str">
        <f>"7440-31-5"</f>
        <v>7440-31-5</v>
      </c>
      <c r="E130" t="str">
        <f t="shared" si="5"/>
        <v>Anorganische parameters</v>
      </c>
      <c r="F130" t="str">
        <f>""</f>
        <v/>
      </c>
      <c r="G130" t="str">
        <f>""</f>
        <v/>
      </c>
    </row>
    <row r="131" spans="1:7" x14ac:dyDescent="0.25">
      <c r="A131">
        <v>348</v>
      </c>
      <c r="B131" t="str">
        <f>"titaan"</f>
        <v>titaan</v>
      </c>
      <c r="C131" t="s">
        <v>19038</v>
      </c>
      <c r="D131" t="str">
        <f>"7440-32-6"</f>
        <v>7440-32-6</v>
      </c>
      <c r="E131" t="str">
        <f t="shared" si="5"/>
        <v>Anorganische parameters</v>
      </c>
      <c r="F131" t="str">
        <f>""</f>
        <v/>
      </c>
      <c r="G131" t="str">
        <f>""</f>
        <v/>
      </c>
    </row>
    <row r="132" spans="1:7" x14ac:dyDescent="0.25">
      <c r="A132">
        <v>349</v>
      </c>
      <c r="B132" t="str">
        <f>"titaan, na filtratie over 0.45 æm"</f>
        <v>titaan, na filtratie over 0.45 æm</v>
      </c>
      <c r="C132" t="s">
        <v>19038</v>
      </c>
      <c r="D132" t="str">
        <f>"7440-32-6"</f>
        <v>7440-32-6</v>
      </c>
      <c r="E132" t="str">
        <f t="shared" ref="E132:E163" si="6">"Anorganische parameters"</f>
        <v>Anorganische parameters</v>
      </c>
      <c r="F132" t="str">
        <f>""</f>
        <v/>
      </c>
      <c r="G132" t="str">
        <f>""</f>
        <v/>
      </c>
    </row>
    <row r="133" spans="1:7" x14ac:dyDescent="0.25">
      <c r="A133">
        <v>350</v>
      </c>
      <c r="B133" t="str">
        <f>"vanadium"</f>
        <v>vanadium</v>
      </c>
      <c r="C133" t="s">
        <v>19039</v>
      </c>
      <c r="D133" t="str">
        <f>"7440-62-2"</f>
        <v>7440-62-2</v>
      </c>
      <c r="E133" t="str">
        <f t="shared" si="6"/>
        <v>Anorganische parameters</v>
      </c>
      <c r="F133" t="str">
        <f>""</f>
        <v/>
      </c>
      <c r="G133" t="str">
        <f>""</f>
        <v/>
      </c>
    </row>
    <row r="134" spans="1:7" x14ac:dyDescent="0.25">
      <c r="A134">
        <v>351</v>
      </c>
      <c r="B134" t="str">
        <f>"vanadium, na filtratie over 0.45 æm"</f>
        <v>vanadium, na filtratie over 0.45 æm</v>
      </c>
      <c r="C134" t="s">
        <v>19039</v>
      </c>
      <c r="D134" t="str">
        <f>"7440-62-2"</f>
        <v>7440-62-2</v>
      </c>
      <c r="E134" t="str">
        <f t="shared" si="6"/>
        <v>Anorganische parameters</v>
      </c>
      <c r="F134" t="str">
        <f>""</f>
        <v/>
      </c>
      <c r="G134" t="str">
        <f>""</f>
        <v/>
      </c>
    </row>
    <row r="135" spans="1:7" x14ac:dyDescent="0.25">
      <c r="A135">
        <v>352</v>
      </c>
      <c r="B135" t="str">
        <f>"zilver"</f>
        <v>zilver</v>
      </c>
      <c r="C135" t="s">
        <v>19040</v>
      </c>
      <c r="D135" t="str">
        <f>"7440-22-4"</f>
        <v>7440-22-4</v>
      </c>
      <c r="E135" t="str">
        <f t="shared" si="6"/>
        <v>Anorganische parameters</v>
      </c>
      <c r="F135" t="str">
        <f>""</f>
        <v/>
      </c>
      <c r="G135" t="str">
        <f>""</f>
        <v/>
      </c>
    </row>
    <row r="136" spans="1:7" x14ac:dyDescent="0.25">
      <c r="A136">
        <v>353</v>
      </c>
      <c r="B136" t="str">
        <f>"zilver, na filtratie over 0.45 æm"</f>
        <v>zilver, na filtratie over 0.45 æm</v>
      </c>
      <c r="C136" t="s">
        <v>19040</v>
      </c>
      <c r="D136" t="str">
        <f>"7440-22-4"</f>
        <v>7440-22-4</v>
      </c>
      <c r="E136" t="str">
        <f t="shared" si="6"/>
        <v>Anorganische parameters</v>
      </c>
      <c r="F136" t="str">
        <f>""</f>
        <v/>
      </c>
      <c r="G136" t="str">
        <f>""</f>
        <v/>
      </c>
    </row>
    <row r="137" spans="1:7" x14ac:dyDescent="0.25">
      <c r="A137">
        <v>354</v>
      </c>
      <c r="B137" t="str">
        <f>"zink"</f>
        <v>zink</v>
      </c>
      <c r="C137" t="s">
        <v>19041</v>
      </c>
      <c r="D137" t="str">
        <f>"7440-66-6"</f>
        <v>7440-66-6</v>
      </c>
      <c r="E137" t="str">
        <f t="shared" si="6"/>
        <v>Anorganische parameters</v>
      </c>
      <c r="F137" t="str">
        <f>""</f>
        <v/>
      </c>
      <c r="G137" t="str">
        <f>""</f>
        <v/>
      </c>
    </row>
    <row r="138" spans="1:7" x14ac:dyDescent="0.25">
      <c r="A138">
        <v>355</v>
      </c>
      <c r="B138" t="str">
        <f>"zink, na filtratie over 0.45 æm"</f>
        <v>zink, na filtratie over 0.45 æm</v>
      </c>
      <c r="C138" t="s">
        <v>19041</v>
      </c>
      <c r="D138" t="str">
        <f>"7440-66-6"</f>
        <v>7440-66-6</v>
      </c>
      <c r="E138" t="str">
        <f t="shared" si="6"/>
        <v>Anorganische parameters</v>
      </c>
      <c r="F138" t="str">
        <f>""</f>
        <v/>
      </c>
      <c r="G138" t="str">
        <f>""</f>
        <v/>
      </c>
    </row>
    <row r="139" spans="1:7" x14ac:dyDescent="0.25">
      <c r="A139">
        <v>356</v>
      </c>
      <c r="B139" t="str">
        <f>"cerium, na filtratie over 0.45 æm"</f>
        <v>cerium, na filtratie over 0.45 æm</v>
      </c>
      <c r="C139" t="s">
        <v>19042</v>
      </c>
      <c r="D139" t="str">
        <f>"7440-45-1"</f>
        <v>7440-45-1</v>
      </c>
      <c r="E139" t="str">
        <f t="shared" si="6"/>
        <v>Anorganische parameters</v>
      </c>
      <c r="F139" t="str">
        <f>""</f>
        <v/>
      </c>
      <c r="G139" t="str">
        <f>""</f>
        <v/>
      </c>
    </row>
    <row r="140" spans="1:7" x14ac:dyDescent="0.25">
      <c r="A140">
        <v>357</v>
      </c>
      <c r="B140" t="str">
        <f>"lantaan, na filtratie over 0.45 æm"</f>
        <v>lantaan, na filtratie over 0.45 æm</v>
      </c>
      <c r="C140" t="s">
        <v>19043</v>
      </c>
      <c r="D140" t="str">
        <f>"7439-91-0"</f>
        <v>7439-91-0</v>
      </c>
      <c r="E140" t="str">
        <f t="shared" si="6"/>
        <v>Anorganische parameters</v>
      </c>
      <c r="F140" t="str">
        <f>""</f>
        <v/>
      </c>
      <c r="G140" t="str">
        <f>""</f>
        <v/>
      </c>
    </row>
    <row r="141" spans="1:7" x14ac:dyDescent="0.25">
      <c r="A141">
        <v>358</v>
      </c>
      <c r="B141" t="str">
        <f>"neodymium, na filtratie over 0.45 æm"</f>
        <v>neodymium, na filtratie over 0.45 æm</v>
      </c>
      <c r="C141" t="s">
        <v>19044</v>
      </c>
      <c r="D141" t="str">
        <f>"7440-00-8"</f>
        <v>7440-00-8</v>
      </c>
      <c r="E141" t="str">
        <f t="shared" si="6"/>
        <v>Anorganische parameters</v>
      </c>
      <c r="F141" t="str">
        <f>""</f>
        <v/>
      </c>
      <c r="G141" t="str">
        <f>""</f>
        <v/>
      </c>
    </row>
    <row r="142" spans="1:7" x14ac:dyDescent="0.25">
      <c r="A142">
        <v>359</v>
      </c>
      <c r="B142" t="str">
        <f>"rubidium, na filtratie over 0.45 æm"</f>
        <v>rubidium, na filtratie over 0.45 æm</v>
      </c>
      <c r="C142" t="s">
        <v>19045</v>
      </c>
      <c r="D142" t="str">
        <f>"7440-17-7"</f>
        <v>7440-17-7</v>
      </c>
      <c r="E142" t="str">
        <f t="shared" si="6"/>
        <v>Anorganische parameters</v>
      </c>
      <c r="F142" t="str">
        <f>""</f>
        <v/>
      </c>
      <c r="G142" t="str">
        <f>""</f>
        <v/>
      </c>
    </row>
    <row r="143" spans="1:7" x14ac:dyDescent="0.25">
      <c r="A143">
        <v>360</v>
      </c>
      <c r="B143" t="str">
        <f>"samarium, na filtratie over 0.45 æm"</f>
        <v>samarium, na filtratie over 0.45 æm</v>
      </c>
      <c r="C143" t="s">
        <v>19046</v>
      </c>
      <c r="D143" t="str">
        <f>"7440-19-9"</f>
        <v>7440-19-9</v>
      </c>
      <c r="E143" t="str">
        <f t="shared" si="6"/>
        <v>Anorganische parameters</v>
      </c>
      <c r="F143" t="str">
        <f>""</f>
        <v/>
      </c>
      <c r="G143" t="str">
        <f>""</f>
        <v/>
      </c>
    </row>
    <row r="144" spans="1:7" x14ac:dyDescent="0.25">
      <c r="A144">
        <v>361</v>
      </c>
      <c r="B144" t="str">
        <f>"uranium, na filtratie over 0.45 æm"</f>
        <v>uranium, na filtratie over 0.45 æm</v>
      </c>
      <c r="C144" t="s">
        <v>19047</v>
      </c>
      <c r="D144" t="str">
        <f>"7440-61-1"</f>
        <v>7440-61-1</v>
      </c>
      <c r="E144" t="str">
        <f t="shared" si="6"/>
        <v>Anorganische parameters</v>
      </c>
      <c r="F144" t="str">
        <f>""</f>
        <v/>
      </c>
      <c r="G144" t="str">
        <f>""</f>
        <v/>
      </c>
    </row>
    <row r="145" spans="1:7" x14ac:dyDescent="0.25">
      <c r="A145">
        <v>362</v>
      </c>
      <c r="B145" t="str">
        <f>"seleen, na filtratie over 0.45 æm"</f>
        <v>seleen, na filtratie over 0.45 æm</v>
      </c>
      <c r="C145" t="s">
        <v>19033</v>
      </c>
      <c r="D145" t="str">
        <f>"7782-49-2"</f>
        <v>7782-49-2</v>
      </c>
      <c r="E145" t="str">
        <f t="shared" si="6"/>
        <v>Anorganische parameters</v>
      </c>
      <c r="F145" t="str">
        <f>""</f>
        <v/>
      </c>
      <c r="G145" t="str">
        <f>""</f>
        <v/>
      </c>
    </row>
    <row r="146" spans="1:7" x14ac:dyDescent="0.25">
      <c r="A146">
        <v>363</v>
      </c>
      <c r="B146" t="str">
        <f>"strontium, na filtratie over 0.45 æm"</f>
        <v>strontium, na filtratie over 0.45 æm</v>
      </c>
      <c r="C146" t="s">
        <v>19034</v>
      </c>
      <c r="D146" t="str">
        <f>"7440-24-6"</f>
        <v>7440-24-6</v>
      </c>
      <c r="E146" t="str">
        <f t="shared" si="6"/>
        <v>Anorganische parameters</v>
      </c>
      <c r="F146" t="str">
        <f>""</f>
        <v/>
      </c>
      <c r="G146" t="str">
        <f>""</f>
        <v/>
      </c>
    </row>
    <row r="147" spans="1:7" x14ac:dyDescent="0.25">
      <c r="A147">
        <v>364</v>
      </c>
      <c r="B147" t="str">
        <f>"thallium, na filtratie over 0.45 æm"</f>
        <v>thallium, na filtratie over 0.45 æm</v>
      </c>
      <c r="C147" t="s">
        <v>19035</v>
      </c>
      <c r="D147" t="str">
        <f>"7440-28-0"</f>
        <v>7440-28-0</v>
      </c>
      <c r="E147" t="str">
        <f t="shared" si="6"/>
        <v>Anorganische parameters</v>
      </c>
      <c r="F147" t="str">
        <f>""</f>
        <v/>
      </c>
      <c r="G147" t="str">
        <f>""</f>
        <v/>
      </c>
    </row>
    <row r="148" spans="1:7" x14ac:dyDescent="0.25">
      <c r="A148">
        <v>365</v>
      </c>
      <c r="B148" t="str">
        <f>"telluur, na filtratie over 0.45 æm"</f>
        <v>telluur, na filtratie over 0.45 æm</v>
      </c>
      <c r="C148" t="s">
        <v>19036</v>
      </c>
      <c r="D148" t="str">
        <f>"13494-80-9"</f>
        <v>13494-80-9</v>
      </c>
      <c r="E148" t="str">
        <f t="shared" si="6"/>
        <v>Anorganische parameters</v>
      </c>
      <c r="F148" t="str">
        <f>""</f>
        <v/>
      </c>
      <c r="G148" t="str">
        <f>""</f>
        <v/>
      </c>
    </row>
    <row r="149" spans="1:7" x14ac:dyDescent="0.25">
      <c r="A149">
        <v>366</v>
      </c>
      <c r="B149" t="str">
        <f>"wolmanzouten (som van As, Cr, Cu)"</f>
        <v>wolmanzouten (som van As, Cr, Cu)</v>
      </c>
      <c r="C149" t="s">
        <v>19016</v>
      </c>
      <c r="D149" t="str">
        <f>""</f>
        <v/>
      </c>
      <c r="E149" t="str">
        <f t="shared" si="6"/>
        <v>Anorganische parameters</v>
      </c>
      <c r="F149" t="str">
        <f>""</f>
        <v/>
      </c>
      <c r="G149" t="str">
        <f>""</f>
        <v/>
      </c>
    </row>
    <row r="150" spans="1:7" x14ac:dyDescent="0.25">
      <c r="A150">
        <v>367</v>
      </c>
      <c r="B150" t="str">
        <f>"Cesium"</f>
        <v>Cesium</v>
      </c>
      <c r="C150" t="s">
        <v>19016</v>
      </c>
      <c r="D150" t="str">
        <f>"7440-46-2"</f>
        <v>7440-46-2</v>
      </c>
      <c r="E150" t="str">
        <f t="shared" si="6"/>
        <v>Anorganische parameters</v>
      </c>
      <c r="F150" t="str">
        <f>""</f>
        <v/>
      </c>
      <c r="G150" t="str">
        <f>""</f>
        <v/>
      </c>
    </row>
    <row r="151" spans="1:7" x14ac:dyDescent="0.25">
      <c r="A151">
        <v>370</v>
      </c>
      <c r="B151" t="str">
        <f>"cerium"</f>
        <v>cerium</v>
      </c>
      <c r="C151" t="s">
        <v>19042</v>
      </c>
      <c r="D151" t="str">
        <f>"7440-45-1"</f>
        <v>7440-45-1</v>
      </c>
      <c r="E151" t="str">
        <f t="shared" si="6"/>
        <v>Anorganische parameters</v>
      </c>
      <c r="F151" t="str">
        <f>""</f>
        <v/>
      </c>
      <c r="G151" t="str">
        <f>""</f>
        <v/>
      </c>
    </row>
    <row r="152" spans="1:7" x14ac:dyDescent="0.25">
      <c r="A152">
        <v>371</v>
      </c>
      <c r="B152" t="str">
        <f>"lantaan"</f>
        <v>lantaan</v>
      </c>
      <c r="C152" t="s">
        <v>19043</v>
      </c>
      <c r="D152" t="str">
        <f>"7439-91-0"</f>
        <v>7439-91-0</v>
      </c>
      <c r="E152" t="str">
        <f t="shared" si="6"/>
        <v>Anorganische parameters</v>
      </c>
      <c r="F152" t="str">
        <f>""</f>
        <v/>
      </c>
      <c r="G152" t="str">
        <f>""</f>
        <v/>
      </c>
    </row>
    <row r="153" spans="1:7" x14ac:dyDescent="0.25">
      <c r="A153">
        <v>372</v>
      </c>
      <c r="B153" t="str">
        <f>"neodymium"</f>
        <v>neodymium</v>
      </c>
      <c r="C153" t="s">
        <v>19044</v>
      </c>
      <c r="D153" t="str">
        <f>"7440-00-8"</f>
        <v>7440-00-8</v>
      </c>
      <c r="E153" t="str">
        <f t="shared" si="6"/>
        <v>Anorganische parameters</v>
      </c>
      <c r="F153" t="str">
        <f>""</f>
        <v/>
      </c>
      <c r="G153" t="str">
        <f>""</f>
        <v/>
      </c>
    </row>
    <row r="154" spans="1:7" x14ac:dyDescent="0.25">
      <c r="A154">
        <v>373</v>
      </c>
      <c r="B154" t="str">
        <f>"rubidium"</f>
        <v>rubidium</v>
      </c>
      <c r="C154" t="s">
        <v>19045</v>
      </c>
      <c r="D154" t="str">
        <f>"7440-17-7"</f>
        <v>7440-17-7</v>
      </c>
      <c r="E154" t="str">
        <f t="shared" si="6"/>
        <v>Anorganische parameters</v>
      </c>
      <c r="F154" t="str">
        <f>""</f>
        <v/>
      </c>
      <c r="G154" t="str">
        <f>""</f>
        <v/>
      </c>
    </row>
    <row r="155" spans="1:7" x14ac:dyDescent="0.25">
      <c r="A155">
        <v>374</v>
      </c>
      <c r="B155" t="str">
        <f>"samarium"</f>
        <v>samarium</v>
      </c>
      <c r="C155" t="s">
        <v>19046</v>
      </c>
      <c r="D155" t="str">
        <f>"7440-19-9"</f>
        <v>7440-19-9</v>
      </c>
      <c r="E155" t="str">
        <f t="shared" si="6"/>
        <v>Anorganische parameters</v>
      </c>
      <c r="F155" t="str">
        <f>""</f>
        <v/>
      </c>
      <c r="G155" t="str">
        <f>""</f>
        <v/>
      </c>
    </row>
    <row r="156" spans="1:7" x14ac:dyDescent="0.25">
      <c r="A156">
        <v>375</v>
      </c>
      <c r="B156" t="str">
        <f>"uranium"</f>
        <v>uranium</v>
      </c>
      <c r="C156" t="s">
        <v>19047</v>
      </c>
      <c r="D156" t="str">
        <f>"7440-61-1"</f>
        <v>7440-61-1</v>
      </c>
      <c r="E156" t="str">
        <f t="shared" si="6"/>
        <v>Anorganische parameters</v>
      </c>
      <c r="F156" t="str">
        <f>""</f>
        <v/>
      </c>
      <c r="G156" t="str">
        <f>""</f>
        <v/>
      </c>
    </row>
    <row r="157" spans="1:7" x14ac:dyDescent="0.25">
      <c r="A157">
        <v>376</v>
      </c>
      <c r="B157" t="str">
        <f>"arseen III"</f>
        <v>arseen III</v>
      </c>
      <c r="C157" t="s">
        <v>19019</v>
      </c>
      <c r="D157" t="str">
        <f>"1327-53-3"</f>
        <v>1327-53-3</v>
      </c>
      <c r="E157" t="str">
        <f t="shared" si="6"/>
        <v>Anorganische parameters</v>
      </c>
      <c r="F157" t="str">
        <f>""</f>
        <v/>
      </c>
      <c r="G157" t="str">
        <f>""</f>
        <v/>
      </c>
    </row>
    <row r="158" spans="1:7" x14ac:dyDescent="0.25">
      <c r="A158">
        <v>377</v>
      </c>
      <c r="B158" t="str">
        <f>"arseen V"</f>
        <v>arseen V</v>
      </c>
      <c r="C158" t="s">
        <v>19019</v>
      </c>
      <c r="D158" t="str">
        <f>"1303-28-2"</f>
        <v>1303-28-2</v>
      </c>
      <c r="E158" t="str">
        <f t="shared" si="6"/>
        <v>Anorganische parameters</v>
      </c>
      <c r="F158" t="str">
        <f>""</f>
        <v/>
      </c>
      <c r="G158" t="str">
        <f>""</f>
        <v/>
      </c>
    </row>
    <row r="159" spans="1:7" x14ac:dyDescent="0.25">
      <c r="A159">
        <v>378</v>
      </c>
      <c r="B159" t="str">
        <f>"thorium"</f>
        <v>thorium</v>
      </c>
      <c r="C159" t="s">
        <v>19048</v>
      </c>
      <c r="D159" t="str">
        <f>"7440-29-1"</f>
        <v>7440-29-1</v>
      </c>
      <c r="E159" t="str">
        <f t="shared" si="6"/>
        <v>Anorganische parameters</v>
      </c>
      <c r="F159" t="str">
        <f>""</f>
        <v/>
      </c>
      <c r="G159" t="str">
        <f>""</f>
        <v/>
      </c>
    </row>
    <row r="160" spans="1:7" x14ac:dyDescent="0.25">
      <c r="A160">
        <v>379</v>
      </c>
      <c r="B160" t="str">
        <f>"thorium, na filtratie over 0.45 æm"</f>
        <v>thorium, na filtratie over 0.45 æm</v>
      </c>
      <c r="C160" t="s">
        <v>19048</v>
      </c>
      <c r="D160" t="str">
        <f>"7440-29-1"</f>
        <v>7440-29-1</v>
      </c>
      <c r="E160" t="str">
        <f t="shared" si="6"/>
        <v>Anorganische parameters</v>
      </c>
      <c r="F160" t="str">
        <f>""</f>
        <v/>
      </c>
      <c r="G160" t="str">
        <f>""</f>
        <v/>
      </c>
    </row>
    <row r="161" spans="1:7" x14ac:dyDescent="0.25">
      <c r="A161">
        <v>380</v>
      </c>
      <c r="B161" t="str">
        <f>"bromide"</f>
        <v>bromide</v>
      </c>
      <c r="C161" t="s">
        <v>19049</v>
      </c>
      <c r="D161" t="str">
        <f>"24959-67-9"</f>
        <v>24959-67-9</v>
      </c>
      <c r="E161" t="str">
        <f t="shared" si="6"/>
        <v>Anorganische parameters</v>
      </c>
      <c r="F161" t="str">
        <f>""</f>
        <v/>
      </c>
      <c r="G161" t="str">
        <f>""</f>
        <v/>
      </c>
    </row>
    <row r="162" spans="1:7" x14ac:dyDescent="0.25">
      <c r="A162">
        <v>382</v>
      </c>
      <c r="B162" t="str">
        <f>"fluoride"</f>
        <v>fluoride</v>
      </c>
      <c r="C162" t="s">
        <v>19050</v>
      </c>
      <c r="D162" t="str">
        <f>"16984-48-8"</f>
        <v>16984-48-8</v>
      </c>
      <c r="E162" t="str">
        <f t="shared" si="6"/>
        <v>Anorganische parameters</v>
      </c>
      <c r="F162" t="str">
        <f>""</f>
        <v/>
      </c>
      <c r="G162" t="str">
        <f>""</f>
        <v/>
      </c>
    </row>
    <row r="163" spans="1:7" x14ac:dyDescent="0.25">
      <c r="A163">
        <v>383</v>
      </c>
      <c r="B163" t="str">
        <f>"chroom VI"</f>
        <v>chroom VI</v>
      </c>
      <c r="C163" t="s">
        <v>19025</v>
      </c>
      <c r="D163" t="str">
        <f>"18540-29-9"</f>
        <v>18540-29-9</v>
      </c>
      <c r="E163" t="str">
        <f t="shared" si="6"/>
        <v>Anorganische parameters</v>
      </c>
      <c r="F163" t="str">
        <f>""</f>
        <v/>
      </c>
      <c r="G163" t="str">
        <f>""</f>
        <v/>
      </c>
    </row>
    <row r="164" spans="1:7" x14ac:dyDescent="0.25">
      <c r="A164">
        <v>384</v>
      </c>
      <c r="B164" t="str">
        <f>"jodide"</f>
        <v>jodide</v>
      </c>
      <c r="C164" t="s">
        <v>19051</v>
      </c>
      <c r="D164" t="str">
        <f>"20461-54-5"</f>
        <v>20461-54-5</v>
      </c>
      <c r="E164" t="str">
        <f t="shared" ref="E164:E172" si="7">"Anorganische parameters"</f>
        <v>Anorganische parameters</v>
      </c>
      <c r="F164" t="str">
        <f>""</f>
        <v/>
      </c>
      <c r="G164" t="str">
        <f>""</f>
        <v/>
      </c>
    </row>
    <row r="165" spans="1:7" x14ac:dyDescent="0.25">
      <c r="A165">
        <v>386</v>
      </c>
      <c r="B165" t="str">
        <f>"totaal cyanide"</f>
        <v>totaal cyanide</v>
      </c>
      <c r="C165" t="s">
        <v>19052</v>
      </c>
      <c r="D165" t="str">
        <f>"57-12-5"</f>
        <v>57-12-5</v>
      </c>
      <c r="E165" t="str">
        <f t="shared" si="7"/>
        <v>Anorganische parameters</v>
      </c>
      <c r="F165" t="str">
        <f>""</f>
        <v/>
      </c>
      <c r="G165" t="str">
        <f>""</f>
        <v/>
      </c>
    </row>
    <row r="166" spans="1:7" x14ac:dyDescent="0.25">
      <c r="A166">
        <v>388</v>
      </c>
      <c r="B166" t="str">
        <f>"vrij cyanide"</f>
        <v>vrij cyanide</v>
      </c>
      <c r="C166" t="s">
        <v>19052</v>
      </c>
      <c r="D166" t="str">
        <f>"57-12-5"</f>
        <v>57-12-5</v>
      </c>
      <c r="E166" t="str">
        <f t="shared" si="7"/>
        <v>Anorganische parameters</v>
      </c>
      <c r="F166" t="str">
        <f>""</f>
        <v/>
      </c>
      <c r="G166" t="str">
        <f>""</f>
        <v/>
      </c>
    </row>
    <row r="167" spans="1:7" x14ac:dyDescent="0.25">
      <c r="A167">
        <v>390</v>
      </c>
      <c r="B167" t="str">
        <f>"thiocyanaat"</f>
        <v>thiocyanaat</v>
      </c>
      <c r="C167" t="s">
        <v>19053</v>
      </c>
      <c r="D167" t="str">
        <f>"302-04-5"</f>
        <v>302-04-5</v>
      </c>
      <c r="E167" t="str">
        <f t="shared" si="7"/>
        <v>Anorganische parameters</v>
      </c>
      <c r="F167" t="str">
        <f>""</f>
        <v/>
      </c>
      <c r="G167" t="str">
        <f>""</f>
        <v/>
      </c>
    </row>
    <row r="168" spans="1:7" x14ac:dyDescent="0.25">
      <c r="A168">
        <v>392</v>
      </c>
      <c r="B168" t="str">
        <f>"sulfide"</f>
        <v>sulfide</v>
      </c>
      <c r="C168" t="s">
        <v>19054</v>
      </c>
      <c r="D168" t="str">
        <f>"18496-25-8"</f>
        <v>18496-25-8</v>
      </c>
      <c r="E168" t="str">
        <f t="shared" si="7"/>
        <v>Anorganische parameters</v>
      </c>
      <c r="F168" t="str">
        <f>""</f>
        <v/>
      </c>
      <c r="G168" t="str">
        <f>""</f>
        <v/>
      </c>
    </row>
    <row r="169" spans="1:7" x14ac:dyDescent="0.25">
      <c r="A169">
        <v>394</v>
      </c>
      <c r="B169" t="str">
        <f>"bromaat"</f>
        <v>bromaat</v>
      </c>
      <c r="C169" t="s">
        <v>19055</v>
      </c>
      <c r="D169" t="str">
        <f>"15541-45-4"</f>
        <v>15541-45-4</v>
      </c>
      <c r="E169" t="str">
        <f t="shared" si="7"/>
        <v>Anorganische parameters</v>
      </c>
      <c r="F169" t="str">
        <f>""</f>
        <v/>
      </c>
      <c r="G169" t="str">
        <f>""</f>
        <v/>
      </c>
    </row>
    <row r="170" spans="1:7" x14ac:dyDescent="0.25">
      <c r="A170">
        <v>396</v>
      </c>
      <c r="B170" t="str">
        <f>"chloraat"</f>
        <v>chloraat</v>
      </c>
      <c r="C170" t="s">
        <v>19056</v>
      </c>
      <c r="D170" t="str">
        <f>"14866-68-3"</f>
        <v>14866-68-3</v>
      </c>
      <c r="E170" t="str">
        <f t="shared" si="7"/>
        <v>Anorganische parameters</v>
      </c>
      <c r="F170" t="str">
        <f>""</f>
        <v/>
      </c>
      <c r="G170" t="str">
        <f>""</f>
        <v/>
      </c>
    </row>
    <row r="171" spans="1:7" x14ac:dyDescent="0.25">
      <c r="A171">
        <v>398</v>
      </c>
      <c r="B171" t="str">
        <f>"chloriet"</f>
        <v>chloriet</v>
      </c>
      <c r="C171" t="s">
        <v>19057</v>
      </c>
      <c r="D171" t="str">
        <f>"14998-27-7"</f>
        <v>14998-27-7</v>
      </c>
      <c r="E171" t="str">
        <f t="shared" si="7"/>
        <v>Anorganische parameters</v>
      </c>
      <c r="F171" t="str">
        <f>""</f>
        <v/>
      </c>
      <c r="G171" t="str">
        <f>""</f>
        <v/>
      </c>
    </row>
    <row r="172" spans="1:7" x14ac:dyDescent="0.25">
      <c r="A172">
        <v>399</v>
      </c>
      <c r="B172" t="str">
        <f>"boraat"</f>
        <v>boraat</v>
      </c>
      <c r="C172" t="s">
        <v>19058</v>
      </c>
      <c r="D172" t="str">
        <f>"14213-97-9"</f>
        <v>14213-97-9</v>
      </c>
      <c r="E172" t="str">
        <f t="shared" si="7"/>
        <v>Anorganische parameters</v>
      </c>
      <c r="F172" t="str">
        <f>""</f>
        <v/>
      </c>
      <c r="G172" t="str">
        <f>""</f>
        <v/>
      </c>
    </row>
    <row r="173" spans="1:7" x14ac:dyDescent="0.25">
      <c r="A173">
        <v>401</v>
      </c>
      <c r="B173" t="str">
        <f>"totaal organisch koolstof (TOC)"</f>
        <v>totaal organisch koolstof (TOC)</v>
      </c>
      <c r="C173" t="s">
        <v>19059</v>
      </c>
      <c r="D173" t="str">
        <f>""</f>
        <v/>
      </c>
      <c r="E173" t="str">
        <f t="shared" ref="E173:E184" si="8">"Overige parameters "</f>
        <v xml:space="preserve">Overige parameters </v>
      </c>
      <c r="F173" t="str">
        <f>""</f>
        <v/>
      </c>
      <c r="G173" t="str">
        <f>""</f>
        <v/>
      </c>
    </row>
    <row r="174" spans="1:7" x14ac:dyDescent="0.25">
      <c r="A174">
        <v>402</v>
      </c>
      <c r="B174" t="str">
        <f>"koolstof, uitblaasbaar"</f>
        <v>koolstof, uitblaasbaar</v>
      </c>
      <c r="C174" t="s">
        <v>19059</v>
      </c>
      <c r="D174" t="str">
        <f>""</f>
        <v/>
      </c>
      <c r="E174" t="str">
        <f t="shared" si="8"/>
        <v xml:space="preserve">Overige parameters </v>
      </c>
      <c r="F174" t="str">
        <f>""</f>
        <v/>
      </c>
      <c r="G174" t="str">
        <f>""</f>
        <v/>
      </c>
    </row>
    <row r="175" spans="1:7" x14ac:dyDescent="0.25">
      <c r="A175">
        <v>403</v>
      </c>
      <c r="B175" t="str">
        <f>"opgelost organisch koolstof (DOC)"</f>
        <v>opgelost organisch koolstof (DOC)</v>
      </c>
      <c r="C175" t="s">
        <v>19059</v>
      </c>
      <c r="D175" t="str">
        <f>""</f>
        <v/>
      </c>
      <c r="E175" t="str">
        <f t="shared" si="8"/>
        <v xml:space="preserve">Overige parameters </v>
      </c>
      <c r="F175" t="str">
        <f>""</f>
        <v/>
      </c>
      <c r="G175" t="str">
        <f>""</f>
        <v/>
      </c>
    </row>
    <row r="176" spans="1:7" x14ac:dyDescent="0.25">
      <c r="A176">
        <v>404</v>
      </c>
      <c r="B176" t="str">
        <f>"CZV, chem. zuurstofverbr."</f>
        <v>CZV, chem. zuurstofverbr.</v>
      </c>
      <c r="C176" t="s">
        <v>18992</v>
      </c>
      <c r="D176" t="str">
        <f>""</f>
        <v/>
      </c>
      <c r="E176" t="str">
        <f t="shared" si="8"/>
        <v xml:space="preserve">Overige parameters </v>
      </c>
      <c r="F176" t="str">
        <f>""</f>
        <v/>
      </c>
      <c r="G176" t="str">
        <f>""</f>
        <v/>
      </c>
    </row>
    <row r="177" spans="1:7" x14ac:dyDescent="0.25">
      <c r="A177">
        <v>405</v>
      </c>
      <c r="B177" t="str">
        <f>"CZV, na filtratie over 0.45 æm"</f>
        <v>CZV, na filtratie over 0.45 æm</v>
      </c>
      <c r="C177" t="s">
        <v>18992</v>
      </c>
      <c r="D177" t="str">
        <f>""</f>
        <v/>
      </c>
      <c r="E177" t="str">
        <f t="shared" si="8"/>
        <v xml:space="preserve">Overige parameters </v>
      </c>
      <c r="F177" t="str">
        <f>""</f>
        <v/>
      </c>
      <c r="G177" t="str">
        <f>""</f>
        <v/>
      </c>
    </row>
    <row r="178" spans="1:7" x14ac:dyDescent="0.25">
      <c r="A178">
        <v>406</v>
      </c>
      <c r="B178" t="str">
        <f>"BZV (biochem. zuurst.verbr.)"</f>
        <v>BZV (biochem. zuurst.verbr.)</v>
      </c>
      <c r="C178" t="s">
        <v>18992</v>
      </c>
      <c r="D178" t="str">
        <f>""</f>
        <v/>
      </c>
      <c r="E178" t="str">
        <f t="shared" si="8"/>
        <v xml:space="preserve">Overige parameters </v>
      </c>
      <c r="F178" t="str">
        <f>""</f>
        <v/>
      </c>
      <c r="G178" t="str">
        <f>""</f>
        <v/>
      </c>
    </row>
    <row r="179" spans="1:7" x14ac:dyDescent="0.25">
      <c r="A179">
        <v>407</v>
      </c>
      <c r="B179" t="str">
        <f>"biol. afbreekbaarheid na .. weken"</f>
        <v>biol. afbreekbaarheid na .. weken</v>
      </c>
      <c r="C179" t="s">
        <v>12922</v>
      </c>
      <c r="D179" t="str">
        <f>""</f>
        <v/>
      </c>
      <c r="E179" t="str">
        <f t="shared" si="8"/>
        <v xml:space="preserve">Overige parameters </v>
      </c>
      <c r="F179" t="str">
        <f>""</f>
        <v/>
      </c>
      <c r="G179" t="str">
        <f>""</f>
        <v/>
      </c>
    </row>
    <row r="180" spans="1:7" x14ac:dyDescent="0.25">
      <c r="A180">
        <v>408</v>
      </c>
      <c r="B180" t="str">
        <f>"oxideerbaarheid met KMnO4"</f>
        <v>oxideerbaarheid met KMnO4</v>
      </c>
      <c r="C180" t="s">
        <v>18992</v>
      </c>
      <c r="D180" t="str">
        <f>""</f>
        <v/>
      </c>
      <c r="E180" t="str">
        <f t="shared" si="8"/>
        <v xml:space="preserve">Overige parameters </v>
      </c>
      <c r="F180" t="str">
        <f>""</f>
        <v/>
      </c>
      <c r="G180" t="str">
        <f>""</f>
        <v/>
      </c>
    </row>
    <row r="181" spans="1:7" x14ac:dyDescent="0.25">
      <c r="A181">
        <v>409</v>
      </c>
      <c r="B181" t="str">
        <f>"extinctie 436 nm"</f>
        <v>extinctie 436 nm</v>
      </c>
      <c r="C181" t="s">
        <v>169</v>
      </c>
      <c r="D181" t="str">
        <f>""</f>
        <v/>
      </c>
      <c r="E181" t="str">
        <f t="shared" si="8"/>
        <v xml:space="preserve">Overige parameters </v>
      </c>
      <c r="F181" t="str">
        <f>""</f>
        <v/>
      </c>
      <c r="G181" t="str">
        <f>""</f>
        <v/>
      </c>
    </row>
    <row r="182" spans="1:7" x14ac:dyDescent="0.25">
      <c r="A182">
        <v>410</v>
      </c>
      <c r="B182" t="str">
        <f>"UV-extinctie, 254 nm"</f>
        <v>UV-extinctie, 254 nm</v>
      </c>
      <c r="C182" t="s">
        <v>169</v>
      </c>
      <c r="D182" t="str">
        <f>""</f>
        <v/>
      </c>
      <c r="E182" t="str">
        <f t="shared" si="8"/>
        <v xml:space="preserve">Overige parameters </v>
      </c>
      <c r="F182" t="str">
        <f>""</f>
        <v/>
      </c>
      <c r="G182" t="str">
        <f>""</f>
        <v/>
      </c>
    </row>
    <row r="183" spans="1:7" x14ac:dyDescent="0.25">
      <c r="A183">
        <v>411</v>
      </c>
      <c r="B183" t="str">
        <f>"extinctie 410 nm"</f>
        <v>extinctie 410 nm</v>
      </c>
      <c r="C183" t="s">
        <v>169</v>
      </c>
      <c r="D183" t="str">
        <f>""</f>
        <v/>
      </c>
      <c r="E183" t="str">
        <f t="shared" si="8"/>
        <v xml:space="preserve">Overige parameters </v>
      </c>
      <c r="F183" t="str">
        <f>""</f>
        <v/>
      </c>
      <c r="G183" t="str">
        <f>""</f>
        <v/>
      </c>
    </row>
    <row r="184" spans="1:7" x14ac:dyDescent="0.25">
      <c r="A184">
        <v>412</v>
      </c>
      <c r="B184" t="str">
        <f>"kleurintens., Pt/Co-schaal"</f>
        <v>kleurintens., Pt/Co-schaal</v>
      </c>
      <c r="C184" t="s">
        <v>19060</v>
      </c>
      <c r="D184" t="str">
        <f>""</f>
        <v/>
      </c>
      <c r="E184" t="str">
        <f t="shared" si="8"/>
        <v xml:space="preserve">Overige parameters </v>
      </c>
      <c r="F184" t="str">
        <f>""</f>
        <v/>
      </c>
      <c r="G184" t="str">
        <f>""</f>
        <v/>
      </c>
    </row>
    <row r="185" spans="1:7" x14ac:dyDescent="0.25">
      <c r="A185">
        <v>413</v>
      </c>
      <c r="B185" t="str">
        <f>"perchloraat"</f>
        <v>perchloraat</v>
      </c>
      <c r="C185" t="s">
        <v>17</v>
      </c>
      <c r="D185" t="str">
        <f>"14797-73-0"</f>
        <v>14797-73-0</v>
      </c>
      <c r="E185" t="str">
        <f>"Anorganische parameters"</f>
        <v>Anorganische parameters</v>
      </c>
      <c r="F185" t="str">
        <f>""</f>
        <v/>
      </c>
      <c r="G185" t="str">
        <f>""</f>
        <v/>
      </c>
    </row>
    <row r="186" spans="1:7" x14ac:dyDescent="0.25">
      <c r="A186">
        <v>420</v>
      </c>
      <c r="B186" t="str">
        <f>"anionaktieve detergentia"</f>
        <v>anionaktieve detergentia</v>
      </c>
      <c r="C186" t="s">
        <v>19061</v>
      </c>
      <c r="D186" t="str">
        <f>""</f>
        <v/>
      </c>
      <c r="E186" t="str">
        <f t="shared" ref="E186:E201" si="9">"Overige parameters "</f>
        <v xml:space="preserve">Overige parameters </v>
      </c>
      <c r="F186" t="str">
        <f>""</f>
        <v/>
      </c>
      <c r="G186" t="str">
        <f>""</f>
        <v/>
      </c>
    </row>
    <row r="187" spans="1:7" x14ac:dyDescent="0.25">
      <c r="A187">
        <v>422</v>
      </c>
      <c r="B187" t="str">
        <f>"kationaktieve detergentia"</f>
        <v>kationaktieve detergentia</v>
      </c>
      <c r="C187" t="s">
        <v>3108</v>
      </c>
      <c r="D187" t="str">
        <f>""</f>
        <v/>
      </c>
      <c r="E187" t="str">
        <f t="shared" si="9"/>
        <v xml:space="preserve">Overige parameters </v>
      </c>
      <c r="F187" t="str">
        <f>""</f>
        <v/>
      </c>
      <c r="G187" t="str">
        <f>""</f>
        <v/>
      </c>
    </row>
    <row r="188" spans="1:7" x14ac:dyDescent="0.25">
      <c r="A188">
        <v>424</v>
      </c>
      <c r="B188" t="str">
        <f>"nonionaktieve detergentia"</f>
        <v>nonionaktieve detergentia</v>
      </c>
      <c r="C188" t="s">
        <v>3108</v>
      </c>
      <c r="D188" t="str">
        <f>""</f>
        <v/>
      </c>
      <c r="E188" t="str">
        <f t="shared" si="9"/>
        <v xml:space="preserve">Overige parameters </v>
      </c>
      <c r="F188" t="str">
        <f>""</f>
        <v/>
      </c>
      <c r="G188" t="str">
        <f>""</f>
        <v/>
      </c>
    </row>
    <row r="189" spans="1:7" x14ac:dyDescent="0.25">
      <c r="A189">
        <v>425</v>
      </c>
      <c r="B189" t="str">
        <f>"nonionische plus kationische detergentia"</f>
        <v>nonionische plus kationische detergentia</v>
      </c>
      <c r="C189" t="s">
        <v>3108</v>
      </c>
      <c r="D189" t="str">
        <f>""</f>
        <v/>
      </c>
      <c r="E189" t="str">
        <f t="shared" si="9"/>
        <v xml:space="preserve">Overige parameters </v>
      </c>
      <c r="F189" t="str">
        <f>""</f>
        <v/>
      </c>
      <c r="G189" t="str">
        <f>""</f>
        <v/>
      </c>
    </row>
    <row r="190" spans="1:7" x14ac:dyDescent="0.25">
      <c r="A190">
        <v>426</v>
      </c>
      <c r="B190" t="str">
        <f>"fenolen, waterdampvl."</f>
        <v>fenolen, waterdampvl.</v>
      </c>
      <c r="C190" t="s">
        <v>19062</v>
      </c>
      <c r="D190" t="str">
        <f>""</f>
        <v/>
      </c>
      <c r="E190" t="str">
        <f t="shared" si="9"/>
        <v xml:space="preserve">Overige parameters </v>
      </c>
      <c r="F190" t="str">
        <f>""</f>
        <v/>
      </c>
      <c r="G190" t="str">
        <f>""</f>
        <v/>
      </c>
    </row>
    <row r="191" spans="1:7" x14ac:dyDescent="0.25">
      <c r="A191">
        <v>429</v>
      </c>
      <c r="B191" t="str">
        <f>"minerale olie, GC-methode"</f>
        <v>minerale olie, GC-methode</v>
      </c>
      <c r="C191" t="s">
        <v>19016</v>
      </c>
      <c r="D191" t="str">
        <f>""</f>
        <v/>
      </c>
      <c r="E191" t="str">
        <f t="shared" si="9"/>
        <v xml:space="preserve">Overige parameters </v>
      </c>
      <c r="F191" t="str">
        <f>""</f>
        <v/>
      </c>
      <c r="G191" t="str">
        <f>""</f>
        <v/>
      </c>
    </row>
    <row r="192" spans="1:7" x14ac:dyDescent="0.25">
      <c r="A192">
        <v>431</v>
      </c>
      <c r="B192" t="str">
        <f>"AOX (ads. org. geb. halog.)"</f>
        <v>AOX (ads. org. geb. halog.)</v>
      </c>
      <c r="C192" t="s">
        <v>13144</v>
      </c>
      <c r="D192" t="str">
        <f>""</f>
        <v/>
      </c>
      <c r="E192" t="str">
        <f t="shared" si="9"/>
        <v xml:space="preserve">Overige parameters </v>
      </c>
      <c r="F192" t="str">
        <f>""</f>
        <v/>
      </c>
      <c r="G192" t="str">
        <f>""</f>
        <v/>
      </c>
    </row>
    <row r="193" spans="1:7" x14ac:dyDescent="0.25">
      <c r="A193">
        <v>432</v>
      </c>
      <c r="B193" t="str">
        <f>"EOX (extr. org. geb. halog.)"</f>
        <v>EOX (extr. org. geb. halog.)</v>
      </c>
      <c r="C193" t="s">
        <v>19063</v>
      </c>
      <c r="D193" t="str">
        <f>""</f>
        <v/>
      </c>
      <c r="E193" t="str">
        <f t="shared" si="9"/>
        <v xml:space="preserve">Overige parameters </v>
      </c>
      <c r="F193" t="str">
        <f>""</f>
        <v/>
      </c>
      <c r="G193" t="str">
        <f>""</f>
        <v/>
      </c>
    </row>
    <row r="194" spans="1:7" x14ac:dyDescent="0.25">
      <c r="A194">
        <v>434</v>
      </c>
      <c r="B194" t="str">
        <f>"VOX (vl. org. geb. halog.)"</f>
        <v>VOX (vl. org. geb. halog.)</v>
      </c>
      <c r="C194" t="s">
        <v>19063</v>
      </c>
      <c r="D194" t="str">
        <f>""</f>
        <v/>
      </c>
      <c r="E194" t="str">
        <f t="shared" si="9"/>
        <v xml:space="preserve">Overige parameters </v>
      </c>
      <c r="F194" t="str">
        <f>""</f>
        <v/>
      </c>
      <c r="G194" t="str">
        <f>""</f>
        <v/>
      </c>
    </row>
    <row r="195" spans="1:7" x14ac:dyDescent="0.25">
      <c r="A195">
        <v>436</v>
      </c>
      <c r="B195" t="str">
        <f>"AOCl (ads. org. geb. chloor)"</f>
        <v>AOCl (ads. org. geb. chloor)</v>
      </c>
      <c r="C195" t="s">
        <v>19063</v>
      </c>
      <c r="D195" t="str">
        <f>""</f>
        <v/>
      </c>
      <c r="E195" t="str">
        <f t="shared" si="9"/>
        <v xml:space="preserve">Overige parameters </v>
      </c>
      <c r="F195" t="str">
        <f>""</f>
        <v/>
      </c>
      <c r="G195" t="str">
        <f>""</f>
        <v/>
      </c>
    </row>
    <row r="196" spans="1:7" x14ac:dyDescent="0.25">
      <c r="A196">
        <v>437</v>
      </c>
      <c r="B196" t="str">
        <f>"AOBr (ads. org.geb. broom)"</f>
        <v>AOBr (ads. org.geb. broom)</v>
      </c>
      <c r="C196" t="s">
        <v>19064</v>
      </c>
      <c r="D196" t="str">
        <f>""</f>
        <v/>
      </c>
      <c r="E196" t="str">
        <f t="shared" si="9"/>
        <v xml:space="preserve">Overige parameters </v>
      </c>
      <c r="F196" t="str">
        <f>""</f>
        <v/>
      </c>
      <c r="G196" t="str">
        <f>""</f>
        <v/>
      </c>
    </row>
    <row r="197" spans="1:7" x14ac:dyDescent="0.25">
      <c r="A197">
        <v>438</v>
      </c>
      <c r="B197" t="str">
        <f>"AOI (ads. org. geb. jood)"</f>
        <v>AOI (ads. org. geb. jood)</v>
      </c>
      <c r="C197" t="s">
        <v>19051</v>
      </c>
      <c r="D197" t="str">
        <f>""</f>
        <v/>
      </c>
      <c r="E197" t="str">
        <f t="shared" si="9"/>
        <v xml:space="preserve">Overige parameters </v>
      </c>
      <c r="F197" t="str">
        <f>""</f>
        <v/>
      </c>
      <c r="G197" t="str">
        <f>""</f>
        <v/>
      </c>
    </row>
    <row r="198" spans="1:7" x14ac:dyDescent="0.25">
      <c r="A198">
        <v>442</v>
      </c>
      <c r="B198" t="str">
        <f>"AOS (ads. geb. zwavel)"</f>
        <v>AOS (ads. geb. zwavel)</v>
      </c>
      <c r="C198" t="s">
        <v>19054</v>
      </c>
      <c r="D198" t="str">
        <f>""</f>
        <v/>
      </c>
      <c r="E198" t="str">
        <f t="shared" si="9"/>
        <v xml:space="preserve">Overige parameters </v>
      </c>
      <c r="F198" t="str">
        <f>""</f>
        <v/>
      </c>
      <c r="G198" t="str">
        <f>""</f>
        <v/>
      </c>
    </row>
    <row r="199" spans="1:7" x14ac:dyDescent="0.25">
      <c r="A199">
        <v>446</v>
      </c>
      <c r="B199" t="str">
        <f>"EON (extr. org. geb. stikstof)"</f>
        <v>EON (extr. org. geb. stikstof)</v>
      </c>
      <c r="C199" t="s">
        <v>19065</v>
      </c>
      <c r="D199" t="str">
        <f>""</f>
        <v/>
      </c>
      <c r="E199" t="str">
        <f t="shared" si="9"/>
        <v xml:space="preserve">Overige parameters </v>
      </c>
      <c r="F199" t="str">
        <f>""</f>
        <v/>
      </c>
      <c r="G199" t="str">
        <f>""</f>
        <v/>
      </c>
    </row>
    <row r="200" spans="1:7" x14ac:dyDescent="0.25">
      <c r="A200">
        <v>447</v>
      </c>
      <c r="B200" t="str">
        <f>"EOP (extr. org. geb. fosfor)"</f>
        <v>EOP (extr. org. geb. fosfor)</v>
      </c>
      <c r="C200" t="s">
        <v>19066</v>
      </c>
      <c r="D200" t="str">
        <f>""</f>
        <v/>
      </c>
      <c r="E200" t="str">
        <f t="shared" si="9"/>
        <v xml:space="preserve">Overige parameters </v>
      </c>
      <c r="F200" t="str">
        <f>""</f>
        <v/>
      </c>
      <c r="G200" t="str">
        <f>""</f>
        <v/>
      </c>
    </row>
    <row r="201" spans="1:7" x14ac:dyDescent="0.25">
      <c r="A201">
        <v>448</v>
      </c>
      <c r="B201" t="str">
        <f>"EOS (extr. org. geb. zwavel)"</f>
        <v>EOS (extr. org. geb. zwavel)</v>
      </c>
      <c r="C201" t="s">
        <v>19054</v>
      </c>
      <c r="D201" t="str">
        <f>""</f>
        <v/>
      </c>
      <c r="E201" t="str">
        <f t="shared" si="9"/>
        <v xml:space="preserve">Overige parameters </v>
      </c>
      <c r="F201" t="str">
        <f>""</f>
        <v/>
      </c>
      <c r="G201" t="str">
        <f>""</f>
        <v/>
      </c>
    </row>
    <row r="202" spans="1:7" x14ac:dyDescent="0.25">
      <c r="A202">
        <v>451</v>
      </c>
      <c r="B202" t="str">
        <f>"som trihalomethanen"</f>
        <v>som trihalomethanen</v>
      </c>
      <c r="C202" t="s">
        <v>19016</v>
      </c>
      <c r="D202" t="str">
        <f>""</f>
        <v/>
      </c>
      <c r="E202" t="str">
        <f>"Organische parameters "</f>
        <v xml:space="preserve">Organische parameters </v>
      </c>
      <c r="F202" t="str">
        <f>"Gehalogeneerde alifatische koolwaterstoffen "</f>
        <v xml:space="preserve">Gehalogeneerde alifatische koolwaterstoffen </v>
      </c>
      <c r="G202" t="str">
        <f>"Trihalomethanen "</f>
        <v xml:space="preserve">Trihalomethanen </v>
      </c>
    </row>
    <row r="203" spans="1:7" x14ac:dyDescent="0.25">
      <c r="A203">
        <v>459</v>
      </c>
      <c r="B203" t="str">
        <f>"PAK, 6 van Borneff"</f>
        <v>PAK, 6 van Borneff</v>
      </c>
      <c r="C203" t="s">
        <v>19016</v>
      </c>
      <c r="D203" t="str">
        <f>""</f>
        <v/>
      </c>
      <c r="E203" t="str">
        <f>"Organische parameters "</f>
        <v xml:space="preserve">Organische parameters </v>
      </c>
      <c r="F203" t="str">
        <f>"Overige organische parameters "</f>
        <v xml:space="preserve">Overige organische parameters </v>
      </c>
      <c r="G203" t="str">
        <f>""</f>
        <v/>
      </c>
    </row>
    <row r="204" spans="1:7" x14ac:dyDescent="0.25">
      <c r="A204">
        <v>460</v>
      </c>
      <c r="B204" t="str">
        <f>"PAK, som 16 van EPA"</f>
        <v>PAK, som 16 van EPA</v>
      </c>
      <c r="C204" t="s">
        <v>19016</v>
      </c>
      <c r="D204" t="str">
        <f>""</f>
        <v/>
      </c>
      <c r="E204" t="str">
        <f>"Organische parameters "</f>
        <v xml:space="preserve">Organische parameters </v>
      </c>
      <c r="F204" t="str">
        <f>"Overige organische parameters "</f>
        <v xml:space="preserve">Overige organische parameters </v>
      </c>
      <c r="G204" t="str">
        <f>""</f>
        <v/>
      </c>
    </row>
    <row r="205" spans="1:7" x14ac:dyDescent="0.25">
      <c r="A205">
        <v>461</v>
      </c>
      <c r="B205" t="str">
        <f>"PAK, som 10"</f>
        <v>PAK, som 10</v>
      </c>
      <c r="C205" t="s">
        <v>19016</v>
      </c>
      <c r="D205" t="str">
        <f>""</f>
        <v/>
      </c>
      <c r="E205" t="str">
        <f>"Organische parameters "</f>
        <v xml:space="preserve">Organische parameters </v>
      </c>
      <c r="F205" t="str">
        <f>"Overige organische parameters "</f>
        <v xml:space="preserve">Overige organische parameters </v>
      </c>
      <c r="G205" t="str">
        <f>""</f>
        <v/>
      </c>
    </row>
    <row r="206" spans="1:7" x14ac:dyDescent="0.25">
      <c r="A206">
        <v>462</v>
      </c>
      <c r="B206" t="str">
        <f>"VAK"</f>
        <v>VAK</v>
      </c>
      <c r="C206" t="s">
        <v>19016</v>
      </c>
      <c r="D206" t="str">
        <f>""</f>
        <v/>
      </c>
      <c r="E206" t="str">
        <f>"Organische parameters "</f>
        <v xml:space="preserve">Organische parameters </v>
      </c>
      <c r="F206" t="str">
        <f>"Overige organische parameters "</f>
        <v xml:space="preserve">Overige organische parameters </v>
      </c>
      <c r="G206" t="str">
        <f>""</f>
        <v/>
      </c>
    </row>
    <row r="207" spans="1:7" x14ac:dyDescent="0.25">
      <c r="A207">
        <v>466</v>
      </c>
      <c r="B207" t="str">
        <f>"choline esterase remmers"</f>
        <v>choline esterase remmers</v>
      </c>
      <c r="C207" t="s">
        <v>19067</v>
      </c>
      <c r="D207" t="str">
        <f>""</f>
        <v/>
      </c>
      <c r="E207" t="str">
        <f t="shared" ref="E207:E223" si="10">"Overige parameters "</f>
        <v xml:space="preserve">Overige parameters </v>
      </c>
      <c r="F207" t="str">
        <f>""</f>
        <v/>
      </c>
      <c r="G207" t="str">
        <f>""</f>
        <v/>
      </c>
    </row>
    <row r="208" spans="1:7" x14ac:dyDescent="0.25">
      <c r="A208">
        <v>500</v>
      </c>
      <c r="B208" t="str">
        <f>"kobalt-60"</f>
        <v>kobalt-60</v>
      </c>
      <c r="C208" t="s">
        <v>12944</v>
      </c>
      <c r="D208" t="str">
        <f>"10198-40-0"</f>
        <v>10198-40-0</v>
      </c>
      <c r="E208" t="str">
        <f t="shared" si="10"/>
        <v xml:space="preserve">Overige parameters </v>
      </c>
      <c r="F208" t="str">
        <f>""</f>
        <v/>
      </c>
      <c r="G208" t="str">
        <f>""</f>
        <v/>
      </c>
    </row>
    <row r="209" spans="1:7" x14ac:dyDescent="0.25">
      <c r="A209">
        <v>501</v>
      </c>
      <c r="B209" t="str">
        <f>"strontium-89"</f>
        <v>strontium-89</v>
      </c>
      <c r="C209" t="s">
        <v>12944</v>
      </c>
      <c r="D209" t="str">
        <f>"14158-27-1"</f>
        <v>14158-27-1</v>
      </c>
      <c r="E209" t="str">
        <f t="shared" si="10"/>
        <v xml:space="preserve">Overige parameters </v>
      </c>
      <c r="F209" t="str">
        <f>""</f>
        <v/>
      </c>
      <c r="G209" t="str">
        <f>""</f>
        <v/>
      </c>
    </row>
    <row r="210" spans="1:7" x14ac:dyDescent="0.25">
      <c r="A210">
        <v>502</v>
      </c>
      <c r="B210" t="str">
        <f>"strontium-90"</f>
        <v>strontium-90</v>
      </c>
      <c r="C210" t="s">
        <v>12944</v>
      </c>
      <c r="D210" t="str">
        <f>"10098-97-2"</f>
        <v>10098-97-2</v>
      </c>
      <c r="E210" t="str">
        <f t="shared" si="10"/>
        <v xml:space="preserve">Overige parameters </v>
      </c>
      <c r="F210" t="str">
        <f>""</f>
        <v/>
      </c>
      <c r="G210" t="str">
        <f>""</f>
        <v/>
      </c>
    </row>
    <row r="211" spans="1:7" x14ac:dyDescent="0.25">
      <c r="A211">
        <v>503</v>
      </c>
      <c r="B211" t="str">
        <f>"jodium-129"</f>
        <v>jodium-129</v>
      </c>
      <c r="C211" t="s">
        <v>12944</v>
      </c>
      <c r="D211" t="str">
        <f>"15046-84-1"</f>
        <v>15046-84-1</v>
      </c>
      <c r="E211" t="str">
        <f t="shared" si="10"/>
        <v xml:space="preserve">Overige parameters </v>
      </c>
      <c r="F211" t="str">
        <f>""</f>
        <v/>
      </c>
      <c r="G211" t="str">
        <f>""</f>
        <v/>
      </c>
    </row>
    <row r="212" spans="1:7" x14ac:dyDescent="0.25">
      <c r="A212">
        <v>504</v>
      </c>
      <c r="B212" t="str">
        <f>"jodium-131"</f>
        <v>jodium-131</v>
      </c>
      <c r="C212" t="s">
        <v>12944</v>
      </c>
      <c r="D212" t="str">
        <f>"10043-66-0"</f>
        <v>10043-66-0</v>
      </c>
      <c r="E212" t="str">
        <f t="shared" si="10"/>
        <v xml:space="preserve">Overige parameters </v>
      </c>
      <c r="F212" t="str">
        <f>""</f>
        <v/>
      </c>
      <c r="G212" t="str">
        <f>""</f>
        <v/>
      </c>
    </row>
    <row r="213" spans="1:7" x14ac:dyDescent="0.25">
      <c r="A213">
        <v>505</v>
      </c>
      <c r="B213" t="str">
        <f>"cesium-134"</f>
        <v>cesium-134</v>
      </c>
      <c r="C213" t="s">
        <v>12944</v>
      </c>
      <c r="D213" t="str">
        <f>"13967-70-9"</f>
        <v>13967-70-9</v>
      </c>
      <c r="E213" t="str">
        <f t="shared" si="10"/>
        <v xml:space="preserve">Overige parameters </v>
      </c>
      <c r="F213" t="str">
        <f>""</f>
        <v/>
      </c>
      <c r="G213" t="str">
        <f>""</f>
        <v/>
      </c>
    </row>
    <row r="214" spans="1:7" x14ac:dyDescent="0.25">
      <c r="A214">
        <v>506</v>
      </c>
      <c r="B214" t="str">
        <f>"cesium-137"</f>
        <v>cesium-137</v>
      </c>
      <c r="C214" t="s">
        <v>12944</v>
      </c>
      <c r="D214" t="str">
        <f>"10045-97-3"</f>
        <v>10045-97-3</v>
      </c>
      <c r="E214" t="str">
        <f t="shared" si="10"/>
        <v xml:space="preserve">Overige parameters </v>
      </c>
      <c r="F214" t="str">
        <f>""</f>
        <v/>
      </c>
      <c r="G214" t="str">
        <f>""</f>
        <v/>
      </c>
    </row>
    <row r="215" spans="1:7" x14ac:dyDescent="0.25">
      <c r="A215">
        <v>507</v>
      </c>
      <c r="B215" t="str">
        <f>"lood-210"</f>
        <v>lood-210</v>
      </c>
      <c r="C215" t="s">
        <v>12944</v>
      </c>
      <c r="D215" t="str">
        <f>""</f>
        <v/>
      </c>
      <c r="E215" t="str">
        <f t="shared" si="10"/>
        <v xml:space="preserve">Overige parameters </v>
      </c>
      <c r="F215" t="str">
        <f>""</f>
        <v/>
      </c>
      <c r="G215" t="str">
        <f>""</f>
        <v/>
      </c>
    </row>
    <row r="216" spans="1:7" x14ac:dyDescent="0.25">
      <c r="A216">
        <v>508</v>
      </c>
      <c r="B216" t="str">
        <f>"polonium-210"</f>
        <v>polonium-210</v>
      </c>
      <c r="C216" t="s">
        <v>12944</v>
      </c>
      <c r="D216" t="str">
        <f>"13981-52-7"</f>
        <v>13981-52-7</v>
      </c>
      <c r="E216" t="str">
        <f t="shared" si="10"/>
        <v xml:space="preserve">Overige parameters </v>
      </c>
      <c r="F216" t="str">
        <f>""</f>
        <v/>
      </c>
      <c r="G216" t="str">
        <f>""</f>
        <v/>
      </c>
    </row>
    <row r="217" spans="1:7" x14ac:dyDescent="0.25">
      <c r="A217">
        <v>509</v>
      </c>
      <c r="B217" t="str">
        <f>"radium-224"</f>
        <v>radium-224</v>
      </c>
      <c r="C217" t="s">
        <v>12944</v>
      </c>
      <c r="D217" t="str">
        <f>"13233-32-4"</f>
        <v>13233-32-4</v>
      </c>
      <c r="E217" t="str">
        <f t="shared" si="10"/>
        <v xml:space="preserve">Overige parameters </v>
      </c>
      <c r="F217" t="str">
        <f>""</f>
        <v/>
      </c>
      <c r="G217" t="str">
        <f>""</f>
        <v/>
      </c>
    </row>
    <row r="218" spans="1:7" x14ac:dyDescent="0.25">
      <c r="A218">
        <v>510</v>
      </c>
      <c r="B218" t="str">
        <f>"radium-226"</f>
        <v>radium-226</v>
      </c>
      <c r="C218" t="s">
        <v>12944</v>
      </c>
      <c r="D218" t="str">
        <f>"13982-63-3"</f>
        <v>13982-63-3</v>
      </c>
      <c r="E218" t="str">
        <f t="shared" si="10"/>
        <v xml:space="preserve">Overige parameters </v>
      </c>
      <c r="F218" t="str">
        <f>""</f>
        <v/>
      </c>
      <c r="G218" t="str">
        <f>""</f>
        <v/>
      </c>
    </row>
    <row r="219" spans="1:7" x14ac:dyDescent="0.25">
      <c r="A219">
        <v>511</v>
      </c>
      <c r="B219" t="str">
        <f>"radium-228"</f>
        <v>radium-228</v>
      </c>
      <c r="C219" t="s">
        <v>12944</v>
      </c>
      <c r="D219" t="str">
        <f>"15262-20-1"</f>
        <v>15262-20-1</v>
      </c>
      <c r="E219" t="str">
        <f t="shared" si="10"/>
        <v xml:space="preserve">Overige parameters </v>
      </c>
      <c r="F219" t="str">
        <f>""</f>
        <v/>
      </c>
      <c r="G219" t="str">
        <f>""</f>
        <v/>
      </c>
    </row>
    <row r="220" spans="1:7" x14ac:dyDescent="0.25">
      <c r="A220">
        <v>512</v>
      </c>
      <c r="B220" t="str">
        <f>"thallium-232"</f>
        <v>thallium-232</v>
      </c>
      <c r="C220" t="s">
        <v>12944</v>
      </c>
      <c r="D220" t="str">
        <f>"78896-00-1"</f>
        <v>78896-00-1</v>
      </c>
      <c r="E220" t="str">
        <f t="shared" si="10"/>
        <v xml:space="preserve">Overige parameters </v>
      </c>
      <c r="F220" t="str">
        <f>""</f>
        <v/>
      </c>
      <c r="G220" t="str">
        <f>""</f>
        <v/>
      </c>
    </row>
    <row r="221" spans="1:7" x14ac:dyDescent="0.25">
      <c r="A221">
        <v>513</v>
      </c>
      <c r="B221" t="str">
        <f>"uranium-234"</f>
        <v>uranium-234</v>
      </c>
      <c r="C221" t="s">
        <v>12944</v>
      </c>
      <c r="D221" t="str">
        <f>"13966-29-5"</f>
        <v>13966-29-5</v>
      </c>
      <c r="E221" t="str">
        <f t="shared" si="10"/>
        <v xml:space="preserve">Overige parameters </v>
      </c>
      <c r="F221" t="str">
        <f>""</f>
        <v/>
      </c>
      <c r="G221" t="str">
        <f>""</f>
        <v/>
      </c>
    </row>
    <row r="222" spans="1:7" x14ac:dyDescent="0.25">
      <c r="A222">
        <v>514</v>
      </c>
      <c r="B222" t="str">
        <f>"uranium-238"</f>
        <v>uranium-238</v>
      </c>
      <c r="C222" t="s">
        <v>12944</v>
      </c>
      <c r="D222" t="str">
        <f>"7440-61-1"</f>
        <v>7440-61-1</v>
      </c>
      <c r="E222" t="str">
        <f t="shared" si="10"/>
        <v xml:space="preserve">Overige parameters </v>
      </c>
      <c r="F222" t="str">
        <f>""</f>
        <v/>
      </c>
      <c r="G222" t="str">
        <f>""</f>
        <v/>
      </c>
    </row>
    <row r="223" spans="1:7" x14ac:dyDescent="0.25">
      <c r="A223">
        <v>515</v>
      </c>
      <c r="B223" t="str">
        <f>"plutonium-239"</f>
        <v>plutonium-239</v>
      </c>
      <c r="C223" t="s">
        <v>12944</v>
      </c>
      <c r="D223" t="str">
        <f>"15117-48-3"</f>
        <v>15117-48-3</v>
      </c>
      <c r="E223" t="str">
        <f t="shared" si="10"/>
        <v xml:space="preserve">Overige parameters </v>
      </c>
      <c r="F223" t="str">
        <f>""</f>
        <v/>
      </c>
      <c r="G223" t="str">
        <f>""</f>
        <v/>
      </c>
    </row>
    <row r="224" spans="1:7" x14ac:dyDescent="0.25">
      <c r="A224">
        <v>600</v>
      </c>
      <c r="B224" t="str">
        <f>"koloniegetal 22 øC, 3 dg GGA-gietplaat"</f>
        <v>koloniegetal 22 øC, 3 dg GGA-gietplaat</v>
      </c>
      <c r="C224" t="s">
        <v>13183</v>
      </c>
      <c r="D224" t="str">
        <f>""</f>
        <v/>
      </c>
      <c r="E224" t="str">
        <f t="shared" ref="E224:E262" si="11">"Biologische parameters "</f>
        <v xml:space="preserve">Biologische parameters </v>
      </c>
      <c r="F224" t="str">
        <f t="shared" ref="F224:F258" si="12">"Microbiologische parameters "</f>
        <v xml:space="preserve">Microbiologische parameters </v>
      </c>
      <c r="G224" t="str">
        <f>""</f>
        <v/>
      </c>
    </row>
    <row r="225" spans="1:7" x14ac:dyDescent="0.25">
      <c r="A225">
        <v>602</v>
      </c>
      <c r="B225" t="str">
        <f>"koloniegetal 37 øC, 2 dg GGA-gietplaat"</f>
        <v>koloniegetal 37 øC, 2 dg GGA-gietplaat</v>
      </c>
      <c r="C225" t="s">
        <v>13183</v>
      </c>
      <c r="D225" t="str">
        <f>""</f>
        <v/>
      </c>
      <c r="E225" t="str">
        <f t="shared" si="11"/>
        <v xml:space="preserve">Biologische parameters </v>
      </c>
      <c r="F225" t="str">
        <f t="shared" si="12"/>
        <v xml:space="preserve">Microbiologische parameters </v>
      </c>
      <c r="G225" t="str">
        <f>""</f>
        <v/>
      </c>
    </row>
    <row r="226" spans="1:7" x14ac:dyDescent="0.25">
      <c r="A226">
        <v>604</v>
      </c>
      <c r="B226" t="str">
        <f>"koloniegetal 22 øC, 7 dg LLA-strijkplaat"</f>
        <v>koloniegetal 22 øC, 7 dg LLA-strijkplaat</v>
      </c>
      <c r="C226" t="s">
        <v>13183</v>
      </c>
      <c r="D226" t="str">
        <f>""</f>
        <v/>
      </c>
      <c r="E226" t="str">
        <f t="shared" si="11"/>
        <v xml:space="preserve">Biologische parameters </v>
      </c>
      <c r="F226" t="str">
        <f t="shared" si="12"/>
        <v xml:space="preserve">Microbiologische parameters </v>
      </c>
      <c r="G226" t="str">
        <f>""</f>
        <v/>
      </c>
    </row>
    <row r="227" spans="1:7" x14ac:dyDescent="0.25">
      <c r="A227">
        <v>606</v>
      </c>
      <c r="B227" t="str">
        <f>"koloniegetal 25 øC, 10 dg R2A-strijkplaat"</f>
        <v>koloniegetal 25 øC, 10 dg R2A-strijkplaat</v>
      </c>
      <c r="C227" t="s">
        <v>13183</v>
      </c>
      <c r="D227" t="str">
        <f>""</f>
        <v/>
      </c>
      <c r="E227" t="str">
        <f t="shared" si="11"/>
        <v xml:space="preserve">Biologische parameters </v>
      </c>
      <c r="F227" t="str">
        <f t="shared" si="12"/>
        <v xml:space="preserve">Microbiologische parameters </v>
      </c>
      <c r="G227" t="str">
        <f>""</f>
        <v/>
      </c>
    </row>
    <row r="228" spans="1:7" x14ac:dyDescent="0.25">
      <c r="A228">
        <v>610</v>
      </c>
      <c r="B228" t="str">
        <f>"bacteriën Coligroep (37 øC, MWA-methode)"</f>
        <v>bacteriën Coligroep (37 øC, MWA-methode)</v>
      </c>
      <c r="C228" t="s">
        <v>13188</v>
      </c>
      <c r="D228" t="str">
        <f>""</f>
        <v/>
      </c>
      <c r="E228" t="str">
        <f t="shared" si="11"/>
        <v xml:space="preserve">Biologische parameters </v>
      </c>
      <c r="F228" t="str">
        <f t="shared" si="12"/>
        <v xml:space="preserve">Microbiologische parameters </v>
      </c>
      <c r="G228" t="str">
        <f>""</f>
        <v/>
      </c>
    </row>
    <row r="229" spans="1:7" x14ac:dyDescent="0.25">
      <c r="A229">
        <v>614</v>
      </c>
      <c r="B229" t="str">
        <f>"bacteriën Coligroep (37 øC)"</f>
        <v>bacteriën Coligroep (37 øC)</v>
      </c>
      <c r="C229" t="s">
        <v>13190</v>
      </c>
      <c r="D229" t="str">
        <f>""</f>
        <v/>
      </c>
      <c r="E229" t="str">
        <f t="shared" si="11"/>
        <v xml:space="preserve">Biologische parameters </v>
      </c>
      <c r="F229" t="str">
        <f t="shared" si="12"/>
        <v xml:space="preserve">Microbiologische parameters </v>
      </c>
      <c r="G229" t="str">
        <f>""</f>
        <v/>
      </c>
    </row>
    <row r="230" spans="1:7" x14ac:dyDescent="0.25">
      <c r="A230">
        <v>624</v>
      </c>
      <c r="B230" t="str">
        <f>"thermotol.bact.van de coligroep (44 øC)"</f>
        <v>thermotol.bact.van de coligroep (44 øC)</v>
      </c>
      <c r="C230" t="s">
        <v>13190</v>
      </c>
      <c r="D230" t="str">
        <f>""</f>
        <v/>
      </c>
      <c r="E230" t="str">
        <f t="shared" si="11"/>
        <v xml:space="preserve">Biologische parameters </v>
      </c>
      <c r="F230" t="str">
        <f t="shared" si="12"/>
        <v xml:space="preserve">Microbiologische parameters </v>
      </c>
      <c r="G230" t="str">
        <f>""</f>
        <v/>
      </c>
    </row>
    <row r="231" spans="1:7" x14ac:dyDescent="0.25">
      <c r="A231">
        <v>626</v>
      </c>
      <c r="B231" t="str">
        <f>"Escherichia coli"</f>
        <v>Escherichia coli</v>
      </c>
      <c r="C231" t="s">
        <v>13190</v>
      </c>
      <c r="D231" t="str">
        <f>""</f>
        <v/>
      </c>
      <c r="E231" t="str">
        <f t="shared" si="11"/>
        <v xml:space="preserve">Biologische parameters </v>
      </c>
      <c r="F231" t="str">
        <f t="shared" si="12"/>
        <v xml:space="preserve">Microbiologische parameters </v>
      </c>
      <c r="G231" t="str">
        <f>""</f>
        <v/>
      </c>
    </row>
    <row r="232" spans="1:7" x14ac:dyDescent="0.25">
      <c r="A232">
        <v>634</v>
      </c>
      <c r="B232" t="str">
        <f>"Enterococcen"</f>
        <v>Enterococcen</v>
      </c>
      <c r="C232" t="s">
        <v>13190</v>
      </c>
      <c r="D232" t="str">
        <f>""</f>
        <v/>
      </c>
      <c r="E232" t="str">
        <f t="shared" si="11"/>
        <v xml:space="preserve">Biologische parameters </v>
      </c>
      <c r="F232" t="str">
        <f t="shared" si="12"/>
        <v xml:space="preserve">Microbiologische parameters </v>
      </c>
      <c r="G232" t="str">
        <f>""</f>
        <v/>
      </c>
    </row>
    <row r="233" spans="1:7" x14ac:dyDescent="0.25">
      <c r="A233">
        <v>637</v>
      </c>
      <c r="B233" t="str">
        <f>"Escherichia coli (PCR)"</f>
        <v>Escherichia coli (PCR)</v>
      </c>
      <c r="C233" t="s">
        <v>13194</v>
      </c>
      <c r="D233" t="str">
        <f>""</f>
        <v/>
      </c>
      <c r="E233" t="str">
        <f t="shared" si="11"/>
        <v xml:space="preserve">Biologische parameters </v>
      </c>
      <c r="F233" t="str">
        <f t="shared" si="12"/>
        <v xml:space="preserve">Microbiologische parameters </v>
      </c>
      <c r="G233" t="str">
        <f>""</f>
        <v/>
      </c>
    </row>
    <row r="234" spans="1:7" x14ac:dyDescent="0.25">
      <c r="A234">
        <v>640</v>
      </c>
      <c r="B234" t="str">
        <f>"Aeromonas spp. 30 øC"</f>
        <v>Aeromonas spp. 30 øC</v>
      </c>
      <c r="C234" t="s">
        <v>13190</v>
      </c>
      <c r="D234" t="str">
        <f>""</f>
        <v/>
      </c>
      <c r="E234" t="str">
        <f t="shared" si="11"/>
        <v xml:space="preserve">Biologische parameters </v>
      </c>
      <c r="F234" t="str">
        <f t="shared" si="12"/>
        <v xml:space="preserve">Microbiologische parameters </v>
      </c>
      <c r="G234" t="str">
        <f>""</f>
        <v/>
      </c>
    </row>
    <row r="235" spans="1:7" x14ac:dyDescent="0.25">
      <c r="A235">
        <v>641</v>
      </c>
      <c r="B235" t="str">
        <f>"Aeromonas spp. 37 øC"</f>
        <v>Aeromonas spp. 37 øC</v>
      </c>
      <c r="C235" t="s">
        <v>13190</v>
      </c>
      <c r="D235" t="str">
        <f>""</f>
        <v/>
      </c>
      <c r="E235" t="str">
        <f t="shared" si="11"/>
        <v xml:space="preserve">Biologische parameters </v>
      </c>
      <c r="F235" t="str">
        <f t="shared" si="12"/>
        <v xml:space="preserve">Microbiologische parameters </v>
      </c>
      <c r="G235" t="str">
        <f>""</f>
        <v/>
      </c>
    </row>
    <row r="236" spans="1:7" x14ac:dyDescent="0.25">
      <c r="A236">
        <v>642</v>
      </c>
      <c r="B236" t="str">
        <f>"actinomyceten"</f>
        <v>actinomyceten</v>
      </c>
      <c r="C236" t="s">
        <v>13190</v>
      </c>
      <c r="D236" t="str">
        <f>""</f>
        <v/>
      </c>
      <c r="E236" t="str">
        <f t="shared" si="11"/>
        <v xml:space="preserve">Biologische parameters </v>
      </c>
      <c r="F236" t="str">
        <f t="shared" si="12"/>
        <v xml:space="preserve">Microbiologische parameters </v>
      </c>
      <c r="G236" t="str">
        <f>""</f>
        <v/>
      </c>
    </row>
    <row r="237" spans="1:7" x14ac:dyDescent="0.25">
      <c r="A237">
        <v>644</v>
      </c>
      <c r="B237" t="str">
        <f>"sporen van sulfiet-reducerende clostridia"</f>
        <v>sporen van sulfiet-reducerende clostridia</v>
      </c>
      <c r="C237" t="s">
        <v>13190</v>
      </c>
      <c r="D237" t="str">
        <f>""</f>
        <v/>
      </c>
      <c r="E237" t="str">
        <f t="shared" si="11"/>
        <v xml:space="preserve">Biologische parameters </v>
      </c>
      <c r="F237" t="str">
        <f t="shared" si="12"/>
        <v xml:space="preserve">Microbiologische parameters </v>
      </c>
      <c r="G237" t="str">
        <f>""</f>
        <v/>
      </c>
    </row>
    <row r="238" spans="1:7" x14ac:dyDescent="0.25">
      <c r="A238">
        <v>647</v>
      </c>
      <c r="B238" t="str">
        <f>"Legionella spp."</f>
        <v>Legionella spp.</v>
      </c>
      <c r="C238" t="s">
        <v>13200</v>
      </c>
      <c r="D238" t="str">
        <f>""</f>
        <v/>
      </c>
      <c r="E238" t="str">
        <f t="shared" si="11"/>
        <v xml:space="preserve">Biologische parameters </v>
      </c>
      <c r="F238" t="str">
        <f t="shared" si="12"/>
        <v xml:space="preserve">Microbiologische parameters </v>
      </c>
      <c r="G238" t="str">
        <f>""</f>
        <v/>
      </c>
    </row>
    <row r="239" spans="1:7" x14ac:dyDescent="0.25">
      <c r="A239">
        <v>648</v>
      </c>
      <c r="B239" t="str">
        <f>"Pseudomonas spp."</f>
        <v>Pseudomonas spp.</v>
      </c>
      <c r="C239" t="s">
        <v>13190</v>
      </c>
      <c r="D239" t="str">
        <f>""</f>
        <v/>
      </c>
      <c r="E239" t="str">
        <f t="shared" si="11"/>
        <v xml:space="preserve">Biologische parameters </v>
      </c>
      <c r="F239" t="str">
        <f t="shared" si="12"/>
        <v xml:space="preserve">Microbiologische parameters </v>
      </c>
      <c r="G239" t="str">
        <f>""</f>
        <v/>
      </c>
    </row>
    <row r="240" spans="1:7" x14ac:dyDescent="0.25">
      <c r="A240">
        <v>651</v>
      </c>
      <c r="B240" t="str">
        <f>"Enterococcen, Intestinale"</f>
        <v>Enterococcen, Intestinale</v>
      </c>
      <c r="C240" t="s">
        <v>13190</v>
      </c>
      <c r="D240" t="str">
        <f>""</f>
        <v/>
      </c>
      <c r="E240" t="str">
        <f t="shared" si="11"/>
        <v xml:space="preserve">Biologische parameters </v>
      </c>
      <c r="F240" t="str">
        <f t="shared" si="12"/>
        <v xml:space="preserve">Microbiologische parameters </v>
      </c>
      <c r="G240" t="str">
        <f>""</f>
        <v/>
      </c>
    </row>
    <row r="241" spans="1:7" x14ac:dyDescent="0.25">
      <c r="A241">
        <v>652</v>
      </c>
      <c r="B241" t="str">
        <f>"sporenvormers, aeroob"</f>
        <v>sporenvormers, aeroob</v>
      </c>
      <c r="C241" t="s">
        <v>13190</v>
      </c>
      <c r="D241" t="str">
        <f>""</f>
        <v/>
      </c>
      <c r="E241" t="str">
        <f t="shared" si="11"/>
        <v xml:space="preserve">Biologische parameters </v>
      </c>
      <c r="F241" t="str">
        <f t="shared" si="12"/>
        <v xml:space="preserve">Microbiologische parameters </v>
      </c>
      <c r="G241" t="str">
        <f>""</f>
        <v/>
      </c>
    </row>
    <row r="242" spans="1:7" x14ac:dyDescent="0.25">
      <c r="A242">
        <v>655</v>
      </c>
      <c r="B242" t="str">
        <f>"Enterococcen spp."</f>
        <v>Enterococcen spp.</v>
      </c>
      <c r="C242" t="s">
        <v>13205</v>
      </c>
      <c r="D242" t="str">
        <f>""</f>
        <v/>
      </c>
      <c r="E242" t="str">
        <f t="shared" si="11"/>
        <v xml:space="preserve">Biologische parameters </v>
      </c>
      <c r="F242" t="str">
        <f t="shared" si="12"/>
        <v xml:space="preserve">Microbiologische parameters </v>
      </c>
      <c r="G242" t="str">
        <f>""</f>
        <v/>
      </c>
    </row>
    <row r="243" spans="1:7" x14ac:dyDescent="0.25">
      <c r="A243">
        <v>656</v>
      </c>
      <c r="B243" t="str">
        <f>"Enterococcen (PCR)"</f>
        <v>Enterococcen (PCR)</v>
      </c>
      <c r="C243" t="s">
        <v>13194</v>
      </c>
      <c r="D243" t="str">
        <f>""</f>
        <v/>
      </c>
      <c r="E243" t="str">
        <f t="shared" si="11"/>
        <v xml:space="preserve">Biologische parameters </v>
      </c>
      <c r="F243" t="str">
        <f t="shared" si="12"/>
        <v xml:space="preserve">Microbiologische parameters </v>
      </c>
      <c r="G243" t="str">
        <f>""</f>
        <v/>
      </c>
    </row>
    <row r="244" spans="1:7" x14ac:dyDescent="0.25">
      <c r="A244">
        <v>658</v>
      </c>
      <c r="B244" t="str">
        <f>"Legionella pneumophila"</f>
        <v>Legionella pneumophila</v>
      </c>
      <c r="C244" t="s">
        <v>13208</v>
      </c>
      <c r="D244" t="str">
        <f>""</f>
        <v/>
      </c>
      <c r="E244" t="str">
        <f t="shared" si="11"/>
        <v xml:space="preserve">Biologische parameters </v>
      </c>
      <c r="F244" t="str">
        <f t="shared" si="12"/>
        <v xml:space="preserve">Microbiologische parameters </v>
      </c>
      <c r="G244" t="str">
        <f>""</f>
        <v/>
      </c>
    </row>
    <row r="245" spans="1:7" x14ac:dyDescent="0.25">
      <c r="A245">
        <v>659</v>
      </c>
      <c r="B245" t="str">
        <f>"Legionella spp."</f>
        <v>Legionella spp.</v>
      </c>
      <c r="C245" t="s">
        <v>13208</v>
      </c>
      <c r="D245" t="str">
        <f>""</f>
        <v/>
      </c>
      <c r="E245" t="str">
        <f t="shared" si="11"/>
        <v xml:space="preserve">Biologische parameters </v>
      </c>
      <c r="F245" t="str">
        <f t="shared" si="12"/>
        <v xml:space="preserve">Microbiologische parameters </v>
      </c>
      <c r="G245" t="str">
        <f>""</f>
        <v/>
      </c>
    </row>
    <row r="246" spans="1:7" x14ac:dyDescent="0.25">
      <c r="A246">
        <v>660</v>
      </c>
      <c r="B246" t="str">
        <f>"Colifagen"</f>
        <v>Colifagen</v>
      </c>
      <c r="C246" t="s">
        <v>13209</v>
      </c>
      <c r="D246" t="str">
        <f>""</f>
        <v/>
      </c>
      <c r="E246" t="str">
        <f t="shared" si="11"/>
        <v xml:space="preserve">Biologische parameters </v>
      </c>
      <c r="F246" t="str">
        <f t="shared" si="12"/>
        <v xml:space="preserve">Microbiologische parameters </v>
      </c>
      <c r="G246" t="str">
        <f>""</f>
        <v/>
      </c>
    </row>
    <row r="247" spans="1:7" x14ac:dyDescent="0.25">
      <c r="A247">
        <v>662</v>
      </c>
      <c r="B247" t="str">
        <f>"Clostridium botulinum"</f>
        <v>Clostridium botulinum</v>
      </c>
      <c r="C247" t="s">
        <v>13190</v>
      </c>
      <c r="D247" t="str">
        <f>""</f>
        <v/>
      </c>
      <c r="E247" t="str">
        <f t="shared" si="11"/>
        <v xml:space="preserve">Biologische parameters </v>
      </c>
      <c r="F247" t="str">
        <f t="shared" si="12"/>
        <v xml:space="preserve">Microbiologische parameters </v>
      </c>
      <c r="G247" t="str">
        <f>""</f>
        <v/>
      </c>
    </row>
    <row r="248" spans="1:7" x14ac:dyDescent="0.25">
      <c r="A248">
        <v>664</v>
      </c>
      <c r="B248" t="str">
        <f>"Clostridium perfringens (met inbegrip van sporen)"</f>
        <v>Clostridium perfringens (met inbegrip van sporen)</v>
      </c>
      <c r="C248" t="s">
        <v>13190</v>
      </c>
      <c r="D248" t="str">
        <f>""</f>
        <v/>
      </c>
      <c r="E248" t="str">
        <f t="shared" si="11"/>
        <v xml:space="preserve">Biologische parameters </v>
      </c>
      <c r="F248" t="str">
        <f t="shared" si="12"/>
        <v xml:space="preserve">Microbiologische parameters </v>
      </c>
      <c r="G248" t="str">
        <f>""</f>
        <v/>
      </c>
    </row>
    <row r="249" spans="1:7" x14ac:dyDescent="0.25">
      <c r="A249">
        <v>665</v>
      </c>
      <c r="B249" t="str">
        <f>"Campylobacter spp."</f>
        <v>Campylobacter spp.</v>
      </c>
      <c r="C249" t="s">
        <v>13213</v>
      </c>
      <c r="D249" t="str">
        <f>""</f>
        <v/>
      </c>
      <c r="E249" t="str">
        <f t="shared" si="11"/>
        <v xml:space="preserve">Biologische parameters </v>
      </c>
      <c r="F249" t="str">
        <f t="shared" si="12"/>
        <v xml:space="preserve">Microbiologische parameters </v>
      </c>
      <c r="G249" t="str">
        <f>""</f>
        <v/>
      </c>
    </row>
    <row r="250" spans="1:7" x14ac:dyDescent="0.25">
      <c r="A250">
        <v>666</v>
      </c>
      <c r="B250" t="str">
        <f>"Campylobacter spp."</f>
        <v>Campylobacter spp.</v>
      </c>
      <c r="C250" t="s">
        <v>13215</v>
      </c>
      <c r="D250" t="str">
        <f>""</f>
        <v/>
      </c>
      <c r="E250" t="str">
        <f t="shared" si="11"/>
        <v xml:space="preserve">Biologische parameters </v>
      </c>
      <c r="F250" t="str">
        <f t="shared" si="12"/>
        <v xml:space="preserve">Microbiologische parameters </v>
      </c>
      <c r="G250" t="str">
        <f>""</f>
        <v/>
      </c>
    </row>
    <row r="251" spans="1:7" x14ac:dyDescent="0.25">
      <c r="A251">
        <v>669</v>
      </c>
      <c r="B251" t="str">
        <f>"reovirussen"</f>
        <v>reovirussen</v>
      </c>
      <c r="C251" t="s">
        <v>13209</v>
      </c>
      <c r="D251" t="str">
        <f>""</f>
        <v/>
      </c>
      <c r="E251" t="str">
        <f t="shared" si="11"/>
        <v xml:space="preserve">Biologische parameters </v>
      </c>
      <c r="F251" t="str">
        <f t="shared" si="12"/>
        <v xml:space="preserve">Microbiologische parameters </v>
      </c>
      <c r="G251" t="str">
        <f>""</f>
        <v/>
      </c>
    </row>
    <row r="252" spans="1:7" x14ac:dyDescent="0.25">
      <c r="A252">
        <v>670</v>
      </c>
      <c r="B252" t="str">
        <f>"schimmels, totaal"</f>
        <v>schimmels, totaal</v>
      </c>
      <c r="C252" t="s">
        <v>13190</v>
      </c>
      <c r="D252" t="str">
        <f>""</f>
        <v/>
      </c>
      <c r="E252" t="str">
        <f t="shared" si="11"/>
        <v xml:space="preserve">Biologische parameters </v>
      </c>
      <c r="F252" t="str">
        <f t="shared" si="12"/>
        <v xml:space="preserve">Microbiologische parameters </v>
      </c>
      <c r="G252" t="str">
        <f>""</f>
        <v/>
      </c>
    </row>
    <row r="253" spans="1:7" x14ac:dyDescent="0.25">
      <c r="A253">
        <v>672</v>
      </c>
      <c r="B253" t="str">
        <f>"Aureobasidium"</f>
        <v>Aureobasidium</v>
      </c>
      <c r="C253" t="s">
        <v>13190</v>
      </c>
      <c r="D253" t="str">
        <f>""</f>
        <v/>
      </c>
      <c r="E253" t="str">
        <f t="shared" si="11"/>
        <v xml:space="preserve">Biologische parameters </v>
      </c>
      <c r="F253" t="str">
        <f t="shared" si="12"/>
        <v xml:space="preserve">Microbiologische parameters </v>
      </c>
      <c r="G253" t="str">
        <f>""</f>
        <v/>
      </c>
    </row>
    <row r="254" spans="1:7" x14ac:dyDescent="0.25">
      <c r="A254">
        <v>674</v>
      </c>
      <c r="B254" t="str">
        <f>"fusarium"</f>
        <v>fusarium</v>
      </c>
      <c r="C254" t="s">
        <v>13190</v>
      </c>
      <c r="D254" t="str">
        <f>""</f>
        <v/>
      </c>
      <c r="E254" t="str">
        <f t="shared" si="11"/>
        <v xml:space="preserve">Biologische parameters </v>
      </c>
      <c r="F254" t="str">
        <f t="shared" si="12"/>
        <v xml:space="preserve">Microbiologische parameters </v>
      </c>
      <c r="G254" t="str">
        <f>""</f>
        <v/>
      </c>
    </row>
    <row r="255" spans="1:7" x14ac:dyDescent="0.25">
      <c r="A255">
        <v>676</v>
      </c>
      <c r="B255" t="str">
        <f>"mucor"</f>
        <v>mucor</v>
      </c>
      <c r="C255" t="s">
        <v>13190</v>
      </c>
      <c r="D255" t="str">
        <f>""</f>
        <v/>
      </c>
      <c r="E255" t="str">
        <f t="shared" si="11"/>
        <v xml:space="preserve">Biologische parameters </v>
      </c>
      <c r="F255" t="str">
        <f t="shared" si="12"/>
        <v xml:space="preserve">Microbiologische parameters </v>
      </c>
      <c r="G255" t="str">
        <f>""</f>
        <v/>
      </c>
    </row>
    <row r="256" spans="1:7" x14ac:dyDescent="0.25">
      <c r="A256">
        <v>678</v>
      </c>
      <c r="B256" t="str">
        <f>"Penicillium"</f>
        <v>Penicillium</v>
      </c>
      <c r="C256" t="s">
        <v>13190</v>
      </c>
      <c r="D256" t="str">
        <f>""</f>
        <v/>
      </c>
      <c r="E256" t="str">
        <f t="shared" si="11"/>
        <v xml:space="preserve">Biologische parameters </v>
      </c>
      <c r="F256" t="str">
        <f t="shared" si="12"/>
        <v xml:space="preserve">Microbiologische parameters </v>
      </c>
      <c r="G256" t="str">
        <f>""</f>
        <v/>
      </c>
    </row>
    <row r="257" spans="1:7" x14ac:dyDescent="0.25">
      <c r="A257">
        <v>680</v>
      </c>
      <c r="B257" t="str">
        <f>"schimmels, diverse"</f>
        <v>schimmels, diverse</v>
      </c>
      <c r="C257" t="s">
        <v>13190</v>
      </c>
      <c r="D257" t="str">
        <f>""</f>
        <v/>
      </c>
      <c r="E257" t="str">
        <f t="shared" si="11"/>
        <v xml:space="preserve">Biologische parameters </v>
      </c>
      <c r="F257" t="str">
        <f t="shared" si="12"/>
        <v xml:space="preserve">Microbiologische parameters </v>
      </c>
      <c r="G257" t="str">
        <f>""</f>
        <v/>
      </c>
    </row>
    <row r="258" spans="1:7" x14ac:dyDescent="0.25">
      <c r="A258">
        <v>682</v>
      </c>
      <c r="B258" t="str">
        <f>"Trichoderma"</f>
        <v>Trichoderma</v>
      </c>
      <c r="C258" t="s">
        <v>13190</v>
      </c>
      <c r="D258" t="str">
        <f>""</f>
        <v/>
      </c>
      <c r="E258" t="str">
        <f t="shared" si="11"/>
        <v xml:space="preserve">Biologische parameters </v>
      </c>
      <c r="F258" t="str">
        <f t="shared" si="12"/>
        <v xml:space="preserve">Microbiologische parameters </v>
      </c>
      <c r="G258" t="str">
        <f>""</f>
        <v/>
      </c>
    </row>
    <row r="259" spans="1:7" x14ac:dyDescent="0.25">
      <c r="A259">
        <v>690</v>
      </c>
      <c r="B259" t="str">
        <f>"AOC (assimileerbare organische koolstof)"</f>
        <v>AOC (assimileerbare organische koolstof)</v>
      </c>
      <c r="C259" t="s">
        <v>13224</v>
      </c>
      <c r="D259" t="str">
        <f>""</f>
        <v/>
      </c>
      <c r="E259" t="str">
        <f t="shared" si="11"/>
        <v xml:space="preserve">Biologische parameters </v>
      </c>
      <c r="F259" t="str">
        <f>"Overige biologische parameters "</f>
        <v xml:space="preserve">Overige biologische parameters </v>
      </c>
      <c r="G259" t="str">
        <f>""</f>
        <v/>
      </c>
    </row>
    <row r="260" spans="1:7" x14ac:dyDescent="0.25">
      <c r="A260">
        <v>691</v>
      </c>
      <c r="B260" t="str">
        <f>"somatische colifagen"</f>
        <v>somatische colifagen</v>
      </c>
      <c r="C260" t="s">
        <v>13226</v>
      </c>
      <c r="D260" t="str">
        <f>""</f>
        <v/>
      </c>
      <c r="E260" t="str">
        <f t="shared" si="11"/>
        <v xml:space="preserve">Biologische parameters </v>
      </c>
      <c r="F260" t="str">
        <f>"Microbiologische parameters "</f>
        <v xml:space="preserve">Microbiologische parameters </v>
      </c>
      <c r="G260" t="str">
        <f>""</f>
        <v/>
      </c>
    </row>
    <row r="261" spans="1:7" x14ac:dyDescent="0.25">
      <c r="A261">
        <v>693</v>
      </c>
      <c r="B261" t="str">
        <f>"Enterovirussen"</f>
        <v>Enterovirussen</v>
      </c>
      <c r="C261" t="s">
        <v>13226</v>
      </c>
      <c r="D261" t="str">
        <f>""</f>
        <v/>
      </c>
      <c r="E261" t="str">
        <f t="shared" si="11"/>
        <v xml:space="preserve">Biologische parameters </v>
      </c>
      <c r="F261" t="str">
        <f>"Microbiologische parameters "</f>
        <v xml:space="preserve">Microbiologische parameters </v>
      </c>
      <c r="G261" t="str">
        <f>""</f>
        <v/>
      </c>
    </row>
    <row r="262" spans="1:7" x14ac:dyDescent="0.25">
      <c r="A262">
        <v>694</v>
      </c>
      <c r="B262" t="str">
        <f>"F-specifieke RNA-bacteriofagen"</f>
        <v>F-specifieke RNA-bacteriofagen</v>
      </c>
      <c r="C262" t="s">
        <v>13226</v>
      </c>
      <c r="D262" t="str">
        <f>""</f>
        <v/>
      </c>
      <c r="E262" t="str">
        <f t="shared" si="11"/>
        <v xml:space="preserve">Biologische parameters </v>
      </c>
      <c r="F262" t="str">
        <f>"Microbiologische parameters "</f>
        <v xml:space="preserve">Microbiologische parameters </v>
      </c>
      <c r="G262" t="str">
        <f>""</f>
        <v/>
      </c>
    </row>
    <row r="263" spans="1:7" x14ac:dyDescent="0.25">
      <c r="A263">
        <v>696</v>
      </c>
      <c r="B263" t="str">
        <f>"totaal anorganisch koolstof"</f>
        <v>totaal anorganisch koolstof</v>
      </c>
      <c r="C263" t="s">
        <v>12976</v>
      </c>
      <c r="D263" t="str">
        <f>""</f>
        <v/>
      </c>
      <c r="E263" t="str">
        <f>"Overige parameters "</f>
        <v xml:space="preserve">Overige parameters </v>
      </c>
      <c r="F263" t="str">
        <f>""</f>
        <v/>
      </c>
      <c r="G263" t="str">
        <f>""</f>
        <v/>
      </c>
    </row>
    <row r="264" spans="1:7" x14ac:dyDescent="0.25">
      <c r="A264">
        <v>697</v>
      </c>
      <c r="B264" t="str">
        <f>"AOC-Nox (Spirillum)"</f>
        <v>AOC-Nox (Spirillum)</v>
      </c>
      <c r="C264" t="s">
        <v>19068</v>
      </c>
      <c r="D264" t="str">
        <f>""</f>
        <v/>
      </c>
      <c r="E264" t="str">
        <f>"Biologische parameters "</f>
        <v xml:space="preserve">Biologische parameters </v>
      </c>
      <c r="F264" t="str">
        <f>"Overige biologische parameters "</f>
        <v xml:space="preserve">Overige biologische parameters </v>
      </c>
      <c r="G264" t="str">
        <f>""</f>
        <v/>
      </c>
    </row>
    <row r="265" spans="1:7" x14ac:dyDescent="0.25">
      <c r="A265">
        <v>698</v>
      </c>
      <c r="B265" t="str">
        <f>"AOC-P17 (Pseudomonas fluorescens)"</f>
        <v>AOC-P17 (Pseudomonas fluorescens)</v>
      </c>
      <c r="C265" t="s">
        <v>19068</v>
      </c>
      <c r="D265" t="str">
        <f>""</f>
        <v/>
      </c>
      <c r="E265" t="str">
        <f>"Biologische parameters "</f>
        <v xml:space="preserve">Biologische parameters </v>
      </c>
      <c r="F265" t="str">
        <f>"Overige biologische parameters "</f>
        <v xml:space="preserve">Overige biologische parameters </v>
      </c>
      <c r="G265" t="str">
        <f>""</f>
        <v/>
      </c>
    </row>
    <row r="266" spans="1:7" x14ac:dyDescent="0.25">
      <c r="A266">
        <v>699</v>
      </c>
      <c r="B266" t="str">
        <f>"Legionella pneumophila"</f>
        <v>Legionella pneumophila</v>
      </c>
      <c r="C266" t="s">
        <v>13234</v>
      </c>
      <c r="D266" t="str">
        <f>""</f>
        <v/>
      </c>
      <c r="E266" t="str">
        <f>"Biologische parameters "</f>
        <v xml:space="preserve">Biologische parameters </v>
      </c>
      <c r="F266" t="str">
        <f>"Microbiologische parameters "</f>
        <v xml:space="preserve">Microbiologische parameters </v>
      </c>
      <c r="G266" t="str">
        <f>""</f>
        <v/>
      </c>
    </row>
    <row r="267" spans="1:7" x14ac:dyDescent="0.25">
      <c r="A267">
        <v>700</v>
      </c>
      <c r="B267" t="str">
        <f>"Salmonellae spp."</f>
        <v>Salmonellae spp.</v>
      </c>
      <c r="C267" t="s">
        <v>13235</v>
      </c>
      <c r="D267" t="str">
        <f>""</f>
        <v/>
      </c>
      <c r="E267" t="str">
        <f>"Biologische parameters "</f>
        <v xml:space="preserve">Biologische parameters </v>
      </c>
      <c r="F267" t="str">
        <f>"Microbiologische parameters "</f>
        <v xml:space="preserve">Microbiologische parameters </v>
      </c>
      <c r="G267" t="str">
        <f>""</f>
        <v/>
      </c>
    </row>
    <row r="268" spans="1:7" x14ac:dyDescent="0.25">
      <c r="A268">
        <v>702</v>
      </c>
      <c r="B268" t="str">
        <f>"Legionella non- pneumophila"</f>
        <v>Legionella non- pneumophila</v>
      </c>
      <c r="C268" t="s">
        <v>13200</v>
      </c>
      <c r="D268" t="str">
        <f>""</f>
        <v/>
      </c>
      <c r="E268" t="str">
        <f>"Biologische parameters "</f>
        <v xml:space="preserve">Biologische parameters </v>
      </c>
      <c r="F268" t="str">
        <f>"Microbiologische parameters "</f>
        <v xml:space="preserve">Microbiologische parameters </v>
      </c>
      <c r="G268" t="str">
        <f>""</f>
        <v/>
      </c>
    </row>
    <row r="269" spans="1:7" x14ac:dyDescent="0.25">
      <c r="A269">
        <v>1000</v>
      </c>
      <c r="B269" t="str">
        <f>"decaan"</f>
        <v>decaan</v>
      </c>
      <c r="C269" t="s">
        <v>19016</v>
      </c>
      <c r="D269" t="str">
        <f>"124-18-5"</f>
        <v>124-18-5</v>
      </c>
      <c r="E269" t="str">
        <f t="shared" ref="E269:E332" si="13">"Organische parameters "</f>
        <v xml:space="preserve">Organische parameters </v>
      </c>
      <c r="F269" t="str">
        <f t="shared" ref="F269:F293" si="14">"Overige antropogene stoffen "</f>
        <v xml:space="preserve">Overige antropogene stoffen </v>
      </c>
      <c r="G269" t="str">
        <f>""</f>
        <v/>
      </c>
    </row>
    <row r="270" spans="1:7" x14ac:dyDescent="0.25">
      <c r="A270">
        <v>1001</v>
      </c>
      <c r="B270" t="str">
        <f>"deceen"</f>
        <v>deceen</v>
      </c>
      <c r="C270" t="s">
        <v>19016</v>
      </c>
      <c r="D270" t="str">
        <f>"25339-53-1"</f>
        <v>25339-53-1</v>
      </c>
      <c r="E270" t="str">
        <f t="shared" si="13"/>
        <v xml:space="preserve">Organische parameters </v>
      </c>
      <c r="F270" t="str">
        <f t="shared" si="14"/>
        <v xml:space="preserve">Overige antropogene stoffen </v>
      </c>
      <c r="G270" t="str">
        <f>""</f>
        <v/>
      </c>
    </row>
    <row r="271" spans="1:7" x14ac:dyDescent="0.25">
      <c r="A271">
        <v>1002</v>
      </c>
      <c r="B271" t="str">
        <f>"dimethylhexeen"</f>
        <v>dimethylhexeen</v>
      </c>
      <c r="C271" t="s">
        <v>19016</v>
      </c>
      <c r="D271" t="str">
        <f>""</f>
        <v/>
      </c>
      <c r="E271" t="str">
        <f t="shared" si="13"/>
        <v xml:space="preserve">Organische parameters </v>
      </c>
      <c r="F271" t="str">
        <f t="shared" si="14"/>
        <v xml:space="preserve">Overige antropogene stoffen </v>
      </c>
      <c r="G271" t="str">
        <f>""</f>
        <v/>
      </c>
    </row>
    <row r="272" spans="1:7" x14ac:dyDescent="0.25">
      <c r="A272">
        <v>1003</v>
      </c>
      <c r="B272" t="str">
        <f>"dodecaan"</f>
        <v>dodecaan</v>
      </c>
      <c r="C272" t="s">
        <v>19016</v>
      </c>
      <c r="D272" t="str">
        <f>"112-40-3"</f>
        <v>112-40-3</v>
      </c>
      <c r="E272" t="str">
        <f t="shared" si="13"/>
        <v xml:space="preserve">Organische parameters </v>
      </c>
      <c r="F272" t="str">
        <f t="shared" si="14"/>
        <v xml:space="preserve">Overige antropogene stoffen </v>
      </c>
      <c r="G272" t="str">
        <f>""</f>
        <v/>
      </c>
    </row>
    <row r="273" spans="1:7" x14ac:dyDescent="0.25">
      <c r="A273">
        <v>1004</v>
      </c>
      <c r="B273" t="str">
        <f>"heptaan"</f>
        <v>heptaan</v>
      </c>
      <c r="C273" t="s">
        <v>19016</v>
      </c>
      <c r="D273" t="str">
        <f>"142-82-5"</f>
        <v>142-82-5</v>
      </c>
      <c r="E273" t="str">
        <f t="shared" si="13"/>
        <v xml:space="preserve">Organische parameters </v>
      </c>
      <c r="F273" t="str">
        <f t="shared" si="14"/>
        <v xml:space="preserve">Overige antropogene stoffen </v>
      </c>
      <c r="G273" t="str">
        <f>""</f>
        <v/>
      </c>
    </row>
    <row r="274" spans="1:7" x14ac:dyDescent="0.25">
      <c r="A274">
        <v>1005</v>
      </c>
      <c r="B274" t="str">
        <f>"hepteen"</f>
        <v>hepteen</v>
      </c>
      <c r="C274" t="s">
        <v>19016</v>
      </c>
      <c r="D274" t="str">
        <f>"25339-56-4"</f>
        <v>25339-56-4</v>
      </c>
      <c r="E274" t="str">
        <f t="shared" si="13"/>
        <v xml:space="preserve">Organische parameters </v>
      </c>
      <c r="F274" t="str">
        <f t="shared" si="14"/>
        <v xml:space="preserve">Overige antropogene stoffen </v>
      </c>
      <c r="G274" t="str">
        <f>""</f>
        <v/>
      </c>
    </row>
    <row r="275" spans="1:7" x14ac:dyDescent="0.25">
      <c r="A275">
        <v>1006</v>
      </c>
      <c r="B275" t="str">
        <f>"hexaan"</f>
        <v>hexaan</v>
      </c>
      <c r="C275" t="s">
        <v>19016</v>
      </c>
      <c r="D275" t="str">
        <f>"110-54-3"</f>
        <v>110-54-3</v>
      </c>
      <c r="E275" t="str">
        <f t="shared" si="13"/>
        <v xml:space="preserve">Organische parameters </v>
      </c>
      <c r="F275" t="str">
        <f t="shared" si="14"/>
        <v xml:space="preserve">Overige antropogene stoffen </v>
      </c>
      <c r="G275" t="str">
        <f>""</f>
        <v/>
      </c>
    </row>
    <row r="276" spans="1:7" x14ac:dyDescent="0.25">
      <c r="A276">
        <v>1007</v>
      </c>
      <c r="B276" t="str">
        <f>"hexadecaan"</f>
        <v>hexadecaan</v>
      </c>
      <c r="C276" t="s">
        <v>19016</v>
      </c>
      <c r="D276" t="str">
        <f>"544-76-3"</f>
        <v>544-76-3</v>
      </c>
      <c r="E276" t="str">
        <f t="shared" si="13"/>
        <v xml:space="preserve">Organische parameters </v>
      </c>
      <c r="F276" t="str">
        <f t="shared" si="14"/>
        <v xml:space="preserve">Overige antropogene stoffen </v>
      </c>
      <c r="G276" t="str">
        <f>""</f>
        <v/>
      </c>
    </row>
    <row r="277" spans="1:7" x14ac:dyDescent="0.25">
      <c r="A277">
        <v>1008</v>
      </c>
      <c r="B277" t="str">
        <f>"hexadeceen"</f>
        <v>hexadeceen</v>
      </c>
      <c r="C277" t="s">
        <v>19016</v>
      </c>
      <c r="D277" t="str">
        <f>"26952-14-7"</f>
        <v>26952-14-7</v>
      </c>
      <c r="E277" t="str">
        <f t="shared" si="13"/>
        <v xml:space="preserve">Organische parameters </v>
      </c>
      <c r="F277" t="str">
        <f t="shared" si="14"/>
        <v xml:space="preserve">Overige antropogene stoffen </v>
      </c>
      <c r="G277" t="str">
        <f>""</f>
        <v/>
      </c>
    </row>
    <row r="278" spans="1:7" x14ac:dyDescent="0.25">
      <c r="A278">
        <v>1009</v>
      </c>
      <c r="B278" t="str">
        <f>"hexeen"</f>
        <v>hexeen</v>
      </c>
      <c r="C278" t="s">
        <v>19016</v>
      </c>
      <c r="D278" t="str">
        <f>"25264-93-1"</f>
        <v>25264-93-1</v>
      </c>
      <c r="E278" t="str">
        <f t="shared" si="13"/>
        <v xml:space="preserve">Organische parameters </v>
      </c>
      <c r="F278" t="str">
        <f t="shared" si="14"/>
        <v xml:space="preserve">Overige antropogene stoffen </v>
      </c>
      <c r="G278" t="str">
        <f>""</f>
        <v/>
      </c>
    </row>
    <row r="279" spans="1:7" x14ac:dyDescent="0.25">
      <c r="A279">
        <v>1010</v>
      </c>
      <c r="B279" t="str">
        <f>"methaan"</f>
        <v>methaan</v>
      </c>
      <c r="C279" t="s">
        <v>19016</v>
      </c>
      <c r="D279" t="str">
        <f>"74-82-8"</f>
        <v>74-82-8</v>
      </c>
      <c r="E279" t="str">
        <f t="shared" si="13"/>
        <v xml:space="preserve">Organische parameters </v>
      </c>
      <c r="F279" t="str">
        <f t="shared" si="14"/>
        <v xml:space="preserve">Overige antropogene stoffen </v>
      </c>
      <c r="G279" t="str">
        <f>""</f>
        <v/>
      </c>
    </row>
    <row r="280" spans="1:7" x14ac:dyDescent="0.25">
      <c r="A280">
        <v>1011</v>
      </c>
      <c r="B280" t="str">
        <f>"methyldeceen"</f>
        <v>methyldeceen</v>
      </c>
      <c r="C280" t="s">
        <v>19016</v>
      </c>
      <c r="D280" t="str">
        <f>"73752-14-4"</f>
        <v>73752-14-4</v>
      </c>
      <c r="E280" t="str">
        <f t="shared" si="13"/>
        <v xml:space="preserve">Organische parameters </v>
      </c>
      <c r="F280" t="str">
        <f t="shared" si="14"/>
        <v xml:space="preserve">Overige antropogene stoffen </v>
      </c>
      <c r="G280" t="str">
        <f>""</f>
        <v/>
      </c>
    </row>
    <row r="281" spans="1:7" x14ac:dyDescent="0.25">
      <c r="A281">
        <v>1012</v>
      </c>
      <c r="B281" t="str">
        <f>"nonaan"</f>
        <v>nonaan</v>
      </c>
      <c r="C281" t="s">
        <v>19016</v>
      </c>
      <c r="D281" t="str">
        <f>"111-84-2"</f>
        <v>111-84-2</v>
      </c>
      <c r="E281" t="str">
        <f t="shared" si="13"/>
        <v xml:space="preserve">Organische parameters </v>
      </c>
      <c r="F281" t="str">
        <f t="shared" si="14"/>
        <v xml:space="preserve">Overige antropogene stoffen </v>
      </c>
      <c r="G281" t="str">
        <f>""</f>
        <v/>
      </c>
    </row>
    <row r="282" spans="1:7" x14ac:dyDescent="0.25">
      <c r="A282">
        <v>1013</v>
      </c>
      <c r="B282" t="str">
        <f>"noneen"</f>
        <v>noneen</v>
      </c>
      <c r="C282" t="s">
        <v>19016</v>
      </c>
      <c r="D282" t="str">
        <f>"27215-95-8"</f>
        <v>27215-95-8</v>
      </c>
      <c r="E282" t="str">
        <f t="shared" si="13"/>
        <v xml:space="preserve">Organische parameters </v>
      </c>
      <c r="F282" t="str">
        <f t="shared" si="14"/>
        <v xml:space="preserve">Overige antropogene stoffen </v>
      </c>
      <c r="G282" t="str">
        <f>""</f>
        <v/>
      </c>
    </row>
    <row r="283" spans="1:7" x14ac:dyDescent="0.25">
      <c r="A283">
        <v>1014</v>
      </c>
      <c r="B283" t="str">
        <f>"octaan"</f>
        <v>octaan</v>
      </c>
      <c r="C283" t="s">
        <v>19016</v>
      </c>
      <c r="D283" t="str">
        <f>"111-65-9"</f>
        <v>111-65-9</v>
      </c>
      <c r="E283" t="str">
        <f t="shared" si="13"/>
        <v xml:space="preserve">Organische parameters </v>
      </c>
      <c r="F283" t="str">
        <f t="shared" si="14"/>
        <v xml:space="preserve">Overige antropogene stoffen </v>
      </c>
      <c r="G283" t="str">
        <f>""</f>
        <v/>
      </c>
    </row>
    <row r="284" spans="1:7" x14ac:dyDescent="0.25">
      <c r="A284">
        <v>1015</v>
      </c>
      <c r="B284" t="str">
        <f>"octadecaan"</f>
        <v>octadecaan</v>
      </c>
      <c r="C284" t="s">
        <v>19016</v>
      </c>
      <c r="D284" t="str">
        <f>"593-45-3"</f>
        <v>593-45-3</v>
      </c>
      <c r="E284" t="str">
        <f t="shared" si="13"/>
        <v xml:space="preserve">Organische parameters </v>
      </c>
      <c r="F284" t="str">
        <f t="shared" si="14"/>
        <v xml:space="preserve">Overige antropogene stoffen </v>
      </c>
      <c r="G284" t="str">
        <f>""</f>
        <v/>
      </c>
    </row>
    <row r="285" spans="1:7" x14ac:dyDescent="0.25">
      <c r="A285">
        <v>1016</v>
      </c>
      <c r="B285" t="str">
        <f>"octadeceen"</f>
        <v>octadeceen</v>
      </c>
      <c r="C285" t="s">
        <v>19016</v>
      </c>
      <c r="D285" t="str">
        <f>"27070-58-2"</f>
        <v>27070-58-2</v>
      </c>
      <c r="E285" t="str">
        <f t="shared" si="13"/>
        <v xml:space="preserve">Organische parameters </v>
      </c>
      <c r="F285" t="str">
        <f t="shared" si="14"/>
        <v xml:space="preserve">Overige antropogene stoffen </v>
      </c>
      <c r="G285" t="str">
        <f>""</f>
        <v/>
      </c>
    </row>
    <row r="286" spans="1:7" x14ac:dyDescent="0.25">
      <c r="A286">
        <v>1017</v>
      </c>
      <c r="B286" t="str">
        <f>"octeen"</f>
        <v>octeen</v>
      </c>
      <c r="C286" t="s">
        <v>19016</v>
      </c>
      <c r="D286" t="str">
        <f>"25377-83-7"</f>
        <v>25377-83-7</v>
      </c>
      <c r="E286" t="str">
        <f t="shared" si="13"/>
        <v xml:space="preserve">Organische parameters </v>
      </c>
      <c r="F286" t="str">
        <f t="shared" si="14"/>
        <v xml:space="preserve">Overige antropogene stoffen </v>
      </c>
      <c r="G286" t="str">
        <f>""</f>
        <v/>
      </c>
    </row>
    <row r="287" spans="1:7" x14ac:dyDescent="0.25">
      <c r="A287">
        <v>1018</v>
      </c>
      <c r="B287" t="str">
        <f>"tetradecaan"</f>
        <v>tetradecaan</v>
      </c>
      <c r="C287" t="s">
        <v>19016</v>
      </c>
      <c r="D287" t="str">
        <f>"629-59-4"</f>
        <v>629-59-4</v>
      </c>
      <c r="E287" t="str">
        <f t="shared" si="13"/>
        <v xml:space="preserve">Organische parameters </v>
      </c>
      <c r="F287" t="str">
        <f t="shared" si="14"/>
        <v xml:space="preserve">Overige antropogene stoffen </v>
      </c>
      <c r="G287" t="str">
        <f>""</f>
        <v/>
      </c>
    </row>
    <row r="288" spans="1:7" x14ac:dyDescent="0.25">
      <c r="A288">
        <v>1019</v>
      </c>
      <c r="B288" t="str">
        <f>"tetradeceen"</f>
        <v>tetradeceen</v>
      </c>
      <c r="C288" t="s">
        <v>19016</v>
      </c>
      <c r="D288" t="str">
        <f>"26952-13-6"</f>
        <v>26952-13-6</v>
      </c>
      <c r="E288" t="str">
        <f t="shared" si="13"/>
        <v xml:space="preserve">Organische parameters </v>
      </c>
      <c r="F288" t="str">
        <f t="shared" si="14"/>
        <v xml:space="preserve">Overige antropogene stoffen </v>
      </c>
      <c r="G288" t="str">
        <f>""</f>
        <v/>
      </c>
    </row>
    <row r="289" spans="1:7" x14ac:dyDescent="0.25">
      <c r="A289">
        <v>1020</v>
      </c>
      <c r="B289" t="str">
        <f>"tetramethylhexadieen"</f>
        <v>tetramethylhexadieen</v>
      </c>
      <c r="C289" t="s">
        <v>19016</v>
      </c>
      <c r="D289" t="str">
        <f>"51504-54-2"</f>
        <v>51504-54-2</v>
      </c>
      <c r="E289" t="str">
        <f t="shared" si="13"/>
        <v xml:space="preserve">Organische parameters </v>
      </c>
      <c r="F289" t="str">
        <f t="shared" si="14"/>
        <v xml:space="preserve">Overige antropogene stoffen </v>
      </c>
      <c r="G289" t="str">
        <f>""</f>
        <v/>
      </c>
    </row>
    <row r="290" spans="1:7" x14ac:dyDescent="0.25">
      <c r="A290">
        <v>1021</v>
      </c>
      <c r="B290" t="str">
        <f>"tridecaan"</f>
        <v>tridecaan</v>
      </c>
      <c r="C290" t="s">
        <v>19016</v>
      </c>
      <c r="D290" t="str">
        <f>"629-50-5"</f>
        <v>629-50-5</v>
      </c>
      <c r="E290" t="str">
        <f t="shared" si="13"/>
        <v xml:space="preserve">Organische parameters </v>
      </c>
      <c r="F290" t="str">
        <f t="shared" si="14"/>
        <v xml:space="preserve">Overige antropogene stoffen </v>
      </c>
      <c r="G290" t="str">
        <f>""</f>
        <v/>
      </c>
    </row>
    <row r="291" spans="1:7" x14ac:dyDescent="0.25">
      <c r="A291">
        <v>1022</v>
      </c>
      <c r="B291" t="str">
        <f>"trideceen"</f>
        <v>trideceen</v>
      </c>
      <c r="C291" t="s">
        <v>19016</v>
      </c>
      <c r="D291" t="str">
        <f>"25377-82-6"</f>
        <v>25377-82-6</v>
      </c>
      <c r="E291" t="str">
        <f t="shared" si="13"/>
        <v xml:space="preserve">Organische parameters </v>
      </c>
      <c r="F291" t="str">
        <f t="shared" si="14"/>
        <v xml:space="preserve">Overige antropogene stoffen </v>
      </c>
      <c r="G291" t="str">
        <f>""</f>
        <v/>
      </c>
    </row>
    <row r="292" spans="1:7" x14ac:dyDescent="0.25">
      <c r="A292">
        <v>1023</v>
      </c>
      <c r="B292" t="str">
        <f>"undecaan"</f>
        <v>undecaan</v>
      </c>
      <c r="C292" t="s">
        <v>19016</v>
      </c>
      <c r="D292" t="str">
        <f>"1120-21-4"</f>
        <v>1120-21-4</v>
      </c>
      <c r="E292" t="str">
        <f t="shared" si="13"/>
        <v xml:space="preserve">Organische parameters </v>
      </c>
      <c r="F292" t="str">
        <f t="shared" si="14"/>
        <v xml:space="preserve">Overige antropogene stoffen </v>
      </c>
      <c r="G292" t="str">
        <f>""</f>
        <v/>
      </c>
    </row>
    <row r="293" spans="1:7" x14ac:dyDescent="0.25">
      <c r="A293">
        <v>1024</v>
      </c>
      <c r="B293" t="str">
        <f>"undeceen"</f>
        <v>undeceen</v>
      </c>
      <c r="C293" t="s">
        <v>19016</v>
      </c>
      <c r="D293" t="str">
        <f>"821-95-4"</f>
        <v>821-95-4</v>
      </c>
      <c r="E293" t="str">
        <f t="shared" si="13"/>
        <v xml:space="preserve">Organische parameters </v>
      </c>
      <c r="F293" t="str">
        <f t="shared" si="14"/>
        <v xml:space="preserve">Overige antropogene stoffen </v>
      </c>
      <c r="G293" t="str">
        <f>""</f>
        <v/>
      </c>
    </row>
    <row r="294" spans="1:7" x14ac:dyDescent="0.25">
      <c r="A294">
        <v>1025</v>
      </c>
      <c r="B294" t="str">
        <f>"broombutaan"</f>
        <v>broombutaan</v>
      </c>
      <c r="C294" t="s">
        <v>19016</v>
      </c>
      <c r="D294" t="str">
        <f>""</f>
        <v/>
      </c>
      <c r="E294" t="str">
        <f t="shared" si="13"/>
        <v xml:space="preserve">Organische parameters </v>
      </c>
      <c r="F294" t="str">
        <f t="shared" ref="F294:F337" si="15">"Gehalogeneerde alifatische koolwaterstoffen "</f>
        <v xml:space="preserve">Gehalogeneerde alifatische koolwaterstoffen </v>
      </c>
      <c r="G294" t="str">
        <f>"Overige gehalogeneerde alifatische koolwaterstoffen "</f>
        <v xml:space="preserve">Overige gehalogeneerde alifatische koolwaterstoffen </v>
      </c>
    </row>
    <row r="295" spans="1:7" x14ac:dyDescent="0.25">
      <c r="A295">
        <v>1026</v>
      </c>
      <c r="B295" t="str">
        <f>"broomchloorjoodmethaan"</f>
        <v>broomchloorjoodmethaan</v>
      </c>
      <c r="C295" t="s">
        <v>19016</v>
      </c>
      <c r="D295" t="str">
        <f>"34970-00-8"</f>
        <v>34970-00-8</v>
      </c>
      <c r="E295" t="str">
        <f t="shared" si="13"/>
        <v xml:space="preserve">Organische parameters </v>
      </c>
      <c r="F295" t="str">
        <f t="shared" si="15"/>
        <v xml:space="preserve">Gehalogeneerde alifatische koolwaterstoffen </v>
      </c>
      <c r="G295" t="str">
        <f>"Overige gehalogeneerde alifatische koolwaterstoffen "</f>
        <v xml:space="preserve">Overige gehalogeneerde alifatische koolwaterstoffen </v>
      </c>
    </row>
    <row r="296" spans="1:7" x14ac:dyDescent="0.25">
      <c r="A296">
        <v>1027</v>
      </c>
      <c r="B296" t="str">
        <f>"broomchloormethaan"</f>
        <v>broomchloormethaan</v>
      </c>
      <c r="C296" t="s">
        <v>19016</v>
      </c>
      <c r="D296" t="str">
        <f>"74-97-5"</f>
        <v>74-97-5</v>
      </c>
      <c r="E296" t="str">
        <f t="shared" si="13"/>
        <v xml:space="preserve">Organische parameters </v>
      </c>
      <c r="F296" t="str">
        <f t="shared" si="15"/>
        <v xml:space="preserve">Gehalogeneerde alifatische koolwaterstoffen </v>
      </c>
      <c r="G296" t="str">
        <f>"Overige gehalogeneerde alifatische koolwaterstoffen "</f>
        <v xml:space="preserve">Overige gehalogeneerde alifatische koolwaterstoffen </v>
      </c>
    </row>
    <row r="297" spans="1:7" x14ac:dyDescent="0.25">
      <c r="A297">
        <v>1028</v>
      </c>
      <c r="B297" t="str">
        <f>"broomdichloormethaan"</f>
        <v>broomdichloormethaan</v>
      </c>
      <c r="C297" t="s">
        <v>19016</v>
      </c>
      <c r="D297" t="str">
        <f>"75-27-4"</f>
        <v>75-27-4</v>
      </c>
      <c r="E297" t="str">
        <f t="shared" si="13"/>
        <v xml:space="preserve">Organische parameters </v>
      </c>
      <c r="F297" t="str">
        <f t="shared" si="15"/>
        <v xml:space="preserve">Gehalogeneerde alifatische koolwaterstoffen </v>
      </c>
      <c r="G297" t="str">
        <f>"Trihalomethanen "</f>
        <v xml:space="preserve">Trihalomethanen </v>
      </c>
    </row>
    <row r="298" spans="1:7" x14ac:dyDescent="0.25">
      <c r="A298">
        <v>1029</v>
      </c>
      <c r="B298" t="str">
        <f>"broomtrichloormethaan"</f>
        <v>broomtrichloormethaan</v>
      </c>
      <c r="C298" t="s">
        <v>19016</v>
      </c>
      <c r="D298" t="str">
        <f>"75-62-7"</f>
        <v>75-62-7</v>
      </c>
      <c r="E298" t="str">
        <f t="shared" si="13"/>
        <v xml:space="preserve">Organische parameters </v>
      </c>
      <c r="F298" t="str">
        <f t="shared" si="15"/>
        <v xml:space="preserve">Gehalogeneerde alifatische koolwaterstoffen </v>
      </c>
      <c r="G298" t="str">
        <f>"Overige gehalogeneerde alifatische koolwaterstoffen "</f>
        <v xml:space="preserve">Overige gehalogeneerde alifatische koolwaterstoffen </v>
      </c>
    </row>
    <row r="299" spans="1:7" x14ac:dyDescent="0.25">
      <c r="A299">
        <v>1030</v>
      </c>
      <c r="B299" t="str">
        <f>"chloorbuteen"</f>
        <v>chloorbuteen</v>
      </c>
      <c r="C299" t="s">
        <v>19016</v>
      </c>
      <c r="D299" t="str">
        <f>""</f>
        <v/>
      </c>
      <c r="E299" t="str">
        <f t="shared" si="13"/>
        <v xml:space="preserve">Organische parameters </v>
      </c>
      <c r="F299" t="str">
        <f t="shared" si="15"/>
        <v xml:space="preserve">Gehalogeneerde alifatische koolwaterstoffen </v>
      </c>
      <c r="G299" t="str">
        <f>"Overige gehalogeneerde alifatische koolwaterstoffen "</f>
        <v xml:space="preserve">Overige gehalogeneerde alifatische koolwaterstoffen </v>
      </c>
    </row>
    <row r="300" spans="1:7" x14ac:dyDescent="0.25">
      <c r="A300">
        <v>1031</v>
      </c>
      <c r="B300" t="str">
        <f>"chloorjoodmethaan"</f>
        <v>chloorjoodmethaan</v>
      </c>
      <c r="C300" t="s">
        <v>19016</v>
      </c>
      <c r="D300" t="str">
        <f>"593-71-5"</f>
        <v>593-71-5</v>
      </c>
      <c r="E300" t="str">
        <f t="shared" si="13"/>
        <v xml:space="preserve">Organische parameters </v>
      </c>
      <c r="F300" t="str">
        <f t="shared" si="15"/>
        <v xml:space="preserve">Gehalogeneerde alifatische koolwaterstoffen </v>
      </c>
      <c r="G300" t="str">
        <f>"Overige gehalogeneerde alifatische koolwaterstoffen "</f>
        <v xml:space="preserve">Overige gehalogeneerde alifatische koolwaterstoffen </v>
      </c>
    </row>
    <row r="301" spans="1:7" x14ac:dyDescent="0.25">
      <c r="A301">
        <v>1032</v>
      </c>
      <c r="B301" t="str">
        <f>"chloorpropylcarbonaat"</f>
        <v>chloorpropylcarbonaat</v>
      </c>
      <c r="C301" t="s">
        <v>19016</v>
      </c>
      <c r="D301" t="str">
        <f>""</f>
        <v/>
      </c>
      <c r="E301" t="str">
        <f t="shared" si="13"/>
        <v xml:space="preserve">Organische parameters </v>
      </c>
      <c r="F301" t="str">
        <f t="shared" si="15"/>
        <v xml:space="preserve">Gehalogeneerde alifatische koolwaterstoffen </v>
      </c>
      <c r="G301" t="str">
        <f>"Overige gehalogeneerde alifatische koolwaterstoffen "</f>
        <v xml:space="preserve">Overige gehalogeneerde alifatische koolwaterstoffen </v>
      </c>
    </row>
    <row r="302" spans="1:7" x14ac:dyDescent="0.25">
      <c r="A302">
        <v>1033</v>
      </c>
      <c r="B302" t="str">
        <f>"dibroomchloormethaan"</f>
        <v>dibroomchloormethaan</v>
      </c>
      <c r="C302" t="s">
        <v>19016</v>
      </c>
      <c r="D302" t="str">
        <f>"124-48-1"</f>
        <v>124-48-1</v>
      </c>
      <c r="E302" t="str">
        <f t="shared" si="13"/>
        <v xml:space="preserve">Organische parameters </v>
      </c>
      <c r="F302" t="str">
        <f t="shared" si="15"/>
        <v xml:space="preserve">Gehalogeneerde alifatische koolwaterstoffen </v>
      </c>
      <c r="G302" t="str">
        <f>"Trihalomethanen "</f>
        <v xml:space="preserve">Trihalomethanen </v>
      </c>
    </row>
    <row r="303" spans="1:7" x14ac:dyDescent="0.25">
      <c r="A303">
        <v>1034</v>
      </c>
      <c r="B303" t="str">
        <f>"dibroomjoodmethaan"</f>
        <v>dibroomjoodmethaan</v>
      </c>
      <c r="C303" t="s">
        <v>19016</v>
      </c>
      <c r="D303" t="str">
        <f>"593-94-2"</f>
        <v>593-94-2</v>
      </c>
      <c r="E303" t="str">
        <f t="shared" si="13"/>
        <v xml:space="preserve">Organische parameters </v>
      </c>
      <c r="F303" t="str">
        <f t="shared" si="15"/>
        <v xml:space="preserve">Gehalogeneerde alifatische koolwaterstoffen </v>
      </c>
      <c r="G303" t="str">
        <f t="shared" ref="G303:G324" si="16">"Overige gehalogeneerde alifatische koolwaterstoffen "</f>
        <v xml:space="preserve">Overige gehalogeneerde alifatische koolwaterstoffen </v>
      </c>
    </row>
    <row r="304" spans="1:7" x14ac:dyDescent="0.25">
      <c r="A304">
        <v>1035</v>
      </c>
      <c r="B304" t="str">
        <f>"dibroommethaan"</f>
        <v>dibroommethaan</v>
      </c>
      <c r="C304" t="s">
        <v>19016</v>
      </c>
      <c r="D304" t="str">
        <f>"74-95-3"</f>
        <v>74-95-3</v>
      </c>
      <c r="E304" t="str">
        <f t="shared" si="13"/>
        <v xml:space="preserve">Organische parameters </v>
      </c>
      <c r="F304" t="str">
        <f t="shared" si="15"/>
        <v xml:space="preserve">Gehalogeneerde alifatische koolwaterstoffen </v>
      </c>
      <c r="G304" t="str">
        <f t="shared" si="16"/>
        <v xml:space="preserve">Overige gehalogeneerde alifatische koolwaterstoffen </v>
      </c>
    </row>
    <row r="305" spans="1:7" x14ac:dyDescent="0.25">
      <c r="A305">
        <v>1037</v>
      </c>
      <c r="B305" t="str">
        <f>"dichloorbutaan"</f>
        <v>dichloorbutaan</v>
      </c>
      <c r="C305" t="s">
        <v>19016</v>
      </c>
      <c r="D305" t="str">
        <f>""</f>
        <v/>
      </c>
      <c r="E305" t="str">
        <f t="shared" si="13"/>
        <v xml:space="preserve">Organische parameters </v>
      </c>
      <c r="F305" t="str">
        <f t="shared" si="15"/>
        <v xml:space="preserve">Gehalogeneerde alifatische koolwaterstoffen </v>
      </c>
      <c r="G305" t="str">
        <f t="shared" si="16"/>
        <v xml:space="preserve">Overige gehalogeneerde alifatische koolwaterstoffen </v>
      </c>
    </row>
    <row r="306" spans="1:7" x14ac:dyDescent="0.25">
      <c r="A306">
        <v>1038</v>
      </c>
      <c r="B306" t="str">
        <f>"dichloorbuteen"</f>
        <v>dichloorbuteen</v>
      </c>
      <c r="C306" t="s">
        <v>19016</v>
      </c>
      <c r="D306" t="str">
        <f>"11069-19-5"</f>
        <v>11069-19-5</v>
      </c>
      <c r="E306" t="str">
        <f t="shared" si="13"/>
        <v xml:space="preserve">Organische parameters </v>
      </c>
      <c r="F306" t="str">
        <f t="shared" si="15"/>
        <v xml:space="preserve">Gehalogeneerde alifatische koolwaterstoffen </v>
      </c>
      <c r="G306" t="str">
        <f t="shared" si="16"/>
        <v xml:space="preserve">Overige gehalogeneerde alifatische koolwaterstoffen </v>
      </c>
    </row>
    <row r="307" spans="1:7" x14ac:dyDescent="0.25">
      <c r="A307">
        <v>1039</v>
      </c>
      <c r="B307" t="str">
        <f>"1,1-dichloorethaan"</f>
        <v>1,1-dichloorethaan</v>
      </c>
      <c r="C307" t="s">
        <v>19016</v>
      </c>
      <c r="D307" t="str">
        <f>"75-34-3"</f>
        <v>75-34-3</v>
      </c>
      <c r="E307" t="str">
        <f t="shared" si="13"/>
        <v xml:space="preserve">Organische parameters </v>
      </c>
      <c r="F307" t="str">
        <f t="shared" si="15"/>
        <v xml:space="preserve">Gehalogeneerde alifatische koolwaterstoffen </v>
      </c>
      <c r="G307" t="str">
        <f t="shared" si="16"/>
        <v xml:space="preserve">Overige gehalogeneerde alifatische koolwaterstoffen </v>
      </c>
    </row>
    <row r="308" spans="1:7" x14ac:dyDescent="0.25">
      <c r="A308">
        <v>1040</v>
      </c>
      <c r="B308" t="str">
        <f>"1,2-dichloorethaan"</f>
        <v>1,2-dichloorethaan</v>
      </c>
      <c r="C308" t="s">
        <v>19016</v>
      </c>
      <c r="D308" t="str">
        <f>"107-06-2"</f>
        <v>107-06-2</v>
      </c>
      <c r="E308" t="str">
        <f t="shared" si="13"/>
        <v xml:space="preserve">Organische parameters </v>
      </c>
      <c r="F308" t="str">
        <f t="shared" si="15"/>
        <v xml:space="preserve">Gehalogeneerde alifatische koolwaterstoffen </v>
      </c>
      <c r="G308" t="str">
        <f t="shared" si="16"/>
        <v xml:space="preserve">Overige gehalogeneerde alifatische koolwaterstoffen </v>
      </c>
    </row>
    <row r="309" spans="1:7" x14ac:dyDescent="0.25">
      <c r="A309">
        <v>1041</v>
      </c>
      <c r="B309" t="str">
        <f>"1,1-dichlooretheen"</f>
        <v>1,1-dichlooretheen</v>
      </c>
      <c r="C309" t="s">
        <v>19016</v>
      </c>
      <c r="D309" t="str">
        <f>"75-35-4"</f>
        <v>75-35-4</v>
      </c>
      <c r="E309" t="str">
        <f t="shared" si="13"/>
        <v xml:space="preserve">Organische parameters </v>
      </c>
      <c r="F309" t="str">
        <f t="shared" si="15"/>
        <v xml:space="preserve">Gehalogeneerde alifatische koolwaterstoffen </v>
      </c>
      <c r="G309" t="str">
        <f t="shared" si="16"/>
        <v xml:space="preserve">Overige gehalogeneerde alifatische koolwaterstoffen </v>
      </c>
    </row>
    <row r="310" spans="1:7" x14ac:dyDescent="0.25">
      <c r="A310">
        <v>1042</v>
      </c>
      <c r="B310" t="str">
        <f>"1,2-dichlooretheen"</f>
        <v>1,2-dichlooretheen</v>
      </c>
      <c r="C310" t="s">
        <v>19016</v>
      </c>
      <c r="D310" t="str">
        <f>"540-59-0"</f>
        <v>540-59-0</v>
      </c>
      <c r="E310" t="str">
        <f t="shared" si="13"/>
        <v xml:space="preserve">Organische parameters </v>
      </c>
      <c r="F310" t="str">
        <f t="shared" si="15"/>
        <v xml:space="preserve">Gehalogeneerde alifatische koolwaterstoffen </v>
      </c>
      <c r="G310" t="str">
        <f t="shared" si="16"/>
        <v xml:space="preserve">Overige gehalogeneerde alifatische koolwaterstoffen </v>
      </c>
    </row>
    <row r="311" spans="1:7" x14ac:dyDescent="0.25">
      <c r="A311">
        <v>1043</v>
      </c>
      <c r="B311" t="str">
        <f>"dichloorjoodmethaan"</f>
        <v>dichloorjoodmethaan</v>
      </c>
      <c r="C311" t="s">
        <v>19016</v>
      </c>
      <c r="D311" t="str">
        <f>"594-04-7"</f>
        <v>594-04-7</v>
      </c>
      <c r="E311" t="str">
        <f t="shared" si="13"/>
        <v xml:space="preserve">Organische parameters </v>
      </c>
      <c r="F311" t="str">
        <f t="shared" si="15"/>
        <v xml:space="preserve">Gehalogeneerde alifatische koolwaterstoffen </v>
      </c>
      <c r="G311" t="str">
        <f t="shared" si="16"/>
        <v xml:space="preserve">Overige gehalogeneerde alifatische koolwaterstoffen </v>
      </c>
    </row>
    <row r="312" spans="1:7" x14ac:dyDescent="0.25">
      <c r="A312">
        <v>1044</v>
      </c>
      <c r="B312" t="str">
        <f>"dichloormethaan"</f>
        <v>dichloormethaan</v>
      </c>
      <c r="C312" t="s">
        <v>19016</v>
      </c>
      <c r="D312" t="str">
        <f>"75-09-2"</f>
        <v>75-09-2</v>
      </c>
      <c r="E312" t="str">
        <f t="shared" si="13"/>
        <v xml:space="preserve">Organische parameters </v>
      </c>
      <c r="F312" t="str">
        <f t="shared" si="15"/>
        <v xml:space="preserve">Gehalogeneerde alifatische koolwaterstoffen </v>
      </c>
      <c r="G312" t="str">
        <f t="shared" si="16"/>
        <v xml:space="preserve">Overige gehalogeneerde alifatische koolwaterstoffen </v>
      </c>
    </row>
    <row r="313" spans="1:7" x14ac:dyDescent="0.25">
      <c r="A313">
        <v>1045</v>
      </c>
      <c r="B313" t="str">
        <f>"dichloormethylpropaan"</f>
        <v>dichloormethylpropaan</v>
      </c>
      <c r="C313" t="s">
        <v>19016</v>
      </c>
      <c r="D313" t="str">
        <f>""</f>
        <v/>
      </c>
      <c r="E313" t="str">
        <f t="shared" si="13"/>
        <v xml:space="preserve">Organische parameters </v>
      </c>
      <c r="F313" t="str">
        <f t="shared" si="15"/>
        <v xml:space="preserve">Gehalogeneerde alifatische koolwaterstoffen </v>
      </c>
      <c r="G313" t="str">
        <f t="shared" si="16"/>
        <v xml:space="preserve">Overige gehalogeneerde alifatische koolwaterstoffen </v>
      </c>
    </row>
    <row r="314" spans="1:7" x14ac:dyDescent="0.25">
      <c r="A314">
        <v>1046</v>
      </c>
      <c r="B314" t="str">
        <f>"1,1-dichloorpropaan"</f>
        <v>1,1-dichloorpropaan</v>
      </c>
      <c r="C314" t="s">
        <v>19016</v>
      </c>
      <c r="D314" t="str">
        <f>"78-99-9"</f>
        <v>78-99-9</v>
      </c>
      <c r="E314" t="str">
        <f t="shared" si="13"/>
        <v xml:space="preserve">Organische parameters </v>
      </c>
      <c r="F314" t="str">
        <f t="shared" si="15"/>
        <v xml:space="preserve">Gehalogeneerde alifatische koolwaterstoffen </v>
      </c>
      <c r="G314" t="str">
        <f t="shared" si="16"/>
        <v xml:space="preserve">Overige gehalogeneerde alifatische koolwaterstoffen </v>
      </c>
    </row>
    <row r="315" spans="1:7" x14ac:dyDescent="0.25">
      <c r="A315">
        <v>1047</v>
      </c>
      <c r="B315" t="str">
        <f>"2,2-dichloorpropaan"</f>
        <v>2,2-dichloorpropaan</v>
      </c>
      <c r="C315" t="s">
        <v>19016</v>
      </c>
      <c r="D315" t="str">
        <f>"594-20-7"</f>
        <v>594-20-7</v>
      </c>
      <c r="E315" t="str">
        <f t="shared" si="13"/>
        <v xml:space="preserve">Organische parameters </v>
      </c>
      <c r="F315" t="str">
        <f t="shared" si="15"/>
        <v xml:space="preserve">Gehalogeneerde alifatische koolwaterstoffen </v>
      </c>
      <c r="G315" t="str">
        <f t="shared" si="16"/>
        <v xml:space="preserve">Overige gehalogeneerde alifatische koolwaterstoffen </v>
      </c>
    </row>
    <row r="316" spans="1:7" x14ac:dyDescent="0.25">
      <c r="A316">
        <v>1048</v>
      </c>
      <c r="B316" t="str">
        <f>"hexachloorbutaan"</f>
        <v>hexachloorbutaan</v>
      </c>
      <c r="C316" t="s">
        <v>19016</v>
      </c>
      <c r="D316" t="str">
        <f>"26523-63-7"</f>
        <v>26523-63-7</v>
      </c>
      <c r="E316" t="str">
        <f t="shared" si="13"/>
        <v xml:space="preserve">Organische parameters </v>
      </c>
      <c r="F316" t="str">
        <f t="shared" si="15"/>
        <v xml:space="preserve">Gehalogeneerde alifatische koolwaterstoffen </v>
      </c>
      <c r="G316" t="str">
        <f t="shared" si="16"/>
        <v xml:space="preserve">Overige gehalogeneerde alifatische koolwaterstoffen </v>
      </c>
    </row>
    <row r="317" spans="1:7" x14ac:dyDescent="0.25">
      <c r="A317">
        <v>1049</v>
      </c>
      <c r="B317" t="str">
        <f>"hexachloorbutadieen"</f>
        <v>hexachloorbutadieen</v>
      </c>
      <c r="C317" t="s">
        <v>19016</v>
      </c>
      <c r="D317" t="str">
        <f>"87-68-3"</f>
        <v>87-68-3</v>
      </c>
      <c r="E317" t="str">
        <f t="shared" si="13"/>
        <v xml:space="preserve">Organische parameters </v>
      </c>
      <c r="F317" t="str">
        <f t="shared" si="15"/>
        <v xml:space="preserve">Gehalogeneerde alifatische koolwaterstoffen </v>
      </c>
      <c r="G317" t="str">
        <f t="shared" si="16"/>
        <v xml:space="preserve">Overige gehalogeneerde alifatische koolwaterstoffen </v>
      </c>
    </row>
    <row r="318" spans="1:7" x14ac:dyDescent="0.25">
      <c r="A318">
        <v>1050</v>
      </c>
      <c r="B318" t="str">
        <f>"hexachloorethaan"</f>
        <v>hexachloorethaan</v>
      </c>
      <c r="C318" t="s">
        <v>19016</v>
      </c>
      <c r="D318" t="str">
        <f>"67-72-1"</f>
        <v>67-72-1</v>
      </c>
      <c r="E318" t="str">
        <f t="shared" si="13"/>
        <v xml:space="preserve">Organische parameters </v>
      </c>
      <c r="F318" t="str">
        <f t="shared" si="15"/>
        <v xml:space="preserve">Gehalogeneerde alifatische koolwaterstoffen </v>
      </c>
      <c r="G318" t="str">
        <f t="shared" si="16"/>
        <v xml:space="preserve">Overige gehalogeneerde alifatische koolwaterstoffen </v>
      </c>
    </row>
    <row r="319" spans="1:7" x14ac:dyDescent="0.25">
      <c r="A319">
        <v>1051</v>
      </c>
      <c r="B319" t="str">
        <f>"pentachloorbutadieen"</f>
        <v>pentachloorbutadieen</v>
      </c>
      <c r="C319" t="s">
        <v>19016</v>
      </c>
      <c r="D319" t="str">
        <f>"55880-77-8"</f>
        <v>55880-77-8</v>
      </c>
      <c r="E319" t="str">
        <f t="shared" si="13"/>
        <v xml:space="preserve">Organische parameters </v>
      </c>
      <c r="F319" t="str">
        <f t="shared" si="15"/>
        <v xml:space="preserve">Gehalogeneerde alifatische koolwaterstoffen </v>
      </c>
      <c r="G319" t="str">
        <f t="shared" si="16"/>
        <v xml:space="preserve">Overige gehalogeneerde alifatische koolwaterstoffen </v>
      </c>
    </row>
    <row r="320" spans="1:7" x14ac:dyDescent="0.25">
      <c r="A320">
        <v>1052</v>
      </c>
      <c r="B320" t="str">
        <f>"pentachloorethaan"</f>
        <v>pentachloorethaan</v>
      </c>
      <c r="C320" t="s">
        <v>19016</v>
      </c>
      <c r="D320" t="str">
        <f>"76-01-7"</f>
        <v>76-01-7</v>
      </c>
      <c r="E320" t="str">
        <f t="shared" si="13"/>
        <v xml:space="preserve">Organische parameters </v>
      </c>
      <c r="F320" t="str">
        <f t="shared" si="15"/>
        <v xml:space="preserve">Gehalogeneerde alifatische koolwaterstoffen </v>
      </c>
      <c r="G320" t="str">
        <f t="shared" si="16"/>
        <v xml:space="preserve">Overige gehalogeneerde alifatische koolwaterstoffen </v>
      </c>
    </row>
    <row r="321" spans="1:7" x14ac:dyDescent="0.25">
      <c r="A321">
        <v>1053</v>
      </c>
      <c r="B321" t="str">
        <f>"pentachloorpropeen"</f>
        <v>pentachloorpropeen</v>
      </c>
      <c r="C321" t="s">
        <v>19016</v>
      </c>
      <c r="D321" t="str">
        <f>"1600-37-9"</f>
        <v>1600-37-9</v>
      </c>
      <c r="E321" t="str">
        <f t="shared" si="13"/>
        <v xml:space="preserve">Organische parameters </v>
      </c>
      <c r="F321" t="str">
        <f t="shared" si="15"/>
        <v xml:space="preserve">Gehalogeneerde alifatische koolwaterstoffen </v>
      </c>
      <c r="G321" t="str">
        <f t="shared" si="16"/>
        <v xml:space="preserve">Overige gehalogeneerde alifatische koolwaterstoffen </v>
      </c>
    </row>
    <row r="322" spans="1:7" x14ac:dyDescent="0.25">
      <c r="A322">
        <v>1054</v>
      </c>
      <c r="B322" t="str">
        <f>"tetrachloorbutaan"</f>
        <v>tetrachloorbutaan</v>
      </c>
      <c r="C322" t="s">
        <v>19016</v>
      </c>
      <c r="D322" t="str">
        <f>""</f>
        <v/>
      </c>
      <c r="E322" t="str">
        <f t="shared" si="13"/>
        <v xml:space="preserve">Organische parameters </v>
      </c>
      <c r="F322" t="str">
        <f t="shared" si="15"/>
        <v xml:space="preserve">Gehalogeneerde alifatische koolwaterstoffen </v>
      </c>
      <c r="G322" t="str">
        <f t="shared" si="16"/>
        <v xml:space="preserve">Overige gehalogeneerde alifatische koolwaterstoffen </v>
      </c>
    </row>
    <row r="323" spans="1:7" x14ac:dyDescent="0.25">
      <c r="A323">
        <v>1056</v>
      </c>
      <c r="B323" t="str">
        <f>"tetrachlooretheen"</f>
        <v>tetrachlooretheen</v>
      </c>
      <c r="C323" t="s">
        <v>19016</v>
      </c>
      <c r="D323" t="str">
        <f>"127-18-4"</f>
        <v>127-18-4</v>
      </c>
      <c r="E323" t="str">
        <f t="shared" si="13"/>
        <v xml:space="preserve">Organische parameters </v>
      </c>
      <c r="F323" t="str">
        <f t="shared" si="15"/>
        <v xml:space="preserve">Gehalogeneerde alifatische koolwaterstoffen </v>
      </c>
      <c r="G323" t="str">
        <f t="shared" si="16"/>
        <v xml:space="preserve">Overige gehalogeneerde alifatische koolwaterstoffen </v>
      </c>
    </row>
    <row r="324" spans="1:7" x14ac:dyDescent="0.25">
      <c r="A324">
        <v>1057</v>
      </c>
      <c r="B324" t="str">
        <f>"tetrachloormethaan"</f>
        <v>tetrachloormethaan</v>
      </c>
      <c r="C324" t="s">
        <v>19016</v>
      </c>
      <c r="D324" t="str">
        <f>"56-23-5"</f>
        <v>56-23-5</v>
      </c>
      <c r="E324" t="str">
        <f t="shared" si="13"/>
        <v xml:space="preserve">Organische parameters </v>
      </c>
      <c r="F324" t="str">
        <f t="shared" si="15"/>
        <v xml:space="preserve">Gehalogeneerde alifatische koolwaterstoffen </v>
      </c>
      <c r="G324" t="str">
        <f t="shared" si="16"/>
        <v xml:space="preserve">Overige gehalogeneerde alifatische koolwaterstoffen </v>
      </c>
    </row>
    <row r="325" spans="1:7" x14ac:dyDescent="0.25">
      <c r="A325">
        <v>1058</v>
      </c>
      <c r="B325" t="str">
        <f>"tribroommethaan"</f>
        <v>tribroommethaan</v>
      </c>
      <c r="C325" t="s">
        <v>19016</v>
      </c>
      <c r="D325" t="str">
        <f>"75-25-2"</f>
        <v>75-25-2</v>
      </c>
      <c r="E325" t="str">
        <f t="shared" si="13"/>
        <v xml:space="preserve">Organische parameters </v>
      </c>
      <c r="F325" t="str">
        <f t="shared" si="15"/>
        <v xml:space="preserve">Gehalogeneerde alifatische koolwaterstoffen </v>
      </c>
      <c r="G325" t="str">
        <f>"Trihalomethanen "</f>
        <v xml:space="preserve">Trihalomethanen </v>
      </c>
    </row>
    <row r="326" spans="1:7" x14ac:dyDescent="0.25">
      <c r="A326">
        <v>1059</v>
      </c>
      <c r="B326" t="str">
        <f>"trichloorbuteen"</f>
        <v>trichloorbuteen</v>
      </c>
      <c r="C326" t="s">
        <v>19016</v>
      </c>
      <c r="D326" t="str">
        <f>"51023-22-4"</f>
        <v>51023-22-4</v>
      </c>
      <c r="E326" t="str">
        <f t="shared" si="13"/>
        <v xml:space="preserve">Organische parameters </v>
      </c>
      <c r="F326" t="str">
        <f t="shared" si="15"/>
        <v xml:space="preserve">Gehalogeneerde alifatische koolwaterstoffen </v>
      </c>
      <c r="G326" t="str">
        <f>"Overige gehalogeneerde alifatische koolwaterstoffen "</f>
        <v xml:space="preserve">Overige gehalogeneerde alifatische koolwaterstoffen </v>
      </c>
    </row>
    <row r="327" spans="1:7" x14ac:dyDescent="0.25">
      <c r="A327">
        <v>1060</v>
      </c>
      <c r="B327" t="str">
        <f>"trichloordifluorethaan"</f>
        <v>trichloordifluorethaan</v>
      </c>
      <c r="C327" t="s">
        <v>19016</v>
      </c>
      <c r="D327" t="str">
        <f>"41834-16-6"</f>
        <v>41834-16-6</v>
      </c>
      <c r="E327" t="str">
        <f t="shared" si="13"/>
        <v xml:space="preserve">Organische parameters </v>
      </c>
      <c r="F327" t="str">
        <f t="shared" si="15"/>
        <v xml:space="preserve">Gehalogeneerde alifatische koolwaterstoffen </v>
      </c>
      <c r="G327" t="str">
        <f>"Overige gehalogeneerde alifatische koolwaterstoffen "</f>
        <v xml:space="preserve">Overige gehalogeneerde alifatische koolwaterstoffen </v>
      </c>
    </row>
    <row r="328" spans="1:7" x14ac:dyDescent="0.25">
      <c r="A328">
        <v>1061</v>
      </c>
      <c r="B328" t="str">
        <f>"1,1,1-trichloorethaan"</f>
        <v>1,1,1-trichloorethaan</v>
      </c>
      <c r="C328" t="s">
        <v>19016</v>
      </c>
      <c r="D328" t="str">
        <f>"71-55-6"</f>
        <v>71-55-6</v>
      </c>
      <c r="E328" t="str">
        <f t="shared" si="13"/>
        <v xml:space="preserve">Organische parameters </v>
      </c>
      <c r="F328" t="str">
        <f t="shared" si="15"/>
        <v xml:space="preserve">Gehalogeneerde alifatische koolwaterstoffen </v>
      </c>
      <c r="G328" t="str">
        <f>"Overige gehalogeneerde alifatische koolwaterstoffen "</f>
        <v xml:space="preserve">Overige gehalogeneerde alifatische koolwaterstoffen </v>
      </c>
    </row>
    <row r="329" spans="1:7" x14ac:dyDescent="0.25">
      <c r="A329">
        <v>1062</v>
      </c>
      <c r="B329" t="str">
        <f>"1,1,2-trichloorethaan"</f>
        <v>1,1,2-trichloorethaan</v>
      </c>
      <c r="C329" t="s">
        <v>19016</v>
      </c>
      <c r="D329" t="str">
        <f>"79-00-5"</f>
        <v>79-00-5</v>
      </c>
      <c r="E329" t="str">
        <f t="shared" si="13"/>
        <v xml:space="preserve">Organische parameters </v>
      </c>
      <c r="F329" t="str">
        <f t="shared" si="15"/>
        <v xml:space="preserve">Gehalogeneerde alifatische koolwaterstoffen </v>
      </c>
      <c r="G329" t="str">
        <f>"Overige gehalogeneerde alifatische koolwaterstoffen "</f>
        <v xml:space="preserve">Overige gehalogeneerde alifatische koolwaterstoffen </v>
      </c>
    </row>
    <row r="330" spans="1:7" x14ac:dyDescent="0.25">
      <c r="A330">
        <v>1063</v>
      </c>
      <c r="B330" t="str">
        <f>"trichlooretheen"</f>
        <v>trichlooretheen</v>
      </c>
      <c r="C330" t="s">
        <v>19016</v>
      </c>
      <c r="D330" t="str">
        <f>"79-01-6"</f>
        <v>79-01-6</v>
      </c>
      <c r="E330" t="str">
        <f t="shared" si="13"/>
        <v xml:space="preserve">Organische parameters </v>
      </c>
      <c r="F330" t="str">
        <f t="shared" si="15"/>
        <v xml:space="preserve">Gehalogeneerde alifatische koolwaterstoffen </v>
      </c>
      <c r="G330" t="str">
        <f>"Overige gehalogeneerde alifatische koolwaterstoffen "</f>
        <v xml:space="preserve">Overige gehalogeneerde alifatische koolwaterstoffen </v>
      </c>
    </row>
    <row r="331" spans="1:7" x14ac:dyDescent="0.25">
      <c r="A331">
        <v>1064</v>
      </c>
      <c r="B331" t="str">
        <f>"trichloormethaan"</f>
        <v>trichloormethaan</v>
      </c>
      <c r="C331" t="s">
        <v>19016</v>
      </c>
      <c r="D331" t="str">
        <f>"67-66-3"</f>
        <v>67-66-3</v>
      </c>
      <c r="E331" t="str">
        <f t="shared" si="13"/>
        <v xml:space="preserve">Organische parameters </v>
      </c>
      <c r="F331" t="str">
        <f t="shared" si="15"/>
        <v xml:space="preserve">Gehalogeneerde alifatische koolwaterstoffen </v>
      </c>
      <c r="G331" t="str">
        <f>"Trihalomethanen "</f>
        <v xml:space="preserve">Trihalomethanen </v>
      </c>
    </row>
    <row r="332" spans="1:7" x14ac:dyDescent="0.25">
      <c r="A332">
        <v>1065</v>
      </c>
      <c r="B332" t="str">
        <f>"trichloornitromethaan"</f>
        <v>trichloornitromethaan</v>
      </c>
      <c r="C332" t="s">
        <v>19016</v>
      </c>
      <c r="D332" t="str">
        <f>"76-06-2"</f>
        <v>76-06-2</v>
      </c>
      <c r="E332" t="str">
        <f t="shared" si="13"/>
        <v xml:space="preserve">Organische parameters </v>
      </c>
      <c r="F332" t="str">
        <f t="shared" si="15"/>
        <v xml:space="preserve">Gehalogeneerde alifatische koolwaterstoffen </v>
      </c>
      <c r="G332" t="str">
        <f t="shared" ref="G332:G337" si="17">"Overige gehalogeneerde alifatische koolwaterstoffen "</f>
        <v xml:space="preserve">Overige gehalogeneerde alifatische koolwaterstoffen </v>
      </c>
    </row>
    <row r="333" spans="1:7" x14ac:dyDescent="0.25">
      <c r="A333">
        <v>1066</v>
      </c>
      <c r="B333" t="str">
        <f>"1,1,1-trichloorpropaan"</f>
        <v>1,1,1-trichloorpropaan</v>
      </c>
      <c r="C333" t="s">
        <v>19016</v>
      </c>
      <c r="D333" t="str">
        <f>"7789-89-1"</f>
        <v>7789-89-1</v>
      </c>
      <c r="E333" t="str">
        <f t="shared" ref="E333:E396" si="18">"Organische parameters "</f>
        <v xml:space="preserve">Organische parameters </v>
      </c>
      <c r="F333" t="str">
        <f t="shared" si="15"/>
        <v xml:space="preserve">Gehalogeneerde alifatische koolwaterstoffen </v>
      </c>
      <c r="G333" t="str">
        <f t="shared" si="17"/>
        <v xml:space="preserve">Overige gehalogeneerde alifatische koolwaterstoffen </v>
      </c>
    </row>
    <row r="334" spans="1:7" x14ac:dyDescent="0.25">
      <c r="A334">
        <v>1067</v>
      </c>
      <c r="B334" t="str">
        <f>"1,1,2-trichloorpropaan"</f>
        <v>1,1,2-trichloorpropaan</v>
      </c>
      <c r="C334" t="s">
        <v>19016</v>
      </c>
      <c r="D334" t="str">
        <f>"598-77-6"</f>
        <v>598-77-6</v>
      </c>
      <c r="E334" t="str">
        <f t="shared" si="18"/>
        <v xml:space="preserve">Organische parameters </v>
      </c>
      <c r="F334" t="str">
        <f t="shared" si="15"/>
        <v xml:space="preserve">Gehalogeneerde alifatische koolwaterstoffen </v>
      </c>
      <c r="G334" t="str">
        <f t="shared" si="17"/>
        <v xml:space="preserve">Overige gehalogeneerde alifatische koolwaterstoffen </v>
      </c>
    </row>
    <row r="335" spans="1:7" x14ac:dyDescent="0.25">
      <c r="A335">
        <v>1068</v>
      </c>
      <c r="B335" t="str">
        <f>"1,1,3-trichloorpropaan"</f>
        <v>1,1,3-trichloorpropaan</v>
      </c>
      <c r="C335" t="s">
        <v>19016</v>
      </c>
      <c r="D335" t="str">
        <f>"20395-25-9"</f>
        <v>20395-25-9</v>
      </c>
      <c r="E335" t="str">
        <f t="shared" si="18"/>
        <v xml:space="preserve">Organische parameters </v>
      </c>
      <c r="F335" t="str">
        <f t="shared" si="15"/>
        <v xml:space="preserve">Gehalogeneerde alifatische koolwaterstoffen </v>
      </c>
      <c r="G335" t="str">
        <f t="shared" si="17"/>
        <v xml:space="preserve">Overige gehalogeneerde alifatische koolwaterstoffen </v>
      </c>
    </row>
    <row r="336" spans="1:7" x14ac:dyDescent="0.25">
      <c r="A336">
        <v>1069</v>
      </c>
      <c r="B336" t="str">
        <f>"1,2,2-trichloorpropaan"</f>
        <v>1,2,2-trichloorpropaan</v>
      </c>
      <c r="C336" t="s">
        <v>19016</v>
      </c>
      <c r="D336" t="str">
        <f>"3175-23-3"</f>
        <v>3175-23-3</v>
      </c>
      <c r="E336" t="str">
        <f t="shared" si="18"/>
        <v xml:space="preserve">Organische parameters </v>
      </c>
      <c r="F336" t="str">
        <f t="shared" si="15"/>
        <v xml:space="preserve">Gehalogeneerde alifatische koolwaterstoffen </v>
      </c>
      <c r="G336" t="str">
        <f t="shared" si="17"/>
        <v xml:space="preserve">Overige gehalogeneerde alifatische koolwaterstoffen </v>
      </c>
    </row>
    <row r="337" spans="1:7" x14ac:dyDescent="0.25">
      <c r="A337">
        <v>1070</v>
      </c>
      <c r="B337" t="str">
        <f>"1,2,3-trichloorpropaan"</f>
        <v>1,2,3-trichloorpropaan</v>
      </c>
      <c r="C337" t="s">
        <v>19016</v>
      </c>
      <c r="D337" t="str">
        <f>"96-18-4"</f>
        <v>96-18-4</v>
      </c>
      <c r="E337" t="str">
        <f t="shared" si="18"/>
        <v xml:space="preserve">Organische parameters </v>
      </c>
      <c r="F337" t="str">
        <f t="shared" si="15"/>
        <v xml:space="preserve">Gehalogeneerde alifatische koolwaterstoffen </v>
      </c>
      <c r="G337" t="str">
        <f t="shared" si="17"/>
        <v xml:space="preserve">Overige gehalogeneerde alifatische koolwaterstoffen </v>
      </c>
    </row>
    <row r="338" spans="1:7" x14ac:dyDescent="0.25">
      <c r="A338">
        <v>1071</v>
      </c>
      <c r="B338" t="str">
        <f>"dimethylnitropentaan"</f>
        <v>dimethylnitropentaan</v>
      </c>
      <c r="C338" t="s">
        <v>19016</v>
      </c>
      <c r="D338" t="str">
        <f>"597-45-5"</f>
        <v>597-45-5</v>
      </c>
      <c r="E338" t="str">
        <f t="shared" si="18"/>
        <v xml:space="preserve">Organische parameters </v>
      </c>
      <c r="F338" t="str">
        <f>"Overige antropogene stoffen "</f>
        <v xml:space="preserve">Overige antropogene stoffen </v>
      </c>
      <c r="G338" t="str">
        <f>""</f>
        <v/>
      </c>
    </row>
    <row r="339" spans="1:7" x14ac:dyDescent="0.25">
      <c r="A339">
        <v>1072</v>
      </c>
      <c r="B339" t="str">
        <f>"nitropentaan"</f>
        <v>nitropentaan</v>
      </c>
      <c r="C339" t="s">
        <v>19016</v>
      </c>
      <c r="D339" t="str">
        <f>""</f>
        <v/>
      </c>
      <c r="E339" t="str">
        <f t="shared" si="18"/>
        <v xml:space="preserve">Organische parameters </v>
      </c>
      <c r="F339" t="str">
        <f>"Overige antropogene stoffen "</f>
        <v xml:space="preserve">Overige antropogene stoffen </v>
      </c>
      <c r="G339" t="str">
        <f>""</f>
        <v/>
      </c>
    </row>
    <row r="340" spans="1:7" x14ac:dyDescent="0.25">
      <c r="A340">
        <v>1073</v>
      </c>
      <c r="B340" t="str">
        <f>"tetramethyl-ureum"</f>
        <v>tetramethyl-ureum</v>
      </c>
      <c r="C340" t="s">
        <v>19016</v>
      </c>
      <c r="D340" t="str">
        <f>"632-22-4"</f>
        <v>632-22-4</v>
      </c>
      <c r="E340" t="str">
        <f t="shared" si="18"/>
        <v xml:space="preserve">Organische parameters </v>
      </c>
      <c r="F340" t="str">
        <f>"Overige antropogene stoffen "</f>
        <v xml:space="preserve">Overige antropogene stoffen </v>
      </c>
      <c r="G340" t="str">
        <f>""</f>
        <v/>
      </c>
    </row>
    <row r="341" spans="1:7" x14ac:dyDescent="0.25">
      <c r="A341">
        <v>1074</v>
      </c>
      <c r="B341" t="str">
        <f>"benzeen"</f>
        <v>benzeen</v>
      </c>
      <c r="C341" t="s">
        <v>19016</v>
      </c>
      <c r="D341" t="str">
        <f>"71-43-2"</f>
        <v>71-43-2</v>
      </c>
      <c r="E341" t="str">
        <f t="shared" si="18"/>
        <v xml:space="preserve">Organische parameters </v>
      </c>
      <c r="F341" t="str">
        <f t="shared" ref="F341:F374" si="19">"Monocyclische koolwaterstoffen/aromaten "</f>
        <v xml:space="preserve">Monocyclische koolwaterstoffen/aromaten </v>
      </c>
      <c r="G341" t="str">
        <f>""</f>
        <v/>
      </c>
    </row>
    <row r="342" spans="1:7" x14ac:dyDescent="0.25">
      <c r="A342">
        <v>1076</v>
      </c>
      <c r="B342" t="str">
        <f>"n-butyl-cyclohexaan"</f>
        <v>n-butyl-cyclohexaan</v>
      </c>
      <c r="C342" t="s">
        <v>19016</v>
      </c>
      <c r="D342" t="str">
        <f>"1678-93-9"</f>
        <v>1678-93-9</v>
      </c>
      <c r="E342" t="str">
        <f t="shared" si="18"/>
        <v xml:space="preserve">Organische parameters </v>
      </c>
      <c r="F342" t="str">
        <f t="shared" si="19"/>
        <v xml:space="preserve">Monocyclische koolwaterstoffen/aromaten </v>
      </c>
      <c r="G342" t="str">
        <f>""</f>
        <v/>
      </c>
    </row>
    <row r="343" spans="1:7" x14ac:dyDescent="0.25">
      <c r="A343">
        <v>1077</v>
      </c>
      <c r="B343" t="str">
        <f>"cyclohexaan"</f>
        <v>cyclohexaan</v>
      </c>
      <c r="C343" t="s">
        <v>19016</v>
      </c>
      <c r="D343" t="str">
        <f>"110-82-7"</f>
        <v>110-82-7</v>
      </c>
      <c r="E343" t="str">
        <f t="shared" si="18"/>
        <v xml:space="preserve">Organische parameters </v>
      </c>
      <c r="F343" t="str">
        <f t="shared" si="19"/>
        <v xml:space="preserve">Monocyclische koolwaterstoffen/aromaten </v>
      </c>
      <c r="G343" t="str">
        <f>""</f>
        <v/>
      </c>
    </row>
    <row r="344" spans="1:7" x14ac:dyDescent="0.25">
      <c r="A344">
        <v>1078</v>
      </c>
      <c r="B344" t="str">
        <f>"dicyclodihydropentadieen"</f>
        <v>dicyclodihydropentadieen</v>
      </c>
      <c r="C344" t="s">
        <v>19016</v>
      </c>
      <c r="D344" t="str">
        <f>""</f>
        <v/>
      </c>
      <c r="E344" t="str">
        <f t="shared" si="18"/>
        <v xml:space="preserve">Organische parameters </v>
      </c>
      <c r="F344" t="str">
        <f t="shared" si="19"/>
        <v xml:space="preserve">Monocyclische koolwaterstoffen/aromaten </v>
      </c>
      <c r="G344" t="str">
        <f>""</f>
        <v/>
      </c>
    </row>
    <row r="345" spans="1:7" x14ac:dyDescent="0.25">
      <c r="A345">
        <v>1079</v>
      </c>
      <c r="B345" t="str">
        <f>"dicyclopentadieen"</f>
        <v>dicyclopentadieen</v>
      </c>
      <c r="C345" t="s">
        <v>19016</v>
      </c>
      <c r="D345" t="str">
        <f>"77-73-6"</f>
        <v>77-73-6</v>
      </c>
      <c r="E345" t="str">
        <f t="shared" si="18"/>
        <v xml:space="preserve">Organische parameters </v>
      </c>
      <c r="F345" t="str">
        <f t="shared" si="19"/>
        <v xml:space="preserve">Monocyclische koolwaterstoffen/aromaten </v>
      </c>
      <c r="G345" t="str">
        <f>""</f>
        <v/>
      </c>
    </row>
    <row r="346" spans="1:7" x14ac:dyDescent="0.25">
      <c r="A346">
        <v>1080</v>
      </c>
      <c r="B346" t="str">
        <f>"1,2-dimethylbenzeen"</f>
        <v>1,2-dimethylbenzeen</v>
      </c>
      <c r="C346" t="s">
        <v>19016</v>
      </c>
      <c r="D346" t="str">
        <f>"95-47-6"</f>
        <v>95-47-6</v>
      </c>
      <c r="E346" t="str">
        <f t="shared" si="18"/>
        <v xml:space="preserve">Organische parameters </v>
      </c>
      <c r="F346" t="str">
        <f t="shared" si="19"/>
        <v xml:space="preserve">Monocyclische koolwaterstoffen/aromaten </v>
      </c>
      <c r="G346" t="str">
        <f>""</f>
        <v/>
      </c>
    </row>
    <row r="347" spans="1:7" x14ac:dyDescent="0.25">
      <c r="A347">
        <v>1081</v>
      </c>
      <c r="B347" t="str">
        <f>"1,3-dimethylbenzeen"</f>
        <v>1,3-dimethylbenzeen</v>
      </c>
      <c r="C347" t="s">
        <v>19016</v>
      </c>
      <c r="D347" t="str">
        <f>"108-38-3"</f>
        <v>108-38-3</v>
      </c>
      <c r="E347" t="str">
        <f t="shared" si="18"/>
        <v xml:space="preserve">Organische parameters </v>
      </c>
      <c r="F347" t="str">
        <f t="shared" si="19"/>
        <v xml:space="preserve">Monocyclische koolwaterstoffen/aromaten </v>
      </c>
      <c r="G347" t="str">
        <f>""</f>
        <v/>
      </c>
    </row>
    <row r="348" spans="1:7" x14ac:dyDescent="0.25">
      <c r="A348">
        <v>1082</v>
      </c>
      <c r="B348" t="str">
        <f>"1,4-dimethylbenzeen"</f>
        <v>1,4-dimethylbenzeen</v>
      </c>
      <c r="C348" t="s">
        <v>19016</v>
      </c>
      <c r="D348" t="str">
        <f>"106-42-3"</f>
        <v>106-42-3</v>
      </c>
      <c r="E348" t="str">
        <f t="shared" si="18"/>
        <v xml:space="preserve">Organische parameters </v>
      </c>
      <c r="F348" t="str">
        <f t="shared" si="19"/>
        <v xml:space="preserve">Monocyclische koolwaterstoffen/aromaten </v>
      </c>
      <c r="G348" t="str">
        <f>""</f>
        <v/>
      </c>
    </row>
    <row r="349" spans="1:7" x14ac:dyDescent="0.25">
      <c r="A349">
        <v>1083</v>
      </c>
      <c r="B349" t="str">
        <f>"dimethylcyclopentaan"</f>
        <v>dimethylcyclopentaan</v>
      </c>
      <c r="C349" t="s">
        <v>19016</v>
      </c>
      <c r="D349" t="str">
        <f>"28729-52-4"</f>
        <v>28729-52-4</v>
      </c>
      <c r="E349" t="str">
        <f t="shared" si="18"/>
        <v xml:space="preserve">Organische parameters </v>
      </c>
      <c r="F349" t="str">
        <f t="shared" si="19"/>
        <v xml:space="preserve">Monocyclische koolwaterstoffen/aromaten </v>
      </c>
      <c r="G349" t="str">
        <f>""</f>
        <v/>
      </c>
    </row>
    <row r="350" spans="1:7" x14ac:dyDescent="0.25">
      <c r="A350">
        <v>1084</v>
      </c>
      <c r="B350" t="str">
        <f>"dimethylcyclohexaan"</f>
        <v>dimethylcyclohexaan</v>
      </c>
      <c r="C350" t="s">
        <v>19016</v>
      </c>
      <c r="D350" t="str">
        <f>""</f>
        <v/>
      </c>
      <c r="E350" t="str">
        <f t="shared" si="18"/>
        <v xml:space="preserve">Organische parameters </v>
      </c>
      <c r="F350" t="str">
        <f t="shared" si="19"/>
        <v xml:space="preserve">Monocyclische koolwaterstoffen/aromaten </v>
      </c>
      <c r="G350" t="str">
        <f>""</f>
        <v/>
      </c>
    </row>
    <row r="351" spans="1:7" x14ac:dyDescent="0.25">
      <c r="A351">
        <v>1086</v>
      </c>
      <c r="B351" t="str">
        <f>"dimethylindaan"</f>
        <v>dimethylindaan</v>
      </c>
      <c r="C351" t="s">
        <v>19016</v>
      </c>
      <c r="D351" t="str">
        <f>""</f>
        <v/>
      </c>
      <c r="E351" t="str">
        <f t="shared" si="18"/>
        <v xml:space="preserve">Organische parameters </v>
      </c>
      <c r="F351" t="str">
        <f t="shared" si="19"/>
        <v xml:space="preserve">Monocyclische koolwaterstoffen/aromaten </v>
      </c>
      <c r="G351" t="str">
        <f>""</f>
        <v/>
      </c>
    </row>
    <row r="352" spans="1:7" x14ac:dyDescent="0.25">
      <c r="A352">
        <v>1087</v>
      </c>
      <c r="B352" t="str">
        <f>"dimethylindeen"</f>
        <v>dimethylindeen</v>
      </c>
      <c r="C352" t="s">
        <v>19016</v>
      </c>
      <c r="D352" t="str">
        <f>"18636-55-0"</f>
        <v>18636-55-0</v>
      </c>
      <c r="E352" t="str">
        <f t="shared" si="18"/>
        <v xml:space="preserve">Organische parameters </v>
      </c>
      <c r="F352" t="str">
        <f t="shared" si="19"/>
        <v xml:space="preserve">Monocyclische koolwaterstoffen/aromaten </v>
      </c>
      <c r="G352" t="str">
        <f>""</f>
        <v/>
      </c>
    </row>
    <row r="353" spans="1:7" x14ac:dyDescent="0.25">
      <c r="A353">
        <v>1088</v>
      </c>
      <c r="B353" t="str">
        <f>"ethenylbenzeen"</f>
        <v>ethenylbenzeen</v>
      </c>
      <c r="C353" t="s">
        <v>19016</v>
      </c>
      <c r="D353" t="str">
        <f>"100-42-5"</f>
        <v>100-42-5</v>
      </c>
      <c r="E353" t="str">
        <f t="shared" si="18"/>
        <v xml:space="preserve">Organische parameters </v>
      </c>
      <c r="F353" t="str">
        <f t="shared" si="19"/>
        <v xml:space="preserve">Monocyclische koolwaterstoffen/aromaten </v>
      </c>
      <c r="G353" t="str">
        <f>""</f>
        <v/>
      </c>
    </row>
    <row r="354" spans="1:7" x14ac:dyDescent="0.25">
      <c r="A354">
        <v>1089</v>
      </c>
      <c r="B354" t="str">
        <f>"ethylbenzeen"</f>
        <v>ethylbenzeen</v>
      </c>
      <c r="C354" t="s">
        <v>19016</v>
      </c>
      <c r="D354" t="str">
        <f>"100-41-4"</f>
        <v>100-41-4</v>
      </c>
      <c r="E354" t="str">
        <f t="shared" si="18"/>
        <v xml:space="preserve">Organische parameters </v>
      </c>
      <c r="F354" t="str">
        <f t="shared" si="19"/>
        <v xml:space="preserve">Monocyclische koolwaterstoffen/aromaten </v>
      </c>
      <c r="G354" t="str">
        <f>""</f>
        <v/>
      </c>
    </row>
    <row r="355" spans="1:7" x14ac:dyDescent="0.25">
      <c r="A355">
        <v>1090</v>
      </c>
      <c r="B355" t="str">
        <f>"ethylethenylbenzeen"</f>
        <v>ethylethenylbenzeen</v>
      </c>
      <c r="C355" t="s">
        <v>19016</v>
      </c>
      <c r="D355" t="str">
        <f>"69011-18-3"</f>
        <v>69011-18-3</v>
      </c>
      <c r="E355" t="str">
        <f t="shared" si="18"/>
        <v xml:space="preserve">Organische parameters </v>
      </c>
      <c r="F355" t="str">
        <f t="shared" si="19"/>
        <v xml:space="preserve">Monocyclische koolwaterstoffen/aromaten </v>
      </c>
      <c r="G355" t="str">
        <f>""</f>
        <v/>
      </c>
    </row>
    <row r="356" spans="1:7" x14ac:dyDescent="0.25">
      <c r="A356">
        <v>1091</v>
      </c>
      <c r="B356" t="str">
        <f>"ethylindaan"</f>
        <v>ethylindaan</v>
      </c>
      <c r="C356" t="s">
        <v>19016</v>
      </c>
      <c r="D356" t="str">
        <f>""</f>
        <v/>
      </c>
      <c r="E356" t="str">
        <f t="shared" si="18"/>
        <v xml:space="preserve">Organische parameters </v>
      </c>
      <c r="F356" t="str">
        <f t="shared" si="19"/>
        <v xml:space="preserve">Monocyclische koolwaterstoffen/aromaten </v>
      </c>
      <c r="G356" t="str">
        <f>""</f>
        <v/>
      </c>
    </row>
    <row r="357" spans="1:7" x14ac:dyDescent="0.25">
      <c r="A357">
        <v>1093</v>
      </c>
      <c r="B357" t="str">
        <f>"heptyl-benzeen"</f>
        <v>heptyl-benzeen</v>
      </c>
      <c r="C357" t="s">
        <v>19016</v>
      </c>
      <c r="D357" t="str">
        <f>"1078-71-3"</f>
        <v>1078-71-3</v>
      </c>
      <c r="E357" t="str">
        <f t="shared" si="18"/>
        <v xml:space="preserve">Organische parameters </v>
      </c>
      <c r="F357" t="str">
        <f t="shared" si="19"/>
        <v xml:space="preserve">Monocyclische koolwaterstoffen/aromaten </v>
      </c>
      <c r="G357" t="str">
        <f>""</f>
        <v/>
      </c>
    </row>
    <row r="358" spans="1:7" x14ac:dyDescent="0.25">
      <c r="A358">
        <v>1094</v>
      </c>
      <c r="B358" t="str">
        <f>"n-hexylbenzeen"</f>
        <v>n-hexylbenzeen</v>
      </c>
      <c r="C358" t="s">
        <v>19016</v>
      </c>
      <c r="D358" t="str">
        <f>"1077-16-3"</f>
        <v>1077-16-3</v>
      </c>
      <c r="E358" t="str">
        <f t="shared" si="18"/>
        <v xml:space="preserve">Organische parameters </v>
      </c>
      <c r="F358" t="str">
        <f t="shared" si="19"/>
        <v xml:space="preserve">Monocyclische koolwaterstoffen/aromaten </v>
      </c>
      <c r="G358" t="str">
        <f>""</f>
        <v/>
      </c>
    </row>
    <row r="359" spans="1:7" x14ac:dyDescent="0.25">
      <c r="A359">
        <v>1095</v>
      </c>
      <c r="B359" t="str">
        <f>"indaan"</f>
        <v>indaan</v>
      </c>
      <c r="C359" t="s">
        <v>19016</v>
      </c>
      <c r="D359" t="str">
        <f>"496-11-7"</f>
        <v>496-11-7</v>
      </c>
      <c r="E359" t="str">
        <f t="shared" si="18"/>
        <v xml:space="preserve">Organische parameters </v>
      </c>
      <c r="F359" t="str">
        <f t="shared" si="19"/>
        <v xml:space="preserve">Monocyclische koolwaterstoffen/aromaten </v>
      </c>
      <c r="G359" t="str">
        <f>""</f>
        <v/>
      </c>
    </row>
    <row r="360" spans="1:7" x14ac:dyDescent="0.25">
      <c r="A360">
        <v>1096</v>
      </c>
      <c r="B360" t="str">
        <f>"indeen"</f>
        <v>indeen</v>
      </c>
      <c r="C360" t="s">
        <v>19016</v>
      </c>
      <c r="D360" t="str">
        <f>"95-13-6"</f>
        <v>95-13-6</v>
      </c>
      <c r="E360" t="str">
        <f t="shared" si="18"/>
        <v xml:space="preserve">Organische parameters </v>
      </c>
      <c r="F360" t="str">
        <f t="shared" si="19"/>
        <v xml:space="preserve">Monocyclische koolwaterstoffen/aromaten </v>
      </c>
      <c r="G360" t="str">
        <f>""</f>
        <v/>
      </c>
    </row>
    <row r="361" spans="1:7" x14ac:dyDescent="0.25">
      <c r="A361">
        <v>1097</v>
      </c>
      <c r="B361" t="str">
        <f>"iso-propenylbenzeen"</f>
        <v>iso-propenylbenzeen</v>
      </c>
      <c r="C361" t="s">
        <v>19016</v>
      </c>
      <c r="D361" t="str">
        <f>"98-83-9"</f>
        <v>98-83-9</v>
      </c>
      <c r="E361" t="str">
        <f t="shared" si="18"/>
        <v xml:space="preserve">Organische parameters </v>
      </c>
      <c r="F361" t="str">
        <f t="shared" si="19"/>
        <v xml:space="preserve">Monocyclische koolwaterstoffen/aromaten </v>
      </c>
      <c r="G361" t="str">
        <f>""</f>
        <v/>
      </c>
    </row>
    <row r="362" spans="1:7" x14ac:dyDescent="0.25">
      <c r="A362">
        <v>1098</v>
      </c>
      <c r="B362" t="str">
        <f>"methylbenzeen"</f>
        <v>methylbenzeen</v>
      </c>
      <c r="C362" t="s">
        <v>19016</v>
      </c>
      <c r="D362" t="str">
        <f>"108-88-3"</f>
        <v>108-88-3</v>
      </c>
      <c r="E362" t="str">
        <f t="shared" si="18"/>
        <v xml:space="preserve">Organische parameters </v>
      </c>
      <c r="F362" t="str">
        <f t="shared" si="19"/>
        <v xml:space="preserve">Monocyclische koolwaterstoffen/aromaten </v>
      </c>
      <c r="G362" t="str">
        <f>""</f>
        <v/>
      </c>
    </row>
    <row r="363" spans="1:7" x14ac:dyDescent="0.25">
      <c r="A363">
        <v>1099</v>
      </c>
      <c r="B363" t="str">
        <f>"methylcyclohexaan"</f>
        <v>methylcyclohexaan</v>
      </c>
      <c r="C363" t="s">
        <v>19016</v>
      </c>
      <c r="D363" t="str">
        <f>"108-87-2"</f>
        <v>108-87-2</v>
      </c>
      <c r="E363" t="str">
        <f t="shared" si="18"/>
        <v xml:space="preserve">Organische parameters </v>
      </c>
      <c r="F363" t="str">
        <f t="shared" si="19"/>
        <v xml:space="preserve">Monocyclische koolwaterstoffen/aromaten </v>
      </c>
      <c r="G363" t="str">
        <f>""</f>
        <v/>
      </c>
    </row>
    <row r="364" spans="1:7" x14ac:dyDescent="0.25">
      <c r="A364">
        <v>1100</v>
      </c>
      <c r="B364" t="str">
        <f>"methylcyclopentaan"</f>
        <v>methylcyclopentaan</v>
      </c>
      <c r="C364" t="s">
        <v>19016</v>
      </c>
      <c r="D364" t="str">
        <f>"96-37-7"</f>
        <v>96-37-7</v>
      </c>
      <c r="E364" t="str">
        <f t="shared" si="18"/>
        <v xml:space="preserve">Organische parameters </v>
      </c>
      <c r="F364" t="str">
        <f t="shared" si="19"/>
        <v xml:space="preserve">Monocyclische koolwaterstoffen/aromaten </v>
      </c>
      <c r="G364" t="str">
        <f>""</f>
        <v/>
      </c>
    </row>
    <row r="365" spans="1:7" x14ac:dyDescent="0.25">
      <c r="A365">
        <v>1101</v>
      </c>
      <c r="B365" t="str">
        <f>"methylethenylbenzeen"</f>
        <v>methylethenylbenzeen</v>
      </c>
      <c r="C365" t="s">
        <v>19016</v>
      </c>
      <c r="D365" t="str">
        <f>"25013-15-4"</f>
        <v>25013-15-4</v>
      </c>
      <c r="E365" t="str">
        <f t="shared" si="18"/>
        <v xml:space="preserve">Organische parameters </v>
      </c>
      <c r="F365" t="str">
        <f t="shared" si="19"/>
        <v xml:space="preserve">Monocyclische koolwaterstoffen/aromaten </v>
      </c>
      <c r="G365" t="str">
        <f>""</f>
        <v/>
      </c>
    </row>
    <row r="366" spans="1:7" x14ac:dyDescent="0.25">
      <c r="A366">
        <v>1102</v>
      </c>
      <c r="B366" t="str">
        <f>"methylethylcyclohexaan"</f>
        <v>methylethylcyclohexaan</v>
      </c>
      <c r="C366" t="s">
        <v>19016</v>
      </c>
      <c r="D366" t="str">
        <f>"4926-90-3"</f>
        <v>4926-90-3</v>
      </c>
      <c r="E366" t="str">
        <f t="shared" si="18"/>
        <v xml:space="preserve">Organische parameters </v>
      </c>
      <c r="F366" t="str">
        <f t="shared" si="19"/>
        <v xml:space="preserve">Monocyclische koolwaterstoffen/aromaten </v>
      </c>
      <c r="G366" t="str">
        <f>""</f>
        <v/>
      </c>
    </row>
    <row r="367" spans="1:7" x14ac:dyDescent="0.25">
      <c r="A367">
        <v>1103</v>
      </c>
      <c r="B367" t="str">
        <f>"methylindaan"</f>
        <v>methylindaan</v>
      </c>
      <c r="C367" t="s">
        <v>19016</v>
      </c>
      <c r="D367" t="str">
        <f>"27133-93-3"</f>
        <v>27133-93-3</v>
      </c>
      <c r="E367" t="str">
        <f t="shared" si="18"/>
        <v xml:space="preserve">Organische parameters </v>
      </c>
      <c r="F367" t="str">
        <f t="shared" si="19"/>
        <v xml:space="preserve">Monocyclische koolwaterstoffen/aromaten </v>
      </c>
      <c r="G367" t="str">
        <f>""</f>
        <v/>
      </c>
    </row>
    <row r="368" spans="1:7" x14ac:dyDescent="0.25">
      <c r="A368">
        <v>1104</v>
      </c>
      <c r="B368" t="str">
        <f>"methylindeen"</f>
        <v>methylindeen</v>
      </c>
      <c r="C368" t="s">
        <v>19016</v>
      </c>
      <c r="D368" t="str">
        <f>"29036-25-7"</f>
        <v>29036-25-7</v>
      </c>
      <c r="E368" t="str">
        <f t="shared" si="18"/>
        <v xml:space="preserve">Organische parameters </v>
      </c>
      <c r="F368" t="str">
        <f t="shared" si="19"/>
        <v xml:space="preserve">Monocyclische koolwaterstoffen/aromaten </v>
      </c>
      <c r="G368" t="str">
        <f>""</f>
        <v/>
      </c>
    </row>
    <row r="369" spans="1:7" x14ac:dyDescent="0.25">
      <c r="A369">
        <v>1105</v>
      </c>
      <c r="B369" t="str">
        <f>"octylbenzeen"</f>
        <v>octylbenzeen</v>
      </c>
      <c r="C369" t="s">
        <v>19016</v>
      </c>
      <c r="D369" t="str">
        <f>"2189-60-8"</f>
        <v>2189-60-8</v>
      </c>
      <c r="E369" t="str">
        <f t="shared" si="18"/>
        <v xml:space="preserve">Organische parameters </v>
      </c>
      <c r="F369" t="str">
        <f t="shared" si="19"/>
        <v xml:space="preserve">Monocyclische koolwaterstoffen/aromaten </v>
      </c>
      <c r="G369" t="str">
        <f>""</f>
        <v/>
      </c>
    </row>
    <row r="370" spans="1:7" x14ac:dyDescent="0.25">
      <c r="A370">
        <v>1107</v>
      </c>
      <c r="B370" t="str">
        <f>"pentylbenzeen"</f>
        <v>pentylbenzeen</v>
      </c>
      <c r="C370" t="s">
        <v>19016</v>
      </c>
      <c r="D370" t="str">
        <f>"538-68-1"</f>
        <v>538-68-1</v>
      </c>
      <c r="E370" t="str">
        <f t="shared" si="18"/>
        <v xml:space="preserve">Organische parameters </v>
      </c>
      <c r="F370" t="str">
        <f t="shared" si="19"/>
        <v xml:space="preserve">Monocyclische koolwaterstoffen/aromaten </v>
      </c>
      <c r="G370" t="str">
        <f>""</f>
        <v/>
      </c>
    </row>
    <row r="371" spans="1:7" x14ac:dyDescent="0.25">
      <c r="A371">
        <v>1108</v>
      </c>
      <c r="B371" t="str">
        <f>"terpenen"</f>
        <v>terpenen</v>
      </c>
      <c r="C371" t="s">
        <v>19016</v>
      </c>
      <c r="D371" t="str">
        <f>"129874-08-4"</f>
        <v>129874-08-4</v>
      </c>
      <c r="E371" t="str">
        <f t="shared" si="18"/>
        <v xml:space="preserve">Organische parameters </v>
      </c>
      <c r="F371" t="str">
        <f t="shared" si="19"/>
        <v xml:space="preserve">Monocyclische koolwaterstoffen/aromaten </v>
      </c>
      <c r="G371" t="str">
        <f>""</f>
        <v/>
      </c>
    </row>
    <row r="372" spans="1:7" x14ac:dyDescent="0.25">
      <c r="A372">
        <v>1109</v>
      </c>
      <c r="B372" t="str">
        <f>"tetramethylindaan"</f>
        <v>tetramethylindaan</v>
      </c>
      <c r="C372" t="s">
        <v>19016</v>
      </c>
      <c r="D372" t="str">
        <f>""</f>
        <v/>
      </c>
      <c r="E372" t="str">
        <f t="shared" si="18"/>
        <v xml:space="preserve">Organische parameters </v>
      </c>
      <c r="F372" t="str">
        <f t="shared" si="19"/>
        <v xml:space="preserve">Monocyclische koolwaterstoffen/aromaten </v>
      </c>
      <c r="G372" t="str">
        <f>""</f>
        <v/>
      </c>
    </row>
    <row r="373" spans="1:7" x14ac:dyDescent="0.25">
      <c r="A373">
        <v>1110</v>
      </c>
      <c r="B373" t="str">
        <f>"trimethylbenzeen"</f>
        <v>trimethylbenzeen</v>
      </c>
      <c r="C373" t="s">
        <v>19016</v>
      </c>
      <c r="D373" t="str">
        <f>"25551-13-7"</f>
        <v>25551-13-7</v>
      </c>
      <c r="E373" t="str">
        <f t="shared" si="18"/>
        <v xml:space="preserve">Organische parameters </v>
      </c>
      <c r="F373" t="str">
        <f t="shared" si="19"/>
        <v xml:space="preserve">Monocyclische koolwaterstoffen/aromaten </v>
      </c>
      <c r="G373" t="str">
        <f>""</f>
        <v/>
      </c>
    </row>
    <row r="374" spans="1:7" x14ac:dyDescent="0.25">
      <c r="A374">
        <v>1111</v>
      </c>
      <c r="B374" t="str">
        <f>"trimethylcyclohexaan"</f>
        <v>trimethylcyclohexaan</v>
      </c>
      <c r="C374" t="s">
        <v>19016</v>
      </c>
      <c r="D374" t="str">
        <f>""</f>
        <v/>
      </c>
      <c r="E374" t="str">
        <f t="shared" si="18"/>
        <v xml:space="preserve">Organische parameters </v>
      </c>
      <c r="F374" t="str">
        <f t="shared" si="19"/>
        <v xml:space="preserve">Monocyclische koolwaterstoffen/aromaten </v>
      </c>
      <c r="G374" t="str">
        <f>""</f>
        <v/>
      </c>
    </row>
    <row r="375" spans="1:7" x14ac:dyDescent="0.25">
      <c r="A375">
        <v>1112</v>
      </c>
      <c r="B375" t="str">
        <f>"chloorbenzeen"</f>
        <v>chloorbenzeen</v>
      </c>
      <c r="C375" t="s">
        <v>19016</v>
      </c>
      <c r="D375" t="str">
        <f>"108-90-7"</f>
        <v>108-90-7</v>
      </c>
      <c r="E375" t="str">
        <f t="shared" si="18"/>
        <v xml:space="preserve">Organische parameters </v>
      </c>
      <c r="F375" t="str">
        <f t="shared" ref="F375:F395" si="20">"Gehalogeneerde monocyclische koolwaterstoffen "</f>
        <v xml:space="preserve">Gehalogeneerde monocyclische koolwaterstoffen </v>
      </c>
      <c r="G375" t="str">
        <f>""</f>
        <v/>
      </c>
    </row>
    <row r="376" spans="1:7" x14ac:dyDescent="0.25">
      <c r="A376">
        <v>1113</v>
      </c>
      <c r="B376" t="str">
        <f>"chloorcyclohexaan"</f>
        <v>chloorcyclohexaan</v>
      </c>
      <c r="C376" t="s">
        <v>19016</v>
      </c>
      <c r="D376" t="str">
        <f>"542-18-7"</f>
        <v>542-18-7</v>
      </c>
      <c r="E376" t="str">
        <f t="shared" si="18"/>
        <v xml:space="preserve">Organische parameters </v>
      </c>
      <c r="F376" t="str">
        <f t="shared" si="20"/>
        <v xml:space="preserve">Gehalogeneerde monocyclische koolwaterstoffen </v>
      </c>
      <c r="G376" t="str">
        <f>""</f>
        <v/>
      </c>
    </row>
    <row r="377" spans="1:7" x14ac:dyDescent="0.25">
      <c r="A377">
        <v>1115</v>
      </c>
      <c r="B377" t="str">
        <f>"2-chloormethylbenzeen"</f>
        <v>2-chloormethylbenzeen</v>
      </c>
      <c r="C377" t="s">
        <v>19016</v>
      </c>
      <c r="D377" t="str">
        <f>"95-49-8"</f>
        <v>95-49-8</v>
      </c>
      <c r="E377" t="str">
        <f t="shared" si="18"/>
        <v xml:space="preserve">Organische parameters </v>
      </c>
      <c r="F377" t="str">
        <f t="shared" si="20"/>
        <v xml:space="preserve">Gehalogeneerde monocyclische koolwaterstoffen </v>
      </c>
      <c r="G377" t="str">
        <f>""</f>
        <v/>
      </c>
    </row>
    <row r="378" spans="1:7" x14ac:dyDescent="0.25">
      <c r="A378">
        <v>1116</v>
      </c>
      <c r="B378" t="str">
        <f>"3-chloormethylbenzeen"</f>
        <v>3-chloormethylbenzeen</v>
      </c>
      <c r="C378" t="s">
        <v>19016</v>
      </c>
      <c r="D378" t="str">
        <f>""</f>
        <v/>
      </c>
      <c r="E378" t="str">
        <f t="shared" si="18"/>
        <v xml:space="preserve">Organische parameters </v>
      </c>
      <c r="F378" t="str">
        <f t="shared" si="20"/>
        <v xml:space="preserve">Gehalogeneerde monocyclische koolwaterstoffen </v>
      </c>
      <c r="G378" t="str">
        <f>""</f>
        <v/>
      </c>
    </row>
    <row r="379" spans="1:7" x14ac:dyDescent="0.25">
      <c r="A379">
        <v>1118</v>
      </c>
      <c r="B379" t="str">
        <f>"chloornitromethylbenzeen"</f>
        <v>chloornitromethylbenzeen</v>
      </c>
      <c r="C379" t="s">
        <v>19016</v>
      </c>
      <c r="D379" t="str">
        <f>""</f>
        <v/>
      </c>
      <c r="E379" t="str">
        <f t="shared" si="18"/>
        <v xml:space="preserve">Organische parameters </v>
      </c>
      <c r="F379" t="str">
        <f t="shared" si="20"/>
        <v xml:space="preserve">Gehalogeneerde monocyclische koolwaterstoffen </v>
      </c>
      <c r="G379" t="str">
        <f>""</f>
        <v/>
      </c>
    </row>
    <row r="380" spans="1:7" x14ac:dyDescent="0.25">
      <c r="A380">
        <v>1119</v>
      </c>
      <c r="B380" t="str">
        <f>"1,2-dichloorbenzeen"</f>
        <v>1,2-dichloorbenzeen</v>
      </c>
      <c r="C380" t="s">
        <v>19016</v>
      </c>
      <c r="D380" t="str">
        <f>"95-50-1"</f>
        <v>95-50-1</v>
      </c>
      <c r="E380" t="str">
        <f t="shared" si="18"/>
        <v xml:space="preserve">Organische parameters </v>
      </c>
      <c r="F380" t="str">
        <f t="shared" si="20"/>
        <v xml:space="preserve">Gehalogeneerde monocyclische koolwaterstoffen </v>
      </c>
      <c r="G380" t="str">
        <f>""</f>
        <v/>
      </c>
    </row>
    <row r="381" spans="1:7" x14ac:dyDescent="0.25">
      <c r="A381">
        <v>1120</v>
      </c>
      <c r="B381" t="str">
        <f>"1,3-dichloorbenzeen"</f>
        <v>1,3-dichloorbenzeen</v>
      </c>
      <c r="C381" t="s">
        <v>19016</v>
      </c>
      <c r="D381" t="str">
        <f>"541-73-1"</f>
        <v>541-73-1</v>
      </c>
      <c r="E381" t="str">
        <f t="shared" si="18"/>
        <v xml:space="preserve">Organische parameters </v>
      </c>
      <c r="F381" t="str">
        <f t="shared" si="20"/>
        <v xml:space="preserve">Gehalogeneerde monocyclische koolwaterstoffen </v>
      </c>
      <c r="G381" t="str">
        <f>""</f>
        <v/>
      </c>
    </row>
    <row r="382" spans="1:7" x14ac:dyDescent="0.25">
      <c r="A382">
        <v>1121</v>
      </c>
      <c r="B382" t="str">
        <f>"1,4-dichloorbenzeen"</f>
        <v>1,4-dichloorbenzeen</v>
      </c>
      <c r="C382" t="s">
        <v>19016</v>
      </c>
      <c r="D382" t="str">
        <f>"106-46-7"</f>
        <v>106-46-7</v>
      </c>
      <c r="E382" t="str">
        <f t="shared" si="18"/>
        <v xml:space="preserve">Organische parameters </v>
      </c>
      <c r="F382" t="str">
        <f t="shared" si="20"/>
        <v xml:space="preserve">Gehalogeneerde monocyclische koolwaterstoffen </v>
      </c>
      <c r="G382" t="str">
        <f>""</f>
        <v/>
      </c>
    </row>
    <row r="383" spans="1:7" x14ac:dyDescent="0.25">
      <c r="A383">
        <v>1122</v>
      </c>
      <c r="B383" t="str">
        <f>"dichloorcyclohexaan"</f>
        <v>dichloorcyclohexaan</v>
      </c>
      <c r="C383" t="s">
        <v>19016</v>
      </c>
      <c r="D383" t="str">
        <f>""</f>
        <v/>
      </c>
      <c r="E383" t="str">
        <f t="shared" si="18"/>
        <v xml:space="preserve">Organische parameters </v>
      </c>
      <c r="F383" t="str">
        <f t="shared" si="20"/>
        <v xml:space="preserve">Gehalogeneerde monocyclische koolwaterstoffen </v>
      </c>
      <c r="G383" t="str">
        <f>""</f>
        <v/>
      </c>
    </row>
    <row r="384" spans="1:7" x14ac:dyDescent="0.25">
      <c r="A384">
        <v>1123</v>
      </c>
      <c r="B384" t="str">
        <f>"dichloormethylbenzeen"</f>
        <v>dichloormethylbenzeen</v>
      </c>
      <c r="C384" t="s">
        <v>19016</v>
      </c>
      <c r="D384" t="str">
        <f>"29797-40-8"</f>
        <v>29797-40-8</v>
      </c>
      <c r="E384" t="str">
        <f t="shared" si="18"/>
        <v xml:space="preserve">Organische parameters </v>
      </c>
      <c r="F384" t="str">
        <f t="shared" si="20"/>
        <v xml:space="preserve">Gehalogeneerde monocyclische koolwaterstoffen </v>
      </c>
      <c r="G384" t="str">
        <f>""</f>
        <v/>
      </c>
    </row>
    <row r="385" spans="1:7" x14ac:dyDescent="0.25">
      <c r="A385">
        <v>1124</v>
      </c>
      <c r="B385" t="str">
        <f>"dichloornitrobenzeen"</f>
        <v>dichloornitrobenzeen</v>
      </c>
      <c r="C385" t="s">
        <v>19016</v>
      </c>
      <c r="D385" t="str">
        <f>""</f>
        <v/>
      </c>
      <c r="E385" t="str">
        <f t="shared" si="18"/>
        <v xml:space="preserve">Organische parameters </v>
      </c>
      <c r="F385" t="str">
        <f t="shared" si="20"/>
        <v xml:space="preserve">Gehalogeneerde monocyclische koolwaterstoffen </v>
      </c>
      <c r="G385" t="str">
        <f>""</f>
        <v/>
      </c>
    </row>
    <row r="386" spans="1:7" x14ac:dyDescent="0.25">
      <c r="A386">
        <v>1125</v>
      </c>
      <c r="B386" t="str">
        <f>"dichloortrifluormethylbenzeen"</f>
        <v>dichloortrifluormethylbenzeen</v>
      </c>
      <c r="C386" t="s">
        <v>19016</v>
      </c>
      <c r="D386" t="str">
        <f>""</f>
        <v/>
      </c>
      <c r="E386" t="str">
        <f t="shared" si="18"/>
        <v xml:space="preserve">Organische parameters </v>
      </c>
      <c r="F386" t="str">
        <f t="shared" si="20"/>
        <v xml:space="preserve">Gehalogeneerde monocyclische koolwaterstoffen </v>
      </c>
      <c r="G386" t="str">
        <f>""</f>
        <v/>
      </c>
    </row>
    <row r="387" spans="1:7" x14ac:dyDescent="0.25">
      <c r="A387">
        <v>1126</v>
      </c>
      <c r="B387" t="str">
        <f>"isobornylchloride"</f>
        <v>isobornylchloride</v>
      </c>
      <c r="C387" t="s">
        <v>19016</v>
      </c>
      <c r="D387" t="str">
        <f>"559-45-5"</f>
        <v>559-45-5</v>
      </c>
      <c r="E387" t="str">
        <f t="shared" si="18"/>
        <v xml:space="preserve">Organische parameters </v>
      </c>
      <c r="F387" t="str">
        <f t="shared" si="20"/>
        <v xml:space="preserve">Gehalogeneerde monocyclische koolwaterstoffen </v>
      </c>
      <c r="G387" t="str">
        <f>""</f>
        <v/>
      </c>
    </row>
    <row r="388" spans="1:7" x14ac:dyDescent="0.25">
      <c r="A388">
        <v>1127</v>
      </c>
      <c r="B388" t="str">
        <f>"pentachloorbenzeen"</f>
        <v>pentachloorbenzeen</v>
      </c>
      <c r="C388" t="s">
        <v>19016</v>
      </c>
      <c r="D388" t="str">
        <f>"608-93-5"</f>
        <v>608-93-5</v>
      </c>
      <c r="E388" t="str">
        <f t="shared" si="18"/>
        <v xml:space="preserve">Organische parameters </v>
      </c>
      <c r="F388" t="str">
        <f t="shared" si="20"/>
        <v xml:space="preserve">Gehalogeneerde monocyclische koolwaterstoffen </v>
      </c>
      <c r="G388" t="str">
        <f>""</f>
        <v/>
      </c>
    </row>
    <row r="389" spans="1:7" x14ac:dyDescent="0.25">
      <c r="A389">
        <v>1128</v>
      </c>
      <c r="B389" t="str">
        <f>"1,2,3,4-tetrachloorbenzeen"</f>
        <v>1,2,3,4-tetrachloorbenzeen</v>
      </c>
      <c r="C389" t="s">
        <v>19016</v>
      </c>
      <c r="D389" t="str">
        <f>"634-66-2"</f>
        <v>634-66-2</v>
      </c>
      <c r="E389" t="str">
        <f t="shared" si="18"/>
        <v xml:space="preserve">Organische parameters </v>
      </c>
      <c r="F389" t="str">
        <f t="shared" si="20"/>
        <v xml:space="preserve">Gehalogeneerde monocyclische koolwaterstoffen </v>
      </c>
      <c r="G389" t="str">
        <f>""</f>
        <v/>
      </c>
    </row>
    <row r="390" spans="1:7" x14ac:dyDescent="0.25">
      <c r="A390">
        <v>1129</v>
      </c>
      <c r="B390" t="str">
        <f>"1,2,3,5-tetrachloorbenzeen"</f>
        <v>1,2,3,5-tetrachloorbenzeen</v>
      </c>
      <c r="C390" t="s">
        <v>19016</v>
      </c>
      <c r="D390" t="str">
        <f>"634-90-2"</f>
        <v>634-90-2</v>
      </c>
      <c r="E390" t="str">
        <f t="shared" si="18"/>
        <v xml:space="preserve">Organische parameters </v>
      </c>
      <c r="F390" t="str">
        <f t="shared" si="20"/>
        <v xml:space="preserve">Gehalogeneerde monocyclische koolwaterstoffen </v>
      </c>
      <c r="G390" t="str">
        <f>""</f>
        <v/>
      </c>
    </row>
    <row r="391" spans="1:7" x14ac:dyDescent="0.25">
      <c r="A391">
        <v>1130</v>
      </c>
      <c r="B391" t="str">
        <f>"1,2,4,5-tetrachloorbenzeen"</f>
        <v>1,2,4,5-tetrachloorbenzeen</v>
      </c>
      <c r="C391" t="s">
        <v>19016</v>
      </c>
      <c r="D391" t="str">
        <f>"95-94-3"</f>
        <v>95-94-3</v>
      </c>
      <c r="E391" t="str">
        <f t="shared" si="18"/>
        <v xml:space="preserve">Organische parameters </v>
      </c>
      <c r="F391" t="str">
        <f t="shared" si="20"/>
        <v xml:space="preserve">Gehalogeneerde monocyclische koolwaterstoffen </v>
      </c>
      <c r="G391" t="str">
        <f>""</f>
        <v/>
      </c>
    </row>
    <row r="392" spans="1:7" x14ac:dyDescent="0.25">
      <c r="A392">
        <v>1131</v>
      </c>
      <c r="B392" t="str">
        <f>"1,2,3-trichloorbenzeen"</f>
        <v>1,2,3-trichloorbenzeen</v>
      </c>
      <c r="C392" t="s">
        <v>19016</v>
      </c>
      <c r="D392" t="str">
        <f>"87-61-6"</f>
        <v>87-61-6</v>
      </c>
      <c r="E392" t="str">
        <f t="shared" si="18"/>
        <v xml:space="preserve">Organische parameters </v>
      </c>
      <c r="F392" t="str">
        <f t="shared" si="20"/>
        <v xml:space="preserve">Gehalogeneerde monocyclische koolwaterstoffen </v>
      </c>
      <c r="G392" t="str">
        <f>""</f>
        <v/>
      </c>
    </row>
    <row r="393" spans="1:7" x14ac:dyDescent="0.25">
      <c r="A393">
        <v>1132</v>
      </c>
      <c r="B393" t="str">
        <f>"1,2,4-trichloorbenzeen"</f>
        <v>1,2,4-trichloorbenzeen</v>
      </c>
      <c r="C393" t="s">
        <v>19016</v>
      </c>
      <c r="D393" t="str">
        <f>"120-82-1"</f>
        <v>120-82-1</v>
      </c>
      <c r="E393" t="str">
        <f t="shared" si="18"/>
        <v xml:space="preserve">Organische parameters </v>
      </c>
      <c r="F393" t="str">
        <f t="shared" si="20"/>
        <v xml:space="preserve">Gehalogeneerde monocyclische koolwaterstoffen </v>
      </c>
      <c r="G393" t="str">
        <f>""</f>
        <v/>
      </c>
    </row>
    <row r="394" spans="1:7" x14ac:dyDescent="0.25">
      <c r="A394">
        <v>1133</v>
      </c>
      <c r="B394" t="str">
        <f>"1,3,5-trichloorbenzeen"</f>
        <v>1,3,5-trichloorbenzeen</v>
      </c>
      <c r="C394" t="s">
        <v>19016</v>
      </c>
      <c r="D394" t="str">
        <f>"108-70-3"</f>
        <v>108-70-3</v>
      </c>
      <c r="E394" t="str">
        <f t="shared" si="18"/>
        <v xml:space="preserve">Organische parameters </v>
      </c>
      <c r="F394" t="str">
        <f t="shared" si="20"/>
        <v xml:space="preserve">Gehalogeneerde monocyclische koolwaterstoffen </v>
      </c>
      <c r="G394" t="str">
        <f>""</f>
        <v/>
      </c>
    </row>
    <row r="395" spans="1:7" x14ac:dyDescent="0.25">
      <c r="A395">
        <v>1134</v>
      </c>
      <c r="B395" t="str">
        <f>"trichloormethylbenzeen"</f>
        <v>trichloormethylbenzeen</v>
      </c>
      <c r="C395" t="s">
        <v>19016</v>
      </c>
      <c r="D395" t="str">
        <f>"98-07-7"</f>
        <v>98-07-7</v>
      </c>
      <c r="E395" t="str">
        <f t="shared" si="18"/>
        <v xml:space="preserve">Organische parameters </v>
      </c>
      <c r="F395" t="str">
        <f t="shared" si="20"/>
        <v xml:space="preserve">Gehalogeneerde monocyclische koolwaterstoffen </v>
      </c>
      <c r="G395" t="str">
        <f>""</f>
        <v/>
      </c>
    </row>
    <row r="396" spans="1:7" x14ac:dyDescent="0.25">
      <c r="A396">
        <v>1135</v>
      </c>
      <c r="B396" t="str">
        <f>"azidobenzeen"</f>
        <v>azidobenzeen</v>
      </c>
      <c r="C396" t="s">
        <v>19016</v>
      </c>
      <c r="D396" t="str">
        <f>"622-37-7"</f>
        <v>622-37-7</v>
      </c>
      <c r="E396" t="str">
        <f t="shared" si="18"/>
        <v xml:space="preserve">Organische parameters </v>
      </c>
      <c r="F396" t="str">
        <f t="shared" ref="F396:F418" si="21">"Overige antropogene stoffen "</f>
        <v xml:space="preserve">Overige antropogene stoffen </v>
      </c>
      <c r="G396" t="str">
        <f>""</f>
        <v/>
      </c>
    </row>
    <row r="397" spans="1:7" x14ac:dyDescent="0.25">
      <c r="A397">
        <v>1136</v>
      </c>
      <c r="B397" t="str">
        <f>"butylnitrobenzeen"</f>
        <v>butylnitrobenzeen</v>
      </c>
      <c r="C397" t="s">
        <v>19016</v>
      </c>
      <c r="D397" t="str">
        <f>""</f>
        <v/>
      </c>
      <c r="E397" t="str">
        <f t="shared" ref="E397:E460" si="22">"Organische parameters "</f>
        <v xml:space="preserve">Organische parameters </v>
      </c>
      <c r="F397" t="str">
        <f t="shared" si="21"/>
        <v xml:space="preserve">Overige antropogene stoffen </v>
      </c>
      <c r="G397" t="str">
        <f>""</f>
        <v/>
      </c>
    </row>
    <row r="398" spans="1:7" x14ac:dyDescent="0.25">
      <c r="A398">
        <v>1137</v>
      </c>
      <c r="B398" t="str">
        <f>"chinoxaziline"</f>
        <v>chinoxaziline</v>
      </c>
      <c r="C398" t="s">
        <v>19016</v>
      </c>
      <c r="D398" t="str">
        <f>""</f>
        <v/>
      </c>
      <c r="E398" t="str">
        <f t="shared" si="22"/>
        <v xml:space="preserve">Organische parameters </v>
      </c>
      <c r="F398" t="str">
        <f t="shared" si="21"/>
        <v xml:space="preserve">Overige antropogene stoffen </v>
      </c>
      <c r="G398" t="str">
        <f>""</f>
        <v/>
      </c>
    </row>
    <row r="399" spans="1:7" x14ac:dyDescent="0.25">
      <c r="A399">
        <v>1138</v>
      </c>
      <c r="B399" t="str">
        <f>"chloorfenyldibutylureum"</f>
        <v>chloorfenyldibutylureum</v>
      </c>
      <c r="C399" t="s">
        <v>19016</v>
      </c>
      <c r="D399" t="str">
        <f>""</f>
        <v/>
      </c>
      <c r="E399" t="str">
        <f t="shared" si="22"/>
        <v xml:space="preserve">Organische parameters </v>
      </c>
      <c r="F399" t="str">
        <f t="shared" si="21"/>
        <v xml:space="preserve">Overige antropogene stoffen </v>
      </c>
      <c r="G399" t="str">
        <f>""</f>
        <v/>
      </c>
    </row>
    <row r="400" spans="1:7" x14ac:dyDescent="0.25">
      <c r="A400">
        <v>1139</v>
      </c>
      <c r="B400" t="str">
        <f>"chloorpyridine"</f>
        <v>chloorpyridine</v>
      </c>
      <c r="C400" t="s">
        <v>19016</v>
      </c>
      <c r="D400" t="str">
        <f>"29154-12-9"</f>
        <v>29154-12-9</v>
      </c>
      <c r="E400" t="str">
        <f t="shared" si="22"/>
        <v xml:space="preserve">Organische parameters </v>
      </c>
      <c r="F400" t="str">
        <f t="shared" si="21"/>
        <v xml:space="preserve">Overige antropogene stoffen </v>
      </c>
      <c r="G400" t="str">
        <f>""</f>
        <v/>
      </c>
    </row>
    <row r="401" spans="1:7" x14ac:dyDescent="0.25">
      <c r="A401">
        <v>1140</v>
      </c>
      <c r="B401" t="str">
        <f>"dimethylethylpyridine"</f>
        <v>dimethylethylpyridine</v>
      </c>
      <c r="C401" t="s">
        <v>19016</v>
      </c>
      <c r="D401" t="str">
        <f>""</f>
        <v/>
      </c>
      <c r="E401" t="str">
        <f t="shared" si="22"/>
        <v xml:space="preserve">Organische parameters </v>
      </c>
      <c r="F401" t="str">
        <f t="shared" si="21"/>
        <v xml:space="preserve">Overige antropogene stoffen </v>
      </c>
      <c r="G401" t="str">
        <f>""</f>
        <v/>
      </c>
    </row>
    <row r="402" spans="1:7" x14ac:dyDescent="0.25">
      <c r="A402">
        <v>1142</v>
      </c>
      <c r="B402" t="str">
        <f>"dimethylpyridine"</f>
        <v>dimethylpyridine</v>
      </c>
      <c r="C402" t="s">
        <v>19016</v>
      </c>
      <c r="D402" t="str">
        <f>"27175-64-0"</f>
        <v>27175-64-0</v>
      </c>
      <c r="E402" t="str">
        <f t="shared" si="22"/>
        <v xml:space="preserve">Organische parameters </v>
      </c>
      <c r="F402" t="str">
        <f t="shared" si="21"/>
        <v xml:space="preserve">Overige antropogene stoffen </v>
      </c>
      <c r="G402" t="str">
        <f>""</f>
        <v/>
      </c>
    </row>
    <row r="403" spans="1:7" x14ac:dyDescent="0.25">
      <c r="A403">
        <v>1143</v>
      </c>
      <c r="B403" t="str">
        <f>"dinitrobenzeen"</f>
        <v>dinitrobenzeen</v>
      </c>
      <c r="C403" t="s">
        <v>19016</v>
      </c>
      <c r="D403" t="str">
        <f>"25154-54-5"</f>
        <v>25154-54-5</v>
      </c>
      <c r="E403" t="str">
        <f t="shared" si="22"/>
        <v xml:space="preserve">Organische parameters </v>
      </c>
      <c r="F403" t="str">
        <f t="shared" si="21"/>
        <v xml:space="preserve">Overige antropogene stoffen </v>
      </c>
      <c r="G403" t="str">
        <f>""</f>
        <v/>
      </c>
    </row>
    <row r="404" spans="1:7" x14ac:dyDescent="0.25">
      <c r="A404">
        <v>1145</v>
      </c>
      <c r="B404" t="str">
        <f>"ethenylpyridine"</f>
        <v>ethenylpyridine</v>
      </c>
      <c r="C404" t="s">
        <v>19016</v>
      </c>
      <c r="D404" t="str">
        <f>""</f>
        <v/>
      </c>
      <c r="E404" t="str">
        <f t="shared" si="22"/>
        <v xml:space="preserve">Organische parameters </v>
      </c>
      <c r="F404" t="str">
        <f t="shared" si="21"/>
        <v xml:space="preserve">Overige antropogene stoffen </v>
      </c>
      <c r="G404" t="str">
        <f>""</f>
        <v/>
      </c>
    </row>
    <row r="405" spans="1:7" x14ac:dyDescent="0.25">
      <c r="A405">
        <v>1146</v>
      </c>
      <c r="B405" t="str">
        <f>"ethylnitromethylbenzeen"</f>
        <v>ethylnitromethylbenzeen</v>
      </c>
      <c r="C405" t="s">
        <v>19016</v>
      </c>
      <c r="D405" t="str">
        <f>""</f>
        <v/>
      </c>
      <c r="E405" t="str">
        <f t="shared" si="22"/>
        <v xml:space="preserve">Organische parameters </v>
      </c>
      <c r="F405" t="str">
        <f t="shared" si="21"/>
        <v xml:space="preserve">Overige antropogene stoffen </v>
      </c>
      <c r="G405" t="str">
        <f>""</f>
        <v/>
      </c>
    </row>
    <row r="406" spans="1:7" x14ac:dyDescent="0.25">
      <c r="A406">
        <v>1147</v>
      </c>
      <c r="B406" t="str">
        <f>"ethylpyridine"</f>
        <v>ethylpyridine</v>
      </c>
      <c r="C406" t="s">
        <v>19016</v>
      </c>
      <c r="D406" t="str">
        <f>"28631-77-8"</f>
        <v>28631-77-8</v>
      </c>
      <c r="E406" t="str">
        <f t="shared" si="22"/>
        <v xml:space="preserve">Organische parameters </v>
      </c>
      <c r="F406" t="str">
        <f t="shared" si="21"/>
        <v xml:space="preserve">Overige antropogene stoffen </v>
      </c>
      <c r="G406" t="str">
        <f>""</f>
        <v/>
      </c>
    </row>
    <row r="407" spans="1:7" x14ac:dyDescent="0.25">
      <c r="A407">
        <v>1148</v>
      </c>
      <c r="B407" t="str">
        <f>"fenacetin"</f>
        <v>fenacetin</v>
      </c>
      <c r="C407" t="s">
        <v>19016</v>
      </c>
      <c r="D407" t="str">
        <f>"62-44-2"</f>
        <v>62-44-2</v>
      </c>
      <c r="E407" t="str">
        <f t="shared" si="22"/>
        <v xml:space="preserve">Organische parameters </v>
      </c>
      <c r="F407" t="str">
        <f t="shared" si="21"/>
        <v xml:space="preserve">Overige antropogene stoffen </v>
      </c>
      <c r="G407" t="str">
        <f>""</f>
        <v/>
      </c>
    </row>
    <row r="408" spans="1:7" x14ac:dyDescent="0.25">
      <c r="A408">
        <v>1149</v>
      </c>
      <c r="B408" t="str">
        <f>"fenylaziridine"</f>
        <v>fenylaziridine</v>
      </c>
      <c r="C408" t="s">
        <v>19016</v>
      </c>
      <c r="D408" t="str">
        <f>"696-18-4"</f>
        <v>696-18-4</v>
      </c>
      <c r="E408" t="str">
        <f t="shared" si="22"/>
        <v xml:space="preserve">Organische parameters </v>
      </c>
      <c r="F408" t="str">
        <f t="shared" si="21"/>
        <v xml:space="preserve">Overige antropogene stoffen </v>
      </c>
      <c r="G408" t="str">
        <f>""</f>
        <v/>
      </c>
    </row>
    <row r="409" spans="1:7" x14ac:dyDescent="0.25">
      <c r="A409">
        <v>1150</v>
      </c>
      <c r="B409" t="str">
        <f>"methylbenzonazol"</f>
        <v>methylbenzonazol</v>
      </c>
      <c r="C409" t="s">
        <v>19016</v>
      </c>
      <c r="D409" t="str">
        <f>"95-21-6"</f>
        <v>95-21-6</v>
      </c>
      <c r="E409" t="str">
        <f t="shared" si="22"/>
        <v xml:space="preserve">Organische parameters </v>
      </c>
      <c r="F409" t="str">
        <f t="shared" si="21"/>
        <v xml:space="preserve">Overige antropogene stoffen </v>
      </c>
      <c r="G409" t="str">
        <f>""</f>
        <v/>
      </c>
    </row>
    <row r="410" spans="1:7" x14ac:dyDescent="0.25">
      <c r="A410">
        <v>1151</v>
      </c>
      <c r="B410" t="str">
        <f>"methylbutylpyridine"</f>
        <v>methylbutylpyridine</v>
      </c>
      <c r="C410" t="s">
        <v>19016</v>
      </c>
      <c r="D410" t="str">
        <f>"79562-37-1"</f>
        <v>79562-37-1</v>
      </c>
      <c r="E410" t="str">
        <f t="shared" si="22"/>
        <v xml:space="preserve">Organische parameters </v>
      </c>
      <c r="F410" t="str">
        <f t="shared" si="21"/>
        <v xml:space="preserve">Overige antropogene stoffen </v>
      </c>
      <c r="G410" t="str">
        <f>""</f>
        <v/>
      </c>
    </row>
    <row r="411" spans="1:7" x14ac:dyDescent="0.25">
      <c r="A411">
        <v>1152</v>
      </c>
      <c r="B411" t="str">
        <f>"methylethylpyridine"</f>
        <v>methylethylpyridine</v>
      </c>
      <c r="C411" t="s">
        <v>19016</v>
      </c>
      <c r="D411" t="str">
        <f>"104-90-5"</f>
        <v>104-90-5</v>
      </c>
      <c r="E411" t="str">
        <f t="shared" si="22"/>
        <v xml:space="preserve">Organische parameters </v>
      </c>
      <c r="F411" t="str">
        <f t="shared" si="21"/>
        <v xml:space="preserve">Overige antropogene stoffen </v>
      </c>
      <c r="G411" t="str">
        <f>""</f>
        <v/>
      </c>
    </row>
    <row r="412" spans="1:7" x14ac:dyDescent="0.25">
      <c r="A412">
        <v>1153</v>
      </c>
      <c r="B412" t="str">
        <f>"methylpyridine"</f>
        <v>methylpyridine</v>
      </c>
      <c r="C412" t="s">
        <v>19016</v>
      </c>
      <c r="D412" t="str">
        <f>"1333-41-1"</f>
        <v>1333-41-1</v>
      </c>
      <c r="E412" t="str">
        <f t="shared" si="22"/>
        <v xml:space="preserve">Organische parameters </v>
      </c>
      <c r="F412" t="str">
        <f t="shared" si="21"/>
        <v xml:space="preserve">Overige antropogene stoffen </v>
      </c>
      <c r="G412" t="str">
        <f>""</f>
        <v/>
      </c>
    </row>
    <row r="413" spans="1:7" x14ac:dyDescent="0.25">
      <c r="A413">
        <v>1154</v>
      </c>
      <c r="B413" t="str">
        <f>"nitrobenzeen"</f>
        <v>nitrobenzeen</v>
      </c>
      <c r="C413" t="s">
        <v>19016</v>
      </c>
      <c r="D413" t="str">
        <f>"98-95-3"</f>
        <v>98-95-3</v>
      </c>
      <c r="E413" t="str">
        <f t="shared" si="22"/>
        <v xml:space="preserve">Organische parameters </v>
      </c>
      <c r="F413" t="str">
        <f t="shared" si="21"/>
        <v xml:space="preserve">Overige antropogene stoffen </v>
      </c>
      <c r="G413" t="str">
        <f>""</f>
        <v/>
      </c>
    </row>
    <row r="414" spans="1:7" x14ac:dyDescent="0.25">
      <c r="A414">
        <v>1155</v>
      </c>
      <c r="B414" t="str">
        <f>"nitrodimethylbenzeen"</f>
        <v>nitrodimethylbenzeen</v>
      </c>
      <c r="C414" t="s">
        <v>19016</v>
      </c>
      <c r="D414" t="str">
        <f>""</f>
        <v/>
      </c>
      <c r="E414" t="str">
        <f t="shared" si="22"/>
        <v xml:space="preserve">Organische parameters </v>
      </c>
      <c r="F414" t="str">
        <f t="shared" si="21"/>
        <v xml:space="preserve">Overige antropogene stoffen </v>
      </c>
      <c r="G414" t="str">
        <f>""</f>
        <v/>
      </c>
    </row>
    <row r="415" spans="1:7" x14ac:dyDescent="0.25">
      <c r="A415">
        <v>1157</v>
      </c>
      <c r="B415" t="str">
        <f>"nitronaftaleen"</f>
        <v>nitronaftaleen</v>
      </c>
      <c r="C415" t="s">
        <v>19016</v>
      </c>
      <c r="D415" t="str">
        <f>"27254-36-0"</f>
        <v>27254-36-0</v>
      </c>
      <c r="E415" t="str">
        <f t="shared" si="22"/>
        <v xml:space="preserve">Organische parameters </v>
      </c>
      <c r="F415" t="str">
        <f t="shared" si="21"/>
        <v xml:space="preserve">Overige antropogene stoffen </v>
      </c>
      <c r="G415" t="str">
        <f>""</f>
        <v/>
      </c>
    </row>
    <row r="416" spans="1:7" x14ac:dyDescent="0.25">
      <c r="A416">
        <v>1158</v>
      </c>
      <c r="B416" t="str">
        <f>"trimethylazidocyclohexeen"</f>
        <v>trimethylazidocyclohexeen</v>
      </c>
      <c r="C416" t="s">
        <v>19016</v>
      </c>
      <c r="D416" t="str">
        <f>""</f>
        <v/>
      </c>
      <c r="E416" t="str">
        <f t="shared" si="22"/>
        <v xml:space="preserve">Organische parameters </v>
      </c>
      <c r="F416" t="str">
        <f t="shared" si="21"/>
        <v xml:space="preserve">Overige antropogene stoffen </v>
      </c>
      <c r="G416" t="str">
        <f>""</f>
        <v/>
      </c>
    </row>
    <row r="417" spans="1:7" x14ac:dyDescent="0.25">
      <c r="A417">
        <v>1159</v>
      </c>
      <c r="B417" t="str">
        <f>"trimethyldiazine"</f>
        <v>trimethyldiazine</v>
      </c>
      <c r="C417" t="s">
        <v>19016</v>
      </c>
      <c r="D417" t="str">
        <f>""</f>
        <v/>
      </c>
      <c r="E417" t="str">
        <f t="shared" si="22"/>
        <v xml:space="preserve">Organische parameters </v>
      </c>
      <c r="F417" t="str">
        <f t="shared" si="21"/>
        <v xml:space="preserve">Overige antropogene stoffen </v>
      </c>
      <c r="G417" t="str">
        <f>""</f>
        <v/>
      </c>
    </row>
    <row r="418" spans="1:7" x14ac:dyDescent="0.25">
      <c r="A418">
        <v>1160</v>
      </c>
      <c r="B418" t="str">
        <f>"trimethylpyridine"</f>
        <v>trimethylpyridine</v>
      </c>
      <c r="C418" t="s">
        <v>19016</v>
      </c>
      <c r="D418" t="str">
        <f>""</f>
        <v/>
      </c>
      <c r="E418" t="str">
        <f t="shared" si="22"/>
        <v xml:space="preserve">Organische parameters </v>
      </c>
      <c r="F418" t="str">
        <f t="shared" si="21"/>
        <v xml:space="preserve">Overige antropogene stoffen </v>
      </c>
      <c r="G418" t="str">
        <f>""</f>
        <v/>
      </c>
    </row>
    <row r="419" spans="1:7" x14ac:dyDescent="0.25">
      <c r="A419">
        <v>1161</v>
      </c>
      <c r="B419" t="str">
        <f>"acenafteen"</f>
        <v>acenafteen</v>
      </c>
      <c r="C419" t="s">
        <v>19016</v>
      </c>
      <c r="D419" t="str">
        <f>"83-32-9"</f>
        <v>83-32-9</v>
      </c>
      <c r="E419" t="str">
        <f t="shared" si="22"/>
        <v xml:space="preserve">Organische parameters </v>
      </c>
      <c r="F419" t="str">
        <f t="shared" ref="F419:F447" si="23">"Polycyclische aromatische koolwaterstoffen (PAK's) "</f>
        <v xml:space="preserve">Polycyclische aromatische koolwaterstoffen (PAK's) </v>
      </c>
      <c r="G419" t="str">
        <f>""</f>
        <v/>
      </c>
    </row>
    <row r="420" spans="1:7" x14ac:dyDescent="0.25">
      <c r="A420">
        <v>1162</v>
      </c>
      <c r="B420" t="str">
        <f>"acenaftyleen"</f>
        <v>acenaftyleen</v>
      </c>
      <c r="C420" t="s">
        <v>19016</v>
      </c>
      <c r="D420" t="str">
        <f>"208-96-8"</f>
        <v>208-96-8</v>
      </c>
      <c r="E420" t="str">
        <f t="shared" si="22"/>
        <v xml:space="preserve">Organische parameters </v>
      </c>
      <c r="F420" t="str">
        <f t="shared" si="23"/>
        <v xml:space="preserve">Polycyclische aromatische koolwaterstoffen (PAK's) </v>
      </c>
      <c r="G420" t="str">
        <f>""</f>
        <v/>
      </c>
    </row>
    <row r="421" spans="1:7" x14ac:dyDescent="0.25">
      <c r="A421">
        <v>1163</v>
      </c>
      <c r="B421" t="str">
        <f>"antraceen"</f>
        <v>antraceen</v>
      </c>
      <c r="C421" t="s">
        <v>19016</v>
      </c>
      <c r="D421" t="str">
        <f>"120-12-7"</f>
        <v>120-12-7</v>
      </c>
      <c r="E421" t="str">
        <f t="shared" si="22"/>
        <v xml:space="preserve">Organische parameters </v>
      </c>
      <c r="F421" t="str">
        <f t="shared" si="23"/>
        <v xml:space="preserve">Polycyclische aromatische koolwaterstoffen (PAK's) </v>
      </c>
      <c r="G421" t="str">
        <f>""</f>
        <v/>
      </c>
    </row>
    <row r="422" spans="1:7" x14ac:dyDescent="0.25">
      <c r="A422">
        <v>1164</v>
      </c>
      <c r="B422" t="str">
        <f>"azuleen"</f>
        <v>azuleen</v>
      </c>
      <c r="C422" t="s">
        <v>19016</v>
      </c>
      <c r="D422" t="str">
        <f>"275-51-4"</f>
        <v>275-51-4</v>
      </c>
      <c r="E422" t="str">
        <f t="shared" si="22"/>
        <v xml:space="preserve">Organische parameters </v>
      </c>
      <c r="F422" t="str">
        <f t="shared" si="23"/>
        <v xml:space="preserve">Polycyclische aromatische koolwaterstoffen (PAK's) </v>
      </c>
      <c r="G422" t="str">
        <f>""</f>
        <v/>
      </c>
    </row>
    <row r="423" spans="1:7" x14ac:dyDescent="0.25">
      <c r="A423">
        <v>1165</v>
      </c>
      <c r="B423" t="str">
        <f>"benzo(a)antraceen"</f>
        <v>benzo(a)antraceen</v>
      </c>
      <c r="C423" t="s">
        <v>19016</v>
      </c>
      <c r="D423" t="str">
        <f>"56-55-3"</f>
        <v>56-55-3</v>
      </c>
      <c r="E423" t="str">
        <f t="shared" si="22"/>
        <v xml:space="preserve">Organische parameters </v>
      </c>
      <c r="F423" t="str">
        <f t="shared" si="23"/>
        <v xml:space="preserve">Polycyclische aromatische koolwaterstoffen (PAK's) </v>
      </c>
      <c r="G423" t="str">
        <f>""</f>
        <v/>
      </c>
    </row>
    <row r="424" spans="1:7" x14ac:dyDescent="0.25">
      <c r="A424">
        <v>1166</v>
      </c>
      <c r="B424" t="str">
        <f>"benzo(b)fluorantheen"</f>
        <v>benzo(b)fluorantheen</v>
      </c>
      <c r="C424" t="s">
        <v>19016</v>
      </c>
      <c r="D424" t="str">
        <f>"205-99-2"</f>
        <v>205-99-2</v>
      </c>
      <c r="E424" t="str">
        <f t="shared" si="22"/>
        <v xml:space="preserve">Organische parameters </v>
      </c>
      <c r="F424" t="str">
        <f t="shared" si="23"/>
        <v xml:space="preserve">Polycyclische aromatische koolwaterstoffen (PAK's) </v>
      </c>
      <c r="G424" t="str">
        <f>""</f>
        <v/>
      </c>
    </row>
    <row r="425" spans="1:7" x14ac:dyDescent="0.25">
      <c r="A425">
        <v>1167</v>
      </c>
      <c r="B425" t="str">
        <f>"benzo(k)fluorantheen"</f>
        <v>benzo(k)fluorantheen</v>
      </c>
      <c r="C425" t="s">
        <v>19016</v>
      </c>
      <c r="D425" t="str">
        <f>"207-08-9"</f>
        <v>207-08-9</v>
      </c>
      <c r="E425" t="str">
        <f t="shared" si="22"/>
        <v xml:space="preserve">Organische parameters </v>
      </c>
      <c r="F425" t="str">
        <f t="shared" si="23"/>
        <v xml:space="preserve">Polycyclische aromatische koolwaterstoffen (PAK's) </v>
      </c>
      <c r="G425" t="str">
        <f>""</f>
        <v/>
      </c>
    </row>
    <row r="426" spans="1:7" x14ac:dyDescent="0.25">
      <c r="A426">
        <v>1168</v>
      </c>
      <c r="B426" t="str">
        <f>"benzo(ghi)peryleen"</f>
        <v>benzo(ghi)peryleen</v>
      </c>
      <c r="C426" t="s">
        <v>19016</v>
      </c>
      <c r="D426" t="str">
        <f>"191-24-2"</f>
        <v>191-24-2</v>
      </c>
      <c r="E426" t="str">
        <f t="shared" si="22"/>
        <v xml:space="preserve">Organische parameters </v>
      </c>
      <c r="F426" t="str">
        <f t="shared" si="23"/>
        <v xml:space="preserve">Polycyclische aromatische koolwaterstoffen (PAK's) </v>
      </c>
      <c r="G426" t="str">
        <f>""</f>
        <v/>
      </c>
    </row>
    <row r="427" spans="1:7" x14ac:dyDescent="0.25">
      <c r="A427">
        <v>1169</v>
      </c>
      <c r="B427" t="str">
        <f>"benzo(a)pyreen"</f>
        <v>benzo(a)pyreen</v>
      </c>
      <c r="C427" t="s">
        <v>19016</v>
      </c>
      <c r="D427" t="str">
        <f>"50-32-8"</f>
        <v>50-32-8</v>
      </c>
      <c r="E427" t="str">
        <f t="shared" si="22"/>
        <v xml:space="preserve">Organische parameters </v>
      </c>
      <c r="F427" t="str">
        <f t="shared" si="23"/>
        <v xml:space="preserve">Polycyclische aromatische koolwaterstoffen (PAK's) </v>
      </c>
      <c r="G427" t="str">
        <f>""</f>
        <v/>
      </c>
    </row>
    <row r="428" spans="1:7" x14ac:dyDescent="0.25">
      <c r="A428">
        <v>1170</v>
      </c>
      <c r="B428" t="str">
        <f>"bifenyl"</f>
        <v>bifenyl</v>
      </c>
      <c r="C428" t="s">
        <v>19016</v>
      </c>
      <c r="D428" t="str">
        <f>"92-52-4"</f>
        <v>92-52-4</v>
      </c>
      <c r="E428" t="str">
        <f t="shared" si="22"/>
        <v xml:space="preserve">Organische parameters </v>
      </c>
      <c r="F428" t="str">
        <f t="shared" si="23"/>
        <v xml:space="preserve">Polycyclische aromatische koolwaterstoffen (PAK's) </v>
      </c>
      <c r="G428" t="str">
        <f>""</f>
        <v/>
      </c>
    </row>
    <row r="429" spans="1:7" x14ac:dyDescent="0.25">
      <c r="A429">
        <v>1171</v>
      </c>
      <c r="B429" t="str">
        <f>"butylnaftaleen"</f>
        <v>butylnaftaleen</v>
      </c>
      <c r="C429" t="s">
        <v>19016</v>
      </c>
      <c r="D429" t="str">
        <f>""</f>
        <v/>
      </c>
      <c r="E429" t="str">
        <f t="shared" si="22"/>
        <v xml:space="preserve">Organische parameters </v>
      </c>
      <c r="F429" t="str">
        <f t="shared" si="23"/>
        <v xml:space="preserve">Polycyclische aromatische koolwaterstoffen (PAK's) </v>
      </c>
      <c r="G429" t="str">
        <f>""</f>
        <v/>
      </c>
    </row>
    <row r="430" spans="1:7" x14ac:dyDescent="0.25">
      <c r="A430">
        <v>1172</v>
      </c>
      <c r="B430" t="str">
        <f>"chryseen"</f>
        <v>chryseen</v>
      </c>
      <c r="C430" t="s">
        <v>19016</v>
      </c>
      <c r="D430" t="str">
        <f>"218-01-9"</f>
        <v>218-01-9</v>
      </c>
      <c r="E430" t="str">
        <f t="shared" si="22"/>
        <v xml:space="preserve">Organische parameters </v>
      </c>
      <c r="F430" t="str">
        <f t="shared" si="23"/>
        <v xml:space="preserve">Polycyclische aromatische koolwaterstoffen (PAK's) </v>
      </c>
      <c r="G430" t="str">
        <f>""</f>
        <v/>
      </c>
    </row>
    <row r="431" spans="1:7" x14ac:dyDescent="0.25">
      <c r="A431">
        <v>1173</v>
      </c>
      <c r="B431" t="str">
        <f>"dibenzo(a,h)antraceen"</f>
        <v>dibenzo(a,h)antraceen</v>
      </c>
      <c r="C431" t="s">
        <v>19016</v>
      </c>
      <c r="D431" t="str">
        <f>"53-70-3"</f>
        <v>53-70-3</v>
      </c>
      <c r="E431" t="str">
        <f t="shared" si="22"/>
        <v xml:space="preserve">Organische parameters </v>
      </c>
      <c r="F431" t="str">
        <f t="shared" si="23"/>
        <v xml:space="preserve">Polycyclische aromatische koolwaterstoffen (PAK's) </v>
      </c>
      <c r="G431" t="str">
        <f>""</f>
        <v/>
      </c>
    </row>
    <row r="432" spans="1:7" x14ac:dyDescent="0.25">
      <c r="A432">
        <v>1174</v>
      </c>
      <c r="B432" t="str">
        <f>"dimethylbifenyl"</f>
        <v>dimethylbifenyl</v>
      </c>
      <c r="C432" t="s">
        <v>19016</v>
      </c>
      <c r="D432" t="str">
        <f>""</f>
        <v/>
      </c>
      <c r="E432" t="str">
        <f t="shared" si="22"/>
        <v xml:space="preserve">Organische parameters </v>
      </c>
      <c r="F432" t="str">
        <f t="shared" si="23"/>
        <v xml:space="preserve">Polycyclische aromatische koolwaterstoffen (PAK's) </v>
      </c>
      <c r="G432" t="str">
        <f>""</f>
        <v/>
      </c>
    </row>
    <row r="433" spans="1:7" x14ac:dyDescent="0.25">
      <c r="A433">
        <v>1175</v>
      </c>
      <c r="B433" t="str">
        <f>"dimethylfenantreen"</f>
        <v>dimethylfenantreen</v>
      </c>
      <c r="C433" t="s">
        <v>19016</v>
      </c>
      <c r="D433" t="str">
        <f>"29062-98-4"</f>
        <v>29062-98-4</v>
      </c>
      <c r="E433" t="str">
        <f t="shared" si="22"/>
        <v xml:space="preserve">Organische parameters </v>
      </c>
      <c r="F433" t="str">
        <f t="shared" si="23"/>
        <v xml:space="preserve">Polycyclische aromatische koolwaterstoffen (PAK's) </v>
      </c>
      <c r="G433" t="str">
        <f>""</f>
        <v/>
      </c>
    </row>
    <row r="434" spans="1:7" x14ac:dyDescent="0.25">
      <c r="A434">
        <v>1176</v>
      </c>
      <c r="B434" t="str">
        <f>"dimethylnaftaleen"</f>
        <v>dimethylnaftaleen</v>
      </c>
      <c r="C434" t="s">
        <v>19016</v>
      </c>
      <c r="D434" t="str">
        <f>"28804-88-8"</f>
        <v>28804-88-8</v>
      </c>
      <c r="E434" t="str">
        <f t="shared" si="22"/>
        <v xml:space="preserve">Organische parameters </v>
      </c>
      <c r="F434" t="str">
        <f t="shared" si="23"/>
        <v xml:space="preserve">Polycyclische aromatische koolwaterstoffen (PAK's) </v>
      </c>
      <c r="G434" t="str">
        <f>""</f>
        <v/>
      </c>
    </row>
    <row r="435" spans="1:7" x14ac:dyDescent="0.25">
      <c r="A435">
        <v>1177</v>
      </c>
      <c r="B435" t="str">
        <f>"ethylbifenyl"</f>
        <v>ethylbifenyl</v>
      </c>
      <c r="C435" t="s">
        <v>19016</v>
      </c>
      <c r="D435" t="str">
        <f>"40529-66-6"</f>
        <v>40529-66-6</v>
      </c>
      <c r="E435" t="str">
        <f t="shared" si="22"/>
        <v xml:space="preserve">Organische parameters </v>
      </c>
      <c r="F435" t="str">
        <f t="shared" si="23"/>
        <v xml:space="preserve">Polycyclische aromatische koolwaterstoffen (PAK's) </v>
      </c>
      <c r="G435" t="str">
        <f>""</f>
        <v/>
      </c>
    </row>
    <row r="436" spans="1:7" x14ac:dyDescent="0.25">
      <c r="A436">
        <v>1178</v>
      </c>
      <c r="B436" t="str">
        <f>"ethylfenantreen"</f>
        <v>ethylfenantreen</v>
      </c>
      <c r="C436" t="s">
        <v>19016</v>
      </c>
      <c r="D436" t="str">
        <f>""</f>
        <v/>
      </c>
      <c r="E436" t="str">
        <f t="shared" si="22"/>
        <v xml:space="preserve">Organische parameters </v>
      </c>
      <c r="F436" t="str">
        <f t="shared" si="23"/>
        <v xml:space="preserve">Polycyclische aromatische koolwaterstoffen (PAK's) </v>
      </c>
      <c r="G436" t="str">
        <f>""</f>
        <v/>
      </c>
    </row>
    <row r="437" spans="1:7" x14ac:dyDescent="0.25">
      <c r="A437">
        <v>1179</v>
      </c>
      <c r="B437" t="str">
        <f>"ethylnaftaleen"</f>
        <v>ethylnaftaleen</v>
      </c>
      <c r="C437" t="s">
        <v>19016</v>
      </c>
      <c r="D437" t="str">
        <f>"27138-19-8"</f>
        <v>27138-19-8</v>
      </c>
      <c r="E437" t="str">
        <f t="shared" si="22"/>
        <v xml:space="preserve">Organische parameters </v>
      </c>
      <c r="F437" t="str">
        <f t="shared" si="23"/>
        <v xml:space="preserve">Polycyclische aromatische koolwaterstoffen (PAK's) </v>
      </c>
      <c r="G437" t="str">
        <f>""</f>
        <v/>
      </c>
    </row>
    <row r="438" spans="1:7" x14ac:dyDescent="0.25">
      <c r="A438">
        <v>1180</v>
      </c>
      <c r="B438" t="str">
        <f>"fenantreen"</f>
        <v>fenantreen</v>
      </c>
      <c r="C438" t="s">
        <v>19016</v>
      </c>
      <c r="D438" t="str">
        <f>"85-01-8"</f>
        <v>85-01-8</v>
      </c>
      <c r="E438" t="str">
        <f t="shared" si="22"/>
        <v xml:space="preserve">Organische parameters </v>
      </c>
      <c r="F438" t="str">
        <f t="shared" si="23"/>
        <v xml:space="preserve">Polycyclische aromatische koolwaterstoffen (PAK's) </v>
      </c>
      <c r="G438" t="str">
        <f>""</f>
        <v/>
      </c>
    </row>
    <row r="439" spans="1:7" x14ac:dyDescent="0.25">
      <c r="A439">
        <v>1181</v>
      </c>
      <c r="B439" t="str">
        <f>"fluorantheen"</f>
        <v>fluorantheen</v>
      </c>
      <c r="C439" t="s">
        <v>19016</v>
      </c>
      <c r="D439" t="str">
        <f>"206-44-0"</f>
        <v>206-44-0</v>
      </c>
      <c r="E439" t="str">
        <f t="shared" si="22"/>
        <v xml:space="preserve">Organische parameters </v>
      </c>
      <c r="F439" t="str">
        <f t="shared" si="23"/>
        <v xml:space="preserve">Polycyclische aromatische koolwaterstoffen (PAK's) </v>
      </c>
      <c r="G439" t="str">
        <f>""</f>
        <v/>
      </c>
    </row>
    <row r="440" spans="1:7" x14ac:dyDescent="0.25">
      <c r="A440">
        <v>1182</v>
      </c>
      <c r="B440" t="str">
        <f>"fluoreen"</f>
        <v>fluoreen</v>
      </c>
      <c r="C440" t="s">
        <v>19016</v>
      </c>
      <c r="D440" t="str">
        <f>"86-73-7"</f>
        <v>86-73-7</v>
      </c>
      <c r="E440" t="str">
        <f t="shared" si="22"/>
        <v xml:space="preserve">Organische parameters </v>
      </c>
      <c r="F440" t="str">
        <f t="shared" si="23"/>
        <v xml:space="preserve">Polycyclische aromatische koolwaterstoffen (PAK's) </v>
      </c>
      <c r="G440" t="str">
        <f>""</f>
        <v/>
      </c>
    </row>
    <row r="441" spans="1:7" x14ac:dyDescent="0.25">
      <c r="A441">
        <v>1183</v>
      </c>
      <c r="B441" t="str">
        <f>"indeno (1,2,3-cd)pyreen"</f>
        <v>indeno (1,2,3-cd)pyreen</v>
      </c>
      <c r="C441" t="s">
        <v>19016</v>
      </c>
      <c r="D441" t="str">
        <f>"193-39-5"</f>
        <v>193-39-5</v>
      </c>
      <c r="E441" t="str">
        <f t="shared" si="22"/>
        <v xml:space="preserve">Organische parameters </v>
      </c>
      <c r="F441" t="str">
        <f t="shared" si="23"/>
        <v xml:space="preserve">Polycyclische aromatische koolwaterstoffen (PAK's) </v>
      </c>
      <c r="G441" t="str">
        <f>""</f>
        <v/>
      </c>
    </row>
    <row r="442" spans="1:7" x14ac:dyDescent="0.25">
      <c r="A442">
        <v>1184</v>
      </c>
      <c r="B442" t="str">
        <f>"methylbifenyl"</f>
        <v>methylbifenyl</v>
      </c>
      <c r="C442" t="s">
        <v>19016</v>
      </c>
      <c r="D442" t="str">
        <f>"28652-72-4"</f>
        <v>28652-72-4</v>
      </c>
      <c r="E442" t="str">
        <f t="shared" si="22"/>
        <v xml:space="preserve">Organische parameters </v>
      </c>
      <c r="F442" t="str">
        <f t="shared" si="23"/>
        <v xml:space="preserve">Polycyclische aromatische koolwaterstoffen (PAK's) </v>
      </c>
      <c r="G442" t="str">
        <f>""</f>
        <v/>
      </c>
    </row>
    <row r="443" spans="1:7" x14ac:dyDescent="0.25">
      <c r="A443">
        <v>1185</v>
      </c>
      <c r="B443" t="str">
        <f>"methylethylnaftaleen"</f>
        <v>methylethylnaftaleen</v>
      </c>
      <c r="C443" t="s">
        <v>19016</v>
      </c>
      <c r="D443" t="str">
        <f>"2027-17-0"</f>
        <v>2027-17-0</v>
      </c>
      <c r="E443" t="str">
        <f t="shared" si="22"/>
        <v xml:space="preserve">Organische parameters </v>
      </c>
      <c r="F443" t="str">
        <f t="shared" si="23"/>
        <v xml:space="preserve">Polycyclische aromatische koolwaterstoffen (PAK's) </v>
      </c>
      <c r="G443" t="str">
        <f>""</f>
        <v/>
      </c>
    </row>
    <row r="444" spans="1:7" x14ac:dyDescent="0.25">
      <c r="A444">
        <v>1186</v>
      </c>
      <c r="B444" t="str">
        <f>"methylfenantreen"</f>
        <v>methylfenantreen</v>
      </c>
      <c r="C444" t="s">
        <v>19016</v>
      </c>
      <c r="D444" t="str">
        <f>"31711-53-2"</f>
        <v>31711-53-2</v>
      </c>
      <c r="E444" t="str">
        <f t="shared" si="22"/>
        <v xml:space="preserve">Organische parameters </v>
      </c>
      <c r="F444" t="str">
        <f t="shared" si="23"/>
        <v xml:space="preserve">Polycyclische aromatische koolwaterstoffen (PAK's) </v>
      </c>
      <c r="G444" t="str">
        <f>""</f>
        <v/>
      </c>
    </row>
    <row r="445" spans="1:7" x14ac:dyDescent="0.25">
      <c r="A445">
        <v>1187</v>
      </c>
      <c r="B445" t="str">
        <f>"methylnaftaleen"</f>
        <v>methylnaftaleen</v>
      </c>
      <c r="C445" t="s">
        <v>19016</v>
      </c>
      <c r="D445" t="str">
        <f>"1321-94-4"</f>
        <v>1321-94-4</v>
      </c>
      <c r="E445" t="str">
        <f t="shared" si="22"/>
        <v xml:space="preserve">Organische parameters </v>
      </c>
      <c r="F445" t="str">
        <f t="shared" si="23"/>
        <v xml:space="preserve">Polycyclische aromatische koolwaterstoffen (PAK's) </v>
      </c>
      <c r="G445" t="str">
        <f>""</f>
        <v/>
      </c>
    </row>
    <row r="446" spans="1:7" x14ac:dyDescent="0.25">
      <c r="A446">
        <v>1188</v>
      </c>
      <c r="B446" t="str">
        <f>"pyreen"</f>
        <v>pyreen</v>
      </c>
      <c r="C446" t="s">
        <v>19016</v>
      </c>
      <c r="D446" t="str">
        <f>"129-00-0"</f>
        <v>129-00-0</v>
      </c>
      <c r="E446" t="str">
        <f t="shared" si="22"/>
        <v xml:space="preserve">Organische parameters </v>
      </c>
      <c r="F446" t="str">
        <f t="shared" si="23"/>
        <v xml:space="preserve">Polycyclische aromatische koolwaterstoffen (PAK's) </v>
      </c>
      <c r="G446" t="str">
        <f>""</f>
        <v/>
      </c>
    </row>
    <row r="447" spans="1:7" x14ac:dyDescent="0.25">
      <c r="A447">
        <v>1189</v>
      </c>
      <c r="B447" t="str">
        <f>"trimethylnaftaleen"</f>
        <v>trimethylnaftaleen</v>
      </c>
      <c r="C447" t="s">
        <v>19016</v>
      </c>
      <c r="D447" t="str">
        <f>"2245-38-7"</f>
        <v>2245-38-7</v>
      </c>
      <c r="E447" t="str">
        <f t="shared" si="22"/>
        <v xml:space="preserve">Organische parameters </v>
      </c>
      <c r="F447" t="str">
        <f t="shared" si="23"/>
        <v xml:space="preserve">Polycyclische aromatische koolwaterstoffen (PAK's) </v>
      </c>
      <c r="G447" t="str">
        <f>""</f>
        <v/>
      </c>
    </row>
    <row r="448" spans="1:7" x14ac:dyDescent="0.25">
      <c r="A448">
        <v>1191</v>
      </c>
      <c r="B448" t="str">
        <f>"dichloornaftaleen"</f>
        <v>dichloornaftaleen</v>
      </c>
      <c r="C448" t="s">
        <v>19016</v>
      </c>
      <c r="D448" t="str">
        <f>"28699-88-9"</f>
        <v>28699-88-9</v>
      </c>
      <c r="E448" t="str">
        <f t="shared" si="22"/>
        <v xml:space="preserve">Organische parameters </v>
      </c>
      <c r="F448" t="str">
        <f t="shared" ref="F448:F511" si="24">"Polychloorbifenylen (PCB's) "</f>
        <v xml:space="preserve">Polychloorbifenylen (PCB's) </v>
      </c>
      <c r="G448" t="str">
        <f>""</f>
        <v/>
      </c>
    </row>
    <row r="449" spans="1:7" x14ac:dyDescent="0.25">
      <c r="A449">
        <v>1192</v>
      </c>
      <c r="B449" t="str">
        <f>"trichloorbifenylchloormethylbenzeen"</f>
        <v>trichloorbifenylchloormethylbenzeen</v>
      </c>
      <c r="C449" t="s">
        <v>19016</v>
      </c>
      <c r="D449" t="str">
        <f>""</f>
        <v/>
      </c>
      <c r="E449" t="str">
        <f t="shared" si="22"/>
        <v xml:space="preserve">Organische parameters </v>
      </c>
      <c r="F449" t="str">
        <f t="shared" si="24"/>
        <v xml:space="preserve">Polychloorbifenylen (PCB's) </v>
      </c>
      <c r="G449" t="str">
        <f>""</f>
        <v/>
      </c>
    </row>
    <row r="450" spans="1:7" x14ac:dyDescent="0.25">
      <c r="A450">
        <v>1193</v>
      </c>
      <c r="B450" t="str">
        <f>"2-chloorbifenyl"</f>
        <v>2-chloorbifenyl</v>
      </c>
      <c r="C450" t="s">
        <v>19016</v>
      </c>
      <c r="D450" t="str">
        <f>"2051-60-7"</f>
        <v>2051-60-7</v>
      </c>
      <c r="E450" t="str">
        <f t="shared" si="22"/>
        <v xml:space="preserve">Organische parameters </v>
      </c>
      <c r="F450" t="str">
        <f t="shared" si="24"/>
        <v xml:space="preserve">Polychloorbifenylen (PCB's) </v>
      </c>
      <c r="G450" t="str">
        <f>""</f>
        <v/>
      </c>
    </row>
    <row r="451" spans="1:7" x14ac:dyDescent="0.25">
      <c r="A451">
        <v>1194</v>
      </c>
      <c r="B451" t="str">
        <f>"3-chloorbifenyl"</f>
        <v>3-chloorbifenyl</v>
      </c>
      <c r="C451" t="s">
        <v>19016</v>
      </c>
      <c r="D451" t="str">
        <f>"2051-61-8"</f>
        <v>2051-61-8</v>
      </c>
      <c r="E451" t="str">
        <f t="shared" si="22"/>
        <v xml:space="preserve">Organische parameters </v>
      </c>
      <c r="F451" t="str">
        <f t="shared" si="24"/>
        <v xml:space="preserve">Polychloorbifenylen (PCB's) </v>
      </c>
      <c r="G451" t="str">
        <f>""</f>
        <v/>
      </c>
    </row>
    <row r="452" spans="1:7" x14ac:dyDescent="0.25">
      <c r="A452">
        <v>1195</v>
      </c>
      <c r="B452" t="str">
        <f>"4-chloorbifenyl"</f>
        <v>4-chloorbifenyl</v>
      </c>
      <c r="C452" t="s">
        <v>19016</v>
      </c>
      <c r="D452" t="str">
        <f>"2051-62-9"</f>
        <v>2051-62-9</v>
      </c>
      <c r="E452" t="str">
        <f t="shared" si="22"/>
        <v xml:space="preserve">Organische parameters </v>
      </c>
      <c r="F452" t="str">
        <f t="shared" si="24"/>
        <v xml:space="preserve">Polychloorbifenylen (PCB's) </v>
      </c>
      <c r="G452" t="str">
        <f>""</f>
        <v/>
      </c>
    </row>
    <row r="453" spans="1:7" x14ac:dyDescent="0.25">
      <c r="A453">
        <v>1196</v>
      </c>
      <c r="B453" t="str">
        <f>"2-2'-dichloorbifenyl"</f>
        <v>2-2'-dichloorbifenyl</v>
      </c>
      <c r="C453" t="s">
        <v>19016</v>
      </c>
      <c r="D453" t="str">
        <f>"13029-08-8"</f>
        <v>13029-08-8</v>
      </c>
      <c r="E453" t="str">
        <f t="shared" si="22"/>
        <v xml:space="preserve">Organische parameters </v>
      </c>
      <c r="F453" t="str">
        <f t="shared" si="24"/>
        <v xml:space="preserve">Polychloorbifenylen (PCB's) </v>
      </c>
      <c r="G453" t="str">
        <f>""</f>
        <v/>
      </c>
    </row>
    <row r="454" spans="1:7" x14ac:dyDescent="0.25">
      <c r="A454">
        <v>1197</v>
      </c>
      <c r="B454" t="str">
        <f>"2,3-dichloorbifenyl"</f>
        <v>2,3-dichloorbifenyl</v>
      </c>
      <c r="C454" t="s">
        <v>19016</v>
      </c>
      <c r="D454" t="str">
        <f>"16605-91-7"</f>
        <v>16605-91-7</v>
      </c>
      <c r="E454" t="str">
        <f t="shared" si="22"/>
        <v xml:space="preserve">Organische parameters </v>
      </c>
      <c r="F454" t="str">
        <f t="shared" si="24"/>
        <v xml:space="preserve">Polychloorbifenylen (PCB's) </v>
      </c>
      <c r="G454" t="str">
        <f>""</f>
        <v/>
      </c>
    </row>
    <row r="455" spans="1:7" x14ac:dyDescent="0.25">
      <c r="A455">
        <v>1198</v>
      </c>
      <c r="B455" t="str">
        <f>"2,3'-dichloorbifenyl"</f>
        <v>2,3'-dichloorbifenyl</v>
      </c>
      <c r="C455" t="s">
        <v>19016</v>
      </c>
      <c r="D455" t="str">
        <f>"25569-80-6"</f>
        <v>25569-80-6</v>
      </c>
      <c r="E455" t="str">
        <f t="shared" si="22"/>
        <v xml:space="preserve">Organische parameters </v>
      </c>
      <c r="F455" t="str">
        <f t="shared" si="24"/>
        <v xml:space="preserve">Polychloorbifenylen (PCB's) </v>
      </c>
      <c r="G455" t="str">
        <f>""</f>
        <v/>
      </c>
    </row>
    <row r="456" spans="1:7" x14ac:dyDescent="0.25">
      <c r="A456">
        <v>1199</v>
      </c>
      <c r="B456" t="str">
        <f>"2,4-dichloorbifenyl"</f>
        <v>2,4-dichloorbifenyl</v>
      </c>
      <c r="C456" t="s">
        <v>19016</v>
      </c>
      <c r="D456" t="str">
        <f>"33284-50-3"</f>
        <v>33284-50-3</v>
      </c>
      <c r="E456" t="str">
        <f t="shared" si="22"/>
        <v xml:space="preserve">Organische parameters </v>
      </c>
      <c r="F456" t="str">
        <f t="shared" si="24"/>
        <v xml:space="preserve">Polychloorbifenylen (PCB's) </v>
      </c>
      <c r="G456" t="str">
        <f>""</f>
        <v/>
      </c>
    </row>
    <row r="457" spans="1:7" x14ac:dyDescent="0.25">
      <c r="A457">
        <v>1200</v>
      </c>
      <c r="B457" t="str">
        <f>"2,4'-dichloorbifenyl"</f>
        <v>2,4'-dichloorbifenyl</v>
      </c>
      <c r="C457" t="s">
        <v>19016</v>
      </c>
      <c r="D457" t="str">
        <f>"34883-43-7"</f>
        <v>34883-43-7</v>
      </c>
      <c r="E457" t="str">
        <f t="shared" si="22"/>
        <v xml:space="preserve">Organische parameters </v>
      </c>
      <c r="F457" t="str">
        <f t="shared" si="24"/>
        <v xml:space="preserve">Polychloorbifenylen (PCB's) </v>
      </c>
      <c r="G457" t="str">
        <f>""</f>
        <v/>
      </c>
    </row>
    <row r="458" spans="1:7" x14ac:dyDescent="0.25">
      <c r="A458">
        <v>1201</v>
      </c>
      <c r="B458" t="str">
        <f>"2,5-dichloorbifenyl"</f>
        <v>2,5-dichloorbifenyl</v>
      </c>
      <c r="C458" t="s">
        <v>19016</v>
      </c>
      <c r="D458" t="str">
        <f>"34883-39-1"</f>
        <v>34883-39-1</v>
      </c>
      <c r="E458" t="str">
        <f t="shared" si="22"/>
        <v xml:space="preserve">Organische parameters </v>
      </c>
      <c r="F458" t="str">
        <f t="shared" si="24"/>
        <v xml:space="preserve">Polychloorbifenylen (PCB's) </v>
      </c>
      <c r="G458" t="str">
        <f>""</f>
        <v/>
      </c>
    </row>
    <row r="459" spans="1:7" x14ac:dyDescent="0.25">
      <c r="A459">
        <v>1202</v>
      </c>
      <c r="B459" t="str">
        <f>"2,6-dichloorbifenyl"</f>
        <v>2,6-dichloorbifenyl</v>
      </c>
      <c r="C459" t="s">
        <v>19016</v>
      </c>
      <c r="D459" t="str">
        <f>"33146-45-1"</f>
        <v>33146-45-1</v>
      </c>
      <c r="E459" t="str">
        <f t="shared" si="22"/>
        <v xml:space="preserve">Organische parameters </v>
      </c>
      <c r="F459" t="str">
        <f t="shared" si="24"/>
        <v xml:space="preserve">Polychloorbifenylen (PCB's) </v>
      </c>
      <c r="G459" t="str">
        <f>""</f>
        <v/>
      </c>
    </row>
    <row r="460" spans="1:7" x14ac:dyDescent="0.25">
      <c r="A460">
        <v>1203</v>
      </c>
      <c r="B460" t="str">
        <f>"3,3'-dichloorbifenyl"</f>
        <v>3,3'-dichloorbifenyl</v>
      </c>
      <c r="C460" t="s">
        <v>19016</v>
      </c>
      <c r="D460" t="str">
        <f>"2050-67-1"</f>
        <v>2050-67-1</v>
      </c>
      <c r="E460" t="str">
        <f t="shared" si="22"/>
        <v xml:space="preserve">Organische parameters </v>
      </c>
      <c r="F460" t="str">
        <f t="shared" si="24"/>
        <v xml:space="preserve">Polychloorbifenylen (PCB's) </v>
      </c>
      <c r="G460" t="str">
        <f>""</f>
        <v/>
      </c>
    </row>
    <row r="461" spans="1:7" x14ac:dyDescent="0.25">
      <c r="A461">
        <v>1204</v>
      </c>
      <c r="B461" t="str">
        <f>"3,4-dichloorbifenyl"</f>
        <v>3,4-dichloorbifenyl</v>
      </c>
      <c r="C461" t="s">
        <v>19016</v>
      </c>
      <c r="D461" t="str">
        <f>"2974-92-7"</f>
        <v>2974-92-7</v>
      </c>
      <c r="E461" t="str">
        <f t="shared" ref="E461:E524" si="25">"Organische parameters "</f>
        <v xml:space="preserve">Organische parameters </v>
      </c>
      <c r="F461" t="str">
        <f t="shared" si="24"/>
        <v xml:space="preserve">Polychloorbifenylen (PCB's) </v>
      </c>
      <c r="G461" t="str">
        <f>""</f>
        <v/>
      </c>
    </row>
    <row r="462" spans="1:7" x14ac:dyDescent="0.25">
      <c r="A462">
        <v>1205</v>
      </c>
      <c r="B462" t="str">
        <f>"3,4'-dichloorbifenyl"</f>
        <v>3,4'-dichloorbifenyl</v>
      </c>
      <c r="C462" t="s">
        <v>19016</v>
      </c>
      <c r="D462" t="str">
        <f>"2974-90-5"</f>
        <v>2974-90-5</v>
      </c>
      <c r="E462" t="str">
        <f t="shared" si="25"/>
        <v xml:space="preserve">Organische parameters </v>
      </c>
      <c r="F462" t="str">
        <f t="shared" si="24"/>
        <v xml:space="preserve">Polychloorbifenylen (PCB's) </v>
      </c>
      <c r="G462" t="str">
        <f>""</f>
        <v/>
      </c>
    </row>
    <row r="463" spans="1:7" x14ac:dyDescent="0.25">
      <c r="A463">
        <v>1206</v>
      </c>
      <c r="B463" t="str">
        <f>"3,5-dichloorbifenyl"</f>
        <v>3,5-dichloorbifenyl</v>
      </c>
      <c r="C463" t="s">
        <v>19016</v>
      </c>
      <c r="D463" t="str">
        <f>"34883-41-5"</f>
        <v>34883-41-5</v>
      </c>
      <c r="E463" t="str">
        <f t="shared" si="25"/>
        <v xml:space="preserve">Organische parameters </v>
      </c>
      <c r="F463" t="str">
        <f t="shared" si="24"/>
        <v xml:space="preserve">Polychloorbifenylen (PCB's) </v>
      </c>
      <c r="G463" t="str">
        <f>""</f>
        <v/>
      </c>
    </row>
    <row r="464" spans="1:7" x14ac:dyDescent="0.25">
      <c r="A464">
        <v>1207</v>
      </c>
      <c r="B464" t="str">
        <f>"4,4'-dichloorbifenyl"</f>
        <v>4,4'-dichloorbifenyl</v>
      </c>
      <c r="C464" t="s">
        <v>19016</v>
      </c>
      <c r="D464" t="str">
        <f>"2050-68-2"</f>
        <v>2050-68-2</v>
      </c>
      <c r="E464" t="str">
        <f t="shared" si="25"/>
        <v xml:space="preserve">Organische parameters </v>
      </c>
      <c r="F464" t="str">
        <f t="shared" si="24"/>
        <v xml:space="preserve">Polychloorbifenylen (PCB's) </v>
      </c>
      <c r="G464" t="str">
        <f>""</f>
        <v/>
      </c>
    </row>
    <row r="465" spans="1:7" x14ac:dyDescent="0.25">
      <c r="A465">
        <v>1208</v>
      </c>
      <c r="B465" t="str">
        <f>"2,2',3-trichloorbifenyl"</f>
        <v>2,2',3-trichloorbifenyl</v>
      </c>
      <c r="C465" t="s">
        <v>19016</v>
      </c>
      <c r="D465" t="str">
        <f>"38444-78-9"</f>
        <v>38444-78-9</v>
      </c>
      <c r="E465" t="str">
        <f t="shared" si="25"/>
        <v xml:space="preserve">Organische parameters </v>
      </c>
      <c r="F465" t="str">
        <f t="shared" si="24"/>
        <v xml:space="preserve">Polychloorbifenylen (PCB's) </v>
      </c>
      <c r="G465" t="str">
        <f>""</f>
        <v/>
      </c>
    </row>
    <row r="466" spans="1:7" x14ac:dyDescent="0.25">
      <c r="A466">
        <v>1209</v>
      </c>
      <c r="B466" t="str">
        <f>"2,2',4-trichloorbifenyl"</f>
        <v>2,2',4-trichloorbifenyl</v>
      </c>
      <c r="C466" t="s">
        <v>19016</v>
      </c>
      <c r="D466" t="str">
        <f>"37680-66-3"</f>
        <v>37680-66-3</v>
      </c>
      <c r="E466" t="str">
        <f t="shared" si="25"/>
        <v xml:space="preserve">Organische parameters </v>
      </c>
      <c r="F466" t="str">
        <f t="shared" si="24"/>
        <v xml:space="preserve">Polychloorbifenylen (PCB's) </v>
      </c>
      <c r="G466" t="str">
        <f>""</f>
        <v/>
      </c>
    </row>
    <row r="467" spans="1:7" x14ac:dyDescent="0.25">
      <c r="A467">
        <v>1210</v>
      </c>
      <c r="B467" t="str">
        <f>"2,2',5-trichloorbifenyl"</f>
        <v>2,2',5-trichloorbifenyl</v>
      </c>
      <c r="C467" t="s">
        <v>19016</v>
      </c>
      <c r="D467" t="str">
        <f>"37680-65-2"</f>
        <v>37680-65-2</v>
      </c>
      <c r="E467" t="str">
        <f t="shared" si="25"/>
        <v xml:space="preserve">Organische parameters </v>
      </c>
      <c r="F467" t="str">
        <f t="shared" si="24"/>
        <v xml:space="preserve">Polychloorbifenylen (PCB's) </v>
      </c>
      <c r="G467" t="str">
        <f>""</f>
        <v/>
      </c>
    </row>
    <row r="468" spans="1:7" x14ac:dyDescent="0.25">
      <c r="A468">
        <v>1211</v>
      </c>
      <c r="B468" t="str">
        <f>"2,2',6-trichloorbifenyl"</f>
        <v>2,2',6-trichloorbifenyl</v>
      </c>
      <c r="C468" t="s">
        <v>19016</v>
      </c>
      <c r="D468" t="str">
        <f>"38444-73-4"</f>
        <v>38444-73-4</v>
      </c>
      <c r="E468" t="str">
        <f t="shared" si="25"/>
        <v xml:space="preserve">Organische parameters </v>
      </c>
      <c r="F468" t="str">
        <f t="shared" si="24"/>
        <v xml:space="preserve">Polychloorbifenylen (PCB's) </v>
      </c>
      <c r="G468" t="str">
        <f>""</f>
        <v/>
      </c>
    </row>
    <row r="469" spans="1:7" x14ac:dyDescent="0.25">
      <c r="A469">
        <v>1212</v>
      </c>
      <c r="B469" t="str">
        <f>"2,3,3'-trichloorbifenyl"</f>
        <v>2,3,3'-trichloorbifenyl</v>
      </c>
      <c r="C469" t="s">
        <v>19016</v>
      </c>
      <c r="D469" t="str">
        <f>"38444-84-7"</f>
        <v>38444-84-7</v>
      </c>
      <c r="E469" t="str">
        <f t="shared" si="25"/>
        <v xml:space="preserve">Organische parameters </v>
      </c>
      <c r="F469" t="str">
        <f t="shared" si="24"/>
        <v xml:space="preserve">Polychloorbifenylen (PCB's) </v>
      </c>
      <c r="G469" t="str">
        <f>""</f>
        <v/>
      </c>
    </row>
    <row r="470" spans="1:7" x14ac:dyDescent="0.25">
      <c r="A470">
        <v>1213</v>
      </c>
      <c r="B470" t="str">
        <f>"2,3,4-trichloorbifenyl"</f>
        <v>2,3,4-trichloorbifenyl</v>
      </c>
      <c r="C470" t="s">
        <v>19016</v>
      </c>
      <c r="D470" t="str">
        <f>"55702-46-0"</f>
        <v>55702-46-0</v>
      </c>
      <c r="E470" t="str">
        <f t="shared" si="25"/>
        <v xml:space="preserve">Organische parameters </v>
      </c>
      <c r="F470" t="str">
        <f t="shared" si="24"/>
        <v xml:space="preserve">Polychloorbifenylen (PCB's) </v>
      </c>
      <c r="G470" t="str">
        <f>""</f>
        <v/>
      </c>
    </row>
    <row r="471" spans="1:7" x14ac:dyDescent="0.25">
      <c r="A471">
        <v>1214</v>
      </c>
      <c r="B471" t="str">
        <f>"2,3,4'-trichloorbifenyl"</f>
        <v>2,3,4'-trichloorbifenyl</v>
      </c>
      <c r="C471" t="s">
        <v>19016</v>
      </c>
      <c r="D471" t="str">
        <f>"38444-85-8"</f>
        <v>38444-85-8</v>
      </c>
      <c r="E471" t="str">
        <f t="shared" si="25"/>
        <v xml:space="preserve">Organische parameters </v>
      </c>
      <c r="F471" t="str">
        <f t="shared" si="24"/>
        <v xml:space="preserve">Polychloorbifenylen (PCB's) </v>
      </c>
      <c r="G471" t="str">
        <f>""</f>
        <v/>
      </c>
    </row>
    <row r="472" spans="1:7" x14ac:dyDescent="0.25">
      <c r="A472">
        <v>1215</v>
      </c>
      <c r="B472" t="str">
        <f>"2,3,5-trichloorbifenyl"</f>
        <v>2,3,5-trichloorbifenyl</v>
      </c>
      <c r="C472" t="s">
        <v>19016</v>
      </c>
      <c r="D472" t="str">
        <f>"55720-44-0"</f>
        <v>55720-44-0</v>
      </c>
      <c r="E472" t="str">
        <f t="shared" si="25"/>
        <v xml:space="preserve">Organische parameters </v>
      </c>
      <c r="F472" t="str">
        <f t="shared" si="24"/>
        <v xml:space="preserve">Polychloorbifenylen (PCB's) </v>
      </c>
      <c r="G472" t="str">
        <f>""</f>
        <v/>
      </c>
    </row>
    <row r="473" spans="1:7" x14ac:dyDescent="0.25">
      <c r="A473">
        <v>1216</v>
      </c>
      <c r="B473" t="str">
        <f>"2,3,6-trichloorbifenyl"</f>
        <v>2,3,6-trichloorbifenyl</v>
      </c>
      <c r="C473" t="s">
        <v>19016</v>
      </c>
      <c r="D473" t="str">
        <f>"55702-45-9"</f>
        <v>55702-45-9</v>
      </c>
      <c r="E473" t="str">
        <f t="shared" si="25"/>
        <v xml:space="preserve">Organische parameters </v>
      </c>
      <c r="F473" t="str">
        <f t="shared" si="24"/>
        <v xml:space="preserve">Polychloorbifenylen (PCB's) </v>
      </c>
      <c r="G473" t="str">
        <f>""</f>
        <v/>
      </c>
    </row>
    <row r="474" spans="1:7" x14ac:dyDescent="0.25">
      <c r="A474">
        <v>1217</v>
      </c>
      <c r="B474" t="str">
        <f>"2,3',4-trichloorbifenyl"</f>
        <v>2,3',4-trichloorbifenyl</v>
      </c>
      <c r="C474" t="s">
        <v>19016</v>
      </c>
      <c r="D474" t="str">
        <f>"55712-37-3"</f>
        <v>55712-37-3</v>
      </c>
      <c r="E474" t="str">
        <f t="shared" si="25"/>
        <v xml:space="preserve">Organische parameters </v>
      </c>
      <c r="F474" t="str">
        <f t="shared" si="24"/>
        <v xml:space="preserve">Polychloorbifenylen (PCB's) </v>
      </c>
      <c r="G474" t="str">
        <f>""</f>
        <v/>
      </c>
    </row>
    <row r="475" spans="1:7" x14ac:dyDescent="0.25">
      <c r="A475">
        <v>1218</v>
      </c>
      <c r="B475" t="str">
        <f>"2,3',5-trichloorbifenyl"</f>
        <v>2,3',5-trichloorbifenyl</v>
      </c>
      <c r="C475" t="s">
        <v>19016</v>
      </c>
      <c r="D475" t="str">
        <f>"38444-81-4"</f>
        <v>38444-81-4</v>
      </c>
      <c r="E475" t="str">
        <f t="shared" si="25"/>
        <v xml:space="preserve">Organische parameters </v>
      </c>
      <c r="F475" t="str">
        <f t="shared" si="24"/>
        <v xml:space="preserve">Polychloorbifenylen (PCB's) </v>
      </c>
      <c r="G475" t="str">
        <f>""</f>
        <v/>
      </c>
    </row>
    <row r="476" spans="1:7" x14ac:dyDescent="0.25">
      <c r="A476">
        <v>1219</v>
      </c>
      <c r="B476" t="str">
        <f>"2,3',6-trichloorbifenyl"</f>
        <v>2,3',6-trichloorbifenyl</v>
      </c>
      <c r="C476" t="s">
        <v>19016</v>
      </c>
      <c r="D476" t="str">
        <f>"38444-76-7"</f>
        <v>38444-76-7</v>
      </c>
      <c r="E476" t="str">
        <f t="shared" si="25"/>
        <v xml:space="preserve">Organische parameters </v>
      </c>
      <c r="F476" t="str">
        <f t="shared" si="24"/>
        <v xml:space="preserve">Polychloorbifenylen (PCB's) </v>
      </c>
      <c r="G476" t="str">
        <f>""</f>
        <v/>
      </c>
    </row>
    <row r="477" spans="1:7" x14ac:dyDescent="0.25">
      <c r="A477">
        <v>1220</v>
      </c>
      <c r="B477" t="str">
        <f>"2,4,4'-trichloorbifenyl"</f>
        <v>2,4,4'-trichloorbifenyl</v>
      </c>
      <c r="C477" t="s">
        <v>19016</v>
      </c>
      <c r="D477" t="str">
        <f>"7012-37-5"</f>
        <v>7012-37-5</v>
      </c>
      <c r="E477" t="str">
        <f t="shared" si="25"/>
        <v xml:space="preserve">Organische parameters </v>
      </c>
      <c r="F477" t="str">
        <f t="shared" si="24"/>
        <v xml:space="preserve">Polychloorbifenylen (PCB's) </v>
      </c>
      <c r="G477" t="str">
        <f>""</f>
        <v/>
      </c>
    </row>
    <row r="478" spans="1:7" x14ac:dyDescent="0.25">
      <c r="A478">
        <v>1221</v>
      </c>
      <c r="B478" t="str">
        <f>"2,4,5-trichloorbifenyl"</f>
        <v>2,4,5-trichloorbifenyl</v>
      </c>
      <c r="C478" t="s">
        <v>19016</v>
      </c>
      <c r="D478" t="str">
        <f>"15862-07-4"</f>
        <v>15862-07-4</v>
      </c>
      <c r="E478" t="str">
        <f t="shared" si="25"/>
        <v xml:space="preserve">Organische parameters </v>
      </c>
      <c r="F478" t="str">
        <f t="shared" si="24"/>
        <v xml:space="preserve">Polychloorbifenylen (PCB's) </v>
      </c>
      <c r="G478" t="str">
        <f>""</f>
        <v/>
      </c>
    </row>
    <row r="479" spans="1:7" x14ac:dyDescent="0.25">
      <c r="A479">
        <v>1222</v>
      </c>
      <c r="B479" t="str">
        <f>"2,4,6-trichloorbifenyl"</f>
        <v>2,4,6-trichloorbifenyl</v>
      </c>
      <c r="C479" t="s">
        <v>19016</v>
      </c>
      <c r="D479" t="str">
        <f>"35693-92-6"</f>
        <v>35693-92-6</v>
      </c>
      <c r="E479" t="str">
        <f t="shared" si="25"/>
        <v xml:space="preserve">Organische parameters </v>
      </c>
      <c r="F479" t="str">
        <f t="shared" si="24"/>
        <v xml:space="preserve">Polychloorbifenylen (PCB's) </v>
      </c>
      <c r="G479" t="str">
        <f>""</f>
        <v/>
      </c>
    </row>
    <row r="480" spans="1:7" x14ac:dyDescent="0.25">
      <c r="A480">
        <v>1223</v>
      </c>
      <c r="B480" t="str">
        <f>"2,4',5-trichloorbifenyl"</f>
        <v>2,4',5-trichloorbifenyl</v>
      </c>
      <c r="C480" t="s">
        <v>19016</v>
      </c>
      <c r="D480" t="str">
        <f>"16606-02-3"</f>
        <v>16606-02-3</v>
      </c>
      <c r="E480" t="str">
        <f t="shared" si="25"/>
        <v xml:space="preserve">Organische parameters </v>
      </c>
      <c r="F480" t="str">
        <f t="shared" si="24"/>
        <v xml:space="preserve">Polychloorbifenylen (PCB's) </v>
      </c>
      <c r="G480" t="str">
        <f>""</f>
        <v/>
      </c>
    </row>
    <row r="481" spans="1:7" x14ac:dyDescent="0.25">
      <c r="A481">
        <v>1224</v>
      </c>
      <c r="B481" t="str">
        <f>"2,4',6-trichloorbifenyl"</f>
        <v>2,4',6-trichloorbifenyl</v>
      </c>
      <c r="C481" t="s">
        <v>19016</v>
      </c>
      <c r="D481" t="str">
        <f>"38444-77-8"</f>
        <v>38444-77-8</v>
      </c>
      <c r="E481" t="str">
        <f t="shared" si="25"/>
        <v xml:space="preserve">Organische parameters </v>
      </c>
      <c r="F481" t="str">
        <f t="shared" si="24"/>
        <v xml:space="preserve">Polychloorbifenylen (PCB's) </v>
      </c>
      <c r="G481" t="str">
        <f>""</f>
        <v/>
      </c>
    </row>
    <row r="482" spans="1:7" x14ac:dyDescent="0.25">
      <c r="A482">
        <v>1225</v>
      </c>
      <c r="B482" t="str">
        <f>"2,3',4'-trichloorbifenyl"</f>
        <v>2,3',4'-trichloorbifenyl</v>
      </c>
      <c r="C482" t="s">
        <v>19016</v>
      </c>
      <c r="D482" t="str">
        <f>"38444-86-9"</f>
        <v>38444-86-9</v>
      </c>
      <c r="E482" t="str">
        <f t="shared" si="25"/>
        <v xml:space="preserve">Organische parameters </v>
      </c>
      <c r="F482" t="str">
        <f t="shared" si="24"/>
        <v xml:space="preserve">Polychloorbifenylen (PCB's) </v>
      </c>
      <c r="G482" t="str">
        <f>""</f>
        <v/>
      </c>
    </row>
    <row r="483" spans="1:7" x14ac:dyDescent="0.25">
      <c r="A483">
        <v>1226</v>
      </c>
      <c r="B483" t="str">
        <f>"2,3',5'-trichloorbifenyl"</f>
        <v>2,3',5'-trichloorbifenyl</v>
      </c>
      <c r="C483" t="s">
        <v>19016</v>
      </c>
      <c r="D483" t="str">
        <f>"37680-68-5"</f>
        <v>37680-68-5</v>
      </c>
      <c r="E483" t="str">
        <f t="shared" si="25"/>
        <v xml:space="preserve">Organische parameters </v>
      </c>
      <c r="F483" t="str">
        <f t="shared" si="24"/>
        <v xml:space="preserve">Polychloorbifenylen (PCB's) </v>
      </c>
      <c r="G483" t="str">
        <f>""</f>
        <v/>
      </c>
    </row>
    <row r="484" spans="1:7" x14ac:dyDescent="0.25">
      <c r="A484">
        <v>1227</v>
      </c>
      <c r="B484" t="str">
        <f>"3,3',4-trichloorbifenyl"</f>
        <v>3,3',4-trichloorbifenyl</v>
      </c>
      <c r="C484" t="s">
        <v>19016</v>
      </c>
      <c r="D484" t="str">
        <f>"37680-69-6"</f>
        <v>37680-69-6</v>
      </c>
      <c r="E484" t="str">
        <f t="shared" si="25"/>
        <v xml:space="preserve">Organische parameters </v>
      </c>
      <c r="F484" t="str">
        <f t="shared" si="24"/>
        <v xml:space="preserve">Polychloorbifenylen (PCB's) </v>
      </c>
      <c r="G484" t="str">
        <f>""</f>
        <v/>
      </c>
    </row>
    <row r="485" spans="1:7" x14ac:dyDescent="0.25">
      <c r="A485">
        <v>1228</v>
      </c>
      <c r="B485" t="str">
        <f>"3,3',5-trichloorbifenyl"</f>
        <v>3,3',5-trichloorbifenyl</v>
      </c>
      <c r="C485" t="s">
        <v>19016</v>
      </c>
      <c r="D485" t="str">
        <f>"38444-87-0"</f>
        <v>38444-87-0</v>
      </c>
      <c r="E485" t="str">
        <f t="shared" si="25"/>
        <v xml:space="preserve">Organische parameters </v>
      </c>
      <c r="F485" t="str">
        <f t="shared" si="24"/>
        <v xml:space="preserve">Polychloorbifenylen (PCB's) </v>
      </c>
      <c r="G485" t="str">
        <f>""</f>
        <v/>
      </c>
    </row>
    <row r="486" spans="1:7" x14ac:dyDescent="0.25">
      <c r="A486">
        <v>1229</v>
      </c>
      <c r="B486" t="str">
        <f>"3,4,4'-trichloorbifenyl"</f>
        <v>3,4,4'-trichloorbifenyl</v>
      </c>
      <c r="C486" t="s">
        <v>19016</v>
      </c>
      <c r="D486" t="str">
        <f>"38444-90-5"</f>
        <v>38444-90-5</v>
      </c>
      <c r="E486" t="str">
        <f t="shared" si="25"/>
        <v xml:space="preserve">Organische parameters </v>
      </c>
      <c r="F486" t="str">
        <f t="shared" si="24"/>
        <v xml:space="preserve">Polychloorbifenylen (PCB's) </v>
      </c>
      <c r="G486" t="str">
        <f>""</f>
        <v/>
      </c>
    </row>
    <row r="487" spans="1:7" x14ac:dyDescent="0.25">
      <c r="A487">
        <v>1230</v>
      </c>
      <c r="B487" t="str">
        <f>"3,4,5-trichloorbifenyl"</f>
        <v>3,4,5-trichloorbifenyl</v>
      </c>
      <c r="C487" t="s">
        <v>19016</v>
      </c>
      <c r="D487" t="str">
        <f>"53555-66-1"</f>
        <v>53555-66-1</v>
      </c>
      <c r="E487" t="str">
        <f t="shared" si="25"/>
        <v xml:space="preserve">Organische parameters </v>
      </c>
      <c r="F487" t="str">
        <f t="shared" si="24"/>
        <v xml:space="preserve">Polychloorbifenylen (PCB's) </v>
      </c>
      <c r="G487" t="str">
        <f>""</f>
        <v/>
      </c>
    </row>
    <row r="488" spans="1:7" x14ac:dyDescent="0.25">
      <c r="A488">
        <v>1231</v>
      </c>
      <c r="B488" t="str">
        <f>"3,4',5-trichloorbifenyl"</f>
        <v>3,4',5-trichloorbifenyl</v>
      </c>
      <c r="C488" t="s">
        <v>19016</v>
      </c>
      <c r="D488" t="str">
        <f>"38444-88-1"</f>
        <v>38444-88-1</v>
      </c>
      <c r="E488" t="str">
        <f t="shared" si="25"/>
        <v xml:space="preserve">Organische parameters </v>
      </c>
      <c r="F488" t="str">
        <f t="shared" si="24"/>
        <v xml:space="preserve">Polychloorbifenylen (PCB's) </v>
      </c>
      <c r="G488" t="str">
        <f>""</f>
        <v/>
      </c>
    </row>
    <row r="489" spans="1:7" x14ac:dyDescent="0.25">
      <c r="A489">
        <v>1232</v>
      </c>
      <c r="B489" t="str">
        <f>"2,2',3,3'-tetrachloorbifenyl"</f>
        <v>2,2',3,3'-tetrachloorbifenyl</v>
      </c>
      <c r="C489" t="s">
        <v>19016</v>
      </c>
      <c r="D489" t="str">
        <f>"38444-93-8"</f>
        <v>38444-93-8</v>
      </c>
      <c r="E489" t="str">
        <f t="shared" si="25"/>
        <v xml:space="preserve">Organische parameters </v>
      </c>
      <c r="F489" t="str">
        <f t="shared" si="24"/>
        <v xml:space="preserve">Polychloorbifenylen (PCB's) </v>
      </c>
      <c r="G489" t="str">
        <f>""</f>
        <v/>
      </c>
    </row>
    <row r="490" spans="1:7" x14ac:dyDescent="0.25">
      <c r="A490">
        <v>1233</v>
      </c>
      <c r="B490" t="str">
        <f>"2,2',3,4-tetrachloorbifenyl"</f>
        <v>2,2',3,4-tetrachloorbifenyl</v>
      </c>
      <c r="C490" t="s">
        <v>19016</v>
      </c>
      <c r="D490" t="str">
        <f>"52663-59-9"</f>
        <v>52663-59-9</v>
      </c>
      <c r="E490" t="str">
        <f t="shared" si="25"/>
        <v xml:space="preserve">Organische parameters </v>
      </c>
      <c r="F490" t="str">
        <f t="shared" si="24"/>
        <v xml:space="preserve">Polychloorbifenylen (PCB's) </v>
      </c>
      <c r="G490" t="str">
        <f>""</f>
        <v/>
      </c>
    </row>
    <row r="491" spans="1:7" x14ac:dyDescent="0.25">
      <c r="A491">
        <v>1234</v>
      </c>
      <c r="B491" t="str">
        <f>"2,2',3,4'-tetrachloorbifenyl"</f>
        <v>2,2',3,4'-tetrachloorbifenyl</v>
      </c>
      <c r="C491" t="s">
        <v>19016</v>
      </c>
      <c r="D491" t="str">
        <f>"36559-22-5"</f>
        <v>36559-22-5</v>
      </c>
      <c r="E491" t="str">
        <f t="shared" si="25"/>
        <v xml:space="preserve">Organische parameters </v>
      </c>
      <c r="F491" t="str">
        <f t="shared" si="24"/>
        <v xml:space="preserve">Polychloorbifenylen (PCB's) </v>
      </c>
      <c r="G491" t="str">
        <f>""</f>
        <v/>
      </c>
    </row>
    <row r="492" spans="1:7" x14ac:dyDescent="0.25">
      <c r="A492">
        <v>1235</v>
      </c>
      <c r="B492" t="str">
        <f>"2,2',3,5-tetrachloorbifenyl"</f>
        <v>2,2',3,5-tetrachloorbifenyl</v>
      </c>
      <c r="C492" t="s">
        <v>19016</v>
      </c>
      <c r="D492" t="str">
        <f>"70362-46-8"</f>
        <v>70362-46-8</v>
      </c>
      <c r="E492" t="str">
        <f t="shared" si="25"/>
        <v xml:space="preserve">Organische parameters </v>
      </c>
      <c r="F492" t="str">
        <f t="shared" si="24"/>
        <v xml:space="preserve">Polychloorbifenylen (PCB's) </v>
      </c>
      <c r="G492" t="str">
        <f>""</f>
        <v/>
      </c>
    </row>
    <row r="493" spans="1:7" x14ac:dyDescent="0.25">
      <c r="A493">
        <v>1236</v>
      </c>
      <c r="B493" t="str">
        <f>"2,2',3,5'-tetrachloorbifenyl"</f>
        <v>2,2',3,5'-tetrachloorbifenyl</v>
      </c>
      <c r="C493" t="s">
        <v>19016</v>
      </c>
      <c r="D493" t="str">
        <f>"41464-39-5"</f>
        <v>41464-39-5</v>
      </c>
      <c r="E493" t="str">
        <f t="shared" si="25"/>
        <v xml:space="preserve">Organische parameters </v>
      </c>
      <c r="F493" t="str">
        <f t="shared" si="24"/>
        <v xml:space="preserve">Polychloorbifenylen (PCB's) </v>
      </c>
      <c r="G493" t="str">
        <f>""</f>
        <v/>
      </c>
    </row>
    <row r="494" spans="1:7" x14ac:dyDescent="0.25">
      <c r="A494">
        <v>1237</v>
      </c>
      <c r="B494" t="str">
        <f>"2,2',3,6-tetrachloorbifenyl"</f>
        <v>2,2',3,6-tetrachloorbifenyl</v>
      </c>
      <c r="C494" t="s">
        <v>19016</v>
      </c>
      <c r="D494" t="str">
        <f>"70362-45-7"</f>
        <v>70362-45-7</v>
      </c>
      <c r="E494" t="str">
        <f t="shared" si="25"/>
        <v xml:space="preserve">Organische parameters </v>
      </c>
      <c r="F494" t="str">
        <f t="shared" si="24"/>
        <v xml:space="preserve">Polychloorbifenylen (PCB's) </v>
      </c>
      <c r="G494" t="str">
        <f>""</f>
        <v/>
      </c>
    </row>
    <row r="495" spans="1:7" x14ac:dyDescent="0.25">
      <c r="A495">
        <v>1238</v>
      </c>
      <c r="B495" t="str">
        <f>"2,2',3,6'-tetrachloorbifenyl"</f>
        <v>2,2',3,6'-tetrachloorbifenyl</v>
      </c>
      <c r="C495" t="s">
        <v>19016</v>
      </c>
      <c r="D495" t="str">
        <f>"41464-47-5"</f>
        <v>41464-47-5</v>
      </c>
      <c r="E495" t="str">
        <f t="shared" si="25"/>
        <v xml:space="preserve">Organische parameters </v>
      </c>
      <c r="F495" t="str">
        <f t="shared" si="24"/>
        <v xml:space="preserve">Polychloorbifenylen (PCB's) </v>
      </c>
      <c r="G495" t="str">
        <f>""</f>
        <v/>
      </c>
    </row>
    <row r="496" spans="1:7" x14ac:dyDescent="0.25">
      <c r="A496">
        <v>1239</v>
      </c>
      <c r="B496" t="str">
        <f>"2,2',4,4'-tetrachloorbifenyl"</f>
        <v>2,2',4,4'-tetrachloorbifenyl</v>
      </c>
      <c r="C496" t="s">
        <v>19016</v>
      </c>
      <c r="D496" t="str">
        <f>"2437-79-8"</f>
        <v>2437-79-8</v>
      </c>
      <c r="E496" t="str">
        <f t="shared" si="25"/>
        <v xml:space="preserve">Organische parameters </v>
      </c>
      <c r="F496" t="str">
        <f t="shared" si="24"/>
        <v xml:space="preserve">Polychloorbifenylen (PCB's) </v>
      </c>
      <c r="G496" t="str">
        <f>""</f>
        <v/>
      </c>
    </row>
    <row r="497" spans="1:7" x14ac:dyDescent="0.25">
      <c r="A497">
        <v>1240</v>
      </c>
      <c r="B497" t="str">
        <f>"2,2',4,5-tetrachloorbifenyl"</f>
        <v>2,2',4,5-tetrachloorbifenyl</v>
      </c>
      <c r="C497" t="s">
        <v>19016</v>
      </c>
      <c r="D497" t="str">
        <f>"70362-47-9"</f>
        <v>70362-47-9</v>
      </c>
      <c r="E497" t="str">
        <f t="shared" si="25"/>
        <v xml:space="preserve">Organische parameters </v>
      </c>
      <c r="F497" t="str">
        <f t="shared" si="24"/>
        <v xml:space="preserve">Polychloorbifenylen (PCB's) </v>
      </c>
      <c r="G497" t="str">
        <f>""</f>
        <v/>
      </c>
    </row>
    <row r="498" spans="1:7" x14ac:dyDescent="0.25">
      <c r="A498">
        <v>1241</v>
      </c>
      <c r="B498" t="str">
        <f>"2,2',4,5'-tetrachloorbifenyl"</f>
        <v>2,2',4,5'-tetrachloorbifenyl</v>
      </c>
      <c r="C498" t="s">
        <v>19016</v>
      </c>
      <c r="D498" t="str">
        <f>"41464-40-8"</f>
        <v>41464-40-8</v>
      </c>
      <c r="E498" t="str">
        <f t="shared" si="25"/>
        <v xml:space="preserve">Organische parameters </v>
      </c>
      <c r="F498" t="str">
        <f t="shared" si="24"/>
        <v xml:space="preserve">Polychloorbifenylen (PCB's) </v>
      </c>
      <c r="G498" t="str">
        <f>""</f>
        <v/>
      </c>
    </row>
    <row r="499" spans="1:7" x14ac:dyDescent="0.25">
      <c r="A499">
        <v>1242</v>
      </c>
      <c r="B499" t="str">
        <f>"2,2',4,6-tetrachloorbifenyl"</f>
        <v>2,2',4,6-tetrachloorbifenyl</v>
      </c>
      <c r="C499" t="s">
        <v>19016</v>
      </c>
      <c r="D499" t="str">
        <f>"62796-65-0"</f>
        <v>62796-65-0</v>
      </c>
      <c r="E499" t="str">
        <f t="shared" si="25"/>
        <v xml:space="preserve">Organische parameters </v>
      </c>
      <c r="F499" t="str">
        <f t="shared" si="24"/>
        <v xml:space="preserve">Polychloorbifenylen (PCB's) </v>
      </c>
      <c r="G499" t="str">
        <f>""</f>
        <v/>
      </c>
    </row>
    <row r="500" spans="1:7" x14ac:dyDescent="0.25">
      <c r="A500">
        <v>1243</v>
      </c>
      <c r="B500" t="str">
        <f>"2,2',4,6'-tetrachloorbifenyl"</f>
        <v>2,2',4,6'-tetrachloorbifenyl</v>
      </c>
      <c r="C500" t="s">
        <v>19016</v>
      </c>
      <c r="D500" t="str">
        <f>"68194-04-7"</f>
        <v>68194-04-7</v>
      </c>
      <c r="E500" t="str">
        <f t="shared" si="25"/>
        <v xml:space="preserve">Organische parameters </v>
      </c>
      <c r="F500" t="str">
        <f t="shared" si="24"/>
        <v xml:space="preserve">Polychloorbifenylen (PCB's) </v>
      </c>
      <c r="G500" t="str">
        <f>""</f>
        <v/>
      </c>
    </row>
    <row r="501" spans="1:7" x14ac:dyDescent="0.25">
      <c r="A501">
        <v>1244</v>
      </c>
      <c r="B501" t="str">
        <f>"2,2',5,5'-tetrachloorbifenyl"</f>
        <v>2,2',5,5'-tetrachloorbifenyl</v>
      </c>
      <c r="C501" t="s">
        <v>19016</v>
      </c>
      <c r="D501" t="str">
        <f>"35693-99-3"</f>
        <v>35693-99-3</v>
      </c>
      <c r="E501" t="str">
        <f t="shared" si="25"/>
        <v xml:space="preserve">Organische parameters </v>
      </c>
      <c r="F501" t="str">
        <f t="shared" si="24"/>
        <v xml:space="preserve">Polychloorbifenylen (PCB's) </v>
      </c>
      <c r="G501" t="str">
        <f>""</f>
        <v/>
      </c>
    </row>
    <row r="502" spans="1:7" x14ac:dyDescent="0.25">
      <c r="A502">
        <v>1245</v>
      </c>
      <c r="B502" t="str">
        <f>"2,2',5,6'-tetrachloorbifenyl"</f>
        <v>2,2',5,6'-tetrachloorbifenyl</v>
      </c>
      <c r="C502" t="s">
        <v>19016</v>
      </c>
      <c r="D502" t="str">
        <f>"41464-41-9"</f>
        <v>41464-41-9</v>
      </c>
      <c r="E502" t="str">
        <f t="shared" si="25"/>
        <v xml:space="preserve">Organische parameters </v>
      </c>
      <c r="F502" t="str">
        <f t="shared" si="24"/>
        <v xml:space="preserve">Polychloorbifenylen (PCB's) </v>
      </c>
      <c r="G502" t="str">
        <f>""</f>
        <v/>
      </c>
    </row>
    <row r="503" spans="1:7" x14ac:dyDescent="0.25">
      <c r="A503">
        <v>1246</v>
      </c>
      <c r="B503" t="str">
        <f>"2,2',6,6'-tetrachloorbifenyl"</f>
        <v>2,2',6,6'-tetrachloorbifenyl</v>
      </c>
      <c r="C503" t="s">
        <v>19016</v>
      </c>
      <c r="D503" t="str">
        <f>"15968-05-5"</f>
        <v>15968-05-5</v>
      </c>
      <c r="E503" t="str">
        <f t="shared" si="25"/>
        <v xml:space="preserve">Organische parameters </v>
      </c>
      <c r="F503" t="str">
        <f t="shared" si="24"/>
        <v xml:space="preserve">Polychloorbifenylen (PCB's) </v>
      </c>
      <c r="G503" t="str">
        <f>""</f>
        <v/>
      </c>
    </row>
    <row r="504" spans="1:7" x14ac:dyDescent="0.25">
      <c r="A504">
        <v>1247</v>
      </c>
      <c r="B504" t="str">
        <f>"2,3,3',4-tetrachloorbifenyl"</f>
        <v>2,3,3',4-tetrachloorbifenyl</v>
      </c>
      <c r="C504" t="s">
        <v>19016</v>
      </c>
      <c r="D504" t="str">
        <f>"74338-24-2"</f>
        <v>74338-24-2</v>
      </c>
      <c r="E504" t="str">
        <f t="shared" si="25"/>
        <v xml:space="preserve">Organische parameters </v>
      </c>
      <c r="F504" t="str">
        <f t="shared" si="24"/>
        <v xml:space="preserve">Polychloorbifenylen (PCB's) </v>
      </c>
      <c r="G504" t="str">
        <f>""</f>
        <v/>
      </c>
    </row>
    <row r="505" spans="1:7" x14ac:dyDescent="0.25">
      <c r="A505">
        <v>1248</v>
      </c>
      <c r="B505" t="str">
        <f>"2,3,3',4'-tetrachloorbifenyl"</f>
        <v>2,3,3',4'-tetrachloorbifenyl</v>
      </c>
      <c r="C505" t="s">
        <v>19016</v>
      </c>
      <c r="D505" t="str">
        <f>"41464-43-1"</f>
        <v>41464-43-1</v>
      </c>
      <c r="E505" t="str">
        <f t="shared" si="25"/>
        <v xml:space="preserve">Organische parameters </v>
      </c>
      <c r="F505" t="str">
        <f t="shared" si="24"/>
        <v xml:space="preserve">Polychloorbifenylen (PCB's) </v>
      </c>
      <c r="G505" t="str">
        <f>""</f>
        <v/>
      </c>
    </row>
    <row r="506" spans="1:7" x14ac:dyDescent="0.25">
      <c r="A506">
        <v>1249</v>
      </c>
      <c r="B506" t="str">
        <f>"2,3,3',5-tetrachloorbifenyl"</f>
        <v>2,3,3',5-tetrachloorbifenyl</v>
      </c>
      <c r="C506" t="s">
        <v>19016</v>
      </c>
      <c r="D506" t="str">
        <f>"70424-67-8"</f>
        <v>70424-67-8</v>
      </c>
      <c r="E506" t="str">
        <f t="shared" si="25"/>
        <v xml:space="preserve">Organische parameters </v>
      </c>
      <c r="F506" t="str">
        <f t="shared" si="24"/>
        <v xml:space="preserve">Polychloorbifenylen (PCB's) </v>
      </c>
      <c r="G506" t="str">
        <f>""</f>
        <v/>
      </c>
    </row>
    <row r="507" spans="1:7" x14ac:dyDescent="0.25">
      <c r="A507">
        <v>1250</v>
      </c>
      <c r="B507" t="str">
        <f>"2,3,3',5'-tetrachloorbifenyl"</f>
        <v>2,3,3',5'-tetrachloorbifenyl</v>
      </c>
      <c r="C507" t="s">
        <v>19016</v>
      </c>
      <c r="D507" t="str">
        <f>"41464-49-7"</f>
        <v>41464-49-7</v>
      </c>
      <c r="E507" t="str">
        <f t="shared" si="25"/>
        <v xml:space="preserve">Organische parameters </v>
      </c>
      <c r="F507" t="str">
        <f t="shared" si="24"/>
        <v xml:space="preserve">Polychloorbifenylen (PCB's) </v>
      </c>
      <c r="G507" t="str">
        <f>""</f>
        <v/>
      </c>
    </row>
    <row r="508" spans="1:7" x14ac:dyDescent="0.25">
      <c r="A508">
        <v>1251</v>
      </c>
      <c r="B508" t="str">
        <f>"2,3,3',6-tetrachloorbifenyl"</f>
        <v>2,3,3',6-tetrachloorbifenyl</v>
      </c>
      <c r="C508" t="s">
        <v>19016</v>
      </c>
      <c r="D508" t="str">
        <f>"74472-33-6"</f>
        <v>74472-33-6</v>
      </c>
      <c r="E508" t="str">
        <f t="shared" si="25"/>
        <v xml:space="preserve">Organische parameters </v>
      </c>
      <c r="F508" t="str">
        <f t="shared" si="24"/>
        <v xml:space="preserve">Polychloorbifenylen (PCB's) </v>
      </c>
      <c r="G508" t="str">
        <f>""</f>
        <v/>
      </c>
    </row>
    <row r="509" spans="1:7" x14ac:dyDescent="0.25">
      <c r="A509">
        <v>1252</v>
      </c>
      <c r="B509" t="str">
        <f>"2,3,4,4'-tetrachloorbifenyl"</f>
        <v>2,3,4,4'-tetrachloorbifenyl</v>
      </c>
      <c r="C509" t="s">
        <v>19016</v>
      </c>
      <c r="D509" t="str">
        <f>"33025-41-1"</f>
        <v>33025-41-1</v>
      </c>
      <c r="E509" t="str">
        <f t="shared" si="25"/>
        <v xml:space="preserve">Organische parameters </v>
      </c>
      <c r="F509" t="str">
        <f t="shared" si="24"/>
        <v xml:space="preserve">Polychloorbifenylen (PCB's) </v>
      </c>
      <c r="G509" t="str">
        <f>""</f>
        <v/>
      </c>
    </row>
    <row r="510" spans="1:7" x14ac:dyDescent="0.25">
      <c r="A510">
        <v>1253</v>
      </c>
      <c r="B510" t="str">
        <f>"2,3,4,5-tetrachloorbifenyl"</f>
        <v>2,3,4,5-tetrachloorbifenyl</v>
      </c>
      <c r="C510" t="s">
        <v>19016</v>
      </c>
      <c r="D510" t="str">
        <f>"33284-53-6"</f>
        <v>33284-53-6</v>
      </c>
      <c r="E510" t="str">
        <f t="shared" si="25"/>
        <v xml:space="preserve">Organische parameters </v>
      </c>
      <c r="F510" t="str">
        <f t="shared" si="24"/>
        <v xml:space="preserve">Polychloorbifenylen (PCB's) </v>
      </c>
      <c r="G510" t="str">
        <f>""</f>
        <v/>
      </c>
    </row>
    <row r="511" spans="1:7" x14ac:dyDescent="0.25">
      <c r="A511">
        <v>1254</v>
      </c>
      <c r="B511" t="str">
        <f>"2,3,4,6-tetrachloorbifenyl"</f>
        <v>2,3,4,6-tetrachloorbifenyl</v>
      </c>
      <c r="C511" t="s">
        <v>19016</v>
      </c>
      <c r="D511" t="str">
        <f>"54230-22-7"</f>
        <v>54230-22-7</v>
      </c>
      <c r="E511" t="str">
        <f t="shared" si="25"/>
        <v xml:space="preserve">Organische parameters </v>
      </c>
      <c r="F511" t="str">
        <f t="shared" si="24"/>
        <v xml:space="preserve">Polychloorbifenylen (PCB's) </v>
      </c>
      <c r="G511" t="str">
        <f>""</f>
        <v/>
      </c>
    </row>
    <row r="512" spans="1:7" x14ac:dyDescent="0.25">
      <c r="A512">
        <v>1255</v>
      </c>
      <c r="B512" t="str">
        <f>"2,3,4',5-tetrachloorbifenyl"</f>
        <v>2,3,4',5-tetrachloorbifenyl</v>
      </c>
      <c r="C512" t="s">
        <v>19016</v>
      </c>
      <c r="D512" t="str">
        <f>"74472-34-7"</f>
        <v>74472-34-7</v>
      </c>
      <c r="E512" t="str">
        <f t="shared" si="25"/>
        <v xml:space="preserve">Organische parameters </v>
      </c>
      <c r="F512" t="str">
        <f t="shared" ref="F512:F575" si="26">"Polychloorbifenylen (PCB's) "</f>
        <v xml:space="preserve">Polychloorbifenylen (PCB's) </v>
      </c>
      <c r="G512" t="str">
        <f>""</f>
        <v/>
      </c>
    </row>
    <row r="513" spans="1:7" x14ac:dyDescent="0.25">
      <c r="A513">
        <v>1256</v>
      </c>
      <c r="B513" t="str">
        <f>"2,3,4',6-tetrachloorbifenyl"</f>
        <v>2,3,4',6-tetrachloorbifenyl</v>
      </c>
      <c r="C513" t="s">
        <v>19016</v>
      </c>
      <c r="D513" t="str">
        <f>"52663-58-8"</f>
        <v>52663-58-8</v>
      </c>
      <c r="E513" t="str">
        <f t="shared" si="25"/>
        <v xml:space="preserve">Organische parameters </v>
      </c>
      <c r="F513" t="str">
        <f t="shared" si="26"/>
        <v xml:space="preserve">Polychloorbifenylen (PCB's) </v>
      </c>
      <c r="G513" t="str">
        <f>""</f>
        <v/>
      </c>
    </row>
    <row r="514" spans="1:7" x14ac:dyDescent="0.25">
      <c r="A514">
        <v>1257</v>
      </c>
      <c r="B514" t="str">
        <f>"2,3,5,6-tetrachloorbifenyl"</f>
        <v>2,3,5,6-tetrachloorbifenyl</v>
      </c>
      <c r="C514" t="s">
        <v>19016</v>
      </c>
      <c r="D514" t="str">
        <f>"33284-54-7"</f>
        <v>33284-54-7</v>
      </c>
      <c r="E514" t="str">
        <f t="shared" si="25"/>
        <v xml:space="preserve">Organische parameters </v>
      </c>
      <c r="F514" t="str">
        <f t="shared" si="26"/>
        <v xml:space="preserve">Polychloorbifenylen (PCB's) </v>
      </c>
      <c r="G514" t="str">
        <f>""</f>
        <v/>
      </c>
    </row>
    <row r="515" spans="1:7" x14ac:dyDescent="0.25">
      <c r="A515">
        <v>1258</v>
      </c>
      <c r="B515" t="str">
        <f>"2,3',4,4'-tetrachloorbifenyl"</f>
        <v>2,3',4,4'-tetrachloorbifenyl</v>
      </c>
      <c r="C515" t="s">
        <v>19016</v>
      </c>
      <c r="D515" t="str">
        <f>"32598-10-0"</f>
        <v>32598-10-0</v>
      </c>
      <c r="E515" t="str">
        <f t="shared" si="25"/>
        <v xml:space="preserve">Organische parameters </v>
      </c>
      <c r="F515" t="str">
        <f t="shared" si="26"/>
        <v xml:space="preserve">Polychloorbifenylen (PCB's) </v>
      </c>
      <c r="G515" t="str">
        <f>""</f>
        <v/>
      </c>
    </row>
    <row r="516" spans="1:7" x14ac:dyDescent="0.25">
      <c r="A516">
        <v>1259</v>
      </c>
      <c r="B516" t="str">
        <f>"2,3',4,5-tetrachloorbifenyl"</f>
        <v>2,3',4,5-tetrachloorbifenyl</v>
      </c>
      <c r="C516" t="s">
        <v>19016</v>
      </c>
      <c r="D516" t="str">
        <f>"73575-53-8"</f>
        <v>73575-53-8</v>
      </c>
      <c r="E516" t="str">
        <f t="shared" si="25"/>
        <v xml:space="preserve">Organische parameters </v>
      </c>
      <c r="F516" t="str">
        <f t="shared" si="26"/>
        <v xml:space="preserve">Polychloorbifenylen (PCB's) </v>
      </c>
      <c r="G516" t="str">
        <f>""</f>
        <v/>
      </c>
    </row>
    <row r="517" spans="1:7" x14ac:dyDescent="0.25">
      <c r="A517">
        <v>1260</v>
      </c>
      <c r="B517" t="str">
        <f>"2,3',4,5'-tetrachloorbifenyl"</f>
        <v>2,3',4,5'-tetrachloorbifenyl</v>
      </c>
      <c r="C517" t="s">
        <v>19016</v>
      </c>
      <c r="D517" t="str">
        <f>"73575-52-7"</f>
        <v>73575-52-7</v>
      </c>
      <c r="E517" t="str">
        <f t="shared" si="25"/>
        <v xml:space="preserve">Organische parameters </v>
      </c>
      <c r="F517" t="str">
        <f t="shared" si="26"/>
        <v xml:space="preserve">Polychloorbifenylen (PCB's) </v>
      </c>
      <c r="G517" t="str">
        <f>""</f>
        <v/>
      </c>
    </row>
    <row r="518" spans="1:7" x14ac:dyDescent="0.25">
      <c r="A518">
        <v>1261</v>
      </c>
      <c r="B518" t="str">
        <f>"2,3',4,6-tetrachloorbifenyl"</f>
        <v>2,3',4,6-tetrachloorbifenyl</v>
      </c>
      <c r="C518" t="s">
        <v>19016</v>
      </c>
      <c r="D518" t="str">
        <f>"60233-24-1"</f>
        <v>60233-24-1</v>
      </c>
      <c r="E518" t="str">
        <f t="shared" si="25"/>
        <v xml:space="preserve">Organische parameters </v>
      </c>
      <c r="F518" t="str">
        <f t="shared" si="26"/>
        <v xml:space="preserve">Polychloorbifenylen (PCB's) </v>
      </c>
      <c r="G518" t="str">
        <f>""</f>
        <v/>
      </c>
    </row>
    <row r="519" spans="1:7" x14ac:dyDescent="0.25">
      <c r="A519">
        <v>1262</v>
      </c>
      <c r="B519" t="str">
        <f>"2,3',4',5-tetrachloorbifenyl"</f>
        <v>2,3',4',5-tetrachloorbifenyl</v>
      </c>
      <c r="C519" t="s">
        <v>19016</v>
      </c>
      <c r="D519" t="str">
        <f>"32598-11-1"</f>
        <v>32598-11-1</v>
      </c>
      <c r="E519" t="str">
        <f t="shared" si="25"/>
        <v xml:space="preserve">Organische parameters </v>
      </c>
      <c r="F519" t="str">
        <f t="shared" si="26"/>
        <v xml:space="preserve">Polychloorbifenylen (PCB's) </v>
      </c>
      <c r="G519" t="str">
        <f>""</f>
        <v/>
      </c>
    </row>
    <row r="520" spans="1:7" x14ac:dyDescent="0.25">
      <c r="A520">
        <v>1263</v>
      </c>
      <c r="B520" t="str">
        <f>"2,3',4',6-tetrachloorbifenyl"</f>
        <v>2,3',4',6-tetrachloorbifenyl</v>
      </c>
      <c r="C520" t="s">
        <v>19016</v>
      </c>
      <c r="D520" t="str">
        <f>"41464-46-4"</f>
        <v>41464-46-4</v>
      </c>
      <c r="E520" t="str">
        <f t="shared" si="25"/>
        <v xml:space="preserve">Organische parameters </v>
      </c>
      <c r="F520" t="str">
        <f t="shared" si="26"/>
        <v xml:space="preserve">Polychloorbifenylen (PCB's) </v>
      </c>
      <c r="G520" t="str">
        <f>""</f>
        <v/>
      </c>
    </row>
    <row r="521" spans="1:7" x14ac:dyDescent="0.25">
      <c r="A521">
        <v>1264</v>
      </c>
      <c r="B521" t="str">
        <f>"2,3',5,5'-tetrachloorbifenyl"</f>
        <v>2,3',5,5'-tetrachloorbifenyl</v>
      </c>
      <c r="C521" t="s">
        <v>19016</v>
      </c>
      <c r="D521" t="str">
        <f>"41464-42-0"</f>
        <v>41464-42-0</v>
      </c>
      <c r="E521" t="str">
        <f t="shared" si="25"/>
        <v xml:space="preserve">Organische parameters </v>
      </c>
      <c r="F521" t="str">
        <f t="shared" si="26"/>
        <v xml:space="preserve">Polychloorbifenylen (PCB's) </v>
      </c>
      <c r="G521" t="str">
        <f>""</f>
        <v/>
      </c>
    </row>
    <row r="522" spans="1:7" x14ac:dyDescent="0.25">
      <c r="A522">
        <v>1265</v>
      </c>
      <c r="B522" t="str">
        <f>"2,3',5',6-tetrachloorbifenyl"</f>
        <v>2,3',5',6-tetrachloorbifenyl</v>
      </c>
      <c r="C522" t="s">
        <v>19016</v>
      </c>
      <c r="D522" t="str">
        <f>"74338-23-1"</f>
        <v>74338-23-1</v>
      </c>
      <c r="E522" t="str">
        <f t="shared" si="25"/>
        <v xml:space="preserve">Organische parameters </v>
      </c>
      <c r="F522" t="str">
        <f t="shared" si="26"/>
        <v xml:space="preserve">Polychloorbifenylen (PCB's) </v>
      </c>
      <c r="G522" t="str">
        <f>""</f>
        <v/>
      </c>
    </row>
    <row r="523" spans="1:7" x14ac:dyDescent="0.25">
      <c r="A523">
        <v>1266</v>
      </c>
      <c r="B523" t="str">
        <f>"2,4,4',5-tetrachloorbifenyl"</f>
        <v>2,4,4',5-tetrachloorbifenyl</v>
      </c>
      <c r="C523" t="s">
        <v>19016</v>
      </c>
      <c r="D523" t="str">
        <f>"32690-93-0"</f>
        <v>32690-93-0</v>
      </c>
      <c r="E523" t="str">
        <f t="shared" si="25"/>
        <v xml:space="preserve">Organische parameters </v>
      </c>
      <c r="F523" t="str">
        <f t="shared" si="26"/>
        <v xml:space="preserve">Polychloorbifenylen (PCB's) </v>
      </c>
      <c r="G523" t="str">
        <f>""</f>
        <v/>
      </c>
    </row>
    <row r="524" spans="1:7" x14ac:dyDescent="0.25">
      <c r="A524">
        <v>1267</v>
      </c>
      <c r="B524" t="str">
        <f>"2,4,4',6-tetrachloorbifenyl"</f>
        <v>2,4,4',6-tetrachloorbifenyl</v>
      </c>
      <c r="C524" t="s">
        <v>19016</v>
      </c>
      <c r="D524" t="str">
        <f>"32598-12-2"</f>
        <v>32598-12-2</v>
      </c>
      <c r="E524" t="str">
        <f t="shared" si="25"/>
        <v xml:space="preserve">Organische parameters </v>
      </c>
      <c r="F524" t="str">
        <f t="shared" si="26"/>
        <v xml:space="preserve">Polychloorbifenylen (PCB's) </v>
      </c>
      <c r="G524" t="str">
        <f>""</f>
        <v/>
      </c>
    </row>
    <row r="525" spans="1:7" x14ac:dyDescent="0.25">
      <c r="A525">
        <v>1268</v>
      </c>
      <c r="B525" t="str">
        <f>"2,3',4',5'-tetrachloorbifenyl"</f>
        <v>2,3',4',5'-tetrachloorbifenyl</v>
      </c>
      <c r="C525" t="s">
        <v>19016</v>
      </c>
      <c r="D525" t="str">
        <f>"70362-48-0"</f>
        <v>70362-48-0</v>
      </c>
      <c r="E525" t="str">
        <f t="shared" ref="E525:E588" si="27">"Organische parameters "</f>
        <v xml:space="preserve">Organische parameters </v>
      </c>
      <c r="F525" t="str">
        <f t="shared" si="26"/>
        <v xml:space="preserve">Polychloorbifenylen (PCB's) </v>
      </c>
      <c r="G525" t="str">
        <f>""</f>
        <v/>
      </c>
    </row>
    <row r="526" spans="1:7" x14ac:dyDescent="0.25">
      <c r="A526">
        <v>1269</v>
      </c>
      <c r="B526" t="str">
        <f>"3,3',4,4'-tetrachloorbifenyl"</f>
        <v>3,3',4,4'-tetrachloorbifenyl</v>
      </c>
      <c r="C526" t="s">
        <v>19016</v>
      </c>
      <c r="D526" t="str">
        <f>"32598-13-3"</f>
        <v>32598-13-3</v>
      </c>
      <c r="E526" t="str">
        <f t="shared" si="27"/>
        <v xml:space="preserve">Organische parameters </v>
      </c>
      <c r="F526" t="str">
        <f t="shared" si="26"/>
        <v xml:space="preserve">Polychloorbifenylen (PCB's) </v>
      </c>
      <c r="G526" t="str">
        <f>""</f>
        <v/>
      </c>
    </row>
    <row r="527" spans="1:7" x14ac:dyDescent="0.25">
      <c r="A527">
        <v>1270</v>
      </c>
      <c r="B527" t="str">
        <f>"3,3',4,5-tetrachloorbifenyl"</f>
        <v>3,3',4,5-tetrachloorbifenyl</v>
      </c>
      <c r="C527" t="s">
        <v>19016</v>
      </c>
      <c r="D527" t="str">
        <f>"70362-49-1"</f>
        <v>70362-49-1</v>
      </c>
      <c r="E527" t="str">
        <f t="shared" si="27"/>
        <v xml:space="preserve">Organische parameters </v>
      </c>
      <c r="F527" t="str">
        <f t="shared" si="26"/>
        <v xml:space="preserve">Polychloorbifenylen (PCB's) </v>
      </c>
      <c r="G527" t="str">
        <f>""</f>
        <v/>
      </c>
    </row>
    <row r="528" spans="1:7" x14ac:dyDescent="0.25">
      <c r="A528">
        <v>1271</v>
      </c>
      <c r="B528" t="str">
        <f>"3,3',4,5'-tetrachloorbifenyl"</f>
        <v>3,3',4,5'-tetrachloorbifenyl</v>
      </c>
      <c r="C528" t="s">
        <v>19016</v>
      </c>
      <c r="D528" t="str">
        <f>"41464-48-6"</f>
        <v>41464-48-6</v>
      </c>
      <c r="E528" t="str">
        <f t="shared" si="27"/>
        <v xml:space="preserve">Organische parameters </v>
      </c>
      <c r="F528" t="str">
        <f t="shared" si="26"/>
        <v xml:space="preserve">Polychloorbifenylen (PCB's) </v>
      </c>
      <c r="G528" t="str">
        <f>""</f>
        <v/>
      </c>
    </row>
    <row r="529" spans="1:7" x14ac:dyDescent="0.25">
      <c r="A529">
        <v>1272</v>
      </c>
      <c r="B529" t="str">
        <f>"3,3',5,5'-tetrachloorbifenyl"</f>
        <v>3,3',5,5'-tetrachloorbifenyl</v>
      </c>
      <c r="C529" t="s">
        <v>19016</v>
      </c>
      <c r="D529" t="str">
        <f>"33284-52-5"</f>
        <v>33284-52-5</v>
      </c>
      <c r="E529" t="str">
        <f t="shared" si="27"/>
        <v xml:space="preserve">Organische parameters </v>
      </c>
      <c r="F529" t="str">
        <f t="shared" si="26"/>
        <v xml:space="preserve">Polychloorbifenylen (PCB's) </v>
      </c>
      <c r="G529" t="str">
        <f>""</f>
        <v/>
      </c>
    </row>
    <row r="530" spans="1:7" x14ac:dyDescent="0.25">
      <c r="A530">
        <v>1273</v>
      </c>
      <c r="B530" t="str">
        <f>"3,4,4',5-tetrachloorbifenyl"</f>
        <v>3,4,4',5-tetrachloorbifenyl</v>
      </c>
      <c r="C530" t="s">
        <v>19016</v>
      </c>
      <c r="D530" t="str">
        <f>"70362-50-4"</f>
        <v>70362-50-4</v>
      </c>
      <c r="E530" t="str">
        <f t="shared" si="27"/>
        <v xml:space="preserve">Organische parameters </v>
      </c>
      <c r="F530" t="str">
        <f t="shared" si="26"/>
        <v xml:space="preserve">Polychloorbifenylen (PCB's) </v>
      </c>
      <c r="G530" t="str">
        <f>""</f>
        <v/>
      </c>
    </row>
    <row r="531" spans="1:7" x14ac:dyDescent="0.25">
      <c r="A531">
        <v>1274</v>
      </c>
      <c r="B531" t="str">
        <f>"2,2',3,3',4-pentachloorbifenyl"</f>
        <v>2,2',3,3',4-pentachloorbifenyl</v>
      </c>
      <c r="C531" t="s">
        <v>19016</v>
      </c>
      <c r="D531" t="str">
        <f>"52663-62-4"</f>
        <v>52663-62-4</v>
      </c>
      <c r="E531" t="str">
        <f t="shared" si="27"/>
        <v xml:space="preserve">Organische parameters </v>
      </c>
      <c r="F531" t="str">
        <f t="shared" si="26"/>
        <v xml:space="preserve">Polychloorbifenylen (PCB's) </v>
      </c>
      <c r="G531" t="str">
        <f>""</f>
        <v/>
      </c>
    </row>
    <row r="532" spans="1:7" x14ac:dyDescent="0.25">
      <c r="A532">
        <v>1275</v>
      </c>
      <c r="B532" t="str">
        <f>"2,2',3,3',5-pentachloorbifenyl"</f>
        <v>2,2',3,3',5-pentachloorbifenyl</v>
      </c>
      <c r="C532" t="s">
        <v>19016</v>
      </c>
      <c r="D532" t="str">
        <f>"60145-20-2"</f>
        <v>60145-20-2</v>
      </c>
      <c r="E532" t="str">
        <f t="shared" si="27"/>
        <v xml:space="preserve">Organische parameters </v>
      </c>
      <c r="F532" t="str">
        <f t="shared" si="26"/>
        <v xml:space="preserve">Polychloorbifenylen (PCB's) </v>
      </c>
      <c r="G532" t="str">
        <f>""</f>
        <v/>
      </c>
    </row>
    <row r="533" spans="1:7" x14ac:dyDescent="0.25">
      <c r="A533">
        <v>1276</v>
      </c>
      <c r="B533" t="str">
        <f>"2,2',3,3',6-pentachloorbifenyl"</f>
        <v>2,2',3,3',6-pentachloorbifenyl</v>
      </c>
      <c r="C533" t="s">
        <v>19016</v>
      </c>
      <c r="D533" t="str">
        <f>"52663-60-2"</f>
        <v>52663-60-2</v>
      </c>
      <c r="E533" t="str">
        <f t="shared" si="27"/>
        <v xml:space="preserve">Organische parameters </v>
      </c>
      <c r="F533" t="str">
        <f t="shared" si="26"/>
        <v xml:space="preserve">Polychloorbifenylen (PCB's) </v>
      </c>
      <c r="G533" t="str">
        <f>""</f>
        <v/>
      </c>
    </row>
    <row r="534" spans="1:7" x14ac:dyDescent="0.25">
      <c r="A534">
        <v>1277</v>
      </c>
      <c r="B534" t="str">
        <f>"2,2',3,4,4'-pentachloorbifenyl"</f>
        <v>2,2',3,4,4'-pentachloorbifenyl</v>
      </c>
      <c r="C534" t="s">
        <v>19016</v>
      </c>
      <c r="D534" t="str">
        <f>"65510-45-4"</f>
        <v>65510-45-4</v>
      </c>
      <c r="E534" t="str">
        <f t="shared" si="27"/>
        <v xml:space="preserve">Organische parameters </v>
      </c>
      <c r="F534" t="str">
        <f t="shared" si="26"/>
        <v xml:space="preserve">Polychloorbifenylen (PCB's) </v>
      </c>
      <c r="G534" t="str">
        <f>""</f>
        <v/>
      </c>
    </row>
    <row r="535" spans="1:7" x14ac:dyDescent="0.25">
      <c r="A535">
        <v>1278</v>
      </c>
      <c r="B535" t="str">
        <f>"2,2',3,4,5-pentachloorbifenyl"</f>
        <v>2,2',3,4,5-pentachloorbifenyl</v>
      </c>
      <c r="C535" t="s">
        <v>19016</v>
      </c>
      <c r="D535" t="str">
        <f>"55312-69-1"</f>
        <v>55312-69-1</v>
      </c>
      <c r="E535" t="str">
        <f t="shared" si="27"/>
        <v xml:space="preserve">Organische parameters </v>
      </c>
      <c r="F535" t="str">
        <f t="shared" si="26"/>
        <v xml:space="preserve">Polychloorbifenylen (PCB's) </v>
      </c>
      <c r="G535" t="str">
        <f>""</f>
        <v/>
      </c>
    </row>
    <row r="536" spans="1:7" x14ac:dyDescent="0.25">
      <c r="A536">
        <v>1279</v>
      </c>
      <c r="B536" t="str">
        <f>"2,2',3,4,5'-pentachloorbifenyl"</f>
        <v>2,2',3,4,5'-pentachloorbifenyl</v>
      </c>
      <c r="C536" t="s">
        <v>19016</v>
      </c>
      <c r="D536" t="str">
        <f>"38380-02-8"</f>
        <v>38380-02-8</v>
      </c>
      <c r="E536" t="str">
        <f t="shared" si="27"/>
        <v xml:space="preserve">Organische parameters </v>
      </c>
      <c r="F536" t="str">
        <f t="shared" si="26"/>
        <v xml:space="preserve">Polychloorbifenylen (PCB's) </v>
      </c>
      <c r="G536" t="str">
        <f>""</f>
        <v/>
      </c>
    </row>
    <row r="537" spans="1:7" x14ac:dyDescent="0.25">
      <c r="A537">
        <v>1280</v>
      </c>
      <c r="B537" t="str">
        <f>"2,2',3,4,6-pentachloorbifenyl"</f>
        <v>2,2',3,4,6-pentachloorbifenyl</v>
      </c>
      <c r="C537" t="s">
        <v>19016</v>
      </c>
      <c r="D537" t="str">
        <f>"55215-17-3"</f>
        <v>55215-17-3</v>
      </c>
      <c r="E537" t="str">
        <f t="shared" si="27"/>
        <v xml:space="preserve">Organische parameters </v>
      </c>
      <c r="F537" t="str">
        <f t="shared" si="26"/>
        <v xml:space="preserve">Polychloorbifenylen (PCB's) </v>
      </c>
      <c r="G537" t="str">
        <f>""</f>
        <v/>
      </c>
    </row>
    <row r="538" spans="1:7" x14ac:dyDescent="0.25">
      <c r="A538">
        <v>1281</v>
      </c>
      <c r="B538" t="str">
        <f>"2,2',3,4,6'-pentachloorbifenyl"</f>
        <v>2,2',3,4,6'-pentachloorbifenyl</v>
      </c>
      <c r="C538" t="s">
        <v>19016</v>
      </c>
      <c r="D538" t="str">
        <f>"73575-57-2"</f>
        <v>73575-57-2</v>
      </c>
      <c r="E538" t="str">
        <f t="shared" si="27"/>
        <v xml:space="preserve">Organische parameters </v>
      </c>
      <c r="F538" t="str">
        <f t="shared" si="26"/>
        <v xml:space="preserve">Polychloorbifenylen (PCB's) </v>
      </c>
      <c r="G538" t="str">
        <f>""</f>
        <v/>
      </c>
    </row>
    <row r="539" spans="1:7" x14ac:dyDescent="0.25">
      <c r="A539">
        <v>1282</v>
      </c>
      <c r="B539" t="str">
        <f>"2,2',3,4',5-pentachloorbifenyl"</f>
        <v>2,2',3,4',5-pentachloorbifenyl</v>
      </c>
      <c r="C539" t="s">
        <v>19016</v>
      </c>
      <c r="D539" t="str">
        <f>"68194-07-0"</f>
        <v>68194-07-0</v>
      </c>
      <c r="E539" t="str">
        <f t="shared" si="27"/>
        <v xml:space="preserve">Organische parameters </v>
      </c>
      <c r="F539" t="str">
        <f t="shared" si="26"/>
        <v xml:space="preserve">Polychloorbifenylen (PCB's) </v>
      </c>
      <c r="G539" t="str">
        <f>""</f>
        <v/>
      </c>
    </row>
    <row r="540" spans="1:7" x14ac:dyDescent="0.25">
      <c r="A540">
        <v>1283</v>
      </c>
      <c r="B540" t="str">
        <f>"2,2',3,4',6-pentachloorbifenyl"</f>
        <v>2,2',3,4',6-pentachloorbifenyl</v>
      </c>
      <c r="C540" t="s">
        <v>19016</v>
      </c>
      <c r="D540" t="str">
        <f>"68194-05-8"</f>
        <v>68194-05-8</v>
      </c>
      <c r="E540" t="str">
        <f t="shared" si="27"/>
        <v xml:space="preserve">Organische parameters </v>
      </c>
      <c r="F540" t="str">
        <f t="shared" si="26"/>
        <v xml:space="preserve">Polychloorbifenylen (PCB's) </v>
      </c>
      <c r="G540" t="str">
        <f>""</f>
        <v/>
      </c>
    </row>
    <row r="541" spans="1:7" x14ac:dyDescent="0.25">
      <c r="A541">
        <v>1284</v>
      </c>
      <c r="B541" t="str">
        <f>"2,2',3,5,5'-pentachloorbifenyl"</f>
        <v>2,2',3,5,5'-pentachloorbifenyl</v>
      </c>
      <c r="C541" t="s">
        <v>19016</v>
      </c>
      <c r="D541" t="str">
        <f>"52663-61-3"</f>
        <v>52663-61-3</v>
      </c>
      <c r="E541" t="str">
        <f t="shared" si="27"/>
        <v xml:space="preserve">Organische parameters </v>
      </c>
      <c r="F541" t="str">
        <f t="shared" si="26"/>
        <v xml:space="preserve">Polychloorbifenylen (PCB's) </v>
      </c>
      <c r="G541" t="str">
        <f>""</f>
        <v/>
      </c>
    </row>
    <row r="542" spans="1:7" x14ac:dyDescent="0.25">
      <c r="A542">
        <v>1285</v>
      </c>
      <c r="B542" t="str">
        <f>"2,2',3,5,6-pentachloorbifenyl"</f>
        <v>2,2',3,5,6-pentachloorbifenyl</v>
      </c>
      <c r="C542" t="s">
        <v>19016</v>
      </c>
      <c r="D542" t="str">
        <f>"73575-56-1"</f>
        <v>73575-56-1</v>
      </c>
      <c r="E542" t="str">
        <f t="shared" si="27"/>
        <v xml:space="preserve">Organische parameters </v>
      </c>
      <c r="F542" t="str">
        <f t="shared" si="26"/>
        <v xml:space="preserve">Polychloorbifenylen (PCB's) </v>
      </c>
      <c r="G542" t="str">
        <f>""</f>
        <v/>
      </c>
    </row>
    <row r="543" spans="1:7" x14ac:dyDescent="0.25">
      <c r="A543">
        <v>1286</v>
      </c>
      <c r="B543" t="str">
        <f>"2,2',3,5,6'-pentachloorbifenyl"</f>
        <v>2,2',3,5,6'-pentachloorbifenyl</v>
      </c>
      <c r="C543" t="s">
        <v>19016</v>
      </c>
      <c r="D543" t="str">
        <f>"73575-55-0"</f>
        <v>73575-55-0</v>
      </c>
      <c r="E543" t="str">
        <f t="shared" si="27"/>
        <v xml:space="preserve">Organische parameters </v>
      </c>
      <c r="F543" t="str">
        <f t="shared" si="26"/>
        <v xml:space="preserve">Polychloorbifenylen (PCB's) </v>
      </c>
      <c r="G543" t="str">
        <f>""</f>
        <v/>
      </c>
    </row>
    <row r="544" spans="1:7" x14ac:dyDescent="0.25">
      <c r="A544">
        <v>1287</v>
      </c>
      <c r="B544" t="str">
        <f>"2,2',3,5',6-pentachloorbifenyl"</f>
        <v>2,2',3,5',6-pentachloorbifenyl</v>
      </c>
      <c r="C544" t="s">
        <v>19016</v>
      </c>
      <c r="D544" t="str">
        <f>"38379-99-6"</f>
        <v>38379-99-6</v>
      </c>
      <c r="E544" t="str">
        <f t="shared" si="27"/>
        <v xml:space="preserve">Organische parameters </v>
      </c>
      <c r="F544" t="str">
        <f t="shared" si="26"/>
        <v xml:space="preserve">Polychloorbifenylen (PCB's) </v>
      </c>
      <c r="G544" t="str">
        <f>""</f>
        <v/>
      </c>
    </row>
    <row r="545" spans="1:7" x14ac:dyDescent="0.25">
      <c r="A545">
        <v>1288</v>
      </c>
      <c r="B545" t="str">
        <f>"2,2',3,6,6'-pentachloorbifenyl"</f>
        <v>2,2',3,6,6'-pentachloorbifenyl</v>
      </c>
      <c r="C545" t="s">
        <v>19016</v>
      </c>
      <c r="D545" t="str">
        <f>"73575-54-9"</f>
        <v>73575-54-9</v>
      </c>
      <c r="E545" t="str">
        <f t="shared" si="27"/>
        <v xml:space="preserve">Organische parameters </v>
      </c>
      <c r="F545" t="str">
        <f t="shared" si="26"/>
        <v xml:space="preserve">Polychloorbifenylen (PCB's) </v>
      </c>
      <c r="G545" t="str">
        <f>""</f>
        <v/>
      </c>
    </row>
    <row r="546" spans="1:7" x14ac:dyDescent="0.25">
      <c r="A546">
        <v>1289</v>
      </c>
      <c r="B546" t="str">
        <f>"2,2',3,4',5'-pentachloorbifenyl"</f>
        <v>2,2',3,4',5'-pentachloorbifenyl</v>
      </c>
      <c r="C546" t="s">
        <v>19016</v>
      </c>
      <c r="D546" t="str">
        <f>"41464-51-0"</f>
        <v>41464-51-0</v>
      </c>
      <c r="E546" t="str">
        <f t="shared" si="27"/>
        <v xml:space="preserve">Organische parameters </v>
      </c>
      <c r="F546" t="str">
        <f t="shared" si="26"/>
        <v xml:space="preserve">Polychloorbifenylen (PCB's) </v>
      </c>
      <c r="G546" t="str">
        <f>""</f>
        <v/>
      </c>
    </row>
    <row r="547" spans="1:7" x14ac:dyDescent="0.25">
      <c r="A547">
        <v>1290</v>
      </c>
      <c r="B547" t="str">
        <f>"2,2',3,4',6'-pentachloorbifenyl"</f>
        <v>2,2',3,4',6'-pentachloorbifenyl</v>
      </c>
      <c r="C547" t="s">
        <v>19016</v>
      </c>
      <c r="D547" t="str">
        <f>"60233-25-2"</f>
        <v>60233-25-2</v>
      </c>
      <c r="E547" t="str">
        <f t="shared" si="27"/>
        <v xml:space="preserve">Organische parameters </v>
      </c>
      <c r="F547" t="str">
        <f t="shared" si="26"/>
        <v xml:space="preserve">Polychloorbifenylen (PCB's) </v>
      </c>
      <c r="G547" t="str">
        <f>""</f>
        <v/>
      </c>
    </row>
    <row r="548" spans="1:7" x14ac:dyDescent="0.25">
      <c r="A548">
        <v>1291</v>
      </c>
      <c r="B548" t="str">
        <f>"2,2',4,4',5-pentachloorbifenyl"</f>
        <v>2,2',4,4',5-pentachloorbifenyl</v>
      </c>
      <c r="C548" t="s">
        <v>19016</v>
      </c>
      <c r="D548" t="str">
        <f>"38380-01-7"</f>
        <v>38380-01-7</v>
      </c>
      <c r="E548" t="str">
        <f t="shared" si="27"/>
        <v xml:space="preserve">Organische parameters </v>
      </c>
      <c r="F548" t="str">
        <f t="shared" si="26"/>
        <v xml:space="preserve">Polychloorbifenylen (PCB's) </v>
      </c>
      <c r="G548" t="str">
        <f>""</f>
        <v/>
      </c>
    </row>
    <row r="549" spans="1:7" x14ac:dyDescent="0.25">
      <c r="A549">
        <v>1292</v>
      </c>
      <c r="B549" t="str">
        <f>"2,2',4,4',6-pentachloorbifenyl"</f>
        <v>2,2',4,4',6-pentachloorbifenyl</v>
      </c>
      <c r="C549" t="s">
        <v>19016</v>
      </c>
      <c r="D549" t="str">
        <f>"39485-83-1"</f>
        <v>39485-83-1</v>
      </c>
      <c r="E549" t="str">
        <f t="shared" si="27"/>
        <v xml:space="preserve">Organische parameters </v>
      </c>
      <c r="F549" t="str">
        <f t="shared" si="26"/>
        <v xml:space="preserve">Polychloorbifenylen (PCB's) </v>
      </c>
      <c r="G549" t="str">
        <f>""</f>
        <v/>
      </c>
    </row>
    <row r="550" spans="1:7" x14ac:dyDescent="0.25">
      <c r="A550">
        <v>1293</v>
      </c>
      <c r="B550" t="str">
        <f>"2,2',4,5,5'-pentachloorbifenyl"</f>
        <v>2,2',4,5,5'-pentachloorbifenyl</v>
      </c>
      <c r="C550" t="s">
        <v>19016</v>
      </c>
      <c r="D550" t="str">
        <f>"37680-73-2"</f>
        <v>37680-73-2</v>
      </c>
      <c r="E550" t="str">
        <f t="shared" si="27"/>
        <v xml:space="preserve">Organische parameters </v>
      </c>
      <c r="F550" t="str">
        <f t="shared" si="26"/>
        <v xml:space="preserve">Polychloorbifenylen (PCB's) </v>
      </c>
      <c r="G550" t="str">
        <f>""</f>
        <v/>
      </c>
    </row>
    <row r="551" spans="1:7" x14ac:dyDescent="0.25">
      <c r="A551">
        <v>1294</v>
      </c>
      <c r="B551" t="str">
        <f>"2,2',4,5,6'-pentachloorbifenyl"</f>
        <v>2,2',4,5,6'-pentachloorbifenyl</v>
      </c>
      <c r="C551" t="s">
        <v>19016</v>
      </c>
      <c r="D551" t="str">
        <f>"68194-06-9"</f>
        <v>68194-06-9</v>
      </c>
      <c r="E551" t="str">
        <f t="shared" si="27"/>
        <v xml:space="preserve">Organische parameters </v>
      </c>
      <c r="F551" t="str">
        <f t="shared" si="26"/>
        <v xml:space="preserve">Polychloorbifenylen (PCB's) </v>
      </c>
      <c r="G551" t="str">
        <f>""</f>
        <v/>
      </c>
    </row>
    <row r="552" spans="1:7" x14ac:dyDescent="0.25">
      <c r="A552">
        <v>1295</v>
      </c>
      <c r="B552" t="str">
        <f>"2,2',4,5',6-pentachloorbifenyl"</f>
        <v>2,2',4,5',6-pentachloorbifenyl</v>
      </c>
      <c r="C552" t="s">
        <v>19016</v>
      </c>
      <c r="D552" t="str">
        <f>"60145-21-3"</f>
        <v>60145-21-3</v>
      </c>
      <c r="E552" t="str">
        <f t="shared" si="27"/>
        <v xml:space="preserve">Organische parameters </v>
      </c>
      <c r="F552" t="str">
        <f t="shared" si="26"/>
        <v xml:space="preserve">Polychloorbifenylen (PCB's) </v>
      </c>
      <c r="G552" t="str">
        <f>""</f>
        <v/>
      </c>
    </row>
    <row r="553" spans="1:7" x14ac:dyDescent="0.25">
      <c r="A553">
        <v>1296</v>
      </c>
      <c r="B553" t="str">
        <f>"2,2',4,6,6'-pentachloorbifenyl"</f>
        <v>2,2',4,6,6'-pentachloorbifenyl</v>
      </c>
      <c r="C553" t="s">
        <v>19016</v>
      </c>
      <c r="D553" t="str">
        <f>"56558-16-8"</f>
        <v>56558-16-8</v>
      </c>
      <c r="E553" t="str">
        <f t="shared" si="27"/>
        <v xml:space="preserve">Organische parameters </v>
      </c>
      <c r="F553" t="str">
        <f t="shared" si="26"/>
        <v xml:space="preserve">Polychloorbifenylen (PCB's) </v>
      </c>
      <c r="G553" t="str">
        <f>""</f>
        <v/>
      </c>
    </row>
    <row r="554" spans="1:7" x14ac:dyDescent="0.25">
      <c r="A554">
        <v>1297</v>
      </c>
      <c r="B554" t="str">
        <f>"2,3,3',4,4'-pentachloorbifenyl"</f>
        <v>2,3,3',4,4'-pentachloorbifenyl</v>
      </c>
      <c r="C554" t="s">
        <v>19016</v>
      </c>
      <c r="D554" t="str">
        <f>"32598-14-4"</f>
        <v>32598-14-4</v>
      </c>
      <c r="E554" t="str">
        <f t="shared" si="27"/>
        <v xml:space="preserve">Organische parameters </v>
      </c>
      <c r="F554" t="str">
        <f t="shared" si="26"/>
        <v xml:space="preserve">Polychloorbifenylen (PCB's) </v>
      </c>
      <c r="G554" t="str">
        <f>""</f>
        <v/>
      </c>
    </row>
    <row r="555" spans="1:7" x14ac:dyDescent="0.25">
      <c r="A555">
        <v>1298</v>
      </c>
      <c r="B555" t="str">
        <f>"2,3,3',4,5-pentachloorbifenyl"</f>
        <v>2,3,3',4,5-pentachloorbifenyl</v>
      </c>
      <c r="C555" t="s">
        <v>19016</v>
      </c>
      <c r="D555" t="str">
        <f>"70424-69-0"</f>
        <v>70424-69-0</v>
      </c>
      <c r="E555" t="str">
        <f t="shared" si="27"/>
        <v xml:space="preserve">Organische parameters </v>
      </c>
      <c r="F555" t="str">
        <f t="shared" si="26"/>
        <v xml:space="preserve">Polychloorbifenylen (PCB's) </v>
      </c>
      <c r="G555" t="str">
        <f>""</f>
        <v/>
      </c>
    </row>
    <row r="556" spans="1:7" x14ac:dyDescent="0.25">
      <c r="A556">
        <v>1299</v>
      </c>
      <c r="B556" t="str">
        <f>"2,3,3',4',5-pentachloorbifenyl"</f>
        <v>2,3,3',4',5-pentachloorbifenyl</v>
      </c>
      <c r="C556" t="s">
        <v>19016</v>
      </c>
      <c r="D556" t="str">
        <f>"70424-68-9"</f>
        <v>70424-68-9</v>
      </c>
      <c r="E556" t="str">
        <f t="shared" si="27"/>
        <v xml:space="preserve">Organische parameters </v>
      </c>
      <c r="F556" t="str">
        <f t="shared" si="26"/>
        <v xml:space="preserve">Polychloorbifenylen (PCB's) </v>
      </c>
      <c r="G556" t="str">
        <f>""</f>
        <v/>
      </c>
    </row>
    <row r="557" spans="1:7" x14ac:dyDescent="0.25">
      <c r="A557">
        <v>1300</v>
      </c>
      <c r="B557" t="str">
        <f>"2,3,3',4,5'-pentachloorbifenyl"</f>
        <v>2,3,3',4,5'-pentachloorbifenyl</v>
      </c>
      <c r="C557" t="s">
        <v>19016</v>
      </c>
      <c r="D557" t="str">
        <f>"70362-41-3"</f>
        <v>70362-41-3</v>
      </c>
      <c r="E557" t="str">
        <f t="shared" si="27"/>
        <v xml:space="preserve">Organische parameters </v>
      </c>
      <c r="F557" t="str">
        <f t="shared" si="26"/>
        <v xml:space="preserve">Polychloorbifenylen (PCB's) </v>
      </c>
      <c r="G557" t="str">
        <f>""</f>
        <v/>
      </c>
    </row>
    <row r="558" spans="1:7" x14ac:dyDescent="0.25">
      <c r="A558">
        <v>1301</v>
      </c>
      <c r="B558" t="str">
        <f>"2,3,3',4,6-pentachloorbifenyl"</f>
        <v>2,3,3',4,6-pentachloorbifenyl</v>
      </c>
      <c r="C558" t="s">
        <v>19016</v>
      </c>
      <c r="D558" t="str">
        <f>"74472-35-8"</f>
        <v>74472-35-8</v>
      </c>
      <c r="E558" t="str">
        <f t="shared" si="27"/>
        <v xml:space="preserve">Organische parameters </v>
      </c>
      <c r="F558" t="str">
        <f t="shared" si="26"/>
        <v xml:space="preserve">Polychloorbifenylen (PCB's) </v>
      </c>
      <c r="G558" t="str">
        <f>""</f>
        <v/>
      </c>
    </row>
    <row r="559" spans="1:7" x14ac:dyDescent="0.25">
      <c r="A559">
        <v>1302</v>
      </c>
      <c r="B559" t="str">
        <f>"2,3,3',4',6-pentachloorbifenyl"</f>
        <v>2,3,3',4',6-pentachloorbifenyl</v>
      </c>
      <c r="C559" t="s">
        <v>19016</v>
      </c>
      <c r="D559" t="str">
        <f>"38380-03-9"</f>
        <v>38380-03-9</v>
      </c>
      <c r="E559" t="str">
        <f t="shared" si="27"/>
        <v xml:space="preserve">Organische parameters </v>
      </c>
      <c r="F559" t="str">
        <f t="shared" si="26"/>
        <v xml:space="preserve">Polychloorbifenylen (PCB's) </v>
      </c>
      <c r="G559" t="str">
        <f>""</f>
        <v/>
      </c>
    </row>
    <row r="560" spans="1:7" x14ac:dyDescent="0.25">
      <c r="A560">
        <v>1303</v>
      </c>
      <c r="B560" t="str">
        <f>"2,3,3',5,5'-pentachloorbifenyl"</f>
        <v>2,3,3',5,5'-pentachloorbifenyl</v>
      </c>
      <c r="C560" t="s">
        <v>19016</v>
      </c>
      <c r="D560" t="str">
        <f>"39635-32-0"</f>
        <v>39635-32-0</v>
      </c>
      <c r="E560" t="str">
        <f t="shared" si="27"/>
        <v xml:space="preserve">Organische parameters </v>
      </c>
      <c r="F560" t="str">
        <f t="shared" si="26"/>
        <v xml:space="preserve">Polychloorbifenylen (PCB's) </v>
      </c>
      <c r="G560" t="str">
        <f>""</f>
        <v/>
      </c>
    </row>
    <row r="561" spans="1:7" x14ac:dyDescent="0.25">
      <c r="A561">
        <v>1304</v>
      </c>
      <c r="B561" t="str">
        <f>"2,3,3',5,6-pentachloorbifenyl"</f>
        <v>2,3,3',5,6-pentachloorbifenyl</v>
      </c>
      <c r="C561" t="s">
        <v>19016</v>
      </c>
      <c r="D561" t="str">
        <f>"74472-36-9"</f>
        <v>74472-36-9</v>
      </c>
      <c r="E561" t="str">
        <f t="shared" si="27"/>
        <v xml:space="preserve">Organische parameters </v>
      </c>
      <c r="F561" t="str">
        <f t="shared" si="26"/>
        <v xml:space="preserve">Polychloorbifenylen (PCB's) </v>
      </c>
      <c r="G561" t="str">
        <f>""</f>
        <v/>
      </c>
    </row>
    <row r="562" spans="1:7" x14ac:dyDescent="0.25">
      <c r="A562">
        <v>1305</v>
      </c>
      <c r="B562" t="str">
        <f>"2,3,3',5',6-pentachloorbifenyl"</f>
        <v>2,3,3',5',6-pentachloorbifenyl</v>
      </c>
      <c r="C562" t="s">
        <v>19016</v>
      </c>
      <c r="D562" t="str">
        <f>"68194-10-5"</f>
        <v>68194-10-5</v>
      </c>
      <c r="E562" t="str">
        <f t="shared" si="27"/>
        <v xml:space="preserve">Organische parameters </v>
      </c>
      <c r="F562" t="str">
        <f t="shared" si="26"/>
        <v xml:space="preserve">Polychloorbifenylen (PCB's) </v>
      </c>
      <c r="G562" t="str">
        <f>""</f>
        <v/>
      </c>
    </row>
    <row r="563" spans="1:7" x14ac:dyDescent="0.25">
      <c r="A563">
        <v>1306</v>
      </c>
      <c r="B563" t="str">
        <f>"2,3,4,4',5-pentachloorbifenyl"</f>
        <v>2,3,4,4',5-pentachloorbifenyl</v>
      </c>
      <c r="C563" t="s">
        <v>19016</v>
      </c>
      <c r="D563" t="str">
        <f>"74472-37-0"</f>
        <v>74472-37-0</v>
      </c>
      <c r="E563" t="str">
        <f t="shared" si="27"/>
        <v xml:space="preserve">Organische parameters </v>
      </c>
      <c r="F563" t="str">
        <f t="shared" si="26"/>
        <v xml:space="preserve">Polychloorbifenylen (PCB's) </v>
      </c>
      <c r="G563" t="str">
        <f>""</f>
        <v/>
      </c>
    </row>
    <row r="564" spans="1:7" x14ac:dyDescent="0.25">
      <c r="A564">
        <v>1307</v>
      </c>
      <c r="B564" t="str">
        <f>"2,3,4,4',6-pentachloorbifenyl"</f>
        <v>2,3,4,4',6-pentachloorbifenyl</v>
      </c>
      <c r="C564" t="s">
        <v>19016</v>
      </c>
      <c r="D564" t="str">
        <f>"74472-38-1"</f>
        <v>74472-38-1</v>
      </c>
      <c r="E564" t="str">
        <f t="shared" si="27"/>
        <v xml:space="preserve">Organische parameters </v>
      </c>
      <c r="F564" t="str">
        <f t="shared" si="26"/>
        <v xml:space="preserve">Polychloorbifenylen (PCB's) </v>
      </c>
      <c r="G564" t="str">
        <f>""</f>
        <v/>
      </c>
    </row>
    <row r="565" spans="1:7" x14ac:dyDescent="0.25">
      <c r="A565">
        <v>1308</v>
      </c>
      <c r="B565" t="str">
        <f>"2,3,4,5,6-pentachloorbifenyl"</f>
        <v>2,3,4,5,6-pentachloorbifenyl</v>
      </c>
      <c r="C565" t="s">
        <v>19016</v>
      </c>
      <c r="D565" t="str">
        <f>"18259-05-7"</f>
        <v>18259-05-7</v>
      </c>
      <c r="E565" t="str">
        <f t="shared" si="27"/>
        <v xml:space="preserve">Organische parameters </v>
      </c>
      <c r="F565" t="str">
        <f t="shared" si="26"/>
        <v xml:space="preserve">Polychloorbifenylen (PCB's) </v>
      </c>
      <c r="G565" t="str">
        <f>""</f>
        <v/>
      </c>
    </row>
    <row r="566" spans="1:7" x14ac:dyDescent="0.25">
      <c r="A566">
        <v>1309</v>
      </c>
      <c r="B566" t="str">
        <f>"2,3,4',5,6-pentachloorbifenyl"</f>
        <v>2,3,4',5,6-pentachloorbifenyl</v>
      </c>
      <c r="C566" t="s">
        <v>19016</v>
      </c>
      <c r="D566" t="str">
        <f>"68194-11-6"</f>
        <v>68194-11-6</v>
      </c>
      <c r="E566" t="str">
        <f t="shared" si="27"/>
        <v xml:space="preserve">Organische parameters </v>
      </c>
      <c r="F566" t="str">
        <f t="shared" si="26"/>
        <v xml:space="preserve">Polychloorbifenylen (PCB's) </v>
      </c>
      <c r="G566" t="str">
        <f>""</f>
        <v/>
      </c>
    </row>
    <row r="567" spans="1:7" x14ac:dyDescent="0.25">
      <c r="A567">
        <v>1310</v>
      </c>
      <c r="B567" t="str">
        <f>"2,3',4,4',5-pentachloorbifenyl"</f>
        <v>2,3',4,4',5-pentachloorbifenyl</v>
      </c>
      <c r="C567" t="s">
        <v>19016</v>
      </c>
      <c r="D567" t="str">
        <f>"31508-00-6"</f>
        <v>31508-00-6</v>
      </c>
      <c r="E567" t="str">
        <f t="shared" si="27"/>
        <v xml:space="preserve">Organische parameters </v>
      </c>
      <c r="F567" t="str">
        <f t="shared" si="26"/>
        <v xml:space="preserve">Polychloorbifenylen (PCB's) </v>
      </c>
      <c r="G567" t="str">
        <f>""</f>
        <v/>
      </c>
    </row>
    <row r="568" spans="1:7" x14ac:dyDescent="0.25">
      <c r="A568">
        <v>1311</v>
      </c>
      <c r="B568" t="str">
        <f>"2,3',4,4',6-pentachloorbifenyl"</f>
        <v>2,3',4,4',6-pentachloorbifenyl</v>
      </c>
      <c r="C568" t="s">
        <v>19016</v>
      </c>
      <c r="D568" t="str">
        <f>"56558-17-9"</f>
        <v>56558-17-9</v>
      </c>
      <c r="E568" t="str">
        <f t="shared" si="27"/>
        <v xml:space="preserve">Organische parameters </v>
      </c>
      <c r="F568" t="str">
        <f t="shared" si="26"/>
        <v xml:space="preserve">Polychloorbifenylen (PCB's) </v>
      </c>
      <c r="G568" t="str">
        <f>""</f>
        <v/>
      </c>
    </row>
    <row r="569" spans="1:7" x14ac:dyDescent="0.25">
      <c r="A569">
        <v>1312</v>
      </c>
      <c r="B569" t="str">
        <f>"2,3',4,5,5'-pentachloorbifenyl"</f>
        <v>2,3',4,5,5'-pentachloorbifenyl</v>
      </c>
      <c r="C569" t="s">
        <v>19016</v>
      </c>
      <c r="D569" t="str">
        <f>"68194-12-7"</f>
        <v>68194-12-7</v>
      </c>
      <c r="E569" t="str">
        <f t="shared" si="27"/>
        <v xml:space="preserve">Organische parameters </v>
      </c>
      <c r="F569" t="str">
        <f t="shared" si="26"/>
        <v xml:space="preserve">Polychloorbifenylen (PCB's) </v>
      </c>
      <c r="G569" t="str">
        <f>""</f>
        <v/>
      </c>
    </row>
    <row r="570" spans="1:7" x14ac:dyDescent="0.25">
      <c r="A570">
        <v>1313</v>
      </c>
      <c r="B570" t="str">
        <f>"2,3',4,5',6-pentachloorbifenyl"</f>
        <v>2,3',4,5',6-pentachloorbifenyl</v>
      </c>
      <c r="C570" t="s">
        <v>19016</v>
      </c>
      <c r="D570" t="str">
        <f>"56558-18-0"</f>
        <v>56558-18-0</v>
      </c>
      <c r="E570" t="str">
        <f t="shared" si="27"/>
        <v xml:space="preserve">Organische parameters </v>
      </c>
      <c r="F570" t="str">
        <f t="shared" si="26"/>
        <v xml:space="preserve">Polychloorbifenylen (PCB's) </v>
      </c>
      <c r="G570" t="str">
        <f>""</f>
        <v/>
      </c>
    </row>
    <row r="571" spans="1:7" x14ac:dyDescent="0.25">
      <c r="A571">
        <v>1314</v>
      </c>
      <c r="B571" t="str">
        <f>"2,3,3',4',5'-pentachloorbifenyl"</f>
        <v>2,3,3',4',5'-pentachloorbifenyl</v>
      </c>
      <c r="C571" t="s">
        <v>19016</v>
      </c>
      <c r="D571" t="str">
        <f>"76842-07-4"</f>
        <v>76842-07-4</v>
      </c>
      <c r="E571" t="str">
        <f t="shared" si="27"/>
        <v xml:space="preserve">Organische parameters </v>
      </c>
      <c r="F571" t="str">
        <f t="shared" si="26"/>
        <v xml:space="preserve">Polychloorbifenylen (PCB's) </v>
      </c>
      <c r="G571" t="str">
        <f>""</f>
        <v/>
      </c>
    </row>
    <row r="572" spans="1:7" x14ac:dyDescent="0.25">
      <c r="A572">
        <v>1315</v>
      </c>
      <c r="B572" t="str">
        <f>"2,3',4,4',5'-pentachloorbifenyl"</f>
        <v>2,3',4,4',5'-pentachloorbifenyl</v>
      </c>
      <c r="C572" t="s">
        <v>19016</v>
      </c>
      <c r="D572" t="str">
        <f>"65510-44-3"</f>
        <v>65510-44-3</v>
      </c>
      <c r="E572" t="str">
        <f t="shared" si="27"/>
        <v xml:space="preserve">Organische parameters </v>
      </c>
      <c r="F572" t="str">
        <f t="shared" si="26"/>
        <v xml:space="preserve">Polychloorbifenylen (PCB's) </v>
      </c>
      <c r="G572" t="str">
        <f>""</f>
        <v/>
      </c>
    </row>
    <row r="573" spans="1:7" x14ac:dyDescent="0.25">
      <c r="A573">
        <v>1316</v>
      </c>
      <c r="B573" t="str">
        <f>"2,3',4',5,5'-pentachloorbifenyl"</f>
        <v>2,3',4',5,5'-pentachloorbifenyl</v>
      </c>
      <c r="C573" t="s">
        <v>19016</v>
      </c>
      <c r="D573" t="str">
        <f>"70424-70-3"</f>
        <v>70424-70-3</v>
      </c>
      <c r="E573" t="str">
        <f t="shared" si="27"/>
        <v xml:space="preserve">Organische parameters </v>
      </c>
      <c r="F573" t="str">
        <f t="shared" si="26"/>
        <v xml:space="preserve">Polychloorbifenylen (PCB's) </v>
      </c>
      <c r="G573" t="str">
        <f>""</f>
        <v/>
      </c>
    </row>
    <row r="574" spans="1:7" x14ac:dyDescent="0.25">
      <c r="A574">
        <v>1317</v>
      </c>
      <c r="B574" t="str">
        <f>"2,3',4',5',6-pentachloorbifenyl"</f>
        <v>2,3',4',5',6-pentachloorbifenyl</v>
      </c>
      <c r="C574" t="s">
        <v>19016</v>
      </c>
      <c r="D574" t="str">
        <f>"74472-39-2"</f>
        <v>74472-39-2</v>
      </c>
      <c r="E574" t="str">
        <f t="shared" si="27"/>
        <v xml:space="preserve">Organische parameters </v>
      </c>
      <c r="F574" t="str">
        <f t="shared" si="26"/>
        <v xml:space="preserve">Polychloorbifenylen (PCB's) </v>
      </c>
      <c r="G574" t="str">
        <f>""</f>
        <v/>
      </c>
    </row>
    <row r="575" spans="1:7" x14ac:dyDescent="0.25">
      <c r="A575">
        <v>1318</v>
      </c>
      <c r="B575" t="str">
        <f>"3,3',4,4',5-pentachloorbifenyl"</f>
        <v>3,3',4,4',5-pentachloorbifenyl</v>
      </c>
      <c r="C575" t="s">
        <v>19016</v>
      </c>
      <c r="D575" t="str">
        <f>"57465-28-8"</f>
        <v>57465-28-8</v>
      </c>
      <c r="E575" t="str">
        <f t="shared" si="27"/>
        <v xml:space="preserve">Organische parameters </v>
      </c>
      <c r="F575" t="str">
        <f t="shared" si="26"/>
        <v xml:space="preserve">Polychloorbifenylen (PCB's) </v>
      </c>
      <c r="G575" t="str">
        <f>""</f>
        <v/>
      </c>
    </row>
    <row r="576" spans="1:7" x14ac:dyDescent="0.25">
      <c r="A576">
        <v>1319</v>
      </c>
      <c r="B576" t="str">
        <f>"3,3',4,5,5'-pentachloorbifenyl"</f>
        <v>3,3',4,5,5'-pentachloorbifenyl</v>
      </c>
      <c r="C576" t="s">
        <v>19016</v>
      </c>
      <c r="D576" t="str">
        <f>"39635-33-1"</f>
        <v>39635-33-1</v>
      </c>
      <c r="E576" t="str">
        <f t="shared" si="27"/>
        <v xml:space="preserve">Organische parameters </v>
      </c>
      <c r="F576" t="str">
        <f t="shared" ref="F576:F639" si="28">"Polychloorbifenylen (PCB's) "</f>
        <v xml:space="preserve">Polychloorbifenylen (PCB's) </v>
      </c>
      <c r="G576" t="str">
        <f>""</f>
        <v/>
      </c>
    </row>
    <row r="577" spans="1:7" x14ac:dyDescent="0.25">
      <c r="A577">
        <v>1320</v>
      </c>
      <c r="B577" t="str">
        <f>"2,2',3,3',4,4'-hexachloorbifenyl"</f>
        <v>2,2',3,3',4,4'-hexachloorbifenyl</v>
      </c>
      <c r="C577" t="s">
        <v>19016</v>
      </c>
      <c r="D577" t="str">
        <f>"38380-07-3"</f>
        <v>38380-07-3</v>
      </c>
      <c r="E577" t="str">
        <f t="shared" si="27"/>
        <v xml:space="preserve">Organische parameters </v>
      </c>
      <c r="F577" t="str">
        <f t="shared" si="28"/>
        <v xml:space="preserve">Polychloorbifenylen (PCB's) </v>
      </c>
      <c r="G577" t="str">
        <f>""</f>
        <v/>
      </c>
    </row>
    <row r="578" spans="1:7" x14ac:dyDescent="0.25">
      <c r="A578">
        <v>1321</v>
      </c>
      <c r="B578" t="str">
        <f>"2,2',3,3',4,5-hexachloorbifenyl"</f>
        <v>2,2',3,3',4,5-hexachloorbifenyl</v>
      </c>
      <c r="C578" t="s">
        <v>19016</v>
      </c>
      <c r="D578" t="str">
        <f>"55215-18-4"</f>
        <v>55215-18-4</v>
      </c>
      <c r="E578" t="str">
        <f t="shared" si="27"/>
        <v xml:space="preserve">Organische parameters </v>
      </c>
      <c r="F578" t="str">
        <f t="shared" si="28"/>
        <v xml:space="preserve">Polychloorbifenylen (PCB's) </v>
      </c>
      <c r="G578" t="str">
        <f>""</f>
        <v/>
      </c>
    </row>
    <row r="579" spans="1:7" x14ac:dyDescent="0.25">
      <c r="A579">
        <v>1322</v>
      </c>
      <c r="B579" t="str">
        <f>"2,2',3,3',4,5'-hexachloorbifenyl"</f>
        <v>2,2',3,3',4,5'-hexachloorbifenyl</v>
      </c>
      <c r="C579" t="s">
        <v>19016</v>
      </c>
      <c r="D579" t="str">
        <f>"52663-66-8"</f>
        <v>52663-66-8</v>
      </c>
      <c r="E579" t="str">
        <f t="shared" si="27"/>
        <v xml:space="preserve">Organische parameters </v>
      </c>
      <c r="F579" t="str">
        <f t="shared" si="28"/>
        <v xml:space="preserve">Polychloorbifenylen (PCB's) </v>
      </c>
      <c r="G579" t="str">
        <f>""</f>
        <v/>
      </c>
    </row>
    <row r="580" spans="1:7" x14ac:dyDescent="0.25">
      <c r="A580">
        <v>1323</v>
      </c>
      <c r="B580" t="str">
        <f>"2,2',3,3',4,6-hexachloorbifenyl"</f>
        <v>2,2',3,3',4,6-hexachloorbifenyl</v>
      </c>
      <c r="C580" t="s">
        <v>19016</v>
      </c>
      <c r="D580" t="str">
        <f>"61798-70-7"</f>
        <v>61798-70-7</v>
      </c>
      <c r="E580" t="str">
        <f t="shared" si="27"/>
        <v xml:space="preserve">Organische parameters </v>
      </c>
      <c r="F580" t="str">
        <f t="shared" si="28"/>
        <v xml:space="preserve">Polychloorbifenylen (PCB's) </v>
      </c>
      <c r="G580" t="str">
        <f>""</f>
        <v/>
      </c>
    </row>
    <row r="581" spans="1:7" x14ac:dyDescent="0.25">
      <c r="A581">
        <v>1324</v>
      </c>
      <c r="B581" t="str">
        <f>"2,2',3,3',4,6'-hexachloorbifenyl"</f>
        <v>2,2',3,3',4,6'-hexachloorbifenyl</v>
      </c>
      <c r="C581" t="s">
        <v>19016</v>
      </c>
      <c r="D581" t="str">
        <f>"38380-05-1"</f>
        <v>38380-05-1</v>
      </c>
      <c r="E581" t="str">
        <f t="shared" si="27"/>
        <v xml:space="preserve">Organische parameters </v>
      </c>
      <c r="F581" t="str">
        <f t="shared" si="28"/>
        <v xml:space="preserve">Polychloorbifenylen (PCB's) </v>
      </c>
      <c r="G581" t="str">
        <f>""</f>
        <v/>
      </c>
    </row>
    <row r="582" spans="1:7" x14ac:dyDescent="0.25">
      <c r="A582">
        <v>1325</v>
      </c>
      <c r="B582" t="str">
        <f>"2,2',3,3',5,5'-hexachloorbifenyl"</f>
        <v>2,2',3,3',5,5'-hexachloorbifenyl</v>
      </c>
      <c r="C582" t="s">
        <v>19016</v>
      </c>
      <c r="D582" t="str">
        <f>"35694-04-3"</f>
        <v>35694-04-3</v>
      </c>
      <c r="E582" t="str">
        <f t="shared" si="27"/>
        <v xml:space="preserve">Organische parameters </v>
      </c>
      <c r="F582" t="str">
        <f t="shared" si="28"/>
        <v xml:space="preserve">Polychloorbifenylen (PCB's) </v>
      </c>
      <c r="G582" t="str">
        <f>""</f>
        <v/>
      </c>
    </row>
    <row r="583" spans="1:7" x14ac:dyDescent="0.25">
      <c r="A583">
        <v>1326</v>
      </c>
      <c r="B583" t="str">
        <f>"2,2',3,3',5,6-hexachloorbifenyl"</f>
        <v>2,2',3,3',5,6-hexachloorbifenyl</v>
      </c>
      <c r="C583" t="s">
        <v>19016</v>
      </c>
      <c r="D583" t="str">
        <f>"52704-70-8"</f>
        <v>52704-70-8</v>
      </c>
      <c r="E583" t="str">
        <f t="shared" si="27"/>
        <v xml:space="preserve">Organische parameters </v>
      </c>
      <c r="F583" t="str">
        <f t="shared" si="28"/>
        <v xml:space="preserve">Polychloorbifenylen (PCB's) </v>
      </c>
      <c r="G583" t="str">
        <f>""</f>
        <v/>
      </c>
    </row>
    <row r="584" spans="1:7" x14ac:dyDescent="0.25">
      <c r="A584">
        <v>1327</v>
      </c>
      <c r="B584" t="str">
        <f>"2,2',3,3',5,6'-hexachloorbifenyl"</f>
        <v>2,2',3,3',5,6'-hexachloorbifenyl</v>
      </c>
      <c r="C584" t="s">
        <v>19016</v>
      </c>
      <c r="D584" t="str">
        <f>"52744-13-5"</f>
        <v>52744-13-5</v>
      </c>
      <c r="E584" t="str">
        <f t="shared" si="27"/>
        <v xml:space="preserve">Organische parameters </v>
      </c>
      <c r="F584" t="str">
        <f t="shared" si="28"/>
        <v xml:space="preserve">Polychloorbifenylen (PCB's) </v>
      </c>
      <c r="G584" t="str">
        <f>""</f>
        <v/>
      </c>
    </row>
    <row r="585" spans="1:7" x14ac:dyDescent="0.25">
      <c r="A585">
        <v>1328</v>
      </c>
      <c r="B585" t="str">
        <f>"2,2',3,3',6,6'-hexachloorbifenyl"</f>
        <v>2,2',3,3',6,6'-hexachloorbifenyl</v>
      </c>
      <c r="C585" t="s">
        <v>19016</v>
      </c>
      <c r="D585" t="str">
        <f>"38411-22-2"</f>
        <v>38411-22-2</v>
      </c>
      <c r="E585" t="str">
        <f t="shared" si="27"/>
        <v xml:space="preserve">Organische parameters </v>
      </c>
      <c r="F585" t="str">
        <f t="shared" si="28"/>
        <v xml:space="preserve">Polychloorbifenylen (PCB's) </v>
      </c>
      <c r="G585" t="str">
        <f>""</f>
        <v/>
      </c>
    </row>
    <row r="586" spans="1:7" x14ac:dyDescent="0.25">
      <c r="A586">
        <v>1329</v>
      </c>
      <c r="B586" t="str">
        <f>"2,2',3,4,4',5-hexachloorbifenyl"</f>
        <v>2,2',3,4,4',5-hexachloorbifenyl</v>
      </c>
      <c r="C586" t="s">
        <v>19016</v>
      </c>
      <c r="D586" t="str">
        <f>"35694-06-5"</f>
        <v>35694-06-5</v>
      </c>
      <c r="E586" t="str">
        <f t="shared" si="27"/>
        <v xml:space="preserve">Organische parameters </v>
      </c>
      <c r="F586" t="str">
        <f t="shared" si="28"/>
        <v xml:space="preserve">Polychloorbifenylen (PCB's) </v>
      </c>
      <c r="G586" t="str">
        <f>""</f>
        <v/>
      </c>
    </row>
    <row r="587" spans="1:7" x14ac:dyDescent="0.25">
      <c r="A587">
        <v>1330</v>
      </c>
      <c r="B587" t="str">
        <f>"2,2',3,4,4',5'-hexachloorbifenyl"</f>
        <v>2,2',3,4,4',5'-hexachloorbifenyl</v>
      </c>
      <c r="C587" t="s">
        <v>19016</v>
      </c>
      <c r="D587" t="str">
        <f>"35065-28-2"</f>
        <v>35065-28-2</v>
      </c>
      <c r="E587" t="str">
        <f t="shared" si="27"/>
        <v xml:space="preserve">Organische parameters </v>
      </c>
      <c r="F587" t="str">
        <f t="shared" si="28"/>
        <v xml:space="preserve">Polychloorbifenylen (PCB's) </v>
      </c>
      <c r="G587" t="str">
        <f>""</f>
        <v/>
      </c>
    </row>
    <row r="588" spans="1:7" x14ac:dyDescent="0.25">
      <c r="A588">
        <v>1331</v>
      </c>
      <c r="B588" t="str">
        <f>"2,2',3,4,4',6-hexachloorbifenyl"</f>
        <v>2,2',3,4,4',6-hexachloorbifenyl</v>
      </c>
      <c r="C588" t="s">
        <v>19016</v>
      </c>
      <c r="D588" t="str">
        <f>"56030-56-9"</f>
        <v>56030-56-9</v>
      </c>
      <c r="E588" t="str">
        <f t="shared" si="27"/>
        <v xml:space="preserve">Organische parameters </v>
      </c>
      <c r="F588" t="str">
        <f t="shared" si="28"/>
        <v xml:space="preserve">Polychloorbifenylen (PCB's) </v>
      </c>
      <c r="G588" t="str">
        <f>""</f>
        <v/>
      </c>
    </row>
    <row r="589" spans="1:7" x14ac:dyDescent="0.25">
      <c r="A589">
        <v>1332</v>
      </c>
      <c r="B589" t="str">
        <f>"2,2',3,4,4',6'-hexachloorbifenyl"</f>
        <v>2,2',3,4,4',6'-hexachloorbifenyl</v>
      </c>
      <c r="C589" t="s">
        <v>19016</v>
      </c>
      <c r="D589" t="str">
        <f>"59291-64-4"</f>
        <v>59291-64-4</v>
      </c>
      <c r="E589" t="str">
        <f t="shared" ref="E589:E652" si="29">"Organische parameters "</f>
        <v xml:space="preserve">Organische parameters </v>
      </c>
      <c r="F589" t="str">
        <f t="shared" si="28"/>
        <v xml:space="preserve">Polychloorbifenylen (PCB's) </v>
      </c>
      <c r="G589" t="str">
        <f>""</f>
        <v/>
      </c>
    </row>
    <row r="590" spans="1:7" x14ac:dyDescent="0.25">
      <c r="A590">
        <v>1333</v>
      </c>
      <c r="B590" t="str">
        <f>"2,2',3,4,5,5'-hexachloorbifenyl"</f>
        <v>2,2',3,4,5,5'-hexachloorbifenyl</v>
      </c>
      <c r="C590" t="s">
        <v>19016</v>
      </c>
      <c r="D590" t="str">
        <f>"52712-04-6"</f>
        <v>52712-04-6</v>
      </c>
      <c r="E590" t="str">
        <f t="shared" si="29"/>
        <v xml:space="preserve">Organische parameters </v>
      </c>
      <c r="F590" t="str">
        <f t="shared" si="28"/>
        <v xml:space="preserve">Polychloorbifenylen (PCB's) </v>
      </c>
      <c r="G590" t="str">
        <f>""</f>
        <v/>
      </c>
    </row>
    <row r="591" spans="1:7" x14ac:dyDescent="0.25">
      <c r="A591">
        <v>1334</v>
      </c>
      <c r="B591" t="str">
        <f>"2,2',3,4,5,6-hexachloorbifenyl"</f>
        <v>2,2',3,4,5,6-hexachloorbifenyl</v>
      </c>
      <c r="C591" t="s">
        <v>19016</v>
      </c>
      <c r="D591" t="str">
        <f>"41411-61-4"</f>
        <v>41411-61-4</v>
      </c>
      <c r="E591" t="str">
        <f t="shared" si="29"/>
        <v xml:space="preserve">Organische parameters </v>
      </c>
      <c r="F591" t="str">
        <f t="shared" si="28"/>
        <v xml:space="preserve">Polychloorbifenylen (PCB's) </v>
      </c>
      <c r="G591" t="str">
        <f>""</f>
        <v/>
      </c>
    </row>
    <row r="592" spans="1:7" x14ac:dyDescent="0.25">
      <c r="A592">
        <v>1335</v>
      </c>
      <c r="B592" t="str">
        <f>"2,2',3,4,5,6'-hexachloorbifenyl"</f>
        <v>2,2',3,4,5,6'-hexachloorbifenyl</v>
      </c>
      <c r="C592" t="s">
        <v>19016</v>
      </c>
      <c r="D592" t="str">
        <f>"68194-15-0"</f>
        <v>68194-15-0</v>
      </c>
      <c r="E592" t="str">
        <f t="shared" si="29"/>
        <v xml:space="preserve">Organische parameters </v>
      </c>
      <c r="F592" t="str">
        <f t="shared" si="28"/>
        <v xml:space="preserve">Polychloorbifenylen (PCB's) </v>
      </c>
      <c r="G592" t="str">
        <f>""</f>
        <v/>
      </c>
    </row>
    <row r="593" spans="1:7" x14ac:dyDescent="0.25">
      <c r="A593">
        <v>1336</v>
      </c>
      <c r="B593" t="str">
        <f>"2,2',3,4,5',6-hexachloorbifenyl"</f>
        <v>2,2',3,4,5',6-hexachloorbifenyl</v>
      </c>
      <c r="C593" t="s">
        <v>19016</v>
      </c>
      <c r="D593" t="str">
        <f>"68194-14-9"</f>
        <v>68194-14-9</v>
      </c>
      <c r="E593" t="str">
        <f t="shared" si="29"/>
        <v xml:space="preserve">Organische parameters </v>
      </c>
      <c r="F593" t="str">
        <f t="shared" si="28"/>
        <v xml:space="preserve">Polychloorbifenylen (PCB's) </v>
      </c>
      <c r="G593" t="str">
        <f>""</f>
        <v/>
      </c>
    </row>
    <row r="594" spans="1:7" x14ac:dyDescent="0.25">
      <c r="A594">
        <v>1337</v>
      </c>
      <c r="B594" t="str">
        <f>"2,2',3,4,6,6'-hexachloorbifenyl"</f>
        <v>2,2',3,4,6,6'-hexachloorbifenyl</v>
      </c>
      <c r="C594" t="s">
        <v>19016</v>
      </c>
      <c r="D594" t="str">
        <f>"74472-40-5"</f>
        <v>74472-40-5</v>
      </c>
      <c r="E594" t="str">
        <f t="shared" si="29"/>
        <v xml:space="preserve">Organische parameters </v>
      </c>
      <c r="F594" t="str">
        <f t="shared" si="28"/>
        <v xml:space="preserve">Polychloorbifenylen (PCB's) </v>
      </c>
      <c r="G594" t="str">
        <f>""</f>
        <v/>
      </c>
    </row>
    <row r="595" spans="1:7" x14ac:dyDescent="0.25">
      <c r="A595">
        <v>1338</v>
      </c>
      <c r="B595" t="str">
        <f>"2,2',3,4',5,5'-hexachloorbifenyl"</f>
        <v>2,2',3,4',5,5'-hexachloorbifenyl</v>
      </c>
      <c r="C595" t="s">
        <v>19016</v>
      </c>
      <c r="D595" t="str">
        <f>"51908-16-8"</f>
        <v>51908-16-8</v>
      </c>
      <c r="E595" t="str">
        <f t="shared" si="29"/>
        <v xml:space="preserve">Organische parameters </v>
      </c>
      <c r="F595" t="str">
        <f t="shared" si="28"/>
        <v xml:space="preserve">Polychloorbifenylen (PCB's) </v>
      </c>
      <c r="G595" t="str">
        <f>""</f>
        <v/>
      </c>
    </row>
    <row r="596" spans="1:7" x14ac:dyDescent="0.25">
      <c r="A596">
        <v>1339</v>
      </c>
      <c r="B596" t="str">
        <f>"2,2',3,4',5,6-hexachloorbifenyl"</f>
        <v>2,2',3,4',5,6-hexachloorbifenyl</v>
      </c>
      <c r="C596" t="s">
        <v>19016</v>
      </c>
      <c r="D596" t="str">
        <f>"68194-13-8"</f>
        <v>68194-13-8</v>
      </c>
      <c r="E596" t="str">
        <f t="shared" si="29"/>
        <v xml:space="preserve">Organische parameters </v>
      </c>
      <c r="F596" t="str">
        <f t="shared" si="28"/>
        <v xml:space="preserve">Polychloorbifenylen (PCB's) </v>
      </c>
      <c r="G596" t="str">
        <f>""</f>
        <v/>
      </c>
    </row>
    <row r="597" spans="1:7" x14ac:dyDescent="0.25">
      <c r="A597">
        <v>1340</v>
      </c>
      <c r="B597" t="str">
        <f>"2,2',3,4',5,6'-hexachloorbifenyl"</f>
        <v>2,2',3,4',5,6'-hexachloorbifenyl</v>
      </c>
      <c r="C597" t="s">
        <v>19016</v>
      </c>
      <c r="D597" t="str">
        <f>"74472-41-6"</f>
        <v>74472-41-6</v>
      </c>
      <c r="E597" t="str">
        <f t="shared" si="29"/>
        <v xml:space="preserve">Organische parameters </v>
      </c>
      <c r="F597" t="str">
        <f t="shared" si="28"/>
        <v xml:space="preserve">Polychloorbifenylen (PCB's) </v>
      </c>
      <c r="G597" t="str">
        <f>""</f>
        <v/>
      </c>
    </row>
    <row r="598" spans="1:7" x14ac:dyDescent="0.25">
      <c r="A598">
        <v>1341</v>
      </c>
      <c r="B598" t="str">
        <f>"2,2',3,4',5',6-hexachloorbifenyl"</f>
        <v>2,2',3,4',5',6-hexachloorbifenyl</v>
      </c>
      <c r="C598" t="s">
        <v>19016</v>
      </c>
      <c r="D598" t="str">
        <f>"38380-04-0"</f>
        <v>38380-04-0</v>
      </c>
      <c r="E598" t="str">
        <f t="shared" si="29"/>
        <v xml:space="preserve">Organische parameters </v>
      </c>
      <c r="F598" t="str">
        <f t="shared" si="28"/>
        <v xml:space="preserve">Polychloorbifenylen (PCB's) </v>
      </c>
      <c r="G598" t="str">
        <f>""</f>
        <v/>
      </c>
    </row>
    <row r="599" spans="1:7" x14ac:dyDescent="0.25">
      <c r="A599">
        <v>1342</v>
      </c>
      <c r="B599" t="str">
        <f>"2,2',3,4',6,6'-hexachloorbifenyl"</f>
        <v>2,2',3,4',6,6'-hexachloorbifenyl</v>
      </c>
      <c r="C599" t="s">
        <v>19016</v>
      </c>
      <c r="D599" t="str">
        <f>"68194-08-1"</f>
        <v>68194-08-1</v>
      </c>
      <c r="E599" t="str">
        <f t="shared" si="29"/>
        <v xml:space="preserve">Organische parameters </v>
      </c>
      <c r="F599" t="str">
        <f t="shared" si="28"/>
        <v xml:space="preserve">Polychloorbifenylen (PCB's) </v>
      </c>
      <c r="G599" t="str">
        <f>""</f>
        <v/>
      </c>
    </row>
    <row r="600" spans="1:7" x14ac:dyDescent="0.25">
      <c r="A600">
        <v>1343</v>
      </c>
      <c r="B600" t="str">
        <f>"2,2',3,5,5',6-hexachloorbifenyl"</f>
        <v>2,2',3,5,5',6-hexachloorbifenyl</v>
      </c>
      <c r="C600" t="s">
        <v>19016</v>
      </c>
      <c r="D600" t="str">
        <f>"52663-63-5"</f>
        <v>52663-63-5</v>
      </c>
      <c r="E600" t="str">
        <f t="shared" si="29"/>
        <v xml:space="preserve">Organische parameters </v>
      </c>
      <c r="F600" t="str">
        <f t="shared" si="28"/>
        <v xml:space="preserve">Polychloorbifenylen (PCB's) </v>
      </c>
      <c r="G600" t="str">
        <f>""</f>
        <v/>
      </c>
    </row>
    <row r="601" spans="1:7" x14ac:dyDescent="0.25">
      <c r="A601">
        <v>1344</v>
      </c>
      <c r="B601" t="str">
        <f>"2,2',3,5,6,6'-hexachloorbifenyl"</f>
        <v>2,2',3,5,6,6'-hexachloorbifenyl</v>
      </c>
      <c r="C601" t="s">
        <v>19016</v>
      </c>
      <c r="D601" t="str">
        <f>"68194-09-2"</f>
        <v>68194-09-2</v>
      </c>
      <c r="E601" t="str">
        <f t="shared" si="29"/>
        <v xml:space="preserve">Organische parameters </v>
      </c>
      <c r="F601" t="str">
        <f t="shared" si="28"/>
        <v xml:space="preserve">Polychloorbifenylen (PCB's) </v>
      </c>
      <c r="G601" t="str">
        <f>""</f>
        <v/>
      </c>
    </row>
    <row r="602" spans="1:7" x14ac:dyDescent="0.25">
      <c r="A602">
        <v>1345</v>
      </c>
      <c r="B602" t="str">
        <f>"2,2',4,4',5,5'-hexachloorbifenyl"</f>
        <v>2,2',4,4',5,5'-hexachloorbifenyl</v>
      </c>
      <c r="C602" t="s">
        <v>19016</v>
      </c>
      <c r="D602" t="str">
        <f>"35065-27-1"</f>
        <v>35065-27-1</v>
      </c>
      <c r="E602" t="str">
        <f t="shared" si="29"/>
        <v xml:space="preserve">Organische parameters </v>
      </c>
      <c r="F602" t="str">
        <f t="shared" si="28"/>
        <v xml:space="preserve">Polychloorbifenylen (PCB's) </v>
      </c>
      <c r="G602" t="str">
        <f>""</f>
        <v/>
      </c>
    </row>
    <row r="603" spans="1:7" x14ac:dyDescent="0.25">
      <c r="A603">
        <v>1346</v>
      </c>
      <c r="B603" t="str">
        <f>"2,2',4,4',5,6'-hexachloorbifenyl"</f>
        <v>2,2',4,4',5,6'-hexachloorbifenyl</v>
      </c>
      <c r="C603" t="s">
        <v>19016</v>
      </c>
      <c r="D603" t="str">
        <f>"60145-22-4"</f>
        <v>60145-22-4</v>
      </c>
      <c r="E603" t="str">
        <f t="shared" si="29"/>
        <v xml:space="preserve">Organische parameters </v>
      </c>
      <c r="F603" t="str">
        <f t="shared" si="28"/>
        <v xml:space="preserve">Polychloorbifenylen (PCB's) </v>
      </c>
      <c r="G603" t="str">
        <f>""</f>
        <v/>
      </c>
    </row>
    <row r="604" spans="1:7" x14ac:dyDescent="0.25">
      <c r="A604">
        <v>1347</v>
      </c>
      <c r="B604" t="str">
        <f>"2,2',4,4',6,6'-hexachloorbifenyl"</f>
        <v>2,2',4,4',6,6'-hexachloorbifenyl</v>
      </c>
      <c r="C604" t="s">
        <v>19016</v>
      </c>
      <c r="D604" t="str">
        <f>"33979-03-2"</f>
        <v>33979-03-2</v>
      </c>
      <c r="E604" t="str">
        <f t="shared" si="29"/>
        <v xml:space="preserve">Organische parameters </v>
      </c>
      <c r="F604" t="str">
        <f t="shared" si="28"/>
        <v xml:space="preserve">Polychloorbifenylen (PCB's) </v>
      </c>
      <c r="G604" t="str">
        <f>""</f>
        <v/>
      </c>
    </row>
    <row r="605" spans="1:7" x14ac:dyDescent="0.25">
      <c r="A605">
        <v>1348</v>
      </c>
      <c r="B605" t="str">
        <f>"2,3,3',4,4',5-hexachloorbifenyl"</f>
        <v>2,3,3',4,4',5-hexachloorbifenyl</v>
      </c>
      <c r="C605" t="s">
        <v>19016</v>
      </c>
      <c r="D605" t="str">
        <f>"38380-08-4"</f>
        <v>38380-08-4</v>
      </c>
      <c r="E605" t="str">
        <f t="shared" si="29"/>
        <v xml:space="preserve">Organische parameters </v>
      </c>
      <c r="F605" t="str">
        <f t="shared" si="28"/>
        <v xml:space="preserve">Polychloorbifenylen (PCB's) </v>
      </c>
      <c r="G605" t="str">
        <f>""</f>
        <v/>
      </c>
    </row>
    <row r="606" spans="1:7" x14ac:dyDescent="0.25">
      <c r="A606">
        <v>1349</v>
      </c>
      <c r="B606" t="str">
        <f>"2,3,3',4,4',5'-hexachloorbifenyl"</f>
        <v>2,3,3',4,4',5'-hexachloorbifenyl</v>
      </c>
      <c r="C606" t="s">
        <v>19016</v>
      </c>
      <c r="D606" t="str">
        <f>"69782-90-7"</f>
        <v>69782-90-7</v>
      </c>
      <c r="E606" t="str">
        <f t="shared" si="29"/>
        <v xml:space="preserve">Organische parameters </v>
      </c>
      <c r="F606" t="str">
        <f t="shared" si="28"/>
        <v xml:space="preserve">Polychloorbifenylen (PCB's) </v>
      </c>
      <c r="G606" t="str">
        <f>""</f>
        <v/>
      </c>
    </row>
    <row r="607" spans="1:7" x14ac:dyDescent="0.25">
      <c r="A607">
        <v>1350</v>
      </c>
      <c r="B607" t="str">
        <f>"2,3,3',4,4',6-hexachloorbifenyl"</f>
        <v>2,3,3',4,4',6-hexachloorbifenyl</v>
      </c>
      <c r="C607" t="s">
        <v>19016</v>
      </c>
      <c r="D607" t="str">
        <f>"74472-42-7"</f>
        <v>74472-42-7</v>
      </c>
      <c r="E607" t="str">
        <f t="shared" si="29"/>
        <v xml:space="preserve">Organische parameters </v>
      </c>
      <c r="F607" t="str">
        <f t="shared" si="28"/>
        <v xml:space="preserve">Polychloorbifenylen (PCB's) </v>
      </c>
      <c r="G607" t="str">
        <f>""</f>
        <v/>
      </c>
    </row>
    <row r="608" spans="1:7" x14ac:dyDescent="0.25">
      <c r="A608">
        <v>1351</v>
      </c>
      <c r="B608" t="str">
        <f>"2,3,3',4,5,5'-hexachloorbifenyl"</f>
        <v>2,3,3',4,5,5'-hexachloorbifenyl</v>
      </c>
      <c r="C608" t="s">
        <v>19016</v>
      </c>
      <c r="D608" t="str">
        <f>"39635-35-3"</f>
        <v>39635-35-3</v>
      </c>
      <c r="E608" t="str">
        <f t="shared" si="29"/>
        <v xml:space="preserve">Organische parameters </v>
      </c>
      <c r="F608" t="str">
        <f t="shared" si="28"/>
        <v xml:space="preserve">Polychloorbifenylen (PCB's) </v>
      </c>
      <c r="G608" t="str">
        <f>""</f>
        <v/>
      </c>
    </row>
    <row r="609" spans="1:7" x14ac:dyDescent="0.25">
      <c r="A609">
        <v>1352</v>
      </c>
      <c r="B609" t="str">
        <f>"2,3,3',4,5,6-hexachloorbifenyl"</f>
        <v>2,3,3',4,5,6-hexachloorbifenyl</v>
      </c>
      <c r="C609" t="s">
        <v>19016</v>
      </c>
      <c r="D609" t="str">
        <f>"41411-62-5"</f>
        <v>41411-62-5</v>
      </c>
      <c r="E609" t="str">
        <f t="shared" si="29"/>
        <v xml:space="preserve">Organische parameters </v>
      </c>
      <c r="F609" t="str">
        <f t="shared" si="28"/>
        <v xml:space="preserve">Polychloorbifenylen (PCB's) </v>
      </c>
      <c r="G609" t="str">
        <f>""</f>
        <v/>
      </c>
    </row>
    <row r="610" spans="1:7" x14ac:dyDescent="0.25">
      <c r="A610">
        <v>1353</v>
      </c>
      <c r="B610" t="str">
        <f>"2,3,3',4,5',6-hexachloorbifenyl"</f>
        <v>2,3,3',4,5',6-hexachloorbifenyl</v>
      </c>
      <c r="C610" t="s">
        <v>19016</v>
      </c>
      <c r="D610" t="str">
        <f>"74472-43-8"</f>
        <v>74472-43-8</v>
      </c>
      <c r="E610" t="str">
        <f t="shared" si="29"/>
        <v xml:space="preserve">Organische parameters </v>
      </c>
      <c r="F610" t="str">
        <f t="shared" si="28"/>
        <v xml:space="preserve">Polychloorbifenylen (PCB's) </v>
      </c>
      <c r="G610" t="str">
        <f>""</f>
        <v/>
      </c>
    </row>
    <row r="611" spans="1:7" x14ac:dyDescent="0.25">
      <c r="A611">
        <v>1354</v>
      </c>
      <c r="B611" t="str">
        <f>"2,3,3',4',5,5'-hexachloorbifenyl"</f>
        <v>2,3,3',4',5,5'-hexachloorbifenyl</v>
      </c>
      <c r="C611" t="s">
        <v>19016</v>
      </c>
      <c r="D611" t="str">
        <f>"39635-34-2"</f>
        <v>39635-34-2</v>
      </c>
      <c r="E611" t="str">
        <f t="shared" si="29"/>
        <v xml:space="preserve">Organische parameters </v>
      </c>
      <c r="F611" t="str">
        <f t="shared" si="28"/>
        <v xml:space="preserve">Polychloorbifenylen (PCB's) </v>
      </c>
      <c r="G611" t="str">
        <f>""</f>
        <v/>
      </c>
    </row>
    <row r="612" spans="1:7" x14ac:dyDescent="0.25">
      <c r="A612">
        <v>1355</v>
      </c>
      <c r="B612" t="str">
        <f>"2,3,3',4',5,6-hexachloorbifenyl"</f>
        <v>2,3,3',4',5,6-hexachloorbifenyl</v>
      </c>
      <c r="C612" t="s">
        <v>19016</v>
      </c>
      <c r="D612" t="str">
        <f>"74472-44-9"</f>
        <v>74472-44-9</v>
      </c>
      <c r="E612" t="str">
        <f t="shared" si="29"/>
        <v xml:space="preserve">Organische parameters </v>
      </c>
      <c r="F612" t="str">
        <f t="shared" si="28"/>
        <v xml:space="preserve">Polychloorbifenylen (PCB's) </v>
      </c>
      <c r="G612" t="str">
        <f>""</f>
        <v/>
      </c>
    </row>
    <row r="613" spans="1:7" x14ac:dyDescent="0.25">
      <c r="A613">
        <v>1356</v>
      </c>
      <c r="B613" t="str">
        <f>"2,3,3',4',5',6-hexachloorbifenyl"</f>
        <v>2,3,3',4',5',6-hexachloorbifenyl</v>
      </c>
      <c r="C613" t="s">
        <v>19016</v>
      </c>
      <c r="D613" t="str">
        <f>"74472-45-0"</f>
        <v>74472-45-0</v>
      </c>
      <c r="E613" t="str">
        <f t="shared" si="29"/>
        <v xml:space="preserve">Organische parameters </v>
      </c>
      <c r="F613" t="str">
        <f t="shared" si="28"/>
        <v xml:space="preserve">Polychloorbifenylen (PCB's) </v>
      </c>
      <c r="G613" t="str">
        <f>""</f>
        <v/>
      </c>
    </row>
    <row r="614" spans="1:7" x14ac:dyDescent="0.25">
      <c r="A614">
        <v>1357</v>
      </c>
      <c r="B614" t="str">
        <f>"2,3,3',5,5',6-hexachloorbifenyl"</f>
        <v>2,3,3',5,5',6-hexachloorbifenyl</v>
      </c>
      <c r="C614" t="s">
        <v>19016</v>
      </c>
      <c r="D614" t="str">
        <f>"74472-46-1"</f>
        <v>74472-46-1</v>
      </c>
      <c r="E614" t="str">
        <f t="shared" si="29"/>
        <v xml:space="preserve">Organische parameters </v>
      </c>
      <c r="F614" t="str">
        <f t="shared" si="28"/>
        <v xml:space="preserve">Polychloorbifenylen (PCB's) </v>
      </c>
      <c r="G614" t="str">
        <f>""</f>
        <v/>
      </c>
    </row>
    <row r="615" spans="1:7" x14ac:dyDescent="0.25">
      <c r="A615">
        <v>1358</v>
      </c>
      <c r="B615" t="str">
        <f>"2,3,4,4',5,6-hexachloorbifenyl"</f>
        <v>2,3,4,4',5,6-hexachloorbifenyl</v>
      </c>
      <c r="C615" t="s">
        <v>19016</v>
      </c>
      <c r="D615" t="str">
        <f>"41411-63-6"</f>
        <v>41411-63-6</v>
      </c>
      <c r="E615" t="str">
        <f t="shared" si="29"/>
        <v xml:space="preserve">Organische parameters </v>
      </c>
      <c r="F615" t="str">
        <f t="shared" si="28"/>
        <v xml:space="preserve">Polychloorbifenylen (PCB's) </v>
      </c>
      <c r="G615" t="str">
        <f>""</f>
        <v/>
      </c>
    </row>
    <row r="616" spans="1:7" x14ac:dyDescent="0.25">
      <c r="A616">
        <v>1359</v>
      </c>
      <c r="B616" t="str">
        <f>"2,3',4,4',5,5'-hexachloorbifenyl"</f>
        <v>2,3',4,4',5,5'-hexachloorbifenyl</v>
      </c>
      <c r="C616" t="s">
        <v>19016</v>
      </c>
      <c r="D616" t="str">
        <f>"52663-72-6"</f>
        <v>52663-72-6</v>
      </c>
      <c r="E616" t="str">
        <f t="shared" si="29"/>
        <v xml:space="preserve">Organische parameters </v>
      </c>
      <c r="F616" t="str">
        <f t="shared" si="28"/>
        <v xml:space="preserve">Polychloorbifenylen (PCB's) </v>
      </c>
      <c r="G616" t="str">
        <f>""</f>
        <v/>
      </c>
    </row>
    <row r="617" spans="1:7" x14ac:dyDescent="0.25">
      <c r="A617">
        <v>1360</v>
      </c>
      <c r="B617" t="str">
        <f>"2,3',4,4',5',6-hexachloorbifenyl"</f>
        <v>2,3',4,4',5',6-hexachloorbifenyl</v>
      </c>
      <c r="C617" t="s">
        <v>19016</v>
      </c>
      <c r="D617" t="str">
        <f>"59291-65-5"</f>
        <v>59291-65-5</v>
      </c>
      <c r="E617" t="str">
        <f t="shared" si="29"/>
        <v xml:space="preserve">Organische parameters </v>
      </c>
      <c r="F617" t="str">
        <f t="shared" si="28"/>
        <v xml:space="preserve">Polychloorbifenylen (PCB's) </v>
      </c>
      <c r="G617" t="str">
        <f>""</f>
        <v/>
      </c>
    </row>
    <row r="618" spans="1:7" x14ac:dyDescent="0.25">
      <c r="A618">
        <v>1361</v>
      </c>
      <c r="B618" t="str">
        <f>"3,3',4,4',5,5'-hexachloorbifenyl"</f>
        <v>3,3',4,4',5,5'-hexachloorbifenyl</v>
      </c>
      <c r="C618" t="s">
        <v>19016</v>
      </c>
      <c r="D618" t="str">
        <f>"32774-16-6"</f>
        <v>32774-16-6</v>
      </c>
      <c r="E618" t="str">
        <f t="shared" si="29"/>
        <v xml:space="preserve">Organische parameters </v>
      </c>
      <c r="F618" t="str">
        <f t="shared" si="28"/>
        <v xml:space="preserve">Polychloorbifenylen (PCB's) </v>
      </c>
      <c r="G618" t="str">
        <f>""</f>
        <v/>
      </c>
    </row>
    <row r="619" spans="1:7" x14ac:dyDescent="0.25">
      <c r="A619">
        <v>1362</v>
      </c>
      <c r="B619" t="str">
        <f>"2,2',3,3',4,4',5-heptachloorbifenyl"</f>
        <v>2,2',3,3',4,4',5-heptachloorbifenyl</v>
      </c>
      <c r="C619" t="s">
        <v>19016</v>
      </c>
      <c r="D619" t="str">
        <f>"35065-30-6"</f>
        <v>35065-30-6</v>
      </c>
      <c r="E619" t="str">
        <f t="shared" si="29"/>
        <v xml:space="preserve">Organische parameters </v>
      </c>
      <c r="F619" t="str">
        <f t="shared" si="28"/>
        <v xml:space="preserve">Polychloorbifenylen (PCB's) </v>
      </c>
      <c r="G619" t="str">
        <f>""</f>
        <v/>
      </c>
    </row>
    <row r="620" spans="1:7" x14ac:dyDescent="0.25">
      <c r="A620">
        <v>1363</v>
      </c>
      <c r="B620" t="str">
        <f>"2,2',3,3',4,4',6-heptachloorbifenyl"</f>
        <v>2,2',3,3',4,4',6-heptachloorbifenyl</v>
      </c>
      <c r="C620" t="s">
        <v>19016</v>
      </c>
      <c r="D620" t="str">
        <f>"52663-71-5"</f>
        <v>52663-71-5</v>
      </c>
      <c r="E620" t="str">
        <f t="shared" si="29"/>
        <v xml:space="preserve">Organische parameters </v>
      </c>
      <c r="F620" t="str">
        <f t="shared" si="28"/>
        <v xml:space="preserve">Polychloorbifenylen (PCB's) </v>
      </c>
      <c r="G620" t="str">
        <f>""</f>
        <v/>
      </c>
    </row>
    <row r="621" spans="1:7" x14ac:dyDescent="0.25">
      <c r="A621">
        <v>1364</v>
      </c>
      <c r="B621" t="str">
        <f>"2,2',3,3',4,5,5'-heptachloorbifenyl"</f>
        <v>2,2',3,3',4,5,5'-heptachloorbifenyl</v>
      </c>
      <c r="C621" t="s">
        <v>19016</v>
      </c>
      <c r="D621" t="str">
        <f>"52663-74-8"</f>
        <v>52663-74-8</v>
      </c>
      <c r="E621" t="str">
        <f t="shared" si="29"/>
        <v xml:space="preserve">Organische parameters </v>
      </c>
      <c r="F621" t="str">
        <f t="shared" si="28"/>
        <v xml:space="preserve">Polychloorbifenylen (PCB's) </v>
      </c>
      <c r="G621" t="str">
        <f>""</f>
        <v/>
      </c>
    </row>
    <row r="622" spans="1:7" x14ac:dyDescent="0.25">
      <c r="A622">
        <v>1365</v>
      </c>
      <c r="B622" t="str">
        <f>"2,2',3,3',4,5,6-heptachloorbifenyl"</f>
        <v>2,2',3,3',4,5,6-heptachloorbifenyl</v>
      </c>
      <c r="C622" t="s">
        <v>19016</v>
      </c>
      <c r="D622" t="str">
        <f>"68194-16-1"</f>
        <v>68194-16-1</v>
      </c>
      <c r="E622" t="str">
        <f t="shared" si="29"/>
        <v xml:space="preserve">Organische parameters </v>
      </c>
      <c r="F622" t="str">
        <f t="shared" si="28"/>
        <v xml:space="preserve">Polychloorbifenylen (PCB's) </v>
      </c>
      <c r="G622" t="str">
        <f>""</f>
        <v/>
      </c>
    </row>
    <row r="623" spans="1:7" x14ac:dyDescent="0.25">
      <c r="A623">
        <v>1366</v>
      </c>
      <c r="B623" t="str">
        <f>"2,2',3,3',4,5,6'-heptachloorbifenyl"</f>
        <v>2,2',3,3',4,5,6'-heptachloorbifenyl</v>
      </c>
      <c r="C623" t="s">
        <v>19016</v>
      </c>
      <c r="D623" t="str">
        <f>"38411-25-5"</f>
        <v>38411-25-5</v>
      </c>
      <c r="E623" t="str">
        <f t="shared" si="29"/>
        <v xml:space="preserve">Organische parameters </v>
      </c>
      <c r="F623" t="str">
        <f t="shared" si="28"/>
        <v xml:space="preserve">Polychloorbifenylen (PCB's) </v>
      </c>
      <c r="G623" t="str">
        <f>""</f>
        <v/>
      </c>
    </row>
    <row r="624" spans="1:7" x14ac:dyDescent="0.25">
      <c r="A624">
        <v>1367</v>
      </c>
      <c r="B624" t="str">
        <f>"2,2',3,3',4,5',6-heptachloorbifenyl"</f>
        <v>2,2',3,3',4,5',6-heptachloorbifenyl</v>
      </c>
      <c r="C624" t="s">
        <v>19016</v>
      </c>
      <c r="D624" t="str">
        <f>"40186-70-7"</f>
        <v>40186-70-7</v>
      </c>
      <c r="E624" t="str">
        <f t="shared" si="29"/>
        <v xml:space="preserve">Organische parameters </v>
      </c>
      <c r="F624" t="str">
        <f t="shared" si="28"/>
        <v xml:space="preserve">Polychloorbifenylen (PCB's) </v>
      </c>
      <c r="G624" t="str">
        <f>""</f>
        <v/>
      </c>
    </row>
    <row r="625" spans="1:7" x14ac:dyDescent="0.25">
      <c r="A625">
        <v>1368</v>
      </c>
      <c r="B625" t="str">
        <f>"2,2',3,3',4,6,6'-heptachloorbifenyl"</f>
        <v>2,2',3,3',4,6,6'-heptachloorbifenyl</v>
      </c>
      <c r="C625" t="s">
        <v>19016</v>
      </c>
      <c r="D625" t="str">
        <f>"52663-65-7"</f>
        <v>52663-65-7</v>
      </c>
      <c r="E625" t="str">
        <f t="shared" si="29"/>
        <v xml:space="preserve">Organische parameters </v>
      </c>
      <c r="F625" t="str">
        <f t="shared" si="28"/>
        <v xml:space="preserve">Polychloorbifenylen (PCB's) </v>
      </c>
      <c r="G625" t="str">
        <f>""</f>
        <v/>
      </c>
    </row>
    <row r="626" spans="1:7" x14ac:dyDescent="0.25">
      <c r="A626">
        <v>1369</v>
      </c>
      <c r="B626" t="str">
        <f>"2,2',3,3',4,5',6'-heptachloorbifenyl"</f>
        <v>2,2',3,3',4,5',6'-heptachloorbifenyl</v>
      </c>
      <c r="C626" t="s">
        <v>19016</v>
      </c>
      <c r="D626" t="str">
        <f>"52663-70-4"</f>
        <v>52663-70-4</v>
      </c>
      <c r="E626" t="str">
        <f t="shared" si="29"/>
        <v xml:space="preserve">Organische parameters </v>
      </c>
      <c r="F626" t="str">
        <f t="shared" si="28"/>
        <v xml:space="preserve">Polychloorbifenylen (PCB's) </v>
      </c>
      <c r="G626" t="str">
        <f>""</f>
        <v/>
      </c>
    </row>
    <row r="627" spans="1:7" x14ac:dyDescent="0.25">
      <c r="A627">
        <v>1370</v>
      </c>
      <c r="B627" t="str">
        <f>"2,2',3,3',5,5',6-heptachloorbifenyl"</f>
        <v>2,2',3,3',5,5',6-heptachloorbifenyl</v>
      </c>
      <c r="C627" t="s">
        <v>19016</v>
      </c>
      <c r="D627" t="str">
        <f>"52663-67-9"</f>
        <v>52663-67-9</v>
      </c>
      <c r="E627" t="str">
        <f t="shared" si="29"/>
        <v xml:space="preserve">Organische parameters </v>
      </c>
      <c r="F627" t="str">
        <f t="shared" si="28"/>
        <v xml:space="preserve">Polychloorbifenylen (PCB's) </v>
      </c>
      <c r="G627" t="str">
        <f>""</f>
        <v/>
      </c>
    </row>
    <row r="628" spans="1:7" x14ac:dyDescent="0.25">
      <c r="A628">
        <v>1371</v>
      </c>
      <c r="B628" t="str">
        <f>"2,2',3,3',5,6,6'-heptachloorbifenyl"</f>
        <v>2,2',3,3',5,6,6'-heptachloorbifenyl</v>
      </c>
      <c r="C628" t="s">
        <v>19016</v>
      </c>
      <c r="D628" t="str">
        <f>"52663-64-6"</f>
        <v>52663-64-6</v>
      </c>
      <c r="E628" t="str">
        <f t="shared" si="29"/>
        <v xml:space="preserve">Organische parameters </v>
      </c>
      <c r="F628" t="str">
        <f t="shared" si="28"/>
        <v xml:space="preserve">Polychloorbifenylen (PCB's) </v>
      </c>
      <c r="G628" t="str">
        <f>""</f>
        <v/>
      </c>
    </row>
    <row r="629" spans="1:7" x14ac:dyDescent="0.25">
      <c r="A629">
        <v>1372</v>
      </c>
      <c r="B629" t="str">
        <f>"2,2',3,4,4',5,5'-heptachloorbifenyl"</f>
        <v>2,2',3,4,4',5,5'-heptachloorbifenyl</v>
      </c>
      <c r="C629" t="s">
        <v>19016</v>
      </c>
      <c r="D629" t="str">
        <f>"35065-29-3"</f>
        <v>35065-29-3</v>
      </c>
      <c r="E629" t="str">
        <f t="shared" si="29"/>
        <v xml:space="preserve">Organische parameters </v>
      </c>
      <c r="F629" t="str">
        <f t="shared" si="28"/>
        <v xml:space="preserve">Polychloorbifenylen (PCB's) </v>
      </c>
      <c r="G629" t="str">
        <f>""</f>
        <v/>
      </c>
    </row>
    <row r="630" spans="1:7" x14ac:dyDescent="0.25">
      <c r="A630">
        <v>1373</v>
      </c>
      <c r="B630" t="str">
        <f>"2,2',3,4,4',5,6-heptachloorbifenyl"</f>
        <v>2,2',3,4,4',5,6-heptachloorbifenyl</v>
      </c>
      <c r="C630" t="s">
        <v>19016</v>
      </c>
      <c r="D630" t="str">
        <f>"74472-47-2"</f>
        <v>74472-47-2</v>
      </c>
      <c r="E630" t="str">
        <f t="shared" si="29"/>
        <v xml:space="preserve">Organische parameters </v>
      </c>
      <c r="F630" t="str">
        <f t="shared" si="28"/>
        <v xml:space="preserve">Polychloorbifenylen (PCB's) </v>
      </c>
      <c r="G630" t="str">
        <f>""</f>
        <v/>
      </c>
    </row>
    <row r="631" spans="1:7" x14ac:dyDescent="0.25">
      <c r="A631">
        <v>1374</v>
      </c>
      <c r="B631" t="str">
        <f>"2,2',3,4,4',5,6'-heptachloorbifenyl"</f>
        <v>2,2',3,4,4',5,6'-heptachloorbifenyl</v>
      </c>
      <c r="C631" t="s">
        <v>19016</v>
      </c>
      <c r="D631" t="str">
        <f>"60145-23-5"</f>
        <v>60145-23-5</v>
      </c>
      <c r="E631" t="str">
        <f t="shared" si="29"/>
        <v xml:space="preserve">Organische parameters </v>
      </c>
      <c r="F631" t="str">
        <f t="shared" si="28"/>
        <v xml:space="preserve">Polychloorbifenylen (PCB's) </v>
      </c>
      <c r="G631" t="str">
        <f>""</f>
        <v/>
      </c>
    </row>
    <row r="632" spans="1:7" x14ac:dyDescent="0.25">
      <c r="A632">
        <v>1375</v>
      </c>
      <c r="B632" t="str">
        <f>"2,2',3,4,4',5',6-heptachloorbifenyl"</f>
        <v>2,2',3,4,4',5',6-heptachloorbifenyl</v>
      </c>
      <c r="C632" t="s">
        <v>19016</v>
      </c>
      <c r="D632" t="str">
        <f>"52663-69-1"</f>
        <v>52663-69-1</v>
      </c>
      <c r="E632" t="str">
        <f t="shared" si="29"/>
        <v xml:space="preserve">Organische parameters </v>
      </c>
      <c r="F632" t="str">
        <f t="shared" si="28"/>
        <v xml:space="preserve">Polychloorbifenylen (PCB's) </v>
      </c>
      <c r="G632" t="str">
        <f>""</f>
        <v/>
      </c>
    </row>
    <row r="633" spans="1:7" x14ac:dyDescent="0.25">
      <c r="A633">
        <v>1376</v>
      </c>
      <c r="B633" t="str">
        <f>"2,2',3,4,4',6,6'-heptachloorbifenyl"</f>
        <v>2,2',3,4,4',6,6'-heptachloorbifenyl</v>
      </c>
      <c r="C633" t="s">
        <v>19016</v>
      </c>
      <c r="D633" t="str">
        <f>"74472-48-3"</f>
        <v>74472-48-3</v>
      </c>
      <c r="E633" t="str">
        <f t="shared" si="29"/>
        <v xml:space="preserve">Organische parameters </v>
      </c>
      <c r="F633" t="str">
        <f t="shared" si="28"/>
        <v xml:space="preserve">Polychloorbifenylen (PCB's) </v>
      </c>
      <c r="G633" t="str">
        <f>""</f>
        <v/>
      </c>
    </row>
    <row r="634" spans="1:7" x14ac:dyDescent="0.25">
      <c r="A634">
        <v>1377</v>
      </c>
      <c r="B634" t="str">
        <f>"2,2',3,4,5,5',6-heptachloorbifenyl"</f>
        <v>2,2',3,4,5,5',6-heptachloorbifenyl</v>
      </c>
      <c r="C634" t="s">
        <v>19016</v>
      </c>
      <c r="D634" t="str">
        <f>"52712-05-7"</f>
        <v>52712-05-7</v>
      </c>
      <c r="E634" t="str">
        <f t="shared" si="29"/>
        <v xml:space="preserve">Organische parameters </v>
      </c>
      <c r="F634" t="str">
        <f t="shared" si="28"/>
        <v xml:space="preserve">Polychloorbifenylen (PCB's) </v>
      </c>
      <c r="G634" t="str">
        <f>""</f>
        <v/>
      </c>
    </row>
    <row r="635" spans="1:7" x14ac:dyDescent="0.25">
      <c r="A635">
        <v>1378</v>
      </c>
      <c r="B635" t="str">
        <f>"2,2',3,4,5,6,6'-heptachloorbifenyl"</f>
        <v>2,2',3,4,5,6,6'-heptachloorbifenyl</v>
      </c>
      <c r="C635" t="s">
        <v>19016</v>
      </c>
      <c r="D635" t="str">
        <f>"74472-49-4"</f>
        <v>74472-49-4</v>
      </c>
      <c r="E635" t="str">
        <f t="shared" si="29"/>
        <v xml:space="preserve">Organische parameters </v>
      </c>
      <c r="F635" t="str">
        <f t="shared" si="28"/>
        <v xml:space="preserve">Polychloorbifenylen (PCB's) </v>
      </c>
      <c r="G635" t="str">
        <f>""</f>
        <v/>
      </c>
    </row>
    <row r="636" spans="1:7" x14ac:dyDescent="0.25">
      <c r="A636">
        <v>1379</v>
      </c>
      <c r="B636" t="str">
        <f>"2,2',3,4',5,5',6-heptachloorbifenyl"</f>
        <v>2,2',3,4',5,5',6-heptachloorbifenyl</v>
      </c>
      <c r="C636" t="s">
        <v>19016</v>
      </c>
      <c r="D636" t="str">
        <f>"52663-68-0"</f>
        <v>52663-68-0</v>
      </c>
      <c r="E636" t="str">
        <f t="shared" si="29"/>
        <v xml:space="preserve">Organische parameters </v>
      </c>
      <c r="F636" t="str">
        <f t="shared" si="28"/>
        <v xml:space="preserve">Polychloorbifenylen (PCB's) </v>
      </c>
      <c r="G636" t="str">
        <f>""</f>
        <v/>
      </c>
    </row>
    <row r="637" spans="1:7" x14ac:dyDescent="0.25">
      <c r="A637">
        <v>1380</v>
      </c>
      <c r="B637" t="str">
        <f>"2,2',3,4',5,6,6'-heptachloorbifenyl"</f>
        <v>2,2',3,4',5,6,6'-heptachloorbifenyl</v>
      </c>
      <c r="C637" t="s">
        <v>19016</v>
      </c>
      <c r="D637" t="str">
        <f>"74487-85-7"</f>
        <v>74487-85-7</v>
      </c>
      <c r="E637" t="str">
        <f t="shared" si="29"/>
        <v xml:space="preserve">Organische parameters </v>
      </c>
      <c r="F637" t="str">
        <f t="shared" si="28"/>
        <v xml:space="preserve">Polychloorbifenylen (PCB's) </v>
      </c>
      <c r="G637" t="str">
        <f>""</f>
        <v/>
      </c>
    </row>
    <row r="638" spans="1:7" x14ac:dyDescent="0.25">
      <c r="A638">
        <v>1381</v>
      </c>
      <c r="B638" t="str">
        <f>"2,3,3',4,4',5,5'-heptachloorbifenyl"</f>
        <v>2,3,3',4,4',5,5'-heptachloorbifenyl</v>
      </c>
      <c r="C638" t="s">
        <v>19016</v>
      </c>
      <c r="D638" t="str">
        <f>"39635-31-9"</f>
        <v>39635-31-9</v>
      </c>
      <c r="E638" t="str">
        <f t="shared" si="29"/>
        <v xml:space="preserve">Organische parameters </v>
      </c>
      <c r="F638" t="str">
        <f t="shared" si="28"/>
        <v xml:space="preserve">Polychloorbifenylen (PCB's) </v>
      </c>
      <c r="G638" t="str">
        <f>""</f>
        <v/>
      </c>
    </row>
    <row r="639" spans="1:7" x14ac:dyDescent="0.25">
      <c r="A639">
        <v>1382</v>
      </c>
      <c r="B639" t="str">
        <f>"2,3,3',4,4',5,6-heptachloorbifenyl"</f>
        <v>2,3,3',4,4',5,6-heptachloorbifenyl</v>
      </c>
      <c r="C639" t="s">
        <v>19016</v>
      </c>
      <c r="D639" t="str">
        <f>"41411-64-7"</f>
        <v>41411-64-7</v>
      </c>
      <c r="E639" t="str">
        <f t="shared" si="29"/>
        <v xml:space="preserve">Organische parameters </v>
      </c>
      <c r="F639" t="str">
        <f t="shared" si="28"/>
        <v xml:space="preserve">Polychloorbifenylen (PCB's) </v>
      </c>
      <c r="G639" t="str">
        <f>""</f>
        <v/>
      </c>
    </row>
    <row r="640" spans="1:7" x14ac:dyDescent="0.25">
      <c r="A640">
        <v>1383</v>
      </c>
      <c r="B640" t="str">
        <f>"2,3,3',4,4',5',6-heptachloorbifenyl"</f>
        <v>2,3,3',4,4',5',6-heptachloorbifenyl</v>
      </c>
      <c r="C640" t="s">
        <v>19016</v>
      </c>
      <c r="D640" t="str">
        <f>"74472-50-7"</f>
        <v>74472-50-7</v>
      </c>
      <c r="E640" t="str">
        <f t="shared" si="29"/>
        <v xml:space="preserve">Organische parameters </v>
      </c>
      <c r="F640" t="str">
        <f t="shared" ref="F640:F658" si="30">"Polychloorbifenylen (PCB's) "</f>
        <v xml:space="preserve">Polychloorbifenylen (PCB's) </v>
      </c>
      <c r="G640" t="str">
        <f>""</f>
        <v/>
      </c>
    </row>
    <row r="641" spans="1:7" x14ac:dyDescent="0.25">
      <c r="A641">
        <v>1384</v>
      </c>
      <c r="B641" t="str">
        <f>"2,3,3',4,5,5',6-heptachloorbifenyl"</f>
        <v>2,3,3',4,5,5',6-heptachloorbifenyl</v>
      </c>
      <c r="C641" t="s">
        <v>19016</v>
      </c>
      <c r="D641" t="str">
        <f>"74472-51-8"</f>
        <v>74472-51-8</v>
      </c>
      <c r="E641" t="str">
        <f t="shared" si="29"/>
        <v xml:space="preserve">Organische parameters </v>
      </c>
      <c r="F641" t="str">
        <f t="shared" si="30"/>
        <v xml:space="preserve">Polychloorbifenylen (PCB's) </v>
      </c>
      <c r="G641" t="str">
        <f>""</f>
        <v/>
      </c>
    </row>
    <row r="642" spans="1:7" x14ac:dyDescent="0.25">
      <c r="A642">
        <v>1385</v>
      </c>
      <c r="B642" t="str">
        <f>"2,3,3',4',5,5',6-heptachloorbifenyl"</f>
        <v>2,3,3',4',5,5',6-heptachloorbifenyl</v>
      </c>
      <c r="C642" t="s">
        <v>19016</v>
      </c>
      <c r="D642" t="str">
        <f>"69782-91-8"</f>
        <v>69782-91-8</v>
      </c>
      <c r="E642" t="str">
        <f t="shared" si="29"/>
        <v xml:space="preserve">Organische parameters </v>
      </c>
      <c r="F642" t="str">
        <f t="shared" si="30"/>
        <v xml:space="preserve">Polychloorbifenylen (PCB's) </v>
      </c>
      <c r="G642" t="str">
        <f>""</f>
        <v/>
      </c>
    </row>
    <row r="643" spans="1:7" x14ac:dyDescent="0.25">
      <c r="A643">
        <v>1386</v>
      </c>
      <c r="B643" t="str">
        <f>"2,2',3,3',4,4',5,5'-octachloorbifenyl"</f>
        <v>2,2',3,3',4,4',5,5'-octachloorbifenyl</v>
      </c>
      <c r="C643" t="s">
        <v>19016</v>
      </c>
      <c r="D643" t="str">
        <f>"35694-08-7"</f>
        <v>35694-08-7</v>
      </c>
      <c r="E643" t="str">
        <f t="shared" si="29"/>
        <v xml:space="preserve">Organische parameters </v>
      </c>
      <c r="F643" t="str">
        <f t="shared" si="30"/>
        <v xml:space="preserve">Polychloorbifenylen (PCB's) </v>
      </c>
      <c r="G643" t="str">
        <f>""</f>
        <v/>
      </c>
    </row>
    <row r="644" spans="1:7" x14ac:dyDescent="0.25">
      <c r="A644">
        <v>1387</v>
      </c>
      <c r="B644" t="str">
        <f>"2,2',3,3',4,4',5,6-octachloorbifenyl"</f>
        <v>2,2',3,3',4,4',5,6-octachloorbifenyl</v>
      </c>
      <c r="C644" t="s">
        <v>19016</v>
      </c>
      <c r="D644" t="str">
        <f>"52663-78-2"</f>
        <v>52663-78-2</v>
      </c>
      <c r="E644" t="str">
        <f t="shared" si="29"/>
        <v xml:space="preserve">Organische parameters </v>
      </c>
      <c r="F644" t="str">
        <f t="shared" si="30"/>
        <v xml:space="preserve">Polychloorbifenylen (PCB's) </v>
      </c>
      <c r="G644" t="str">
        <f>""</f>
        <v/>
      </c>
    </row>
    <row r="645" spans="1:7" x14ac:dyDescent="0.25">
      <c r="A645">
        <v>1388</v>
      </c>
      <c r="B645" t="str">
        <f>"2,2',3,3',4,4',5,6'-octachloorbifenyl"</f>
        <v>2,2',3,3',4,4',5,6'-octachloorbifenyl</v>
      </c>
      <c r="C645" t="s">
        <v>19016</v>
      </c>
      <c r="D645" t="str">
        <f>"42740-50-1"</f>
        <v>42740-50-1</v>
      </c>
      <c r="E645" t="str">
        <f t="shared" si="29"/>
        <v xml:space="preserve">Organische parameters </v>
      </c>
      <c r="F645" t="str">
        <f t="shared" si="30"/>
        <v xml:space="preserve">Polychloorbifenylen (PCB's) </v>
      </c>
      <c r="G645" t="str">
        <f>""</f>
        <v/>
      </c>
    </row>
    <row r="646" spans="1:7" x14ac:dyDescent="0.25">
      <c r="A646">
        <v>1389</v>
      </c>
      <c r="B646" t="str">
        <f>"2,2',3,3',4,4',6,6'-octachloorbifenyl"</f>
        <v>2,2',3,3',4,4',6,6'-octachloorbifenyl</v>
      </c>
      <c r="C646" t="s">
        <v>19016</v>
      </c>
      <c r="D646" t="str">
        <f>"33091-17-7"</f>
        <v>33091-17-7</v>
      </c>
      <c r="E646" t="str">
        <f t="shared" si="29"/>
        <v xml:space="preserve">Organische parameters </v>
      </c>
      <c r="F646" t="str">
        <f t="shared" si="30"/>
        <v xml:space="preserve">Polychloorbifenylen (PCB's) </v>
      </c>
      <c r="G646" t="str">
        <f>""</f>
        <v/>
      </c>
    </row>
    <row r="647" spans="1:7" x14ac:dyDescent="0.25">
      <c r="A647">
        <v>1390</v>
      </c>
      <c r="B647" t="str">
        <f>"2,2',3,3',4,5,5',6-octachloorbifenyl"</f>
        <v>2,2',3,3',4,5,5',6-octachloorbifenyl</v>
      </c>
      <c r="C647" t="s">
        <v>19016</v>
      </c>
      <c r="D647" t="str">
        <f>"68194-17-2"</f>
        <v>68194-17-2</v>
      </c>
      <c r="E647" t="str">
        <f t="shared" si="29"/>
        <v xml:space="preserve">Organische parameters </v>
      </c>
      <c r="F647" t="str">
        <f t="shared" si="30"/>
        <v xml:space="preserve">Polychloorbifenylen (PCB's) </v>
      </c>
      <c r="G647" t="str">
        <f>""</f>
        <v/>
      </c>
    </row>
    <row r="648" spans="1:7" x14ac:dyDescent="0.25">
      <c r="A648">
        <v>1391</v>
      </c>
      <c r="B648" t="str">
        <f>"2,2',3,3',4,5,5',6'-octachloorbifenyl"</f>
        <v>2,2',3,3',4,5,5',6'-octachloorbifenyl</v>
      </c>
      <c r="C648" t="s">
        <v>19016</v>
      </c>
      <c r="D648" t="str">
        <f>"52663-75-9"</f>
        <v>52663-75-9</v>
      </c>
      <c r="E648" t="str">
        <f t="shared" si="29"/>
        <v xml:space="preserve">Organische parameters </v>
      </c>
      <c r="F648" t="str">
        <f t="shared" si="30"/>
        <v xml:space="preserve">Polychloorbifenylen (PCB's) </v>
      </c>
      <c r="G648" t="str">
        <f>""</f>
        <v/>
      </c>
    </row>
    <row r="649" spans="1:7" x14ac:dyDescent="0.25">
      <c r="A649">
        <v>1392</v>
      </c>
      <c r="B649" t="str">
        <f>"2,2',3,3',4,5,6,6'-octachloorbifenyl"</f>
        <v>2,2',3,3',4,5,6,6'-octachloorbifenyl</v>
      </c>
      <c r="C649" t="s">
        <v>19016</v>
      </c>
      <c r="D649" t="str">
        <f>"52663-73-7"</f>
        <v>52663-73-7</v>
      </c>
      <c r="E649" t="str">
        <f t="shared" si="29"/>
        <v xml:space="preserve">Organische parameters </v>
      </c>
      <c r="F649" t="str">
        <f t="shared" si="30"/>
        <v xml:space="preserve">Polychloorbifenylen (PCB's) </v>
      </c>
      <c r="G649" t="str">
        <f>""</f>
        <v/>
      </c>
    </row>
    <row r="650" spans="1:7" x14ac:dyDescent="0.25">
      <c r="A650">
        <v>1393</v>
      </c>
      <c r="B650" t="str">
        <f>"2,2',3,3',4,5',6,6'-octachloorbifenyl"</f>
        <v>2,2',3,3',4,5',6,6'-octachloorbifenyl</v>
      </c>
      <c r="C650" t="s">
        <v>19016</v>
      </c>
      <c r="D650" t="str">
        <f>"40186-71-8"</f>
        <v>40186-71-8</v>
      </c>
      <c r="E650" t="str">
        <f t="shared" si="29"/>
        <v xml:space="preserve">Organische parameters </v>
      </c>
      <c r="F650" t="str">
        <f t="shared" si="30"/>
        <v xml:space="preserve">Polychloorbifenylen (PCB's) </v>
      </c>
      <c r="G650" t="str">
        <f>""</f>
        <v/>
      </c>
    </row>
    <row r="651" spans="1:7" x14ac:dyDescent="0.25">
      <c r="A651">
        <v>1394</v>
      </c>
      <c r="B651" t="str">
        <f>"2,2',3,3',5,5',6,6'-octachloorbifenyl"</f>
        <v>2,2',3,3',5,5',6,6'-octachloorbifenyl</v>
      </c>
      <c r="C651" t="s">
        <v>19016</v>
      </c>
      <c r="D651" t="str">
        <f>"2136-99-4"</f>
        <v>2136-99-4</v>
      </c>
      <c r="E651" t="str">
        <f t="shared" si="29"/>
        <v xml:space="preserve">Organische parameters </v>
      </c>
      <c r="F651" t="str">
        <f t="shared" si="30"/>
        <v xml:space="preserve">Polychloorbifenylen (PCB's) </v>
      </c>
      <c r="G651" t="str">
        <f>""</f>
        <v/>
      </c>
    </row>
    <row r="652" spans="1:7" x14ac:dyDescent="0.25">
      <c r="A652">
        <v>1395</v>
      </c>
      <c r="B652" t="str">
        <f>"2,2',3,4,4',5,5',6-octachloorbifenyl"</f>
        <v>2,2',3,4,4',5,5',6-octachloorbifenyl</v>
      </c>
      <c r="C652" t="s">
        <v>19016</v>
      </c>
      <c r="D652" t="str">
        <f>"52663-76-0"</f>
        <v>52663-76-0</v>
      </c>
      <c r="E652" t="str">
        <f t="shared" si="29"/>
        <v xml:space="preserve">Organische parameters </v>
      </c>
      <c r="F652" t="str">
        <f t="shared" si="30"/>
        <v xml:space="preserve">Polychloorbifenylen (PCB's) </v>
      </c>
      <c r="G652" t="str">
        <f>""</f>
        <v/>
      </c>
    </row>
    <row r="653" spans="1:7" x14ac:dyDescent="0.25">
      <c r="A653">
        <v>1396</v>
      </c>
      <c r="B653" t="str">
        <f>"2,2',3,4,4',5,6,6'-octachloorbifenyl"</f>
        <v>2,2',3,4,4',5,6,6'-octachloorbifenyl</v>
      </c>
      <c r="C653" t="s">
        <v>19016</v>
      </c>
      <c r="D653" t="str">
        <f>"74472-52-9"</f>
        <v>74472-52-9</v>
      </c>
      <c r="E653" t="str">
        <f t="shared" ref="E653:E716" si="31">"Organische parameters "</f>
        <v xml:space="preserve">Organische parameters </v>
      </c>
      <c r="F653" t="str">
        <f t="shared" si="30"/>
        <v xml:space="preserve">Polychloorbifenylen (PCB's) </v>
      </c>
      <c r="G653" t="str">
        <f>""</f>
        <v/>
      </c>
    </row>
    <row r="654" spans="1:7" x14ac:dyDescent="0.25">
      <c r="A654">
        <v>1397</v>
      </c>
      <c r="B654" t="str">
        <f>"2,3,3',4,4',5,5',6-octachloorbifenyl"</f>
        <v>2,3,3',4,4',5,5',6-octachloorbifenyl</v>
      </c>
      <c r="C654" t="s">
        <v>19016</v>
      </c>
      <c r="D654" t="str">
        <f>"74472-53-0"</f>
        <v>74472-53-0</v>
      </c>
      <c r="E654" t="str">
        <f t="shared" si="31"/>
        <v xml:space="preserve">Organische parameters </v>
      </c>
      <c r="F654" t="str">
        <f t="shared" si="30"/>
        <v xml:space="preserve">Polychloorbifenylen (PCB's) </v>
      </c>
      <c r="G654" t="str">
        <f>""</f>
        <v/>
      </c>
    </row>
    <row r="655" spans="1:7" x14ac:dyDescent="0.25">
      <c r="A655">
        <v>1398</v>
      </c>
      <c r="B655" t="str">
        <f>"2,2',3,3',4,4',5,5',6-nonachloorbifenyl"</f>
        <v>2,2',3,3',4,4',5,5',6-nonachloorbifenyl</v>
      </c>
      <c r="C655" t="s">
        <v>19016</v>
      </c>
      <c r="D655" t="str">
        <f>"40186-72-9"</f>
        <v>40186-72-9</v>
      </c>
      <c r="E655" t="str">
        <f t="shared" si="31"/>
        <v xml:space="preserve">Organische parameters </v>
      </c>
      <c r="F655" t="str">
        <f t="shared" si="30"/>
        <v xml:space="preserve">Polychloorbifenylen (PCB's) </v>
      </c>
      <c r="G655" t="str">
        <f>""</f>
        <v/>
      </c>
    </row>
    <row r="656" spans="1:7" x14ac:dyDescent="0.25">
      <c r="A656">
        <v>1399</v>
      </c>
      <c r="B656" t="str">
        <f>"2,2',3,3',4,4',5,6,6'-nonachloorbifenyl"</f>
        <v>2,2',3,3',4,4',5,6,6'-nonachloorbifenyl</v>
      </c>
      <c r="C656" t="s">
        <v>19016</v>
      </c>
      <c r="D656" t="str">
        <f>"52663-79-3"</f>
        <v>52663-79-3</v>
      </c>
      <c r="E656" t="str">
        <f t="shared" si="31"/>
        <v xml:space="preserve">Organische parameters </v>
      </c>
      <c r="F656" t="str">
        <f t="shared" si="30"/>
        <v xml:space="preserve">Polychloorbifenylen (PCB's) </v>
      </c>
      <c r="G656" t="str">
        <f>""</f>
        <v/>
      </c>
    </row>
    <row r="657" spans="1:7" x14ac:dyDescent="0.25">
      <c r="A657">
        <v>1400</v>
      </c>
      <c r="B657" t="str">
        <f>"2,2',3,3',4,5,5',6,6'-nonachloorbifenyl"</f>
        <v>2,2',3,3',4,5,5',6,6'-nonachloorbifenyl</v>
      </c>
      <c r="C657" t="s">
        <v>19016</v>
      </c>
      <c r="D657" t="str">
        <f>"52663-77-1"</f>
        <v>52663-77-1</v>
      </c>
      <c r="E657" t="str">
        <f t="shared" si="31"/>
        <v xml:space="preserve">Organische parameters </v>
      </c>
      <c r="F657" t="str">
        <f t="shared" si="30"/>
        <v xml:space="preserve">Polychloorbifenylen (PCB's) </v>
      </c>
      <c r="G657" t="str">
        <f>""</f>
        <v/>
      </c>
    </row>
    <row r="658" spans="1:7" x14ac:dyDescent="0.25">
      <c r="A658">
        <v>1401</v>
      </c>
      <c r="B658" t="str">
        <f>"2,2',3,3',4,4',5,5',6,6'-decachloorbifenyl"</f>
        <v>2,2',3,3',4,4',5,5',6,6'-decachloorbifenyl</v>
      </c>
      <c r="C658" t="s">
        <v>19016</v>
      </c>
      <c r="D658" t="str">
        <f>"2051-24-3"</f>
        <v>2051-24-3</v>
      </c>
      <c r="E658" t="str">
        <f t="shared" si="31"/>
        <v xml:space="preserve">Organische parameters </v>
      </c>
      <c r="F658" t="str">
        <f t="shared" si="30"/>
        <v xml:space="preserve">Polychloorbifenylen (PCB's) </v>
      </c>
      <c r="G658" t="str">
        <f>""</f>
        <v/>
      </c>
    </row>
    <row r="659" spans="1:7" x14ac:dyDescent="0.25">
      <c r="A659">
        <v>1402</v>
      </c>
      <c r="B659" t="str">
        <f>"benzochinoline"</f>
        <v>benzochinoline</v>
      </c>
      <c r="C659" t="s">
        <v>19016</v>
      </c>
      <c r="D659" t="str">
        <f>""</f>
        <v/>
      </c>
      <c r="E659" t="str">
        <f t="shared" si="31"/>
        <v xml:space="preserve">Organische parameters </v>
      </c>
      <c r="F659" t="str">
        <f t="shared" ref="F659:F690" si="32">"Overige antropogene stoffen "</f>
        <v xml:space="preserve">Overige antropogene stoffen </v>
      </c>
      <c r="G659" t="str">
        <f>""</f>
        <v/>
      </c>
    </row>
    <row r="660" spans="1:7" x14ac:dyDescent="0.25">
      <c r="A660">
        <v>1403</v>
      </c>
      <c r="B660" t="str">
        <f>"benzopyrrole"</f>
        <v>benzopyrrole</v>
      </c>
      <c r="C660" t="s">
        <v>19016</v>
      </c>
      <c r="D660" t="str">
        <f>"120-72-9"</f>
        <v>120-72-9</v>
      </c>
      <c r="E660" t="str">
        <f t="shared" si="31"/>
        <v xml:space="preserve">Organische parameters </v>
      </c>
      <c r="F660" t="str">
        <f t="shared" si="32"/>
        <v xml:space="preserve">Overige antropogene stoffen </v>
      </c>
      <c r="G660" t="str">
        <f>""</f>
        <v/>
      </c>
    </row>
    <row r="661" spans="1:7" x14ac:dyDescent="0.25">
      <c r="A661">
        <v>1404</v>
      </c>
      <c r="B661" t="str">
        <f>"chinoline"</f>
        <v>chinoline</v>
      </c>
      <c r="C661" t="s">
        <v>19016</v>
      </c>
      <c r="D661" t="str">
        <f>"91-22-5"</f>
        <v>91-22-5</v>
      </c>
      <c r="E661" t="str">
        <f t="shared" si="31"/>
        <v xml:space="preserve">Organische parameters </v>
      </c>
      <c r="F661" t="str">
        <f t="shared" si="32"/>
        <v xml:space="preserve">Overige antropogene stoffen </v>
      </c>
      <c r="G661" t="str">
        <f>""</f>
        <v/>
      </c>
    </row>
    <row r="662" spans="1:7" x14ac:dyDescent="0.25">
      <c r="A662">
        <v>1405</v>
      </c>
      <c r="B662" t="str">
        <f>"dibenzopyridine"</f>
        <v>dibenzopyridine</v>
      </c>
      <c r="C662" t="s">
        <v>19016</v>
      </c>
      <c r="D662" t="str">
        <f>"260-94-6"</f>
        <v>260-94-6</v>
      </c>
      <c r="E662" t="str">
        <f t="shared" si="31"/>
        <v xml:space="preserve">Organische parameters </v>
      </c>
      <c r="F662" t="str">
        <f t="shared" si="32"/>
        <v xml:space="preserve">Overige antropogene stoffen </v>
      </c>
      <c r="G662" t="str">
        <f>""</f>
        <v/>
      </c>
    </row>
    <row r="663" spans="1:7" x14ac:dyDescent="0.25">
      <c r="A663">
        <v>1406</v>
      </c>
      <c r="B663" t="str">
        <f>"dichloorazobenzeen"</f>
        <v>dichloorazobenzeen</v>
      </c>
      <c r="C663" t="s">
        <v>19016</v>
      </c>
      <c r="D663" t="str">
        <f>""</f>
        <v/>
      </c>
      <c r="E663" t="str">
        <f t="shared" si="31"/>
        <v xml:space="preserve">Organische parameters </v>
      </c>
      <c r="F663" t="str">
        <f t="shared" si="32"/>
        <v xml:space="preserve">Overige antropogene stoffen </v>
      </c>
      <c r="G663" t="str">
        <f>""</f>
        <v/>
      </c>
    </row>
    <row r="664" spans="1:7" x14ac:dyDescent="0.25">
      <c r="A664">
        <v>1407</v>
      </c>
      <c r="B664" t="str">
        <f>"diethylbenzopyrrole"</f>
        <v>diethylbenzopyrrole</v>
      </c>
      <c r="C664" t="s">
        <v>19016</v>
      </c>
      <c r="D664" t="str">
        <f>""</f>
        <v/>
      </c>
      <c r="E664" t="str">
        <f t="shared" si="31"/>
        <v xml:space="preserve">Organische parameters </v>
      </c>
      <c r="F664" t="str">
        <f t="shared" si="32"/>
        <v xml:space="preserve">Overige antropogene stoffen </v>
      </c>
      <c r="G664" t="str">
        <f>""</f>
        <v/>
      </c>
    </row>
    <row r="665" spans="1:7" x14ac:dyDescent="0.25">
      <c r="A665">
        <v>1408</v>
      </c>
      <c r="B665" t="str">
        <f>"difenylenimine"</f>
        <v>difenylenimine</v>
      </c>
      <c r="C665" t="s">
        <v>19016</v>
      </c>
      <c r="D665" t="str">
        <f>"86-74-8"</f>
        <v>86-74-8</v>
      </c>
      <c r="E665" t="str">
        <f t="shared" si="31"/>
        <v xml:space="preserve">Organische parameters </v>
      </c>
      <c r="F665" t="str">
        <f t="shared" si="32"/>
        <v xml:space="preserve">Overige antropogene stoffen </v>
      </c>
      <c r="G665" t="str">
        <f>""</f>
        <v/>
      </c>
    </row>
    <row r="666" spans="1:7" x14ac:dyDescent="0.25">
      <c r="A666">
        <v>1409</v>
      </c>
      <c r="B666" t="str">
        <f>"difenylhydrazine"</f>
        <v>difenylhydrazine</v>
      </c>
      <c r="C666" t="s">
        <v>19016</v>
      </c>
      <c r="D666" t="str">
        <f>"38622-18-3"</f>
        <v>38622-18-3</v>
      </c>
      <c r="E666" t="str">
        <f t="shared" si="31"/>
        <v xml:space="preserve">Organische parameters </v>
      </c>
      <c r="F666" t="str">
        <f t="shared" si="32"/>
        <v xml:space="preserve">Overige antropogene stoffen </v>
      </c>
      <c r="G666" t="str">
        <f>""</f>
        <v/>
      </c>
    </row>
    <row r="667" spans="1:7" x14ac:dyDescent="0.25">
      <c r="A667">
        <v>1410</v>
      </c>
      <c r="B667" t="str">
        <f>"dimethylchinoline"</f>
        <v>dimethylchinoline</v>
      </c>
      <c r="C667" t="s">
        <v>19016</v>
      </c>
      <c r="D667" t="str">
        <f>"28351-04-4"</f>
        <v>28351-04-4</v>
      </c>
      <c r="E667" t="str">
        <f t="shared" si="31"/>
        <v xml:space="preserve">Organische parameters </v>
      </c>
      <c r="F667" t="str">
        <f t="shared" si="32"/>
        <v xml:space="preserve">Overige antropogene stoffen </v>
      </c>
      <c r="G667" t="str">
        <f>""</f>
        <v/>
      </c>
    </row>
    <row r="668" spans="1:7" x14ac:dyDescent="0.25">
      <c r="A668">
        <v>1411</v>
      </c>
      <c r="B668" t="str">
        <f>"dimethyldibenzopyridine"</f>
        <v>dimethyldibenzopyridine</v>
      </c>
      <c r="C668" t="s">
        <v>19016</v>
      </c>
      <c r="D668" t="str">
        <f>""</f>
        <v/>
      </c>
      <c r="E668" t="str">
        <f t="shared" si="31"/>
        <v xml:space="preserve">Organische parameters </v>
      </c>
      <c r="F668" t="str">
        <f t="shared" si="32"/>
        <v xml:space="preserve">Overige antropogene stoffen </v>
      </c>
      <c r="G668" t="str">
        <f>""</f>
        <v/>
      </c>
    </row>
    <row r="669" spans="1:7" x14ac:dyDescent="0.25">
      <c r="A669">
        <v>1412</v>
      </c>
      <c r="B669" t="str">
        <f>"ethyldifenylenimine"</f>
        <v>ethyldifenylenimine</v>
      </c>
      <c r="C669" t="s">
        <v>19016</v>
      </c>
      <c r="D669" t="str">
        <f>""</f>
        <v/>
      </c>
      <c r="E669" t="str">
        <f t="shared" si="31"/>
        <v xml:space="preserve">Organische parameters </v>
      </c>
      <c r="F669" t="str">
        <f t="shared" si="32"/>
        <v xml:space="preserve">Overige antropogene stoffen </v>
      </c>
      <c r="G669" t="str">
        <f>""</f>
        <v/>
      </c>
    </row>
    <row r="670" spans="1:7" x14ac:dyDescent="0.25">
      <c r="A670">
        <v>1413</v>
      </c>
      <c r="B670" t="str">
        <f>"isochinoline"</f>
        <v>isochinoline</v>
      </c>
      <c r="C670" t="s">
        <v>19016</v>
      </c>
      <c r="D670" t="str">
        <f>"119-65-3"</f>
        <v>119-65-3</v>
      </c>
      <c r="E670" t="str">
        <f t="shared" si="31"/>
        <v xml:space="preserve">Organische parameters </v>
      </c>
      <c r="F670" t="str">
        <f t="shared" si="32"/>
        <v xml:space="preserve">Overige antropogene stoffen </v>
      </c>
      <c r="G670" t="str">
        <f>""</f>
        <v/>
      </c>
    </row>
    <row r="671" spans="1:7" x14ac:dyDescent="0.25">
      <c r="A671">
        <v>1414</v>
      </c>
      <c r="B671" t="str">
        <f>"methylchinoline"</f>
        <v>methylchinoline</v>
      </c>
      <c r="C671" t="s">
        <v>19016</v>
      </c>
      <c r="D671" t="str">
        <f>""</f>
        <v/>
      </c>
      <c r="E671" t="str">
        <f t="shared" si="31"/>
        <v xml:space="preserve">Organische parameters </v>
      </c>
      <c r="F671" t="str">
        <f t="shared" si="32"/>
        <v xml:space="preserve">Overige antropogene stoffen </v>
      </c>
      <c r="G671" t="str">
        <f>""</f>
        <v/>
      </c>
    </row>
    <row r="672" spans="1:7" x14ac:dyDescent="0.25">
      <c r="A672">
        <v>1415</v>
      </c>
      <c r="B672" t="str">
        <f>"oxindool"</f>
        <v>oxindool</v>
      </c>
      <c r="C672" t="s">
        <v>19016</v>
      </c>
      <c r="D672" t="str">
        <f>"ÿ59-48-3"</f>
        <v>ÿ59-48-3</v>
      </c>
      <c r="E672" t="str">
        <f t="shared" si="31"/>
        <v xml:space="preserve">Organische parameters </v>
      </c>
      <c r="F672" t="str">
        <f t="shared" si="32"/>
        <v xml:space="preserve">Overige antropogene stoffen </v>
      </c>
      <c r="G672" t="str">
        <f>""</f>
        <v/>
      </c>
    </row>
    <row r="673" spans="1:7" x14ac:dyDescent="0.25">
      <c r="A673">
        <v>1416</v>
      </c>
      <c r="B673" t="str">
        <f>"trimethylchinoline"</f>
        <v>trimethylchinoline</v>
      </c>
      <c r="C673" t="s">
        <v>19016</v>
      </c>
      <c r="D673" t="str">
        <f>"51366-52-0"</f>
        <v>51366-52-0</v>
      </c>
      <c r="E673" t="str">
        <f t="shared" si="31"/>
        <v xml:space="preserve">Organische parameters </v>
      </c>
      <c r="F673" t="str">
        <f t="shared" si="32"/>
        <v xml:space="preserve">Overige antropogene stoffen </v>
      </c>
      <c r="G673" t="str">
        <f>""</f>
        <v/>
      </c>
    </row>
    <row r="674" spans="1:7" x14ac:dyDescent="0.25">
      <c r="A674">
        <v>1417</v>
      </c>
      <c r="B674" t="str">
        <f>"trimethyldihydrochinoline"</f>
        <v>trimethyldihydrochinoline</v>
      </c>
      <c r="C674" t="s">
        <v>19016</v>
      </c>
      <c r="D674" t="str">
        <f>"147-47-7"</f>
        <v>147-47-7</v>
      </c>
      <c r="E674" t="str">
        <f t="shared" si="31"/>
        <v xml:space="preserve">Organische parameters </v>
      </c>
      <c r="F674" t="str">
        <f t="shared" si="32"/>
        <v xml:space="preserve">Overige antropogene stoffen </v>
      </c>
      <c r="G674" t="str">
        <f>""</f>
        <v/>
      </c>
    </row>
    <row r="675" spans="1:7" x14ac:dyDescent="0.25">
      <c r="A675">
        <v>1418</v>
      </c>
      <c r="B675" t="str">
        <f>"trimethylbenzopyrrole"</f>
        <v>trimethylbenzopyrrole</v>
      </c>
      <c r="C675" t="s">
        <v>19016</v>
      </c>
      <c r="D675" t="str">
        <f>""</f>
        <v/>
      </c>
      <c r="E675" t="str">
        <f t="shared" si="31"/>
        <v xml:space="preserve">Organische parameters </v>
      </c>
      <c r="F675" t="str">
        <f t="shared" si="32"/>
        <v xml:space="preserve">Overige antropogene stoffen </v>
      </c>
      <c r="G675" t="str">
        <f>""</f>
        <v/>
      </c>
    </row>
    <row r="676" spans="1:7" x14ac:dyDescent="0.25">
      <c r="A676">
        <v>1419</v>
      </c>
      <c r="B676" t="str">
        <f>"trimethyloxindol"</f>
        <v>trimethyloxindol</v>
      </c>
      <c r="C676" t="s">
        <v>19016</v>
      </c>
      <c r="D676" t="str">
        <f>"19501-89-4"</f>
        <v>19501-89-4</v>
      </c>
      <c r="E676" t="str">
        <f t="shared" si="31"/>
        <v xml:space="preserve">Organische parameters </v>
      </c>
      <c r="F676" t="str">
        <f t="shared" si="32"/>
        <v xml:space="preserve">Overige antropogene stoffen </v>
      </c>
      <c r="G676" t="str">
        <f>""</f>
        <v/>
      </c>
    </row>
    <row r="677" spans="1:7" x14ac:dyDescent="0.25">
      <c r="A677">
        <v>1420</v>
      </c>
      <c r="B677" t="str">
        <f>"ferroceen"</f>
        <v>ferroceen</v>
      </c>
      <c r="C677" t="s">
        <v>19016</v>
      </c>
      <c r="D677" t="str">
        <f>"102-54-5"</f>
        <v>102-54-5</v>
      </c>
      <c r="E677" t="str">
        <f t="shared" si="31"/>
        <v xml:space="preserve">Organische parameters </v>
      </c>
      <c r="F677" t="str">
        <f t="shared" si="32"/>
        <v xml:space="preserve">Overige antropogene stoffen </v>
      </c>
      <c r="G677" t="str">
        <f>""</f>
        <v/>
      </c>
    </row>
    <row r="678" spans="1:7" x14ac:dyDescent="0.25">
      <c r="A678">
        <v>1421</v>
      </c>
      <c r="B678" t="str">
        <f>"n-butanol"</f>
        <v>n-butanol</v>
      </c>
      <c r="C678" t="s">
        <v>19016</v>
      </c>
      <c r="D678" t="str">
        <f>"71-36-3"</f>
        <v>71-36-3</v>
      </c>
      <c r="E678" t="str">
        <f t="shared" si="31"/>
        <v xml:space="preserve">Organische parameters </v>
      </c>
      <c r="F678" t="str">
        <f t="shared" si="32"/>
        <v xml:space="preserve">Overige antropogene stoffen </v>
      </c>
      <c r="G678" t="str">
        <f>""</f>
        <v/>
      </c>
    </row>
    <row r="679" spans="1:7" x14ac:dyDescent="0.25">
      <c r="A679">
        <v>1422</v>
      </c>
      <c r="B679" t="str">
        <f>"decanol"</f>
        <v>decanol</v>
      </c>
      <c r="C679" t="s">
        <v>19016</v>
      </c>
      <c r="D679" t="str">
        <f>"36729-58-5"</f>
        <v>36729-58-5</v>
      </c>
      <c r="E679" t="str">
        <f t="shared" si="31"/>
        <v xml:space="preserve">Organische parameters </v>
      </c>
      <c r="F679" t="str">
        <f t="shared" si="32"/>
        <v xml:space="preserve">Overige antropogene stoffen </v>
      </c>
      <c r="G679" t="str">
        <f>""</f>
        <v/>
      </c>
    </row>
    <row r="680" spans="1:7" x14ac:dyDescent="0.25">
      <c r="A680">
        <v>1423</v>
      </c>
      <c r="B680" t="str">
        <f>"6,6-diallyloxyhexeen"</f>
        <v>6,6-diallyloxyhexeen</v>
      </c>
      <c r="C680" t="s">
        <v>19016</v>
      </c>
      <c r="D680" t="str">
        <f>""</f>
        <v/>
      </c>
      <c r="E680" t="str">
        <f t="shared" si="31"/>
        <v xml:space="preserve">Organische parameters </v>
      </c>
      <c r="F680" t="str">
        <f t="shared" si="32"/>
        <v xml:space="preserve">Overige antropogene stoffen </v>
      </c>
      <c r="G680" t="str">
        <f>""</f>
        <v/>
      </c>
    </row>
    <row r="681" spans="1:7" x14ac:dyDescent="0.25">
      <c r="A681">
        <v>1424</v>
      </c>
      <c r="B681" t="str">
        <f>"dibutoxymethaan"</f>
        <v>dibutoxymethaan</v>
      </c>
      <c r="C681" t="s">
        <v>19016</v>
      </c>
      <c r="D681" t="str">
        <f>"2568-90-3"</f>
        <v>2568-90-3</v>
      </c>
      <c r="E681" t="str">
        <f t="shared" si="31"/>
        <v xml:space="preserve">Organische parameters </v>
      </c>
      <c r="F681" t="str">
        <f t="shared" si="32"/>
        <v xml:space="preserve">Overige antropogene stoffen </v>
      </c>
      <c r="G681" t="str">
        <f>""</f>
        <v/>
      </c>
    </row>
    <row r="682" spans="1:7" x14ac:dyDescent="0.25">
      <c r="A682">
        <v>1425</v>
      </c>
      <c r="B682" t="str">
        <f>"dibutylether"</f>
        <v>dibutylether</v>
      </c>
      <c r="C682" t="s">
        <v>19016</v>
      </c>
      <c r="D682" t="str">
        <f>"142-96-1"</f>
        <v>142-96-1</v>
      </c>
      <c r="E682" t="str">
        <f t="shared" si="31"/>
        <v xml:space="preserve">Organische parameters </v>
      </c>
      <c r="F682" t="str">
        <f t="shared" si="32"/>
        <v xml:space="preserve">Overige antropogene stoffen </v>
      </c>
      <c r="G682" t="str">
        <f>""</f>
        <v/>
      </c>
    </row>
    <row r="683" spans="1:7" x14ac:dyDescent="0.25">
      <c r="A683">
        <v>1426</v>
      </c>
      <c r="B683" t="str">
        <f>"diethoxyethylether"</f>
        <v>diethoxyethylether</v>
      </c>
      <c r="C683" t="s">
        <v>19016</v>
      </c>
      <c r="D683" t="str">
        <f>""</f>
        <v/>
      </c>
      <c r="E683" t="str">
        <f t="shared" si="31"/>
        <v xml:space="preserve">Organische parameters </v>
      </c>
      <c r="F683" t="str">
        <f t="shared" si="32"/>
        <v xml:space="preserve">Overige antropogene stoffen </v>
      </c>
      <c r="G683" t="str">
        <f>""</f>
        <v/>
      </c>
    </row>
    <row r="684" spans="1:7" x14ac:dyDescent="0.25">
      <c r="A684">
        <v>1427</v>
      </c>
      <c r="B684" t="str">
        <f>"dihydroxypropylether"</f>
        <v>dihydroxypropylether</v>
      </c>
      <c r="C684" t="s">
        <v>19016</v>
      </c>
      <c r="D684" t="str">
        <f>""</f>
        <v/>
      </c>
      <c r="E684" t="str">
        <f t="shared" si="31"/>
        <v xml:space="preserve">Organische parameters </v>
      </c>
      <c r="F684" t="str">
        <f t="shared" si="32"/>
        <v xml:space="preserve">Overige antropogene stoffen </v>
      </c>
      <c r="G684" t="str">
        <f>""</f>
        <v/>
      </c>
    </row>
    <row r="685" spans="1:7" x14ac:dyDescent="0.25">
      <c r="A685">
        <v>1428</v>
      </c>
      <c r="B685" t="str">
        <f>"diisopropylether"</f>
        <v>diisopropylether</v>
      </c>
      <c r="C685" t="s">
        <v>19016</v>
      </c>
      <c r="D685" t="str">
        <f>"108-20-3"</f>
        <v>108-20-3</v>
      </c>
      <c r="E685" t="str">
        <f t="shared" si="31"/>
        <v xml:space="preserve">Organische parameters </v>
      </c>
      <c r="F685" t="str">
        <f t="shared" si="32"/>
        <v xml:space="preserve">Overige antropogene stoffen </v>
      </c>
      <c r="G685" t="str">
        <f>""</f>
        <v/>
      </c>
    </row>
    <row r="686" spans="1:7" x14ac:dyDescent="0.25">
      <c r="A686">
        <v>1429</v>
      </c>
      <c r="B686" t="str">
        <f>"dimethoxyethaan"</f>
        <v>dimethoxyethaan</v>
      </c>
      <c r="C686" t="s">
        <v>19016</v>
      </c>
      <c r="D686" t="str">
        <f>"25154-53-4"</f>
        <v>25154-53-4</v>
      </c>
      <c r="E686" t="str">
        <f t="shared" si="31"/>
        <v xml:space="preserve">Organische parameters </v>
      </c>
      <c r="F686" t="str">
        <f t="shared" si="32"/>
        <v xml:space="preserve">Overige antropogene stoffen </v>
      </c>
      <c r="G686" t="str">
        <f>""</f>
        <v/>
      </c>
    </row>
    <row r="687" spans="1:7" x14ac:dyDescent="0.25">
      <c r="A687">
        <v>1430</v>
      </c>
      <c r="B687" t="str">
        <f>"dimethoxyethylether"</f>
        <v>dimethoxyethylether</v>
      </c>
      <c r="C687" t="s">
        <v>19016</v>
      </c>
      <c r="D687" t="str">
        <f>""</f>
        <v/>
      </c>
      <c r="E687" t="str">
        <f t="shared" si="31"/>
        <v xml:space="preserve">Organische parameters </v>
      </c>
      <c r="F687" t="str">
        <f t="shared" si="32"/>
        <v xml:space="preserve">Overige antropogene stoffen </v>
      </c>
      <c r="G687" t="str">
        <f>""</f>
        <v/>
      </c>
    </row>
    <row r="688" spans="1:7" x14ac:dyDescent="0.25">
      <c r="A688">
        <v>1431</v>
      </c>
      <c r="B688" t="str">
        <f>"dimethoxyheptaan"</f>
        <v>dimethoxyheptaan</v>
      </c>
      <c r="C688" t="s">
        <v>19016</v>
      </c>
      <c r="D688" t="str">
        <f>"10032-05-0"</f>
        <v>10032-05-0</v>
      </c>
      <c r="E688" t="str">
        <f t="shared" si="31"/>
        <v xml:space="preserve">Organische parameters </v>
      </c>
      <c r="F688" t="str">
        <f t="shared" si="32"/>
        <v xml:space="preserve">Overige antropogene stoffen </v>
      </c>
      <c r="G688" t="str">
        <f>""</f>
        <v/>
      </c>
    </row>
    <row r="689" spans="1:7" x14ac:dyDescent="0.25">
      <c r="A689">
        <v>1432</v>
      </c>
      <c r="B689" t="str">
        <f>"dimethoxymethaan"</f>
        <v>dimethoxymethaan</v>
      </c>
      <c r="C689" t="s">
        <v>19016</v>
      </c>
      <c r="D689" t="str">
        <f>"109-87-5"</f>
        <v>109-87-5</v>
      </c>
      <c r="E689" t="str">
        <f t="shared" si="31"/>
        <v xml:space="preserve">Organische parameters </v>
      </c>
      <c r="F689" t="str">
        <f t="shared" si="32"/>
        <v xml:space="preserve">Overige antropogene stoffen </v>
      </c>
      <c r="G689" t="str">
        <f>""</f>
        <v/>
      </c>
    </row>
    <row r="690" spans="1:7" x14ac:dyDescent="0.25">
      <c r="A690">
        <v>1433</v>
      </c>
      <c r="B690" t="str">
        <f>"dimethoxypropaan"</f>
        <v>dimethoxypropaan</v>
      </c>
      <c r="C690" t="s">
        <v>19016</v>
      </c>
      <c r="D690" t="str">
        <f>""</f>
        <v/>
      </c>
      <c r="E690" t="str">
        <f t="shared" si="31"/>
        <v xml:space="preserve">Organische parameters </v>
      </c>
      <c r="F690" t="str">
        <f t="shared" si="32"/>
        <v xml:space="preserve">Overige antropogene stoffen </v>
      </c>
      <c r="G690" t="str">
        <f>""</f>
        <v/>
      </c>
    </row>
    <row r="691" spans="1:7" x14ac:dyDescent="0.25">
      <c r="A691">
        <v>1434</v>
      </c>
      <c r="B691" t="str">
        <f>"dimethyloktaandiol"</f>
        <v>dimethyloktaandiol</v>
      </c>
      <c r="C691" t="s">
        <v>19016</v>
      </c>
      <c r="D691" t="str">
        <f>""</f>
        <v/>
      </c>
      <c r="E691" t="str">
        <f t="shared" si="31"/>
        <v xml:space="preserve">Organische parameters </v>
      </c>
      <c r="F691" t="str">
        <f t="shared" ref="F691:F712" si="33">"Overige antropogene stoffen "</f>
        <v xml:space="preserve">Overige antropogene stoffen </v>
      </c>
      <c r="G691" t="str">
        <f>""</f>
        <v/>
      </c>
    </row>
    <row r="692" spans="1:7" x14ac:dyDescent="0.25">
      <c r="A692">
        <v>1435</v>
      </c>
      <c r="B692" t="str">
        <f>"dipentylether"</f>
        <v>dipentylether</v>
      </c>
      <c r="C692" t="s">
        <v>19016</v>
      </c>
      <c r="D692" t="str">
        <f>"693-65-2"</f>
        <v>693-65-2</v>
      </c>
      <c r="E692" t="str">
        <f t="shared" si="31"/>
        <v xml:space="preserve">Organische parameters </v>
      </c>
      <c r="F692" t="str">
        <f t="shared" si="33"/>
        <v xml:space="preserve">Overige antropogene stoffen </v>
      </c>
      <c r="G692" t="str">
        <f>""</f>
        <v/>
      </c>
    </row>
    <row r="693" spans="1:7" x14ac:dyDescent="0.25">
      <c r="A693">
        <v>1436</v>
      </c>
      <c r="B693" t="str">
        <f>"dipropylether"</f>
        <v>dipropylether</v>
      </c>
      <c r="C693" t="s">
        <v>19016</v>
      </c>
      <c r="D693" t="str">
        <f>"111-43-3"</f>
        <v>111-43-3</v>
      </c>
      <c r="E693" t="str">
        <f t="shared" si="31"/>
        <v xml:space="preserve">Organische parameters </v>
      </c>
      <c r="F693" t="str">
        <f t="shared" si="33"/>
        <v xml:space="preserve">Overige antropogene stoffen </v>
      </c>
      <c r="G693" t="str">
        <f>""</f>
        <v/>
      </c>
    </row>
    <row r="694" spans="1:7" x14ac:dyDescent="0.25">
      <c r="A694">
        <v>1437</v>
      </c>
      <c r="B694" t="str">
        <f>"dodecanol"</f>
        <v>dodecanol</v>
      </c>
      <c r="C694" t="s">
        <v>19016</v>
      </c>
      <c r="D694" t="str">
        <f>"27342-88-7"</f>
        <v>27342-88-7</v>
      </c>
      <c r="E694" t="str">
        <f t="shared" si="31"/>
        <v xml:space="preserve">Organische parameters </v>
      </c>
      <c r="F694" t="str">
        <f t="shared" si="33"/>
        <v xml:space="preserve">Overige antropogene stoffen </v>
      </c>
      <c r="G694" t="str">
        <f>""</f>
        <v/>
      </c>
    </row>
    <row r="695" spans="1:7" x14ac:dyDescent="0.25">
      <c r="A695">
        <v>1438</v>
      </c>
      <c r="B695" t="str">
        <f>"ethylideenbis-oxy-bispropaan"</f>
        <v>ethylideenbis-oxy-bispropaan</v>
      </c>
      <c r="C695" t="s">
        <v>19016</v>
      </c>
      <c r="D695" t="str">
        <f>"105-82-8"</f>
        <v>105-82-8</v>
      </c>
      <c r="E695" t="str">
        <f t="shared" si="31"/>
        <v xml:space="preserve">Organische parameters </v>
      </c>
      <c r="F695" t="str">
        <f t="shared" si="33"/>
        <v xml:space="preserve">Overige antropogene stoffen </v>
      </c>
      <c r="G695" t="str">
        <f>""</f>
        <v/>
      </c>
    </row>
    <row r="696" spans="1:7" x14ac:dyDescent="0.25">
      <c r="A696">
        <v>1439</v>
      </c>
      <c r="B696" t="str">
        <f>"heptadecanol"</f>
        <v>heptadecanol</v>
      </c>
      <c r="C696" t="s">
        <v>19016</v>
      </c>
      <c r="D696" t="str">
        <f>"52783-44-5"</f>
        <v>52783-44-5</v>
      </c>
      <c r="E696" t="str">
        <f t="shared" si="31"/>
        <v xml:space="preserve">Organische parameters </v>
      </c>
      <c r="F696" t="str">
        <f t="shared" si="33"/>
        <v xml:space="preserve">Overige antropogene stoffen </v>
      </c>
      <c r="G696" t="str">
        <f>""</f>
        <v/>
      </c>
    </row>
    <row r="697" spans="1:7" x14ac:dyDescent="0.25">
      <c r="A697">
        <v>1440</v>
      </c>
      <c r="B697" t="str">
        <f>"heptanol"</f>
        <v>heptanol</v>
      </c>
      <c r="C697" t="s">
        <v>19016</v>
      </c>
      <c r="D697" t="str">
        <f>"53535-33-4"</f>
        <v>53535-33-4</v>
      </c>
      <c r="E697" t="str">
        <f t="shared" si="31"/>
        <v xml:space="preserve">Organische parameters </v>
      </c>
      <c r="F697" t="str">
        <f t="shared" si="33"/>
        <v xml:space="preserve">Overige antropogene stoffen </v>
      </c>
      <c r="G697" t="str">
        <f>""</f>
        <v/>
      </c>
    </row>
    <row r="698" spans="1:7" x14ac:dyDescent="0.25">
      <c r="A698">
        <v>1441</v>
      </c>
      <c r="B698" t="str">
        <f>"hexaandiol"</f>
        <v>hexaandiol</v>
      </c>
      <c r="C698" t="s">
        <v>19016</v>
      </c>
      <c r="D698" t="str">
        <f>"26762-52-7"</f>
        <v>26762-52-7</v>
      </c>
      <c r="E698" t="str">
        <f t="shared" si="31"/>
        <v xml:space="preserve">Organische parameters </v>
      </c>
      <c r="F698" t="str">
        <f t="shared" si="33"/>
        <v xml:space="preserve">Overige antropogene stoffen </v>
      </c>
      <c r="G698" t="str">
        <f>""</f>
        <v/>
      </c>
    </row>
    <row r="699" spans="1:7" x14ac:dyDescent="0.25">
      <c r="A699">
        <v>1442</v>
      </c>
      <c r="B699" t="str">
        <f>"hexadecanol"</f>
        <v>hexadecanol</v>
      </c>
      <c r="C699" t="s">
        <v>19016</v>
      </c>
      <c r="D699" t="str">
        <f>"29354-98-1"</f>
        <v>29354-98-1</v>
      </c>
      <c r="E699" t="str">
        <f t="shared" si="31"/>
        <v xml:space="preserve">Organische parameters </v>
      </c>
      <c r="F699" t="str">
        <f t="shared" si="33"/>
        <v xml:space="preserve">Overige antropogene stoffen </v>
      </c>
      <c r="G699" t="str">
        <f>""</f>
        <v/>
      </c>
    </row>
    <row r="700" spans="1:7" x14ac:dyDescent="0.25">
      <c r="A700">
        <v>1443</v>
      </c>
      <c r="B700" t="str">
        <f>"hexanol"</f>
        <v>hexanol</v>
      </c>
      <c r="C700" t="s">
        <v>19016</v>
      </c>
      <c r="D700" t="str">
        <f>"25917-35-5"</f>
        <v>25917-35-5</v>
      </c>
      <c r="E700" t="str">
        <f t="shared" si="31"/>
        <v xml:space="preserve">Organische parameters </v>
      </c>
      <c r="F700" t="str">
        <f t="shared" si="33"/>
        <v xml:space="preserve">Overige antropogene stoffen </v>
      </c>
      <c r="G700" t="str">
        <f>""</f>
        <v/>
      </c>
    </row>
    <row r="701" spans="1:7" x14ac:dyDescent="0.25">
      <c r="A701">
        <v>1444</v>
      </c>
      <c r="B701" t="str">
        <f>"hexeendiol"</f>
        <v>hexeendiol</v>
      </c>
      <c r="C701" t="s">
        <v>19016</v>
      </c>
      <c r="D701" t="str">
        <f>""</f>
        <v/>
      </c>
      <c r="E701" t="str">
        <f t="shared" si="31"/>
        <v xml:space="preserve">Organische parameters </v>
      </c>
      <c r="F701" t="str">
        <f t="shared" si="33"/>
        <v xml:space="preserve">Overige antropogene stoffen </v>
      </c>
      <c r="G701" t="str">
        <f>""</f>
        <v/>
      </c>
    </row>
    <row r="702" spans="1:7" x14ac:dyDescent="0.25">
      <c r="A702">
        <v>1445</v>
      </c>
      <c r="B702" t="str">
        <f>"hydroxypropoxypropanol"</f>
        <v>hydroxypropoxypropanol</v>
      </c>
      <c r="C702" t="s">
        <v>19016</v>
      </c>
      <c r="D702" t="str">
        <f>"106-62-7"</f>
        <v>106-62-7</v>
      </c>
      <c r="E702" t="str">
        <f t="shared" si="31"/>
        <v xml:space="preserve">Organische parameters </v>
      </c>
      <c r="F702" t="str">
        <f t="shared" si="33"/>
        <v xml:space="preserve">Overige antropogene stoffen </v>
      </c>
      <c r="G702" t="str">
        <f>""</f>
        <v/>
      </c>
    </row>
    <row r="703" spans="1:7" x14ac:dyDescent="0.25">
      <c r="A703">
        <v>1446</v>
      </c>
      <c r="B703" t="str">
        <f>"isopropylethylether"</f>
        <v>isopropylethylether</v>
      </c>
      <c r="C703" t="s">
        <v>19016</v>
      </c>
      <c r="D703" t="str">
        <f>"625-54-7"</f>
        <v>625-54-7</v>
      </c>
      <c r="E703" t="str">
        <f t="shared" si="31"/>
        <v xml:space="preserve">Organische parameters </v>
      </c>
      <c r="F703" t="str">
        <f t="shared" si="33"/>
        <v xml:space="preserve">Overige antropogene stoffen </v>
      </c>
      <c r="G703" t="str">
        <f>""</f>
        <v/>
      </c>
    </row>
    <row r="704" spans="1:7" x14ac:dyDescent="0.25">
      <c r="A704">
        <v>1448</v>
      </c>
      <c r="B704" t="str">
        <f>"methoxypropoxypropanol"</f>
        <v>methoxypropoxypropanol</v>
      </c>
      <c r="C704" t="s">
        <v>19016</v>
      </c>
      <c r="D704" t="str">
        <f>""</f>
        <v/>
      </c>
      <c r="E704" t="str">
        <f t="shared" si="31"/>
        <v xml:space="preserve">Organische parameters </v>
      </c>
      <c r="F704" t="str">
        <f t="shared" si="33"/>
        <v xml:space="preserve">Overige antropogene stoffen </v>
      </c>
      <c r="G704" t="str">
        <f>""</f>
        <v/>
      </c>
    </row>
    <row r="705" spans="1:7" x14ac:dyDescent="0.25">
      <c r="A705">
        <v>1449</v>
      </c>
      <c r="B705" t="str">
        <f>"nonanol"</f>
        <v>nonanol</v>
      </c>
      <c r="C705" t="s">
        <v>19016</v>
      </c>
      <c r="D705" t="str">
        <f>""</f>
        <v/>
      </c>
      <c r="E705" t="str">
        <f t="shared" si="31"/>
        <v xml:space="preserve">Organische parameters </v>
      </c>
      <c r="F705" t="str">
        <f t="shared" si="33"/>
        <v xml:space="preserve">Overige antropogene stoffen </v>
      </c>
      <c r="G705" t="str">
        <f>""</f>
        <v/>
      </c>
    </row>
    <row r="706" spans="1:7" x14ac:dyDescent="0.25">
      <c r="A706">
        <v>1450</v>
      </c>
      <c r="B706" t="str">
        <f>"octadecanol"</f>
        <v>octadecanol</v>
      </c>
      <c r="C706" t="s">
        <v>19016</v>
      </c>
      <c r="D706" t="str">
        <f>"26762-44-7"</f>
        <v>26762-44-7</v>
      </c>
      <c r="E706" t="str">
        <f t="shared" si="31"/>
        <v xml:space="preserve">Organische parameters </v>
      </c>
      <c r="F706" t="str">
        <f t="shared" si="33"/>
        <v xml:space="preserve">Overige antropogene stoffen </v>
      </c>
      <c r="G706" t="str">
        <f>""</f>
        <v/>
      </c>
    </row>
    <row r="707" spans="1:7" x14ac:dyDescent="0.25">
      <c r="A707">
        <v>1451</v>
      </c>
      <c r="B707" t="str">
        <f>"octanol"</f>
        <v>octanol</v>
      </c>
      <c r="C707" t="s">
        <v>19016</v>
      </c>
      <c r="D707" t="str">
        <f>"29063-28-3"</f>
        <v>29063-28-3</v>
      </c>
      <c r="E707" t="str">
        <f t="shared" si="31"/>
        <v xml:space="preserve">Organische parameters </v>
      </c>
      <c r="F707" t="str">
        <f t="shared" si="33"/>
        <v xml:space="preserve">Overige antropogene stoffen </v>
      </c>
      <c r="G707" t="str">
        <f>""</f>
        <v/>
      </c>
    </row>
    <row r="708" spans="1:7" x14ac:dyDescent="0.25">
      <c r="A708">
        <v>1452</v>
      </c>
      <c r="B708" t="str">
        <f>"pentadecanol"</f>
        <v>pentadecanol</v>
      </c>
      <c r="C708" t="s">
        <v>19016</v>
      </c>
      <c r="D708" t="str">
        <f>"68333-80-2"</f>
        <v>68333-80-2</v>
      </c>
      <c r="E708" t="str">
        <f t="shared" si="31"/>
        <v xml:space="preserve">Organische parameters </v>
      </c>
      <c r="F708" t="str">
        <f t="shared" si="33"/>
        <v xml:space="preserve">Overige antropogene stoffen </v>
      </c>
      <c r="G708" t="str">
        <f>""</f>
        <v/>
      </c>
    </row>
    <row r="709" spans="1:7" x14ac:dyDescent="0.25">
      <c r="A709">
        <v>1453</v>
      </c>
      <c r="B709" t="str">
        <f>"pentanol"</f>
        <v>pentanol</v>
      </c>
      <c r="C709" t="s">
        <v>19016</v>
      </c>
      <c r="D709" t="str">
        <f>"30899-19-5"</f>
        <v>30899-19-5</v>
      </c>
      <c r="E709" t="str">
        <f t="shared" si="31"/>
        <v xml:space="preserve">Organische parameters </v>
      </c>
      <c r="F709" t="str">
        <f t="shared" si="33"/>
        <v xml:space="preserve">Overige antropogene stoffen </v>
      </c>
      <c r="G709" t="str">
        <f>""</f>
        <v/>
      </c>
    </row>
    <row r="710" spans="1:7" x14ac:dyDescent="0.25">
      <c r="A710">
        <v>1454</v>
      </c>
      <c r="B710" t="str">
        <f>"penta-oxo-pentadecaaan"</f>
        <v>penta-oxo-pentadecaaan</v>
      </c>
      <c r="C710" t="s">
        <v>19016</v>
      </c>
      <c r="D710" t="str">
        <f>""</f>
        <v/>
      </c>
      <c r="E710" t="str">
        <f t="shared" si="31"/>
        <v xml:space="preserve">Organische parameters </v>
      </c>
      <c r="F710" t="str">
        <f t="shared" si="33"/>
        <v xml:space="preserve">Overige antropogene stoffen </v>
      </c>
      <c r="G710" t="str">
        <f>""</f>
        <v/>
      </c>
    </row>
    <row r="711" spans="1:7" x14ac:dyDescent="0.25">
      <c r="A711">
        <v>1455</v>
      </c>
      <c r="B711" t="str">
        <f>"propanol"</f>
        <v>propanol</v>
      </c>
      <c r="C711" t="s">
        <v>19016</v>
      </c>
      <c r="D711" t="str">
        <f>"71-23-8"</f>
        <v>71-23-8</v>
      </c>
      <c r="E711" t="str">
        <f t="shared" si="31"/>
        <v xml:space="preserve">Organische parameters </v>
      </c>
      <c r="F711" t="str">
        <f t="shared" si="33"/>
        <v xml:space="preserve">Overige antropogene stoffen </v>
      </c>
      <c r="G711" t="str">
        <f>""</f>
        <v/>
      </c>
    </row>
    <row r="712" spans="1:7" x14ac:dyDescent="0.25">
      <c r="A712">
        <v>1456</v>
      </c>
      <c r="B712" t="str">
        <f>"tetradecanol"</f>
        <v>tetradecanol</v>
      </c>
      <c r="C712" t="s">
        <v>19016</v>
      </c>
      <c r="D712" t="str">
        <f>"27196-00-5"</f>
        <v>27196-00-5</v>
      </c>
      <c r="E712" t="str">
        <f t="shared" si="31"/>
        <v xml:space="preserve">Organische parameters </v>
      </c>
      <c r="F712" t="str">
        <f t="shared" si="33"/>
        <v xml:space="preserve">Overige antropogene stoffen </v>
      </c>
      <c r="G712" t="str">
        <f>""</f>
        <v/>
      </c>
    </row>
    <row r="713" spans="1:7" x14ac:dyDescent="0.25">
      <c r="A713">
        <v>1457</v>
      </c>
      <c r="B713" t="str">
        <f>"tetra-ethyleenglycoldimethylether"</f>
        <v>tetra-ethyleenglycoldimethylether</v>
      </c>
      <c r="C713" t="s">
        <v>19016</v>
      </c>
      <c r="D713" t="str">
        <f>"143-24-8"</f>
        <v>143-24-8</v>
      </c>
      <c r="E713" t="str">
        <f t="shared" si="31"/>
        <v xml:space="preserve">Organische parameters </v>
      </c>
      <c r="F713" t="str">
        <f>"Diglymen "</f>
        <v xml:space="preserve">Diglymen </v>
      </c>
      <c r="G713" t="str">
        <f>""</f>
        <v/>
      </c>
    </row>
    <row r="714" spans="1:7" x14ac:dyDescent="0.25">
      <c r="A714">
        <v>1458</v>
      </c>
      <c r="B714" t="str">
        <f>"tetra-oxo-dodecaan"</f>
        <v>tetra-oxo-dodecaan</v>
      </c>
      <c r="C714" t="s">
        <v>19016</v>
      </c>
      <c r="D714" t="str">
        <f>""</f>
        <v/>
      </c>
      <c r="E714" t="str">
        <f t="shared" si="31"/>
        <v xml:space="preserve">Organische parameters </v>
      </c>
      <c r="F714" t="str">
        <f>"Overige antropogene stoffen "</f>
        <v xml:space="preserve">Overige antropogene stoffen </v>
      </c>
      <c r="G714" t="str">
        <f>""</f>
        <v/>
      </c>
    </row>
    <row r="715" spans="1:7" x14ac:dyDescent="0.25">
      <c r="A715">
        <v>1459</v>
      </c>
      <c r="B715" t="str">
        <f>"tridecanol"</f>
        <v>tridecanol</v>
      </c>
      <c r="C715" t="s">
        <v>19016</v>
      </c>
      <c r="D715" t="str">
        <f>"26248-42-0"</f>
        <v>26248-42-0</v>
      </c>
      <c r="E715" t="str">
        <f t="shared" si="31"/>
        <v xml:space="preserve">Organische parameters </v>
      </c>
      <c r="F715" t="str">
        <f>"Overige antropogene stoffen "</f>
        <v xml:space="preserve">Overige antropogene stoffen </v>
      </c>
      <c r="G715" t="str">
        <f>""</f>
        <v/>
      </c>
    </row>
    <row r="716" spans="1:7" x14ac:dyDescent="0.25">
      <c r="A716">
        <v>1460</v>
      </c>
      <c r="B716" t="str">
        <f>"trimethoxymethaan"</f>
        <v>trimethoxymethaan</v>
      </c>
      <c r="C716" t="s">
        <v>19016</v>
      </c>
      <c r="D716" t="str">
        <f>"149-73-5"</f>
        <v>149-73-5</v>
      </c>
      <c r="E716" t="str">
        <f t="shared" si="31"/>
        <v xml:space="preserve">Organische parameters </v>
      </c>
      <c r="F716" t="str">
        <f>"Overige antropogene stoffen "</f>
        <v xml:space="preserve">Overige antropogene stoffen </v>
      </c>
      <c r="G716" t="str">
        <f>""</f>
        <v/>
      </c>
    </row>
    <row r="717" spans="1:7" x14ac:dyDescent="0.25">
      <c r="A717">
        <v>1461</v>
      </c>
      <c r="B717" t="str">
        <f>"undecanol"</f>
        <v>undecanol</v>
      </c>
      <c r="C717" t="s">
        <v>19016</v>
      </c>
      <c r="D717" t="str">
        <f>"112-42-5"</f>
        <v>112-42-5</v>
      </c>
      <c r="E717" t="str">
        <f t="shared" ref="E717:E780" si="34">"Organische parameters "</f>
        <v xml:space="preserve">Organische parameters </v>
      </c>
      <c r="F717" t="str">
        <f>"Overige antropogene stoffen "</f>
        <v xml:space="preserve">Overige antropogene stoffen </v>
      </c>
      <c r="G717" t="str">
        <f>""</f>
        <v/>
      </c>
    </row>
    <row r="718" spans="1:7" x14ac:dyDescent="0.25">
      <c r="A718">
        <v>1462</v>
      </c>
      <c r="B718" t="str">
        <f>"bis(4-chloorbutyl)ether"</f>
        <v>bis(4-chloorbutyl)ether</v>
      </c>
      <c r="C718" t="s">
        <v>19016</v>
      </c>
      <c r="D718" t="str">
        <f>"6334-96-9"</f>
        <v>6334-96-9</v>
      </c>
      <c r="E718" t="str">
        <f t="shared" si="34"/>
        <v xml:space="preserve">Organische parameters </v>
      </c>
      <c r="F718" t="str">
        <f t="shared" ref="F718:F725" si="35">"Gehalogeneerde alifatische koolwaterstoffen "</f>
        <v xml:space="preserve">Gehalogeneerde alifatische koolwaterstoffen </v>
      </c>
      <c r="G718" t="str">
        <f t="shared" ref="G718:G725" si="36">"Overige gehalogeneerde alifatische koolwaterstoffen "</f>
        <v xml:space="preserve">Overige gehalogeneerde alifatische koolwaterstoffen </v>
      </c>
    </row>
    <row r="719" spans="1:7" x14ac:dyDescent="0.25">
      <c r="A719">
        <v>1463</v>
      </c>
      <c r="B719" t="str">
        <f>"bis(2-chloorethyl)ether"</f>
        <v>bis(2-chloorethyl)ether</v>
      </c>
      <c r="C719" t="s">
        <v>19016</v>
      </c>
      <c r="D719" t="str">
        <f>"111-44-4"</f>
        <v>111-44-4</v>
      </c>
      <c r="E719" t="str">
        <f t="shared" si="34"/>
        <v xml:space="preserve">Organische parameters </v>
      </c>
      <c r="F719" t="str">
        <f t="shared" si="35"/>
        <v xml:space="preserve">Gehalogeneerde alifatische koolwaterstoffen </v>
      </c>
      <c r="G719" t="str">
        <f t="shared" si="36"/>
        <v xml:space="preserve">Overige gehalogeneerde alifatische koolwaterstoffen </v>
      </c>
    </row>
    <row r="720" spans="1:7" x14ac:dyDescent="0.25">
      <c r="A720">
        <v>1464</v>
      </c>
      <c r="B720" t="str">
        <f>"bis(chloorisobutyl)ether"</f>
        <v>bis(chloorisobutyl)ether</v>
      </c>
      <c r="C720" t="s">
        <v>19016</v>
      </c>
      <c r="D720" t="str">
        <f>"53622-12-1"</f>
        <v>53622-12-1</v>
      </c>
      <c r="E720" t="str">
        <f t="shared" si="34"/>
        <v xml:space="preserve">Organische parameters </v>
      </c>
      <c r="F720" t="str">
        <f t="shared" si="35"/>
        <v xml:space="preserve">Gehalogeneerde alifatische koolwaterstoffen </v>
      </c>
      <c r="G720" t="str">
        <f t="shared" si="36"/>
        <v xml:space="preserve">Overige gehalogeneerde alifatische koolwaterstoffen </v>
      </c>
    </row>
    <row r="721" spans="1:7" x14ac:dyDescent="0.25">
      <c r="A721">
        <v>1465</v>
      </c>
      <c r="B721" t="str">
        <f>"bis(chloormethyl)ether"</f>
        <v>bis(chloormethyl)ether</v>
      </c>
      <c r="C721" t="s">
        <v>19016</v>
      </c>
      <c r="D721" t="str">
        <f>"542-88-1"</f>
        <v>542-88-1</v>
      </c>
      <c r="E721" t="str">
        <f t="shared" si="34"/>
        <v xml:space="preserve">Organische parameters </v>
      </c>
      <c r="F721" t="str">
        <f t="shared" si="35"/>
        <v xml:space="preserve">Gehalogeneerde alifatische koolwaterstoffen </v>
      </c>
      <c r="G721" t="str">
        <f t="shared" si="36"/>
        <v xml:space="preserve">Overige gehalogeneerde alifatische koolwaterstoffen </v>
      </c>
    </row>
    <row r="722" spans="1:7" x14ac:dyDescent="0.25">
      <c r="A722">
        <v>1466</v>
      </c>
      <c r="B722" t="str">
        <f>"bis(chloorpentyl)ether"</f>
        <v>bis(chloorpentyl)ether</v>
      </c>
      <c r="C722" t="s">
        <v>19016</v>
      </c>
      <c r="D722" t="str">
        <f>""</f>
        <v/>
      </c>
      <c r="E722" t="str">
        <f t="shared" si="34"/>
        <v xml:space="preserve">Organische parameters </v>
      </c>
      <c r="F722" t="str">
        <f t="shared" si="35"/>
        <v xml:space="preserve">Gehalogeneerde alifatische koolwaterstoffen </v>
      </c>
      <c r="G722" t="str">
        <f t="shared" si="36"/>
        <v xml:space="preserve">Overige gehalogeneerde alifatische koolwaterstoffen </v>
      </c>
    </row>
    <row r="723" spans="1:7" x14ac:dyDescent="0.25">
      <c r="A723">
        <v>1467</v>
      </c>
      <c r="B723" t="str">
        <f>"bis(dichloorisopropyl)ether"</f>
        <v>bis(dichloorisopropyl)ether</v>
      </c>
      <c r="C723" t="s">
        <v>19016</v>
      </c>
      <c r="D723" t="str">
        <f>"108-60-1"</f>
        <v>108-60-1</v>
      </c>
      <c r="E723" t="str">
        <f t="shared" si="34"/>
        <v xml:space="preserve">Organische parameters </v>
      </c>
      <c r="F723" t="str">
        <f t="shared" si="35"/>
        <v xml:space="preserve">Gehalogeneerde alifatische koolwaterstoffen </v>
      </c>
      <c r="G723" t="str">
        <f t="shared" si="36"/>
        <v xml:space="preserve">Overige gehalogeneerde alifatische koolwaterstoffen </v>
      </c>
    </row>
    <row r="724" spans="1:7" x14ac:dyDescent="0.25">
      <c r="A724">
        <v>1468</v>
      </c>
      <c r="B724" t="str">
        <f>"bis(1,3-dichloorpropyl)ether"</f>
        <v>bis(1,3-dichloorpropyl)ether</v>
      </c>
      <c r="C724" t="s">
        <v>19016</v>
      </c>
      <c r="D724" t="str">
        <f>"59440-89-0"</f>
        <v>59440-89-0</v>
      </c>
      <c r="E724" t="str">
        <f t="shared" si="34"/>
        <v xml:space="preserve">Organische parameters </v>
      </c>
      <c r="F724" t="str">
        <f t="shared" si="35"/>
        <v xml:space="preserve">Gehalogeneerde alifatische koolwaterstoffen </v>
      </c>
      <c r="G724" t="str">
        <f t="shared" si="36"/>
        <v xml:space="preserve">Overige gehalogeneerde alifatische koolwaterstoffen </v>
      </c>
    </row>
    <row r="725" spans="1:7" x14ac:dyDescent="0.25">
      <c r="A725">
        <v>1469</v>
      </c>
      <c r="B725" t="str">
        <f>"trichloordibutylether"</f>
        <v>trichloordibutylether</v>
      </c>
      <c r="C725" t="s">
        <v>19016</v>
      </c>
      <c r="D725" t="str">
        <f>""</f>
        <v/>
      </c>
      <c r="E725" t="str">
        <f t="shared" si="34"/>
        <v xml:space="preserve">Organische parameters </v>
      </c>
      <c r="F725" t="str">
        <f t="shared" si="35"/>
        <v xml:space="preserve">Gehalogeneerde alifatische koolwaterstoffen </v>
      </c>
      <c r="G725" t="str">
        <f t="shared" si="36"/>
        <v xml:space="preserve">Overige gehalogeneerde alifatische koolwaterstoffen </v>
      </c>
    </row>
    <row r="726" spans="1:7" x14ac:dyDescent="0.25">
      <c r="A726">
        <v>1470</v>
      </c>
      <c r="B726" t="str">
        <f>"acetylfenylpropanol"</f>
        <v>acetylfenylpropanol</v>
      </c>
      <c r="C726" t="s">
        <v>19016</v>
      </c>
      <c r="D726" t="str">
        <f>""</f>
        <v/>
      </c>
      <c r="E726" t="str">
        <f t="shared" si="34"/>
        <v xml:space="preserve">Organische parameters </v>
      </c>
      <c r="F726" t="str">
        <f t="shared" ref="F726:F757" si="37">"Overige antropogene stoffen "</f>
        <v xml:space="preserve">Overige antropogene stoffen </v>
      </c>
      <c r="G726" t="str">
        <f>""</f>
        <v/>
      </c>
    </row>
    <row r="727" spans="1:7" x14ac:dyDescent="0.25">
      <c r="A727">
        <v>1471</v>
      </c>
      <c r="B727" t="str">
        <f>"bifenyl-ol"</f>
        <v>bifenyl-ol</v>
      </c>
      <c r="C727" t="s">
        <v>19016</v>
      </c>
      <c r="D727" t="str">
        <f>""</f>
        <v/>
      </c>
      <c r="E727" t="str">
        <f t="shared" si="34"/>
        <v xml:space="preserve">Organische parameters </v>
      </c>
      <c r="F727" t="str">
        <f t="shared" si="37"/>
        <v xml:space="preserve">Overige antropogene stoffen </v>
      </c>
      <c r="G727" t="str">
        <f>""</f>
        <v/>
      </c>
    </row>
    <row r="728" spans="1:7" x14ac:dyDescent="0.25">
      <c r="A728">
        <v>1472</v>
      </c>
      <c r="B728" t="str">
        <f>"borneol"</f>
        <v>borneol</v>
      </c>
      <c r="C728" t="s">
        <v>19016</v>
      </c>
      <c r="D728" t="str">
        <f>"507-70-0"</f>
        <v>507-70-0</v>
      </c>
      <c r="E728" t="str">
        <f t="shared" si="34"/>
        <v xml:space="preserve">Organische parameters </v>
      </c>
      <c r="F728" t="str">
        <f t="shared" si="37"/>
        <v xml:space="preserve">Overige antropogene stoffen </v>
      </c>
      <c r="G728" t="str">
        <f>""</f>
        <v/>
      </c>
    </row>
    <row r="729" spans="1:7" x14ac:dyDescent="0.25">
      <c r="A729">
        <v>1473</v>
      </c>
      <c r="B729" t="str">
        <f>"4-n-butoxyfenol"</f>
        <v>4-n-butoxyfenol</v>
      </c>
      <c r="C729" t="s">
        <v>19016</v>
      </c>
      <c r="D729" t="str">
        <f>"122-94-1"</f>
        <v>122-94-1</v>
      </c>
      <c r="E729" t="str">
        <f t="shared" si="34"/>
        <v xml:space="preserve">Organische parameters </v>
      </c>
      <c r="F729" t="str">
        <f t="shared" si="37"/>
        <v xml:space="preserve">Overige antropogene stoffen </v>
      </c>
      <c r="G729" t="str">
        <f>""</f>
        <v/>
      </c>
    </row>
    <row r="730" spans="1:7" x14ac:dyDescent="0.25">
      <c r="A730">
        <v>1474</v>
      </c>
      <c r="B730" t="str">
        <f>"butylcyclohexanol"</f>
        <v>butylcyclohexanol</v>
      </c>
      <c r="C730" t="s">
        <v>19016</v>
      </c>
      <c r="D730" t="str">
        <f>""</f>
        <v/>
      </c>
      <c r="E730" t="str">
        <f t="shared" si="34"/>
        <v xml:space="preserve">Organische parameters </v>
      </c>
      <c r="F730" t="str">
        <f t="shared" si="37"/>
        <v xml:space="preserve">Overige antropogene stoffen </v>
      </c>
      <c r="G730" t="str">
        <f>""</f>
        <v/>
      </c>
    </row>
    <row r="731" spans="1:7" x14ac:dyDescent="0.25">
      <c r="A731">
        <v>1475</v>
      </c>
      <c r="B731" t="str">
        <f>"butyldifenylether"</f>
        <v>butyldifenylether</v>
      </c>
      <c r="C731" t="s">
        <v>19016</v>
      </c>
      <c r="D731" t="str">
        <f>""</f>
        <v/>
      </c>
      <c r="E731" t="str">
        <f t="shared" si="34"/>
        <v xml:space="preserve">Organische parameters </v>
      </c>
      <c r="F731" t="str">
        <f t="shared" si="37"/>
        <v xml:space="preserve">Overige antropogene stoffen </v>
      </c>
      <c r="G731" t="str">
        <f>""</f>
        <v/>
      </c>
    </row>
    <row r="732" spans="1:7" x14ac:dyDescent="0.25">
      <c r="A732">
        <v>1476</v>
      </c>
      <c r="B732" t="str">
        <f>"t-butylfenol"</f>
        <v>t-butylfenol</v>
      </c>
      <c r="C732" t="s">
        <v>19016</v>
      </c>
      <c r="D732" t="str">
        <f>""</f>
        <v/>
      </c>
      <c r="E732" t="str">
        <f t="shared" si="34"/>
        <v xml:space="preserve">Organische parameters </v>
      </c>
      <c r="F732" t="str">
        <f t="shared" si="37"/>
        <v xml:space="preserve">Overige antropogene stoffen </v>
      </c>
      <c r="G732" t="str">
        <f>""</f>
        <v/>
      </c>
    </row>
    <row r="733" spans="1:7" x14ac:dyDescent="0.25">
      <c r="A733">
        <v>1477</v>
      </c>
      <c r="B733" t="str">
        <f>"butylfenoxyethanol"</f>
        <v>butylfenoxyethanol</v>
      </c>
      <c r="C733" t="s">
        <v>19016</v>
      </c>
      <c r="D733" t="str">
        <f>""</f>
        <v/>
      </c>
      <c r="E733" t="str">
        <f t="shared" si="34"/>
        <v xml:space="preserve">Organische parameters </v>
      </c>
      <c r="F733" t="str">
        <f t="shared" si="37"/>
        <v xml:space="preserve">Overige antropogene stoffen </v>
      </c>
      <c r="G733" t="str">
        <f>""</f>
        <v/>
      </c>
    </row>
    <row r="734" spans="1:7" x14ac:dyDescent="0.25">
      <c r="A734">
        <v>1478</v>
      </c>
      <c r="B734" t="str">
        <f>"butylmethylfenol"</f>
        <v>butylmethylfenol</v>
      </c>
      <c r="C734" t="s">
        <v>19016</v>
      </c>
      <c r="D734" t="str">
        <f>""</f>
        <v/>
      </c>
      <c r="E734" t="str">
        <f t="shared" si="34"/>
        <v xml:space="preserve">Organische parameters </v>
      </c>
      <c r="F734" t="str">
        <f t="shared" si="37"/>
        <v xml:space="preserve">Overige antropogene stoffen </v>
      </c>
      <c r="G734" t="str">
        <f>""</f>
        <v/>
      </c>
    </row>
    <row r="735" spans="1:7" x14ac:dyDescent="0.25">
      <c r="A735">
        <v>1479</v>
      </c>
      <c r="B735" t="str">
        <f>"cyclohexanol"</f>
        <v>cyclohexanol</v>
      </c>
      <c r="C735" t="s">
        <v>19016</v>
      </c>
      <c r="D735" t="str">
        <f>"108-93-0"</f>
        <v>108-93-0</v>
      </c>
      <c r="E735" t="str">
        <f t="shared" si="34"/>
        <v xml:space="preserve">Organische parameters </v>
      </c>
      <c r="F735" t="str">
        <f t="shared" si="37"/>
        <v xml:space="preserve">Overige antropogene stoffen </v>
      </c>
      <c r="G735" t="str">
        <f>""</f>
        <v/>
      </c>
    </row>
    <row r="736" spans="1:7" x14ac:dyDescent="0.25">
      <c r="A736">
        <v>1480</v>
      </c>
      <c r="B736" t="str">
        <f>"cyclohexylmethylfenol"</f>
        <v>cyclohexylmethylfenol</v>
      </c>
      <c r="C736" t="s">
        <v>19016</v>
      </c>
      <c r="D736" t="str">
        <f>""</f>
        <v/>
      </c>
      <c r="E736" t="str">
        <f t="shared" si="34"/>
        <v xml:space="preserve">Organische parameters </v>
      </c>
      <c r="F736" t="str">
        <f t="shared" si="37"/>
        <v xml:space="preserve">Overige antropogene stoffen </v>
      </c>
      <c r="G736" t="str">
        <f>""</f>
        <v/>
      </c>
    </row>
    <row r="737" spans="1:7" x14ac:dyDescent="0.25">
      <c r="A737">
        <v>1481</v>
      </c>
      <c r="B737" t="str">
        <f>"decylfenol"</f>
        <v>decylfenol</v>
      </c>
      <c r="C737" t="s">
        <v>19016</v>
      </c>
      <c r="D737" t="str">
        <f>"27157-66-0"</f>
        <v>27157-66-0</v>
      </c>
      <c r="E737" t="str">
        <f t="shared" si="34"/>
        <v xml:space="preserve">Organische parameters </v>
      </c>
      <c r="F737" t="str">
        <f t="shared" si="37"/>
        <v xml:space="preserve">Overige antropogene stoffen </v>
      </c>
      <c r="G737" t="str">
        <f>""</f>
        <v/>
      </c>
    </row>
    <row r="738" spans="1:7" x14ac:dyDescent="0.25">
      <c r="A738">
        <v>1482</v>
      </c>
      <c r="B738" t="str">
        <f>"diacetoxybenzeen"</f>
        <v>diacetoxybenzeen</v>
      </c>
      <c r="C738" t="s">
        <v>19016</v>
      </c>
      <c r="D738" t="str">
        <f>""</f>
        <v/>
      </c>
      <c r="E738" t="str">
        <f t="shared" si="34"/>
        <v xml:space="preserve">Organische parameters </v>
      </c>
      <c r="F738" t="str">
        <f t="shared" si="37"/>
        <v xml:space="preserve">Overige antropogene stoffen </v>
      </c>
      <c r="G738" t="str">
        <f>""</f>
        <v/>
      </c>
    </row>
    <row r="739" spans="1:7" x14ac:dyDescent="0.25">
      <c r="A739">
        <v>1483</v>
      </c>
      <c r="B739" t="str">
        <f>"dibenzylether"</f>
        <v>dibenzylether</v>
      </c>
      <c r="C739" t="s">
        <v>19016</v>
      </c>
      <c r="D739" t="str">
        <f>"103-50-4"</f>
        <v>103-50-4</v>
      </c>
      <c r="E739" t="str">
        <f t="shared" si="34"/>
        <v xml:space="preserve">Organische parameters </v>
      </c>
      <c r="F739" t="str">
        <f t="shared" si="37"/>
        <v xml:space="preserve">Overige antropogene stoffen </v>
      </c>
      <c r="G739" t="str">
        <f>""</f>
        <v/>
      </c>
    </row>
    <row r="740" spans="1:7" x14ac:dyDescent="0.25">
      <c r="A740">
        <v>1484</v>
      </c>
      <c r="B740" t="str">
        <f>"dibutoxybenzeen"</f>
        <v>dibutoxybenzeen</v>
      </c>
      <c r="C740" t="s">
        <v>19016</v>
      </c>
      <c r="D740" t="str">
        <f>"104-36-9"</f>
        <v>104-36-9</v>
      </c>
      <c r="E740" t="str">
        <f t="shared" si="34"/>
        <v xml:space="preserve">Organische parameters </v>
      </c>
      <c r="F740" t="str">
        <f t="shared" si="37"/>
        <v xml:space="preserve">Overige antropogene stoffen </v>
      </c>
      <c r="G740" t="str">
        <f>""</f>
        <v/>
      </c>
    </row>
    <row r="741" spans="1:7" x14ac:dyDescent="0.25">
      <c r="A741">
        <v>1485</v>
      </c>
      <c r="B741" t="str">
        <f>"di-t-butylfenol"</f>
        <v>di-t-butylfenol</v>
      </c>
      <c r="C741" t="s">
        <v>19016</v>
      </c>
      <c r="D741" t="str">
        <f>""</f>
        <v/>
      </c>
      <c r="E741" t="str">
        <f t="shared" si="34"/>
        <v xml:space="preserve">Organische parameters </v>
      </c>
      <c r="F741" t="str">
        <f t="shared" si="37"/>
        <v xml:space="preserve">Overige antropogene stoffen </v>
      </c>
      <c r="G741" t="str">
        <f>""</f>
        <v/>
      </c>
    </row>
    <row r="742" spans="1:7" x14ac:dyDescent="0.25">
      <c r="A742">
        <v>1486</v>
      </c>
      <c r="B742" t="str">
        <f>"di-t-butyl-p-methylfenol"</f>
        <v>di-t-butyl-p-methylfenol</v>
      </c>
      <c r="C742" t="s">
        <v>19016</v>
      </c>
      <c r="D742" t="str">
        <f>"128-37-0"</f>
        <v>128-37-0</v>
      </c>
      <c r="E742" t="str">
        <f t="shared" si="34"/>
        <v xml:space="preserve">Organische parameters </v>
      </c>
      <c r="F742" t="str">
        <f t="shared" si="37"/>
        <v xml:space="preserve">Overige antropogene stoffen </v>
      </c>
      <c r="G742" t="str">
        <f>""</f>
        <v/>
      </c>
    </row>
    <row r="743" spans="1:7" x14ac:dyDescent="0.25">
      <c r="A743">
        <v>1487</v>
      </c>
      <c r="B743" t="str">
        <f>"dicyclohexylether"</f>
        <v>dicyclohexylether</v>
      </c>
      <c r="C743" t="s">
        <v>19016</v>
      </c>
      <c r="D743" t="str">
        <f>"4645-15-2"</f>
        <v>4645-15-2</v>
      </c>
      <c r="E743" t="str">
        <f t="shared" si="34"/>
        <v xml:space="preserve">Organische parameters </v>
      </c>
      <c r="F743" t="str">
        <f t="shared" si="37"/>
        <v xml:space="preserve">Overige antropogene stoffen </v>
      </c>
      <c r="G743" t="str">
        <f>""</f>
        <v/>
      </c>
    </row>
    <row r="744" spans="1:7" x14ac:dyDescent="0.25">
      <c r="A744">
        <v>1488</v>
      </c>
      <c r="B744" t="str">
        <f>"diethoxybenzeen"</f>
        <v>diethoxybenzeen</v>
      </c>
      <c r="C744" t="s">
        <v>19016</v>
      </c>
      <c r="D744" t="str">
        <f>""</f>
        <v/>
      </c>
      <c r="E744" t="str">
        <f t="shared" si="34"/>
        <v xml:space="preserve">Organische parameters </v>
      </c>
      <c r="F744" t="str">
        <f t="shared" si="37"/>
        <v xml:space="preserve">Overige antropogene stoffen </v>
      </c>
      <c r="G744" t="str">
        <f>""</f>
        <v/>
      </c>
    </row>
    <row r="745" spans="1:7" x14ac:dyDescent="0.25">
      <c r="A745">
        <v>1489</v>
      </c>
      <c r="B745" t="str">
        <f>"diethylfenylether"</f>
        <v>diethylfenylether</v>
      </c>
      <c r="C745" t="s">
        <v>19016</v>
      </c>
      <c r="D745" t="str">
        <f>""</f>
        <v/>
      </c>
      <c r="E745" t="str">
        <f t="shared" si="34"/>
        <v xml:space="preserve">Organische parameters </v>
      </c>
      <c r="F745" t="str">
        <f t="shared" si="37"/>
        <v xml:space="preserve">Overige antropogene stoffen </v>
      </c>
      <c r="G745" t="str">
        <f>""</f>
        <v/>
      </c>
    </row>
    <row r="746" spans="1:7" x14ac:dyDescent="0.25">
      <c r="A746">
        <v>1490</v>
      </c>
      <c r="B746" t="str">
        <f>"difenylether"</f>
        <v>difenylether</v>
      </c>
      <c r="C746" t="s">
        <v>19016</v>
      </c>
      <c r="D746" t="str">
        <f>"101-84-8"</f>
        <v>101-84-8</v>
      </c>
      <c r="E746" t="str">
        <f t="shared" si="34"/>
        <v xml:space="preserve">Organische parameters </v>
      </c>
      <c r="F746" t="str">
        <f t="shared" si="37"/>
        <v xml:space="preserve">Overige antropogene stoffen </v>
      </c>
      <c r="G746" t="str">
        <f>""</f>
        <v/>
      </c>
    </row>
    <row r="747" spans="1:7" x14ac:dyDescent="0.25">
      <c r="A747">
        <v>1491</v>
      </c>
      <c r="B747" t="str">
        <f>"dihydromethoxypyraan"</f>
        <v>dihydromethoxypyraan</v>
      </c>
      <c r="C747" t="s">
        <v>19016</v>
      </c>
      <c r="D747" t="str">
        <f>""</f>
        <v/>
      </c>
      <c r="E747" t="str">
        <f t="shared" si="34"/>
        <v xml:space="preserve">Organische parameters </v>
      </c>
      <c r="F747" t="str">
        <f t="shared" si="37"/>
        <v xml:space="preserve">Overige antropogene stoffen </v>
      </c>
      <c r="G747" t="str">
        <f>""</f>
        <v/>
      </c>
    </row>
    <row r="748" spans="1:7" x14ac:dyDescent="0.25">
      <c r="A748">
        <v>1492</v>
      </c>
      <c r="B748" t="str">
        <f>"dimethoxybenzeen"</f>
        <v>dimethoxybenzeen</v>
      </c>
      <c r="C748" t="s">
        <v>19016</v>
      </c>
      <c r="D748" t="str">
        <f>""</f>
        <v/>
      </c>
      <c r="E748" t="str">
        <f t="shared" si="34"/>
        <v xml:space="preserve">Organische parameters </v>
      </c>
      <c r="F748" t="str">
        <f t="shared" si="37"/>
        <v xml:space="preserve">Overige antropogene stoffen </v>
      </c>
      <c r="G748" t="str">
        <f>""</f>
        <v/>
      </c>
    </row>
    <row r="749" spans="1:7" x14ac:dyDescent="0.25">
      <c r="A749">
        <v>1493</v>
      </c>
      <c r="B749" t="str">
        <f>"dimethylbenzylether"</f>
        <v>dimethylbenzylether</v>
      </c>
      <c r="C749" t="s">
        <v>19016</v>
      </c>
      <c r="D749" t="str">
        <f>""</f>
        <v/>
      </c>
      <c r="E749" t="str">
        <f t="shared" si="34"/>
        <v xml:space="preserve">Organische parameters </v>
      </c>
      <c r="F749" t="str">
        <f t="shared" si="37"/>
        <v xml:space="preserve">Overige antropogene stoffen </v>
      </c>
      <c r="G749" t="str">
        <f>""</f>
        <v/>
      </c>
    </row>
    <row r="750" spans="1:7" x14ac:dyDescent="0.25">
      <c r="A750">
        <v>1494</v>
      </c>
      <c r="B750" t="str">
        <f>"dimethylcyclohexanol"</f>
        <v>dimethylcyclohexanol</v>
      </c>
      <c r="C750" t="s">
        <v>19016</v>
      </c>
      <c r="D750" t="str">
        <f>"1333-45-5"</f>
        <v>1333-45-5</v>
      </c>
      <c r="E750" t="str">
        <f t="shared" si="34"/>
        <v xml:space="preserve">Organische parameters </v>
      </c>
      <c r="F750" t="str">
        <f t="shared" si="37"/>
        <v xml:space="preserve">Overige antropogene stoffen </v>
      </c>
      <c r="G750" t="str">
        <f>""</f>
        <v/>
      </c>
    </row>
    <row r="751" spans="1:7" x14ac:dyDescent="0.25">
      <c r="A751">
        <v>1495</v>
      </c>
      <c r="B751" t="str">
        <f>"dimethylfenylether"</f>
        <v>dimethylfenylether</v>
      </c>
      <c r="C751" t="s">
        <v>19016</v>
      </c>
      <c r="D751" t="str">
        <f>""</f>
        <v/>
      </c>
      <c r="E751" t="str">
        <f t="shared" si="34"/>
        <v xml:space="preserve">Organische parameters </v>
      </c>
      <c r="F751" t="str">
        <f t="shared" si="37"/>
        <v xml:space="preserve">Overige antropogene stoffen </v>
      </c>
      <c r="G751" t="str">
        <f>""</f>
        <v/>
      </c>
    </row>
    <row r="752" spans="1:7" x14ac:dyDescent="0.25">
      <c r="A752">
        <v>1496</v>
      </c>
      <c r="B752" t="str">
        <f>"ethylbenzylether"</f>
        <v>ethylbenzylether</v>
      </c>
      <c r="C752" t="s">
        <v>19016</v>
      </c>
      <c r="D752" t="str">
        <f>"539-30-0"</f>
        <v>539-30-0</v>
      </c>
      <c r="E752" t="str">
        <f t="shared" si="34"/>
        <v xml:space="preserve">Organische parameters </v>
      </c>
      <c r="F752" t="str">
        <f t="shared" si="37"/>
        <v xml:space="preserve">Overige antropogene stoffen </v>
      </c>
      <c r="G752" t="str">
        <f>""</f>
        <v/>
      </c>
    </row>
    <row r="753" spans="1:7" x14ac:dyDescent="0.25">
      <c r="A753">
        <v>1497</v>
      </c>
      <c r="B753" t="str">
        <f>"ethylcyclohexanol"</f>
        <v>ethylcyclohexanol</v>
      </c>
      <c r="C753" t="s">
        <v>19016</v>
      </c>
      <c r="D753" t="str">
        <f>""</f>
        <v/>
      </c>
      <c r="E753" t="str">
        <f t="shared" si="34"/>
        <v xml:space="preserve">Organische parameters </v>
      </c>
      <c r="F753" t="str">
        <f t="shared" si="37"/>
        <v xml:space="preserve">Overige antropogene stoffen </v>
      </c>
      <c r="G753" t="str">
        <f>""</f>
        <v/>
      </c>
    </row>
    <row r="754" spans="1:7" x14ac:dyDescent="0.25">
      <c r="A754">
        <v>1498</v>
      </c>
      <c r="B754" t="str">
        <f>"ethylfenol"</f>
        <v>ethylfenol</v>
      </c>
      <c r="C754" t="s">
        <v>19016</v>
      </c>
      <c r="D754" t="str">
        <f>"25429-37-2"</f>
        <v>25429-37-2</v>
      </c>
      <c r="E754" t="str">
        <f t="shared" si="34"/>
        <v xml:space="preserve">Organische parameters </v>
      </c>
      <c r="F754" t="str">
        <f t="shared" si="37"/>
        <v xml:space="preserve">Overige antropogene stoffen </v>
      </c>
      <c r="G754" t="str">
        <f>""</f>
        <v/>
      </c>
    </row>
    <row r="755" spans="1:7" x14ac:dyDescent="0.25">
      <c r="A755">
        <v>1499</v>
      </c>
      <c r="B755" t="str">
        <f>"ethylmethoxybenzeen"</f>
        <v>ethylmethoxybenzeen</v>
      </c>
      <c r="C755" t="s">
        <v>19016</v>
      </c>
      <c r="D755" t="str">
        <f>""</f>
        <v/>
      </c>
      <c r="E755" t="str">
        <f t="shared" si="34"/>
        <v xml:space="preserve">Organische parameters </v>
      </c>
      <c r="F755" t="str">
        <f t="shared" si="37"/>
        <v xml:space="preserve">Overige antropogene stoffen </v>
      </c>
      <c r="G755" t="str">
        <f>""</f>
        <v/>
      </c>
    </row>
    <row r="756" spans="1:7" x14ac:dyDescent="0.25">
      <c r="A756">
        <v>1500</v>
      </c>
      <c r="B756" t="str">
        <f>"ethylmethylcyclohexanol"</f>
        <v>ethylmethylcyclohexanol</v>
      </c>
      <c r="C756" t="s">
        <v>19016</v>
      </c>
      <c r="D756" t="str">
        <f>"32296-45-0"</f>
        <v>32296-45-0</v>
      </c>
      <c r="E756" t="str">
        <f t="shared" si="34"/>
        <v xml:space="preserve">Organische parameters </v>
      </c>
      <c r="F756" t="str">
        <f t="shared" si="37"/>
        <v xml:space="preserve">Overige antropogene stoffen </v>
      </c>
      <c r="G756" t="str">
        <f>""</f>
        <v/>
      </c>
    </row>
    <row r="757" spans="1:7" x14ac:dyDescent="0.25">
      <c r="A757">
        <v>1501</v>
      </c>
      <c r="B757" t="str">
        <f>"ethylmethylfenol"</f>
        <v>ethylmethylfenol</v>
      </c>
      <c r="C757" t="s">
        <v>19016</v>
      </c>
      <c r="D757" t="str">
        <f>""</f>
        <v/>
      </c>
      <c r="E757" t="str">
        <f t="shared" si="34"/>
        <v xml:space="preserve">Organische parameters </v>
      </c>
      <c r="F757" t="str">
        <f t="shared" si="37"/>
        <v xml:space="preserve">Overige antropogene stoffen </v>
      </c>
      <c r="G757" t="str">
        <f>""</f>
        <v/>
      </c>
    </row>
    <row r="758" spans="1:7" x14ac:dyDescent="0.25">
      <c r="A758">
        <v>1502</v>
      </c>
      <c r="B758" t="str">
        <f>"fenol"</f>
        <v>fenol</v>
      </c>
      <c r="C758" t="s">
        <v>19016</v>
      </c>
      <c r="D758" t="str">
        <f>"108-95-2"</f>
        <v>108-95-2</v>
      </c>
      <c r="E758" t="str">
        <f t="shared" si="34"/>
        <v xml:space="preserve">Organische parameters </v>
      </c>
      <c r="F758" t="str">
        <f t="shared" ref="F758:F779" si="38">"Overige antropogene stoffen "</f>
        <v xml:space="preserve">Overige antropogene stoffen </v>
      </c>
      <c r="G758" t="str">
        <f>""</f>
        <v/>
      </c>
    </row>
    <row r="759" spans="1:7" x14ac:dyDescent="0.25">
      <c r="A759">
        <v>1503</v>
      </c>
      <c r="B759" t="str">
        <f>"fenoxyfenol"</f>
        <v>fenoxyfenol</v>
      </c>
      <c r="C759" t="s">
        <v>19016</v>
      </c>
      <c r="D759" t="str">
        <f>""</f>
        <v/>
      </c>
      <c r="E759" t="str">
        <f t="shared" si="34"/>
        <v xml:space="preserve">Organische parameters </v>
      </c>
      <c r="F759" t="str">
        <f t="shared" si="38"/>
        <v xml:space="preserve">Overige antropogene stoffen </v>
      </c>
      <c r="G759" t="str">
        <f>""</f>
        <v/>
      </c>
    </row>
    <row r="760" spans="1:7" x14ac:dyDescent="0.25">
      <c r="A760">
        <v>1504</v>
      </c>
      <c r="B760" t="str">
        <f>"fenylpropanol"</f>
        <v>fenylpropanol</v>
      </c>
      <c r="C760" t="s">
        <v>19016</v>
      </c>
      <c r="D760" t="str">
        <f>"1335-12-2"</f>
        <v>1335-12-2</v>
      </c>
      <c r="E760" t="str">
        <f t="shared" si="34"/>
        <v xml:space="preserve">Organische parameters </v>
      </c>
      <c r="F760" t="str">
        <f t="shared" si="38"/>
        <v xml:space="preserve">Overige antropogene stoffen </v>
      </c>
      <c r="G760" t="str">
        <f>""</f>
        <v/>
      </c>
    </row>
    <row r="761" spans="1:7" x14ac:dyDescent="0.25">
      <c r="A761">
        <v>1505</v>
      </c>
      <c r="B761" t="str">
        <f>"heptylfenol"</f>
        <v>heptylfenol</v>
      </c>
      <c r="C761" t="s">
        <v>19016</v>
      </c>
      <c r="D761" t="str">
        <f>"26997-02-4"</f>
        <v>26997-02-4</v>
      </c>
      <c r="E761" t="str">
        <f t="shared" si="34"/>
        <v xml:space="preserve">Organische parameters </v>
      </c>
      <c r="F761" t="str">
        <f t="shared" si="38"/>
        <v xml:space="preserve">Overige antropogene stoffen </v>
      </c>
      <c r="G761" t="str">
        <f>""</f>
        <v/>
      </c>
    </row>
    <row r="762" spans="1:7" x14ac:dyDescent="0.25">
      <c r="A762">
        <v>1506</v>
      </c>
      <c r="B762" t="str">
        <f>"hexylfenol"</f>
        <v>hexylfenol</v>
      </c>
      <c r="C762" t="s">
        <v>19016</v>
      </c>
      <c r="D762" t="str">
        <f>""</f>
        <v/>
      </c>
      <c r="E762" t="str">
        <f t="shared" si="34"/>
        <v xml:space="preserve">Organische parameters </v>
      </c>
      <c r="F762" t="str">
        <f t="shared" si="38"/>
        <v xml:space="preserve">Overige antropogene stoffen </v>
      </c>
      <c r="G762" t="str">
        <f>""</f>
        <v/>
      </c>
    </row>
    <row r="763" spans="1:7" x14ac:dyDescent="0.25">
      <c r="A763">
        <v>1507</v>
      </c>
      <c r="B763" t="str">
        <f>"hexyloxyfenol"</f>
        <v>hexyloxyfenol</v>
      </c>
      <c r="C763" t="s">
        <v>19016</v>
      </c>
      <c r="D763" t="str">
        <f>"18979-55-0"</f>
        <v>18979-55-0</v>
      </c>
      <c r="E763" t="str">
        <f t="shared" si="34"/>
        <v xml:space="preserve">Organische parameters </v>
      </c>
      <c r="F763" t="str">
        <f t="shared" si="38"/>
        <v xml:space="preserve">Overige antropogene stoffen </v>
      </c>
      <c r="G763" t="str">
        <f>""</f>
        <v/>
      </c>
    </row>
    <row r="764" spans="1:7" x14ac:dyDescent="0.25">
      <c r="A764">
        <v>1508</v>
      </c>
      <c r="B764" t="str">
        <f>"hydroxyfluoreen"</f>
        <v>hydroxyfluoreen</v>
      </c>
      <c r="C764" t="s">
        <v>19016</v>
      </c>
      <c r="D764" t="str">
        <f>"1689-64-1"</f>
        <v>1689-64-1</v>
      </c>
      <c r="E764" t="str">
        <f t="shared" si="34"/>
        <v xml:space="preserve">Organische parameters </v>
      </c>
      <c r="F764" t="str">
        <f t="shared" si="38"/>
        <v xml:space="preserve">Overige antropogene stoffen </v>
      </c>
      <c r="G764" t="str">
        <f>""</f>
        <v/>
      </c>
    </row>
    <row r="765" spans="1:7" x14ac:dyDescent="0.25">
      <c r="A765">
        <v>1509</v>
      </c>
      <c r="B765" t="str">
        <f>"isobutylmethoxyfenol"</f>
        <v>isobutylmethoxyfenol</v>
      </c>
      <c r="C765" t="s">
        <v>19016</v>
      </c>
      <c r="D765" t="str">
        <f>"93840-92-7"</f>
        <v>93840-92-7</v>
      </c>
      <c r="E765" t="str">
        <f t="shared" si="34"/>
        <v xml:space="preserve">Organische parameters </v>
      </c>
      <c r="F765" t="str">
        <f t="shared" si="38"/>
        <v xml:space="preserve">Overige antropogene stoffen </v>
      </c>
      <c r="G765" t="str">
        <f>""</f>
        <v/>
      </c>
    </row>
    <row r="766" spans="1:7" x14ac:dyDescent="0.25">
      <c r="A766">
        <v>1510</v>
      </c>
      <c r="B766" t="str">
        <f>"isopropylfenylpropanol"</f>
        <v>isopropylfenylpropanol</v>
      </c>
      <c r="C766" t="s">
        <v>19016</v>
      </c>
      <c r="D766" t="str">
        <f>""</f>
        <v/>
      </c>
      <c r="E766" t="str">
        <f t="shared" si="34"/>
        <v xml:space="preserve">Organische parameters </v>
      </c>
      <c r="F766" t="str">
        <f t="shared" si="38"/>
        <v xml:space="preserve">Overige antropogene stoffen </v>
      </c>
      <c r="G766" t="str">
        <f>""</f>
        <v/>
      </c>
    </row>
    <row r="767" spans="1:7" x14ac:dyDescent="0.25">
      <c r="A767">
        <v>1511</v>
      </c>
      <c r="B767" t="str">
        <f>"methoxybenzeen"</f>
        <v>methoxybenzeen</v>
      </c>
      <c r="C767" t="s">
        <v>19016</v>
      </c>
      <c r="D767" t="str">
        <f>"100-66-3"</f>
        <v>100-66-3</v>
      </c>
      <c r="E767" t="str">
        <f t="shared" si="34"/>
        <v xml:space="preserve">Organische parameters </v>
      </c>
      <c r="F767" t="str">
        <f t="shared" si="38"/>
        <v xml:space="preserve">Overige antropogene stoffen </v>
      </c>
      <c r="G767" t="str">
        <f>""</f>
        <v/>
      </c>
    </row>
    <row r="768" spans="1:7" x14ac:dyDescent="0.25">
      <c r="A768">
        <v>1512</v>
      </c>
      <c r="B768" t="str">
        <f>"methoxyfenol"</f>
        <v>methoxyfenol</v>
      </c>
      <c r="C768" t="s">
        <v>19016</v>
      </c>
      <c r="D768" t="str">
        <f>"26638-03-9"</f>
        <v>26638-03-9</v>
      </c>
      <c r="E768" t="str">
        <f t="shared" si="34"/>
        <v xml:space="preserve">Organische parameters </v>
      </c>
      <c r="F768" t="str">
        <f t="shared" si="38"/>
        <v xml:space="preserve">Overige antropogene stoffen </v>
      </c>
      <c r="G768" t="str">
        <f>""</f>
        <v/>
      </c>
    </row>
    <row r="769" spans="1:7" x14ac:dyDescent="0.25">
      <c r="A769">
        <v>1513</v>
      </c>
      <c r="B769" t="str">
        <f>"methoxyfenylethaan"</f>
        <v>methoxyfenylethaan</v>
      </c>
      <c r="C769" t="s">
        <v>19016</v>
      </c>
      <c r="D769" t="str">
        <f>"3558-60-9"</f>
        <v>3558-60-9</v>
      </c>
      <c r="E769" t="str">
        <f t="shared" si="34"/>
        <v xml:space="preserve">Organische parameters </v>
      </c>
      <c r="F769" t="str">
        <f t="shared" si="38"/>
        <v xml:space="preserve">Overige antropogene stoffen </v>
      </c>
      <c r="G769" t="str">
        <f>""</f>
        <v/>
      </c>
    </row>
    <row r="770" spans="1:7" x14ac:dyDescent="0.25">
      <c r="A770">
        <v>1514</v>
      </c>
      <c r="B770" t="str">
        <f>"methylbenzeenmethanol"</f>
        <v>methylbenzeenmethanol</v>
      </c>
      <c r="C770" t="s">
        <v>19016</v>
      </c>
      <c r="D770" t="str">
        <f>""</f>
        <v/>
      </c>
      <c r="E770" t="str">
        <f t="shared" si="34"/>
        <v xml:space="preserve">Organische parameters </v>
      </c>
      <c r="F770" t="str">
        <f t="shared" si="38"/>
        <v xml:space="preserve">Overige antropogene stoffen </v>
      </c>
      <c r="G770" t="str">
        <f>""</f>
        <v/>
      </c>
    </row>
    <row r="771" spans="1:7" x14ac:dyDescent="0.25">
      <c r="A771">
        <v>1515</v>
      </c>
      <c r="B771" t="str">
        <f>"methylfenol"</f>
        <v>methylfenol</v>
      </c>
      <c r="C771" t="s">
        <v>19016</v>
      </c>
      <c r="D771" t="str">
        <f>"1319-77-3"</f>
        <v>1319-77-3</v>
      </c>
      <c r="E771" t="str">
        <f t="shared" si="34"/>
        <v xml:space="preserve">Organische parameters </v>
      </c>
      <c r="F771" t="str">
        <f t="shared" si="38"/>
        <v xml:space="preserve">Overige antropogene stoffen </v>
      </c>
      <c r="G771" t="str">
        <f>""</f>
        <v/>
      </c>
    </row>
    <row r="772" spans="1:7" x14ac:dyDescent="0.25">
      <c r="A772">
        <v>1516</v>
      </c>
      <c r="B772" t="str">
        <f>"methylfenoxybenzeen"</f>
        <v>methylfenoxybenzeen</v>
      </c>
      <c r="C772" t="s">
        <v>19016</v>
      </c>
      <c r="D772" t="str">
        <f>"3586-14-9"</f>
        <v>3586-14-9</v>
      </c>
      <c r="E772" t="str">
        <f t="shared" si="34"/>
        <v xml:space="preserve">Organische parameters </v>
      </c>
      <c r="F772" t="str">
        <f t="shared" si="38"/>
        <v xml:space="preserve">Overige antropogene stoffen </v>
      </c>
      <c r="G772" t="str">
        <f>""</f>
        <v/>
      </c>
    </row>
    <row r="773" spans="1:7" x14ac:dyDescent="0.25">
      <c r="A773">
        <v>1517</v>
      </c>
      <c r="B773" t="str">
        <f>"methylfenyloxyethanol"</f>
        <v>methylfenyloxyethanol</v>
      </c>
      <c r="C773" t="s">
        <v>19016</v>
      </c>
      <c r="D773" t="str">
        <f>"15149-10-7"</f>
        <v>15149-10-7</v>
      </c>
      <c r="E773" t="str">
        <f t="shared" si="34"/>
        <v xml:space="preserve">Organische parameters </v>
      </c>
      <c r="F773" t="str">
        <f t="shared" si="38"/>
        <v xml:space="preserve">Overige antropogene stoffen </v>
      </c>
      <c r="G773" t="str">
        <f>""</f>
        <v/>
      </c>
    </row>
    <row r="774" spans="1:7" x14ac:dyDescent="0.25">
      <c r="A774">
        <v>1518</v>
      </c>
      <c r="B774" t="str">
        <f>"methylmethoxybenzeen"</f>
        <v>methylmethoxybenzeen</v>
      </c>
      <c r="C774" t="s">
        <v>19016</v>
      </c>
      <c r="D774" t="str">
        <f>""</f>
        <v/>
      </c>
      <c r="E774" t="str">
        <f t="shared" si="34"/>
        <v xml:space="preserve">Organische parameters </v>
      </c>
      <c r="F774" t="str">
        <f t="shared" si="38"/>
        <v xml:space="preserve">Overige antropogene stoffen </v>
      </c>
      <c r="G774" t="str">
        <f>""</f>
        <v/>
      </c>
    </row>
    <row r="775" spans="1:7" x14ac:dyDescent="0.25">
      <c r="A775">
        <v>1519</v>
      </c>
      <c r="B775" t="str">
        <f>"nonylfenol"</f>
        <v>nonylfenol</v>
      </c>
      <c r="C775" t="s">
        <v>19016</v>
      </c>
      <c r="D775" t="str">
        <f>"25154-52-3"</f>
        <v>25154-52-3</v>
      </c>
      <c r="E775" t="str">
        <f t="shared" si="34"/>
        <v xml:space="preserve">Organische parameters </v>
      </c>
      <c r="F775" t="str">
        <f t="shared" si="38"/>
        <v xml:space="preserve">Overige antropogene stoffen </v>
      </c>
      <c r="G775" t="str">
        <f>""</f>
        <v/>
      </c>
    </row>
    <row r="776" spans="1:7" x14ac:dyDescent="0.25">
      <c r="A776">
        <v>1520</v>
      </c>
      <c r="B776" t="str">
        <f>"propoxyfenol"</f>
        <v>propoxyfenol</v>
      </c>
      <c r="C776" t="s">
        <v>19016</v>
      </c>
      <c r="D776" t="str">
        <f>""</f>
        <v/>
      </c>
      <c r="E776" t="str">
        <f t="shared" si="34"/>
        <v xml:space="preserve">Organische parameters </v>
      </c>
      <c r="F776" t="str">
        <f t="shared" si="38"/>
        <v xml:space="preserve">Overige antropogene stoffen </v>
      </c>
      <c r="G776" t="str">
        <f>""</f>
        <v/>
      </c>
    </row>
    <row r="777" spans="1:7" x14ac:dyDescent="0.25">
      <c r="A777">
        <v>1521</v>
      </c>
      <c r="B777" t="str">
        <f>"trimethylcyclohexanol"</f>
        <v>trimethylcyclohexanol</v>
      </c>
      <c r="C777" t="s">
        <v>19016</v>
      </c>
      <c r="D777" t="str">
        <f>"1321-60-4"</f>
        <v>1321-60-4</v>
      </c>
      <c r="E777" t="str">
        <f t="shared" si="34"/>
        <v xml:space="preserve">Organische parameters </v>
      </c>
      <c r="F777" t="str">
        <f t="shared" si="38"/>
        <v xml:space="preserve">Overige antropogene stoffen </v>
      </c>
      <c r="G777" t="str">
        <f>""</f>
        <v/>
      </c>
    </row>
    <row r="778" spans="1:7" x14ac:dyDescent="0.25">
      <c r="A778">
        <v>1522</v>
      </c>
      <c r="B778" t="str">
        <f>"trimethylfenol"</f>
        <v>trimethylfenol</v>
      </c>
      <c r="C778" t="s">
        <v>19016</v>
      </c>
      <c r="D778" t="str">
        <f>"26998-80-1"</f>
        <v>26998-80-1</v>
      </c>
      <c r="E778" t="str">
        <f t="shared" si="34"/>
        <v xml:space="preserve">Organische parameters </v>
      </c>
      <c r="F778" t="str">
        <f t="shared" si="38"/>
        <v xml:space="preserve">Overige antropogene stoffen </v>
      </c>
      <c r="G778" t="str">
        <f>""</f>
        <v/>
      </c>
    </row>
    <row r="779" spans="1:7" x14ac:dyDescent="0.25">
      <c r="A779">
        <v>1523</v>
      </c>
      <c r="B779" t="str">
        <f>"vinylbenzylalcohol"</f>
        <v>vinylbenzylalcohol</v>
      </c>
      <c r="C779" t="s">
        <v>19016</v>
      </c>
      <c r="D779" t="str">
        <f>"42273-76-7"</f>
        <v>42273-76-7</v>
      </c>
      <c r="E779" t="str">
        <f t="shared" si="34"/>
        <v xml:space="preserve">Organische parameters </v>
      </c>
      <c r="F779" t="str">
        <f t="shared" si="38"/>
        <v xml:space="preserve">Overige antropogene stoffen </v>
      </c>
      <c r="G779" t="str">
        <f>""</f>
        <v/>
      </c>
    </row>
    <row r="780" spans="1:7" x14ac:dyDescent="0.25">
      <c r="A780">
        <v>1524</v>
      </c>
      <c r="B780" t="str">
        <f>"chloorbenzeenethanol"</f>
        <v>chloorbenzeenethanol</v>
      </c>
      <c r="C780" t="s">
        <v>19016</v>
      </c>
      <c r="D780" t="str">
        <f>"1004-99-5"</f>
        <v>1004-99-5</v>
      </c>
      <c r="E780" t="str">
        <f t="shared" si="34"/>
        <v xml:space="preserve">Organische parameters </v>
      </c>
      <c r="F780" t="str">
        <f>"Gehalogeneerde monocyclische koolwaterstoffen "</f>
        <v xml:space="preserve">Gehalogeneerde monocyclische koolwaterstoffen </v>
      </c>
      <c r="G780" t="str">
        <f>""</f>
        <v/>
      </c>
    </row>
    <row r="781" spans="1:7" x14ac:dyDescent="0.25">
      <c r="A781">
        <v>1525</v>
      </c>
      <c r="B781" t="str">
        <f>"chloorcyclohexanol"</f>
        <v>chloorcyclohexanol</v>
      </c>
      <c r="C781" t="s">
        <v>19016</v>
      </c>
      <c r="D781" t="str">
        <f>""</f>
        <v/>
      </c>
      <c r="E781" t="str">
        <f t="shared" ref="E781:E844" si="39">"Organische parameters "</f>
        <v xml:space="preserve">Organische parameters </v>
      </c>
      <c r="F781" t="str">
        <f>"Gehalogeneerde monocyclische koolwaterstoffen "</f>
        <v xml:space="preserve">Gehalogeneerde monocyclische koolwaterstoffen </v>
      </c>
      <c r="G781" t="str">
        <f>""</f>
        <v/>
      </c>
    </row>
    <row r="782" spans="1:7" x14ac:dyDescent="0.25">
      <c r="A782">
        <v>1526</v>
      </c>
      <c r="B782" t="str">
        <f>"chloordifenylether"</f>
        <v>chloordifenylether</v>
      </c>
      <c r="C782" t="s">
        <v>19016</v>
      </c>
      <c r="D782" t="str">
        <f>"7005-72-3"</f>
        <v>7005-72-3</v>
      </c>
      <c r="E782" t="str">
        <f t="shared" si="39"/>
        <v xml:space="preserve">Organische parameters </v>
      </c>
      <c r="F782" t="str">
        <f>"Gehalogeneerde monocyclische koolwaterstoffen "</f>
        <v xml:space="preserve">Gehalogeneerde monocyclische koolwaterstoffen </v>
      </c>
      <c r="G782" t="str">
        <f>""</f>
        <v/>
      </c>
    </row>
    <row r="783" spans="1:7" x14ac:dyDescent="0.25">
      <c r="A783">
        <v>1527</v>
      </c>
      <c r="B783" t="str">
        <f>"chloordimethoxybenzeen"</f>
        <v>chloordimethoxybenzeen</v>
      </c>
      <c r="C783" t="s">
        <v>19016</v>
      </c>
      <c r="D783" t="str">
        <f>""</f>
        <v/>
      </c>
      <c r="E783" t="str">
        <f t="shared" si="39"/>
        <v xml:space="preserve">Organische parameters </v>
      </c>
      <c r="F783" t="str">
        <f>"Gehalogeneerde monocyclische koolwaterstoffen "</f>
        <v xml:space="preserve">Gehalogeneerde monocyclische koolwaterstoffen </v>
      </c>
      <c r="G783" t="str">
        <f>""</f>
        <v/>
      </c>
    </row>
    <row r="784" spans="1:7" x14ac:dyDescent="0.25">
      <c r="A784">
        <v>1528</v>
      </c>
      <c r="B784" t="str">
        <f>"3-chloorfenol"</f>
        <v>3-chloorfenol</v>
      </c>
      <c r="C784" t="s">
        <v>19016</v>
      </c>
      <c r="D784" t="str">
        <f>"108-43-0"</f>
        <v>108-43-0</v>
      </c>
      <c r="E784" t="str">
        <f t="shared" si="39"/>
        <v xml:space="preserve">Organische parameters </v>
      </c>
      <c r="F784" t="str">
        <f t="shared" ref="F784:F791" si="40">"(Chloor)fenolen "</f>
        <v xml:space="preserve">(Chloor)fenolen </v>
      </c>
      <c r="G784" t="str">
        <f>""</f>
        <v/>
      </c>
    </row>
    <row r="785" spans="1:7" x14ac:dyDescent="0.25">
      <c r="A785">
        <v>1529</v>
      </c>
      <c r="B785" t="str">
        <f>"4-chloorfenol"</f>
        <v>4-chloorfenol</v>
      </c>
      <c r="C785" t="s">
        <v>19016</v>
      </c>
      <c r="D785" t="str">
        <f>"106-48-9"</f>
        <v>106-48-9</v>
      </c>
      <c r="E785" t="str">
        <f t="shared" si="39"/>
        <v xml:space="preserve">Organische parameters </v>
      </c>
      <c r="F785" t="str">
        <f t="shared" si="40"/>
        <v xml:space="preserve">(Chloor)fenolen </v>
      </c>
      <c r="G785" t="str">
        <f>""</f>
        <v/>
      </c>
    </row>
    <row r="786" spans="1:7" x14ac:dyDescent="0.25">
      <c r="A786">
        <v>1530</v>
      </c>
      <c r="B786" t="str">
        <f>"dichloorbenzeenmethanol"</f>
        <v>dichloorbenzeenmethanol</v>
      </c>
      <c r="C786" t="s">
        <v>19016</v>
      </c>
      <c r="D786" t="str">
        <f>""</f>
        <v/>
      </c>
      <c r="E786" t="str">
        <f t="shared" si="39"/>
        <v xml:space="preserve">Organische parameters </v>
      </c>
      <c r="F786" t="str">
        <f t="shared" si="40"/>
        <v xml:space="preserve">(Chloor)fenolen </v>
      </c>
      <c r="G786" t="str">
        <f>""</f>
        <v/>
      </c>
    </row>
    <row r="787" spans="1:7" x14ac:dyDescent="0.25">
      <c r="A787">
        <v>1531</v>
      </c>
      <c r="B787" t="str">
        <f>"2,3-dichloorfenol"</f>
        <v>2,3-dichloorfenol</v>
      </c>
      <c r="C787" t="s">
        <v>19016</v>
      </c>
      <c r="D787" t="str">
        <f>"576-24-9"</f>
        <v>576-24-9</v>
      </c>
      <c r="E787" t="str">
        <f t="shared" si="39"/>
        <v xml:space="preserve">Organische parameters </v>
      </c>
      <c r="F787" t="str">
        <f t="shared" si="40"/>
        <v xml:space="preserve">(Chloor)fenolen </v>
      </c>
      <c r="G787" t="str">
        <f>""</f>
        <v/>
      </c>
    </row>
    <row r="788" spans="1:7" x14ac:dyDescent="0.25">
      <c r="A788">
        <v>1532</v>
      </c>
      <c r="B788" t="str">
        <f>"2,5-dichloorfenol"</f>
        <v>2,5-dichloorfenol</v>
      </c>
      <c r="C788" t="s">
        <v>19016</v>
      </c>
      <c r="D788" t="str">
        <f>"583-78-8"</f>
        <v>583-78-8</v>
      </c>
      <c r="E788" t="str">
        <f t="shared" si="39"/>
        <v xml:space="preserve">Organische parameters </v>
      </c>
      <c r="F788" t="str">
        <f t="shared" si="40"/>
        <v xml:space="preserve">(Chloor)fenolen </v>
      </c>
      <c r="G788" t="str">
        <f>""</f>
        <v/>
      </c>
    </row>
    <row r="789" spans="1:7" x14ac:dyDescent="0.25">
      <c r="A789">
        <v>1533</v>
      </c>
      <c r="B789" t="str">
        <f>"2,6-dichloorfenol"</f>
        <v>2,6-dichloorfenol</v>
      </c>
      <c r="C789" t="s">
        <v>19016</v>
      </c>
      <c r="D789" t="str">
        <f>"87-65-0"</f>
        <v>87-65-0</v>
      </c>
      <c r="E789" t="str">
        <f t="shared" si="39"/>
        <v xml:space="preserve">Organische parameters </v>
      </c>
      <c r="F789" t="str">
        <f t="shared" si="40"/>
        <v xml:space="preserve">(Chloor)fenolen </v>
      </c>
      <c r="G789" t="str">
        <f>""</f>
        <v/>
      </c>
    </row>
    <row r="790" spans="1:7" x14ac:dyDescent="0.25">
      <c r="A790">
        <v>1534</v>
      </c>
      <c r="B790" t="str">
        <f>"3,4-dichloorfenol"</f>
        <v>3,4-dichloorfenol</v>
      </c>
      <c r="C790" t="s">
        <v>19016</v>
      </c>
      <c r="D790" t="str">
        <f>"95-77-2"</f>
        <v>95-77-2</v>
      </c>
      <c r="E790" t="str">
        <f t="shared" si="39"/>
        <v xml:space="preserve">Organische parameters </v>
      </c>
      <c r="F790" t="str">
        <f t="shared" si="40"/>
        <v xml:space="preserve">(Chloor)fenolen </v>
      </c>
      <c r="G790" t="str">
        <f>""</f>
        <v/>
      </c>
    </row>
    <row r="791" spans="1:7" x14ac:dyDescent="0.25">
      <c r="A791">
        <v>1535</v>
      </c>
      <c r="B791" t="str">
        <f>"3,5-dichloorfenol"</f>
        <v>3,5-dichloorfenol</v>
      </c>
      <c r="C791" t="s">
        <v>19016</v>
      </c>
      <c r="D791" t="str">
        <f>"591-35-5"</f>
        <v>591-35-5</v>
      </c>
      <c r="E791" t="str">
        <f t="shared" si="39"/>
        <v xml:space="preserve">Organische parameters </v>
      </c>
      <c r="F791" t="str">
        <f t="shared" si="40"/>
        <v xml:space="preserve">(Chloor)fenolen </v>
      </c>
      <c r="G791" t="str">
        <f>""</f>
        <v/>
      </c>
    </row>
    <row r="792" spans="1:7" x14ac:dyDescent="0.25">
      <c r="A792">
        <v>1536</v>
      </c>
      <c r="B792" t="str">
        <f>"dichloormethoxybenzeen"</f>
        <v>dichloormethoxybenzeen</v>
      </c>
      <c r="C792" t="s">
        <v>19016</v>
      </c>
      <c r="D792" t="str">
        <f>""</f>
        <v/>
      </c>
      <c r="E792" t="str">
        <f t="shared" si="39"/>
        <v xml:space="preserve">Organische parameters </v>
      </c>
      <c r="F792" t="str">
        <f>"Gehalogeneerde monocyclische koolwaterstoffen "</f>
        <v xml:space="preserve">Gehalogeneerde monocyclische koolwaterstoffen </v>
      </c>
      <c r="G792" t="str">
        <f>""</f>
        <v/>
      </c>
    </row>
    <row r="793" spans="1:7" x14ac:dyDescent="0.25">
      <c r="A793">
        <v>1537</v>
      </c>
      <c r="B793" t="str">
        <f>"2,3,4,5-tetrachloorfenol"</f>
        <v>2,3,4,5-tetrachloorfenol</v>
      </c>
      <c r="C793" t="s">
        <v>19016</v>
      </c>
      <c r="D793" t="str">
        <f>"4901-51-3"</f>
        <v>4901-51-3</v>
      </c>
      <c r="E793" t="str">
        <f t="shared" si="39"/>
        <v xml:space="preserve">Organische parameters </v>
      </c>
      <c r="F793" t="str">
        <f t="shared" ref="F793:F800" si="41">"(Chloor)fenolen "</f>
        <v xml:space="preserve">(Chloor)fenolen </v>
      </c>
      <c r="G793" t="str">
        <f>""</f>
        <v/>
      </c>
    </row>
    <row r="794" spans="1:7" x14ac:dyDescent="0.25">
      <c r="A794">
        <v>1538</v>
      </c>
      <c r="B794" t="str">
        <f>"2,3,4,6-tetrachloorfenol"</f>
        <v>2,3,4,6-tetrachloorfenol</v>
      </c>
      <c r="C794" t="s">
        <v>19016</v>
      </c>
      <c r="D794" t="str">
        <f>"58-90-2"</f>
        <v>58-90-2</v>
      </c>
      <c r="E794" t="str">
        <f t="shared" si="39"/>
        <v xml:space="preserve">Organische parameters </v>
      </c>
      <c r="F794" t="str">
        <f t="shared" si="41"/>
        <v xml:space="preserve">(Chloor)fenolen </v>
      </c>
      <c r="G794" t="str">
        <f>""</f>
        <v/>
      </c>
    </row>
    <row r="795" spans="1:7" x14ac:dyDescent="0.25">
      <c r="A795">
        <v>1539</v>
      </c>
      <c r="B795" t="str">
        <f>"2,3,5,6-tetrachloorfenol"</f>
        <v>2,3,5,6-tetrachloorfenol</v>
      </c>
      <c r="C795" t="s">
        <v>19016</v>
      </c>
      <c r="D795" t="str">
        <f>"935-95-5"</f>
        <v>935-95-5</v>
      </c>
      <c r="E795" t="str">
        <f t="shared" si="39"/>
        <v xml:space="preserve">Organische parameters </v>
      </c>
      <c r="F795" t="str">
        <f t="shared" si="41"/>
        <v xml:space="preserve">(Chloor)fenolen </v>
      </c>
      <c r="G795" t="str">
        <f>""</f>
        <v/>
      </c>
    </row>
    <row r="796" spans="1:7" x14ac:dyDescent="0.25">
      <c r="A796">
        <v>1540</v>
      </c>
      <c r="B796" t="str">
        <f>"tetrachloormethylfenol"</f>
        <v>tetrachloormethylfenol</v>
      </c>
      <c r="C796" t="s">
        <v>19016</v>
      </c>
      <c r="D796" t="str">
        <f>""</f>
        <v/>
      </c>
      <c r="E796" t="str">
        <f t="shared" si="39"/>
        <v xml:space="preserve">Organische parameters </v>
      </c>
      <c r="F796" t="str">
        <f t="shared" si="41"/>
        <v xml:space="preserve">(Chloor)fenolen </v>
      </c>
      <c r="G796" t="str">
        <f>""</f>
        <v/>
      </c>
    </row>
    <row r="797" spans="1:7" x14ac:dyDescent="0.25">
      <c r="A797">
        <v>1541</v>
      </c>
      <c r="B797" t="str">
        <f>"2,3,4-trichloorfenol"</f>
        <v>2,3,4-trichloorfenol</v>
      </c>
      <c r="C797" t="s">
        <v>19016</v>
      </c>
      <c r="D797" t="str">
        <f>"15950-66-0"</f>
        <v>15950-66-0</v>
      </c>
      <c r="E797" t="str">
        <f t="shared" si="39"/>
        <v xml:space="preserve">Organische parameters </v>
      </c>
      <c r="F797" t="str">
        <f t="shared" si="41"/>
        <v xml:space="preserve">(Chloor)fenolen </v>
      </c>
      <c r="G797" t="str">
        <f>""</f>
        <v/>
      </c>
    </row>
    <row r="798" spans="1:7" x14ac:dyDescent="0.25">
      <c r="A798">
        <v>1542</v>
      </c>
      <c r="B798" t="str">
        <f>"2,3,5-trichloorfenol"</f>
        <v>2,3,5-trichloorfenol</v>
      </c>
      <c r="C798" t="s">
        <v>19016</v>
      </c>
      <c r="D798" t="str">
        <f>"933-78-8"</f>
        <v>933-78-8</v>
      </c>
      <c r="E798" t="str">
        <f t="shared" si="39"/>
        <v xml:space="preserve">Organische parameters </v>
      </c>
      <c r="F798" t="str">
        <f t="shared" si="41"/>
        <v xml:space="preserve">(Chloor)fenolen </v>
      </c>
      <c r="G798" t="str">
        <f>""</f>
        <v/>
      </c>
    </row>
    <row r="799" spans="1:7" x14ac:dyDescent="0.25">
      <c r="A799">
        <v>1543</v>
      </c>
      <c r="B799" t="str">
        <f>"2,3,6-trichloorfenol"</f>
        <v>2,3,6-trichloorfenol</v>
      </c>
      <c r="C799" t="s">
        <v>19016</v>
      </c>
      <c r="D799" t="str">
        <f>"933-75-5"</f>
        <v>933-75-5</v>
      </c>
      <c r="E799" t="str">
        <f t="shared" si="39"/>
        <v xml:space="preserve">Organische parameters </v>
      </c>
      <c r="F799" t="str">
        <f t="shared" si="41"/>
        <v xml:space="preserve">(Chloor)fenolen </v>
      </c>
      <c r="G799" t="str">
        <f>""</f>
        <v/>
      </c>
    </row>
    <row r="800" spans="1:7" x14ac:dyDescent="0.25">
      <c r="A800">
        <v>1544</v>
      </c>
      <c r="B800" t="str">
        <f>"3,4,5-trichloorfenol"</f>
        <v>3,4,5-trichloorfenol</v>
      </c>
      <c r="C800" t="s">
        <v>19016</v>
      </c>
      <c r="D800" t="str">
        <f>"609-19-8"</f>
        <v>609-19-8</v>
      </c>
      <c r="E800" t="str">
        <f t="shared" si="39"/>
        <v xml:space="preserve">Organische parameters </v>
      </c>
      <c r="F800" t="str">
        <f t="shared" si="41"/>
        <v xml:space="preserve">(Chloor)fenolen </v>
      </c>
      <c r="G800" t="str">
        <f>""</f>
        <v/>
      </c>
    </row>
    <row r="801" spans="1:7" x14ac:dyDescent="0.25">
      <c r="A801">
        <v>1545</v>
      </c>
      <c r="B801" t="str">
        <f>"trichloormethoxybenzeen"</f>
        <v>trichloormethoxybenzeen</v>
      </c>
      <c r="C801" t="s">
        <v>19016</v>
      </c>
      <c r="D801" t="str">
        <f>"53452-80-5"</f>
        <v>53452-80-5</v>
      </c>
      <c r="E801" t="str">
        <f t="shared" si="39"/>
        <v xml:space="preserve">Organische parameters </v>
      </c>
      <c r="F801" t="str">
        <f>"Gehalogeneerde monocyclische koolwaterstoffen "</f>
        <v xml:space="preserve">Gehalogeneerde monocyclische koolwaterstoffen </v>
      </c>
      <c r="G801" t="str">
        <f>""</f>
        <v/>
      </c>
    </row>
    <row r="802" spans="1:7" x14ac:dyDescent="0.25">
      <c r="A802">
        <v>1546</v>
      </c>
      <c r="B802" t="str">
        <f>"trichloormethylfenol"</f>
        <v>trichloormethylfenol</v>
      </c>
      <c r="C802" t="s">
        <v>19016</v>
      </c>
      <c r="D802" t="str">
        <f>"551-76-8"</f>
        <v>551-76-8</v>
      </c>
      <c r="E802" t="str">
        <f t="shared" si="39"/>
        <v xml:space="preserve">Organische parameters </v>
      </c>
      <c r="F802" t="str">
        <f>"(Chloor)fenolen "</f>
        <v xml:space="preserve">(Chloor)fenolen </v>
      </c>
      <c r="G802" t="str">
        <f>""</f>
        <v/>
      </c>
    </row>
    <row r="803" spans="1:7" x14ac:dyDescent="0.25">
      <c r="A803">
        <v>1547</v>
      </c>
      <c r="B803" t="str">
        <f>"ethoxynitrobenzeen"</f>
        <v>ethoxynitrobenzeen</v>
      </c>
      <c r="C803" t="s">
        <v>19016</v>
      </c>
      <c r="D803" t="str">
        <f>""</f>
        <v/>
      </c>
      <c r="E803" t="str">
        <f t="shared" si="39"/>
        <v xml:space="preserve">Organische parameters </v>
      </c>
      <c r="F803" t="str">
        <f t="shared" ref="F803:F834" si="42">"Overige antropogene stoffen "</f>
        <v xml:space="preserve">Overige antropogene stoffen </v>
      </c>
      <c r="G803" t="str">
        <f>""</f>
        <v/>
      </c>
    </row>
    <row r="804" spans="1:7" x14ac:dyDescent="0.25">
      <c r="A804">
        <v>1548</v>
      </c>
      <c r="B804" t="str">
        <f>"methoxyfenylhydrazine"</f>
        <v>methoxyfenylhydrazine</v>
      </c>
      <c r="C804" t="s">
        <v>19016</v>
      </c>
      <c r="D804" t="str">
        <f>"3471-32-7"</f>
        <v>3471-32-7</v>
      </c>
      <c r="E804" t="str">
        <f t="shared" si="39"/>
        <v xml:space="preserve">Organische parameters </v>
      </c>
      <c r="F804" t="str">
        <f t="shared" si="42"/>
        <v xml:space="preserve">Overige antropogene stoffen </v>
      </c>
      <c r="G804" t="str">
        <f>""</f>
        <v/>
      </c>
    </row>
    <row r="805" spans="1:7" x14ac:dyDescent="0.25">
      <c r="A805">
        <v>1549</v>
      </c>
      <c r="B805" t="str">
        <f>"methoxynitrobenzeen"</f>
        <v>methoxynitrobenzeen</v>
      </c>
      <c r="C805" t="s">
        <v>19016</v>
      </c>
      <c r="D805" t="str">
        <f>""</f>
        <v/>
      </c>
      <c r="E805" t="str">
        <f t="shared" si="39"/>
        <v xml:space="preserve">Organische parameters </v>
      </c>
      <c r="F805" t="str">
        <f t="shared" si="42"/>
        <v xml:space="preserve">Overige antropogene stoffen </v>
      </c>
      <c r="G805" t="str">
        <f>""</f>
        <v/>
      </c>
    </row>
    <row r="806" spans="1:7" x14ac:dyDescent="0.25">
      <c r="A806">
        <v>1550</v>
      </c>
      <c r="B806" t="str">
        <f>"methoxynitromethylbenzeen"</f>
        <v>methoxynitromethylbenzeen</v>
      </c>
      <c r="C806" t="s">
        <v>19016</v>
      </c>
      <c r="D806" t="str">
        <f>""</f>
        <v/>
      </c>
      <c r="E806" t="str">
        <f t="shared" si="39"/>
        <v xml:space="preserve">Organische parameters </v>
      </c>
      <c r="F806" t="str">
        <f t="shared" si="42"/>
        <v xml:space="preserve">Overige antropogene stoffen </v>
      </c>
      <c r="G806" t="str">
        <f>""</f>
        <v/>
      </c>
    </row>
    <row r="807" spans="1:7" x14ac:dyDescent="0.25">
      <c r="A807">
        <v>1551</v>
      </c>
      <c r="B807" t="str">
        <f>"nitromethylfenol"</f>
        <v>nitromethylfenol</v>
      </c>
      <c r="C807" t="s">
        <v>19016</v>
      </c>
      <c r="D807" t="str">
        <f>""</f>
        <v/>
      </c>
      <c r="E807" t="str">
        <f t="shared" si="39"/>
        <v xml:space="preserve">Organische parameters </v>
      </c>
      <c r="F807" t="str">
        <f t="shared" si="42"/>
        <v xml:space="preserve">Overige antropogene stoffen </v>
      </c>
      <c r="G807" t="str">
        <f>""</f>
        <v/>
      </c>
    </row>
    <row r="808" spans="1:7" x14ac:dyDescent="0.25">
      <c r="A808">
        <v>1552</v>
      </c>
      <c r="B808" t="str">
        <f>"benzofuraan"</f>
        <v>benzofuraan</v>
      </c>
      <c r="C808" t="s">
        <v>19016</v>
      </c>
      <c r="D808" t="str">
        <f>"271-89-6"</f>
        <v>271-89-6</v>
      </c>
      <c r="E808" t="str">
        <f t="shared" si="39"/>
        <v xml:space="preserve">Organische parameters </v>
      </c>
      <c r="F808" t="str">
        <f t="shared" si="42"/>
        <v xml:space="preserve">Overige antropogene stoffen </v>
      </c>
      <c r="G808" t="str">
        <f>""</f>
        <v/>
      </c>
    </row>
    <row r="809" spans="1:7" x14ac:dyDescent="0.25">
      <c r="A809">
        <v>1553</v>
      </c>
      <c r="B809" t="str">
        <f>"diacetonglucose"</f>
        <v>diacetonglucose</v>
      </c>
      <c r="C809" t="s">
        <v>19016</v>
      </c>
      <c r="D809" t="str">
        <f>"582-52-5"</f>
        <v>582-52-5</v>
      </c>
      <c r="E809" t="str">
        <f t="shared" si="39"/>
        <v xml:space="preserve">Organische parameters </v>
      </c>
      <c r="F809" t="str">
        <f t="shared" si="42"/>
        <v xml:space="preserve">Overige antropogene stoffen </v>
      </c>
      <c r="G809" t="str">
        <f>""</f>
        <v/>
      </c>
    </row>
    <row r="810" spans="1:7" x14ac:dyDescent="0.25">
      <c r="A810">
        <v>1554</v>
      </c>
      <c r="B810" t="str">
        <f>"dibenzofuraan"</f>
        <v>dibenzofuraan</v>
      </c>
      <c r="C810" t="s">
        <v>19016</v>
      </c>
      <c r="D810" t="str">
        <f>"132-64-9"</f>
        <v>132-64-9</v>
      </c>
      <c r="E810" t="str">
        <f t="shared" si="39"/>
        <v xml:space="preserve">Organische parameters </v>
      </c>
      <c r="F810" t="str">
        <f t="shared" si="42"/>
        <v xml:space="preserve">Overige antropogene stoffen </v>
      </c>
      <c r="G810" t="str">
        <f>""</f>
        <v/>
      </c>
    </row>
    <row r="811" spans="1:7" x14ac:dyDescent="0.25">
      <c r="A811">
        <v>1555</v>
      </c>
      <c r="B811" t="str">
        <f>"dimethylbenzofuranose"</f>
        <v>dimethylbenzofuranose</v>
      </c>
      <c r="C811" t="s">
        <v>19016</v>
      </c>
      <c r="D811" t="str">
        <f>""</f>
        <v/>
      </c>
      <c r="E811" t="str">
        <f t="shared" si="39"/>
        <v xml:space="preserve">Organische parameters </v>
      </c>
      <c r="F811" t="str">
        <f t="shared" si="42"/>
        <v xml:space="preserve">Overige antropogene stoffen </v>
      </c>
      <c r="G811" t="str">
        <f>""</f>
        <v/>
      </c>
    </row>
    <row r="812" spans="1:7" x14ac:dyDescent="0.25">
      <c r="A812">
        <v>1556</v>
      </c>
      <c r="B812" t="str">
        <f>"di-o-propylideen-1-sorbofuranose"</f>
        <v>di-o-propylideen-1-sorbofuranose</v>
      </c>
      <c r="C812" t="s">
        <v>19016</v>
      </c>
      <c r="D812" t="str">
        <f>""</f>
        <v/>
      </c>
      <c r="E812" t="str">
        <f t="shared" si="39"/>
        <v xml:space="preserve">Organische parameters </v>
      </c>
      <c r="F812" t="str">
        <f t="shared" si="42"/>
        <v xml:space="preserve">Overige antropogene stoffen </v>
      </c>
      <c r="G812" t="str">
        <f>""</f>
        <v/>
      </c>
    </row>
    <row r="813" spans="1:7" x14ac:dyDescent="0.25">
      <c r="A813">
        <v>1557</v>
      </c>
      <c r="B813" t="str">
        <f>"ethyldioxolaan"</f>
        <v>ethyldioxolaan</v>
      </c>
      <c r="C813" t="s">
        <v>19016</v>
      </c>
      <c r="D813" t="str">
        <f>""</f>
        <v/>
      </c>
      <c r="E813" t="str">
        <f t="shared" si="39"/>
        <v xml:space="preserve">Organische parameters </v>
      </c>
      <c r="F813" t="str">
        <f t="shared" si="42"/>
        <v xml:space="preserve">Overige antropogene stoffen </v>
      </c>
      <c r="G813" t="str">
        <f>""</f>
        <v/>
      </c>
    </row>
    <row r="814" spans="1:7" x14ac:dyDescent="0.25">
      <c r="A814">
        <v>1559</v>
      </c>
      <c r="B814" t="str">
        <f>"methylbenzofuraan"</f>
        <v>methylbenzofuraan</v>
      </c>
      <c r="C814" t="s">
        <v>19016</v>
      </c>
      <c r="D814" t="str">
        <f>""</f>
        <v/>
      </c>
      <c r="E814" t="str">
        <f t="shared" si="39"/>
        <v xml:space="preserve">Organische parameters </v>
      </c>
      <c r="F814" t="str">
        <f t="shared" si="42"/>
        <v xml:space="preserve">Overige antropogene stoffen </v>
      </c>
      <c r="G814" t="str">
        <f>""</f>
        <v/>
      </c>
    </row>
    <row r="815" spans="1:7" x14ac:dyDescent="0.25">
      <c r="A815">
        <v>1560</v>
      </c>
      <c r="B815" t="str">
        <f>"methyldioxolaan"</f>
        <v>methyldioxolaan</v>
      </c>
      <c r="C815" t="s">
        <v>19016</v>
      </c>
      <c r="D815" t="str">
        <f>"497-26-7"</f>
        <v>497-26-7</v>
      </c>
      <c r="E815" t="str">
        <f t="shared" si="39"/>
        <v xml:space="preserve">Organische parameters </v>
      </c>
      <c r="F815" t="str">
        <f t="shared" si="42"/>
        <v xml:space="preserve">Overige antropogene stoffen </v>
      </c>
      <c r="G815" t="str">
        <f>""</f>
        <v/>
      </c>
    </row>
    <row r="816" spans="1:7" x14ac:dyDescent="0.25">
      <c r="A816">
        <v>1561</v>
      </c>
      <c r="B816" t="str">
        <f>"propenyldioxolaan"</f>
        <v>propenyldioxolaan</v>
      </c>
      <c r="C816" t="s">
        <v>19016</v>
      </c>
      <c r="D816" t="str">
        <f>"4528-26-1"</f>
        <v>4528-26-1</v>
      </c>
      <c r="E816" t="str">
        <f t="shared" si="39"/>
        <v xml:space="preserve">Organische parameters </v>
      </c>
      <c r="F816" t="str">
        <f t="shared" si="42"/>
        <v xml:space="preserve">Overige antropogene stoffen </v>
      </c>
      <c r="G816" t="str">
        <f>""</f>
        <v/>
      </c>
    </row>
    <row r="817" spans="1:7" x14ac:dyDescent="0.25">
      <c r="A817">
        <v>1562</v>
      </c>
      <c r="B817" t="str">
        <f>"pyraan"</f>
        <v>pyraan</v>
      </c>
      <c r="C817" t="s">
        <v>19016</v>
      </c>
      <c r="D817" t="str">
        <f>""</f>
        <v/>
      </c>
      <c r="E817" t="str">
        <f t="shared" si="39"/>
        <v xml:space="preserve">Organische parameters </v>
      </c>
      <c r="F817" t="str">
        <f t="shared" si="42"/>
        <v xml:space="preserve">Overige antropogene stoffen </v>
      </c>
      <c r="G817" t="str">
        <f>""</f>
        <v/>
      </c>
    </row>
    <row r="818" spans="1:7" x14ac:dyDescent="0.25">
      <c r="A818">
        <v>1564</v>
      </c>
      <c r="B818" t="str">
        <f>"trimethyldioxolaan"</f>
        <v>trimethyldioxolaan</v>
      </c>
      <c r="C818" t="s">
        <v>19016</v>
      </c>
      <c r="D818" t="str">
        <f>""</f>
        <v/>
      </c>
      <c r="E818" t="str">
        <f t="shared" si="39"/>
        <v xml:space="preserve">Organische parameters </v>
      </c>
      <c r="F818" t="str">
        <f t="shared" si="42"/>
        <v xml:space="preserve">Overige antropogene stoffen </v>
      </c>
      <c r="G818" t="str">
        <f>""</f>
        <v/>
      </c>
    </row>
    <row r="819" spans="1:7" x14ac:dyDescent="0.25">
      <c r="A819">
        <v>1565</v>
      </c>
      <c r="B819" t="str">
        <f>"trimethyltrioxaan"</f>
        <v>trimethyltrioxaan</v>
      </c>
      <c r="C819" t="s">
        <v>19016</v>
      </c>
      <c r="D819" t="str">
        <f>"123-63-7"</f>
        <v>123-63-7</v>
      </c>
      <c r="E819" t="str">
        <f t="shared" si="39"/>
        <v xml:space="preserve">Organische parameters </v>
      </c>
      <c r="F819" t="str">
        <f t="shared" si="42"/>
        <v xml:space="preserve">Overige antropogene stoffen </v>
      </c>
      <c r="G819" t="str">
        <f>""</f>
        <v/>
      </c>
    </row>
    <row r="820" spans="1:7" x14ac:dyDescent="0.25">
      <c r="A820">
        <v>1566</v>
      </c>
      <c r="B820" t="str">
        <f>"trioxaan"</f>
        <v>trioxaan</v>
      </c>
      <c r="C820" t="s">
        <v>19016</v>
      </c>
      <c r="D820" t="str">
        <f>"110-88-3"</f>
        <v>110-88-3</v>
      </c>
      <c r="E820" t="str">
        <f t="shared" si="39"/>
        <v xml:space="preserve">Organische parameters </v>
      </c>
      <c r="F820" t="str">
        <f t="shared" si="42"/>
        <v xml:space="preserve">Overige antropogene stoffen </v>
      </c>
      <c r="G820" t="str">
        <f>""</f>
        <v/>
      </c>
    </row>
    <row r="821" spans="1:7" x14ac:dyDescent="0.25">
      <c r="A821">
        <v>1567</v>
      </c>
      <c r="B821" t="str">
        <f>"n-butanal"</f>
        <v>n-butanal</v>
      </c>
      <c r="C821" t="s">
        <v>19016</v>
      </c>
      <c r="D821" t="str">
        <f>"123-72-8"</f>
        <v>123-72-8</v>
      </c>
      <c r="E821" t="str">
        <f t="shared" si="39"/>
        <v xml:space="preserve">Organische parameters </v>
      </c>
      <c r="F821" t="str">
        <f t="shared" si="42"/>
        <v xml:space="preserve">Overige antropogene stoffen </v>
      </c>
      <c r="G821" t="str">
        <f>""</f>
        <v/>
      </c>
    </row>
    <row r="822" spans="1:7" x14ac:dyDescent="0.25">
      <c r="A822">
        <v>1569</v>
      </c>
      <c r="B822" t="str">
        <f>"diisobutylketon"</f>
        <v>diisobutylketon</v>
      </c>
      <c r="C822" t="s">
        <v>19016</v>
      </c>
      <c r="D822" t="str">
        <f>"108-83-8"</f>
        <v>108-83-8</v>
      </c>
      <c r="E822" t="str">
        <f t="shared" si="39"/>
        <v xml:space="preserve">Organische parameters </v>
      </c>
      <c r="F822" t="str">
        <f t="shared" si="42"/>
        <v xml:space="preserve">Overige antropogene stoffen </v>
      </c>
      <c r="G822" t="str">
        <f>""</f>
        <v/>
      </c>
    </row>
    <row r="823" spans="1:7" x14ac:dyDescent="0.25">
      <c r="A823">
        <v>1570</v>
      </c>
      <c r="B823" t="str">
        <f>"heptanon"</f>
        <v>heptanon</v>
      </c>
      <c r="C823" t="s">
        <v>19016</v>
      </c>
      <c r="D823" t="str">
        <f>""</f>
        <v/>
      </c>
      <c r="E823" t="str">
        <f t="shared" si="39"/>
        <v xml:space="preserve">Organische parameters </v>
      </c>
      <c r="F823" t="str">
        <f t="shared" si="42"/>
        <v xml:space="preserve">Overige antropogene stoffen </v>
      </c>
      <c r="G823" t="str">
        <f>""</f>
        <v/>
      </c>
    </row>
    <row r="824" spans="1:7" x14ac:dyDescent="0.25">
      <c r="A824">
        <v>1571</v>
      </c>
      <c r="B824" t="str">
        <f>"hexanon"</f>
        <v>hexanon</v>
      </c>
      <c r="C824" t="s">
        <v>19016</v>
      </c>
      <c r="D824" t="str">
        <f>"30637-87-7"</f>
        <v>30637-87-7</v>
      </c>
      <c r="E824" t="str">
        <f t="shared" si="39"/>
        <v xml:space="preserve">Organische parameters </v>
      </c>
      <c r="F824" t="str">
        <f t="shared" si="42"/>
        <v xml:space="preserve">Overige antropogene stoffen </v>
      </c>
      <c r="G824" t="str">
        <f>""</f>
        <v/>
      </c>
    </row>
    <row r="825" spans="1:7" x14ac:dyDescent="0.25">
      <c r="A825">
        <v>1572</v>
      </c>
      <c r="B825" t="str">
        <f>"nonanon"</f>
        <v>nonanon</v>
      </c>
      <c r="C825" t="s">
        <v>19016</v>
      </c>
      <c r="D825" t="str">
        <f>""</f>
        <v/>
      </c>
      <c r="E825" t="str">
        <f t="shared" si="39"/>
        <v xml:space="preserve">Organische parameters </v>
      </c>
      <c r="F825" t="str">
        <f t="shared" si="42"/>
        <v xml:space="preserve">Overige antropogene stoffen </v>
      </c>
      <c r="G825" t="str">
        <f>""</f>
        <v/>
      </c>
    </row>
    <row r="826" spans="1:7" x14ac:dyDescent="0.25">
      <c r="A826">
        <v>1573</v>
      </c>
      <c r="B826" t="str">
        <f>"octanon"</f>
        <v>octanon</v>
      </c>
      <c r="C826" t="s">
        <v>19016</v>
      </c>
      <c r="D826" t="str">
        <f>"27457-18-7"</f>
        <v>27457-18-7</v>
      </c>
      <c r="E826" t="str">
        <f t="shared" si="39"/>
        <v xml:space="preserve">Organische parameters </v>
      </c>
      <c r="F826" t="str">
        <f t="shared" si="42"/>
        <v xml:space="preserve">Overige antropogene stoffen </v>
      </c>
      <c r="G826" t="str">
        <f>""</f>
        <v/>
      </c>
    </row>
    <row r="827" spans="1:7" x14ac:dyDescent="0.25">
      <c r="A827">
        <v>1574</v>
      </c>
      <c r="B827" t="str">
        <f>"pentanal"</f>
        <v>pentanal</v>
      </c>
      <c r="C827" t="s">
        <v>19016</v>
      </c>
      <c r="D827" t="str">
        <f>"110-62-3"</f>
        <v>110-62-3</v>
      </c>
      <c r="E827" t="str">
        <f t="shared" si="39"/>
        <v xml:space="preserve">Organische parameters </v>
      </c>
      <c r="F827" t="str">
        <f t="shared" si="42"/>
        <v xml:space="preserve">Overige antropogene stoffen </v>
      </c>
      <c r="G827" t="str">
        <f>""</f>
        <v/>
      </c>
    </row>
    <row r="828" spans="1:7" x14ac:dyDescent="0.25">
      <c r="A828">
        <v>1575</v>
      </c>
      <c r="B828" t="str">
        <f>"pentanon"</f>
        <v>pentanon</v>
      </c>
      <c r="C828" t="s">
        <v>19016</v>
      </c>
      <c r="D828" t="str">
        <f>"27154-67-2"</f>
        <v>27154-67-2</v>
      </c>
      <c r="E828" t="str">
        <f t="shared" si="39"/>
        <v xml:space="preserve">Organische parameters </v>
      </c>
      <c r="F828" t="str">
        <f t="shared" si="42"/>
        <v xml:space="preserve">Overige antropogene stoffen </v>
      </c>
      <c r="G828" t="str">
        <f>""</f>
        <v/>
      </c>
    </row>
    <row r="829" spans="1:7" x14ac:dyDescent="0.25">
      <c r="A829">
        <v>1576</v>
      </c>
      <c r="B829" t="str">
        <f>"trichloorpropanon"</f>
        <v>trichloorpropanon</v>
      </c>
      <c r="C829" t="s">
        <v>19016</v>
      </c>
      <c r="D829" t="str">
        <f>""</f>
        <v/>
      </c>
      <c r="E829" t="str">
        <f t="shared" si="39"/>
        <v xml:space="preserve">Organische parameters </v>
      </c>
      <c r="F829" t="str">
        <f t="shared" si="42"/>
        <v xml:space="preserve">Overige antropogene stoffen </v>
      </c>
      <c r="G829" t="str">
        <f>""</f>
        <v/>
      </c>
    </row>
    <row r="830" spans="1:7" x14ac:dyDescent="0.25">
      <c r="A830">
        <v>1577</v>
      </c>
      <c r="B830" t="str">
        <f>"acetofenon"</f>
        <v>acetofenon</v>
      </c>
      <c r="C830" t="s">
        <v>19016</v>
      </c>
      <c r="D830" t="str">
        <f>"98-86-2"</f>
        <v>98-86-2</v>
      </c>
      <c r="E830" t="str">
        <f t="shared" si="39"/>
        <v xml:space="preserve">Organische parameters </v>
      </c>
      <c r="F830" t="str">
        <f t="shared" si="42"/>
        <v xml:space="preserve">Overige antropogene stoffen </v>
      </c>
      <c r="G830" t="str">
        <f>""</f>
        <v/>
      </c>
    </row>
    <row r="831" spans="1:7" x14ac:dyDescent="0.25">
      <c r="A831">
        <v>1578</v>
      </c>
      <c r="B831" t="str">
        <f>"3-allylsalicylaldehyde"</f>
        <v>3-allylsalicylaldehyde</v>
      </c>
      <c r="C831" t="s">
        <v>19016</v>
      </c>
      <c r="D831" t="str">
        <f>"24019-66-7"</f>
        <v>24019-66-7</v>
      </c>
      <c r="E831" t="str">
        <f t="shared" si="39"/>
        <v xml:space="preserve">Organische parameters </v>
      </c>
      <c r="F831" t="str">
        <f t="shared" si="42"/>
        <v xml:space="preserve">Overige antropogene stoffen </v>
      </c>
      <c r="G831" t="str">
        <f>""</f>
        <v/>
      </c>
    </row>
    <row r="832" spans="1:7" x14ac:dyDescent="0.25">
      <c r="A832">
        <v>1579</v>
      </c>
      <c r="B832" t="str">
        <f>"benzaldehyde"</f>
        <v>benzaldehyde</v>
      </c>
      <c r="C832" t="s">
        <v>19016</v>
      </c>
      <c r="D832" t="str">
        <f>"100-52-7"</f>
        <v>100-52-7</v>
      </c>
      <c r="E832" t="str">
        <f t="shared" si="39"/>
        <v xml:space="preserve">Organische parameters </v>
      </c>
      <c r="F832" t="str">
        <f t="shared" si="42"/>
        <v xml:space="preserve">Overige antropogene stoffen </v>
      </c>
      <c r="G832" t="str">
        <f>""</f>
        <v/>
      </c>
    </row>
    <row r="833" spans="1:7" x14ac:dyDescent="0.25">
      <c r="A833">
        <v>1580</v>
      </c>
      <c r="B833" t="str">
        <f>"4-n-butylacetofenon"</f>
        <v>4-n-butylacetofenon</v>
      </c>
      <c r="C833" t="s">
        <v>19016</v>
      </c>
      <c r="D833" t="str">
        <f>"37920-25-5"</f>
        <v>37920-25-5</v>
      </c>
      <c r="E833" t="str">
        <f t="shared" si="39"/>
        <v xml:space="preserve">Organische parameters </v>
      </c>
      <c r="F833" t="str">
        <f t="shared" si="42"/>
        <v xml:space="preserve">Overige antropogene stoffen </v>
      </c>
      <c r="G833" t="str">
        <f>""</f>
        <v/>
      </c>
    </row>
    <row r="834" spans="1:7" x14ac:dyDescent="0.25">
      <c r="A834">
        <v>1581</v>
      </c>
      <c r="B834" t="str">
        <f>"butylcyclohexanon"</f>
        <v>butylcyclohexanon</v>
      </c>
      <c r="C834" t="s">
        <v>19016</v>
      </c>
      <c r="D834" t="str">
        <f>""</f>
        <v/>
      </c>
      <c r="E834" t="str">
        <f t="shared" si="39"/>
        <v xml:space="preserve">Organische parameters </v>
      </c>
      <c r="F834" t="str">
        <f t="shared" si="42"/>
        <v xml:space="preserve">Overige antropogene stoffen </v>
      </c>
      <c r="G834" t="str">
        <f>""</f>
        <v/>
      </c>
    </row>
    <row r="835" spans="1:7" x14ac:dyDescent="0.25">
      <c r="A835">
        <v>1582</v>
      </c>
      <c r="B835" t="str">
        <f>"cyclohexanon"</f>
        <v>cyclohexanon</v>
      </c>
      <c r="C835" t="s">
        <v>19016</v>
      </c>
      <c r="D835" t="str">
        <f>"108-94-1"</f>
        <v>108-94-1</v>
      </c>
      <c r="E835" t="str">
        <f t="shared" si="39"/>
        <v xml:space="preserve">Organische parameters </v>
      </c>
      <c r="F835" t="str">
        <f t="shared" ref="F835:F866" si="43">"Overige antropogene stoffen "</f>
        <v xml:space="preserve">Overige antropogene stoffen </v>
      </c>
      <c r="G835" t="str">
        <f>""</f>
        <v/>
      </c>
    </row>
    <row r="836" spans="1:7" x14ac:dyDescent="0.25">
      <c r="A836">
        <v>1583</v>
      </c>
      <c r="B836" t="str">
        <f>"cyclopentanon"</f>
        <v>cyclopentanon</v>
      </c>
      <c r="C836" t="s">
        <v>19016</v>
      </c>
      <c r="D836" t="str">
        <f>"120-92-3"</f>
        <v>120-92-3</v>
      </c>
      <c r="E836" t="str">
        <f t="shared" si="39"/>
        <v xml:space="preserve">Organische parameters </v>
      </c>
      <c r="F836" t="str">
        <f t="shared" si="43"/>
        <v xml:space="preserve">Overige antropogene stoffen </v>
      </c>
      <c r="G836" t="str">
        <f>""</f>
        <v/>
      </c>
    </row>
    <row r="837" spans="1:7" x14ac:dyDescent="0.25">
      <c r="A837">
        <v>1584</v>
      </c>
      <c r="B837" t="str">
        <f>"dibutylbenzochinon"</f>
        <v>dibutylbenzochinon</v>
      </c>
      <c r="C837" t="s">
        <v>19016</v>
      </c>
      <c r="D837" t="str">
        <f>"719-22-2"</f>
        <v>719-22-2</v>
      </c>
      <c r="E837" t="str">
        <f t="shared" si="39"/>
        <v xml:space="preserve">Organische parameters </v>
      </c>
      <c r="F837" t="str">
        <f t="shared" si="43"/>
        <v xml:space="preserve">Overige antropogene stoffen </v>
      </c>
      <c r="G837" t="str">
        <f>""</f>
        <v/>
      </c>
    </row>
    <row r="838" spans="1:7" x14ac:dyDescent="0.25">
      <c r="A838">
        <v>1585</v>
      </c>
      <c r="B838" t="str">
        <f>"dibutylhydroxybenzaldehyd"</f>
        <v>dibutylhydroxybenzaldehyd</v>
      </c>
      <c r="C838" t="s">
        <v>19016</v>
      </c>
      <c r="D838" t="str">
        <f>"1620-98-0"</f>
        <v>1620-98-0</v>
      </c>
      <c r="E838" t="str">
        <f t="shared" si="39"/>
        <v xml:space="preserve">Organische parameters </v>
      </c>
      <c r="F838" t="str">
        <f t="shared" si="43"/>
        <v xml:space="preserve">Overige antropogene stoffen </v>
      </c>
      <c r="G838" t="str">
        <f>""</f>
        <v/>
      </c>
    </row>
    <row r="839" spans="1:7" x14ac:dyDescent="0.25">
      <c r="A839">
        <v>1586</v>
      </c>
      <c r="B839" t="str">
        <f>"diethylmethylcyclopenteenethanon"</f>
        <v>diethylmethylcyclopenteenethanon</v>
      </c>
      <c r="C839" t="s">
        <v>19016</v>
      </c>
      <c r="D839" t="str">
        <f>""</f>
        <v/>
      </c>
      <c r="E839" t="str">
        <f t="shared" si="39"/>
        <v xml:space="preserve">Organische parameters </v>
      </c>
      <c r="F839" t="str">
        <f t="shared" si="43"/>
        <v xml:space="preserve">Overige antropogene stoffen </v>
      </c>
      <c r="G839" t="str">
        <f>""</f>
        <v/>
      </c>
    </row>
    <row r="840" spans="1:7" x14ac:dyDescent="0.25">
      <c r="A840">
        <v>1587</v>
      </c>
      <c r="B840" t="str">
        <f>"dihydroxy-acetofenon"</f>
        <v>dihydroxy-acetofenon</v>
      </c>
      <c r="C840" t="s">
        <v>19016</v>
      </c>
      <c r="D840" t="str">
        <f>"28604-78-6"</f>
        <v>28604-78-6</v>
      </c>
      <c r="E840" t="str">
        <f t="shared" si="39"/>
        <v xml:space="preserve">Organische parameters </v>
      </c>
      <c r="F840" t="str">
        <f t="shared" si="43"/>
        <v xml:space="preserve">Overige antropogene stoffen </v>
      </c>
      <c r="G840" t="str">
        <f>""</f>
        <v/>
      </c>
    </row>
    <row r="841" spans="1:7" x14ac:dyDescent="0.25">
      <c r="A841">
        <v>1588</v>
      </c>
      <c r="B841" t="str">
        <f>"dimethylbenzaldehyde"</f>
        <v>dimethylbenzaldehyde</v>
      </c>
      <c r="C841" t="s">
        <v>19016</v>
      </c>
      <c r="D841" t="str">
        <f>"28351-09-9"</f>
        <v>28351-09-9</v>
      </c>
      <c r="E841" t="str">
        <f t="shared" si="39"/>
        <v xml:space="preserve">Organische parameters </v>
      </c>
      <c r="F841" t="str">
        <f t="shared" si="43"/>
        <v xml:space="preserve">Overige antropogene stoffen </v>
      </c>
      <c r="G841" t="str">
        <f>""</f>
        <v/>
      </c>
    </row>
    <row r="842" spans="1:7" x14ac:dyDescent="0.25">
      <c r="A842">
        <v>1589</v>
      </c>
      <c r="B842" t="str">
        <f>"dimethylbenzofuranon"</f>
        <v>dimethylbenzofuranon</v>
      </c>
      <c r="C842" t="s">
        <v>19016</v>
      </c>
      <c r="D842" t="str">
        <f>""</f>
        <v/>
      </c>
      <c r="E842" t="str">
        <f t="shared" si="39"/>
        <v xml:space="preserve">Organische parameters </v>
      </c>
      <c r="F842" t="str">
        <f t="shared" si="43"/>
        <v xml:space="preserve">Overige antropogene stoffen </v>
      </c>
      <c r="G842" t="str">
        <f>""</f>
        <v/>
      </c>
    </row>
    <row r="843" spans="1:7" x14ac:dyDescent="0.25">
      <c r="A843">
        <v>1590</v>
      </c>
      <c r="B843" t="str">
        <f>"dimethylcyclohexanon"</f>
        <v>dimethylcyclohexanon</v>
      </c>
      <c r="C843" t="s">
        <v>19016</v>
      </c>
      <c r="D843" t="str">
        <f>"1333-44-4"</f>
        <v>1333-44-4</v>
      </c>
      <c r="E843" t="str">
        <f t="shared" si="39"/>
        <v xml:space="preserve">Organische parameters </v>
      </c>
      <c r="F843" t="str">
        <f t="shared" si="43"/>
        <v xml:space="preserve">Overige antropogene stoffen </v>
      </c>
      <c r="G843" t="str">
        <f>""</f>
        <v/>
      </c>
    </row>
    <row r="844" spans="1:7" x14ac:dyDescent="0.25">
      <c r="A844">
        <v>1591</v>
      </c>
      <c r="B844" t="str">
        <f>"dimethylethylacetofenon"</f>
        <v>dimethylethylacetofenon</v>
      </c>
      <c r="C844" t="s">
        <v>19016</v>
      </c>
      <c r="D844" t="str">
        <f>""</f>
        <v/>
      </c>
      <c r="E844" t="str">
        <f t="shared" si="39"/>
        <v xml:space="preserve">Organische parameters </v>
      </c>
      <c r="F844" t="str">
        <f t="shared" si="43"/>
        <v xml:space="preserve">Overige antropogene stoffen </v>
      </c>
      <c r="G844" t="str">
        <f>""</f>
        <v/>
      </c>
    </row>
    <row r="845" spans="1:7" x14ac:dyDescent="0.25">
      <c r="A845">
        <v>1592</v>
      </c>
      <c r="B845" t="str">
        <f>"ethylbenzaldehyd"</f>
        <v>ethylbenzaldehyd</v>
      </c>
      <c r="C845" t="s">
        <v>19016</v>
      </c>
      <c r="D845" t="str">
        <f>""</f>
        <v/>
      </c>
      <c r="E845" t="str">
        <f t="shared" ref="E845:E908" si="44">"Organische parameters "</f>
        <v xml:space="preserve">Organische parameters </v>
      </c>
      <c r="F845" t="str">
        <f t="shared" si="43"/>
        <v xml:space="preserve">Overige antropogene stoffen </v>
      </c>
      <c r="G845" t="str">
        <f>""</f>
        <v/>
      </c>
    </row>
    <row r="846" spans="1:7" x14ac:dyDescent="0.25">
      <c r="A846">
        <v>1593</v>
      </c>
      <c r="B846" t="str">
        <f>"ethylcyclohexanon"</f>
        <v>ethylcyclohexanon</v>
      </c>
      <c r="C846" t="s">
        <v>19016</v>
      </c>
      <c r="D846" t="str">
        <f>""</f>
        <v/>
      </c>
      <c r="E846" t="str">
        <f t="shared" si="44"/>
        <v xml:space="preserve">Organische parameters </v>
      </c>
      <c r="F846" t="str">
        <f t="shared" si="43"/>
        <v xml:space="preserve">Overige antropogene stoffen </v>
      </c>
      <c r="G846" t="str">
        <f>""</f>
        <v/>
      </c>
    </row>
    <row r="847" spans="1:7" x14ac:dyDescent="0.25">
      <c r="A847">
        <v>1594</v>
      </c>
      <c r="B847" t="str">
        <f>"ethylmethylcyclohexanon"</f>
        <v>ethylmethylcyclohexanon</v>
      </c>
      <c r="C847" t="s">
        <v>19016</v>
      </c>
      <c r="D847" t="str">
        <f>""</f>
        <v/>
      </c>
      <c r="E847" t="str">
        <f t="shared" si="44"/>
        <v xml:space="preserve">Organische parameters </v>
      </c>
      <c r="F847" t="str">
        <f t="shared" si="43"/>
        <v xml:space="preserve">Overige antropogene stoffen </v>
      </c>
      <c r="G847" t="str">
        <f>""</f>
        <v/>
      </c>
    </row>
    <row r="848" spans="1:7" x14ac:dyDescent="0.25">
      <c r="A848">
        <v>1596</v>
      </c>
      <c r="B848" t="str">
        <f>"fluorenon"</f>
        <v>fluorenon</v>
      </c>
      <c r="C848" t="s">
        <v>19016</v>
      </c>
      <c r="D848" t="str">
        <f>"486-25-9"</f>
        <v>486-25-9</v>
      </c>
      <c r="E848" t="str">
        <f t="shared" si="44"/>
        <v xml:space="preserve">Organische parameters </v>
      </c>
      <c r="F848" t="str">
        <f t="shared" si="43"/>
        <v xml:space="preserve">Overige antropogene stoffen </v>
      </c>
      <c r="G848" t="str">
        <f>""</f>
        <v/>
      </c>
    </row>
    <row r="849" spans="1:7" x14ac:dyDescent="0.25">
      <c r="A849">
        <v>1597</v>
      </c>
      <c r="B849" t="str">
        <f>"hydroxybenzofenon"</f>
        <v>hydroxybenzofenon</v>
      </c>
      <c r="C849" t="s">
        <v>19016</v>
      </c>
      <c r="D849" t="str">
        <f>""</f>
        <v/>
      </c>
      <c r="E849" t="str">
        <f t="shared" si="44"/>
        <v xml:space="preserve">Organische parameters </v>
      </c>
      <c r="F849" t="str">
        <f t="shared" si="43"/>
        <v xml:space="preserve">Overige antropogene stoffen </v>
      </c>
      <c r="G849" t="str">
        <f>""</f>
        <v/>
      </c>
    </row>
    <row r="850" spans="1:7" x14ac:dyDescent="0.25">
      <c r="A850">
        <v>1598</v>
      </c>
      <c r="B850" t="str">
        <f>"indanon"</f>
        <v>indanon</v>
      </c>
      <c r="C850" t="s">
        <v>19016</v>
      </c>
      <c r="D850" t="str">
        <f>"56049-88-8"</f>
        <v>56049-88-8</v>
      </c>
      <c r="E850" t="str">
        <f t="shared" si="44"/>
        <v xml:space="preserve">Organische parameters </v>
      </c>
      <c r="F850" t="str">
        <f t="shared" si="43"/>
        <v xml:space="preserve">Overige antropogene stoffen </v>
      </c>
      <c r="G850" t="str">
        <f>""</f>
        <v/>
      </c>
    </row>
    <row r="851" spans="1:7" x14ac:dyDescent="0.25">
      <c r="A851">
        <v>1599</v>
      </c>
      <c r="B851" t="str">
        <f>"isopropylacetofenon"</f>
        <v>isopropylacetofenon</v>
      </c>
      <c r="C851" t="s">
        <v>19016</v>
      </c>
      <c r="D851" t="str">
        <f>""</f>
        <v/>
      </c>
      <c r="E851" t="str">
        <f t="shared" si="44"/>
        <v xml:space="preserve">Organische parameters </v>
      </c>
      <c r="F851" t="str">
        <f t="shared" si="43"/>
        <v xml:space="preserve">Overige antropogene stoffen </v>
      </c>
      <c r="G851" t="str">
        <f>""</f>
        <v/>
      </c>
    </row>
    <row r="852" spans="1:7" x14ac:dyDescent="0.25">
      <c r="A852">
        <v>1600</v>
      </c>
      <c r="B852" t="str">
        <f>"methylcyclohexanon"</f>
        <v>methylcyclohexanon</v>
      </c>
      <c r="C852" t="s">
        <v>19016</v>
      </c>
      <c r="D852" t="str">
        <f>"1331-22-2"</f>
        <v>1331-22-2</v>
      </c>
      <c r="E852" t="str">
        <f t="shared" si="44"/>
        <v xml:space="preserve">Organische parameters </v>
      </c>
      <c r="F852" t="str">
        <f t="shared" si="43"/>
        <v xml:space="preserve">Overige antropogene stoffen </v>
      </c>
      <c r="G852" t="str">
        <f>""</f>
        <v/>
      </c>
    </row>
    <row r="853" spans="1:7" x14ac:dyDescent="0.25">
      <c r="A853">
        <v>1601</v>
      </c>
      <c r="B853" t="str">
        <f>"methylcyclopentanon"</f>
        <v>methylcyclopentanon</v>
      </c>
      <c r="C853" t="s">
        <v>19016</v>
      </c>
      <c r="D853" t="str">
        <f>""</f>
        <v/>
      </c>
      <c r="E853" t="str">
        <f t="shared" si="44"/>
        <v xml:space="preserve">Organische parameters </v>
      </c>
      <c r="F853" t="str">
        <f t="shared" si="43"/>
        <v xml:space="preserve">Overige antropogene stoffen </v>
      </c>
      <c r="G853" t="str">
        <f>""</f>
        <v/>
      </c>
    </row>
    <row r="854" spans="1:7" x14ac:dyDescent="0.25">
      <c r="A854">
        <v>1602</v>
      </c>
      <c r="B854" t="str">
        <f>"trimethylcyclobutanon"</f>
        <v>trimethylcyclobutanon</v>
      </c>
      <c r="C854" t="s">
        <v>19016</v>
      </c>
      <c r="D854" t="str">
        <f>"1449-49-6"</f>
        <v>1449-49-6</v>
      </c>
      <c r="E854" t="str">
        <f t="shared" si="44"/>
        <v xml:space="preserve">Organische parameters </v>
      </c>
      <c r="F854" t="str">
        <f t="shared" si="43"/>
        <v xml:space="preserve">Overige antropogene stoffen </v>
      </c>
      <c r="G854" t="str">
        <f>""</f>
        <v/>
      </c>
    </row>
    <row r="855" spans="1:7" x14ac:dyDescent="0.25">
      <c r="A855">
        <v>1603</v>
      </c>
      <c r="B855" t="str">
        <f>"trimethylcyclohexanon"</f>
        <v>trimethylcyclohexanon</v>
      </c>
      <c r="C855" t="s">
        <v>19016</v>
      </c>
      <c r="D855" t="str">
        <f>""</f>
        <v/>
      </c>
      <c r="E855" t="str">
        <f t="shared" si="44"/>
        <v xml:space="preserve">Organische parameters </v>
      </c>
      <c r="F855" t="str">
        <f t="shared" si="43"/>
        <v xml:space="preserve">Overige antropogene stoffen </v>
      </c>
      <c r="G855" t="str">
        <f>""</f>
        <v/>
      </c>
    </row>
    <row r="856" spans="1:7" x14ac:dyDescent="0.25">
      <c r="A856">
        <v>1604</v>
      </c>
      <c r="B856" t="str">
        <f>"3,5,5-trimethyl-2-cyclohexen-1-on"</f>
        <v>3,5,5-trimethyl-2-cyclohexen-1-on</v>
      </c>
      <c r="C856" t="s">
        <v>19016</v>
      </c>
      <c r="D856" t="str">
        <f>"78-59-1"</f>
        <v>78-59-1</v>
      </c>
      <c r="E856" t="str">
        <f t="shared" si="44"/>
        <v xml:space="preserve">Organische parameters </v>
      </c>
      <c r="F856" t="str">
        <f t="shared" si="43"/>
        <v xml:space="preserve">Overige antropogene stoffen </v>
      </c>
      <c r="G856" t="str">
        <f>""</f>
        <v/>
      </c>
    </row>
    <row r="857" spans="1:7" x14ac:dyDescent="0.25">
      <c r="A857">
        <v>1605</v>
      </c>
      <c r="B857" t="str">
        <f>"trimethyldihydronaftalenon"</f>
        <v>trimethyldihydronaftalenon</v>
      </c>
      <c r="C857" t="s">
        <v>19016</v>
      </c>
      <c r="D857" t="str">
        <f>""</f>
        <v/>
      </c>
      <c r="E857" t="str">
        <f t="shared" si="44"/>
        <v xml:space="preserve">Organische parameters </v>
      </c>
      <c r="F857" t="str">
        <f t="shared" si="43"/>
        <v xml:space="preserve">Overige antropogene stoffen </v>
      </c>
      <c r="G857" t="str">
        <f>""</f>
        <v/>
      </c>
    </row>
    <row r="858" spans="1:7" x14ac:dyDescent="0.25">
      <c r="A858">
        <v>1606</v>
      </c>
      <c r="B858" t="str">
        <f>"chloorbenzaldehyd"</f>
        <v>chloorbenzaldehyd</v>
      </c>
      <c r="C858" t="s">
        <v>19016</v>
      </c>
      <c r="D858" t="str">
        <f>""</f>
        <v/>
      </c>
      <c r="E858" t="str">
        <f t="shared" si="44"/>
        <v xml:space="preserve">Organische parameters </v>
      </c>
      <c r="F858" t="str">
        <f t="shared" si="43"/>
        <v xml:space="preserve">Overige antropogene stoffen </v>
      </c>
      <c r="G858" t="str">
        <f>""</f>
        <v/>
      </c>
    </row>
    <row r="859" spans="1:7" x14ac:dyDescent="0.25">
      <c r="A859">
        <v>1607</v>
      </c>
      <c r="B859" t="str">
        <f>"dichlooracetofenon"</f>
        <v>dichlooracetofenon</v>
      </c>
      <c r="C859" t="s">
        <v>19016</v>
      </c>
      <c r="D859" t="str">
        <f>""</f>
        <v/>
      </c>
      <c r="E859" t="str">
        <f t="shared" si="44"/>
        <v xml:space="preserve">Organische parameters </v>
      </c>
      <c r="F859" t="str">
        <f t="shared" si="43"/>
        <v xml:space="preserve">Overige antropogene stoffen </v>
      </c>
      <c r="G859" t="str">
        <f>""</f>
        <v/>
      </c>
    </row>
    <row r="860" spans="1:7" x14ac:dyDescent="0.25">
      <c r="A860">
        <v>1608</v>
      </c>
      <c r="B860" t="str">
        <f>"dichlooranthrachinon"</f>
        <v>dichlooranthrachinon</v>
      </c>
      <c r="C860" t="s">
        <v>19016</v>
      </c>
      <c r="D860" t="str">
        <f>""</f>
        <v/>
      </c>
      <c r="E860" t="str">
        <f t="shared" si="44"/>
        <v xml:space="preserve">Organische parameters </v>
      </c>
      <c r="F860" t="str">
        <f t="shared" si="43"/>
        <v xml:space="preserve">Overige antropogene stoffen </v>
      </c>
      <c r="G860" t="str">
        <f>""</f>
        <v/>
      </c>
    </row>
    <row r="861" spans="1:7" x14ac:dyDescent="0.25">
      <c r="A861">
        <v>1609</v>
      </c>
      <c r="B861" t="str">
        <f>"dichloorfenylethanon"</f>
        <v>dichloorfenylethanon</v>
      </c>
      <c r="C861" t="s">
        <v>19016</v>
      </c>
      <c r="D861" t="str">
        <f>"ÿ2648-61-5"</f>
        <v>ÿ2648-61-5</v>
      </c>
      <c r="E861" t="str">
        <f t="shared" si="44"/>
        <v xml:space="preserve">Organische parameters </v>
      </c>
      <c r="F861" t="str">
        <f t="shared" si="43"/>
        <v xml:space="preserve">Overige antropogene stoffen </v>
      </c>
      <c r="G861" t="str">
        <f>""</f>
        <v/>
      </c>
    </row>
    <row r="862" spans="1:7" x14ac:dyDescent="0.25">
      <c r="A862">
        <v>1610</v>
      </c>
      <c r="B862" t="str">
        <f>"1-aminoanthrachinon"</f>
        <v>1-aminoanthrachinon</v>
      </c>
      <c r="C862" t="s">
        <v>19016</v>
      </c>
      <c r="D862" t="str">
        <f>"82-45-1"</f>
        <v>82-45-1</v>
      </c>
      <c r="E862" t="str">
        <f t="shared" si="44"/>
        <v xml:space="preserve">Organische parameters </v>
      </c>
      <c r="F862" t="str">
        <f t="shared" si="43"/>
        <v xml:space="preserve">Overige antropogene stoffen </v>
      </c>
      <c r="G862" t="str">
        <f>""</f>
        <v/>
      </c>
    </row>
    <row r="863" spans="1:7" x14ac:dyDescent="0.25">
      <c r="A863">
        <v>1611</v>
      </c>
      <c r="B863" t="str">
        <f>"amino-fenylbutanon"</f>
        <v>amino-fenylbutanon</v>
      </c>
      <c r="C863" t="s">
        <v>19016</v>
      </c>
      <c r="D863" t="str">
        <f>""</f>
        <v/>
      </c>
      <c r="E863" t="str">
        <f t="shared" si="44"/>
        <v xml:space="preserve">Organische parameters </v>
      </c>
      <c r="F863" t="str">
        <f t="shared" si="43"/>
        <v xml:space="preserve">Overige antropogene stoffen </v>
      </c>
      <c r="G863" t="str">
        <f>""</f>
        <v/>
      </c>
    </row>
    <row r="864" spans="1:7" x14ac:dyDescent="0.25">
      <c r="A864">
        <v>1612</v>
      </c>
      <c r="B864" t="str">
        <f>"bis (dimethylamino)benzofenon"</f>
        <v>bis (dimethylamino)benzofenon</v>
      </c>
      <c r="C864" t="s">
        <v>19016</v>
      </c>
      <c r="D864" t="str">
        <f>"90-94-8"</f>
        <v>90-94-8</v>
      </c>
      <c r="E864" t="str">
        <f t="shared" si="44"/>
        <v xml:space="preserve">Organische parameters </v>
      </c>
      <c r="F864" t="str">
        <f t="shared" si="43"/>
        <v xml:space="preserve">Overige antropogene stoffen </v>
      </c>
      <c r="G864" t="str">
        <f>""</f>
        <v/>
      </c>
    </row>
    <row r="865" spans="1:7" x14ac:dyDescent="0.25">
      <c r="A865">
        <v>1613</v>
      </c>
      <c r="B865" t="str">
        <f>"caffeine"</f>
        <v>caffeine</v>
      </c>
      <c r="C865" t="s">
        <v>19016</v>
      </c>
      <c r="D865" t="str">
        <f>"58-08-2"</f>
        <v>58-08-2</v>
      </c>
      <c r="E865" t="str">
        <f t="shared" si="44"/>
        <v xml:space="preserve">Organische parameters </v>
      </c>
      <c r="F865" t="str">
        <f t="shared" si="43"/>
        <v xml:space="preserve">Overige antropogene stoffen </v>
      </c>
      <c r="G865" t="str">
        <f>""</f>
        <v/>
      </c>
    </row>
    <row r="866" spans="1:7" x14ac:dyDescent="0.25">
      <c r="A866">
        <v>1614</v>
      </c>
      <c r="B866" t="str">
        <f>"chinazolinon"</f>
        <v>chinazolinon</v>
      </c>
      <c r="C866" t="s">
        <v>19016</v>
      </c>
      <c r="D866" t="str">
        <f>"72-44-6"</f>
        <v>72-44-6</v>
      </c>
      <c r="E866" t="str">
        <f t="shared" si="44"/>
        <v xml:space="preserve">Organische parameters </v>
      </c>
      <c r="F866" t="str">
        <f t="shared" si="43"/>
        <v xml:space="preserve">Overige antropogene stoffen </v>
      </c>
      <c r="G866" t="str">
        <f>""</f>
        <v/>
      </c>
    </row>
    <row r="867" spans="1:7" x14ac:dyDescent="0.25">
      <c r="A867">
        <v>1615</v>
      </c>
      <c r="B867" t="str">
        <f>"dihydropyrazolon"</f>
        <v>dihydropyrazolon</v>
      </c>
      <c r="C867" t="s">
        <v>19016</v>
      </c>
      <c r="D867" t="str">
        <f>""</f>
        <v/>
      </c>
      <c r="E867" t="str">
        <f t="shared" si="44"/>
        <v xml:space="preserve">Organische parameters </v>
      </c>
      <c r="F867" t="str">
        <f t="shared" ref="F867:F898" si="45">"Overige antropogene stoffen "</f>
        <v xml:space="preserve">Overige antropogene stoffen </v>
      </c>
      <c r="G867" t="str">
        <f>""</f>
        <v/>
      </c>
    </row>
    <row r="868" spans="1:7" x14ac:dyDescent="0.25">
      <c r="A868">
        <v>1616</v>
      </c>
      <c r="B868" t="str">
        <f>"ditoluidineketon"</f>
        <v>ditoluidineketon</v>
      </c>
      <c r="C868" t="s">
        <v>19016</v>
      </c>
      <c r="D868" t="str">
        <f>""</f>
        <v/>
      </c>
      <c r="E868" t="str">
        <f t="shared" si="44"/>
        <v xml:space="preserve">Organische parameters </v>
      </c>
      <c r="F868" t="str">
        <f t="shared" si="45"/>
        <v xml:space="preserve">Overige antropogene stoffen </v>
      </c>
      <c r="G868" t="str">
        <f>""</f>
        <v/>
      </c>
    </row>
    <row r="869" spans="1:7" x14ac:dyDescent="0.25">
      <c r="A869">
        <v>1617</v>
      </c>
      <c r="B869" t="str">
        <f>"methylindazolon"</f>
        <v>methylindazolon</v>
      </c>
      <c r="C869" t="s">
        <v>19016</v>
      </c>
      <c r="D869" t="str">
        <f>""</f>
        <v/>
      </c>
      <c r="E869" t="str">
        <f t="shared" si="44"/>
        <v xml:space="preserve">Organische parameters </v>
      </c>
      <c r="F869" t="str">
        <f t="shared" si="45"/>
        <v xml:space="preserve">Overige antropogene stoffen </v>
      </c>
      <c r="G869" t="str">
        <f>""</f>
        <v/>
      </c>
    </row>
    <row r="870" spans="1:7" x14ac:dyDescent="0.25">
      <c r="A870">
        <v>1618</v>
      </c>
      <c r="B870" t="str">
        <f>"nitroacetofenon"</f>
        <v>nitroacetofenon</v>
      </c>
      <c r="C870" t="s">
        <v>19016</v>
      </c>
      <c r="D870" t="str">
        <f>""</f>
        <v/>
      </c>
      <c r="E870" t="str">
        <f t="shared" si="44"/>
        <v xml:space="preserve">Organische parameters </v>
      </c>
      <c r="F870" t="str">
        <f t="shared" si="45"/>
        <v xml:space="preserve">Overige antropogene stoffen </v>
      </c>
      <c r="G870" t="str">
        <f>""</f>
        <v/>
      </c>
    </row>
    <row r="871" spans="1:7" x14ac:dyDescent="0.25">
      <c r="A871">
        <v>1619</v>
      </c>
      <c r="B871" t="str">
        <f>"n-butaanzuur"</f>
        <v>n-butaanzuur</v>
      </c>
      <c r="C871" t="s">
        <v>19016</v>
      </c>
      <c r="D871" t="str">
        <f>"107-92-6"</f>
        <v>107-92-6</v>
      </c>
      <c r="E871" t="str">
        <f t="shared" si="44"/>
        <v xml:space="preserve">Organische parameters </v>
      </c>
      <c r="F871" t="str">
        <f t="shared" si="45"/>
        <v xml:space="preserve">Overige antropogene stoffen </v>
      </c>
      <c r="G871" t="str">
        <f>""</f>
        <v/>
      </c>
    </row>
    <row r="872" spans="1:7" x14ac:dyDescent="0.25">
      <c r="A872">
        <v>1620</v>
      </c>
      <c r="B872" t="str">
        <f>"butylbutanoaat"</f>
        <v>butylbutanoaat</v>
      </c>
      <c r="C872" t="s">
        <v>19016</v>
      </c>
      <c r="D872" t="str">
        <f>"109-21-7"</f>
        <v>109-21-7</v>
      </c>
      <c r="E872" t="str">
        <f t="shared" si="44"/>
        <v xml:space="preserve">Organische parameters </v>
      </c>
      <c r="F872" t="str">
        <f t="shared" si="45"/>
        <v xml:space="preserve">Overige antropogene stoffen </v>
      </c>
      <c r="G872" t="str">
        <f>""</f>
        <v/>
      </c>
    </row>
    <row r="873" spans="1:7" x14ac:dyDescent="0.25">
      <c r="A873">
        <v>1621</v>
      </c>
      <c r="B873" t="str">
        <f>"n-butylpropanoaat"</f>
        <v>n-butylpropanoaat</v>
      </c>
      <c r="C873" t="s">
        <v>19016</v>
      </c>
      <c r="D873" t="str">
        <f>"590-01-2"</f>
        <v>590-01-2</v>
      </c>
      <c r="E873" t="str">
        <f t="shared" si="44"/>
        <v xml:space="preserve">Organische parameters </v>
      </c>
      <c r="F873" t="str">
        <f t="shared" si="45"/>
        <v xml:space="preserve">Overige antropogene stoffen </v>
      </c>
      <c r="G873" t="str">
        <f>""</f>
        <v/>
      </c>
    </row>
    <row r="874" spans="1:7" x14ac:dyDescent="0.25">
      <c r="A874">
        <v>1622</v>
      </c>
      <c r="B874" t="str">
        <f>"dibutylfumaraat"</f>
        <v>dibutylfumaraat</v>
      </c>
      <c r="C874" t="s">
        <v>19016</v>
      </c>
      <c r="D874" t="str">
        <f>"105-75-9"</f>
        <v>105-75-9</v>
      </c>
      <c r="E874" t="str">
        <f t="shared" si="44"/>
        <v xml:space="preserve">Organische parameters </v>
      </c>
      <c r="F874" t="str">
        <f t="shared" si="45"/>
        <v xml:space="preserve">Overige antropogene stoffen </v>
      </c>
      <c r="G874" t="str">
        <f>""</f>
        <v/>
      </c>
    </row>
    <row r="875" spans="1:7" x14ac:dyDescent="0.25">
      <c r="A875">
        <v>1623</v>
      </c>
      <c r="B875" t="str">
        <f>"dimethyldipropylmalonaat"</f>
        <v>dimethyldipropylmalonaat</v>
      </c>
      <c r="C875" t="s">
        <v>19016</v>
      </c>
      <c r="D875" t="str">
        <f>""</f>
        <v/>
      </c>
      <c r="E875" t="str">
        <f t="shared" si="44"/>
        <v xml:space="preserve">Organische parameters </v>
      </c>
      <c r="F875" t="str">
        <f t="shared" si="45"/>
        <v xml:space="preserve">Overige antropogene stoffen </v>
      </c>
      <c r="G875" t="str">
        <f>""</f>
        <v/>
      </c>
    </row>
    <row r="876" spans="1:7" x14ac:dyDescent="0.25">
      <c r="A876">
        <v>1624</v>
      </c>
      <c r="B876" t="str">
        <f>"dimethylethylpropanoaat"</f>
        <v>dimethylethylpropanoaat</v>
      </c>
      <c r="C876" t="s">
        <v>19016</v>
      </c>
      <c r="D876" t="str">
        <f>"20487-40-5"</f>
        <v>20487-40-5</v>
      </c>
      <c r="E876" t="str">
        <f t="shared" si="44"/>
        <v xml:space="preserve">Organische parameters </v>
      </c>
      <c r="F876" t="str">
        <f t="shared" si="45"/>
        <v xml:space="preserve">Overige antropogene stoffen </v>
      </c>
      <c r="G876" t="str">
        <f>""</f>
        <v/>
      </c>
    </row>
    <row r="877" spans="1:7" x14ac:dyDescent="0.25">
      <c r="A877">
        <v>1625</v>
      </c>
      <c r="B877" t="str">
        <f>"dodecaanzuur"</f>
        <v>dodecaanzuur</v>
      </c>
      <c r="C877" t="s">
        <v>19016</v>
      </c>
      <c r="D877" t="str">
        <f>"143-07-7"</f>
        <v>143-07-7</v>
      </c>
      <c r="E877" t="str">
        <f t="shared" si="44"/>
        <v xml:space="preserve">Organische parameters </v>
      </c>
      <c r="F877" t="str">
        <f t="shared" si="45"/>
        <v xml:space="preserve">Overige antropogene stoffen </v>
      </c>
      <c r="G877" t="str">
        <f>""</f>
        <v/>
      </c>
    </row>
    <row r="878" spans="1:7" x14ac:dyDescent="0.25">
      <c r="A878">
        <v>1626</v>
      </c>
      <c r="B878" t="str">
        <f>"ethaanzuur"</f>
        <v>ethaanzuur</v>
      </c>
      <c r="C878" t="s">
        <v>19016</v>
      </c>
      <c r="D878" t="str">
        <f>"64-19-7"</f>
        <v>64-19-7</v>
      </c>
      <c r="E878" t="str">
        <f t="shared" si="44"/>
        <v xml:space="preserve">Organische parameters </v>
      </c>
      <c r="F878" t="str">
        <f t="shared" si="45"/>
        <v xml:space="preserve">Overige antropogene stoffen </v>
      </c>
      <c r="G878" t="str">
        <f>""</f>
        <v/>
      </c>
    </row>
    <row r="879" spans="1:7" x14ac:dyDescent="0.25">
      <c r="A879">
        <v>1627</v>
      </c>
      <c r="B879" t="str">
        <f>"ethyldodecanoaat"</f>
        <v>ethyldodecanoaat</v>
      </c>
      <c r="C879" t="s">
        <v>19016</v>
      </c>
      <c r="D879" t="str">
        <f>"106-33-2"</f>
        <v>106-33-2</v>
      </c>
      <c r="E879" t="str">
        <f t="shared" si="44"/>
        <v xml:space="preserve">Organische parameters </v>
      </c>
      <c r="F879" t="str">
        <f t="shared" si="45"/>
        <v xml:space="preserve">Overige antropogene stoffen </v>
      </c>
      <c r="G879" t="str">
        <f>""</f>
        <v/>
      </c>
    </row>
    <row r="880" spans="1:7" x14ac:dyDescent="0.25">
      <c r="A880">
        <v>1628</v>
      </c>
      <c r="B880" t="str">
        <f>"ethylhexadecanoaat"</f>
        <v>ethylhexadecanoaat</v>
      </c>
      <c r="C880" t="s">
        <v>19016</v>
      </c>
      <c r="D880" t="str">
        <f>"628-97-7"</f>
        <v>628-97-7</v>
      </c>
      <c r="E880" t="str">
        <f t="shared" si="44"/>
        <v xml:space="preserve">Organische parameters </v>
      </c>
      <c r="F880" t="str">
        <f t="shared" si="45"/>
        <v xml:space="preserve">Overige antropogene stoffen </v>
      </c>
      <c r="G880" t="str">
        <f>""</f>
        <v/>
      </c>
    </row>
    <row r="881" spans="1:7" x14ac:dyDescent="0.25">
      <c r="A881">
        <v>1629</v>
      </c>
      <c r="B881" t="str">
        <f>"ethyloctadecanoaat"</f>
        <v>ethyloctadecanoaat</v>
      </c>
      <c r="C881" t="s">
        <v>19016</v>
      </c>
      <c r="D881" t="str">
        <f>"111-61-5"</f>
        <v>111-61-5</v>
      </c>
      <c r="E881" t="str">
        <f t="shared" si="44"/>
        <v xml:space="preserve">Organische parameters </v>
      </c>
      <c r="F881" t="str">
        <f t="shared" si="45"/>
        <v xml:space="preserve">Overige antropogene stoffen </v>
      </c>
      <c r="G881" t="str">
        <f>""</f>
        <v/>
      </c>
    </row>
    <row r="882" spans="1:7" x14ac:dyDescent="0.25">
      <c r="A882">
        <v>1630</v>
      </c>
      <c r="B882" t="str">
        <f>"ethyl-2-pentenoaat"</f>
        <v>ethyl-2-pentenoaat</v>
      </c>
      <c r="C882" t="s">
        <v>19016</v>
      </c>
      <c r="D882" t="str">
        <f>"2445-93-4"</f>
        <v>2445-93-4</v>
      </c>
      <c r="E882" t="str">
        <f t="shared" si="44"/>
        <v xml:space="preserve">Organische parameters </v>
      </c>
      <c r="F882" t="str">
        <f t="shared" si="45"/>
        <v xml:space="preserve">Overige antropogene stoffen </v>
      </c>
      <c r="G882" t="str">
        <f>""</f>
        <v/>
      </c>
    </row>
    <row r="883" spans="1:7" x14ac:dyDescent="0.25">
      <c r="A883">
        <v>1631</v>
      </c>
      <c r="B883" t="str">
        <f>"ethyltetradecanoaat"</f>
        <v>ethyltetradecanoaat</v>
      </c>
      <c r="C883" t="s">
        <v>19016</v>
      </c>
      <c r="D883" t="str">
        <f>"124-06-1"</f>
        <v>124-06-1</v>
      </c>
      <c r="E883" t="str">
        <f t="shared" si="44"/>
        <v xml:space="preserve">Organische parameters </v>
      </c>
      <c r="F883" t="str">
        <f t="shared" si="45"/>
        <v xml:space="preserve">Overige antropogene stoffen </v>
      </c>
      <c r="G883" t="str">
        <f>""</f>
        <v/>
      </c>
    </row>
    <row r="884" spans="1:7" x14ac:dyDescent="0.25">
      <c r="A884">
        <v>1632</v>
      </c>
      <c r="B884" t="str">
        <f>"heptaanzuur"</f>
        <v>heptaanzuur</v>
      </c>
      <c r="C884" t="s">
        <v>19016</v>
      </c>
      <c r="D884" t="str">
        <f>"111-14-8"</f>
        <v>111-14-8</v>
      </c>
      <c r="E884" t="str">
        <f t="shared" si="44"/>
        <v xml:space="preserve">Organische parameters </v>
      </c>
      <c r="F884" t="str">
        <f t="shared" si="45"/>
        <v xml:space="preserve">Overige antropogene stoffen </v>
      </c>
      <c r="G884" t="str">
        <f>""</f>
        <v/>
      </c>
    </row>
    <row r="885" spans="1:7" x14ac:dyDescent="0.25">
      <c r="A885">
        <v>1633</v>
      </c>
      <c r="B885" t="str">
        <f>"heptadecaanzuur"</f>
        <v>heptadecaanzuur</v>
      </c>
      <c r="C885" t="s">
        <v>19016</v>
      </c>
      <c r="D885" t="str">
        <f>"506-12-7"</f>
        <v>506-12-7</v>
      </c>
      <c r="E885" t="str">
        <f t="shared" si="44"/>
        <v xml:space="preserve">Organische parameters </v>
      </c>
      <c r="F885" t="str">
        <f t="shared" si="45"/>
        <v xml:space="preserve">Overige antropogene stoffen </v>
      </c>
      <c r="G885" t="str">
        <f>""</f>
        <v/>
      </c>
    </row>
    <row r="886" spans="1:7" x14ac:dyDescent="0.25">
      <c r="A886">
        <v>1634</v>
      </c>
      <c r="B886" t="str">
        <f>"hexaanzuur"</f>
        <v>hexaanzuur</v>
      </c>
      <c r="C886" t="s">
        <v>19016</v>
      </c>
      <c r="D886" t="str">
        <f>"142-62-1"</f>
        <v>142-62-1</v>
      </c>
      <c r="E886" t="str">
        <f t="shared" si="44"/>
        <v xml:space="preserve">Organische parameters </v>
      </c>
      <c r="F886" t="str">
        <f t="shared" si="45"/>
        <v xml:space="preserve">Overige antropogene stoffen </v>
      </c>
      <c r="G886" t="str">
        <f>""</f>
        <v/>
      </c>
    </row>
    <row r="887" spans="1:7" x14ac:dyDescent="0.25">
      <c r="A887">
        <v>1635</v>
      </c>
      <c r="B887" t="str">
        <f>"hexadecaanzuur"</f>
        <v>hexadecaanzuur</v>
      </c>
      <c r="C887" t="s">
        <v>19016</v>
      </c>
      <c r="D887" t="str">
        <f>"57-10-3"</f>
        <v>57-10-3</v>
      </c>
      <c r="E887" t="str">
        <f t="shared" si="44"/>
        <v xml:space="preserve">Organische parameters </v>
      </c>
      <c r="F887" t="str">
        <f t="shared" si="45"/>
        <v xml:space="preserve">Overige antropogene stoffen </v>
      </c>
      <c r="G887" t="str">
        <f>""</f>
        <v/>
      </c>
    </row>
    <row r="888" spans="1:7" x14ac:dyDescent="0.25">
      <c r="A888">
        <v>1636</v>
      </c>
      <c r="B888" t="str">
        <f>"octadecaanzuur"</f>
        <v>octadecaanzuur</v>
      </c>
      <c r="C888" t="s">
        <v>19016</v>
      </c>
      <c r="D888" t="str">
        <f>"57-11-4"</f>
        <v>57-11-4</v>
      </c>
      <c r="E888" t="str">
        <f t="shared" si="44"/>
        <v xml:space="preserve">Organische parameters </v>
      </c>
      <c r="F888" t="str">
        <f t="shared" si="45"/>
        <v xml:space="preserve">Overige antropogene stoffen </v>
      </c>
      <c r="G888" t="str">
        <f>""</f>
        <v/>
      </c>
    </row>
    <row r="889" spans="1:7" x14ac:dyDescent="0.25">
      <c r="A889">
        <v>1637</v>
      </c>
      <c r="B889" t="str">
        <f>"pentaanzuur"</f>
        <v>pentaanzuur</v>
      </c>
      <c r="C889" t="s">
        <v>19016</v>
      </c>
      <c r="D889" t="str">
        <f>"109-52-4"</f>
        <v>109-52-4</v>
      </c>
      <c r="E889" t="str">
        <f t="shared" si="44"/>
        <v xml:space="preserve">Organische parameters </v>
      </c>
      <c r="F889" t="str">
        <f t="shared" si="45"/>
        <v xml:space="preserve">Overige antropogene stoffen </v>
      </c>
      <c r="G889" t="str">
        <f>""</f>
        <v/>
      </c>
    </row>
    <row r="890" spans="1:7" x14ac:dyDescent="0.25">
      <c r="A890">
        <v>1638</v>
      </c>
      <c r="B890" t="str">
        <f>"pentadecaanzuur"</f>
        <v>pentadecaanzuur</v>
      </c>
      <c r="C890" t="s">
        <v>19016</v>
      </c>
      <c r="D890" t="str">
        <f>"1002-84-2"</f>
        <v>1002-84-2</v>
      </c>
      <c r="E890" t="str">
        <f t="shared" si="44"/>
        <v xml:space="preserve">Organische parameters </v>
      </c>
      <c r="F890" t="str">
        <f t="shared" si="45"/>
        <v xml:space="preserve">Overige antropogene stoffen </v>
      </c>
      <c r="G890" t="str">
        <f>""</f>
        <v/>
      </c>
    </row>
    <row r="891" spans="1:7" x14ac:dyDescent="0.25">
      <c r="A891">
        <v>1639</v>
      </c>
      <c r="B891" t="str">
        <f>"propaanzuur"</f>
        <v>propaanzuur</v>
      </c>
      <c r="C891" t="s">
        <v>19016</v>
      </c>
      <c r="D891" t="str">
        <f>"79-09-4"</f>
        <v>79-09-4</v>
      </c>
      <c r="E891" t="str">
        <f t="shared" si="44"/>
        <v xml:space="preserve">Organische parameters </v>
      </c>
      <c r="F891" t="str">
        <f t="shared" si="45"/>
        <v xml:space="preserve">Overige antropogene stoffen </v>
      </c>
      <c r="G891" t="str">
        <f>""</f>
        <v/>
      </c>
    </row>
    <row r="892" spans="1:7" x14ac:dyDescent="0.25">
      <c r="A892">
        <v>1640</v>
      </c>
      <c r="B892" t="str">
        <f>"tetradecaanzuur"</f>
        <v>tetradecaanzuur</v>
      </c>
      <c r="C892" t="s">
        <v>19016</v>
      </c>
      <c r="D892" t="str">
        <f>"544-63-8"</f>
        <v>544-63-8</v>
      </c>
      <c r="E892" t="str">
        <f t="shared" si="44"/>
        <v xml:space="preserve">Organische parameters </v>
      </c>
      <c r="F892" t="str">
        <f t="shared" si="45"/>
        <v xml:space="preserve">Overige antropogene stoffen </v>
      </c>
      <c r="G892" t="str">
        <f>""</f>
        <v/>
      </c>
    </row>
    <row r="893" spans="1:7" x14ac:dyDescent="0.25">
      <c r="A893">
        <v>1641</v>
      </c>
      <c r="B893" t="str">
        <f>"benzoëzuur"</f>
        <v>benzoëzuur</v>
      </c>
      <c r="C893" t="s">
        <v>19016</v>
      </c>
      <c r="D893" t="str">
        <f>"65-85-0"</f>
        <v>65-85-0</v>
      </c>
      <c r="E893" t="str">
        <f t="shared" si="44"/>
        <v xml:space="preserve">Organische parameters </v>
      </c>
      <c r="F893" t="str">
        <f t="shared" si="45"/>
        <v xml:space="preserve">Overige antropogene stoffen </v>
      </c>
      <c r="G893" t="str">
        <f>""</f>
        <v/>
      </c>
    </row>
    <row r="894" spans="1:7" x14ac:dyDescent="0.25">
      <c r="A894">
        <v>1642</v>
      </c>
      <c r="B894" t="str">
        <f>"4-n-butylbenzoaat"</f>
        <v>4-n-butylbenzoaat</v>
      </c>
      <c r="C894" t="s">
        <v>19016</v>
      </c>
      <c r="D894" t="str">
        <f>"136-60-7"</f>
        <v>136-60-7</v>
      </c>
      <c r="E894" t="str">
        <f t="shared" si="44"/>
        <v xml:space="preserve">Organische parameters </v>
      </c>
      <c r="F894" t="str">
        <f t="shared" si="45"/>
        <v xml:space="preserve">Overige antropogene stoffen </v>
      </c>
      <c r="G894" t="str">
        <f>""</f>
        <v/>
      </c>
    </row>
    <row r="895" spans="1:7" x14ac:dyDescent="0.25">
      <c r="A895">
        <v>1643</v>
      </c>
      <c r="B895" t="str">
        <f>"4-n-butylbenzoëzuur"</f>
        <v>4-n-butylbenzoëzuur</v>
      </c>
      <c r="C895" t="s">
        <v>19016</v>
      </c>
      <c r="D895" t="str">
        <f>"20651-71-2"</f>
        <v>20651-71-2</v>
      </c>
      <c r="E895" t="str">
        <f t="shared" si="44"/>
        <v xml:space="preserve">Organische parameters </v>
      </c>
      <c r="F895" t="str">
        <f t="shared" si="45"/>
        <v xml:space="preserve">Overige antropogene stoffen </v>
      </c>
      <c r="G895" t="str">
        <f>""</f>
        <v/>
      </c>
    </row>
    <row r="896" spans="1:7" x14ac:dyDescent="0.25">
      <c r="A896">
        <v>1644</v>
      </c>
      <c r="B896" t="str">
        <f>"butylbenzylftalaat"</f>
        <v>butylbenzylftalaat</v>
      </c>
      <c r="C896" t="s">
        <v>19016</v>
      </c>
      <c r="D896" t="str">
        <f>"85-68-7"</f>
        <v>85-68-7</v>
      </c>
      <c r="E896" t="str">
        <f t="shared" si="44"/>
        <v xml:space="preserve">Organische parameters </v>
      </c>
      <c r="F896" t="str">
        <f t="shared" si="45"/>
        <v xml:space="preserve">Overige antropogene stoffen </v>
      </c>
      <c r="G896" t="str">
        <f>""</f>
        <v/>
      </c>
    </row>
    <row r="897" spans="1:7" x14ac:dyDescent="0.25">
      <c r="A897">
        <v>1645</v>
      </c>
      <c r="B897" t="str">
        <f>"dibutylftalaat"</f>
        <v>dibutylftalaat</v>
      </c>
      <c r="C897" t="s">
        <v>19016</v>
      </c>
      <c r="D897" t="str">
        <f>"84-74-2"</f>
        <v>84-74-2</v>
      </c>
      <c r="E897" t="str">
        <f t="shared" si="44"/>
        <v xml:space="preserve">Organische parameters </v>
      </c>
      <c r="F897" t="str">
        <f t="shared" si="45"/>
        <v xml:space="preserve">Overige antropogene stoffen </v>
      </c>
      <c r="G897" t="str">
        <f>""</f>
        <v/>
      </c>
    </row>
    <row r="898" spans="1:7" x14ac:dyDescent="0.25">
      <c r="A898">
        <v>1646</v>
      </c>
      <c r="B898" t="str">
        <f>"diethylftalaat"</f>
        <v>diethylftalaat</v>
      </c>
      <c r="C898" t="s">
        <v>19016</v>
      </c>
      <c r="D898" t="str">
        <f>"84-66-2"</f>
        <v>84-66-2</v>
      </c>
      <c r="E898" t="str">
        <f t="shared" si="44"/>
        <v xml:space="preserve">Organische parameters </v>
      </c>
      <c r="F898" t="str">
        <f t="shared" si="45"/>
        <v xml:space="preserve">Overige antropogene stoffen </v>
      </c>
      <c r="G898" t="str">
        <f>""</f>
        <v/>
      </c>
    </row>
    <row r="899" spans="1:7" x14ac:dyDescent="0.25">
      <c r="A899">
        <v>1647</v>
      </c>
      <c r="B899" t="str">
        <f>"di(2-ethylhexyl)ftalaat"</f>
        <v>di(2-ethylhexyl)ftalaat</v>
      </c>
      <c r="C899" t="s">
        <v>19016</v>
      </c>
      <c r="D899" t="str">
        <f>"117-81-7"</f>
        <v>117-81-7</v>
      </c>
      <c r="E899" t="str">
        <f t="shared" si="44"/>
        <v xml:space="preserve">Organische parameters </v>
      </c>
      <c r="F899" t="str">
        <f t="shared" ref="F899:F931" si="46">"Overige antropogene stoffen "</f>
        <v xml:space="preserve">Overige antropogene stoffen </v>
      </c>
      <c r="G899" t="str">
        <f>""</f>
        <v/>
      </c>
    </row>
    <row r="900" spans="1:7" x14ac:dyDescent="0.25">
      <c r="A900">
        <v>1648</v>
      </c>
      <c r="B900" t="str">
        <f>"dimethylftalaat"</f>
        <v>dimethylftalaat</v>
      </c>
      <c r="C900" t="s">
        <v>19016</v>
      </c>
      <c r="D900" t="str">
        <f>"131-11-3"</f>
        <v>131-11-3</v>
      </c>
      <c r="E900" t="str">
        <f t="shared" si="44"/>
        <v xml:space="preserve">Organische parameters </v>
      </c>
      <c r="F900" t="str">
        <f t="shared" si="46"/>
        <v xml:space="preserve">Overige antropogene stoffen </v>
      </c>
      <c r="G900" t="str">
        <f>""</f>
        <v/>
      </c>
    </row>
    <row r="901" spans="1:7" x14ac:dyDescent="0.25">
      <c r="A901">
        <v>1649</v>
      </c>
      <c r="B901" t="str">
        <f>"di(n-octyl)ftalaat"</f>
        <v>di(n-octyl)ftalaat</v>
      </c>
      <c r="C901" t="s">
        <v>19016</v>
      </c>
      <c r="D901" t="str">
        <f>"117-84-0"</f>
        <v>117-84-0</v>
      </c>
      <c r="E901" t="str">
        <f t="shared" si="44"/>
        <v xml:space="preserve">Organische parameters </v>
      </c>
      <c r="F901" t="str">
        <f t="shared" si="46"/>
        <v xml:space="preserve">Overige antropogene stoffen </v>
      </c>
      <c r="G901" t="str">
        <f>""</f>
        <v/>
      </c>
    </row>
    <row r="902" spans="1:7" x14ac:dyDescent="0.25">
      <c r="A902">
        <v>1650</v>
      </c>
      <c r="B902" t="str">
        <f>"ethylbenzeenethanoaat"</f>
        <v>ethylbenzeenethanoaat</v>
      </c>
      <c r="C902" t="s">
        <v>19016</v>
      </c>
      <c r="D902" t="str">
        <f>""</f>
        <v/>
      </c>
      <c r="E902" t="str">
        <f t="shared" si="44"/>
        <v xml:space="preserve">Organische parameters </v>
      </c>
      <c r="F902" t="str">
        <f t="shared" si="46"/>
        <v xml:space="preserve">Overige antropogene stoffen </v>
      </c>
      <c r="G902" t="str">
        <f>""</f>
        <v/>
      </c>
    </row>
    <row r="903" spans="1:7" x14ac:dyDescent="0.25">
      <c r="A903">
        <v>1651</v>
      </c>
      <c r="B903" t="str">
        <f>"ethylbenzoaat"</f>
        <v>ethylbenzoaat</v>
      </c>
      <c r="C903" t="s">
        <v>19016</v>
      </c>
      <c r="D903" t="str">
        <f>"93-89-0"</f>
        <v>93-89-0</v>
      </c>
      <c r="E903" t="str">
        <f t="shared" si="44"/>
        <v xml:space="preserve">Organische parameters </v>
      </c>
      <c r="F903" t="str">
        <f t="shared" si="46"/>
        <v xml:space="preserve">Overige antropogene stoffen </v>
      </c>
      <c r="G903" t="str">
        <f>""</f>
        <v/>
      </c>
    </row>
    <row r="904" spans="1:7" x14ac:dyDescent="0.25">
      <c r="A904">
        <v>1652</v>
      </c>
      <c r="B904" t="str">
        <f>"ethyldimethylbenzeenethanoaat"</f>
        <v>ethyldimethylbenzeenethanoaat</v>
      </c>
      <c r="C904" t="s">
        <v>19016</v>
      </c>
      <c r="D904" t="str">
        <f>""</f>
        <v/>
      </c>
      <c r="E904" t="str">
        <f t="shared" si="44"/>
        <v xml:space="preserve">Organische parameters </v>
      </c>
      <c r="F904" t="str">
        <f t="shared" si="46"/>
        <v xml:space="preserve">Overige antropogene stoffen </v>
      </c>
      <c r="G904" t="str">
        <f>""</f>
        <v/>
      </c>
    </row>
    <row r="905" spans="1:7" x14ac:dyDescent="0.25">
      <c r="A905">
        <v>1653</v>
      </c>
      <c r="B905" t="str">
        <f>"ethylmethylbenzeenethanoaat"</f>
        <v>ethylmethylbenzeenethanoaat</v>
      </c>
      <c r="C905" t="s">
        <v>19016</v>
      </c>
      <c r="D905" t="str">
        <f>""</f>
        <v/>
      </c>
      <c r="E905" t="str">
        <f t="shared" si="44"/>
        <v xml:space="preserve">Organische parameters </v>
      </c>
      <c r="F905" t="str">
        <f t="shared" si="46"/>
        <v xml:space="preserve">Overige antropogene stoffen </v>
      </c>
      <c r="G905" t="str">
        <f>""</f>
        <v/>
      </c>
    </row>
    <row r="906" spans="1:7" x14ac:dyDescent="0.25">
      <c r="A906">
        <v>1654</v>
      </c>
      <c r="B906" t="str">
        <f>"hydroxybenzoëzuur"</f>
        <v>hydroxybenzoëzuur</v>
      </c>
      <c r="C906" t="s">
        <v>19016</v>
      </c>
      <c r="D906" t="str">
        <f>"29656-58-4"</f>
        <v>29656-58-4</v>
      </c>
      <c r="E906" t="str">
        <f t="shared" si="44"/>
        <v xml:space="preserve">Organische parameters </v>
      </c>
      <c r="F906" t="str">
        <f t="shared" si="46"/>
        <v xml:space="preserve">Overige antropogene stoffen </v>
      </c>
      <c r="G906" t="str">
        <f>""</f>
        <v/>
      </c>
    </row>
    <row r="907" spans="1:7" x14ac:dyDescent="0.25">
      <c r="A907">
        <v>1655</v>
      </c>
      <c r="B907" t="str">
        <f>"hydroxymethylbenzoëzuur"</f>
        <v>hydroxymethylbenzoëzuur</v>
      </c>
      <c r="C907" t="s">
        <v>19016</v>
      </c>
      <c r="D907" t="str">
        <f>""</f>
        <v/>
      </c>
      <c r="E907" t="str">
        <f t="shared" si="44"/>
        <v xml:space="preserve">Organische parameters </v>
      </c>
      <c r="F907" t="str">
        <f t="shared" si="46"/>
        <v xml:space="preserve">Overige antropogene stoffen </v>
      </c>
      <c r="G907" t="str">
        <f>""</f>
        <v/>
      </c>
    </row>
    <row r="908" spans="1:7" x14ac:dyDescent="0.25">
      <c r="A908">
        <v>1656</v>
      </c>
      <c r="B908" t="str">
        <f>"isobutylbenzoaat"</f>
        <v>isobutylbenzoaat</v>
      </c>
      <c r="C908" t="s">
        <v>19016</v>
      </c>
      <c r="D908" t="str">
        <f>"120-50-3"</f>
        <v>120-50-3</v>
      </c>
      <c r="E908" t="str">
        <f t="shared" si="44"/>
        <v xml:space="preserve">Organische parameters </v>
      </c>
      <c r="F908" t="str">
        <f t="shared" si="46"/>
        <v xml:space="preserve">Overige antropogene stoffen </v>
      </c>
      <c r="G908" t="str">
        <f>""</f>
        <v/>
      </c>
    </row>
    <row r="909" spans="1:7" x14ac:dyDescent="0.25">
      <c r="A909">
        <v>1657</v>
      </c>
      <c r="B909" t="str">
        <f>"isopropylsalicylaat"</f>
        <v>isopropylsalicylaat</v>
      </c>
      <c r="C909" t="s">
        <v>19016</v>
      </c>
      <c r="D909" t="str">
        <f>"607-85-2"</f>
        <v>607-85-2</v>
      </c>
      <c r="E909" t="str">
        <f t="shared" ref="E909:E972" si="47">"Organische parameters "</f>
        <v xml:space="preserve">Organische parameters </v>
      </c>
      <c r="F909" t="str">
        <f t="shared" si="46"/>
        <v xml:space="preserve">Overige antropogene stoffen </v>
      </c>
      <c r="G909" t="str">
        <f>""</f>
        <v/>
      </c>
    </row>
    <row r="910" spans="1:7" x14ac:dyDescent="0.25">
      <c r="A910">
        <v>1658</v>
      </c>
      <c r="B910" t="str">
        <f>"methoxybenzoëzuur"</f>
        <v>methoxybenzoëzuur</v>
      </c>
      <c r="C910" t="s">
        <v>19016</v>
      </c>
      <c r="D910" t="str">
        <f>"1335-08-6"</f>
        <v>1335-08-6</v>
      </c>
      <c r="E910" t="str">
        <f t="shared" si="47"/>
        <v xml:space="preserve">Organische parameters </v>
      </c>
      <c r="F910" t="str">
        <f t="shared" si="46"/>
        <v xml:space="preserve">Overige antropogene stoffen </v>
      </c>
      <c r="G910" t="str">
        <f>""</f>
        <v/>
      </c>
    </row>
    <row r="911" spans="1:7" x14ac:dyDescent="0.25">
      <c r="A911">
        <v>1659</v>
      </c>
      <c r="B911" t="str">
        <f>"methylbenzoaat"</f>
        <v>methylbenzoaat</v>
      </c>
      <c r="C911" t="s">
        <v>19016</v>
      </c>
      <c r="D911" t="str">
        <f>"93-58-3"</f>
        <v>93-58-3</v>
      </c>
      <c r="E911" t="str">
        <f t="shared" si="47"/>
        <v xml:space="preserve">Organische parameters </v>
      </c>
      <c r="F911" t="str">
        <f t="shared" si="46"/>
        <v xml:space="preserve">Overige antropogene stoffen </v>
      </c>
      <c r="G911" t="str">
        <f>""</f>
        <v/>
      </c>
    </row>
    <row r="912" spans="1:7" x14ac:dyDescent="0.25">
      <c r="A912">
        <v>1660</v>
      </c>
      <c r="B912" t="str">
        <f>"methylfenoxy-ethylpropionaat"</f>
        <v>methylfenoxy-ethylpropionaat</v>
      </c>
      <c r="C912" t="s">
        <v>19016</v>
      </c>
      <c r="D912" t="str">
        <f>""</f>
        <v/>
      </c>
      <c r="E912" t="str">
        <f t="shared" si="47"/>
        <v xml:space="preserve">Organische parameters </v>
      </c>
      <c r="F912" t="str">
        <f t="shared" si="46"/>
        <v xml:space="preserve">Overige antropogene stoffen </v>
      </c>
      <c r="G912" t="str">
        <f>""</f>
        <v/>
      </c>
    </row>
    <row r="913" spans="1:7" x14ac:dyDescent="0.25">
      <c r="A913">
        <v>1661</v>
      </c>
      <c r="B913" t="str">
        <f>"methylsalicylaat"</f>
        <v>methylsalicylaat</v>
      </c>
      <c r="C913" t="s">
        <v>19016</v>
      </c>
      <c r="D913" t="str">
        <f>"119-36-8"</f>
        <v>119-36-8</v>
      </c>
      <c r="E913" t="str">
        <f t="shared" si="47"/>
        <v xml:space="preserve">Organische parameters </v>
      </c>
      <c r="F913" t="str">
        <f t="shared" si="46"/>
        <v xml:space="preserve">Overige antropogene stoffen </v>
      </c>
      <c r="G913" t="str">
        <f>""</f>
        <v/>
      </c>
    </row>
    <row r="914" spans="1:7" x14ac:dyDescent="0.25">
      <c r="A914">
        <v>1662</v>
      </c>
      <c r="B914" t="str">
        <f>"chloorfenoxyethylbutyraat"</f>
        <v>chloorfenoxyethylbutyraat</v>
      </c>
      <c r="C914" t="s">
        <v>19016</v>
      </c>
      <c r="D914" t="str">
        <f>"37483-53-7"</f>
        <v>37483-53-7</v>
      </c>
      <c r="E914" t="str">
        <f t="shared" si="47"/>
        <v xml:space="preserve">Organische parameters </v>
      </c>
      <c r="F914" t="str">
        <f t="shared" si="46"/>
        <v xml:space="preserve">Overige antropogene stoffen </v>
      </c>
      <c r="G914" t="str">
        <f>""</f>
        <v/>
      </c>
    </row>
    <row r="915" spans="1:7" x14ac:dyDescent="0.25">
      <c r="A915">
        <v>1664</v>
      </c>
      <c r="B915" t="str">
        <f>"chloorfenoxyethylpropionaat"</f>
        <v>chloorfenoxyethylpropionaat</v>
      </c>
      <c r="C915" t="s">
        <v>19016</v>
      </c>
      <c r="D915" t="str">
        <f>""</f>
        <v/>
      </c>
      <c r="E915" t="str">
        <f t="shared" si="47"/>
        <v xml:space="preserve">Organische parameters </v>
      </c>
      <c r="F915" t="str">
        <f t="shared" si="46"/>
        <v xml:space="preserve">Overige antropogene stoffen </v>
      </c>
      <c r="G915" t="str">
        <f>""</f>
        <v/>
      </c>
    </row>
    <row r="916" spans="1:7" x14ac:dyDescent="0.25">
      <c r="A916">
        <v>1665</v>
      </c>
      <c r="B916" t="str">
        <f>"Gentisinezuur"</f>
        <v>Gentisinezuur</v>
      </c>
      <c r="C916" t="s">
        <v>19016</v>
      </c>
      <c r="D916" t="str">
        <f>"490-79-9"</f>
        <v>490-79-9</v>
      </c>
      <c r="E916" t="str">
        <f t="shared" si="47"/>
        <v xml:space="preserve">Organische parameters </v>
      </c>
      <c r="F916" t="str">
        <f t="shared" si="46"/>
        <v xml:space="preserve">Overige antropogene stoffen </v>
      </c>
      <c r="G916" t="str">
        <f>""</f>
        <v/>
      </c>
    </row>
    <row r="917" spans="1:7" x14ac:dyDescent="0.25">
      <c r="A917">
        <v>1666</v>
      </c>
      <c r="B917" t="str">
        <f>"dichloorbenzalchloride"</f>
        <v>dichloorbenzalchloride</v>
      </c>
      <c r="C917" t="s">
        <v>19016</v>
      </c>
      <c r="D917" t="str">
        <f>"81-19-6"</f>
        <v>81-19-6</v>
      </c>
      <c r="E917" t="str">
        <f t="shared" si="47"/>
        <v xml:space="preserve">Organische parameters </v>
      </c>
      <c r="F917" t="str">
        <f t="shared" si="46"/>
        <v xml:space="preserve">Overige antropogene stoffen </v>
      </c>
      <c r="G917" t="str">
        <f>""</f>
        <v/>
      </c>
    </row>
    <row r="918" spans="1:7" x14ac:dyDescent="0.25">
      <c r="A918">
        <v>1667</v>
      </c>
      <c r="B918" t="str">
        <f>"dichloormethylbenzoaat"</f>
        <v>dichloormethylbenzoaat</v>
      </c>
      <c r="C918" t="s">
        <v>19016</v>
      </c>
      <c r="D918" t="str">
        <f>""</f>
        <v/>
      </c>
      <c r="E918" t="str">
        <f t="shared" si="47"/>
        <v xml:space="preserve">Organische parameters </v>
      </c>
      <c r="F918" t="str">
        <f t="shared" si="46"/>
        <v xml:space="preserve">Overige antropogene stoffen </v>
      </c>
      <c r="G918" t="str">
        <f>""</f>
        <v/>
      </c>
    </row>
    <row r="919" spans="1:7" x14ac:dyDescent="0.25">
      <c r="A919">
        <v>1668</v>
      </c>
      <c r="B919" t="str">
        <f>"ftaalzuuranhydride"</f>
        <v>ftaalzuuranhydride</v>
      </c>
      <c r="C919" t="s">
        <v>19016</v>
      </c>
      <c r="D919" t="str">
        <f>"85-44-9"</f>
        <v>85-44-9</v>
      </c>
      <c r="E919" t="str">
        <f t="shared" si="47"/>
        <v xml:space="preserve">Organische parameters </v>
      </c>
      <c r="F919" t="str">
        <f t="shared" si="46"/>
        <v xml:space="preserve">Overige antropogene stoffen </v>
      </c>
      <c r="G919" t="str">
        <f>""</f>
        <v/>
      </c>
    </row>
    <row r="920" spans="1:7" x14ac:dyDescent="0.25">
      <c r="A920">
        <v>1670</v>
      </c>
      <c r="B920" t="str">
        <f>"diethylpentaanamine"</f>
        <v>diethylpentaanamine</v>
      </c>
      <c r="C920" t="s">
        <v>19016</v>
      </c>
      <c r="D920" t="str">
        <f>""</f>
        <v/>
      </c>
      <c r="E920" t="str">
        <f t="shared" si="47"/>
        <v xml:space="preserve">Organische parameters </v>
      </c>
      <c r="F920" t="str">
        <f t="shared" si="46"/>
        <v xml:space="preserve">Overige antropogene stoffen </v>
      </c>
      <c r="G920" t="str">
        <f>""</f>
        <v/>
      </c>
    </row>
    <row r="921" spans="1:7" x14ac:dyDescent="0.25">
      <c r="A921">
        <v>1671</v>
      </c>
      <c r="B921" t="str">
        <f>"N,N-dimethylpentaanamine"</f>
        <v>N,N-dimethylpentaanamine</v>
      </c>
      <c r="C921" t="s">
        <v>19016</v>
      </c>
      <c r="D921" t="str">
        <f>"26153-88-8"</f>
        <v>26153-88-8</v>
      </c>
      <c r="E921" t="str">
        <f t="shared" si="47"/>
        <v xml:space="preserve">Organische parameters </v>
      </c>
      <c r="F921" t="str">
        <f t="shared" si="46"/>
        <v xml:space="preserve">Overige antropogene stoffen </v>
      </c>
      <c r="G921" t="str">
        <f>""</f>
        <v/>
      </c>
    </row>
    <row r="922" spans="1:7" x14ac:dyDescent="0.25">
      <c r="A922">
        <v>1672</v>
      </c>
      <c r="B922" t="str">
        <f>"N,N-dipropylpropaanamine"</f>
        <v>N,N-dipropylpropaanamine</v>
      </c>
      <c r="C922" t="s">
        <v>19016</v>
      </c>
      <c r="D922" t="str">
        <f>"102-69-2"</f>
        <v>102-69-2</v>
      </c>
      <c r="E922" t="str">
        <f t="shared" si="47"/>
        <v xml:space="preserve">Organische parameters </v>
      </c>
      <c r="F922" t="str">
        <f t="shared" si="46"/>
        <v xml:space="preserve">Overige antropogene stoffen </v>
      </c>
      <c r="G922" t="str">
        <f>""</f>
        <v/>
      </c>
    </row>
    <row r="923" spans="1:7" x14ac:dyDescent="0.25">
      <c r="A923">
        <v>1673</v>
      </c>
      <c r="B923" t="str">
        <f>"N-ethylheptaanamine"</f>
        <v>N-ethylheptaanamine</v>
      </c>
      <c r="C923" t="s">
        <v>19016</v>
      </c>
      <c r="D923" t="str">
        <f>"66793-76-8"</f>
        <v>66793-76-8</v>
      </c>
      <c r="E923" t="str">
        <f t="shared" si="47"/>
        <v xml:space="preserve">Organische parameters </v>
      </c>
      <c r="F923" t="str">
        <f t="shared" si="46"/>
        <v xml:space="preserve">Overige antropogene stoffen </v>
      </c>
      <c r="G923" t="str">
        <f>""</f>
        <v/>
      </c>
    </row>
    <row r="924" spans="1:7" x14ac:dyDescent="0.25">
      <c r="A924">
        <v>1674</v>
      </c>
      <c r="B924" t="str">
        <f>"ethylmethylpentaanamine"</f>
        <v>ethylmethylpentaanamine</v>
      </c>
      <c r="C924" t="s">
        <v>19016</v>
      </c>
      <c r="D924" t="str">
        <f>"67953-05-3"</f>
        <v>67953-05-3</v>
      </c>
      <c r="E924" t="str">
        <f t="shared" si="47"/>
        <v xml:space="preserve">Organische parameters </v>
      </c>
      <c r="F924" t="str">
        <f t="shared" si="46"/>
        <v xml:space="preserve">Overige antropogene stoffen </v>
      </c>
      <c r="G924" t="str">
        <f>""</f>
        <v/>
      </c>
    </row>
    <row r="925" spans="1:7" x14ac:dyDescent="0.25">
      <c r="A925">
        <v>1675</v>
      </c>
      <c r="B925" t="str">
        <f>"N-ethylpentaanamine"</f>
        <v>N-ethylpentaanamine</v>
      </c>
      <c r="C925" t="s">
        <v>19016</v>
      </c>
      <c r="D925" t="str">
        <f>"17839-26-8"</f>
        <v>17839-26-8</v>
      </c>
      <c r="E925" t="str">
        <f t="shared" si="47"/>
        <v xml:space="preserve">Organische parameters </v>
      </c>
      <c r="F925" t="str">
        <f t="shared" si="46"/>
        <v xml:space="preserve">Overige antropogene stoffen </v>
      </c>
      <c r="G925" t="str">
        <f>""</f>
        <v/>
      </c>
    </row>
    <row r="926" spans="1:7" x14ac:dyDescent="0.25">
      <c r="A926">
        <v>1676</v>
      </c>
      <c r="B926" t="str">
        <f>"hexaanamine"</f>
        <v>hexaanamine</v>
      </c>
      <c r="C926" t="s">
        <v>19016</v>
      </c>
      <c r="D926" t="str">
        <f>"111-26-2"</f>
        <v>111-26-2</v>
      </c>
      <c r="E926" t="str">
        <f t="shared" si="47"/>
        <v xml:space="preserve">Organische parameters </v>
      </c>
      <c r="F926" t="str">
        <f t="shared" si="46"/>
        <v xml:space="preserve">Overige antropogene stoffen </v>
      </c>
      <c r="G926" t="str">
        <f>""</f>
        <v/>
      </c>
    </row>
    <row r="927" spans="1:7" x14ac:dyDescent="0.25">
      <c r="A927">
        <v>1677</v>
      </c>
      <c r="B927" t="str">
        <f>"N-methyleen-etheenamine"</f>
        <v>N-methyleen-etheenamine</v>
      </c>
      <c r="C927" t="s">
        <v>19016</v>
      </c>
      <c r="D927" t="str">
        <f>"38239-27-9"</f>
        <v>38239-27-9</v>
      </c>
      <c r="E927" t="str">
        <f t="shared" si="47"/>
        <v xml:space="preserve">Organische parameters </v>
      </c>
      <c r="F927" t="str">
        <f t="shared" si="46"/>
        <v xml:space="preserve">Overige antropogene stoffen </v>
      </c>
      <c r="G927" t="str">
        <f>""</f>
        <v/>
      </c>
    </row>
    <row r="928" spans="1:7" x14ac:dyDescent="0.25">
      <c r="A928">
        <v>1678</v>
      </c>
      <c r="B928" t="str">
        <f>"methylheptaanamine"</f>
        <v>methylheptaanamine</v>
      </c>
      <c r="C928" t="s">
        <v>19016</v>
      </c>
      <c r="D928" t="str">
        <f>"693-16-3"</f>
        <v>693-16-3</v>
      </c>
      <c r="E928" t="str">
        <f t="shared" si="47"/>
        <v xml:space="preserve">Organische parameters </v>
      </c>
      <c r="F928" t="str">
        <f t="shared" si="46"/>
        <v xml:space="preserve">Overige antropogene stoffen </v>
      </c>
      <c r="G928" t="str">
        <f>""</f>
        <v/>
      </c>
    </row>
    <row r="929" spans="1:7" x14ac:dyDescent="0.25">
      <c r="A929">
        <v>1679</v>
      </c>
      <c r="B929" t="str">
        <f>"pentaanamine"</f>
        <v>pentaanamine</v>
      </c>
      <c r="C929" t="s">
        <v>19016</v>
      </c>
      <c r="D929" t="str">
        <f>""</f>
        <v/>
      </c>
      <c r="E929" t="str">
        <f t="shared" si="47"/>
        <v xml:space="preserve">Organische parameters </v>
      </c>
      <c r="F929" t="str">
        <f t="shared" si="46"/>
        <v xml:space="preserve">Overige antropogene stoffen </v>
      </c>
      <c r="G929" t="str">
        <f>""</f>
        <v/>
      </c>
    </row>
    <row r="930" spans="1:7" x14ac:dyDescent="0.25">
      <c r="A930">
        <v>1680</v>
      </c>
      <c r="B930" t="str">
        <f>"propylhexaanamine"</f>
        <v>propylhexaanamine</v>
      </c>
      <c r="C930" t="s">
        <v>19016</v>
      </c>
      <c r="D930" t="str">
        <f>"55327-20-3"</f>
        <v>55327-20-3</v>
      </c>
      <c r="E930" t="str">
        <f t="shared" si="47"/>
        <v xml:space="preserve">Organische parameters </v>
      </c>
      <c r="F930" t="str">
        <f t="shared" si="46"/>
        <v xml:space="preserve">Overige antropogene stoffen </v>
      </c>
      <c r="G930" t="str">
        <f>""</f>
        <v/>
      </c>
    </row>
    <row r="931" spans="1:7" x14ac:dyDescent="0.25">
      <c r="A931">
        <v>1681</v>
      </c>
      <c r="B931" t="str">
        <f>"tri-N-butylamine"</f>
        <v>tri-N-butylamine</v>
      </c>
      <c r="C931" t="s">
        <v>19016</v>
      </c>
      <c r="D931" t="str">
        <f>"102-82-9"</f>
        <v>102-82-9</v>
      </c>
      <c r="E931" t="str">
        <f t="shared" si="47"/>
        <v xml:space="preserve">Organische parameters </v>
      </c>
      <c r="F931" t="str">
        <f t="shared" si="46"/>
        <v xml:space="preserve">Overige antropogene stoffen </v>
      </c>
      <c r="G931" t="str">
        <f>""</f>
        <v/>
      </c>
    </row>
    <row r="932" spans="1:7" x14ac:dyDescent="0.25">
      <c r="A932">
        <v>1682</v>
      </c>
      <c r="B932" t="str">
        <f>"N-acetyl,N-ethylaniline"</f>
        <v>N-acetyl,N-ethylaniline</v>
      </c>
      <c r="C932" t="s">
        <v>19016</v>
      </c>
      <c r="D932" t="str">
        <f>""</f>
        <v/>
      </c>
      <c r="E932" t="str">
        <f t="shared" si="47"/>
        <v xml:space="preserve">Organische parameters </v>
      </c>
      <c r="F932" t="str">
        <f t="shared" ref="F932:F973" si="48">"Aromatische aminen "</f>
        <v xml:space="preserve">Aromatische aminen </v>
      </c>
      <c r="G932" t="str">
        <f>""</f>
        <v/>
      </c>
    </row>
    <row r="933" spans="1:7" x14ac:dyDescent="0.25">
      <c r="A933">
        <v>1683</v>
      </c>
      <c r="B933" t="str">
        <f>"aniline"</f>
        <v>aniline</v>
      </c>
      <c r="C933" t="s">
        <v>19016</v>
      </c>
      <c r="D933" t="str">
        <f>"62-53-3"</f>
        <v>62-53-3</v>
      </c>
      <c r="E933" t="str">
        <f t="shared" si="47"/>
        <v xml:space="preserve">Organische parameters </v>
      </c>
      <c r="F933" t="str">
        <f t="shared" si="48"/>
        <v xml:space="preserve">Aromatische aminen </v>
      </c>
      <c r="G933" t="str">
        <f>""</f>
        <v/>
      </c>
    </row>
    <row r="934" spans="1:7" x14ac:dyDescent="0.25">
      <c r="A934">
        <v>1684</v>
      </c>
      <c r="B934" t="str">
        <f>"dibutyltoluidine"</f>
        <v>dibutyltoluidine</v>
      </c>
      <c r="C934" t="s">
        <v>19016</v>
      </c>
      <c r="D934" t="str">
        <f>""</f>
        <v/>
      </c>
      <c r="E934" t="str">
        <f t="shared" si="47"/>
        <v xml:space="preserve">Organische parameters </v>
      </c>
      <c r="F934" t="str">
        <f t="shared" si="48"/>
        <v xml:space="preserve">Aromatische aminen </v>
      </c>
      <c r="G934" t="str">
        <f>""</f>
        <v/>
      </c>
    </row>
    <row r="935" spans="1:7" x14ac:dyDescent="0.25">
      <c r="A935">
        <v>1685</v>
      </c>
      <c r="B935" t="str">
        <f>"dicyclohexylamine"</f>
        <v>dicyclohexylamine</v>
      </c>
      <c r="C935" t="s">
        <v>19016</v>
      </c>
      <c r="D935" t="str">
        <f>"101-83-7"</f>
        <v>101-83-7</v>
      </c>
      <c r="E935" t="str">
        <f t="shared" si="47"/>
        <v xml:space="preserve">Organische parameters </v>
      </c>
      <c r="F935" t="str">
        <f t="shared" si="48"/>
        <v xml:space="preserve">Aromatische aminen </v>
      </c>
      <c r="G935" t="str">
        <f>""</f>
        <v/>
      </c>
    </row>
    <row r="936" spans="1:7" x14ac:dyDescent="0.25">
      <c r="A936">
        <v>1686</v>
      </c>
      <c r="B936" t="str">
        <f>"diethoxyaniline"</f>
        <v>diethoxyaniline</v>
      </c>
      <c r="C936" t="s">
        <v>19016</v>
      </c>
      <c r="D936" t="str">
        <f>""</f>
        <v/>
      </c>
      <c r="E936" t="str">
        <f t="shared" si="47"/>
        <v xml:space="preserve">Organische parameters </v>
      </c>
      <c r="F936" t="str">
        <f t="shared" si="48"/>
        <v xml:space="preserve">Aromatische aminen </v>
      </c>
      <c r="G936" t="str">
        <f>""</f>
        <v/>
      </c>
    </row>
    <row r="937" spans="1:7" x14ac:dyDescent="0.25">
      <c r="A937">
        <v>1687</v>
      </c>
      <c r="B937" t="str">
        <f>"diethyltoluidine"</f>
        <v>diethyltoluidine</v>
      </c>
      <c r="C937" t="s">
        <v>19016</v>
      </c>
      <c r="D937" t="str">
        <f>"24544-08-9"</f>
        <v>24544-08-9</v>
      </c>
      <c r="E937" t="str">
        <f t="shared" si="47"/>
        <v xml:space="preserve">Organische parameters </v>
      </c>
      <c r="F937" t="str">
        <f t="shared" si="48"/>
        <v xml:space="preserve">Aromatische aminen </v>
      </c>
      <c r="G937" t="str">
        <f>""</f>
        <v/>
      </c>
    </row>
    <row r="938" spans="1:7" x14ac:dyDescent="0.25">
      <c r="A938">
        <v>1688</v>
      </c>
      <c r="B938" t="str">
        <f>"diethylxylidine"</f>
        <v>diethylxylidine</v>
      </c>
      <c r="C938" t="s">
        <v>19016</v>
      </c>
      <c r="D938" t="str">
        <f>"3995-37-7"</f>
        <v>3995-37-7</v>
      </c>
      <c r="E938" t="str">
        <f t="shared" si="47"/>
        <v xml:space="preserve">Organische parameters </v>
      </c>
      <c r="F938" t="str">
        <f t="shared" si="48"/>
        <v xml:space="preserve">Aromatische aminen </v>
      </c>
      <c r="G938" t="str">
        <f>""</f>
        <v/>
      </c>
    </row>
    <row r="939" spans="1:7" x14ac:dyDescent="0.25">
      <c r="A939">
        <v>1689</v>
      </c>
      <c r="B939" t="str">
        <f>"difenylamine"</f>
        <v>difenylamine</v>
      </c>
      <c r="C939" t="s">
        <v>19016</v>
      </c>
      <c r="D939" t="str">
        <f>"122-39-4"</f>
        <v>122-39-4</v>
      </c>
      <c r="E939" t="str">
        <f t="shared" si="47"/>
        <v xml:space="preserve">Organische parameters </v>
      </c>
      <c r="F939" t="str">
        <f t="shared" si="48"/>
        <v xml:space="preserve">Aromatische aminen </v>
      </c>
      <c r="G939" t="str">
        <f>""</f>
        <v/>
      </c>
    </row>
    <row r="940" spans="1:7" x14ac:dyDescent="0.25">
      <c r="A940">
        <v>1690</v>
      </c>
      <c r="B940" t="str">
        <f>"dimethyltoluidine"</f>
        <v>dimethyltoluidine</v>
      </c>
      <c r="C940" t="s">
        <v>19016</v>
      </c>
      <c r="D940" t="str">
        <f>""</f>
        <v/>
      </c>
      <c r="E940" t="str">
        <f t="shared" si="47"/>
        <v xml:space="preserve">Organische parameters </v>
      </c>
      <c r="F940" t="str">
        <f t="shared" si="48"/>
        <v xml:space="preserve">Aromatische aminen </v>
      </c>
      <c r="G940" t="str">
        <f>""</f>
        <v/>
      </c>
    </row>
    <row r="941" spans="1:7" x14ac:dyDescent="0.25">
      <c r="A941">
        <v>1692</v>
      </c>
      <c r="B941" t="str">
        <f>"N-ethyl-N-benzylaniline"</f>
        <v>N-ethyl-N-benzylaniline</v>
      </c>
      <c r="C941" t="s">
        <v>19016</v>
      </c>
      <c r="D941" t="str">
        <f>"92-59-1"</f>
        <v>92-59-1</v>
      </c>
      <c r="E941" t="str">
        <f t="shared" si="47"/>
        <v xml:space="preserve">Organische parameters </v>
      </c>
      <c r="F941" t="str">
        <f t="shared" si="48"/>
        <v xml:space="preserve">Aromatische aminen </v>
      </c>
      <c r="G941" t="str">
        <f>""</f>
        <v/>
      </c>
    </row>
    <row r="942" spans="1:7" x14ac:dyDescent="0.25">
      <c r="A942">
        <v>1693</v>
      </c>
      <c r="B942" t="str">
        <f>"ethylcyclohexaanamine"</f>
        <v>ethylcyclohexaanamine</v>
      </c>
      <c r="C942" t="s">
        <v>19016</v>
      </c>
      <c r="D942" t="str">
        <f>"5459-93-8"</f>
        <v>5459-93-8</v>
      </c>
      <c r="E942" t="str">
        <f t="shared" si="47"/>
        <v xml:space="preserve">Organische parameters </v>
      </c>
      <c r="F942" t="str">
        <f t="shared" si="48"/>
        <v xml:space="preserve">Aromatische aminen </v>
      </c>
      <c r="G942" t="str">
        <f>""</f>
        <v/>
      </c>
    </row>
    <row r="943" spans="1:7" x14ac:dyDescent="0.25">
      <c r="A943">
        <v>1694</v>
      </c>
      <c r="B943" t="str">
        <f>"N-ethyl-ethylaniline"</f>
        <v>N-ethyl-ethylaniline</v>
      </c>
      <c r="C943" t="s">
        <v>19016</v>
      </c>
      <c r="D943" t="str">
        <f>""</f>
        <v/>
      </c>
      <c r="E943" t="str">
        <f t="shared" si="47"/>
        <v xml:space="preserve">Organische parameters </v>
      </c>
      <c r="F943" t="str">
        <f t="shared" si="48"/>
        <v xml:space="preserve">Aromatische aminen </v>
      </c>
      <c r="G943" t="str">
        <f>""</f>
        <v/>
      </c>
    </row>
    <row r="944" spans="1:7" x14ac:dyDescent="0.25">
      <c r="A944">
        <v>1695</v>
      </c>
      <c r="B944" t="str">
        <f>"N-ethyltoluidine"</f>
        <v>N-ethyltoluidine</v>
      </c>
      <c r="C944" t="s">
        <v>19016</v>
      </c>
      <c r="D944" t="str">
        <f>""</f>
        <v/>
      </c>
      <c r="E944" t="str">
        <f t="shared" si="47"/>
        <v xml:space="preserve">Organische parameters </v>
      </c>
      <c r="F944" t="str">
        <f t="shared" si="48"/>
        <v xml:space="preserve">Aromatische aminen </v>
      </c>
      <c r="G944" t="str">
        <f>""</f>
        <v/>
      </c>
    </row>
    <row r="945" spans="1:7" x14ac:dyDescent="0.25">
      <c r="A945">
        <v>1696</v>
      </c>
      <c r="B945" t="str">
        <f>"fenyl-oxo-fenylamine"</f>
        <v>fenyl-oxo-fenylamine</v>
      </c>
      <c r="C945" t="s">
        <v>19016</v>
      </c>
      <c r="D945" t="str">
        <f>""</f>
        <v/>
      </c>
      <c r="E945" t="str">
        <f t="shared" si="47"/>
        <v xml:space="preserve">Organische parameters </v>
      </c>
      <c r="F945" t="str">
        <f t="shared" si="48"/>
        <v xml:space="preserve">Aromatische aminen </v>
      </c>
      <c r="G945" t="str">
        <f>""</f>
        <v/>
      </c>
    </row>
    <row r="946" spans="1:7" x14ac:dyDescent="0.25">
      <c r="A946">
        <v>1697</v>
      </c>
      <c r="B946" t="str">
        <f>"isobutyltoluidine"</f>
        <v>isobutyltoluidine</v>
      </c>
      <c r="C946" t="s">
        <v>19016</v>
      </c>
      <c r="D946" t="str">
        <f>""</f>
        <v/>
      </c>
      <c r="E946" t="str">
        <f t="shared" si="47"/>
        <v xml:space="preserve">Organische parameters </v>
      </c>
      <c r="F946" t="str">
        <f t="shared" si="48"/>
        <v xml:space="preserve">Aromatische aminen </v>
      </c>
      <c r="G946" t="str">
        <f>""</f>
        <v/>
      </c>
    </row>
    <row r="947" spans="1:7" x14ac:dyDescent="0.25">
      <c r="A947">
        <v>1698</v>
      </c>
      <c r="B947" t="str">
        <f>"isopropyldifenylamine"</f>
        <v>isopropyldifenylamine</v>
      </c>
      <c r="C947" t="s">
        <v>19016</v>
      </c>
      <c r="D947" t="str">
        <f>"2-10-5650"</f>
        <v>2-10-5650</v>
      </c>
      <c r="E947" t="str">
        <f t="shared" si="47"/>
        <v xml:space="preserve">Organische parameters </v>
      </c>
      <c r="F947" t="str">
        <f t="shared" si="48"/>
        <v xml:space="preserve">Aromatische aminen </v>
      </c>
      <c r="G947" t="str">
        <f>""</f>
        <v/>
      </c>
    </row>
    <row r="948" spans="1:7" x14ac:dyDescent="0.25">
      <c r="A948">
        <v>1699</v>
      </c>
      <c r="B948" t="str">
        <f>"methoxyaniline"</f>
        <v>methoxyaniline</v>
      </c>
      <c r="C948" t="s">
        <v>19016</v>
      </c>
      <c r="D948" t="str">
        <f>""</f>
        <v/>
      </c>
      <c r="E948" t="str">
        <f t="shared" si="47"/>
        <v xml:space="preserve">Organische parameters </v>
      </c>
      <c r="F948" t="str">
        <f t="shared" si="48"/>
        <v xml:space="preserve">Aromatische aminen </v>
      </c>
      <c r="G948" t="str">
        <f>""</f>
        <v/>
      </c>
    </row>
    <row r="949" spans="1:7" x14ac:dyDescent="0.25">
      <c r="A949">
        <v>1700</v>
      </c>
      <c r="B949" t="str">
        <f>"N-methylaniline"</f>
        <v>N-methylaniline</v>
      </c>
      <c r="C949" t="s">
        <v>19016</v>
      </c>
      <c r="D949" t="str">
        <f>"100-61-8"</f>
        <v>100-61-8</v>
      </c>
      <c r="E949" t="str">
        <f t="shared" si="47"/>
        <v xml:space="preserve">Organische parameters </v>
      </c>
      <c r="F949" t="str">
        <f t="shared" si="48"/>
        <v xml:space="preserve">Aromatische aminen </v>
      </c>
      <c r="G949" t="str">
        <f>""</f>
        <v/>
      </c>
    </row>
    <row r="950" spans="1:7" x14ac:dyDescent="0.25">
      <c r="A950">
        <v>1701</v>
      </c>
      <c r="B950" t="str">
        <f>"methylbenzylanilinenaftylamine"</f>
        <v>methylbenzylanilinenaftylamine</v>
      </c>
      <c r="C950" t="s">
        <v>19016</v>
      </c>
      <c r="D950" t="str">
        <f>""</f>
        <v/>
      </c>
      <c r="E950" t="str">
        <f t="shared" si="47"/>
        <v xml:space="preserve">Organische parameters </v>
      </c>
      <c r="F950" t="str">
        <f t="shared" si="48"/>
        <v xml:space="preserve">Aromatische aminen </v>
      </c>
      <c r="G950" t="str">
        <f>""</f>
        <v/>
      </c>
    </row>
    <row r="951" spans="1:7" x14ac:dyDescent="0.25">
      <c r="A951">
        <v>1702</v>
      </c>
      <c r="B951" t="str">
        <f>"pentylaniline"</f>
        <v>pentylaniline</v>
      </c>
      <c r="C951" t="s">
        <v>19016</v>
      </c>
      <c r="D951" t="str">
        <f>"2655-27-8"</f>
        <v>2655-27-8</v>
      </c>
      <c r="E951" t="str">
        <f t="shared" si="47"/>
        <v xml:space="preserve">Organische parameters </v>
      </c>
      <c r="F951" t="str">
        <f t="shared" si="48"/>
        <v xml:space="preserve">Aromatische aminen </v>
      </c>
      <c r="G951" t="str">
        <f>""</f>
        <v/>
      </c>
    </row>
    <row r="952" spans="1:7" x14ac:dyDescent="0.25">
      <c r="A952">
        <v>1703</v>
      </c>
      <c r="B952" t="str">
        <f>"pentyltoluidine"</f>
        <v>pentyltoluidine</v>
      </c>
      <c r="C952" t="s">
        <v>19016</v>
      </c>
      <c r="D952" t="str">
        <f>""</f>
        <v/>
      </c>
      <c r="E952" t="str">
        <f t="shared" si="47"/>
        <v xml:space="preserve">Organische parameters </v>
      </c>
      <c r="F952" t="str">
        <f t="shared" si="48"/>
        <v xml:space="preserve">Aromatische aminen </v>
      </c>
      <c r="G952" t="str">
        <f>""</f>
        <v/>
      </c>
    </row>
    <row r="953" spans="1:7" x14ac:dyDescent="0.25">
      <c r="A953">
        <v>1704</v>
      </c>
      <c r="B953" t="str">
        <f>"2-methylaniline"</f>
        <v>2-methylaniline</v>
      </c>
      <c r="C953" t="s">
        <v>19016</v>
      </c>
      <c r="D953" t="str">
        <f>"95-53-4"</f>
        <v>95-53-4</v>
      </c>
      <c r="E953" t="str">
        <f t="shared" si="47"/>
        <v xml:space="preserve">Organische parameters </v>
      </c>
      <c r="F953" t="str">
        <f t="shared" si="48"/>
        <v xml:space="preserve">Aromatische aminen </v>
      </c>
      <c r="G953" t="str">
        <f>""</f>
        <v/>
      </c>
    </row>
    <row r="954" spans="1:7" x14ac:dyDescent="0.25">
      <c r="A954">
        <v>1705</v>
      </c>
      <c r="B954" t="str">
        <f>"3-chlooraniline"</f>
        <v>3-chlooraniline</v>
      </c>
      <c r="C954" t="s">
        <v>19016</v>
      </c>
      <c r="D954" t="str">
        <f>"108-42-9"</f>
        <v>108-42-9</v>
      </c>
      <c r="E954" t="str">
        <f t="shared" si="47"/>
        <v xml:space="preserve">Organische parameters </v>
      </c>
      <c r="F954" t="str">
        <f t="shared" si="48"/>
        <v xml:space="preserve">Aromatische aminen </v>
      </c>
      <c r="G954" t="str">
        <f>""</f>
        <v/>
      </c>
    </row>
    <row r="955" spans="1:7" x14ac:dyDescent="0.25">
      <c r="A955">
        <v>1706</v>
      </c>
      <c r="B955" t="str">
        <f>"chloordiaminediethyltriazine"</f>
        <v>chloordiaminediethyltriazine</v>
      </c>
      <c r="C955" t="s">
        <v>19016</v>
      </c>
      <c r="D955" t="str">
        <f>""</f>
        <v/>
      </c>
      <c r="E955" t="str">
        <f t="shared" si="47"/>
        <v xml:space="preserve">Organische parameters </v>
      </c>
      <c r="F955" t="str">
        <f t="shared" si="48"/>
        <v xml:space="preserve">Aromatische aminen </v>
      </c>
      <c r="G955" t="str">
        <f>""</f>
        <v/>
      </c>
    </row>
    <row r="956" spans="1:7" x14ac:dyDescent="0.25">
      <c r="A956">
        <v>1707</v>
      </c>
      <c r="B956" t="str">
        <f>"chloornitro-aniline"</f>
        <v>chloornitro-aniline</v>
      </c>
      <c r="C956" t="s">
        <v>19016</v>
      </c>
      <c r="D956" t="str">
        <f>""</f>
        <v/>
      </c>
      <c r="E956" t="str">
        <f t="shared" si="47"/>
        <v xml:space="preserve">Organische parameters </v>
      </c>
      <c r="F956" t="str">
        <f t="shared" si="48"/>
        <v xml:space="preserve">Aromatische aminen </v>
      </c>
      <c r="G956" t="str">
        <f>""</f>
        <v/>
      </c>
    </row>
    <row r="957" spans="1:7" x14ac:dyDescent="0.25">
      <c r="A957">
        <v>1708</v>
      </c>
      <c r="B957" t="str">
        <f>"2,3-dichlooraniline"</f>
        <v>2,3-dichlooraniline</v>
      </c>
      <c r="C957" t="s">
        <v>19016</v>
      </c>
      <c r="D957" t="str">
        <f>"608-27-5"</f>
        <v>608-27-5</v>
      </c>
      <c r="E957" t="str">
        <f t="shared" si="47"/>
        <v xml:space="preserve">Organische parameters </v>
      </c>
      <c r="F957" t="str">
        <f t="shared" si="48"/>
        <v xml:space="preserve">Aromatische aminen </v>
      </c>
      <c r="G957" t="str">
        <f>""</f>
        <v/>
      </c>
    </row>
    <row r="958" spans="1:7" x14ac:dyDescent="0.25">
      <c r="A958">
        <v>1709</v>
      </c>
      <c r="B958" t="str">
        <f>"2,5-dichlooraniline"</f>
        <v>2,5-dichlooraniline</v>
      </c>
      <c r="C958" t="s">
        <v>19016</v>
      </c>
      <c r="D958" t="str">
        <f>"95-82-9"</f>
        <v>95-82-9</v>
      </c>
      <c r="E958" t="str">
        <f t="shared" si="47"/>
        <v xml:space="preserve">Organische parameters </v>
      </c>
      <c r="F958" t="str">
        <f t="shared" si="48"/>
        <v xml:space="preserve">Aromatische aminen </v>
      </c>
      <c r="G958" t="str">
        <f>""</f>
        <v/>
      </c>
    </row>
    <row r="959" spans="1:7" x14ac:dyDescent="0.25">
      <c r="A959">
        <v>1710</v>
      </c>
      <c r="B959" t="str">
        <f>"dichloornitro-aniline"</f>
        <v>dichloornitro-aniline</v>
      </c>
      <c r="C959" t="s">
        <v>19016</v>
      </c>
      <c r="D959" t="str">
        <f>""</f>
        <v/>
      </c>
      <c r="E959" t="str">
        <f t="shared" si="47"/>
        <v xml:space="preserve">Organische parameters </v>
      </c>
      <c r="F959" t="str">
        <f t="shared" si="48"/>
        <v xml:space="preserve">Aromatische aminen </v>
      </c>
      <c r="G959" t="str">
        <f>""</f>
        <v/>
      </c>
    </row>
    <row r="960" spans="1:7" x14ac:dyDescent="0.25">
      <c r="A960">
        <v>1711</v>
      </c>
      <c r="B960" t="str">
        <f>"dichloortoluidine"</f>
        <v>dichloortoluidine</v>
      </c>
      <c r="C960" t="s">
        <v>19016</v>
      </c>
      <c r="D960" t="str">
        <f>""</f>
        <v/>
      </c>
      <c r="E960" t="str">
        <f t="shared" si="47"/>
        <v xml:space="preserve">Organische parameters </v>
      </c>
      <c r="F960" t="str">
        <f t="shared" si="48"/>
        <v xml:space="preserve">Aromatische aminen </v>
      </c>
      <c r="G960" t="str">
        <f>""</f>
        <v/>
      </c>
    </row>
    <row r="961" spans="1:7" x14ac:dyDescent="0.25">
      <c r="A961">
        <v>1712</v>
      </c>
      <c r="B961" t="str">
        <f>"dimethoxychlooraniline"</f>
        <v>dimethoxychlooraniline</v>
      </c>
      <c r="C961" t="s">
        <v>19016</v>
      </c>
      <c r="D961" t="str">
        <f>""</f>
        <v/>
      </c>
      <c r="E961" t="str">
        <f t="shared" si="47"/>
        <v xml:space="preserve">Organische parameters </v>
      </c>
      <c r="F961" t="str">
        <f t="shared" si="48"/>
        <v xml:space="preserve">Aromatische aminen </v>
      </c>
      <c r="G961" t="str">
        <f>""</f>
        <v/>
      </c>
    </row>
    <row r="962" spans="1:7" x14ac:dyDescent="0.25">
      <c r="A962">
        <v>1713</v>
      </c>
      <c r="B962" t="str">
        <f>"2,3,4-trichlooraniline"</f>
        <v>2,3,4-trichlooraniline</v>
      </c>
      <c r="C962" t="s">
        <v>19016</v>
      </c>
      <c r="D962" t="str">
        <f>"634-67-3"</f>
        <v>634-67-3</v>
      </c>
      <c r="E962" t="str">
        <f t="shared" si="47"/>
        <v xml:space="preserve">Organische parameters </v>
      </c>
      <c r="F962" t="str">
        <f t="shared" si="48"/>
        <v xml:space="preserve">Aromatische aminen </v>
      </c>
      <c r="G962" t="str">
        <f>""</f>
        <v/>
      </c>
    </row>
    <row r="963" spans="1:7" x14ac:dyDescent="0.25">
      <c r="A963">
        <v>1714</v>
      </c>
      <c r="B963" t="str">
        <f>"2,3,5-trichlooraniline"</f>
        <v>2,3,5-trichlooraniline</v>
      </c>
      <c r="C963" t="s">
        <v>19016</v>
      </c>
      <c r="D963" t="str">
        <f>"18487-39-3"</f>
        <v>18487-39-3</v>
      </c>
      <c r="E963" t="str">
        <f t="shared" si="47"/>
        <v xml:space="preserve">Organische parameters </v>
      </c>
      <c r="F963" t="str">
        <f t="shared" si="48"/>
        <v xml:space="preserve">Aromatische aminen </v>
      </c>
      <c r="G963" t="str">
        <f>""</f>
        <v/>
      </c>
    </row>
    <row r="964" spans="1:7" x14ac:dyDescent="0.25">
      <c r="A964">
        <v>1715</v>
      </c>
      <c r="B964" t="str">
        <f>"2,3,6-trichlooraniline"</f>
        <v>2,3,6-trichlooraniline</v>
      </c>
      <c r="C964" t="s">
        <v>19016</v>
      </c>
      <c r="D964" t="str">
        <f>"88963-39-7"</f>
        <v>88963-39-7</v>
      </c>
      <c r="E964" t="str">
        <f t="shared" si="47"/>
        <v xml:space="preserve">Organische parameters </v>
      </c>
      <c r="F964" t="str">
        <f t="shared" si="48"/>
        <v xml:space="preserve">Aromatische aminen </v>
      </c>
      <c r="G964" t="str">
        <f>""</f>
        <v/>
      </c>
    </row>
    <row r="965" spans="1:7" x14ac:dyDescent="0.25">
      <c r="A965">
        <v>1716</v>
      </c>
      <c r="B965" t="str">
        <f>"2,4,5-trichlooraniline"</f>
        <v>2,4,5-trichlooraniline</v>
      </c>
      <c r="C965" t="s">
        <v>19016</v>
      </c>
      <c r="D965" t="str">
        <f>"636-30-6"</f>
        <v>636-30-6</v>
      </c>
      <c r="E965" t="str">
        <f t="shared" si="47"/>
        <v xml:space="preserve">Organische parameters </v>
      </c>
      <c r="F965" t="str">
        <f t="shared" si="48"/>
        <v xml:space="preserve">Aromatische aminen </v>
      </c>
      <c r="G965" t="str">
        <f>""</f>
        <v/>
      </c>
    </row>
    <row r="966" spans="1:7" x14ac:dyDescent="0.25">
      <c r="A966">
        <v>1717</v>
      </c>
      <c r="B966" t="str">
        <f>"2,4,6-trichlooraniline"</f>
        <v>2,4,6-trichlooraniline</v>
      </c>
      <c r="C966" t="s">
        <v>19016</v>
      </c>
      <c r="D966" t="str">
        <f>"634-93-5"</f>
        <v>634-93-5</v>
      </c>
      <c r="E966" t="str">
        <f t="shared" si="47"/>
        <v xml:space="preserve">Organische parameters </v>
      </c>
      <c r="F966" t="str">
        <f t="shared" si="48"/>
        <v xml:space="preserve">Aromatische aminen </v>
      </c>
      <c r="G966" t="str">
        <f>""</f>
        <v/>
      </c>
    </row>
    <row r="967" spans="1:7" x14ac:dyDescent="0.25">
      <c r="A967">
        <v>1718</v>
      </c>
      <c r="B967" t="str">
        <f>"3,4,5-trichlooraniline"</f>
        <v>3,4,5-trichlooraniline</v>
      </c>
      <c r="C967" t="s">
        <v>19016</v>
      </c>
      <c r="D967" t="str">
        <f>"634-91-3"</f>
        <v>634-91-3</v>
      </c>
      <c r="E967" t="str">
        <f t="shared" si="47"/>
        <v xml:space="preserve">Organische parameters </v>
      </c>
      <c r="F967" t="str">
        <f t="shared" si="48"/>
        <v xml:space="preserve">Aromatische aminen </v>
      </c>
      <c r="G967" t="str">
        <f>""</f>
        <v/>
      </c>
    </row>
    <row r="968" spans="1:7" x14ac:dyDescent="0.25">
      <c r="A968">
        <v>1719</v>
      </c>
      <c r="B968" t="str">
        <f>"trifluormethylaniline"</f>
        <v>trifluormethylaniline</v>
      </c>
      <c r="C968" t="s">
        <v>19016</v>
      </c>
      <c r="D968" t="str">
        <f>""</f>
        <v/>
      </c>
      <c r="E968" t="str">
        <f t="shared" si="47"/>
        <v xml:space="preserve">Organische parameters </v>
      </c>
      <c r="F968" t="str">
        <f t="shared" si="48"/>
        <v xml:space="preserve">Aromatische aminen </v>
      </c>
      <c r="G968" t="str">
        <f>""</f>
        <v/>
      </c>
    </row>
    <row r="969" spans="1:7" x14ac:dyDescent="0.25">
      <c r="A969">
        <v>1720</v>
      </c>
      <c r="B969" t="str">
        <f>"2,3,4,6-tetrachlooraniline"</f>
        <v>2,3,4,6-tetrachlooraniline</v>
      </c>
      <c r="C969" t="s">
        <v>19016</v>
      </c>
      <c r="D969" t="str">
        <f>"654-36-4"</f>
        <v>654-36-4</v>
      </c>
      <c r="E969" t="str">
        <f t="shared" si="47"/>
        <v xml:space="preserve">Organische parameters </v>
      </c>
      <c r="F969" t="str">
        <f t="shared" si="48"/>
        <v xml:space="preserve">Aromatische aminen </v>
      </c>
      <c r="G969" t="str">
        <f>""</f>
        <v/>
      </c>
    </row>
    <row r="970" spans="1:7" x14ac:dyDescent="0.25">
      <c r="A970">
        <v>1722</v>
      </c>
      <c r="B970" t="str">
        <f>"amino-ethyldibenzopyrrole"</f>
        <v>amino-ethyldibenzopyrrole</v>
      </c>
      <c r="C970" t="s">
        <v>19016</v>
      </c>
      <c r="D970" t="str">
        <f>""</f>
        <v/>
      </c>
      <c r="E970" t="str">
        <f t="shared" si="47"/>
        <v xml:space="preserve">Organische parameters </v>
      </c>
      <c r="F970" t="str">
        <f t="shared" si="48"/>
        <v xml:space="preserve">Aromatische aminen </v>
      </c>
      <c r="G970" t="str">
        <f>""</f>
        <v/>
      </c>
    </row>
    <row r="971" spans="1:7" x14ac:dyDescent="0.25">
      <c r="A971">
        <v>1723</v>
      </c>
      <c r="B971" t="str">
        <f>"dimethylnitro-aniline"</f>
        <v>dimethylnitro-aniline</v>
      </c>
      <c r="C971" t="s">
        <v>19016</v>
      </c>
      <c r="D971" t="str">
        <f>""</f>
        <v/>
      </c>
      <c r="E971" t="str">
        <f t="shared" si="47"/>
        <v xml:space="preserve">Organische parameters </v>
      </c>
      <c r="F971" t="str">
        <f t="shared" si="48"/>
        <v xml:space="preserve">Aromatische aminen </v>
      </c>
      <c r="G971" t="str">
        <f>""</f>
        <v/>
      </c>
    </row>
    <row r="972" spans="1:7" x14ac:dyDescent="0.25">
      <c r="A972">
        <v>1724</v>
      </c>
      <c r="B972" t="str">
        <f>"nitroaniline"</f>
        <v>nitroaniline</v>
      </c>
      <c r="C972" t="s">
        <v>19016</v>
      </c>
      <c r="D972" t="str">
        <f>"29757-24-2"</f>
        <v>29757-24-2</v>
      </c>
      <c r="E972" t="str">
        <f t="shared" si="47"/>
        <v xml:space="preserve">Organische parameters </v>
      </c>
      <c r="F972" t="str">
        <f t="shared" si="48"/>
        <v xml:space="preserve">Aromatische aminen </v>
      </c>
      <c r="G972" t="str">
        <f>""</f>
        <v/>
      </c>
    </row>
    <row r="973" spans="1:7" x14ac:dyDescent="0.25">
      <c r="A973">
        <v>1725</v>
      </c>
      <c r="B973" t="str">
        <f>"nitrotoluidine"</f>
        <v>nitrotoluidine</v>
      </c>
      <c r="C973" t="s">
        <v>19016</v>
      </c>
      <c r="D973" t="str">
        <f>""</f>
        <v/>
      </c>
      <c r="E973" t="str">
        <f t="shared" ref="E973:E1036" si="49">"Organische parameters "</f>
        <v xml:space="preserve">Organische parameters </v>
      </c>
      <c r="F973" t="str">
        <f t="shared" si="48"/>
        <v xml:space="preserve">Aromatische aminen </v>
      </c>
      <c r="G973" t="str">
        <f>""</f>
        <v/>
      </c>
    </row>
    <row r="974" spans="1:7" x14ac:dyDescent="0.25">
      <c r="A974">
        <v>1726</v>
      </c>
      <c r="B974" t="str">
        <f>"n-butylamide"</f>
        <v>n-butylamide</v>
      </c>
      <c r="C974" t="s">
        <v>19016</v>
      </c>
      <c r="D974" t="str">
        <f>"109-73-9"</f>
        <v>109-73-9</v>
      </c>
      <c r="E974" t="str">
        <f t="shared" si="49"/>
        <v xml:space="preserve">Organische parameters </v>
      </c>
      <c r="F974" t="str">
        <f>""</f>
        <v/>
      </c>
      <c r="G974" t="str">
        <f>""</f>
        <v/>
      </c>
    </row>
    <row r="975" spans="1:7" x14ac:dyDescent="0.25">
      <c r="A975">
        <v>1727</v>
      </c>
      <c r="B975" t="str">
        <f>"dibutylformamide"</f>
        <v>dibutylformamide</v>
      </c>
      <c r="C975" t="s">
        <v>19016</v>
      </c>
      <c r="D975" t="str">
        <f>"761-65-9"</f>
        <v>761-65-9</v>
      </c>
      <c r="E975" t="str">
        <f t="shared" si="49"/>
        <v xml:space="preserve">Organische parameters </v>
      </c>
      <c r="F975" t="str">
        <f>""</f>
        <v/>
      </c>
      <c r="G975" t="str">
        <f>""</f>
        <v/>
      </c>
    </row>
    <row r="976" spans="1:7" x14ac:dyDescent="0.25">
      <c r="A976">
        <v>1728</v>
      </c>
      <c r="B976" t="str">
        <f>"N,N-dimethylaceetamide"</f>
        <v>N,N-dimethylaceetamide</v>
      </c>
      <c r="C976" t="s">
        <v>19016</v>
      </c>
      <c r="D976" t="str">
        <f>"127-19-5"</f>
        <v>127-19-5</v>
      </c>
      <c r="E976" t="str">
        <f t="shared" si="49"/>
        <v xml:space="preserve">Organische parameters </v>
      </c>
      <c r="F976" t="str">
        <f>""</f>
        <v/>
      </c>
      <c r="G976" t="str">
        <f>""</f>
        <v/>
      </c>
    </row>
    <row r="977" spans="1:7" x14ac:dyDescent="0.25">
      <c r="A977">
        <v>1729</v>
      </c>
      <c r="B977" t="str">
        <f>"hexaanamide"</f>
        <v>hexaanamide</v>
      </c>
      <c r="C977" t="s">
        <v>19016</v>
      </c>
      <c r="D977" t="str">
        <f>"628-02-4"</f>
        <v>628-02-4</v>
      </c>
      <c r="E977" t="str">
        <f t="shared" si="49"/>
        <v xml:space="preserve">Organische parameters </v>
      </c>
      <c r="F977" t="str">
        <f>""</f>
        <v/>
      </c>
      <c r="G977" t="str">
        <f>""</f>
        <v/>
      </c>
    </row>
    <row r="978" spans="1:7" x14ac:dyDescent="0.25">
      <c r="A978">
        <v>1730</v>
      </c>
      <c r="B978" t="str">
        <f>"dimethyl (methoxyfenyl)formamide"</f>
        <v>dimethyl (methoxyfenyl)formamide</v>
      </c>
      <c r="C978" t="s">
        <v>19016</v>
      </c>
      <c r="D978" t="str">
        <f>""</f>
        <v/>
      </c>
      <c r="E978" t="str">
        <f t="shared" si="49"/>
        <v xml:space="preserve">Organische parameters </v>
      </c>
      <c r="F978" t="str">
        <f>""</f>
        <v/>
      </c>
      <c r="G978" t="str">
        <f>""</f>
        <v/>
      </c>
    </row>
    <row r="979" spans="1:7" x14ac:dyDescent="0.25">
      <c r="A979">
        <v>1731</v>
      </c>
      <c r="B979" t="str">
        <f>"fenyl-benzamide"</f>
        <v>fenyl-benzamide</v>
      </c>
      <c r="C979" t="s">
        <v>19016</v>
      </c>
      <c r="D979" t="str">
        <f>"93-98-1"</f>
        <v>93-98-1</v>
      </c>
      <c r="E979" t="str">
        <f t="shared" si="49"/>
        <v xml:space="preserve">Organische parameters </v>
      </c>
      <c r="F979" t="str">
        <f>""</f>
        <v/>
      </c>
      <c r="G979" t="str">
        <f>""</f>
        <v/>
      </c>
    </row>
    <row r="980" spans="1:7" x14ac:dyDescent="0.25">
      <c r="A980">
        <v>1732</v>
      </c>
      <c r="B980" t="str">
        <f>"N-butylmethylbenzamide"</f>
        <v>N-butylmethylbenzamide</v>
      </c>
      <c r="C980" t="s">
        <v>19016</v>
      </c>
      <c r="D980" t="str">
        <f>""</f>
        <v/>
      </c>
      <c r="E980" t="str">
        <f t="shared" si="49"/>
        <v xml:space="preserve">Organische parameters </v>
      </c>
      <c r="F980" t="str">
        <f>""</f>
        <v/>
      </c>
      <c r="G980" t="str">
        <f>""</f>
        <v/>
      </c>
    </row>
    <row r="981" spans="1:7" x14ac:dyDescent="0.25">
      <c r="A981">
        <v>1733</v>
      </c>
      <c r="B981" t="str">
        <f>"N-ethyl-N-fenylacetamide"</f>
        <v>N-ethyl-N-fenylacetamide</v>
      </c>
      <c r="C981" t="s">
        <v>19016</v>
      </c>
      <c r="D981" t="str">
        <f>"529-65-7"</f>
        <v>529-65-7</v>
      </c>
      <c r="E981" t="str">
        <f t="shared" si="49"/>
        <v xml:space="preserve">Organische parameters </v>
      </c>
      <c r="F981" t="str">
        <f>""</f>
        <v/>
      </c>
      <c r="G981" t="str">
        <f>""</f>
        <v/>
      </c>
    </row>
    <row r="982" spans="1:7" x14ac:dyDescent="0.25">
      <c r="A982">
        <v>1734</v>
      </c>
      <c r="B982" t="str">
        <f>"N-methyl-N-fenylacetamide"</f>
        <v>N-methyl-N-fenylacetamide</v>
      </c>
      <c r="C982" t="s">
        <v>19016</v>
      </c>
      <c r="D982" t="str">
        <f>"579-10-2"</f>
        <v>579-10-2</v>
      </c>
      <c r="E982" t="str">
        <f t="shared" si="49"/>
        <v xml:space="preserve">Organische parameters </v>
      </c>
      <c r="F982" t="str">
        <f>""</f>
        <v/>
      </c>
      <c r="G982" t="str">
        <f>""</f>
        <v/>
      </c>
    </row>
    <row r="983" spans="1:7" x14ac:dyDescent="0.25">
      <c r="A983">
        <v>1735</v>
      </c>
      <c r="B983" t="str">
        <f>"N-methyl-N-fenylformamide"</f>
        <v>N-methyl-N-fenylformamide</v>
      </c>
      <c r="C983" t="s">
        <v>19016</v>
      </c>
      <c r="D983" t="str">
        <f>"93-61-8"</f>
        <v>93-61-8</v>
      </c>
      <c r="E983" t="str">
        <f t="shared" si="49"/>
        <v xml:space="preserve">Organische parameters </v>
      </c>
      <c r="F983" t="str">
        <f>""</f>
        <v/>
      </c>
      <c r="G983" t="str">
        <f>""</f>
        <v/>
      </c>
    </row>
    <row r="984" spans="1:7" x14ac:dyDescent="0.25">
      <c r="A984">
        <v>1736</v>
      </c>
      <c r="B984" t="str">
        <f>"2-chloor-N-(2-ethyl-6-methylfenyl)-N-(2-methoxy-1-methylethyl)acetamide"</f>
        <v>2-chloor-N-(2-ethyl-6-methylfenyl)-N-(2-methoxy-1-methylethyl)acetamide</v>
      </c>
      <c r="C984" t="s">
        <v>19016</v>
      </c>
      <c r="D984" t="str">
        <f>""</f>
        <v/>
      </c>
      <c r="E984" t="str">
        <f t="shared" si="49"/>
        <v xml:space="preserve">Organische parameters </v>
      </c>
      <c r="F984" t="str">
        <f>""</f>
        <v/>
      </c>
      <c r="G984" t="str">
        <f>""</f>
        <v/>
      </c>
    </row>
    <row r="985" spans="1:7" x14ac:dyDescent="0.25">
      <c r="A985">
        <v>1737</v>
      </c>
      <c r="B985" t="str">
        <f>"amino(methylethyl)benzamide"</f>
        <v>amino(methylethyl)benzamide</v>
      </c>
      <c r="C985" t="s">
        <v>19016</v>
      </c>
      <c r="D985" t="str">
        <f>""</f>
        <v/>
      </c>
      <c r="E985" t="str">
        <f t="shared" si="49"/>
        <v xml:space="preserve">Organische parameters </v>
      </c>
      <c r="F985" t="str">
        <f>""</f>
        <v/>
      </c>
      <c r="G985" t="str">
        <f>""</f>
        <v/>
      </c>
    </row>
    <row r="986" spans="1:7" x14ac:dyDescent="0.25">
      <c r="A986">
        <v>1738</v>
      </c>
      <c r="B986" t="str">
        <f>"diazine diylbisacetamide"</f>
        <v>diazine diylbisacetamide</v>
      </c>
      <c r="C986" t="s">
        <v>19016</v>
      </c>
      <c r="D986" t="str">
        <f>""</f>
        <v/>
      </c>
      <c r="E986" t="str">
        <f t="shared" si="49"/>
        <v xml:space="preserve">Organische parameters </v>
      </c>
      <c r="F986" t="str">
        <f>""</f>
        <v/>
      </c>
      <c r="G986" t="str">
        <f>""</f>
        <v/>
      </c>
    </row>
    <row r="987" spans="1:7" x14ac:dyDescent="0.25">
      <c r="A987">
        <v>1739</v>
      </c>
      <c r="B987" t="str">
        <f>"methylhexaannitril"</f>
        <v>methylhexaannitril</v>
      </c>
      <c r="C987" t="s">
        <v>19016</v>
      </c>
      <c r="D987" t="str">
        <f>"19424-34-1"</f>
        <v>19424-34-1</v>
      </c>
      <c r="E987" t="str">
        <f t="shared" si="49"/>
        <v xml:space="preserve">Organische parameters </v>
      </c>
      <c r="F987" t="str">
        <f>""</f>
        <v/>
      </c>
      <c r="G987" t="str">
        <f>""</f>
        <v/>
      </c>
    </row>
    <row r="988" spans="1:7" x14ac:dyDescent="0.25">
      <c r="A988">
        <v>1740</v>
      </c>
      <c r="B988" t="str">
        <f>"nonaannitril"</f>
        <v>nonaannitril</v>
      </c>
      <c r="C988" t="s">
        <v>19016</v>
      </c>
      <c r="D988" t="str">
        <f>"2243-27-8"</f>
        <v>2243-27-8</v>
      </c>
      <c r="E988" t="str">
        <f t="shared" si="49"/>
        <v xml:space="preserve">Organische parameters </v>
      </c>
      <c r="F988" t="str">
        <f>""</f>
        <v/>
      </c>
      <c r="G988" t="str">
        <f>""</f>
        <v/>
      </c>
    </row>
    <row r="989" spans="1:7" x14ac:dyDescent="0.25">
      <c r="A989">
        <v>1741</v>
      </c>
      <c r="B989" t="str">
        <f>"benzonitril"</f>
        <v>benzonitril</v>
      </c>
      <c r="C989" t="s">
        <v>19016</v>
      </c>
      <c r="D989" t="str">
        <f>"100-47-0"</f>
        <v>100-47-0</v>
      </c>
      <c r="E989" t="str">
        <f t="shared" si="49"/>
        <v xml:space="preserve">Organische parameters </v>
      </c>
      <c r="F989" t="str">
        <f>""</f>
        <v/>
      </c>
      <c r="G989" t="str">
        <f>""</f>
        <v/>
      </c>
    </row>
    <row r="990" spans="1:7" x14ac:dyDescent="0.25">
      <c r="A990">
        <v>1742</v>
      </c>
      <c r="B990" t="str">
        <f>"methylbenzonitril"</f>
        <v>methylbenzonitril</v>
      </c>
      <c r="C990" t="s">
        <v>19016</v>
      </c>
      <c r="D990" t="str">
        <f>"25550-22-5"</f>
        <v>25550-22-5</v>
      </c>
      <c r="E990" t="str">
        <f t="shared" si="49"/>
        <v xml:space="preserve">Organische parameters </v>
      </c>
      <c r="F990" t="str">
        <f>""</f>
        <v/>
      </c>
      <c r="G990" t="str">
        <f>""</f>
        <v/>
      </c>
    </row>
    <row r="991" spans="1:7" x14ac:dyDescent="0.25">
      <c r="A991">
        <v>1743</v>
      </c>
      <c r="B991" t="str">
        <f>"dichloorbenzonitril"</f>
        <v>dichloorbenzonitril</v>
      </c>
      <c r="C991" t="s">
        <v>19016</v>
      </c>
      <c r="D991" t="str">
        <f>""</f>
        <v/>
      </c>
      <c r="E991" t="str">
        <f t="shared" si="49"/>
        <v xml:space="preserve">Organische parameters </v>
      </c>
      <c r="F991" t="str">
        <f>""</f>
        <v/>
      </c>
      <c r="G991" t="str">
        <f>""</f>
        <v/>
      </c>
    </row>
    <row r="992" spans="1:7" x14ac:dyDescent="0.25">
      <c r="A992">
        <v>1744</v>
      </c>
      <c r="B992" t="str">
        <f>"benzothiofeen"</f>
        <v>benzothiofeen</v>
      </c>
      <c r="C992" t="s">
        <v>19016</v>
      </c>
      <c r="D992" t="str">
        <f>"11095-43-5"</f>
        <v>11095-43-5</v>
      </c>
      <c r="E992" t="str">
        <f t="shared" si="49"/>
        <v xml:space="preserve">Organische parameters </v>
      </c>
      <c r="F992" t="str">
        <f>""</f>
        <v/>
      </c>
      <c r="G992" t="str">
        <f>""</f>
        <v/>
      </c>
    </row>
    <row r="993" spans="1:7" x14ac:dyDescent="0.25">
      <c r="A993">
        <v>1746</v>
      </c>
      <c r="B993" t="str">
        <f>"4-n-butylbenzeensulfonaat"</f>
        <v>4-n-butylbenzeensulfonaat</v>
      </c>
      <c r="C993" t="s">
        <v>19016</v>
      </c>
      <c r="D993" t="str">
        <f>"80-44-4"</f>
        <v>80-44-4</v>
      </c>
      <c r="E993" t="str">
        <f t="shared" si="49"/>
        <v xml:space="preserve">Organische parameters </v>
      </c>
      <c r="F993" t="str">
        <f>""</f>
        <v/>
      </c>
      <c r="G993" t="str">
        <f>""</f>
        <v/>
      </c>
    </row>
    <row r="994" spans="1:7" x14ac:dyDescent="0.25">
      <c r="A994">
        <v>1747</v>
      </c>
      <c r="B994" t="str">
        <f>"butylthiofenol"</f>
        <v>butylthiofenol</v>
      </c>
      <c r="C994" t="s">
        <v>19016</v>
      </c>
      <c r="D994" t="str">
        <f>""</f>
        <v/>
      </c>
      <c r="E994" t="str">
        <f t="shared" si="49"/>
        <v xml:space="preserve">Organische parameters </v>
      </c>
      <c r="F994" t="str">
        <f>""</f>
        <v/>
      </c>
      <c r="G994" t="str">
        <f>""</f>
        <v/>
      </c>
    </row>
    <row r="995" spans="1:7" x14ac:dyDescent="0.25">
      <c r="A995">
        <v>1748</v>
      </c>
      <c r="B995" t="str">
        <f>"diethyldisulfide"</f>
        <v>diethyldisulfide</v>
      </c>
      <c r="C995" t="s">
        <v>19016</v>
      </c>
      <c r="D995" t="str">
        <f>"110-81-6"</f>
        <v>110-81-6</v>
      </c>
      <c r="E995" t="str">
        <f t="shared" si="49"/>
        <v xml:space="preserve">Organische parameters </v>
      </c>
      <c r="F995" t="str">
        <f>""</f>
        <v/>
      </c>
      <c r="G995" t="str">
        <f>""</f>
        <v/>
      </c>
    </row>
    <row r="996" spans="1:7" x14ac:dyDescent="0.25">
      <c r="A996">
        <v>1749</v>
      </c>
      <c r="B996" t="str">
        <f>"diethylpentylfosfaat"</f>
        <v>diethylpentylfosfaat</v>
      </c>
      <c r="C996" t="s">
        <v>19016</v>
      </c>
      <c r="D996" t="str">
        <f>"20195-08-8"</f>
        <v>20195-08-8</v>
      </c>
      <c r="E996" t="str">
        <f t="shared" si="49"/>
        <v xml:space="preserve">Organische parameters </v>
      </c>
      <c r="F996" t="str">
        <f>""</f>
        <v/>
      </c>
      <c r="G996" t="str">
        <f>""</f>
        <v/>
      </c>
    </row>
    <row r="997" spans="1:7" x14ac:dyDescent="0.25">
      <c r="A997">
        <v>1750</v>
      </c>
      <c r="B997" t="str">
        <f>"diethylsulfide"</f>
        <v>diethylsulfide</v>
      </c>
      <c r="C997" t="s">
        <v>19016</v>
      </c>
      <c r="D997" t="str">
        <f>"352-93-2"</f>
        <v>352-93-2</v>
      </c>
      <c r="E997" t="str">
        <f t="shared" si="49"/>
        <v xml:space="preserve">Organische parameters </v>
      </c>
      <c r="F997" t="str">
        <f>""</f>
        <v/>
      </c>
      <c r="G997" t="str">
        <f>""</f>
        <v/>
      </c>
    </row>
    <row r="998" spans="1:7" x14ac:dyDescent="0.25">
      <c r="A998">
        <v>1751</v>
      </c>
      <c r="B998" t="str">
        <f>"diethyltrisulfide"</f>
        <v>diethyltrisulfide</v>
      </c>
      <c r="C998" t="s">
        <v>19016</v>
      </c>
      <c r="D998" t="str">
        <f>"3600-24-6"</f>
        <v>3600-24-6</v>
      </c>
      <c r="E998" t="str">
        <f t="shared" si="49"/>
        <v xml:space="preserve">Organische parameters </v>
      </c>
      <c r="F998" t="str">
        <f>""</f>
        <v/>
      </c>
      <c r="G998" t="str">
        <f>""</f>
        <v/>
      </c>
    </row>
    <row r="999" spans="1:7" x14ac:dyDescent="0.25">
      <c r="A999">
        <v>1752</v>
      </c>
      <c r="B999" t="str">
        <f>"difenylsulfon"</f>
        <v>difenylsulfon</v>
      </c>
      <c r="C999" t="s">
        <v>19016</v>
      </c>
      <c r="D999" t="str">
        <f>"127-63-9"</f>
        <v>127-63-9</v>
      </c>
      <c r="E999" t="str">
        <f t="shared" si="49"/>
        <v xml:space="preserve">Organische parameters </v>
      </c>
      <c r="F999" t="str">
        <f>""</f>
        <v/>
      </c>
      <c r="G999" t="str">
        <f>""</f>
        <v/>
      </c>
    </row>
    <row r="1000" spans="1:7" x14ac:dyDescent="0.25">
      <c r="A1000">
        <v>1753</v>
      </c>
      <c r="B1000" t="str">
        <f>"dimethyldisulfide"</f>
        <v>dimethyldisulfide</v>
      </c>
      <c r="C1000" t="s">
        <v>19016</v>
      </c>
      <c r="D1000" t="str">
        <f>"624-92-0"</f>
        <v>624-92-0</v>
      </c>
      <c r="E1000" t="str">
        <f t="shared" si="49"/>
        <v xml:space="preserve">Organische parameters </v>
      </c>
      <c r="F1000" t="str">
        <f>""</f>
        <v/>
      </c>
      <c r="G1000" t="str">
        <f>""</f>
        <v/>
      </c>
    </row>
    <row r="1001" spans="1:7" x14ac:dyDescent="0.25">
      <c r="A1001">
        <v>1754</v>
      </c>
      <c r="B1001" t="str">
        <f>"dimethylsulfide"</f>
        <v>dimethylsulfide</v>
      </c>
      <c r="C1001" t="s">
        <v>19016</v>
      </c>
      <c r="D1001" t="str">
        <f>"75-18-3"</f>
        <v>75-18-3</v>
      </c>
      <c r="E1001" t="str">
        <f t="shared" si="49"/>
        <v xml:space="preserve">Organische parameters </v>
      </c>
      <c r="F1001" t="str">
        <f>""</f>
        <v/>
      </c>
      <c r="G1001" t="str">
        <f>""</f>
        <v/>
      </c>
    </row>
    <row r="1002" spans="1:7" x14ac:dyDescent="0.25">
      <c r="A1002">
        <v>1755</v>
      </c>
      <c r="B1002" t="str">
        <f>"dimethyltrisulfide"</f>
        <v>dimethyltrisulfide</v>
      </c>
      <c r="C1002" t="s">
        <v>19016</v>
      </c>
      <c r="D1002" t="str">
        <f>"3658-80-8"</f>
        <v>3658-80-8</v>
      </c>
      <c r="E1002" t="str">
        <f t="shared" si="49"/>
        <v xml:space="preserve">Organische parameters </v>
      </c>
      <c r="F1002" t="str">
        <f>""</f>
        <v/>
      </c>
      <c r="G1002" t="str">
        <f>""</f>
        <v/>
      </c>
    </row>
    <row r="1003" spans="1:7" x14ac:dyDescent="0.25">
      <c r="A1003">
        <v>1756</v>
      </c>
      <c r="B1003" t="str">
        <f>"ditolylsulfon"</f>
        <v>ditolylsulfon</v>
      </c>
      <c r="C1003" t="s">
        <v>19016</v>
      </c>
      <c r="D1003" t="str">
        <f>"599-66-6"</f>
        <v>599-66-6</v>
      </c>
      <c r="E1003" t="str">
        <f t="shared" si="49"/>
        <v xml:space="preserve">Organische parameters </v>
      </c>
      <c r="F1003" t="str">
        <f>""</f>
        <v/>
      </c>
      <c r="G1003" t="str">
        <f>""</f>
        <v/>
      </c>
    </row>
    <row r="1004" spans="1:7" x14ac:dyDescent="0.25">
      <c r="A1004">
        <v>1757</v>
      </c>
      <c r="B1004" t="str">
        <f>"ethylhexyldifenylfosfaat"</f>
        <v>ethylhexyldifenylfosfaat</v>
      </c>
      <c r="C1004" t="s">
        <v>19016</v>
      </c>
      <c r="D1004" t="str">
        <f>"1241-94-7"</f>
        <v>1241-94-7</v>
      </c>
      <c r="E1004" t="str">
        <f t="shared" si="49"/>
        <v xml:space="preserve">Organische parameters </v>
      </c>
      <c r="F1004" t="str">
        <f>""</f>
        <v/>
      </c>
      <c r="G1004" t="str">
        <f>""</f>
        <v/>
      </c>
    </row>
    <row r="1005" spans="1:7" x14ac:dyDescent="0.25">
      <c r="A1005">
        <v>1758</v>
      </c>
      <c r="B1005" t="str">
        <f>"ethylmethylsulfide"</f>
        <v>ethylmethylsulfide</v>
      </c>
      <c r="C1005" t="s">
        <v>19016</v>
      </c>
      <c r="D1005" t="str">
        <f>"624-89-5"</f>
        <v>624-89-5</v>
      </c>
      <c r="E1005" t="str">
        <f t="shared" si="49"/>
        <v xml:space="preserve">Organische parameters </v>
      </c>
      <c r="F1005" t="str">
        <f>""</f>
        <v/>
      </c>
      <c r="G1005" t="str">
        <f>""</f>
        <v/>
      </c>
    </row>
    <row r="1006" spans="1:7" x14ac:dyDescent="0.25">
      <c r="A1006">
        <v>1759</v>
      </c>
      <c r="B1006" t="str">
        <f>"ethylmethylthia-indeen"</f>
        <v>ethylmethylthia-indeen</v>
      </c>
      <c r="C1006" t="s">
        <v>19016</v>
      </c>
      <c r="D1006" t="str">
        <f>""</f>
        <v/>
      </c>
      <c r="E1006" t="str">
        <f t="shared" si="49"/>
        <v xml:space="preserve">Organische parameters </v>
      </c>
      <c r="F1006" t="str">
        <f>""</f>
        <v/>
      </c>
      <c r="G1006" t="str">
        <f>""</f>
        <v/>
      </c>
    </row>
    <row r="1007" spans="1:7" x14ac:dyDescent="0.25">
      <c r="A1007">
        <v>1760</v>
      </c>
      <c r="B1007" t="str">
        <f>"4-t-butyl-2-methylthiofenol"</f>
        <v>4-t-butyl-2-methylthiofenol</v>
      </c>
      <c r="C1007" t="s">
        <v>19016</v>
      </c>
      <c r="D1007" t="str">
        <f>"15570-10-2"</f>
        <v>15570-10-2</v>
      </c>
      <c r="E1007" t="str">
        <f t="shared" si="49"/>
        <v xml:space="preserve">Organische parameters </v>
      </c>
      <c r="F1007" t="str">
        <f>""</f>
        <v/>
      </c>
      <c r="G1007" t="str">
        <f>""</f>
        <v/>
      </c>
    </row>
    <row r="1008" spans="1:7" x14ac:dyDescent="0.25">
      <c r="A1008">
        <v>1761</v>
      </c>
      <c r="B1008" t="str">
        <f>"methylethyldisulfide"</f>
        <v>methylethyldisulfide</v>
      </c>
      <c r="C1008" t="s">
        <v>19016</v>
      </c>
      <c r="D1008" t="str">
        <f>"20333-39-5"</f>
        <v>20333-39-5</v>
      </c>
      <c r="E1008" t="str">
        <f t="shared" si="49"/>
        <v xml:space="preserve">Organische parameters </v>
      </c>
      <c r="F1008" t="str">
        <f>""</f>
        <v/>
      </c>
      <c r="G1008" t="str">
        <f>""</f>
        <v/>
      </c>
    </row>
    <row r="1009" spans="1:7" x14ac:dyDescent="0.25">
      <c r="A1009">
        <v>1763</v>
      </c>
      <c r="B1009" t="str">
        <f>"methylethyltrisulfide"</f>
        <v>methylethyltrisulfide</v>
      </c>
      <c r="C1009" t="s">
        <v>19016</v>
      </c>
      <c r="D1009" t="str">
        <f>"31499-71-5"</f>
        <v>31499-71-5</v>
      </c>
      <c r="E1009" t="str">
        <f t="shared" si="49"/>
        <v xml:space="preserve">Organische parameters </v>
      </c>
      <c r="F1009" t="str">
        <f>""</f>
        <v/>
      </c>
      <c r="G1009" t="str">
        <f>""</f>
        <v/>
      </c>
    </row>
    <row r="1010" spans="1:7" x14ac:dyDescent="0.25">
      <c r="A1010">
        <v>1764</v>
      </c>
      <c r="B1010" t="str">
        <f>"tributylfosfaat"</f>
        <v>tributylfosfaat</v>
      </c>
      <c r="C1010" t="s">
        <v>19016</v>
      </c>
      <c r="D1010" t="str">
        <f>"126-73-8"</f>
        <v>126-73-8</v>
      </c>
      <c r="E1010" t="str">
        <f t="shared" si="49"/>
        <v xml:space="preserve">Organische parameters </v>
      </c>
      <c r="F1010" t="str">
        <f>""</f>
        <v/>
      </c>
      <c r="G1010" t="str">
        <f>""</f>
        <v/>
      </c>
    </row>
    <row r="1011" spans="1:7" x14ac:dyDescent="0.25">
      <c r="A1011">
        <v>1765</v>
      </c>
      <c r="B1011" t="str">
        <f>"triethylfosfaat"</f>
        <v>triethylfosfaat</v>
      </c>
      <c r="C1011" t="s">
        <v>19016</v>
      </c>
      <c r="D1011" t="str">
        <f>"78-40-0"</f>
        <v>78-40-0</v>
      </c>
      <c r="E1011" t="str">
        <f t="shared" si="49"/>
        <v xml:space="preserve">Organische parameters </v>
      </c>
      <c r="F1011" t="str">
        <f>""</f>
        <v/>
      </c>
      <c r="G1011" t="str">
        <f>""</f>
        <v/>
      </c>
    </row>
    <row r="1012" spans="1:7" x14ac:dyDescent="0.25">
      <c r="A1012">
        <v>1766</v>
      </c>
      <c r="B1012" t="str">
        <f>"trifenylethanolfosfaat"</f>
        <v>trifenylethanolfosfaat</v>
      </c>
      <c r="C1012" t="s">
        <v>19016</v>
      </c>
      <c r="D1012" t="str">
        <f>""</f>
        <v/>
      </c>
      <c r="E1012" t="str">
        <f t="shared" si="49"/>
        <v xml:space="preserve">Organische parameters </v>
      </c>
      <c r="F1012" t="str">
        <f>""</f>
        <v/>
      </c>
      <c r="G1012" t="str">
        <f>""</f>
        <v/>
      </c>
    </row>
    <row r="1013" spans="1:7" x14ac:dyDescent="0.25">
      <c r="A1013">
        <v>1767</v>
      </c>
      <c r="B1013" t="str">
        <f>"trifenylfosfaat"</f>
        <v>trifenylfosfaat</v>
      </c>
      <c r="C1013" t="s">
        <v>19016</v>
      </c>
      <c r="D1013" t="str">
        <f>"115-86-6"</f>
        <v>115-86-6</v>
      </c>
      <c r="E1013" t="str">
        <f t="shared" si="49"/>
        <v xml:space="preserve">Organische parameters </v>
      </c>
      <c r="F1013" t="str">
        <f>""</f>
        <v/>
      </c>
      <c r="G1013" t="str">
        <f>""</f>
        <v/>
      </c>
    </row>
    <row r="1014" spans="1:7" x14ac:dyDescent="0.25">
      <c r="A1014">
        <v>1768</v>
      </c>
      <c r="B1014" t="str">
        <f>"trifenylfosfine-oxide"</f>
        <v>trifenylfosfine-oxide</v>
      </c>
      <c r="C1014" t="s">
        <v>19016</v>
      </c>
      <c r="D1014" t="str">
        <f>"791-28-6"</f>
        <v>791-28-6</v>
      </c>
      <c r="E1014" t="str">
        <f t="shared" si="49"/>
        <v xml:space="preserve">Organische parameters </v>
      </c>
      <c r="F1014" t="str">
        <f>""</f>
        <v/>
      </c>
      <c r="G1014" t="str">
        <f>""</f>
        <v/>
      </c>
    </row>
    <row r="1015" spans="1:7" x14ac:dyDescent="0.25">
      <c r="A1015">
        <v>1769</v>
      </c>
      <c r="B1015" t="str">
        <f>"triisobutylfosfaat"</f>
        <v>triisobutylfosfaat</v>
      </c>
      <c r="C1015" t="s">
        <v>19016</v>
      </c>
      <c r="D1015" t="str">
        <f>"126-71-6"</f>
        <v>126-71-6</v>
      </c>
      <c r="E1015" t="str">
        <f t="shared" si="49"/>
        <v xml:space="preserve">Organische parameters </v>
      </c>
      <c r="F1015" t="str">
        <f>""</f>
        <v/>
      </c>
      <c r="G1015" t="str">
        <f>""</f>
        <v/>
      </c>
    </row>
    <row r="1016" spans="1:7" x14ac:dyDescent="0.25">
      <c r="A1016">
        <v>1770</v>
      </c>
      <c r="B1016" t="str">
        <f>"trimethyldisulfide"</f>
        <v>trimethyldisulfide</v>
      </c>
      <c r="C1016" t="s">
        <v>19016</v>
      </c>
      <c r="D1016" t="str">
        <f>""</f>
        <v/>
      </c>
      <c r="E1016" t="str">
        <f t="shared" si="49"/>
        <v xml:space="preserve">Organische parameters </v>
      </c>
      <c r="F1016" t="str">
        <f>""</f>
        <v/>
      </c>
      <c r="G1016" t="str">
        <f>""</f>
        <v/>
      </c>
    </row>
    <row r="1017" spans="1:7" x14ac:dyDescent="0.25">
      <c r="A1017">
        <v>1771</v>
      </c>
      <c r="B1017" t="str">
        <f>"trimethylfosfaat"</f>
        <v>trimethylfosfaat</v>
      </c>
      <c r="C1017" t="s">
        <v>19016</v>
      </c>
      <c r="D1017" t="str">
        <f>"512-56-1"</f>
        <v>512-56-1</v>
      </c>
      <c r="E1017" t="str">
        <f t="shared" si="49"/>
        <v xml:space="preserve">Organische parameters </v>
      </c>
      <c r="F1017" t="str">
        <f>""</f>
        <v/>
      </c>
      <c r="G1017" t="str">
        <f>""</f>
        <v/>
      </c>
    </row>
    <row r="1018" spans="1:7" x14ac:dyDescent="0.25">
      <c r="A1018">
        <v>1772</v>
      </c>
      <c r="B1018" t="str">
        <f>"trimethylthiofosfaat"</f>
        <v>trimethylthiofosfaat</v>
      </c>
      <c r="C1018" t="s">
        <v>19016</v>
      </c>
      <c r="D1018" t="str">
        <f>"152-18-1"</f>
        <v>152-18-1</v>
      </c>
      <c r="E1018" t="str">
        <f t="shared" si="49"/>
        <v xml:space="preserve">Organische parameters </v>
      </c>
      <c r="F1018" t="str">
        <f>""</f>
        <v/>
      </c>
      <c r="G1018" t="str">
        <f>""</f>
        <v/>
      </c>
    </row>
    <row r="1019" spans="1:7" x14ac:dyDescent="0.25">
      <c r="A1019">
        <v>1773</v>
      </c>
      <c r="B1019" t="str">
        <f>"trimethylthiothiofosfaat"</f>
        <v>trimethylthiothiofosfaat</v>
      </c>
      <c r="C1019" t="s">
        <v>19016</v>
      </c>
      <c r="D1019" t="str">
        <f>""</f>
        <v/>
      </c>
      <c r="E1019" t="str">
        <f t="shared" si="49"/>
        <v xml:space="preserve">Organische parameters </v>
      </c>
      <c r="F1019" t="str">
        <f>""</f>
        <v/>
      </c>
      <c r="G1019" t="str">
        <f>""</f>
        <v/>
      </c>
    </row>
    <row r="1020" spans="1:7" x14ac:dyDescent="0.25">
      <c r="A1020">
        <v>1774</v>
      </c>
      <c r="B1020" t="str">
        <f>"trimethyltrisulfide"</f>
        <v>trimethyltrisulfide</v>
      </c>
      <c r="C1020" t="s">
        <v>19016</v>
      </c>
      <c r="D1020" t="str">
        <f>"2404-55-9"</f>
        <v>2404-55-9</v>
      </c>
      <c r="E1020" t="str">
        <f t="shared" si="49"/>
        <v xml:space="preserve">Organische parameters </v>
      </c>
      <c r="F1020" t="str">
        <f>""</f>
        <v/>
      </c>
      <c r="G1020" t="str">
        <f>""</f>
        <v/>
      </c>
    </row>
    <row r="1021" spans="1:7" x14ac:dyDescent="0.25">
      <c r="A1021">
        <v>1775</v>
      </c>
      <c r="B1021" t="str">
        <f>"trioctylfosfaat"</f>
        <v>trioctylfosfaat</v>
      </c>
      <c r="C1021" t="s">
        <v>19016</v>
      </c>
      <c r="D1021" t="str">
        <f>"25103-12-2"</f>
        <v>25103-12-2</v>
      </c>
      <c r="E1021" t="str">
        <f t="shared" si="49"/>
        <v xml:space="preserve">Organische parameters </v>
      </c>
      <c r="F1021" t="str">
        <f>""</f>
        <v/>
      </c>
      <c r="G1021" t="str">
        <f>""</f>
        <v/>
      </c>
    </row>
    <row r="1022" spans="1:7" x14ac:dyDescent="0.25">
      <c r="A1022">
        <v>1776</v>
      </c>
      <c r="B1022" t="str">
        <f>"tripropylfosfaat"</f>
        <v>tripropylfosfaat</v>
      </c>
      <c r="C1022" t="s">
        <v>19016</v>
      </c>
      <c r="D1022" t="str">
        <f>"513-08-6"</f>
        <v>513-08-6</v>
      </c>
      <c r="E1022" t="str">
        <f t="shared" si="49"/>
        <v xml:space="preserve">Organische parameters </v>
      </c>
      <c r="F1022" t="str">
        <f>""</f>
        <v/>
      </c>
      <c r="G1022" t="str">
        <f>""</f>
        <v/>
      </c>
    </row>
    <row r="1023" spans="1:7" x14ac:dyDescent="0.25">
      <c r="A1023">
        <v>1777</v>
      </c>
      <c r="B1023" t="str">
        <f>"benzeensulfonylchloride"</f>
        <v>benzeensulfonylchloride</v>
      </c>
      <c r="C1023" t="s">
        <v>19016</v>
      </c>
      <c r="D1023" t="str">
        <f>"98-09-9"</f>
        <v>98-09-9</v>
      </c>
      <c r="E1023" t="str">
        <f t="shared" si="49"/>
        <v xml:space="preserve">Organische parameters </v>
      </c>
      <c r="F1023" t="str">
        <f>""</f>
        <v/>
      </c>
      <c r="G1023" t="str">
        <f>""</f>
        <v/>
      </c>
    </row>
    <row r="1024" spans="1:7" x14ac:dyDescent="0.25">
      <c r="A1024">
        <v>1779</v>
      </c>
      <c r="B1024" t="str">
        <f>"benzothiazool"</f>
        <v>benzothiazool</v>
      </c>
      <c r="C1024" t="s">
        <v>19016</v>
      </c>
      <c r="D1024" t="str">
        <f>"95-16-9"</f>
        <v>95-16-9</v>
      </c>
      <c r="E1024" t="str">
        <f t="shared" si="49"/>
        <v xml:space="preserve">Organische parameters </v>
      </c>
      <c r="F1024" t="str">
        <f>""</f>
        <v/>
      </c>
      <c r="G1024" t="str">
        <f>""</f>
        <v/>
      </c>
    </row>
    <row r="1025" spans="1:7" x14ac:dyDescent="0.25">
      <c r="A1025">
        <v>1780</v>
      </c>
      <c r="B1025" t="str">
        <f>"N-butylbenzeensulfonamide"</f>
        <v>N-butylbenzeensulfonamide</v>
      </c>
      <c r="C1025" t="s">
        <v>19016</v>
      </c>
      <c r="D1025" t="str">
        <f>"3622-84-2"</f>
        <v>3622-84-2</v>
      </c>
      <c r="E1025" t="str">
        <f t="shared" si="49"/>
        <v xml:space="preserve">Organische parameters </v>
      </c>
      <c r="F1025" t="str">
        <f>""</f>
        <v/>
      </c>
      <c r="G1025" t="str">
        <f>""</f>
        <v/>
      </c>
    </row>
    <row r="1026" spans="1:7" x14ac:dyDescent="0.25">
      <c r="A1026">
        <v>1781</v>
      </c>
      <c r="B1026" t="str">
        <f>"fenylisothiocyanaat"</f>
        <v>fenylisothiocyanaat</v>
      </c>
      <c r="C1026" t="s">
        <v>19016</v>
      </c>
      <c r="D1026" t="str">
        <f>"103-72-0"</f>
        <v>103-72-0</v>
      </c>
      <c r="E1026" t="str">
        <f t="shared" si="49"/>
        <v xml:space="preserve">Organische parameters </v>
      </c>
      <c r="F1026" t="str">
        <f>""</f>
        <v/>
      </c>
      <c r="G1026" t="str">
        <f>""</f>
        <v/>
      </c>
    </row>
    <row r="1027" spans="1:7" x14ac:dyDescent="0.25">
      <c r="A1027">
        <v>1782</v>
      </c>
      <c r="B1027" t="str">
        <f>"thiomethylbenzothiazol"</f>
        <v>thiomethylbenzothiazol</v>
      </c>
      <c r="C1027" t="s">
        <v>19016</v>
      </c>
      <c r="D1027" t="str">
        <f>""</f>
        <v/>
      </c>
      <c r="E1027" t="str">
        <f t="shared" si="49"/>
        <v xml:space="preserve">Organische parameters </v>
      </c>
      <c r="F1027" t="str">
        <f>""</f>
        <v/>
      </c>
      <c r="G1027" t="str">
        <f>""</f>
        <v/>
      </c>
    </row>
    <row r="1028" spans="1:7" x14ac:dyDescent="0.25">
      <c r="A1028">
        <v>1783</v>
      </c>
      <c r="B1028" t="str">
        <f>"trimethylbenzothiazol"</f>
        <v>trimethylbenzothiazol</v>
      </c>
      <c r="C1028" t="s">
        <v>19016</v>
      </c>
      <c r="D1028" t="str">
        <f>""</f>
        <v/>
      </c>
      <c r="E1028" t="str">
        <f t="shared" si="49"/>
        <v xml:space="preserve">Organische parameters </v>
      </c>
      <c r="F1028" t="str">
        <f>""</f>
        <v/>
      </c>
      <c r="G1028" t="str">
        <f>""</f>
        <v/>
      </c>
    </row>
    <row r="1029" spans="1:7" x14ac:dyDescent="0.25">
      <c r="A1029">
        <v>1784</v>
      </c>
      <c r="B1029" t="str">
        <f>"cis-1,3-dichloorpropeen"</f>
        <v>cis-1,3-dichloorpropeen</v>
      </c>
      <c r="C1029" t="s">
        <v>19016</v>
      </c>
      <c r="D1029" t="str">
        <f>"10061-01-5"</f>
        <v>10061-01-5</v>
      </c>
      <c r="E1029" t="str">
        <f t="shared" si="49"/>
        <v xml:space="preserve">Organische parameters </v>
      </c>
      <c r="F1029" t="str">
        <f>"Gehalogeneerde alifatische koolwaterstoffen "</f>
        <v xml:space="preserve">Gehalogeneerde alifatische koolwaterstoffen </v>
      </c>
      <c r="G1029" t="str">
        <f>"Overige gehalogeneerde alifatische koolwaterstoffen "</f>
        <v xml:space="preserve">Overige gehalogeneerde alifatische koolwaterstoffen </v>
      </c>
    </row>
    <row r="1030" spans="1:7" x14ac:dyDescent="0.25">
      <c r="A1030">
        <v>1785</v>
      </c>
      <c r="B1030" t="str">
        <f>"trans 1,3 dichloorpropeen"</f>
        <v>trans 1,3 dichloorpropeen</v>
      </c>
      <c r="C1030" t="s">
        <v>19016</v>
      </c>
      <c r="D1030" t="str">
        <f>"10061-02-6"</f>
        <v>10061-02-6</v>
      </c>
      <c r="E1030" t="str">
        <f t="shared" si="49"/>
        <v xml:space="preserve">Organische parameters </v>
      </c>
      <c r="F1030" t="str">
        <f>"Gehalogeneerde alifatische koolwaterstoffen "</f>
        <v xml:space="preserve">Gehalogeneerde alifatische koolwaterstoffen </v>
      </c>
      <c r="G1030" t="str">
        <f>"Overige gehalogeneerde alifatische koolwaterstoffen "</f>
        <v xml:space="preserve">Overige gehalogeneerde alifatische koolwaterstoffen </v>
      </c>
    </row>
    <row r="1031" spans="1:7" x14ac:dyDescent="0.25">
      <c r="A1031">
        <v>1786</v>
      </c>
      <c r="B1031" t="str">
        <f>"3-methylaniline"</f>
        <v>3-methylaniline</v>
      </c>
      <c r="C1031" t="s">
        <v>19016</v>
      </c>
      <c r="D1031" t="str">
        <f>"108-44-1"</f>
        <v>108-44-1</v>
      </c>
      <c r="E1031" t="str">
        <f t="shared" si="49"/>
        <v xml:space="preserve">Organische parameters </v>
      </c>
      <c r="F1031" t="str">
        <f>"Aromatische aminen "</f>
        <v xml:space="preserve">Aromatische aminen </v>
      </c>
      <c r="G1031" t="str">
        <f>""</f>
        <v/>
      </c>
    </row>
    <row r="1032" spans="1:7" x14ac:dyDescent="0.25">
      <c r="A1032">
        <v>1787</v>
      </c>
      <c r="B1032" t="str">
        <f>"4-methylaniline"</f>
        <v>4-methylaniline</v>
      </c>
      <c r="C1032" t="s">
        <v>19016</v>
      </c>
      <c r="D1032" t="str">
        <f>"106-49-0"</f>
        <v>106-49-0</v>
      </c>
      <c r="E1032" t="str">
        <f t="shared" si="49"/>
        <v xml:space="preserve">Organische parameters </v>
      </c>
      <c r="F1032" t="str">
        <f>"Aromatische aminen "</f>
        <v xml:space="preserve">Aromatische aminen </v>
      </c>
      <c r="G1032" t="str">
        <f>""</f>
        <v/>
      </c>
    </row>
    <row r="1033" spans="1:7" x14ac:dyDescent="0.25">
      <c r="A1033">
        <v>1788</v>
      </c>
      <c r="B1033" t="str">
        <f>"cis 1,2-dibroometheen"</f>
        <v>cis 1,2-dibroometheen</v>
      </c>
      <c r="C1033" t="s">
        <v>19016</v>
      </c>
      <c r="D1033" t="str">
        <f>"590-12-5"</f>
        <v>590-12-5</v>
      </c>
      <c r="E1033" t="str">
        <f t="shared" si="49"/>
        <v xml:space="preserve">Organische parameters </v>
      </c>
      <c r="F1033" t="str">
        <f>"Gehalogeneerde alifatische koolwaterstoffen "</f>
        <v xml:space="preserve">Gehalogeneerde alifatische koolwaterstoffen </v>
      </c>
      <c r="G1033" t="str">
        <f>"Overige gehalogeneerde alifatische koolwaterstoffen "</f>
        <v xml:space="preserve">Overige gehalogeneerde alifatische koolwaterstoffen </v>
      </c>
    </row>
    <row r="1034" spans="1:7" x14ac:dyDescent="0.25">
      <c r="A1034">
        <v>1789</v>
      </c>
      <c r="B1034" t="str">
        <f>"2-chloorpropeen"</f>
        <v>2-chloorpropeen</v>
      </c>
      <c r="C1034" t="s">
        <v>19016</v>
      </c>
      <c r="D1034" t="str">
        <f>"557-98-2"</f>
        <v>557-98-2</v>
      </c>
      <c r="E1034" t="str">
        <f t="shared" si="49"/>
        <v xml:space="preserve">Organische parameters </v>
      </c>
      <c r="F1034" t="str">
        <f>"Gehalogeneerde alifatische koolwaterstoffen "</f>
        <v xml:space="preserve">Gehalogeneerde alifatische koolwaterstoffen </v>
      </c>
      <c r="G1034" t="str">
        <f>"Overige gehalogeneerde alifatische koolwaterstoffen "</f>
        <v xml:space="preserve">Overige gehalogeneerde alifatische koolwaterstoffen </v>
      </c>
    </row>
    <row r="1035" spans="1:7" x14ac:dyDescent="0.25">
      <c r="A1035">
        <v>1792</v>
      </c>
      <c r="B1035" t="str">
        <f>"tetrachloororthoftaalzuur"</f>
        <v>tetrachloororthoftaalzuur</v>
      </c>
      <c r="C1035" t="s">
        <v>19016</v>
      </c>
      <c r="D1035" t="str">
        <f>"632-58-6"</f>
        <v>632-58-6</v>
      </c>
      <c r="E1035" t="str">
        <f t="shared" si="49"/>
        <v xml:space="preserve">Organische parameters </v>
      </c>
      <c r="F1035" t="str">
        <f>""</f>
        <v/>
      </c>
      <c r="G1035" t="str">
        <f>""</f>
        <v/>
      </c>
    </row>
    <row r="1036" spans="1:7" x14ac:dyDescent="0.25">
      <c r="A1036">
        <v>1793</v>
      </c>
      <c r="B1036" t="str">
        <f>"nitrilo triethaanzuur(NTA)"</f>
        <v>nitrilo triethaanzuur(NTA)</v>
      </c>
      <c r="C1036" t="s">
        <v>19016</v>
      </c>
      <c r="D1036" t="str">
        <f>"139-13-9"</f>
        <v>139-13-9</v>
      </c>
      <c r="E1036" t="str">
        <f t="shared" si="49"/>
        <v xml:space="preserve">Organische parameters </v>
      </c>
      <c r="F1036" t="str">
        <f>""</f>
        <v/>
      </c>
      <c r="G1036" t="str">
        <f>""</f>
        <v/>
      </c>
    </row>
    <row r="1037" spans="1:7" x14ac:dyDescent="0.25">
      <c r="A1037">
        <v>1794</v>
      </c>
      <c r="B1037" t="str">
        <f>"ethyleendiaminetetra-azijnzuur"</f>
        <v>ethyleendiaminetetra-azijnzuur</v>
      </c>
      <c r="C1037" t="s">
        <v>19016</v>
      </c>
      <c r="D1037" t="str">
        <f>"60-00-4"</f>
        <v>60-00-4</v>
      </c>
      <c r="E1037" t="str">
        <f t="shared" ref="E1037:E1100" si="50">"Organische parameters "</f>
        <v xml:space="preserve">Organische parameters </v>
      </c>
      <c r="F1037" t="str">
        <f>""</f>
        <v/>
      </c>
      <c r="G1037" t="str">
        <f>""</f>
        <v/>
      </c>
    </row>
    <row r="1038" spans="1:7" x14ac:dyDescent="0.25">
      <c r="A1038">
        <v>1795</v>
      </c>
      <c r="B1038" t="str">
        <f>"dodeceen"</f>
        <v>dodeceen</v>
      </c>
      <c r="C1038" t="s">
        <v>19016</v>
      </c>
      <c r="D1038" t="str">
        <f>"25378-22-7"</f>
        <v>25378-22-7</v>
      </c>
      <c r="E1038" t="str">
        <f t="shared" si="50"/>
        <v xml:space="preserve">Organische parameters </v>
      </c>
      <c r="F1038" t="str">
        <f>""</f>
        <v/>
      </c>
      <c r="G1038" t="str">
        <f>""</f>
        <v/>
      </c>
    </row>
    <row r="1039" spans="1:7" x14ac:dyDescent="0.25">
      <c r="A1039">
        <v>1796</v>
      </c>
      <c r="B1039" t="str">
        <f>"hexadieen"</f>
        <v>hexadieen</v>
      </c>
      <c r="C1039" t="s">
        <v>19016</v>
      </c>
      <c r="D1039" t="str">
        <f>"42296-74-2"</f>
        <v>42296-74-2</v>
      </c>
      <c r="E1039" t="str">
        <f t="shared" si="50"/>
        <v xml:space="preserve">Organische parameters </v>
      </c>
      <c r="F1039" t="str">
        <f>""</f>
        <v/>
      </c>
      <c r="G1039" t="str">
        <f>""</f>
        <v/>
      </c>
    </row>
    <row r="1040" spans="1:7" x14ac:dyDescent="0.25">
      <c r="A1040">
        <v>1797</v>
      </c>
      <c r="B1040" t="str">
        <f>"iso-propylbenzeen"</f>
        <v>iso-propylbenzeen</v>
      </c>
      <c r="C1040" t="s">
        <v>19016</v>
      </c>
      <c r="D1040" t="str">
        <f>"98-82-8"</f>
        <v>98-82-8</v>
      </c>
      <c r="E1040" t="str">
        <f t="shared" si="50"/>
        <v xml:space="preserve">Organische parameters </v>
      </c>
      <c r="F1040" t="str">
        <f>""</f>
        <v/>
      </c>
      <c r="G1040" t="str">
        <f>""</f>
        <v/>
      </c>
    </row>
    <row r="1041" spans="1:7" x14ac:dyDescent="0.25">
      <c r="A1041">
        <v>1798</v>
      </c>
      <c r="B1041" t="str">
        <f>"n-propylbenzeen"</f>
        <v>n-propylbenzeen</v>
      </c>
      <c r="C1041" t="s">
        <v>19016</v>
      </c>
      <c r="D1041" t="str">
        <f>"103-65-1"</f>
        <v>103-65-1</v>
      </c>
      <c r="E1041" t="str">
        <f t="shared" si="50"/>
        <v xml:space="preserve">Organische parameters </v>
      </c>
      <c r="F1041" t="str">
        <f>""</f>
        <v/>
      </c>
      <c r="G1041" t="str">
        <f>""</f>
        <v/>
      </c>
    </row>
    <row r="1042" spans="1:7" x14ac:dyDescent="0.25">
      <c r="A1042">
        <v>1800</v>
      </c>
      <c r="B1042" t="str">
        <f>"1,3,5-tri-isopropylbenzeen"</f>
        <v>1,3,5-tri-isopropylbenzeen</v>
      </c>
      <c r="C1042" t="s">
        <v>19016</v>
      </c>
      <c r="D1042" t="str">
        <f>"717-74-8"</f>
        <v>717-74-8</v>
      </c>
      <c r="E1042" t="str">
        <f t="shared" si="50"/>
        <v xml:space="preserve">Organische parameters </v>
      </c>
      <c r="F1042" t="str">
        <f>""</f>
        <v/>
      </c>
      <c r="G1042" t="str">
        <f>""</f>
        <v/>
      </c>
    </row>
    <row r="1043" spans="1:7" x14ac:dyDescent="0.25">
      <c r="A1043">
        <v>1801</v>
      </c>
      <c r="B1043" t="str">
        <f>"methylacenaftyleen"</f>
        <v>methylacenaftyleen</v>
      </c>
      <c r="C1043" t="s">
        <v>19016</v>
      </c>
      <c r="D1043" t="str">
        <f>"58548-38-2"</f>
        <v>58548-38-2</v>
      </c>
      <c r="E1043" t="str">
        <f t="shared" si="50"/>
        <v xml:space="preserve">Organische parameters </v>
      </c>
      <c r="F1043" t="str">
        <f>""</f>
        <v/>
      </c>
      <c r="G1043" t="str">
        <f>""</f>
        <v/>
      </c>
    </row>
    <row r="1044" spans="1:7" x14ac:dyDescent="0.25">
      <c r="A1044">
        <v>1802</v>
      </c>
      <c r="B1044" t="str">
        <f>"1,4-butaandiol"</f>
        <v>1,4-butaandiol</v>
      </c>
      <c r="C1044" t="s">
        <v>19016</v>
      </c>
      <c r="D1044" t="str">
        <f>"110-63-4"</f>
        <v>110-63-4</v>
      </c>
      <c r="E1044" t="str">
        <f t="shared" si="50"/>
        <v xml:space="preserve">Organische parameters </v>
      </c>
      <c r="F1044" t="str">
        <f>""</f>
        <v/>
      </c>
      <c r="G1044" t="str">
        <f>""</f>
        <v/>
      </c>
    </row>
    <row r="1045" spans="1:7" x14ac:dyDescent="0.25">
      <c r="A1045">
        <v>1803</v>
      </c>
      <c r="B1045" t="str">
        <f>"methoxybutanol"</f>
        <v>methoxybutanol</v>
      </c>
      <c r="C1045" t="s">
        <v>19016</v>
      </c>
      <c r="D1045" t="str">
        <f>""</f>
        <v/>
      </c>
      <c r="E1045" t="str">
        <f t="shared" si="50"/>
        <v xml:space="preserve">Organische parameters </v>
      </c>
      <c r="F1045" t="str">
        <f>""</f>
        <v/>
      </c>
      <c r="G1045" t="str">
        <f>""</f>
        <v/>
      </c>
    </row>
    <row r="1046" spans="1:7" x14ac:dyDescent="0.25">
      <c r="A1046">
        <v>1804</v>
      </c>
      <c r="B1046" t="str">
        <f>"2-(2-butoxyethoxy)ethanol"</f>
        <v>2-(2-butoxyethoxy)ethanol</v>
      </c>
      <c r="C1046" t="s">
        <v>19016</v>
      </c>
      <c r="D1046" t="str">
        <f>"112-34-5"</f>
        <v>112-34-5</v>
      </c>
      <c r="E1046" t="str">
        <f t="shared" si="50"/>
        <v xml:space="preserve">Organische parameters </v>
      </c>
      <c r="F1046" t="str">
        <f>""</f>
        <v/>
      </c>
      <c r="G1046" t="str">
        <f>""</f>
        <v/>
      </c>
    </row>
    <row r="1047" spans="1:7" x14ac:dyDescent="0.25">
      <c r="A1047">
        <v>1805</v>
      </c>
      <c r="B1047" t="str">
        <f>"c4-cyclohexanol"</f>
        <v>c4-cyclohexanol</v>
      </c>
      <c r="C1047" t="s">
        <v>19016</v>
      </c>
      <c r="D1047" t="str">
        <f>""</f>
        <v/>
      </c>
      <c r="E1047" t="str">
        <f t="shared" si="50"/>
        <v xml:space="preserve">Organische parameters </v>
      </c>
      <c r="F1047" t="str">
        <f>""</f>
        <v/>
      </c>
      <c r="G1047" t="str">
        <f>""</f>
        <v/>
      </c>
    </row>
    <row r="1048" spans="1:7" x14ac:dyDescent="0.25">
      <c r="A1048">
        <v>1806</v>
      </c>
      <c r="B1048" t="str">
        <f>"ethoxypropoxyethanol"</f>
        <v>ethoxypropoxyethanol</v>
      </c>
      <c r="C1048" t="s">
        <v>19016</v>
      </c>
      <c r="D1048" t="str">
        <f>""</f>
        <v/>
      </c>
      <c r="E1048" t="str">
        <f t="shared" si="50"/>
        <v xml:space="preserve">Organische parameters </v>
      </c>
      <c r="F1048" t="str">
        <f>""</f>
        <v/>
      </c>
      <c r="G1048" t="str">
        <f>""</f>
        <v/>
      </c>
    </row>
    <row r="1049" spans="1:7" x14ac:dyDescent="0.25">
      <c r="A1049">
        <v>1807</v>
      </c>
      <c r="B1049" t="str">
        <f>"1-octyn-4-ol"</f>
        <v>1-octyn-4-ol</v>
      </c>
      <c r="C1049" t="s">
        <v>19016</v>
      </c>
      <c r="D1049" t="str">
        <f>"52517-92-7"</f>
        <v>52517-92-7</v>
      </c>
      <c r="E1049" t="str">
        <f t="shared" si="50"/>
        <v xml:space="preserve">Organische parameters </v>
      </c>
      <c r="F1049" t="str">
        <f>""</f>
        <v/>
      </c>
      <c r="G1049" t="str">
        <f>""</f>
        <v/>
      </c>
    </row>
    <row r="1050" spans="1:7" x14ac:dyDescent="0.25">
      <c r="A1050">
        <v>1809</v>
      </c>
      <c r="B1050" t="str">
        <f>"decanal"</f>
        <v>decanal</v>
      </c>
      <c r="C1050" t="s">
        <v>19016</v>
      </c>
      <c r="D1050" t="str">
        <f>"112-81-2"</f>
        <v>112-81-2</v>
      </c>
      <c r="E1050" t="str">
        <f t="shared" si="50"/>
        <v xml:space="preserve">Organische parameters </v>
      </c>
      <c r="F1050" t="str">
        <f>""</f>
        <v/>
      </c>
      <c r="G1050" t="str">
        <f>""</f>
        <v/>
      </c>
    </row>
    <row r="1051" spans="1:7" x14ac:dyDescent="0.25">
      <c r="A1051">
        <v>1810</v>
      </c>
      <c r="B1051" t="str">
        <f>"hexaandion"</f>
        <v>hexaandion</v>
      </c>
      <c r="C1051" t="s">
        <v>19016</v>
      </c>
      <c r="D1051" t="str">
        <f>"82056-15-3"</f>
        <v>82056-15-3</v>
      </c>
      <c r="E1051" t="str">
        <f t="shared" si="50"/>
        <v xml:space="preserve">Organische parameters </v>
      </c>
      <c r="F1051" t="str">
        <f>""</f>
        <v/>
      </c>
      <c r="G1051" t="str">
        <f>""</f>
        <v/>
      </c>
    </row>
    <row r="1052" spans="1:7" x14ac:dyDescent="0.25">
      <c r="A1052">
        <v>1811</v>
      </c>
      <c r="B1052" t="str">
        <f>"nonanal"</f>
        <v>nonanal</v>
      </c>
      <c r="C1052" t="s">
        <v>19016</v>
      </c>
      <c r="D1052" t="str">
        <f>"124-19-6"</f>
        <v>124-19-6</v>
      </c>
      <c r="E1052" t="str">
        <f t="shared" si="50"/>
        <v xml:space="preserve">Organische parameters </v>
      </c>
      <c r="F1052" t="str">
        <f>""</f>
        <v/>
      </c>
      <c r="G1052" t="str">
        <f>""</f>
        <v/>
      </c>
    </row>
    <row r="1053" spans="1:7" x14ac:dyDescent="0.25">
      <c r="A1053">
        <v>1812</v>
      </c>
      <c r="B1053" t="str">
        <f>"oktanal"</f>
        <v>oktanal</v>
      </c>
      <c r="C1053" t="s">
        <v>19016</v>
      </c>
      <c r="D1053" t="str">
        <f>"124-13-0"</f>
        <v>124-13-0</v>
      </c>
      <c r="E1053" t="str">
        <f t="shared" si="50"/>
        <v xml:space="preserve">Organische parameters </v>
      </c>
      <c r="F1053" t="str">
        <f>""</f>
        <v/>
      </c>
      <c r="G1053" t="str">
        <f>""</f>
        <v/>
      </c>
    </row>
    <row r="1054" spans="1:7" x14ac:dyDescent="0.25">
      <c r="A1054">
        <v>1813</v>
      </c>
      <c r="B1054" t="str">
        <f>"methylpentanon"</f>
        <v>methylpentanon</v>
      </c>
      <c r="C1054" t="s">
        <v>19016</v>
      </c>
      <c r="D1054" t="str">
        <f>"108-10-1"</f>
        <v>108-10-1</v>
      </c>
      <c r="E1054" t="str">
        <f t="shared" si="50"/>
        <v xml:space="preserve">Organische parameters </v>
      </c>
      <c r="F1054" t="str">
        <f>""</f>
        <v/>
      </c>
      <c r="G1054" t="str">
        <f>""</f>
        <v/>
      </c>
    </row>
    <row r="1055" spans="1:7" x14ac:dyDescent="0.25">
      <c r="A1055">
        <v>1814</v>
      </c>
      <c r="B1055" t="str">
        <f>"tetramethylpentanon"</f>
        <v>tetramethylpentanon</v>
      </c>
      <c r="C1055" t="s">
        <v>19016</v>
      </c>
      <c r="D1055" t="str">
        <f>"815-24-7"</f>
        <v>815-24-7</v>
      </c>
      <c r="E1055" t="str">
        <f t="shared" si="50"/>
        <v xml:space="preserve">Organische parameters </v>
      </c>
      <c r="F1055" t="str">
        <f>""</f>
        <v/>
      </c>
      <c r="G1055" t="str">
        <f>""</f>
        <v/>
      </c>
    </row>
    <row r="1056" spans="1:7" x14ac:dyDescent="0.25">
      <c r="A1056">
        <v>1815</v>
      </c>
      <c r="B1056" t="str">
        <f>"dihydro-indeen-on"</f>
        <v>dihydro-indeen-on</v>
      </c>
      <c r="C1056" t="s">
        <v>19016</v>
      </c>
      <c r="D1056" t="str">
        <f>""</f>
        <v/>
      </c>
      <c r="E1056" t="str">
        <f t="shared" si="50"/>
        <v xml:space="preserve">Organische parameters </v>
      </c>
      <c r="F1056" t="str">
        <f>""</f>
        <v/>
      </c>
      <c r="G1056" t="str">
        <f>""</f>
        <v/>
      </c>
    </row>
    <row r="1057" spans="1:7" x14ac:dyDescent="0.25">
      <c r="A1057">
        <v>1816</v>
      </c>
      <c r="B1057" t="str">
        <f>"dihydro-dimethylindol-on"</f>
        <v>dihydro-dimethylindol-on</v>
      </c>
      <c r="C1057" t="s">
        <v>19016</v>
      </c>
      <c r="D1057" t="str">
        <f>""</f>
        <v/>
      </c>
      <c r="E1057" t="str">
        <f t="shared" si="50"/>
        <v xml:space="preserve">Organische parameters </v>
      </c>
      <c r="F1057" t="str">
        <f>""</f>
        <v/>
      </c>
      <c r="G1057" t="str">
        <f>""</f>
        <v/>
      </c>
    </row>
    <row r="1058" spans="1:7" x14ac:dyDescent="0.25">
      <c r="A1058">
        <v>1818</v>
      </c>
      <c r="B1058" t="str">
        <f>"t-butoxymetoxymethaan"</f>
        <v>t-butoxymetoxymethaan</v>
      </c>
      <c r="C1058" t="s">
        <v>19016</v>
      </c>
      <c r="D1058" t="str">
        <f>""</f>
        <v/>
      </c>
      <c r="E1058" t="str">
        <f t="shared" si="50"/>
        <v xml:space="preserve">Organische parameters </v>
      </c>
      <c r="F1058" t="str">
        <f>""</f>
        <v/>
      </c>
      <c r="G1058" t="str">
        <f>""</f>
        <v/>
      </c>
    </row>
    <row r="1059" spans="1:7" x14ac:dyDescent="0.25">
      <c r="A1059">
        <v>1819</v>
      </c>
      <c r="B1059" t="str">
        <f>"dimethoxybutaan"</f>
        <v>dimethoxybutaan</v>
      </c>
      <c r="C1059" t="s">
        <v>19016</v>
      </c>
      <c r="D1059" t="str">
        <f>""</f>
        <v/>
      </c>
      <c r="E1059" t="str">
        <f t="shared" si="50"/>
        <v xml:space="preserve">Organische parameters </v>
      </c>
      <c r="F1059" t="str">
        <f>""</f>
        <v/>
      </c>
      <c r="G1059" t="str">
        <f>""</f>
        <v/>
      </c>
    </row>
    <row r="1060" spans="1:7" x14ac:dyDescent="0.25">
      <c r="A1060">
        <v>1820</v>
      </c>
      <c r="B1060" t="str">
        <f>"methoxymethylpropaan"</f>
        <v>methoxymethylpropaan</v>
      </c>
      <c r="C1060" t="s">
        <v>19016</v>
      </c>
      <c r="D1060" t="str">
        <f>""</f>
        <v/>
      </c>
      <c r="E1060" t="str">
        <f t="shared" si="50"/>
        <v xml:space="preserve">Organische parameters </v>
      </c>
      <c r="F1060" t="str">
        <f>""</f>
        <v/>
      </c>
      <c r="G1060" t="str">
        <f>""</f>
        <v/>
      </c>
    </row>
    <row r="1061" spans="1:7" x14ac:dyDescent="0.25">
      <c r="A1061">
        <v>1821</v>
      </c>
      <c r="B1061" t="str">
        <f>"ethoxybutaan"</f>
        <v>ethoxybutaan</v>
      </c>
      <c r="C1061" t="s">
        <v>19016</v>
      </c>
      <c r="D1061" t="str">
        <f>"2679-87-0"</f>
        <v>2679-87-0</v>
      </c>
      <c r="E1061" t="str">
        <f t="shared" si="50"/>
        <v xml:space="preserve">Organische parameters </v>
      </c>
      <c r="F1061" t="str">
        <f>""</f>
        <v/>
      </c>
      <c r="G1061" t="str">
        <f>""</f>
        <v/>
      </c>
    </row>
    <row r="1062" spans="1:7" x14ac:dyDescent="0.25">
      <c r="A1062">
        <v>1822</v>
      </c>
      <c r="B1062" t="str">
        <f>"oktaanzuur"</f>
        <v>oktaanzuur</v>
      </c>
      <c r="C1062" t="s">
        <v>19016</v>
      </c>
      <c r="D1062" t="str">
        <f>"124-07-2"</f>
        <v>124-07-2</v>
      </c>
      <c r="E1062" t="str">
        <f t="shared" si="50"/>
        <v xml:space="preserve">Organische parameters </v>
      </c>
      <c r="F1062" t="str">
        <f>""</f>
        <v/>
      </c>
      <c r="G1062" t="str">
        <f>""</f>
        <v/>
      </c>
    </row>
    <row r="1063" spans="1:7" x14ac:dyDescent="0.25">
      <c r="A1063">
        <v>1823</v>
      </c>
      <c r="B1063" t="str">
        <f>"hydroxybutylmethanoaat"</f>
        <v>hydroxybutylmethanoaat</v>
      </c>
      <c r="C1063" t="s">
        <v>19016</v>
      </c>
      <c r="D1063" t="str">
        <f>""</f>
        <v/>
      </c>
      <c r="E1063" t="str">
        <f t="shared" si="50"/>
        <v xml:space="preserve">Organische parameters </v>
      </c>
      <c r="F1063" t="str">
        <f>""</f>
        <v/>
      </c>
      <c r="G1063" t="str">
        <f>""</f>
        <v/>
      </c>
    </row>
    <row r="1064" spans="1:7" x14ac:dyDescent="0.25">
      <c r="A1064">
        <v>1824</v>
      </c>
      <c r="B1064" t="str">
        <f>"ethylacetaat"</f>
        <v>ethylacetaat</v>
      </c>
      <c r="C1064" t="s">
        <v>19016</v>
      </c>
      <c r="D1064" t="str">
        <f>"141-78-6"</f>
        <v>141-78-6</v>
      </c>
      <c r="E1064" t="str">
        <f t="shared" si="50"/>
        <v xml:space="preserve">Organische parameters </v>
      </c>
      <c r="F1064" t="str">
        <f>""</f>
        <v/>
      </c>
      <c r="G1064" t="str">
        <f>""</f>
        <v/>
      </c>
    </row>
    <row r="1065" spans="1:7" x14ac:dyDescent="0.25">
      <c r="A1065">
        <v>1825</v>
      </c>
      <c r="B1065" t="str">
        <f>"trimethyl(hydroxymethylpropyl)propanoaat"</f>
        <v>trimethyl(hydroxymethylpropyl)propanoaat</v>
      </c>
      <c r="C1065" t="s">
        <v>19016</v>
      </c>
      <c r="D1065" t="str">
        <f>""</f>
        <v/>
      </c>
      <c r="E1065" t="str">
        <f t="shared" si="50"/>
        <v xml:space="preserve">Organische parameters </v>
      </c>
      <c r="F1065" t="str">
        <f>""</f>
        <v/>
      </c>
      <c r="G1065" t="str">
        <f>""</f>
        <v/>
      </c>
    </row>
    <row r="1066" spans="1:7" x14ac:dyDescent="0.25">
      <c r="A1066">
        <v>1826</v>
      </c>
      <c r="B1066" t="str">
        <f>"ethylcitraat"</f>
        <v>ethylcitraat</v>
      </c>
      <c r="C1066" t="s">
        <v>19016</v>
      </c>
      <c r="D1066" t="str">
        <f>"77-93-0"</f>
        <v>77-93-0</v>
      </c>
      <c r="E1066" t="str">
        <f t="shared" si="50"/>
        <v xml:space="preserve">Organische parameters </v>
      </c>
      <c r="F1066" t="str">
        <f>""</f>
        <v/>
      </c>
      <c r="G1066" t="str">
        <f>""</f>
        <v/>
      </c>
    </row>
    <row r="1067" spans="1:7" x14ac:dyDescent="0.25">
      <c r="A1067">
        <v>1827</v>
      </c>
      <c r="B1067" t="str">
        <f>"trimethylcitraat"</f>
        <v>trimethylcitraat</v>
      </c>
      <c r="C1067" t="s">
        <v>19016</v>
      </c>
      <c r="D1067" t="str">
        <f>"1587-20-8"</f>
        <v>1587-20-8</v>
      </c>
      <c r="E1067" t="str">
        <f t="shared" si="50"/>
        <v xml:space="preserve">Organische parameters </v>
      </c>
      <c r="F1067" t="str">
        <f>""</f>
        <v/>
      </c>
      <c r="G1067" t="str">
        <f>""</f>
        <v/>
      </c>
    </row>
    <row r="1068" spans="1:7" x14ac:dyDescent="0.25">
      <c r="A1068">
        <v>1828</v>
      </c>
      <c r="B1068" t="str">
        <f>"cis-1,2-dichlooretheen"</f>
        <v>cis-1,2-dichlooretheen</v>
      </c>
      <c r="C1068" t="s">
        <v>19016</v>
      </c>
      <c r="D1068" t="str">
        <f>"156-59-2"</f>
        <v>156-59-2</v>
      </c>
      <c r="E1068" t="str">
        <f t="shared" si="50"/>
        <v xml:space="preserve">Organische parameters </v>
      </c>
      <c r="F1068" t="str">
        <f>"Gehalogeneerde alifatische koolwaterstoffen "</f>
        <v xml:space="preserve">Gehalogeneerde alifatische koolwaterstoffen </v>
      </c>
      <c r="G1068" t="str">
        <f>"Overige gehalogeneerde alifatische koolwaterstoffen "</f>
        <v xml:space="preserve">Overige gehalogeneerde alifatische koolwaterstoffen </v>
      </c>
    </row>
    <row r="1069" spans="1:7" x14ac:dyDescent="0.25">
      <c r="A1069">
        <v>1829</v>
      </c>
      <c r="B1069" t="str">
        <f>"trans-1,2-dichlooretheen"</f>
        <v>trans-1,2-dichlooretheen</v>
      </c>
      <c r="C1069" t="s">
        <v>19016</v>
      </c>
      <c r="D1069" t="str">
        <f>"156-60-5"</f>
        <v>156-60-5</v>
      </c>
      <c r="E1069" t="str">
        <f t="shared" si="50"/>
        <v xml:space="preserve">Organische parameters </v>
      </c>
      <c r="F1069" t="str">
        <f>"Gehalogeneerde alifatische koolwaterstoffen "</f>
        <v xml:space="preserve">Gehalogeneerde alifatische koolwaterstoffen </v>
      </c>
      <c r="G1069" t="str">
        <f>"Overige gehalogeneerde alifatische koolwaterstoffen "</f>
        <v xml:space="preserve">Overige gehalogeneerde alifatische koolwaterstoffen </v>
      </c>
    </row>
    <row r="1070" spans="1:7" x14ac:dyDescent="0.25">
      <c r="A1070">
        <v>1830</v>
      </c>
      <c r="B1070" t="str">
        <f>"1-chloorpentaan"</f>
        <v>1-chloorpentaan</v>
      </c>
      <c r="C1070" t="s">
        <v>19016</v>
      </c>
      <c r="D1070" t="str">
        <f>"543-59-9"</f>
        <v>543-59-9</v>
      </c>
      <c r="E1070" t="str">
        <f t="shared" si="50"/>
        <v xml:space="preserve">Organische parameters </v>
      </c>
      <c r="F1070" t="str">
        <f>"Gehalogeneerde alifatische koolwaterstoffen "</f>
        <v xml:space="preserve">Gehalogeneerde alifatische koolwaterstoffen </v>
      </c>
      <c r="G1070" t="str">
        <f>"Overige gehalogeneerde alifatische koolwaterstoffen "</f>
        <v xml:space="preserve">Overige gehalogeneerde alifatische koolwaterstoffen </v>
      </c>
    </row>
    <row r="1071" spans="1:7" x14ac:dyDescent="0.25">
      <c r="A1071">
        <v>1832</v>
      </c>
      <c r="B1071" t="str">
        <f>"1,3,5-trimethylbenzeen"</f>
        <v>1,3,5-trimethylbenzeen</v>
      </c>
      <c r="C1071" t="s">
        <v>19016</v>
      </c>
      <c r="D1071" t="str">
        <f>"108-67-8"</f>
        <v>108-67-8</v>
      </c>
      <c r="E1071" t="str">
        <f t="shared" si="50"/>
        <v xml:space="preserve">Organische parameters </v>
      </c>
      <c r="F1071" t="str">
        <f>""</f>
        <v/>
      </c>
      <c r="G1071" t="str">
        <f>""</f>
        <v/>
      </c>
    </row>
    <row r="1072" spans="1:7" x14ac:dyDescent="0.25">
      <c r="A1072">
        <v>1834</v>
      </c>
      <c r="B1072" t="str">
        <f>"tetrahydrofuraan"</f>
        <v>tetrahydrofuraan</v>
      </c>
      <c r="C1072" t="s">
        <v>19016</v>
      </c>
      <c r="D1072" t="str">
        <f>"109-99-9"</f>
        <v>109-99-9</v>
      </c>
      <c r="E1072" t="str">
        <f t="shared" si="50"/>
        <v xml:space="preserve">Organische parameters </v>
      </c>
      <c r="F1072" t="str">
        <f>""</f>
        <v/>
      </c>
      <c r="G1072" t="str">
        <f>""</f>
        <v/>
      </c>
    </row>
    <row r="1073" spans="1:7" x14ac:dyDescent="0.25">
      <c r="A1073">
        <v>1835</v>
      </c>
      <c r="B1073" t="str">
        <f>"benzo(e)pyreen"</f>
        <v>benzo(e)pyreen</v>
      </c>
      <c r="C1073" t="s">
        <v>19016</v>
      </c>
      <c r="D1073" t="str">
        <f>"192-97-2"</f>
        <v>192-97-2</v>
      </c>
      <c r="E1073" t="str">
        <f t="shared" si="50"/>
        <v xml:space="preserve">Organische parameters </v>
      </c>
      <c r="F1073" t="str">
        <f>""</f>
        <v/>
      </c>
      <c r="G1073" t="str">
        <f>""</f>
        <v/>
      </c>
    </row>
    <row r="1074" spans="1:7" x14ac:dyDescent="0.25">
      <c r="A1074">
        <v>1836</v>
      </c>
      <c r="B1074" t="str">
        <f>"coroneen"</f>
        <v>coroneen</v>
      </c>
      <c r="C1074" t="s">
        <v>19016</v>
      </c>
      <c r="D1074" t="str">
        <f>"191-07-1"</f>
        <v>191-07-1</v>
      </c>
      <c r="E1074" t="str">
        <f t="shared" si="50"/>
        <v xml:space="preserve">Organische parameters </v>
      </c>
      <c r="F1074" t="str">
        <f>""</f>
        <v/>
      </c>
      <c r="G1074" t="str">
        <f>""</f>
        <v/>
      </c>
    </row>
    <row r="1075" spans="1:7" x14ac:dyDescent="0.25">
      <c r="A1075">
        <v>1837</v>
      </c>
      <c r="B1075" t="str">
        <f>"anthranilzuur"</f>
        <v>anthranilzuur</v>
      </c>
      <c r="C1075" t="s">
        <v>19016</v>
      </c>
      <c r="D1075" t="str">
        <f>"118-92-3"</f>
        <v>118-92-3</v>
      </c>
      <c r="E1075" t="str">
        <f t="shared" si="50"/>
        <v xml:space="preserve">Organische parameters </v>
      </c>
      <c r="F1075" t="str">
        <f>"Aromatische aminen "</f>
        <v xml:space="preserve">Aromatische aminen </v>
      </c>
      <c r="G1075" t="str">
        <f>""</f>
        <v/>
      </c>
    </row>
    <row r="1076" spans="1:7" x14ac:dyDescent="0.25">
      <c r="A1076">
        <v>1838</v>
      </c>
      <c r="B1076" t="str">
        <f>"dimethylbenzeenethanol"</f>
        <v>dimethylbenzeenethanol</v>
      </c>
      <c r="C1076" t="s">
        <v>19016</v>
      </c>
      <c r="D1076" t="str">
        <f>"100-86-7"</f>
        <v>100-86-7</v>
      </c>
      <c r="E1076" t="str">
        <f t="shared" si="50"/>
        <v xml:space="preserve">Organische parameters </v>
      </c>
      <c r="F1076" t="str">
        <f>""</f>
        <v/>
      </c>
      <c r="G1076" t="str">
        <f>""</f>
        <v/>
      </c>
    </row>
    <row r="1077" spans="1:7" x14ac:dyDescent="0.25">
      <c r="A1077">
        <v>1839</v>
      </c>
      <c r="B1077" t="str">
        <f>"dimethylbenzeenmethanol"</f>
        <v>dimethylbenzeenmethanol</v>
      </c>
      <c r="C1077" t="s">
        <v>19016</v>
      </c>
      <c r="D1077" t="str">
        <f>"617-94-7"</f>
        <v>617-94-7</v>
      </c>
      <c r="E1077" t="str">
        <f t="shared" si="50"/>
        <v xml:space="preserve">Organische parameters </v>
      </c>
      <c r="F1077" t="str">
        <f>""</f>
        <v/>
      </c>
      <c r="G1077" t="str">
        <f>""</f>
        <v/>
      </c>
    </row>
    <row r="1078" spans="1:7" x14ac:dyDescent="0.25">
      <c r="A1078">
        <v>1840</v>
      </c>
      <c r="B1078" t="str">
        <f>"benzofuranon"</f>
        <v>benzofuranon</v>
      </c>
      <c r="C1078" t="s">
        <v>19016</v>
      </c>
      <c r="D1078" t="str">
        <f>""</f>
        <v/>
      </c>
      <c r="E1078" t="str">
        <f t="shared" si="50"/>
        <v xml:space="preserve">Organische parameters </v>
      </c>
      <c r="F1078" t="str">
        <f>""</f>
        <v/>
      </c>
      <c r="G1078" t="str">
        <f>""</f>
        <v/>
      </c>
    </row>
    <row r="1079" spans="1:7" x14ac:dyDescent="0.25">
      <c r="A1079">
        <v>1841</v>
      </c>
      <c r="B1079" t="str">
        <f>"1-fenyl-2,4-hexadiyn-1-one, (9CI)"</f>
        <v>1-fenyl-2,4-hexadiyn-1-one, (9CI)</v>
      </c>
      <c r="C1079" t="s">
        <v>19016</v>
      </c>
      <c r="D1079" t="str">
        <f>""</f>
        <v/>
      </c>
      <c r="E1079" t="str">
        <f t="shared" si="50"/>
        <v xml:space="preserve">Organische parameters </v>
      </c>
      <c r="F1079" t="str">
        <f>""</f>
        <v/>
      </c>
      <c r="G1079" t="str">
        <f>""</f>
        <v/>
      </c>
    </row>
    <row r="1080" spans="1:7" x14ac:dyDescent="0.25">
      <c r="A1080">
        <v>1842</v>
      </c>
      <c r="B1080" t="str">
        <f>"ditolylether"</f>
        <v>ditolylether</v>
      </c>
      <c r="C1080" t="s">
        <v>19016</v>
      </c>
      <c r="D1080" t="str">
        <f>"28299-41-4"</f>
        <v>28299-41-4</v>
      </c>
      <c r="E1080" t="str">
        <f t="shared" si="50"/>
        <v xml:space="preserve">Organische parameters </v>
      </c>
      <c r="F1080" t="str">
        <f>""</f>
        <v/>
      </c>
      <c r="G1080" t="str">
        <f>""</f>
        <v/>
      </c>
    </row>
    <row r="1081" spans="1:7" x14ac:dyDescent="0.25">
      <c r="A1081">
        <v>1843</v>
      </c>
      <c r="B1081" t="str">
        <f>"1-(methoxyethoxy)benzeen"</f>
        <v>1-(methoxyethoxy)benzeen</v>
      </c>
      <c r="C1081" t="s">
        <v>19016</v>
      </c>
      <c r="D1081" t="str">
        <f>"4013-34-7"</f>
        <v>4013-34-7</v>
      </c>
      <c r="E1081" t="str">
        <f t="shared" si="50"/>
        <v xml:space="preserve">Organische parameters </v>
      </c>
      <c r="F1081" t="str">
        <f>""</f>
        <v/>
      </c>
      <c r="G1081" t="str">
        <f>""</f>
        <v/>
      </c>
    </row>
    <row r="1082" spans="1:7" x14ac:dyDescent="0.25">
      <c r="A1082">
        <v>1844</v>
      </c>
      <c r="B1082" t="str">
        <f>"dimethyl-methylbenzoaat"</f>
        <v>dimethyl-methylbenzoaat</v>
      </c>
      <c r="C1082" t="s">
        <v>19016</v>
      </c>
      <c r="D1082" t="str">
        <f>""</f>
        <v/>
      </c>
      <c r="E1082" t="str">
        <f t="shared" si="50"/>
        <v xml:space="preserve">Organische parameters </v>
      </c>
      <c r="F1082" t="str">
        <f>""</f>
        <v/>
      </c>
      <c r="G1082" t="str">
        <f>""</f>
        <v/>
      </c>
    </row>
    <row r="1083" spans="1:7" x14ac:dyDescent="0.25">
      <c r="A1083">
        <v>1845</v>
      </c>
      <c r="B1083" t="str">
        <f>"benzopyranon"</f>
        <v>benzopyranon</v>
      </c>
      <c r="C1083" t="s">
        <v>19016</v>
      </c>
      <c r="D1083" t="str">
        <f>""</f>
        <v/>
      </c>
      <c r="E1083" t="str">
        <f t="shared" si="50"/>
        <v xml:space="preserve">Organische parameters </v>
      </c>
      <c r="F1083" t="str">
        <f>""</f>
        <v/>
      </c>
      <c r="G1083" t="str">
        <f>""</f>
        <v/>
      </c>
    </row>
    <row r="1084" spans="1:7" x14ac:dyDescent="0.25">
      <c r="A1084">
        <v>1846</v>
      </c>
      <c r="B1084" t="str">
        <f>"dihydro4H1-benzopyran4on"</f>
        <v>dihydro4H1-benzopyran4on</v>
      </c>
      <c r="C1084" t="s">
        <v>19016</v>
      </c>
      <c r="D1084" t="str">
        <f>""</f>
        <v/>
      </c>
      <c r="E1084" t="str">
        <f t="shared" si="50"/>
        <v xml:space="preserve">Organische parameters </v>
      </c>
      <c r="F1084" t="str">
        <f>""</f>
        <v/>
      </c>
      <c r="G1084" t="str">
        <f>""</f>
        <v/>
      </c>
    </row>
    <row r="1085" spans="1:7" x14ac:dyDescent="0.25">
      <c r="A1085">
        <v>1847</v>
      </c>
      <c r="B1085" t="str">
        <f>"3-nitrofenol"</f>
        <v>3-nitrofenol</v>
      </c>
      <c r="C1085" t="s">
        <v>19016</v>
      </c>
      <c r="D1085" t="str">
        <f>"554-84-7"</f>
        <v>554-84-7</v>
      </c>
      <c r="E1085" t="str">
        <f t="shared" si="50"/>
        <v xml:space="preserve">Organische parameters </v>
      </c>
      <c r="F1085" t="str">
        <f>""</f>
        <v/>
      </c>
      <c r="G1085" t="str">
        <f>""</f>
        <v/>
      </c>
    </row>
    <row r="1086" spans="1:7" x14ac:dyDescent="0.25">
      <c r="A1086">
        <v>1848</v>
      </c>
      <c r="B1086" t="str">
        <f>"n-butylacetamide"</f>
        <v>n-butylacetamide</v>
      </c>
      <c r="C1086" t="s">
        <v>19016</v>
      </c>
      <c r="D1086" t="str">
        <f>"1119-49-9"</f>
        <v>1119-49-9</v>
      </c>
      <c r="E1086" t="str">
        <f t="shared" si="50"/>
        <v xml:space="preserve">Organische parameters </v>
      </c>
      <c r="F1086" t="str">
        <f>""</f>
        <v/>
      </c>
      <c r="G1086" t="str">
        <f>""</f>
        <v/>
      </c>
    </row>
    <row r="1087" spans="1:7" x14ac:dyDescent="0.25">
      <c r="A1087">
        <v>1849</v>
      </c>
      <c r="B1087" t="str">
        <f>"n-butylformamide"</f>
        <v>n-butylformamide</v>
      </c>
      <c r="C1087" t="s">
        <v>19016</v>
      </c>
      <c r="D1087" t="str">
        <f>"871-71-6"</f>
        <v>871-71-6</v>
      </c>
      <c r="E1087" t="str">
        <f t="shared" si="50"/>
        <v xml:space="preserve">Organische parameters </v>
      </c>
      <c r="F1087" t="str">
        <f>""</f>
        <v/>
      </c>
      <c r="G1087" t="str">
        <f>""</f>
        <v/>
      </c>
    </row>
    <row r="1088" spans="1:7" x14ac:dyDescent="0.25">
      <c r="A1088">
        <v>1850</v>
      </c>
      <c r="B1088" t="str">
        <f>"nitropropaan"</f>
        <v>nitropropaan</v>
      </c>
      <c r="C1088" t="s">
        <v>19016</v>
      </c>
      <c r="D1088" t="str">
        <f>"25322-01-4"</f>
        <v>25322-01-4</v>
      </c>
      <c r="E1088" t="str">
        <f t="shared" si="50"/>
        <v xml:space="preserve">Organische parameters </v>
      </c>
      <c r="F1088" t="str">
        <f>""</f>
        <v/>
      </c>
      <c r="G1088" t="str">
        <f>""</f>
        <v/>
      </c>
    </row>
    <row r="1089" spans="1:7" x14ac:dyDescent="0.25">
      <c r="A1089">
        <v>1851</v>
      </c>
      <c r="B1089" t="str">
        <f>"pentaandieennitril"</f>
        <v>pentaandieennitril</v>
      </c>
      <c r="C1089" t="s">
        <v>19016</v>
      </c>
      <c r="D1089" t="str">
        <f>"1615-70-9"</f>
        <v>1615-70-9</v>
      </c>
      <c r="E1089" t="str">
        <f t="shared" si="50"/>
        <v xml:space="preserve">Organische parameters </v>
      </c>
      <c r="F1089" t="str">
        <f>""</f>
        <v/>
      </c>
      <c r="G1089" t="str">
        <f>""</f>
        <v/>
      </c>
    </row>
    <row r="1090" spans="1:7" x14ac:dyDescent="0.25">
      <c r="A1090">
        <v>1852</v>
      </c>
      <c r="B1090" t="str">
        <f>"trimethyltridecatrieennitril"</f>
        <v>trimethyltridecatrieennitril</v>
      </c>
      <c r="C1090" t="s">
        <v>19016</v>
      </c>
      <c r="D1090" t="str">
        <f>"5-1-6006"</f>
        <v>5-1-6006</v>
      </c>
      <c r="E1090" t="str">
        <f t="shared" si="50"/>
        <v xml:space="preserve">Organische parameters </v>
      </c>
      <c r="F1090" t="str">
        <f>""</f>
        <v/>
      </c>
      <c r="G1090" t="str">
        <f>""</f>
        <v/>
      </c>
    </row>
    <row r="1091" spans="1:7" x14ac:dyDescent="0.25">
      <c r="A1091">
        <v>1853</v>
      </c>
      <c r="B1091" t="str">
        <f>"tetramethylpiperidion"</f>
        <v>tetramethylpiperidion</v>
      </c>
      <c r="C1091" t="s">
        <v>19016</v>
      </c>
      <c r="D1091" t="str">
        <f>""</f>
        <v/>
      </c>
      <c r="E1091" t="str">
        <f t="shared" si="50"/>
        <v xml:space="preserve">Organische parameters </v>
      </c>
      <c r="F1091" t="str">
        <f>"Aromatische aminen "</f>
        <v xml:space="preserve">Aromatische aminen </v>
      </c>
      <c r="G1091" t="str">
        <f>""</f>
        <v/>
      </c>
    </row>
    <row r="1092" spans="1:7" x14ac:dyDescent="0.25">
      <c r="A1092">
        <v>1854</v>
      </c>
      <c r="B1092" t="str">
        <f>"diethylindolenine"</f>
        <v>diethylindolenine</v>
      </c>
      <c r="C1092" t="s">
        <v>19016</v>
      </c>
      <c r="D1092" t="str">
        <f>""</f>
        <v/>
      </c>
      <c r="E1092" t="str">
        <f t="shared" si="50"/>
        <v xml:space="preserve">Organische parameters </v>
      </c>
      <c r="F1092" t="str">
        <f>"Aromatische aminen "</f>
        <v xml:space="preserve">Aromatische aminen </v>
      </c>
      <c r="G1092" t="str">
        <f>""</f>
        <v/>
      </c>
    </row>
    <row r="1093" spans="1:7" x14ac:dyDescent="0.25">
      <c r="A1093">
        <v>1855</v>
      </c>
      <c r="B1093" t="str">
        <f>"methylpyrrolipyridine"</f>
        <v>methylpyrrolipyridine</v>
      </c>
      <c r="C1093" t="s">
        <v>19016</v>
      </c>
      <c r="D1093" t="str">
        <f>""</f>
        <v/>
      </c>
      <c r="E1093" t="str">
        <f t="shared" si="50"/>
        <v xml:space="preserve">Organische parameters </v>
      </c>
      <c r="F1093" t="str">
        <f>"Aromatische aminen "</f>
        <v xml:space="preserve">Aromatische aminen </v>
      </c>
      <c r="G1093" t="str">
        <f>""</f>
        <v/>
      </c>
    </row>
    <row r="1094" spans="1:7" x14ac:dyDescent="0.25">
      <c r="A1094">
        <v>1856</v>
      </c>
      <c r="B1094" t="str">
        <f>"naftylamine"</f>
        <v>naftylamine</v>
      </c>
      <c r="C1094" t="s">
        <v>19016</v>
      </c>
      <c r="D1094" t="str">
        <f>"25168-10-9"</f>
        <v>25168-10-9</v>
      </c>
      <c r="E1094" t="str">
        <f t="shared" si="50"/>
        <v xml:space="preserve">Organische parameters </v>
      </c>
      <c r="F1094" t="str">
        <f>"Aromatische aminen "</f>
        <v xml:space="preserve">Aromatische aminen </v>
      </c>
      <c r="G1094" t="str">
        <f>""</f>
        <v/>
      </c>
    </row>
    <row r="1095" spans="1:7" x14ac:dyDescent="0.25">
      <c r="A1095">
        <v>1857</v>
      </c>
      <c r="B1095" t="str">
        <f>"nitrobenzeen-ethanol"</f>
        <v>nitrobenzeen-ethanol</v>
      </c>
      <c r="C1095" t="s">
        <v>19016</v>
      </c>
      <c r="D1095" t="str">
        <f>""</f>
        <v/>
      </c>
      <c r="E1095" t="str">
        <f t="shared" si="50"/>
        <v xml:space="preserve">Organische parameters </v>
      </c>
      <c r="F1095" t="str">
        <f>""</f>
        <v/>
      </c>
      <c r="G1095" t="str">
        <f>""</f>
        <v/>
      </c>
    </row>
    <row r="1096" spans="1:7" x14ac:dyDescent="0.25">
      <c r="A1096">
        <v>1858</v>
      </c>
      <c r="B1096" t="str">
        <f>"2-amino-3-hydroxybenzoëzuur"</f>
        <v>2-amino-3-hydroxybenzoëzuur</v>
      </c>
      <c r="C1096" t="s">
        <v>19016</v>
      </c>
      <c r="D1096" t="str">
        <f>"548-93-6"</f>
        <v>548-93-6</v>
      </c>
      <c r="E1096" t="str">
        <f t="shared" si="50"/>
        <v xml:space="preserve">Organische parameters </v>
      </c>
      <c r="F1096" t="str">
        <f>"Aromatische aminen "</f>
        <v xml:space="preserve">Aromatische aminen </v>
      </c>
      <c r="G1096" t="str">
        <f>""</f>
        <v/>
      </c>
    </row>
    <row r="1097" spans="1:7" x14ac:dyDescent="0.25">
      <c r="A1097">
        <v>1859</v>
      </c>
      <c r="B1097" t="str">
        <f>"7(H)-pteridinon"</f>
        <v>7(H)-pteridinon</v>
      </c>
      <c r="C1097" t="s">
        <v>19016</v>
      </c>
      <c r="D1097" t="str">
        <f>""</f>
        <v/>
      </c>
      <c r="E1097" t="str">
        <f t="shared" si="50"/>
        <v xml:space="preserve">Organische parameters </v>
      </c>
      <c r="F1097" t="str">
        <f>""</f>
        <v/>
      </c>
      <c r="G1097" t="str">
        <f>""</f>
        <v/>
      </c>
    </row>
    <row r="1098" spans="1:7" x14ac:dyDescent="0.25">
      <c r="A1098">
        <v>1860</v>
      </c>
      <c r="B1098" t="str">
        <f>"carbamazepine"</f>
        <v>carbamazepine</v>
      </c>
      <c r="C1098" t="s">
        <v>19016</v>
      </c>
      <c r="D1098" t="str">
        <f>"298-46-4"</f>
        <v>298-46-4</v>
      </c>
      <c r="E1098" t="str">
        <f t="shared" si="50"/>
        <v xml:space="preserve">Organische parameters </v>
      </c>
      <c r="F1098" t="str">
        <f>""</f>
        <v/>
      </c>
      <c r="G1098" t="str">
        <f>""</f>
        <v/>
      </c>
    </row>
    <row r="1099" spans="1:7" x14ac:dyDescent="0.25">
      <c r="A1099">
        <v>1861</v>
      </c>
      <c r="B1099" t="str">
        <f>"chloortoluidine"</f>
        <v>chloortoluidine</v>
      </c>
      <c r="C1099" t="s">
        <v>19016</v>
      </c>
      <c r="D1099" t="str">
        <f>""</f>
        <v/>
      </c>
      <c r="E1099" t="str">
        <f t="shared" si="50"/>
        <v xml:space="preserve">Organische parameters </v>
      </c>
      <c r="F1099" t="str">
        <f>"Aromatische aminen "</f>
        <v xml:space="preserve">Aromatische aminen </v>
      </c>
      <c r="G1099" t="str">
        <f>""</f>
        <v/>
      </c>
    </row>
    <row r="1100" spans="1:7" x14ac:dyDescent="0.25">
      <c r="A1100">
        <v>1862</v>
      </c>
      <c r="B1100" t="str">
        <f>"N,N-diethylaniline"</f>
        <v>N,N-diethylaniline</v>
      </c>
      <c r="C1100" t="s">
        <v>19016</v>
      </c>
      <c r="D1100" t="str">
        <f>"91-66-7"</f>
        <v>91-66-7</v>
      </c>
      <c r="E1100" t="str">
        <f t="shared" si="50"/>
        <v xml:space="preserve">Organische parameters </v>
      </c>
      <c r="F1100" t="str">
        <f>"Aromatische aminen "</f>
        <v xml:space="preserve">Aromatische aminen </v>
      </c>
      <c r="G1100" t="str">
        <f>""</f>
        <v/>
      </c>
    </row>
    <row r="1101" spans="1:7" x14ac:dyDescent="0.25">
      <c r="A1101">
        <v>1864</v>
      </c>
      <c r="B1101" t="str">
        <f>"N-ethylaniline"</f>
        <v>N-ethylaniline</v>
      </c>
      <c r="C1101" t="s">
        <v>19016</v>
      </c>
      <c r="D1101" t="str">
        <f>"103-69-5"</f>
        <v>103-69-5</v>
      </c>
      <c r="E1101" t="str">
        <f t="shared" ref="E1101:E1164" si="51">"Organische parameters "</f>
        <v xml:space="preserve">Organische parameters </v>
      </c>
      <c r="F1101" t="str">
        <f>"Aromatische aminen "</f>
        <v xml:space="preserve">Aromatische aminen </v>
      </c>
      <c r="G1101" t="str">
        <f>""</f>
        <v/>
      </c>
    </row>
    <row r="1102" spans="1:7" x14ac:dyDescent="0.25">
      <c r="A1102">
        <v>1866</v>
      </c>
      <c r="B1102" t="str">
        <f>"methylbenzylaniline"</f>
        <v>methylbenzylaniline</v>
      </c>
      <c r="C1102" t="s">
        <v>19016</v>
      </c>
      <c r="D1102" t="str">
        <f>"614-30-2"</f>
        <v>614-30-2</v>
      </c>
      <c r="E1102" t="str">
        <f t="shared" si="51"/>
        <v xml:space="preserve">Organische parameters </v>
      </c>
      <c r="F1102" t="str">
        <f>"Aromatische aminen "</f>
        <v xml:space="preserve">Aromatische aminen </v>
      </c>
      <c r="G1102" t="str">
        <f>""</f>
        <v/>
      </c>
    </row>
    <row r="1103" spans="1:7" x14ac:dyDescent="0.25">
      <c r="A1103">
        <v>1870</v>
      </c>
      <c r="B1103" t="str">
        <f>"trichloordipropylether"</f>
        <v>trichloordipropylether</v>
      </c>
      <c r="C1103" t="s">
        <v>19016</v>
      </c>
      <c r="D1103" t="str">
        <f>""</f>
        <v/>
      </c>
      <c r="E1103" t="str">
        <f t="shared" si="51"/>
        <v xml:space="preserve">Organische parameters </v>
      </c>
      <c r="F1103" t="str">
        <f>"Gehalogeneerde alifatische koolwaterstoffen "</f>
        <v xml:space="preserve">Gehalogeneerde alifatische koolwaterstoffen </v>
      </c>
      <c r="G1103" t="str">
        <f>"Overige gehalogeneerde alifatische koolwaterstoffen "</f>
        <v xml:space="preserve">Overige gehalogeneerde alifatische koolwaterstoffen </v>
      </c>
    </row>
    <row r="1104" spans="1:7" x14ac:dyDescent="0.25">
      <c r="A1104">
        <v>1871</v>
      </c>
      <c r="B1104" t="str">
        <f>"tri(2-chloorethyl)fosfaat"</f>
        <v>tri(2-chloorethyl)fosfaat</v>
      </c>
      <c r="C1104" t="s">
        <v>19016</v>
      </c>
      <c r="D1104" t="str">
        <f>"115-96-8"</f>
        <v>115-96-8</v>
      </c>
      <c r="E1104" t="str">
        <f t="shared" si="51"/>
        <v xml:space="preserve">Organische parameters </v>
      </c>
      <c r="F1104" t="str">
        <f>""</f>
        <v/>
      </c>
      <c r="G1104" t="str">
        <f>""</f>
        <v/>
      </c>
    </row>
    <row r="1105" spans="1:7" x14ac:dyDescent="0.25">
      <c r="A1105">
        <v>1872</v>
      </c>
      <c r="B1105" t="str">
        <f>"1-chloor-dodecaan"</f>
        <v>1-chloor-dodecaan</v>
      </c>
      <c r="C1105" t="s">
        <v>19016</v>
      </c>
      <c r="D1105" t="str">
        <f>"112-52-7"</f>
        <v>112-52-7</v>
      </c>
      <c r="E1105" t="str">
        <f t="shared" si="51"/>
        <v xml:space="preserve">Organische parameters </v>
      </c>
      <c r="F1105" t="str">
        <f>"Gehalogeneerde alifatische koolwaterstoffen "</f>
        <v xml:space="preserve">Gehalogeneerde alifatische koolwaterstoffen </v>
      </c>
      <c r="G1105" t="str">
        <f>"Overige gehalogeneerde alifatische koolwaterstoffen "</f>
        <v xml:space="preserve">Overige gehalogeneerde alifatische koolwaterstoffen </v>
      </c>
    </row>
    <row r="1106" spans="1:7" x14ac:dyDescent="0.25">
      <c r="A1106">
        <v>1873</v>
      </c>
      <c r="B1106" t="str">
        <f>"butylchloormethylbenzeen"</f>
        <v>butylchloormethylbenzeen</v>
      </c>
      <c r="C1106" t="s">
        <v>19016</v>
      </c>
      <c r="D1106" t="str">
        <f>"36078-54-3"</f>
        <v>36078-54-3</v>
      </c>
      <c r="E1106" t="str">
        <f t="shared" si="51"/>
        <v xml:space="preserve">Organische parameters </v>
      </c>
      <c r="F1106" t="str">
        <f>""</f>
        <v/>
      </c>
      <c r="G1106" t="str">
        <f>""</f>
        <v/>
      </c>
    </row>
    <row r="1107" spans="1:7" x14ac:dyDescent="0.25">
      <c r="A1107">
        <v>1874</v>
      </c>
      <c r="B1107" t="str">
        <f>"chloormethylpyridine"</f>
        <v>chloormethylpyridine</v>
      </c>
      <c r="C1107" t="s">
        <v>19016</v>
      </c>
      <c r="D1107" t="str">
        <f>""</f>
        <v/>
      </c>
      <c r="E1107" t="str">
        <f t="shared" si="51"/>
        <v xml:space="preserve">Organische parameters </v>
      </c>
      <c r="F1107" t="str">
        <f>""</f>
        <v/>
      </c>
      <c r="G1107" t="str">
        <f>""</f>
        <v/>
      </c>
    </row>
    <row r="1108" spans="1:7" x14ac:dyDescent="0.25">
      <c r="A1108">
        <v>1875</v>
      </c>
      <c r="B1108" t="str">
        <f>"2,4-dichloormethylbenzeen"</f>
        <v>2,4-dichloormethylbenzeen</v>
      </c>
      <c r="C1108" t="s">
        <v>19016</v>
      </c>
      <c r="D1108" t="str">
        <f>"95-73-8"</f>
        <v>95-73-8</v>
      </c>
      <c r="E1108" t="str">
        <f t="shared" si="51"/>
        <v xml:space="preserve">Organische parameters </v>
      </c>
      <c r="F1108" t="str">
        <f>""</f>
        <v/>
      </c>
      <c r="G1108" t="str">
        <f>""</f>
        <v/>
      </c>
    </row>
    <row r="1109" spans="1:7" x14ac:dyDescent="0.25">
      <c r="A1109">
        <v>1877</v>
      </c>
      <c r="B1109" t="str">
        <f>"trifluorchloormethylbenzeen"</f>
        <v>trifluorchloormethylbenzeen</v>
      </c>
      <c r="C1109" t="s">
        <v>19016</v>
      </c>
      <c r="D1109" t="str">
        <f>"705-29-3"</f>
        <v>705-29-3</v>
      </c>
      <c r="E1109" t="str">
        <f t="shared" si="51"/>
        <v xml:space="preserve">Organische parameters </v>
      </c>
      <c r="F1109" t="str">
        <f>""</f>
        <v/>
      </c>
      <c r="G1109" t="str">
        <f>""</f>
        <v/>
      </c>
    </row>
    <row r="1110" spans="1:7" x14ac:dyDescent="0.25">
      <c r="A1110">
        <v>1878</v>
      </c>
      <c r="B1110" t="str">
        <f>"trifluormethylbenzeen"</f>
        <v>trifluormethylbenzeen</v>
      </c>
      <c r="C1110" t="s">
        <v>19016</v>
      </c>
      <c r="D1110" t="str">
        <f>"98-08-8"</f>
        <v>98-08-8</v>
      </c>
      <c r="E1110" t="str">
        <f t="shared" si="51"/>
        <v xml:space="preserve">Organische parameters </v>
      </c>
      <c r="F1110" t="str">
        <f>""</f>
        <v/>
      </c>
      <c r="G1110" t="str">
        <f>""</f>
        <v/>
      </c>
    </row>
    <row r="1111" spans="1:7" x14ac:dyDescent="0.25">
      <c r="A1111">
        <v>1879</v>
      </c>
      <c r="B1111" t="str">
        <f>"diethylfosfaat"</f>
        <v>diethylfosfaat</v>
      </c>
      <c r="C1111" t="s">
        <v>19016</v>
      </c>
      <c r="D1111" t="str">
        <f>"598-02-7"</f>
        <v>598-02-7</v>
      </c>
      <c r="E1111" t="str">
        <f t="shared" si="51"/>
        <v xml:space="preserve">Organische parameters </v>
      </c>
      <c r="F1111" t="str">
        <f>""</f>
        <v/>
      </c>
      <c r="G1111" t="str">
        <f>""</f>
        <v/>
      </c>
    </row>
    <row r="1112" spans="1:7" x14ac:dyDescent="0.25">
      <c r="A1112">
        <v>1880</v>
      </c>
      <c r="B1112" t="str">
        <f>"tributylethanolfosfaat"</f>
        <v>tributylethanolfosfaat</v>
      </c>
      <c r="C1112" t="s">
        <v>19016</v>
      </c>
      <c r="D1112" t="str">
        <f>""</f>
        <v/>
      </c>
      <c r="E1112" t="str">
        <f t="shared" si="51"/>
        <v xml:space="preserve">Organische parameters </v>
      </c>
      <c r="F1112" t="str">
        <f>""</f>
        <v/>
      </c>
      <c r="G1112" t="str">
        <f>""</f>
        <v/>
      </c>
    </row>
    <row r="1113" spans="1:7" x14ac:dyDescent="0.25">
      <c r="A1113">
        <v>1881</v>
      </c>
      <c r="B1113" t="str">
        <f>"tris(ethylhexyl)fosfaat"</f>
        <v>tris(ethylhexyl)fosfaat</v>
      </c>
      <c r="C1113" t="s">
        <v>19016</v>
      </c>
      <c r="D1113" t="str">
        <f>"78-42-2"</f>
        <v>78-42-2</v>
      </c>
      <c r="E1113" t="str">
        <f t="shared" si="51"/>
        <v xml:space="preserve">Organische parameters </v>
      </c>
      <c r="F1113" t="str">
        <f>""</f>
        <v/>
      </c>
      <c r="G1113" t="str">
        <f>""</f>
        <v/>
      </c>
    </row>
    <row r="1114" spans="1:7" x14ac:dyDescent="0.25">
      <c r="A1114">
        <v>1882</v>
      </c>
      <c r="B1114" t="str">
        <f>"trichloorethylfosfaat"</f>
        <v>trichloorethylfosfaat</v>
      </c>
      <c r="C1114" t="s">
        <v>19016</v>
      </c>
      <c r="D1114" t="str">
        <f>"306-52-5"</f>
        <v>306-52-5</v>
      </c>
      <c r="E1114" t="str">
        <f t="shared" si="51"/>
        <v xml:space="preserve">Organische parameters </v>
      </c>
      <c r="F1114" t="str">
        <f>""</f>
        <v/>
      </c>
      <c r="G1114" t="str">
        <f>""</f>
        <v/>
      </c>
    </row>
    <row r="1115" spans="1:7" x14ac:dyDescent="0.25">
      <c r="A1115">
        <v>1883</v>
      </c>
      <c r="B1115" t="str">
        <f>"o-terfenyl"</f>
        <v>o-terfenyl</v>
      </c>
      <c r="C1115" t="s">
        <v>19016</v>
      </c>
      <c r="D1115" t="str">
        <f>"84-15-1"</f>
        <v>84-15-1</v>
      </c>
      <c r="E1115" t="str">
        <f t="shared" si="51"/>
        <v xml:space="preserve">Organische parameters </v>
      </c>
      <c r="F1115" t="str">
        <f>""</f>
        <v/>
      </c>
      <c r="G1115" t="str">
        <f>""</f>
        <v/>
      </c>
    </row>
    <row r="1116" spans="1:7" x14ac:dyDescent="0.25">
      <c r="A1116">
        <v>1884</v>
      </c>
      <c r="B1116" t="str">
        <f>"dibutyldimethyldicyclohexanon"</f>
        <v>dibutyldimethyldicyclohexanon</v>
      </c>
      <c r="C1116" t="s">
        <v>19016</v>
      </c>
      <c r="D1116" t="str">
        <f>""</f>
        <v/>
      </c>
      <c r="E1116" t="str">
        <f t="shared" si="51"/>
        <v xml:space="preserve">Organische parameters </v>
      </c>
      <c r="F1116" t="str">
        <f>""</f>
        <v/>
      </c>
      <c r="G1116" t="str">
        <f>""</f>
        <v/>
      </c>
    </row>
    <row r="1117" spans="1:7" x14ac:dyDescent="0.25">
      <c r="A1117">
        <v>1885</v>
      </c>
      <c r="B1117" t="str">
        <f>"dicyclopentaandion"</f>
        <v>dicyclopentaandion</v>
      </c>
      <c r="C1117" t="s">
        <v>19016</v>
      </c>
      <c r="D1117" t="str">
        <f>""</f>
        <v/>
      </c>
      <c r="E1117" t="str">
        <f t="shared" si="51"/>
        <v xml:space="preserve">Organische parameters </v>
      </c>
      <c r="F1117" t="str">
        <f>""</f>
        <v/>
      </c>
      <c r="G1117" t="str">
        <f>""</f>
        <v/>
      </c>
    </row>
    <row r="1118" spans="1:7" x14ac:dyDescent="0.25">
      <c r="A1118">
        <v>1886</v>
      </c>
      <c r="B1118" t="str">
        <f>"diisobutylcarbinol"</f>
        <v>diisobutylcarbinol</v>
      </c>
      <c r="C1118" t="s">
        <v>19016</v>
      </c>
      <c r="D1118" t="str">
        <f>"108-82-7"</f>
        <v>108-82-7</v>
      </c>
      <c r="E1118" t="str">
        <f t="shared" si="51"/>
        <v xml:space="preserve">Organische parameters </v>
      </c>
      <c r="F1118" t="str">
        <f>""</f>
        <v/>
      </c>
      <c r="G1118" t="str">
        <f>""</f>
        <v/>
      </c>
    </row>
    <row r="1119" spans="1:7" x14ac:dyDescent="0.25">
      <c r="A1119">
        <v>1887</v>
      </c>
      <c r="B1119" t="str">
        <f>"dioxaandimethanol"</f>
        <v>dioxaandimethanol</v>
      </c>
      <c r="C1119" t="s">
        <v>19016</v>
      </c>
      <c r="D1119" t="str">
        <f>"6228-25-7"</f>
        <v>6228-25-7</v>
      </c>
      <c r="E1119" t="str">
        <f t="shared" si="51"/>
        <v xml:space="preserve">Organische parameters </v>
      </c>
      <c r="F1119" t="str">
        <f>""</f>
        <v/>
      </c>
      <c r="G1119" t="str">
        <f>""</f>
        <v/>
      </c>
    </row>
    <row r="1120" spans="1:7" x14ac:dyDescent="0.25">
      <c r="A1120">
        <v>1888</v>
      </c>
      <c r="B1120" t="str">
        <f>"methoxyhexanon"</f>
        <v>methoxyhexanon</v>
      </c>
      <c r="C1120" t="s">
        <v>19016</v>
      </c>
      <c r="D1120" t="str">
        <f>"29006-00-6"</f>
        <v>29006-00-6</v>
      </c>
      <c r="E1120" t="str">
        <f t="shared" si="51"/>
        <v xml:space="preserve">Organische parameters </v>
      </c>
      <c r="F1120" t="str">
        <f>""</f>
        <v/>
      </c>
      <c r="G1120" t="str">
        <f>""</f>
        <v/>
      </c>
    </row>
    <row r="1121" spans="1:7" x14ac:dyDescent="0.25">
      <c r="A1121">
        <v>1889</v>
      </c>
      <c r="B1121" t="str">
        <f>"octenon"</f>
        <v>octenon</v>
      </c>
      <c r="C1121" t="s">
        <v>19016</v>
      </c>
      <c r="D1121" t="str">
        <f>"4312-99-6"</f>
        <v>4312-99-6</v>
      </c>
      <c r="E1121" t="str">
        <f t="shared" si="51"/>
        <v xml:space="preserve">Organische parameters </v>
      </c>
      <c r="F1121" t="str">
        <f>""</f>
        <v/>
      </c>
      <c r="G1121" t="str">
        <f>""</f>
        <v/>
      </c>
    </row>
    <row r="1122" spans="1:7" x14ac:dyDescent="0.25">
      <c r="A1122">
        <v>1890</v>
      </c>
      <c r="B1122" t="str">
        <f>"benzoyl oxyfenylethanon"</f>
        <v>benzoyl oxyfenylethanon</v>
      </c>
      <c r="C1122" t="s">
        <v>19016</v>
      </c>
      <c r="D1122" t="str">
        <f>""</f>
        <v/>
      </c>
      <c r="E1122" t="str">
        <f t="shared" si="51"/>
        <v xml:space="preserve">Organische parameters </v>
      </c>
      <c r="F1122" t="str">
        <f>""</f>
        <v/>
      </c>
      <c r="G1122" t="str">
        <f>""</f>
        <v/>
      </c>
    </row>
    <row r="1123" spans="1:7" x14ac:dyDescent="0.25">
      <c r="A1123">
        <v>1891</v>
      </c>
      <c r="B1123" t="str">
        <f>"butyltoluoxyethanol"</f>
        <v>butyltoluoxyethanol</v>
      </c>
      <c r="C1123" t="s">
        <v>19016</v>
      </c>
      <c r="D1123" t="str">
        <f>""</f>
        <v/>
      </c>
      <c r="E1123" t="str">
        <f t="shared" si="51"/>
        <v xml:space="preserve">Organische parameters </v>
      </c>
      <c r="F1123" t="str">
        <f>""</f>
        <v/>
      </c>
      <c r="G1123" t="str">
        <f>""</f>
        <v/>
      </c>
    </row>
    <row r="1124" spans="1:7" x14ac:dyDescent="0.25">
      <c r="A1124">
        <v>1892</v>
      </c>
      <c r="B1124" t="str">
        <f>"cholestadienol"</f>
        <v>cholestadienol</v>
      </c>
      <c r="C1124" t="s">
        <v>19016</v>
      </c>
      <c r="D1124" t="str">
        <f>""</f>
        <v/>
      </c>
      <c r="E1124" t="str">
        <f t="shared" si="51"/>
        <v xml:space="preserve">Organische parameters </v>
      </c>
      <c r="F1124" t="str">
        <f>""</f>
        <v/>
      </c>
      <c r="G1124" t="str">
        <f>""</f>
        <v/>
      </c>
    </row>
    <row r="1125" spans="1:7" x14ac:dyDescent="0.25">
      <c r="A1125">
        <v>1893</v>
      </c>
      <c r="B1125" t="str">
        <f>"dihydroabietal"</f>
        <v>dihydroabietal</v>
      </c>
      <c r="C1125" t="s">
        <v>19016</v>
      </c>
      <c r="D1125" t="str">
        <f>""</f>
        <v/>
      </c>
      <c r="E1125" t="str">
        <f t="shared" si="51"/>
        <v xml:space="preserve">Organische parameters </v>
      </c>
      <c r="F1125" t="str">
        <f>""</f>
        <v/>
      </c>
      <c r="G1125" t="str">
        <f>""</f>
        <v/>
      </c>
    </row>
    <row r="1126" spans="1:7" x14ac:dyDescent="0.25">
      <c r="A1126">
        <v>1894</v>
      </c>
      <c r="B1126" t="str">
        <f>"di(HydroxyisoPro)benzeen"</f>
        <v>di(HydroxyisoPro)benzeen</v>
      </c>
      <c r="C1126" t="s">
        <v>19016</v>
      </c>
      <c r="D1126" t="str">
        <f>""</f>
        <v/>
      </c>
      <c r="E1126" t="str">
        <f t="shared" si="51"/>
        <v xml:space="preserve">Organische parameters </v>
      </c>
      <c r="F1126" t="str">
        <f>""</f>
        <v/>
      </c>
      <c r="G1126" t="str">
        <f>""</f>
        <v/>
      </c>
    </row>
    <row r="1127" spans="1:7" x14ac:dyDescent="0.25">
      <c r="A1127">
        <v>1895</v>
      </c>
      <c r="B1127" t="str">
        <f>"ethylhexyldifenylftalaat"</f>
        <v>ethylhexyldifenylftalaat</v>
      </c>
      <c r="C1127" t="s">
        <v>19016</v>
      </c>
      <c r="D1127" t="str">
        <f>""</f>
        <v/>
      </c>
      <c r="E1127" t="str">
        <f t="shared" si="51"/>
        <v xml:space="preserve">Organische parameters </v>
      </c>
      <c r="F1127" t="str">
        <f>""</f>
        <v/>
      </c>
      <c r="G1127" t="str">
        <f>""</f>
        <v/>
      </c>
    </row>
    <row r="1128" spans="1:7" x14ac:dyDescent="0.25">
      <c r="A1128">
        <v>1896</v>
      </c>
      <c r="B1128" t="str">
        <f>"ethylhydroxytoluaat"</f>
        <v>ethylhydroxytoluaat</v>
      </c>
      <c r="C1128" t="s">
        <v>19016</v>
      </c>
      <c r="D1128" t="str">
        <f>""</f>
        <v/>
      </c>
      <c r="E1128" t="str">
        <f t="shared" si="51"/>
        <v xml:space="preserve">Organische parameters </v>
      </c>
      <c r="F1128" t="str">
        <f>""</f>
        <v/>
      </c>
      <c r="G1128" t="str">
        <f>""</f>
        <v/>
      </c>
    </row>
    <row r="1129" spans="1:7" x14ac:dyDescent="0.25">
      <c r="A1129">
        <v>1897</v>
      </c>
      <c r="B1129" t="str">
        <f>"methylhydroxytoluaat"</f>
        <v>methylhydroxytoluaat</v>
      </c>
      <c r="C1129" t="s">
        <v>19016</v>
      </c>
      <c r="D1129" t="str">
        <f>"63027-59-8"</f>
        <v>63027-59-8</v>
      </c>
      <c r="E1129" t="str">
        <f t="shared" si="51"/>
        <v xml:space="preserve">Organische parameters </v>
      </c>
      <c r="F1129" t="str">
        <f>""</f>
        <v/>
      </c>
      <c r="G1129" t="str">
        <f>""</f>
        <v/>
      </c>
    </row>
    <row r="1130" spans="1:7" x14ac:dyDescent="0.25">
      <c r="A1130">
        <v>1898</v>
      </c>
      <c r="B1130" t="str">
        <f>"trimethyl-a-d-xylofuranoside"</f>
        <v>trimethyl-a-d-xylofuranoside</v>
      </c>
      <c r="C1130" t="s">
        <v>19016</v>
      </c>
      <c r="D1130" t="str">
        <f>""</f>
        <v/>
      </c>
      <c r="E1130" t="str">
        <f t="shared" si="51"/>
        <v xml:space="preserve">Organische parameters </v>
      </c>
      <c r="F1130" t="str">
        <f>""</f>
        <v/>
      </c>
      <c r="G1130" t="str">
        <f>""</f>
        <v/>
      </c>
    </row>
    <row r="1131" spans="1:7" x14ac:dyDescent="0.25">
      <c r="A1131">
        <v>1899</v>
      </c>
      <c r="B1131" t="str">
        <f>"valerylfuraan"</f>
        <v>valerylfuraan</v>
      </c>
      <c r="C1131" t="s">
        <v>19016</v>
      </c>
      <c r="D1131" t="str">
        <f>"3194-17-0"</f>
        <v>3194-17-0</v>
      </c>
      <c r="E1131" t="str">
        <f t="shared" si="51"/>
        <v xml:space="preserve">Organische parameters </v>
      </c>
      <c r="F1131" t="str">
        <f>""</f>
        <v/>
      </c>
      <c r="G1131" t="str">
        <f>""</f>
        <v/>
      </c>
    </row>
    <row r="1132" spans="1:7" x14ac:dyDescent="0.25">
      <c r="A1132">
        <v>1900</v>
      </c>
      <c r="B1132" t="str">
        <f>"xantheen"</f>
        <v>xantheen</v>
      </c>
      <c r="C1132" t="s">
        <v>19016</v>
      </c>
      <c r="D1132" t="str">
        <f>"92-83-1"</f>
        <v>92-83-1</v>
      </c>
      <c r="E1132" t="str">
        <f t="shared" si="51"/>
        <v xml:space="preserve">Organische parameters </v>
      </c>
      <c r="F1132" t="str">
        <f>""</f>
        <v/>
      </c>
      <c r="G1132" t="str">
        <f>""</f>
        <v/>
      </c>
    </row>
    <row r="1133" spans="1:7" x14ac:dyDescent="0.25">
      <c r="A1133">
        <v>1901</v>
      </c>
      <c r="B1133" t="str">
        <f>"cumylfenol"</f>
        <v>cumylfenol</v>
      </c>
      <c r="C1133" t="s">
        <v>19016</v>
      </c>
      <c r="D1133" t="str">
        <f>""</f>
        <v/>
      </c>
      <c r="E1133" t="str">
        <f t="shared" si="51"/>
        <v xml:space="preserve">Organische parameters </v>
      </c>
      <c r="F1133" t="str">
        <f>""</f>
        <v/>
      </c>
      <c r="G1133" t="str">
        <f>""</f>
        <v/>
      </c>
    </row>
    <row r="1134" spans="1:7" x14ac:dyDescent="0.25">
      <c r="A1134">
        <v>1902</v>
      </c>
      <c r="B1134" t="str">
        <f>"eugenol"</f>
        <v>eugenol</v>
      </c>
      <c r="C1134" t="s">
        <v>19016</v>
      </c>
      <c r="D1134" t="str">
        <f>"97-53-0"</f>
        <v>97-53-0</v>
      </c>
      <c r="E1134" t="str">
        <f t="shared" si="51"/>
        <v xml:space="preserve">Organische parameters </v>
      </c>
      <c r="F1134" t="str">
        <f>""</f>
        <v/>
      </c>
      <c r="G1134" t="str">
        <f>""</f>
        <v/>
      </c>
    </row>
    <row r="1135" spans="1:7" x14ac:dyDescent="0.25">
      <c r="A1135">
        <v>1903</v>
      </c>
      <c r="B1135" t="str">
        <f>"broomfenylisothiazool"</f>
        <v>broomfenylisothiazool</v>
      </c>
      <c r="C1135" t="s">
        <v>19016</v>
      </c>
      <c r="D1135" t="str">
        <f>""</f>
        <v/>
      </c>
      <c r="E1135" t="str">
        <f t="shared" si="51"/>
        <v xml:space="preserve">Organische parameters </v>
      </c>
      <c r="F1135" t="str">
        <f>""</f>
        <v/>
      </c>
      <c r="G1135" t="str">
        <f>""</f>
        <v/>
      </c>
    </row>
    <row r="1136" spans="1:7" x14ac:dyDescent="0.25">
      <c r="A1136">
        <v>1904</v>
      </c>
      <c r="B1136" t="str">
        <f>"cyanobenzyloxyethaan"</f>
        <v>cyanobenzyloxyethaan</v>
      </c>
      <c r="C1136" t="s">
        <v>19016</v>
      </c>
      <c r="D1136" t="str">
        <f>""</f>
        <v/>
      </c>
      <c r="E1136" t="str">
        <f t="shared" si="51"/>
        <v xml:space="preserve">Organische parameters </v>
      </c>
      <c r="F1136" t="str">
        <f>""</f>
        <v/>
      </c>
      <c r="G1136" t="str">
        <f>""</f>
        <v/>
      </c>
    </row>
    <row r="1137" spans="1:7" x14ac:dyDescent="0.25">
      <c r="A1137">
        <v>1905</v>
      </c>
      <c r="B1137" t="str">
        <f>"dihydro 1H purinedion"</f>
        <v>dihydro 1H purinedion</v>
      </c>
      <c r="C1137" t="s">
        <v>19016</v>
      </c>
      <c r="D1137" t="str">
        <f>""</f>
        <v/>
      </c>
      <c r="E1137" t="str">
        <f t="shared" si="51"/>
        <v xml:space="preserve">Organische parameters </v>
      </c>
      <c r="F1137" t="str">
        <f>"Aromatische aminen "</f>
        <v xml:space="preserve">Aromatische aminen </v>
      </c>
      <c r="G1137" t="str">
        <f>""</f>
        <v/>
      </c>
    </row>
    <row r="1138" spans="1:7" x14ac:dyDescent="0.25">
      <c r="A1138">
        <v>1906</v>
      </c>
      <c r="B1138" t="str">
        <f>"dimethylnaftothiofenol"</f>
        <v>dimethylnaftothiofenol</v>
      </c>
      <c r="C1138" t="s">
        <v>19016</v>
      </c>
      <c r="D1138" t="str">
        <f>""</f>
        <v/>
      </c>
      <c r="E1138" t="str">
        <f t="shared" si="51"/>
        <v xml:space="preserve">Organische parameters </v>
      </c>
      <c r="F1138" t="str">
        <f>""</f>
        <v/>
      </c>
      <c r="G1138" t="str">
        <f>""</f>
        <v/>
      </c>
    </row>
    <row r="1139" spans="1:7" x14ac:dyDescent="0.25">
      <c r="A1139">
        <v>1907</v>
      </c>
      <c r="B1139" t="str">
        <f>"naftylisocyanide"</f>
        <v>naftylisocyanide</v>
      </c>
      <c r="C1139" t="s">
        <v>19016</v>
      </c>
      <c r="D1139" t="str">
        <f>"9-4-1984"</f>
        <v>9-4-1984</v>
      </c>
      <c r="E1139" t="str">
        <f t="shared" si="51"/>
        <v xml:space="preserve">Organische parameters </v>
      </c>
      <c r="F1139" t="str">
        <f>""</f>
        <v/>
      </c>
      <c r="G1139" t="str">
        <f>""</f>
        <v/>
      </c>
    </row>
    <row r="1140" spans="1:7" x14ac:dyDescent="0.25">
      <c r="A1140">
        <v>1908</v>
      </c>
      <c r="B1140" t="str">
        <f>"decamethylcyclopentasiloxaan"</f>
        <v>decamethylcyclopentasiloxaan</v>
      </c>
      <c r="C1140" t="s">
        <v>19016</v>
      </c>
      <c r="D1140" t="str">
        <f>"541-02-6"</f>
        <v>541-02-6</v>
      </c>
      <c r="E1140" t="str">
        <f t="shared" si="51"/>
        <v xml:space="preserve">Organische parameters </v>
      </c>
      <c r="F1140" t="str">
        <f>""</f>
        <v/>
      </c>
      <c r="G1140" t="str">
        <f>""</f>
        <v/>
      </c>
    </row>
    <row r="1141" spans="1:7" x14ac:dyDescent="0.25">
      <c r="A1141">
        <v>1909</v>
      </c>
      <c r="B1141" t="str">
        <f>"hexamethylcyclotrisiloxaan"</f>
        <v>hexamethylcyclotrisiloxaan</v>
      </c>
      <c r="C1141" t="s">
        <v>19016</v>
      </c>
      <c r="D1141" t="str">
        <f>"541-05-9"</f>
        <v>541-05-9</v>
      </c>
      <c r="E1141" t="str">
        <f t="shared" si="51"/>
        <v xml:space="preserve">Organische parameters </v>
      </c>
      <c r="F1141" t="str">
        <f>""</f>
        <v/>
      </c>
      <c r="G1141" t="str">
        <f>""</f>
        <v/>
      </c>
    </row>
    <row r="1142" spans="1:7" x14ac:dyDescent="0.25">
      <c r="A1142">
        <v>1910</v>
      </c>
      <c r="B1142" t="str">
        <f>"octamethylcyclotetrasiloxaan"</f>
        <v>octamethylcyclotetrasiloxaan</v>
      </c>
      <c r="C1142" t="s">
        <v>19016</v>
      </c>
      <c r="D1142" t="str">
        <f>"556-67-2"</f>
        <v>556-67-2</v>
      </c>
      <c r="E1142" t="str">
        <f t="shared" si="51"/>
        <v xml:space="preserve">Organische parameters </v>
      </c>
      <c r="F1142" t="str">
        <f>""</f>
        <v/>
      </c>
      <c r="G1142" t="str">
        <f>""</f>
        <v/>
      </c>
    </row>
    <row r="1143" spans="1:7" x14ac:dyDescent="0.25">
      <c r="A1143">
        <v>1911</v>
      </c>
      <c r="B1143" t="str">
        <f>"octamethylcyclotrisiloxaan"</f>
        <v>octamethylcyclotrisiloxaan</v>
      </c>
      <c r="C1143" t="s">
        <v>19016</v>
      </c>
      <c r="D1143" t="str">
        <f>""</f>
        <v/>
      </c>
      <c r="E1143" t="str">
        <f t="shared" si="51"/>
        <v xml:space="preserve">Organische parameters </v>
      </c>
      <c r="F1143" t="str">
        <f>""</f>
        <v/>
      </c>
      <c r="G1143" t="str">
        <f>""</f>
        <v/>
      </c>
    </row>
    <row r="1144" spans="1:7" x14ac:dyDescent="0.25">
      <c r="A1144">
        <v>1912</v>
      </c>
      <c r="B1144" t="str">
        <f>"hexamethyldisiloxaan"</f>
        <v>hexamethyldisiloxaan</v>
      </c>
      <c r="C1144" t="s">
        <v>19016</v>
      </c>
      <c r="D1144" t="str">
        <f>"107-46-0"</f>
        <v>107-46-0</v>
      </c>
      <c r="E1144" t="str">
        <f t="shared" si="51"/>
        <v xml:space="preserve">Organische parameters </v>
      </c>
      <c r="F1144" t="str">
        <f>""</f>
        <v/>
      </c>
      <c r="G1144" t="str">
        <f>""</f>
        <v/>
      </c>
    </row>
    <row r="1145" spans="1:7" x14ac:dyDescent="0.25">
      <c r="A1145">
        <v>1914</v>
      </c>
      <c r="B1145" t="str">
        <f>"3-chloor-4-(dichloormethyl)-5-hydroxy-2(5H)-furanon"</f>
        <v>3-chloor-4-(dichloormethyl)-5-hydroxy-2(5H)-furanon</v>
      </c>
      <c r="C1145" t="s">
        <v>19016</v>
      </c>
      <c r="D1145" t="str">
        <f>"77439-76-0"</f>
        <v>77439-76-0</v>
      </c>
      <c r="E1145" t="str">
        <f t="shared" si="51"/>
        <v xml:space="preserve">Organische parameters </v>
      </c>
      <c r="F1145" t="str">
        <f>"Gehalogeneerde monocyclische koolwaterstoffen "</f>
        <v xml:space="preserve">Gehalogeneerde monocyclische koolwaterstoffen </v>
      </c>
      <c r="G1145" t="str">
        <f>""</f>
        <v/>
      </c>
    </row>
    <row r="1146" spans="1:7" x14ac:dyDescent="0.25">
      <c r="A1146">
        <v>1915</v>
      </c>
      <c r="B1146" t="str">
        <f>"dipalmityldimethylamoniumchloride (TDMAC)"</f>
        <v>dipalmityldimethylamoniumchloride (TDMAC)</v>
      </c>
      <c r="C1146" t="s">
        <v>19016</v>
      </c>
      <c r="D1146" t="str">
        <f>"1812-53-9"</f>
        <v>1812-53-9</v>
      </c>
      <c r="E1146" t="str">
        <f t="shared" si="51"/>
        <v xml:space="preserve">Organische parameters </v>
      </c>
      <c r="F1146" t="str">
        <f>""</f>
        <v/>
      </c>
      <c r="G1146" t="str">
        <f>""</f>
        <v/>
      </c>
    </row>
    <row r="1147" spans="1:7" x14ac:dyDescent="0.25">
      <c r="A1147">
        <v>1916</v>
      </c>
      <c r="B1147" t="str">
        <f>"1,2-dichloor-4-nitrobenzeen"</f>
        <v>1,2-dichloor-4-nitrobenzeen</v>
      </c>
      <c r="C1147" t="s">
        <v>19016</v>
      </c>
      <c r="D1147" t="str">
        <f>"99-54-7"</f>
        <v>99-54-7</v>
      </c>
      <c r="E1147" t="str">
        <f t="shared" si="51"/>
        <v xml:space="preserve">Organische parameters </v>
      </c>
      <c r="F1147" t="str">
        <f>""</f>
        <v/>
      </c>
      <c r="G1147" t="str">
        <f>""</f>
        <v/>
      </c>
    </row>
    <row r="1148" spans="1:7" x14ac:dyDescent="0.25">
      <c r="A1148">
        <v>1917</v>
      </c>
      <c r="B1148" t="str">
        <f>"2-methyl-2-pentanol"</f>
        <v>2-methyl-2-pentanol</v>
      </c>
      <c r="C1148" t="s">
        <v>19016</v>
      </c>
      <c r="D1148" t="str">
        <f>"590-36-3"</f>
        <v>590-36-3</v>
      </c>
      <c r="E1148" t="str">
        <f t="shared" si="51"/>
        <v xml:space="preserve">Organische parameters </v>
      </c>
      <c r="F1148" t="str">
        <f>""</f>
        <v/>
      </c>
      <c r="G1148" t="str">
        <f>""</f>
        <v/>
      </c>
    </row>
    <row r="1149" spans="1:7" x14ac:dyDescent="0.25">
      <c r="A1149">
        <v>1918</v>
      </c>
      <c r="B1149" t="str">
        <f>"2,3-dimethyl-3-pentanol"</f>
        <v>2,3-dimethyl-3-pentanol</v>
      </c>
      <c r="C1149" t="s">
        <v>19016</v>
      </c>
      <c r="D1149" t="str">
        <f>"600-36-2"</f>
        <v>600-36-2</v>
      </c>
      <c r="E1149" t="str">
        <f t="shared" si="51"/>
        <v xml:space="preserve">Organische parameters </v>
      </c>
      <c r="F1149" t="str">
        <f>""</f>
        <v/>
      </c>
      <c r="G1149" t="str">
        <f>""</f>
        <v/>
      </c>
    </row>
    <row r="1150" spans="1:7" x14ac:dyDescent="0.25">
      <c r="A1150">
        <v>1919</v>
      </c>
      <c r="B1150" t="str">
        <f>"1-methoxy-2-propylacetaat"</f>
        <v>1-methoxy-2-propylacetaat</v>
      </c>
      <c r="C1150" t="s">
        <v>19016</v>
      </c>
      <c r="D1150" t="str">
        <f>"108-65-6"</f>
        <v>108-65-6</v>
      </c>
      <c r="E1150" t="str">
        <f t="shared" si="51"/>
        <v xml:space="preserve">Organische parameters </v>
      </c>
      <c r="F1150" t="str">
        <f>""</f>
        <v/>
      </c>
      <c r="G1150" t="str">
        <f>""</f>
        <v/>
      </c>
    </row>
    <row r="1151" spans="1:7" x14ac:dyDescent="0.25">
      <c r="A1151">
        <v>1920</v>
      </c>
      <c r="B1151" t="str">
        <f>"2-ethyl-2-isobutyl-1,3-dioxolaan"</f>
        <v>2-ethyl-2-isobutyl-1,3-dioxolaan</v>
      </c>
      <c r="C1151" t="s">
        <v>19016</v>
      </c>
      <c r="D1151" t="str">
        <f>"126-39-6"</f>
        <v>126-39-6</v>
      </c>
      <c r="E1151" t="str">
        <f t="shared" si="51"/>
        <v xml:space="preserve">Organische parameters </v>
      </c>
      <c r="F1151" t="str">
        <f>""</f>
        <v/>
      </c>
      <c r="G1151" t="str">
        <f>""</f>
        <v/>
      </c>
    </row>
    <row r="1152" spans="1:7" x14ac:dyDescent="0.25">
      <c r="A1152">
        <v>1921</v>
      </c>
      <c r="B1152" t="str">
        <f>"trimethylbicycloheptan-2-ol"</f>
        <v>trimethylbicycloheptan-2-ol</v>
      </c>
      <c r="C1152" t="s">
        <v>19016</v>
      </c>
      <c r="D1152" t="str">
        <f>""</f>
        <v/>
      </c>
      <c r="E1152" t="str">
        <f t="shared" si="51"/>
        <v xml:space="preserve">Organische parameters </v>
      </c>
      <c r="F1152" t="str">
        <f>""</f>
        <v/>
      </c>
      <c r="G1152" t="str">
        <f>""</f>
        <v/>
      </c>
    </row>
    <row r="1153" spans="1:7" x14ac:dyDescent="0.25">
      <c r="A1153">
        <v>1922</v>
      </c>
      <c r="B1153" t="str">
        <f>"dimethylethylcyclohexaan"</f>
        <v>dimethylethylcyclohexaan</v>
      </c>
      <c r="C1153" t="s">
        <v>19016</v>
      </c>
      <c r="D1153" t="str">
        <f>"3178-22-1"</f>
        <v>3178-22-1</v>
      </c>
      <c r="E1153" t="str">
        <f t="shared" si="51"/>
        <v xml:space="preserve">Organische parameters </v>
      </c>
      <c r="F1153" t="str">
        <f>""</f>
        <v/>
      </c>
      <c r="G1153" t="str">
        <f>""</f>
        <v/>
      </c>
    </row>
    <row r="1154" spans="1:7" x14ac:dyDescent="0.25">
      <c r="A1154">
        <v>1923</v>
      </c>
      <c r="B1154" t="str">
        <f>"2-ethyl-2-methyloxiraan"</f>
        <v>2-ethyl-2-methyloxiraan</v>
      </c>
      <c r="C1154" t="s">
        <v>19016</v>
      </c>
      <c r="D1154" t="str">
        <f>"30095-63-7"</f>
        <v>30095-63-7</v>
      </c>
      <c r="E1154" t="str">
        <f t="shared" si="51"/>
        <v xml:space="preserve">Organische parameters </v>
      </c>
      <c r="F1154" t="str">
        <f>""</f>
        <v/>
      </c>
      <c r="G1154" t="str">
        <f>""</f>
        <v/>
      </c>
    </row>
    <row r="1155" spans="1:7" x14ac:dyDescent="0.25">
      <c r="A1155">
        <v>1924</v>
      </c>
      <c r="B1155" t="str">
        <f>"2-methyl-2-butanol"</f>
        <v>2-methyl-2-butanol</v>
      </c>
      <c r="C1155" t="s">
        <v>19016</v>
      </c>
      <c r="D1155" t="str">
        <f>"75-85-4"</f>
        <v>75-85-4</v>
      </c>
      <c r="E1155" t="str">
        <f t="shared" si="51"/>
        <v xml:space="preserve">Organische parameters </v>
      </c>
      <c r="F1155" t="str">
        <f>""</f>
        <v/>
      </c>
      <c r="G1155" t="str">
        <f>""</f>
        <v/>
      </c>
    </row>
    <row r="1156" spans="1:7" x14ac:dyDescent="0.25">
      <c r="A1156">
        <v>1925</v>
      </c>
      <c r="B1156" t="str">
        <f>"1,1'-oxy-bis-(2-methoxy)ethaan"</f>
        <v>1,1'-oxy-bis-(2-methoxy)ethaan</v>
      </c>
      <c r="C1156" t="s">
        <v>19016</v>
      </c>
      <c r="D1156" t="str">
        <f>"70992-86-8"</f>
        <v>70992-86-8</v>
      </c>
      <c r="E1156" t="str">
        <f t="shared" si="51"/>
        <v xml:space="preserve">Organische parameters </v>
      </c>
      <c r="F1156" t="str">
        <f>""</f>
        <v/>
      </c>
      <c r="G1156" t="str">
        <f>""</f>
        <v/>
      </c>
    </row>
    <row r="1157" spans="1:7" x14ac:dyDescent="0.25">
      <c r="A1157">
        <v>1926</v>
      </c>
      <c r="B1157" t="str">
        <f>"trimethoxyethylbenzeen"</f>
        <v>trimethoxyethylbenzeen</v>
      </c>
      <c r="C1157" t="s">
        <v>19016</v>
      </c>
      <c r="D1157" t="str">
        <f>""</f>
        <v/>
      </c>
      <c r="E1157" t="str">
        <f t="shared" si="51"/>
        <v xml:space="preserve">Organische parameters </v>
      </c>
      <c r="F1157" t="str">
        <f>""</f>
        <v/>
      </c>
      <c r="G1157" t="str">
        <f>""</f>
        <v/>
      </c>
    </row>
    <row r="1158" spans="1:7" x14ac:dyDescent="0.25">
      <c r="A1158">
        <v>1927</v>
      </c>
      <c r="B1158" t="str">
        <f>"efedrine"</f>
        <v>efedrine</v>
      </c>
      <c r="C1158" t="s">
        <v>19016</v>
      </c>
      <c r="D1158" t="str">
        <f>"299-42-3"</f>
        <v>299-42-3</v>
      </c>
      <c r="E1158" t="str">
        <f t="shared" si="51"/>
        <v xml:space="preserve">Organische parameters </v>
      </c>
      <c r="F1158" t="str">
        <f>"Aromatische aminen "</f>
        <v xml:space="preserve">Aromatische aminen </v>
      </c>
      <c r="G1158" t="str">
        <f>""</f>
        <v/>
      </c>
    </row>
    <row r="1159" spans="1:7" x14ac:dyDescent="0.25">
      <c r="A1159">
        <v>1928</v>
      </c>
      <c r="B1159" t="str">
        <f>"2-methyl-3-butyn-2-ol"</f>
        <v>2-methyl-3-butyn-2-ol</v>
      </c>
      <c r="C1159" t="s">
        <v>19016</v>
      </c>
      <c r="D1159" t="str">
        <f>"115-19-5"</f>
        <v>115-19-5</v>
      </c>
      <c r="E1159" t="str">
        <f t="shared" si="51"/>
        <v xml:space="preserve">Organische parameters </v>
      </c>
      <c r="F1159" t="str">
        <f>""</f>
        <v/>
      </c>
      <c r="G1159" t="str">
        <f>""</f>
        <v/>
      </c>
    </row>
    <row r="1160" spans="1:7" x14ac:dyDescent="0.25">
      <c r="A1160">
        <v>1929</v>
      </c>
      <c r="B1160" t="str">
        <f>"tetrachloorftaalzuuranhydride"</f>
        <v>tetrachloorftaalzuuranhydride</v>
      </c>
      <c r="C1160" t="s">
        <v>19016</v>
      </c>
      <c r="D1160" t="str">
        <f>"117-08-8"</f>
        <v>117-08-8</v>
      </c>
      <c r="E1160" t="str">
        <f t="shared" si="51"/>
        <v xml:space="preserve">Organische parameters </v>
      </c>
      <c r="F1160" t="str">
        <f>""</f>
        <v/>
      </c>
      <c r="G1160" t="str">
        <f>""</f>
        <v/>
      </c>
    </row>
    <row r="1161" spans="1:7" x14ac:dyDescent="0.25">
      <c r="A1161">
        <v>1931</v>
      </c>
      <c r="B1161" t="str">
        <f>"trimethylcyclohexaan-1-methanol"</f>
        <v>trimethylcyclohexaan-1-methanol</v>
      </c>
      <c r="C1161" t="s">
        <v>19016</v>
      </c>
      <c r="D1161" t="str">
        <f>""</f>
        <v/>
      </c>
      <c r="E1161" t="str">
        <f t="shared" si="51"/>
        <v xml:space="preserve">Organische parameters </v>
      </c>
      <c r="F1161" t="str">
        <f>""</f>
        <v/>
      </c>
      <c r="G1161" t="str">
        <f>""</f>
        <v/>
      </c>
    </row>
    <row r="1162" spans="1:7" x14ac:dyDescent="0.25">
      <c r="A1162">
        <v>1932</v>
      </c>
      <c r="B1162" t="str">
        <f>"methyl(methylethyl)(1a,2b,5b)cyclohexenon"</f>
        <v>methyl(methylethyl)(1a,2b,5b)cyclohexenon</v>
      </c>
      <c r="C1162" t="s">
        <v>19016</v>
      </c>
      <c r="D1162" t="str">
        <f>""</f>
        <v/>
      </c>
      <c r="E1162" t="str">
        <f t="shared" si="51"/>
        <v xml:space="preserve">Organische parameters </v>
      </c>
      <c r="F1162" t="str">
        <f>""</f>
        <v/>
      </c>
      <c r="G1162" t="str">
        <f>""</f>
        <v/>
      </c>
    </row>
    <row r="1163" spans="1:7" x14ac:dyDescent="0.25">
      <c r="A1163">
        <v>1933</v>
      </c>
      <c r="B1163" t="str">
        <f>"1-(2-methoxy-1-methylethoxy)-2-propanol"</f>
        <v>1-(2-methoxy-1-methylethoxy)-2-propanol</v>
      </c>
      <c r="C1163" t="s">
        <v>19016</v>
      </c>
      <c r="D1163" t="str">
        <f>"20324-32-7"</f>
        <v>20324-32-7</v>
      </c>
      <c r="E1163" t="str">
        <f t="shared" si="51"/>
        <v xml:space="preserve">Organische parameters </v>
      </c>
      <c r="F1163" t="str">
        <f>""</f>
        <v/>
      </c>
      <c r="G1163" t="str">
        <f>""</f>
        <v/>
      </c>
    </row>
    <row r="1164" spans="1:7" x14ac:dyDescent="0.25">
      <c r="A1164">
        <v>1934</v>
      </c>
      <c r="B1164" t="str">
        <f>"2-(1,1-dimethylethyl)cyclohexanon"</f>
        <v>2-(1,1-dimethylethyl)cyclohexanon</v>
      </c>
      <c r="C1164" t="s">
        <v>19016</v>
      </c>
      <c r="D1164" t="str">
        <f>"1728-46-7"</f>
        <v>1728-46-7</v>
      </c>
      <c r="E1164" t="str">
        <f t="shared" si="51"/>
        <v xml:space="preserve">Organische parameters </v>
      </c>
      <c r="F1164" t="str">
        <f>""</f>
        <v/>
      </c>
      <c r="G1164" t="str">
        <f>""</f>
        <v/>
      </c>
    </row>
    <row r="1165" spans="1:7" x14ac:dyDescent="0.25">
      <c r="A1165">
        <v>1935</v>
      </c>
      <c r="B1165" t="str">
        <f>"1-(2,4,6 trimethyl,fenyl)ethanon"</f>
        <v>1-(2,4,6 trimethyl,fenyl)ethanon</v>
      </c>
      <c r="C1165" t="s">
        <v>19016</v>
      </c>
      <c r="D1165" t="str">
        <f>"1667-01-2"</f>
        <v>1667-01-2</v>
      </c>
      <c r="E1165" t="str">
        <f t="shared" ref="E1165:E1228" si="52">"Organische parameters "</f>
        <v xml:space="preserve">Organische parameters </v>
      </c>
      <c r="F1165" t="str">
        <f>""</f>
        <v/>
      </c>
      <c r="G1165" t="str">
        <f>""</f>
        <v/>
      </c>
    </row>
    <row r="1166" spans="1:7" x14ac:dyDescent="0.25">
      <c r="A1166">
        <v>1936</v>
      </c>
      <c r="B1166" t="str">
        <f>"2,2-azobis(methyl)propaannitril"</f>
        <v>2,2-azobis(methyl)propaannitril</v>
      </c>
      <c r="C1166" t="s">
        <v>19016</v>
      </c>
      <c r="D1166" t="str">
        <f>"78-67-1"</f>
        <v>78-67-1</v>
      </c>
      <c r="E1166" t="str">
        <f t="shared" si="52"/>
        <v xml:space="preserve">Organische parameters </v>
      </c>
      <c r="F1166" t="str">
        <f>""</f>
        <v/>
      </c>
      <c r="G1166" t="str">
        <f>""</f>
        <v/>
      </c>
    </row>
    <row r="1167" spans="1:7" x14ac:dyDescent="0.25">
      <c r="A1167">
        <v>1937</v>
      </c>
      <c r="B1167" t="str">
        <f>"dichloor(a-methyl)benzeenmethanol"</f>
        <v>dichloor(a-methyl)benzeenmethanol</v>
      </c>
      <c r="C1167" t="s">
        <v>19016</v>
      </c>
      <c r="D1167" t="str">
        <f>""</f>
        <v/>
      </c>
      <c r="E1167" t="str">
        <f t="shared" si="52"/>
        <v xml:space="preserve">Organische parameters </v>
      </c>
      <c r="F1167" t="str">
        <f>""</f>
        <v/>
      </c>
      <c r="G1167" t="str">
        <f>""</f>
        <v/>
      </c>
    </row>
    <row r="1168" spans="1:7" x14ac:dyDescent="0.25">
      <c r="A1168">
        <v>1938</v>
      </c>
      <c r="B1168" t="str">
        <f>"dihydromethylindeenmethanol"</f>
        <v>dihydromethylindeenmethanol</v>
      </c>
      <c r="C1168" t="s">
        <v>19016</v>
      </c>
      <c r="D1168" t="str">
        <f>""</f>
        <v/>
      </c>
      <c r="E1168" t="str">
        <f t="shared" si="52"/>
        <v xml:space="preserve">Organische parameters </v>
      </c>
      <c r="F1168" t="str">
        <f>""</f>
        <v/>
      </c>
      <c r="G1168" t="str">
        <f>""</f>
        <v/>
      </c>
    </row>
    <row r="1169" spans="1:7" x14ac:dyDescent="0.25">
      <c r="A1169">
        <v>1939</v>
      </c>
      <c r="B1169" t="str">
        <f>"dimethylpropanoaatoctenol"</f>
        <v>dimethylpropanoaatoctenol</v>
      </c>
      <c r="C1169" t="s">
        <v>19016</v>
      </c>
      <c r="D1169" t="str">
        <f>""</f>
        <v/>
      </c>
      <c r="E1169" t="str">
        <f t="shared" si="52"/>
        <v xml:space="preserve">Organische parameters </v>
      </c>
      <c r="F1169" t="str">
        <f>""</f>
        <v/>
      </c>
      <c r="G1169" t="str">
        <f>""</f>
        <v/>
      </c>
    </row>
    <row r="1170" spans="1:7" x14ac:dyDescent="0.25">
      <c r="A1170">
        <v>1940</v>
      </c>
      <c r="B1170" t="str">
        <f>"trimethylpentadiol-di-isobutyraat"</f>
        <v>trimethylpentadiol-di-isobutyraat</v>
      </c>
      <c r="C1170" t="s">
        <v>19016</v>
      </c>
      <c r="D1170" t="str">
        <f>"6846-50-0"</f>
        <v>6846-50-0</v>
      </c>
      <c r="E1170" t="str">
        <f t="shared" si="52"/>
        <v xml:space="preserve">Organische parameters </v>
      </c>
      <c r="F1170" t="str">
        <f>""</f>
        <v/>
      </c>
      <c r="G1170" t="str">
        <f>""</f>
        <v/>
      </c>
    </row>
    <row r="1171" spans="1:7" x14ac:dyDescent="0.25">
      <c r="A1171">
        <v>1941</v>
      </c>
      <c r="B1171" t="str">
        <f>"3,4 dihydro-2-methoxy-2H-pyraan"</f>
        <v>3,4 dihydro-2-methoxy-2H-pyraan</v>
      </c>
      <c r="C1171" t="s">
        <v>19016</v>
      </c>
      <c r="D1171" t="str">
        <f>"1-5-4454"</f>
        <v>1-5-4454</v>
      </c>
      <c r="E1171" t="str">
        <f t="shared" si="52"/>
        <v xml:space="preserve">Organische parameters </v>
      </c>
      <c r="F1171" t="str">
        <f>""</f>
        <v/>
      </c>
      <c r="G1171" t="str">
        <f>""</f>
        <v/>
      </c>
    </row>
    <row r="1172" spans="1:7" x14ac:dyDescent="0.25">
      <c r="A1172">
        <v>1942</v>
      </c>
      <c r="B1172" t="str">
        <f>"tetraisobuteen"</f>
        <v>tetraisobuteen</v>
      </c>
      <c r="C1172" t="s">
        <v>19016</v>
      </c>
      <c r="D1172" t="str">
        <f>"15220-85-6"</f>
        <v>15220-85-6</v>
      </c>
      <c r="E1172" t="str">
        <f t="shared" si="52"/>
        <v xml:space="preserve">Organische parameters </v>
      </c>
      <c r="F1172" t="str">
        <f>""</f>
        <v/>
      </c>
      <c r="G1172" t="str">
        <f>""</f>
        <v/>
      </c>
    </row>
    <row r="1173" spans="1:7" x14ac:dyDescent="0.25">
      <c r="A1173">
        <v>1943</v>
      </c>
      <c r="B1173" t="str">
        <f>"triisobuteen"</f>
        <v>triisobuteen</v>
      </c>
      <c r="C1173" t="s">
        <v>19016</v>
      </c>
      <c r="D1173" t="str">
        <f>"7756-94-7"</f>
        <v>7756-94-7</v>
      </c>
      <c r="E1173" t="str">
        <f t="shared" si="52"/>
        <v xml:space="preserve">Organische parameters </v>
      </c>
      <c r="F1173" t="str">
        <f>""</f>
        <v/>
      </c>
      <c r="G1173" t="str">
        <f>""</f>
        <v/>
      </c>
    </row>
    <row r="1174" spans="1:7" x14ac:dyDescent="0.25">
      <c r="A1174">
        <v>1944</v>
      </c>
      <c r="B1174" t="str">
        <f>"talofuranose"</f>
        <v>talofuranose</v>
      </c>
      <c r="C1174" t="s">
        <v>19016</v>
      </c>
      <c r="D1174" t="str">
        <f>"36978-43-5"</f>
        <v>36978-43-5</v>
      </c>
      <c r="E1174" t="str">
        <f t="shared" si="52"/>
        <v xml:space="preserve">Organische parameters </v>
      </c>
      <c r="F1174" t="str">
        <f>""</f>
        <v/>
      </c>
      <c r="G1174" t="str">
        <f>""</f>
        <v/>
      </c>
    </row>
    <row r="1175" spans="1:7" x14ac:dyDescent="0.25">
      <c r="A1175">
        <v>1946</v>
      </c>
      <c r="B1175" t="str">
        <f>"1-(1-methyl-2-(2-propenyloxy)ethoxy)-2-propanol"</f>
        <v>1-(1-methyl-2-(2-propenyloxy)ethoxy)-2-propanol</v>
      </c>
      <c r="C1175" t="s">
        <v>19016</v>
      </c>
      <c r="D1175" t="str">
        <f>"55956-25-7"</f>
        <v>55956-25-7</v>
      </c>
      <c r="E1175" t="str">
        <f t="shared" si="52"/>
        <v xml:space="preserve">Organische parameters </v>
      </c>
      <c r="F1175" t="str">
        <f>""</f>
        <v/>
      </c>
      <c r="G1175" t="str">
        <f>""</f>
        <v/>
      </c>
    </row>
    <row r="1176" spans="1:7" x14ac:dyDescent="0.25">
      <c r="A1176">
        <v>1948</v>
      </c>
      <c r="B1176" t="str">
        <f>"4-(1,1-dimethylethyl)cyclohexanon)"</f>
        <v>4-(1,1-dimethylethyl)cyclohexanon)</v>
      </c>
      <c r="C1176" t="s">
        <v>19016</v>
      </c>
      <c r="D1176" t="str">
        <f>"98-53-3"</f>
        <v>98-53-3</v>
      </c>
      <c r="E1176" t="str">
        <f t="shared" si="52"/>
        <v xml:space="preserve">Organische parameters </v>
      </c>
      <c r="F1176" t="str">
        <f>""</f>
        <v/>
      </c>
      <c r="G1176" t="str">
        <f>""</f>
        <v/>
      </c>
    </row>
    <row r="1177" spans="1:7" x14ac:dyDescent="0.25">
      <c r="A1177">
        <v>1949</v>
      </c>
      <c r="B1177" t="str">
        <f>"didecylftalaat"</f>
        <v>didecylftalaat</v>
      </c>
      <c r="C1177" t="s">
        <v>19016</v>
      </c>
      <c r="D1177" t="str">
        <f>"ÿ84-77-5"</f>
        <v>ÿ84-77-5</v>
      </c>
      <c r="E1177" t="str">
        <f t="shared" si="52"/>
        <v xml:space="preserve">Organische parameters </v>
      </c>
      <c r="F1177" t="str">
        <f>""</f>
        <v/>
      </c>
      <c r="G1177" t="str">
        <f>""</f>
        <v/>
      </c>
    </row>
    <row r="1178" spans="1:7" x14ac:dyDescent="0.25">
      <c r="A1178">
        <v>1950</v>
      </c>
      <c r="B1178" t="str">
        <f>"anthanthreen"</f>
        <v>anthanthreen</v>
      </c>
      <c r="C1178" t="s">
        <v>19016</v>
      </c>
      <c r="D1178" t="str">
        <f>"191-26-4"</f>
        <v>191-26-4</v>
      </c>
      <c r="E1178" t="str">
        <f t="shared" si="52"/>
        <v xml:space="preserve">Organische parameters </v>
      </c>
      <c r="F1178" t="str">
        <f>""</f>
        <v/>
      </c>
      <c r="G1178" t="str">
        <f>""</f>
        <v/>
      </c>
    </row>
    <row r="1179" spans="1:7" x14ac:dyDescent="0.25">
      <c r="A1179">
        <v>1951</v>
      </c>
      <c r="B1179" t="str">
        <f>"1,2,4-trimethylbenzeen"</f>
        <v>1,2,4-trimethylbenzeen</v>
      </c>
      <c r="C1179" t="s">
        <v>19016</v>
      </c>
      <c r="D1179" t="str">
        <f>"95-63-6"</f>
        <v>95-63-6</v>
      </c>
      <c r="E1179" t="str">
        <f t="shared" si="52"/>
        <v xml:space="preserve">Organische parameters </v>
      </c>
      <c r="F1179" t="str">
        <f>""</f>
        <v/>
      </c>
      <c r="G1179" t="str">
        <f>""</f>
        <v/>
      </c>
    </row>
    <row r="1180" spans="1:7" x14ac:dyDescent="0.25">
      <c r="A1180">
        <v>1952</v>
      </c>
      <c r="B1180" t="str">
        <f>"1,2,3-trimethylbenzeen"</f>
        <v>1,2,3-trimethylbenzeen</v>
      </c>
      <c r="C1180" t="s">
        <v>19016</v>
      </c>
      <c r="D1180" t="str">
        <f>"526-73-8"</f>
        <v>526-73-8</v>
      </c>
      <c r="E1180" t="str">
        <f t="shared" si="52"/>
        <v xml:space="preserve">Organische parameters </v>
      </c>
      <c r="F1180" t="str">
        <f>""</f>
        <v/>
      </c>
      <c r="G1180" t="str">
        <f>""</f>
        <v/>
      </c>
    </row>
    <row r="1181" spans="1:7" x14ac:dyDescent="0.25">
      <c r="A1181">
        <v>1954</v>
      </c>
      <c r="B1181" t="str">
        <f>"1,1,1,2-tetrachloorethaan"</f>
        <v>1,1,1,2-tetrachloorethaan</v>
      </c>
      <c r="C1181" t="s">
        <v>19016</v>
      </c>
      <c r="D1181" t="str">
        <f>"630-20-6"</f>
        <v>630-20-6</v>
      </c>
      <c r="E1181" t="str">
        <f t="shared" si="52"/>
        <v xml:space="preserve">Organische parameters </v>
      </c>
      <c r="F1181" t="str">
        <f>"Gehalogeneerde alifatische koolwaterstoffen "</f>
        <v xml:space="preserve">Gehalogeneerde alifatische koolwaterstoffen </v>
      </c>
      <c r="G1181" t="str">
        <f>"Overige gehalogeneerde alifatische koolwaterstoffen "</f>
        <v xml:space="preserve">Overige gehalogeneerde alifatische koolwaterstoffen </v>
      </c>
    </row>
    <row r="1182" spans="1:7" x14ac:dyDescent="0.25">
      <c r="A1182">
        <v>1955</v>
      </c>
      <c r="B1182" t="str">
        <f>"1,1,2,2-tetrachloorethaan"</f>
        <v>1,1,2,2-tetrachloorethaan</v>
      </c>
      <c r="C1182" t="s">
        <v>19016</v>
      </c>
      <c r="D1182" t="str">
        <f>"79-34-5"</f>
        <v>79-34-5</v>
      </c>
      <c r="E1182" t="str">
        <f t="shared" si="52"/>
        <v xml:space="preserve">Organische parameters </v>
      </c>
      <c r="F1182" t="str">
        <f>"Gehalogeneerde alifatische koolwaterstoffen "</f>
        <v xml:space="preserve">Gehalogeneerde alifatische koolwaterstoffen </v>
      </c>
      <c r="G1182" t="str">
        <f>"Overige gehalogeneerde alifatische koolwaterstoffen "</f>
        <v xml:space="preserve">Overige gehalogeneerde alifatische koolwaterstoffen </v>
      </c>
    </row>
    <row r="1183" spans="1:7" x14ac:dyDescent="0.25">
      <c r="A1183">
        <v>1956</v>
      </c>
      <c r="B1183" t="str">
        <f>"3-ethyltolueen"</f>
        <v>3-ethyltolueen</v>
      </c>
      <c r="C1183" t="s">
        <v>19016</v>
      </c>
      <c r="D1183" t="str">
        <f>"620-14-4"</f>
        <v>620-14-4</v>
      </c>
      <c r="E1183" t="str">
        <f t="shared" si="52"/>
        <v xml:space="preserve">Organische parameters </v>
      </c>
      <c r="F1183" t="str">
        <f>""</f>
        <v/>
      </c>
      <c r="G1183" t="str">
        <f>""</f>
        <v/>
      </c>
    </row>
    <row r="1184" spans="1:7" x14ac:dyDescent="0.25">
      <c r="A1184">
        <v>1957</v>
      </c>
      <c r="B1184" t="str">
        <f>"4-ethyltolueen"</f>
        <v>4-ethyltolueen</v>
      </c>
      <c r="C1184" t="s">
        <v>19016</v>
      </c>
      <c r="D1184" t="str">
        <f>"622-96-8"</f>
        <v>622-96-8</v>
      </c>
      <c r="E1184" t="str">
        <f t="shared" si="52"/>
        <v xml:space="preserve">Organische parameters </v>
      </c>
      <c r="F1184" t="str">
        <f>""</f>
        <v/>
      </c>
      <c r="G1184" t="str">
        <f>""</f>
        <v/>
      </c>
    </row>
    <row r="1185" spans="1:7" x14ac:dyDescent="0.25">
      <c r="A1185">
        <v>1958</v>
      </c>
      <c r="B1185" t="str">
        <f>"2-ethyltolueen"</f>
        <v>2-ethyltolueen</v>
      </c>
      <c r="C1185" t="s">
        <v>19016</v>
      </c>
      <c r="D1185" t="str">
        <f>"611-14-3"</f>
        <v>611-14-3</v>
      </c>
      <c r="E1185" t="str">
        <f t="shared" si="52"/>
        <v xml:space="preserve">Organische parameters </v>
      </c>
      <c r="F1185" t="str">
        <f>""</f>
        <v/>
      </c>
      <c r="G1185" t="str">
        <f>""</f>
        <v/>
      </c>
    </row>
    <row r="1186" spans="1:7" x14ac:dyDescent="0.25">
      <c r="A1186">
        <v>1959</v>
      </c>
      <c r="B1186" t="str">
        <f>"4-chloortolueen"</f>
        <v>4-chloortolueen</v>
      </c>
      <c r="C1186" t="s">
        <v>19016</v>
      </c>
      <c r="D1186" t="str">
        <f>"106-43-4"</f>
        <v>106-43-4</v>
      </c>
      <c r="E1186" t="str">
        <f t="shared" si="52"/>
        <v xml:space="preserve">Organische parameters </v>
      </c>
      <c r="F1186" t="str">
        <f>""</f>
        <v/>
      </c>
      <c r="G1186" t="str">
        <f>""</f>
        <v/>
      </c>
    </row>
    <row r="1187" spans="1:7" x14ac:dyDescent="0.25">
      <c r="A1187">
        <v>1960</v>
      </c>
      <c r="B1187" t="str">
        <f>"1-methyl-4-isopropylbenzeen"</f>
        <v>1-methyl-4-isopropylbenzeen</v>
      </c>
      <c r="C1187" t="s">
        <v>19016</v>
      </c>
      <c r="D1187" t="str">
        <f>"99-87-6"</f>
        <v>99-87-6</v>
      </c>
      <c r="E1187" t="str">
        <f t="shared" si="52"/>
        <v xml:space="preserve">Organische parameters </v>
      </c>
      <c r="F1187" t="str">
        <f>""</f>
        <v/>
      </c>
      <c r="G1187" t="str">
        <f>""</f>
        <v/>
      </c>
    </row>
    <row r="1188" spans="1:7" x14ac:dyDescent="0.25">
      <c r="A1188">
        <v>1961</v>
      </c>
      <c r="B1188" t="str">
        <f>"tetrahydrothiofeen"</f>
        <v>tetrahydrothiofeen</v>
      </c>
      <c r="C1188" t="s">
        <v>19016</v>
      </c>
      <c r="D1188" t="str">
        <f>"110-01-0"</f>
        <v>110-01-0</v>
      </c>
      <c r="E1188" t="str">
        <f t="shared" si="52"/>
        <v xml:space="preserve">Organische parameters </v>
      </c>
      <c r="F1188" t="str">
        <f>""</f>
        <v/>
      </c>
      <c r="G1188" t="str">
        <f>""</f>
        <v/>
      </c>
    </row>
    <row r="1189" spans="1:7" x14ac:dyDescent="0.25">
      <c r="A1189">
        <v>1962</v>
      </c>
      <c r="B1189" t="str">
        <f>"chlooretheen (vinylchloride)"</f>
        <v>chlooretheen (vinylchloride)</v>
      </c>
      <c r="C1189" t="s">
        <v>19016</v>
      </c>
      <c r="D1189" t="str">
        <f>"75-01-4"</f>
        <v>75-01-4</v>
      </c>
      <c r="E1189" t="str">
        <f t="shared" si="52"/>
        <v xml:space="preserve">Organische parameters </v>
      </c>
      <c r="F1189" t="str">
        <f>"Gehalogeneerde alifatische koolwaterstoffen "</f>
        <v xml:space="preserve">Gehalogeneerde alifatische koolwaterstoffen </v>
      </c>
      <c r="G1189" t="str">
        <f>"Overige gehalogeneerde alifatische koolwaterstoffen "</f>
        <v xml:space="preserve">Overige gehalogeneerde alifatische koolwaterstoffen </v>
      </c>
    </row>
    <row r="1190" spans="1:7" x14ac:dyDescent="0.25">
      <c r="A1190">
        <v>1963</v>
      </c>
      <c r="B1190" t="str">
        <f>"bis(2-chloor-isopropyl)ether"</f>
        <v>bis(2-chloor-isopropyl)ether</v>
      </c>
      <c r="C1190" t="s">
        <v>19016</v>
      </c>
      <c r="D1190" t="str">
        <f>"39638-32-9"</f>
        <v>39638-32-9</v>
      </c>
      <c r="E1190" t="str">
        <f t="shared" si="52"/>
        <v xml:space="preserve">Organische parameters </v>
      </c>
      <c r="F1190" t="str">
        <f>"Gehalogeneerde alifatische koolwaterstoffen "</f>
        <v xml:space="preserve">Gehalogeneerde alifatische koolwaterstoffen </v>
      </c>
      <c r="G1190" t="str">
        <f>"Overige gehalogeneerde alifatische koolwaterstoffen "</f>
        <v xml:space="preserve">Overige gehalogeneerde alifatische koolwaterstoffen </v>
      </c>
    </row>
    <row r="1191" spans="1:7" x14ac:dyDescent="0.25">
      <c r="A1191">
        <v>1964</v>
      </c>
      <c r="B1191" t="str">
        <f>"bis(2-chloor-propyl)ether"</f>
        <v>bis(2-chloor-propyl)ether</v>
      </c>
      <c r="C1191" t="s">
        <v>19016</v>
      </c>
      <c r="D1191" t="str">
        <f>"54460-96-7"</f>
        <v>54460-96-7</v>
      </c>
      <c r="E1191" t="str">
        <f t="shared" si="52"/>
        <v xml:space="preserve">Organische parameters </v>
      </c>
      <c r="F1191" t="str">
        <f>"Gehalogeneerde alifatische koolwaterstoffen "</f>
        <v xml:space="preserve">Gehalogeneerde alifatische koolwaterstoffen </v>
      </c>
      <c r="G1191" t="str">
        <f>"Overige gehalogeneerde alifatische koolwaterstoffen "</f>
        <v xml:space="preserve">Overige gehalogeneerde alifatische koolwaterstoffen </v>
      </c>
    </row>
    <row r="1192" spans="1:7" x14ac:dyDescent="0.25">
      <c r="A1192">
        <v>1965</v>
      </c>
      <c r="B1192" t="str">
        <f>"1-chloornaftaleen"</f>
        <v>1-chloornaftaleen</v>
      </c>
      <c r="C1192" t="s">
        <v>19016</v>
      </c>
      <c r="D1192" t="str">
        <f>"90-13-1"</f>
        <v>90-13-1</v>
      </c>
      <c r="E1192" t="str">
        <f t="shared" si="52"/>
        <v xml:space="preserve">Organische parameters </v>
      </c>
      <c r="F1192" t="str">
        <f>"Gehalogeneerde monocyclische koolwaterstoffen "</f>
        <v xml:space="preserve">Gehalogeneerde monocyclische koolwaterstoffen </v>
      </c>
      <c r="G1192" t="str">
        <f>""</f>
        <v/>
      </c>
    </row>
    <row r="1193" spans="1:7" x14ac:dyDescent="0.25">
      <c r="A1193">
        <v>1968</v>
      </c>
      <c r="B1193" t="str">
        <f>"trifluorazijnzuur"</f>
        <v>trifluorazijnzuur</v>
      </c>
      <c r="C1193" t="s">
        <v>19016</v>
      </c>
      <c r="D1193" t="str">
        <f>"76-05-1"</f>
        <v>76-05-1</v>
      </c>
      <c r="E1193" t="str">
        <f t="shared" si="52"/>
        <v xml:space="preserve">Organische parameters </v>
      </c>
      <c r="F1193" t="str">
        <f>"Overige antropogene stoffen "</f>
        <v xml:space="preserve">Overige antropogene stoffen </v>
      </c>
      <c r="G1193" t="str">
        <f>""</f>
        <v/>
      </c>
    </row>
    <row r="1194" spans="1:7" x14ac:dyDescent="0.25">
      <c r="A1194">
        <v>1969</v>
      </c>
      <c r="B1194" t="str">
        <f>"ethaan"</f>
        <v>ethaan</v>
      </c>
      <c r="C1194" t="s">
        <v>19016</v>
      </c>
      <c r="D1194" t="str">
        <f>"74-84-0"</f>
        <v>74-84-0</v>
      </c>
      <c r="E1194" t="str">
        <f t="shared" si="52"/>
        <v xml:space="preserve">Organische parameters </v>
      </c>
      <c r="F1194" t="str">
        <f>""</f>
        <v/>
      </c>
      <c r="G1194" t="str">
        <f>""</f>
        <v/>
      </c>
    </row>
    <row r="1195" spans="1:7" x14ac:dyDescent="0.25">
      <c r="A1195">
        <v>1970</v>
      </c>
      <c r="B1195" t="str">
        <f>"monochloorazijnzuur"</f>
        <v>monochloorazijnzuur</v>
      </c>
      <c r="C1195" t="s">
        <v>19016</v>
      </c>
      <c r="D1195" t="str">
        <f>"79-11-8"</f>
        <v>79-11-8</v>
      </c>
      <c r="E1195" t="str">
        <f t="shared" si="52"/>
        <v xml:space="preserve">Organische parameters </v>
      </c>
      <c r="F1195" t="str">
        <f>""</f>
        <v/>
      </c>
      <c r="G1195" t="str">
        <f>""</f>
        <v/>
      </c>
    </row>
    <row r="1196" spans="1:7" x14ac:dyDescent="0.25">
      <c r="A1196">
        <v>1971</v>
      </c>
      <c r="B1196" t="str">
        <f>"dichloorazijnzuur"</f>
        <v>dichloorazijnzuur</v>
      </c>
      <c r="C1196" t="s">
        <v>19016</v>
      </c>
      <c r="D1196" t="str">
        <f>"79-43-6"</f>
        <v>79-43-6</v>
      </c>
      <c r="E1196" t="str">
        <f t="shared" si="52"/>
        <v xml:space="preserve">Organische parameters </v>
      </c>
      <c r="F1196" t="str">
        <f>""</f>
        <v/>
      </c>
      <c r="G1196" t="str">
        <f>""</f>
        <v/>
      </c>
    </row>
    <row r="1197" spans="1:7" x14ac:dyDescent="0.25">
      <c r="A1197">
        <v>1972</v>
      </c>
      <c r="B1197" t="str">
        <f>"monobroomazijnzuur"</f>
        <v>monobroomazijnzuur</v>
      </c>
      <c r="C1197" t="s">
        <v>19016</v>
      </c>
      <c r="D1197" t="str">
        <f>"79-08-3"</f>
        <v>79-08-3</v>
      </c>
      <c r="E1197" t="str">
        <f t="shared" si="52"/>
        <v xml:space="preserve">Organische parameters </v>
      </c>
      <c r="F1197" t="str">
        <f>""</f>
        <v/>
      </c>
      <c r="G1197" t="str">
        <f>""</f>
        <v/>
      </c>
    </row>
    <row r="1198" spans="1:7" x14ac:dyDescent="0.25">
      <c r="A1198">
        <v>1973</v>
      </c>
      <c r="B1198" t="str">
        <f>"dibroomazijnzuur"</f>
        <v>dibroomazijnzuur</v>
      </c>
      <c r="C1198" t="s">
        <v>19016</v>
      </c>
      <c r="D1198" t="str">
        <f>"631-64-1"</f>
        <v>631-64-1</v>
      </c>
      <c r="E1198" t="str">
        <f t="shared" si="52"/>
        <v xml:space="preserve">Organische parameters </v>
      </c>
      <c r="F1198" t="str">
        <f>""</f>
        <v/>
      </c>
      <c r="G1198" t="str">
        <f>""</f>
        <v/>
      </c>
    </row>
    <row r="1199" spans="1:7" x14ac:dyDescent="0.25">
      <c r="A1199">
        <v>1974</v>
      </c>
      <c r="B1199" t="str">
        <f>"tribroomazijnzuur"</f>
        <v>tribroomazijnzuur</v>
      </c>
      <c r="C1199" t="s">
        <v>19016</v>
      </c>
      <c r="D1199" t="str">
        <f>"75-96-7"</f>
        <v>75-96-7</v>
      </c>
      <c r="E1199" t="str">
        <f t="shared" si="52"/>
        <v xml:space="preserve">Organische parameters </v>
      </c>
      <c r="F1199" t="str">
        <f>""</f>
        <v/>
      </c>
      <c r="G1199" t="str">
        <f>""</f>
        <v/>
      </c>
    </row>
    <row r="1200" spans="1:7" x14ac:dyDescent="0.25">
      <c r="A1200">
        <v>1975</v>
      </c>
      <c r="B1200" t="str">
        <f>"broomchloorazijnzuur"</f>
        <v>broomchloorazijnzuur</v>
      </c>
      <c r="C1200" t="s">
        <v>19016</v>
      </c>
      <c r="D1200" t="str">
        <f>"5589-96-8"</f>
        <v>5589-96-8</v>
      </c>
      <c r="E1200" t="str">
        <f t="shared" si="52"/>
        <v xml:space="preserve">Organische parameters </v>
      </c>
      <c r="F1200" t="str">
        <f>""</f>
        <v/>
      </c>
      <c r="G1200" t="str">
        <f>""</f>
        <v/>
      </c>
    </row>
    <row r="1201" spans="1:7" x14ac:dyDescent="0.25">
      <c r="A1201">
        <v>1976</v>
      </c>
      <c r="B1201" t="str">
        <f>"broomdichloorazijnzuur"</f>
        <v>broomdichloorazijnzuur</v>
      </c>
      <c r="C1201" t="s">
        <v>19016</v>
      </c>
      <c r="D1201" t="str">
        <f>"71133-14-7"</f>
        <v>71133-14-7</v>
      </c>
      <c r="E1201" t="str">
        <f t="shared" si="52"/>
        <v xml:space="preserve">Organische parameters </v>
      </c>
      <c r="F1201" t="str">
        <f>""</f>
        <v/>
      </c>
      <c r="G1201" t="str">
        <f>""</f>
        <v/>
      </c>
    </row>
    <row r="1202" spans="1:7" x14ac:dyDescent="0.25">
      <c r="A1202">
        <v>1977</v>
      </c>
      <c r="B1202" t="str">
        <f>"chloordibroomazijnzuur"</f>
        <v>chloordibroomazijnzuur</v>
      </c>
      <c r="C1202" t="s">
        <v>19016</v>
      </c>
      <c r="D1202" t="str">
        <f>"5278-95-5"</f>
        <v>5278-95-5</v>
      </c>
      <c r="E1202" t="str">
        <f t="shared" si="52"/>
        <v xml:space="preserve">Organische parameters </v>
      </c>
      <c r="F1202" t="str">
        <f>""</f>
        <v/>
      </c>
      <c r="G1202" t="str">
        <f>""</f>
        <v/>
      </c>
    </row>
    <row r="1203" spans="1:7" x14ac:dyDescent="0.25">
      <c r="A1203">
        <v>1978</v>
      </c>
      <c r="B1203" t="str">
        <f>"2,3-dichloor-1-propeen"</f>
        <v>2,3-dichloor-1-propeen</v>
      </c>
      <c r="C1203" t="s">
        <v>19016</v>
      </c>
      <c r="D1203" t="str">
        <f>"78-88-6"</f>
        <v>78-88-6</v>
      </c>
      <c r="E1203" t="str">
        <f t="shared" si="52"/>
        <v xml:space="preserve">Organische parameters </v>
      </c>
      <c r="F1203" t="str">
        <f>"Gehalogeneerde alifatische koolwaterstoffen "</f>
        <v xml:space="preserve">Gehalogeneerde alifatische koolwaterstoffen </v>
      </c>
      <c r="G1203" t="str">
        <f>"Overige gehalogeneerde alifatische koolwaterstoffen "</f>
        <v xml:space="preserve">Overige gehalogeneerde alifatische koolwaterstoffen </v>
      </c>
    </row>
    <row r="1204" spans="1:7" x14ac:dyDescent="0.25">
      <c r="A1204">
        <v>1979</v>
      </c>
      <c r="B1204" t="str">
        <f>"2,4,6-trimethylaniline"</f>
        <v>2,4,6-trimethylaniline</v>
      </c>
      <c r="C1204" t="s">
        <v>19016</v>
      </c>
      <c r="D1204" t="str">
        <f>"88-05-1"</f>
        <v>88-05-1</v>
      </c>
      <c r="E1204" t="str">
        <f t="shared" si="52"/>
        <v xml:space="preserve">Organische parameters </v>
      </c>
      <c r="F1204" t="str">
        <f>"Aromatische aminen "</f>
        <v xml:space="preserve">Aromatische aminen </v>
      </c>
      <c r="G1204" t="str">
        <f>""</f>
        <v/>
      </c>
    </row>
    <row r="1205" spans="1:7" x14ac:dyDescent="0.25">
      <c r="A1205">
        <v>1980</v>
      </c>
      <c r="B1205" t="str">
        <f>"para-tolueensulfonamide"</f>
        <v>para-tolueensulfonamide</v>
      </c>
      <c r="C1205" t="s">
        <v>19016</v>
      </c>
      <c r="D1205" t="str">
        <f>"70-55-3"</f>
        <v>70-55-3</v>
      </c>
      <c r="E1205" t="str">
        <f t="shared" si="52"/>
        <v xml:space="preserve">Organische parameters </v>
      </c>
      <c r="F1205" t="str">
        <f>""</f>
        <v/>
      </c>
      <c r="G1205" t="str">
        <f>""</f>
        <v/>
      </c>
    </row>
    <row r="1206" spans="1:7" x14ac:dyDescent="0.25">
      <c r="A1206">
        <v>1981</v>
      </c>
      <c r="B1206" t="str">
        <f>"2-butenal"</f>
        <v>2-butenal</v>
      </c>
      <c r="C1206" t="s">
        <v>19016</v>
      </c>
      <c r="D1206" t="str">
        <f>"4170-30-3"</f>
        <v>4170-30-3</v>
      </c>
      <c r="E1206" t="str">
        <f t="shared" si="52"/>
        <v xml:space="preserve">Organische parameters </v>
      </c>
      <c r="F1206" t="str">
        <f>""</f>
        <v/>
      </c>
      <c r="G1206" t="str">
        <f>""</f>
        <v/>
      </c>
    </row>
    <row r="1207" spans="1:7" x14ac:dyDescent="0.25">
      <c r="A1207">
        <v>1982</v>
      </c>
      <c r="B1207" t="str">
        <f>"N-nitrosodifenylamine"</f>
        <v>N-nitrosodifenylamine</v>
      </c>
      <c r="C1207" t="s">
        <v>19016</v>
      </c>
      <c r="D1207" t="str">
        <f>"86-30-6"</f>
        <v>86-30-6</v>
      </c>
      <c r="E1207" t="str">
        <f t="shared" si="52"/>
        <v xml:space="preserve">Organische parameters </v>
      </c>
      <c r="F1207" t="str">
        <f>"Aromatische aminen "</f>
        <v xml:space="preserve">Aromatische aminen </v>
      </c>
      <c r="G1207" t="str">
        <f>""</f>
        <v/>
      </c>
    </row>
    <row r="1208" spans="1:7" x14ac:dyDescent="0.25">
      <c r="A1208">
        <v>1983</v>
      </c>
      <c r="B1208" t="str">
        <f>"1-chloor-4-nitrobenzeen"</f>
        <v>1-chloor-4-nitrobenzeen</v>
      </c>
      <c r="C1208" t="s">
        <v>19016</v>
      </c>
      <c r="D1208" t="str">
        <f>"100-00-5"</f>
        <v>100-00-5</v>
      </c>
      <c r="E1208" t="str">
        <f t="shared" si="52"/>
        <v xml:space="preserve">Organische parameters </v>
      </c>
      <c r="F1208" t="str">
        <f>""</f>
        <v/>
      </c>
      <c r="G1208" t="str">
        <f>""</f>
        <v/>
      </c>
    </row>
    <row r="1209" spans="1:7" x14ac:dyDescent="0.25">
      <c r="A1209">
        <v>1984</v>
      </c>
      <c r="B1209" t="str">
        <f>"2-nitrotolueen"</f>
        <v>2-nitrotolueen</v>
      </c>
      <c r="C1209" t="s">
        <v>19016</v>
      </c>
      <c r="D1209" t="str">
        <f>"88-72-2"</f>
        <v>88-72-2</v>
      </c>
      <c r="E1209" t="str">
        <f t="shared" si="52"/>
        <v xml:space="preserve">Organische parameters </v>
      </c>
      <c r="F1209" t="str">
        <f>""</f>
        <v/>
      </c>
      <c r="G1209" t="str">
        <f>""</f>
        <v/>
      </c>
    </row>
    <row r="1210" spans="1:7" x14ac:dyDescent="0.25">
      <c r="A1210">
        <v>1985</v>
      </c>
      <c r="B1210" t="str">
        <f>"2,6-dinitromethylbenzeen"</f>
        <v>2,6-dinitromethylbenzeen</v>
      </c>
      <c r="C1210" t="s">
        <v>19016</v>
      </c>
      <c r="D1210" t="str">
        <f>"606-20-2"</f>
        <v>606-20-2</v>
      </c>
      <c r="E1210" t="str">
        <f t="shared" si="52"/>
        <v xml:space="preserve">Organische parameters </v>
      </c>
      <c r="F1210" t="str">
        <f>""</f>
        <v/>
      </c>
      <c r="G1210" t="str">
        <f>""</f>
        <v/>
      </c>
    </row>
    <row r="1211" spans="1:7" x14ac:dyDescent="0.25">
      <c r="A1211">
        <v>1986</v>
      </c>
      <c r="B1211" t="str">
        <f>"2,3-dimethylpyrazine"</f>
        <v>2,3-dimethylpyrazine</v>
      </c>
      <c r="C1211" t="s">
        <v>19016</v>
      </c>
      <c r="D1211" t="str">
        <f>"5910-89-4"</f>
        <v>5910-89-4</v>
      </c>
      <c r="E1211" t="str">
        <f t="shared" si="52"/>
        <v xml:space="preserve">Organische parameters </v>
      </c>
      <c r="F1211" t="str">
        <f>""</f>
        <v/>
      </c>
      <c r="G1211" t="str">
        <f>""</f>
        <v/>
      </c>
    </row>
    <row r="1212" spans="1:7" x14ac:dyDescent="0.25">
      <c r="A1212">
        <v>1987</v>
      </c>
      <c r="B1212" t="str">
        <f>"2,5-dimethylpyrazine"</f>
        <v>2,5-dimethylpyrazine</v>
      </c>
      <c r="C1212" t="s">
        <v>19016</v>
      </c>
      <c r="D1212" t="str">
        <f>"123-32-0"</f>
        <v>123-32-0</v>
      </c>
      <c r="E1212" t="str">
        <f t="shared" si="52"/>
        <v xml:space="preserve">Organische parameters </v>
      </c>
      <c r="F1212" t="str">
        <f>""</f>
        <v/>
      </c>
      <c r="G1212" t="str">
        <f>""</f>
        <v/>
      </c>
    </row>
    <row r="1213" spans="1:7" x14ac:dyDescent="0.25">
      <c r="A1213">
        <v>1988</v>
      </c>
      <c r="B1213" t="str">
        <f>"geosmine"</f>
        <v>geosmine</v>
      </c>
      <c r="C1213" t="s">
        <v>14322</v>
      </c>
      <c r="D1213" t="str">
        <f>"16423-19-1"</f>
        <v>16423-19-1</v>
      </c>
      <c r="E1213" t="str">
        <f t="shared" si="52"/>
        <v xml:space="preserve">Organische parameters </v>
      </c>
      <c r="F1213" t="str">
        <f>""</f>
        <v/>
      </c>
      <c r="G1213" t="str">
        <f>""</f>
        <v/>
      </c>
    </row>
    <row r="1214" spans="1:7" x14ac:dyDescent="0.25">
      <c r="A1214">
        <v>1989</v>
      </c>
      <c r="B1214" t="str">
        <f>"2-methylisoborneol"</f>
        <v>2-methylisoborneol</v>
      </c>
      <c r="C1214" t="s">
        <v>14322</v>
      </c>
      <c r="D1214" t="str">
        <f>"2371-42-8"</f>
        <v>2371-42-8</v>
      </c>
      <c r="E1214" t="str">
        <f t="shared" si="52"/>
        <v xml:space="preserve">Organische parameters </v>
      </c>
      <c r="F1214" t="str">
        <f>""</f>
        <v/>
      </c>
      <c r="G1214" t="str">
        <f>""</f>
        <v/>
      </c>
    </row>
    <row r="1215" spans="1:7" x14ac:dyDescent="0.25">
      <c r="A1215">
        <v>1991</v>
      </c>
      <c r="B1215" t="str">
        <f>"4,5-dimethyleenfenanthreen"</f>
        <v>4,5-dimethyleenfenanthreen</v>
      </c>
      <c r="C1215" t="s">
        <v>19016</v>
      </c>
      <c r="D1215" t="str">
        <f>"3674-69-9"</f>
        <v>3674-69-9</v>
      </c>
      <c r="E1215" t="str">
        <f t="shared" si="52"/>
        <v xml:space="preserve">Organische parameters </v>
      </c>
      <c r="F1215" t="str">
        <f>""</f>
        <v/>
      </c>
      <c r="G1215" t="str">
        <f>""</f>
        <v/>
      </c>
    </row>
    <row r="1216" spans="1:7" x14ac:dyDescent="0.25">
      <c r="A1216">
        <v>1992</v>
      </c>
      <c r="B1216" t="str">
        <f>"2-methylnaftaleen"</f>
        <v>2-methylnaftaleen</v>
      </c>
      <c r="C1216" t="s">
        <v>19016</v>
      </c>
      <c r="D1216" t="str">
        <f>"91-57-6"</f>
        <v>91-57-6</v>
      </c>
      <c r="E1216" t="str">
        <f t="shared" si="52"/>
        <v xml:space="preserve">Organische parameters </v>
      </c>
      <c r="F1216" t="str">
        <f>""</f>
        <v/>
      </c>
      <c r="G1216" t="str">
        <f>""</f>
        <v/>
      </c>
    </row>
    <row r="1217" spans="1:7" x14ac:dyDescent="0.25">
      <c r="A1217">
        <v>1993</v>
      </c>
      <c r="B1217" t="str">
        <f>"1-methylnaftaleen"</f>
        <v>1-methylnaftaleen</v>
      </c>
      <c r="C1217" t="s">
        <v>19016</v>
      </c>
      <c r="D1217" t="str">
        <f>"90-12-0"</f>
        <v>90-12-0</v>
      </c>
      <c r="E1217" t="str">
        <f t="shared" si="52"/>
        <v xml:space="preserve">Organische parameters </v>
      </c>
      <c r="F1217" t="str">
        <f>""</f>
        <v/>
      </c>
      <c r="G1217" t="str">
        <f>""</f>
        <v/>
      </c>
    </row>
    <row r="1218" spans="1:7" x14ac:dyDescent="0.25">
      <c r="A1218">
        <v>1994</v>
      </c>
      <c r="B1218" t="str">
        <f>"2-(4-chloorfenoxy)-2-methylpropionzuur"</f>
        <v>2-(4-chloorfenoxy)-2-methylpropionzuur</v>
      </c>
      <c r="C1218" t="s">
        <v>19016</v>
      </c>
      <c r="D1218" t="str">
        <f>"882-89-7"</f>
        <v>882-89-7</v>
      </c>
      <c r="E1218" t="str">
        <f t="shared" si="52"/>
        <v xml:space="preserve">Organische parameters </v>
      </c>
      <c r="F1218" t="str">
        <f>""</f>
        <v/>
      </c>
      <c r="G1218" t="str">
        <f>""</f>
        <v/>
      </c>
    </row>
    <row r="1219" spans="1:7" x14ac:dyDescent="0.25">
      <c r="A1219">
        <v>1995</v>
      </c>
      <c r="B1219" t="str">
        <f>"1,2-dibroometheen"</f>
        <v>1,2-dibroometheen</v>
      </c>
      <c r="C1219" t="s">
        <v>19016</v>
      </c>
      <c r="D1219" t="str">
        <f>"25429-23-6"</f>
        <v>25429-23-6</v>
      </c>
      <c r="E1219" t="str">
        <f t="shared" si="52"/>
        <v xml:space="preserve">Organische parameters </v>
      </c>
      <c r="F1219" t="str">
        <f>"Gehalogeneerde alifatische koolwaterstoffen "</f>
        <v xml:space="preserve">Gehalogeneerde alifatische koolwaterstoffen </v>
      </c>
      <c r="G1219" t="str">
        <f>"Overige gehalogeneerde alifatische koolwaterstoffen "</f>
        <v xml:space="preserve">Overige gehalogeneerde alifatische koolwaterstoffen </v>
      </c>
    </row>
    <row r="1220" spans="1:7" x14ac:dyDescent="0.25">
      <c r="A1220">
        <v>1996</v>
      </c>
      <c r="B1220" t="str">
        <f>"1,1,2-tribroometheen"</f>
        <v>1,1,2-tribroometheen</v>
      </c>
      <c r="C1220" t="s">
        <v>19016</v>
      </c>
      <c r="D1220" t="str">
        <f>"598-16-3"</f>
        <v>598-16-3</v>
      </c>
      <c r="E1220" t="str">
        <f t="shared" si="52"/>
        <v xml:space="preserve">Organische parameters </v>
      </c>
      <c r="F1220" t="str">
        <f>"Gehalogeneerde alifatische koolwaterstoffen "</f>
        <v xml:space="preserve">Gehalogeneerde alifatische koolwaterstoffen </v>
      </c>
      <c r="G1220" t="str">
        <f>"Overige gehalogeneerde alifatische koolwaterstoffen "</f>
        <v xml:space="preserve">Overige gehalogeneerde alifatische koolwaterstoffen </v>
      </c>
    </row>
    <row r="1221" spans="1:7" x14ac:dyDescent="0.25">
      <c r="A1221">
        <v>1997</v>
      </c>
      <c r="B1221" t="str">
        <f>"3-nitrotolueen"</f>
        <v>3-nitrotolueen</v>
      </c>
      <c r="C1221" t="s">
        <v>19016</v>
      </c>
      <c r="D1221" t="str">
        <f>"99-08-1"</f>
        <v>99-08-1</v>
      </c>
      <c r="E1221" t="str">
        <f t="shared" si="52"/>
        <v xml:space="preserve">Organische parameters </v>
      </c>
      <c r="F1221" t="str">
        <f>""</f>
        <v/>
      </c>
      <c r="G1221" t="str">
        <f>""</f>
        <v/>
      </c>
    </row>
    <row r="1222" spans="1:7" x14ac:dyDescent="0.25">
      <c r="A1222">
        <v>1998</v>
      </c>
      <c r="B1222" t="str">
        <f>"t-butylbenzeen"</f>
        <v>t-butylbenzeen</v>
      </c>
      <c r="C1222" t="s">
        <v>19016</v>
      </c>
      <c r="D1222" t="str">
        <f>"98-06-6"</f>
        <v>98-06-6</v>
      </c>
      <c r="E1222" t="str">
        <f t="shared" si="52"/>
        <v xml:space="preserve">Organische parameters </v>
      </c>
      <c r="F1222" t="str">
        <f>""</f>
        <v/>
      </c>
      <c r="G1222" t="str">
        <f>""</f>
        <v/>
      </c>
    </row>
    <row r="1223" spans="1:7" x14ac:dyDescent="0.25">
      <c r="A1223">
        <v>1999</v>
      </c>
      <c r="B1223" t="str">
        <f>"4-n-nonylfenol"</f>
        <v>4-n-nonylfenol</v>
      </c>
      <c r="C1223" t="s">
        <v>19016</v>
      </c>
      <c r="D1223" t="str">
        <f>"68152-92-1"</f>
        <v>68152-92-1</v>
      </c>
      <c r="E1223" t="str">
        <f t="shared" si="52"/>
        <v xml:space="preserve">Organische parameters </v>
      </c>
      <c r="F1223" t="str">
        <f>""</f>
        <v/>
      </c>
      <c r="G1223" t="str">
        <f>""</f>
        <v/>
      </c>
    </row>
    <row r="1224" spans="1:7" x14ac:dyDescent="0.25">
      <c r="A1224">
        <v>2000</v>
      </c>
      <c r="B1224" t="str">
        <f>"4-nitrotolueen"</f>
        <v>4-nitrotolueen</v>
      </c>
      <c r="C1224" t="s">
        <v>19016</v>
      </c>
      <c r="D1224" t="str">
        <f>"99-99-0"</f>
        <v>99-99-0</v>
      </c>
      <c r="E1224" t="str">
        <f t="shared" si="52"/>
        <v xml:space="preserve">Organische parameters </v>
      </c>
      <c r="F1224" t="str">
        <f>""</f>
        <v/>
      </c>
      <c r="G1224" t="str">
        <f>""</f>
        <v/>
      </c>
    </row>
    <row r="1225" spans="1:7" x14ac:dyDescent="0.25">
      <c r="A1225">
        <v>2001</v>
      </c>
      <c r="B1225" t="str">
        <f>"chinon"</f>
        <v>chinon</v>
      </c>
      <c r="C1225" t="s">
        <v>19016</v>
      </c>
      <c r="D1225" t="str">
        <f>"106-51-4"</f>
        <v>106-51-4</v>
      </c>
      <c r="E1225" t="str">
        <f t="shared" si="52"/>
        <v xml:space="preserve">Organische parameters </v>
      </c>
      <c r="F1225" t="str">
        <f>""</f>
        <v/>
      </c>
      <c r="G1225" t="str">
        <f>""</f>
        <v/>
      </c>
    </row>
    <row r="1226" spans="1:7" x14ac:dyDescent="0.25">
      <c r="A1226">
        <v>2002</v>
      </c>
      <c r="B1226" t="str">
        <f>"hydrochinon"</f>
        <v>hydrochinon</v>
      </c>
      <c r="C1226" t="s">
        <v>19016</v>
      </c>
      <c r="D1226" t="str">
        <f>"123-31-9"</f>
        <v>123-31-9</v>
      </c>
      <c r="E1226" t="str">
        <f t="shared" si="52"/>
        <v xml:space="preserve">Organische parameters </v>
      </c>
      <c r="F1226" t="str">
        <f>""</f>
        <v/>
      </c>
      <c r="G1226" t="str">
        <f>""</f>
        <v/>
      </c>
    </row>
    <row r="1227" spans="1:7" x14ac:dyDescent="0.25">
      <c r="A1227">
        <v>2003</v>
      </c>
      <c r="B1227" t="str">
        <f>"di-ethyleentriaminepenta-azijnzuur"</f>
        <v>di-ethyleentriaminepenta-azijnzuur</v>
      </c>
      <c r="C1227" t="s">
        <v>19016</v>
      </c>
      <c r="D1227" t="str">
        <f>"67-43-6"</f>
        <v>67-43-6</v>
      </c>
      <c r="E1227" t="str">
        <f t="shared" si="52"/>
        <v xml:space="preserve">Organische parameters </v>
      </c>
      <c r="F1227" t="str">
        <f>""</f>
        <v/>
      </c>
      <c r="G1227" t="str">
        <f>""</f>
        <v/>
      </c>
    </row>
    <row r="1228" spans="1:7" x14ac:dyDescent="0.25">
      <c r="A1228">
        <v>2004</v>
      </c>
      <c r="B1228" t="str">
        <f>"fluroglycofen-ethyl"</f>
        <v>fluroglycofen-ethyl</v>
      </c>
      <c r="C1228" t="s">
        <v>19016</v>
      </c>
      <c r="D1228" t="str">
        <f>""</f>
        <v/>
      </c>
      <c r="E1228" t="str">
        <f t="shared" si="52"/>
        <v xml:space="preserve">Organische parameters </v>
      </c>
      <c r="F1228" t="str">
        <f>""</f>
        <v/>
      </c>
      <c r="G1228" t="str">
        <f>""</f>
        <v/>
      </c>
    </row>
    <row r="1229" spans="1:7" x14ac:dyDescent="0.25">
      <c r="A1229">
        <v>2005</v>
      </c>
      <c r="B1229" t="str">
        <f>"2-methylfenol"</f>
        <v>2-methylfenol</v>
      </c>
      <c r="C1229" t="s">
        <v>19016</v>
      </c>
      <c r="D1229" t="str">
        <f>"95-48-7"</f>
        <v>95-48-7</v>
      </c>
      <c r="E1229" t="str">
        <f t="shared" ref="E1229:E1292" si="53">"Organische parameters "</f>
        <v xml:space="preserve">Organische parameters </v>
      </c>
      <c r="F1229" t="str">
        <f>""</f>
        <v/>
      </c>
      <c r="G1229" t="str">
        <f>""</f>
        <v/>
      </c>
    </row>
    <row r="1230" spans="1:7" x14ac:dyDescent="0.25">
      <c r="A1230">
        <v>2007</v>
      </c>
      <c r="B1230" t="str">
        <f>"4-methylfenol"</f>
        <v>4-methylfenol</v>
      </c>
      <c r="C1230" t="s">
        <v>19016</v>
      </c>
      <c r="D1230" t="str">
        <f>"8001-28-3"</f>
        <v>8001-28-3</v>
      </c>
      <c r="E1230" t="str">
        <f t="shared" si="53"/>
        <v xml:space="preserve">Organische parameters </v>
      </c>
      <c r="F1230" t="str">
        <f>""</f>
        <v/>
      </c>
      <c r="G1230" t="str">
        <f>""</f>
        <v/>
      </c>
    </row>
    <row r="1231" spans="1:7" x14ac:dyDescent="0.25">
      <c r="A1231">
        <v>2008</v>
      </c>
      <c r="B1231" t="str">
        <f>"2,3-dimethylfenol"</f>
        <v>2,3-dimethylfenol</v>
      </c>
      <c r="C1231" t="s">
        <v>19016</v>
      </c>
      <c r="D1231" t="str">
        <f>"526-75-0"</f>
        <v>526-75-0</v>
      </c>
      <c r="E1231" t="str">
        <f t="shared" si="53"/>
        <v xml:space="preserve">Organische parameters </v>
      </c>
      <c r="F1231" t="str">
        <f>""</f>
        <v/>
      </c>
      <c r="G1231" t="str">
        <f>""</f>
        <v/>
      </c>
    </row>
    <row r="1232" spans="1:7" x14ac:dyDescent="0.25">
      <c r="A1232">
        <v>2009</v>
      </c>
      <c r="B1232" t="str">
        <f>"2,5-dimethylfenol"</f>
        <v>2,5-dimethylfenol</v>
      </c>
      <c r="C1232" t="s">
        <v>19016</v>
      </c>
      <c r="D1232" t="str">
        <f>"95-87-4"</f>
        <v>95-87-4</v>
      </c>
      <c r="E1232" t="str">
        <f t="shared" si="53"/>
        <v xml:space="preserve">Organische parameters </v>
      </c>
      <c r="F1232" t="str">
        <f>""</f>
        <v/>
      </c>
      <c r="G1232" t="str">
        <f>""</f>
        <v/>
      </c>
    </row>
    <row r="1233" spans="1:7" x14ac:dyDescent="0.25">
      <c r="A1233">
        <v>2010</v>
      </c>
      <c r="B1233" t="str">
        <f>"2,6-dimethylfenol"</f>
        <v>2,6-dimethylfenol</v>
      </c>
      <c r="C1233" t="s">
        <v>19016</v>
      </c>
      <c r="D1233" t="str">
        <f>"576-26-1"</f>
        <v>576-26-1</v>
      </c>
      <c r="E1233" t="str">
        <f t="shared" si="53"/>
        <v xml:space="preserve">Organische parameters </v>
      </c>
      <c r="F1233" t="str">
        <f>""</f>
        <v/>
      </c>
      <c r="G1233" t="str">
        <f>""</f>
        <v/>
      </c>
    </row>
    <row r="1234" spans="1:7" x14ac:dyDescent="0.25">
      <c r="A1234">
        <v>2011</v>
      </c>
      <c r="B1234" t="str">
        <f>"3,4-dimethylfenol"</f>
        <v>3,4-dimethylfenol</v>
      </c>
      <c r="C1234" t="s">
        <v>19016</v>
      </c>
      <c r="D1234" t="str">
        <f>"95-65-8"</f>
        <v>95-65-8</v>
      </c>
      <c r="E1234" t="str">
        <f t="shared" si="53"/>
        <v xml:space="preserve">Organische parameters </v>
      </c>
      <c r="F1234" t="str">
        <f>""</f>
        <v/>
      </c>
      <c r="G1234" t="str">
        <f>""</f>
        <v/>
      </c>
    </row>
    <row r="1235" spans="1:7" x14ac:dyDescent="0.25">
      <c r="A1235">
        <v>2012</v>
      </c>
      <c r="B1235" t="str">
        <f>"3,5-dimethylfenol"</f>
        <v>3,5-dimethylfenol</v>
      </c>
      <c r="C1235" t="s">
        <v>19016</v>
      </c>
      <c r="D1235" t="str">
        <f>"108-68-9"</f>
        <v>108-68-9</v>
      </c>
      <c r="E1235" t="str">
        <f t="shared" si="53"/>
        <v xml:space="preserve">Organische parameters </v>
      </c>
      <c r="F1235" t="str">
        <f>""</f>
        <v/>
      </c>
      <c r="G1235" t="str">
        <f>""</f>
        <v/>
      </c>
    </row>
    <row r="1236" spans="1:7" x14ac:dyDescent="0.25">
      <c r="A1236">
        <v>2013</v>
      </c>
      <c r="B1236" t="str">
        <f>"1,1-dichloorpropeen"</f>
        <v>1,1-dichloorpropeen</v>
      </c>
      <c r="C1236" t="s">
        <v>19016</v>
      </c>
      <c r="D1236" t="str">
        <f>"563-58-6"</f>
        <v>563-58-6</v>
      </c>
      <c r="E1236" t="str">
        <f t="shared" si="53"/>
        <v xml:space="preserve">Organische parameters </v>
      </c>
      <c r="F1236" t="str">
        <f>"Gehalogeneerde alifatische koolwaterstoffen "</f>
        <v xml:space="preserve">Gehalogeneerde alifatische koolwaterstoffen </v>
      </c>
      <c r="G1236" t="str">
        <f>"Overige gehalogeneerde alifatische koolwaterstoffen "</f>
        <v xml:space="preserve">Overige gehalogeneerde alifatische koolwaterstoffen </v>
      </c>
    </row>
    <row r="1237" spans="1:7" x14ac:dyDescent="0.25">
      <c r="A1237">
        <v>2014</v>
      </c>
      <c r="B1237" t="str">
        <f>"broombenzeen"</f>
        <v>broombenzeen</v>
      </c>
      <c r="C1237" t="s">
        <v>19016</v>
      </c>
      <c r="D1237" t="str">
        <f>"108-86-1"</f>
        <v>108-86-1</v>
      </c>
      <c r="E1237" t="str">
        <f t="shared" si="53"/>
        <v xml:space="preserve">Organische parameters </v>
      </c>
      <c r="F1237" t="str">
        <f>""</f>
        <v/>
      </c>
      <c r="G1237" t="str">
        <f>""</f>
        <v/>
      </c>
    </row>
    <row r="1238" spans="1:7" x14ac:dyDescent="0.25">
      <c r="A1238">
        <v>2015</v>
      </c>
      <c r="B1238" t="str">
        <f>"chloorethaan"</f>
        <v>chloorethaan</v>
      </c>
      <c r="C1238" t="s">
        <v>19016</v>
      </c>
      <c r="D1238" t="str">
        <f>"75-00-3"</f>
        <v>75-00-3</v>
      </c>
      <c r="E1238" t="str">
        <f t="shared" si="53"/>
        <v xml:space="preserve">Organische parameters </v>
      </c>
      <c r="F1238" t="str">
        <f>"Gehalogeneerde alifatische koolwaterstoffen "</f>
        <v xml:space="preserve">Gehalogeneerde alifatische koolwaterstoffen </v>
      </c>
      <c r="G1238" t="str">
        <f>"Overige gehalogeneerde alifatische koolwaterstoffen "</f>
        <v xml:space="preserve">Overige gehalogeneerde alifatische koolwaterstoffen </v>
      </c>
    </row>
    <row r="1239" spans="1:7" x14ac:dyDescent="0.25">
      <c r="A1239">
        <v>2016</v>
      </c>
      <c r="B1239" t="str">
        <f>"chloormethaan"</f>
        <v>chloormethaan</v>
      </c>
      <c r="C1239" t="s">
        <v>19016</v>
      </c>
      <c r="D1239" t="str">
        <f>"74-87-3"</f>
        <v>74-87-3</v>
      </c>
      <c r="E1239" t="str">
        <f t="shared" si="53"/>
        <v xml:space="preserve">Organische parameters </v>
      </c>
      <c r="F1239" t="str">
        <f>"Gehalogeneerde alifatische koolwaterstoffen "</f>
        <v xml:space="preserve">Gehalogeneerde alifatische koolwaterstoffen </v>
      </c>
      <c r="G1239" t="str">
        <f>"Overige gehalogeneerde alifatische koolwaterstoffen "</f>
        <v xml:space="preserve">Overige gehalogeneerde alifatische koolwaterstoffen </v>
      </c>
    </row>
    <row r="1240" spans="1:7" x14ac:dyDescent="0.25">
      <c r="A1240">
        <v>2017</v>
      </c>
      <c r="B1240" t="str">
        <f>"dichloor-difluormethaan"</f>
        <v>dichloor-difluormethaan</v>
      </c>
      <c r="C1240" t="s">
        <v>19016</v>
      </c>
      <c r="D1240" t="str">
        <f>"75-71-8"</f>
        <v>75-71-8</v>
      </c>
      <c r="E1240" t="str">
        <f t="shared" si="53"/>
        <v xml:space="preserve">Organische parameters </v>
      </c>
      <c r="F1240" t="str">
        <f>"Gehalogeneerde alifatische koolwaterstoffen "</f>
        <v xml:space="preserve">Gehalogeneerde alifatische koolwaterstoffen </v>
      </c>
      <c r="G1240" t="str">
        <f>"Overige gehalogeneerde alifatische koolwaterstoffen "</f>
        <v xml:space="preserve">Overige gehalogeneerde alifatische koolwaterstoffen </v>
      </c>
    </row>
    <row r="1241" spans="1:7" x14ac:dyDescent="0.25">
      <c r="A1241">
        <v>2018</v>
      </c>
      <c r="B1241" t="str">
        <f>"isobutylbenzeen"</f>
        <v>isobutylbenzeen</v>
      </c>
      <c r="C1241" t="s">
        <v>19016</v>
      </c>
      <c r="D1241" t="str">
        <f>"538-93-2"</f>
        <v>538-93-2</v>
      </c>
      <c r="E1241" t="str">
        <f t="shared" si="53"/>
        <v xml:space="preserve">Organische parameters </v>
      </c>
      <c r="F1241" t="str">
        <f>""</f>
        <v/>
      </c>
      <c r="G1241" t="str">
        <f>""</f>
        <v/>
      </c>
    </row>
    <row r="1242" spans="1:7" x14ac:dyDescent="0.25">
      <c r="A1242">
        <v>2019</v>
      </c>
      <c r="B1242" t="str">
        <f>"trichloorfluormethaan"</f>
        <v>trichloorfluormethaan</v>
      </c>
      <c r="C1242" t="s">
        <v>19016</v>
      </c>
      <c r="D1242" t="str">
        <f>"75-69-4"</f>
        <v>75-69-4</v>
      </c>
      <c r="E1242" t="str">
        <f t="shared" si="53"/>
        <v xml:space="preserve">Organische parameters </v>
      </c>
      <c r="F1242" t="str">
        <f>"Gehalogeneerde alifatische koolwaterstoffen "</f>
        <v xml:space="preserve">Gehalogeneerde alifatische koolwaterstoffen </v>
      </c>
      <c r="G1242" t="str">
        <f>"Overige gehalogeneerde alifatische koolwaterstoffen "</f>
        <v xml:space="preserve">Overige gehalogeneerde alifatische koolwaterstoffen </v>
      </c>
    </row>
    <row r="1243" spans="1:7" x14ac:dyDescent="0.25">
      <c r="A1243">
        <v>2020</v>
      </c>
      <c r="B1243" t="str">
        <f>"PCB's (som)"</f>
        <v>PCB's (som)</v>
      </c>
      <c r="C1243" t="s">
        <v>19016</v>
      </c>
      <c r="D1243" t="str">
        <f>""</f>
        <v/>
      </c>
      <c r="E1243" t="str">
        <f t="shared" si="53"/>
        <v xml:space="preserve">Organische parameters </v>
      </c>
      <c r="F1243" t="str">
        <f>""</f>
        <v/>
      </c>
      <c r="G1243" t="str">
        <f>""</f>
        <v/>
      </c>
    </row>
    <row r="1244" spans="1:7" x14ac:dyDescent="0.25">
      <c r="A1244">
        <v>2021</v>
      </c>
      <c r="B1244" t="str">
        <f>"2,3+3,5-dimethylfenol"</f>
        <v>2,3+3,5-dimethylfenol</v>
      </c>
      <c r="C1244" t="s">
        <v>19016</v>
      </c>
      <c r="D1244" t="str">
        <f>""</f>
        <v/>
      </c>
      <c r="E1244" t="str">
        <f t="shared" si="53"/>
        <v xml:space="preserve">Organische parameters </v>
      </c>
      <c r="F1244" t="str">
        <f>""</f>
        <v/>
      </c>
      <c r="G1244" t="str">
        <f>""</f>
        <v/>
      </c>
    </row>
    <row r="1245" spans="1:7" x14ac:dyDescent="0.25">
      <c r="A1245">
        <v>2022</v>
      </c>
      <c r="B1245" t="str">
        <f>"tetra- en trichlooretheen (som)"</f>
        <v>tetra- en trichlooretheen (som)</v>
      </c>
      <c r="C1245" t="s">
        <v>19016</v>
      </c>
      <c r="D1245" t="str">
        <f>""</f>
        <v/>
      </c>
      <c r="E1245" t="str">
        <f t="shared" si="53"/>
        <v xml:space="preserve">Organische parameters </v>
      </c>
      <c r="F1245" t="str">
        <f>"Gehalogeneerde alifatische koolwaterstoffen "</f>
        <v xml:space="preserve">Gehalogeneerde alifatische koolwaterstoffen </v>
      </c>
      <c r="G1245" t="str">
        <f>"Overige gehalogeneerde alifatische koolwaterstoffen "</f>
        <v xml:space="preserve">Overige gehalogeneerde alifatische koolwaterstoffen </v>
      </c>
    </row>
    <row r="1246" spans="1:7" x14ac:dyDescent="0.25">
      <c r="A1246">
        <v>2023</v>
      </c>
      <c r="B1246" t="str">
        <f>"4-isopropylaniline"</f>
        <v>4-isopropylaniline</v>
      </c>
      <c r="C1246" t="s">
        <v>19016</v>
      </c>
      <c r="D1246" t="str">
        <f>"99-88-7"</f>
        <v>99-88-7</v>
      </c>
      <c r="E1246" t="str">
        <f t="shared" si="53"/>
        <v xml:space="preserve">Organische parameters </v>
      </c>
      <c r="F1246" t="str">
        <f t="shared" ref="F1246:F1261" si="54">"Aromatische aminen "</f>
        <v xml:space="preserve">Aromatische aminen </v>
      </c>
      <c r="G1246" t="str">
        <f>""</f>
        <v/>
      </c>
    </row>
    <row r="1247" spans="1:7" x14ac:dyDescent="0.25">
      <c r="A1247">
        <v>2024</v>
      </c>
      <c r="B1247" t="str">
        <f>"2,4-dimethylaniline"</f>
        <v>2,4-dimethylaniline</v>
      </c>
      <c r="C1247" t="s">
        <v>19016</v>
      </c>
      <c r="D1247" t="str">
        <f>"95-68-1"</f>
        <v>95-68-1</v>
      </c>
      <c r="E1247" t="str">
        <f t="shared" si="53"/>
        <v xml:space="preserve">Organische parameters </v>
      </c>
      <c r="F1247" t="str">
        <f t="shared" si="54"/>
        <v xml:space="preserve">Aromatische aminen </v>
      </c>
      <c r="G1247" t="str">
        <f>""</f>
        <v/>
      </c>
    </row>
    <row r="1248" spans="1:7" x14ac:dyDescent="0.25">
      <c r="A1248">
        <v>2025</v>
      </c>
      <c r="B1248" t="str">
        <f>"2,5-dimethylaniline"</f>
        <v>2,5-dimethylaniline</v>
      </c>
      <c r="C1248" t="s">
        <v>19016</v>
      </c>
      <c r="D1248" t="str">
        <f>"95-78-3"</f>
        <v>95-78-3</v>
      </c>
      <c r="E1248" t="str">
        <f t="shared" si="53"/>
        <v xml:space="preserve">Organische parameters </v>
      </c>
      <c r="F1248" t="str">
        <f t="shared" si="54"/>
        <v xml:space="preserve">Aromatische aminen </v>
      </c>
      <c r="G1248" t="str">
        <f>""</f>
        <v/>
      </c>
    </row>
    <row r="1249" spans="1:7" x14ac:dyDescent="0.25">
      <c r="A1249">
        <v>2026</v>
      </c>
      <c r="B1249" t="str">
        <f>"3,5-dimethylaniline"</f>
        <v>3,5-dimethylaniline</v>
      </c>
      <c r="C1249" t="s">
        <v>19016</v>
      </c>
      <c r="D1249" t="str">
        <f>"108-69-0"</f>
        <v>108-69-0</v>
      </c>
      <c r="E1249" t="str">
        <f t="shared" si="53"/>
        <v xml:space="preserve">Organische parameters </v>
      </c>
      <c r="F1249" t="str">
        <f t="shared" si="54"/>
        <v xml:space="preserve">Aromatische aminen </v>
      </c>
      <c r="G1249" t="str">
        <f>""</f>
        <v/>
      </c>
    </row>
    <row r="1250" spans="1:7" x14ac:dyDescent="0.25">
      <c r="A1250">
        <v>2027</v>
      </c>
      <c r="B1250" t="str">
        <f>"3,4-dimethylaniline"</f>
        <v>3,4-dimethylaniline</v>
      </c>
      <c r="C1250" t="s">
        <v>19016</v>
      </c>
      <c r="D1250" t="str">
        <f>"95-64-7"</f>
        <v>95-64-7</v>
      </c>
      <c r="E1250" t="str">
        <f t="shared" si="53"/>
        <v xml:space="preserve">Organische parameters </v>
      </c>
      <c r="F1250" t="str">
        <f t="shared" si="54"/>
        <v xml:space="preserve">Aromatische aminen </v>
      </c>
      <c r="G1250" t="str">
        <f>""</f>
        <v/>
      </c>
    </row>
    <row r="1251" spans="1:7" x14ac:dyDescent="0.25">
      <c r="A1251">
        <v>2028</v>
      </c>
      <c r="B1251" t="str">
        <f>"2,3-dimethylaniline"</f>
        <v>2,3-dimethylaniline</v>
      </c>
      <c r="C1251" t="s">
        <v>19016</v>
      </c>
      <c r="D1251" t="str">
        <f>"87-59-2"</f>
        <v>87-59-2</v>
      </c>
      <c r="E1251" t="str">
        <f t="shared" si="53"/>
        <v xml:space="preserve">Organische parameters </v>
      </c>
      <c r="F1251" t="str">
        <f t="shared" si="54"/>
        <v xml:space="preserve">Aromatische aminen </v>
      </c>
      <c r="G1251" t="str">
        <f>""</f>
        <v/>
      </c>
    </row>
    <row r="1252" spans="1:7" x14ac:dyDescent="0.25">
      <c r="A1252">
        <v>2029</v>
      </c>
      <c r="B1252" t="str">
        <f>"3-chloor-4-methylaniline"</f>
        <v>3-chloor-4-methylaniline</v>
      </c>
      <c r="C1252" t="s">
        <v>19016</v>
      </c>
      <c r="D1252" t="str">
        <f>"95-74-9"</f>
        <v>95-74-9</v>
      </c>
      <c r="E1252" t="str">
        <f t="shared" si="53"/>
        <v xml:space="preserve">Organische parameters </v>
      </c>
      <c r="F1252" t="str">
        <f t="shared" si="54"/>
        <v xml:space="preserve">Aromatische aminen </v>
      </c>
      <c r="G1252" t="str">
        <f>""</f>
        <v/>
      </c>
    </row>
    <row r="1253" spans="1:7" x14ac:dyDescent="0.25">
      <c r="A1253">
        <v>2030</v>
      </c>
      <c r="B1253" t="str">
        <f>"4-chloor-2-methylaniline"</f>
        <v>4-chloor-2-methylaniline</v>
      </c>
      <c r="C1253" t="s">
        <v>19016</v>
      </c>
      <c r="D1253" t="str">
        <f>"95-69-2"</f>
        <v>95-69-2</v>
      </c>
      <c r="E1253" t="str">
        <f t="shared" si="53"/>
        <v xml:space="preserve">Organische parameters </v>
      </c>
      <c r="F1253" t="str">
        <f t="shared" si="54"/>
        <v xml:space="preserve">Aromatische aminen </v>
      </c>
      <c r="G1253" t="str">
        <f>""</f>
        <v/>
      </c>
    </row>
    <row r="1254" spans="1:7" x14ac:dyDescent="0.25">
      <c r="A1254">
        <v>2031</v>
      </c>
      <c r="B1254" t="str">
        <f>"5-chloor-2-methylaniline"</f>
        <v>5-chloor-2-methylaniline</v>
      </c>
      <c r="C1254" t="s">
        <v>19016</v>
      </c>
      <c r="D1254" t="str">
        <f>"95-79-4"</f>
        <v>95-79-4</v>
      </c>
      <c r="E1254" t="str">
        <f t="shared" si="53"/>
        <v xml:space="preserve">Organische parameters </v>
      </c>
      <c r="F1254" t="str">
        <f t="shared" si="54"/>
        <v xml:space="preserve">Aromatische aminen </v>
      </c>
      <c r="G1254" t="str">
        <f>""</f>
        <v/>
      </c>
    </row>
    <row r="1255" spans="1:7" x14ac:dyDescent="0.25">
      <c r="A1255">
        <v>2032</v>
      </c>
      <c r="B1255" t="str">
        <f>"3-chloor-4-methoxyaniline"</f>
        <v>3-chloor-4-methoxyaniline</v>
      </c>
      <c r="C1255" t="s">
        <v>19016</v>
      </c>
      <c r="D1255" t="str">
        <f>"5345-54-0"</f>
        <v>5345-54-0</v>
      </c>
      <c r="E1255" t="str">
        <f t="shared" si="53"/>
        <v xml:space="preserve">Organische parameters </v>
      </c>
      <c r="F1255" t="str">
        <f t="shared" si="54"/>
        <v xml:space="preserve">Aromatische aminen </v>
      </c>
      <c r="G1255" t="str">
        <f>""</f>
        <v/>
      </c>
    </row>
    <row r="1256" spans="1:7" x14ac:dyDescent="0.25">
      <c r="A1256">
        <v>2033</v>
      </c>
      <c r="B1256" t="str">
        <f>"4-methoxy-2-nitroaniline"</f>
        <v>4-methoxy-2-nitroaniline</v>
      </c>
      <c r="C1256" t="s">
        <v>19016</v>
      </c>
      <c r="D1256" t="str">
        <f>"96-96-8"</f>
        <v>96-96-8</v>
      </c>
      <c r="E1256" t="str">
        <f t="shared" si="53"/>
        <v xml:space="preserve">Organische parameters </v>
      </c>
      <c r="F1256" t="str">
        <f t="shared" si="54"/>
        <v xml:space="preserve">Aromatische aminen </v>
      </c>
      <c r="G1256" t="str">
        <f>""</f>
        <v/>
      </c>
    </row>
    <row r="1257" spans="1:7" x14ac:dyDescent="0.25">
      <c r="A1257">
        <v>2034</v>
      </c>
      <c r="B1257" t="str">
        <f>"2-nitroaniline"</f>
        <v>2-nitroaniline</v>
      </c>
      <c r="C1257" t="s">
        <v>19016</v>
      </c>
      <c r="D1257" t="str">
        <f>"88-74-4"</f>
        <v>88-74-4</v>
      </c>
      <c r="E1257" t="str">
        <f t="shared" si="53"/>
        <v xml:space="preserve">Organische parameters </v>
      </c>
      <c r="F1257" t="str">
        <f t="shared" si="54"/>
        <v xml:space="preserve">Aromatische aminen </v>
      </c>
      <c r="G1257" t="str">
        <f>""</f>
        <v/>
      </c>
    </row>
    <row r="1258" spans="1:7" x14ac:dyDescent="0.25">
      <c r="A1258">
        <v>2035</v>
      </c>
      <c r="B1258" t="str">
        <f>"3-nitroaniline"</f>
        <v>3-nitroaniline</v>
      </c>
      <c r="C1258" t="s">
        <v>19016</v>
      </c>
      <c r="D1258" t="str">
        <f>"99-09-2"</f>
        <v>99-09-2</v>
      </c>
      <c r="E1258" t="str">
        <f t="shared" si="53"/>
        <v xml:space="preserve">Organische parameters </v>
      </c>
      <c r="F1258" t="str">
        <f t="shared" si="54"/>
        <v xml:space="preserve">Aromatische aminen </v>
      </c>
      <c r="G1258" t="str">
        <f>""</f>
        <v/>
      </c>
    </row>
    <row r="1259" spans="1:7" x14ac:dyDescent="0.25">
      <c r="A1259">
        <v>2036</v>
      </c>
      <c r="B1259" t="str">
        <f>"4-methyl-3-nitroaniline"</f>
        <v>4-methyl-3-nitroaniline</v>
      </c>
      <c r="C1259" t="s">
        <v>19016</v>
      </c>
      <c r="D1259" t="str">
        <f>"119-32-4"</f>
        <v>119-32-4</v>
      </c>
      <c r="E1259" t="str">
        <f t="shared" si="53"/>
        <v xml:space="preserve">Organische parameters </v>
      </c>
      <c r="F1259" t="str">
        <f t="shared" si="54"/>
        <v xml:space="preserve">Aromatische aminen </v>
      </c>
      <c r="G1259" t="str">
        <f>""</f>
        <v/>
      </c>
    </row>
    <row r="1260" spans="1:7" x14ac:dyDescent="0.25">
      <c r="A1260">
        <v>2037</v>
      </c>
      <c r="B1260" t="str">
        <f>"2-aminoacetofenon"</f>
        <v>2-aminoacetofenon</v>
      </c>
      <c r="C1260" t="s">
        <v>19016</v>
      </c>
      <c r="D1260" t="str">
        <f>"551-93-9"</f>
        <v>551-93-9</v>
      </c>
      <c r="E1260" t="str">
        <f t="shared" si="53"/>
        <v xml:space="preserve">Organische parameters </v>
      </c>
      <c r="F1260" t="str">
        <f t="shared" si="54"/>
        <v xml:space="preserve">Aromatische aminen </v>
      </c>
      <c r="G1260" t="str">
        <f>""</f>
        <v/>
      </c>
    </row>
    <row r="1261" spans="1:7" x14ac:dyDescent="0.25">
      <c r="A1261">
        <v>2038</v>
      </c>
      <c r="B1261" t="str">
        <f>"2-(fenylsulfon)aniline"</f>
        <v>2-(fenylsulfon)aniline</v>
      </c>
      <c r="C1261" t="s">
        <v>19016</v>
      </c>
      <c r="D1261" t="str">
        <f>"4273-98-7"</f>
        <v>4273-98-7</v>
      </c>
      <c r="E1261" t="str">
        <f t="shared" si="53"/>
        <v xml:space="preserve">Organische parameters </v>
      </c>
      <c r="F1261" t="str">
        <f t="shared" si="54"/>
        <v xml:space="preserve">Aromatische aminen </v>
      </c>
      <c r="G1261" t="str">
        <f>""</f>
        <v/>
      </c>
    </row>
    <row r="1262" spans="1:7" x14ac:dyDescent="0.25">
      <c r="A1262">
        <v>2039</v>
      </c>
      <c r="B1262" t="str">
        <f>"1,3- en 1,4-dimethylbenzeen (som)"</f>
        <v>1,3- en 1,4-dimethylbenzeen (som)</v>
      </c>
      <c r="C1262" t="s">
        <v>19016</v>
      </c>
      <c r="D1262" t="str">
        <f>""</f>
        <v/>
      </c>
      <c r="E1262" t="str">
        <f t="shared" si="53"/>
        <v xml:space="preserve">Organische parameters </v>
      </c>
      <c r="F1262" t="str">
        <f>""</f>
        <v/>
      </c>
      <c r="G1262" t="str">
        <f>""</f>
        <v/>
      </c>
    </row>
    <row r="1263" spans="1:7" x14ac:dyDescent="0.25">
      <c r="A1263">
        <v>2040</v>
      </c>
      <c r="B1263" t="str">
        <f>"2-chloornaftaleen"</f>
        <v>2-chloornaftaleen</v>
      </c>
      <c r="C1263" t="s">
        <v>19016</v>
      </c>
      <c r="D1263" t="str">
        <f>"91-58-7"</f>
        <v>91-58-7</v>
      </c>
      <c r="E1263" t="str">
        <f t="shared" si="53"/>
        <v xml:space="preserve">Organische parameters </v>
      </c>
      <c r="F1263" t="str">
        <f>"Gehalogeneerde monocyclische koolwaterstoffen "</f>
        <v xml:space="preserve">Gehalogeneerde monocyclische koolwaterstoffen </v>
      </c>
      <c r="G1263" t="str">
        <f>""</f>
        <v/>
      </c>
    </row>
    <row r="1264" spans="1:7" x14ac:dyDescent="0.25">
      <c r="A1264">
        <v>2041</v>
      </c>
      <c r="B1264" t="str">
        <f>"hexachloorcyclopentadieen"</f>
        <v>hexachloorcyclopentadieen</v>
      </c>
      <c r="C1264" t="s">
        <v>19016</v>
      </c>
      <c r="D1264" t="str">
        <f>"77-47-4"</f>
        <v>77-47-4</v>
      </c>
      <c r="E1264" t="str">
        <f t="shared" si="53"/>
        <v xml:space="preserve">Organische parameters </v>
      </c>
      <c r="F1264" t="str">
        <f>""</f>
        <v/>
      </c>
      <c r="G1264" t="str">
        <f>""</f>
        <v/>
      </c>
    </row>
    <row r="1265" spans="1:7" x14ac:dyDescent="0.25">
      <c r="A1265">
        <v>2042</v>
      </c>
      <c r="B1265" t="str">
        <f>"sec. alifatische amines"</f>
        <v>sec. alifatische amines</v>
      </c>
      <c r="C1265" t="s">
        <v>14357</v>
      </c>
      <c r="D1265" t="str">
        <f>""</f>
        <v/>
      </c>
      <c r="E1265" t="str">
        <f t="shared" si="53"/>
        <v xml:space="preserve">Organische parameters </v>
      </c>
      <c r="F1265" t="str">
        <f>""</f>
        <v/>
      </c>
      <c r="G1265" t="str">
        <f>""</f>
        <v/>
      </c>
    </row>
    <row r="1266" spans="1:7" x14ac:dyDescent="0.25">
      <c r="A1266">
        <v>2043</v>
      </c>
      <c r="B1266" t="str">
        <f>"methyl-tertiair-butylether (MTBE)"</f>
        <v>methyl-tertiair-butylether (MTBE)</v>
      </c>
      <c r="C1266" t="s">
        <v>19016</v>
      </c>
      <c r="D1266" t="str">
        <f>"1634-04-4"</f>
        <v>1634-04-4</v>
      </c>
      <c r="E1266" t="str">
        <f t="shared" si="53"/>
        <v xml:space="preserve">Organische parameters </v>
      </c>
      <c r="F1266" t="str">
        <f>""</f>
        <v/>
      </c>
      <c r="G1266" t="str">
        <f>""</f>
        <v/>
      </c>
    </row>
    <row r="1267" spans="1:7" x14ac:dyDescent="0.25">
      <c r="A1267">
        <v>2046</v>
      </c>
      <c r="B1267" t="str">
        <f>"3,3'-dichloorbenzidine"</f>
        <v>3,3'-dichloorbenzidine</v>
      </c>
      <c r="C1267" t="s">
        <v>19016</v>
      </c>
      <c r="D1267" t="str">
        <f>"91-94-1"</f>
        <v>91-94-1</v>
      </c>
      <c r="E1267" t="str">
        <f t="shared" si="53"/>
        <v xml:space="preserve">Organische parameters </v>
      </c>
      <c r="F1267" t="str">
        <f t="shared" ref="F1267:F1280" si="55">"Aromatische aminen "</f>
        <v xml:space="preserve">Aromatische aminen </v>
      </c>
      <c r="G1267" t="str">
        <f>""</f>
        <v/>
      </c>
    </row>
    <row r="1268" spans="1:7" x14ac:dyDescent="0.25">
      <c r="A1268">
        <v>2047</v>
      </c>
      <c r="B1268" t="str">
        <f>"benzylamine"</f>
        <v>benzylamine</v>
      </c>
      <c r="C1268" t="s">
        <v>19016</v>
      </c>
      <c r="D1268" t="str">
        <f>"100-46-9"</f>
        <v>100-46-9</v>
      </c>
      <c r="E1268" t="str">
        <f t="shared" si="53"/>
        <v xml:space="preserve">Organische parameters </v>
      </c>
      <c r="F1268" t="str">
        <f t="shared" si="55"/>
        <v xml:space="preserve">Aromatische aminen </v>
      </c>
      <c r="G1268" t="str">
        <f>""</f>
        <v/>
      </c>
    </row>
    <row r="1269" spans="1:7" x14ac:dyDescent="0.25">
      <c r="A1269">
        <v>2048</v>
      </c>
      <c r="B1269" t="str">
        <f>"N,N-dimethylbenzylaniline"</f>
        <v>N,N-dimethylbenzylaniline</v>
      </c>
      <c r="C1269" t="s">
        <v>19016</v>
      </c>
      <c r="D1269" t="str">
        <f>""</f>
        <v/>
      </c>
      <c r="E1269" t="str">
        <f t="shared" si="53"/>
        <v xml:space="preserve">Organische parameters </v>
      </c>
      <c r="F1269" t="str">
        <f t="shared" si="55"/>
        <v xml:space="preserve">Aromatische aminen </v>
      </c>
      <c r="G1269" t="str">
        <f>""</f>
        <v/>
      </c>
    </row>
    <row r="1270" spans="1:7" x14ac:dyDescent="0.25">
      <c r="A1270">
        <v>2049</v>
      </c>
      <c r="B1270" t="str">
        <f>"dibenzylamine"</f>
        <v>dibenzylamine</v>
      </c>
      <c r="C1270" t="s">
        <v>19016</v>
      </c>
      <c r="D1270" t="str">
        <f>"103-49-1"</f>
        <v>103-49-1</v>
      </c>
      <c r="E1270" t="str">
        <f t="shared" si="53"/>
        <v xml:space="preserve">Organische parameters </v>
      </c>
      <c r="F1270" t="str">
        <f t="shared" si="55"/>
        <v xml:space="preserve">Aromatische aminen </v>
      </c>
      <c r="G1270" t="str">
        <f>""</f>
        <v/>
      </c>
    </row>
    <row r="1271" spans="1:7" x14ac:dyDescent="0.25">
      <c r="A1271">
        <v>2050</v>
      </c>
      <c r="B1271" t="str">
        <f>"tribenzylamine"</f>
        <v>tribenzylamine</v>
      </c>
      <c r="C1271" t="s">
        <v>19016</v>
      </c>
      <c r="D1271" t="str">
        <f>"620-40-6"</f>
        <v>620-40-6</v>
      </c>
      <c r="E1271" t="str">
        <f t="shared" si="53"/>
        <v xml:space="preserve">Organische parameters </v>
      </c>
      <c r="F1271" t="str">
        <f t="shared" si="55"/>
        <v xml:space="preserve">Aromatische aminen </v>
      </c>
      <c r="G1271" t="str">
        <f>""</f>
        <v/>
      </c>
    </row>
    <row r="1272" spans="1:7" x14ac:dyDescent="0.25">
      <c r="A1272">
        <v>2051</v>
      </c>
      <c r="B1272" t="str">
        <f>"o-anisidine"</f>
        <v>o-anisidine</v>
      </c>
      <c r="C1272" t="s">
        <v>19016</v>
      </c>
      <c r="D1272" t="str">
        <f>"90-04-0"</f>
        <v>90-04-0</v>
      </c>
      <c r="E1272" t="str">
        <f t="shared" si="53"/>
        <v xml:space="preserve">Organische parameters </v>
      </c>
      <c r="F1272" t="str">
        <f t="shared" si="55"/>
        <v xml:space="preserve">Aromatische aminen </v>
      </c>
      <c r="G1272" t="str">
        <f>""</f>
        <v/>
      </c>
    </row>
    <row r="1273" spans="1:7" x14ac:dyDescent="0.25">
      <c r="A1273">
        <v>2052</v>
      </c>
      <c r="B1273" t="str">
        <f>"4- en 5-chloor-2-methylaniline"</f>
        <v>4- en 5-chloor-2-methylaniline</v>
      </c>
      <c r="C1273" t="s">
        <v>19016</v>
      </c>
      <c r="D1273" t="str">
        <f>""</f>
        <v/>
      </c>
      <c r="E1273" t="str">
        <f t="shared" si="53"/>
        <v xml:space="preserve">Organische parameters </v>
      </c>
      <c r="F1273" t="str">
        <f t="shared" si="55"/>
        <v xml:space="preserve">Aromatische aminen </v>
      </c>
      <c r="G1273" t="str">
        <f>""</f>
        <v/>
      </c>
    </row>
    <row r="1274" spans="1:7" x14ac:dyDescent="0.25">
      <c r="A1274">
        <v>2053</v>
      </c>
      <c r="B1274" t="str">
        <f>"N,N-dimethylaniline"</f>
        <v>N,N-dimethylaniline</v>
      </c>
      <c r="C1274" t="s">
        <v>19016</v>
      </c>
      <c r="D1274" t="str">
        <f>"121-69-7"</f>
        <v>121-69-7</v>
      </c>
      <c r="E1274" t="str">
        <f t="shared" si="53"/>
        <v xml:space="preserve">Organische parameters </v>
      </c>
      <c r="F1274" t="str">
        <f t="shared" si="55"/>
        <v xml:space="preserve">Aromatische aminen </v>
      </c>
      <c r="G1274" t="str">
        <f>""</f>
        <v/>
      </c>
    </row>
    <row r="1275" spans="1:7" x14ac:dyDescent="0.25">
      <c r="A1275">
        <v>2054</v>
      </c>
      <c r="B1275" t="str">
        <f>"2,5- en 2,6-dimethylaniline"</f>
        <v>2,5- en 2,6-dimethylaniline</v>
      </c>
      <c r="C1275" t="s">
        <v>19016</v>
      </c>
      <c r="D1275" t="str">
        <f>""</f>
        <v/>
      </c>
      <c r="E1275" t="str">
        <f t="shared" si="53"/>
        <v xml:space="preserve">Organische parameters </v>
      </c>
      <c r="F1275" t="str">
        <f t="shared" si="55"/>
        <v xml:space="preserve">Aromatische aminen </v>
      </c>
      <c r="G1275" t="str">
        <f>""</f>
        <v/>
      </c>
    </row>
    <row r="1276" spans="1:7" x14ac:dyDescent="0.25">
      <c r="A1276">
        <v>2055</v>
      </c>
      <c r="B1276" t="str">
        <f>"2,4- en 2,5-dichlooraniline"</f>
        <v>2,4- en 2,5-dichlooraniline</v>
      </c>
      <c r="C1276" t="s">
        <v>19016</v>
      </c>
      <c r="D1276" t="str">
        <f>""</f>
        <v/>
      </c>
      <c r="E1276" t="str">
        <f t="shared" si="53"/>
        <v xml:space="preserve">Organische parameters </v>
      </c>
      <c r="F1276" t="str">
        <f t="shared" si="55"/>
        <v xml:space="preserve">Aromatische aminen </v>
      </c>
      <c r="G1276" t="str">
        <f>""</f>
        <v/>
      </c>
    </row>
    <row r="1277" spans="1:7" x14ac:dyDescent="0.25">
      <c r="A1277">
        <v>2057</v>
      </c>
      <c r="B1277" t="str">
        <f>"2- en 4-methylaniline"</f>
        <v>2- en 4-methylaniline</v>
      </c>
      <c r="C1277" t="s">
        <v>19016</v>
      </c>
      <c r="D1277" t="str">
        <f>""</f>
        <v/>
      </c>
      <c r="E1277" t="str">
        <f t="shared" si="53"/>
        <v xml:space="preserve">Organische parameters </v>
      </c>
      <c r="F1277" t="str">
        <f t="shared" si="55"/>
        <v xml:space="preserve">Aromatische aminen </v>
      </c>
      <c r="G1277" t="str">
        <f>""</f>
        <v/>
      </c>
    </row>
    <row r="1278" spans="1:7" x14ac:dyDescent="0.25">
      <c r="A1278">
        <v>2058</v>
      </c>
      <c r="B1278" t="str">
        <f>"2-(trifluormethyl)aniline"</f>
        <v>2-(trifluormethyl)aniline</v>
      </c>
      <c r="C1278" t="s">
        <v>19016</v>
      </c>
      <c r="D1278" t="str">
        <f>"88-17-5"</f>
        <v>88-17-5</v>
      </c>
      <c r="E1278" t="str">
        <f t="shared" si="53"/>
        <v xml:space="preserve">Organische parameters </v>
      </c>
      <c r="F1278" t="str">
        <f t="shared" si="55"/>
        <v xml:space="preserve">Aromatische aminen </v>
      </c>
      <c r="G1278" t="str">
        <f>""</f>
        <v/>
      </c>
    </row>
    <row r="1279" spans="1:7" x14ac:dyDescent="0.25">
      <c r="A1279">
        <v>2059</v>
      </c>
      <c r="B1279" t="str">
        <f>"2,5- en 3,5-dimethylaniline"</f>
        <v>2,5- en 3,5-dimethylaniline</v>
      </c>
      <c r="C1279" t="s">
        <v>19016</v>
      </c>
      <c r="D1279" t="str">
        <f>""</f>
        <v/>
      </c>
      <c r="E1279" t="str">
        <f t="shared" si="53"/>
        <v xml:space="preserve">Organische parameters </v>
      </c>
      <c r="F1279" t="str">
        <f t="shared" si="55"/>
        <v xml:space="preserve">Aromatische aminen </v>
      </c>
      <c r="G1279" t="str">
        <f>""</f>
        <v/>
      </c>
    </row>
    <row r="1280" spans="1:7" x14ac:dyDescent="0.25">
      <c r="A1280">
        <v>2060</v>
      </c>
      <c r="B1280" t="str">
        <f>"2,4- en 2,6-dimethylaniline"</f>
        <v>2,4- en 2,6-dimethylaniline</v>
      </c>
      <c r="C1280" t="s">
        <v>19016</v>
      </c>
      <c r="D1280" t="str">
        <f>""</f>
        <v/>
      </c>
      <c r="E1280" t="str">
        <f t="shared" si="53"/>
        <v xml:space="preserve">Organische parameters </v>
      </c>
      <c r="F1280" t="str">
        <f t="shared" si="55"/>
        <v xml:space="preserve">Aromatische aminen </v>
      </c>
      <c r="G1280" t="str">
        <f>""</f>
        <v/>
      </c>
    </row>
    <row r="1281" spans="1:7" x14ac:dyDescent="0.25">
      <c r="A1281">
        <v>2061</v>
      </c>
      <c r="B1281" t="str">
        <f>"lidoca‹ne"</f>
        <v>lidoca‹ne</v>
      </c>
      <c r="C1281" t="s">
        <v>19016</v>
      </c>
      <c r="D1281" t="str">
        <f>"137-58-6"</f>
        <v>137-58-6</v>
      </c>
      <c r="E1281" t="str">
        <f t="shared" si="53"/>
        <v xml:space="preserve">Organische parameters </v>
      </c>
      <c r="F1281" t="str">
        <f>""</f>
        <v/>
      </c>
      <c r="G1281" t="str">
        <f>""</f>
        <v/>
      </c>
    </row>
    <row r="1282" spans="1:7" x14ac:dyDescent="0.25">
      <c r="A1282">
        <v>2062</v>
      </c>
      <c r="B1282" t="str">
        <f>"4,4?sulfonyldifenol"</f>
        <v>4,4?sulfonyldifenol</v>
      </c>
      <c r="C1282" t="s">
        <v>19016</v>
      </c>
      <c r="D1282" t="str">
        <f>"80-09-1"</f>
        <v>80-09-1</v>
      </c>
      <c r="E1282" t="str">
        <f t="shared" si="53"/>
        <v xml:space="preserve">Organische parameters </v>
      </c>
      <c r="F1282" t="str">
        <f>""</f>
        <v/>
      </c>
      <c r="G1282" t="str">
        <f>""</f>
        <v/>
      </c>
    </row>
    <row r="1283" spans="1:7" x14ac:dyDescent="0.25">
      <c r="A1283">
        <v>2063</v>
      </c>
      <c r="B1283" t="str">
        <f>"bis(4-chloorfenyl)sulfon"</f>
        <v>bis(4-chloorfenyl)sulfon</v>
      </c>
      <c r="C1283" t="s">
        <v>19016</v>
      </c>
      <c r="D1283" t="str">
        <f>"80-07-9"</f>
        <v>80-07-9</v>
      </c>
      <c r="E1283" t="str">
        <f t="shared" si="53"/>
        <v xml:space="preserve">Organische parameters </v>
      </c>
      <c r="F1283" t="str">
        <f>""</f>
        <v/>
      </c>
      <c r="G1283" t="str">
        <f>""</f>
        <v/>
      </c>
    </row>
    <row r="1284" spans="1:7" x14ac:dyDescent="0.25">
      <c r="A1284">
        <v>2064</v>
      </c>
      <c r="B1284" t="str">
        <f>"S-butylbenzeen"</f>
        <v>S-butylbenzeen</v>
      </c>
      <c r="C1284" t="s">
        <v>19016</v>
      </c>
      <c r="D1284" t="str">
        <f>""</f>
        <v/>
      </c>
      <c r="E1284" t="str">
        <f t="shared" si="53"/>
        <v xml:space="preserve">Organische parameters </v>
      </c>
      <c r="F1284" t="str">
        <f>""</f>
        <v/>
      </c>
      <c r="G1284" t="str">
        <f>""</f>
        <v/>
      </c>
    </row>
    <row r="1285" spans="1:7" x14ac:dyDescent="0.25">
      <c r="A1285">
        <v>2066</v>
      </c>
      <c r="B1285" t="str">
        <f>"3- en 4-methylfenol"</f>
        <v>3- en 4-methylfenol</v>
      </c>
      <c r="C1285" t="s">
        <v>19016</v>
      </c>
      <c r="D1285" t="str">
        <f>""</f>
        <v/>
      </c>
      <c r="E1285" t="str">
        <f t="shared" si="53"/>
        <v xml:space="preserve">Organische parameters </v>
      </c>
      <c r="F1285" t="str">
        <f>"Overige antropogene stoffen "</f>
        <v xml:space="preserve">Overige antropogene stoffen </v>
      </c>
      <c r="G1285" t="str">
        <f>""</f>
        <v/>
      </c>
    </row>
    <row r="1286" spans="1:7" x14ac:dyDescent="0.25">
      <c r="A1286">
        <v>2067</v>
      </c>
      <c r="B1286" t="str">
        <f>"2,4- en 2,5-dichloorfenol"</f>
        <v>2,4- en 2,5-dichloorfenol</v>
      </c>
      <c r="C1286" t="s">
        <v>19016</v>
      </c>
      <c r="D1286" t="str">
        <f>""</f>
        <v/>
      </c>
      <c r="E1286" t="str">
        <f t="shared" si="53"/>
        <v xml:space="preserve">Organische parameters </v>
      </c>
      <c r="F1286" t="str">
        <f>"(Chloor)fenolen "</f>
        <v xml:space="preserve">(Chloor)fenolen </v>
      </c>
      <c r="G1286" t="str">
        <f>""</f>
        <v/>
      </c>
    </row>
    <row r="1287" spans="1:7" x14ac:dyDescent="0.25">
      <c r="A1287">
        <v>2068</v>
      </c>
      <c r="B1287" t="str">
        <f>"2,4- en 2,5-dimethylfenol"</f>
        <v>2,4- en 2,5-dimethylfenol</v>
      </c>
      <c r="C1287" t="s">
        <v>19016</v>
      </c>
      <c r="D1287" t="str">
        <f>""</f>
        <v/>
      </c>
      <c r="E1287" t="str">
        <f t="shared" si="53"/>
        <v xml:space="preserve">Organische parameters </v>
      </c>
      <c r="F1287" t="str">
        <f t="shared" ref="F1287:F1303" si="56">"Overige antropogene stoffen "</f>
        <v xml:space="preserve">Overige antropogene stoffen </v>
      </c>
      <c r="G1287" t="str">
        <f>""</f>
        <v/>
      </c>
    </row>
    <row r="1288" spans="1:7" x14ac:dyDescent="0.25">
      <c r="A1288">
        <v>2069</v>
      </c>
      <c r="B1288" t="str">
        <f>"M-431"</f>
        <v>M-431</v>
      </c>
      <c r="C1288" t="s">
        <v>19016</v>
      </c>
      <c r="D1288" t="str">
        <f>""</f>
        <v/>
      </c>
      <c r="E1288" t="str">
        <f t="shared" si="53"/>
        <v xml:space="preserve">Organische parameters </v>
      </c>
      <c r="F1288" t="str">
        <f t="shared" si="56"/>
        <v xml:space="preserve">Overige antropogene stoffen </v>
      </c>
      <c r="G1288" t="str">
        <f>""</f>
        <v/>
      </c>
    </row>
    <row r="1289" spans="1:7" x14ac:dyDescent="0.25">
      <c r="A1289">
        <v>2070</v>
      </c>
      <c r="B1289" t="str">
        <f>"4-octylfenol"</f>
        <v>4-octylfenol</v>
      </c>
      <c r="C1289" t="s">
        <v>19016</v>
      </c>
      <c r="D1289" t="str">
        <f>"1806-26-4"</f>
        <v>1806-26-4</v>
      </c>
      <c r="E1289" t="str">
        <f t="shared" si="53"/>
        <v xml:space="preserve">Organische parameters </v>
      </c>
      <c r="F1289" t="str">
        <f t="shared" si="56"/>
        <v xml:space="preserve">Overige antropogene stoffen </v>
      </c>
      <c r="G1289" t="str">
        <f>""</f>
        <v/>
      </c>
    </row>
    <row r="1290" spans="1:7" x14ac:dyDescent="0.25">
      <c r="A1290">
        <v>2071</v>
      </c>
      <c r="B1290" t="str">
        <f>"iso-nonylfenol"</f>
        <v>iso-nonylfenol</v>
      </c>
      <c r="C1290" t="s">
        <v>19016</v>
      </c>
      <c r="D1290" t="str">
        <f>"11066-49-2"</f>
        <v>11066-49-2</v>
      </c>
      <c r="E1290" t="str">
        <f t="shared" si="53"/>
        <v xml:space="preserve">Organische parameters </v>
      </c>
      <c r="F1290" t="str">
        <f t="shared" si="56"/>
        <v xml:space="preserve">Overige antropogene stoffen </v>
      </c>
      <c r="G1290" t="str">
        <f>""</f>
        <v/>
      </c>
    </row>
    <row r="1291" spans="1:7" x14ac:dyDescent="0.25">
      <c r="A1291">
        <v>2072</v>
      </c>
      <c r="B1291" t="str">
        <f>"bisfenol A"</f>
        <v>bisfenol A</v>
      </c>
      <c r="C1291" t="s">
        <v>19016</v>
      </c>
      <c r="D1291" t="str">
        <f>"80-05-7"</f>
        <v>80-05-7</v>
      </c>
      <c r="E1291" t="str">
        <f t="shared" si="53"/>
        <v xml:space="preserve">Organische parameters </v>
      </c>
      <c r="F1291" t="str">
        <f t="shared" si="56"/>
        <v xml:space="preserve">Overige antropogene stoffen </v>
      </c>
      <c r="G1291" t="str">
        <f>""</f>
        <v/>
      </c>
    </row>
    <row r="1292" spans="1:7" x14ac:dyDescent="0.25">
      <c r="A1292">
        <v>2073</v>
      </c>
      <c r="B1292" t="str">
        <f>"17beta-estradiol"</f>
        <v>17beta-estradiol</v>
      </c>
      <c r="C1292" t="s">
        <v>19016</v>
      </c>
      <c r="D1292" t="str">
        <f>"50-28-2"</f>
        <v>50-28-2</v>
      </c>
      <c r="E1292" t="str">
        <f t="shared" si="53"/>
        <v xml:space="preserve">Organische parameters </v>
      </c>
      <c r="F1292" t="str">
        <f t="shared" si="56"/>
        <v xml:space="preserve">Overige antropogene stoffen </v>
      </c>
      <c r="G1292" t="str">
        <f>""</f>
        <v/>
      </c>
    </row>
    <row r="1293" spans="1:7" x14ac:dyDescent="0.25">
      <c r="A1293">
        <v>2074</v>
      </c>
      <c r="B1293" t="str">
        <f>"estriol"</f>
        <v>estriol</v>
      </c>
      <c r="C1293" t="s">
        <v>19016</v>
      </c>
      <c r="D1293" t="str">
        <f>"50-27-1"</f>
        <v>50-27-1</v>
      </c>
      <c r="E1293" t="str">
        <f t="shared" ref="E1293:E1356" si="57">"Organische parameters "</f>
        <v xml:space="preserve">Organische parameters </v>
      </c>
      <c r="F1293" t="str">
        <f t="shared" si="56"/>
        <v xml:space="preserve">Overige antropogene stoffen </v>
      </c>
      <c r="G1293" t="str">
        <f>""</f>
        <v/>
      </c>
    </row>
    <row r="1294" spans="1:7" x14ac:dyDescent="0.25">
      <c r="A1294">
        <v>2075</v>
      </c>
      <c r="B1294" t="str">
        <f>"estrone"</f>
        <v>estrone</v>
      </c>
      <c r="C1294" t="s">
        <v>19016</v>
      </c>
      <c r="D1294" t="str">
        <f>"53-16-7"</f>
        <v>53-16-7</v>
      </c>
      <c r="E1294" t="str">
        <f t="shared" si="57"/>
        <v xml:space="preserve">Organische parameters </v>
      </c>
      <c r="F1294" t="str">
        <f t="shared" si="56"/>
        <v xml:space="preserve">Overige antropogene stoffen </v>
      </c>
      <c r="G1294" t="str">
        <f>""</f>
        <v/>
      </c>
    </row>
    <row r="1295" spans="1:7" x14ac:dyDescent="0.25">
      <c r="A1295">
        <v>2076</v>
      </c>
      <c r="B1295" t="str">
        <f>"17alfa-ethinylestradiol"</f>
        <v>17alfa-ethinylestradiol</v>
      </c>
      <c r="C1295" t="s">
        <v>19016</v>
      </c>
      <c r="D1295" t="str">
        <f>"77538-56-8"</f>
        <v>77538-56-8</v>
      </c>
      <c r="E1295" t="str">
        <f t="shared" si="57"/>
        <v xml:space="preserve">Organische parameters </v>
      </c>
      <c r="F1295" t="str">
        <f t="shared" si="56"/>
        <v xml:space="preserve">Overige antropogene stoffen </v>
      </c>
      <c r="G1295" t="str">
        <f>""</f>
        <v/>
      </c>
    </row>
    <row r="1296" spans="1:7" x14ac:dyDescent="0.25">
      <c r="A1296">
        <v>2077</v>
      </c>
      <c r="B1296" t="str">
        <f>"tributyltin"</f>
        <v>tributyltin</v>
      </c>
      <c r="C1296" t="s">
        <v>19016</v>
      </c>
      <c r="D1296" t="str">
        <f>"688-73-3"</f>
        <v>688-73-3</v>
      </c>
      <c r="E1296" t="str">
        <f t="shared" si="57"/>
        <v xml:space="preserve">Organische parameters </v>
      </c>
      <c r="F1296" t="str">
        <f t="shared" si="56"/>
        <v xml:space="preserve">Overige antropogene stoffen </v>
      </c>
      <c r="G1296" t="str">
        <f>""</f>
        <v/>
      </c>
    </row>
    <row r="1297" spans="1:7" x14ac:dyDescent="0.25">
      <c r="A1297">
        <v>2078</v>
      </c>
      <c r="B1297" t="str">
        <f>"progesteron"</f>
        <v>progesteron</v>
      </c>
      <c r="C1297" t="s">
        <v>19016</v>
      </c>
      <c r="D1297" t="str">
        <f>"57-83-0"</f>
        <v>57-83-0</v>
      </c>
      <c r="E1297" t="str">
        <f t="shared" si="57"/>
        <v xml:space="preserve">Organische parameters </v>
      </c>
      <c r="F1297" t="str">
        <f t="shared" si="56"/>
        <v xml:space="preserve">Overige antropogene stoffen </v>
      </c>
      <c r="G1297" t="str">
        <f>""</f>
        <v/>
      </c>
    </row>
    <row r="1298" spans="1:7" x14ac:dyDescent="0.25">
      <c r="A1298">
        <v>2079</v>
      </c>
      <c r="B1298" t="str">
        <f>"m-cresol"</f>
        <v>m-cresol</v>
      </c>
      <c r="C1298" t="s">
        <v>19016</v>
      </c>
      <c r="D1298" t="str">
        <f>"108-39-4"</f>
        <v>108-39-4</v>
      </c>
      <c r="E1298" t="str">
        <f t="shared" si="57"/>
        <v xml:space="preserve">Organische parameters </v>
      </c>
      <c r="F1298" t="str">
        <f t="shared" si="56"/>
        <v xml:space="preserve">Overige antropogene stoffen </v>
      </c>
      <c r="G1298" t="str">
        <f>""</f>
        <v/>
      </c>
    </row>
    <row r="1299" spans="1:7" x14ac:dyDescent="0.25">
      <c r="A1299">
        <v>2080</v>
      </c>
      <c r="B1299" t="str">
        <f>"o- en p-cresol"</f>
        <v>o- en p-cresol</v>
      </c>
      <c r="C1299" t="s">
        <v>19016</v>
      </c>
      <c r="D1299" t="str">
        <f>""</f>
        <v/>
      </c>
      <c r="E1299" t="str">
        <f t="shared" si="57"/>
        <v xml:space="preserve">Organische parameters </v>
      </c>
      <c r="F1299" t="str">
        <f t="shared" si="56"/>
        <v xml:space="preserve">Overige antropogene stoffen </v>
      </c>
      <c r="G1299" t="str">
        <f>""</f>
        <v/>
      </c>
    </row>
    <row r="1300" spans="1:7" x14ac:dyDescent="0.25">
      <c r="A1300">
        <v>2081</v>
      </c>
      <c r="B1300" t="str">
        <f>"2-ethylfenol"</f>
        <v>2-ethylfenol</v>
      </c>
      <c r="C1300" t="s">
        <v>19016</v>
      </c>
      <c r="D1300" t="str">
        <f>"90-00-6"</f>
        <v>90-00-6</v>
      </c>
      <c r="E1300" t="str">
        <f t="shared" si="57"/>
        <v xml:space="preserve">Organische parameters </v>
      </c>
      <c r="F1300" t="str">
        <f t="shared" si="56"/>
        <v xml:space="preserve">Overige antropogene stoffen </v>
      </c>
      <c r="G1300" t="str">
        <f>""</f>
        <v/>
      </c>
    </row>
    <row r="1301" spans="1:7" x14ac:dyDescent="0.25">
      <c r="A1301">
        <v>2082</v>
      </c>
      <c r="B1301" t="str">
        <f>"pentylfenol"</f>
        <v>pentylfenol</v>
      </c>
      <c r="C1301" t="s">
        <v>19016</v>
      </c>
      <c r="D1301" t="str">
        <f>"1322-06-1"</f>
        <v>1322-06-1</v>
      </c>
      <c r="E1301" t="str">
        <f t="shared" si="57"/>
        <v xml:space="preserve">Organische parameters </v>
      </c>
      <c r="F1301" t="str">
        <f t="shared" si="56"/>
        <v xml:space="preserve">Overige antropogene stoffen </v>
      </c>
      <c r="G1301" t="str">
        <f>""</f>
        <v/>
      </c>
    </row>
    <row r="1302" spans="1:7" x14ac:dyDescent="0.25">
      <c r="A1302">
        <v>2084</v>
      </c>
      <c r="B1302" t="str">
        <f>"octylfenol"</f>
        <v>octylfenol</v>
      </c>
      <c r="C1302" t="s">
        <v>19016</v>
      </c>
      <c r="D1302" t="str">
        <f>"27193-28-8"</f>
        <v>27193-28-8</v>
      </c>
      <c r="E1302" t="str">
        <f t="shared" si="57"/>
        <v xml:space="preserve">Organische parameters </v>
      </c>
      <c r="F1302" t="str">
        <f t="shared" si="56"/>
        <v xml:space="preserve">Overige antropogene stoffen </v>
      </c>
      <c r="G1302" t="str">
        <f>""</f>
        <v/>
      </c>
    </row>
    <row r="1303" spans="1:7" x14ac:dyDescent="0.25">
      <c r="A1303">
        <v>2085</v>
      </c>
      <c r="B1303" t="str">
        <f>"4-tert-octylfenol"</f>
        <v>4-tert-octylfenol</v>
      </c>
      <c r="C1303" t="s">
        <v>19016</v>
      </c>
      <c r="D1303" t="str">
        <f>"140-66-9"</f>
        <v>140-66-9</v>
      </c>
      <c r="E1303" t="str">
        <f t="shared" si="57"/>
        <v xml:space="preserve">Organische parameters </v>
      </c>
      <c r="F1303" t="str">
        <f t="shared" si="56"/>
        <v xml:space="preserve">Overige antropogene stoffen </v>
      </c>
      <c r="G1303" t="str">
        <f>""</f>
        <v/>
      </c>
    </row>
    <row r="1304" spans="1:7" x14ac:dyDescent="0.25">
      <c r="A1304">
        <v>2086</v>
      </c>
      <c r="B1304" t="str">
        <f>"1,2-dibroomethaan"</f>
        <v>1,2-dibroomethaan</v>
      </c>
      <c r="C1304" t="s">
        <v>19016</v>
      </c>
      <c r="D1304" t="str">
        <f>"106-93-4"</f>
        <v>106-93-4</v>
      </c>
      <c r="E1304" t="str">
        <f t="shared" si="57"/>
        <v xml:space="preserve">Organische parameters </v>
      </c>
      <c r="F1304" t="str">
        <f>"Gehalogeneerde alifatische koolwaterstoffen "</f>
        <v xml:space="preserve">Gehalogeneerde alifatische koolwaterstoffen </v>
      </c>
      <c r="G1304" t="str">
        <f>"Overige gehalogeneerde alifatische koolwaterstoffen "</f>
        <v xml:space="preserve">Overige gehalogeneerde alifatische koolwaterstoffen </v>
      </c>
    </row>
    <row r="1305" spans="1:7" x14ac:dyDescent="0.25">
      <c r="A1305">
        <v>2087</v>
      </c>
      <c r="B1305" t="str">
        <f>"n-butylbenzeen"</f>
        <v>n-butylbenzeen</v>
      </c>
      <c r="C1305" t="s">
        <v>19016</v>
      </c>
      <c r="D1305" t="str">
        <f>"104-51-8"</f>
        <v>104-51-8</v>
      </c>
      <c r="E1305" t="str">
        <f t="shared" si="57"/>
        <v xml:space="preserve">Organische parameters </v>
      </c>
      <c r="F1305" t="str">
        <f>"Monocyclische koolwaterstoffen/aromaten "</f>
        <v xml:space="preserve">Monocyclische koolwaterstoffen/aromaten </v>
      </c>
      <c r="G1305" t="str">
        <f>""</f>
        <v/>
      </c>
    </row>
    <row r="1306" spans="1:7" x14ac:dyDescent="0.25">
      <c r="A1306">
        <v>2088</v>
      </c>
      <c r="B1306" t="str">
        <f>"1,2-dibroom-3-chloorpropaan"</f>
        <v>1,2-dibroom-3-chloorpropaan</v>
      </c>
      <c r="C1306" t="s">
        <v>19016</v>
      </c>
      <c r="D1306" t="str">
        <f>"96-12-8"</f>
        <v>96-12-8</v>
      </c>
      <c r="E1306" t="str">
        <f t="shared" si="57"/>
        <v xml:space="preserve">Organische parameters </v>
      </c>
      <c r="F1306" t="str">
        <f>"Gehalogeneerde alifatische koolwaterstoffen "</f>
        <v xml:space="preserve">Gehalogeneerde alifatische koolwaterstoffen </v>
      </c>
      <c r="G1306" t="str">
        <f>"Overige gehalogeneerde alifatische koolwaterstoffen "</f>
        <v xml:space="preserve">Overige gehalogeneerde alifatische koolwaterstoffen </v>
      </c>
    </row>
    <row r="1307" spans="1:7" x14ac:dyDescent="0.25">
      <c r="A1307">
        <v>2090</v>
      </c>
      <c r="B1307" t="str">
        <f>"dimethylketon"</f>
        <v>dimethylketon</v>
      </c>
      <c r="C1307" t="s">
        <v>19016</v>
      </c>
      <c r="D1307" t="str">
        <f>"67-64-1"</f>
        <v>67-64-1</v>
      </c>
      <c r="E1307" t="str">
        <f t="shared" si="57"/>
        <v xml:space="preserve">Organische parameters </v>
      </c>
      <c r="F1307" t="str">
        <f t="shared" ref="F1307:F1326" si="58">"Overige antropogene stoffen "</f>
        <v xml:space="preserve">Overige antropogene stoffen </v>
      </c>
      <c r="G1307" t="str">
        <f>""</f>
        <v/>
      </c>
    </row>
    <row r="1308" spans="1:7" x14ac:dyDescent="0.25">
      <c r="A1308">
        <v>2091</v>
      </c>
      <c r="B1308" t="str">
        <f>"methylethylketon"</f>
        <v>methylethylketon</v>
      </c>
      <c r="C1308" t="s">
        <v>19016</v>
      </c>
      <c r="D1308" t="str">
        <f>"78-93-3"</f>
        <v>78-93-3</v>
      </c>
      <c r="E1308" t="str">
        <f t="shared" si="57"/>
        <v xml:space="preserve">Organische parameters </v>
      </c>
      <c r="F1308" t="str">
        <f t="shared" si="58"/>
        <v xml:space="preserve">Overige antropogene stoffen </v>
      </c>
      <c r="G1308" t="str">
        <f>""</f>
        <v/>
      </c>
    </row>
    <row r="1309" spans="1:7" x14ac:dyDescent="0.25">
      <c r="A1309">
        <v>2092</v>
      </c>
      <c r="B1309" t="str">
        <f>"methylmethacrylaat"</f>
        <v>methylmethacrylaat</v>
      </c>
      <c r="C1309" t="s">
        <v>19016</v>
      </c>
      <c r="D1309" t="str">
        <f>"80-62-6"</f>
        <v>80-62-6</v>
      </c>
      <c r="E1309" t="str">
        <f t="shared" si="57"/>
        <v xml:space="preserve">Organische parameters </v>
      </c>
      <c r="F1309" t="str">
        <f t="shared" si="58"/>
        <v xml:space="preserve">Overige antropogene stoffen </v>
      </c>
      <c r="G1309" t="str">
        <f>""</f>
        <v/>
      </c>
    </row>
    <row r="1310" spans="1:7" x14ac:dyDescent="0.25">
      <c r="A1310">
        <v>2093</v>
      </c>
      <c r="B1310" t="str">
        <f>"2-butanol"</f>
        <v>2-butanol</v>
      </c>
      <c r="C1310" t="s">
        <v>19016</v>
      </c>
      <c r="D1310" t="str">
        <f>"78-92-2"</f>
        <v>78-92-2</v>
      </c>
      <c r="E1310" t="str">
        <f t="shared" si="57"/>
        <v xml:space="preserve">Organische parameters </v>
      </c>
      <c r="F1310" t="str">
        <f t="shared" si="58"/>
        <v xml:space="preserve">Overige antropogene stoffen </v>
      </c>
      <c r="G1310" t="str">
        <f>""</f>
        <v/>
      </c>
    </row>
    <row r="1311" spans="1:7" x14ac:dyDescent="0.25">
      <c r="A1311">
        <v>2094</v>
      </c>
      <c r="B1311" t="str">
        <f>"surfynol 104"</f>
        <v>surfynol 104</v>
      </c>
      <c r="C1311" t="s">
        <v>19016</v>
      </c>
      <c r="D1311" t="str">
        <f>"126-86-3"</f>
        <v>126-86-3</v>
      </c>
      <c r="E1311" t="str">
        <f t="shared" si="57"/>
        <v xml:space="preserve">Organische parameters </v>
      </c>
      <c r="F1311" t="str">
        <f t="shared" si="58"/>
        <v xml:space="preserve">Overige antropogene stoffen </v>
      </c>
      <c r="G1311" t="str">
        <f>""</f>
        <v/>
      </c>
    </row>
    <row r="1312" spans="1:7" x14ac:dyDescent="0.25">
      <c r="A1312">
        <v>2095</v>
      </c>
      <c r="B1312" t="str">
        <f>"diisobutylftalaat"</f>
        <v>diisobutylftalaat</v>
      </c>
      <c r="C1312" t="s">
        <v>19016</v>
      </c>
      <c r="D1312" t="str">
        <f>"84-69-5"</f>
        <v>84-69-5</v>
      </c>
      <c r="E1312" t="str">
        <f t="shared" si="57"/>
        <v xml:space="preserve">Organische parameters </v>
      </c>
      <c r="F1312" t="str">
        <f t="shared" si="58"/>
        <v xml:space="preserve">Overige antropogene stoffen </v>
      </c>
      <c r="G1312" t="str">
        <f>""</f>
        <v/>
      </c>
    </row>
    <row r="1313" spans="1:7" x14ac:dyDescent="0.25">
      <c r="A1313">
        <v>2096</v>
      </c>
      <c r="B1313" t="str">
        <f>"benzofenon"</f>
        <v>benzofenon</v>
      </c>
      <c r="C1313" t="s">
        <v>19016</v>
      </c>
      <c r="D1313" t="str">
        <f>"119-61-9"</f>
        <v>119-61-9</v>
      </c>
      <c r="E1313" t="str">
        <f t="shared" si="57"/>
        <v xml:space="preserve">Organische parameters </v>
      </c>
      <c r="F1313" t="str">
        <f t="shared" si="58"/>
        <v xml:space="preserve">Overige antropogene stoffen </v>
      </c>
      <c r="G1313" t="str">
        <f>""</f>
        <v/>
      </c>
    </row>
    <row r="1314" spans="1:7" x14ac:dyDescent="0.25">
      <c r="A1314">
        <v>2097</v>
      </c>
      <c r="B1314" t="str">
        <f>"TAED"</f>
        <v>TAED</v>
      </c>
      <c r="C1314" t="s">
        <v>19016</v>
      </c>
      <c r="D1314" t="str">
        <f>"10543-57-4"</f>
        <v>10543-57-4</v>
      </c>
      <c r="E1314" t="str">
        <f t="shared" si="57"/>
        <v xml:space="preserve">Organische parameters </v>
      </c>
      <c r="F1314" t="str">
        <f t="shared" si="58"/>
        <v xml:space="preserve">Overige antropogene stoffen </v>
      </c>
      <c r="G1314" t="str">
        <f>""</f>
        <v/>
      </c>
    </row>
    <row r="1315" spans="1:7" x14ac:dyDescent="0.25">
      <c r="A1315">
        <v>2098</v>
      </c>
      <c r="B1315" t="str">
        <f>"1,3-diacetylbenzeen"</f>
        <v>1,3-diacetylbenzeen</v>
      </c>
      <c r="C1315" t="s">
        <v>19016</v>
      </c>
      <c r="D1315" t="str">
        <f>"6781-42-6"</f>
        <v>6781-42-6</v>
      </c>
      <c r="E1315" t="str">
        <f t="shared" si="57"/>
        <v xml:space="preserve">Organische parameters </v>
      </c>
      <c r="F1315" t="str">
        <f t="shared" si="58"/>
        <v xml:space="preserve">Overige antropogene stoffen </v>
      </c>
      <c r="G1315" t="str">
        <f>""</f>
        <v/>
      </c>
    </row>
    <row r="1316" spans="1:7" x14ac:dyDescent="0.25">
      <c r="A1316">
        <v>2099</v>
      </c>
      <c r="B1316" t="str">
        <f>"menthol"</f>
        <v>menthol</v>
      </c>
      <c r="C1316" t="s">
        <v>19016</v>
      </c>
      <c r="D1316" t="str">
        <f>"89-78-1"</f>
        <v>89-78-1</v>
      </c>
      <c r="E1316" t="str">
        <f t="shared" si="57"/>
        <v xml:space="preserve">Organische parameters </v>
      </c>
      <c r="F1316" t="str">
        <f t="shared" si="58"/>
        <v xml:space="preserve">Overige antropogene stoffen </v>
      </c>
      <c r="G1316" t="str">
        <f>""</f>
        <v/>
      </c>
    </row>
    <row r="1317" spans="1:7" x14ac:dyDescent="0.25">
      <c r="A1317">
        <v>2100</v>
      </c>
      <c r="B1317" t="str">
        <f>"1,3-diol-2,2-trimethylpentaan"</f>
        <v>1,3-diol-2,2-trimethylpentaan</v>
      </c>
      <c r="C1317" t="s">
        <v>19016</v>
      </c>
      <c r="D1317" t="str">
        <f>"144-19-4"</f>
        <v>144-19-4</v>
      </c>
      <c r="E1317" t="str">
        <f t="shared" si="57"/>
        <v xml:space="preserve">Organische parameters </v>
      </c>
      <c r="F1317" t="str">
        <f t="shared" si="58"/>
        <v xml:space="preserve">Overige antropogene stoffen </v>
      </c>
      <c r="G1317" t="str">
        <f>""</f>
        <v/>
      </c>
    </row>
    <row r="1318" spans="1:7" x14ac:dyDescent="0.25">
      <c r="A1318">
        <v>2101</v>
      </c>
      <c r="B1318" t="str">
        <f>"2,4-dimethylbenzaldehyde"</f>
        <v>2,4-dimethylbenzaldehyde</v>
      </c>
      <c r="C1318" t="s">
        <v>19016</v>
      </c>
      <c r="D1318" t="str">
        <f>"15764-16-6"</f>
        <v>15764-16-6</v>
      </c>
      <c r="E1318" t="str">
        <f t="shared" si="57"/>
        <v xml:space="preserve">Organische parameters </v>
      </c>
      <c r="F1318" t="str">
        <f t="shared" si="58"/>
        <v xml:space="preserve">Overige antropogene stoffen </v>
      </c>
      <c r="G1318" t="str">
        <f>""</f>
        <v/>
      </c>
    </row>
    <row r="1319" spans="1:7" x14ac:dyDescent="0.25">
      <c r="A1319">
        <v>2102</v>
      </c>
      <c r="B1319" t="str">
        <f>"kamfer"</f>
        <v>kamfer</v>
      </c>
      <c r="C1319" t="s">
        <v>19016</v>
      </c>
      <c r="D1319" t="str">
        <f>"76-22-2"</f>
        <v>76-22-2</v>
      </c>
      <c r="E1319" t="str">
        <f t="shared" si="57"/>
        <v xml:space="preserve">Organische parameters </v>
      </c>
      <c r="F1319" t="str">
        <f t="shared" si="58"/>
        <v xml:space="preserve">Overige antropogene stoffen </v>
      </c>
      <c r="G1319" t="str">
        <f>""</f>
        <v/>
      </c>
    </row>
    <row r="1320" spans="1:7" x14ac:dyDescent="0.25">
      <c r="A1320">
        <v>2103</v>
      </c>
      <c r="B1320" t="str">
        <f>"2,6-dimethylpyridine"</f>
        <v>2,6-dimethylpyridine</v>
      </c>
      <c r="C1320" t="s">
        <v>19016</v>
      </c>
      <c r="D1320" t="str">
        <f>"108-48-5"</f>
        <v>108-48-5</v>
      </c>
      <c r="E1320" t="str">
        <f t="shared" si="57"/>
        <v xml:space="preserve">Organische parameters </v>
      </c>
      <c r="F1320" t="str">
        <f t="shared" si="58"/>
        <v xml:space="preserve">Overige antropogene stoffen </v>
      </c>
      <c r="G1320" t="str">
        <f>""</f>
        <v/>
      </c>
    </row>
    <row r="1321" spans="1:7" x14ac:dyDescent="0.25">
      <c r="A1321">
        <v>2104</v>
      </c>
      <c r="B1321" t="str">
        <f>"2-(2-propenyl)fenol"</f>
        <v>2-(2-propenyl)fenol</v>
      </c>
      <c r="C1321" t="s">
        <v>19016</v>
      </c>
      <c r="D1321" t="str">
        <f>"1745-81-9"</f>
        <v>1745-81-9</v>
      </c>
      <c r="E1321" t="str">
        <f t="shared" si="57"/>
        <v xml:space="preserve">Organische parameters </v>
      </c>
      <c r="F1321" t="str">
        <f t="shared" si="58"/>
        <v xml:space="preserve">Overige antropogene stoffen </v>
      </c>
      <c r="G1321" t="str">
        <f>""</f>
        <v/>
      </c>
    </row>
    <row r="1322" spans="1:7" x14ac:dyDescent="0.25">
      <c r="A1322">
        <v>2105</v>
      </c>
      <c r="B1322" t="str">
        <f>"dipropyleenglycol"</f>
        <v>dipropyleenglycol</v>
      </c>
      <c r="C1322" t="s">
        <v>19016</v>
      </c>
      <c r="D1322" t="str">
        <f>"25265-71-8"</f>
        <v>25265-71-8</v>
      </c>
      <c r="E1322" t="str">
        <f t="shared" si="57"/>
        <v xml:space="preserve">Organische parameters </v>
      </c>
      <c r="F1322" t="str">
        <f t="shared" si="58"/>
        <v xml:space="preserve">Overige antropogene stoffen </v>
      </c>
      <c r="G1322" t="str">
        <f>""</f>
        <v/>
      </c>
    </row>
    <row r="1323" spans="1:7" x14ac:dyDescent="0.25">
      <c r="A1323">
        <v>2106</v>
      </c>
      <c r="B1323" t="str">
        <f>"2,6,6-trimethyl-2-cyclohexeen-1,4-dion"</f>
        <v>2,6,6-trimethyl-2-cyclohexeen-1,4-dion</v>
      </c>
      <c r="C1323" t="s">
        <v>19016</v>
      </c>
      <c r="D1323" t="str">
        <f>"1125-21-9"</f>
        <v>1125-21-9</v>
      </c>
      <c r="E1323" t="str">
        <f t="shared" si="57"/>
        <v xml:space="preserve">Organische parameters </v>
      </c>
      <c r="F1323" t="str">
        <f t="shared" si="58"/>
        <v xml:space="preserve">Overige antropogene stoffen </v>
      </c>
      <c r="G1323" t="str">
        <f>""</f>
        <v/>
      </c>
    </row>
    <row r="1324" spans="1:7" x14ac:dyDescent="0.25">
      <c r="A1324">
        <v>2107</v>
      </c>
      <c r="B1324" t="str">
        <f>"squaleen"</f>
        <v>squaleen</v>
      </c>
      <c r="C1324" t="s">
        <v>19016</v>
      </c>
      <c r="D1324" t="str">
        <f>"111-02-4"</f>
        <v>111-02-4</v>
      </c>
      <c r="E1324" t="str">
        <f t="shared" si="57"/>
        <v xml:space="preserve">Organische parameters </v>
      </c>
      <c r="F1324" t="str">
        <f t="shared" si="58"/>
        <v xml:space="preserve">Overige antropogene stoffen </v>
      </c>
      <c r="G1324" t="str">
        <f>""</f>
        <v/>
      </c>
    </row>
    <row r="1325" spans="1:7" x14ac:dyDescent="0.25">
      <c r="A1325">
        <v>2108</v>
      </c>
      <c r="B1325" t="str">
        <f>"tris(2-chloorisopropyl)fosfaat"</f>
        <v>tris(2-chloorisopropyl)fosfaat</v>
      </c>
      <c r="C1325" t="s">
        <v>19016</v>
      </c>
      <c r="D1325" t="str">
        <f>"13674-84-5"</f>
        <v>13674-84-5</v>
      </c>
      <c r="E1325" t="str">
        <f t="shared" si="57"/>
        <v xml:space="preserve">Organische parameters </v>
      </c>
      <c r="F1325" t="str">
        <f t="shared" si="58"/>
        <v xml:space="preserve">Overige antropogene stoffen </v>
      </c>
      <c r="G1325" t="str">
        <f>""</f>
        <v/>
      </c>
    </row>
    <row r="1326" spans="1:7" x14ac:dyDescent="0.25">
      <c r="A1326">
        <v>2109</v>
      </c>
      <c r="B1326" t="str">
        <f>"2,2',4,4'-tetrabroomdifenylether"</f>
        <v>2,2',4,4'-tetrabroomdifenylether</v>
      </c>
      <c r="C1326" t="s">
        <v>19016</v>
      </c>
      <c r="D1326" t="str">
        <f>"5436-43-1"</f>
        <v>5436-43-1</v>
      </c>
      <c r="E1326" t="str">
        <f t="shared" si="57"/>
        <v xml:space="preserve">Organische parameters </v>
      </c>
      <c r="F1326" t="str">
        <f t="shared" si="58"/>
        <v xml:space="preserve">Overige antropogene stoffen </v>
      </c>
      <c r="G1326" t="str">
        <f>""</f>
        <v/>
      </c>
    </row>
    <row r="1327" spans="1:7" x14ac:dyDescent="0.25">
      <c r="A1327">
        <v>2110</v>
      </c>
      <c r="B1327" t="str">
        <f>"2,2',4,5'-tetrabroomdifenylether"</f>
        <v>2,2',4,5'-tetrabroomdifenylether</v>
      </c>
      <c r="C1327" t="s">
        <v>19016</v>
      </c>
      <c r="D1327" t="str">
        <f>"243982-82-3"</f>
        <v>243982-82-3</v>
      </c>
      <c r="E1327" t="str">
        <f t="shared" si="57"/>
        <v xml:space="preserve">Organische parameters </v>
      </c>
      <c r="F1327" t="str">
        <f>"Gehalogeneerde monocyclische koolwaterstoffen "</f>
        <v xml:space="preserve">Gehalogeneerde monocyclische koolwaterstoffen </v>
      </c>
      <c r="G1327" t="str">
        <f>""</f>
        <v/>
      </c>
    </row>
    <row r="1328" spans="1:7" x14ac:dyDescent="0.25">
      <c r="A1328">
        <v>2111</v>
      </c>
      <c r="B1328" t="str">
        <f>"2,2',3,4,4'-pentabroomdifenylether"</f>
        <v>2,2',3,4,4'-pentabroomdifenylether</v>
      </c>
      <c r="C1328" t="s">
        <v>19016</v>
      </c>
      <c r="D1328" t="str">
        <f>"182346-21-0"</f>
        <v>182346-21-0</v>
      </c>
      <c r="E1328" t="str">
        <f t="shared" si="57"/>
        <v xml:space="preserve">Organische parameters </v>
      </c>
      <c r="F1328" t="str">
        <f t="shared" ref="F1328:F1333" si="59">"Overige antropogene stoffen "</f>
        <v xml:space="preserve">Overige antropogene stoffen </v>
      </c>
      <c r="G1328" t="str">
        <f>""</f>
        <v/>
      </c>
    </row>
    <row r="1329" spans="1:7" x14ac:dyDescent="0.25">
      <c r="A1329">
        <v>2112</v>
      </c>
      <c r="B1329" t="str">
        <f>"2,2',4,4',5-pentabroomdifenylether"</f>
        <v>2,2',4,4',5-pentabroomdifenylether</v>
      </c>
      <c r="C1329" t="s">
        <v>19016</v>
      </c>
      <c r="D1329" t="str">
        <f>"60348-60-9"</f>
        <v>60348-60-9</v>
      </c>
      <c r="E1329" t="str">
        <f t="shared" si="57"/>
        <v xml:space="preserve">Organische parameters </v>
      </c>
      <c r="F1329" t="str">
        <f t="shared" si="59"/>
        <v xml:space="preserve">Overige antropogene stoffen </v>
      </c>
      <c r="G1329" t="str">
        <f>""</f>
        <v/>
      </c>
    </row>
    <row r="1330" spans="1:7" x14ac:dyDescent="0.25">
      <c r="A1330">
        <v>2113</v>
      </c>
      <c r="B1330" t="str">
        <f>"2,2',4,4',6-pentabroomdifenylether"</f>
        <v>2,2',4,4',6-pentabroomdifenylether</v>
      </c>
      <c r="C1330" t="s">
        <v>19016</v>
      </c>
      <c r="D1330" t="str">
        <f>"189084-64-8"</f>
        <v>189084-64-8</v>
      </c>
      <c r="E1330" t="str">
        <f t="shared" si="57"/>
        <v xml:space="preserve">Organische parameters </v>
      </c>
      <c r="F1330" t="str">
        <f t="shared" si="59"/>
        <v xml:space="preserve">Overige antropogene stoffen </v>
      </c>
      <c r="G1330" t="str">
        <f>""</f>
        <v/>
      </c>
    </row>
    <row r="1331" spans="1:7" x14ac:dyDescent="0.25">
      <c r="A1331">
        <v>2114</v>
      </c>
      <c r="B1331" t="str">
        <f>"2,2',4,4',5,5'-hexabroomdifenylether"</f>
        <v>2,2',4,4',5,5'-hexabroomdifenylether</v>
      </c>
      <c r="C1331" t="s">
        <v>19016</v>
      </c>
      <c r="D1331" t="str">
        <f>"68631-49-2"</f>
        <v>68631-49-2</v>
      </c>
      <c r="E1331" t="str">
        <f t="shared" si="57"/>
        <v xml:space="preserve">Organische parameters </v>
      </c>
      <c r="F1331" t="str">
        <f t="shared" si="59"/>
        <v xml:space="preserve">Overige antropogene stoffen </v>
      </c>
      <c r="G1331" t="str">
        <f>""</f>
        <v/>
      </c>
    </row>
    <row r="1332" spans="1:7" x14ac:dyDescent="0.25">
      <c r="A1332">
        <v>2115</v>
      </c>
      <c r="B1332" t="str">
        <f>"2,2',4,4',5,6'-hexabroomdifenylether"</f>
        <v>2,2',4,4',5,6'-hexabroomdifenylether</v>
      </c>
      <c r="C1332" t="s">
        <v>19016</v>
      </c>
      <c r="D1332" t="str">
        <f>"207122-15-4"</f>
        <v>207122-15-4</v>
      </c>
      <c r="E1332" t="str">
        <f t="shared" si="57"/>
        <v xml:space="preserve">Organische parameters </v>
      </c>
      <c r="F1332" t="str">
        <f t="shared" si="59"/>
        <v xml:space="preserve">Overige antropogene stoffen </v>
      </c>
      <c r="G1332" t="str">
        <f>""</f>
        <v/>
      </c>
    </row>
    <row r="1333" spans="1:7" x14ac:dyDescent="0.25">
      <c r="A1333">
        <v>2116</v>
      </c>
      <c r="B1333" t="str">
        <f>"tributyltin-cation"</f>
        <v>tributyltin-cation</v>
      </c>
      <c r="C1333" t="s">
        <v>19016</v>
      </c>
      <c r="D1333" t="str">
        <f>"36643-28-4"</f>
        <v>36643-28-4</v>
      </c>
      <c r="E1333" t="str">
        <f t="shared" si="57"/>
        <v xml:space="preserve">Organische parameters </v>
      </c>
      <c r="F1333" t="str">
        <f t="shared" si="59"/>
        <v xml:space="preserve">Overige antropogene stoffen </v>
      </c>
      <c r="G1333" t="str">
        <f>""</f>
        <v/>
      </c>
    </row>
    <row r="1334" spans="1:7" x14ac:dyDescent="0.25">
      <c r="A1334">
        <v>2117</v>
      </c>
      <c r="B1334" t="str">
        <f>"2-amino-4-chloorfenol"</f>
        <v>2-amino-4-chloorfenol</v>
      </c>
      <c r="C1334" t="s">
        <v>19016</v>
      </c>
      <c r="D1334" t="str">
        <f>"95-85-2"</f>
        <v>95-85-2</v>
      </c>
      <c r="E1334" t="str">
        <f t="shared" si="57"/>
        <v xml:space="preserve">Organische parameters </v>
      </c>
      <c r="F1334" t="str">
        <f>"(Chloor)fenolen "</f>
        <v xml:space="preserve">(Chloor)fenolen </v>
      </c>
      <c r="G1334" t="str">
        <f>""</f>
        <v/>
      </c>
    </row>
    <row r="1335" spans="1:7" x14ac:dyDescent="0.25">
      <c r="A1335">
        <v>2118</v>
      </c>
      <c r="B1335" t="str">
        <f>"benzidine"</f>
        <v>benzidine</v>
      </c>
      <c r="C1335" t="s">
        <v>19016</v>
      </c>
      <c r="D1335" t="str">
        <f>"92-87-5"</f>
        <v>92-87-5</v>
      </c>
      <c r="E1335" t="str">
        <f t="shared" si="57"/>
        <v xml:space="preserve">Organische parameters </v>
      </c>
      <c r="F1335" t="str">
        <f>"Overige antropogene stoffen "</f>
        <v xml:space="preserve">Overige antropogene stoffen </v>
      </c>
      <c r="G1335" t="str">
        <f>""</f>
        <v/>
      </c>
    </row>
    <row r="1336" spans="1:7" x14ac:dyDescent="0.25">
      <c r="A1336">
        <v>2119</v>
      </c>
      <c r="B1336" t="str">
        <f>"benzylchloride"</f>
        <v>benzylchloride</v>
      </c>
      <c r="C1336" t="s">
        <v>19016</v>
      </c>
      <c r="D1336" t="str">
        <f>"100-44-7"</f>
        <v>100-44-7</v>
      </c>
      <c r="E1336" t="str">
        <f t="shared" si="57"/>
        <v xml:space="preserve">Organische parameters </v>
      </c>
      <c r="F1336" t="str">
        <f>"Gehalogeneerde monocyclische koolwaterstoffen "</f>
        <v xml:space="preserve">Gehalogeneerde monocyclische koolwaterstoffen </v>
      </c>
      <c r="G1336" t="str">
        <f>""</f>
        <v/>
      </c>
    </row>
    <row r="1337" spans="1:7" x14ac:dyDescent="0.25">
      <c r="A1337">
        <v>2121</v>
      </c>
      <c r="B1337" t="str">
        <f>"1-chloor-2,4-dinitrobenzeen"</f>
        <v>1-chloor-2,4-dinitrobenzeen</v>
      </c>
      <c r="C1337" t="s">
        <v>19016</v>
      </c>
      <c r="D1337" t="str">
        <f>"97-00-7"</f>
        <v>97-00-7</v>
      </c>
      <c r="E1337" t="str">
        <f t="shared" si="57"/>
        <v xml:space="preserve">Organische parameters </v>
      </c>
      <c r="F1337" t="str">
        <f>"Gehalogeneerde monocyclische koolwaterstoffen "</f>
        <v xml:space="preserve">Gehalogeneerde monocyclische koolwaterstoffen </v>
      </c>
      <c r="G1337" t="str">
        <f>""</f>
        <v/>
      </c>
    </row>
    <row r="1338" spans="1:7" x14ac:dyDescent="0.25">
      <c r="A1338">
        <v>2122</v>
      </c>
      <c r="B1338" t="str">
        <f>"2-chloorethanol"</f>
        <v>2-chloorethanol</v>
      </c>
      <c r="C1338" t="s">
        <v>19016</v>
      </c>
      <c r="D1338" t="str">
        <f>"107-07-3"</f>
        <v>107-07-3</v>
      </c>
      <c r="E1338" t="str">
        <f t="shared" si="57"/>
        <v xml:space="preserve">Organische parameters </v>
      </c>
      <c r="F1338" t="str">
        <f>"Gehalogeneerde alifatische koolwaterstoffen "</f>
        <v xml:space="preserve">Gehalogeneerde alifatische koolwaterstoffen </v>
      </c>
      <c r="G1338" t="str">
        <f>"Overige gehalogeneerde alifatische koolwaterstoffen "</f>
        <v xml:space="preserve">Overige gehalogeneerde alifatische koolwaterstoffen </v>
      </c>
    </row>
    <row r="1339" spans="1:7" x14ac:dyDescent="0.25">
      <c r="A1339">
        <v>2123</v>
      </c>
      <c r="B1339" t="str">
        <f>"4-chloor-2-nitro-aniline"</f>
        <v>4-chloor-2-nitro-aniline</v>
      </c>
      <c r="C1339" t="s">
        <v>19016</v>
      </c>
      <c r="D1339" t="str">
        <f>"89-63-4"</f>
        <v>89-63-4</v>
      </c>
      <c r="E1339" t="str">
        <f t="shared" si="57"/>
        <v xml:space="preserve">Organische parameters </v>
      </c>
      <c r="F1339" t="str">
        <f>"Aromatische aminen "</f>
        <v xml:space="preserve">Aromatische aminen </v>
      </c>
      <c r="G1339" t="str">
        <f>""</f>
        <v/>
      </c>
    </row>
    <row r="1340" spans="1:7" x14ac:dyDescent="0.25">
      <c r="A1340">
        <v>2124</v>
      </c>
      <c r="B1340" t="str">
        <f>"1-chloor-2-nitrobenzeen"</f>
        <v>1-chloor-2-nitrobenzeen</v>
      </c>
      <c r="C1340" t="s">
        <v>19016</v>
      </c>
      <c r="D1340" t="str">
        <f>"88-73-3"</f>
        <v>88-73-3</v>
      </c>
      <c r="E1340" t="str">
        <f t="shared" si="57"/>
        <v xml:space="preserve">Organische parameters </v>
      </c>
      <c r="F1340" t="str">
        <f>""</f>
        <v/>
      </c>
      <c r="G1340" t="str">
        <f>""</f>
        <v/>
      </c>
    </row>
    <row r="1341" spans="1:7" x14ac:dyDescent="0.25">
      <c r="A1341">
        <v>2125</v>
      </c>
      <c r="B1341" t="str">
        <f>"1-chloor-3-nitrobenzeen"</f>
        <v>1-chloor-3-nitrobenzeen</v>
      </c>
      <c r="C1341" t="s">
        <v>19016</v>
      </c>
      <c r="D1341" t="str">
        <f>"121-73-3"</f>
        <v>121-73-3</v>
      </c>
      <c r="E1341" t="str">
        <f t="shared" si="57"/>
        <v xml:space="preserve">Organische parameters </v>
      </c>
      <c r="F1341" t="str">
        <f>""</f>
        <v/>
      </c>
      <c r="G1341" t="str">
        <f>""</f>
        <v/>
      </c>
    </row>
    <row r="1342" spans="1:7" x14ac:dyDescent="0.25">
      <c r="A1342">
        <v>2126</v>
      </c>
      <c r="B1342" t="str">
        <f>"4-chloor-2-nitrotolueen"</f>
        <v>4-chloor-2-nitrotolueen</v>
      </c>
      <c r="C1342" t="s">
        <v>19016</v>
      </c>
      <c r="D1342" t="str">
        <f>"89-59-8"</f>
        <v>89-59-8</v>
      </c>
      <c r="E1342" t="str">
        <f t="shared" si="57"/>
        <v xml:space="preserve">Organische parameters </v>
      </c>
      <c r="F1342" t="str">
        <f>""</f>
        <v/>
      </c>
      <c r="G1342" t="str">
        <f>""</f>
        <v/>
      </c>
    </row>
    <row r="1343" spans="1:7" x14ac:dyDescent="0.25">
      <c r="A1343">
        <v>2127</v>
      </c>
      <c r="B1343" t="str">
        <f>"2-chloor-4-nitrotolueen"</f>
        <v>2-chloor-4-nitrotolueen</v>
      </c>
      <c r="C1343" t="s">
        <v>19016</v>
      </c>
      <c r="D1343" t="str">
        <f>"121-86-8"</f>
        <v>121-86-8</v>
      </c>
      <c r="E1343" t="str">
        <f t="shared" si="57"/>
        <v xml:space="preserve">Organische parameters </v>
      </c>
      <c r="F1343" t="str">
        <f>""</f>
        <v/>
      </c>
      <c r="G1343" t="str">
        <f>""</f>
        <v/>
      </c>
    </row>
    <row r="1344" spans="1:7" x14ac:dyDescent="0.25">
      <c r="A1344">
        <v>2128</v>
      </c>
      <c r="B1344" t="str">
        <f>"2-chloor-6-nitrotolueen"</f>
        <v>2-chloor-6-nitrotolueen</v>
      </c>
      <c r="C1344" t="s">
        <v>19016</v>
      </c>
      <c r="D1344" t="str">
        <f>"83-42-1"</f>
        <v>83-42-1</v>
      </c>
      <c r="E1344" t="str">
        <f t="shared" si="57"/>
        <v xml:space="preserve">Organische parameters </v>
      </c>
      <c r="F1344" t="str">
        <f>""</f>
        <v/>
      </c>
      <c r="G1344" t="str">
        <f>""</f>
        <v/>
      </c>
    </row>
    <row r="1345" spans="1:7" x14ac:dyDescent="0.25">
      <c r="A1345">
        <v>2129</v>
      </c>
      <c r="B1345" t="str">
        <f>"4-chloor-3-nitrotolueen"</f>
        <v>4-chloor-3-nitrotolueen</v>
      </c>
      <c r="C1345" t="s">
        <v>19016</v>
      </c>
      <c r="D1345" t="str">
        <f>"89-60-1"</f>
        <v>89-60-1</v>
      </c>
      <c r="E1345" t="str">
        <f t="shared" si="57"/>
        <v xml:space="preserve">Organische parameters </v>
      </c>
      <c r="F1345" t="str">
        <f>""</f>
        <v/>
      </c>
      <c r="G1345" t="str">
        <f>""</f>
        <v/>
      </c>
    </row>
    <row r="1346" spans="1:7" x14ac:dyDescent="0.25">
      <c r="A1346">
        <v>2130</v>
      </c>
      <c r="B1346" t="str">
        <f>"5-chloor-2-nitrotolueen"</f>
        <v>5-chloor-2-nitrotolueen</v>
      </c>
      <c r="C1346" t="s">
        <v>19016</v>
      </c>
      <c r="D1346" t="str">
        <f>"5367-28-2"</f>
        <v>5367-28-2</v>
      </c>
      <c r="E1346" t="str">
        <f t="shared" si="57"/>
        <v xml:space="preserve">Organische parameters </v>
      </c>
      <c r="F1346" t="str">
        <f>""</f>
        <v/>
      </c>
      <c r="G1346" t="str">
        <f>""</f>
        <v/>
      </c>
    </row>
    <row r="1347" spans="1:7" x14ac:dyDescent="0.25">
      <c r="A1347">
        <v>2131</v>
      </c>
      <c r="B1347" t="str">
        <f>"chloorpreen (2-Chloor-1,3-butadieen)"</f>
        <v>chloorpreen (2-Chloor-1,3-butadieen)</v>
      </c>
      <c r="C1347" t="s">
        <v>19016</v>
      </c>
      <c r="D1347" t="str">
        <f>"126-99-8"</f>
        <v>126-99-8</v>
      </c>
      <c r="E1347" t="str">
        <f t="shared" si="57"/>
        <v xml:space="preserve">Organische parameters </v>
      </c>
      <c r="F1347" t="str">
        <f>"Gehalogeneerde alifatische koolwaterstoffen "</f>
        <v xml:space="preserve">Gehalogeneerde alifatische koolwaterstoffen </v>
      </c>
      <c r="G1347" t="str">
        <f>"Overige gehalogeneerde alifatische koolwaterstoffen "</f>
        <v xml:space="preserve">Overige gehalogeneerde alifatische koolwaterstoffen </v>
      </c>
    </row>
    <row r="1348" spans="1:7" x14ac:dyDescent="0.25">
      <c r="A1348">
        <v>2132</v>
      </c>
      <c r="B1348" t="str">
        <f>"3-chloorpropeen (allylchloride)"</f>
        <v>3-chloorpropeen (allylchloride)</v>
      </c>
      <c r="C1348" t="s">
        <v>19016</v>
      </c>
      <c r="D1348" t="str">
        <f>"107-05-1"</f>
        <v>107-05-1</v>
      </c>
      <c r="E1348" t="str">
        <f t="shared" si="57"/>
        <v xml:space="preserve">Organische parameters </v>
      </c>
      <c r="F1348" t="str">
        <f>"Gehalogeneerde alifatische koolwaterstoffen "</f>
        <v xml:space="preserve">Gehalogeneerde alifatische koolwaterstoffen </v>
      </c>
      <c r="G1348" t="str">
        <f>"Overige gehalogeneerde alifatische koolwaterstoffen "</f>
        <v xml:space="preserve">Overige gehalogeneerde alifatische koolwaterstoffen </v>
      </c>
    </row>
    <row r="1349" spans="1:7" x14ac:dyDescent="0.25">
      <c r="A1349">
        <v>2133</v>
      </c>
      <c r="B1349" t="str">
        <f>"2-chloor-4-methyl-aniline"</f>
        <v>2-chloor-4-methyl-aniline</v>
      </c>
      <c r="C1349" t="s">
        <v>19016</v>
      </c>
      <c r="D1349" t="str">
        <f>"615-65-6"</f>
        <v>615-65-6</v>
      </c>
      <c r="E1349" t="str">
        <f t="shared" si="57"/>
        <v xml:space="preserve">Organische parameters </v>
      </c>
      <c r="F1349" t="str">
        <f>"Aromatische aminen "</f>
        <v xml:space="preserve">Aromatische aminen </v>
      </c>
      <c r="G1349" t="str">
        <f>""</f>
        <v/>
      </c>
    </row>
    <row r="1350" spans="1:7" x14ac:dyDescent="0.25">
      <c r="A1350">
        <v>2135</v>
      </c>
      <c r="B1350" t="str">
        <f>"1,3-dichloor-2-propanol"</f>
        <v>1,3-dichloor-2-propanol</v>
      </c>
      <c r="C1350" t="s">
        <v>19016</v>
      </c>
      <c r="D1350" t="str">
        <f>"96-23-1"</f>
        <v>96-23-1</v>
      </c>
      <c r="E1350" t="str">
        <f t="shared" si="57"/>
        <v xml:space="preserve">Organische parameters </v>
      </c>
      <c r="F1350" t="str">
        <f>"Gehalogeneerde alifatische koolwaterstoffen "</f>
        <v xml:space="preserve">Gehalogeneerde alifatische koolwaterstoffen </v>
      </c>
      <c r="G1350" t="str">
        <f>"Overige gehalogeneerde alifatische koolwaterstoffen "</f>
        <v xml:space="preserve">Overige gehalogeneerde alifatische koolwaterstoffen </v>
      </c>
    </row>
    <row r="1351" spans="1:7" x14ac:dyDescent="0.25">
      <c r="A1351">
        <v>2136</v>
      </c>
      <c r="B1351" t="str">
        <f>"diethylamine"</f>
        <v>diethylamine</v>
      </c>
      <c r="C1351" t="s">
        <v>19016</v>
      </c>
      <c r="D1351" t="str">
        <f>"109-89-7"</f>
        <v>109-89-7</v>
      </c>
      <c r="E1351" t="str">
        <f t="shared" si="57"/>
        <v xml:space="preserve">Organische parameters </v>
      </c>
      <c r="F1351" t="str">
        <f>""</f>
        <v/>
      </c>
      <c r="G1351" t="str">
        <f>""</f>
        <v/>
      </c>
    </row>
    <row r="1352" spans="1:7" x14ac:dyDescent="0.25">
      <c r="A1352">
        <v>2137</v>
      </c>
      <c r="B1352" t="str">
        <f>"dimethylamine"</f>
        <v>dimethylamine</v>
      </c>
      <c r="C1352" t="s">
        <v>19016</v>
      </c>
      <c r="D1352" t="str">
        <f>"124-40-3"</f>
        <v>124-40-3</v>
      </c>
      <c r="E1352" t="str">
        <f t="shared" si="57"/>
        <v xml:space="preserve">Organische parameters </v>
      </c>
      <c r="F1352" t="str">
        <f>""</f>
        <v/>
      </c>
      <c r="G1352" t="str">
        <f>""</f>
        <v/>
      </c>
    </row>
    <row r="1353" spans="1:7" x14ac:dyDescent="0.25">
      <c r="A1353">
        <v>2138</v>
      </c>
      <c r="B1353" t="str">
        <f>"dichloorfluordifluorchloorethaan (freon 113)"</f>
        <v>dichloorfluordifluorchloorethaan (freon 113)</v>
      </c>
      <c r="C1353" t="s">
        <v>19016</v>
      </c>
      <c r="D1353" t="str">
        <f>""</f>
        <v/>
      </c>
      <c r="E1353" t="str">
        <f t="shared" si="57"/>
        <v xml:space="preserve">Organische parameters </v>
      </c>
      <c r="F1353" t="str">
        <f>"Gehalogeneerde alifatische koolwaterstoffen "</f>
        <v xml:space="preserve">Gehalogeneerde alifatische koolwaterstoffen </v>
      </c>
      <c r="G1353" t="str">
        <f>"Overige gehalogeneerde alifatische koolwaterstoffen "</f>
        <v xml:space="preserve">Overige gehalogeneerde alifatische koolwaterstoffen </v>
      </c>
    </row>
    <row r="1354" spans="1:7" x14ac:dyDescent="0.25">
      <c r="A1354">
        <v>2144</v>
      </c>
      <c r="B1354" t="str">
        <f>"2,3,4,6- en 2,3,5,6-tetrachloorfenol"</f>
        <v>2,3,4,6- en 2,3,5,6-tetrachloorfenol</v>
      </c>
      <c r="C1354" t="s">
        <v>19016</v>
      </c>
      <c r="D1354" t="str">
        <f>""</f>
        <v/>
      </c>
      <c r="E1354" t="str">
        <f t="shared" si="57"/>
        <v xml:space="preserve">Organische parameters </v>
      </c>
      <c r="F1354" t="str">
        <f>""</f>
        <v/>
      </c>
      <c r="G1354" t="str">
        <f>""</f>
        <v/>
      </c>
    </row>
    <row r="1355" spans="1:7" x14ac:dyDescent="0.25">
      <c r="A1355">
        <v>2145</v>
      </c>
      <c r="B1355" t="str">
        <f>"octacosane"</f>
        <v>octacosane</v>
      </c>
      <c r="C1355" t="s">
        <v>19016</v>
      </c>
      <c r="D1355" t="str">
        <f>"630-02-4"</f>
        <v>630-02-4</v>
      </c>
      <c r="E1355" t="str">
        <f t="shared" si="57"/>
        <v xml:space="preserve">Organische parameters </v>
      </c>
      <c r="F1355" t="str">
        <f>""</f>
        <v/>
      </c>
      <c r="G1355" t="str">
        <f>""</f>
        <v/>
      </c>
    </row>
    <row r="1356" spans="1:7" x14ac:dyDescent="0.25">
      <c r="A1356">
        <v>2146</v>
      </c>
      <c r="B1356" t="str">
        <f>"octa-methyl-tetra-siloxaan"</f>
        <v>octa-methyl-tetra-siloxaan</v>
      </c>
      <c r="C1356" t="s">
        <v>19016</v>
      </c>
      <c r="D1356" t="str">
        <f>"1000-05-1"</f>
        <v>1000-05-1</v>
      </c>
      <c r="E1356" t="str">
        <f t="shared" si="57"/>
        <v xml:space="preserve">Organische parameters </v>
      </c>
      <c r="F1356" t="str">
        <f>""</f>
        <v/>
      </c>
      <c r="G1356" t="str">
        <f>""</f>
        <v/>
      </c>
    </row>
    <row r="1357" spans="1:7" x14ac:dyDescent="0.25">
      <c r="A1357">
        <v>2147</v>
      </c>
      <c r="B1357" t="str">
        <f>"cyaanuurzuurchloride"</f>
        <v>cyaanuurzuurchloride</v>
      </c>
      <c r="C1357" t="s">
        <v>19016</v>
      </c>
      <c r="D1357" t="str">
        <f>"108-77-0"</f>
        <v>108-77-0</v>
      </c>
      <c r="E1357" t="str">
        <f t="shared" ref="E1357:E1420" si="60">"Organische parameters "</f>
        <v xml:space="preserve">Organische parameters </v>
      </c>
      <c r="F1357" t="str">
        <f>""</f>
        <v/>
      </c>
      <c r="G1357" t="str">
        <f>""</f>
        <v/>
      </c>
    </row>
    <row r="1358" spans="1:7" x14ac:dyDescent="0.25">
      <c r="A1358">
        <v>2151</v>
      </c>
      <c r="B1358" t="str">
        <f>"2,3-dichloornitrobenzeen"</f>
        <v>2,3-dichloornitrobenzeen</v>
      </c>
      <c r="C1358" t="s">
        <v>19016</v>
      </c>
      <c r="D1358" t="str">
        <f>"3209-22-1"</f>
        <v>3209-22-1</v>
      </c>
      <c r="E1358" t="str">
        <f t="shared" si="60"/>
        <v xml:space="preserve">Organische parameters </v>
      </c>
      <c r="F1358" t="str">
        <f>""</f>
        <v/>
      </c>
      <c r="G1358" t="str">
        <f>""</f>
        <v/>
      </c>
    </row>
    <row r="1359" spans="1:7" x14ac:dyDescent="0.25">
      <c r="A1359">
        <v>2152</v>
      </c>
      <c r="B1359" t="str">
        <f>"2,4-dichloornitrobenzeen"</f>
        <v>2,4-dichloornitrobenzeen</v>
      </c>
      <c r="C1359" t="s">
        <v>19016</v>
      </c>
      <c r="D1359" t="str">
        <f>"611-06-3"</f>
        <v>611-06-3</v>
      </c>
      <c r="E1359" t="str">
        <f t="shared" si="60"/>
        <v xml:space="preserve">Organische parameters </v>
      </c>
      <c r="F1359" t="str">
        <f>""</f>
        <v/>
      </c>
      <c r="G1359" t="str">
        <f>""</f>
        <v/>
      </c>
    </row>
    <row r="1360" spans="1:7" x14ac:dyDescent="0.25">
      <c r="A1360">
        <v>2153</v>
      </c>
      <c r="B1360" t="str">
        <f>"2,5-dichloornitrobenzeen"</f>
        <v>2,5-dichloornitrobenzeen</v>
      </c>
      <c r="C1360" t="s">
        <v>19016</v>
      </c>
      <c r="D1360" t="str">
        <f>"89-61-2"</f>
        <v>89-61-2</v>
      </c>
      <c r="E1360" t="str">
        <f t="shared" si="60"/>
        <v xml:space="preserve">Organische parameters </v>
      </c>
      <c r="F1360" t="str">
        <f>""</f>
        <v/>
      </c>
      <c r="G1360" t="str">
        <f>""</f>
        <v/>
      </c>
    </row>
    <row r="1361" spans="1:7" x14ac:dyDescent="0.25">
      <c r="A1361">
        <v>2154</v>
      </c>
      <c r="B1361" t="str">
        <f>"3-chloor-2-methyl-aniline"</f>
        <v>3-chloor-2-methyl-aniline</v>
      </c>
      <c r="C1361" t="s">
        <v>19016</v>
      </c>
      <c r="D1361" t="str">
        <f>"87-60-5"</f>
        <v>87-60-5</v>
      </c>
      <c r="E1361" t="str">
        <f t="shared" si="60"/>
        <v xml:space="preserve">Organische parameters </v>
      </c>
      <c r="F1361" t="str">
        <f>"Aromatische aminen "</f>
        <v xml:space="preserve">Aromatische aminen </v>
      </c>
      <c r="G1361" t="str">
        <f>""</f>
        <v/>
      </c>
    </row>
    <row r="1362" spans="1:7" x14ac:dyDescent="0.25">
      <c r="A1362">
        <v>2155</v>
      </c>
      <c r="B1362" t="str">
        <f>"3-chloor-4-nitrotolueen"</f>
        <v>3-chloor-4-nitrotolueen</v>
      </c>
      <c r="C1362" t="s">
        <v>19016</v>
      </c>
      <c r="D1362" t="str">
        <f>"38939-88-7"</f>
        <v>38939-88-7</v>
      </c>
      <c r="E1362" t="str">
        <f t="shared" si="60"/>
        <v xml:space="preserve">Organische parameters </v>
      </c>
      <c r="F1362" t="str">
        <f>""</f>
        <v/>
      </c>
      <c r="G1362" t="str">
        <f>""</f>
        <v/>
      </c>
    </row>
    <row r="1363" spans="1:7" x14ac:dyDescent="0.25">
      <c r="A1363">
        <v>2156</v>
      </c>
      <c r="B1363" t="str">
        <f>"bis(2-methoxyethyl)ether (diglyme)"</f>
        <v>bis(2-methoxyethyl)ether (diglyme)</v>
      </c>
      <c r="C1363" t="s">
        <v>19016</v>
      </c>
      <c r="D1363" t="str">
        <f>"111-96-6"</f>
        <v>111-96-6</v>
      </c>
      <c r="E1363" t="str">
        <f t="shared" si="60"/>
        <v xml:space="preserve">Organische parameters </v>
      </c>
      <c r="F1363" t="str">
        <f>"Diglymen "</f>
        <v xml:space="preserve">Diglymen </v>
      </c>
      <c r="G1363" t="str">
        <f>""</f>
        <v/>
      </c>
    </row>
    <row r="1364" spans="1:7" x14ac:dyDescent="0.25">
      <c r="A1364">
        <v>2157</v>
      </c>
      <c r="B1364" t="str">
        <f>"hexa(methoxymethyl) melamine (HMMM)"</f>
        <v>hexa(methoxymethyl) melamine (HMMM)</v>
      </c>
      <c r="C1364" t="s">
        <v>19016</v>
      </c>
      <c r="D1364" t="str">
        <f>"3089-11-0"</f>
        <v>3089-11-0</v>
      </c>
      <c r="E1364" t="str">
        <f t="shared" si="60"/>
        <v xml:space="preserve">Organische parameters </v>
      </c>
      <c r="F1364" t="str">
        <f>"Aromatische aminen "</f>
        <v xml:space="preserve">Aromatische aminen </v>
      </c>
      <c r="G1364" t="str">
        <f>""</f>
        <v/>
      </c>
    </row>
    <row r="1365" spans="1:7" x14ac:dyDescent="0.25">
      <c r="A1365">
        <v>2158</v>
      </c>
      <c r="B1365" t="str">
        <f>"2,2-dimethoxybutaan"</f>
        <v>2,2-dimethoxybutaan</v>
      </c>
      <c r="C1365" t="s">
        <v>19016</v>
      </c>
      <c r="D1365" t="str">
        <f>"3453-99-4"</f>
        <v>3453-99-4</v>
      </c>
      <c r="E1365" t="str">
        <f t="shared" si="60"/>
        <v xml:space="preserve">Organische parameters </v>
      </c>
      <c r="F1365" t="str">
        <f>""</f>
        <v/>
      </c>
      <c r="G1365" t="str">
        <f>""</f>
        <v/>
      </c>
    </row>
    <row r="1366" spans="1:7" x14ac:dyDescent="0.25">
      <c r="A1366">
        <v>2159</v>
      </c>
      <c r="B1366" t="str">
        <f>"1-(2-methoxypropoxy)-2-propanol"</f>
        <v>1-(2-methoxypropoxy)-2-propanol</v>
      </c>
      <c r="C1366" t="s">
        <v>19016</v>
      </c>
      <c r="D1366" t="str">
        <f>"1321-21-7"</f>
        <v>1321-21-7</v>
      </c>
      <c r="E1366" t="str">
        <f t="shared" si="60"/>
        <v xml:space="preserve">Organische parameters </v>
      </c>
      <c r="F1366" t="str">
        <f>""</f>
        <v/>
      </c>
      <c r="G1366" t="str">
        <f>""</f>
        <v/>
      </c>
    </row>
    <row r="1367" spans="1:7" x14ac:dyDescent="0.25">
      <c r="A1367">
        <v>2160</v>
      </c>
      <c r="B1367" t="str">
        <f>"penta(methoxymethyl)melamine (PMMM)"</f>
        <v>penta(methoxymethyl)melamine (PMMM)</v>
      </c>
      <c r="C1367" t="s">
        <v>19016</v>
      </c>
      <c r="D1367" t="str">
        <f>""</f>
        <v/>
      </c>
      <c r="E1367" t="str">
        <f t="shared" si="60"/>
        <v xml:space="preserve">Organische parameters </v>
      </c>
      <c r="F1367" t="str">
        <f>"Aromatische aminen "</f>
        <v xml:space="preserve">Aromatische aminen </v>
      </c>
      <c r="G1367" t="str">
        <f>""</f>
        <v/>
      </c>
    </row>
    <row r="1368" spans="1:7" x14ac:dyDescent="0.25">
      <c r="A1368">
        <v>2161</v>
      </c>
      <c r="B1368" t="str">
        <f>"4-chloor-3,5-dimethylfenol"</f>
        <v>4-chloor-3,5-dimethylfenol</v>
      </c>
      <c r="C1368" t="s">
        <v>19016</v>
      </c>
      <c r="D1368" t="str">
        <f>"88-04-0"</f>
        <v>88-04-0</v>
      </c>
      <c r="E1368" t="str">
        <f t="shared" si="60"/>
        <v xml:space="preserve">Organische parameters </v>
      </c>
      <c r="F1368" t="str">
        <f>""</f>
        <v/>
      </c>
      <c r="G1368" t="str">
        <f>""</f>
        <v/>
      </c>
    </row>
    <row r="1369" spans="1:7" x14ac:dyDescent="0.25">
      <c r="A1369">
        <v>2162</v>
      </c>
      <c r="B1369" t="str">
        <f>"p-chloor-p'-hydroxybenzofenon"</f>
        <v>p-chloor-p'-hydroxybenzofenon</v>
      </c>
      <c r="C1369" t="s">
        <v>19016</v>
      </c>
      <c r="D1369" t="str">
        <f>""</f>
        <v/>
      </c>
      <c r="E1369" t="str">
        <f t="shared" si="60"/>
        <v xml:space="preserve">Organische parameters </v>
      </c>
      <c r="F1369" t="str">
        <f>""</f>
        <v/>
      </c>
      <c r="G1369" t="str">
        <f>""</f>
        <v/>
      </c>
    </row>
    <row r="1370" spans="1:7" x14ac:dyDescent="0.25">
      <c r="A1370">
        <v>2163</v>
      </c>
      <c r="B1370" t="str">
        <f>"tris(2-butoxyethyl)fosfaat"</f>
        <v>tris(2-butoxyethyl)fosfaat</v>
      </c>
      <c r="C1370" t="s">
        <v>19016</v>
      </c>
      <c r="D1370" t="str">
        <f>"78-51-3"</f>
        <v>78-51-3</v>
      </c>
      <c r="E1370" t="str">
        <f t="shared" si="60"/>
        <v xml:space="preserve">Organische parameters </v>
      </c>
      <c r="F1370" t="str">
        <f>""</f>
        <v/>
      </c>
      <c r="G1370" t="str">
        <f>""</f>
        <v/>
      </c>
    </row>
    <row r="1371" spans="1:7" x14ac:dyDescent="0.25">
      <c r="A1371">
        <v>2164</v>
      </c>
      <c r="B1371" t="str">
        <f>"N,N-diisobutylformamide"</f>
        <v>N,N-diisobutylformamide</v>
      </c>
      <c r="C1371" t="s">
        <v>19016</v>
      </c>
      <c r="D1371" t="str">
        <f>"2591-76-6"</f>
        <v>2591-76-6</v>
      </c>
      <c r="E1371" t="str">
        <f t="shared" si="60"/>
        <v xml:space="preserve">Organische parameters </v>
      </c>
      <c r="F1371" t="str">
        <f>""</f>
        <v/>
      </c>
      <c r="G1371" t="str">
        <f>""</f>
        <v/>
      </c>
    </row>
    <row r="1372" spans="1:7" x14ac:dyDescent="0.25">
      <c r="A1372">
        <v>2165</v>
      </c>
      <c r="B1372" t="str">
        <f>"urotropine"</f>
        <v>urotropine</v>
      </c>
      <c r="C1372" t="s">
        <v>19016</v>
      </c>
      <c r="D1372" t="str">
        <f>"100-97-0"</f>
        <v>100-97-0</v>
      </c>
      <c r="E1372" t="str">
        <f t="shared" si="60"/>
        <v xml:space="preserve">Organische parameters </v>
      </c>
      <c r="F1372" t="str">
        <f>""</f>
        <v/>
      </c>
      <c r="G1372" t="str">
        <f>""</f>
        <v/>
      </c>
    </row>
    <row r="1373" spans="1:7" x14ac:dyDescent="0.25">
      <c r="A1373">
        <v>2167</v>
      </c>
      <c r="B1373" t="str">
        <f>"2-ethyl-4-methyl-1,3-dioxolaan"</f>
        <v>2-ethyl-4-methyl-1,3-dioxolaan</v>
      </c>
      <c r="C1373" t="s">
        <v>19016</v>
      </c>
      <c r="D1373" t="str">
        <f>"4359-46-0"</f>
        <v>4359-46-0</v>
      </c>
      <c r="E1373" t="str">
        <f t="shared" si="60"/>
        <v xml:space="preserve">Organische parameters </v>
      </c>
      <c r="F1373" t="str">
        <f>""</f>
        <v/>
      </c>
      <c r="G1373" t="str">
        <f>""</f>
        <v/>
      </c>
    </row>
    <row r="1374" spans="1:7" x14ac:dyDescent="0.25">
      <c r="A1374">
        <v>2168</v>
      </c>
      <c r="B1374" t="str">
        <f>"ethyl-tertiair-butylether"</f>
        <v>ethyl-tertiair-butylether</v>
      </c>
      <c r="C1374" t="s">
        <v>19016</v>
      </c>
      <c r="D1374" t="str">
        <f>"637-92-3"</f>
        <v>637-92-3</v>
      </c>
      <c r="E1374" t="str">
        <f t="shared" si="60"/>
        <v xml:space="preserve">Organische parameters </v>
      </c>
      <c r="F1374" t="str">
        <f>""</f>
        <v/>
      </c>
      <c r="G1374" t="str">
        <f>""</f>
        <v/>
      </c>
    </row>
    <row r="1375" spans="1:7" x14ac:dyDescent="0.25">
      <c r="A1375">
        <v>2169</v>
      </c>
      <c r="B1375" t="str">
        <f>"2,2,4'-tribroomdifenylether"</f>
        <v>2,2,4'-tribroomdifenylether</v>
      </c>
      <c r="C1375" t="s">
        <v>19016</v>
      </c>
      <c r="D1375" t="str">
        <f>"147217-75-2"</f>
        <v>147217-75-2</v>
      </c>
      <c r="E1375" t="str">
        <f t="shared" si="60"/>
        <v xml:space="preserve">Organische parameters </v>
      </c>
      <c r="F1375" t="str">
        <f>""</f>
        <v/>
      </c>
      <c r="G1375" t="str">
        <f>""</f>
        <v/>
      </c>
    </row>
    <row r="1376" spans="1:7" x14ac:dyDescent="0.25">
      <c r="A1376">
        <v>2170</v>
      </c>
      <c r="B1376" t="str">
        <f>"2,2',3,4,4',5'-hexabroomdifenylether"</f>
        <v>2,2',3,4,4',5'-hexabroomdifenylether</v>
      </c>
      <c r="C1376" t="s">
        <v>19016</v>
      </c>
      <c r="D1376" t="str">
        <f>"182677-30-1"</f>
        <v>182677-30-1</v>
      </c>
      <c r="E1376" t="str">
        <f t="shared" si="60"/>
        <v xml:space="preserve">Organische parameters </v>
      </c>
      <c r="F1376" t="str">
        <f>""</f>
        <v/>
      </c>
      <c r="G1376" t="str">
        <f>""</f>
        <v/>
      </c>
    </row>
    <row r="1377" spans="1:7" x14ac:dyDescent="0.25">
      <c r="A1377">
        <v>2171</v>
      </c>
      <c r="B1377" t="str">
        <f>"diaceton-L-sorbose"</f>
        <v>diaceton-L-sorbose</v>
      </c>
      <c r="C1377" t="s">
        <v>19016</v>
      </c>
      <c r="D1377" t="str">
        <f>"17682-70-1"</f>
        <v>17682-70-1</v>
      </c>
      <c r="E1377" t="str">
        <f t="shared" si="60"/>
        <v xml:space="preserve">Organische parameters </v>
      </c>
      <c r="F1377" t="str">
        <f>""</f>
        <v/>
      </c>
      <c r="G1377" t="str">
        <f>""</f>
        <v/>
      </c>
    </row>
    <row r="1378" spans="1:7" x14ac:dyDescent="0.25">
      <c r="A1378">
        <v>2172</v>
      </c>
      <c r="B1378" t="str">
        <f>"N-methyl-N-benzolsulfonylglycine"</f>
        <v>N-methyl-N-benzolsulfonylglycine</v>
      </c>
      <c r="C1378" t="s">
        <v>19016</v>
      </c>
      <c r="D1378" t="str">
        <f>""</f>
        <v/>
      </c>
      <c r="E1378" t="str">
        <f t="shared" si="60"/>
        <v xml:space="preserve">Organische parameters </v>
      </c>
      <c r="F1378" t="str">
        <f>""</f>
        <v/>
      </c>
      <c r="G1378" t="str">
        <f>""</f>
        <v/>
      </c>
    </row>
    <row r="1379" spans="1:7" x14ac:dyDescent="0.25">
      <c r="A1379">
        <v>2173</v>
      </c>
      <c r="B1379" t="str">
        <f>"triethyleenglycoldimethylether"</f>
        <v>triethyleenglycoldimethylether</v>
      </c>
      <c r="C1379" t="s">
        <v>19016</v>
      </c>
      <c r="D1379" t="str">
        <f>"112-49-2"</f>
        <v>112-49-2</v>
      </c>
      <c r="E1379" t="str">
        <f t="shared" si="60"/>
        <v xml:space="preserve">Organische parameters </v>
      </c>
      <c r="F1379" t="str">
        <f>""</f>
        <v/>
      </c>
      <c r="G1379" t="str">
        <f>""</f>
        <v/>
      </c>
    </row>
    <row r="1380" spans="1:7" x14ac:dyDescent="0.25">
      <c r="A1380">
        <v>2175</v>
      </c>
      <c r="B1380" t="str">
        <f>"2,4,5-trimethylaniline"</f>
        <v>2,4,5-trimethylaniline</v>
      </c>
      <c r="C1380" t="s">
        <v>19016</v>
      </c>
      <c r="D1380" t="str">
        <f>"137-17-7"</f>
        <v>137-17-7</v>
      </c>
      <c r="E1380" t="str">
        <f t="shared" si="60"/>
        <v xml:space="preserve">Organische parameters </v>
      </c>
      <c r="F1380" t="str">
        <f>"Aromatische aminen "</f>
        <v xml:space="preserve">Aromatische aminen </v>
      </c>
      <c r="G1380" t="str">
        <f>""</f>
        <v/>
      </c>
    </row>
    <row r="1381" spans="1:7" x14ac:dyDescent="0.25">
      <c r="A1381">
        <v>2176</v>
      </c>
      <c r="B1381" t="str">
        <f>"3- en 4-ethylfenol"</f>
        <v>3- en 4-ethylfenol</v>
      </c>
      <c r="C1381" t="s">
        <v>19016</v>
      </c>
      <c r="D1381" t="str">
        <f>""</f>
        <v/>
      </c>
      <c r="E1381" t="str">
        <f t="shared" si="60"/>
        <v xml:space="preserve">Organische parameters </v>
      </c>
      <c r="F1381" t="str">
        <f>""</f>
        <v/>
      </c>
      <c r="G1381" t="str">
        <f>""</f>
        <v/>
      </c>
    </row>
    <row r="1382" spans="1:7" x14ac:dyDescent="0.25">
      <c r="A1382">
        <v>2177</v>
      </c>
      <c r="B1382" t="str">
        <f>"2-(1,1-dimethyl-ethyl)-dimethyl-1-fenylaziridine"</f>
        <v>2-(1,1-dimethyl-ethyl)-dimethyl-1-fenylaziridine</v>
      </c>
      <c r="C1382" t="s">
        <v>19016</v>
      </c>
      <c r="D1382" t="str">
        <f>""</f>
        <v/>
      </c>
      <c r="E1382" t="str">
        <f t="shared" si="60"/>
        <v xml:space="preserve">Organische parameters </v>
      </c>
      <c r="F1382" t="str">
        <f>"Aromatische aminen "</f>
        <v xml:space="preserve">Aromatische aminen </v>
      </c>
      <c r="G1382" t="str">
        <f>""</f>
        <v/>
      </c>
    </row>
    <row r="1383" spans="1:7" x14ac:dyDescent="0.25">
      <c r="A1383">
        <v>2178</v>
      </c>
      <c r="B1383" t="str">
        <f>"3-ethylfenol"</f>
        <v>3-ethylfenol</v>
      </c>
      <c r="C1383" t="s">
        <v>19016</v>
      </c>
      <c r="D1383" t="str">
        <f>"620-17-7"</f>
        <v>620-17-7</v>
      </c>
      <c r="E1383" t="str">
        <f t="shared" si="60"/>
        <v xml:space="preserve">Organische parameters </v>
      </c>
      <c r="F1383" t="str">
        <f>""</f>
        <v/>
      </c>
      <c r="G1383" t="str">
        <f>""</f>
        <v/>
      </c>
    </row>
    <row r="1384" spans="1:7" x14ac:dyDescent="0.25">
      <c r="A1384">
        <v>2179</v>
      </c>
      <c r="B1384" t="str">
        <f>"4-ethylfenol"</f>
        <v>4-ethylfenol</v>
      </c>
      <c r="C1384" t="s">
        <v>19016</v>
      </c>
      <c r="D1384" t="str">
        <f>"123-07-9"</f>
        <v>123-07-9</v>
      </c>
      <c r="E1384" t="str">
        <f t="shared" si="60"/>
        <v xml:space="preserve">Organische parameters </v>
      </c>
      <c r="F1384" t="str">
        <f>""</f>
        <v/>
      </c>
      <c r="G1384" t="str">
        <f>""</f>
        <v/>
      </c>
    </row>
    <row r="1385" spans="1:7" x14ac:dyDescent="0.25">
      <c r="A1385">
        <v>2181</v>
      </c>
      <c r="B1385" t="str">
        <f>"4-isononylfenol"</f>
        <v>4-isononylfenol</v>
      </c>
      <c r="C1385" t="s">
        <v>19016</v>
      </c>
      <c r="D1385" t="str">
        <f>"26543-97-5"</f>
        <v>26543-97-5</v>
      </c>
      <c r="E1385" t="str">
        <f t="shared" si="60"/>
        <v xml:space="preserve">Organische parameters </v>
      </c>
      <c r="F1385" t="str">
        <f>""</f>
        <v/>
      </c>
      <c r="G1385" t="str">
        <f>""</f>
        <v/>
      </c>
    </row>
    <row r="1386" spans="1:7" x14ac:dyDescent="0.25">
      <c r="A1386">
        <v>2183</v>
      </c>
      <c r="B1386" t="str">
        <f>"benzotriazool"</f>
        <v>benzotriazool</v>
      </c>
      <c r="C1386" t="s">
        <v>19016</v>
      </c>
      <c r="D1386" t="str">
        <f>"95-14-7"</f>
        <v>95-14-7</v>
      </c>
      <c r="E1386" t="str">
        <f t="shared" si="60"/>
        <v xml:space="preserve">Organische parameters </v>
      </c>
      <c r="F1386" t="str">
        <f>"Aromatische aminen "</f>
        <v xml:space="preserve">Aromatische aminen </v>
      </c>
      <c r="G1386" t="str">
        <f>""</f>
        <v/>
      </c>
    </row>
    <row r="1387" spans="1:7" x14ac:dyDescent="0.25">
      <c r="A1387">
        <v>2184</v>
      </c>
      <c r="B1387" t="str">
        <f>"5-methyl-1-H-benzotriazool"</f>
        <v>5-methyl-1-H-benzotriazool</v>
      </c>
      <c r="C1387" t="s">
        <v>19016</v>
      </c>
      <c r="D1387" t="str">
        <f>"136-85-6"</f>
        <v>136-85-6</v>
      </c>
      <c r="E1387" t="str">
        <f t="shared" si="60"/>
        <v xml:space="preserve">Organische parameters </v>
      </c>
      <c r="F1387" t="str">
        <f>"Aromatische aminen "</f>
        <v xml:space="preserve">Aromatische aminen </v>
      </c>
      <c r="G1387" t="str">
        <f>""</f>
        <v/>
      </c>
    </row>
    <row r="1388" spans="1:7" x14ac:dyDescent="0.25">
      <c r="A1388">
        <v>2185</v>
      </c>
      <c r="B1388" t="str">
        <f>"docosaan"</f>
        <v>docosaan</v>
      </c>
      <c r="C1388" t="s">
        <v>19016</v>
      </c>
      <c r="D1388" t="str">
        <f>"629-97-0"</f>
        <v>629-97-0</v>
      </c>
      <c r="E1388" t="str">
        <f t="shared" si="60"/>
        <v xml:space="preserve">Organische parameters </v>
      </c>
      <c r="F1388" t="str">
        <f>""</f>
        <v/>
      </c>
      <c r="G1388" t="str">
        <f>""</f>
        <v/>
      </c>
    </row>
    <row r="1389" spans="1:7" x14ac:dyDescent="0.25">
      <c r="A1389">
        <v>2186</v>
      </c>
      <c r="B1389" t="str">
        <f>"hexatriacontaan"</f>
        <v>hexatriacontaan</v>
      </c>
      <c r="C1389" t="s">
        <v>19016</v>
      </c>
      <c r="D1389" t="str">
        <f>"630-06-8"</f>
        <v>630-06-8</v>
      </c>
      <c r="E1389" t="str">
        <f t="shared" si="60"/>
        <v xml:space="preserve">Organische parameters </v>
      </c>
      <c r="F1389" t="str">
        <f>""</f>
        <v/>
      </c>
      <c r="G1389" t="str">
        <f>""</f>
        <v/>
      </c>
    </row>
    <row r="1390" spans="1:7" x14ac:dyDescent="0.25">
      <c r="A1390">
        <v>2187</v>
      </c>
      <c r="B1390" t="str">
        <f>"hexacosaan"</f>
        <v>hexacosaan</v>
      </c>
      <c r="C1390" t="s">
        <v>19016</v>
      </c>
      <c r="D1390" t="str">
        <f>"630-01-3"</f>
        <v>630-01-3</v>
      </c>
      <c r="E1390" t="str">
        <f t="shared" si="60"/>
        <v xml:space="preserve">Organische parameters </v>
      </c>
      <c r="F1390" t="str">
        <f>""</f>
        <v/>
      </c>
      <c r="G1390" t="str">
        <f>""</f>
        <v/>
      </c>
    </row>
    <row r="1391" spans="1:7" x14ac:dyDescent="0.25">
      <c r="A1391">
        <v>2188</v>
      </c>
      <c r="B1391" t="str">
        <f>"octatriacontaan"</f>
        <v>octatriacontaan</v>
      </c>
      <c r="C1391" t="s">
        <v>19016</v>
      </c>
      <c r="D1391" t="str">
        <f>"7194-85-6"</f>
        <v>7194-85-6</v>
      </c>
      <c r="E1391" t="str">
        <f t="shared" si="60"/>
        <v xml:space="preserve">Organische parameters </v>
      </c>
      <c r="F1391" t="str">
        <f>""</f>
        <v/>
      </c>
      <c r="G1391" t="str">
        <f>""</f>
        <v/>
      </c>
    </row>
    <row r="1392" spans="1:7" x14ac:dyDescent="0.25">
      <c r="A1392">
        <v>2189</v>
      </c>
      <c r="B1392" t="str">
        <f>"eicosaan"</f>
        <v>eicosaan</v>
      </c>
      <c r="C1392" t="s">
        <v>19016</v>
      </c>
      <c r="D1392" t="str">
        <f>"112-95-8"</f>
        <v>112-95-8</v>
      </c>
      <c r="E1392" t="str">
        <f t="shared" si="60"/>
        <v xml:space="preserve">Organische parameters </v>
      </c>
      <c r="F1392" t="str">
        <f>""</f>
        <v/>
      </c>
      <c r="G1392" t="str">
        <f>""</f>
        <v/>
      </c>
    </row>
    <row r="1393" spans="1:7" x14ac:dyDescent="0.25">
      <c r="A1393">
        <v>2190</v>
      </c>
      <c r="B1393" t="str">
        <f>"dotriacontaan"</f>
        <v>dotriacontaan</v>
      </c>
      <c r="C1393" t="s">
        <v>19016</v>
      </c>
      <c r="D1393" t="str">
        <f>"544-85-4"</f>
        <v>544-85-4</v>
      </c>
      <c r="E1393" t="str">
        <f t="shared" si="60"/>
        <v xml:space="preserve">Organische parameters </v>
      </c>
      <c r="F1393" t="str">
        <f>""</f>
        <v/>
      </c>
      <c r="G1393" t="str">
        <f>""</f>
        <v/>
      </c>
    </row>
    <row r="1394" spans="1:7" x14ac:dyDescent="0.25">
      <c r="A1394">
        <v>2191</v>
      </c>
      <c r="B1394" t="str">
        <f>"tetracontaan"</f>
        <v>tetracontaan</v>
      </c>
      <c r="C1394" t="s">
        <v>19016</v>
      </c>
      <c r="D1394" t="str">
        <f>"4181-95-7"</f>
        <v>4181-95-7</v>
      </c>
      <c r="E1394" t="str">
        <f t="shared" si="60"/>
        <v xml:space="preserve">Organische parameters </v>
      </c>
      <c r="F1394" t="str">
        <f>""</f>
        <v/>
      </c>
      <c r="G1394" t="str">
        <f>""</f>
        <v/>
      </c>
    </row>
    <row r="1395" spans="1:7" x14ac:dyDescent="0.25">
      <c r="A1395">
        <v>2192</v>
      </c>
      <c r="B1395" t="str">
        <f>"tetracosaan"</f>
        <v>tetracosaan</v>
      </c>
      <c r="C1395" t="s">
        <v>19016</v>
      </c>
      <c r="D1395" t="str">
        <f>"646-31-1"</f>
        <v>646-31-1</v>
      </c>
      <c r="E1395" t="str">
        <f t="shared" si="60"/>
        <v xml:space="preserve">Organische parameters </v>
      </c>
      <c r="F1395" t="str">
        <f>""</f>
        <v/>
      </c>
      <c r="G1395" t="str">
        <f>""</f>
        <v/>
      </c>
    </row>
    <row r="1396" spans="1:7" x14ac:dyDescent="0.25">
      <c r="A1396">
        <v>2193</v>
      </c>
      <c r="B1396" t="str">
        <f>"tetratriacontaan"</f>
        <v>tetratriacontaan</v>
      </c>
      <c r="C1396" t="s">
        <v>19016</v>
      </c>
      <c r="D1396" t="str">
        <f>"14167-59-0"</f>
        <v>14167-59-0</v>
      </c>
      <c r="E1396" t="str">
        <f t="shared" si="60"/>
        <v xml:space="preserve">Organische parameters </v>
      </c>
      <c r="F1396" t="str">
        <f>""</f>
        <v/>
      </c>
      <c r="G1396" t="str">
        <f>""</f>
        <v/>
      </c>
    </row>
    <row r="1397" spans="1:7" x14ac:dyDescent="0.25">
      <c r="A1397">
        <v>2194</v>
      </c>
      <c r="B1397" t="str">
        <f>"triacontaan"</f>
        <v>triacontaan</v>
      </c>
      <c r="C1397" t="s">
        <v>19016</v>
      </c>
      <c r="D1397" t="str">
        <f>"638-68-6"</f>
        <v>638-68-6</v>
      </c>
      <c r="E1397" t="str">
        <f t="shared" si="60"/>
        <v xml:space="preserve">Organische parameters </v>
      </c>
      <c r="F1397" t="str">
        <f>""</f>
        <v/>
      </c>
      <c r="G1397" t="str">
        <f>""</f>
        <v/>
      </c>
    </row>
    <row r="1398" spans="1:7" x14ac:dyDescent="0.25">
      <c r="A1398">
        <v>2195</v>
      </c>
      <c r="B1398" t="str">
        <f>"di-(2-methyl-propyl)ftalaat"</f>
        <v>di-(2-methyl-propyl)ftalaat</v>
      </c>
      <c r="C1398" t="s">
        <v>19016</v>
      </c>
      <c r="D1398" t="str">
        <f>""</f>
        <v/>
      </c>
      <c r="E1398" t="str">
        <f t="shared" si="60"/>
        <v xml:space="preserve">Organische parameters </v>
      </c>
      <c r="F1398" t="str">
        <f>""</f>
        <v/>
      </c>
      <c r="G1398" t="str">
        <f>""</f>
        <v/>
      </c>
    </row>
    <row r="1399" spans="1:7" x14ac:dyDescent="0.25">
      <c r="A1399">
        <v>2196</v>
      </c>
      <c r="B1399" t="str">
        <f>"tetrabutyltin"</f>
        <v>tetrabutyltin</v>
      </c>
      <c r="C1399" t="s">
        <v>19016</v>
      </c>
      <c r="D1399" t="str">
        <f>"1461-25-2"</f>
        <v>1461-25-2</v>
      </c>
      <c r="E1399" t="str">
        <f t="shared" si="60"/>
        <v xml:space="preserve">Organische parameters </v>
      </c>
      <c r="F1399" t="str">
        <f>""</f>
        <v/>
      </c>
      <c r="G1399" t="str">
        <f>""</f>
        <v/>
      </c>
    </row>
    <row r="1400" spans="1:7" x14ac:dyDescent="0.25">
      <c r="A1400">
        <v>2197</v>
      </c>
      <c r="B1400" t="str">
        <f>"trifenyltin"</f>
        <v>trifenyltin</v>
      </c>
      <c r="C1400" t="s">
        <v>19016</v>
      </c>
      <c r="D1400" t="str">
        <f>"892-20-6"</f>
        <v>892-20-6</v>
      </c>
      <c r="E1400" t="str">
        <f t="shared" si="60"/>
        <v xml:space="preserve">Organische parameters </v>
      </c>
      <c r="F1400" t="str">
        <f>""</f>
        <v/>
      </c>
      <c r="G1400" t="str">
        <f>""</f>
        <v/>
      </c>
    </row>
    <row r="1401" spans="1:7" x14ac:dyDescent="0.25">
      <c r="A1401">
        <v>2198</v>
      </c>
      <c r="B1401" t="str">
        <f>"tricyclohexyltin"</f>
        <v>tricyclohexyltin</v>
      </c>
      <c r="C1401" t="s">
        <v>19016</v>
      </c>
      <c r="D1401" t="str">
        <f>"6056-50-4"</f>
        <v>6056-50-4</v>
      </c>
      <c r="E1401" t="str">
        <f t="shared" si="60"/>
        <v xml:space="preserve">Organische parameters </v>
      </c>
      <c r="F1401" t="str">
        <f>""</f>
        <v/>
      </c>
      <c r="G1401" t="str">
        <f>""</f>
        <v/>
      </c>
    </row>
    <row r="1402" spans="1:7" x14ac:dyDescent="0.25">
      <c r="A1402">
        <v>2199</v>
      </c>
      <c r="B1402" t="str">
        <f>"dibutyltin"</f>
        <v>dibutyltin</v>
      </c>
      <c r="C1402" t="s">
        <v>19016</v>
      </c>
      <c r="D1402" t="str">
        <f>"1002-53-5"</f>
        <v>1002-53-5</v>
      </c>
      <c r="E1402" t="str">
        <f t="shared" si="60"/>
        <v xml:space="preserve">Organische parameters </v>
      </c>
      <c r="F1402" t="str">
        <f>""</f>
        <v/>
      </c>
      <c r="G1402" t="str">
        <f>""</f>
        <v/>
      </c>
    </row>
    <row r="1403" spans="1:7" x14ac:dyDescent="0.25">
      <c r="A1403">
        <v>2200</v>
      </c>
      <c r="B1403" t="str">
        <f>"dicyclohexyltin"</f>
        <v>dicyclohexyltin</v>
      </c>
      <c r="C1403" t="s">
        <v>19016</v>
      </c>
      <c r="D1403" t="str">
        <f>"7529-52-4"</f>
        <v>7529-52-4</v>
      </c>
      <c r="E1403" t="str">
        <f t="shared" si="60"/>
        <v xml:space="preserve">Organische parameters </v>
      </c>
      <c r="F1403" t="str">
        <f>""</f>
        <v/>
      </c>
      <c r="G1403" t="str">
        <f>""</f>
        <v/>
      </c>
    </row>
    <row r="1404" spans="1:7" x14ac:dyDescent="0.25">
      <c r="A1404">
        <v>2201</v>
      </c>
      <c r="B1404" t="str">
        <f>"difenyltin"</f>
        <v>difenyltin</v>
      </c>
      <c r="C1404" t="s">
        <v>19016</v>
      </c>
      <c r="D1404" t="str">
        <f>"1011-95-6"</f>
        <v>1011-95-6</v>
      </c>
      <c r="E1404" t="str">
        <f t="shared" si="60"/>
        <v xml:space="preserve">Organische parameters </v>
      </c>
      <c r="F1404" t="str">
        <f>""</f>
        <v/>
      </c>
      <c r="G1404" t="str">
        <f>""</f>
        <v/>
      </c>
    </row>
    <row r="1405" spans="1:7" x14ac:dyDescent="0.25">
      <c r="A1405">
        <v>2202</v>
      </c>
      <c r="B1405" t="str">
        <f>"2-hydroxynaftaleen-3,6-disulfonaat, dinatriumzout"</f>
        <v>2-hydroxynaftaleen-3,6-disulfonaat, dinatriumzout</v>
      </c>
      <c r="C1405" t="s">
        <v>19016</v>
      </c>
      <c r="D1405" t="str">
        <f>"135-51-3 "</f>
        <v xml:space="preserve">135-51-3 </v>
      </c>
      <c r="E1405" t="str">
        <f t="shared" si="60"/>
        <v xml:space="preserve">Organische parameters </v>
      </c>
      <c r="F1405" t="str">
        <f>""</f>
        <v/>
      </c>
      <c r="G1405" t="str">
        <f>""</f>
        <v/>
      </c>
    </row>
    <row r="1406" spans="1:7" x14ac:dyDescent="0.25">
      <c r="A1406">
        <v>2203</v>
      </c>
      <c r="B1406" t="str">
        <f>"trans-4,4-diamimostilben-2,2-disulfonaat"</f>
        <v>trans-4,4-diamimostilben-2,2-disulfonaat</v>
      </c>
      <c r="C1406" t="s">
        <v>19016</v>
      </c>
      <c r="D1406" t="str">
        <f>"7336-20-1"</f>
        <v>7336-20-1</v>
      </c>
      <c r="E1406" t="str">
        <f t="shared" si="60"/>
        <v xml:space="preserve">Organische parameters </v>
      </c>
      <c r="F1406" t="str">
        <f>""</f>
        <v/>
      </c>
      <c r="G1406" t="str">
        <f>""</f>
        <v/>
      </c>
    </row>
    <row r="1407" spans="1:7" x14ac:dyDescent="0.25">
      <c r="A1407">
        <v>2204</v>
      </c>
      <c r="B1407" t="str">
        <f>"4-methylbenzeensulfonaat"</f>
        <v>4-methylbenzeensulfonaat</v>
      </c>
      <c r="C1407" t="s">
        <v>19016</v>
      </c>
      <c r="D1407" t="str">
        <f>"70778-73-3"</f>
        <v>70778-73-3</v>
      </c>
      <c r="E1407" t="str">
        <f t="shared" si="60"/>
        <v xml:space="preserve">Organische parameters </v>
      </c>
      <c r="F1407" t="str">
        <f>""</f>
        <v/>
      </c>
      <c r="G1407" t="str">
        <f>""</f>
        <v/>
      </c>
    </row>
    <row r="1408" spans="1:7" x14ac:dyDescent="0.25">
      <c r="A1408">
        <v>2205</v>
      </c>
      <c r="B1408" t="str">
        <f>"4,4?-diamino-1,1?-bianthrachinon-3,3?-disulfonaat"</f>
        <v>4,4?-diamino-1,1?-bianthrachinon-3,3?-disulfonaat</v>
      </c>
      <c r="C1408" t="s">
        <v>19016</v>
      </c>
      <c r="D1408" t="str">
        <f>"6022-22-6"</f>
        <v>6022-22-6</v>
      </c>
      <c r="E1408" t="str">
        <f t="shared" si="60"/>
        <v xml:space="preserve">Organische parameters </v>
      </c>
      <c r="F1408" t="str">
        <f>""</f>
        <v/>
      </c>
      <c r="G1408" t="str">
        <f>""</f>
        <v/>
      </c>
    </row>
    <row r="1409" spans="1:7" x14ac:dyDescent="0.25">
      <c r="A1409">
        <v>2206</v>
      </c>
      <c r="B1409" t="str">
        <f>"2-amino-5-methylbenzeensulfonaat"</f>
        <v>2-amino-5-methylbenzeensulfonaat</v>
      </c>
      <c r="C1409" t="s">
        <v>19016</v>
      </c>
      <c r="D1409" t="str">
        <f>"88-44-8"</f>
        <v>88-44-8</v>
      </c>
      <c r="E1409" t="str">
        <f t="shared" si="60"/>
        <v xml:space="preserve">Organische parameters </v>
      </c>
      <c r="F1409" t="str">
        <f>""</f>
        <v/>
      </c>
      <c r="G1409" t="str">
        <f>""</f>
        <v/>
      </c>
    </row>
    <row r="1410" spans="1:7" x14ac:dyDescent="0.25">
      <c r="A1410">
        <v>2207</v>
      </c>
      <c r="B1410" t="str">
        <f>"1-amino-4-bromo-9,10-dioxoanthracene-2-sulfonaat (natriumzout )"</f>
        <v>1-amino-4-bromo-9,10-dioxoanthracene-2-sulfonaat (natriumzout )</v>
      </c>
      <c r="C1410" t="s">
        <v>19016</v>
      </c>
      <c r="D1410" t="str">
        <f>"6-6-6258"</f>
        <v>6-6-6258</v>
      </c>
      <c r="E1410" t="str">
        <f t="shared" si="60"/>
        <v xml:space="preserve">Organische parameters </v>
      </c>
      <c r="F1410" t="str">
        <f>""</f>
        <v/>
      </c>
      <c r="G1410" t="str">
        <f>""</f>
        <v/>
      </c>
    </row>
    <row r="1411" spans="1:7" x14ac:dyDescent="0.25">
      <c r="A1411">
        <v>2208</v>
      </c>
      <c r="B1411" t="str">
        <f>"1-amino-8-hydroxynaftaleen-2,4-disulfonzuur"</f>
        <v>1-amino-8-hydroxynaftaleen-2,4-disulfonzuur</v>
      </c>
      <c r="C1411" t="s">
        <v>19016</v>
      </c>
      <c r="D1411" t="str">
        <f>"82-47-3"</f>
        <v>82-47-3</v>
      </c>
      <c r="E1411" t="str">
        <f t="shared" si="60"/>
        <v xml:space="preserve">Organische parameters </v>
      </c>
      <c r="F1411" t="str">
        <f>""</f>
        <v/>
      </c>
      <c r="G1411" t="str">
        <f>""</f>
        <v/>
      </c>
    </row>
    <row r="1412" spans="1:7" x14ac:dyDescent="0.25">
      <c r="A1412">
        <v>2209</v>
      </c>
      <c r="B1412" t="str">
        <f>"1-naftol-8-amino-3,6-disulfonzuur"</f>
        <v>1-naftol-8-amino-3,6-disulfonzuur</v>
      </c>
      <c r="C1412" t="s">
        <v>19016</v>
      </c>
      <c r="D1412" t="str">
        <f>"90-20-0"</f>
        <v>90-20-0</v>
      </c>
      <c r="E1412" t="str">
        <f t="shared" si="60"/>
        <v xml:space="preserve">Organische parameters </v>
      </c>
      <c r="F1412" t="str">
        <f>""</f>
        <v/>
      </c>
      <c r="G1412" t="str">
        <f>""</f>
        <v/>
      </c>
    </row>
    <row r="1413" spans="1:7" x14ac:dyDescent="0.25">
      <c r="A1413">
        <v>2210</v>
      </c>
      <c r="B1413" t="str">
        <f>"4-amino-1-naftaleensulfonzuur natriumzout (1:1)"</f>
        <v>4-amino-1-naftaleensulfonzuur natriumzout (1:1)</v>
      </c>
      <c r="C1413" t="s">
        <v>19016</v>
      </c>
      <c r="D1413" t="str">
        <f>"130-13-2"</f>
        <v>130-13-2</v>
      </c>
      <c r="E1413" t="str">
        <f t="shared" si="60"/>
        <v xml:space="preserve">Organische parameters </v>
      </c>
      <c r="F1413" t="str">
        <f>""</f>
        <v/>
      </c>
      <c r="G1413" t="str">
        <f>""</f>
        <v/>
      </c>
    </row>
    <row r="1414" spans="1:7" x14ac:dyDescent="0.25">
      <c r="A1414">
        <v>2211</v>
      </c>
      <c r="B1414" t="str">
        <f>"8-amino-2-naftaleensulfonzuur natriumzout"</f>
        <v>8-amino-2-naftaleensulfonzuur natriumzout</v>
      </c>
      <c r="C1414" t="s">
        <v>19016</v>
      </c>
      <c r="D1414" t="str">
        <f>"6322-37-8"</f>
        <v>6322-37-8</v>
      </c>
      <c r="E1414" t="str">
        <f t="shared" si="60"/>
        <v xml:space="preserve">Organische parameters </v>
      </c>
      <c r="F1414" t="str">
        <f>""</f>
        <v/>
      </c>
      <c r="G1414" t="str">
        <f>""</f>
        <v/>
      </c>
    </row>
    <row r="1415" spans="1:7" x14ac:dyDescent="0.25">
      <c r="A1415">
        <v>2212</v>
      </c>
      <c r="B1415" t="str">
        <f>"1-hydroxynaftaleen-3,6-disulfonaat"</f>
        <v>1-hydroxynaftaleen-3,6-disulfonaat</v>
      </c>
      <c r="C1415" t="s">
        <v>19016</v>
      </c>
      <c r="D1415" t="str">
        <f>"79873-37-3"</f>
        <v>79873-37-3</v>
      </c>
      <c r="E1415" t="str">
        <f t="shared" si="60"/>
        <v xml:space="preserve">Organische parameters </v>
      </c>
      <c r="F1415" t="str">
        <f>""</f>
        <v/>
      </c>
      <c r="G1415" t="str">
        <f>""</f>
        <v/>
      </c>
    </row>
    <row r="1416" spans="1:7" x14ac:dyDescent="0.25">
      <c r="A1416">
        <v>2213</v>
      </c>
      <c r="B1416" t="str">
        <f>"1-hydroxynaftaleen-4-sulfonaat"</f>
        <v>1-hydroxynaftaleen-4-sulfonaat</v>
      </c>
      <c r="C1416" t="s">
        <v>19016</v>
      </c>
      <c r="D1416" t="str">
        <f>"6099-57-6"</f>
        <v>6099-57-6</v>
      </c>
      <c r="E1416" t="str">
        <f t="shared" si="60"/>
        <v xml:space="preserve">Organische parameters </v>
      </c>
      <c r="F1416" t="str">
        <f>""</f>
        <v/>
      </c>
      <c r="G1416" t="str">
        <f>""</f>
        <v/>
      </c>
    </row>
    <row r="1417" spans="1:7" x14ac:dyDescent="0.25">
      <c r="A1417">
        <v>2214</v>
      </c>
      <c r="B1417" t="str">
        <f>"2-chloortolueen-4-sulfonaat natriumzout"</f>
        <v>2-chloortolueen-4-sulfonaat natriumzout</v>
      </c>
      <c r="C1417" t="s">
        <v>19016</v>
      </c>
      <c r="D1417" t="str">
        <f>"5138-91-0"</f>
        <v>5138-91-0</v>
      </c>
      <c r="E1417" t="str">
        <f t="shared" si="60"/>
        <v xml:space="preserve">Organische parameters </v>
      </c>
      <c r="F1417" t="str">
        <f>""</f>
        <v/>
      </c>
      <c r="G1417" t="str">
        <f>""</f>
        <v/>
      </c>
    </row>
    <row r="1418" spans="1:7" x14ac:dyDescent="0.25">
      <c r="A1418">
        <v>2215</v>
      </c>
      <c r="B1418" t="str">
        <f>"2-amino-5-hydroxynaftaleen-7-sulfonaat"</f>
        <v>2-amino-5-hydroxynaftaleen-7-sulfonaat</v>
      </c>
      <c r="C1418" t="s">
        <v>19016</v>
      </c>
      <c r="D1418" t="str">
        <f>"87-02-5"</f>
        <v>87-02-5</v>
      </c>
      <c r="E1418" t="str">
        <f t="shared" si="60"/>
        <v xml:space="preserve">Organische parameters </v>
      </c>
      <c r="F1418" t="str">
        <f>""</f>
        <v/>
      </c>
      <c r="G1418" t="str">
        <f>""</f>
        <v/>
      </c>
    </row>
    <row r="1419" spans="1:7" x14ac:dyDescent="0.25">
      <c r="A1419">
        <v>2216</v>
      </c>
      <c r="B1419" t="str">
        <f>"3-nitrobenzeensulfonaat"</f>
        <v>3-nitrobenzeensulfonaat</v>
      </c>
      <c r="C1419" t="s">
        <v>19016</v>
      </c>
      <c r="D1419" t="str">
        <f>"127-68-4"</f>
        <v>127-68-4</v>
      </c>
      <c r="E1419" t="str">
        <f t="shared" si="60"/>
        <v xml:space="preserve">Organische parameters </v>
      </c>
      <c r="F1419" t="str">
        <f>""</f>
        <v/>
      </c>
      <c r="G1419" t="str">
        <f>""</f>
        <v/>
      </c>
    </row>
    <row r="1420" spans="1:7" x14ac:dyDescent="0.25">
      <c r="A1420">
        <v>2217</v>
      </c>
      <c r="B1420" t="str">
        <f>"2-aminonaftaleen-1,5-disulfonaat"</f>
        <v>2-aminonaftaleen-1,5-disulfonaat</v>
      </c>
      <c r="C1420" t="s">
        <v>19016</v>
      </c>
      <c r="D1420" t="str">
        <f>"117-62-4"</f>
        <v>117-62-4</v>
      </c>
      <c r="E1420" t="str">
        <f t="shared" si="60"/>
        <v xml:space="preserve">Organische parameters </v>
      </c>
      <c r="F1420" t="str">
        <f>""</f>
        <v/>
      </c>
      <c r="G1420" t="str">
        <f>""</f>
        <v/>
      </c>
    </row>
    <row r="1421" spans="1:7" x14ac:dyDescent="0.25">
      <c r="A1421">
        <v>2218</v>
      </c>
      <c r="B1421" t="str">
        <f>"2-aminonaftaleen-1-sulfonaat"</f>
        <v>2-aminonaftaleen-1-sulfonaat</v>
      </c>
      <c r="C1421" t="s">
        <v>19016</v>
      </c>
      <c r="D1421" t="str">
        <f>"81-16-3"</f>
        <v>81-16-3</v>
      </c>
      <c r="E1421" t="str">
        <f t="shared" ref="E1421:E1484" si="61">"Organische parameters "</f>
        <v xml:space="preserve">Organische parameters </v>
      </c>
      <c r="F1421" t="str">
        <f>""</f>
        <v/>
      </c>
      <c r="G1421" t="str">
        <f>""</f>
        <v/>
      </c>
    </row>
    <row r="1422" spans="1:7" x14ac:dyDescent="0.25">
      <c r="A1422">
        <v>2219</v>
      </c>
      <c r="B1422" t="str">
        <f>"2-aminonaftaleen-4,8-disulfonaat"</f>
        <v>2-aminonaftaleen-4,8-disulfonaat</v>
      </c>
      <c r="C1422" t="s">
        <v>19016</v>
      </c>
      <c r="D1422" t="str">
        <f>"4681-22-5"</f>
        <v>4681-22-5</v>
      </c>
      <c r="E1422" t="str">
        <f t="shared" si="61"/>
        <v xml:space="preserve">Organische parameters </v>
      </c>
      <c r="F1422" t="str">
        <f>""</f>
        <v/>
      </c>
      <c r="G1422" t="str">
        <f>""</f>
        <v/>
      </c>
    </row>
    <row r="1423" spans="1:7" x14ac:dyDescent="0.25">
      <c r="A1423">
        <v>2220</v>
      </c>
      <c r="B1423" t="str">
        <f>"2-aminonaftaleen-6-sulfonaat"</f>
        <v>2-aminonaftaleen-6-sulfonaat</v>
      </c>
      <c r="C1423" t="s">
        <v>19016</v>
      </c>
      <c r="D1423" t="str">
        <f>"93-00-5"</f>
        <v>93-00-5</v>
      </c>
      <c r="E1423" t="str">
        <f t="shared" si="61"/>
        <v xml:space="preserve">Organische parameters </v>
      </c>
      <c r="F1423" t="str">
        <f>""</f>
        <v/>
      </c>
      <c r="G1423" t="str">
        <f>""</f>
        <v/>
      </c>
    </row>
    <row r="1424" spans="1:7" x14ac:dyDescent="0.25">
      <c r="A1424">
        <v>2221</v>
      </c>
      <c r="B1424" t="str">
        <f>"2-chloor-5-methylbenzeensulfonaat"</f>
        <v>2-chloor-5-methylbenzeensulfonaat</v>
      </c>
      <c r="C1424" t="s">
        <v>19016</v>
      </c>
      <c r="D1424" t="str">
        <f>"56919-12-1"</f>
        <v>56919-12-1</v>
      </c>
      <c r="E1424" t="str">
        <f t="shared" si="61"/>
        <v xml:space="preserve">Organische parameters </v>
      </c>
      <c r="F1424" t="str">
        <f>""</f>
        <v/>
      </c>
      <c r="G1424" t="str">
        <f>""</f>
        <v/>
      </c>
    </row>
    <row r="1425" spans="1:7" x14ac:dyDescent="0.25">
      <c r="A1425">
        <v>2222</v>
      </c>
      <c r="B1425" t="str">
        <f>"2-hydroxy-4,6-bis(4-sulfanilo)-1,3,5-trisulfonaat"</f>
        <v>2-hydroxy-4,6-bis(4-sulfanilo)-1,3,5-trisulfonaat</v>
      </c>
      <c r="C1425" t="s">
        <v>19016</v>
      </c>
      <c r="D1425" t="str">
        <f>""</f>
        <v/>
      </c>
      <c r="E1425" t="str">
        <f t="shared" si="61"/>
        <v xml:space="preserve">Organische parameters </v>
      </c>
      <c r="F1425" t="str">
        <f>""</f>
        <v/>
      </c>
      <c r="G1425" t="str">
        <f>""</f>
        <v/>
      </c>
    </row>
    <row r="1426" spans="1:7" x14ac:dyDescent="0.25">
      <c r="A1426">
        <v>2223</v>
      </c>
      <c r="B1426" t="str">
        <f>"2-hydroxynaftaleen-6-disulfonaat"</f>
        <v>2-hydroxynaftaleen-6-disulfonaat</v>
      </c>
      <c r="C1426" t="s">
        <v>19016</v>
      </c>
      <c r="D1426" t="str">
        <f>"93-01-6"</f>
        <v>93-01-6</v>
      </c>
      <c r="E1426" t="str">
        <f t="shared" si="61"/>
        <v xml:space="preserve">Organische parameters </v>
      </c>
      <c r="F1426" t="str">
        <f>""</f>
        <v/>
      </c>
      <c r="G1426" t="str">
        <f>""</f>
        <v/>
      </c>
    </row>
    <row r="1427" spans="1:7" x14ac:dyDescent="0.25">
      <c r="A1427">
        <v>2224</v>
      </c>
      <c r="B1427" t="str">
        <f>"8,8-methyleenbis-2-naftaleensulfonzuur natriumzout"</f>
        <v>8,8-methyleenbis-2-naftaleensulfonzuur natriumzout</v>
      </c>
      <c r="C1427" t="s">
        <v>19016</v>
      </c>
      <c r="D1427" t="str">
        <f>"54175-61-0"</f>
        <v>54175-61-0</v>
      </c>
      <c r="E1427" t="str">
        <f t="shared" si="61"/>
        <v xml:space="preserve">Organische parameters </v>
      </c>
      <c r="F1427" t="str">
        <f>""</f>
        <v/>
      </c>
      <c r="G1427" t="str">
        <f>""</f>
        <v/>
      </c>
    </row>
    <row r="1428" spans="1:7" x14ac:dyDescent="0.25">
      <c r="A1428">
        <v>2225</v>
      </c>
      <c r="B1428" t="str">
        <f>"2-amino-5-chloor-4-methylbenzeensulfonaat"</f>
        <v>2-amino-5-chloor-4-methylbenzeensulfonaat</v>
      </c>
      <c r="C1428" t="s">
        <v>19016</v>
      </c>
      <c r="D1428" t="str">
        <f>"88-53-9"</f>
        <v>88-53-9</v>
      </c>
      <c r="E1428" t="str">
        <f t="shared" si="61"/>
        <v xml:space="preserve">Organische parameters </v>
      </c>
      <c r="F1428" t="str">
        <f>""</f>
        <v/>
      </c>
      <c r="G1428" t="str">
        <f>""</f>
        <v/>
      </c>
    </row>
    <row r="1429" spans="1:7" x14ac:dyDescent="0.25">
      <c r="A1429">
        <v>2226</v>
      </c>
      <c r="B1429" t="str">
        <f>"naftaleen-1,3,6-trisulfonaat"</f>
        <v>naftaleen-1,3,6-trisulfonaat</v>
      </c>
      <c r="C1429" t="s">
        <v>19016</v>
      </c>
      <c r="D1429" t="str">
        <f>"19437-42-4"</f>
        <v>19437-42-4</v>
      </c>
      <c r="E1429" t="str">
        <f t="shared" si="61"/>
        <v xml:space="preserve">Organische parameters </v>
      </c>
      <c r="F1429" t="str">
        <f>""</f>
        <v/>
      </c>
      <c r="G1429" t="str">
        <f>""</f>
        <v/>
      </c>
    </row>
    <row r="1430" spans="1:7" x14ac:dyDescent="0.25">
      <c r="A1430">
        <v>2227</v>
      </c>
      <c r="B1430" t="str">
        <f>"Benzeen-1,3-disulfonaat natriumzout"</f>
        <v>Benzeen-1,3-disulfonaat natriumzout</v>
      </c>
      <c r="C1430" t="s">
        <v>19016</v>
      </c>
      <c r="D1430" t="str">
        <f>"831-59-4"</f>
        <v>831-59-4</v>
      </c>
      <c r="E1430" t="str">
        <f t="shared" si="61"/>
        <v xml:space="preserve">Organische parameters </v>
      </c>
      <c r="F1430" t="str">
        <f>""</f>
        <v/>
      </c>
      <c r="G1430" t="str">
        <f>""</f>
        <v/>
      </c>
    </row>
    <row r="1431" spans="1:7" x14ac:dyDescent="0.25">
      <c r="A1431">
        <v>2228</v>
      </c>
      <c r="B1431" t="str">
        <f>"naftaleen-2,6-disulfonaat"</f>
        <v>naftaleen-2,6-disulfonaat</v>
      </c>
      <c r="C1431" t="s">
        <v>19016</v>
      </c>
      <c r="D1431" t="str">
        <f>"51770-80-0"</f>
        <v>51770-80-0</v>
      </c>
      <c r="E1431" t="str">
        <f t="shared" si="61"/>
        <v xml:space="preserve">Organische parameters </v>
      </c>
      <c r="F1431" t="str">
        <f>""</f>
        <v/>
      </c>
      <c r="G1431" t="str">
        <f>""</f>
        <v/>
      </c>
    </row>
    <row r="1432" spans="1:7" x14ac:dyDescent="0.25">
      <c r="A1432">
        <v>2229</v>
      </c>
      <c r="B1432" t="str">
        <f>"naftaleen-1-sulfonaat"</f>
        <v>naftaleen-1-sulfonaat</v>
      </c>
      <c r="C1432" t="s">
        <v>19016</v>
      </c>
      <c r="D1432" t="str">
        <f>"130-14-3"</f>
        <v>130-14-3</v>
      </c>
      <c r="E1432" t="str">
        <f t="shared" si="61"/>
        <v xml:space="preserve">Organische parameters </v>
      </c>
      <c r="F1432" t="str">
        <f>""</f>
        <v/>
      </c>
      <c r="G1432" t="str">
        <f>""</f>
        <v/>
      </c>
    </row>
    <row r="1433" spans="1:7" x14ac:dyDescent="0.25">
      <c r="A1433">
        <v>2230</v>
      </c>
      <c r="B1433" t="str">
        <f>"naftaleen-1,7-disulfonaat"</f>
        <v>naftaleen-1,7-disulfonaat</v>
      </c>
      <c r="C1433" t="s">
        <v>19016</v>
      </c>
      <c r="D1433" t="str">
        <f>"1655-31-8"</f>
        <v>1655-31-8</v>
      </c>
      <c r="E1433" t="str">
        <f t="shared" si="61"/>
        <v xml:space="preserve">Organische parameters </v>
      </c>
      <c r="F1433" t="str">
        <f>""</f>
        <v/>
      </c>
      <c r="G1433" t="str">
        <f>""</f>
        <v/>
      </c>
    </row>
    <row r="1434" spans="1:7" x14ac:dyDescent="0.25">
      <c r="A1434">
        <v>2231</v>
      </c>
      <c r="B1434" t="str">
        <f>"naftaleen-1,6-disulfonaat"</f>
        <v>naftaleen-1,6-disulfonaat</v>
      </c>
      <c r="C1434" t="s">
        <v>19016</v>
      </c>
      <c r="D1434" t="str">
        <f>"1655-43-2"</f>
        <v>1655-43-2</v>
      </c>
      <c r="E1434" t="str">
        <f t="shared" si="61"/>
        <v xml:space="preserve">Organische parameters </v>
      </c>
      <c r="F1434" t="str">
        <f>""</f>
        <v/>
      </c>
      <c r="G1434" t="str">
        <f>""</f>
        <v/>
      </c>
    </row>
    <row r="1435" spans="1:7" x14ac:dyDescent="0.25">
      <c r="A1435">
        <v>2232</v>
      </c>
      <c r="B1435" t="str">
        <f>"naftaleen-1,5-disulfonaat"</f>
        <v>naftaleen-1,5-disulfonaat</v>
      </c>
      <c r="C1435" t="s">
        <v>19016</v>
      </c>
      <c r="D1435" t="str">
        <f>"49735-71-9"</f>
        <v>49735-71-9</v>
      </c>
      <c r="E1435" t="str">
        <f t="shared" si="61"/>
        <v xml:space="preserve">Organische parameters </v>
      </c>
      <c r="F1435" t="str">
        <f>""</f>
        <v/>
      </c>
      <c r="G1435" t="str">
        <f>""</f>
        <v/>
      </c>
    </row>
    <row r="1436" spans="1:7" x14ac:dyDescent="0.25">
      <c r="A1436">
        <v>2233</v>
      </c>
      <c r="B1436" t="str">
        <f>"naftaleen-2,7-disulfonaat"</f>
        <v>naftaleen-2,7-disulfonaat</v>
      </c>
      <c r="C1436" t="s">
        <v>19016</v>
      </c>
      <c r="D1436" t="str">
        <f>"51770-81-1"</f>
        <v>51770-81-1</v>
      </c>
      <c r="E1436" t="str">
        <f t="shared" si="61"/>
        <v xml:space="preserve">Organische parameters </v>
      </c>
      <c r="F1436" t="str">
        <f>""</f>
        <v/>
      </c>
      <c r="G1436" t="str">
        <f>""</f>
        <v/>
      </c>
    </row>
    <row r="1437" spans="1:7" x14ac:dyDescent="0.25">
      <c r="A1437">
        <v>2234</v>
      </c>
      <c r="B1437" t="str">
        <f>"naftaleen-1,3,7-trisulfonaat"</f>
        <v>naftaleen-1,3,7-trisulfonaat</v>
      </c>
      <c r="C1437" t="s">
        <v>19016</v>
      </c>
      <c r="D1437" t="str">
        <f>"84100-31-2"</f>
        <v>84100-31-2</v>
      </c>
      <c r="E1437" t="str">
        <f t="shared" si="61"/>
        <v xml:space="preserve">Organische parameters </v>
      </c>
      <c r="F1437" t="str">
        <f>""</f>
        <v/>
      </c>
      <c r="G1437" t="str">
        <f>""</f>
        <v/>
      </c>
    </row>
    <row r="1438" spans="1:7" x14ac:dyDescent="0.25">
      <c r="A1438">
        <v>2235</v>
      </c>
      <c r="B1438" t="str">
        <f>"naftaleen-2-sulfonaat"</f>
        <v>naftaleen-2-sulfonaat</v>
      </c>
      <c r="C1438" t="s">
        <v>19016</v>
      </c>
      <c r="D1438" t="str">
        <f>"532-02-5"</f>
        <v>532-02-5</v>
      </c>
      <c r="E1438" t="str">
        <f t="shared" si="61"/>
        <v xml:space="preserve">Organische parameters </v>
      </c>
      <c r="F1438" t="str">
        <f>""</f>
        <v/>
      </c>
      <c r="G1438" t="str">
        <f>""</f>
        <v/>
      </c>
    </row>
    <row r="1439" spans="1:7" x14ac:dyDescent="0.25">
      <c r="A1439">
        <v>2236</v>
      </c>
      <c r="B1439" t="str">
        <f>"cis-4,4'-dinitrostilbeen-2,2'-disulfonaat"</f>
        <v>cis-4,4'-dinitrostilbeen-2,2'-disulfonaat</v>
      </c>
      <c r="C1439" t="s">
        <v>19016</v>
      </c>
      <c r="D1439" t="str">
        <f>""</f>
        <v/>
      </c>
      <c r="E1439" t="str">
        <f t="shared" si="61"/>
        <v xml:space="preserve">Organische parameters </v>
      </c>
      <c r="F1439" t="str">
        <f>""</f>
        <v/>
      </c>
      <c r="G1439" t="str">
        <f>""</f>
        <v/>
      </c>
    </row>
    <row r="1440" spans="1:7" x14ac:dyDescent="0.25">
      <c r="A1440">
        <v>2237</v>
      </c>
      <c r="B1440" t="str">
        <f>"cis-4,4'-diaminostilbeen-2,2'-disulfonaat"</f>
        <v>cis-4,4'-diaminostilbeen-2,2'-disulfonaat</v>
      </c>
      <c r="C1440" t="s">
        <v>19016</v>
      </c>
      <c r="D1440" t="str">
        <f>""</f>
        <v/>
      </c>
      <c r="E1440" t="str">
        <f t="shared" si="61"/>
        <v xml:space="preserve">Organische parameters </v>
      </c>
      <c r="F1440" t="str">
        <f>""</f>
        <v/>
      </c>
      <c r="G1440" t="str">
        <f>""</f>
        <v/>
      </c>
    </row>
    <row r="1441" spans="1:7" x14ac:dyDescent="0.25">
      <c r="A1441">
        <v>2238</v>
      </c>
      <c r="B1441" t="str">
        <f>"anthrachinon-2-sulfonaat"</f>
        <v>anthrachinon-2-sulfonaat</v>
      </c>
      <c r="C1441" t="s">
        <v>19016</v>
      </c>
      <c r="D1441" t="str">
        <f>"84-48-0"</f>
        <v>84-48-0</v>
      </c>
      <c r="E1441" t="str">
        <f t="shared" si="61"/>
        <v xml:space="preserve">Organische parameters </v>
      </c>
      <c r="F1441" t="str">
        <f>""</f>
        <v/>
      </c>
      <c r="G1441" t="str">
        <f>""</f>
        <v/>
      </c>
    </row>
    <row r="1442" spans="1:7" x14ac:dyDescent="0.25">
      <c r="A1442">
        <v>2239</v>
      </c>
      <c r="B1442" t="str">
        <f>"anthrachinon-1,8-disulfonaat"</f>
        <v>anthrachinon-1,8-disulfonaat</v>
      </c>
      <c r="C1442" t="s">
        <v>19016</v>
      </c>
      <c r="D1442" t="str">
        <f>""</f>
        <v/>
      </c>
      <c r="E1442" t="str">
        <f t="shared" si="61"/>
        <v xml:space="preserve">Organische parameters </v>
      </c>
      <c r="F1442" t="str">
        <f>""</f>
        <v/>
      </c>
      <c r="G1442" t="str">
        <f>""</f>
        <v/>
      </c>
    </row>
    <row r="1443" spans="1:7" x14ac:dyDescent="0.25">
      <c r="A1443">
        <v>2240</v>
      </c>
      <c r="B1443" t="str">
        <f>"anthrachinon-1,5-disulfonaat"</f>
        <v>anthrachinon-1,5-disulfonaat</v>
      </c>
      <c r="C1443" t="s">
        <v>19016</v>
      </c>
      <c r="D1443" t="str">
        <f>"117-14-6"</f>
        <v>117-14-6</v>
      </c>
      <c r="E1443" t="str">
        <f t="shared" si="61"/>
        <v xml:space="preserve">Organische parameters </v>
      </c>
      <c r="F1443" t="str">
        <f>""</f>
        <v/>
      </c>
      <c r="G1443" t="str">
        <f>""</f>
        <v/>
      </c>
    </row>
    <row r="1444" spans="1:7" x14ac:dyDescent="0.25">
      <c r="A1444">
        <v>2241</v>
      </c>
      <c r="B1444" t="str">
        <f>"naftaleen-1,3,5-trisulfonaat"</f>
        <v>naftaleen-1,3,5-trisulfonaat</v>
      </c>
      <c r="C1444" t="s">
        <v>19016</v>
      </c>
      <c r="D1444" t="str">
        <f>""</f>
        <v/>
      </c>
      <c r="E1444" t="str">
        <f t="shared" si="61"/>
        <v xml:space="preserve">Organische parameters </v>
      </c>
      <c r="F1444" t="str">
        <f>""</f>
        <v/>
      </c>
      <c r="G1444" t="str">
        <f>""</f>
        <v/>
      </c>
    </row>
    <row r="1445" spans="1:7" x14ac:dyDescent="0.25">
      <c r="A1445">
        <v>2242</v>
      </c>
      <c r="B1445" t="str">
        <f>"naftaleen-1,3-disulfonaat"</f>
        <v>naftaleen-1,3-disulfonaat</v>
      </c>
      <c r="C1445" t="s">
        <v>19016</v>
      </c>
      <c r="D1445" t="str">
        <f>""</f>
        <v/>
      </c>
      <c r="E1445" t="str">
        <f t="shared" si="61"/>
        <v xml:space="preserve">Organische parameters </v>
      </c>
      <c r="F1445" t="str">
        <f>""</f>
        <v/>
      </c>
      <c r="G1445" t="str">
        <f>""</f>
        <v/>
      </c>
    </row>
    <row r="1446" spans="1:7" x14ac:dyDescent="0.25">
      <c r="A1446">
        <v>2244</v>
      </c>
      <c r="B1446" t="str">
        <f>"tertiair-amyl-methylether"</f>
        <v>tertiair-amyl-methylether</v>
      </c>
      <c r="C1446" t="s">
        <v>19016</v>
      </c>
      <c r="D1446" t="str">
        <f>"994-05-8"</f>
        <v>994-05-8</v>
      </c>
      <c r="E1446" t="str">
        <f t="shared" si="61"/>
        <v xml:space="preserve">Organische parameters </v>
      </c>
      <c r="F1446" t="str">
        <f>""</f>
        <v/>
      </c>
      <c r="G1446" t="str">
        <f>""</f>
        <v/>
      </c>
    </row>
    <row r="1447" spans="1:7" x14ac:dyDescent="0.25">
      <c r="A1447">
        <v>2246</v>
      </c>
      <c r="B1447" t="str">
        <f>"perfluoroctaanzuur"</f>
        <v>perfluoroctaanzuur</v>
      </c>
      <c r="C1447" t="s">
        <v>19016</v>
      </c>
      <c r="D1447" t="str">
        <f>"335-67-1"</f>
        <v>335-67-1</v>
      </c>
      <c r="E1447" t="str">
        <f t="shared" si="61"/>
        <v xml:space="preserve">Organische parameters </v>
      </c>
      <c r="F1447" t="str">
        <f>"Gehalogeneerde alifatische koolwaterstoffen "</f>
        <v xml:space="preserve">Gehalogeneerde alifatische koolwaterstoffen </v>
      </c>
      <c r="G1447" t="str">
        <f>"Overige gehalogeneerde alifatische koolwaterstoffen "</f>
        <v xml:space="preserve">Overige gehalogeneerde alifatische koolwaterstoffen </v>
      </c>
    </row>
    <row r="1448" spans="1:7" x14ac:dyDescent="0.25">
      <c r="A1448">
        <v>2247</v>
      </c>
      <c r="B1448" t="str">
        <f>"perfluoroctaansulfonaat"</f>
        <v>perfluoroctaansulfonaat</v>
      </c>
      <c r="C1448" t="s">
        <v>19016</v>
      </c>
      <c r="D1448" t="str">
        <f>"1763-23-1"</f>
        <v>1763-23-1</v>
      </c>
      <c r="E1448" t="str">
        <f t="shared" si="61"/>
        <v xml:space="preserve">Organische parameters </v>
      </c>
      <c r="F1448" t="str">
        <f>""</f>
        <v/>
      </c>
      <c r="G1448" t="str">
        <f>""</f>
        <v/>
      </c>
    </row>
    <row r="1449" spans="1:7" x14ac:dyDescent="0.25">
      <c r="A1449">
        <v>2248</v>
      </c>
      <c r="B1449" t="str">
        <f>"2,5-dinitrofenol"</f>
        <v>2,5-dinitrofenol</v>
      </c>
      <c r="C1449" t="s">
        <v>19016</v>
      </c>
      <c r="D1449" t="str">
        <f>"329-71-5"</f>
        <v>329-71-5</v>
      </c>
      <c r="E1449" t="str">
        <f t="shared" si="61"/>
        <v xml:space="preserve">Organische parameters </v>
      </c>
      <c r="F1449" t="str">
        <f>""</f>
        <v/>
      </c>
      <c r="G1449" t="str">
        <f>""</f>
        <v/>
      </c>
    </row>
    <row r="1450" spans="1:7" x14ac:dyDescent="0.25">
      <c r="A1450">
        <v>2249</v>
      </c>
      <c r="B1450" t="str">
        <f>"2,6-dinitrofenol"</f>
        <v>2,6-dinitrofenol</v>
      </c>
      <c r="C1450" t="s">
        <v>19016</v>
      </c>
      <c r="D1450" t="str">
        <f>"573-56-8"</f>
        <v>573-56-8</v>
      </c>
      <c r="E1450" t="str">
        <f t="shared" si="61"/>
        <v xml:space="preserve">Organische parameters </v>
      </c>
      <c r="F1450" t="str">
        <f>""</f>
        <v/>
      </c>
      <c r="G1450" t="str">
        <f>""</f>
        <v/>
      </c>
    </row>
    <row r="1451" spans="1:7" x14ac:dyDescent="0.25">
      <c r="A1451">
        <v>2250</v>
      </c>
      <c r="B1451" t="str">
        <f>"3,4-dinitrofenol"</f>
        <v>3,4-dinitrofenol</v>
      </c>
      <c r="C1451" t="s">
        <v>19016</v>
      </c>
      <c r="D1451" t="str">
        <f>"577-71-9"</f>
        <v>577-71-9</v>
      </c>
      <c r="E1451" t="str">
        <f t="shared" si="61"/>
        <v xml:space="preserve">Organische parameters </v>
      </c>
      <c r="F1451" t="str">
        <f>""</f>
        <v/>
      </c>
      <c r="G1451" t="str">
        <f>""</f>
        <v/>
      </c>
    </row>
    <row r="1452" spans="1:7" x14ac:dyDescent="0.25">
      <c r="A1452">
        <v>2251</v>
      </c>
      <c r="B1452" t="str">
        <f>"N,N-dimethylsulfamide (DMS)"</f>
        <v>N,N-dimethylsulfamide (DMS)</v>
      </c>
      <c r="C1452" t="s">
        <v>19016</v>
      </c>
      <c r="D1452" t="str">
        <f>"3984-14-3"</f>
        <v>3984-14-3</v>
      </c>
      <c r="E1452" t="str">
        <f t="shared" si="61"/>
        <v xml:space="preserve">Organische parameters </v>
      </c>
      <c r="F1452" t="str">
        <f>""</f>
        <v/>
      </c>
      <c r="G1452" t="str">
        <f>""</f>
        <v/>
      </c>
    </row>
    <row r="1453" spans="1:7" x14ac:dyDescent="0.25">
      <c r="A1453">
        <v>2252</v>
      </c>
      <c r="B1453" t="str">
        <f>"acrylamide"</f>
        <v>acrylamide</v>
      </c>
      <c r="C1453" t="s">
        <v>19016</v>
      </c>
      <c r="D1453" t="str">
        <f>"79-06-1"</f>
        <v>79-06-1</v>
      </c>
      <c r="E1453" t="str">
        <f t="shared" si="61"/>
        <v xml:space="preserve">Organische parameters </v>
      </c>
      <c r="F1453" t="str">
        <f>""</f>
        <v/>
      </c>
      <c r="G1453" t="str">
        <f>""</f>
        <v/>
      </c>
    </row>
    <row r="1454" spans="1:7" x14ac:dyDescent="0.25">
      <c r="A1454">
        <v>2253</v>
      </c>
      <c r="B1454" t="str">
        <f>"dipropylftalaat"</f>
        <v>dipropylftalaat</v>
      </c>
      <c r="C1454" t="s">
        <v>19016</v>
      </c>
      <c r="D1454" t="str">
        <f>"131-16-8"</f>
        <v>131-16-8</v>
      </c>
      <c r="E1454" t="str">
        <f t="shared" si="61"/>
        <v xml:space="preserve">Organische parameters </v>
      </c>
      <c r="F1454" t="str">
        <f>""</f>
        <v/>
      </c>
      <c r="G1454" t="str">
        <f>""</f>
        <v/>
      </c>
    </row>
    <row r="1455" spans="1:7" x14ac:dyDescent="0.25">
      <c r="A1455">
        <v>2254</v>
      </c>
      <c r="B1455" t="str">
        <f>"diheptylftalaat"</f>
        <v>diheptylftalaat</v>
      </c>
      <c r="C1455" t="s">
        <v>19016</v>
      </c>
      <c r="D1455" t="str">
        <f>"3648-21-3"</f>
        <v>3648-21-3</v>
      </c>
      <c r="E1455" t="str">
        <f t="shared" si="61"/>
        <v xml:space="preserve">Organische parameters </v>
      </c>
      <c r="F1455" t="str">
        <f>""</f>
        <v/>
      </c>
      <c r="G1455" t="str">
        <f>""</f>
        <v/>
      </c>
    </row>
    <row r="1456" spans="1:7" x14ac:dyDescent="0.25">
      <c r="A1456">
        <v>2256</v>
      </c>
      <c r="B1456" t="str">
        <f>"4-methyl-1H-benzotriazool"</f>
        <v>4-methyl-1H-benzotriazool</v>
      </c>
      <c r="C1456" t="s">
        <v>19016</v>
      </c>
      <c r="D1456" t="str">
        <f>"29878-31-7"</f>
        <v>29878-31-7</v>
      </c>
      <c r="E1456" t="str">
        <f t="shared" si="61"/>
        <v xml:space="preserve">Organische parameters </v>
      </c>
      <c r="F1456" t="str">
        <f>""</f>
        <v/>
      </c>
      <c r="G1456" t="str">
        <f>""</f>
        <v/>
      </c>
    </row>
    <row r="1457" spans="1:7" x14ac:dyDescent="0.25">
      <c r="A1457">
        <v>2257</v>
      </c>
      <c r="B1457" t="str">
        <f>"5,6-dimethyl-1H-benzotriazool"</f>
        <v>5,6-dimethyl-1H-benzotriazool</v>
      </c>
      <c r="C1457" t="s">
        <v>19016</v>
      </c>
      <c r="D1457" t="str">
        <f>"4184-79-6"</f>
        <v>4184-79-6</v>
      </c>
      <c r="E1457" t="str">
        <f t="shared" si="61"/>
        <v xml:space="preserve">Organische parameters </v>
      </c>
      <c r="F1457" t="str">
        <f>""</f>
        <v/>
      </c>
      <c r="G1457" t="str">
        <f>""</f>
        <v/>
      </c>
    </row>
    <row r="1458" spans="1:7" x14ac:dyDescent="0.25">
      <c r="A1458">
        <v>2258</v>
      </c>
      <c r="B1458" t="str">
        <f>"5-chloor-1H-benzotriazool"</f>
        <v>5-chloor-1H-benzotriazool</v>
      </c>
      <c r="C1458" t="s">
        <v>19016</v>
      </c>
      <c r="D1458" t="str">
        <f>"94-97-3"</f>
        <v>94-97-3</v>
      </c>
      <c r="E1458" t="str">
        <f t="shared" si="61"/>
        <v xml:space="preserve">Organische parameters </v>
      </c>
      <c r="F1458" t="str">
        <f>""</f>
        <v/>
      </c>
      <c r="G1458" t="str">
        <f>""</f>
        <v/>
      </c>
    </row>
    <row r="1459" spans="1:7" x14ac:dyDescent="0.25">
      <c r="A1459">
        <v>2259</v>
      </c>
      <c r="B1459" t="str">
        <f>"3-hydroxynaftaleen-2,7-disulfonaat"</f>
        <v>3-hydroxynaftaleen-2,7-disulfonaat</v>
      </c>
      <c r="C1459" t="s">
        <v>19016</v>
      </c>
      <c r="D1459" t="str">
        <f>"148-75-4"</f>
        <v>148-75-4</v>
      </c>
      <c r="E1459" t="str">
        <f t="shared" si="61"/>
        <v xml:space="preserve">Organische parameters </v>
      </c>
      <c r="F1459" t="str">
        <f>""</f>
        <v/>
      </c>
      <c r="G1459" t="str">
        <f>""</f>
        <v/>
      </c>
    </row>
    <row r="1460" spans="1:7" x14ac:dyDescent="0.25">
      <c r="A1460">
        <v>2260</v>
      </c>
      <c r="B1460" t="str">
        <f>"perfluorbutaansulfonaat"</f>
        <v>perfluorbutaansulfonaat</v>
      </c>
      <c r="C1460" t="s">
        <v>19016</v>
      </c>
      <c r="D1460" t="str">
        <f>"108427-52-7"</f>
        <v>108427-52-7</v>
      </c>
      <c r="E1460" t="str">
        <f t="shared" si="61"/>
        <v xml:space="preserve">Organische parameters </v>
      </c>
      <c r="F1460" t="str">
        <f>""</f>
        <v/>
      </c>
      <c r="G1460" t="str">
        <f>""</f>
        <v/>
      </c>
    </row>
    <row r="1461" spans="1:7" x14ac:dyDescent="0.25">
      <c r="A1461">
        <v>2261</v>
      </c>
      <c r="B1461" t="str">
        <f>"perfluorundecaanzuur"</f>
        <v>perfluorundecaanzuur</v>
      </c>
      <c r="C1461" t="s">
        <v>19016</v>
      </c>
      <c r="D1461" t="str">
        <f>"2058-94-8"</f>
        <v>2058-94-8</v>
      </c>
      <c r="E1461" t="str">
        <f t="shared" si="61"/>
        <v xml:space="preserve">Organische parameters </v>
      </c>
      <c r="F1461" t="str">
        <f>""</f>
        <v/>
      </c>
      <c r="G1461" t="str">
        <f>""</f>
        <v/>
      </c>
    </row>
    <row r="1462" spans="1:7" x14ac:dyDescent="0.25">
      <c r="A1462">
        <v>2262</v>
      </c>
      <c r="B1462" t="str">
        <f>"perfluorpentaanzuur"</f>
        <v>perfluorpentaanzuur</v>
      </c>
      <c r="C1462" t="s">
        <v>19016</v>
      </c>
      <c r="D1462" t="str">
        <f>"2706-90-3"</f>
        <v>2706-90-3</v>
      </c>
      <c r="E1462" t="str">
        <f t="shared" si="61"/>
        <v xml:space="preserve">Organische parameters </v>
      </c>
      <c r="F1462" t="str">
        <f>""</f>
        <v/>
      </c>
      <c r="G1462" t="str">
        <f>""</f>
        <v/>
      </c>
    </row>
    <row r="1463" spans="1:7" x14ac:dyDescent="0.25">
      <c r="A1463">
        <v>2263</v>
      </c>
      <c r="B1463" t="str">
        <f>"perfluorhexaanzuur"</f>
        <v>perfluorhexaanzuur</v>
      </c>
      <c r="C1463" t="s">
        <v>19016</v>
      </c>
      <c r="D1463" t="str">
        <f>"307-24-4"</f>
        <v>307-24-4</v>
      </c>
      <c r="E1463" t="str">
        <f t="shared" si="61"/>
        <v xml:space="preserve">Organische parameters </v>
      </c>
      <c r="F1463" t="str">
        <f>""</f>
        <v/>
      </c>
      <c r="G1463" t="str">
        <f>""</f>
        <v/>
      </c>
    </row>
    <row r="1464" spans="1:7" x14ac:dyDescent="0.25">
      <c r="A1464">
        <v>2264</v>
      </c>
      <c r="B1464" t="str">
        <f>"perfluordodecaanzuur"</f>
        <v>perfluordodecaanzuur</v>
      </c>
      <c r="C1464" t="s">
        <v>19016</v>
      </c>
      <c r="D1464" t="str">
        <f>"307-55-1"</f>
        <v>307-55-1</v>
      </c>
      <c r="E1464" t="str">
        <f t="shared" si="61"/>
        <v xml:space="preserve">Organische parameters </v>
      </c>
      <c r="F1464" t="str">
        <f>""</f>
        <v/>
      </c>
      <c r="G1464" t="str">
        <f>""</f>
        <v/>
      </c>
    </row>
    <row r="1465" spans="1:7" x14ac:dyDescent="0.25">
      <c r="A1465">
        <v>2265</v>
      </c>
      <c r="B1465" t="str">
        <f>"perfluordecaanzuur"</f>
        <v>perfluordecaanzuur</v>
      </c>
      <c r="C1465" t="s">
        <v>19016</v>
      </c>
      <c r="D1465" t="str">
        <f>"335-76-2"</f>
        <v>335-76-2</v>
      </c>
      <c r="E1465" t="str">
        <f t="shared" si="61"/>
        <v xml:space="preserve">Organische parameters </v>
      </c>
      <c r="F1465" t="str">
        <f>""</f>
        <v/>
      </c>
      <c r="G1465" t="str">
        <f>""</f>
        <v/>
      </c>
    </row>
    <row r="1466" spans="1:7" x14ac:dyDescent="0.25">
      <c r="A1466">
        <v>2266</v>
      </c>
      <c r="B1466" t="str">
        <f>"perfluorbutaanzuur"</f>
        <v>perfluorbutaanzuur</v>
      </c>
      <c r="C1466" t="s">
        <v>19016</v>
      </c>
      <c r="D1466" t="str">
        <f>"375-22-4"</f>
        <v>375-22-4</v>
      </c>
      <c r="E1466" t="str">
        <f t="shared" si="61"/>
        <v xml:space="preserve">Organische parameters </v>
      </c>
      <c r="F1466" t="str">
        <f>""</f>
        <v/>
      </c>
      <c r="G1466" t="str">
        <f>""</f>
        <v/>
      </c>
    </row>
    <row r="1467" spans="1:7" x14ac:dyDescent="0.25">
      <c r="A1467">
        <v>2267</v>
      </c>
      <c r="B1467" t="str">
        <f>"perfluorheptaanzuur"</f>
        <v>perfluorheptaanzuur</v>
      </c>
      <c r="C1467" t="s">
        <v>19016</v>
      </c>
      <c r="D1467" t="str">
        <f>"375-85-9"</f>
        <v>375-85-9</v>
      </c>
      <c r="E1467" t="str">
        <f t="shared" si="61"/>
        <v xml:space="preserve">Organische parameters </v>
      </c>
      <c r="F1467" t="str">
        <f>""</f>
        <v/>
      </c>
      <c r="G1467" t="str">
        <f>""</f>
        <v/>
      </c>
    </row>
    <row r="1468" spans="1:7" x14ac:dyDescent="0.25">
      <c r="A1468">
        <v>2268</v>
      </c>
      <c r="B1468" t="str">
        <f>"perfluornonaanzuur"</f>
        <v>perfluornonaanzuur</v>
      </c>
      <c r="C1468" t="s">
        <v>19016</v>
      </c>
      <c r="D1468" t="str">
        <f>"375-95-1"</f>
        <v>375-95-1</v>
      </c>
      <c r="E1468" t="str">
        <f t="shared" si="61"/>
        <v xml:space="preserve">Organische parameters </v>
      </c>
      <c r="F1468" t="str">
        <f>""</f>
        <v/>
      </c>
      <c r="G1468" t="str">
        <f>""</f>
        <v/>
      </c>
    </row>
    <row r="1469" spans="1:7" x14ac:dyDescent="0.25">
      <c r="A1469">
        <v>2269</v>
      </c>
      <c r="B1469" t="str">
        <f>"perfluortetradecaanzuur"</f>
        <v>perfluortetradecaanzuur</v>
      </c>
      <c r="C1469" t="s">
        <v>19016</v>
      </c>
      <c r="D1469" t="str">
        <f>"376-06-7"</f>
        <v>376-06-7</v>
      </c>
      <c r="E1469" t="str">
        <f t="shared" si="61"/>
        <v xml:space="preserve">Organische parameters </v>
      </c>
      <c r="F1469" t="str">
        <f>""</f>
        <v/>
      </c>
      <c r="G1469" t="str">
        <f>""</f>
        <v/>
      </c>
    </row>
    <row r="1470" spans="1:7" x14ac:dyDescent="0.25">
      <c r="A1470">
        <v>2270</v>
      </c>
      <c r="B1470" t="str">
        <f>"perfluorhexaansulfonaat"</f>
        <v>perfluorhexaansulfonaat</v>
      </c>
      <c r="C1470" t="s">
        <v>19016</v>
      </c>
      <c r="D1470" t="str">
        <f>"3871-99-6"</f>
        <v>3871-99-6</v>
      </c>
      <c r="E1470" t="str">
        <f t="shared" si="61"/>
        <v xml:space="preserve">Organische parameters </v>
      </c>
      <c r="F1470" t="str">
        <f>""</f>
        <v/>
      </c>
      <c r="G1470" t="str">
        <f>""</f>
        <v/>
      </c>
    </row>
    <row r="1471" spans="1:7" x14ac:dyDescent="0.25">
      <c r="A1471">
        <v>2271</v>
      </c>
      <c r="B1471" t="str">
        <f>"perfluortridecaanzuur"</f>
        <v>perfluortridecaanzuur</v>
      </c>
      <c r="C1471" t="s">
        <v>19016</v>
      </c>
      <c r="D1471" t="str">
        <f>"72629-94-8"</f>
        <v>72629-94-8</v>
      </c>
      <c r="E1471" t="str">
        <f t="shared" si="61"/>
        <v xml:space="preserve">Organische parameters </v>
      </c>
      <c r="F1471" t="str">
        <f>""</f>
        <v/>
      </c>
      <c r="G1471" t="str">
        <f>""</f>
        <v/>
      </c>
    </row>
    <row r="1472" spans="1:7" x14ac:dyDescent="0.25">
      <c r="A1472">
        <v>2272</v>
      </c>
      <c r="B1472" t="str">
        <f>"2-(methylthio)benzothiazool"</f>
        <v>2-(methylthio)benzothiazool</v>
      </c>
      <c r="C1472" t="s">
        <v>19016</v>
      </c>
      <c r="D1472" t="str">
        <f>"615-22-5"</f>
        <v>615-22-5</v>
      </c>
      <c r="E1472" t="str">
        <f t="shared" si="61"/>
        <v xml:space="preserve">Organische parameters </v>
      </c>
      <c r="F1472" t="str">
        <f>""</f>
        <v/>
      </c>
      <c r="G1472" t="str">
        <f>""</f>
        <v/>
      </c>
    </row>
    <row r="1473" spans="1:7" x14ac:dyDescent="0.25">
      <c r="A1473">
        <v>2273</v>
      </c>
      <c r="B1473" t="str">
        <f>"2-hydroxybenzothiazool"</f>
        <v>2-hydroxybenzothiazool</v>
      </c>
      <c r="C1473" t="s">
        <v>19016</v>
      </c>
      <c r="D1473" t="str">
        <f>"934-34-9"</f>
        <v>934-34-9</v>
      </c>
      <c r="E1473" t="str">
        <f t="shared" si="61"/>
        <v xml:space="preserve">Organische parameters </v>
      </c>
      <c r="F1473" t="str">
        <f>""</f>
        <v/>
      </c>
      <c r="G1473" t="str">
        <f>""</f>
        <v/>
      </c>
    </row>
    <row r="1474" spans="1:7" x14ac:dyDescent="0.25">
      <c r="A1474">
        <v>2275</v>
      </c>
      <c r="B1474" t="str">
        <f>"1,4-dioxaan"</f>
        <v>1,4-dioxaan</v>
      </c>
      <c r="C1474" t="s">
        <v>19016</v>
      </c>
      <c r="D1474" t="str">
        <f>"123-91-1"</f>
        <v>123-91-1</v>
      </c>
      <c r="E1474" t="str">
        <f t="shared" si="61"/>
        <v xml:space="preserve">Organische parameters </v>
      </c>
      <c r="F1474" t="str">
        <f>""</f>
        <v/>
      </c>
      <c r="G1474" t="str">
        <f>""</f>
        <v/>
      </c>
    </row>
    <row r="1475" spans="1:7" x14ac:dyDescent="0.25">
      <c r="A1475">
        <v>2276</v>
      </c>
      <c r="B1475" t="str">
        <f>"acesulfaam"</f>
        <v>acesulfaam</v>
      </c>
      <c r="C1475" t="s">
        <v>19016</v>
      </c>
      <c r="D1475" t="str">
        <f>"33665-90-6"</f>
        <v>33665-90-6</v>
      </c>
      <c r="E1475" t="str">
        <f t="shared" si="61"/>
        <v xml:space="preserve">Organische parameters </v>
      </c>
      <c r="F1475" t="str">
        <f>""</f>
        <v/>
      </c>
      <c r="G1475" t="str">
        <f>""</f>
        <v/>
      </c>
    </row>
    <row r="1476" spans="1:7" x14ac:dyDescent="0.25">
      <c r="A1476">
        <v>2277</v>
      </c>
      <c r="B1476" t="str">
        <f>"sucralose"</f>
        <v>sucralose</v>
      </c>
      <c r="C1476" t="s">
        <v>19016</v>
      </c>
      <c r="D1476" t="str">
        <f>"56038-13-2"</f>
        <v>56038-13-2</v>
      </c>
      <c r="E1476" t="str">
        <f t="shared" si="61"/>
        <v xml:space="preserve">Organische parameters </v>
      </c>
      <c r="F1476" t="str">
        <f>""</f>
        <v/>
      </c>
      <c r="G1476" t="str">
        <f>""</f>
        <v/>
      </c>
    </row>
    <row r="1477" spans="1:7" x14ac:dyDescent="0.25">
      <c r="A1477">
        <v>2278</v>
      </c>
      <c r="B1477" t="str">
        <f>"saccharine"</f>
        <v>saccharine</v>
      </c>
      <c r="C1477" t="s">
        <v>19016</v>
      </c>
      <c r="D1477" t="str">
        <f>"81-07-2"</f>
        <v>81-07-2</v>
      </c>
      <c r="E1477" t="str">
        <f t="shared" si="61"/>
        <v xml:space="preserve">Organische parameters </v>
      </c>
      <c r="F1477" t="str">
        <f>""</f>
        <v/>
      </c>
      <c r="G1477" t="str">
        <f>""</f>
        <v/>
      </c>
    </row>
    <row r="1478" spans="1:7" x14ac:dyDescent="0.25">
      <c r="A1478">
        <v>2279</v>
      </c>
      <c r="B1478" t="str">
        <f>"aspartaam"</f>
        <v>aspartaam</v>
      </c>
      <c r="C1478" t="s">
        <v>19016</v>
      </c>
      <c r="D1478" t="str">
        <f>"22839-47-0"</f>
        <v>22839-47-0</v>
      </c>
      <c r="E1478" t="str">
        <f t="shared" si="61"/>
        <v xml:space="preserve">Organische parameters </v>
      </c>
      <c r="F1478" t="str">
        <f>""</f>
        <v/>
      </c>
      <c r="G1478" t="str">
        <f>""</f>
        <v/>
      </c>
    </row>
    <row r="1479" spans="1:7" x14ac:dyDescent="0.25">
      <c r="A1479">
        <v>2280</v>
      </c>
      <c r="B1479" t="str">
        <f>"cyclamaat"</f>
        <v>cyclamaat</v>
      </c>
      <c r="C1479" t="s">
        <v>19016</v>
      </c>
      <c r="D1479" t="str">
        <f>"100-88-9"</f>
        <v>100-88-9</v>
      </c>
      <c r="E1479" t="str">
        <f t="shared" si="61"/>
        <v xml:space="preserve">Organische parameters </v>
      </c>
      <c r="F1479" t="str">
        <f>""</f>
        <v/>
      </c>
      <c r="G1479" t="str">
        <f>""</f>
        <v/>
      </c>
    </row>
    <row r="1480" spans="1:7" x14ac:dyDescent="0.25">
      <c r="A1480">
        <v>2281</v>
      </c>
      <c r="B1480" t="str">
        <f>"acesulfaam-K"</f>
        <v>acesulfaam-K</v>
      </c>
      <c r="C1480" t="s">
        <v>19016</v>
      </c>
      <c r="D1480" t="str">
        <f>"55589-62-3"</f>
        <v>55589-62-3</v>
      </c>
      <c r="E1480" t="str">
        <f t="shared" si="61"/>
        <v xml:space="preserve">Organische parameters </v>
      </c>
      <c r="F1480" t="str">
        <f>""</f>
        <v/>
      </c>
      <c r="G1480" t="str">
        <f>""</f>
        <v/>
      </c>
    </row>
    <row r="1481" spans="1:7" x14ac:dyDescent="0.25">
      <c r="A1481">
        <v>2302</v>
      </c>
      <c r="B1481" t="str">
        <f>"N-nitrosodimethylamine"</f>
        <v>N-nitrosodimethylamine</v>
      </c>
      <c r="C1481" t="s">
        <v>14561</v>
      </c>
      <c r="D1481" t="str">
        <f>"62-75-9"</f>
        <v>62-75-9</v>
      </c>
      <c r="E1481" t="str">
        <f t="shared" si="61"/>
        <v xml:space="preserve">Organische parameters </v>
      </c>
      <c r="F1481" t="str">
        <f>""</f>
        <v/>
      </c>
      <c r="G1481" t="str">
        <f>""</f>
        <v/>
      </c>
    </row>
    <row r="1482" spans="1:7" x14ac:dyDescent="0.25">
      <c r="A1482">
        <v>2303</v>
      </c>
      <c r="B1482" t="str">
        <f>"N-nitrosomorfoline"</f>
        <v>N-nitrosomorfoline</v>
      </c>
      <c r="C1482" t="s">
        <v>14561</v>
      </c>
      <c r="D1482" t="str">
        <f>"59-89-2"</f>
        <v>59-89-2</v>
      </c>
      <c r="E1482" t="str">
        <f t="shared" si="61"/>
        <v xml:space="preserve">Organische parameters </v>
      </c>
      <c r="F1482" t="str">
        <f>""</f>
        <v/>
      </c>
      <c r="G1482" t="str">
        <f>""</f>
        <v/>
      </c>
    </row>
    <row r="1483" spans="1:7" x14ac:dyDescent="0.25">
      <c r="A1483">
        <v>2304</v>
      </c>
      <c r="B1483" t="str">
        <f>"N-nitrosopiperidine"</f>
        <v>N-nitrosopiperidine</v>
      </c>
      <c r="C1483" t="s">
        <v>14561</v>
      </c>
      <c r="D1483" t="str">
        <f>"100-75-4 "</f>
        <v xml:space="preserve">100-75-4 </v>
      </c>
      <c r="E1483" t="str">
        <f t="shared" si="61"/>
        <v xml:space="preserve">Organische parameters </v>
      </c>
      <c r="F1483" t="str">
        <f>""</f>
        <v/>
      </c>
      <c r="G1483" t="str">
        <f>""</f>
        <v/>
      </c>
    </row>
    <row r="1484" spans="1:7" x14ac:dyDescent="0.25">
      <c r="A1484">
        <v>2305</v>
      </c>
      <c r="B1484" t="str">
        <f>"N-nitrosopyrrolidine"</f>
        <v>N-nitrosopyrrolidine</v>
      </c>
      <c r="C1484" t="s">
        <v>14561</v>
      </c>
      <c r="D1484" t="str">
        <f>"930-55-2"</f>
        <v>930-55-2</v>
      </c>
      <c r="E1484" t="str">
        <f t="shared" si="61"/>
        <v xml:space="preserve">Organische parameters </v>
      </c>
      <c r="F1484" t="str">
        <f>""</f>
        <v/>
      </c>
      <c r="G1484" t="str">
        <f>""</f>
        <v/>
      </c>
    </row>
    <row r="1485" spans="1:7" x14ac:dyDescent="0.25">
      <c r="A1485">
        <v>2306</v>
      </c>
      <c r="B1485" t="str">
        <f>"N-Nitrosomethylethylamine"</f>
        <v>N-Nitrosomethylethylamine</v>
      </c>
      <c r="C1485" t="s">
        <v>14561</v>
      </c>
      <c r="D1485" t="str">
        <f>"10595-95-6 "</f>
        <v xml:space="preserve">10595-95-6 </v>
      </c>
      <c r="E1485" t="str">
        <f t="shared" ref="E1485:E1548" si="62">"Organische parameters "</f>
        <v xml:space="preserve">Organische parameters </v>
      </c>
      <c r="F1485" t="str">
        <f>""</f>
        <v/>
      </c>
      <c r="G1485" t="str">
        <f>""</f>
        <v/>
      </c>
    </row>
    <row r="1486" spans="1:7" x14ac:dyDescent="0.25">
      <c r="A1486">
        <v>2307</v>
      </c>
      <c r="B1486" t="str">
        <f>"N-nitrosodiethylamine"</f>
        <v>N-nitrosodiethylamine</v>
      </c>
      <c r="C1486" t="s">
        <v>14561</v>
      </c>
      <c r="D1486" t="str">
        <f>"55-18-5 "</f>
        <v xml:space="preserve">55-18-5 </v>
      </c>
      <c r="E1486" t="str">
        <f t="shared" si="62"/>
        <v xml:space="preserve">Organische parameters </v>
      </c>
      <c r="F1486" t="str">
        <f>""</f>
        <v/>
      </c>
      <c r="G1486" t="str">
        <f>""</f>
        <v/>
      </c>
    </row>
    <row r="1487" spans="1:7" x14ac:dyDescent="0.25">
      <c r="A1487">
        <v>2308</v>
      </c>
      <c r="B1487" t="str">
        <f>"Nitrosodipropylamine"</f>
        <v>Nitrosodipropylamine</v>
      </c>
      <c r="C1487" t="s">
        <v>14561</v>
      </c>
      <c r="D1487" t="str">
        <f>"621-64-7"</f>
        <v>621-64-7</v>
      </c>
      <c r="E1487" t="str">
        <f t="shared" si="62"/>
        <v xml:space="preserve">Organische parameters </v>
      </c>
      <c r="F1487" t="str">
        <f>""</f>
        <v/>
      </c>
      <c r="G1487" t="str">
        <f>""</f>
        <v/>
      </c>
    </row>
    <row r="1488" spans="1:7" x14ac:dyDescent="0.25">
      <c r="A1488">
        <v>2309</v>
      </c>
      <c r="B1488" t="str">
        <f>"N,N-dibutylnitrosoamine"</f>
        <v>N,N-dibutylnitrosoamine</v>
      </c>
      <c r="C1488" t="s">
        <v>14561</v>
      </c>
      <c r="D1488" t="str">
        <f>"924-16-3 "</f>
        <v xml:space="preserve">924-16-3 </v>
      </c>
      <c r="E1488" t="str">
        <f t="shared" si="62"/>
        <v xml:space="preserve">Organische parameters </v>
      </c>
      <c r="F1488" t="str">
        <f>""</f>
        <v/>
      </c>
      <c r="G1488" t="str">
        <f>""</f>
        <v/>
      </c>
    </row>
    <row r="1489" spans="1:7" x14ac:dyDescent="0.25">
      <c r="A1489">
        <v>2312</v>
      </c>
      <c r="B1489" t="str">
        <f>"2-aminobenzothiazool"</f>
        <v>2-aminobenzothiazool</v>
      </c>
      <c r="C1489" t="s">
        <v>13022</v>
      </c>
      <c r="D1489" t="str">
        <f>"136-95-8"</f>
        <v>136-95-8</v>
      </c>
      <c r="E1489" t="str">
        <f t="shared" si="62"/>
        <v xml:space="preserve">Organische parameters </v>
      </c>
      <c r="F1489" t="str">
        <f>""</f>
        <v/>
      </c>
      <c r="G1489" t="str">
        <f>""</f>
        <v/>
      </c>
    </row>
    <row r="1490" spans="1:7" x14ac:dyDescent="0.25">
      <c r="A1490">
        <v>2314</v>
      </c>
      <c r="B1490" t="str">
        <f>"Hexafluorpropeen"</f>
        <v>Hexafluorpropeen</v>
      </c>
      <c r="C1490" t="s">
        <v>13022</v>
      </c>
      <c r="D1490" t="str">
        <f>"116-15-4"</f>
        <v>116-15-4</v>
      </c>
      <c r="E1490" t="str">
        <f t="shared" si="62"/>
        <v xml:space="preserve">Organische parameters </v>
      </c>
      <c r="F1490" t="str">
        <f>"Gehalogeneerde alifatische koolwaterstoffen "</f>
        <v xml:space="preserve">Gehalogeneerde alifatische koolwaterstoffen </v>
      </c>
      <c r="G1490" t="str">
        <f>"Overige gehalogeneerde alifatische koolwaterstoffen "</f>
        <v xml:space="preserve">Overige gehalogeneerde alifatische koolwaterstoffen </v>
      </c>
    </row>
    <row r="1491" spans="1:7" x14ac:dyDescent="0.25">
      <c r="A1491">
        <v>2315</v>
      </c>
      <c r="B1491" t="str">
        <f>"6:2 Fluorotelomer sulfonic acid (6:2 FTS)"</f>
        <v>6:2 Fluorotelomer sulfonic acid (6:2 FTS)</v>
      </c>
      <c r="C1491" t="s">
        <v>13022</v>
      </c>
      <c r="D1491" t="str">
        <f>"27619-97-2"</f>
        <v>27619-97-2</v>
      </c>
      <c r="E1491" t="str">
        <f t="shared" si="62"/>
        <v xml:space="preserve">Organische parameters </v>
      </c>
      <c r="F1491" t="str">
        <f>"Gehalogeneerde alifatische koolwaterstoffen "</f>
        <v xml:space="preserve">Gehalogeneerde alifatische koolwaterstoffen </v>
      </c>
      <c r="G1491" t="str">
        <f>"Overige gehalogeneerde alifatische koolwaterstoffen "</f>
        <v xml:space="preserve">Overige gehalogeneerde alifatische koolwaterstoffen </v>
      </c>
    </row>
    <row r="1492" spans="1:7" x14ac:dyDescent="0.25">
      <c r="A1492">
        <v>2316</v>
      </c>
      <c r="B1492" t="str">
        <f>"perfluorhexadecaanzuur"</f>
        <v>perfluorhexadecaanzuur</v>
      </c>
      <c r="C1492" t="s">
        <v>13022</v>
      </c>
      <c r="D1492" t="str">
        <f>"16517-11-6"</f>
        <v>16517-11-6</v>
      </c>
      <c r="E1492" t="str">
        <f t="shared" si="62"/>
        <v xml:space="preserve">Organische parameters </v>
      </c>
      <c r="F1492" t="str">
        <f>""</f>
        <v/>
      </c>
      <c r="G1492" t="str">
        <f>""</f>
        <v/>
      </c>
    </row>
    <row r="1493" spans="1:7" x14ac:dyDescent="0.25">
      <c r="A1493">
        <v>2317</v>
      </c>
      <c r="B1493" t="str">
        <f>"perfluoroctadecaanzuur"</f>
        <v>perfluoroctadecaanzuur</v>
      </c>
      <c r="C1493" t="s">
        <v>13022</v>
      </c>
      <c r="D1493" t="str">
        <f>"67905-19-5"</f>
        <v>67905-19-5</v>
      </c>
      <c r="E1493" t="str">
        <f t="shared" si="62"/>
        <v xml:space="preserve">Organische parameters </v>
      </c>
      <c r="F1493" t="str">
        <f>""</f>
        <v/>
      </c>
      <c r="G1493" t="str">
        <f>""</f>
        <v/>
      </c>
    </row>
    <row r="1494" spans="1:7" x14ac:dyDescent="0.25">
      <c r="A1494">
        <v>2318</v>
      </c>
      <c r="B1494" t="str">
        <f>"perfluoroctaansulfonamide"</f>
        <v>perfluoroctaansulfonamide</v>
      </c>
      <c r="C1494" t="s">
        <v>13022</v>
      </c>
      <c r="D1494" t="str">
        <f>"754-91-6"</f>
        <v>754-91-6</v>
      </c>
      <c r="E1494" t="str">
        <f t="shared" si="62"/>
        <v xml:space="preserve">Organische parameters </v>
      </c>
      <c r="F1494" t="str">
        <f>""</f>
        <v/>
      </c>
      <c r="G1494" t="str">
        <f>""</f>
        <v/>
      </c>
    </row>
    <row r="1495" spans="1:7" x14ac:dyDescent="0.25">
      <c r="A1495">
        <v>2319</v>
      </c>
      <c r="B1495" t="str">
        <f>"2-Octanol"</f>
        <v>2-Octanol</v>
      </c>
      <c r="C1495" t="s">
        <v>19016</v>
      </c>
      <c r="D1495" t="str">
        <f>"123-96-6"</f>
        <v>123-96-6</v>
      </c>
      <c r="E1495" t="str">
        <f t="shared" si="62"/>
        <v xml:space="preserve">Organische parameters </v>
      </c>
      <c r="F1495" t="str">
        <f>""</f>
        <v/>
      </c>
      <c r="G1495" t="str">
        <f>""</f>
        <v/>
      </c>
    </row>
    <row r="1496" spans="1:7" x14ac:dyDescent="0.25">
      <c r="A1496">
        <v>2320</v>
      </c>
      <c r="B1496" t="str">
        <f>"2-Propanol"</f>
        <v>2-Propanol</v>
      </c>
      <c r="C1496" t="s">
        <v>19016</v>
      </c>
      <c r="D1496" t="str">
        <f>"67-63-0"</f>
        <v>67-63-0</v>
      </c>
      <c r="E1496" t="str">
        <f t="shared" si="62"/>
        <v xml:space="preserve">Organische parameters </v>
      </c>
      <c r="F1496" t="str">
        <f>""</f>
        <v/>
      </c>
      <c r="G1496" t="str">
        <f>""</f>
        <v/>
      </c>
    </row>
    <row r="1497" spans="1:7" x14ac:dyDescent="0.25">
      <c r="A1497">
        <v>2321</v>
      </c>
      <c r="B1497" t="str">
        <f>"ethanol"</f>
        <v>ethanol</v>
      </c>
      <c r="C1497" t="s">
        <v>19016</v>
      </c>
      <c r="D1497" t="str">
        <f>"64-17-5"</f>
        <v>64-17-5</v>
      </c>
      <c r="E1497" t="str">
        <f t="shared" si="62"/>
        <v xml:space="preserve">Organische parameters </v>
      </c>
      <c r="F1497" t="str">
        <f>""</f>
        <v/>
      </c>
      <c r="G1497" t="str">
        <f>""</f>
        <v/>
      </c>
    </row>
    <row r="1498" spans="1:7" x14ac:dyDescent="0.25">
      <c r="A1498">
        <v>2322</v>
      </c>
      <c r="B1498" t="str">
        <f>"Pyrazool"</f>
        <v>Pyrazool</v>
      </c>
      <c r="C1498" t="s">
        <v>19016</v>
      </c>
      <c r="D1498" t="str">
        <f>"288-13-1"</f>
        <v>288-13-1</v>
      </c>
      <c r="E1498" t="str">
        <f t="shared" si="62"/>
        <v xml:space="preserve">Organische parameters </v>
      </c>
      <c r="F1498" t="str">
        <f>""</f>
        <v/>
      </c>
      <c r="G1498" t="str">
        <f>""</f>
        <v/>
      </c>
    </row>
    <row r="1499" spans="1:7" x14ac:dyDescent="0.25">
      <c r="A1499">
        <v>2323</v>
      </c>
      <c r="B1499" t="str">
        <f>"methanol"</f>
        <v>methanol</v>
      </c>
      <c r="C1499" t="s">
        <v>19016</v>
      </c>
      <c r="D1499" t="str">
        <f>"67-56-1"</f>
        <v>67-56-1</v>
      </c>
      <c r="E1499" t="str">
        <f t="shared" si="62"/>
        <v xml:space="preserve">Organische parameters </v>
      </c>
      <c r="F1499" t="str">
        <f>""</f>
        <v/>
      </c>
      <c r="G1499" t="str">
        <f>""</f>
        <v/>
      </c>
    </row>
    <row r="1500" spans="1:7" x14ac:dyDescent="0.25">
      <c r="A1500">
        <v>2324</v>
      </c>
      <c r="B1500" t="str">
        <f>"t-Butanol"</f>
        <v>t-Butanol</v>
      </c>
      <c r="C1500" t="s">
        <v>19016</v>
      </c>
      <c r="D1500" t="str">
        <f>"75-65-0"</f>
        <v>75-65-0</v>
      </c>
      <c r="E1500" t="str">
        <f t="shared" si="62"/>
        <v xml:space="preserve">Organische parameters </v>
      </c>
      <c r="F1500" t="str">
        <f>""</f>
        <v/>
      </c>
      <c r="G1500" t="str">
        <f>""</f>
        <v/>
      </c>
    </row>
    <row r="1501" spans="1:7" x14ac:dyDescent="0.25">
      <c r="A1501">
        <v>2325</v>
      </c>
      <c r="B1501" t="str">
        <f>"iso-Butanol"</f>
        <v>iso-Butanol</v>
      </c>
      <c r="C1501" t="s">
        <v>19016</v>
      </c>
      <c r="D1501" t="str">
        <f>"78-83-1"</f>
        <v>78-83-1</v>
      </c>
      <c r="E1501" t="str">
        <f t="shared" si="62"/>
        <v xml:space="preserve">Organische parameters </v>
      </c>
      <c r="F1501" t="str">
        <f>""</f>
        <v/>
      </c>
      <c r="G1501" t="str">
        <f>""</f>
        <v/>
      </c>
    </row>
    <row r="1502" spans="1:7" x14ac:dyDescent="0.25">
      <c r="A1502">
        <v>2326</v>
      </c>
      <c r="B1502" t="str">
        <f>"melamine"</f>
        <v>melamine</v>
      </c>
      <c r="C1502" t="s">
        <v>19016</v>
      </c>
      <c r="D1502" t="str">
        <f>"108-78-1"</f>
        <v>108-78-1</v>
      </c>
      <c r="E1502" t="str">
        <f t="shared" si="62"/>
        <v xml:space="preserve">Organische parameters </v>
      </c>
      <c r="F1502" t="str">
        <f>"Aromatische aminen "</f>
        <v xml:space="preserve">Aromatische aminen </v>
      </c>
      <c r="G1502" t="str">
        <f>""</f>
        <v/>
      </c>
    </row>
    <row r="1503" spans="1:7" x14ac:dyDescent="0.25">
      <c r="A1503">
        <v>2327</v>
      </c>
      <c r="B1503" t="str">
        <f>"2,3,3,3-tetrafluor-2-heptafluorpropoxypropaanzuur"</f>
        <v>2,3,3,3-tetrafluor-2-heptafluorpropoxypropaanzuur</v>
      </c>
      <c r="C1503" t="s">
        <v>19016</v>
      </c>
      <c r="D1503" t="str">
        <f>"13252-13-6"</f>
        <v>13252-13-6</v>
      </c>
      <c r="E1503" t="str">
        <f t="shared" si="62"/>
        <v xml:space="preserve">Organische parameters </v>
      </c>
      <c r="F1503" t="str">
        <f>"Gehalogeneerde alifatische koolwaterstoffen "</f>
        <v xml:space="preserve">Gehalogeneerde alifatische koolwaterstoffen </v>
      </c>
      <c r="G1503" t="str">
        <f>"Overige gehalogeneerde alifatische koolwaterstoffen "</f>
        <v xml:space="preserve">Overige gehalogeneerde alifatische koolwaterstoffen </v>
      </c>
    </row>
    <row r="1504" spans="1:7" x14ac:dyDescent="0.25">
      <c r="A1504">
        <v>2328</v>
      </c>
      <c r="B1504" t="str">
        <f>"tolyltriazool"</f>
        <v>tolyltriazool</v>
      </c>
      <c r="C1504" t="s">
        <v>19016</v>
      </c>
      <c r="D1504" t="str">
        <f>"29385-43-1"</f>
        <v>29385-43-1</v>
      </c>
      <c r="E1504" t="str">
        <f t="shared" si="62"/>
        <v xml:space="preserve">Organische parameters </v>
      </c>
      <c r="F1504" t="str">
        <f t="shared" ref="F1504:F1522" si="63">"Overige antropogene stoffen "</f>
        <v xml:space="preserve">Overige antropogene stoffen </v>
      </c>
      <c r="G1504" t="str">
        <f>""</f>
        <v/>
      </c>
    </row>
    <row r="1505" spans="1:7" x14ac:dyDescent="0.25">
      <c r="A1505">
        <v>2329</v>
      </c>
      <c r="B1505" t="str">
        <f>"1,2-benzisothiazolin-3-on"</f>
        <v>1,2-benzisothiazolin-3-on</v>
      </c>
      <c r="C1505" t="s">
        <v>19016</v>
      </c>
      <c r="D1505" t="str">
        <f>"2634-33-5"</f>
        <v>2634-33-5</v>
      </c>
      <c r="E1505" t="str">
        <f t="shared" si="62"/>
        <v xml:space="preserve">Organische parameters </v>
      </c>
      <c r="F1505" t="str">
        <f t="shared" si="63"/>
        <v xml:space="preserve">Overige antropogene stoffen </v>
      </c>
      <c r="G1505" t="str">
        <f>""</f>
        <v/>
      </c>
    </row>
    <row r="1506" spans="1:7" x14ac:dyDescent="0.25">
      <c r="A1506">
        <v>2330</v>
      </c>
      <c r="B1506" t="str">
        <f>"1,3-dicyclohexylureum"</f>
        <v>1,3-dicyclohexylureum</v>
      </c>
      <c r="C1506" t="s">
        <v>19016</v>
      </c>
      <c r="D1506" t="str">
        <f>"219-213-7"</f>
        <v>219-213-7</v>
      </c>
      <c r="E1506" t="str">
        <f t="shared" si="62"/>
        <v xml:space="preserve">Organische parameters </v>
      </c>
      <c r="F1506" t="str">
        <f t="shared" si="63"/>
        <v xml:space="preserve">Overige antropogene stoffen </v>
      </c>
      <c r="G1506" t="str">
        <f>""</f>
        <v/>
      </c>
    </row>
    <row r="1507" spans="1:7" x14ac:dyDescent="0.25">
      <c r="A1507">
        <v>2331</v>
      </c>
      <c r="B1507" t="str">
        <f>"1,3-diethyl-1,3-difenylureum"</f>
        <v>1,3-diethyl-1,3-difenylureum</v>
      </c>
      <c r="C1507" t="s">
        <v>19016</v>
      </c>
      <c r="D1507" t="str">
        <f>"85-98-3"</f>
        <v>85-98-3</v>
      </c>
      <c r="E1507" t="str">
        <f t="shared" si="62"/>
        <v xml:space="preserve">Organische parameters </v>
      </c>
      <c r="F1507" t="str">
        <f t="shared" si="63"/>
        <v xml:space="preserve">Overige antropogene stoffen </v>
      </c>
      <c r="G1507" t="str">
        <f>""</f>
        <v/>
      </c>
    </row>
    <row r="1508" spans="1:7" x14ac:dyDescent="0.25">
      <c r="A1508">
        <v>2332</v>
      </c>
      <c r="B1508" t="str">
        <f>"1,3-difenylguanidine"</f>
        <v>1,3-difenylguanidine</v>
      </c>
      <c r="C1508" t="s">
        <v>19016</v>
      </c>
      <c r="D1508" t="str">
        <f>"102-06-7"</f>
        <v>102-06-7</v>
      </c>
      <c r="E1508" t="str">
        <f t="shared" si="62"/>
        <v xml:space="preserve">Organische parameters </v>
      </c>
      <c r="F1508" t="str">
        <f t="shared" si="63"/>
        <v xml:space="preserve">Overige antropogene stoffen </v>
      </c>
      <c r="G1508" t="str">
        <f>""</f>
        <v/>
      </c>
    </row>
    <row r="1509" spans="1:7" x14ac:dyDescent="0.25">
      <c r="A1509">
        <v>2333</v>
      </c>
      <c r="B1509" t="str">
        <f>"2-octyl-4-isothiazoline-3-on"</f>
        <v>2-octyl-4-isothiazoline-3-on</v>
      </c>
      <c r="C1509" t="s">
        <v>19016</v>
      </c>
      <c r="D1509" t="str">
        <f>"26530-20-1"</f>
        <v>26530-20-1</v>
      </c>
      <c r="E1509" t="str">
        <f t="shared" si="62"/>
        <v xml:space="preserve">Organische parameters </v>
      </c>
      <c r="F1509" t="str">
        <f t="shared" si="63"/>
        <v xml:space="preserve">Overige antropogene stoffen </v>
      </c>
      <c r="G1509" t="str">
        <f>""</f>
        <v/>
      </c>
    </row>
    <row r="1510" spans="1:7" x14ac:dyDescent="0.25">
      <c r="A1510">
        <v>2334</v>
      </c>
      <c r="B1510" t="str">
        <f>"4-dimethylaminopyridine"</f>
        <v>4-dimethylaminopyridine</v>
      </c>
      <c r="C1510" t="s">
        <v>19016</v>
      </c>
      <c r="D1510" t="str">
        <f>"1122-58-3"</f>
        <v>1122-58-3</v>
      </c>
      <c r="E1510" t="str">
        <f t="shared" si="62"/>
        <v xml:space="preserve">Organische parameters </v>
      </c>
      <c r="F1510" t="str">
        <f t="shared" si="63"/>
        <v xml:space="preserve">Overige antropogene stoffen </v>
      </c>
      <c r="G1510" t="str">
        <f>""</f>
        <v/>
      </c>
    </row>
    <row r="1511" spans="1:7" x14ac:dyDescent="0.25">
      <c r="A1511">
        <v>2335</v>
      </c>
      <c r="B1511" t="str">
        <f>"4,5-dichloor-2-octyl-isothiazolon"</f>
        <v>4,5-dichloor-2-octyl-isothiazolon</v>
      </c>
      <c r="C1511" t="s">
        <v>19016</v>
      </c>
      <c r="D1511" t="str">
        <f>"64359-81-5"</f>
        <v>64359-81-5</v>
      </c>
      <c r="E1511" t="str">
        <f t="shared" si="62"/>
        <v xml:space="preserve">Organische parameters </v>
      </c>
      <c r="F1511" t="str">
        <f t="shared" si="63"/>
        <v xml:space="preserve">Overige antropogene stoffen </v>
      </c>
      <c r="G1511" t="str">
        <f>""</f>
        <v/>
      </c>
    </row>
    <row r="1512" spans="1:7" x14ac:dyDescent="0.25">
      <c r="A1512">
        <v>2336</v>
      </c>
      <c r="B1512" t="str">
        <f>"irgarol 1051 (cybutryn)"</f>
        <v>irgarol 1051 (cybutryn)</v>
      </c>
      <c r="C1512" t="s">
        <v>19016</v>
      </c>
      <c r="D1512" t="str">
        <f>"28159-98-0"</f>
        <v>28159-98-0</v>
      </c>
      <c r="E1512" t="str">
        <f t="shared" si="62"/>
        <v xml:space="preserve">Organische parameters </v>
      </c>
      <c r="F1512" t="str">
        <f t="shared" si="63"/>
        <v xml:space="preserve">Overige antropogene stoffen </v>
      </c>
      <c r="G1512" t="str">
        <f>""</f>
        <v/>
      </c>
    </row>
    <row r="1513" spans="1:7" x14ac:dyDescent="0.25">
      <c r="A1513">
        <v>2340</v>
      </c>
      <c r="B1513" t="str">
        <f>"tri-2-cresylfosfaat (TCP)"</f>
        <v>tri-2-cresylfosfaat (TCP)</v>
      </c>
      <c r="C1513" t="s">
        <v>19016</v>
      </c>
      <c r="D1513" t="str">
        <f>""</f>
        <v/>
      </c>
      <c r="E1513" t="str">
        <f t="shared" si="62"/>
        <v xml:space="preserve">Organische parameters </v>
      </c>
      <c r="F1513" t="str">
        <f t="shared" si="63"/>
        <v xml:space="preserve">Overige antropogene stoffen </v>
      </c>
      <c r="G1513" t="str">
        <f>""</f>
        <v/>
      </c>
    </row>
    <row r="1514" spans="1:7" x14ac:dyDescent="0.25">
      <c r="A1514">
        <v>2341</v>
      </c>
      <c r="B1514" t="str">
        <f>"tri-3-cresylfosfaat (TCP)"</f>
        <v>tri-3-cresylfosfaat (TCP)</v>
      </c>
      <c r="C1514" t="s">
        <v>19016</v>
      </c>
      <c r="D1514" t="str">
        <f>""</f>
        <v/>
      </c>
      <c r="E1514" t="str">
        <f t="shared" si="62"/>
        <v xml:space="preserve">Organische parameters </v>
      </c>
      <c r="F1514" t="str">
        <f t="shared" si="63"/>
        <v xml:space="preserve">Overige antropogene stoffen </v>
      </c>
      <c r="G1514" t="str">
        <f>""</f>
        <v/>
      </c>
    </row>
    <row r="1515" spans="1:7" x14ac:dyDescent="0.25">
      <c r="A1515">
        <v>2342</v>
      </c>
      <c r="B1515" t="str">
        <f>"tri-4-cresylfosfaat (TCP)"</f>
        <v>tri-4-cresylfosfaat (TCP)</v>
      </c>
      <c r="C1515" t="s">
        <v>19016</v>
      </c>
      <c r="D1515" t="str">
        <f>""</f>
        <v/>
      </c>
      <c r="E1515" t="str">
        <f t="shared" si="62"/>
        <v xml:space="preserve">Organische parameters </v>
      </c>
      <c r="F1515" t="str">
        <f t="shared" si="63"/>
        <v xml:space="preserve">Overige antropogene stoffen </v>
      </c>
      <c r="G1515" t="str">
        <f>""</f>
        <v/>
      </c>
    </row>
    <row r="1516" spans="1:7" x14ac:dyDescent="0.25">
      <c r="A1516">
        <v>2343</v>
      </c>
      <c r="B1516" t="str">
        <f>"tri(1,3-dichloor-2-propyl)fosfaat"</f>
        <v>tri(1,3-dichloor-2-propyl)fosfaat</v>
      </c>
      <c r="C1516" t="s">
        <v>19016</v>
      </c>
      <c r="D1516" t="str">
        <f>"13674-87-8"</f>
        <v>13674-87-8</v>
      </c>
      <c r="E1516" t="str">
        <f t="shared" si="62"/>
        <v xml:space="preserve">Organische parameters </v>
      </c>
      <c r="F1516" t="str">
        <f t="shared" si="63"/>
        <v xml:space="preserve">Overige antropogene stoffen </v>
      </c>
      <c r="G1516" t="str">
        <f>""</f>
        <v/>
      </c>
    </row>
    <row r="1517" spans="1:7" x14ac:dyDescent="0.25">
      <c r="A1517">
        <v>2344</v>
      </c>
      <c r="B1517" t="str">
        <f>"2,3,4,4-tetrabroomdifenylether"</f>
        <v>2,3,4,4-tetrabroomdifenylether</v>
      </c>
      <c r="C1517" t="s">
        <v>19016</v>
      </c>
      <c r="D1517" t="str">
        <f>""</f>
        <v/>
      </c>
      <c r="E1517" t="str">
        <f t="shared" si="62"/>
        <v xml:space="preserve">Organische parameters </v>
      </c>
      <c r="F1517" t="str">
        <f t="shared" si="63"/>
        <v xml:space="preserve">Overige antropogene stoffen </v>
      </c>
      <c r="G1517" t="str">
        <f>""</f>
        <v/>
      </c>
    </row>
    <row r="1518" spans="1:7" x14ac:dyDescent="0.25">
      <c r="A1518">
        <v>2345</v>
      </c>
      <c r="B1518" t="str">
        <f>"2,3,4,6-tetrabroomdifenylether"</f>
        <v>2,3,4,6-tetrabroomdifenylether</v>
      </c>
      <c r="C1518" t="s">
        <v>19016</v>
      </c>
      <c r="D1518" t="str">
        <f>""</f>
        <v/>
      </c>
      <c r="E1518" t="str">
        <f t="shared" si="62"/>
        <v xml:space="preserve">Organische parameters </v>
      </c>
      <c r="F1518" t="str">
        <f t="shared" si="63"/>
        <v xml:space="preserve">Overige antropogene stoffen </v>
      </c>
      <c r="G1518" t="str">
        <f>""</f>
        <v/>
      </c>
    </row>
    <row r="1519" spans="1:7" x14ac:dyDescent="0.25">
      <c r="A1519">
        <v>2346</v>
      </c>
      <c r="B1519" t="str">
        <f>"2,4,4-tribroomdifenylether"</f>
        <v>2,4,4-tribroomdifenylether</v>
      </c>
      <c r="C1519" t="s">
        <v>19016</v>
      </c>
      <c r="D1519" t="str">
        <f>"41318-75-6"</f>
        <v>41318-75-6</v>
      </c>
      <c r="E1519" t="str">
        <f t="shared" si="62"/>
        <v xml:space="preserve">Organische parameters </v>
      </c>
      <c r="F1519" t="str">
        <f t="shared" si="63"/>
        <v xml:space="preserve">Overige antropogene stoffen </v>
      </c>
      <c r="G1519" t="str">
        <f>""</f>
        <v/>
      </c>
    </row>
    <row r="1520" spans="1:7" x14ac:dyDescent="0.25">
      <c r="A1520">
        <v>2347</v>
      </c>
      <c r="B1520" t="str">
        <f>"dicyclohexylftalaat (DCHP)"</f>
        <v>dicyclohexylftalaat (DCHP)</v>
      </c>
      <c r="C1520" t="s">
        <v>19016</v>
      </c>
      <c r="D1520" t="str">
        <f>"84-61-7"</f>
        <v>84-61-7</v>
      </c>
      <c r="E1520" t="str">
        <f t="shared" si="62"/>
        <v xml:space="preserve">Organische parameters </v>
      </c>
      <c r="F1520" t="str">
        <f t="shared" si="63"/>
        <v xml:space="preserve">Overige antropogene stoffen </v>
      </c>
      <c r="G1520" t="str">
        <f>""</f>
        <v/>
      </c>
    </row>
    <row r="1521" spans="1:7" x14ac:dyDescent="0.25">
      <c r="A1521">
        <v>2348</v>
      </c>
      <c r="B1521" t="str">
        <f>"diheptylftalaat (DHP)"</f>
        <v>diheptylftalaat (DHP)</v>
      </c>
      <c r="C1521" t="s">
        <v>19016</v>
      </c>
      <c r="D1521" t="str">
        <f>"84-75-3"</f>
        <v>84-75-3</v>
      </c>
      <c r="E1521" t="str">
        <f t="shared" si="62"/>
        <v xml:space="preserve">Organische parameters </v>
      </c>
      <c r="F1521" t="str">
        <f t="shared" si="63"/>
        <v xml:space="preserve">Overige antropogene stoffen </v>
      </c>
      <c r="G1521" t="str">
        <f>""</f>
        <v/>
      </c>
    </row>
    <row r="1522" spans="1:7" x14ac:dyDescent="0.25">
      <c r="A1522">
        <v>2352</v>
      </c>
      <c r="B1522" t="str">
        <f>"2-n-dodecylfenol"</f>
        <v>2-n-dodecylfenol</v>
      </c>
      <c r="C1522" t="s">
        <v>19016</v>
      </c>
      <c r="D1522" t="str">
        <f>"5284-29-7"</f>
        <v>5284-29-7</v>
      </c>
      <c r="E1522" t="str">
        <f t="shared" si="62"/>
        <v xml:space="preserve">Organische parameters </v>
      </c>
      <c r="F1522" t="str">
        <f t="shared" si="63"/>
        <v xml:space="preserve">Overige antropogene stoffen </v>
      </c>
      <c r="G1522" t="str">
        <f>""</f>
        <v/>
      </c>
    </row>
    <row r="1523" spans="1:7" x14ac:dyDescent="0.25">
      <c r="A1523">
        <v>2353</v>
      </c>
      <c r="B1523" t="str">
        <f>"1,2,3,5-tetramethylbenzeen"</f>
        <v>1,2,3,5-tetramethylbenzeen</v>
      </c>
      <c r="C1523" t="s">
        <v>19016</v>
      </c>
      <c r="D1523" t="str">
        <f>"527-53-7"</f>
        <v>527-53-7</v>
      </c>
      <c r="E1523" t="str">
        <f t="shared" si="62"/>
        <v xml:space="preserve">Organische parameters </v>
      </c>
      <c r="F1523" t="str">
        <f>"Monocyclische koolwaterstoffen/aromaten "</f>
        <v xml:space="preserve">Monocyclische koolwaterstoffen/aromaten </v>
      </c>
      <c r="G1523" t="str">
        <f>""</f>
        <v/>
      </c>
    </row>
    <row r="1524" spans="1:7" x14ac:dyDescent="0.25">
      <c r="A1524">
        <v>2354</v>
      </c>
      <c r="B1524" t="str">
        <f>"1,2,4,5-tetramethylbenzeen"</f>
        <v>1,2,4,5-tetramethylbenzeen</v>
      </c>
      <c r="C1524" t="s">
        <v>19016</v>
      </c>
      <c r="D1524" t="str">
        <f>"95-93-2"</f>
        <v>95-93-2</v>
      </c>
      <c r="E1524" t="str">
        <f t="shared" si="62"/>
        <v xml:space="preserve">Organische parameters </v>
      </c>
      <c r="F1524" t="str">
        <f>"Monocyclische koolwaterstoffen/aromaten "</f>
        <v xml:space="preserve">Monocyclische koolwaterstoffen/aromaten </v>
      </c>
      <c r="G1524" t="str">
        <f>""</f>
        <v/>
      </c>
    </row>
    <row r="1525" spans="1:7" x14ac:dyDescent="0.25">
      <c r="A1525">
        <v>2355</v>
      </c>
      <c r="B1525" t="str">
        <f>"1,2-diethylbenzeen"</f>
        <v>1,2-diethylbenzeen</v>
      </c>
      <c r="C1525" t="s">
        <v>19016</v>
      </c>
      <c r="D1525" t="str">
        <f>"25340-17-4"</f>
        <v>25340-17-4</v>
      </c>
      <c r="E1525" t="str">
        <f t="shared" si="62"/>
        <v xml:space="preserve">Organische parameters </v>
      </c>
      <c r="F1525" t="str">
        <f>"Monocyclische koolwaterstoffen/aromaten "</f>
        <v xml:space="preserve">Monocyclische koolwaterstoffen/aromaten </v>
      </c>
      <c r="G1525" t="str">
        <f>""</f>
        <v/>
      </c>
    </row>
    <row r="1526" spans="1:7" x14ac:dyDescent="0.25">
      <c r="A1526">
        <v>2356</v>
      </c>
      <c r="B1526" t="str">
        <f>"1,3-diethylbenzeen"</f>
        <v>1,3-diethylbenzeen</v>
      </c>
      <c r="C1526" t="s">
        <v>19016</v>
      </c>
      <c r="D1526" t="str">
        <f>"141-93-5"</f>
        <v>141-93-5</v>
      </c>
      <c r="E1526" t="str">
        <f t="shared" si="62"/>
        <v xml:space="preserve">Organische parameters </v>
      </c>
      <c r="F1526" t="str">
        <f>"Monocyclische koolwaterstoffen/aromaten "</f>
        <v xml:space="preserve">Monocyclische koolwaterstoffen/aromaten </v>
      </c>
      <c r="G1526" t="str">
        <f>""</f>
        <v/>
      </c>
    </row>
    <row r="1527" spans="1:7" x14ac:dyDescent="0.25">
      <c r="A1527">
        <v>2357</v>
      </c>
      <c r="B1527" t="str">
        <f>"1,4-diethylbenzeen"</f>
        <v>1,4-diethylbenzeen</v>
      </c>
      <c r="C1527" t="s">
        <v>19016</v>
      </c>
      <c r="D1527" t="str">
        <f>"105-05-5"</f>
        <v>105-05-5</v>
      </c>
      <c r="E1527" t="str">
        <f t="shared" si="62"/>
        <v xml:space="preserve">Organische parameters </v>
      </c>
      <c r="F1527" t="str">
        <f>"Monocyclische koolwaterstoffen/aromaten "</f>
        <v xml:space="preserve">Monocyclische koolwaterstoffen/aromaten </v>
      </c>
      <c r="G1527" t="str">
        <f>""</f>
        <v/>
      </c>
    </row>
    <row r="1528" spans="1:7" x14ac:dyDescent="0.25">
      <c r="A1528">
        <v>2358</v>
      </c>
      <c r="B1528" t="str">
        <f>"1-broom-3-chloorpropaan"</f>
        <v>1-broom-3-chloorpropaan</v>
      </c>
      <c r="C1528" t="s">
        <v>19016</v>
      </c>
      <c r="D1528" t="str">
        <f>"109-70-6"</f>
        <v>109-70-6</v>
      </c>
      <c r="E1528" t="str">
        <f t="shared" si="62"/>
        <v xml:space="preserve">Organische parameters </v>
      </c>
      <c r="F1528" t="str">
        <f>"Gehalogeneerde alifatische koolwaterstoffen "</f>
        <v xml:space="preserve">Gehalogeneerde alifatische koolwaterstoffen </v>
      </c>
      <c r="G1528" t="str">
        <f>"Overige gehalogeneerde alifatische koolwaterstoffen "</f>
        <v xml:space="preserve">Overige gehalogeneerde alifatische koolwaterstoffen </v>
      </c>
    </row>
    <row r="1529" spans="1:7" x14ac:dyDescent="0.25">
      <c r="A1529">
        <v>2359</v>
      </c>
      <c r="B1529" t="str">
        <f>"4-methyl-1-penteen"</f>
        <v>4-methyl-1-penteen</v>
      </c>
      <c r="C1529" t="s">
        <v>19016</v>
      </c>
      <c r="D1529" t="str">
        <f>"691-37-2"</f>
        <v>691-37-2</v>
      </c>
      <c r="E1529" t="str">
        <f t="shared" si="62"/>
        <v xml:space="preserve">Organische parameters </v>
      </c>
      <c r="F1529" t="str">
        <f t="shared" ref="F1529:F1534" si="64">"Overige antropogene stoffen "</f>
        <v xml:space="preserve">Overige antropogene stoffen </v>
      </c>
      <c r="G1529" t="str">
        <f>""</f>
        <v/>
      </c>
    </row>
    <row r="1530" spans="1:7" x14ac:dyDescent="0.25">
      <c r="A1530">
        <v>2360</v>
      </c>
      <c r="B1530" t="str">
        <f>"acrylonitril"</f>
        <v>acrylonitril</v>
      </c>
      <c r="C1530" t="s">
        <v>19016</v>
      </c>
      <c r="D1530" t="str">
        <f>"107-13-1"</f>
        <v>107-13-1</v>
      </c>
      <c r="E1530" t="str">
        <f t="shared" si="62"/>
        <v xml:space="preserve">Organische parameters </v>
      </c>
      <c r="F1530" t="str">
        <f t="shared" si="64"/>
        <v xml:space="preserve">Overige antropogene stoffen </v>
      </c>
      <c r="G1530" t="str">
        <f>""</f>
        <v/>
      </c>
    </row>
    <row r="1531" spans="1:7" x14ac:dyDescent="0.25">
      <c r="A1531">
        <v>2362</v>
      </c>
      <c r="B1531" t="str">
        <f>"2,2,5,5-tetramethyltetrahydrofuraan"</f>
        <v>2,2,5,5-tetramethyltetrahydrofuraan</v>
      </c>
      <c r="C1531" t="s">
        <v>19016</v>
      </c>
      <c r="D1531" t="str">
        <f>"15045-43-9"</f>
        <v>15045-43-9</v>
      </c>
      <c r="E1531" t="str">
        <f t="shared" si="62"/>
        <v xml:space="preserve">Organische parameters </v>
      </c>
      <c r="F1531" t="str">
        <f t="shared" si="64"/>
        <v xml:space="preserve">Overige antropogene stoffen </v>
      </c>
      <c r="G1531" t="str">
        <f>""</f>
        <v/>
      </c>
    </row>
    <row r="1532" spans="1:7" x14ac:dyDescent="0.25">
      <c r="A1532">
        <v>2363</v>
      </c>
      <c r="B1532" t="str">
        <f>"o + m-toluidine"</f>
        <v>o + m-toluidine</v>
      </c>
      <c r="C1532" t="s">
        <v>19016</v>
      </c>
      <c r="D1532" t="str">
        <f>""</f>
        <v/>
      </c>
      <c r="E1532" t="str">
        <f t="shared" si="62"/>
        <v xml:space="preserve">Organische parameters </v>
      </c>
      <c r="F1532" t="str">
        <f t="shared" si="64"/>
        <v xml:space="preserve">Overige antropogene stoffen </v>
      </c>
      <c r="G1532" t="str">
        <f>""</f>
        <v/>
      </c>
    </row>
    <row r="1533" spans="1:7" x14ac:dyDescent="0.25">
      <c r="A1533">
        <v>2364</v>
      </c>
      <c r="B1533" t="str">
        <f>"m + p-cresol"</f>
        <v>m + p-cresol</v>
      </c>
      <c r="C1533" t="s">
        <v>19016</v>
      </c>
      <c r="D1533" t="str">
        <f>""</f>
        <v/>
      </c>
      <c r="E1533" t="str">
        <f t="shared" si="62"/>
        <v xml:space="preserve">Organische parameters </v>
      </c>
      <c r="F1533" t="str">
        <f t="shared" si="64"/>
        <v xml:space="preserve">Overige antropogene stoffen </v>
      </c>
      <c r="G1533" t="str">
        <f>""</f>
        <v/>
      </c>
    </row>
    <row r="1534" spans="1:7" x14ac:dyDescent="0.25">
      <c r="A1534">
        <v>2365</v>
      </c>
      <c r="B1534" t="str">
        <f>"cis + trans 1,3-Dichloorpropeen"</f>
        <v>cis + trans 1,3-Dichloorpropeen</v>
      </c>
      <c r="C1534" t="s">
        <v>19016</v>
      </c>
      <c r="D1534" t="str">
        <f>""</f>
        <v/>
      </c>
      <c r="E1534" t="str">
        <f t="shared" si="62"/>
        <v xml:space="preserve">Organische parameters </v>
      </c>
      <c r="F1534" t="str">
        <f t="shared" si="64"/>
        <v xml:space="preserve">Overige antropogene stoffen </v>
      </c>
      <c r="G1534" t="str">
        <f>""</f>
        <v/>
      </c>
    </row>
    <row r="1535" spans="1:7" x14ac:dyDescent="0.25">
      <c r="A1535">
        <v>2366</v>
      </c>
      <c r="B1535" t="str">
        <f>"2,3+3,4-dichloormethylbenzeen"</f>
        <v>2,3+3,4-dichloormethylbenzeen</v>
      </c>
      <c r="C1535" t="s">
        <v>19016</v>
      </c>
      <c r="D1535" t="str">
        <f>""</f>
        <v/>
      </c>
      <c r="E1535" t="str">
        <f t="shared" si="62"/>
        <v xml:space="preserve">Organische parameters </v>
      </c>
      <c r="F1535" t="str">
        <f>"Gehalogeneerde monocyclische koolwaterstoffen "</f>
        <v xml:space="preserve">Gehalogeneerde monocyclische koolwaterstoffen </v>
      </c>
      <c r="G1535" t="str">
        <f>""</f>
        <v/>
      </c>
    </row>
    <row r="1536" spans="1:7" x14ac:dyDescent="0.25">
      <c r="A1536">
        <v>2367</v>
      </c>
      <c r="B1536" t="str">
        <f>"2,4+2,5+2,6-dichloormethylbenzeen"</f>
        <v>2,4+2,5+2,6-dichloormethylbenzeen</v>
      </c>
      <c r="C1536" t="s">
        <v>19016</v>
      </c>
      <c r="D1536" t="str">
        <f>""</f>
        <v/>
      </c>
      <c r="E1536" t="str">
        <f t="shared" si="62"/>
        <v xml:space="preserve">Organische parameters </v>
      </c>
      <c r="F1536" t="str">
        <f>"Gehalogeneerde monocyclische koolwaterstoffen "</f>
        <v xml:space="preserve">Gehalogeneerde monocyclische koolwaterstoffen </v>
      </c>
      <c r="G1536" t="str">
        <f>""</f>
        <v/>
      </c>
    </row>
    <row r="1537" spans="1:7" x14ac:dyDescent="0.25">
      <c r="A1537">
        <v>2368</v>
      </c>
      <c r="B1537" t="str">
        <f>"som nonylfenolen"</f>
        <v>som nonylfenolen</v>
      </c>
      <c r="C1537" t="s">
        <v>19016</v>
      </c>
      <c r="D1537" t="str">
        <f>""</f>
        <v/>
      </c>
      <c r="E1537" t="str">
        <f t="shared" si="62"/>
        <v xml:space="preserve">Organische parameters </v>
      </c>
      <c r="F1537" t="str">
        <f>"Overige organische parameters "</f>
        <v xml:space="preserve">Overige organische parameters </v>
      </c>
      <c r="G1537" t="str">
        <f>""</f>
        <v/>
      </c>
    </row>
    <row r="1538" spans="1:7" x14ac:dyDescent="0.25">
      <c r="A1538">
        <v>2369</v>
      </c>
      <c r="B1538" t="str">
        <f>"1,1,2-tribroomethaan"</f>
        <v>1,1,2-tribroomethaan</v>
      </c>
      <c r="C1538" t="s">
        <v>19016</v>
      </c>
      <c r="D1538" t="str">
        <f>"78-74-0"</f>
        <v>78-74-0</v>
      </c>
      <c r="E1538" t="str">
        <f t="shared" si="62"/>
        <v xml:space="preserve">Organische parameters </v>
      </c>
      <c r="F1538" t="str">
        <f>"Gehalogeneerde alifatische koolwaterstoffen "</f>
        <v xml:space="preserve">Gehalogeneerde alifatische koolwaterstoffen </v>
      </c>
      <c r="G1538" t="str">
        <f>"Overige gehalogeneerde alifatische koolwaterstoffen "</f>
        <v xml:space="preserve">Overige gehalogeneerde alifatische koolwaterstoffen </v>
      </c>
    </row>
    <row r="1539" spans="1:7" x14ac:dyDescent="0.25">
      <c r="A1539">
        <v>2370</v>
      </c>
      <c r="B1539" t="str">
        <f>"caprolactam"</f>
        <v>caprolactam</v>
      </c>
      <c r="C1539" t="s">
        <v>19016</v>
      </c>
      <c r="D1539" t="str">
        <f>"105-60-2"</f>
        <v>105-60-2</v>
      </c>
      <c r="E1539" t="str">
        <f t="shared" si="62"/>
        <v xml:space="preserve">Organische parameters </v>
      </c>
      <c r="F1539" t="str">
        <f>"Overige antropogene stoffen "</f>
        <v xml:space="preserve">Overige antropogene stoffen </v>
      </c>
      <c r="G1539" t="str">
        <f>""</f>
        <v/>
      </c>
    </row>
    <row r="1540" spans="1:7" x14ac:dyDescent="0.25">
      <c r="A1540">
        <v>2371</v>
      </c>
      <c r="B1540" t="str">
        <f>"dimeer van caprolactam"</f>
        <v>dimeer van caprolactam</v>
      </c>
      <c r="C1540" t="s">
        <v>19016</v>
      </c>
      <c r="D1540" t="str">
        <f>"56403-09-9"</f>
        <v>56403-09-9</v>
      </c>
      <c r="E1540" t="str">
        <f t="shared" si="62"/>
        <v xml:space="preserve">Organische parameters </v>
      </c>
      <c r="F1540" t="str">
        <f>"Overige antropogene stoffen "</f>
        <v xml:space="preserve">Overige antropogene stoffen </v>
      </c>
      <c r="G1540" t="str">
        <f>""</f>
        <v/>
      </c>
    </row>
    <row r="1541" spans="1:7" x14ac:dyDescent="0.25">
      <c r="A1541">
        <v>2372</v>
      </c>
      <c r="B1541" t="str">
        <f>"trimeer van caprolactam "</f>
        <v xml:space="preserve">trimeer van caprolactam </v>
      </c>
      <c r="C1541" t="s">
        <v>19016</v>
      </c>
      <c r="D1541" t="str">
        <f>"56403-08-8"</f>
        <v>56403-08-8</v>
      </c>
      <c r="E1541" t="str">
        <f t="shared" si="62"/>
        <v xml:space="preserve">Organische parameters </v>
      </c>
      <c r="F1541" t="str">
        <f>"Overige antropogene stoffen "</f>
        <v xml:space="preserve">Overige antropogene stoffen </v>
      </c>
      <c r="G1541" t="str">
        <f>""</f>
        <v/>
      </c>
    </row>
    <row r="1542" spans="1:7" x14ac:dyDescent="0.25">
      <c r="A1542">
        <v>2373</v>
      </c>
      <c r="B1542" t="str">
        <f>"6-aminohexaanzuur"</f>
        <v>6-aminohexaanzuur</v>
      </c>
      <c r="C1542" t="s">
        <v>19016</v>
      </c>
      <c r="D1542" t="str">
        <f>"60-32-2"</f>
        <v>60-32-2</v>
      </c>
      <c r="E1542" t="str">
        <f t="shared" si="62"/>
        <v xml:space="preserve">Organische parameters </v>
      </c>
      <c r="F1542" t="str">
        <f>"Overige antropogene stoffen "</f>
        <v xml:space="preserve">Overige antropogene stoffen </v>
      </c>
      <c r="G1542" t="str">
        <f>""</f>
        <v/>
      </c>
    </row>
    <row r="1543" spans="1:7" x14ac:dyDescent="0.25">
      <c r="A1543">
        <v>2374</v>
      </c>
      <c r="B1543" t="str">
        <f>"2,4,6-tribroomfenol"</f>
        <v>2,4,6-tribroomfenol</v>
      </c>
      <c r="C1543" t="s">
        <v>19016</v>
      </c>
      <c r="D1543" t="str">
        <f>"118-79-6"</f>
        <v>118-79-6</v>
      </c>
      <c r="E1543" t="str">
        <f t="shared" si="62"/>
        <v xml:space="preserve">Organische parameters </v>
      </c>
      <c r="F1543" t="str">
        <f>"(Chloor)fenolen "</f>
        <v xml:space="preserve">(Chloor)fenolen </v>
      </c>
      <c r="G1543" t="str">
        <f>""</f>
        <v/>
      </c>
    </row>
    <row r="1544" spans="1:7" x14ac:dyDescent="0.25">
      <c r="A1544">
        <v>2375</v>
      </c>
      <c r="B1544" t="str">
        <f>"2,4-dibroomfenol"</f>
        <v>2,4-dibroomfenol</v>
      </c>
      <c r="C1544" t="s">
        <v>19016</v>
      </c>
      <c r="D1544" t="str">
        <f>"615-58-7"</f>
        <v>615-58-7</v>
      </c>
      <c r="E1544" t="str">
        <f t="shared" si="62"/>
        <v xml:space="preserve">Organische parameters </v>
      </c>
      <c r="F1544" t="str">
        <f>"(Chloor)fenolen "</f>
        <v xml:space="preserve">(Chloor)fenolen </v>
      </c>
      <c r="G1544" t="str">
        <f>""</f>
        <v/>
      </c>
    </row>
    <row r="1545" spans="1:7" x14ac:dyDescent="0.25">
      <c r="A1545">
        <v>2376</v>
      </c>
      <c r="B1545" t="str">
        <f>"2,6-dibroomfenol"</f>
        <v>2,6-dibroomfenol</v>
      </c>
      <c r="C1545" t="s">
        <v>19016</v>
      </c>
      <c r="D1545" t="str">
        <f>"608-33-3"</f>
        <v>608-33-3</v>
      </c>
      <c r="E1545" t="str">
        <f t="shared" si="62"/>
        <v xml:space="preserve">Organische parameters </v>
      </c>
      <c r="F1545" t="str">
        <f>"(Chloor)fenolen "</f>
        <v xml:space="preserve">(Chloor)fenolen </v>
      </c>
      <c r="G1545" t="str">
        <f>""</f>
        <v/>
      </c>
    </row>
    <row r="1546" spans="1:7" x14ac:dyDescent="0.25">
      <c r="A1546">
        <v>2377</v>
      </c>
      <c r="B1546" t="str">
        <f>"3-broomfenol"</f>
        <v>3-broomfenol</v>
      </c>
      <c r="C1546" t="s">
        <v>19016</v>
      </c>
      <c r="D1546" t="str">
        <f>"591-20-8"</f>
        <v>591-20-8</v>
      </c>
      <c r="E1546" t="str">
        <f t="shared" si="62"/>
        <v xml:space="preserve">Organische parameters </v>
      </c>
      <c r="F1546" t="str">
        <f>"(Chloor)fenolen "</f>
        <v xml:space="preserve">(Chloor)fenolen </v>
      </c>
      <c r="G1546" t="str">
        <f>""</f>
        <v/>
      </c>
    </row>
    <row r="1547" spans="1:7" x14ac:dyDescent="0.25">
      <c r="A1547">
        <v>2378</v>
      </c>
      <c r="B1547" t="str">
        <f>"N,N-dimethylbenzylamine"</f>
        <v>N,N-dimethylbenzylamine</v>
      </c>
      <c r="C1547" t="s">
        <v>19016</v>
      </c>
      <c r="D1547" t="str">
        <f>"103-83-3"</f>
        <v>103-83-3</v>
      </c>
      <c r="E1547" t="str">
        <f t="shared" si="62"/>
        <v xml:space="preserve">Organische parameters </v>
      </c>
      <c r="F1547" t="str">
        <f>"Aromatische aminen "</f>
        <v xml:space="preserve">Aromatische aminen </v>
      </c>
      <c r="G1547" t="str">
        <f>""</f>
        <v/>
      </c>
    </row>
    <row r="1548" spans="1:7" x14ac:dyDescent="0.25">
      <c r="A1548">
        <v>2379</v>
      </c>
      <c r="B1548" t="str">
        <f>"4-methyl-2-nitroaniline"</f>
        <v>4-methyl-2-nitroaniline</v>
      </c>
      <c r="C1548" t="s">
        <v>19016</v>
      </c>
      <c r="D1548" t="str">
        <f>"89-62-3"</f>
        <v>89-62-3</v>
      </c>
      <c r="E1548" t="str">
        <f t="shared" si="62"/>
        <v xml:space="preserve">Organische parameters </v>
      </c>
      <c r="F1548" t="str">
        <f>"Aromatische aminen "</f>
        <v xml:space="preserve">Aromatische aminen </v>
      </c>
      <c r="G1548" t="str">
        <f>""</f>
        <v/>
      </c>
    </row>
    <row r="1549" spans="1:7" x14ac:dyDescent="0.25">
      <c r="A1549">
        <v>2380</v>
      </c>
      <c r="B1549" t="str">
        <f>"cis-1-chloor-1-propeen"</f>
        <v>cis-1-chloor-1-propeen</v>
      </c>
      <c r="C1549" t="s">
        <v>19016</v>
      </c>
      <c r="D1549" t="str">
        <f>"16136-84-8"</f>
        <v>16136-84-8</v>
      </c>
      <c r="E1549" t="str">
        <f t="shared" ref="E1549:E1612" si="65">"Organische parameters "</f>
        <v xml:space="preserve">Organische parameters </v>
      </c>
      <c r="F1549" t="str">
        <f>"Gehalogeneerde alifatische koolwaterstoffen "</f>
        <v xml:space="preserve">Gehalogeneerde alifatische koolwaterstoffen </v>
      </c>
      <c r="G1549" t="str">
        <f>"Overige gehalogeneerde alifatische koolwaterstoffen "</f>
        <v xml:space="preserve">Overige gehalogeneerde alifatische koolwaterstoffen </v>
      </c>
    </row>
    <row r="1550" spans="1:7" x14ac:dyDescent="0.25">
      <c r="A1550">
        <v>2381</v>
      </c>
      <c r="B1550" t="str">
        <f>"trans-1-chloor-1-propeen"</f>
        <v>trans-1-chloor-1-propeen</v>
      </c>
      <c r="C1550" t="s">
        <v>19016</v>
      </c>
      <c r="D1550" t="str">
        <f>"16136-85-9"</f>
        <v>16136-85-9</v>
      </c>
      <c r="E1550" t="str">
        <f t="shared" si="65"/>
        <v xml:space="preserve">Organische parameters </v>
      </c>
      <c r="F1550" t="str">
        <f>"Gehalogeneerde alifatische koolwaterstoffen "</f>
        <v xml:space="preserve">Gehalogeneerde alifatische koolwaterstoffen </v>
      </c>
      <c r="G1550" t="str">
        <f>"Overige gehalogeneerde alifatische koolwaterstoffen "</f>
        <v xml:space="preserve">Overige gehalogeneerde alifatische koolwaterstoffen </v>
      </c>
    </row>
    <row r="1551" spans="1:7" x14ac:dyDescent="0.25">
      <c r="A1551">
        <v>2382</v>
      </c>
      <c r="B1551" t="str">
        <f>"freon-113"</f>
        <v>freon-113</v>
      </c>
      <c r="C1551" t="s">
        <v>19016</v>
      </c>
      <c r="D1551" t="str">
        <f>"76-13-1"</f>
        <v>76-13-1</v>
      </c>
      <c r="E1551" t="str">
        <f t="shared" si="65"/>
        <v xml:space="preserve">Organische parameters </v>
      </c>
      <c r="F1551" t="str">
        <f>"Gehalogeneerde alifatische koolwaterstoffen "</f>
        <v xml:space="preserve">Gehalogeneerde alifatische koolwaterstoffen </v>
      </c>
      <c r="G1551" t="str">
        <f>"Overige gehalogeneerde alifatische koolwaterstoffen "</f>
        <v xml:space="preserve">Overige gehalogeneerde alifatische koolwaterstoffen </v>
      </c>
    </row>
    <row r="1552" spans="1:7" x14ac:dyDescent="0.25">
      <c r="A1552">
        <v>2383</v>
      </c>
      <c r="B1552" t="str">
        <f>"BDE-066"</f>
        <v>BDE-066</v>
      </c>
      <c r="C1552" t="s">
        <v>19016</v>
      </c>
      <c r="D1552" t="str">
        <f>"189084-61-5"</f>
        <v>189084-61-5</v>
      </c>
      <c r="E1552" t="str">
        <f t="shared" si="65"/>
        <v xml:space="preserve">Organische parameters </v>
      </c>
      <c r="F1552" t="str">
        <f>"Gehalogeneerde monocyclische koolwaterstoffen "</f>
        <v xml:space="preserve">Gehalogeneerde monocyclische koolwaterstoffen </v>
      </c>
      <c r="G1552" t="str">
        <f>""</f>
        <v/>
      </c>
    </row>
    <row r="1553" spans="1:7" x14ac:dyDescent="0.25">
      <c r="A1553">
        <v>2384</v>
      </c>
      <c r="B1553" t="str">
        <f>"2,4,6-tribroomanisool"</f>
        <v>2,4,6-tribroomanisool</v>
      </c>
      <c r="C1553" t="s">
        <v>19016</v>
      </c>
      <c r="D1553" t="str">
        <f>"607-99-8"</f>
        <v>607-99-8</v>
      </c>
      <c r="E1553" t="str">
        <f t="shared" si="65"/>
        <v xml:space="preserve">Organische parameters </v>
      </c>
      <c r="F1553" t="str">
        <f>"Gehalogeneerde monocyclische koolwaterstoffen "</f>
        <v xml:space="preserve">Gehalogeneerde monocyclische koolwaterstoffen </v>
      </c>
      <c r="G1553" t="str">
        <f>""</f>
        <v/>
      </c>
    </row>
    <row r="1554" spans="1:7" x14ac:dyDescent="0.25">
      <c r="A1554">
        <v>2385</v>
      </c>
      <c r="B1554" t="str">
        <f>"2,4-dibroomanisool"</f>
        <v>2,4-dibroomanisool</v>
      </c>
      <c r="C1554" t="s">
        <v>19016</v>
      </c>
      <c r="D1554" t="str">
        <f>"21702-84-1"</f>
        <v>21702-84-1</v>
      </c>
      <c r="E1554" t="str">
        <f t="shared" si="65"/>
        <v xml:space="preserve">Organische parameters </v>
      </c>
      <c r="F1554" t="str">
        <f>"Gehalogeneerde monocyclische koolwaterstoffen "</f>
        <v xml:space="preserve">Gehalogeneerde monocyclische koolwaterstoffen </v>
      </c>
      <c r="G1554" t="str">
        <f>""</f>
        <v/>
      </c>
    </row>
    <row r="1555" spans="1:7" x14ac:dyDescent="0.25">
      <c r="A1555">
        <v>2386</v>
      </c>
      <c r="B1555" t="str">
        <f>"3-broomanisool"</f>
        <v>3-broomanisool</v>
      </c>
      <c r="C1555" t="s">
        <v>19016</v>
      </c>
      <c r="D1555" t="str">
        <f>"2398-37-0"</f>
        <v>2398-37-0</v>
      </c>
      <c r="E1555" t="str">
        <f t="shared" si="65"/>
        <v xml:space="preserve">Organische parameters </v>
      </c>
      <c r="F1555" t="str">
        <f t="shared" ref="F1555:F1618" si="66">"Overige antropogene stoffen "</f>
        <v xml:space="preserve">Overige antropogene stoffen </v>
      </c>
      <c r="G1555" t="str">
        <f>""</f>
        <v/>
      </c>
    </row>
    <row r="1556" spans="1:7" x14ac:dyDescent="0.25">
      <c r="A1556">
        <v>2387</v>
      </c>
      <c r="B1556" t="str">
        <f>"di-n-pentylftalaat"</f>
        <v>di-n-pentylftalaat</v>
      </c>
      <c r="C1556" t="s">
        <v>19016</v>
      </c>
      <c r="D1556" t="str">
        <f>"131-18-0"</f>
        <v>131-18-0</v>
      </c>
      <c r="E1556" t="str">
        <f t="shared" si="65"/>
        <v xml:space="preserve">Organische parameters </v>
      </c>
      <c r="F1556" t="str">
        <f t="shared" si="66"/>
        <v xml:space="preserve">Overige antropogene stoffen </v>
      </c>
      <c r="G1556" t="str">
        <f>""</f>
        <v/>
      </c>
    </row>
    <row r="1557" spans="1:7" x14ac:dyDescent="0.25">
      <c r="A1557">
        <v>2388</v>
      </c>
      <c r="B1557" t="str">
        <f>"di-undecylftalaat"</f>
        <v>di-undecylftalaat</v>
      </c>
      <c r="C1557" t="s">
        <v>19016</v>
      </c>
      <c r="D1557" t="str">
        <f>"3648-20-2"</f>
        <v>3648-20-2</v>
      </c>
      <c r="E1557" t="str">
        <f t="shared" si="65"/>
        <v xml:space="preserve">Organische parameters </v>
      </c>
      <c r="F1557" t="str">
        <f t="shared" si="66"/>
        <v xml:space="preserve">Overige antropogene stoffen </v>
      </c>
      <c r="G1557" t="str">
        <f>""</f>
        <v/>
      </c>
    </row>
    <row r="1558" spans="1:7" x14ac:dyDescent="0.25">
      <c r="A1558">
        <v>2389</v>
      </c>
      <c r="B1558" t="str">
        <f>"di-dodecylftalaat"</f>
        <v>di-dodecylftalaat</v>
      </c>
      <c r="C1558" t="s">
        <v>19016</v>
      </c>
      <c r="D1558" t="str">
        <f>"2432-90-8"</f>
        <v>2432-90-8</v>
      </c>
      <c r="E1558" t="str">
        <f t="shared" si="65"/>
        <v xml:space="preserve">Organische parameters </v>
      </c>
      <c r="F1558" t="str">
        <f t="shared" si="66"/>
        <v xml:space="preserve">Overige antropogene stoffen </v>
      </c>
      <c r="G1558" t="str">
        <f>""</f>
        <v/>
      </c>
    </row>
    <row r="1559" spans="1:7" x14ac:dyDescent="0.25">
      <c r="A1559">
        <v>2390</v>
      </c>
      <c r="B1559" t="str">
        <f>"di-iso-propylftalaat"</f>
        <v>di-iso-propylftalaat</v>
      </c>
      <c r="C1559" t="s">
        <v>19016</v>
      </c>
      <c r="D1559" t="str">
        <f>"605-45-8"</f>
        <v>605-45-8</v>
      </c>
      <c r="E1559" t="str">
        <f t="shared" si="65"/>
        <v xml:space="preserve">Organische parameters </v>
      </c>
      <c r="F1559" t="str">
        <f t="shared" si="66"/>
        <v xml:space="preserve">Overige antropogene stoffen </v>
      </c>
      <c r="G1559" t="str">
        <f>""</f>
        <v/>
      </c>
    </row>
    <row r="1560" spans="1:7" x14ac:dyDescent="0.25">
      <c r="A1560">
        <v>2391</v>
      </c>
      <c r="B1560" t="str">
        <f>"bis(2-methoxyethyl)ftalaat"</f>
        <v>bis(2-methoxyethyl)ftalaat</v>
      </c>
      <c r="C1560" t="s">
        <v>19016</v>
      </c>
      <c r="D1560" t="str">
        <f>"117-82-8"</f>
        <v>117-82-8</v>
      </c>
      <c r="E1560" t="str">
        <f t="shared" si="65"/>
        <v xml:space="preserve">Organische parameters </v>
      </c>
      <c r="F1560" t="str">
        <f t="shared" si="66"/>
        <v xml:space="preserve">Overige antropogene stoffen </v>
      </c>
      <c r="G1560" t="str">
        <f>""</f>
        <v/>
      </c>
    </row>
    <row r="1561" spans="1:7" x14ac:dyDescent="0.25">
      <c r="A1561">
        <v>2392</v>
      </c>
      <c r="B1561" t="str">
        <f>"bis(2-butoxyethyl)ftalaat"</f>
        <v>bis(2-butoxyethyl)ftalaat</v>
      </c>
      <c r="C1561" t="s">
        <v>19016</v>
      </c>
      <c r="D1561" t="str">
        <f>"117-83-9"</f>
        <v>117-83-9</v>
      </c>
      <c r="E1561" t="str">
        <f t="shared" si="65"/>
        <v xml:space="preserve">Organische parameters </v>
      </c>
      <c r="F1561" t="str">
        <f t="shared" si="66"/>
        <v xml:space="preserve">Overige antropogene stoffen </v>
      </c>
      <c r="G1561" t="str">
        <f>""</f>
        <v/>
      </c>
    </row>
    <row r="1562" spans="1:7" x14ac:dyDescent="0.25">
      <c r="A1562">
        <v>2393</v>
      </c>
      <c r="B1562" t="str">
        <f>"di-n-nonylftalaat"</f>
        <v>di-n-nonylftalaat</v>
      </c>
      <c r="C1562" t="s">
        <v>19016</v>
      </c>
      <c r="D1562" t="str">
        <f>"84-76-4"</f>
        <v>84-76-4</v>
      </c>
      <c r="E1562" t="str">
        <f t="shared" si="65"/>
        <v xml:space="preserve">Organische parameters </v>
      </c>
      <c r="F1562" t="str">
        <f t="shared" si="66"/>
        <v xml:space="preserve">Overige antropogene stoffen </v>
      </c>
      <c r="G1562" t="str">
        <f>""</f>
        <v/>
      </c>
    </row>
    <row r="1563" spans="1:7" x14ac:dyDescent="0.25">
      <c r="A1563">
        <v>2394</v>
      </c>
      <c r="B1563" t="str">
        <f>"di(2-ethylhexyl)adipaat"</f>
        <v>di(2-ethylhexyl)adipaat</v>
      </c>
      <c r="C1563" t="s">
        <v>19016</v>
      </c>
      <c r="D1563" t="str">
        <f>"103-23-1"</f>
        <v>103-23-1</v>
      </c>
      <c r="E1563" t="str">
        <f t="shared" si="65"/>
        <v xml:space="preserve">Organische parameters </v>
      </c>
      <c r="F1563" t="str">
        <f t="shared" si="66"/>
        <v xml:space="preserve">Overige antropogene stoffen </v>
      </c>
      <c r="G1563" t="str">
        <f>""</f>
        <v/>
      </c>
    </row>
    <row r="1564" spans="1:7" x14ac:dyDescent="0.25">
      <c r="A1564">
        <v>2395</v>
      </c>
      <c r="B1564" t="str">
        <f>"perfluorbutaansulfonzuur (PFBS)"</f>
        <v>perfluorbutaansulfonzuur (PFBS)</v>
      </c>
      <c r="C1564" t="s">
        <v>19016</v>
      </c>
      <c r="D1564" t="str">
        <f>"375-73-5"</f>
        <v>375-73-5</v>
      </c>
      <c r="E1564" t="str">
        <f t="shared" si="65"/>
        <v xml:space="preserve">Organische parameters </v>
      </c>
      <c r="F1564" t="str">
        <f t="shared" si="66"/>
        <v xml:space="preserve">Overige antropogene stoffen </v>
      </c>
      <c r="G1564" t="str">
        <f>""</f>
        <v/>
      </c>
    </row>
    <row r="1565" spans="1:7" x14ac:dyDescent="0.25">
      <c r="A1565">
        <v>2396</v>
      </c>
      <c r="B1565" t="str">
        <f>"perfluorhexaansulfonzuur (PFHxS)"</f>
        <v>perfluorhexaansulfonzuur (PFHxS)</v>
      </c>
      <c r="C1565" t="s">
        <v>19016</v>
      </c>
      <c r="D1565" t="str">
        <f>"432-50-8"</f>
        <v>432-50-8</v>
      </c>
      <c r="E1565" t="str">
        <f t="shared" si="65"/>
        <v xml:space="preserve">Organische parameters </v>
      </c>
      <c r="F1565" t="str">
        <f t="shared" si="66"/>
        <v xml:space="preserve">Overige antropogene stoffen </v>
      </c>
      <c r="G1565" t="str">
        <f>""</f>
        <v/>
      </c>
    </row>
    <row r="1566" spans="1:7" x14ac:dyDescent="0.25">
      <c r="A1566">
        <v>2397</v>
      </c>
      <c r="B1566" t="str">
        <f>"perfluorheptaansulfonzuur (PFHpS)"</f>
        <v>perfluorheptaansulfonzuur (PFHpS)</v>
      </c>
      <c r="C1566" t="s">
        <v>19016</v>
      </c>
      <c r="D1566" t="str">
        <f>"357-92-8"</f>
        <v>357-92-8</v>
      </c>
      <c r="E1566" t="str">
        <f t="shared" si="65"/>
        <v xml:space="preserve">Organische parameters </v>
      </c>
      <c r="F1566" t="str">
        <f t="shared" si="66"/>
        <v xml:space="preserve">Overige antropogene stoffen </v>
      </c>
      <c r="G1566" t="str">
        <f>""</f>
        <v/>
      </c>
    </row>
    <row r="1567" spans="1:7" x14ac:dyDescent="0.25">
      <c r="A1567">
        <v>2398</v>
      </c>
      <c r="B1567" t="str">
        <f>"perfluordecaansulfonzuur (PFDS)"</f>
        <v>perfluordecaansulfonzuur (PFDS)</v>
      </c>
      <c r="C1567" t="s">
        <v>19016</v>
      </c>
      <c r="D1567" t="str">
        <f>"333-77-3"</f>
        <v>333-77-3</v>
      </c>
      <c r="E1567" t="str">
        <f t="shared" si="65"/>
        <v xml:space="preserve">Organische parameters </v>
      </c>
      <c r="F1567" t="str">
        <f t="shared" si="66"/>
        <v xml:space="preserve">Overige antropogene stoffen </v>
      </c>
      <c r="G1567" t="str">
        <f>""</f>
        <v/>
      </c>
    </row>
    <row r="1568" spans="1:7" x14ac:dyDescent="0.25">
      <c r="A1568">
        <v>2399</v>
      </c>
      <c r="B1568" t="str">
        <f>"perfuorpentaansulfonzuur (PFPeS)"</f>
        <v>perfuorpentaansulfonzuur (PFPeS)</v>
      </c>
      <c r="C1568" t="s">
        <v>19016</v>
      </c>
      <c r="D1568" t="str">
        <f>"2706-91-4"</f>
        <v>2706-91-4</v>
      </c>
      <c r="E1568" t="str">
        <f t="shared" si="65"/>
        <v xml:space="preserve">Organische parameters </v>
      </c>
      <c r="F1568" t="str">
        <f t="shared" si="66"/>
        <v xml:space="preserve">Overige antropogene stoffen </v>
      </c>
      <c r="G1568" t="str">
        <f>""</f>
        <v/>
      </c>
    </row>
    <row r="1569" spans="1:7" x14ac:dyDescent="0.25">
      <c r="A1569">
        <v>2400</v>
      </c>
      <c r="B1569" t="str">
        <f>"perfluornonaansulfonzuur (PFNS)"</f>
        <v>perfluornonaansulfonzuur (PFNS)</v>
      </c>
      <c r="C1569" t="s">
        <v>19016</v>
      </c>
      <c r="D1569" t="str">
        <f>"98789-57-2"</f>
        <v>98789-57-2</v>
      </c>
      <c r="E1569" t="str">
        <f t="shared" si="65"/>
        <v xml:space="preserve">Organische parameters </v>
      </c>
      <c r="F1569" t="str">
        <f t="shared" si="66"/>
        <v xml:space="preserve">Overige antropogene stoffen </v>
      </c>
      <c r="G1569" t="str">
        <f>""</f>
        <v/>
      </c>
    </row>
    <row r="1570" spans="1:7" x14ac:dyDescent="0.25">
      <c r="A1570">
        <v>2401</v>
      </c>
      <c r="B1570" t="str">
        <f>"1H,1H,2H,2H,-perfluor1-1hexaansulfonzuur (H4-PFHS)"</f>
        <v>1H,1H,2H,2H,-perfluor1-1hexaansulfonzuur (H4-PFHS)</v>
      </c>
      <c r="C1570" t="s">
        <v>19016</v>
      </c>
      <c r="D1570" t="str">
        <f>"757124-72-4"</f>
        <v>757124-72-4</v>
      </c>
      <c r="E1570" t="str">
        <f t="shared" si="65"/>
        <v xml:space="preserve">Organische parameters </v>
      </c>
      <c r="F1570" t="str">
        <f t="shared" si="66"/>
        <v xml:space="preserve">Overige antropogene stoffen </v>
      </c>
      <c r="G1570" t="str">
        <f>""</f>
        <v/>
      </c>
    </row>
    <row r="1571" spans="1:7" x14ac:dyDescent="0.25">
      <c r="A1571">
        <v>2402</v>
      </c>
      <c r="B1571" t="str">
        <f>"1H,1H,2H,2H,-perfluor-1-decaansulfonzuur (H4-PFDS)"</f>
        <v>1H,1H,2H,2H,-perfluor-1-decaansulfonzuur (H4-PFDS)</v>
      </c>
      <c r="C1571" t="s">
        <v>19016</v>
      </c>
      <c r="D1571" t="str">
        <f>"39108-34-4"</f>
        <v>39108-34-4</v>
      </c>
      <c r="E1571" t="str">
        <f t="shared" si="65"/>
        <v xml:space="preserve">Organische parameters </v>
      </c>
      <c r="F1571" t="str">
        <f t="shared" si="66"/>
        <v xml:space="preserve">Overige antropogene stoffen </v>
      </c>
      <c r="G1571" t="str">
        <f>""</f>
        <v/>
      </c>
    </row>
    <row r="1572" spans="1:7" x14ac:dyDescent="0.25">
      <c r="A1572">
        <v>2403</v>
      </c>
      <c r="B1572" t="str">
        <f>"N-methylperfluor-1-octaansulfonamidoazijnzuur (N-MePFOSAA)"</f>
        <v>N-methylperfluor-1-octaansulfonamidoazijnzuur (N-MePFOSAA)</v>
      </c>
      <c r="C1572" t="s">
        <v>19016</v>
      </c>
      <c r="D1572" t="str">
        <f>"2355-31-9"</f>
        <v>2355-31-9</v>
      </c>
      <c r="E1572" t="str">
        <f t="shared" si="65"/>
        <v xml:space="preserve">Organische parameters </v>
      </c>
      <c r="F1572" t="str">
        <f t="shared" si="66"/>
        <v xml:space="preserve">Overige antropogene stoffen </v>
      </c>
      <c r="G1572" t="str">
        <f>""</f>
        <v/>
      </c>
    </row>
    <row r="1573" spans="1:7" x14ac:dyDescent="0.25">
      <c r="A1573">
        <v>2404</v>
      </c>
      <c r="B1573" t="str">
        <f>"N-ethylperfluor-1-octaansulfonamidoazijnzuur (N-EtPFOSAA)"</f>
        <v>N-ethylperfluor-1-octaansulfonamidoazijnzuur (N-EtPFOSAA)</v>
      </c>
      <c r="C1573" t="s">
        <v>19016</v>
      </c>
      <c r="D1573" t="str">
        <f>"2991-50-6"</f>
        <v>2991-50-6</v>
      </c>
      <c r="E1573" t="str">
        <f t="shared" si="65"/>
        <v xml:space="preserve">Organische parameters </v>
      </c>
      <c r="F1573" t="str">
        <f t="shared" si="66"/>
        <v xml:space="preserve">Overige antropogene stoffen </v>
      </c>
      <c r="G1573" t="str">
        <f>""</f>
        <v/>
      </c>
    </row>
    <row r="1574" spans="1:7" x14ac:dyDescent="0.25">
      <c r="A1574">
        <v>2405</v>
      </c>
      <c r="B1574" t="str">
        <f>"naftaleensulfonzuur 1"</f>
        <v>naftaleensulfonzuur 1</v>
      </c>
      <c r="C1574" t="s">
        <v>19016</v>
      </c>
      <c r="D1574" t="str">
        <f>"85-47-2"</f>
        <v>85-47-2</v>
      </c>
      <c r="E1574" t="str">
        <f t="shared" si="65"/>
        <v xml:space="preserve">Organische parameters </v>
      </c>
      <c r="F1574" t="str">
        <f t="shared" si="66"/>
        <v xml:space="preserve">Overige antropogene stoffen </v>
      </c>
      <c r="G1574" t="str">
        <f>""</f>
        <v/>
      </c>
    </row>
    <row r="1575" spans="1:7" x14ac:dyDescent="0.25">
      <c r="A1575">
        <v>2406</v>
      </c>
      <c r="B1575" t="str">
        <f>"naftaleensulfonzuur 2"</f>
        <v>naftaleensulfonzuur 2</v>
      </c>
      <c r="C1575" t="s">
        <v>19016</v>
      </c>
      <c r="D1575" t="str">
        <f>"120-18-3"</f>
        <v>120-18-3</v>
      </c>
      <c r="E1575" t="str">
        <f t="shared" si="65"/>
        <v xml:space="preserve">Organische parameters </v>
      </c>
      <c r="F1575" t="str">
        <f t="shared" si="66"/>
        <v xml:space="preserve">Overige antropogene stoffen </v>
      </c>
      <c r="G1575" t="str">
        <f>""</f>
        <v/>
      </c>
    </row>
    <row r="1576" spans="1:7" x14ac:dyDescent="0.25">
      <c r="A1576">
        <v>2407</v>
      </c>
      <c r="B1576" t="str">
        <f>"n-pentaan"</f>
        <v>n-pentaan</v>
      </c>
      <c r="C1576" t="s">
        <v>19016</v>
      </c>
      <c r="D1576" t="str">
        <f>"109-66-0"</f>
        <v>109-66-0</v>
      </c>
      <c r="E1576" t="str">
        <f t="shared" si="65"/>
        <v xml:space="preserve">Organische parameters </v>
      </c>
      <c r="F1576" t="str">
        <f t="shared" si="66"/>
        <v xml:space="preserve">Overige antropogene stoffen </v>
      </c>
      <c r="G1576" t="str">
        <f>""</f>
        <v/>
      </c>
    </row>
    <row r="1577" spans="1:7" x14ac:dyDescent="0.25">
      <c r="A1577">
        <v>2408</v>
      </c>
      <c r="B1577" t="str">
        <f>"n-pentadecaan"</f>
        <v>n-pentadecaan</v>
      </c>
      <c r="C1577" t="s">
        <v>19016</v>
      </c>
      <c r="D1577" t="str">
        <f>"629-62-9"</f>
        <v>629-62-9</v>
      </c>
      <c r="E1577" t="str">
        <f t="shared" si="65"/>
        <v xml:space="preserve">Organische parameters </v>
      </c>
      <c r="F1577" t="str">
        <f t="shared" si="66"/>
        <v xml:space="preserve">Overige antropogene stoffen </v>
      </c>
      <c r="G1577" t="str">
        <f>""</f>
        <v/>
      </c>
    </row>
    <row r="1578" spans="1:7" x14ac:dyDescent="0.25">
      <c r="A1578">
        <v>2409</v>
      </c>
      <c r="B1578" t="str">
        <f>"Acetaldehyde"</f>
        <v>Acetaldehyde</v>
      </c>
      <c r="C1578" t="s">
        <v>19016</v>
      </c>
      <c r="D1578" t="str">
        <f>"75-07-0"</f>
        <v>75-07-0</v>
      </c>
      <c r="E1578" t="str">
        <f t="shared" si="65"/>
        <v xml:space="preserve">Organische parameters </v>
      </c>
      <c r="F1578" t="str">
        <f t="shared" si="66"/>
        <v xml:space="preserve">Overige antropogene stoffen </v>
      </c>
      <c r="G1578" t="str">
        <f>""</f>
        <v/>
      </c>
    </row>
    <row r="1579" spans="1:7" x14ac:dyDescent="0.25">
      <c r="A1579">
        <v>2410</v>
      </c>
      <c r="B1579" t="str">
        <f>"1,3-diisopropylbenzeen"</f>
        <v>1,3-diisopropylbenzeen</v>
      </c>
      <c r="C1579" t="s">
        <v>19016</v>
      </c>
      <c r="D1579" t="str">
        <f>"99-62-7"</f>
        <v>99-62-7</v>
      </c>
      <c r="E1579" t="str">
        <f t="shared" si="65"/>
        <v xml:space="preserve">Organische parameters </v>
      </c>
      <c r="F1579" t="str">
        <f t="shared" si="66"/>
        <v xml:space="preserve">Overige antropogene stoffen </v>
      </c>
      <c r="G1579" t="str">
        <f>""</f>
        <v/>
      </c>
    </row>
    <row r="1580" spans="1:7" x14ac:dyDescent="0.25">
      <c r="A1580">
        <v>2411</v>
      </c>
      <c r="B1580" t="str">
        <f>"butylmethylether"</f>
        <v>butylmethylether</v>
      </c>
      <c r="C1580" t="s">
        <v>19016</v>
      </c>
      <c r="D1580" t="str">
        <f>"628-28-4"</f>
        <v>628-28-4</v>
      </c>
      <c r="E1580" t="str">
        <f t="shared" si="65"/>
        <v xml:space="preserve">Organische parameters </v>
      </c>
      <c r="F1580" t="str">
        <f t="shared" si="66"/>
        <v xml:space="preserve">Overige antropogene stoffen </v>
      </c>
      <c r="G1580" t="str">
        <f>""</f>
        <v/>
      </c>
    </row>
    <row r="1581" spans="1:7" x14ac:dyDescent="0.25">
      <c r="A1581">
        <v>2412</v>
      </c>
      <c r="B1581" t="str">
        <f>"Dibroommethaansulfonzuur"</f>
        <v>Dibroommethaansulfonzuur</v>
      </c>
      <c r="C1581" t="s">
        <v>19016</v>
      </c>
      <c r="D1581" t="str">
        <f>"859073-88-4"</f>
        <v>859073-88-4</v>
      </c>
      <c r="E1581" t="str">
        <f t="shared" si="65"/>
        <v xml:space="preserve">Organische parameters </v>
      </c>
      <c r="F1581" t="str">
        <f t="shared" si="66"/>
        <v xml:space="preserve">Overige antropogene stoffen </v>
      </c>
      <c r="G1581" t="str">
        <f>""</f>
        <v/>
      </c>
    </row>
    <row r="1582" spans="1:7" x14ac:dyDescent="0.25">
      <c r="A1582">
        <v>2413</v>
      </c>
      <c r="B1582" t="str">
        <f>"dichloormethaansulfonzuur"</f>
        <v>dichloormethaansulfonzuur</v>
      </c>
      <c r="C1582" t="s">
        <v>19016</v>
      </c>
      <c r="D1582" t="str">
        <f>"53638-45-2"</f>
        <v>53638-45-2</v>
      </c>
      <c r="E1582" t="str">
        <f t="shared" si="65"/>
        <v xml:space="preserve">Organische parameters </v>
      </c>
      <c r="F1582" t="str">
        <f t="shared" si="66"/>
        <v xml:space="preserve">Overige antropogene stoffen </v>
      </c>
      <c r="G1582" t="str">
        <f>""</f>
        <v/>
      </c>
    </row>
    <row r="1583" spans="1:7" x14ac:dyDescent="0.25">
      <c r="A1583">
        <v>2414</v>
      </c>
      <c r="B1583" t="str">
        <f>"Ethylsulfaat"</f>
        <v>Ethylsulfaat</v>
      </c>
      <c r="C1583" t="s">
        <v>19016</v>
      </c>
      <c r="D1583" t="str">
        <f>"540-82-9 "</f>
        <v xml:space="preserve">540-82-9 </v>
      </c>
      <c r="E1583" t="str">
        <f t="shared" si="65"/>
        <v xml:space="preserve">Organische parameters </v>
      </c>
      <c r="F1583" t="str">
        <f t="shared" si="66"/>
        <v xml:space="preserve">Overige antropogene stoffen </v>
      </c>
      <c r="G1583" t="str">
        <f>""</f>
        <v/>
      </c>
    </row>
    <row r="1584" spans="1:7" x14ac:dyDescent="0.25">
      <c r="A1584">
        <v>2415</v>
      </c>
      <c r="B1584" t="str">
        <f>"diacetone acrylamide "</f>
        <v xml:space="preserve">diacetone acrylamide </v>
      </c>
      <c r="C1584" t="s">
        <v>19016</v>
      </c>
      <c r="D1584" t="str">
        <f>"2873-97-4"</f>
        <v>2873-97-4</v>
      </c>
      <c r="E1584" t="str">
        <f t="shared" si="65"/>
        <v xml:space="preserve">Organische parameters </v>
      </c>
      <c r="F1584" t="str">
        <f t="shared" si="66"/>
        <v xml:space="preserve">Overige antropogene stoffen </v>
      </c>
      <c r="G1584" t="str">
        <f>""</f>
        <v/>
      </c>
    </row>
    <row r="1585" spans="1:7" x14ac:dyDescent="0.25">
      <c r="A1585">
        <v>6000</v>
      </c>
      <c r="B1585" t="str">
        <f>"amoxicilline"</f>
        <v>amoxicilline</v>
      </c>
      <c r="C1585" t="s">
        <v>19016</v>
      </c>
      <c r="D1585" t="str">
        <f>"26787-78-0"</f>
        <v>26787-78-0</v>
      </c>
      <c r="E1585" t="str">
        <f t="shared" si="65"/>
        <v xml:space="preserve">Organische parameters </v>
      </c>
      <c r="F1585" t="str">
        <f t="shared" si="66"/>
        <v xml:space="preserve">Overige antropogene stoffen </v>
      </c>
      <c r="G1585" t="str">
        <f>""</f>
        <v/>
      </c>
    </row>
    <row r="1586" spans="1:7" x14ac:dyDescent="0.25">
      <c r="A1586">
        <v>6001</v>
      </c>
      <c r="B1586" t="str">
        <f>"ampicilline"</f>
        <v>ampicilline</v>
      </c>
      <c r="C1586" t="s">
        <v>19016</v>
      </c>
      <c r="D1586" t="str">
        <f>"69-53-4"</f>
        <v>69-53-4</v>
      </c>
      <c r="E1586" t="str">
        <f t="shared" si="65"/>
        <v xml:space="preserve">Organische parameters </v>
      </c>
      <c r="F1586" t="str">
        <f t="shared" si="66"/>
        <v xml:space="preserve">Overige antropogene stoffen </v>
      </c>
      <c r="G1586" t="str">
        <f>""</f>
        <v/>
      </c>
    </row>
    <row r="1587" spans="1:7" x14ac:dyDescent="0.25">
      <c r="A1587">
        <v>6002</v>
      </c>
      <c r="B1587" t="str">
        <f>"anhydro-erythromycine"</f>
        <v>anhydro-erythromycine</v>
      </c>
      <c r="C1587" t="s">
        <v>19016</v>
      </c>
      <c r="D1587" t="str">
        <f>"23893-13-2"</f>
        <v>23893-13-2</v>
      </c>
      <c r="E1587" t="str">
        <f t="shared" si="65"/>
        <v xml:space="preserve">Organische parameters </v>
      </c>
      <c r="F1587" t="str">
        <f t="shared" si="66"/>
        <v xml:space="preserve">Overige antropogene stoffen </v>
      </c>
      <c r="G1587" t="str">
        <f>""</f>
        <v/>
      </c>
    </row>
    <row r="1588" spans="1:7" x14ac:dyDescent="0.25">
      <c r="A1588">
        <v>6003</v>
      </c>
      <c r="B1588" t="str">
        <f>"chlooramfenicol"</f>
        <v>chlooramfenicol</v>
      </c>
      <c r="C1588" t="s">
        <v>19016</v>
      </c>
      <c r="D1588" t="str">
        <f>"56-75-7"</f>
        <v>56-75-7</v>
      </c>
      <c r="E1588" t="str">
        <f t="shared" si="65"/>
        <v xml:space="preserve">Organische parameters </v>
      </c>
      <c r="F1588" t="str">
        <f t="shared" si="66"/>
        <v xml:space="preserve">Overige antropogene stoffen </v>
      </c>
      <c r="G1588" t="str">
        <f>""</f>
        <v/>
      </c>
    </row>
    <row r="1589" spans="1:7" x14ac:dyDescent="0.25">
      <c r="A1589">
        <v>6004</v>
      </c>
      <c r="B1589" t="str">
        <f>"chloortetracycline"</f>
        <v>chloortetracycline</v>
      </c>
      <c r="C1589" t="s">
        <v>19016</v>
      </c>
      <c r="D1589" t="str">
        <f>"57-62-5"</f>
        <v>57-62-5</v>
      </c>
      <c r="E1589" t="str">
        <f t="shared" si="65"/>
        <v xml:space="preserve">Organische parameters </v>
      </c>
      <c r="F1589" t="str">
        <f t="shared" si="66"/>
        <v xml:space="preserve">Overige antropogene stoffen </v>
      </c>
      <c r="G1589" t="str">
        <f>""</f>
        <v/>
      </c>
    </row>
    <row r="1590" spans="1:7" x14ac:dyDescent="0.25">
      <c r="A1590">
        <v>6005</v>
      </c>
      <c r="B1590" t="str">
        <f>"ciprofloxacine"</f>
        <v>ciprofloxacine</v>
      </c>
      <c r="C1590" t="s">
        <v>19016</v>
      </c>
      <c r="D1590" t="str">
        <f>"85721-33-1"</f>
        <v>85721-33-1</v>
      </c>
      <c r="E1590" t="str">
        <f t="shared" si="65"/>
        <v xml:space="preserve">Organische parameters </v>
      </c>
      <c r="F1590" t="str">
        <f t="shared" si="66"/>
        <v xml:space="preserve">Overige antropogene stoffen </v>
      </c>
      <c r="G1590" t="str">
        <f>""</f>
        <v/>
      </c>
    </row>
    <row r="1591" spans="1:7" x14ac:dyDescent="0.25">
      <c r="A1591">
        <v>6006</v>
      </c>
      <c r="B1591" t="str">
        <f>"clarithromycine"</f>
        <v>clarithromycine</v>
      </c>
      <c r="C1591" t="s">
        <v>19016</v>
      </c>
      <c r="D1591" t="str">
        <f>"81103-11-9"</f>
        <v>81103-11-9</v>
      </c>
      <c r="E1591" t="str">
        <f t="shared" si="65"/>
        <v xml:space="preserve">Organische parameters </v>
      </c>
      <c r="F1591" t="str">
        <f t="shared" si="66"/>
        <v xml:space="preserve">Overige antropogene stoffen </v>
      </c>
      <c r="G1591" t="str">
        <f>""</f>
        <v/>
      </c>
    </row>
    <row r="1592" spans="1:7" x14ac:dyDescent="0.25">
      <c r="A1592">
        <v>6007</v>
      </c>
      <c r="B1592" t="str">
        <f>"clindamycine"</f>
        <v>clindamycine</v>
      </c>
      <c r="C1592" t="s">
        <v>19016</v>
      </c>
      <c r="D1592" t="str">
        <f>"18323-44-9"</f>
        <v>18323-44-9</v>
      </c>
      <c r="E1592" t="str">
        <f t="shared" si="65"/>
        <v xml:space="preserve">Organische parameters </v>
      </c>
      <c r="F1592" t="str">
        <f t="shared" si="66"/>
        <v xml:space="preserve">Overige antropogene stoffen </v>
      </c>
      <c r="G1592" t="str">
        <f>""</f>
        <v/>
      </c>
    </row>
    <row r="1593" spans="1:7" x14ac:dyDescent="0.25">
      <c r="A1593">
        <v>6008</v>
      </c>
      <c r="B1593" t="str">
        <f>"cloxacilline"</f>
        <v>cloxacilline</v>
      </c>
      <c r="C1593" t="s">
        <v>19016</v>
      </c>
      <c r="D1593" t="str">
        <f>"61-72-3"</f>
        <v>61-72-3</v>
      </c>
      <c r="E1593" t="str">
        <f t="shared" si="65"/>
        <v xml:space="preserve">Organische parameters </v>
      </c>
      <c r="F1593" t="str">
        <f t="shared" si="66"/>
        <v xml:space="preserve">Overige antropogene stoffen </v>
      </c>
      <c r="G1593" t="str">
        <f>""</f>
        <v/>
      </c>
    </row>
    <row r="1594" spans="1:7" x14ac:dyDescent="0.25">
      <c r="A1594">
        <v>6009</v>
      </c>
      <c r="B1594" t="str">
        <f>"dapson"</f>
        <v>dapson</v>
      </c>
      <c r="C1594" t="s">
        <v>19016</v>
      </c>
      <c r="D1594" t="str">
        <f>"80-08-0"</f>
        <v>80-08-0</v>
      </c>
      <c r="E1594" t="str">
        <f t="shared" si="65"/>
        <v xml:space="preserve">Organische parameters </v>
      </c>
      <c r="F1594" t="str">
        <f t="shared" si="66"/>
        <v xml:space="preserve">Overige antropogene stoffen </v>
      </c>
      <c r="G1594" t="str">
        <f>""</f>
        <v/>
      </c>
    </row>
    <row r="1595" spans="1:7" x14ac:dyDescent="0.25">
      <c r="A1595">
        <v>6010</v>
      </c>
      <c r="B1595" t="str">
        <f>"dicloxacilline"</f>
        <v>dicloxacilline</v>
      </c>
      <c r="C1595" t="s">
        <v>19016</v>
      </c>
      <c r="D1595" t="str">
        <f>"3116-76-5"</f>
        <v>3116-76-5</v>
      </c>
      <c r="E1595" t="str">
        <f t="shared" si="65"/>
        <v xml:space="preserve">Organische parameters </v>
      </c>
      <c r="F1595" t="str">
        <f t="shared" si="66"/>
        <v xml:space="preserve">Overige antropogene stoffen </v>
      </c>
      <c r="G1595" t="str">
        <f>""</f>
        <v/>
      </c>
    </row>
    <row r="1596" spans="1:7" x14ac:dyDescent="0.25">
      <c r="A1596">
        <v>6011</v>
      </c>
      <c r="B1596" t="str">
        <f>"doxycycline"</f>
        <v>doxycycline</v>
      </c>
      <c r="C1596" t="s">
        <v>19016</v>
      </c>
      <c r="D1596" t="str">
        <f>"564-25-0"</f>
        <v>564-25-0</v>
      </c>
      <c r="E1596" t="str">
        <f t="shared" si="65"/>
        <v xml:space="preserve">Organische parameters </v>
      </c>
      <c r="F1596" t="str">
        <f t="shared" si="66"/>
        <v xml:space="preserve">Overige antropogene stoffen </v>
      </c>
      <c r="G1596" t="str">
        <f>""</f>
        <v/>
      </c>
    </row>
    <row r="1597" spans="1:7" x14ac:dyDescent="0.25">
      <c r="A1597">
        <v>6012</v>
      </c>
      <c r="B1597" t="str">
        <f>"enoxacine"</f>
        <v>enoxacine</v>
      </c>
      <c r="C1597" t="s">
        <v>19016</v>
      </c>
      <c r="D1597" t="str">
        <f>"74011-58-8"</f>
        <v>74011-58-8</v>
      </c>
      <c r="E1597" t="str">
        <f t="shared" si="65"/>
        <v xml:space="preserve">Organische parameters </v>
      </c>
      <c r="F1597" t="str">
        <f t="shared" si="66"/>
        <v xml:space="preserve">Overige antropogene stoffen </v>
      </c>
      <c r="G1597" t="str">
        <f>""</f>
        <v/>
      </c>
    </row>
    <row r="1598" spans="1:7" x14ac:dyDescent="0.25">
      <c r="A1598">
        <v>6013</v>
      </c>
      <c r="B1598" t="str">
        <f>"enrofloxacine"</f>
        <v>enrofloxacine</v>
      </c>
      <c r="C1598" t="s">
        <v>19016</v>
      </c>
      <c r="D1598" t="str">
        <f>"93106-60-6"</f>
        <v>93106-60-6</v>
      </c>
      <c r="E1598" t="str">
        <f t="shared" si="65"/>
        <v xml:space="preserve">Organische parameters </v>
      </c>
      <c r="F1598" t="str">
        <f t="shared" si="66"/>
        <v xml:space="preserve">Overige antropogene stoffen </v>
      </c>
      <c r="G1598" t="str">
        <f>""</f>
        <v/>
      </c>
    </row>
    <row r="1599" spans="1:7" x14ac:dyDescent="0.25">
      <c r="A1599">
        <v>6014</v>
      </c>
      <c r="B1599" t="str">
        <f>"erythromycine"</f>
        <v>erythromycine</v>
      </c>
      <c r="C1599" t="s">
        <v>19016</v>
      </c>
      <c r="D1599" t="str">
        <f>"114-07-8"</f>
        <v>114-07-8</v>
      </c>
      <c r="E1599" t="str">
        <f t="shared" si="65"/>
        <v xml:space="preserve">Organische parameters </v>
      </c>
      <c r="F1599" t="str">
        <f t="shared" si="66"/>
        <v xml:space="preserve">Overige antropogene stoffen </v>
      </c>
      <c r="G1599" t="str">
        <f>""</f>
        <v/>
      </c>
    </row>
    <row r="1600" spans="1:7" x14ac:dyDescent="0.25">
      <c r="A1600">
        <v>6015</v>
      </c>
      <c r="B1600" t="str">
        <f>"furazolidon"</f>
        <v>furazolidon</v>
      </c>
      <c r="C1600" t="s">
        <v>19016</v>
      </c>
      <c r="D1600" t="str">
        <f>"67-45-8"</f>
        <v>67-45-8</v>
      </c>
      <c r="E1600" t="str">
        <f t="shared" si="65"/>
        <v xml:space="preserve">Organische parameters </v>
      </c>
      <c r="F1600" t="str">
        <f t="shared" si="66"/>
        <v xml:space="preserve">Overige antropogene stoffen </v>
      </c>
      <c r="G1600" t="str">
        <f>""</f>
        <v/>
      </c>
    </row>
    <row r="1601" spans="1:7" x14ac:dyDescent="0.25">
      <c r="A1601">
        <v>6016</v>
      </c>
      <c r="B1601" t="str">
        <f>"meclocycline"</f>
        <v>meclocycline</v>
      </c>
      <c r="C1601" t="s">
        <v>19016</v>
      </c>
      <c r="D1601" t="str">
        <f>"2013-58-3"</f>
        <v>2013-58-3</v>
      </c>
      <c r="E1601" t="str">
        <f t="shared" si="65"/>
        <v xml:space="preserve">Organische parameters </v>
      </c>
      <c r="F1601" t="str">
        <f t="shared" si="66"/>
        <v xml:space="preserve">Overige antropogene stoffen </v>
      </c>
      <c r="G1601" t="str">
        <f>""</f>
        <v/>
      </c>
    </row>
    <row r="1602" spans="1:7" x14ac:dyDescent="0.25">
      <c r="A1602">
        <v>6017</v>
      </c>
      <c r="B1602" t="str">
        <f>"metronidazol"</f>
        <v>metronidazol</v>
      </c>
      <c r="C1602" t="s">
        <v>19016</v>
      </c>
      <c r="D1602" t="str">
        <f>"443-48-1"</f>
        <v>443-48-1</v>
      </c>
      <c r="E1602" t="str">
        <f t="shared" si="65"/>
        <v xml:space="preserve">Organische parameters </v>
      </c>
      <c r="F1602" t="str">
        <f t="shared" si="66"/>
        <v xml:space="preserve">Overige antropogene stoffen </v>
      </c>
      <c r="G1602" t="str">
        <f>""</f>
        <v/>
      </c>
    </row>
    <row r="1603" spans="1:7" x14ac:dyDescent="0.25">
      <c r="A1603">
        <v>6018</v>
      </c>
      <c r="B1603" t="str">
        <f>"nafcilline"</f>
        <v>nafcilline</v>
      </c>
      <c r="C1603" t="s">
        <v>19016</v>
      </c>
      <c r="D1603" t="str">
        <f>"147-52-4"</f>
        <v>147-52-4</v>
      </c>
      <c r="E1603" t="str">
        <f t="shared" si="65"/>
        <v xml:space="preserve">Organische parameters </v>
      </c>
      <c r="F1603" t="str">
        <f t="shared" si="66"/>
        <v xml:space="preserve">Overige antropogene stoffen </v>
      </c>
      <c r="G1603" t="str">
        <f>""</f>
        <v/>
      </c>
    </row>
    <row r="1604" spans="1:7" x14ac:dyDescent="0.25">
      <c r="A1604">
        <v>6019</v>
      </c>
      <c r="B1604" t="str">
        <f>"norfloxacine"</f>
        <v>norfloxacine</v>
      </c>
      <c r="C1604" t="s">
        <v>19016</v>
      </c>
      <c r="D1604" t="str">
        <f>"70458-96-7"</f>
        <v>70458-96-7</v>
      </c>
      <c r="E1604" t="str">
        <f t="shared" si="65"/>
        <v xml:space="preserve">Organische parameters </v>
      </c>
      <c r="F1604" t="str">
        <f t="shared" si="66"/>
        <v xml:space="preserve">Overige antropogene stoffen </v>
      </c>
      <c r="G1604" t="str">
        <f>""</f>
        <v/>
      </c>
    </row>
    <row r="1605" spans="1:7" x14ac:dyDescent="0.25">
      <c r="A1605">
        <v>6020</v>
      </c>
      <c r="B1605" t="str">
        <f>"ofloxacine"</f>
        <v>ofloxacine</v>
      </c>
      <c r="C1605" t="s">
        <v>19016</v>
      </c>
      <c r="D1605" t="str">
        <f>"83380-47-6"</f>
        <v>83380-47-6</v>
      </c>
      <c r="E1605" t="str">
        <f t="shared" si="65"/>
        <v xml:space="preserve">Organische parameters </v>
      </c>
      <c r="F1605" t="str">
        <f t="shared" si="66"/>
        <v xml:space="preserve">Overige antropogene stoffen </v>
      </c>
      <c r="G1605" t="str">
        <f>""</f>
        <v/>
      </c>
    </row>
    <row r="1606" spans="1:7" x14ac:dyDescent="0.25">
      <c r="A1606">
        <v>6021</v>
      </c>
      <c r="B1606" t="str">
        <f>"oleandomycine"</f>
        <v>oleandomycine</v>
      </c>
      <c r="C1606" t="s">
        <v>19016</v>
      </c>
      <c r="D1606" t="str">
        <f>"7060-74-4"</f>
        <v>7060-74-4</v>
      </c>
      <c r="E1606" t="str">
        <f t="shared" si="65"/>
        <v xml:space="preserve">Organische parameters </v>
      </c>
      <c r="F1606" t="str">
        <f t="shared" si="66"/>
        <v xml:space="preserve">Overige antropogene stoffen </v>
      </c>
      <c r="G1606" t="str">
        <f>""</f>
        <v/>
      </c>
    </row>
    <row r="1607" spans="1:7" x14ac:dyDescent="0.25">
      <c r="A1607">
        <v>6022</v>
      </c>
      <c r="B1607" t="str">
        <f>"oxacilline"</f>
        <v>oxacilline</v>
      </c>
      <c r="C1607" t="s">
        <v>19016</v>
      </c>
      <c r="D1607" t="str">
        <f>"66-79-5"</f>
        <v>66-79-5</v>
      </c>
      <c r="E1607" t="str">
        <f t="shared" si="65"/>
        <v xml:space="preserve">Organische parameters </v>
      </c>
      <c r="F1607" t="str">
        <f t="shared" si="66"/>
        <v xml:space="preserve">Overige antropogene stoffen </v>
      </c>
      <c r="G1607" t="str">
        <f>""</f>
        <v/>
      </c>
    </row>
    <row r="1608" spans="1:7" x14ac:dyDescent="0.25">
      <c r="A1608">
        <v>6023</v>
      </c>
      <c r="B1608" t="str">
        <f>"oxytetracycline"</f>
        <v>oxytetracycline</v>
      </c>
      <c r="C1608" t="s">
        <v>19016</v>
      </c>
      <c r="D1608" t="str">
        <f>"6153-64-6"</f>
        <v>6153-64-6</v>
      </c>
      <c r="E1608" t="str">
        <f t="shared" si="65"/>
        <v xml:space="preserve">Organische parameters </v>
      </c>
      <c r="F1608" t="str">
        <f t="shared" si="66"/>
        <v xml:space="preserve">Overige antropogene stoffen </v>
      </c>
      <c r="G1608" t="str">
        <f>""</f>
        <v/>
      </c>
    </row>
    <row r="1609" spans="1:7" x14ac:dyDescent="0.25">
      <c r="A1609">
        <v>6024</v>
      </c>
      <c r="B1609" t="str">
        <f>"penicilline G"</f>
        <v>penicilline G</v>
      </c>
      <c r="C1609" t="s">
        <v>19016</v>
      </c>
      <c r="D1609" t="str">
        <f>"61-33-6"</f>
        <v>61-33-6</v>
      </c>
      <c r="E1609" t="str">
        <f t="shared" si="65"/>
        <v xml:space="preserve">Organische parameters </v>
      </c>
      <c r="F1609" t="str">
        <f t="shared" si="66"/>
        <v xml:space="preserve">Overige antropogene stoffen </v>
      </c>
      <c r="G1609" t="str">
        <f>""</f>
        <v/>
      </c>
    </row>
    <row r="1610" spans="1:7" x14ac:dyDescent="0.25">
      <c r="A1610">
        <v>6025</v>
      </c>
      <c r="B1610" t="str">
        <f>"penicilline V"</f>
        <v>penicilline V</v>
      </c>
      <c r="C1610" t="s">
        <v>19016</v>
      </c>
      <c r="D1610" t="str">
        <f>"87-08-1"</f>
        <v>87-08-1</v>
      </c>
      <c r="E1610" t="str">
        <f t="shared" si="65"/>
        <v xml:space="preserve">Organische parameters </v>
      </c>
      <c r="F1610" t="str">
        <f t="shared" si="66"/>
        <v xml:space="preserve">Overige antropogene stoffen </v>
      </c>
      <c r="G1610" t="str">
        <f>""</f>
        <v/>
      </c>
    </row>
    <row r="1611" spans="1:7" x14ac:dyDescent="0.25">
      <c r="A1611">
        <v>6026</v>
      </c>
      <c r="B1611" t="str">
        <f>"ronidazol"</f>
        <v>ronidazol</v>
      </c>
      <c r="C1611" t="s">
        <v>19016</v>
      </c>
      <c r="D1611" t="str">
        <f>"7681-76-7"</f>
        <v>7681-76-7</v>
      </c>
      <c r="E1611" t="str">
        <f t="shared" si="65"/>
        <v xml:space="preserve">Organische parameters </v>
      </c>
      <c r="F1611" t="str">
        <f t="shared" si="66"/>
        <v xml:space="preserve">Overige antropogene stoffen </v>
      </c>
      <c r="G1611" t="str">
        <f>""</f>
        <v/>
      </c>
    </row>
    <row r="1612" spans="1:7" x14ac:dyDescent="0.25">
      <c r="A1612">
        <v>6027</v>
      </c>
      <c r="B1612" t="str">
        <f>"roxithromycine"</f>
        <v>roxithromycine</v>
      </c>
      <c r="C1612" t="s">
        <v>19016</v>
      </c>
      <c r="D1612" t="str">
        <f>"80214-83-1"</f>
        <v>80214-83-1</v>
      </c>
      <c r="E1612" t="str">
        <f t="shared" si="65"/>
        <v xml:space="preserve">Organische parameters </v>
      </c>
      <c r="F1612" t="str">
        <f t="shared" si="66"/>
        <v xml:space="preserve">Overige antropogene stoffen </v>
      </c>
      <c r="G1612" t="str">
        <f>""</f>
        <v/>
      </c>
    </row>
    <row r="1613" spans="1:7" x14ac:dyDescent="0.25">
      <c r="A1613">
        <v>6028</v>
      </c>
      <c r="B1613" t="str">
        <f>"spiramycine"</f>
        <v>spiramycine</v>
      </c>
      <c r="C1613" t="s">
        <v>19016</v>
      </c>
      <c r="D1613" t="str">
        <f>"8025-81-8"</f>
        <v>8025-81-8</v>
      </c>
      <c r="E1613" t="str">
        <f t="shared" ref="E1613:E1676" si="67">"Organische parameters "</f>
        <v xml:space="preserve">Organische parameters </v>
      </c>
      <c r="F1613" t="str">
        <f t="shared" si="66"/>
        <v xml:space="preserve">Overige antropogene stoffen </v>
      </c>
      <c r="G1613" t="str">
        <f>""</f>
        <v/>
      </c>
    </row>
    <row r="1614" spans="1:7" x14ac:dyDescent="0.25">
      <c r="A1614">
        <v>6029</v>
      </c>
      <c r="B1614" t="str">
        <f>"sulfadiazine"</f>
        <v>sulfadiazine</v>
      </c>
      <c r="C1614" t="s">
        <v>19016</v>
      </c>
      <c r="D1614" t="str">
        <f>"68-35-9"</f>
        <v>68-35-9</v>
      </c>
      <c r="E1614" t="str">
        <f t="shared" si="67"/>
        <v xml:space="preserve">Organische parameters </v>
      </c>
      <c r="F1614" t="str">
        <f t="shared" si="66"/>
        <v xml:space="preserve">Overige antropogene stoffen </v>
      </c>
      <c r="G1614" t="str">
        <f>""</f>
        <v/>
      </c>
    </row>
    <row r="1615" spans="1:7" x14ac:dyDescent="0.25">
      <c r="A1615">
        <v>6030</v>
      </c>
      <c r="B1615" t="str">
        <f>"sulfadimidine"</f>
        <v>sulfadimidine</v>
      </c>
      <c r="C1615" t="s">
        <v>19016</v>
      </c>
      <c r="D1615" t="str">
        <f>"57-68-1"</f>
        <v>57-68-1</v>
      </c>
      <c r="E1615" t="str">
        <f t="shared" si="67"/>
        <v xml:space="preserve">Organische parameters </v>
      </c>
      <c r="F1615" t="str">
        <f t="shared" si="66"/>
        <v xml:space="preserve">Overige antropogene stoffen </v>
      </c>
      <c r="G1615" t="str">
        <f>""</f>
        <v/>
      </c>
    </row>
    <row r="1616" spans="1:7" x14ac:dyDescent="0.25">
      <c r="A1616">
        <v>6031</v>
      </c>
      <c r="B1616" t="str">
        <f>"sulfamerazine"</f>
        <v>sulfamerazine</v>
      </c>
      <c r="C1616" t="s">
        <v>19016</v>
      </c>
      <c r="D1616" t="str">
        <f>"127-79-7"</f>
        <v>127-79-7</v>
      </c>
      <c r="E1616" t="str">
        <f t="shared" si="67"/>
        <v xml:space="preserve">Organische parameters </v>
      </c>
      <c r="F1616" t="str">
        <f t="shared" si="66"/>
        <v xml:space="preserve">Overige antropogene stoffen </v>
      </c>
      <c r="G1616" t="str">
        <f>""</f>
        <v/>
      </c>
    </row>
    <row r="1617" spans="1:7" x14ac:dyDescent="0.25">
      <c r="A1617">
        <v>6032</v>
      </c>
      <c r="B1617" t="str">
        <f>"sulfamethoxazol"</f>
        <v>sulfamethoxazol</v>
      </c>
      <c r="C1617" t="s">
        <v>19016</v>
      </c>
      <c r="D1617" t="str">
        <f>"723-46-6"</f>
        <v>723-46-6</v>
      </c>
      <c r="E1617" t="str">
        <f t="shared" si="67"/>
        <v xml:space="preserve">Organische parameters </v>
      </c>
      <c r="F1617" t="str">
        <f t="shared" si="66"/>
        <v xml:space="preserve">Overige antropogene stoffen </v>
      </c>
      <c r="G1617" t="str">
        <f>""</f>
        <v/>
      </c>
    </row>
    <row r="1618" spans="1:7" x14ac:dyDescent="0.25">
      <c r="A1618">
        <v>6033</v>
      </c>
      <c r="B1618" t="str">
        <f>"tetracycline"</f>
        <v>tetracycline</v>
      </c>
      <c r="C1618" t="s">
        <v>19016</v>
      </c>
      <c r="D1618" t="str">
        <f>"60-54-8"</f>
        <v>60-54-8</v>
      </c>
      <c r="E1618" t="str">
        <f t="shared" si="67"/>
        <v xml:space="preserve">Organische parameters </v>
      </c>
      <c r="F1618" t="str">
        <f t="shared" si="66"/>
        <v xml:space="preserve">Overige antropogene stoffen </v>
      </c>
      <c r="G1618" t="str">
        <f>""</f>
        <v/>
      </c>
    </row>
    <row r="1619" spans="1:7" x14ac:dyDescent="0.25">
      <c r="A1619">
        <v>6034</v>
      </c>
      <c r="B1619" t="str">
        <f>"trimethoprim"</f>
        <v>trimethoprim</v>
      </c>
      <c r="C1619" t="s">
        <v>19016</v>
      </c>
      <c r="D1619" t="str">
        <f>"738-70-5"</f>
        <v>738-70-5</v>
      </c>
      <c r="E1619" t="str">
        <f t="shared" si="67"/>
        <v xml:space="preserve">Organische parameters </v>
      </c>
      <c r="F1619" t="str">
        <f t="shared" ref="F1619:F1682" si="68">"Overige antropogene stoffen "</f>
        <v xml:space="preserve">Overige antropogene stoffen </v>
      </c>
      <c r="G1619" t="str">
        <f>""</f>
        <v/>
      </c>
    </row>
    <row r="1620" spans="1:7" x14ac:dyDescent="0.25">
      <c r="A1620">
        <v>6035</v>
      </c>
      <c r="B1620" t="str">
        <f>"tylosine"</f>
        <v>tylosine</v>
      </c>
      <c r="C1620" t="s">
        <v>19016</v>
      </c>
      <c r="D1620" t="str">
        <f>"1401-69-0"</f>
        <v>1401-69-0</v>
      </c>
      <c r="E1620" t="str">
        <f t="shared" si="67"/>
        <v xml:space="preserve">Organische parameters </v>
      </c>
      <c r="F1620" t="str">
        <f t="shared" si="68"/>
        <v xml:space="preserve">Overige antropogene stoffen </v>
      </c>
      <c r="G1620" t="str">
        <f>""</f>
        <v/>
      </c>
    </row>
    <row r="1621" spans="1:7" x14ac:dyDescent="0.25">
      <c r="A1621">
        <v>6036</v>
      </c>
      <c r="B1621" t="str">
        <f>"virginiamycine"</f>
        <v>virginiamycine</v>
      </c>
      <c r="C1621" t="s">
        <v>19016</v>
      </c>
      <c r="D1621" t="str">
        <f>"11006-76-1"</f>
        <v>11006-76-1</v>
      </c>
      <c r="E1621" t="str">
        <f t="shared" si="67"/>
        <v xml:space="preserve">Organische parameters </v>
      </c>
      <c r="F1621" t="str">
        <f t="shared" si="68"/>
        <v xml:space="preserve">Overige antropogene stoffen </v>
      </c>
      <c r="G1621" t="str">
        <f>""</f>
        <v/>
      </c>
    </row>
    <row r="1622" spans="1:7" x14ac:dyDescent="0.25">
      <c r="A1622">
        <v>6037</v>
      </c>
      <c r="B1622" t="str">
        <f>"cyclofosfamide"</f>
        <v>cyclofosfamide</v>
      </c>
      <c r="C1622" t="s">
        <v>19016</v>
      </c>
      <c r="D1622" t="str">
        <f>"50-18-0"</f>
        <v>50-18-0</v>
      </c>
      <c r="E1622" t="str">
        <f t="shared" si="67"/>
        <v xml:space="preserve">Organische parameters </v>
      </c>
      <c r="F1622" t="str">
        <f t="shared" si="68"/>
        <v xml:space="preserve">Overige antropogene stoffen </v>
      </c>
      <c r="G1622" t="str">
        <f>""</f>
        <v/>
      </c>
    </row>
    <row r="1623" spans="1:7" x14ac:dyDescent="0.25">
      <c r="A1623">
        <v>6038</v>
      </c>
      <c r="B1623" t="str">
        <f>"ifosfamide"</f>
        <v>ifosfamide</v>
      </c>
      <c r="C1623" t="s">
        <v>19016</v>
      </c>
      <c r="D1623" t="str">
        <f>"3778-73-2"</f>
        <v>3778-73-2</v>
      </c>
      <c r="E1623" t="str">
        <f t="shared" si="67"/>
        <v xml:space="preserve">Organische parameters </v>
      </c>
      <c r="F1623" t="str">
        <f t="shared" si="68"/>
        <v xml:space="preserve">Overige antropogene stoffen </v>
      </c>
      <c r="G1623" t="str">
        <f>""</f>
        <v/>
      </c>
    </row>
    <row r="1624" spans="1:7" x14ac:dyDescent="0.25">
      <c r="A1624">
        <v>6039</v>
      </c>
      <c r="B1624" t="str">
        <f>"clenbuterol"</f>
        <v>clenbuterol</v>
      </c>
      <c r="C1624" t="s">
        <v>19016</v>
      </c>
      <c r="D1624" t="str">
        <f>"37148-27-9"</f>
        <v>37148-27-9</v>
      </c>
      <c r="E1624" t="str">
        <f t="shared" si="67"/>
        <v xml:space="preserve">Organische parameters </v>
      </c>
      <c r="F1624" t="str">
        <f t="shared" si="68"/>
        <v xml:space="preserve">Overige antropogene stoffen </v>
      </c>
      <c r="G1624" t="str">
        <f>""</f>
        <v/>
      </c>
    </row>
    <row r="1625" spans="1:7" x14ac:dyDescent="0.25">
      <c r="A1625">
        <v>6040</v>
      </c>
      <c r="B1625" t="str">
        <f>"salbutamol"</f>
        <v>salbutamol</v>
      </c>
      <c r="C1625" t="s">
        <v>19016</v>
      </c>
      <c r="D1625" t="str">
        <f>"18559-94-9"</f>
        <v>18559-94-9</v>
      </c>
      <c r="E1625" t="str">
        <f t="shared" si="67"/>
        <v xml:space="preserve">Organische parameters </v>
      </c>
      <c r="F1625" t="str">
        <f t="shared" si="68"/>
        <v xml:space="preserve">Overige antropogene stoffen </v>
      </c>
      <c r="G1625" t="str">
        <f>""</f>
        <v/>
      </c>
    </row>
    <row r="1626" spans="1:7" x14ac:dyDescent="0.25">
      <c r="A1626">
        <v>6041</v>
      </c>
      <c r="B1626" t="str">
        <f>"terbutaline"</f>
        <v>terbutaline</v>
      </c>
      <c r="C1626" t="s">
        <v>19016</v>
      </c>
      <c r="D1626" t="str">
        <f>"23031-25-6"</f>
        <v>23031-25-6</v>
      </c>
      <c r="E1626" t="str">
        <f t="shared" si="67"/>
        <v xml:space="preserve">Organische parameters </v>
      </c>
      <c r="F1626" t="str">
        <f t="shared" si="68"/>
        <v xml:space="preserve">Overige antropogene stoffen </v>
      </c>
      <c r="G1626" t="str">
        <f>""</f>
        <v/>
      </c>
    </row>
    <row r="1627" spans="1:7" x14ac:dyDescent="0.25">
      <c r="A1627">
        <v>6042</v>
      </c>
      <c r="B1627" t="str">
        <f>"atenolol"</f>
        <v>atenolol</v>
      </c>
      <c r="C1627" t="s">
        <v>19016</v>
      </c>
      <c r="D1627" t="str">
        <f>"29122-68-7"</f>
        <v>29122-68-7</v>
      </c>
      <c r="E1627" t="str">
        <f t="shared" si="67"/>
        <v xml:space="preserve">Organische parameters </v>
      </c>
      <c r="F1627" t="str">
        <f t="shared" si="68"/>
        <v xml:space="preserve">Overige antropogene stoffen </v>
      </c>
      <c r="G1627" t="str">
        <f>""</f>
        <v/>
      </c>
    </row>
    <row r="1628" spans="1:7" x14ac:dyDescent="0.25">
      <c r="A1628">
        <v>6043</v>
      </c>
      <c r="B1628" t="str">
        <f>"betaxolol"</f>
        <v>betaxolol</v>
      </c>
      <c r="C1628" t="s">
        <v>19016</v>
      </c>
      <c r="D1628" t="str">
        <f>"63659-18-7"</f>
        <v>63659-18-7</v>
      </c>
      <c r="E1628" t="str">
        <f t="shared" si="67"/>
        <v xml:space="preserve">Organische parameters </v>
      </c>
      <c r="F1628" t="str">
        <f t="shared" si="68"/>
        <v xml:space="preserve">Overige antropogene stoffen </v>
      </c>
      <c r="G1628" t="str">
        <f>""</f>
        <v/>
      </c>
    </row>
    <row r="1629" spans="1:7" x14ac:dyDescent="0.25">
      <c r="A1629">
        <v>6044</v>
      </c>
      <c r="B1629" t="str">
        <f>"bisoprolol"</f>
        <v>bisoprolol</v>
      </c>
      <c r="C1629" t="s">
        <v>19016</v>
      </c>
      <c r="D1629" t="str">
        <f>"66722-44-9"</f>
        <v>66722-44-9</v>
      </c>
      <c r="E1629" t="str">
        <f t="shared" si="67"/>
        <v xml:space="preserve">Organische parameters </v>
      </c>
      <c r="F1629" t="str">
        <f t="shared" si="68"/>
        <v xml:space="preserve">Overige antropogene stoffen </v>
      </c>
      <c r="G1629" t="str">
        <f>""</f>
        <v/>
      </c>
    </row>
    <row r="1630" spans="1:7" x14ac:dyDescent="0.25">
      <c r="A1630">
        <v>6045</v>
      </c>
      <c r="B1630" t="str">
        <f>"metoprolol"</f>
        <v>metoprolol</v>
      </c>
      <c r="C1630" t="s">
        <v>19016</v>
      </c>
      <c r="D1630" t="str">
        <f>"37350-58-6"</f>
        <v>37350-58-6</v>
      </c>
      <c r="E1630" t="str">
        <f t="shared" si="67"/>
        <v xml:space="preserve">Organische parameters </v>
      </c>
      <c r="F1630" t="str">
        <f t="shared" si="68"/>
        <v xml:space="preserve">Overige antropogene stoffen </v>
      </c>
      <c r="G1630" t="str">
        <f>""</f>
        <v/>
      </c>
    </row>
    <row r="1631" spans="1:7" x14ac:dyDescent="0.25">
      <c r="A1631">
        <v>6046</v>
      </c>
      <c r="B1631" t="str">
        <f>"pindolol"</f>
        <v>pindolol</v>
      </c>
      <c r="C1631" t="s">
        <v>19016</v>
      </c>
      <c r="D1631" t="str">
        <f>"13523-86-9"</f>
        <v>13523-86-9</v>
      </c>
      <c r="E1631" t="str">
        <f t="shared" si="67"/>
        <v xml:space="preserve">Organische parameters </v>
      </c>
      <c r="F1631" t="str">
        <f t="shared" si="68"/>
        <v xml:space="preserve">Overige antropogene stoffen </v>
      </c>
      <c r="G1631" t="str">
        <f>""</f>
        <v/>
      </c>
    </row>
    <row r="1632" spans="1:7" x14ac:dyDescent="0.25">
      <c r="A1632">
        <v>6047</v>
      </c>
      <c r="B1632" t="str">
        <f>"propranolol"</f>
        <v>propranolol</v>
      </c>
      <c r="C1632" t="s">
        <v>19016</v>
      </c>
      <c r="D1632" t="str">
        <f>"525-66-6"</f>
        <v>525-66-6</v>
      </c>
      <c r="E1632" t="str">
        <f t="shared" si="67"/>
        <v xml:space="preserve">Organische parameters </v>
      </c>
      <c r="F1632" t="str">
        <f t="shared" si="68"/>
        <v xml:space="preserve">Overige antropogene stoffen </v>
      </c>
      <c r="G1632" t="str">
        <f>""</f>
        <v/>
      </c>
    </row>
    <row r="1633" spans="1:7" x14ac:dyDescent="0.25">
      <c r="A1633">
        <v>6048</v>
      </c>
      <c r="B1633" t="str">
        <f>"sotalol"</f>
        <v>sotalol</v>
      </c>
      <c r="C1633" t="s">
        <v>19016</v>
      </c>
      <c r="D1633" t="str">
        <f>"3930-20-9"</f>
        <v>3930-20-9</v>
      </c>
      <c r="E1633" t="str">
        <f t="shared" si="67"/>
        <v xml:space="preserve">Organische parameters </v>
      </c>
      <c r="F1633" t="str">
        <f t="shared" si="68"/>
        <v xml:space="preserve">Overige antropogene stoffen </v>
      </c>
      <c r="G1633" t="str">
        <f>""</f>
        <v/>
      </c>
    </row>
    <row r="1634" spans="1:7" x14ac:dyDescent="0.25">
      <c r="A1634">
        <v>6049</v>
      </c>
      <c r="B1634" t="str">
        <f>"pentoxifylline"</f>
        <v>pentoxifylline</v>
      </c>
      <c r="C1634" t="s">
        <v>19016</v>
      </c>
      <c r="D1634" t="str">
        <f>"6-5-6493"</f>
        <v>6-5-6493</v>
      </c>
      <c r="E1634" t="str">
        <f t="shared" si="67"/>
        <v xml:space="preserve">Organische parameters </v>
      </c>
      <c r="F1634" t="str">
        <f t="shared" si="68"/>
        <v xml:space="preserve">Overige antropogene stoffen </v>
      </c>
      <c r="G1634" t="str">
        <f>""</f>
        <v/>
      </c>
    </row>
    <row r="1635" spans="1:7" x14ac:dyDescent="0.25">
      <c r="A1635">
        <v>6050</v>
      </c>
      <c r="B1635" t="str">
        <f>"diazepam"</f>
        <v>diazepam</v>
      </c>
      <c r="C1635" t="s">
        <v>19016</v>
      </c>
      <c r="D1635" t="str">
        <f>"439-14-5"</f>
        <v>439-14-5</v>
      </c>
      <c r="E1635" t="str">
        <f t="shared" si="67"/>
        <v xml:space="preserve">Organische parameters </v>
      </c>
      <c r="F1635" t="str">
        <f t="shared" si="68"/>
        <v xml:space="preserve">Overige antropogene stoffen </v>
      </c>
      <c r="G1635" t="str">
        <f>""</f>
        <v/>
      </c>
    </row>
    <row r="1636" spans="1:7" x14ac:dyDescent="0.25">
      <c r="A1636">
        <v>6051</v>
      </c>
      <c r="B1636" t="str">
        <f>"amidotrizo‹nezuur"</f>
        <v>amidotrizo‹nezuur</v>
      </c>
      <c r="C1636" t="s">
        <v>19016</v>
      </c>
      <c r="D1636" t="str">
        <f>"117-96-4"</f>
        <v>117-96-4</v>
      </c>
      <c r="E1636" t="str">
        <f t="shared" si="67"/>
        <v xml:space="preserve">Organische parameters </v>
      </c>
      <c r="F1636" t="str">
        <f t="shared" si="68"/>
        <v xml:space="preserve">Overige antropogene stoffen </v>
      </c>
      <c r="G1636" t="str">
        <f>""</f>
        <v/>
      </c>
    </row>
    <row r="1637" spans="1:7" x14ac:dyDescent="0.25">
      <c r="A1637">
        <v>6052</v>
      </c>
      <c r="B1637" t="str">
        <f>"jodipamide"</f>
        <v>jodipamide</v>
      </c>
      <c r="C1637" t="s">
        <v>19016</v>
      </c>
      <c r="D1637" t="str">
        <f>"606-17-7"</f>
        <v>606-17-7</v>
      </c>
      <c r="E1637" t="str">
        <f t="shared" si="67"/>
        <v xml:space="preserve">Organische parameters </v>
      </c>
      <c r="F1637" t="str">
        <f t="shared" si="68"/>
        <v xml:space="preserve">Overige antropogene stoffen </v>
      </c>
      <c r="G1637" t="str">
        <f>""</f>
        <v/>
      </c>
    </row>
    <row r="1638" spans="1:7" x14ac:dyDescent="0.25">
      <c r="A1638">
        <v>6053</v>
      </c>
      <c r="B1638" t="str">
        <f>"johexol"</f>
        <v>johexol</v>
      </c>
      <c r="C1638" t="s">
        <v>19016</v>
      </c>
      <c r="D1638" t="str">
        <f>"66108-95-0"</f>
        <v>66108-95-0</v>
      </c>
      <c r="E1638" t="str">
        <f t="shared" si="67"/>
        <v xml:space="preserve">Organische parameters </v>
      </c>
      <c r="F1638" t="str">
        <f t="shared" si="68"/>
        <v xml:space="preserve">Overige antropogene stoffen </v>
      </c>
      <c r="G1638" t="str">
        <f>""</f>
        <v/>
      </c>
    </row>
    <row r="1639" spans="1:7" x14ac:dyDescent="0.25">
      <c r="A1639">
        <v>6054</v>
      </c>
      <c r="B1639" t="str">
        <f>"jomeprol"</f>
        <v>jomeprol</v>
      </c>
      <c r="C1639" t="s">
        <v>19016</v>
      </c>
      <c r="D1639" t="str">
        <f>"78649-41-9"</f>
        <v>78649-41-9</v>
      </c>
      <c r="E1639" t="str">
        <f t="shared" si="67"/>
        <v xml:space="preserve">Organische parameters </v>
      </c>
      <c r="F1639" t="str">
        <f t="shared" si="68"/>
        <v xml:space="preserve">Overige antropogene stoffen </v>
      </c>
      <c r="G1639" t="str">
        <f>""</f>
        <v/>
      </c>
    </row>
    <row r="1640" spans="1:7" x14ac:dyDescent="0.25">
      <c r="A1640">
        <v>6055</v>
      </c>
      <c r="B1640" t="str">
        <f>"jopamidol"</f>
        <v>jopamidol</v>
      </c>
      <c r="C1640" t="s">
        <v>19016</v>
      </c>
      <c r="D1640" t="str">
        <f>"62883-00-5"</f>
        <v>62883-00-5</v>
      </c>
      <c r="E1640" t="str">
        <f t="shared" si="67"/>
        <v xml:space="preserve">Organische parameters </v>
      </c>
      <c r="F1640" t="str">
        <f t="shared" si="68"/>
        <v xml:space="preserve">Overige antropogene stoffen </v>
      </c>
      <c r="G1640" t="str">
        <f>""</f>
        <v/>
      </c>
    </row>
    <row r="1641" spans="1:7" x14ac:dyDescent="0.25">
      <c r="A1641">
        <v>6056</v>
      </c>
      <c r="B1641" t="str">
        <f>"jopano‹nezuur"</f>
        <v>jopano‹nezuur</v>
      </c>
      <c r="C1641" t="s">
        <v>19016</v>
      </c>
      <c r="D1641" t="str">
        <f>"96-83-3"</f>
        <v>96-83-3</v>
      </c>
      <c r="E1641" t="str">
        <f t="shared" si="67"/>
        <v xml:space="preserve">Organische parameters </v>
      </c>
      <c r="F1641" t="str">
        <f t="shared" si="68"/>
        <v xml:space="preserve">Overige antropogene stoffen </v>
      </c>
      <c r="G1641" t="str">
        <f>""</f>
        <v/>
      </c>
    </row>
    <row r="1642" spans="1:7" x14ac:dyDescent="0.25">
      <c r="A1642">
        <v>6057</v>
      </c>
      <c r="B1642" t="str">
        <f>"jopromide"</f>
        <v>jopromide</v>
      </c>
      <c r="C1642" t="s">
        <v>19016</v>
      </c>
      <c r="D1642" t="str">
        <f>"73334-07-3"</f>
        <v>73334-07-3</v>
      </c>
      <c r="E1642" t="str">
        <f t="shared" si="67"/>
        <v xml:space="preserve">Organische parameters </v>
      </c>
      <c r="F1642" t="str">
        <f t="shared" si="68"/>
        <v xml:space="preserve">Overige antropogene stoffen </v>
      </c>
      <c r="G1642" t="str">
        <f>""</f>
        <v/>
      </c>
    </row>
    <row r="1643" spans="1:7" x14ac:dyDescent="0.25">
      <c r="A1643">
        <v>6058</v>
      </c>
      <c r="B1643" t="str">
        <f>"jotalaminezuur"</f>
        <v>jotalaminezuur</v>
      </c>
      <c r="C1643" t="s">
        <v>19016</v>
      </c>
      <c r="D1643" t="str">
        <f>"2276-90-6"</f>
        <v>2276-90-6</v>
      </c>
      <c r="E1643" t="str">
        <f t="shared" si="67"/>
        <v xml:space="preserve">Organische parameters </v>
      </c>
      <c r="F1643" t="str">
        <f t="shared" si="68"/>
        <v xml:space="preserve">Overige antropogene stoffen </v>
      </c>
      <c r="G1643" t="str">
        <f>""</f>
        <v/>
      </c>
    </row>
    <row r="1644" spans="1:7" x14ac:dyDescent="0.25">
      <c r="A1644">
        <v>6059</v>
      </c>
      <c r="B1644" t="str">
        <f>"joxaglinezuur"</f>
        <v>joxaglinezuur</v>
      </c>
      <c r="C1644" t="s">
        <v>19016</v>
      </c>
      <c r="D1644" t="str">
        <f>"59017-64-0"</f>
        <v>59017-64-0</v>
      </c>
      <c r="E1644" t="str">
        <f t="shared" si="67"/>
        <v xml:space="preserve">Organische parameters </v>
      </c>
      <c r="F1644" t="str">
        <f t="shared" si="68"/>
        <v xml:space="preserve">Overige antropogene stoffen </v>
      </c>
      <c r="G1644" t="str">
        <f>""</f>
        <v/>
      </c>
    </row>
    <row r="1645" spans="1:7" x14ac:dyDescent="0.25">
      <c r="A1645">
        <v>6060</v>
      </c>
      <c r="B1645" t="str">
        <f>"joxitalaminezuur"</f>
        <v>joxitalaminezuur</v>
      </c>
      <c r="C1645" t="s">
        <v>19016</v>
      </c>
      <c r="D1645" t="str">
        <f>"28179-44-4"</f>
        <v>28179-44-4</v>
      </c>
      <c r="E1645" t="str">
        <f t="shared" si="67"/>
        <v xml:space="preserve">Organische parameters </v>
      </c>
      <c r="F1645" t="str">
        <f t="shared" si="68"/>
        <v xml:space="preserve">Overige antropogene stoffen </v>
      </c>
      <c r="G1645" t="str">
        <f>""</f>
        <v/>
      </c>
    </row>
    <row r="1646" spans="1:7" x14ac:dyDescent="0.25">
      <c r="A1646">
        <v>6061</v>
      </c>
      <c r="B1646" t="str">
        <f>"bezafibraat"</f>
        <v>bezafibraat</v>
      </c>
      <c r="C1646" t="s">
        <v>19016</v>
      </c>
      <c r="D1646" t="str">
        <f>"41859-67-0"</f>
        <v>41859-67-0</v>
      </c>
      <c r="E1646" t="str">
        <f t="shared" si="67"/>
        <v xml:space="preserve">Organische parameters </v>
      </c>
      <c r="F1646" t="str">
        <f t="shared" si="68"/>
        <v xml:space="preserve">Overige antropogene stoffen </v>
      </c>
      <c r="G1646" t="str">
        <f>""</f>
        <v/>
      </c>
    </row>
    <row r="1647" spans="1:7" x14ac:dyDescent="0.25">
      <c r="A1647">
        <v>6062</v>
      </c>
      <c r="B1647" t="str">
        <f>"clofibrinezuur"</f>
        <v>clofibrinezuur</v>
      </c>
      <c r="C1647" t="s">
        <v>19016</v>
      </c>
      <c r="D1647" t="str">
        <f>"882-09-7"</f>
        <v>882-09-7</v>
      </c>
      <c r="E1647" t="str">
        <f t="shared" si="67"/>
        <v xml:space="preserve">Organische parameters </v>
      </c>
      <c r="F1647" t="str">
        <f t="shared" si="68"/>
        <v xml:space="preserve">Overige antropogene stoffen </v>
      </c>
      <c r="G1647" t="str">
        <f>""</f>
        <v/>
      </c>
    </row>
    <row r="1648" spans="1:7" x14ac:dyDescent="0.25">
      <c r="A1648">
        <v>6063</v>
      </c>
      <c r="B1648" t="str">
        <f>"etofibraat"</f>
        <v>etofibraat</v>
      </c>
      <c r="C1648" t="s">
        <v>19016</v>
      </c>
      <c r="D1648" t="str">
        <f>"31637-97-5"</f>
        <v>31637-97-5</v>
      </c>
      <c r="E1648" t="str">
        <f t="shared" si="67"/>
        <v xml:space="preserve">Organische parameters </v>
      </c>
      <c r="F1648" t="str">
        <f t="shared" si="68"/>
        <v xml:space="preserve">Overige antropogene stoffen </v>
      </c>
      <c r="G1648" t="str">
        <f>""</f>
        <v/>
      </c>
    </row>
    <row r="1649" spans="1:7" x14ac:dyDescent="0.25">
      <c r="A1649">
        <v>6064</v>
      </c>
      <c r="B1649" t="str">
        <f>"fenofibraat"</f>
        <v>fenofibraat</v>
      </c>
      <c r="C1649" t="s">
        <v>19016</v>
      </c>
      <c r="D1649" t="str">
        <f>"49562-28-9"</f>
        <v>49562-28-9</v>
      </c>
      <c r="E1649" t="str">
        <f t="shared" si="67"/>
        <v xml:space="preserve">Organische parameters </v>
      </c>
      <c r="F1649" t="str">
        <f t="shared" si="68"/>
        <v xml:space="preserve">Overige antropogene stoffen </v>
      </c>
      <c r="G1649" t="str">
        <f>""</f>
        <v/>
      </c>
    </row>
    <row r="1650" spans="1:7" x14ac:dyDescent="0.25">
      <c r="A1650">
        <v>6065</v>
      </c>
      <c r="B1650" t="str">
        <f>"fenofibrinezuur"</f>
        <v>fenofibrinezuur</v>
      </c>
      <c r="C1650" t="s">
        <v>19016</v>
      </c>
      <c r="D1650" t="str">
        <f>"42017-89-0"</f>
        <v>42017-89-0</v>
      </c>
      <c r="E1650" t="str">
        <f t="shared" si="67"/>
        <v xml:space="preserve">Organische parameters </v>
      </c>
      <c r="F1650" t="str">
        <f t="shared" si="68"/>
        <v xml:space="preserve">Overige antropogene stoffen </v>
      </c>
      <c r="G1650" t="str">
        <f>""</f>
        <v/>
      </c>
    </row>
    <row r="1651" spans="1:7" x14ac:dyDescent="0.25">
      <c r="A1651">
        <v>6066</v>
      </c>
      <c r="B1651" t="str">
        <f>"gemfibrozil"</f>
        <v>gemfibrozil</v>
      </c>
      <c r="C1651" t="s">
        <v>19016</v>
      </c>
      <c r="D1651" t="str">
        <f>"25812-30-0"</f>
        <v>25812-30-0</v>
      </c>
      <c r="E1651" t="str">
        <f t="shared" si="67"/>
        <v xml:space="preserve">Organische parameters </v>
      </c>
      <c r="F1651" t="str">
        <f t="shared" si="68"/>
        <v xml:space="preserve">Overige antropogene stoffen </v>
      </c>
      <c r="G1651" t="str">
        <f>""</f>
        <v/>
      </c>
    </row>
    <row r="1652" spans="1:7" x14ac:dyDescent="0.25">
      <c r="A1652">
        <v>6067</v>
      </c>
      <c r="B1652" t="str">
        <f>"simvastatine"</f>
        <v>simvastatine</v>
      </c>
      <c r="C1652" t="s">
        <v>19016</v>
      </c>
      <c r="D1652" t="str">
        <f>"79902-63-9"</f>
        <v>79902-63-9</v>
      </c>
      <c r="E1652" t="str">
        <f t="shared" si="67"/>
        <v xml:space="preserve">Organische parameters </v>
      </c>
      <c r="F1652" t="str">
        <f t="shared" si="68"/>
        <v xml:space="preserve">Overige antropogene stoffen </v>
      </c>
      <c r="G1652" t="str">
        <f>""</f>
        <v/>
      </c>
    </row>
    <row r="1653" spans="1:7" x14ac:dyDescent="0.25">
      <c r="A1653">
        <v>6068</v>
      </c>
      <c r="B1653" t="str">
        <f>"diclofenac"</f>
        <v>diclofenac</v>
      </c>
      <c r="C1653" t="s">
        <v>19016</v>
      </c>
      <c r="D1653" t="str">
        <f>"15307-86-5"</f>
        <v>15307-86-5</v>
      </c>
      <c r="E1653" t="str">
        <f t="shared" si="67"/>
        <v xml:space="preserve">Organische parameters </v>
      </c>
      <c r="F1653" t="str">
        <f t="shared" si="68"/>
        <v xml:space="preserve">Overige antropogene stoffen </v>
      </c>
      <c r="G1653" t="str">
        <f>""</f>
        <v/>
      </c>
    </row>
    <row r="1654" spans="1:7" x14ac:dyDescent="0.25">
      <c r="A1654">
        <v>6069</v>
      </c>
      <c r="B1654" t="str">
        <f>"dimethylaminofenazon"</f>
        <v>dimethylaminofenazon</v>
      </c>
      <c r="C1654" t="s">
        <v>19016</v>
      </c>
      <c r="D1654" t="str">
        <f>"58-15-1"</f>
        <v>58-15-1</v>
      </c>
      <c r="E1654" t="str">
        <f t="shared" si="67"/>
        <v xml:space="preserve">Organische parameters </v>
      </c>
      <c r="F1654" t="str">
        <f t="shared" si="68"/>
        <v xml:space="preserve">Overige antropogene stoffen </v>
      </c>
      <c r="G1654" t="str">
        <f>""</f>
        <v/>
      </c>
    </row>
    <row r="1655" spans="1:7" x14ac:dyDescent="0.25">
      <c r="A1655">
        <v>6070</v>
      </c>
      <c r="B1655" t="str">
        <f>"fenoprofen"</f>
        <v>fenoprofen</v>
      </c>
      <c r="C1655" t="s">
        <v>19016</v>
      </c>
      <c r="D1655" t="str">
        <f>"31879-05-7"</f>
        <v>31879-05-7</v>
      </c>
      <c r="E1655" t="str">
        <f t="shared" si="67"/>
        <v xml:space="preserve">Organische parameters </v>
      </c>
      <c r="F1655" t="str">
        <f t="shared" si="68"/>
        <v xml:space="preserve">Overige antropogene stoffen </v>
      </c>
      <c r="G1655" t="str">
        <f>""</f>
        <v/>
      </c>
    </row>
    <row r="1656" spans="1:7" x14ac:dyDescent="0.25">
      <c r="A1656">
        <v>6071</v>
      </c>
      <c r="B1656" t="str">
        <f>"ibuprofen"</f>
        <v>ibuprofen</v>
      </c>
      <c r="C1656" t="s">
        <v>19016</v>
      </c>
      <c r="D1656" t="str">
        <f>"15687-27-1"</f>
        <v>15687-27-1</v>
      </c>
      <c r="E1656" t="str">
        <f t="shared" si="67"/>
        <v xml:space="preserve">Organische parameters </v>
      </c>
      <c r="F1656" t="str">
        <f t="shared" si="68"/>
        <v xml:space="preserve">Overige antropogene stoffen </v>
      </c>
      <c r="G1656" t="str">
        <f>""</f>
        <v/>
      </c>
    </row>
    <row r="1657" spans="1:7" x14ac:dyDescent="0.25">
      <c r="A1657">
        <v>6072</v>
      </c>
      <c r="B1657" t="str">
        <f>"indometacine"</f>
        <v>indometacine</v>
      </c>
      <c r="C1657" t="s">
        <v>19016</v>
      </c>
      <c r="D1657" t="str">
        <f>"53-86-1"</f>
        <v>53-86-1</v>
      </c>
      <c r="E1657" t="str">
        <f t="shared" si="67"/>
        <v xml:space="preserve">Organische parameters </v>
      </c>
      <c r="F1657" t="str">
        <f t="shared" si="68"/>
        <v xml:space="preserve">Overige antropogene stoffen </v>
      </c>
      <c r="G1657" t="str">
        <f>""</f>
        <v/>
      </c>
    </row>
    <row r="1658" spans="1:7" x14ac:dyDescent="0.25">
      <c r="A1658">
        <v>6073</v>
      </c>
      <c r="B1658" t="str">
        <f>"ketoprofen"</f>
        <v>ketoprofen</v>
      </c>
      <c r="C1658" t="s">
        <v>19016</v>
      </c>
      <c r="D1658" t="str">
        <f>"22071-15-4"</f>
        <v>22071-15-4</v>
      </c>
      <c r="E1658" t="str">
        <f t="shared" si="67"/>
        <v xml:space="preserve">Organische parameters </v>
      </c>
      <c r="F1658" t="str">
        <f t="shared" si="68"/>
        <v xml:space="preserve">Overige antropogene stoffen </v>
      </c>
      <c r="G1658" t="str">
        <f>""</f>
        <v/>
      </c>
    </row>
    <row r="1659" spans="1:7" x14ac:dyDescent="0.25">
      <c r="A1659">
        <v>6074</v>
      </c>
      <c r="B1659" t="str">
        <f>"naproxen"</f>
        <v>naproxen</v>
      </c>
      <c r="C1659" t="s">
        <v>19016</v>
      </c>
      <c r="D1659" t="str">
        <f>"22204-53-1"</f>
        <v>22204-53-1</v>
      </c>
      <c r="E1659" t="str">
        <f t="shared" si="67"/>
        <v xml:space="preserve">Organische parameters </v>
      </c>
      <c r="F1659" t="str">
        <f t="shared" si="68"/>
        <v xml:space="preserve">Overige antropogene stoffen </v>
      </c>
      <c r="G1659" t="str">
        <f>""</f>
        <v/>
      </c>
    </row>
    <row r="1660" spans="1:7" x14ac:dyDescent="0.25">
      <c r="A1660">
        <v>6075</v>
      </c>
      <c r="B1660" t="str">
        <f>"fenazon"</f>
        <v>fenazon</v>
      </c>
      <c r="C1660" t="s">
        <v>19016</v>
      </c>
      <c r="D1660" t="str">
        <f>"60-80-0"</f>
        <v>60-80-0</v>
      </c>
      <c r="E1660" t="str">
        <f t="shared" si="67"/>
        <v xml:space="preserve">Organische parameters </v>
      </c>
      <c r="F1660" t="str">
        <f t="shared" si="68"/>
        <v xml:space="preserve">Overige antropogene stoffen </v>
      </c>
      <c r="G1660" t="str">
        <f>""</f>
        <v/>
      </c>
    </row>
    <row r="1661" spans="1:7" x14ac:dyDescent="0.25">
      <c r="A1661">
        <v>6076</v>
      </c>
      <c r="B1661" t="str">
        <f>"propyfenazon"</f>
        <v>propyfenazon</v>
      </c>
      <c r="C1661" t="s">
        <v>19016</v>
      </c>
      <c r="D1661" t="str">
        <f>"479-92-5"</f>
        <v>479-92-5</v>
      </c>
      <c r="E1661" t="str">
        <f t="shared" si="67"/>
        <v xml:space="preserve">Organische parameters </v>
      </c>
      <c r="F1661" t="str">
        <f t="shared" si="68"/>
        <v xml:space="preserve">Overige antropogene stoffen </v>
      </c>
      <c r="G1661" t="str">
        <f>""</f>
        <v/>
      </c>
    </row>
    <row r="1662" spans="1:7" x14ac:dyDescent="0.25">
      <c r="A1662">
        <v>6077</v>
      </c>
      <c r="B1662" t="str">
        <f>"asperine"</f>
        <v>asperine</v>
      </c>
      <c r="C1662" t="s">
        <v>19016</v>
      </c>
      <c r="D1662" t="str">
        <f>"50-78-2"</f>
        <v>50-78-2</v>
      </c>
      <c r="E1662" t="str">
        <f t="shared" si="67"/>
        <v xml:space="preserve">Organische parameters </v>
      </c>
      <c r="F1662" t="str">
        <f t="shared" si="68"/>
        <v xml:space="preserve">Overige antropogene stoffen </v>
      </c>
      <c r="G1662" t="str">
        <f>""</f>
        <v/>
      </c>
    </row>
    <row r="1663" spans="1:7" x14ac:dyDescent="0.25">
      <c r="A1663">
        <v>6078</v>
      </c>
      <c r="B1663" t="str">
        <f>"azithromycine"</f>
        <v>azithromycine</v>
      </c>
      <c r="C1663" t="s">
        <v>19016</v>
      </c>
      <c r="D1663" t="str">
        <f>"83905-01-5"</f>
        <v>83905-01-5</v>
      </c>
      <c r="E1663" t="str">
        <f t="shared" si="67"/>
        <v xml:space="preserve">Organische parameters </v>
      </c>
      <c r="F1663" t="str">
        <f t="shared" si="68"/>
        <v xml:space="preserve">Overige antropogene stoffen </v>
      </c>
      <c r="G1663" t="str">
        <f>""</f>
        <v/>
      </c>
    </row>
    <row r="1664" spans="1:7" x14ac:dyDescent="0.25">
      <c r="A1664">
        <v>6079</v>
      </c>
      <c r="B1664" t="str">
        <f>"lincomycine"</f>
        <v>lincomycine</v>
      </c>
      <c r="C1664" t="s">
        <v>19016</v>
      </c>
      <c r="D1664" t="str">
        <f>"154-21-2"</f>
        <v>154-21-2</v>
      </c>
      <c r="E1664" t="str">
        <f t="shared" si="67"/>
        <v xml:space="preserve">Organische parameters </v>
      </c>
      <c r="F1664" t="str">
        <f t="shared" si="68"/>
        <v xml:space="preserve">Overige antropogene stoffen </v>
      </c>
      <c r="G1664" t="str">
        <f>""</f>
        <v/>
      </c>
    </row>
    <row r="1665" spans="1:7" x14ac:dyDescent="0.25">
      <c r="A1665">
        <v>6080</v>
      </c>
      <c r="B1665" t="str">
        <f>"tolfenaminezuur"</f>
        <v>tolfenaminezuur</v>
      </c>
      <c r="C1665" t="s">
        <v>19016</v>
      </c>
      <c r="D1665" t="str">
        <f>"13710-19-5"</f>
        <v>13710-19-5</v>
      </c>
      <c r="E1665" t="str">
        <f t="shared" si="67"/>
        <v xml:space="preserve">Organische parameters </v>
      </c>
      <c r="F1665" t="str">
        <f t="shared" si="68"/>
        <v xml:space="preserve">Overige antropogene stoffen </v>
      </c>
      <c r="G1665" t="str">
        <f>""</f>
        <v/>
      </c>
    </row>
    <row r="1666" spans="1:7" x14ac:dyDescent="0.25">
      <c r="A1666">
        <v>6081</v>
      </c>
      <c r="B1666" t="str">
        <f>"4-aminoantipyrine"</f>
        <v>4-aminoantipyrine</v>
      </c>
      <c r="C1666" t="s">
        <v>19016</v>
      </c>
      <c r="D1666" t="str">
        <f>"83-07-8"</f>
        <v>83-07-8</v>
      </c>
      <c r="E1666" t="str">
        <f t="shared" si="67"/>
        <v xml:space="preserve">Organische parameters </v>
      </c>
      <c r="F1666" t="str">
        <f t="shared" si="68"/>
        <v xml:space="preserve">Overige antropogene stoffen </v>
      </c>
      <c r="G1666" t="str">
        <f>""</f>
        <v/>
      </c>
    </row>
    <row r="1667" spans="1:7" x14ac:dyDescent="0.25">
      <c r="A1667">
        <v>6082</v>
      </c>
      <c r="B1667" t="str">
        <f>"fenoterol"</f>
        <v>fenoterol</v>
      </c>
      <c r="C1667" t="s">
        <v>19016</v>
      </c>
      <c r="D1667" t="str">
        <f>"13392-18-2"</f>
        <v>13392-18-2</v>
      </c>
      <c r="E1667" t="str">
        <f t="shared" si="67"/>
        <v xml:space="preserve">Organische parameters </v>
      </c>
      <c r="F1667" t="str">
        <f t="shared" si="68"/>
        <v xml:space="preserve">Overige antropogene stoffen </v>
      </c>
      <c r="G1667" t="str">
        <f>""</f>
        <v/>
      </c>
    </row>
    <row r="1668" spans="1:7" x14ac:dyDescent="0.25">
      <c r="A1668">
        <v>6083</v>
      </c>
      <c r="B1668" t="str">
        <f>"monensin"</f>
        <v>monensin</v>
      </c>
      <c r="C1668" t="s">
        <v>19016</v>
      </c>
      <c r="D1668" t="str">
        <f>"17090-79-8"</f>
        <v>17090-79-8</v>
      </c>
      <c r="E1668" t="str">
        <f t="shared" si="67"/>
        <v xml:space="preserve">Organische parameters </v>
      </c>
      <c r="F1668" t="str">
        <f t="shared" si="68"/>
        <v xml:space="preserve">Overige antropogene stoffen </v>
      </c>
      <c r="G1668" t="str">
        <f>""</f>
        <v/>
      </c>
    </row>
    <row r="1669" spans="1:7" x14ac:dyDescent="0.25">
      <c r="A1669">
        <v>6085</v>
      </c>
      <c r="B1669" t="str">
        <f>"primidon"</f>
        <v>primidon</v>
      </c>
      <c r="C1669" t="s">
        <v>19016</v>
      </c>
      <c r="D1669" t="str">
        <f>"125-33-7"</f>
        <v>125-33-7</v>
      </c>
      <c r="E1669" t="str">
        <f t="shared" si="67"/>
        <v xml:space="preserve">Organische parameters </v>
      </c>
      <c r="F1669" t="str">
        <f t="shared" si="68"/>
        <v xml:space="preserve">Overige antropogene stoffen </v>
      </c>
      <c r="G1669" t="str">
        <f>""</f>
        <v/>
      </c>
    </row>
    <row r="1670" spans="1:7" x14ac:dyDescent="0.25">
      <c r="A1670">
        <v>6086</v>
      </c>
      <c r="B1670" t="str">
        <f>"tiamuline"</f>
        <v>tiamuline</v>
      </c>
      <c r="C1670" t="s">
        <v>19016</v>
      </c>
      <c r="D1670" t="str">
        <f>"55297-95-5"</f>
        <v>55297-95-5</v>
      </c>
      <c r="E1670" t="str">
        <f t="shared" si="67"/>
        <v xml:space="preserve">Organische parameters </v>
      </c>
      <c r="F1670" t="str">
        <f t="shared" si="68"/>
        <v xml:space="preserve">Overige antropogene stoffen </v>
      </c>
      <c r="G1670" t="str">
        <f>""</f>
        <v/>
      </c>
    </row>
    <row r="1671" spans="1:7" x14ac:dyDescent="0.25">
      <c r="A1671">
        <v>6087</v>
      </c>
      <c r="B1671" t="str">
        <f>"Ada 202-718"</f>
        <v>Ada 202-718</v>
      </c>
      <c r="C1671" t="s">
        <v>19016</v>
      </c>
      <c r="D1671" t="str">
        <f>"83791-86-0"</f>
        <v>83791-86-0</v>
      </c>
      <c r="E1671" t="str">
        <f t="shared" si="67"/>
        <v xml:space="preserve">Organische parameters </v>
      </c>
      <c r="F1671" t="str">
        <f t="shared" si="68"/>
        <v xml:space="preserve">Overige antropogene stoffen </v>
      </c>
      <c r="G1671" t="str">
        <f>""</f>
        <v/>
      </c>
    </row>
    <row r="1672" spans="1:7" x14ac:dyDescent="0.25">
      <c r="A1672">
        <v>6088</v>
      </c>
      <c r="B1672" t="str">
        <f>"PDTA"</f>
        <v>PDTA</v>
      </c>
      <c r="C1672" t="s">
        <v>19016</v>
      </c>
      <c r="D1672" t="str">
        <f>"4408-81-5"</f>
        <v>4408-81-5</v>
      </c>
      <c r="E1672" t="str">
        <f t="shared" si="67"/>
        <v xml:space="preserve">Organische parameters </v>
      </c>
      <c r="F1672" t="str">
        <f t="shared" si="68"/>
        <v xml:space="preserve">Overige antropogene stoffen </v>
      </c>
      <c r="G1672" t="str">
        <f>""</f>
        <v/>
      </c>
    </row>
    <row r="1673" spans="1:7" x14ac:dyDescent="0.25">
      <c r="A1673">
        <v>6089</v>
      </c>
      <c r="B1673" t="str">
        <f>"mestranole"</f>
        <v>mestranole</v>
      </c>
      <c r="C1673" t="s">
        <v>19016</v>
      </c>
      <c r="D1673" t="str">
        <f>"72-33-3"</f>
        <v>72-33-3</v>
      </c>
      <c r="E1673" t="str">
        <f t="shared" si="67"/>
        <v xml:space="preserve">Organische parameters </v>
      </c>
      <c r="F1673" t="str">
        <f t="shared" si="68"/>
        <v xml:space="preserve">Overige antropogene stoffen </v>
      </c>
      <c r="G1673" t="str">
        <f>""</f>
        <v/>
      </c>
    </row>
    <row r="1674" spans="1:7" x14ac:dyDescent="0.25">
      <c r="A1674">
        <v>6090</v>
      </c>
      <c r="B1674" t="str">
        <f>"norethisterone"</f>
        <v>norethisterone</v>
      </c>
      <c r="C1674" t="s">
        <v>19016</v>
      </c>
      <c r="D1674" t="str">
        <f>"68-22-4"</f>
        <v>68-22-4</v>
      </c>
      <c r="E1674" t="str">
        <f t="shared" si="67"/>
        <v xml:space="preserve">Organische parameters </v>
      </c>
      <c r="F1674" t="str">
        <f t="shared" si="68"/>
        <v xml:space="preserve">Overige antropogene stoffen </v>
      </c>
      <c r="G1674" t="str">
        <f>""</f>
        <v/>
      </c>
    </row>
    <row r="1675" spans="1:7" x14ac:dyDescent="0.25">
      <c r="A1675">
        <v>6091</v>
      </c>
      <c r="B1675" t="str">
        <f>"sulfaquinoxaline"</f>
        <v>sulfaquinoxaline</v>
      </c>
      <c r="C1675" t="s">
        <v>19016</v>
      </c>
      <c r="D1675" t="str">
        <f>"59-40-5"</f>
        <v>59-40-5</v>
      </c>
      <c r="E1675" t="str">
        <f t="shared" si="67"/>
        <v xml:space="preserve">Organische parameters </v>
      </c>
      <c r="F1675" t="str">
        <f t="shared" si="68"/>
        <v xml:space="preserve">Overige antropogene stoffen </v>
      </c>
      <c r="G1675" t="str">
        <f>""</f>
        <v/>
      </c>
    </row>
    <row r="1676" spans="1:7" x14ac:dyDescent="0.25">
      <c r="A1676">
        <v>6092</v>
      </c>
      <c r="B1676" t="str">
        <f>"sulfachloorpyridazine"</f>
        <v>sulfachloorpyridazine</v>
      </c>
      <c r="C1676" t="s">
        <v>19016</v>
      </c>
      <c r="D1676" t="str">
        <f>"80-32-0"</f>
        <v>80-32-0</v>
      </c>
      <c r="E1676" t="str">
        <f t="shared" si="67"/>
        <v xml:space="preserve">Organische parameters </v>
      </c>
      <c r="F1676" t="str">
        <f t="shared" si="68"/>
        <v xml:space="preserve">Overige antropogene stoffen </v>
      </c>
      <c r="G1676" t="str">
        <f>""</f>
        <v/>
      </c>
    </row>
    <row r="1677" spans="1:7" x14ac:dyDescent="0.25">
      <c r="A1677">
        <v>6093</v>
      </c>
      <c r="B1677" t="str">
        <f>"sulfadimethoxine"</f>
        <v>sulfadimethoxine</v>
      </c>
      <c r="C1677" t="s">
        <v>19016</v>
      </c>
      <c r="D1677" t="str">
        <f>"122-11-2"</f>
        <v>122-11-2</v>
      </c>
      <c r="E1677" t="str">
        <f t="shared" ref="E1677:E1740" si="69">"Organische parameters "</f>
        <v xml:space="preserve">Organische parameters </v>
      </c>
      <c r="F1677" t="str">
        <f t="shared" si="68"/>
        <v xml:space="preserve">Overige antropogene stoffen </v>
      </c>
      <c r="G1677" t="str">
        <f>""</f>
        <v/>
      </c>
    </row>
    <row r="1678" spans="1:7" x14ac:dyDescent="0.25">
      <c r="A1678">
        <v>6094</v>
      </c>
      <c r="B1678" t="str">
        <f>"clofibraat"</f>
        <v>clofibraat</v>
      </c>
      <c r="C1678" t="s">
        <v>19016</v>
      </c>
      <c r="D1678" t="str">
        <f>"637-07-0"</f>
        <v>637-07-0</v>
      </c>
      <c r="E1678" t="str">
        <f t="shared" si="69"/>
        <v xml:space="preserve">Organische parameters </v>
      </c>
      <c r="F1678" t="str">
        <f t="shared" si="68"/>
        <v xml:space="preserve">Overige antropogene stoffen </v>
      </c>
      <c r="G1678" t="str">
        <f>""</f>
        <v/>
      </c>
    </row>
    <row r="1679" spans="1:7" x14ac:dyDescent="0.25">
      <c r="A1679">
        <v>6095</v>
      </c>
      <c r="B1679" t="str">
        <f>"sulfacetamide"</f>
        <v>sulfacetamide</v>
      </c>
      <c r="C1679" t="s">
        <v>19016</v>
      </c>
      <c r="D1679" t="str">
        <f>"144-80-9"</f>
        <v>144-80-9</v>
      </c>
      <c r="E1679" t="str">
        <f t="shared" si="69"/>
        <v xml:space="preserve">Organische parameters </v>
      </c>
      <c r="F1679" t="str">
        <f t="shared" si="68"/>
        <v xml:space="preserve">Overige antropogene stoffen </v>
      </c>
      <c r="G1679" t="str">
        <f>""</f>
        <v/>
      </c>
    </row>
    <row r="1680" spans="1:7" x14ac:dyDescent="0.25">
      <c r="A1680">
        <v>6096</v>
      </c>
      <c r="B1680" t="str">
        <f>"sulfadoxine"</f>
        <v>sulfadoxine</v>
      </c>
      <c r="C1680" t="s">
        <v>19016</v>
      </c>
      <c r="D1680" t="str">
        <f>"2447-57-6"</f>
        <v>2447-57-6</v>
      </c>
      <c r="E1680" t="str">
        <f t="shared" si="69"/>
        <v xml:space="preserve">Organische parameters </v>
      </c>
      <c r="F1680" t="str">
        <f t="shared" si="68"/>
        <v xml:space="preserve">Overige antropogene stoffen </v>
      </c>
      <c r="G1680" t="str">
        <f>""</f>
        <v/>
      </c>
    </row>
    <row r="1681" spans="1:7" x14ac:dyDescent="0.25">
      <c r="A1681">
        <v>6097</v>
      </c>
      <c r="B1681" t="str">
        <f>"sulfapyridine"</f>
        <v>sulfapyridine</v>
      </c>
      <c r="C1681" t="s">
        <v>19016</v>
      </c>
      <c r="D1681" t="str">
        <f>"144-83-2"</f>
        <v>144-83-2</v>
      </c>
      <c r="E1681" t="str">
        <f t="shared" si="69"/>
        <v xml:space="preserve">Organische parameters </v>
      </c>
      <c r="F1681" t="str">
        <f t="shared" si="68"/>
        <v xml:space="preserve">Overige antropogene stoffen </v>
      </c>
      <c r="G1681" t="str">
        <f>""</f>
        <v/>
      </c>
    </row>
    <row r="1682" spans="1:7" x14ac:dyDescent="0.25">
      <c r="A1682">
        <v>6098</v>
      </c>
      <c r="B1682" t="str">
        <f>"sulfafenazol"</f>
        <v>sulfafenazol</v>
      </c>
      <c r="C1682" t="s">
        <v>19016</v>
      </c>
      <c r="D1682" t="str">
        <f>"526-08-9"</f>
        <v>526-08-9</v>
      </c>
      <c r="E1682" t="str">
        <f t="shared" si="69"/>
        <v xml:space="preserve">Organische parameters </v>
      </c>
      <c r="F1682" t="str">
        <f t="shared" si="68"/>
        <v xml:space="preserve">Overige antropogene stoffen </v>
      </c>
      <c r="G1682" t="str">
        <f>""</f>
        <v/>
      </c>
    </row>
    <row r="1683" spans="1:7" x14ac:dyDescent="0.25">
      <c r="A1683">
        <v>6099</v>
      </c>
      <c r="B1683" t="str">
        <f>"sulfaguanidine"</f>
        <v>sulfaguanidine</v>
      </c>
      <c r="C1683" t="s">
        <v>19016</v>
      </c>
      <c r="D1683" t="str">
        <f>"57-67-0"</f>
        <v>57-67-0</v>
      </c>
      <c r="E1683" t="str">
        <f t="shared" si="69"/>
        <v xml:space="preserve">Organische parameters </v>
      </c>
      <c r="F1683" t="str">
        <f t="shared" ref="F1683:F1746" si="70">"Overige antropogene stoffen "</f>
        <v xml:space="preserve">Overige antropogene stoffen </v>
      </c>
      <c r="G1683" t="str">
        <f>""</f>
        <v/>
      </c>
    </row>
    <row r="1684" spans="1:7" x14ac:dyDescent="0.25">
      <c r="A1684">
        <v>6100</v>
      </c>
      <c r="B1684" t="str">
        <f>"flumequine"</f>
        <v>flumequine</v>
      </c>
      <c r="C1684" t="s">
        <v>19016</v>
      </c>
      <c r="D1684" t="str">
        <f>"42835-25-6"</f>
        <v>42835-25-6</v>
      </c>
      <c r="E1684" t="str">
        <f t="shared" si="69"/>
        <v xml:space="preserve">Organische parameters </v>
      </c>
      <c r="F1684" t="str">
        <f t="shared" si="70"/>
        <v xml:space="preserve">Overige antropogene stoffen </v>
      </c>
      <c r="G1684" t="str">
        <f>""</f>
        <v/>
      </c>
    </row>
    <row r="1685" spans="1:7" x14ac:dyDescent="0.25">
      <c r="A1685">
        <v>6101</v>
      </c>
      <c r="B1685" t="str">
        <f>"sulfamethoxypyridazine"</f>
        <v>sulfamethoxypyridazine</v>
      </c>
      <c r="C1685" t="s">
        <v>19016</v>
      </c>
      <c r="D1685" t="str">
        <f>"80-35-3"</f>
        <v>80-35-3</v>
      </c>
      <c r="E1685" t="str">
        <f t="shared" si="69"/>
        <v xml:space="preserve">Organische parameters </v>
      </c>
      <c r="F1685" t="str">
        <f t="shared" si="70"/>
        <v xml:space="preserve">Overige antropogene stoffen </v>
      </c>
      <c r="G1685" t="str">
        <f>""</f>
        <v/>
      </c>
    </row>
    <row r="1686" spans="1:7" x14ac:dyDescent="0.25">
      <c r="A1686">
        <v>6102</v>
      </c>
      <c r="B1686" t="str">
        <f>"sulfathiazole"</f>
        <v>sulfathiazole</v>
      </c>
      <c r="C1686" t="s">
        <v>19016</v>
      </c>
      <c r="D1686" t="str">
        <f>"72-14-0"</f>
        <v>72-14-0</v>
      </c>
      <c r="E1686" t="str">
        <f t="shared" si="69"/>
        <v xml:space="preserve">Organische parameters </v>
      </c>
      <c r="F1686" t="str">
        <f t="shared" si="70"/>
        <v xml:space="preserve">Overige antropogene stoffen </v>
      </c>
      <c r="G1686" t="str">
        <f>""</f>
        <v/>
      </c>
    </row>
    <row r="1687" spans="1:7" x14ac:dyDescent="0.25">
      <c r="A1687">
        <v>6103</v>
      </c>
      <c r="B1687" t="str">
        <f>"sulfatroxazol"</f>
        <v>sulfatroxazol</v>
      </c>
      <c r="C1687" t="s">
        <v>19016</v>
      </c>
      <c r="D1687" t="str">
        <f>"23256-23-7"</f>
        <v>23256-23-7</v>
      </c>
      <c r="E1687" t="str">
        <f t="shared" si="69"/>
        <v xml:space="preserve">Organische parameters </v>
      </c>
      <c r="F1687" t="str">
        <f t="shared" si="70"/>
        <v xml:space="preserve">Overige antropogene stoffen </v>
      </c>
      <c r="G1687" t="str">
        <f>""</f>
        <v/>
      </c>
    </row>
    <row r="1688" spans="1:7" x14ac:dyDescent="0.25">
      <c r="A1688">
        <v>6104</v>
      </c>
      <c r="B1688" t="str">
        <f>"sulfisoxazol"</f>
        <v>sulfisoxazol</v>
      </c>
      <c r="C1688" t="s">
        <v>19016</v>
      </c>
      <c r="D1688" t="str">
        <f>"127-69-5"</f>
        <v>127-69-5</v>
      </c>
      <c r="E1688" t="str">
        <f t="shared" si="69"/>
        <v xml:space="preserve">Organische parameters </v>
      </c>
      <c r="F1688" t="str">
        <f t="shared" si="70"/>
        <v xml:space="preserve">Overige antropogene stoffen </v>
      </c>
      <c r="G1688" t="str">
        <f>""</f>
        <v/>
      </c>
    </row>
    <row r="1689" spans="1:7" x14ac:dyDescent="0.25">
      <c r="A1689">
        <v>6105</v>
      </c>
      <c r="B1689" t="str">
        <f>"N(4)-acetylsulfadoxine"</f>
        <v>N(4)-acetylsulfadoxine</v>
      </c>
      <c r="C1689" t="s">
        <v>19016</v>
      </c>
      <c r="D1689" t="str">
        <f>"5018-54-2"</f>
        <v>5018-54-2</v>
      </c>
      <c r="E1689" t="str">
        <f t="shared" si="69"/>
        <v xml:space="preserve">Organische parameters </v>
      </c>
      <c r="F1689" t="str">
        <f t="shared" si="70"/>
        <v xml:space="preserve">Overige antropogene stoffen </v>
      </c>
      <c r="G1689" t="str">
        <f>""</f>
        <v/>
      </c>
    </row>
    <row r="1690" spans="1:7" x14ac:dyDescent="0.25">
      <c r="A1690">
        <v>6106</v>
      </c>
      <c r="B1690" t="str">
        <f>"trans-4,4-dinitrostilben-2,2-disulfonaat"</f>
        <v>trans-4,4-dinitrostilben-2,2-disulfonaat</v>
      </c>
      <c r="C1690" t="s">
        <v>19016</v>
      </c>
      <c r="D1690" t="str">
        <f>""</f>
        <v/>
      </c>
      <c r="E1690" t="str">
        <f t="shared" si="69"/>
        <v xml:space="preserve">Organische parameters </v>
      </c>
      <c r="F1690" t="str">
        <f t="shared" si="70"/>
        <v xml:space="preserve">Overige antropogene stoffen </v>
      </c>
      <c r="G1690" t="str">
        <f>""</f>
        <v/>
      </c>
    </row>
    <row r="1691" spans="1:7" x14ac:dyDescent="0.25">
      <c r="A1691">
        <v>6107</v>
      </c>
      <c r="B1691" t="str">
        <f>"5-nitro-2-methylbenzeensulfonzuur"</f>
        <v>5-nitro-2-methylbenzeensulfonzuur</v>
      </c>
      <c r="C1691" t="s">
        <v>19016</v>
      </c>
      <c r="D1691" t="str">
        <f>"121-03-9"</f>
        <v>121-03-9</v>
      </c>
      <c r="E1691" t="str">
        <f t="shared" si="69"/>
        <v xml:space="preserve">Organische parameters </v>
      </c>
      <c r="F1691" t="str">
        <f t="shared" si="70"/>
        <v xml:space="preserve">Overige antropogene stoffen </v>
      </c>
      <c r="G1691" t="str">
        <f>""</f>
        <v/>
      </c>
    </row>
    <row r="1692" spans="1:7" x14ac:dyDescent="0.25">
      <c r="A1692">
        <v>6108</v>
      </c>
      <c r="B1692" t="str">
        <f>"sulfanilamide"</f>
        <v>sulfanilamide</v>
      </c>
      <c r="C1692" t="s">
        <v>19016</v>
      </c>
      <c r="D1692" t="str">
        <f>"63-74-1"</f>
        <v>63-74-1</v>
      </c>
      <c r="E1692" t="str">
        <f t="shared" si="69"/>
        <v xml:space="preserve">Organische parameters </v>
      </c>
      <c r="F1692" t="str">
        <f t="shared" si="70"/>
        <v xml:space="preserve">Overige antropogene stoffen </v>
      </c>
      <c r="G1692" t="str">
        <f>""</f>
        <v/>
      </c>
    </row>
    <row r="1693" spans="1:7" x14ac:dyDescent="0.25">
      <c r="A1693">
        <v>6109</v>
      </c>
      <c r="B1693" t="str">
        <f>"theofylline"</f>
        <v>theofylline</v>
      </c>
      <c r="C1693" t="s">
        <v>19016</v>
      </c>
      <c r="D1693" t="str">
        <f>"58-55-9"</f>
        <v>58-55-9</v>
      </c>
      <c r="E1693" t="str">
        <f t="shared" si="69"/>
        <v xml:space="preserve">Organische parameters </v>
      </c>
      <c r="F1693" t="str">
        <f t="shared" si="70"/>
        <v xml:space="preserve">Overige antropogene stoffen </v>
      </c>
      <c r="G1693" t="str">
        <f>""</f>
        <v/>
      </c>
    </row>
    <row r="1694" spans="1:7" x14ac:dyDescent="0.25">
      <c r="A1694">
        <v>6111</v>
      </c>
      <c r="B1694" t="str">
        <f>"losartan"</f>
        <v>losartan</v>
      </c>
      <c r="C1694" t="s">
        <v>19016</v>
      </c>
      <c r="D1694" t="str">
        <f>"114798-26-4"</f>
        <v>114798-26-4</v>
      </c>
      <c r="E1694" t="str">
        <f t="shared" si="69"/>
        <v xml:space="preserve">Organische parameters </v>
      </c>
      <c r="F1694" t="str">
        <f t="shared" si="70"/>
        <v xml:space="preserve">Overige antropogene stoffen </v>
      </c>
      <c r="G1694" t="str">
        <f>""</f>
        <v/>
      </c>
    </row>
    <row r="1695" spans="1:7" x14ac:dyDescent="0.25">
      <c r="A1695">
        <v>6112</v>
      </c>
      <c r="B1695" t="str">
        <f>"enalapril"</f>
        <v>enalapril</v>
      </c>
      <c r="C1695" t="s">
        <v>19016</v>
      </c>
      <c r="D1695" t="str">
        <f>"75847-73-3"</f>
        <v>75847-73-3</v>
      </c>
      <c r="E1695" t="str">
        <f t="shared" si="69"/>
        <v xml:space="preserve">Organische parameters </v>
      </c>
      <c r="F1695" t="str">
        <f t="shared" si="70"/>
        <v xml:space="preserve">Overige antropogene stoffen </v>
      </c>
      <c r="G1695" t="str">
        <f>""</f>
        <v/>
      </c>
    </row>
    <row r="1696" spans="1:7" x14ac:dyDescent="0.25">
      <c r="A1696">
        <v>6113</v>
      </c>
      <c r="B1696" t="str">
        <f>"nordazepam"</f>
        <v>nordazepam</v>
      </c>
      <c r="C1696" t="s">
        <v>19016</v>
      </c>
      <c r="D1696" t="str">
        <f>"1088-11-5"</f>
        <v>1088-11-5</v>
      </c>
      <c r="E1696" t="str">
        <f t="shared" si="69"/>
        <v xml:space="preserve">Organische parameters </v>
      </c>
      <c r="F1696" t="str">
        <f t="shared" si="70"/>
        <v xml:space="preserve">Overige antropogene stoffen </v>
      </c>
      <c r="G1696" t="str">
        <f>""</f>
        <v/>
      </c>
    </row>
    <row r="1697" spans="1:7" x14ac:dyDescent="0.25">
      <c r="A1697">
        <v>6114</v>
      </c>
      <c r="B1697" t="str">
        <f>"desalkylflurazepam"</f>
        <v>desalkylflurazepam</v>
      </c>
      <c r="C1697" t="s">
        <v>19016</v>
      </c>
      <c r="D1697" t="str">
        <f>"17617-59-3"</f>
        <v>17617-59-3</v>
      </c>
      <c r="E1697" t="str">
        <f t="shared" si="69"/>
        <v xml:space="preserve">Organische parameters </v>
      </c>
      <c r="F1697" t="str">
        <f t="shared" si="70"/>
        <v xml:space="preserve">Overige antropogene stoffen </v>
      </c>
      <c r="G1697" t="str">
        <f>""</f>
        <v/>
      </c>
    </row>
    <row r="1698" spans="1:7" x14ac:dyDescent="0.25">
      <c r="A1698">
        <v>6115</v>
      </c>
      <c r="B1698" t="str">
        <f>"oxazepam"</f>
        <v>oxazepam</v>
      </c>
      <c r="C1698" t="s">
        <v>19016</v>
      </c>
      <c r="D1698" t="str">
        <f>"604-75-1"</f>
        <v>604-75-1</v>
      </c>
      <c r="E1698" t="str">
        <f t="shared" si="69"/>
        <v xml:space="preserve">Organische parameters </v>
      </c>
      <c r="F1698" t="str">
        <f t="shared" si="70"/>
        <v xml:space="preserve">Overige antropogene stoffen </v>
      </c>
      <c r="G1698" t="str">
        <f>""</f>
        <v/>
      </c>
    </row>
    <row r="1699" spans="1:7" x14ac:dyDescent="0.25">
      <c r="A1699">
        <v>6116</v>
      </c>
      <c r="B1699" t="str">
        <f>"temazepam"</f>
        <v>temazepam</v>
      </c>
      <c r="C1699" t="s">
        <v>19016</v>
      </c>
      <c r="D1699" t="str">
        <f>"846-50-4"</f>
        <v>846-50-4</v>
      </c>
      <c r="E1699" t="str">
        <f t="shared" si="69"/>
        <v xml:space="preserve">Organische parameters </v>
      </c>
      <c r="F1699" t="str">
        <f t="shared" si="70"/>
        <v xml:space="preserve">Overige antropogene stoffen </v>
      </c>
      <c r="G1699" t="str">
        <f>""</f>
        <v/>
      </c>
    </row>
    <row r="1700" spans="1:7" x14ac:dyDescent="0.25">
      <c r="A1700">
        <v>6117</v>
      </c>
      <c r="B1700" t="str">
        <f>"atorvastatine"</f>
        <v>atorvastatine</v>
      </c>
      <c r="C1700" t="s">
        <v>19016</v>
      </c>
      <c r="D1700" t="str">
        <f>"134523-00-5"</f>
        <v>134523-00-5</v>
      </c>
      <c r="E1700" t="str">
        <f t="shared" si="69"/>
        <v xml:space="preserve">Organische parameters </v>
      </c>
      <c r="F1700" t="str">
        <f t="shared" si="70"/>
        <v xml:space="preserve">Overige antropogene stoffen </v>
      </c>
      <c r="G1700" t="str">
        <f>""</f>
        <v/>
      </c>
    </row>
    <row r="1701" spans="1:7" x14ac:dyDescent="0.25">
      <c r="A1701">
        <v>6118</v>
      </c>
      <c r="B1701" t="str">
        <f>"pravastatine"</f>
        <v>pravastatine</v>
      </c>
      <c r="C1701" t="s">
        <v>19016</v>
      </c>
      <c r="D1701" t="str">
        <f>"81093-37-0"</f>
        <v>81093-37-0</v>
      </c>
      <c r="E1701" t="str">
        <f t="shared" si="69"/>
        <v xml:space="preserve">Organische parameters </v>
      </c>
      <c r="F1701" t="str">
        <f t="shared" si="70"/>
        <v xml:space="preserve">Overige antropogene stoffen </v>
      </c>
      <c r="G1701" t="str">
        <f>""</f>
        <v/>
      </c>
    </row>
    <row r="1702" spans="1:7" x14ac:dyDescent="0.25">
      <c r="A1702">
        <v>6119</v>
      </c>
      <c r="B1702" t="str">
        <f>"6-O-monoacetylmorfine"</f>
        <v>6-O-monoacetylmorfine</v>
      </c>
      <c r="C1702" t="s">
        <v>19016</v>
      </c>
      <c r="D1702" t="str">
        <f>"2784-73-8"</f>
        <v>2784-73-8</v>
      </c>
      <c r="E1702" t="str">
        <f t="shared" si="69"/>
        <v xml:space="preserve">Organische parameters </v>
      </c>
      <c r="F1702" t="str">
        <f t="shared" si="70"/>
        <v xml:space="preserve">Overige antropogene stoffen </v>
      </c>
      <c r="G1702" t="str">
        <f>""</f>
        <v/>
      </c>
    </row>
    <row r="1703" spans="1:7" x14ac:dyDescent="0.25">
      <c r="A1703">
        <v>6120</v>
      </c>
      <c r="B1703" t="str">
        <f>"fentanyl"</f>
        <v>fentanyl</v>
      </c>
      <c r="C1703" t="s">
        <v>19016</v>
      </c>
      <c r="D1703" t="str">
        <f>"437-38-7"</f>
        <v>437-38-7</v>
      </c>
      <c r="E1703" t="str">
        <f t="shared" si="69"/>
        <v xml:space="preserve">Organische parameters </v>
      </c>
      <c r="F1703" t="str">
        <f t="shared" si="70"/>
        <v xml:space="preserve">Overige antropogene stoffen </v>
      </c>
      <c r="G1703" t="str">
        <f>""</f>
        <v/>
      </c>
    </row>
    <row r="1704" spans="1:7" x14ac:dyDescent="0.25">
      <c r="A1704">
        <v>6121</v>
      </c>
      <c r="B1704" t="str">
        <f>"fenobarbital"</f>
        <v>fenobarbital</v>
      </c>
      <c r="C1704" t="s">
        <v>19016</v>
      </c>
      <c r="D1704" t="str">
        <f>"50-06-6"</f>
        <v>50-06-6</v>
      </c>
      <c r="E1704" t="str">
        <f t="shared" si="69"/>
        <v xml:space="preserve">Organische parameters </v>
      </c>
      <c r="F1704" t="str">
        <f t="shared" si="70"/>
        <v xml:space="preserve">Overige antropogene stoffen </v>
      </c>
      <c r="G1704" t="str">
        <f>""</f>
        <v/>
      </c>
    </row>
    <row r="1705" spans="1:7" x14ac:dyDescent="0.25">
      <c r="A1705">
        <v>6122</v>
      </c>
      <c r="B1705" t="str">
        <f>"hero‹ne"</f>
        <v>hero‹ne</v>
      </c>
      <c r="C1705" t="s">
        <v>19016</v>
      </c>
      <c r="D1705" t="str">
        <f>"561-27-3"</f>
        <v>561-27-3</v>
      </c>
      <c r="E1705" t="str">
        <f t="shared" si="69"/>
        <v xml:space="preserve">Organische parameters </v>
      </c>
      <c r="F1705" t="str">
        <f t="shared" si="70"/>
        <v xml:space="preserve">Overige antropogene stoffen </v>
      </c>
      <c r="G1705" t="str">
        <f>""</f>
        <v/>
      </c>
    </row>
    <row r="1706" spans="1:7" x14ac:dyDescent="0.25">
      <c r="A1706">
        <v>6123</v>
      </c>
      <c r="B1706" t="str">
        <f>"morfine"</f>
        <v>morfine</v>
      </c>
      <c r="C1706" t="s">
        <v>19016</v>
      </c>
      <c r="D1706" t="str">
        <f>"57-27-2"</f>
        <v>57-27-2</v>
      </c>
      <c r="E1706" t="str">
        <f t="shared" si="69"/>
        <v xml:space="preserve">Organische parameters </v>
      </c>
      <c r="F1706" t="str">
        <f t="shared" si="70"/>
        <v xml:space="preserve">Overige antropogene stoffen </v>
      </c>
      <c r="G1706" t="str">
        <f>""</f>
        <v/>
      </c>
    </row>
    <row r="1707" spans="1:7" x14ac:dyDescent="0.25">
      <c r="A1707">
        <v>6124</v>
      </c>
      <c r="B1707" t="str">
        <f>"amobarbital"</f>
        <v>amobarbital</v>
      </c>
      <c r="C1707" t="s">
        <v>19016</v>
      </c>
      <c r="D1707" t="str">
        <f>"57-43-2"</f>
        <v>57-43-2</v>
      </c>
      <c r="E1707" t="str">
        <f t="shared" si="69"/>
        <v xml:space="preserve">Organische parameters </v>
      </c>
      <c r="F1707" t="str">
        <f t="shared" si="70"/>
        <v xml:space="preserve">Overige antropogene stoffen </v>
      </c>
      <c r="G1707" t="str">
        <f>""</f>
        <v/>
      </c>
    </row>
    <row r="1708" spans="1:7" x14ac:dyDescent="0.25">
      <c r="A1708">
        <v>6125</v>
      </c>
      <c r="B1708" t="str">
        <f>"barbital"</f>
        <v>barbital</v>
      </c>
      <c r="C1708" t="s">
        <v>19016</v>
      </c>
      <c r="D1708" t="str">
        <f>"57-44-3"</f>
        <v>57-44-3</v>
      </c>
      <c r="E1708" t="str">
        <f t="shared" si="69"/>
        <v xml:space="preserve">Organische parameters </v>
      </c>
      <c r="F1708" t="str">
        <f t="shared" si="70"/>
        <v xml:space="preserve">Overige antropogene stoffen </v>
      </c>
      <c r="G1708" t="str">
        <f>""</f>
        <v/>
      </c>
    </row>
    <row r="1709" spans="1:7" x14ac:dyDescent="0.25">
      <c r="A1709">
        <v>6126</v>
      </c>
      <c r="B1709" t="str">
        <f>"code‹ne"</f>
        <v>code‹ne</v>
      </c>
      <c r="C1709" t="s">
        <v>19016</v>
      </c>
      <c r="D1709" t="str">
        <f>"76-57-3"</f>
        <v>76-57-3</v>
      </c>
      <c r="E1709" t="str">
        <f t="shared" si="69"/>
        <v xml:space="preserve">Organische parameters </v>
      </c>
      <c r="F1709" t="str">
        <f t="shared" si="70"/>
        <v xml:space="preserve">Overige antropogene stoffen </v>
      </c>
      <c r="G1709" t="str">
        <f>""</f>
        <v/>
      </c>
    </row>
    <row r="1710" spans="1:7" x14ac:dyDescent="0.25">
      <c r="A1710">
        <v>6127</v>
      </c>
      <c r="B1710" t="str">
        <f>"secobarbital"</f>
        <v>secobarbital</v>
      </c>
      <c r="C1710" t="s">
        <v>19016</v>
      </c>
      <c r="D1710" t="str">
        <f>"76-73-3"</f>
        <v>76-73-3</v>
      </c>
      <c r="E1710" t="str">
        <f t="shared" si="69"/>
        <v xml:space="preserve">Organische parameters </v>
      </c>
      <c r="F1710" t="str">
        <f t="shared" si="70"/>
        <v xml:space="preserve">Overige antropogene stoffen </v>
      </c>
      <c r="G1710" t="str">
        <f>""</f>
        <v/>
      </c>
    </row>
    <row r="1711" spans="1:7" x14ac:dyDescent="0.25">
      <c r="A1711">
        <v>6128</v>
      </c>
      <c r="B1711" t="str">
        <f>"pentobarbital"</f>
        <v>pentobarbital</v>
      </c>
      <c r="C1711" t="s">
        <v>19016</v>
      </c>
      <c r="D1711" t="str">
        <f>"76-74-4"</f>
        <v>76-74-4</v>
      </c>
      <c r="E1711" t="str">
        <f t="shared" si="69"/>
        <v xml:space="preserve">Organische parameters </v>
      </c>
      <c r="F1711" t="str">
        <f t="shared" si="70"/>
        <v xml:space="preserve">Overige antropogene stoffen </v>
      </c>
      <c r="G1711" t="str">
        <f>""</f>
        <v/>
      </c>
    </row>
    <row r="1712" spans="1:7" x14ac:dyDescent="0.25">
      <c r="A1712">
        <v>6129</v>
      </c>
      <c r="B1712" t="str">
        <f>"thiopental"</f>
        <v>thiopental</v>
      </c>
      <c r="C1712" t="s">
        <v>19016</v>
      </c>
      <c r="D1712" t="str">
        <f>"76-75-5"</f>
        <v>76-75-5</v>
      </c>
      <c r="E1712" t="str">
        <f t="shared" si="69"/>
        <v xml:space="preserve">Organische parameters </v>
      </c>
      <c r="F1712" t="str">
        <f t="shared" si="70"/>
        <v xml:space="preserve">Overige antropogene stoffen </v>
      </c>
      <c r="G1712" t="str">
        <f>""</f>
        <v/>
      </c>
    </row>
    <row r="1713" spans="1:7" x14ac:dyDescent="0.25">
      <c r="A1713">
        <v>6130</v>
      </c>
      <c r="B1713" t="str">
        <f>"butalbital"</f>
        <v>butalbital</v>
      </c>
      <c r="C1713" t="s">
        <v>19016</v>
      </c>
      <c r="D1713" t="str">
        <f>"77-26-9"</f>
        <v>77-26-9</v>
      </c>
      <c r="E1713" t="str">
        <f t="shared" si="69"/>
        <v xml:space="preserve">Organische parameters </v>
      </c>
      <c r="F1713" t="str">
        <f t="shared" si="70"/>
        <v xml:space="preserve">Overige antropogene stoffen </v>
      </c>
      <c r="G1713" t="str">
        <f>""</f>
        <v/>
      </c>
    </row>
    <row r="1714" spans="1:7" x14ac:dyDescent="0.25">
      <c r="A1714">
        <v>6133</v>
      </c>
      <c r="B1714" t="str">
        <f>"paracetamol"</f>
        <v>paracetamol</v>
      </c>
      <c r="C1714" t="s">
        <v>19016</v>
      </c>
      <c r="D1714" t="str">
        <f>"103-90-2"</f>
        <v>103-90-2</v>
      </c>
      <c r="E1714" t="str">
        <f t="shared" si="69"/>
        <v xml:space="preserve">Organische parameters </v>
      </c>
      <c r="F1714" t="str">
        <f t="shared" si="70"/>
        <v xml:space="preserve">Overige antropogene stoffen </v>
      </c>
      <c r="G1714" t="str">
        <f>""</f>
        <v/>
      </c>
    </row>
    <row r="1715" spans="1:7" x14ac:dyDescent="0.25">
      <c r="A1715">
        <v>6134</v>
      </c>
      <c r="B1715" t="str">
        <f>"salicylzuur"</f>
        <v>salicylzuur</v>
      </c>
      <c r="C1715" t="s">
        <v>19016</v>
      </c>
      <c r="D1715" t="str">
        <f>"69-72-7"</f>
        <v>69-72-7</v>
      </c>
      <c r="E1715" t="str">
        <f t="shared" si="69"/>
        <v xml:space="preserve">Organische parameters </v>
      </c>
      <c r="F1715" t="str">
        <f t="shared" si="70"/>
        <v xml:space="preserve">Overige antropogene stoffen </v>
      </c>
      <c r="G1715" t="str">
        <f>""</f>
        <v/>
      </c>
    </row>
    <row r="1716" spans="1:7" x14ac:dyDescent="0.25">
      <c r="A1716">
        <v>6135</v>
      </c>
      <c r="B1716" t="str">
        <f>"delta-9-tetrahydrocannabinol"</f>
        <v>delta-9-tetrahydrocannabinol</v>
      </c>
      <c r="C1716" t="s">
        <v>19016</v>
      </c>
      <c r="D1716" t="str">
        <f>"3-8-1972"</f>
        <v>3-8-1972</v>
      </c>
      <c r="E1716" t="str">
        <f t="shared" si="69"/>
        <v xml:space="preserve">Organische parameters </v>
      </c>
      <c r="F1716" t="str">
        <f t="shared" si="70"/>
        <v xml:space="preserve">Overige antropogene stoffen </v>
      </c>
      <c r="G1716" t="str">
        <f>""</f>
        <v/>
      </c>
    </row>
    <row r="1717" spans="1:7" x14ac:dyDescent="0.25">
      <c r="A1717">
        <v>6136</v>
      </c>
      <c r="B1717" t="str">
        <f>"flunisolide"</f>
        <v>flunisolide</v>
      </c>
      <c r="C1717" t="s">
        <v>19016</v>
      </c>
      <c r="D1717" t="str">
        <f>"3-3-3385"</f>
        <v>3-3-3385</v>
      </c>
      <c r="E1717" t="str">
        <f t="shared" si="69"/>
        <v xml:space="preserve">Organische parameters </v>
      </c>
      <c r="F1717" t="str">
        <f t="shared" si="70"/>
        <v xml:space="preserve">Overige antropogene stoffen </v>
      </c>
      <c r="G1717" t="str">
        <f>""</f>
        <v/>
      </c>
    </row>
    <row r="1718" spans="1:7" x14ac:dyDescent="0.25">
      <c r="A1718">
        <v>6137</v>
      </c>
      <c r="B1718" t="str">
        <f>"triamcinolon"</f>
        <v>triamcinolon</v>
      </c>
      <c r="C1718" t="s">
        <v>19016</v>
      </c>
      <c r="D1718" t="str">
        <f>"124-94-7"</f>
        <v>124-94-7</v>
      </c>
      <c r="E1718" t="str">
        <f t="shared" si="69"/>
        <v xml:space="preserve">Organische parameters </v>
      </c>
      <c r="F1718" t="str">
        <f t="shared" si="70"/>
        <v xml:space="preserve">Overige antropogene stoffen </v>
      </c>
      <c r="G1718" t="str">
        <f>""</f>
        <v/>
      </c>
    </row>
    <row r="1719" spans="1:7" x14ac:dyDescent="0.25">
      <c r="A1719">
        <v>6138</v>
      </c>
      <c r="B1719" t="str">
        <f>"methylfenidaat"</f>
        <v>methylfenidaat</v>
      </c>
      <c r="C1719" t="s">
        <v>19016</v>
      </c>
      <c r="D1719" t="str">
        <f>"298-59-9"</f>
        <v>298-59-9</v>
      </c>
      <c r="E1719" t="str">
        <f t="shared" si="69"/>
        <v xml:space="preserve">Organische parameters </v>
      </c>
      <c r="F1719" t="str">
        <f t="shared" si="70"/>
        <v xml:space="preserve">Overige antropogene stoffen </v>
      </c>
      <c r="G1719" t="str">
        <f>""</f>
        <v/>
      </c>
    </row>
    <row r="1720" spans="1:7" x14ac:dyDescent="0.25">
      <c r="A1720">
        <v>6139</v>
      </c>
      <c r="B1720" t="str">
        <f>"amfetamine"</f>
        <v>amfetamine</v>
      </c>
      <c r="C1720" t="s">
        <v>19016</v>
      </c>
      <c r="D1720" t="str">
        <f>"300-62-9"</f>
        <v>300-62-9</v>
      </c>
      <c r="E1720" t="str">
        <f t="shared" si="69"/>
        <v xml:space="preserve">Organische parameters </v>
      </c>
      <c r="F1720" t="str">
        <f t="shared" si="70"/>
        <v xml:space="preserve">Overige antropogene stoffen </v>
      </c>
      <c r="G1720" t="str">
        <f>""</f>
        <v/>
      </c>
    </row>
    <row r="1721" spans="1:7" x14ac:dyDescent="0.25">
      <c r="A1721">
        <v>6140</v>
      </c>
      <c r="B1721" t="str">
        <f>"11-hydroxytetrahydrocannabinol"</f>
        <v>11-hydroxytetrahydrocannabinol</v>
      </c>
      <c r="C1721" t="s">
        <v>19016</v>
      </c>
      <c r="D1721" t="str">
        <f>"36557-05-8"</f>
        <v>36557-05-8</v>
      </c>
      <c r="E1721" t="str">
        <f t="shared" si="69"/>
        <v xml:space="preserve">Organische parameters </v>
      </c>
      <c r="F1721" t="str">
        <f t="shared" si="70"/>
        <v xml:space="preserve">Overige antropogene stoffen </v>
      </c>
      <c r="G1721" t="str">
        <f>""</f>
        <v/>
      </c>
    </row>
    <row r="1722" spans="1:7" x14ac:dyDescent="0.25">
      <c r="A1722">
        <v>6141</v>
      </c>
      <c r="B1722" t="str">
        <f>"desoximetason"</f>
        <v>desoximetason</v>
      </c>
      <c r="C1722" t="s">
        <v>19016</v>
      </c>
      <c r="D1722" t="str">
        <f>"382-67-2"</f>
        <v>382-67-2</v>
      </c>
      <c r="E1722" t="str">
        <f t="shared" si="69"/>
        <v xml:space="preserve">Organische parameters </v>
      </c>
      <c r="F1722" t="str">
        <f t="shared" si="70"/>
        <v xml:space="preserve">Overige antropogene stoffen </v>
      </c>
      <c r="G1722" t="str">
        <f>""</f>
        <v/>
      </c>
    </row>
    <row r="1723" spans="1:7" x14ac:dyDescent="0.25">
      <c r="A1723">
        <v>6142</v>
      </c>
      <c r="B1723" t="str">
        <f>"N-methyl-3,4-methyleendioxyamfetamine"</f>
        <v>N-methyl-3,4-methyleendioxyamfetamine</v>
      </c>
      <c r="C1723" t="s">
        <v>19016</v>
      </c>
      <c r="D1723" t="str">
        <f>"42542-10-9"</f>
        <v>42542-10-9</v>
      </c>
      <c r="E1723" t="str">
        <f t="shared" si="69"/>
        <v xml:space="preserve">Organische parameters </v>
      </c>
      <c r="F1723" t="str">
        <f t="shared" si="70"/>
        <v xml:space="preserve">Overige antropogene stoffen </v>
      </c>
      <c r="G1723" t="str">
        <f>""</f>
        <v/>
      </c>
    </row>
    <row r="1724" spans="1:7" x14ac:dyDescent="0.25">
      <c r="A1724">
        <v>6143</v>
      </c>
      <c r="B1724" t="str">
        <f>"fluorometholon"</f>
        <v>fluorometholon</v>
      </c>
      <c r="C1724" t="s">
        <v>19016</v>
      </c>
      <c r="D1724" t="str">
        <f>"426-13-1"</f>
        <v>426-13-1</v>
      </c>
      <c r="E1724" t="str">
        <f t="shared" si="69"/>
        <v xml:space="preserve">Organische parameters </v>
      </c>
      <c r="F1724" t="str">
        <f t="shared" si="70"/>
        <v xml:space="preserve">Overige antropogene stoffen </v>
      </c>
      <c r="G1724" t="str">
        <f>""</f>
        <v/>
      </c>
    </row>
    <row r="1725" spans="1:7" x14ac:dyDescent="0.25">
      <c r="A1725">
        <v>6144</v>
      </c>
      <c r="B1725" t="str">
        <f>"tenamfetamine"</f>
        <v>tenamfetamine</v>
      </c>
      <c r="C1725" t="s">
        <v>19016</v>
      </c>
      <c r="D1725" t="str">
        <f>"4764-17-4"</f>
        <v>4764-17-4</v>
      </c>
      <c r="E1725" t="str">
        <f t="shared" si="69"/>
        <v xml:space="preserve">Organische parameters </v>
      </c>
      <c r="F1725" t="str">
        <f t="shared" si="70"/>
        <v xml:space="preserve">Overige antropogene stoffen </v>
      </c>
      <c r="G1725" t="str">
        <f>""</f>
        <v/>
      </c>
    </row>
    <row r="1726" spans="1:7" x14ac:dyDescent="0.25">
      <c r="A1726">
        <v>6145</v>
      </c>
      <c r="B1726" t="str">
        <f>"rimexolon"</f>
        <v>rimexolon</v>
      </c>
      <c r="C1726" t="s">
        <v>19016</v>
      </c>
      <c r="D1726" t="str">
        <f>"49697-38-3"</f>
        <v>49697-38-3</v>
      </c>
      <c r="E1726" t="str">
        <f t="shared" si="69"/>
        <v xml:space="preserve">Organische parameters </v>
      </c>
      <c r="F1726" t="str">
        <f t="shared" si="70"/>
        <v xml:space="preserve">Overige antropogene stoffen </v>
      </c>
      <c r="G1726" t="str">
        <f>""</f>
        <v/>
      </c>
    </row>
    <row r="1727" spans="1:7" x14ac:dyDescent="0.25">
      <c r="A1727">
        <v>6146</v>
      </c>
      <c r="B1727" t="str">
        <f>"dexamethason"</f>
        <v>dexamethason</v>
      </c>
      <c r="C1727" t="s">
        <v>19016</v>
      </c>
      <c r="D1727" t="str">
        <f>"50-02-2"</f>
        <v>50-02-2</v>
      </c>
      <c r="E1727" t="str">
        <f t="shared" si="69"/>
        <v xml:space="preserve">Organische parameters </v>
      </c>
      <c r="F1727" t="str">
        <f t="shared" si="70"/>
        <v xml:space="preserve">Overige antropogene stoffen </v>
      </c>
      <c r="G1727" t="str">
        <f>""</f>
        <v/>
      </c>
    </row>
    <row r="1728" spans="1:7" x14ac:dyDescent="0.25">
      <c r="A1728">
        <v>6147</v>
      </c>
      <c r="B1728" t="str">
        <f>"hydrocortison"</f>
        <v>hydrocortison</v>
      </c>
      <c r="C1728" t="s">
        <v>19016</v>
      </c>
      <c r="D1728" t="str">
        <f>"50-23-7"</f>
        <v>50-23-7</v>
      </c>
      <c r="E1728" t="str">
        <f t="shared" si="69"/>
        <v xml:space="preserve">Organische parameters </v>
      </c>
      <c r="F1728" t="str">
        <f t="shared" si="70"/>
        <v xml:space="preserve">Overige antropogene stoffen </v>
      </c>
      <c r="G1728" t="str">
        <f>""</f>
        <v/>
      </c>
    </row>
    <row r="1729" spans="1:7" x14ac:dyDescent="0.25">
      <c r="A1729">
        <v>6148</v>
      </c>
      <c r="B1729" t="str">
        <f>"prednisolon"</f>
        <v>prednisolon</v>
      </c>
      <c r="C1729" t="s">
        <v>19016</v>
      </c>
      <c r="D1729" t="str">
        <f>"50-24-8"</f>
        <v>50-24-8</v>
      </c>
      <c r="E1729" t="str">
        <f t="shared" si="69"/>
        <v xml:space="preserve">Organische parameters </v>
      </c>
      <c r="F1729" t="str">
        <f t="shared" si="70"/>
        <v xml:space="preserve">Overige antropogene stoffen </v>
      </c>
      <c r="G1729" t="str">
        <f>""</f>
        <v/>
      </c>
    </row>
    <row r="1730" spans="1:7" x14ac:dyDescent="0.25">
      <c r="A1730">
        <v>6149</v>
      </c>
      <c r="B1730" t="str">
        <f>"coca‹ne"</f>
        <v>coca‹ne</v>
      </c>
      <c r="C1730" t="s">
        <v>19016</v>
      </c>
      <c r="D1730" t="str">
        <f>"50-36-2"</f>
        <v>50-36-2</v>
      </c>
      <c r="E1730" t="str">
        <f t="shared" si="69"/>
        <v xml:space="preserve">Organische parameters </v>
      </c>
      <c r="F1730" t="str">
        <f t="shared" si="70"/>
        <v xml:space="preserve">Overige antropogene stoffen </v>
      </c>
      <c r="G1730" t="str">
        <f>""</f>
        <v/>
      </c>
    </row>
    <row r="1731" spans="1:7" x14ac:dyDescent="0.25">
      <c r="A1731">
        <v>6150</v>
      </c>
      <c r="B1731" t="str">
        <f>"amcinonide"</f>
        <v>amcinonide</v>
      </c>
      <c r="C1731" t="s">
        <v>19016</v>
      </c>
      <c r="D1731" t="str">
        <f>"51022-69-6"</f>
        <v>51022-69-6</v>
      </c>
      <c r="E1731" t="str">
        <f t="shared" si="69"/>
        <v xml:space="preserve">Organische parameters </v>
      </c>
      <c r="F1731" t="str">
        <f t="shared" si="70"/>
        <v xml:space="preserve">Overige antropogene stoffen </v>
      </c>
      <c r="G1731" t="str">
        <f>""</f>
        <v/>
      </c>
    </row>
    <row r="1732" spans="1:7" x14ac:dyDescent="0.25">
      <c r="A1732">
        <v>6151</v>
      </c>
      <c r="B1732" t="str">
        <f>"meta-chlorofenylpiperazine"</f>
        <v>meta-chlorofenylpiperazine</v>
      </c>
      <c r="C1732" t="s">
        <v>19016</v>
      </c>
      <c r="D1732" t="str">
        <f>"51639-49-7"</f>
        <v>51639-49-7</v>
      </c>
      <c r="E1732" t="str">
        <f t="shared" si="69"/>
        <v xml:space="preserve">Organische parameters </v>
      </c>
      <c r="F1732" t="str">
        <f t="shared" si="70"/>
        <v xml:space="preserve">Overige antropogene stoffen </v>
      </c>
      <c r="G1732" t="str">
        <f>""</f>
        <v/>
      </c>
    </row>
    <row r="1733" spans="1:7" x14ac:dyDescent="0.25">
      <c r="A1733">
        <v>6152</v>
      </c>
      <c r="B1733" t="str">
        <f>"benzoylecgonine"</f>
        <v>benzoylecgonine</v>
      </c>
      <c r="C1733" t="s">
        <v>19016</v>
      </c>
      <c r="D1733" t="str">
        <f>"519-09-5"</f>
        <v>519-09-5</v>
      </c>
      <c r="E1733" t="str">
        <f t="shared" si="69"/>
        <v xml:space="preserve">Organische parameters </v>
      </c>
      <c r="F1733" t="str">
        <f t="shared" si="70"/>
        <v xml:space="preserve">Overige antropogene stoffen </v>
      </c>
      <c r="G1733" t="str">
        <f>""</f>
        <v/>
      </c>
    </row>
    <row r="1734" spans="1:7" x14ac:dyDescent="0.25">
      <c r="A1734">
        <v>6153</v>
      </c>
      <c r="B1734" t="str">
        <f>"aldosteron"</f>
        <v>aldosteron</v>
      </c>
      <c r="C1734" t="s">
        <v>19016</v>
      </c>
      <c r="D1734" t="str">
        <f>"52-39-1"</f>
        <v>52-39-1</v>
      </c>
      <c r="E1734" t="str">
        <f t="shared" si="69"/>
        <v xml:space="preserve">Organische parameters </v>
      </c>
      <c r="F1734" t="str">
        <f t="shared" si="70"/>
        <v xml:space="preserve">Overige antropogene stoffen </v>
      </c>
      <c r="G1734" t="str">
        <f>""</f>
        <v/>
      </c>
    </row>
    <row r="1735" spans="1:7" x14ac:dyDescent="0.25">
      <c r="A1735">
        <v>6154</v>
      </c>
      <c r="B1735" t="str">
        <f>"prednison"</f>
        <v>prednison</v>
      </c>
      <c r="C1735" t="s">
        <v>19016</v>
      </c>
      <c r="D1735" t="str">
        <f>"53-03-2"</f>
        <v>53-03-2</v>
      </c>
      <c r="E1735" t="str">
        <f t="shared" si="69"/>
        <v xml:space="preserve">Organische parameters </v>
      </c>
      <c r="F1735" t="str">
        <f t="shared" si="70"/>
        <v xml:space="preserve">Overige antropogene stoffen </v>
      </c>
      <c r="G1735" t="str">
        <f>""</f>
        <v/>
      </c>
    </row>
    <row r="1736" spans="1:7" x14ac:dyDescent="0.25">
      <c r="A1736">
        <v>6155</v>
      </c>
      <c r="B1736" t="str">
        <f>"cortison"</f>
        <v>cortison</v>
      </c>
      <c r="C1736" t="s">
        <v>19016</v>
      </c>
      <c r="D1736" t="str">
        <f>"53-06-5"</f>
        <v>53-06-5</v>
      </c>
      <c r="E1736" t="str">
        <f t="shared" si="69"/>
        <v xml:space="preserve">Organische parameters </v>
      </c>
      <c r="F1736" t="str">
        <f t="shared" si="70"/>
        <v xml:space="preserve">Overige antropogene stoffen </v>
      </c>
      <c r="G1736" t="str">
        <f>""</f>
        <v/>
      </c>
    </row>
    <row r="1737" spans="1:7" x14ac:dyDescent="0.25">
      <c r="A1737">
        <v>6156</v>
      </c>
      <c r="B1737" t="str">
        <f>"metamfetamine"</f>
        <v>metamfetamine</v>
      </c>
      <c r="C1737" t="s">
        <v>19016</v>
      </c>
      <c r="D1737" t="str">
        <f>"537-46-2"</f>
        <v>537-46-2</v>
      </c>
      <c r="E1737" t="str">
        <f t="shared" si="69"/>
        <v xml:space="preserve">Organische parameters </v>
      </c>
      <c r="F1737" t="str">
        <f t="shared" si="70"/>
        <v xml:space="preserve">Overige antropogene stoffen </v>
      </c>
      <c r="G1737" t="str">
        <f>""</f>
        <v/>
      </c>
    </row>
    <row r="1738" spans="1:7" x14ac:dyDescent="0.25">
      <c r="A1738">
        <v>6157</v>
      </c>
      <c r="B1738" t="str">
        <f>"triamcinolonehexacetonide"</f>
        <v>triamcinolonehexacetonide</v>
      </c>
      <c r="C1738" t="s">
        <v>19016</v>
      </c>
      <c r="D1738" t="str">
        <f>"5611-51-8"</f>
        <v>5611-51-8</v>
      </c>
      <c r="E1738" t="str">
        <f t="shared" si="69"/>
        <v xml:space="preserve">Organische parameters </v>
      </c>
      <c r="F1738" t="str">
        <f t="shared" si="70"/>
        <v xml:space="preserve">Overige antropogene stoffen </v>
      </c>
      <c r="G1738" t="str">
        <f>""</f>
        <v/>
      </c>
    </row>
    <row r="1739" spans="1:7" x14ac:dyDescent="0.25">
      <c r="A1739">
        <v>6158</v>
      </c>
      <c r="B1739" t="str">
        <f>"methacathinon"</f>
        <v>methacathinon</v>
      </c>
      <c r="C1739" t="s">
        <v>19016</v>
      </c>
      <c r="D1739" t="str">
        <f>"5650-44-2"</f>
        <v>5650-44-2</v>
      </c>
      <c r="E1739" t="str">
        <f t="shared" si="69"/>
        <v xml:space="preserve">Organische parameters </v>
      </c>
      <c r="F1739" t="str">
        <f t="shared" si="70"/>
        <v xml:space="preserve">Overige antropogene stoffen </v>
      </c>
      <c r="G1739" t="str">
        <f>""</f>
        <v/>
      </c>
    </row>
    <row r="1740" spans="1:7" x14ac:dyDescent="0.25">
      <c r="A1740">
        <v>6159</v>
      </c>
      <c r="B1740" t="str">
        <f>"meprobamaat"</f>
        <v>meprobamaat</v>
      </c>
      <c r="C1740" t="s">
        <v>19016</v>
      </c>
      <c r="D1740" t="str">
        <f>"57-53-4"</f>
        <v>57-53-4</v>
      </c>
      <c r="E1740" t="str">
        <f t="shared" si="69"/>
        <v xml:space="preserve">Organische parameters </v>
      </c>
      <c r="F1740" t="str">
        <f t="shared" si="70"/>
        <v xml:space="preserve">Overige antropogene stoffen </v>
      </c>
      <c r="G1740" t="str">
        <f>""</f>
        <v/>
      </c>
    </row>
    <row r="1741" spans="1:7" x14ac:dyDescent="0.25">
      <c r="A1741">
        <v>6160</v>
      </c>
      <c r="B1741" t="str">
        <f>"11-nor-delta(9)-tetrahydrocannabinol-9-carboxylzuur"</f>
        <v>11-nor-delta(9)-tetrahydrocannabinol-9-carboxylzuur</v>
      </c>
      <c r="C1741" t="s">
        <v>19016</v>
      </c>
      <c r="D1741" t="str">
        <f>"64280-14-4"</f>
        <v>64280-14-4</v>
      </c>
      <c r="E1741" t="str">
        <f t="shared" ref="E1741:E1797" si="71">"Organische parameters "</f>
        <v xml:space="preserve">Organische parameters </v>
      </c>
      <c r="F1741" t="str">
        <f t="shared" si="70"/>
        <v xml:space="preserve">Overige antropogene stoffen </v>
      </c>
      <c r="G1741" t="str">
        <f>""</f>
        <v/>
      </c>
    </row>
    <row r="1742" spans="1:7" x14ac:dyDescent="0.25">
      <c r="A1742">
        <v>6161</v>
      </c>
      <c r="B1742" t="str">
        <f>"desoxicorticosteron"</f>
        <v>desoxicorticosteron</v>
      </c>
      <c r="C1742" t="s">
        <v>19016</v>
      </c>
      <c r="D1742" t="str">
        <f>"64-85-7"</f>
        <v>64-85-7</v>
      </c>
      <c r="E1742" t="str">
        <f t="shared" si="71"/>
        <v xml:space="preserve">Organische parameters </v>
      </c>
      <c r="F1742" t="str">
        <f t="shared" si="70"/>
        <v xml:space="preserve">Overige antropogene stoffen </v>
      </c>
      <c r="G1742" t="str">
        <f>""</f>
        <v/>
      </c>
    </row>
    <row r="1743" spans="1:7" x14ac:dyDescent="0.25">
      <c r="A1743">
        <v>6162</v>
      </c>
      <c r="B1743" t="str">
        <f>"ketamine"</f>
        <v>ketamine</v>
      </c>
      <c r="C1743" t="s">
        <v>19016</v>
      </c>
      <c r="D1743" t="str">
        <f>"6740-88-1"</f>
        <v>6740-88-1</v>
      </c>
      <c r="E1743" t="str">
        <f t="shared" si="71"/>
        <v xml:space="preserve">Organische parameters </v>
      </c>
      <c r="F1743" t="str">
        <f t="shared" si="70"/>
        <v xml:space="preserve">Overige antropogene stoffen </v>
      </c>
      <c r="G1743" t="str">
        <f>""</f>
        <v/>
      </c>
    </row>
    <row r="1744" spans="1:7" x14ac:dyDescent="0.25">
      <c r="A1744">
        <v>6163</v>
      </c>
      <c r="B1744" t="str">
        <f>"prednicarbaat"</f>
        <v>prednicarbaat</v>
      </c>
      <c r="C1744" t="s">
        <v>19016</v>
      </c>
      <c r="D1744" t="str">
        <f>"73771-04-7"</f>
        <v>73771-04-7</v>
      </c>
      <c r="E1744" t="str">
        <f t="shared" si="71"/>
        <v xml:space="preserve">Organische parameters </v>
      </c>
      <c r="F1744" t="str">
        <f t="shared" si="70"/>
        <v xml:space="preserve">Overige antropogene stoffen </v>
      </c>
      <c r="G1744" t="str">
        <f>""</f>
        <v/>
      </c>
    </row>
    <row r="1745" spans="1:7" x14ac:dyDescent="0.25">
      <c r="A1745">
        <v>6164</v>
      </c>
      <c r="B1745" t="str">
        <f>"triamcinoloneacetonide"</f>
        <v>triamcinoloneacetonide</v>
      </c>
      <c r="C1745" t="s">
        <v>19016</v>
      </c>
      <c r="D1745" t="str">
        <f>"76-25-5"</f>
        <v>76-25-5</v>
      </c>
      <c r="E1745" t="str">
        <f t="shared" si="71"/>
        <v xml:space="preserve">Organische parameters </v>
      </c>
      <c r="F1745" t="str">
        <f t="shared" si="70"/>
        <v xml:space="preserve">Overige antropogene stoffen </v>
      </c>
      <c r="G1745" t="str">
        <f>""</f>
        <v/>
      </c>
    </row>
    <row r="1746" spans="1:7" x14ac:dyDescent="0.25">
      <c r="A1746">
        <v>6165</v>
      </c>
      <c r="B1746" t="str">
        <f>"methadon"</f>
        <v>methadon</v>
      </c>
      <c r="C1746" t="s">
        <v>19016</v>
      </c>
      <c r="D1746" t="str">
        <f>"76-99-3"</f>
        <v>76-99-3</v>
      </c>
      <c r="E1746" t="str">
        <f t="shared" si="71"/>
        <v xml:space="preserve">Organische parameters </v>
      </c>
      <c r="F1746" t="str">
        <f t="shared" si="70"/>
        <v xml:space="preserve">Overige antropogene stoffen </v>
      </c>
      <c r="G1746" t="str">
        <f>""</f>
        <v/>
      </c>
    </row>
    <row r="1747" spans="1:7" x14ac:dyDescent="0.25">
      <c r="A1747">
        <v>6166</v>
      </c>
      <c r="B1747" t="str">
        <f>"3,4-methyleendioxyethamfetamine"</f>
        <v>3,4-methyleendioxyethamfetamine</v>
      </c>
      <c r="C1747" t="s">
        <v>19016</v>
      </c>
      <c r="D1747" t="str">
        <f>"82801-81-8"</f>
        <v>82801-81-8</v>
      </c>
      <c r="E1747" t="str">
        <f t="shared" si="71"/>
        <v xml:space="preserve">Organische parameters </v>
      </c>
      <c r="F1747" t="str">
        <f t="shared" ref="F1747:F1797" si="72">"Overige antropogene stoffen "</f>
        <v xml:space="preserve">Overige antropogene stoffen </v>
      </c>
      <c r="G1747" t="str">
        <f>""</f>
        <v/>
      </c>
    </row>
    <row r="1748" spans="1:7" x14ac:dyDescent="0.25">
      <c r="A1748">
        <v>6167</v>
      </c>
      <c r="B1748" t="str">
        <f>"methylprednisolon"</f>
        <v>methylprednisolon</v>
      </c>
      <c r="C1748" t="s">
        <v>19016</v>
      </c>
      <c r="D1748" t="str">
        <f>"83-43-2"</f>
        <v>83-43-2</v>
      </c>
      <c r="E1748" t="str">
        <f t="shared" si="71"/>
        <v xml:space="preserve">Organische parameters </v>
      </c>
      <c r="F1748" t="str">
        <f t="shared" si="72"/>
        <v xml:space="preserve">Overige antropogene stoffen </v>
      </c>
      <c r="G1748" t="str">
        <f>""</f>
        <v/>
      </c>
    </row>
    <row r="1749" spans="1:7" x14ac:dyDescent="0.25">
      <c r="A1749">
        <v>6168</v>
      </c>
      <c r="B1749" t="str">
        <f>"metformine"</f>
        <v>metformine</v>
      </c>
      <c r="C1749" t="s">
        <v>19016</v>
      </c>
      <c r="D1749" t="str">
        <f>"657-24-9"</f>
        <v>657-24-9</v>
      </c>
      <c r="E1749" t="str">
        <f t="shared" si="71"/>
        <v xml:space="preserve">Organische parameters </v>
      </c>
      <c r="F1749" t="str">
        <f t="shared" si="72"/>
        <v xml:space="preserve">Overige antropogene stoffen </v>
      </c>
      <c r="G1749" t="str">
        <f>""</f>
        <v/>
      </c>
    </row>
    <row r="1750" spans="1:7" x14ac:dyDescent="0.25">
      <c r="A1750">
        <v>6169</v>
      </c>
      <c r="B1750" t="str">
        <f>"furosemide"</f>
        <v>furosemide</v>
      </c>
      <c r="C1750" t="s">
        <v>19016</v>
      </c>
      <c r="D1750" t="str">
        <f>"54-31-9"</f>
        <v>54-31-9</v>
      </c>
      <c r="E1750" t="str">
        <f t="shared" si="71"/>
        <v xml:space="preserve">Organische parameters </v>
      </c>
      <c r="F1750" t="str">
        <f t="shared" si="72"/>
        <v xml:space="preserve">Overige antropogene stoffen </v>
      </c>
      <c r="G1750" t="str">
        <f>""</f>
        <v/>
      </c>
    </row>
    <row r="1751" spans="1:7" x14ac:dyDescent="0.25">
      <c r="A1751">
        <v>6170</v>
      </c>
      <c r="B1751" t="str">
        <f>"fluoxetine"</f>
        <v>fluoxetine</v>
      </c>
      <c r="C1751" t="s">
        <v>19016</v>
      </c>
      <c r="D1751" t="str">
        <f>"54910-89-3"</f>
        <v>54910-89-3</v>
      </c>
      <c r="E1751" t="str">
        <f t="shared" si="71"/>
        <v xml:space="preserve">Organische parameters </v>
      </c>
      <c r="F1751" t="str">
        <f t="shared" si="72"/>
        <v xml:space="preserve">Overige antropogene stoffen </v>
      </c>
      <c r="G1751" t="str">
        <f>""</f>
        <v/>
      </c>
    </row>
    <row r="1752" spans="1:7" x14ac:dyDescent="0.25">
      <c r="A1752">
        <v>6171</v>
      </c>
      <c r="B1752" t="str">
        <f>"hydrochlorthiazide"</f>
        <v>hydrochlorthiazide</v>
      </c>
      <c r="C1752" t="s">
        <v>19016</v>
      </c>
      <c r="D1752" t="str">
        <f>"58-93-5"</f>
        <v>58-93-5</v>
      </c>
      <c r="E1752" t="str">
        <f t="shared" si="71"/>
        <v xml:space="preserve">Organische parameters </v>
      </c>
      <c r="F1752" t="str">
        <f t="shared" si="72"/>
        <v xml:space="preserve">Overige antropogene stoffen </v>
      </c>
      <c r="G1752" t="str">
        <f>""</f>
        <v/>
      </c>
    </row>
    <row r="1753" spans="1:7" x14ac:dyDescent="0.25">
      <c r="A1753">
        <v>6172</v>
      </c>
      <c r="B1753" t="str">
        <f>"paroxetine"</f>
        <v>paroxetine</v>
      </c>
      <c r="C1753" t="s">
        <v>19016</v>
      </c>
      <c r="D1753" t="str">
        <f>"61869-08-7"</f>
        <v>61869-08-7</v>
      </c>
      <c r="E1753" t="str">
        <f t="shared" si="71"/>
        <v xml:space="preserve">Organische parameters </v>
      </c>
      <c r="F1753" t="str">
        <f t="shared" si="72"/>
        <v xml:space="preserve">Overige antropogene stoffen </v>
      </c>
      <c r="G1753" t="str">
        <f>""</f>
        <v/>
      </c>
    </row>
    <row r="1754" spans="1:7" x14ac:dyDescent="0.25">
      <c r="A1754">
        <v>6175</v>
      </c>
      <c r="B1754" t="str">
        <f>"guanylureum"</f>
        <v>guanylureum</v>
      </c>
      <c r="C1754" t="s">
        <v>13022</v>
      </c>
      <c r="D1754" t="str">
        <f>"28-36-9"</f>
        <v>28-36-9</v>
      </c>
      <c r="E1754" t="str">
        <f t="shared" si="71"/>
        <v xml:space="preserve">Organische parameters </v>
      </c>
      <c r="F1754" t="str">
        <f t="shared" si="72"/>
        <v xml:space="preserve">Overige antropogene stoffen </v>
      </c>
      <c r="G1754" t="str">
        <f>""</f>
        <v/>
      </c>
    </row>
    <row r="1755" spans="1:7" x14ac:dyDescent="0.25">
      <c r="A1755">
        <v>6177</v>
      </c>
      <c r="B1755" t="str">
        <f>"delta-9-tetrahydrocannabinol-carbonzuur"</f>
        <v>delta-9-tetrahydrocannabinol-carbonzuur</v>
      </c>
      <c r="C1755" t="s">
        <v>19016</v>
      </c>
      <c r="D1755" t="str">
        <f>"23978-85-0"</f>
        <v>23978-85-0</v>
      </c>
      <c r="E1755" t="str">
        <f t="shared" si="71"/>
        <v xml:space="preserve">Organische parameters </v>
      </c>
      <c r="F1755" t="str">
        <f t="shared" si="72"/>
        <v xml:space="preserve">Overige antropogene stoffen </v>
      </c>
      <c r="G1755" t="str">
        <f>""</f>
        <v/>
      </c>
    </row>
    <row r="1756" spans="1:7" x14ac:dyDescent="0.25">
      <c r="A1756">
        <v>6178</v>
      </c>
      <c r="B1756" t="str">
        <f>"2-ethylideen-1,5-dimethyl-3,3-difenylpyrrolidine"</f>
        <v>2-ethylideen-1,5-dimethyl-3,3-difenylpyrrolidine</v>
      </c>
      <c r="C1756" t="s">
        <v>19016</v>
      </c>
      <c r="D1756" t="str">
        <f>"66729-78-0"</f>
        <v>66729-78-0</v>
      </c>
      <c r="E1756" t="str">
        <f t="shared" si="71"/>
        <v xml:space="preserve">Organische parameters </v>
      </c>
      <c r="F1756" t="str">
        <f t="shared" si="72"/>
        <v xml:space="preserve">Overige antropogene stoffen </v>
      </c>
      <c r="G1756" t="str">
        <f>""</f>
        <v/>
      </c>
    </row>
    <row r="1757" spans="1:7" x14ac:dyDescent="0.25">
      <c r="A1757">
        <v>6179</v>
      </c>
      <c r="B1757" t="str">
        <f>"2-ethyl-5-methyl-3,3-difenyl-1-pyrroline"</f>
        <v>2-ethyl-5-methyl-3,3-difenyl-1-pyrroline</v>
      </c>
      <c r="C1757" t="s">
        <v>19016</v>
      </c>
      <c r="D1757" t="str">
        <f>""</f>
        <v/>
      </c>
      <c r="E1757" t="str">
        <f t="shared" si="71"/>
        <v xml:space="preserve">Organische parameters </v>
      </c>
      <c r="F1757" t="str">
        <f t="shared" si="72"/>
        <v xml:space="preserve">Overige antropogene stoffen </v>
      </c>
      <c r="G1757" t="str">
        <f>""</f>
        <v/>
      </c>
    </row>
    <row r="1758" spans="1:7" x14ac:dyDescent="0.25">
      <c r="A1758">
        <v>6365</v>
      </c>
      <c r="B1758" t="str">
        <f>"betamethason + paramethason"</f>
        <v>betamethason + paramethason</v>
      </c>
      <c r="C1758" t="s">
        <v>13022</v>
      </c>
      <c r="D1758" t="str">
        <f>""</f>
        <v/>
      </c>
      <c r="E1758" t="str">
        <f t="shared" si="71"/>
        <v xml:space="preserve">Organische parameters </v>
      </c>
      <c r="F1758" t="str">
        <f t="shared" si="72"/>
        <v xml:space="preserve">Overige antropogene stoffen </v>
      </c>
      <c r="G1758" t="str">
        <f>""</f>
        <v/>
      </c>
    </row>
    <row r="1759" spans="1:7" x14ac:dyDescent="0.25">
      <c r="A1759">
        <v>6366</v>
      </c>
      <c r="B1759" t="str">
        <f>"17a-Estradiol"</f>
        <v>17a-Estradiol</v>
      </c>
      <c r="C1759" t="s">
        <v>19016</v>
      </c>
      <c r="D1759" t="str">
        <f>"57-91-0"</f>
        <v>57-91-0</v>
      </c>
      <c r="E1759" t="str">
        <f t="shared" si="71"/>
        <v xml:space="preserve">Organische parameters </v>
      </c>
      <c r="F1759" t="str">
        <f t="shared" si="72"/>
        <v xml:space="preserve">Overige antropogene stoffen </v>
      </c>
      <c r="G1759" t="str">
        <f>""</f>
        <v/>
      </c>
    </row>
    <row r="1760" spans="1:7" x14ac:dyDescent="0.25">
      <c r="A1760">
        <v>6368</v>
      </c>
      <c r="B1760" t="str">
        <f>"Clozapine"</f>
        <v>Clozapine</v>
      </c>
      <c r="C1760" t="s">
        <v>19016</v>
      </c>
      <c r="D1760" t="str">
        <f>"5786-21-0"</f>
        <v>5786-21-0</v>
      </c>
      <c r="E1760" t="str">
        <f t="shared" si="71"/>
        <v xml:space="preserve">Organische parameters </v>
      </c>
      <c r="F1760" t="str">
        <f t="shared" si="72"/>
        <v xml:space="preserve">Overige antropogene stoffen </v>
      </c>
      <c r="G1760" t="str">
        <f>""</f>
        <v/>
      </c>
    </row>
    <row r="1761" spans="1:7" x14ac:dyDescent="0.25">
      <c r="A1761">
        <v>6369</v>
      </c>
      <c r="B1761" t="str">
        <f>"Dipyridamol"</f>
        <v>Dipyridamol</v>
      </c>
      <c r="C1761" t="s">
        <v>19016</v>
      </c>
      <c r="D1761" t="str">
        <f>"58-32-2"</f>
        <v>58-32-2</v>
      </c>
      <c r="E1761" t="str">
        <f t="shared" si="71"/>
        <v xml:space="preserve">Organische parameters </v>
      </c>
      <c r="F1761" t="str">
        <f t="shared" si="72"/>
        <v xml:space="preserve">Overige antropogene stoffen </v>
      </c>
      <c r="G1761" t="str">
        <f>""</f>
        <v/>
      </c>
    </row>
    <row r="1762" spans="1:7" x14ac:dyDescent="0.25">
      <c r="A1762">
        <v>6370</v>
      </c>
      <c r="B1762" t="str">
        <f>"Gabapentine"</f>
        <v>Gabapentine</v>
      </c>
      <c r="C1762" t="s">
        <v>19016</v>
      </c>
      <c r="D1762" t="str">
        <f>"60142-96-3"</f>
        <v>60142-96-3</v>
      </c>
      <c r="E1762" t="str">
        <f t="shared" si="71"/>
        <v xml:space="preserve">Organische parameters </v>
      </c>
      <c r="F1762" t="str">
        <f t="shared" si="72"/>
        <v xml:space="preserve">Overige antropogene stoffen </v>
      </c>
      <c r="G1762" t="str">
        <f>""</f>
        <v/>
      </c>
    </row>
    <row r="1763" spans="1:7" x14ac:dyDescent="0.25">
      <c r="A1763">
        <v>6371</v>
      </c>
      <c r="B1763" t="str">
        <f>"Gemcitabine"</f>
        <v>Gemcitabine</v>
      </c>
      <c r="C1763" t="s">
        <v>19016</v>
      </c>
      <c r="D1763" t="str">
        <f>"95058-81-4"</f>
        <v>95058-81-4</v>
      </c>
      <c r="E1763" t="str">
        <f t="shared" si="71"/>
        <v xml:space="preserve">Organische parameters </v>
      </c>
      <c r="F1763" t="str">
        <f t="shared" si="72"/>
        <v xml:space="preserve">Overige antropogene stoffen </v>
      </c>
      <c r="G1763" t="str">
        <f>""</f>
        <v/>
      </c>
    </row>
    <row r="1764" spans="1:7" x14ac:dyDescent="0.25">
      <c r="A1764">
        <v>6372</v>
      </c>
      <c r="B1764" t="str">
        <f>"Methotrexaat"</f>
        <v>Methotrexaat</v>
      </c>
      <c r="C1764" t="s">
        <v>19016</v>
      </c>
      <c r="D1764" t="str">
        <f>"59-05-2"</f>
        <v>59-05-2</v>
      </c>
      <c r="E1764" t="str">
        <f t="shared" si="71"/>
        <v xml:space="preserve">Organische parameters </v>
      </c>
      <c r="F1764" t="str">
        <f t="shared" si="72"/>
        <v xml:space="preserve">Overige antropogene stoffen </v>
      </c>
      <c r="G1764" t="str">
        <f>""</f>
        <v/>
      </c>
    </row>
    <row r="1765" spans="1:7" x14ac:dyDescent="0.25">
      <c r="A1765">
        <v>6373</v>
      </c>
      <c r="B1765" t="str">
        <f>"Pipamperon"</f>
        <v>Pipamperon</v>
      </c>
      <c r="C1765" t="s">
        <v>19016</v>
      </c>
      <c r="D1765" t="str">
        <f>"1893-33-0"</f>
        <v>1893-33-0</v>
      </c>
      <c r="E1765" t="str">
        <f t="shared" si="71"/>
        <v xml:space="preserve">Organische parameters </v>
      </c>
      <c r="F1765" t="str">
        <f t="shared" si="72"/>
        <v xml:space="preserve">Overige antropogene stoffen </v>
      </c>
      <c r="G1765" t="str">
        <f>""</f>
        <v/>
      </c>
    </row>
    <row r="1766" spans="1:7" x14ac:dyDescent="0.25">
      <c r="A1766">
        <v>6374</v>
      </c>
      <c r="B1766" t="str">
        <f>"Quetiapine"</f>
        <v>Quetiapine</v>
      </c>
      <c r="C1766" t="s">
        <v>19016</v>
      </c>
      <c r="D1766" t="str">
        <f>"111974-69-7"</f>
        <v>111974-69-7</v>
      </c>
      <c r="E1766" t="str">
        <f t="shared" si="71"/>
        <v xml:space="preserve">Organische parameters </v>
      </c>
      <c r="F1766" t="str">
        <f t="shared" si="72"/>
        <v xml:space="preserve">Overige antropogene stoffen </v>
      </c>
      <c r="G1766" t="str">
        <f>""</f>
        <v/>
      </c>
    </row>
    <row r="1767" spans="1:7" x14ac:dyDescent="0.25">
      <c r="A1767">
        <v>6375</v>
      </c>
      <c r="B1767" t="str">
        <f>"Spiramycine I"</f>
        <v>Spiramycine I</v>
      </c>
      <c r="C1767" t="s">
        <v>19016</v>
      </c>
      <c r="D1767" t="str">
        <f>"24916-50-5"</f>
        <v>24916-50-5</v>
      </c>
      <c r="E1767" t="str">
        <f t="shared" si="71"/>
        <v xml:space="preserve">Organische parameters </v>
      </c>
      <c r="F1767" t="str">
        <f t="shared" si="72"/>
        <v xml:space="preserve">Overige antropogene stoffen </v>
      </c>
      <c r="G1767" t="str">
        <f>""</f>
        <v/>
      </c>
    </row>
    <row r="1768" spans="1:7" x14ac:dyDescent="0.25">
      <c r="A1768">
        <v>6376</v>
      </c>
      <c r="B1768" t="str">
        <f>"Spiramycine II"</f>
        <v>Spiramycine II</v>
      </c>
      <c r="C1768" t="s">
        <v>19016</v>
      </c>
      <c r="D1768" t="str">
        <f>""</f>
        <v/>
      </c>
      <c r="E1768" t="str">
        <f t="shared" si="71"/>
        <v xml:space="preserve">Organische parameters </v>
      </c>
      <c r="F1768" t="str">
        <f t="shared" si="72"/>
        <v xml:space="preserve">Overige antropogene stoffen </v>
      </c>
      <c r="G1768" t="str">
        <f>""</f>
        <v/>
      </c>
    </row>
    <row r="1769" spans="1:7" x14ac:dyDescent="0.25">
      <c r="A1769">
        <v>6377</v>
      </c>
      <c r="B1769" t="str">
        <f>"Spiramycine III"</f>
        <v>Spiramycine III</v>
      </c>
      <c r="C1769" t="s">
        <v>19016</v>
      </c>
      <c r="D1769" t="str">
        <f>""</f>
        <v/>
      </c>
      <c r="E1769" t="str">
        <f t="shared" si="71"/>
        <v xml:space="preserve">Organische parameters </v>
      </c>
      <c r="F1769" t="str">
        <f t="shared" si="72"/>
        <v xml:space="preserve">Overige antropogene stoffen </v>
      </c>
      <c r="G1769" t="str">
        <f>""</f>
        <v/>
      </c>
    </row>
    <row r="1770" spans="1:7" x14ac:dyDescent="0.25">
      <c r="A1770">
        <v>6378</v>
      </c>
      <c r="B1770" t="str">
        <f>"Tamoxifen"</f>
        <v>Tamoxifen</v>
      </c>
      <c r="C1770" t="s">
        <v>19016</v>
      </c>
      <c r="D1770" t="str">
        <f>"10540-29-1"</f>
        <v>10540-29-1</v>
      </c>
      <c r="E1770" t="str">
        <f t="shared" si="71"/>
        <v xml:space="preserve">Organische parameters </v>
      </c>
      <c r="F1770" t="str">
        <f t="shared" si="72"/>
        <v xml:space="preserve">Overige antropogene stoffen </v>
      </c>
      <c r="G1770" t="str">
        <f>""</f>
        <v/>
      </c>
    </row>
    <row r="1771" spans="1:7" x14ac:dyDescent="0.25">
      <c r="A1771">
        <v>6379</v>
      </c>
      <c r="B1771" t="str">
        <f>"Tramadol"</f>
        <v>Tramadol</v>
      </c>
      <c r="C1771" t="s">
        <v>19016</v>
      </c>
      <c r="D1771" t="str">
        <f>"27203-92-5"</f>
        <v>27203-92-5</v>
      </c>
      <c r="E1771" t="str">
        <f t="shared" si="71"/>
        <v xml:space="preserve">Organische parameters </v>
      </c>
      <c r="F1771" t="str">
        <f t="shared" si="72"/>
        <v xml:space="preserve">Overige antropogene stoffen </v>
      </c>
      <c r="G1771" t="str">
        <f>""</f>
        <v/>
      </c>
    </row>
    <row r="1772" spans="1:7" x14ac:dyDescent="0.25">
      <c r="A1772">
        <v>6380</v>
      </c>
      <c r="B1772" t="str">
        <f>"Valsartan"</f>
        <v>Valsartan</v>
      </c>
      <c r="C1772" t="s">
        <v>19016</v>
      </c>
      <c r="D1772" t="str">
        <f>"137862-53-4"</f>
        <v>137862-53-4</v>
      </c>
      <c r="E1772" t="str">
        <f t="shared" si="71"/>
        <v xml:space="preserve">Organische parameters </v>
      </c>
      <c r="F1772" t="str">
        <f t="shared" si="72"/>
        <v xml:space="preserve">Overige antropogene stoffen </v>
      </c>
      <c r="G1772" t="str">
        <f>""</f>
        <v/>
      </c>
    </row>
    <row r="1773" spans="1:7" x14ac:dyDescent="0.25">
      <c r="A1773">
        <v>6381</v>
      </c>
      <c r="B1773" t="str">
        <f>"Vigabatrine"</f>
        <v>Vigabatrine</v>
      </c>
      <c r="C1773" t="s">
        <v>19016</v>
      </c>
      <c r="D1773" t="str">
        <f>"60643-86-9"</f>
        <v>60643-86-9</v>
      </c>
      <c r="E1773" t="str">
        <f t="shared" si="71"/>
        <v xml:space="preserve">Organische parameters </v>
      </c>
      <c r="F1773" t="str">
        <f t="shared" si="72"/>
        <v xml:space="preserve">Overige antropogene stoffen </v>
      </c>
      <c r="G1773" t="str">
        <f>""</f>
        <v/>
      </c>
    </row>
    <row r="1774" spans="1:7" x14ac:dyDescent="0.25">
      <c r="A1774">
        <v>6382</v>
      </c>
      <c r="B1774" t="str">
        <f>"5-Fluorouracil"</f>
        <v>5-Fluorouracil</v>
      </c>
      <c r="C1774" t="s">
        <v>19016</v>
      </c>
      <c r="D1774" t="str">
        <f>"51-21-8"</f>
        <v>51-21-8</v>
      </c>
      <c r="E1774" t="str">
        <f t="shared" si="71"/>
        <v xml:space="preserve">Organische parameters </v>
      </c>
      <c r="F1774" t="str">
        <f t="shared" si="72"/>
        <v xml:space="preserve">Overige antropogene stoffen </v>
      </c>
      <c r="G1774" t="str">
        <f>""</f>
        <v/>
      </c>
    </row>
    <row r="1775" spans="1:7" x14ac:dyDescent="0.25">
      <c r="A1775">
        <v>6383</v>
      </c>
      <c r="B1775" t="str">
        <f>"Cefuroxime"</f>
        <v>Cefuroxime</v>
      </c>
      <c r="C1775" t="s">
        <v>19016</v>
      </c>
      <c r="D1775" t="str">
        <f>"55268-75-2"</f>
        <v>55268-75-2</v>
      </c>
      <c r="E1775" t="str">
        <f t="shared" si="71"/>
        <v xml:space="preserve">Organische parameters </v>
      </c>
      <c r="F1775" t="str">
        <f t="shared" si="72"/>
        <v xml:space="preserve">Overige antropogene stoffen </v>
      </c>
      <c r="G1775" t="str">
        <f>""</f>
        <v/>
      </c>
    </row>
    <row r="1776" spans="1:7" x14ac:dyDescent="0.25">
      <c r="A1776">
        <v>6384</v>
      </c>
      <c r="B1776" t="str">
        <f>"Florfenicol"</f>
        <v>Florfenicol</v>
      </c>
      <c r="C1776" t="s">
        <v>19016</v>
      </c>
      <c r="D1776" t="str">
        <f>"73231-34-2"</f>
        <v>73231-34-2</v>
      </c>
      <c r="E1776" t="str">
        <f t="shared" si="71"/>
        <v xml:space="preserve">Organische parameters </v>
      </c>
      <c r="F1776" t="str">
        <f t="shared" si="72"/>
        <v xml:space="preserve">Overige antropogene stoffen </v>
      </c>
      <c r="G1776" t="str">
        <f>""</f>
        <v/>
      </c>
    </row>
    <row r="1777" spans="1:7" x14ac:dyDescent="0.25">
      <c r="A1777">
        <v>6385</v>
      </c>
      <c r="B1777" t="str">
        <f>"Triclocarban"</f>
        <v>Triclocarban</v>
      </c>
      <c r="C1777" t="s">
        <v>19016</v>
      </c>
      <c r="D1777" t="str">
        <f>"101-20-2"</f>
        <v>101-20-2</v>
      </c>
      <c r="E1777" t="str">
        <f t="shared" si="71"/>
        <v xml:space="preserve">Organische parameters </v>
      </c>
      <c r="F1777" t="str">
        <f t="shared" si="72"/>
        <v xml:space="preserve">Overige antropogene stoffen </v>
      </c>
      <c r="G1777" t="str">
        <f>""</f>
        <v/>
      </c>
    </row>
    <row r="1778" spans="1:7" x14ac:dyDescent="0.25">
      <c r="A1778">
        <v>6386</v>
      </c>
      <c r="B1778" t="str">
        <f>"Benzocaine"</f>
        <v>Benzocaine</v>
      </c>
      <c r="C1778" t="s">
        <v>19016</v>
      </c>
      <c r="D1778" t="str">
        <f>"94-09-7"</f>
        <v>94-09-7</v>
      </c>
      <c r="E1778" t="str">
        <f t="shared" si="71"/>
        <v xml:space="preserve">Organische parameters </v>
      </c>
      <c r="F1778" t="str">
        <f t="shared" si="72"/>
        <v xml:space="preserve">Overige antropogene stoffen </v>
      </c>
      <c r="G1778" t="str">
        <f>""</f>
        <v/>
      </c>
    </row>
    <row r="1779" spans="1:7" x14ac:dyDescent="0.25">
      <c r="A1779">
        <v>6387</v>
      </c>
      <c r="B1779" t="str">
        <f>"Carbadox"</f>
        <v>Carbadox</v>
      </c>
      <c r="C1779" t="s">
        <v>19016</v>
      </c>
      <c r="D1779" t="str">
        <f>"5-7-6804"</f>
        <v>5-7-6804</v>
      </c>
      <c r="E1779" t="str">
        <f t="shared" si="71"/>
        <v xml:space="preserve">Organische parameters </v>
      </c>
      <c r="F1779" t="str">
        <f t="shared" si="72"/>
        <v xml:space="preserve">Overige antropogene stoffen </v>
      </c>
      <c r="G1779" t="str">
        <f>""</f>
        <v/>
      </c>
    </row>
    <row r="1780" spans="1:7" x14ac:dyDescent="0.25">
      <c r="A1780">
        <v>6388</v>
      </c>
      <c r="B1780" t="str">
        <f>"Dimetridazool"</f>
        <v>Dimetridazool</v>
      </c>
      <c r="C1780" t="s">
        <v>19016</v>
      </c>
      <c r="D1780" t="str">
        <f>"551-92-8"</f>
        <v>551-92-8</v>
      </c>
      <c r="E1780" t="str">
        <f t="shared" si="71"/>
        <v xml:space="preserve">Organische parameters </v>
      </c>
      <c r="F1780" t="str">
        <f t="shared" si="72"/>
        <v xml:space="preserve">Overige antropogene stoffen </v>
      </c>
      <c r="G1780" t="str">
        <f>""</f>
        <v/>
      </c>
    </row>
    <row r="1781" spans="1:7" x14ac:dyDescent="0.25">
      <c r="A1781">
        <v>6389</v>
      </c>
      <c r="B1781" t="str">
        <f>"Etoposide"</f>
        <v>Etoposide</v>
      </c>
      <c r="C1781" t="s">
        <v>19016</v>
      </c>
      <c r="D1781" t="str">
        <f>"33419-42-0"</f>
        <v>33419-42-0</v>
      </c>
      <c r="E1781" t="str">
        <f t="shared" si="71"/>
        <v xml:space="preserve">Organische parameters </v>
      </c>
      <c r="F1781" t="str">
        <f t="shared" si="72"/>
        <v xml:space="preserve">Overige antropogene stoffen </v>
      </c>
      <c r="G1781" t="str">
        <f>""</f>
        <v/>
      </c>
    </row>
    <row r="1782" spans="1:7" x14ac:dyDescent="0.25">
      <c r="A1782">
        <v>6390</v>
      </c>
      <c r="B1782" t="str">
        <f>"Irbesartan"</f>
        <v>Irbesartan</v>
      </c>
      <c r="C1782" t="s">
        <v>19016</v>
      </c>
      <c r="D1782" t="str">
        <f>"138402-11-6"</f>
        <v>138402-11-6</v>
      </c>
      <c r="E1782" t="str">
        <f t="shared" si="71"/>
        <v xml:space="preserve">Organische parameters </v>
      </c>
      <c r="F1782" t="str">
        <f t="shared" si="72"/>
        <v xml:space="preserve">Overige antropogene stoffen </v>
      </c>
      <c r="G1782" t="str">
        <f>""</f>
        <v/>
      </c>
    </row>
    <row r="1783" spans="1:7" x14ac:dyDescent="0.25">
      <c r="A1783">
        <v>6391</v>
      </c>
      <c r="B1783" t="str">
        <f>"Levetiracetam"</f>
        <v>Levetiracetam</v>
      </c>
      <c r="C1783" t="s">
        <v>19016</v>
      </c>
      <c r="D1783" t="str">
        <f>"102767-28-2"</f>
        <v>102767-28-2</v>
      </c>
      <c r="E1783" t="str">
        <f t="shared" si="71"/>
        <v xml:space="preserve">Organische parameters </v>
      </c>
      <c r="F1783" t="str">
        <f t="shared" si="72"/>
        <v xml:space="preserve">Overige antropogene stoffen </v>
      </c>
      <c r="G1783" t="str">
        <f>""</f>
        <v/>
      </c>
    </row>
    <row r="1784" spans="1:7" x14ac:dyDescent="0.25">
      <c r="A1784">
        <v>6392</v>
      </c>
      <c r="B1784" t="str">
        <f>"Mebendazool"</f>
        <v>Mebendazool</v>
      </c>
      <c r="C1784" t="s">
        <v>19016</v>
      </c>
      <c r="D1784" t="str">
        <f>"31431-39-7"</f>
        <v>31431-39-7</v>
      </c>
      <c r="E1784" t="str">
        <f t="shared" si="71"/>
        <v xml:space="preserve">Organische parameters </v>
      </c>
      <c r="F1784" t="str">
        <f t="shared" si="72"/>
        <v xml:space="preserve">Overige antropogene stoffen </v>
      </c>
      <c r="G1784" t="str">
        <f>""</f>
        <v/>
      </c>
    </row>
    <row r="1785" spans="1:7" x14ac:dyDescent="0.25">
      <c r="A1785">
        <v>6393</v>
      </c>
      <c r="B1785" t="str">
        <f>"Candesartan"</f>
        <v>Candesartan</v>
      </c>
      <c r="C1785" t="s">
        <v>19016</v>
      </c>
      <c r="D1785" t="str">
        <f>"139481-59-7"</f>
        <v>139481-59-7</v>
      </c>
      <c r="E1785" t="str">
        <f t="shared" si="71"/>
        <v xml:space="preserve">Organische parameters </v>
      </c>
      <c r="F1785" t="str">
        <f t="shared" si="72"/>
        <v xml:space="preserve">Overige antropogene stoffen </v>
      </c>
      <c r="G1785" t="str">
        <f>""</f>
        <v/>
      </c>
    </row>
    <row r="1786" spans="1:7" x14ac:dyDescent="0.25">
      <c r="A1786">
        <v>6394</v>
      </c>
      <c r="B1786" t="str">
        <f>"Cetirizine"</f>
        <v>Cetirizine</v>
      </c>
      <c r="C1786" t="s">
        <v>19016</v>
      </c>
      <c r="D1786" t="str">
        <f>"83881-51-0"</f>
        <v>83881-51-0</v>
      </c>
      <c r="E1786" t="str">
        <f t="shared" si="71"/>
        <v xml:space="preserve">Organische parameters </v>
      </c>
      <c r="F1786" t="str">
        <f t="shared" si="72"/>
        <v xml:space="preserve">Overige antropogene stoffen </v>
      </c>
      <c r="G1786" t="str">
        <f>""</f>
        <v/>
      </c>
    </row>
    <row r="1787" spans="1:7" x14ac:dyDescent="0.25">
      <c r="A1787">
        <v>6395</v>
      </c>
      <c r="B1787" t="str">
        <f>"Gabapentin-lactam"</f>
        <v>Gabapentin-lactam</v>
      </c>
      <c r="C1787" t="s">
        <v>19016</v>
      </c>
      <c r="D1787" t="str">
        <f>"64744-50-9"</f>
        <v>64744-50-9</v>
      </c>
      <c r="E1787" t="str">
        <f t="shared" si="71"/>
        <v xml:space="preserve">Organische parameters </v>
      </c>
      <c r="F1787" t="str">
        <f t="shared" si="72"/>
        <v xml:space="preserve">Overige antropogene stoffen </v>
      </c>
      <c r="G1787" t="str">
        <f>""</f>
        <v/>
      </c>
    </row>
    <row r="1788" spans="1:7" x14ac:dyDescent="0.25">
      <c r="A1788">
        <v>6396</v>
      </c>
      <c r="B1788" t="str">
        <f>"Lamotrigine"</f>
        <v>Lamotrigine</v>
      </c>
      <c r="C1788" t="s">
        <v>19016</v>
      </c>
      <c r="D1788" t="str">
        <f>"84057-84-1"</f>
        <v>84057-84-1</v>
      </c>
      <c r="E1788" t="str">
        <f t="shared" si="71"/>
        <v xml:space="preserve">Organische parameters </v>
      </c>
      <c r="F1788" t="str">
        <f t="shared" si="72"/>
        <v xml:space="preserve">Overige antropogene stoffen </v>
      </c>
      <c r="G1788" t="str">
        <f>""</f>
        <v/>
      </c>
    </row>
    <row r="1789" spans="1:7" x14ac:dyDescent="0.25">
      <c r="A1789">
        <v>6397</v>
      </c>
      <c r="B1789" t="str">
        <f>"N-Acetyl-4-aminoantipyrine"</f>
        <v>N-Acetyl-4-aminoantipyrine</v>
      </c>
      <c r="C1789" t="s">
        <v>19016</v>
      </c>
      <c r="D1789" t="str">
        <f>"83-15-8"</f>
        <v>83-15-8</v>
      </c>
      <c r="E1789" t="str">
        <f t="shared" si="71"/>
        <v xml:space="preserve">Organische parameters </v>
      </c>
      <c r="F1789" t="str">
        <f t="shared" si="72"/>
        <v xml:space="preserve">Overige antropogene stoffen </v>
      </c>
      <c r="G1789" t="str">
        <f>""</f>
        <v/>
      </c>
    </row>
    <row r="1790" spans="1:7" x14ac:dyDescent="0.25">
      <c r="A1790">
        <v>6398</v>
      </c>
      <c r="B1790" t="str">
        <f>"N-Formyl-4-aminoantipyrine"</f>
        <v>N-Formyl-4-aminoantipyrine</v>
      </c>
      <c r="C1790" t="s">
        <v>19016</v>
      </c>
      <c r="D1790" t="str">
        <f>"1672-58-8"</f>
        <v>1672-58-8</v>
      </c>
      <c r="E1790" t="str">
        <f t="shared" si="71"/>
        <v xml:space="preserve">Organische parameters </v>
      </c>
      <c r="F1790" t="str">
        <f t="shared" si="72"/>
        <v xml:space="preserve">Overige antropogene stoffen </v>
      </c>
      <c r="G1790" t="str">
        <f>""</f>
        <v/>
      </c>
    </row>
    <row r="1791" spans="1:7" x14ac:dyDescent="0.25">
      <c r="A1791">
        <v>6399</v>
      </c>
      <c r="B1791" t="str">
        <f>"Oxipurinol"</f>
        <v>Oxipurinol</v>
      </c>
      <c r="C1791" t="s">
        <v>19016</v>
      </c>
      <c r="D1791" t="str">
        <f>"2465-59-0"</f>
        <v>2465-59-0</v>
      </c>
      <c r="E1791" t="str">
        <f t="shared" si="71"/>
        <v xml:space="preserve">Organische parameters </v>
      </c>
      <c r="F1791" t="str">
        <f t="shared" si="72"/>
        <v xml:space="preserve">Overige antropogene stoffen </v>
      </c>
      <c r="G1791" t="str">
        <f>""</f>
        <v/>
      </c>
    </row>
    <row r="1792" spans="1:7" x14ac:dyDescent="0.25">
      <c r="A1792">
        <v>6400</v>
      </c>
      <c r="B1792" t="str">
        <f>"Sitagliptine"</f>
        <v>Sitagliptine</v>
      </c>
      <c r="C1792" t="s">
        <v>19016</v>
      </c>
      <c r="D1792" t="str">
        <f>"486460-32-6"</f>
        <v>486460-32-6</v>
      </c>
      <c r="E1792" t="str">
        <f t="shared" si="71"/>
        <v xml:space="preserve">Organische parameters </v>
      </c>
      <c r="F1792" t="str">
        <f t="shared" si="72"/>
        <v xml:space="preserve">Overige antropogene stoffen </v>
      </c>
      <c r="G1792" t="str">
        <f>""</f>
        <v/>
      </c>
    </row>
    <row r="1793" spans="1:7" x14ac:dyDescent="0.25">
      <c r="A1793">
        <v>6401</v>
      </c>
      <c r="B1793" t="str">
        <f>"Telmisartan"</f>
        <v>Telmisartan</v>
      </c>
      <c r="C1793" t="s">
        <v>19016</v>
      </c>
      <c r="D1793" t="str">
        <f>"144701-48-4"</f>
        <v>144701-48-4</v>
      </c>
      <c r="E1793" t="str">
        <f t="shared" si="71"/>
        <v xml:space="preserve">Organische parameters </v>
      </c>
      <c r="F1793" t="str">
        <f t="shared" si="72"/>
        <v xml:space="preserve">Overige antropogene stoffen </v>
      </c>
      <c r="G1793" t="str">
        <f>""</f>
        <v/>
      </c>
    </row>
    <row r="1794" spans="1:7" x14ac:dyDescent="0.25">
      <c r="A1794">
        <v>6402</v>
      </c>
      <c r="B1794" t="str">
        <f>"Valsartanzuur"</f>
        <v>Valsartanzuur</v>
      </c>
      <c r="C1794" t="s">
        <v>19016</v>
      </c>
      <c r="D1794" t="str">
        <f>"164265-78-5"</f>
        <v>164265-78-5</v>
      </c>
      <c r="E1794" t="str">
        <f t="shared" si="71"/>
        <v xml:space="preserve">Organische parameters </v>
      </c>
      <c r="F1794" t="str">
        <f t="shared" si="72"/>
        <v xml:space="preserve">Overige antropogene stoffen </v>
      </c>
      <c r="G1794" t="str">
        <f>""</f>
        <v/>
      </c>
    </row>
    <row r="1795" spans="1:7" x14ac:dyDescent="0.25">
      <c r="A1795">
        <v>6403</v>
      </c>
      <c r="B1795" t="str">
        <f>"10,11-dihydro-10,11-dihydroxycarbamazepine"</f>
        <v>10,11-dihydro-10,11-dihydroxycarbamazepine</v>
      </c>
      <c r="C1795" t="s">
        <v>19016</v>
      </c>
      <c r="D1795" t="str">
        <f>"35079-97-1"</f>
        <v>35079-97-1</v>
      </c>
      <c r="E1795" t="str">
        <f t="shared" si="71"/>
        <v xml:space="preserve">Organische parameters </v>
      </c>
      <c r="F1795" t="str">
        <f t="shared" si="72"/>
        <v xml:space="preserve">Overige antropogene stoffen </v>
      </c>
      <c r="G1795" t="str">
        <f>""</f>
        <v/>
      </c>
    </row>
    <row r="1796" spans="1:7" x14ac:dyDescent="0.25">
      <c r="A1796">
        <v>6404</v>
      </c>
      <c r="B1796" t="str">
        <f>"cotinine"</f>
        <v>cotinine</v>
      </c>
      <c r="C1796" t="s">
        <v>19016</v>
      </c>
      <c r="D1796" t="str">
        <f>"486-56-6"</f>
        <v>486-56-6</v>
      </c>
      <c r="E1796" t="str">
        <f t="shared" si="71"/>
        <v xml:space="preserve">Organische parameters </v>
      </c>
      <c r="F1796" t="str">
        <f t="shared" si="72"/>
        <v xml:space="preserve">Overige antropogene stoffen </v>
      </c>
      <c r="G1796" t="str">
        <f>""</f>
        <v/>
      </c>
    </row>
    <row r="1797" spans="1:7" x14ac:dyDescent="0.25">
      <c r="A1797">
        <v>6405</v>
      </c>
      <c r="B1797" t="str">
        <f>"8-Hydroxypenillic acid"</f>
        <v>8-Hydroxypenillic acid</v>
      </c>
      <c r="C1797" t="s">
        <v>19016</v>
      </c>
      <c r="D1797" t="str">
        <f>"3053-85-8"</f>
        <v>3053-85-8</v>
      </c>
      <c r="E1797" t="str">
        <f t="shared" si="71"/>
        <v xml:space="preserve">Organische parameters </v>
      </c>
      <c r="F1797" t="str">
        <f t="shared" si="72"/>
        <v xml:space="preserve">Overige antropogene stoffen </v>
      </c>
      <c r="G1797" t="str">
        <f>""</f>
        <v/>
      </c>
    </row>
    <row r="1798" spans="1:7" x14ac:dyDescent="0.25">
      <c r="A1798">
        <v>6700</v>
      </c>
      <c r="B1798" t="str">
        <f>"Ames test (TA98)"</f>
        <v>Ames test (TA98)</v>
      </c>
      <c r="C1798" t="s">
        <v>14843</v>
      </c>
      <c r="D1798" t="str">
        <f>""</f>
        <v/>
      </c>
      <c r="E1798" t="str">
        <f>"Biologische parameters "</f>
        <v xml:space="preserve">Biologische parameters </v>
      </c>
      <c r="F1798" t="str">
        <f>"Overige biologische parameters "</f>
        <v xml:space="preserve">Overige biologische parameters </v>
      </c>
      <c r="G1798" t="str">
        <f>""</f>
        <v/>
      </c>
    </row>
    <row r="1799" spans="1:7" x14ac:dyDescent="0.25">
      <c r="A1799">
        <v>6701</v>
      </c>
      <c r="B1799" t="str">
        <f>"UMU-test"</f>
        <v>UMU-test</v>
      </c>
      <c r="C1799" t="s">
        <v>14843</v>
      </c>
      <c r="D1799" t="str">
        <f>""</f>
        <v/>
      </c>
      <c r="E1799" t="str">
        <f>"Biologische parameters "</f>
        <v xml:space="preserve">Biologische parameters </v>
      </c>
      <c r="F1799" t="str">
        <f>"Overige biologische parameters "</f>
        <v xml:space="preserve">Overige biologische parameters </v>
      </c>
      <c r="G1799" t="str">
        <f>""</f>
        <v/>
      </c>
    </row>
    <row r="1800" spans="1:7" x14ac:dyDescent="0.25">
      <c r="A1800">
        <v>6702</v>
      </c>
      <c r="B1800" t="str">
        <f>"Comet assay"</f>
        <v>Comet assay</v>
      </c>
      <c r="C1800" t="s">
        <v>14843</v>
      </c>
      <c r="D1800" t="str">
        <f>""</f>
        <v/>
      </c>
      <c r="E1800" t="str">
        <f>"Biologische parameters "</f>
        <v xml:space="preserve">Biologische parameters </v>
      </c>
      <c r="F1800" t="str">
        <f>"Overige biologische parameters "</f>
        <v xml:space="preserve">Overige biologische parameters </v>
      </c>
      <c r="G1800" t="str">
        <f>""</f>
        <v/>
      </c>
    </row>
    <row r="1801" spans="1:7" x14ac:dyDescent="0.25">
      <c r="A1801">
        <v>6703</v>
      </c>
      <c r="B1801" t="str">
        <f>"ER-Calux in 17beta-estradiol equivalenten"</f>
        <v>ER-Calux in 17beta-estradiol equivalenten</v>
      </c>
      <c r="C1801" t="s">
        <v>14322</v>
      </c>
      <c r="D1801" t="str">
        <f>""</f>
        <v/>
      </c>
      <c r="E1801" t="str">
        <f>"Biologische parameters "</f>
        <v xml:space="preserve">Biologische parameters </v>
      </c>
      <c r="F1801" t="str">
        <f>"Overige biologische parameters "</f>
        <v xml:space="preserve">Overige biologische parameters </v>
      </c>
      <c r="G1801" t="str">
        <f>""</f>
        <v/>
      </c>
    </row>
    <row r="1802" spans="1:7" x14ac:dyDescent="0.25">
      <c r="A1802">
        <v>6704</v>
      </c>
      <c r="B1802" t="str">
        <f>"GR-Calux acitviteit in dexamethason equivalenten"</f>
        <v>GR-Calux acitviteit in dexamethason equivalenten</v>
      </c>
      <c r="C1802" t="s">
        <v>14322</v>
      </c>
      <c r="D1802" t="str">
        <f>""</f>
        <v/>
      </c>
      <c r="E1802" t="str">
        <f>"Biologische parameters "</f>
        <v xml:space="preserve">Biologische parameters </v>
      </c>
      <c r="F1802" t="str">
        <f>"Overige biologische parameters "</f>
        <v xml:space="preserve">Overige biologische parameters </v>
      </c>
      <c r="G1802" t="str">
        <f>""</f>
        <v/>
      </c>
    </row>
    <row r="1803" spans="1:7" x14ac:dyDescent="0.25">
      <c r="A1803">
        <v>6705</v>
      </c>
      <c r="B1803" t="str">
        <f>"Citalopramÿ"</f>
        <v>Citalopramÿ</v>
      </c>
      <c r="C1803" t="s">
        <v>19016</v>
      </c>
      <c r="D1803" t="str">
        <f>"59729-33-8"</f>
        <v>59729-33-8</v>
      </c>
      <c r="E1803" t="str">
        <f t="shared" ref="E1803:E1809" si="73">"Organische parameters "</f>
        <v xml:space="preserve">Organische parameters </v>
      </c>
      <c r="F1803" t="str">
        <f t="shared" ref="F1803:F1809" si="74">"Overige antropogene stoffen "</f>
        <v xml:space="preserve">Overige antropogene stoffen </v>
      </c>
      <c r="G1803" t="str">
        <f>""</f>
        <v/>
      </c>
    </row>
    <row r="1804" spans="1:7" x14ac:dyDescent="0.25">
      <c r="A1804">
        <v>6706</v>
      </c>
      <c r="B1804" t="str">
        <f>"Venlafaxine"</f>
        <v>Venlafaxine</v>
      </c>
      <c r="C1804" t="s">
        <v>19016</v>
      </c>
      <c r="D1804" t="str">
        <f>"93413-69-5"</f>
        <v>93413-69-5</v>
      </c>
      <c r="E1804" t="str">
        <f t="shared" si="73"/>
        <v xml:space="preserve">Organische parameters </v>
      </c>
      <c r="F1804" t="str">
        <f t="shared" si="74"/>
        <v xml:space="preserve">Overige antropogene stoffen </v>
      </c>
      <c r="G1804" t="str">
        <f>""</f>
        <v/>
      </c>
    </row>
    <row r="1805" spans="1:7" x14ac:dyDescent="0.25">
      <c r="A1805">
        <v>6707</v>
      </c>
      <c r="B1805" t="str">
        <f>"Amisulpride"</f>
        <v>Amisulpride</v>
      </c>
      <c r="C1805" t="s">
        <v>19016</v>
      </c>
      <c r="D1805" t="str">
        <f>"53583-79-2"</f>
        <v>53583-79-2</v>
      </c>
      <c r="E1805" t="str">
        <f t="shared" si="73"/>
        <v xml:space="preserve">Organische parameters </v>
      </c>
      <c r="F1805" t="str">
        <f t="shared" si="74"/>
        <v xml:space="preserve">Overige antropogene stoffen </v>
      </c>
      <c r="G1805" t="str">
        <f>""</f>
        <v/>
      </c>
    </row>
    <row r="1806" spans="1:7" x14ac:dyDescent="0.25">
      <c r="A1806">
        <v>6708</v>
      </c>
      <c r="B1806" t="str">
        <f>"fenofibraat gerelateerde component A"</f>
        <v>fenofibraat gerelateerde component A</v>
      </c>
      <c r="C1806" t="s">
        <v>19016</v>
      </c>
      <c r="D1806" t="str">
        <f>"42019-78-3"</f>
        <v>42019-78-3</v>
      </c>
      <c r="E1806" t="str">
        <f t="shared" si="73"/>
        <v xml:space="preserve">Organische parameters </v>
      </c>
      <c r="F1806" t="str">
        <f t="shared" si="74"/>
        <v xml:space="preserve">Overige antropogene stoffen </v>
      </c>
      <c r="G1806" t="str">
        <f>""</f>
        <v/>
      </c>
    </row>
    <row r="1807" spans="1:7" x14ac:dyDescent="0.25">
      <c r="A1807">
        <v>6709</v>
      </c>
      <c r="B1807" t="str">
        <f>"carbamazepine epoxide 10,11"</f>
        <v>carbamazepine epoxide 10,11</v>
      </c>
      <c r="C1807" t="s">
        <v>19016</v>
      </c>
      <c r="D1807" t="str">
        <f>"36507-30-9"</f>
        <v>36507-30-9</v>
      </c>
      <c r="E1807" t="str">
        <f t="shared" si="73"/>
        <v xml:space="preserve">Organische parameters </v>
      </c>
      <c r="F1807" t="str">
        <f t="shared" si="74"/>
        <v xml:space="preserve">Overige antropogene stoffen </v>
      </c>
      <c r="G1807" t="str">
        <f>""</f>
        <v/>
      </c>
    </row>
    <row r="1808" spans="1:7" x14ac:dyDescent="0.25">
      <c r="A1808">
        <v>6710</v>
      </c>
      <c r="B1808" t="str">
        <f>"paraxanthine"</f>
        <v>paraxanthine</v>
      </c>
      <c r="C1808" t="s">
        <v>19016</v>
      </c>
      <c r="D1808" t="str">
        <f>"611-59-6"</f>
        <v>611-59-6</v>
      </c>
      <c r="E1808" t="str">
        <f t="shared" si="73"/>
        <v xml:space="preserve">Organische parameters </v>
      </c>
      <c r="F1808" t="str">
        <f t="shared" si="74"/>
        <v xml:space="preserve">Overige antropogene stoffen </v>
      </c>
      <c r="G1808" t="str">
        <f>""</f>
        <v/>
      </c>
    </row>
    <row r="1809" spans="1:7" x14ac:dyDescent="0.25">
      <c r="A1809">
        <v>6711</v>
      </c>
      <c r="B1809" t="str">
        <f>"bisoprolol hemifumaraat"</f>
        <v>bisoprolol hemifumaraat</v>
      </c>
      <c r="C1809" t="s">
        <v>19016</v>
      </c>
      <c r="D1809" t="str">
        <f>"104344-23-2"</f>
        <v>104344-23-2</v>
      </c>
      <c r="E1809" t="str">
        <f t="shared" si="73"/>
        <v xml:space="preserve">Organische parameters </v>
      </c>
      <c r="F1809" t="str">
        <f t="shared" si="74"/>
        <v xml:space="preserve">Overige antropogene stoffen </v>
      </c>
      <c r="G1809" t="str">
        <f>""</f>
        <v/>
      </c>
    </row>
    <row r="1810" spans="1:7" x14ac:dyDescent="0.25">
      <c r="A1810">
        <v>7000</v>
      </c>
      <c r="B1810" t="str">
        <f>"Dresscher - Van der Mark Index"</f>
        <v>Dresscher - Van der Mark Index</v>
      </c>
      <c r="C1810" t="s">
        <v>12927</v>
      </c>
      <c r="D1810" t="str">
        <f>""</f>
        <v/>
      </c>
      <c r="E1810" t="str">
        <f t="shared" ref="E1810:E1841" si="75">"Biologische parameters "</f>
        <v xml:space="preserve">Biologische parameters </v>
      </c>
      <c r="F1810" t="str">
        <f t="shared" ref="F1810:F1817" si="76">"Hydrobiologische parameters "</f>
        <v xml:space="preserve">Hydrobiologische parameters </v>
      </c>
      <c r="G1810" t="str">
        <f>""</f>
        <v/>
      </c>
    </row>
    <row r="1811" spans="1:7" x14ac:dyDescent="0.25">
      <c r="A1811">
        <v>7010</v>
      </c>
      <c r="B1811" t="str">
        <f>"Ciliata A"</f>
        <v>Ciliata A</v>
      </c>
      <c r="C1811" t="s">
        <v>14861</v>
      </c>
      <c r="D1811" t="str">
        <f>""</f>
        <v/>
      </c>
      <c r="E1811" t="str">
        <f t="shared" si="75"/>
        <v xml:space="preserve">Biologische parameters </v>
      </c>
      <c r="F1811" t="str">
        <f t="shared" si="76"/>
        <v xml:space="preserve">Hydrobiologische parameters </v>
      </c>
      <c r="G1811" t="str">
        <f>""</f>
        <v/>
      </c>
    </row>
    <row r="1812" spans="1:7" x14ac:dyDescent="0.25">
      <c r="A1812">
        <v>7012</v>
      </c>
      <c r="B1812" t="str">
        <f>"euglenophyceae B"</f>
        <v>euglenophyceae B</v>
      </c>
      <c r="C1812" t="s">
        <v>14861</v>
      </c>
      <c r="D1812" t="str">
        <f>""</f>
        <v/>
      </c>
      <c r="E1812" t="str">
        <f t="shared" si="75"/>
        <v xml:space="preserve">Biologische parameters </v>
      </c>
      <c r="F1812" t="str">
        <f t="shared" si="76"/>
        <v xml:space="preserve">Hydrobiologische parameters </v>
      </c>
      <c r="G1812" t="str">
        <f>""</f>
        <v/>
      </c>
    </row>
    <row r="1813" spans="1:7" x14ac:dyDescent="0.25">
      <c r="A1813">
        <v>7014</v>
      </c>
      <c r="B1813" t="str">
        <f>"chlorococcales C1"</f>
        <v>chlorococcales C1</v>
      </c>
      <c r="C1813" t="s">
        <v>14861</v>
      </c>
      <c r="D1813" t="str">
        <f>""</f>
        <v/>
      </c>
      <c r="E1813" t="str">
        <f t="shared" si="75"/>
        <v xml:space="preserve">Biologische parameters </v>
      </c>
      <c r="F1813" t="str">
        <f t="shared" si="76"/>
        <v xml:space="preserve">Hydrobiologische parameters </v>
      </c>
      <c r="G1813" t="str">
        <f>""</f>
        <v/>
      </c>
    </row>
    <row r="1814" spans="1:7" x14ac:dyDescent="0.25">
      <c r="A1814">
        <v>7016</v>
      </c>
      <c r="B1814" t="str">
        <f>"bacillariophyceae C2"</f>
        <v>bacillariophyceae C2</v>
      </c>
      <c r="C1814" t="s">
        <v>14861</v>
      </c>
      <c r="D1814" t="str">
        <f>""</f>
        <v/>
      </c>
      <c r="E1814" t="str">
        <f t="shared" si="75"/>
        <v xml:space="preserve">Biologische parameters </v>
      </c>
      <c r="F1814" t="str">
        <f t="shared" si="76"/>
        <v xml:space="preserve">Hydrobiologische parameters </v>
      </c>
      <c r="G1814" t="str">
        <f>""</f>
        <v/>
      </c>
    </row>
    <row r="1815" spans="1:7" x14ac:dyDescent="0.25">
      <c r="A1815">
        <v>7018</v>
      </c>
      <c r="B1815" t="str">
        <f>"donjugales D1"</f>
        <v>donjugales D1</v>
      </c>
      <c r="C1815" t="s">
        <v>14861</v>
      </c>
      <c r="D1815" t="str">
        <f>""</f>
        <v/>
      </c>
      <c r="E1815" t="str">
        <f t="shared" si="75"/>
        <v xml:space="preserve">Biologische parameters </v>
      </c>
      <c r="F1815" t="str">
        <f t="shared" si="76"/>
        <v xml:space="preserve">Hydrobiologische parameters </v>
      </c>
      <c r="G1815" t="str">
        <f>""</f>
        <v/>
      </c>
    </row>
    <row r="1816" spans="1:7" x14ac:dyDescent="0.25">
      <c r="A1816">
        <v>7020</v>
      </c>
      <c r="B1816" t="str">
        <f>"Chrysophyceae D2"</f>
        <v>Chrysophyceae D2</v>
      </c>
      <c r="C1816" t="s">
        <v>14861</v>
      </c>
      <c r="D1816" t="str">
        <f>""</f>
        <v/>
      </c>
      <c r="E1816" t="str">
        <f t="shared" si="75"/>
        <v xml:space="preserve">Biologische parameters </v>
      </c>
      <c r="F1816" t="str">
        <f t="shared" si="76"/>
        <v xml:space="preserve">Hydrobiologische parameters </v>
      </c>
      <c r="G1816" t="str">
        <f>""</f>
        <v/>
      </c>
    </row>
    <row r="1817" spans="1:7" x14ac:dyDescent="0.25">
      <c r="A1817">
        <v>7022</v>
      </c>
      <c r="B1817" t="str">
        <f>"peridiniales D3"</f>
        <v>peridiniales D3</v>
      </c>
      <c r="C1817" t="s">
        <v>14861</v>
      </c>
      <c r="D1817" t="str">
        <f>""</f>
        <v/>
      </c>
      <c r="E1817" t="str">
        <f t="shared" si="75"/>
        <v xml:space="preserve">Biologische parameters </v>
      </c>
      <c r="F1817" t="str">
        <f t="shared" si="76"/>
        <v xml:space="preserve">Hydrobiologische parameters </v>
      </c>
      <c r="G1817" t="str">
        <f>""</f>
        <v/>
      </c>
    </row>
    <row r="1818" spans="1:7" x14ac:dyDescent="0.25">
      <c r="A1818">
        <v>7100</v>
      </c>
      <c r="B1818" t="str">
        <f>"chlorofyl-a"</f>
        <v>chlorofyl-a</v>
      </c>
      <c r="C1818" t="s">
        <v>19016</v>
      </c>
      <c r="D1818" t="str">
        <f>""</f>
        <v/>
      </c>
      <c r="E1818" t="str">
        <f t="shared" si="75"/>
        <v xml:space="preserve">Biologische parameters </v>
      </c>
      <c r="F1818" t="str">
        <f t="shared" ref="F1818:F1845" si="77">"Overige biologische parameters "</f>
        <v xml:space="preserve">Overige biologische parameters </v>
      </c>
      <c r="G1818" t="str">
        <f>""</f>
        <v/>
      </c>
    </row>
    <row r="1819" spans="1:7" x14ac:dyDescent="0.25">
      <c r="A1819">
        <v>7101</v>
      </c>
      <c r="B1819" t="str">
        <f>"som chlorofyl-a en faepigmenten"</f>
        <v>som chlorofyl-a en faepigmenten</v>
      </c>
      <c r="C1819" t="s">
        <v>19016</v>
      </c>
      <c r="D1819" t="str">
        <f>""</f>
        <v/>
      </c>
      <c r="E1819" t="str">
        <f t="shared" si="75"/>
        <v xml:space="preserve">Biologische parameters </v>
      </c>
      <c r="F1819" t="str">
        <f t="shared" si="77"/>
        <v xml:space="preserve">Overige biologische parameters </v>
      </c>
      <c r="G1819" t="str">
        <f>""</f>
        <v/>
      </c>
    </row>
    <row r="1820" spans="1:7" x14ac:dyDescent="0.25">
      <c r="A1820">
        <v>7110</v>
      </c>
      <c r="B1820" t="str">
        <f>"faeopigmenten tijdens bepaling chlorofyl-a"</f>
        <v>faeopigmenten tijdens bepaling chlorofyl-a</v>
      </c>
      <c r="C1820" t="s">
        <v>19016</v>
      </c>
      <c r="D1820" t="str">
        <f>""</f>
        <v/>
      </c>
      <c r="E1820" t="str">
        <f t="shared" si="75"/>
        <v xml:space="preserve">Biologische parameters </v>
      </c>
      <c r="F1820" t="str">
        <f t="shared" si="77"/>
        <v xml:space="preserve">Overige biologische parameters </v>
      </c>
      <c r="G1820" t="str">
        <f>""</f>
        <v/>
      </c>
    </row>
    <row r="1821" spans="1:7" x14ac:dyDescent="0.25">
      <c r="A1821">
        <v>7115</v>
      </c>
      <c r="B1821" t="str">
        <f>"gefiltreerd monstervolume"</f>
        <v>gefiltreerd monstervolume</v>
      </c>
      <c r="C1821" t="s">
        <v>14871</v>
      </c>
      <c r="D1821" t="str">
        <f>""</f>
        <v/>
      </c>
      <c r="E1821" t="str">
        <f t="shared" si="75"/>
        <v xml:space="preserve">Biologische parameters </v>
      </c>
      <c r="F1821" t="str">
        <f t="shared" si="77"/>
        <v xml:space="preserve">Overige biologische parameters </v>
      </c>
      <c r="G1821" t="str">
        <f>""</f>
        <v/>
      </c>
    </row>
    <row r="1822" spans="1:7" x14ac:dyDescent="0.25">
      <c r="A1822">
        <v>7120</v>
      </c>
      <c r="B1822" t="str">
        <f>"volume sediment in 500 æm residu"</f>
        <v>volume sediment in 500 æm residu</v>
      </c>
      <c r="C1822" t="s">
        <v>14873</v>
      </c>
      <c r="D1822" t="str">
        <f>""</f>
        <v/>
      </c>
      <c r="E1822" t="str">
        <f t="shared" si="75"/>
        <v xml:space="preserve">Biologische parameters </v>
      </c>
      <c r="F1822" t="str">
        <f t="shared" si="77"/>
        <v xml:space="preserve">Overige biologische parameters </v>
      </c>
      <c r="G1822" t="str">
        <f>""</f>
        <v/>
      </c>
    </row>
    <row r="1823" spans="1:7" x14ac:dyDescent="0.25">
      <c r="A1823">
        <v>7121</v>
      </c>
      <c r="B1823" t="str">
        <f>"volume sediment in 30 æm residu"</f>
        <v>volume sediment in 30 æm residu</v>
      </c>
      <c r="C1823" t="s">
        <v>14873</v>
      </c>
      <c r="D1823" t="str">
        <f>""</f>
        <v/>
      </c>
      <c r="E1823" t="str">
        <f t="shared" si="75"/>
        <v xml:space="preserve">Biologische parameters </v>
      </c>
      <c r="F1823" t="str">
        <f t="shared" si="77"/>
        <v xml:space="preserve">Overige biologische parameters </v>
      </c>
      <c r="G1823" t="str">
        <f>""</f>
        <v/>
      </c>
    </row>
    <row r="1824" spans="1:7" x14ac:dyDescent="0.25">
      <c r="A1824">
        <v>7122</v>
      </c>
      <c r="B1824" t="str">
        <f>"volume sediment in 100 æm residu"</f>
        <v>volume sediment in 100 æm residu</v>
      </c>
      <c r="C1824" t="s">
        <v>14873</v>
      </c>
      <c r="D1824" t="str">
        <f>""</f>
        <v/>
      </c>
      <c r="E1824" t="str">
        <f t="shared" si="75"/>
        <v xml:space="preserve">Biologische parameters </v>
      </c>
      <c r="F1824" t="str">
        <f t="shared" si="77"/>
        <v xml:space="preserve">Overige biologische parameters </v>
      </c>
      <c r="G1824" t="str">
        <f>""</f>
        <v/>
      </c>
    </row>
    <row r="1825" spans="1:7" x14ac:dyDescent="0.25">
      <c r="A1825">
        <v>7123</v>
      </c>
      <c r="B1825" t="str">
        <f>"volume zware sediment in 100 æm residu"</f>
        <v>volume zware sediment in 100 æm residu</v>
      </c>
      <c r="C1825" t="s">
        <v>14873</v>
      </c>
      <c r="D1825" t="str">
        <f>""</f>
        <v/>
      </c>
      <c r="E1825" t="str">
        <f t="shared" si="75"/>
        <v xml:space="preserve">Biologische parameters </v>
      </c>
      <c r="F1825" t="str">
        <f t="shared" si="77"/>
        <v xml:space="preserve">Overige biologische parameters </v>
      </c>
      <c r="G1825" t="str">
        <f>""</f>
        <v/>
      </c>
    </row>
    <row r="1826" spans="1:7" x14ac:dyDescent="0.25">
      <c r="A1826">
        <v>7125</v>
      </c>
      <c r="B1826" t="str">
        <f>"volume korrelvormig licht sediment in 100 æm residu"</f>
        <v>volume korrelvormig licht sediment in 100 æm residu</v>
      </c>
      <c r="C1826" t="s">
        <v>14873</v>
      </c>
      <c r="D1826" t="str">
        <f>""</f>
        <v/>
      </c>
      <c r="E1826" t="str">
        <f t="shared" si="75"/>
        <v xml:space="preserve">Biologische parameters </v>
      </c>
      <c r="F1826" t="str">
        <f t="shared" si="77"/>
        <v xml:space="preserve">Overige biologische parameters </v>
      </c>
      <c r="G1826" t="str">
        <f>""</f>
        <v/>
      </c>
    </row>
    <row r="1827" spans="1:7" x14ac:dyDescent="0.25">
      <c r="A1827">
        <v>7127</v>
      </c>
      <c r="B1827" t="str">
        <f>"volume vlokvormig licht sediment in 100 æm residu"</f>
        <v>volume vlokvormig licht sediment in 100 æm residu</v>
      </c>
      <c r="C1827" t="s">
        <v>14873</v>
      </c>
      <c r="D1827" t="str">
        <f>""</f>
        <v/>
      </c>
      <c r="E1827" t="str">
        <f t="shared" si="75"/>
        <v xml:space="preserve">Biologische parameters </v>
      </c>
      <c r="F1827" t="str">
        <f t="shared" si="77"/>
        <v xml:space="preserve">Overige biologische parameters </v>
      </c>
      <c r="G1827" t="str">
        <f>""</f>
        <v/>
      </c>
    </row>
    <row r="1828" spans="1:7" x14ac:dyDescent="0.25">
      <c r="A1828">
        <v>7130</v>
      </c>
      <c r="B1828" t="str">
        <f>"kiezels in 500 æm residu"</f>
        <v>kiezels in 500 æm residu</v>
      </c>
      <c r="C1828" t="s">
        <v>12922</v>
      </c>
      <c r="D1828" t="str">
        <f>""</f>
        <v/>
      </c>
      <c r="E1828" t="str">
        <f t="shared" si="75"/>
        <v xml:space="preserve">Biologische parameters </v>
      </c>
      <c r="F1828" t="str">
        <f t="shared" si="77"/>
        <v xml:space="preserve">Overige biologische parameters </v>
      </c>
      <c r="G1828" t="str">
        <f>""</f>
        <v/>
      </c>
    </row>
    <row r="1829" spans="1:7" x14ac:dyDescent="0.25">
      <c r="A1829">
        <v>7132</v>
      </c>
      <c r="B1829" t="str">
        <f>"roestbrokken in 500 æm residu"</f>
        <v>roestbrokken in 500 æm residu</v>
      </c>
      <c r="C1829" t="s">
        <v>12922</v>
      </c>
      <c r="D1829" t="str">
        <f>""</f>
        <v/>
      </c>
      <c r="E1829" t="str">
        <f t="shared" si="75"/>
        <v xml:space="preserve">Biologische parameters </v>
      </c>
      <c r="F1829" t="str">
        <f t="shared" si="77"/>
        <v xml:space="preserve">Overige biologische parameters </v>
      </c>
      <c r="G1829" t="str">
        <f>""</f>
        <v/>
      </c>
    </row>
    <row r="1830" spans="1:7" x14ac:dyDescent="0.25">
      <c r="A1830">
        <v>7135</v>
      </c>
      <c r="B1830" t="str">
        <f>"stukjes asbest-cement in 500 æm residu"</f>
        <v>stukjes asbest-cement in 500 æm residu</v>
      </c>
      <c r="C1830" t="s">
        <v>12922</v>
      </c>
      <c r="D1830" t="str">
        <f>""</f>
        <v/>
      </c>
      <c r="E1830" t="str">
        <f t="shared" si="75"/>
        <v xml:space="preserve">Biologische parameters </v>
      </c>
      <c r="F1830" t="str">
        <f t="shared" si="77"/>
        <v xml:space="preserve">Overige biologische parameters </v>
      </c>
      <c r="G1830" t="str">
        <f>""</f>
        <v/>
      </c>
    </row>
    <row r="1831" spans="1:7" x14ac:dyDescent="0.25">
      <c r="A1831">
        <v>7137</v>
      </c>
      <c r="B1831" t="str">
        <f>"krullen kunststof in 500 æm residu"</f>
        <v>krullen kunststof in 500 æm residu</v>
      </c>
      <c r="C1831" t="s">
        <v>12922</v>
      </c>
      <c r="D1831" t="str">
        <f>""</f>
        <v/>
      </c>
      <c r="E1831" t="str">
        <f t="shared" si="75"/>
        <v xml:space="preserve">Biologische parameters </v>
      </c>
      <c r="F1831" t="str">
        <f t="shared" si="77"/>
        <v xml:space="preserve">Overige biologische parameters </v>
      </c>
      <c r="G1831" t="str">
        <f>""</f>
        <v/>
      </c>
    </row>
    <row r="1832" spans="1:7" x14ac:dyDescent="0.25">
      <c r="A1832">
        <v>7140</v>
      </c>
      <c r="B1832" t="str">
        <f>"brokjes bitumen in 500 æm residu"</f>
        <v>brokjes bitumen in 500 æm residu</v>
      </c>
      <c r="C1832" t="s">
        <v>12922</v>
      </c>
      <c r="D1832" t="str">
        <f>""</f>
        <v/>
      </c>
      <c r="E1832" t="str">
        <f t="shared" si="75"/>
        <v xml:space="preserve">Biologische parameters </v>
      </c>
      <c r="F1832" t="str">
        <f t="shared" si="77"/>
        <v xml:space="preserve">Overige biologische parameters </v>
      </c>
      <c r="G1832" t="str">
        <f>""</f>
        <v/>
      </c>
    </row>
    <row r="1833" spans="1:7" x14ac:dyDescent="0.25">
      <c r="A1833">
        <v>7142</v>
      </c>
      <c r="B1833" t="str">
        <f>"plantaardig materiaal in 500 æm residu"</f>
        <v>plantaardig materiaal in 500 æm residu</v>
      </c>
      <c r="C1833" t="s">
        <v>12922</v>
      </c>
      <c r="D1833" t="str">
        <f>""</f>
        <v/>
      </c>
      <c r="E1833" t="str">
        <f t="shared" si="75"/>
        <v xml:space="preserve">Biologische parameters </v>
      </c>
      <c r="F1833" t="str">
        <f t="shared" si="77"/>
        <v xml:space="preserve">Overige biologische parameters </v>
      </c>
      <c r="G1833" t="str">
        <f>""</f>
        <v/>
      </c>
    </row>
    <row r="1834" spans="1:7" x14ac:dyDescent="0.25">
      <c r="A1834">
        <v>7145</v>
      </c>
      <c r="B1834" t="str">
        <f>"stukjes van een prop in 500 æm residu"</f>
        <v>stukjes van een prop in 500 æm residu</v>
      </c>
      <c r="C1834" t="s">
        <v>12922</v>
      </c>
      <c r="D1834" t="str">
        <f>""</f>
        <v/>
      </c>
      <c r="E1834" t="str">
        <f t="shared" si="75"/>
        <v xml:space="preserve">Biologische parameters </v>
      </c>
      <c r="F1834" t="str">
        <f t="shared" si="77"/>
        <v xml:space="preserve">Overige biologische parameters </v>
      </c>
      <c r="G1834" t="str">
        <f>""</f>
        <v/>
      </c>
    </row>
    <row r="1835" spans="1:7" x14ac:dyDescent="0.25">
      <c r="A1835">
        <v>7147</v>
      </c>
      <c r="B1835" t="str">
        <f>"overig materiaal in 500 æm residu"</f>
        <v>overig materiaal in 500 æm residu</v>
      </c>
      <c r="C1835" t="s">
        <v>12922</v>
      </c>
      <c r="D1835" t="str">
        <f>""</f>
        <v/>
      </c>
      <c r="E1835" t="str">
        <f t="shared" si="75"/>
        <v xml:space="preserve">Biologische parameters </v>
      </c>
      <c r="F1835" t="str">
        <f t="shared" si="77"/>
        <v xml:space="preserve">Overige biologische parameters </v>
      </c>
      <c r="G1835" t="str">
        <f>""</f>
        <v/>
      </c>
    </row>
    <row r="1836" spans="1:7" x14ac:dyDescent="0.25">
      <c r="A1836">
        <v>7150</v>
      </c>
      <c r="B1836" t="str">
        <f>"zand in 100 æm residu"</f>
        <v>zand in 100 æm residu</v>
      </c>
      <c r="C1836" t="s">
        <v>12922</v>
      </c>
      <c r="D1836" t="str">
        <f>""</f>
        <v/>
      </c>
      <c r="E1836" t="str">
        <f t="shared" si="75"/>
        <v xml:space="preserve">Biologische parameters </v>
      </c>
      <c r="F1836" t="str">
        <f t="shared" si="77"/>
        <v xml:space="preserve">Overige biologische parameters </v>
      </c>
      <c r="G1836" t="str">
        <f>""</f>
        <v/>
      </c>
    </row>
    <row r="1837" spans="1:7" x14ac:dyDescent="0.25">
      <c r="A1837">
        <v>7152</v>
      </c>
      <c r="B1837" t="str">
        <f>"vlokvormig materiaal in 100 æm residu"</f>
        <v>vlokvormig materiaal in 100 æm residu</v>
      </c>
      <c r="C1837" t="s">
        <v>12922</v>
      </c>
      <c r="D1837" t="str">
        <f>""</f>
        <v/>
      </c>
      <c r="E1837" t="str">
        <f t="shared" si="75"/>
        <v xml:space="preserve">Biologische parameters </v>
      </c>
      <c r="F1837" t="str">
        <f t="shared" si="77"/>
        <v xml:space="preserve">Overige biologische parameters </v>
      </c>
      <c r="G1837" t="str">
        <f>""</f>
        <v/>
      </c>
    </row>
    <row r="1838" spans="1:7" x14ac:dyDescent="0.25">
      <c r="A1838">
        <v>7155</v>
      </c>
      <c r="B1838" t="str">
        <f>"roestbrokjes in 100 æm residu"</f>
        <v>roestbrokjes in 100 æm residu</v>
      </c>
      <c r="C1838" t="s">
        <v>12922</v>
      </c>
      <c r="D1838" t="str">
        <f>""</f>
        <v/>
      </c>
      <c r="E1838" t="str">
        <f t="shared" si="75"/>
        <v xml:space="preserve">Biologische parameters </v>
      </c>
      <c r="F1838" t="str">
        <f t="shared" si="77"/>
        <v xml:space="preserve">Overige biologische parameters </v>
      </c>
      <c r="G1838" t="str">
        <f>""</f>
        <v/>
      </c>
    </row>
    <row r="1839" spans="1:7" x14ac:dyDescent="0.25">
      <c r="A1839">
        <v>7157</v>
      </c>
      <c r="B1839" t="str">
        <f>"zwarte brokjes in 100 æm residu"</f>
        <v>zwarte brokjes in 100 æm residu</v>
      </c>
      <c r="C1839" t="s">
        <v>12922</v>
      </c>
      <c r="D1839" t="str">
        <f>""</f>
        <v/>
      </c>
      <c r="E1839" t="str">
        <f t="shared" si="75"/>
        <v xml:space="preserve">Biologische parameters </v>
      </c>
      <c r="F1839" t="str">
        <f t="shared" si="77"/>
        <v xml:space="preserve">Overige biologische parameters </v>
      </c>
      <c r="G1839" t="str">
        <f>""</f>
        <v/>
      </c>
    </row>
    <row r="1840" spans="1:7" x14ac:dyDescent="0.25">
      <c r="A1840">
        <v>7159</v>
      </c>
      <c r="B1840" t="str">
        <f>"overig materiaal in 100 æm residu"</f>
        <v>overig materiaal in 100 æm residu</v>
      </c>
      <c r="C1840" t="s">
        <v>12922</v>
      </c>
      <c r="D1840" t="str">
        <f>""</f>
        <v/>
      </c>
      <c r="E1840" t="str">
        <f t="shared" si="75"/>
        <v xml:space="preserve">Biologische parameters </v>
      </c>
      <c r="F1840" t="str">
        <f t="shared" si="77"/>
        <v xml:space="preserve">Overige biologische parameters </v>
      </c>
      <c r="G1840" t="str">
        <f>""</f>
        <v/>
      </c>
    </row>
    <row r="1841" spans="1:7" x14ac:dyDescent="0.25">
      <c r="A1841">
        <v>7160</v>
      </c>
      <c r="B1841" t="str">
        <f>"uitwerpselen waterpissebedden in 100 æm residu"</f>
        <v>uitwerpselen waterpissebedden in 100 æm residu</v>
      </c>
      <c r="C1841" t="s">
        <v>12922</v>
      </c>
      <c r="D1841" t="str">
        <f>""</f>
        <v/>
      </c>
      <c r="E1841" t="str">
        <f t="shared" si="75"/>
        <v xml:space="preserve">Biologische parameters </v>
      </c>
      <c r="F1841" t="str">
        <f t="shared" si="77"/>
        <v xml:space="preserve">Overige biologische parameters </v>
      </c>
      <c r="G1841" t="str">
        <f>""</f>
        <v/>
      </c>
    </row>
    <row r="1842" spans="1:7" x14ac:dyDescent="0.25">
      <c r="A1842">
        <v>7162</v>
      </c>
      <c r="B1842" t="str">
        <f>"beige deel van uitwerpselen waterpissebedden"</f>
        <v>beige deel van uitwerpselen waterpissebedden</v>
      </c>
      <c r="C1842" t="s">
        <v>12922</v>
      </c>
      <c r="D1842" t="str">
        <f>""</f>
        <v/>
      </c>
      <c r="E1842" t="str">
        <f t="shared" ref="E1842:E1859" si="78">"Biologische parameters "</f>
        <v xml:space="preserve">Biologische parameters </v>
      </c>
      <c r="F1842" t="str">
        <f t="shared" si="77"/>
        <v xml:space="preserve">Overige biologische parameters </v>
      </c>
      <c r="G1842" t="str">
        <f>""</f>
        <v/>
      </c>
    </row>
    <row r="1843" spans="1:7" x14ac:dyDescent="0.25">
      <c r="A1843">
        <v>7165</v>
      </c>
      <c r="B1843" t="str">
        <f>"oranje deel van uitwerpselen waterpissebedden"</f>
        <v>oranje deel van uitwerpselen waterpissebedden</v>
      </c>
      <c r="C1843" t="s">
        <v>12922</v>
      </c>
      <c r="D1843" t="str">
        <f>""</f>
        <v/>
      </c>
      <c r="E1843" t="str">
        <f t="shared" si="78"/>
        <v xml:space="preserve">Biologische parameters </v>
      </c>
      <c r="F1843" t="str">
        <f t="shared" si="77"/>
        <v xml:space="preserve">Overige biologische parameters </v>
      </c>
      <c r="G1843" t="str">
        <f>""</f>
        <v/>
      </c>
    </row>
    <row r="1844" spans="1:7" x14ac:dyDescent="0.25">
      <c r="A1844">
        <v>7167</v>
      </c>
      <c r="B1844" t="str">
        <f>"bruine deel van uitwerpselen waterpissebedden"</f>
        <v>bruine deel van uitwerpselen waterpissebedden</v>
      </c>
      <c r="C1844" t="s">
        <v>12922</v>
      </c>
      <c r="D1844" t="str">
        <f>""</f>
        <v/>
      </c>
      <c r="E1844" t="str">
        <f t="shared" si="78"/>
        <v xml:space="preserve">Biologische parameters </v>
      </c>
      <c r="F1844" t="str">
        <f t="shared" si="77"/>
        <v xml:space="preserve">Overige biologische parameters </v>
      </c>
      <c r="G1844" t="str">
        <f>""</f>
        <v/>
      </c>
    </row>
    <row r="1845" spans="1:7" x14ac:dyDescent="0.25">
      <c r="A1845">
        <v>7170</v>
      </c>
      <c r="B1845" t="str">
        <f>"zwarte deel van uitwerpselen waterpissebedden"</f>
        <v>zwarte deel van uitwerpselen waterpissebedden</v>
      </c>
      <c r="C1845" t="s">
        <v>12922</v>
      </c>
      <c r="D1845" t="str">
        <f>""</f>
        <v/>
      </c>
      <c r="E1845" t="str">
        <f t="shared" si="78"/>
        <v xml:space="preserve">Biologische parameters </v>
      </c>
      <c r="F1845" t="str">
        <f t="shared" si="77"/>
        <v xml:space="preserve">Overige biologische parameters </v>
      </c>
      <c r="G1845" t="str">
        <f>""</f>
        <v/>
      </c>
    </row>
    <row r="1846" spans="1:7" x14ac:dyDescent="0.25">
      <c r="A1846">
        <v>7200</v>
      </c>
      <c r="B1846" t="str">
        <f>"fytoplankton, totaal"</f>
        <v>fytoplankton, totaal</v>
      </c>
      <c r="C1846" t="s">
        <v>14898</v>
      </c>
      <c r="D1846" t="str">
        <f>""</f>
        <v/>
      </c>
      <c r="E1846" t="str">
        <f t="shared" si="78"/>
        <v xml:space="preserve">Biologische parameters </v>
      </c>
      <c r="F1846" t="str">
        <f t="shared" ref="F1846:F1859" si="79">"Hydrobiologische parameters "</f>
        <v xml:space="preserve">Hydrobiologische parameters </v>
      </c>
      <c r="G1846" t="str">
        <f>""</f>
        <v/>
      </c>
    </row>
    <row r="1847" spans="1:7" x14ac:dyDescent="0.25">
      <c r="A1847">
        <v>7220</v>
      </c>
      <c r="B1847" t="str">
        <f>"æ-algen"</f>
        <v>æ-algen</v>
      </c>
      <c r="C1847" t="s">
        <v>14898</v>
      </c>
      <c r="D1847" t="str">
        <f>""</f>
        <v/>
      </c>
      <c r="E1847" t="str">
        <f t="shared" si="78"/>
        <v xml:space="preserve">Biologische parameters </v>
      </c>
      <c r="F1847" t="str">
        <f t="shared" si="79"/>
        <v xml:space="preserve">Hydrobiologische parameters </v>
      </c>
      <c r="G1847" t="str">
        <f>""</f>
        <v/>
      </c>
    </row>
    <row r="1848" spans="1:7" x14ac:dyDescent="0.25">
      <c r="A1848">
        <v>7240</v>
      </c>
      <c r="B1848" t="str">
        <f>"Cyanobacteriën (Cyanophyceae)"</f>
        <v>Cyanobacteriën (Cyanophyceae)</v>
      </c>
      <c r="C1848" t="s">
        <v>14898</v>
      </c>
      <c r="D1848" t="str">
        <f>""</f>
        <v/>
      </c>
      <c r="E1848" t="str">
        <f t="shared" si="78"/>
        <v xml:space="preserve">Biologische parameters </v>
      </c>
      <c r="F1848" t="str">
        <f t="shared" si="79"/>
        <v xml:space="preserve">Hydrobiologische parameters </v>
      </c>
      <c r="G1848" t="str">
        <f>""</f>
        <v/>
      </c>
    </row>
    <row r="1849" spans="1:7" x14ac:dyDescent="0.25">
      <c r="A1849">
        <v>7242</v>
      </c>
      <c r="B1849" t="str">
        <f>"Cyanobacteriën, biovolume"</f>
        <v>Cyanobacteriën, biovolume</v>
      </c>
      <c r="C1849" t="s">
        <v>14902</v>
      </c>
      <c r="D1849" t="str">
        <f>""</f>
        <v/>
      </c>
      <c r="E1849" t="str">
        <f t="shared" si="78"/>
        <v xml:space="preserve">Biologische parameters </v>
      </c>
      <c r="F1849" t="str">
        <f t="shared" si="79"/>
        <v xml:space="preserve">Hydrobiologische parameters </v>
      </c>
      <c r="G1849" t="str">
        <f>""</f>
        <v/>
      </c>
    </row>
    <row r="1850" spans="1:7" x14ac:dyDescent="0.25">
      <c r="A1850">
        <v>7243</v>
      </c>
      <c r="B1850" t="str">
        <f>"Cyanobacteriën, biovolume"</f>
        <v>Cyanobacteriën, biovolume</v>
      </c>
      <c r="C1850" t="s">
        <v>14904</v>
      </c>
      <c r="D1850" t="str">
        <f>""</f>
        <v/>
      </c>
      <c r="E1850" t="str">
        <f t="shared" si="78"/>
        <v xml:space="preserve">Biologische parameters </v>
      </c>
      <c r="F1850" t="str">
        <f t="shared" si="79"/>
        <v xml:space="preserve">Hydrobiologische parameters </v>
      </c>
      <c r="G1850" t="str">
        <f>""</f>
        <v/>
      </c>
    </row>
    <row r="1851" spans="1:7" x14ac:dyDescent="0.25">
      <c r="A1851">
        <v>7244</v>
      </c>
      <c r="B1851" t="str">
        <f>"Aphanizomenon"</f>
        <v>Aphanizomenon</v>
      </c>
      <c r="C1851" t="s">
        <v>14905</v>
      </c>
      <c r="D1851" t="str">
        <f>""</f>
        <v/>
      </c>
      <c r="E1851" t="str">
        <f t="shared" si="78"/>
        <v xml:space="preserve">Biologische parameters </v>
      </c>
      <c r="F1851" t="str">
        <f t="shared" si="79"/>
        <v xml:space="preserve">Hydrobiologische parameters </v>
      </c>
      <c r="G1851" t="str">
        <f>""</f>
        <v/>
      </c>
    </row>
    <row r="1852" spans="1:7" x14ac:dyDescent="0.25">
      <c r="A1852">
        <v>7245</v>
      </c>
      <c r="B1852" t="str">
        <f>"Aphanizomenon, biovolume"</f>
        <v>Aphanizomenon, biovolume</v>
      </c>
      <c r="C1852" t="s">
        <v>14904</v>
      </c>
      <c r="D1852" t="str">
        <f>""</f>
        <v/>
      </c>
      <c r="E1852" t="str">
        <f t="shared" si="78"/>
        <v xml:space="preserve">Biologische parameters </v>
      </c>
      <c r="F1852" t="str">
        <f t="shared" si="79"/>
        <v xml:space="preserve">Hydrobiologische parameters </v>
      </c>
      <c r="G1852" t="str">
        <f>""</f>
        <v/>
      </c>
    </row>
    <row r="1853" spans="1:7" x14ac:dyDescent="0.25">
      <c r="A1853">
        <v>7246</v>
      </c>
      <c r="B1853" t="str">
        <f>"Oscillatoria"</f>
        <v>Oscillatoria</v>
      </c>
      <c r="C1853" t="s">
        <v>14905</v>
      </c>
      <c r="D1853" t="str">
        <f>""</f>
        <v/>
      </c>
      <c r="E1853" t="str">
        <f t="shared" si="78"/>
        <v xml:space="preserve">Biologische parameters </v>
      </c>
      <c r="F1853" t="str">
        <f t="shared" si="79"/>
        <v xml:space="preserve">Hydrobiologische parameters </v>
      </c>
      <c r="G1853" t="str">
        <f>""</f>
        <v/>
      </c>
    </row>
    <row r="1854" spans="1:7" x14ac:dyDescent="0.25">
      <c r="A1854">
        <v>7248</v>
      </c>
      <c r="B1854" t="str">
        <f>"Chroococcus"</f>
        <v>Chroococcus</v>
      </c>
      <c r="C1854" t="s">
        <v>14908</v>
      </c>
      <c r="D1854" t="str">
        <f>""</f>
        <v/>
      </c>
      <c r="E1854" t="str">
        <f t="shared" si="78"/>
        <v xml:space="preserve">Biologische parameters </v>
      </c>
      <c r="F1854" t="str">
        <f t="shared" si="79"/>
        <v xml:space="preserve">Hydrobiologische parameters </v>
      </c>
      <c r="G1854" t="str">
        <f>""</f>
        <v/>
      </c>
    </row>
    <row r="1855" spans="1:7" x14ac:dyDescent="0.25">
      <c r="A1855">
        <v>7250</v>
      </c>
      <c r="B1855" t="str">
        <f>"Anabaena"</f>
        <v>Anabaena</v>
      </c>
      <c r="C1855" t="s">
        <v>14910</v>
      </c>
      <c r="D1855" t="str">
        <f>""</f>
        <v/>
      </c>
      <c r="E1855" t="str">
        <f t="shared" si="78"/>
        <v xml:space="preserve">Biologische parameters </v>
      </c>
      <c r="F1855" t="str">
        <f t="shared" si="79"/>
        <v xml:space="preserve">Hydrobiologische parameters </v>
      </c>
      <c r="G1855" t="str">
        <f>""</f>
        <v/>
      </c>
    </row>
    <row r="1856" spans="1:7" x14ac:dyDescent="0.25">
      <c r="A1856">
        <v>7251</v>
      </c>
      <c r="B1856" t="str">
        <f>"Anabaena, biovolume"</f>
        <v>Anabaena, biovolume</v>
      </c>
      <c r="C1856" t="s">
        <v>14904</v>
      </c>
      <c r="D1856" t="str">
        <f>""</f>
        <v/>
      </c>
      <c r="E1856" t="str">
        <f t="shared" si="78"/>
        <v xml:space="preserve">Biologische parameters </v>
      </c>
      <c r="F1856" t="str">
        <f t="shared" si="79"/>
        <v xml:space="preserve">Hydrobiologische parameters </v>
      </c>
      <c r="G1856" t="str">
        <f>""</f>
        <v/>
      </c>
    </row>
    <row r="1857" spans="1:7" x14ac:dyDescent="0.25">
      <c r="A1857">
        <v>7252</v>
      </c>
      <c r="B1857" t="str">
        <f>"Aphanocapsa"</f>
        <v>Aphanocapsa</v>
      </c>
      <c r="C1857" t="s">
        <v>14910</v>
      </c>
      <c r="D1857" t="str">
        <f>""</f>
        <v/>
      </c>
      <c r="E1857" t="str">
        <f t="shared" si="78"/>
        <v xml:space="preserve">Biologische parameters </v>
      </c>
      <c r="F1857" t="str">
        <f t="shared" si="79"/>
        <v xml:space="preserve">Hydrobiologische parameters </v>
      </c>
      <c r="G1857" t="str">
        <f>""</f>
        <v/>
      </c>
    </row>
    <row r="1858" spans="1:7" x14ac:dyDescent="0.25">
      <c r="A1858">
        <v>7254</v>
      </c>
      <c r="B1858" t="str">
        <f>"microcystis"</f>
        <v>microcystis</v>
      </c>
      <c r="C1858" t="s">
        <v>14910</v>
      </c>
      <c r="D1858" t="str">
        <f>""</f>
        <v/>
      </c>
      <c r="E1858" t="str">
        <f t="shared" si="78"/>
        <v xml:space="preserve">Biologische parameters </v>
      </c>
      <c r="F1858" t="str">
        <f t="shared" si="79"/>
        <v xml:space="preserve">Hydrobiologische parameters </v>
      </c>
      <c r="G1858" t="str">
        <f>""</f>
        <v/>
      </c>
    </row>
    <row r="1859" spans="1:7" x14ac:dyDescent="0.25">
      <c r="A1859">
        <v>7255</v>
      </c>
      <c r="B1859" t="str">
        <f>"microcystis, biovolume"</f>
        <v>microcystis, biovolume</v>
      </c>
      <c r="C1859" t="s">
        <v>14904</v>
      </c>
      <c r="D1859" t="str">
        <f>""</f>
        <v/>
      </c>
      <c r="E1859" t="str">
        <f t="shared" si="78"/>
        <v xml:space="preserve">Biologische parameters </v>
      </c>
      <c r="F1859" t="str">
        <f t="shared" si="79"/>
        <v xml:space="preserve">Hydrobiologische parameters </v>
      </c>
      <c r="G1859" t="str">
        <f>""</f>
        <v/>
      </c>
    </row>
    <row r="1860" spans="1:7" x14ac:dyDescent="0.25">
      <c r="A1860">
        <v>7256</v>
      </c>
      <c r="B1860" t="str">
        <f>"microcystine (bepaald bij +4 C)"</f>
        <v>microcystine (bepaald bij +4 C)</v>
      </c>
      <c r="C1860" t="s">
        <v>19016</v>
      </c>
      <c r="D1860" t="str">
        <f>""</f>
        <v/>
      </c>
      <c r="E1860" t="str">
        <f>"Organische parameters "</f>
        <v xml:space="preserve">Organische parameters </v>
      </c>
      <c r="F1860" t="str">
        <f>"Overige organische parameters "</f>
        <v xml:space="preserve">Overige organische parameters </v>
      </c>
      <c r="G1860" t="str">
        <f>""</f>
        <v/>
      </c>
    </row>
    <row r="1861" spans="1:7" x14ac:dyDescent="0.25">
      <c r="A1861">
        <v>7257</v>
      </c>
      <c r="B1861" t="str">
        <f>"microcystine (bepaald bij -20 C)"</f>
        <v>microcystine (bepaald bij -20 C)</v>
      </c>
      <c r="C1861" t="s">
        <v>19016</v>
      </c>
      <c r="D1861" t="str">
        <f>""</f>
        <v/>
      </c>
      <c r="E1861" t="str">
        <f>"Organische parameters "</f>
        <v xml:space="preserve">Organische parameters </v>
      </c>
      <c r="F1861" t="str">
        <f>"Overige organische parameters "</f>
        <v xml:space="preserve">Overige organische parameters </v>
      </c>
      <c r="G1861" t="str">
        <f>""</f>
        <v/>
      </c>
    </row>
    <row r="1862" spans="1:7" x14ac:dyDescent="0.25">
      <c r="A1862">
        <v>7260</v>
      </c>
      <c r="B1862" t="str">
        <f>"Cryptophyceae"</f>
        <v>Cryptophyceae</v>
      </c>
      <c r="C1862" t="s">
        <v>14898</v>
      </c>
      <c r="D1862" t="str">
        <f>""</f>
        <v/>
      </c>
      <c r="E1862" t="str">
        <f t="shared" ref="E1862:E1893" si="80">"Biologische parameters "</f>
        <v xml:space="preserve">Biologische parameters </v>
      </c>
      <c r="F1862" t="str">
        <f t="shared" ref="F1862:F1893" si="81">"Hydrobiologische parameters "</f>
        <v xml:space="preserve">Hydrobiologische parameters </v>
      </c>
      <c r="G1862" t="str">
        <f>""</f>
        <v/>
      </c>
    </row>
    <row r="1863" spans="1:7" x14ac:dyDescent="0.25">
      <c r="A1863">
        <v>7280</v>
      </c>
      <c r="B1863" t="str">
        <f>"goudalgen (Chrysophyceae)"</f>
        <v>goudalgen (Chrysophyceae)</v>
      </c>
      <c r="C1863" t="s">
        <v>14898</v>
      </c>
      <c r="D1863" t="str">
        <f>""</f>
        <v/>
      </c>
      <c r="E1863" t="str">
        <f t="shared" si="80"/>
        <v xml:space="preserve">Biologische parameters </v>
      </c>
      <c r="F1863" t="str">
        <f t="shared" si="81"/>
        <v xml:space="preserve">Hydrobiologische parameters </v>
      </c>
      <c r="G1863" t="str">
        <f>""</f>
        <v/>
      </c>
    </row>
    <row r="1864" spans="1:7" x14ac:dyDescent="0.25">
      <c r="A1864">
        <v>7300</v>
      </c>
      <c r="B1864" t="str">
        <f>"groenalgen (Chlorophyceae)"</f>
        <v>groenalgen (Chlorophyceae)</v>
      </c>
      <c r="C1864" t="s">
        <v>14898</v>
      </c>
      <c r="D1864" t="str">
        <f>""</f>
        <v/>
      </c>
      <c r="E1864" t="str">
        <f t="shared" si="80"/>
        <v xml:space="preserve">Biologische parameters </v>
      </c>
      <c r="F1864" t="str">
        <f t="shared" si="81"/>
        <v xml:space="preserve">Hydrobiologische parameters </v>
      </c>
      <c r="G1864" t="str">
        <f>""</f>
        <v/>
      </c>
    </row>
    <row r="1865" spans="1:7" x14ac:dyDescent="0.25">
      <c r="A1865">
        <v>7320</v>
      </c>
      <c r="B1865" t="str">
        <f>"Kiezelalgen (Bacillariophyceae)"</f>
        <v>Kiezelalgen (Bacillariophyceae)</v>
      </c>
      <c r="C1865" t="s">
        <v>14898</v>
      </c>
      <c r="D1865" t="str">
        <f>""</f>
        <v/>
      </c>
      <c r="E1865" t="str">
        <f t="shared" si="80"/>
        <v xml:space="preserve">Biologische parameters </v>
      </c>
      <c r="F1865" t="str">
        <f t="shared" si="81"/>
        <v xml:space="preserve">Hydrobiologische parameters </v>
      </c>
      <c r="G1865" t="str">
        <f>""</f>
        <v/>
      </c>
    </row>
    <row r="1866" spans="1:7" x14ac:dyDescent="0.25">
      <c r="A1866">
        <v>7340</v>
      </c>
      <c r="B1866" t="str">
        <f>"oogflagell. (Euglenophyceae)"</f>
        <v>oogflagell. (Euglenophyceae)</v>
      </c>
      <c r="C1866" t="s">
        <v>14898</v>
      </c>
      <c r="D1866" t="str">
        <f>""</f>
        <v/>
      </c>
      <c r="E1866" t="str">
        <f t="shared" si="80"/>
        <v xml:space="preserve">Biologische parameters </v>
      </c>
      <c r="F1866" t="str">
        <f t="shared" si="81"/>
        <v xml:space="preserve">Hydrobiologische parameters </v>
      </c>
      <c r="G1866" t="str">
        <f>""</f>
        <v/>
      </c>
    </row>
    <row r="1867" spans="1:7" x14ac:dyDescent="0.25">
      <c r="A1867">
        <v>7360</v>
      </c>
      <c r="B1867" t="str">
        <f>"pantseralgen (Dinophyceae)"</f>
        <v>pantseralgen (Dinophyceae)</v>
      </c>
      <c r="C1867" t="s">
        <v>14898</v>
      </c>
      <c r="D1867" t="str">
        <f>""</f>
        <v/>
      </c>
      <c r="E1867" t="str">
        <f t="shared" si="80"/>
        <v xml:space="preserve">Biologische parameters </v>
      </c>
      <c r="F1867" t="str">
        <f t="shared" si="81"/>
        <v xml:space="preserve">Hydrobiologische parameters </v>
      </c>
      <c r="G1867" t="str">
        <f>""</f>
        <v/>
      </c>
    </row>
    <row r="1868" spans="1:7" x14ac:dyDescent="0.25">
      <c r="A1868">
        <v>7500</v>
      </c>
      <c r="B1868" t="str">
        <f>"dierlijke organismen, totaal"</f>
        <v>dierlijke organismen, totaal</v>
      </c>
      <c r="C1868" t="s">
        <v>13235</v>
      </c>
      <c r="D1868" t="str">
        <f>""</f>
        <v/>
      </c>
      <c r="E1868" t="str">
        <f t="shared" si="80"/>
        <v xml:space="preserve">Biologische parameters </v>
      </c>
      <c r="F1868" t="str">
        <f t="shared" si="81"/>
        <v xml:space="preserve">Hydrobiologische parameters </v>
      </c>
      <c r="G1868" t="str">
        <f>""</f>
        <v/>
      </c>
    </row>
    <row r="1869" spans="1:7" x14ac:dyDescent="0.25">
      <c r="A1869">
        <v>7501</v>
      </c>
      <c r="B1869" t="str">
        <f>"dierlijke organismen, totaal"</f>
        <v>dierlijke organismen, totaal</v>
      </c>
      <c r="C1869" t="s">
        <v>14924</v>
      </c>
      <c r="D1869" t="str">
        <f>""</f>
        <v/>
      </c>
      <c r="E1869" t="str">
        <f t="shared" si="80"/>
        <v xml:space="preserve">Biologische parameters </v>
      </c>
      <c r="F1869" t="str">
        <f t="shared" si="81"/>
        <v xml:space="preserve">Hydrobiologische parameters </v>
      </c>
      <c r="G1869" t="str">
        <f>""</f>
        <v/>
      </c>
    </row>
    <row r="1870" spans="1:7" x14ac:dyDescent="0.25">
      <c r="A1870">
        <v>7505</v>
      </c>
      <c r="B1870" t="str">
        <f>"dierlijke ‚‚ncelligen, totaal"</f>
        <v>dierlijke ‚‚ncelligen, totaal</v>
      </c>
      <c r="C1870" t="s">
        <v>13235</v>
      </c>
      <c r="D1870" t="str">
        <f>""</f>
        <v/>
      </c>
      <c r="E1870" t="str">
        <f t="shared" si="80"/>
        <v xml:space="preserve">Biologische parameters </v>
      </c>
      <c r="F1870" t="str">
        <f t="shared" si="81"/>
        <v xml:space="preserve">Hydrobiologische parameters </v>
      </c>
      <c r="G1870" t="str">
        <f>""</f>
        <v/>
      </c>
    </row>
    <row r="1871" spans="1:7" x14ac:dyDescent="0.25">
      <c r="A1871">
        <v>7506</v>
      </c>
      <c r="B1871" t="str">
        <f>"dierlijke ‚‚ncelligen, totaal"</f>
        <v>dierlijke ‚‚ncelligen, totaal</v>
      </c>
      <c r="C1871" t="s">
        <v>14924</v>
      </c>
      <c r="D1871" t="str">
        <f>""</f>
        <v/>
      </c>
      <c r="E1871" t="str">
        <f t="shared" si="80"/>
        <v xml:space="preserve">Biologische parameters </v>
      </c>
      <c r="F1871" t="str">
        <f t="shared" si="81"/>
        <v xml:space="preserve">Hydrobiologische parameters </v>
      </c>
      <c r="G1871" t="str">
        <f>""</f>
        <v/>
      </c>
    </row>
    <row r="1872" spans="1:7" x14ac:dyDescent="0.25">
      <c r="A1872">
        <v>7507</v>
      </c>
      <c r="B1872" t="str">
        <f>"lege celwanden eencelligen"</f>
        <v>lege celwanden eencelligen</v>
      </c>
      <c r="C1872" t="s">
        <v>13235</v>
      </c>
      <c r="D1872" t="str">
        <f>""</f>
        <v/>
      </c>
      <c r="E1872" t="str">
        <f t="shared" si="80"/>
        <v xml:space="preserve">Biologische parameters </v>
      </c>
      <c r="F1872" t="str">
        <f t="shared" si="81"/>
        <v xml:space="preserve">Hydrobiologische parameters </v>
      </c>
      <c r="G1872" t="str">
        <f>""</f>
        <v/>
      </c>
    </row>
    <row r="1873" spans="1:7" x14ac:dyDescent="0.25">
      <c r="A1873">
        <v>7508</v>
      </c>
      <c r="B1873" t="str">
        <f>"lege celwanden ‚‚ncelligen"</f>
        <v>lege celwanden ‚‚ncelligen</v>
      </c>
      <c r="C1873" t="s">
        <v>14924</v>
      </c>
      <c r="D1873" t="str">
        <f>""</f>
        <v/>
      </c>
      <c r="E1873" t="str">
        <f t="shared" si="80"/>
        <v xml:space="preserve">Biologische parameters </v>
      </c>
      <c r="F1873" t="str">
        <f t="shared" si="81"/>
        <v xml:space="preserve">Hydrobiologische parameters </v>
      </c>
      <c r="G1873" t="str">
        <f>""</f>
        <v/>
      </c>
    </row>
    <row r="1874" spans="1:7" x14ac:dyDescent="0.25">
      <c r="A1874">
        <v>7510</v>
      </c>
      <c r="B1874" t="str">
        <f>"Amoeben (Rhizopoda)"</f>
        <v>Amoeben (Rhizopoda)</v>
      </c>
      <c r="C1874" t="s">
        <v>13235</v>
      </c>
      <c r="D1874" t="str">
        <f>""</f>
        <v/>
      </c>
      <c r="E1874" t="str">
        <f t="shared" si="80"/>
        <v xml:space="preserve">Biologische parameters </v>
      </c>
      <c r="F1874" t="str">
        <f t="shared" si="81"/>
        <v xml:space="preserve">Hydrobiologische parameters </v>
      </c>
      <c r="G1874" t="str">
        <f>""</f>
        <v/>
      </c>
    </row>
    <row r="1875" spans="1:7" x14ac:dyDescent="0.25">
      <c r="A1875">
        <v>7511</v>
      </c>
      <c r="B1875" t="str">
        <f>"Amoeben (Rhizopoda)"</f>
        <v>Amoeben (Rhizopoda)</v>
      </c>
      <c r="C1875" t="s">
        <v>14924</v>
      </c>
      <c r="D1875" t="str">
        <f>""</f>
        <v/>
      </c>
      <c r="E1875" t="str">
        <f t="shared" si="80"/>
        <v xml:space="preserve">Biologische parameters </v>
      </c>
      <c r="F1875" t="str">
        <f t="shared" si="81"/>
        <v xml:space="preserve">Hydrobiologische parameters </v>
      </c>
      <c r="G1875" t="str">
        <f>""</f>
        <v/>
      </c>
    </row>
    <row r="1876" spans="1:7" x14ac:dyDescent="0.25">
      <c r="A1876">
        <v>7520</v>
      </c>
      <c r="B1876" t="str">
        <f>"naaktamoeben (Gymnamoebia)"</f>
        <v>naaktamoeben (Gymnamoebia)</v>
      </c>
      <c r="C1876" t="s">
        <v>13235</v>
      </c>
      <c r="D1876" t="str">
        <f>""</f>
        <v/>
      </c>
      <c r="E1876" t="str">
        <f t="shared" si="80"/>
        <v xml:space="preserve">Biologische parameters </v>
      </c>
      <c r="F1876" t="str">
        <f t="shared" si="81"/>
        <v xml:space="preserve">Hydrobiologische parameters </v>
      </c>
      <c r="G1876" t="str">
        <f>""</f>
        <v/>
      </c>
    </row>
    <row r="1877" spans="1:7" x14ac:dyDescent="0.25">
      <c r="A1877">
        <v>7521</v>
      </c>
      <c r="B1877" t="str">
        <f>"naaktamoeben (Gymnamoebia)"</f>
        <v>naaktamoeben (Gymnamoebia)</v>
      </c>
      <c r="C1877" t="s">
        <v>14924</v>
      </c>
      <c r="D1877" t="str">
        <f>""</f>
        <v/>
      </c>
      <c r="E1877" t="str">
        <f t="shared" si="80"/>
        <v xml:space="preserve">Biologische parameters </v>
      </c>
      <c r="F1877" t="str">
        <f t="shared" si="81"/>
        <v xml:space="preserve">Hydrobiologische parameters </v>
      </c>
      <c r="G1877" t="str">
        <f>""</f>
        <v/>
      </c>
    </row>
    <row r="1878" spans="1:7" x14ac:dyDescent="0.25">
      <c r="A1878">
        <v>7530</v>
      </c>
      <c r="B1878" t="str">
        <f>"schaalamoeben (Testacea)"</f>
        <v>schaalamoeben (Testacea)</v>
      </c>
      <c r="C1878" t="s">
        <v>13235</v>
      </c>
      <c r="D1878" t="str">
        <f>""</f>
        <v/>
      </c>
      <c r="E1878" t="str">
        <f t="shared" si="80"/>
        <v xml:space="preserve">Biologische parameters </v>
      </c>
      <c r="F1878" t="str">
        <f t="shared" si="81"/>
        <v xml:space="preserve">Hydrobiologische parameters </v>
      </c>
      <c r="G1878" t="str">
        <f>""</f>
        <v/>
      </c>
    </row>
    <row r="1879" spans="1:7" x14ac:dyDescent="0.25">
      <c r="A1879">
        <v>7531</v>
      </c>
      <c r="B1879" t="str">
        <f>"schaalamoeben (Testacea)"</f>
        <v>schaalamoeben (Testacea)</v>
      </c>
      <c r="C1879" t="s">
        <v>14924</v>
      </c>
      <c r="D1879" t="str">
        <f>""</f>
        <v/>
      </c>
      <c r="E1879" t="str">
        <f t="shared" si="80"/>
        <v xml:space="preserve">Biologische parameters </v>
      </c>
      <c r="F1879" t="str">
        <f t="shared" si="81"/>
        <v xml:space="preserve">Hydrobiologische parameters </v>
      </c>
      <c r="G1879" t="str">
        <f>""</f>
        <v/>
      </c>
    </row>
    <row r="1880" spans="1:7" x14ac:dyDescent="0.25">
      <c r="A1880">
        <v>7540</v>
      </c>
      <c r="B1880" t="str">
        <f>"beerdieren (Tardigrada)"</f>
        <v>beerdieren (Tardigrada)</v>
      </c>
      <c r="C1880" t="s">
        <v>13235</v>
      </c>
      <c r="D1880" t="str">
        <f>""</f>
        <v/>
      </c>
      <c r="E1880" t="str">
        <f t="shared" si="80"/>
        <v xml:space="preserve">Biologische parameters </v>
      </c>
      <c r="F1880" t="str">
        <f t="shared" si="81"/>
        <v xml:space="preserve">Hydrobiologische parameters </v>
      </c>
      <c r="G1880" t="str">
        <f>""</f>
        <v/>
      </c>
    </row>
    <row r="1881" spans="1:7" x14ac:dyDescent="0.25">
      <c r="A1881">
        <v>7541</v>
      </c>
      <c r="B1881" t="str">
        <f>"beerdieren (Tardigrada)"</f>
        <v>beerdieren (Tardigrada)</v>
      </c>
      <c r="C1881" t="s">
        <v>14924</v>
      </c>
      <c r="D1881" t="str">
        <f>""</f>
        <v/>
      </c>
      <c r="E1881" t="str">
        <f t="shared" si="80"/>
        <v xml:space="preserve">Biologische parameters </v>
      </c>
      <c r="F1881" t="str">
        <f t="shared" si="81"/>
        <v xml:space="preserve">Hydrobiologische parameters </v>
      </c>
      <c r="G1881" t="str">
        <f>""</f>
        <v/>
      </c>
    </row>
    <row r="1882" spans="1:7" x14ac:dyDescent="0.25">
      <c r="A1882">
        <v>7550</v>
      </c>
      <c r="B1882" t="str">
        <f>"raderdieren (Rotifera)"</f>
        <v>raderdieren (Rotifera)</v>
      </c>
      <c r="C1882" t="s">
        <v>13235</v>
      </c>
      <c r="D1882" t="str">
        <f>""</f>
        <v/>
      </c>
      <c r="E1882" t="str">
        <f t="shared" si="80"/>
        <v xml:space="preserve">Biologische parameters </v>
      </c>
      <c r="F1882" t="str">
        <f t="shared" si="81"/>
        <v xml:space="preserve">Hydrobiologische parameters </v>
      </c>
      <c r="G1882" t="str">
        <f>""</f>
        <v/>
      </c>
    </row>
    <row r="1883" spans="1:7" x14ac:dyDescent="0.25">
      <c r="A1883">
        <v>7551</v>
      </c>
      <c r="B1883" t="str">
        <f>"raderdieren (Rotifera)"</f>
        <v>raderdieren (Rotifera)</v>
      </c>
      <c r="C1883" t="s">
        <v>14924</v>
      </c>
      <c r="D1883" t="str">
        <f>""</f>
        <v/>
      </c>
      <c r="E1883" t="str">
        <f t="shared" si="80"/>
        <v xml:space="preserve">Biologische parameters </v>
      </c>
      <c r="F1883" t="str">
        <f t="shared" si="81"/>
        <v xml:space="preserve">Hydrobiologische parameters </v>
      </c>
      <c r="G1883" t="str">
        <f>""</f>
        <v/>
      </c>
    </row>
    <row r="1884" spans="1:7" x14ac:dyDescent="0.25">
      <c r="A1884">
        <v>7580</v>
      </c>
      <c r="B1884" t="str">
        <f>"wimperdieren (Ciliata)"</f>
        <v>wimperdieren (Ciliata)</v>
      </c>
      <c r="C1884" t="s">
        <v>13235</v>
      </c>
      <c r="D1884" t="str">
        <f>""</f>
        <v/>
      </c>
      <c r="E1884" t="str">
        <f t="shared" si="80"/>
        <v xml:space="preserve">Biologische parameters </v>
      </c>
      <c r="F1884" t="str">
        <f t="shared" si="81"/>
        <v xml:space="preserve">Hydrobiologische parameters </v>
      </c>
      <c r="G1884" t="str">
        <f>""</f>
        <v/>
      </c>
    </row>
    <row r="1885" spans="1:7" x14ac:dyDescent="0.25">
      <c r="A1885">
        <v>7581</v>
      </c>
      <c r="B1885" t="str">
        <f>"wimperdieren (Ciliata)"</f>
        <v>wimperdieren (Ciliata)</v>
      </c>
      <c r="C1885" t="s">
        <v>14924</v>
      </c>
      <c r="D1885" t="str">
        <f>""</f>
        <v/>
      </c>
      <c r="E1885" t="str">
        <f t="shared" si="80"/>
        <v xml:space="preserve">Biologische parameters </v>
      </c>
      <c r="F1885" t="str">
        <f t="shared" si="81"/>
        <v xml:space="preserve">Hydrobiologische parameters </v>
      </c>
      <c r="G1885" t="str">
        <f>""</f>
        <v/>
      </c>
    </row>
    <row r="1886" spans="1:7" x14ac:dyDescent="0.25">
      <c r="A1886">
        <v>7590</v>
      </c>
      <c r="B1886" t="str">
        <f>"Cryptosporidium spp."</f>
        <v>Cryptosporidium spp.</v>
      </c>
      <c r="C1886" t="s">
        <v>13200</v>
      </c>
      <c r="D1886" t="str">
        <f>""</f>
        <v/>
      </c>
      <c r="E1886" t="str">
        <f t="shared" si="80"/>
        <v xml:space="preserve">Biologische parameters </v>
      </c>
      <c r="F1886" t="str">
        <f t="shared" si="81"/>
        <v xml:space="preserve">Hydrobiologische parameters </v>
      </c>
      <c r="G1886" t="str">
        <f>""</f>
        <v/>
      </c>
    </row>
    <row r="1887" spans="1:7" x14ac:dyDescent="0.25">
      <c r="A1887">
        <v>7591</v>
      </c>
      <c r="B1887" t="str">
        <f>"Cryptosporidium spp. (totaal)"</f>
        <v>Cryptosporidium spp. (totaal)</v>
      </c>
      <c r="C1887" t="s">
        <v>14935</v>
      </c>
      <c r="D1887" t="str">
        <f>""</f>
        <v/>
      </c>
      <c r="E1887" t="str">
        <f t="shared" si="80"/>
        <v xml:space="preserve">Biologische parameters </v>
      </c>
      <c r="F1887" t="str">
        <f t="shared" si="81"/>
        <v xml:space="preserve">Hydrobiologische parameters </v>
      </c>
      <c r="G1887" t="str">
        <f>""</f>
        <v/>
      </c>
    </row>
    <row r="1888" spans="1:7" x14ac:dyDescent="0.25">
      <c r="A1888">
        <v>7592</v>
      </c>
      <c r="B1888" t="str">
        <f>"Cryptosporidium spp. (PI positief)"</f>
        <v>Cryptosporidium spp. (PI positief)</v>
      </c>
      <c r="C1888" t="s">
        <v>14935</v>
      </c>
      <c r="D1888" t="str">
        <f>""</f>
        <v/>
      </c>
      <c r="E1888" t="str">
        <f t="shared" si="80"/>
        <v xml:space="preserve">Biologische parameters </v>
      </c>
      <c r="F1888" t="str">
        <f t="shared" si="81"/>
        <v xml:space="preserve">Hydrobiologische parameters </v>
      </c>
      <c r="G1888" t="str">
        <f>""</f>
        <v/>
      </c>
    </row>
    <row r="1889" spans="1:7" x14ac:dyDescent="0.25">
      <c r="A1889">
        <v>7595</v>
      </c>
      <c r="B1889" t="str">
        <f>"Giardia spp."</f>
        <v>Giardia spp.</v>
      </c>
      <c r="C1889" t="s">
        <v>13200</v>
      </c>
      <c r="D1889" t="str">
        <f>""</f>
        <v/>
      </c>
      <c r="E1889" t="str">
        <f t="shared" si="80"/>
        <v xml:space="preserve">Biologische parameters </v>
      </c>
      <c r="F1889" t="str">
        <f t="shared" si="81"/>
        <v xml:space="preserve">Hydrobiologische parameters </v>
      </c>
      <c r="G1889" t="str">
        <f>""</f>
        <v/>
      </c>
    </row>
    <row r="1890" spans="1:7" x14ac:dyDescent="0.25">
      <c r="A1890">
        <v>7596</v>
      </c>
      <c r="B1890" t="str">
        <f>"Giardia spp. (totaal)"</f>
        <v>Giardia spp. (totaal)</v>
      </c>
      <c r="C1890" t="s">
        <v>14939</v>
      </c>
      <c r="D1890" t="str">
        <f>""</f>
        <v/>
      </c>
      <c r="E1890" t="str">
        <f t="shared" si="80"/>
        <v xml:space="preserve">Biologische parameters </v>
      </c>
      <c r="F1890" t="str">
        <f t="shared" si="81"/>
        <v xml:space="preserve">Hydrobiologische parameters </v>
      </c>
      <c r="G1890" t="str">
        <f>""</f>
        <v/>
      </c>
    </row>
    <row r="1891" spans="1:7" x14ac:dyDescent="0.25">
      <c r="A1891">
        <v>7597</v>
      </c>
      <c r="B1891" t="str">
        <f>"Giardia spp. (PI positief)"</f>
        <v>Giardia spp. (PI positief)</v>
      </c>
      <c r="C1891" t="s">
        <v>14939</v>
      </c>
      <c r="D1891" t="str">
        <f>""</f>
        <v/>
      </c>
      <c r="E1891" t="str">
        <f t="shared" si="80"/>
        <v xml:space="preserve">Biologische parameters </v>
      </c>
      <c r="F1891" t="str">
        <f t="shared" si="81"/>
        <v xml:space="preserve">Hydrobiologische parameters </v>
      </c>
      <c r="G1891" t="str">
        <f>""</f>
        <v/>
      </c>
    </row>
    <row r="1892" spans="1:7" x14ac:dyDescent="0.25">
      <c r="A1892">
        <v>7600</v>
      </c>
      <c r="B1892" t="str">
        <f>"zonnedieren (Heliozoa)"</f>
        <v>zonnedieren (Heliozoa)</v>
      </c>
      <c r="C1892" t="s">
        <v>13235</v>
      </c>
      <c r="D1892" t="str">
        <f>""</f>
        <v/>
      </c>
      <c r="E1892" t="str">
        <f t="shared" si="80"/>
        <v xml:space="preserve">Biologische parameters </v>
      </c>
      <c r="F1892" t="str">
        <f t="shared" si="81"/>
        <v xml:space="preserve">Hydrobiologische parameters </v>
      </c>
      <c r="G1892" t="str">
        <f>""</f>
        <v/>
      </c>
    </row>
    <row r="1893" spans="1:7" x14ac:dyDescent="0.25">
      <c r="A1893">
        <v>7601</v>
      </c>
      <c r="B1893" t="str">
        <f>"zonnedieren (Heliozoa)"</f>
        <v>zonnedieren (Heliozoa)</v>
      </c>
      <c r="C1893" t="s">
        <v>14924</v>
      </c>
      <c r="D1893" t="str">
        <f>""</f>
        <v/>
      </c>
      <c r="E1893" t="str">
        <f t="shared" si="80"/>
        <v xml:space="preserve">Biologische parameters </v>
      </c>
      <c r="F1893" t="str">
        <f t="shared" si="81"/>
        <v xml:space="preserve">Hydrobiologische parameters </v>
      </c>
      <c r="G1893" t="str">
        <f>""</f>
        <v/>
      </c>
    </row>
    <row r="1894" spans="1:7" x14ac:dyDescent="0.25">
      <c r="A1894">
        <v>7610</v>
      </c>
      <c r="B1894" t="str">
        <f>"mosselkreeften (Ostracoda)"</f>
        <v>mosselkreeften (Ostracoda)</v>
      </c>
      <c r="C1894" t="s">
        <v>13235</v>
      </c>
      <c r="D1894" t="str">
        <f>""</f>
        <v/>
      </c>
      <c r="E1894" t="str">
        <f t="shared" ref="E1894:E1925" si="82">"Biologische parameters "</f>
        <v xml:space="preserve">Biologische parameters </v>
      </c>
      <c r="F1894" t="str">
        <f t="shared" ref="F1894:F1925" si="83">"Hydrobiologische parameters "</f>
        <v xml:space="preserve">Hydrobiologische parameters </v>
      </c>
      <c r="G1894" t="str">
        <f>""</f>
        <v/>
      </c>
    </row>
    <row r="1895" spans="1:7" x14ac:dyDescent="0.25">
      <c r="A1895">
        <v>7611</v>
      </c>
      <c r="B1895" t="str">
        <f>"mosselkreeften (Ostracoda)"</f>
        <v>mosselkreeften (Ostracoda)</v>
      </c>
      <c r="C1895" t="s">
        <v>14924</v>
      </c>
      <c r="D1895" t="str">
        <f>""</f>
        <v/>
      </c>
      <c r="E1895" t="str">
        <f t="shared" si="82"/>
        <v xml:space="preserve">Biologische parameters </v>
      </c>
      <c r="F1895" t="str">
        <f t="shared" si="83"/>
        <v xml:space="preserve">Hydrobiologische parameters </v>
      </c>
      <c r="G1895" t="str">
        <f>""</f>
        <v/>
      </c>
    </row>
    <row r="1896" spans="1:7" x14ac:dyDescent="0.25">
      <c r="A1896">
        <v>7620</v>
      </c>
      <c r="B1896" t="str">
        <f>"watervlooien (Cladocera)"</f>
        <v>watervlooien (Cladocera)</v>
      </c>
      <c r="C1896" t="s">
        <v>13235</v>
      </c>
      <c r="D1896" t="str">
        <f>""</f>
        <v/>
      </c>
      <c r="E1896" t="str">
        <f t="shared" si="82"/>
        <v xml:space="preserve">Biologische parameters </v>
      </c>
      <c r="F1896" t="str">
        <f t="shared" si="83"/>
        <v xml:space="preserve">Hydrobiologische parameters </v>
      </c>
      <c r="G1896" t="str">
        <f>""</f>
        <v/>
      </c>
    </row>
    <row r="1897" spans="1:7" x14ac:dyDescent="0.25">
      <c r="A1897">
        <v>7621</v>
      </c>
      <c r="B1897" t="str">
        <f>"watervlooien (Cladocera)"</f>
        <v>watervlooien (Cladocera)</v>
      </c>
      <c r="C1897" t="s">
        <v>14924</v>
      </c>
      <c r="D1897" t="str">
        <f>""</f>
        <v/>
      </c>
      <c r="E1897" t="str">
        <f t="shared" si="82"/>
        <v xml:space="preserve">Biologische parameters </v>
      </c>
      <c r="F1897" t="str">
        <f t="shared" si="83"/>
        <v xml:space="preserve">Hydrobiologische parameters </v>
      </c>
      <c r="G1897" t="str">
        <f>""</f>
        <v/>
      </c>
    </row>
    <row r="1898" spans="1:7" x14ac:dyDescent="0.25">
      <c r="A1898">
        <v>7630</v>
      </c>
      <c r="B1898" t="str">
        <f>"roeipootkreeften (Copepoda), totaal"</f>
        <v>roeipootkreeften (Copepoda), totaal</v>
      </c>
      <c r="C1898" t="s">
        <v>13235</v>
      </c>
      <c r="D1898" t="str">
        <f>""</f>
        <v/>
      </c>
      <c r="E1898" t="str">
        <f t="shared" si="82"/>
        <v xml:space="preserve">Biologische parameters </v>
      </c>
      <c r="F1898" t="str">
        <f t="shared" si="83"/>
        <v xml:space="preserve">Hydrobiologische parameters </v>
      </c>
      <c r="G1898" t="str">
        <f>""</f>
        <v/>
      </c>
    </row>
    <row r="1899" spans="1:7" x14ac:dyDescent="0.25">
      <c r="A1899">
        <v>7631</v>
      </c>
      <c r="B1899" t="str">
        <f>"roeipootkreeften (Copepoda), totaal"</f>
        <v>roeipootkreeften (Copepoda), totaal</v>
      </c>
      <c r="C1899" t="s">
        <v>14924</v>
      </c>
      <c r="D1899" t="str">
        <f>""</f>
        <v/>
      </c>
      <c r="E1899" t="str">
        <f t="shared" si="82"/>
        <v xml:space="preserve">Biologische parameters </v>
      </c>
      <c r="F1899" t="str">
        <f t="shared" si="83"/>
        <v xml:space="preserve">Hydrobiologische parameters </v>
      </c>
      <c r="G1899" t="str">
        <f>""</f>
        <v/>
      </c>
    </row>
    <row r="1900" spans="1:7" x14ac:dyDescent="0.25">
      <c r="A1900">
        <v>7640</v>
      </c>
      <c r="B1900" t="str">
        <f>"naupliuslarven"</f>
        <v>naupliuslarven</v>
      </c>
      <c r="C1900" t="s">
        <v>13235</v>
      </c>
      <c r="D1900" t="str">
        <f>""</f>
        <v/>
      </c>
      <c r="E1900" t="str">
        <f t="shared" si="82"/>
        <v xml:space="preserve">Biologische parameters </v>
      </c>
      <c r="F1900" t="str">
        <f t="shared" si="83"/>
        <v xml:space="preserve">Hydrobiologische parameters </v>
      </c>
      <c r="G1900" t="str">
        <f>""</f>
        <v/>
      </c>
    </row>
    <row r="1901" spans="1:7" x14ac:dyDescent="0.25">
      <c r="A1901">
        <v>7641</v>
      </c>
      <c r="B1901" t="str">
        <f>"naupliuslarven"</f>
        <v>naupliuslarven</v>
      </c>
      <c r="C1901" t="s">
        <v>14924</v>
      </c>
      <c r="D1901" t="str">
        <f>""</f>
        <v/>
      </c>
      <c r="E1901" t="str">
        <f t="shared" si="82"/>
        <v xml:space="preserve">Biologische parameters </v>
      </c>
      <c r="F1901" t="str">
        <f t="shared" si="83"/>
        <v xml:space="preserve">Hydrobiologische parameters </v>
      </c>
      <c r="G1901" t="str">
        <f>""</f>
        <v/>
      </c>
    </row>
    <row r="1902" spans="1:7" x14ac:dyDescent="0.25">
      <c r="A1902">
        <v>7650</v>
      </c>
      <c r="B1902" t="str">
        <f>"Cyclopoidea"</f>
        <v>Cyclopoidea</v>
      </c>
      <c r="C1902" t="s">
        <v>13235</v>
      </c>
      <c r="D1902" t="str">
        <f>""</f>
        <v/>
      </c>
      <c r="E1902" t="str">
        <f t="shared" si="82"/>
        <v xml:space="preserve">Biologische parameters </v>
      </c>
      <c r="F1902" t="str">
        <f t="shared" si="83"/>
        <v xml:space="preserve">Hydrobiologische parameters </v>
      </c>
      <c r="G1902" t="str">
        <f>""</f>
        <v/>
      </c>
    </row>
    <row r="1903" spans="1:7" x14ac:dyDescent="0.25">
      <c r="A1903">
        <v>7651</v>
      </c>
      <c r="B1903" t="str">
        <f>"Cyclopoidea"</f>
        <v>Cyclopoidea</v>
      </c>
      <c r="C1903" t="s">
        <v>14924</v>
      </c>
      <c r="D1903" t="str">
        <f>""</f>
        <v/>
      </c>
      <c r="E1903" t="str">
        <f t="shared" si="82"/>
        <v xml:space="preserve">Biologische parameters </v>
      </c>
      <c r="F1903" t="str">
        <f t="shared" si="83"/>
        <v xml:space="preserve">Hydrobiologische parameters </v>
      </c>
      <c r="G1903" t="str">
        <f>""</f>
        <v/>
      </c>
    </row>
    <row r="1904" spans="1:7" x14ac:dyDescent="0.25">
      <c r="A1904">
        <v>7660</v>
      </c>
      <c r="B1904" t="str">
        <f>"Calanoidea"</f>
        <v>Calanoidea</v>
      </c>
      <c r="C1904" t="s">
        <v>13235</v>
      </c>
      <c r="D1904" t="str">
        <f>""</f>
        <v/>
      </c>
      <c r="E1904" t="str">
        <f t="shared" si="82"/>
        <v xml:space="preserve">Biologische parameters </v>
      </c>
      <c r="F1904" t="str">
        <f t="shared" si="83"/>
        <v xml:space="preserve">Hydrobiologische parameters </v>
      </c>
      <c r="G1904" t="str">
        <f>""</f>
        <v/>
      </c>
    </row>
    <row r="1905" spans="1:7" x14ac:dyDescent="0.25">
      <c r="A1905">
        <v>7661</v>
      </c>
      <c r="B1905" t="str">
        <f>"Calanoidea"</f>
        <v>Calanoidea</v>
      </c>
      <c r="C1905" t="s">
        <v>14924</v>
      </c>
      <c r="D1905" t="str">
        <f>""</f>
        <v/>
      </c>
      <c r="E1905" t="str">
        <f t="shared" si="82"/>
        <v xml:space="preserve">Biologische parameters </v>
      </c>
      <c r="F1905" t="str">
        <f t="shared" si="83"/>
        <v xml:space="preserve">Hydrobiologische parameters </v>
      </c>
      <c r="G1905" t="str">
        <f>""</f>
        <v/>
      </c>
    </row>
    <row r="1906" spans="1:7" x14ac:dyDescent="0.25">
      <c r="A1906">
        <v>7670</v>
      </c>
      <c r="B1906" t="str">
        <f>"Harpacticoidea"</f>
        <v>Harpacticoidea</v>
      </c>
      <c r="C1906" t="s">
        <v>13235</v>
      </c>
      <c r="D1906" t="str">
        <f>""</f>
        <v/>
      </c>
      <c r="E1906" t="str">
        <f t="shared" si="82"/>
        <v xml:space="preserve">Biologische parameters </v>
      </c>
      <c r="F1906" t="str">
        <f t="shared" si="83"/>
        <v xml:space="preserve">Hydrobiologische parameters </v>
      </c>
      <c r="G1906" t="str">
        <f>""</f>
        <v/>
      </c>
    </row>
    <row r="1907" spans="1:7" x14ac:dyDescent="0.25">
      <c r="A1907">
        <v>7671</v>
      </c>
      <c r="B1907" t="str">
        <f>"Harpacticoidea"</f>
        <v>Harpacticoidea</v>
      </c>
      <c r="C1907" t="s">
        <v>14924</v>
      </c>
      <c r="D1907" t="str">
        <f>""</f>
        <v/>
      </c>
      <c r="E1907" t="str">
        <f t="shared" si="82"/>
        <v xml:space="preserve">Biologische parameters </v>
      </c>
      <c r="F1907" t="str">
        <f t="shared" si="83"/>
        <v xml:space="preserve">Hydrobiologische parameters </v>
      </c>
      <c r="G1907" t="str">
        <f>""</f>
        <v/>
      </c>
    </row>
    <row r="1908" spans="1:7" x14ac:dyDescent="0.25">
      <c r="A1908">
        <v>7680</v>
      </c>
      <c r="B1908" t="str">
        <f>"buikharigen (Gastrotricha)"</f>
        <v>buikharigen (Gastrotricha)</v>
      </c>
      <c r="C1908" t="s">
        <v>13235</v>
      </c>
      <c r="D1908" t="str">
        <f>""</f>
        <v/>
      </c>
      <c r="E1908" t="str">
        <f t="shared" si="82"/>
        <v xml:space="preserve">Biologische parameters </v>
      </c>
      <c r="F1908" t="str">
        <f t="shared" si="83"/>
        <v xml:space="preserve">Hydrobiologische parameters </v>
      </c>
      <c r="G1908" t="str">
        <f>""</f>
        <v/>
      </c>
    </row>
    <row r="1909" spans="1:7" x14ac:dyDescent="0.25">
      <c r="A1909">
        <v>7681</v>
      </c>
      <c r="B1909" t="str">
        <f>"buikharigen (Gastrotricha)"</f>
        <v>buikharigen (Gastrotricha)</v>
      </c>
      <c r="C1909" t="s">
        <v>14924</v>
      </c>
      <c r="D1909" t="str">
        <f>""</f>
        <v/>
      </c>
      <c r="E1909" t="str">
        <f t="shared" si="82"/>
        <v xml:space="preserve">Biologische parameters </v>
      </c>
      <c r="F1909" t="str">
        <f t="shared" si="83"/>
        <v xml:space="preserve">Hydrobiologische parameters </v>
      </c>
      <c r="G1909" t="str">
        <f>""</f>
        <v/>
      </c>
    </row>
    <row r="1910" spans="1:7" x14ac:dyDescent="0.25">
      <c r="A1910">
        <v>7690</v>
      </c>
      <c r="B1910" t="str">
        <f>"borstelwormen (Oligochaeta)"</f>
        <v>borstelwormen (Oligochaeta)</v>
      </c>
      <c r="C1910" t="s">
        <v>13235</v>
      </c>
      <c r="D1910" t="str">
        <f>""</f>
        <v/>
      </c>
      <c r="E1910" t="str">
        <f t="shared" si="82"/>
        <v xml:space="preserve">Biologische parameters </v>
      </c>
      <c r="F1910" t="str">
        <f t="shared" si="83"/>
        <v xml:space="preserve">Hydrobiologische parameters </v>
      </c>
      <c r="G1910" t="str">
        <f>""</f>
        <v/>
      </c>
    </row>
    <row r="1911" spans="1:7" x14ac:dyDescent="0.25">
      <c r="A1911">
        <v>7691</v>
      </c>
      <c r="B1911" t="str">
        <f>"borstelwormen (L &lt;= 5 mm)"</f>
        <v>borstelwormen (L &lt;= 5 mm)</v>
      </c>
      <c r="C1911" t="s">
        <v>13235</v>
      </c>
      <c r="D1911" t="str">
        <f>""</f>
        <v/>
      </c>
      <c r="E1911" t="str">
        <f t="shared" si="82"/>
        <v xml:space="preserve">Biologische parameters </v>
      </c>
      <c r="F1911" t="str">
        <f t="shared" si="83"/>
        <v xml:space="preserve">Hydrobiologische parameters </v>
      </c>
      <c r="G1911" t="str">
        <f>""</f>
        <v/>
      </c>
    </row>
    <row r="1912" spans="1:7" x14ac:dyDescent="0.25">
      <c r="A1912">
        <v>7692</v>
      </c>
      <c r="B1912" t="str">
        <f>"borstelwormen (L &gt; 5 mm)"</f>
        <v>borstelwormen (L &gt; 5 mm)</v>
      </c>
      <c r="C1912" t="s">
        <v>13235</v>
      </c>
      <c r="D1912" t="str">
        <f>""</f>
        <v/>
      </c>
      <c r="E1912" t="str">
        <f t="shared" si="82"/>
        <v xml:space="preserve">Biologische parameters </v>
      </c>
      <c r="F1912" t="str">
        <f t="shared" si="83"/>
        <v xml:space="preserve">Hydrobiologische parameters </v>
      </c>
      <c r="G1912" t="str">
        <f>""</f>
        <v/>
      </c>
    </row>
    <row r="1913" spans="1:7" x14ac:dyDescent="0.25">
      <c r="A1913">
        <v>7695</v>
      </c>
      <c r="B1913" t="str">
        <f>"borstelwormen (Oligochaeta)"</f>
        <v>borstelwormen (Oligochaeta)</v>
      </c>
      <c r="C1913" t="s">
        <v>14924</v>
      </c>
      <c r="D1913" t="str">
        <f>""</f>
        <v/>
      </c>
      <c r="E1913" t="str">
        <f t="shared" si="82"/>
        <v xml:space="preserve">Biologische parameters </v>
      </c>
      <c r="F1913" t="str">
        <f t="shared" si="83"/>
        <v xml:space="preserve">Hydrobiologische parameters </v>
      </c>
      <c r="G1913" t="str">
        <f>""</f>
        <v/>
      </c>
    </row>
    <row r="1914" spans="1:7" x14ac:dyDescent="0.25">
      <c r="A1914">
        <v>7696</v>
      </c>
      <c r="B1914" t="str">
        <f>"borstelwormen (L &lt;= 5 mm)"</f>
        <v>borstelwormen (L &lt;= 5 mm)</v>
      </c>
      <c r="C1914" t="s">
        <v>14924</v>
      </c>
      <c r="D1914" t="str">
        <f>""</f>
        <v/>
      </c>
      <c r="E1914" t="str">
        <f t="shared" si="82"/>
        <v xml:space="preserve">Biologische parameters </v>
      </c>
      <c r="F1914" t="str">
        <f t="shared" si="83"/>
        <v xml:space="preserve">Hydrobiologische parameters </v>
      </c>
      <c r="G1914" t="str">
        <f>""</f>
        <v/>
      </c>
    </row>
    <row r="1915" spans="1:7" x14ac:dyDescent="0.25">
      <c r="A1915">
        <v>7697</v>
      </c>
      <c r="B1915" t="str">
        <f>"borstelwormen (L &gt; 5 mm)"</f>
        <v>borstelwormen (L &gt; 5 mm)</v>
      </c>
      <c r="C1915" t="s">
        <v>14924</v>
      </c>
      <c r="D1915" t="str">
        <f>""</f>
        <v/>
      </c>
      <c r="E1915" t="str">
        <f t="shared" si="82"/>
        <v xml:space="preserve">Biologische parameters </v>
      </c>
      <c r="F1915" t="str">
        <f t="shared" si="83"/>
        <v xml:space="preserve">Hydrobiologische parameters </v>
      </c>
      <c r="G1915" t="str">
        <f>""</f>
        <v/>
      </c>
    </row>
    <row r="1916" spans="1:7" x14ac:dyDescent="0.25">
      <c r="A1916">
        <v>7700</v>
      </c>
      <c r="B1916" t="str">
        <f>"draadwormen (Nematoda)"</f>
        <v>draadwormen (Nematoda)</v>
      </c>
      <c r="C1916" t="s">
        <v>13235</v>
      </c>
      <c r="D1916" t="str">
        <f>""</f>
        <v/>
      </c>
      <c r="E1916" t="str">
        <f t="shared" si="82"/>
        <v xml:space="preserve">Biologische parameters </v>
      </c>
      <c r="F1916" t="str">
        <f t="shared" si="83"/>
        <v xml:space="preserve">Hydrobiologische parameters </v>
      </c>
      <c r="G1916" t="str">
        <f>""</f>
        <v/>
      </c>
    </row>
    <row r="1917" spans="1:7" x14ac:dyDescent="0.25">
      <c r="A1917">
        <v>7701</v>
      </c>
      <c r="B1917" t="str">
        <f>"draadwormen (Nematoda)"</f>
        <v>draadwormen (Nematoda)</v>
      </c>
      <c r="C1917" t="s">
        <v>14924</v>
      </c>
      <c r="D1917" t="str">
        <f>""</f>
        <v/>
      </c>
      <c r="E1917" t="str">
        <f t="shared" si="82"/>
        <v xml:space="preserve">Biologische parameters </v>
      </c>
      <c r="F1917" t="str">
        <f t="shared" si="83"/>
        <v xml:space="preserve">Hydrobiologische parameters </v>
      </c>
      <c r="G1917" t="str">
        <f>""</f>
        <v/>
      </c>
    </row>
    <row r="1918" spans="1:7" x14ac:dyDescent="0.25">
      <c r="A1918">
        <v>7710</v>
      </c>
      <c r="B1918" t="str">
        <f>"platwormen (Turbellaria)"</f>
        <v>platwormen (Turbellaria)</v>
      </c>
      <c r="C1918" t="s">
        <v>13235</v>
      </c>
      <c r="D1918" t="str">
        <f>""</f>
        <v/>
      </c>
      <c r="E1918" t="str">
        <f t="shared" si="82"/>
        <v xml:space="preserve">Biologische parameters </v>
      </c>
      <c r="F1918" t="str">
        <f t="shared" si="83"/>
        <v xml:space="preserve">Hydrobiologische parameters </v>
      </c>
      <c r="G1918" t="str">
        <f>""</f>
        <v/>
      </c>
    </row>
    <row r="1919" spans="1:7" x14ac:dyDescent="0.25">
      <c r="A1919">
        <v>7711</v>
      </c>
      <c r="B1919" t="str">
        <f>"platwormen (Turbellaria)"</f>
        <v>platwormen (Turbellaria)</v>
      </c>
      <c r="C1919" t="s">
        <v>14924</v>
      </c>
      <c r="D1919" t="str">
        <f>""</f>
        <v/>
      </c>
      <c r="E1919" t="str">
        <f t="shared" si="82"/>
        <v xml:space="preserve">Biologische parameters </v>
      </c>
      <c r="F1919" t="str">
        <f t="shared" si="83"/>
        <v xml:space="preserve">Hydrobiologische parameters </v>
      </c>
      <c r="G1919" t="str">
        <f>""</f>
        <v/>
      </c>
    </row>
    <row r="1920" spans="1:7" x14ac:dyDescent="0.25">
      <c r="A1920">
        <v>7720</v>
      </c>
      <c r="B1920" t="str">
        <f>"wormen, diverse soorten"</f>
        <v>wormen, diverse soorten</v>
      </c>
      <c r="C1920" t="s">
        <v>13235</v>
      </c>
      <c r="D1920" t="str">
        <f>""</f>
        <v/>
      </c>
      <c r="E1920" t="str">
        <f t="shared" si="82"/>
        <v xml:space="preserve">Biologische parameters </v>
      </c>
      <c r="F1920" t="str">
        <f t="shared" si="83"/>
        <v xml:space="preserve">Hydrobiologische parameters </v>
      </c>
      <c r="G1920" t="str">
        <f>""</f>
        <v/>
      </c>
    </row>
    <row r="1921" spans="1:7" x14ac:dyDescent="0.25">
      <c r="A1921">
        <v>7721</v>
      </c>
      <c r="B1921" t="str">
        <f>"wormen, diverse soorten"</f>
        <v>wormen, diverse soorten</v>
      </c>
      <c r="C1921" t="s">
        <v>14924</v>
      </c>
      <c r="D1921" t="str">
        <f>""</f>
        <v/>
      </c>
      <c r="E1921" t="str">
        <f t="shared" si="82"/>
        <v xml:space="preserve">Biologische parameters </v>
      </c>
      <c r="F1921" t="str">
        <f t="shared" si="83"/>
        <v xml:space="preserve">Hydrobiologische parameters </v>
      </c>
      <c r="G1921" t="str">
        <f>""</f>
        <v/>
      </c>
    </row>
    <row r="1922" spans="1:7" x14ac:dyDescent="0.25">
      <c r="A1922">
        <v>7730</v>
      </c>
      <c r="B1922" t="str">
        <f>"larven van insecten (Insecta)"</f>
        <v>larven van insecten (Insecta)</v>
      </c>
      <c r="C1922" t="s">
        <v>13235</v>
      </c>
      <c r="D1922" t="str">
        <f>""</f>
        <v/>
      </c>
      <c r="E1922" t="str">
        <f t="shared" si="82"/>
        <v xml:space="preserve">Biologische parameters </v>
      </c>
      <c r="F1922" t="str">
        <f t="shared" si="83"/>
        <v xml:space="preserve">Hydrobiologische parameters </v>
      </c>
      <c r="G1922" t="str">
        <f>""</f>
        <v/>
      </c>
    </row>
    <row r="1923" spans="1:7" x14ac:dyDescent="0.25">
      <c r="A1923">
        <v>7731</v>
      </c>
      <c r="B1923" t="str">
        <f>"larven van insecten (Insecta)"</f>
        <v>larven van insecten (Insecta)</v>
      </c>
      <c r="C1923" t="s">
        <v>14924</v>
      </c>
      <c r="D1923" t="str">
        <f>""</f>
        <v/>
      </c>
      <c r="E1923" t="str">
        <f t="shared" si="82"/>
        <v xml:space="preserve">Biologische parameters </v>
      </c>
      <c r="F1923" t="str">
        <f t="shared" si="83"/>
        <v xml:space="preserve">Hydrobiologische parameters </v>
      </c>
      <c r="G1923" t="str">
        <f>""</f>
        <v/>
      </c>
    </row>
    <row r="1924" spans="1:7" x14ac:dyDescent="0.25">
      <c r="A1924">
        <v>7734</v>
      </c>
      <c r="B1924" t="str">
        <f>"springstaarten (Collembola)"</f>
        <v>springstaarten (Collembola)</v>
      </c>
      <c r="C1924" t="s">
        <v>14924</v>
      </c>
      <c r="D1924" t="str">
        <f>""</f>
        <v/>
      </c>
      <c r="E1924" t="str">
        <f t="shared" si="82"/>
        <v xml:space="preserve">Biologische parameters </v>
      </c>
      <c r="F1924" t="str">
        <f t="shared" si="83"/>
        <v xml:space="preserve">Hydrobiologische parameters </v>
      </c>
      <c r="G1924" t="str">
        <f>""</f>
        <v/>
      </c>
    </row>
    <row r="1925" spans="1:7" x14ac:dyDescent="0.25">
      <c r="A1925">
        <v>7735</v>
      </c>
      <c r="B1925" t="str">
        <f>"springstaarten (Collembola)"</f>
        <v>springstaarten (Collembola)</v>
      </c>
      <c r="C1925" t="s">
        <v>13235</v>
      </c>
      <c r="D1925" t="str">
        <f>""</f>
        <v/>
      </c>
      <c r="E1925" t="str">
        <f t="shared" si="82"/>
        <v xml:space="preserve">Biologische parameters </v>
      </c>
      <c r="F1925" t="str">
        <f t="shared" si="83"/>
        <v xml:space="preserve">Hydrobiologische parameters </v>
      </c>
      <c r="G1925" t="str">
        <f>""</f>
        <v/>
      </c>
    </row>
    <row r="1926" spans="1:7" x14ac:dyDescent="0.25">
      <c r="A1926">
        <v>7736</v>
      </c>
      <c r="B1926" t="str">
        <f>"dansmuggen (Chironomidae)"</f>
        <v>dansmuggen (Chironomidae)</v>
      </c>
      <c r="C1926" t="s">
        <v>13235</v>
      </c>
      <c r="D1926" t="str">
        <f>""</f>
        <v/>
      </c>
      <c r="E1926" t="str">
        <f t="shared" ref="E1926:E1950" si="84">"Biologische parameters "</f>
        <v xml:space="preserve">Biologische parameters </v>
      </c>
      <c r="F1926" t="str">
        <f t="shared" ref="F1926:F1949" si="85">"Hydrobiologische parameters "</f>
        <v xml:space="preserve">Hydrobiologische parameters </v>
      </c>
      <c r="G1926" t="str">
        <f>""</f>
        <v/>
      </c>
    </row>
    <row r="1927" spans="1:7" x14ac:dyDescent="0.25">
      <c r="A1927">
        <v>7737</v>
      </c>
      <c r="B1927" t="str">
        <f>"dansmuggen (Chironomidae)"</f>
        <v>dansmuggen (Chironomidae)</v>
      </c>
      <c r="C1927" t="s">
        <v>14924</v>
      </c>
      <c r="D1927" t="str">
        <f>""</f>
        <v/>
      </c>
      <c r="E1927" t="str">
        <f t="shared" si="84"/>
        <v xml:space="preserve">Biologische parameters </v>
      </c>
      <c r="F1927" t="str">
        <f t="shared" si="85"/>
        <v xml:space="preserve">Hydrobiologische parameters </v>
      </c>
      <c r="G1927" t="str">
        <f>""</f>
        <v/>
      </c>
    </row>
    <row r="1928" spans="1:7" x14ac:dyDescent="0.25">
      <c r="A1928">
        <v>7740</v>
      </c>
      <c r="B1928" t="str">
        <f>"watermijten (Hydrachnellae)"</f>
        <v>watermijten (Hydrachnellae)</v>
      </c>
      <c r="C1928" t="s">
        <v>13235</v>
      </c>
      <c r="D1928" t="str">
        <f>""</f>
        <v/>
      </c>
      <c r="E1928" t="str">
        <f t="shared" si="84"/>
        <v xml:space="preserve">Biologische parameters </v>
      </c>
      <c r="F1928" t="str">
        <f t="shared" si="85"/>
        <v xml:space="preserve">Hydrobiologische parameters </v>
      </c>
      <c r="G1928" t="str">
        <f>""</f>
        <v/>
      </c>
    </row>
    <row r="1929" spans="1:7" x14ac:dyDescent="0.25">
      <c r="A1929">
        <v>7741</v>
      </c>
      <c r="B1929" t="str">
        <f>"watermijten (Hydrachnellae)"</f>
        <v>watermijten (Hydrachnellae)</v>
      </c>
      <c r="C1929" t="s">
        <v>14924</v>
      </c>
      <c r="D1929" t="str">
        <f>""</f>
        <v/>
      </c>
      <c r="E1929" t="str">
        <f t="shared" si="84"/>
        <v xml:space="preserve">Biologische parameters </v>
      </c>
      <c r="F1929" t="str">
        <f t="shared" si="85"/>
        <v xml:space="preserve">Hydrobiologische parameters </v>
      </c>
      <c r="G1929" t="str">
        <f>""</f>
        <v/>
      </c>
    </row>
    <row r="1930" spans="1:7" x14ac:dyDescent="0.25">
      <c r="A1930">
        <v>7744</v>
      </c>
      <c r="B1930" t="str">
        <f>"larven van watermijten (Hydrachnellae)"</f>
        <v>larven van watermijten (Hydrachnellae)</v>
      </c>
      <c r="C1930" t="s">
        <v>14924</v>
      </c>
      <c r="D1930" t="str">
        <f>""</f>
        <v/>
      </c>
      <c r="E1930" t="str">
        <f t="shared" si="84"/>
        <v xml:space="preserve">Biologische parameters </v>
      </c>
      <c r="F1930" t="str">
        <f t="shared" si="85"/>
        <v xml:space="preserve">Hydrobiologische parameters </v>
      </c>
      <c r="G1930" t="str">
        <f>""</f>
        <v/>
      </c>
    </row>
    <row r="1931" spans="1:7" x14ac:dyDescent="0.25">
      <c r="A1931">
        <v>7745</v>
      </c>
      <c r="B1931" t="str">
        <f>"larven van watermijten (Hydrachnellae)"</f>
        <v>larven van watermijten (Hydrachnellae)</v>
      </c>
      <c r="C1931" t="s">
        <v>13235</v>
      </c>
      <c r="D1931" t="str">
        <f>""</f>
        <v/>
      </c>
      <c r="E1931" t="str">
        <f t="shared" si="84"/>
        <v xml:space="preserve">Biologische parameters </v>
      </c>
      <c r="F1931" t="str">
        <f t="shared" si="85"/>
        <v xml:space="preserve">Hydrobiologische parameters </v>
      </c>
      <c r="G1931" t="str">
        <f>""</f>
        <v/>
      </c>
    </row>
    <row r="1932" spans="1:7" x14ac:dyDescent="0.25">
      <c r="A1932">
        <v>7746</v>
      </c>
      <c r="B1932" t="str">
        <f>"kreeftachtigen (Crustacea) ,totaal"</f>
        <v>kreeftachtigen (Crustacea) ,totaal</v>
      </c>
      <c r="C1932" t="s">
        <v>13235</v>
      </c>
      <c r="D1932" t="str">
        <f>""</f>
        <v/>
      </c>
      <c r="E1932" t="str">
        <f t="shared" si="84"/>
        <v xml:space="preserve">Biologische parameters </v>
      </c>
      <c r="F1932" t="str">
        <f t="shared" si="85"/>
        <v xml:space="preserve">Hydrobiologische parameters </v>
      </c>
      <c r="G1932" t="str">
        <f>""</f>
        <v/>
      </c>
    </row>
    <row r="1933" spans="1:7" x14ac:dyDescent="0.25">
      <c r="A1933">
        <v>7747</v>
      </c>
      <c r="B1933" t="str">
        <f>"kreeftachtigen (Crustacea), totaal"</f>
        <v>kreeftachtigen (Crustacea), totaal</v>
      </c>
      <c r="C1933" t="s">
        <v>14924</v>
      </c>
      <c r="D1933" t="str">
        <f>""</f>
        <v/>
      </c>
      <c r="E1933" t="str">
        <f t="shared" si="84"/>
        <v xml:space="preserve">Biologische parameters </v>
      </c>
      <c r="F1933" t="str">
        <f t="shared" si="85"/>
        <v xml:space="preserve">Hydrobiologische parameters </v>
      </c>
      <c r="G1933" t="str">
        <f>""</f>
        <v/>
      </c>
    </row>
    <row r="1934" spans="1:7" x14ac:dyDescent="0.25">
      <c r="A1934">
        <v>7750</v>
      </c>
      <c r="B1934" t="str">
        <f>"waterpissebedden (Asellidae)"</f>
        <v>waterpissebedden (Asellidae)</v>
      </c>
      <c r="C1934" t="s">
        <v>13235</v>
      </c>
      <c r="D1934" t="str">
        <f>""</f>
        <v/>
      </c>
      <c r="E1934" t="str">
        <f t="shared" si="84"/>
        <v xml:space="preserve">Biologische parameters </v>
      </c>
      <c r="F1934" t="str">
        <f t="shared" si="85"/>
        <v xml:space="preserve">Hydrobiologische parameters </v>
      </c>
      <c r="G1934" t="str">
        <f>""</f>
        <v/>
      </c>
    </row>
    <row r="1935" spans="1:7" x14ac:dyDescent="0.25">
      <c r="A1935">
        <v>7751</v>
      </c>
      <c r="B1935" t="str">
        <f>"waterpissebedden (Asellidae)"</f>
        <v>waterpissebedden (Asellidae)</v>
      </c>
      <c r="C1935" t="s">
        <v>14924</v>
      </c>
      <c r="D1935" t="str">
        <f>""</f>
        <v/>
      </c>
      <c r="E1935" t="str">
        <f t="shared" si="84"/>
        <v xml:space="preserve">Biologische parameters </v>
      </c>
      <c r="F1935" t="str">
        <f t="shared" si="85"/>
        <v xml:space="preserve">Hydrobiologische parameters </v>
      </c>
      <c r="G1935" t="str">
        <f>""</f>
        <v/>
      </c>
    </row>
    <row r="1936" spans="1:7" x14ac:dyDescent="0.25">
      <c r="A1936">
        <v>7755</v>
      </c>
      <c r="B1936" t="str">
        <f>"waterpissebedden delen met kop"</f>
        <v>waterpissebedden delen met kop</v>
      </c>
      <c r="C1936" t="s">
        <v>13235</v>
      </c>
      <c r="D1936" t="str">
        <f>""</f>
        <v/>
      </c>
      <c r="E1936" t="str">
        <f t="shared" si="84"/>
        <v xml:space="preserve">Biologische parameters </v>
      </c>
      <c r="F1936" t="str">
        <f t="shared" si="85"/>
        <v xml:space="preserve">Hydrobiologische parameters </v>
      </c>
      <c r="G1936" t="str">
        <f>""</f>
        <v/>
      </c>
    </row>
    <row r="1937" spans="1:7" x14ac:dyDescent="0.25">
      <c r="A1937">
        <v>7756</v>
      </c>
      <c r="B1937" t="str">
        <f>"waterpissebedden delen met kop"</f>
        <v>waterpissebedden delen met kop</v>
      </c>
      <c r="C1937" t="s">
        <v>14924</v>
      </c>
      <c r="D1937" t="str">
        <f>""</f>
        <v/>
      </c>
      <c r="E1937" t="str">
        <f t="shared" si="84"/>
        <v xml:space="preserve">Biologische parameters </v>
      </c>
      <c r="F1937" t="str">
        <f t="shared" si="85"/>
        <v xml:space="preserve">Hydrobiologische parameters </v>
      </c>
      <c r="G1937" t="str">
        <f>""</f>
        <v/>
      </c>
    </row>
    <row r="1938" spans="1:7" x14ac:dyDescent="0.25">
      <c r="A1938">
        <v>7760</v>
      </c>
      <c r="B1938" t="str">
        <f>"delen van waterpissebedden"</f>
        <v>delen van waterpissebedden</v>
      </c>
      <c r="C1938" t="s">
        <v>13235</v>
      </c>
      <c r="D1938" t="str">
        <f>""</f>
        <v/>
      </c>
      <c r="E1938" t="str">
        <f t="shared" si="84"/>
        <v xml:space="preserve">Biologische parameters </v>
      </c>
      <c r="F1938" t="str">
        <f t="shared" si="85"/>
        <v xml:space="preserve">Hydrobiologische parameters </v>
      </c>
      <c r="G1938" t="str">
        <f>""</f>
        <v/>
      </c>
    </row>
    <row r="1939" spans="1:7" x14ac:dyDescent="0.25">
      <c r="A1939">
        <v>7761</v>
      </c>
      <c r="B1939" t="str">
        <f>"delen van waterpissebedden"</f>
        <v>delen van waterpissebedden</v>
      </c>
      <c r="C1939" t="s">
        <v>14924</v>
      </c>
      <c r="D1939" t="str">
        <f>""</f>
        <v/>
      </c>
      <c r="E1939" t="str">
        <f t="shared" si="84"/>
        <v xml:space="preserve">Biologische parameters </v>
      </c>
      <c r="F1939" t="str">
        <f t="shared" si="85"/>
        <v xml:space="preserve">Hydrobiologische parameters </v>
      </c>
      <c r="G1939" t="str">
        <f>""</f>
        <v/>
      </c>
    </row>
    <row r="1940" spans="1:7" x14ac:dyDescent="0.25">
      <c r="A1940">
        <v>7764</v>
      </c>
      <c r="B1940" t="str">
        <f>"vlokreeften (Gammaridae)"</f>
        <v>vlokreeften (Gammaridae)</v>
      </c>
      <c r="C1940" t="s">
        <v>14924</v>
      </c>
      <c r="D1940" t="str">
        <f>""</f>
        <v/>
      </c>
      <c r="E1940" t="str">
        <f t="shared" si="84"/>
        <v xml:space="preserve">Biologische parameters </v>
      </c>
      <c r="F1940" t="str">
        <f t="shared" si="85"/>
        <v xml:space="preserve">Hydrobiologische parameters </v>
      </c>
      <c r="G1940" t="str">
        <f>""</f>
        <v/>
      </c>
    </row>
    <row r="1941" spans="1:7" x14ac:dyDescent="0.25">
      <c r="A1941">
        <v>7765</v>
      </c>
      <c r="B1941" t="str">
        <f>"vlokreeften (Gammaridae)"</f>
        <v>vlokreeften (Gammaridae)</v>
      </c>
      <c r="C1941" t="s">
        <v>13235</v>
      </c>
      <c r="D1941" t="str">
        <f>""</f>
        <v/>
      </c>
      <c r="E1941" t="str">
        <f t="shared" si="84"/>
        <v xml:space="preserve">Biologische parameters </v>
      </c>
      <c r="F1941" t="str">
        <f t="shared" si="85"/>
        <v xml:space="preserve">Hydrobiologische parameters </v>
      </c>
      <c r="G1941" t="str">
        <f>""</f>
        <v/>
      </c>
    </row>
    <row r="1942" spans="1:7" x14ac:dyDescent="0.25">
      <c r="A1942">
        <v>7766</v>
      </c>
      <c r="B1942" t="str">
        <f>"insecten (Insecta), totaal"</f>
        <v>insecten (Insecta), totaal</v>
      </c>
      <c r="C1942" t="s">
        <v>13235</v>
      </c>
      <c r="D1942" t="str">
        <f>""</f>
        <v/>
      </c>
      <c r="E1942" t="str">
        <f t="shared" si="84"/>
        <v xml:space="preserve">Biologische parameters </v>
      </c>
      <c r="F1942" t="str">
        <f t="shared" si="85"/>
        <v xml:space="preserve">Hydrobiologische parameters </v>
      </c>
      <c r="G1942" t="str">
        <f>""</f>
        <v/>
      </c>
    </row>
    <row r="1943" spans="1:7" x14ac:dyDescent="0.25">
      <c r="A1943">
        <v>7767</v>
      </c>
      <c r="B1943" t="str">
        <f>"insecten (Insecta), totaal"</f>
        <v>insecten (Insecta), totaal</v>
      </c>
      <c r="C1943" t="s">
        <v>14924</v>
      </c>
      <c r="D1943" t="str">
        <f>""</f>
        <v/>
      </c>
      <c r="E1943" t="str">
        <f t="shared" si="84"/>
        <v xml:space="preserve">Biologische parameters </v>
      </c>
      <c r="F1943" t="str">
        <f t="shared" si="85"/>
        <v xml:space="preserve">Hydrobiologische parameters </v>
      </c>
      <c r="G1943" t="str">
        <f>""</f>
        <v/>
      </c>
    </row>
    <row r="1944" spans="1:7" x14ac:dyDescent="0.25">
      <c r="A1944">
        <v>7768</v>
      </c>
      <c r="B1944" t="str">
        <f>"mossellarven (Bivalvia)"</f>
        <v>mossellarven (Bivalvia)</v>
      </c>
      <c r="C1944" t="s">
        <v>13235</v>
      </c>
      <c r="D1944" t="str">
        <f>""</f>
        <v/>
      </c>
      <c r="E1944" t="str">
        <f t="shared" si="84"/>
        <v xml:space="preserve">Biologische parameters </v>
      </c>
      <c r="F1944" t="str">
        <f t="shared" si="85"/>
        <v xml:space="preserve">Hydrobiologische parameters </v>
      </c>
      <c r="G1944" t="str">
        <f>""</f>
        <v/>
      </c>
    </row>
    <row r="1945" spans="1:7" x14ac:dyDescent="0.25">
      <c r="A1945">
        <v>7769</v>
      </c>
      <c r="B1945" t="str">
        <f>"mossellarven (Bivalvia)"</f>
        <v>mossellarven (Bivalvia)</v>
      </c>
      <c r="C1945" t="s">
        <v>14924</v>
      </c>
      <c r="D1945" t="str">
        <f>""</f>
        <v/>
      </c>
      <c r="E1945" t="str">
        <f t="shared" si="84"/>
        <v xml:space="preserve">Biologische parameters </v>
      </c>
      <c r="F1945" t="str">
        <f t="shared" si="85"/>
        <v xml:space="preserve">Hydrobiologische parameters </v>
      </c>
      <c r="G1945" t="str">
        <f>""</f>
        <v/>
      </c>
    </row>
    <row r="1946" spans="1:7" x14ac:dyDescent="0.25">
      <c r="A1946">
        <v>7770</v>
      </c>
      <c r="B1946" t="str">
        <f>"slakken (Gastropoda)"</f>
        <v>slakken (Gastropoda)</v>
      </c>
      <c r="C1946" t="s">
        <v>13235</v>
      </c>
      <c r="D1946" t="str">
        <f>""</f>
        <v/>
      </c>
      <c r="E1946" t="str">
        <f t="shared" si="84"/>
        <v xml:space="preserve">Biologische parameters </v>
      </c>
      <c r="F1946" t="str">
        <f t="shared" si="85"/>
        <v xml:space="preserve">Hydrobiologische parameters </v>
      </c>
      <c r="G1946" t="str">
        <f>""</f>
        <v/>
      </c>
    </row>
    <row r="1947" spans="1:7" x14ac:dyDescent="0.25">
      <c r="A1947">
        <v>7771</v>
      </c>
      <c r="B1947" t="str">
        <f>"slakken (Gastropoda)"</f>
        <v>slakken (Gastropoda)</v>
      </c>
      <c r="C1947" t="s">
        <v>14924</v>
      </c>
      <c r="D1947" t="str">
        <f>""</f>
        <v/>
      </c>
      <c r="E1947" t="str">
        <f t="shared" si="84"/>
        <v xml:space="preserve">Biologische parameters </v>
      </c>
      <c r="F1947" t="str">
        <f t="shared" si="85"/>
        <v xml:space="preserve">Hydrobiologische parameters </v>
      </c>
      <c r="G1947" t="str">
        <f>""</f>
        <v/>
      </c>
    </row>
    <row r="1948" spans="1:7" x14ac:dyDescent="0.25">
      <c r="A1948">
        <v>7800</v>
      </c>
      <c r="B1948" t="str">
        <f>"diversen"</f>
        <v>diversen</v>
      </c>
      <c r="C1948" t="s">
        <v>13235</v>
      </c>
      <c r="D1948" t="str">
        <f>""</f>
        <v/>
      </c>
      <c r="E1948" t="str">
        <f t="shared" si="84"/>
        <v xml:space="preserve">Biologische parameters </v>
      </c>
      <c r="F1948" t="str">
        <f t="shared" si="85"/>
        <v xml:space="preserve">Hydrobiologische parameters </v>
      </c>
      <c r="G1948" t="str">
        <f>""</f>
        <v/>
      </c>
    </row>
    <row r="1949" spans="1:7" x14ac:dyDescent="0.25">
      <c r="A1949">
        <v>7801</v>
      </c>
      <c r="B1949" t="str">
        <f>"diversen"</f>
        <v>diversen</v>
      </c>
      <c r="C1949" t="s">
        <v>14924</v>
      </c>
      <c r="D1949" t="str">
        <f>""</f>
        <v/>
      </c>
      <c r="E1949" t="str">
        <f t="shared" si="84"/>
        <v xml:space="preserve">Biologische parameters </v>
      </c>
      <c r="F1949" t="str">
        <f t="shared" si="85"/>
        <v xml:space="preserve">Hydrobiologische parameters </v>
      </c>
      <c r="G1949" t="str">
        <f>""</f>
        <v/>
      </c>
    </row>
    <row r="1950" spans="1:7" x14ac:dyDescent="0.25">
      <c r="A1950">
        <v>7900</v>
      </c>
      <c r="B1950" t="str">
        <f>"Adenosinetrifosfaat (ATP)"</f>
        <v>Adenosinetrifosfaat (ATP)</v>
      </c>
      <c r="C1950" t="s">
        <v>14322</v>
      </c>
      <c r="D1950" t="str">
        <f>""</f>
        <v/>
      </c>
      <c r="E1950" t="str">
        <f t="shared" si="84"/>
        <v xml:space="preserve">Biologische parameters </v>
      </c>
      <c r="F1950" t="str">
        <f>"Overige biologische parameters "</f>
        <v xml:space="preserve">Overige biologische parameters </v>
      </c>
      <c r="G1950" t="str">
        <f>""</f>
        <v/>
      </c>
    </row>
    <row r="1951" spans="1:7" x14ac:dyDescent="0.25">
      <c r="A1951">
        <v>8000</v>
      </c>
      <c r="B1951" t="str">
        <f>"acefaat"</f>
        <v>acefaat</v>
      </c>
      <c r="C1951" t="s">
        <v>19016</v>
      </c>
      <c r="D1951" t="str">
        <f>"30560-19-1"</f>
        <v>30560-19-1</v>
      </c>
      <c r="E1951" t="str">
        <f t="shared" ref="E1951:E2014" si="86">"Organische parameters "</f>
        <v xml:space="preserve">Organische parameters </v>
      </c>
      <c r="F1951" t="str">
        <f t="shared" ref="F1951:F1982" si="87">"Pesticiden en metabolieten "</f>
        <v xml:space="preserve">Pesticiden en metabolieten </v>
      </c>
      <c r="G1951" t="str">
        <f t="shared" ref="G1951:G1982" si="88">"Pesticiden en humaan toxicologisch relevante metabolieten "</f>
        <v xml:space="preserve">Pesticiden en humaan toxicologisch relevante metabolieten </v>
      </c>
    </row>
    <row r="1952" spans="1:7" x14ac:dyDescent="0.25">
      <c r="A1952">
        <v>8001</v>
      </c>
      <c r="B1952" t="str">
        <f>"aclonifen"</f>
        <v>aclonifen</v>
      </c>
      <c r="C1952" t="s">
        <v>19016</v>
      </c>
      <c r="D1952" t="str">
        <f>"74070-46-5"</f>
        <v>74070-46-5</v>
      </c>
      <c r="E1952" t="str">
        <f t="shared" si="86"/>
        <v xml:space="preserve">Organische parameters </v>
      </c>
      <c r="F1952" t="str">
        <f t="shared" si="87"/>
        <v xml:space="preserve">Pesticiden en metabolieten </v>
      </c>
      <c r="G1952" t="str">
        <f t="shared" si="88"/>
        <v xml:space="preserve">Pesticiden en humaan toxicologisch relevante metabolieten </v>
      </c>
    </row>
    <row r="1953" spans="1:7" x14ac:dyDescent="0.25">
      <c r="A1953">
        <v>8002</v>
      </c>
      <c r="B1953" t="str">
        <f>"alachloor"</f>
        <v>alachloor</v>
      </c>
      <c r="C1953" t="s">
        <v>19016</v>
      </c>
      <c r="D1953" t="str">
        <f>"15972-60-8"</f>
        <v>15972-60-8</v>
      </c>
      <c r="E1953" t="str">
        <f t="shared" si="86"/>
        <v xml:space="preserve">Organische parameters </v>
      </c>
      <c r="F1953" t="str">
        <f t="shared" si="87"/>
        <v xml:space="preserve">Pesticiden en metabolieten </v>
      </c>
      <c r="G1953" t="str">
        <f t="shared" si="88"/>
        <v xml:space="preserve">Pesticiden en humaan toxicologisch relevante metabolieten </v>
      </c>
    </row>
    <row r="1954" spans="1:7" x14ac:dyDescent="0.25">
      <c r="A1954">
        <v>8003</v>
      </c>
      <c r="B1954" t="str">
        <f>"aldicarb"</f>
        <v>aldicarb</v>
      </c>
      <c r="C1954" t="s">
        <v>19016</v>
      </c>
      <c r="D1954" t="str">
        <f>"116-06-3"</f>
        <v>116-06-3</v>
      </c>
      <c r="E1954" t="str">
        <f t="shared" si="86"/>
        <v xml:space="preserve">Organische parameters </v>
      </c>
      <c r="F1954" t="str">
        <f t="shared" si="87"/>
        <v xml:space="preserve">Pesticiden en metabolieten </v>
      </c>
      <c r="G1954" t="str">
        <f t="shared" si="88"/>
        <v xml:space="preserve">Pesticiden en humaan toxicologisch relevante metabolieten </v>
      </c>
    </row>
    <row r="1955" spans="1:7" x14ac:dyDescent="0.25">
      <c r="A1955">
        <v>8004</v>
      </c>
      <c r="B1955" t="str">
        <f>"aldicarb-sulfon"</f>
        <v>aldicarb-sulfon</v>
      </c>
      <c r="C1955" t="s">
        <v>19016</v>
      </c>
      <c r="D1955" t="str">
        <f>"1646-88-4"</f>
        <v>1646-88-4</v>
      </c>
      <c r="E1955" t="str">
        <f t="shared" si="86"/>
        <v xml:space="preserve">Organische parameters </v>
      </c>
      <c r="F1955" t="str">
        <f t="shared" si="87"/>
        <v xml:space="preserve">Pesticiden en metabolieten </v>
      </c>
      <c r="G1955" t="str">
        <f t="shared" si="88"/>
        <v xml:space="preserve">Pesticiden en humaan toxicologisch relevante metabolieten </v>
      </c>
    </row>
    <row r="1956" spans="1:7" x14ac:dyDescent="0.25">
      <c r="A1956">
        <v>8005</v>
      </c>
      <c r="B1956" t="str">
        <f>"aldicarb-sulfoxide"</f>
        <v>aldicarb-sulfoxide</v>
      </c>
      <c r="C1956" t="s">
        <v>19016</v>
      </c>
      <c r="D1956" t="str">
        <f>"1646-87-3"</f>
        <v>1646-87-3</v>
      </c>
      <c r="E1956" t="str">
        <f t="shared" si="86"/>
        <v xml:space="preserve">Organische parameters </v>
      </c>
      <c r="F1956" t="str">
        <f t="shared" si="87"/>
        <v xml:space="preserve">Pesticiden en metabolieten </v>
      </c>
      <c r="G1956" t="str">
        <f t="shared" si="88"/>
        <v xml:space="preserve">Pesticiden en humaan toxicologisch relevante metabolieten </v>
      </c>
    </row>
    <row r="1957" spans="1:7" x14ac:dyDescent="0.25">
      <c r="A1957">
        <v>8006</v>
      </c>
      <c r="B1957" t="str">
        <f>"aldrin"</f>
        <v>aldrin</v>
      </c>
      <c r="C1957" t="s">
        <v>19016</v>
      </c>
      <c r="D1957" t="str">
        <f>"309-00-2"</f>
        <v>309-00-2</v>
      </c>
      <c r="E1957" t="str">
        <f t="shared" si="86"/>
        <v xml:space="preserve">Organische parameters </v>
      </c>
      <c r="F1957" t="str">
        <f t="shared" si="87"/>
        <v xml:space="preserve">Pesticiden en metabolieten </v>
      </c>
      <c r="G1957" t="str">
        <f t="shared" si="88"/>
        <v xml:space="preserve">Pesticiden en humaan toxicologisch relevante metabolieten </v>
      </c>
    </row>
    <row r="1958" spans="1:7" x14ac:dyDescent="0.25">
      <c r="A1958">
        <v>8007</v>
      </c>
      <c r="B1958" t="str">
        <f>"alfacypermethrin"</f>
        <v>alfacypermethrin</v>
      </c>
      <c r="C1958" t="s">
        <v>19016</v>
      </c>
      <c r="D1958" t="str">
        <f>"67375-30-8"</f>
        <v>67375-30-8</v>
      </c>
      <c r="E1958" t="str">
        <f t="shared" si="86"/>
        <v xml:space="preserve">Organische parameters </v>
      </c>
      <c r="F1958" t="str">
        <f t="shared" si="87"/>
        <v xml:space="preserve">Pesticiden en metabolieten </v>
      </c>
      <c r="G1958" t="str">
        <f t="shared" si="88"/>
        <v xml:space="preserve">Pesticiden en humaan toxicologisch relevante metabolieten </v>
      </c>
    </row>
    <row r="1959" spans="1:7" x14ac:dyDescent="0.25">
      <c r="A1959">
        <v>8009</v>
      </c>
      <c r="B1959" t="str">
        <f>"allethrin"</f>
        <v>allethrin</v>
      </c>
      <c r="C1959" t="s">
        <v>19016</v>
      </c>
      <c r="D1959" t="str">
        <f>"584-79-2"</f>
        <v>584-79-2</v>
      </c>
      <c r="E1959" t="str">
        <f t="shared" si="86"/>
        <v xml:space="preserve">Organische parameters </v>
      </c>
      <c r="F1959" t="str">
        <f t="shared" si="87"/>
        <v xml:space="preserve">Pesticiden en metabolieten </v>
      </c>
      <c r="G1959" t="str">
        <f t="shared" si="88"/>
        <v xml:space="preserve">Pesticiden en humaan toxicologisch relevante metabolieten </v>
      </c>
    </row>
    <row r="1960" spans="1:7" x14ac:dyDescent="0.25">
      <c r="A1960">
        <v>8010</v>
      </c>
      <c r="B1960" t="str">
        <f>"alloxydim-natrium"</f>
        <v>alloxydim-natrium</v>
      </c>
      <c r="C1960" t="s">
        <v>19016</v>
      </c>
      <c r="D1960" t="str">
        <f>"55634-91-8"</f>
        <v>55634-91-8</v>
      </c>
      <c r="E1960" t="str">
        <f t="shared" si="86"/>
        <v xml:space="preserve">Organische parameters </v>
      </c>
      <c r="F1960" t="str">
        <f t="shared" si="87"/>
        <v xml:space="preserve">Pesticiden en metabolieten </v>
      </c>
      <c r="G1960" t="str">
        <f t="shared" si="88"/>
        <v xml:space="preserve">Pesticiden en humaan toxicologisch relevante metabolieten </v>
      </c>
    </row>
    <row r="1961" spans="1:7" x14ac:dyDescent="0.25">
      <c r="A1961">
        <v>8011</v>
      </c>
      <c r="B1961" t="str">
        <f>"allylalcohol"</f>
        <v>allylalcohol</v>
      </c>
      <c r="C1961" t="s">
        <v>19016</v>
      </c>
      <c r="D1961" t="str">
        <f>"107-18-6"</f>
        <v>107-18-6</v>
      </c>
      <c r="E1961" t="str">
        <f t="shared" si="86"/>
        <v xml:space="preserve">Organische parameters </v>
      </c>
      <c r="F1961" t="str">
        <f t="shared" si="87"/>
        <v xml:space="preserve">Pesticiden en metabolieten </v>
      </c>
      <c r="G1961" t="str">
        <f t="shared" si="88"/>
        <v xml:space="preserve">Pesticiden en humaan toxicologisch relevante metabolieten </v>
      </c>
    </row>
    <row r="1962" spans="1:7" x14ac:dyDescent="0.25">
      <c r="A1962">
        <v>8012</v>
      </c>
      <c r="B1962" t="str">
        <f>"aluminiumfosfide"</f>
        <v>aluminiumfosfide</v>
      </c>
      <c r="C1962" t="s">
        <v>19016</v>
      </c>
      <c r="D1962" t="str">
        <f>"20859-73-8"</f>
        <v>20859-73-8</v>
      </c>
      <c r="E1962" t="str">
        <f t="shared" si="86"/>
        <v xml:space="preserve">Organische parameters </v>
      </c>
      <c r="F1962" t="str">
        <f t="shared" si="87"/>
        <v xml:space="preserve">Pesticiden en metabolieten </v>
      </c>
      <c r="G1962" t="str">
        <f t="shared" si="88"/>
        <v xml:space="preserve">Pesticiden en humaan toxicologisch relevante metabolieten </v>
      </c>
    </row>
    <row r="1963" spans="1:7" x14ac:dyDescent="0.25">
      <c r="A1963">
        <v>8013</v>
      </c>
      <c r="B1963" t="str">
        <f>"ametryn"</f>
        <v>ametryn</v>
      </c>
      <c r="C1963" t="s">
        <v>19016</v>
      </c>
      <c r="D1963" t="str">
        <f>"834-12-8"</f>
        <v>834-12-8</v>
      </c>
      <c r="E1963" t="str">
        <f t="shared" si="86"/>
        <v xml:space="preserve">Organische parameters </v>
      </c>
      <c r="F1963" t="str">
        <f t="shared" si="87"/>
        <v xml:space="preserve">Pesticiden en metabolieten </v>
      </c>
      <c r="G1963" t="str">
        <f t="shared" si="88"/>
        <v xml:space="preserve">Pesticiden en humaan toxicologisch relevante metabolieten </v>
      </c>
    </row>
    <row r="1964" spans="1:7" x14ac:dyDescent="0.25">
      <c r="A1964">
        <v>8015</v>
      </c>
      <c r="B1964" t="str">
        <f>"2-aminobenzimidazol"</f>
        <v>2-aminobenzimidazol</v>
      </c>
      <c r="C1964" t="s">
        <v>19016</v>
      </c>
      <c r="D1964" t="str">
        <f>"934-32-7"</f>
        <v>934-32-7</v>
      </c>
      <c r="E1964" t="str">
        <f t="shared" si="86"/>
        <v xml:space="preserve">Organische parameters </v>
      </c>
      <c r="F1964" t="str">
        <f t="shared" si="87"/>
        <v xml:space="preserve">Pesticiden en metabolieten </v>
      </c>
      <c r="G1964" t="str">
        <f t="shared" si="88"/>
        <v xml:space="preserve">Pesticiden en humaan toxicologisch relevante metabolieten </v>
      </c>
    </row>
    <row r="1965" spans="1:7" x14ac:dyDescent="0.25">
      <c r="A1965">
        <v>8017</v>
      </c>
      <c r="B1965" t="str">
        <f>"amiton"</f>
        <v>amiton</v>
      </c>
      <c r="C1965" t="s">
        <v>19016</v>
      </c>
      <c r="D1965" t="str">
        <f>"78-53-5"</f>
        <v>78-53-5</v>
      </c>
      <c r="E1965" t="str">
        <f t="shared" si="86"/>
        <v xml:space="preserve">Organische parameters </v>
      </c>
      <c r="F1965" t="str">
        <f t="shared" si="87"/>
        <v xml:space="preserve">Pesticiden en metabolieten </v>
      </c>
      <c r="G1965" t="str">
        <f t="shared" si="88"/>
        <v xml:space="preserve">Pesticiden en humaan toxicologisch relevante metabolieten </v>
      </c>
    </row>
    <row r="1966" spans="1:7" x14ac:dyDescent="0.25">
      <c r="A1966">
        <v>8018</v>
      </c>
      <c r="B1966" t="str">
        <f>"amitraz"</f>
        <v>amitraz</v>
      </c>
      <c r="C1966" t="s">
        <v>19016</v>
      </c>
      <c r="D1966" t="str">
        <f>"33089-61-1"</f>
        <v>33089-61-1</v>
      </c>
      <c r="E1966" t="str">
        <f t="shared" si="86"/>
        <v xml:space="preserve">Organische parameters </v>
      </c>
      <c r="F1966" t="str">
        <f t="shared" si="87"/>
        <v xml:space="preserve">Pesticiden en metabolieten </v>
      </c>
      <c r="G1966" t="str">
        <f t="shared" si="88"/>
        <v xml:space="preserve">Pesticiden en humaan toxicologisch relevante metabolieten </v>
      </c>
    </row>
    <row r="1967" spans="1:7" x14ac:dyDescent="0.25">
      <c r="A1967">
        <v>8019</v>
      </c>
      <c r="B1967" t="str">
        <f>"amitrol"</f>
        <v>amitrol</v>
      </c>
      <c r="C1967" t="s">
        <v>19016</v>
      </c>
      <c r="D1967" t="str">
        <f>"61-82-5"</f>
        <v>61-82-5</v>
      </c>
      <c r="E1967" t="str">
        <f t="shared" si="86"/>
        <v xml:space="preserve">Organische parameters </v>
      </c>
      <c r="F1967" t="str">
        <f t="shared" si="87"/>
        <v xml:space="preserve">Pesticiden en metabolieten </v>
      </c>
      <c r="G1967" t="str">
        <f t="shared" si="88"/>
        <v xml:space="preserve">Pesticiden en humaan toxicologisch relevante metabolieten </v>
      </c>
    </row>
    <row r="1968" spans="1:7" x14ac:dyDescent="0.25">
      <c r="A1968">
        <v>8020</v>
      </c>
      <c r="B1968" t="str">
        <f>"ancymidol"</f>
        <v>ancymidol</v>
      </c>
      <c r="C1968" t="s">
        <v>19016</v>
      </c>
      <c r="D1968" t="str">
        <f>"12771-68-5"</f>
        <v>12771-68-5</v>
      </c>
      <c r="E1968" t="str">
        <f t="shared" si="86"/>
        <v xml:space="preserve">Organische parameters </v>
      </c>
      <c r="F1968" t="str">
        <f t="shared" si="87"/>
        <v xml:space="preserve">Pesticiden en metabolieten </v>
      </c>
      <c r="G1968" t="str">
        <f t="shared" si="88"/>
        <v xml:space="preserve">Pesticiden en humaan toxicologisch relevante metabolieten </v>
      </c>
    </row>
    <row r="1969" spans="1:7" x14ac:dyDescent="0.25">
      <c r="A1969">
        <v>8021</v>
      </c>
      <c r="B1969" t="str">
        <f>"anilazin"</f>
        <v>anilazin</v>
      </c>
      <c r="C1969" t="s">
        <v>19016</v>
      </c>
      <c r="D1969" t="str">
        <f>"101-05-3"</f>
        <v>101-05-3</v>
      </c>
      <c r="E1969" t="str">
        <f t="shared" si="86"/>
        <v xml:space="preserve">Organische parameters </v>
      </c>
      <c r="F1969" t="str">
        <f t="shared" si="87"/>
        <v xml:space="preserve">Pesticiden en metabolieten </v>
      </c>
      <c r="G1969" t="str">
        <f t="shared" si="88"/>
        <v xml:space="preserve">Pesticiden en humaan toxicologisch relevante metabolieten </v>
      </c>
    </row>
    <row r="1970" spans="1:7" x14ac:dyDescent="0.25">
      <c r="A1970">
        <v>8022</v>
      </c>
      <c r="B1970" t="str">
        <f>"antu"</f>
        <v>antu</v>
      </c>
      <c r="C1970" t="s">
        <v>19016</v>
      </c>
      <c r="D1970" t="str">
        <f>"86-88-4"</f>
        <v>86-88-4</v>
      </c>
      <c r="E1970" t="str">
        <f t="shared" si="86"/>
        <v xml:space="preserve">Organische parameters </v>
      </c>
      <c r="F1970" t="str">
        <f t="shared" si="87"/>
        <v xml:space="preserve">Pesticiden en metabolieten </v>
      </c>
      <c r="G1970" t="str">
        <f t="shared" si="88"/>
        <v xml:space="preserve">Pesticiden en humaan toxicologisch relevante metabolieten </v>
      </c>
    </row>
    <row r="1971" spans="1:7" x14ac:dyDescent="0.25">
      <c r="A1971">
        <v>8023</v>
      </c>
      <c r="B1971" t="str">
        <f>"anthrachinon"</f>
        <v>anthrachinon</v>
      </c>
      <c r="C1971" t="s">
        <v>19016</v>
      </c>
      <c r="D1971" t="str">
        <f>"84-65-1"</f>
        <v>84-65-1</v>
      </c>
      <c r="E1971" t="str">
        <f t="shared" si="86"/>
        <v xml:space="preserve">Organische parameters </v>
      </c>
      <c r="F1971" t="str">
        <f t="shared" si="87"/>
        <v xml:space="preserve">Pesticiden en metabolieten </v>
      </c>
      <c r="G1971" t="str">
        <f t="shared" si="88"/>
        <v xml:space="preserve">Pesticiden en humaan toxicologisch relevante metabolieten </v>
      </c>
    </row>
    <row r="1972" spans="1:7" x14ac:dyDescent="0.25">
      <c r="A1972">
        <v>8024</v>
      </c>
      <c r="B1972" t="str">
        <f>"anthranilzuur-isopropylamide"</f>
        <v>anthranilzuur-isopropylamide</v>
      </c>
      <c r="C1972" t="s">
        <v>19016</v>
      </c>
      <c r="D1972" t="str">
        <f>"30391-89-0"</f>
        <v>30391-89-0</v>
      </c>
      <c r="E1972" t="str">
        <f t="shared" si="86"/>
        <v xml:space="preserve">Organische parameters </v>
      </c>
      <c r="F1972" t="str">
        <f t="shared" si="87"/>
        <v xml:space="preserve">Pesticiden en metabolieten </v>
      </c>
      <c r="G1972" t="str">
        <f t="shared" si="88"/>
        <v xml:space="preserve">Pesticiden en humaan toxicologisch relevante metabolieten </v>
      </c>
    </row>
    <row r="1973" spans="1:7" x14ac:dyDescent="0.25">
      <c r="A1973">
        <v>8025</v>
      </c>
      <c r="B1973" t="str">
        <f>"asulam"</f>
        <v>asulam</v>
      </c>
      <c r="C1973" t="s">
        <v>19016</v>
      </c>
      <c r="D1973" t="str">
        <f>"3337-71-1"</f>
        <v>3337-71-1</v>
      </c>
      <c r="E1973" t="str">
        <f t="shared" si="86"/>
        <v xml:space="preserve">Organische parameters </v>
      </c>
      <c r="F1973" t="str">
        <f t="shared" si="87"/>
        <v xml:space="preserve">Pesticiden en metabolieten </v>
      </c>
      <c r="G1973" t="str">
        <f t="shared" si="88"/>
        <v xml:space="preserve">Pesticiden en humaan toxicologisch relevante metabolieten </v>
      </c>
    </row>
    <row r="1974" spans="1:7" x14ac:dyDescent="0.25">
      <c r="A1974">
        <v>8026</v>
      </c>
      <c r="B1974" t="str">
        <f>"atrazin"</f>
        <v>atrazin</v>
      </c>
      <c r="C1974" t="s">
        <v>19016</v>
      </c>
      <c r="D1974" t="str">
        <f>"1912-24-9"</f>
        <v>1912-24-9</v>
      </c>
      <c r="E1974" t="str">
        <f t="shared" si="86"/>
        <v xml:space="preserve">Organische parameters </v>
      </c>
      <c r="F1974" t="str">
        <f t="shared" si="87"/>
        <v xml:space="preserve">Pesticiden en metabolieten </v>
      </c>
      <c r="G1974" t="str">
        <f t="shared" si="88"/>
        <v xml:space="preserve">Pesticiden en humaan toxicologisch relevante metabolieten </v>
      </c>
    </row>
    <row r="1975" spans="1:7" x14ac:dyDescent="0.25">
      <c r="A1975">
        <v>8027</v>
      </c>
      <c r="B1975" t="str">
        <f>"azamethifos"</f>
        <v>azamethifos</v>
      </c>
      <c r="C1975" t="s">
        <v>19016</v>
      </c>
      <c r="D1975" t="str">
        <f>"35575-96-3"</f>
        <v>35575-96-3</v>
      </c>
      <c r="E1975" t="str">
        <f t="shared" si="86"/>
        <v xml:space="preserve">Organische parameters </v>
      </c>
      <c r="F1975" t="str">
        <f t="shared" si="87"/>
        <v xml:space="preserve">Pesticiden en metabolieten </v>
      </c>
      <c r="G1975" t="str">
        <f t="shared" si="88"/>
        <v xml:space="preserve">Pesticiden en humaan toxicologisch relevante metabolieten </v>
      </c>
    </row>
    <row r="1976" spans="1:7" x14ac:dyDescent="0.25">
      <c r="A1976">
        <v>8028</v>
      </c>
      <c r="B1976" t="str">
        <f>"azinfos-ethyl"</f>
        <v>azinfos-ethyl</v>
      </c>
      <c r="C1976" t="s">
        <v>19016</v>
      </c>
      <c r="D1976" t="str">
        <f>"2642-71-9"</f>
        <v>2642-71-9</v>
      </c>
      <c r="E1976" t="str">
        <f t="shared" si="86"/>
        <v xml:space="preserve">Organische parameters </v>
      </c>
      <c r="F1976" t="str">
        <f t="shared" si="87"/>
        <v xml:space="preserve">Pesticiden en metabolieten </v>
      </c>
      <c r="G1976" t="str">
        <f t="shared" si="88"/>
        <v xml:space="preserve">Pesticiden en humaan toxicologisch relevante metabolieten </v>
      </c>
    </row>
    <row r="1977" spans="1:7" x14ac:dyDescent="0.25">
      <c r="A1977">
        <v>8029</v>
      </c>
      <c r="B1977" t="str">
        <f>"azinfos-methyl"</f>
        <v>azinfos-methyl</v>
      </c>
      <c r="C1977" t="s">
        <v>19016</v>
      </c>
      <c r="D1977" t="str">
        <f>"86-50-0"</f>
        <v>86-50-0</v>
      </c>
      <c r="E1977" t="str">
        <f t="shared" si="86"/>
        <v xml:space="preserve">Organische parameters </v>
      </c>
      <c r="F1977" t="str">
        <f t="shared" si="87"/>
        <v xml:space="preserve">Pesticiden en metabolieten </v>
      </c>
      <c r="G1977" t="str">
        <f t="shared" si="88"/>
        <v xml:space="preserve">Pesticiden en humaan toxicologisch relevante metabolieten </v>
      </c>
    </row>
    <row r="1978" spans="1:7" x14ac:dyDescent="0.25">
      <c r="A1978">
        <v>8030</v>
      </c>
      <c r="B1978" t="str">
        <f>"aziprotryn"</f>
        <v>aziprotryn</v>
      </c>
      <c r="C1978" t="s">
        <v>19016</v>
      </c>
      <c r="D1978" t="str">
        <f>"4658-28-0"</f>
        <v>4658-28-0</v>
      </c>
      <c r="E1978" t="str">
        <f t="shared" si="86"/>
        <v xml:space="preserve">Organische parameters </v>
      </c>
      <c r="F1978" t="str">
        <f t="shared" si="87"/>
        <v xml:space="preserve">Pesticiden en metabolieten </v>
      </c>
      <c r="G1978" t="str">
        <f t="shared" si="88"/>
        <v xml:space="preserve">Pesticiden en humaan toxicologisch relevante metabolieten </v>
      </c>
    </row>
    <row r="1979" spans="1:7" x14ac:dyDescent="0.25">
      <c r="A1979">
        <v>8031</v>
      </c>
      <c r="B1979" t="str">
        <f>"azobenzeen"</f>
        <v>azobenzeen</v>
      </c>
      <c r="C1979" t="s">
        <v>19016</v>
      </c>
      <c r="D1979" t="str">
        <f>"103-33-3"</f>
        <v>103-33-3</v>
      </c>
      <c r="E1979" t="str">
        <f t="shared" si="86"/>
        <v xml:space="preserve">Organische parameters </v>
      </c>
      <c r="F1979" t="str">
        <f t="shared" si="87"/>
        <v xml:space="preserve">Pesticiden en metabolieten </v>
      </c>
      <c r="G1979" t="str">
        <f t="shared" si="88"/>
        <v xml:space="preserve">Pesticiden en humaan toxicologisch relevante metabolieten </v>
      </c>
    </row>
    <row r="1980" spans="1:7" x14ac:dyDescent="0.25">
      <c r="A1980">
        <v>8032</v>
      </c>
      <c r="B1980" t="str">
        <f>"azocyclotin"</f>
        <v>azocyclotin</v>
      </c>
      <c r="C1980" t="s">
        <v>19016</v>
      </c>
      <c r="D1980" t="str">
        <f>"41083-11-8"</f>
        <v>41083-11-8</v>
      </c>
      <c r="E1980" t="str">
        <f t="shared" si="86"/>
        <v xml:space="preserve">Organische parameters </v>
      </c>
      <c r="F1980" t="str">
        <f t="shared" si="87"/>
        <v xml:space="preserve">Pesticiden en metabolieten </v>
      </c>
      <c r="G1980" t="str">
        <f t="shared" si="88"/>
        <v xml:space="preserve">Pesticiden en humaan toxicologisch relevante metabolieten </v>
      </c>
    </row>
    <row r="1981" spans="1:7" x14ac:dyDescent="0.25">
      <c r="A1981">
        <v>8033</v>
      </c>
      <c r="B1981" t="str">
        <f>"azolamide"</f>
        <v>azolamide</v>
      </c>
      <c r="C1981" t="s">
        <v>19016</v>
      </c>
      <c r="D1981" t="str">
        <f>"30979-48-7"</f>
        <v>30979-48-7</v>
      </c>
      <c r="E1981" t="str">
        <f t="shared" si="86"/>
        <v xml:space="preserve">Organische parameters </v>
      </c>
      <c r="F1981" t="str">
        <f t="shared" si="87"/>
        <v xml:space="preserve">Pesticiden en metabolieten </v>
      </c>
      <c r="G1981" t="str">
        <f t="shared" si="88"/>
        <v xml:space="preserve">Pesticiden en humaan toxicologisch relevante metabolieten </v>
      </c>
    </row>
    <row r="1982" spans="1:7" x14ac:dyDescent="0.25">
      <c r="A1982">
        <v>8034</v>
      </c>
      <c r="B1982" t="str">
        <f>"bariumpolysulfiden"</f>
        <v>bariumpolysulfiden</v>
      </c>
      <c r="C1982" t="s">
        <v>19016</v>
      </c>
      <c r="D1982" t="str">
        <f>"50864-67-0"</f>
        <v>50864-67-0</v>
      </c>
      <c r="E1982" t="str">
        <f t="shared" si="86"/>
        <v xml:space="preserve">Organische parameters </v>
      </c>
      <c r="F1982" t="str">
        <f t="shared" si="87"/>
        <v xml:space="preserve">Pesticiden en metabolieten </v>
      </c>
      <c r="G1982" t="str">
        <f t="shared" si="88"/>
        <v xml:space="preserve">Pesticiden en humaan toxicologisch relevante metabolieten </v>
      </c>
    </row>
    <row r="1983" spans="1:7" x14ac:dyDescent="0.25">
      <c r="A1983">
        <v>8035</v>
      </c>
      <c r="B1983" t="str">
        <f>"barban"</f>
        <v>barban</v>
      </c>
      <c r="C1983" t="s">
        <v>19016</v>
      </c>
      <c r="D1983" t="str">
        <f>"101-27-9"</f>
        <v>101-27-9</v>
      </c>
      <c r="E1983" t="str">
        <f t="shared" si="86"/>
        <v xml:space="preserve">Organische parameters </v>
      </c>
      <c r="F1983" t="str">
        <f t="shared" ref="F1983:F2010" si="89">"Pesticiden en metabolieten "</f>
        <v xml:space="preserve">Pesticiden en metabolieten </v>
      </c>
      <c r="G1983" t="str">
        <f t="shared" ref="G1983:G2010" si="90">"Pesticiden en humaan toxicologisch relevante metabolieten "</f>
        <v xml:space="preserve">Pesticiden en humaan toxicologisch relevante metabolieten </v>
      </c>
    </row>
    <row r="1984" spans="1:7" x14ac:dyDescent="0.25">
      <c r="A1984">
        <v>8036</v>
      </c>
      <c r="B1984" t="str">
        <f>"benalaxyl"</f>
        <v>benalaxyl</v>
      </c>
      <c r="C1984" t="s">
        <v>19016</v>
      </c>
      <c r="D1984" t="str">
        <f>"71626-11-4"</f>
        <v>71626-11-4</v>
      </c>
      <c r="E1984" t="str">
        <f t="shared" si="86"/>
        <v xml:space="preserve">Organische parameters </v>
      </c>
      <c r="F1984" t="str">
        <f t="shared" si="89"/>
        <v xml:space="preserve">Pesticiden en metabolieten </v>
      </c>
      <c r="G1984" t="str">
        <f t="shared" si="90"/>
        <v xml:space="preserve">Pesticiden en humaan toxicologisch relevante metabolieten </v>
      </c>
    </row>
    <row r="1985" spans="1:7" x14ac:dyDescent="0.25">
      <c r="A1985">
        <v>8037</v>
      </c>
      <c r="B1985" t="str">
        <f>"benazoline"</f>
        <v>benazoline</v>
      </c>
      <c r="C1985" t="s">
        <v>19016</v>
      </c>
      <c r="D1985" t="str">
        <f>"6-5-3813"</f>
        <v>6-5-3813</v>
      </c>
      <c r="E1985" t="str">
        <f t="shared" si="86"/>
        <v xml:space="preserve">Organische parameters </v>
      </c>
      <c r="F1985" t="str">
        <f t="shared" si="89"/>
        <v xml:space="preserve">Pesticiden en metabolieten </v>
      </c>
      <c r="G1985" t="str">
        <f t="shared" si="90"/>
        <v xml:space="preserve">Pesticiden en humaan toxicologisch relevante metabolieten </v>
      </c>
    </row>
    <row r="1986" spans="1:7" x14ac:dyDescent="0.25">
      <c r="A1986">
        <v>8038</v>
      </c>
      <c r="B1986" t="str">
        <f>"benazoline ethyl-ester"</f>
        <v>benazoline ethyl-ester</v>
      </c>
      <c r="C1986" t="s">
        <v>19016</v>
      </c>
      <c r="D1986" t="str">
        <f>"25059-80-7"</f>
        <v>25059-80-7</v>
      </c>
      <c r="E1986" t="str">
        <f t="shared" si="86"/>
        <v xml:space="preserve">Organische parameters </v>
      </c>
      <c r="F1986" t="str">
        <f t="shared" si="89"/>
        <v xml:space="preserve">Pesticiden en metabolieten </v>
      </c>
      <c r="G1986" t="str">
        <f t="shared" si="90"/>
        <v xml:space="preserve">Pesticiden en humaan toxicologisch relevante metabolieten </v>
      </c>
    </row>
    <row r="1987" spans="1:7" x14ac:dyDescent="0.25">
      <c r="A1987">
        <v>8039</v>
      </c>
      <c r="B1987" t="str">
        <f>"benchinox"</f>
        <v>benchinox</v>
      </c>
      <c r="C1987" t="s">
        <v>19016</v>
      </c>
      <c r="D1987" t="str">
        <f>""</f>
        <v/>
      </c>
      <c r="E1987" t="str">
        <f t="shared" si="86"/>
        <v xml:space="preserve">Organische parameters </v>
      </c>
      <c r="F1987" t="str">
        <f t="shared" si="89"/>
        <v xml:space="preserve">Pesticiden en metabolieten </v>
      </c>
      <c r="G1987" t="str">
        <f t="shared" si="90"/>
        <v xml:space="preserve">Pesticiden en humaan toxicologisch relevante metabolieten </v>
      </c>
    </row>
    <row r="1988" spans="1:7" x14ac:dyDescent="0.25">
      <c r="A1988">
        <v>8040</v>
      </c>
      <c r="B1988" t="str">
        <f>"bendiocarb"</f>
        <v>bendiocarb</v>
      </c>
      <c r="C1988" t="s">
        <v>19016</v>
      </c>
      <c r="D1988" t="str">
        <f>"22781-23-3"</f>
        <v>22781-23-3</v>
      </c>
      <c r="E1988" t="str">
        <f t="shared" si="86"/>
        <v xml:space="preserve">Organische parameters </v>
      </c>
      <c r="F1988" t="str">
        <f t="shared" si="89"/>
        <v xml:space="preserve">Pesticiden en metabolieten </v>
      </c>
      <c r="G1988" t="str">
        <f t="shared" si="90"/>
        <v xml:space="preserve">Pesticiden en humaan toxicologisch relevante metabolieten </v>
      </c>
    </row>
    <row r="1989" spans="1:7" x14ac:dyDescent="0.25">
      <c r="A1989">
        <v>8041</v>
      </c>
      <c r="B1989" t="str">
        <f>"benfluralin"</f>
        <v>benfluralin</v>
      </c>
      <c r="C1989" t="s">
        <v>19016</v>
      </c>
      <c r="D1989" t="str">
        <f>"1861-40-1"</f>
        <v>1861-40-1</v>
      </c>
      <c r="E1989" t="str">
        <f t="shared" si="86"/>
        <v xml:space="preserve">Organische parameters </v>
      </c>
      <c r="F1989" t="str">
        <f t="shared" si="89"/>
        <v xml:space="preserve">Pesticiden en metabolieten </v>
      </c>
      <c r="G1989" t="str">
        <f t="shared" si="90"/>
        <v xml:space="preserve">Pesticiden en humaan toxicologisch relevante metabolieten </v>
      </c>
    </row>
    <row r="1990" spans="1:7" x14ac:dyDescent="0.25">
      <c r="A1990">
        <v>8042</v>
      </c>
      <c r="B1990" t="str">
        <f>"benfuracarb"</f>
        <v>benfuracarb</v>
      </c>
      <c r="C1990" t="s">
        <v>19016</v>
      </c>
      <c r="D1990" t="str">
        <f>"82560-54-1"</f>
        <v>82560-54-1</v>
      </c>
      <c r="E1990" t="str">
        <f t="shared" si="86"/>
        <v xml:space="preserve">Organische parameters </v>
      </c>
      <c r="F1990" t="str">
        <f t="shared" si="89"/>
        <v xml:space="preserve">Pesticiden en metabolieten </v>
      </c>
      <c r="G1990" t="str">
        <f t="shared" si="90"/>
        <v xml:space="preserve">Pesticiden en humaan toxicologisch relevante metabolieten </v>
      </c>
    </row>
    <row r="1991" spans="1:7" x14ac:dyDescent="0.25">
      <c r="A1991">
        <v>8043</v>
      </c>
      <c r="B1991" t="str">
        <f>"benomyl"</f>
        <v>benomyl</v>
      </c>
      <c r="C1991" t="s">
        <v>19016</v>
      </c>
      <c r="D1991" t="str">
        <f>"17804-35-2"</f>
        <v>17804-35-2</v>
      </c>
      <c r="E1991" t="str">
        <f t="shared" si="86"/>
        <v xml:space="preserve">Organische parameters </v>
      </c>
      <c r="F1991" t="str">
        <f t="shared" si="89"/>
        <v xml:space="preserve">Pesticiden en metabolieten </v>
      </c>
      <c r="G1991" t="str">
        <f t="shared" si="90"/>
        <v xml:space="preserve">Pesticiden en humaan toxicologisch relevante metabolieten </v>
      </c>
    </row>
    <row r="1992" spans="1:7" x14ac:dyDescent="0.25">
      <c r="A1992">
        <v>8044</v>
      </c>
      <c r="B1992" t="str">
        <f>"bentazon"</f>
        <v>bentazon</v>
      </c>
      <c r="C1992" t="s">
        <v>19016</v>
      </c>
      <c r="D1992" t="str">
        <f>"25057-89-0"</f>
        <v>25057-89-0</v>
      </c>
      <c r="E1992" t="str">
        <f t="shared" si="86"/>
        <v xml:space="preserve">Organische parameters </v>
      </c>
      <c r="F1992" t="str">
        <f t="shared" si="89"/>
        <v xml:space="preserve">Pesticiden en metabolieten </v>
      </c>
      <c r="G1992" t="str">
        <f t="shared" si="90"/>
        <v xml:space="preserve">Pesticiden en humaan toxicologisch relevante metabolieten </v>
      </c>
    </row>
    <row r="1993" spans="1:7" x14ac:dyDescent="0.25">
      <c r="A1993">
        <v>8045</v>
      </c>
      <c r="B1993" t="str">
        <f>"benzoximaat"</f>
        <v>benzoximaat</v>
      </c>
      <c r="C1993" t="s">
        <v>19016</v>
      </c>
      <c r="D1993" t="str">
        <f>"29104-30-1"</f>
        <v>29104-30-1</v>
      </c>
      <c r="E1993" t="str">
        <f t="shared" si="86"/>
        <v xml:space="preserve">Organische parameters </v>
      </c>
      <c r="F1993" t="str">
        <f t="shared" si="89"/>
        <v xml:space="preserve">Pesticiden en metabolieten </v>
      </c>
      <c r="G1993" t="str">
        <f t="shared" si="90"/>
        <v xml:space="preserve">Pesticiden en humaan toxicologisch relevante metabolieten </v>
      </c>
    </row>
    <row r="1994" spans="1:7" x14ac:dyDescent="0.25">
      <c r="A1994">
        <v>8046</v>
      </c>
      <c r="B1994" t="str">
        <f>"benzoylprop-ethyl"</f>
        <v>benzoylprop-ethyl</v>
      </c>
      <c r="C1994" t="s">
        <v>19016</v>
      </c>
      <c r="D1994" t="str">
        <f>"22212-55-1"</f>
        <v>22212-55-1</v>
      </c>
      <c r="E1994" t="str">
        <f t="shared" si="86"/>
        <v xml:space="preserve">Organische parameters </v>
      </c>
      <c r="F1994" t="str">
        <f t="shared" si="89"/>
        <v xml:space="preserve">Pesticiden en metabolieten </v>
      </c>
      <c r="G1994" t="str">
        <f t="shared" si="90"/>
        <v xml:space="preserve">Pesticiden en humaan toxicologisch relevante metabolieten </v>
      </c>
    </row>
    <row r="1995" spans="1:7" x14ac:dyDescent="0.25">
      <c r="A1995">
        <v>8047</v>
      </c>
      <c r="B1995" t="str">
        <f>"benzthiazuron"</f>
        <v>benzthiazuron</v>
      </c>
      <c r="C1995" t="s">
        <v>19016</v>
      </c>
      <c r="D1995" t="str">
        <f>"1929-88-0"</f>
        <v>1929-88-0</v>
      </c>
      <c r="E1995" t="str">
        <f t="shared" si="86"/>
        <v xml:space="preserve">Organische parameters </v>
      </c>
      <c r="F1995" t="str">
        <f t="shared" si="89"/>
        <v xml:space="preserve">Pesticiden en metabolieten </v>
      </c>
      <c r="G1995" t="str">
        <f t="shared" si="90"/>
        <v xml:space="preserve">Pesticiden en humaan toxicologisch relevante metabolieten </v>
      </c>
    </row>
    <row r="1996" spans="1:7" x14ac:dyDescent="0.25">
      <c r="A1996">
        <v>8048</v>
      </c>
      <c r="B1996" t="str">
        <f>"o-benzyl-p-chloorfenol"</f>
        <v>o-benzyl-p-chloorfenol</v>
      </c>
      <c r="C1996" t="s">
        <v>19016</v>
      </c>
      <c r="D1996" t="str">
        <f>"120-32-1"</f>
        <v>120-32-1</v>
      </c>
      <c r="E1996" t="str">
        <f t="shared" si="86"/>
        <v xml:space="preserve">Organische parameters </v>
      </c>
      <c r="F1996" t="str">
        <f t="shared" si="89"/>
        <v xml:space="preserve">Pesticiden en metabolieten </v>
      </c>
      <c r="G1996" t="str">
        <f t="shared" si="90"/>
        <v xml:space="preserve">Pesticiden en humaan toxicologisch relevante metabolieten </v>
      </c>
    </row>
    <row r="1997" spans="1:7" x14ac:dyDescent="0.25">
      <c r="A1997">
        <v>8049</v>
      </c>
      <c r="B1997" t="str">
        <f>"bifenox"</f>
        <v>bifenox</v>
      </c>
      <c r="C1997" t="s">
        <v>19016</v>
      </c>
      <c r="D1997" t="str">
        <f>"42576-02-3"</f>
        <v>42576-02-3</v>
      </c>
      <c r="E1997" t="str">
        <f t="shared" si="86"/>
        <v xml:space="preserve">Organische parameters </v>
      </c>
      <c r="F1997" t="str">
        <f t="shared" si="89"/>
        <v xml:space="preserve">Pesticiden en metabolieten </v>
      </c>
      <c r="G1997" t="str">
        <f t="shared" si="90"/>
        <v xml:space="preserve">Pesticiden en humaan toxicologisch relevante metabolieten </v>
      </c>
    </row>
    <row r="1998" spans="1:7" x14ac:dyDescent="0.25">
      <c r="A1998">
        <v>8050</v>
      </c>
      <c r="B1998" t="str">
        <f>"bifenthrin"</f>
        <v>bifenthrin</v>
      </c>
      <c r="C1998" t="s">
        <v>19016</v>
      </c>
      <c r="D1998" t="str">
        <f>"82657-04-3"</f>
        <v>82657-04-3</v>
      </c>
      <c r="E1998" t="str">
        <f t="shared" si="86"/>
        <v xml:space="preserve">Organische parameters </v>
      </c>
      <c r="F1998" t="str">
        <f t="shared" si="89"/>
        <v xml:space="preserve">Pesticiden en metabolieten </v>
      </c>
      <c r="G1998" t="str">
        <f t="shared" si="90"/>
        <v xml:space="preserve">Pesticiden en humaan toxicologisch relevante metabolieten </v>
      </c>
    </row>
    <row r="1999" spans="1:7" x14ac:dyDescent="0.25">
      <c r="A1999">
        <v>8051</v>
      </c>
      <c r="B1999" t="str">
        <f>"binapacryl"</f>
        <v>binapacryl</v>
      </c>
      <c r="C1999" t="s">
        <v>19016</v>
      </c>
      <c r="D1999" t="str">
        <f>"485-31-4"</f>
        <v>485-31-4</v>
      </c>
      <c r="E1999" t="str">
        <f t="shared" si="86"/>
        <v xml:space="preserve">Organische parameters </v>
      </c>
      <c r="F1999" t="str">
        <f t="shared" si="89"/>
        <v xml:space="preserve">Pesticiden en metabolieten </v>
      </c>
      <c r="G1999" t="str">
        <f t="shared" si="90"/>
        <v xml:space="preserve">Pesticiden en humaan toxicologisch relevante metabolieten </v>
      </c>
    </row>
    <row r="2000" spans="1:7" x14ac:dyDescent="0.25">
      <c r="A2000">
        <v>8053</v>
      </c>
      <c r="B2000" t="str">
        <f>"bio-resmethrin"</f>
        <v>bio-resmethrin</v>
      </c>
      <c r="C2000" t="s">
        <v>19016</v>
      </c>
      <c r="D2000" t="str">
        <f>"28434-01-7"</f>
        <v>28434-01-7</v>
      </c>
      <c r="E2000" t="str">
        <f t="shared" si="86"/>
        <v xml:space="preserve">Organische parameters </v>
      </c>
      <c r="F2000" t="str">
        <f t="shared" si="89"/>
        <v xml:space="preserve">Pesticiden en metabolieten </v>
      </c>
      <c r="G2000" t="str">
        <f t="shared" si="90"/>
        <v xml:space="preserve">Pesticiden en humaan toxicologisch relevante metabolieten </v>
      </c>
    </row>
    <row r="2001" spans="1:7" x14ac:dyDescent="0.25">
      <c r="A2001">
        <v>8054</v>
      </c>
      <c r="B2001" t="str">
        <f>"bitertanol"</f>
        <v>bitertanol</v>
      </c>
      <c r="C2001" t="s">
        <v>19016</v>
      </c>
      <c r="D2001" t="str">
        <f>"55179-31-2"</f>
        <v>55179-31-2</v>
      </c>
      <c r="E2001" t="str">
        <f t="shared" si="86"/>
        <v xml:space="preserve">Organische parameters </v>
      </c>
      <c r="F2001" t="str">
        <f t="shared" si="89"/>
        <v xml:space="preserve">Pesticiden en metabolieten </v>
      </c>
      <c r="G2001" t="str">
        <f t="shared" si="90"/>
        <v xml:space="preserve">Pesticiden en humaan toxicologisch relevante metabolieten </v>
      </c>
    </row>
    <row r="2002" spans="1:7" x14ac:dyDescent="0.25">
      <c r="A2002">
        <v>8055</v>
      </c>
      <c r="B2002" t="str">
        <f>"bordeauxse pap"</f>
        <v>bordeauxse pap</v>
      </c>
      <c r="C2002" t="s">
        <v>19016</v>
      </c>
      <c r="D2002" t="str">
        <f>"8011-63-0"</f>
        <v>8011-63-0</v>
      </c>
      <c r="E2002" t="str">
        <f t="shared" si="86"/>
        <v xml:space="preserve">Organische parameters </v>
      </c>
      <c r="F2002" t="str">
        <f t="shared" si="89"/>
        <v xml:space="preserve">Pesticiden en metabolieten </v>
      </c>
      <c r="G2002" t="str">
        <f t="shared" si="90"/>
        <v xml:space="preserve">Pesticiden en humaan toxicologisch relevante metabolieten </v>
      </c>
    </row>
    <row r="2003" spans="1:7" x14ac:dyDescent="0.25">
      <c r="A2003">
        <v>8056</v>
      </c>
      <c r="B2003" t="str">
        <f>"bourgondische pap"</f>
        <v>bourgondische pap</v>
      </c>
      <c r="C2003" t="s">
        <v>19016</v>
      </c>
      <c r="D2003" t="str">
        <f>"11125-96-5"</f>
        <v>11125-96-5</v>
      </c>
      <c r="E2003" t="str">
        <f t="shared" si="86"/>
        <v xml:space="preserve">Organische parameters </v>
      </c>
      <c r="F2003" t="str">
        <f t="shared" si="89"/>
        <v xml:space="preserve">Pesticiden en metabolieten </v>
      </c>
      <c r="G2003" t="str">
        <f t="shared" si="90"/>
        <v xml:space="preserve">Pesticiden en humaan toxicologisch relevante metabolieten </v>
      </c>
    </row>
    <row r="2004" spans="1:7" x14ac:dyDescent="0.25">
      <c r="A2004">
        <v>8057</v>
      </c>
      <c r="B2004" t="str">
        <f>"bromacil"</f>
        <v>bromacil</v>
      </c>
      <c r="C2004" t="s">
        <v>19016</v>
      </c>
      <c r="D2004" t="str">
        <f>"314-40-9"</f>
        <v>314-40-9</v>
      </c>
      <c r="E2004" t="str">
        <f t="shared" si="86"/>
        <v xml:space="preserve">Organische parameters </v>
      </c>
      <c r="F2004" t="str">
        <f t="shared" si="89"/>
        <v xml:space="preserve">Pesticiden en metabolieten </v>
      </c>
      <c r="G2004" t="str">
        <f t="shared" si="90"/>
        <v xml:space="preserve">Pesticiden en humaan toxicologisch relevante metabolieten </v>
      </c>
    </row>
    <row r="2005" spans="1:7" x14ac:dyDescent="0.25">
      <c r="A2005">
        <v>8058</v>
      </c>
      <c r="B2005" t="str">
        <f>"bromadiolon"</f>
        <v>bromadiolon</v>
      </c>
      <c r="C2005" t="s">
        <v>19016</v>
      </c>
      <c r="D2005" t="str">
        <f>"28772-56-7"</f>
        <v>28772-56-7</v>
      </c>
      <c r="E2005" t="str">
        <f t="shared" si="86"/>
        <v xml:space="preserve">Organische parameters </v>
      </c>
      <c r="F2005" t="str">
        <f t="shared" si="89"/>
        <v xml:space="preserve">Pesticiden en metabolieten </v>
      </c>
      <c r="G2005" t="str">
        <f t="shared" si="90"/>
        <v xml:space="preserve">Pesticiden en humaan toxicologisch relevante metabolieten </v>
      </c>
    </row>
    <row r="2006" spans="1:7" x14ac:dyDescent="0.25">
      <c r="A2006">
        <v>8059</v>
      </c>
      <c r="B2006" t="str">
        <f>"bromofos-methyl"</f>
        <v>bromofos-methyl</v>
      </c>
      <c r="C2006" t="s">
        <v>19016</v>
      </c>
      <c r="D2006" t="str">
        <f>"2104-96-3"</f>
        <v>2104-96-3</v>
      </c>
      <c r="E2006" t="str">
        <f t="shared" si="86"/>
        <v xml:space="preserve">Organische parameters </v>
      </c>
      <c r="F2006" t="str">
        <f t="shared" si="89"/>
        <v xml:space="preserve">Pesticiden en metabolieten </v>
      </c>
      <c r="G2006" t="str">
        <f t="shared" si="90"/>
        <v xml:space="preserve">Pesticiden en humaan toxicologisch relevante metabolieten </v>
      </c>
    </row>
    <row r="2007" spans="1:7" x14ac:dyDescent="0.25">
      <c r="A2007">
        <v>8060</v>
      </c>
      <c r="B2007" t="str">
        <f>"bromofos-ethyl"</f>
        <v>bromofos-ethyl</v>
      </c>
      <c r="C2007" t="s">
        <v>19016</v>
      </c>
      <c r="D2007" t="str">
        <f>"4824-78-6"</f>
        <v>4824-78-6</v>
      </c>
      <c r="E2007" t="str">
        <f t="shared" si="86"/>
        <v xml:space="preserve">Organische parameters </v>
      </c>
      <c r="F2007" t="str">
        <f t="shared" si="89"/>
        <v xml:space="preserve">Pesticiden en metabolieten </v>
      </c>
      <c r="G2007" t="str">
        <f t="shared" si="90"/>
        <v xml:space="preserve">Pesticiden en humaan toxicologisch relevante metabolieten </v>
      </c>
    </row>
    <row r="2008" spans="1:7" x14ac:dyDescent="0.25">
      <c r="A2008">
        <v>8061</v>
      </c>
      <c r="B2008" t="str">
        <f>"bromoxynil"</f>
        <v>bromoxynil</v>
      </c>
      <c r="C2008" t="s">
        <v>19016</v>
      </c>
      <c r="D2008" t="str">
        <f>"1689-84-5"</f>
        <v>1689-84-5</v>
      </c>
      <c r="E2008" t="str">
        <f t="shared" si="86"/>
        <v xml:space="preserve">Organische parameters </v>
      </c>
      <c r="F2008" t="str">
        <f t="shared" si="89"/>
        <v xml:space="preserve">Pesticiden en metabolieten </v>
      </c>
      <c r="G2008" t="str">
        <f t="shared" si="90"/>
        <v xml:space="preserve">Pesticiden en humaan toxicologisch relevante metabolieten </v>
      </c>
    </row>
    <row r="2009" spans="1:7" x14ac:dyDescent="0.25">
      <c r="A2009">
        <v>8062</v>
      </c>
      <c r="B2009" t="str">
        <f>"2-broomacrole‹ne"</f>
        <v>2-broomacrole‹ne</v>
      </c>
      <c r="C2009" t="s">
        <v>19016</v>
      </c>
      <c r="D2009" t="str">
        <f>"1425-39-4"</f>
        <v>1425-39-4</v>
      </c>
      <c r="E2009" t="str">
        <f t="shared" si="86"/>
        <v xml:space="preserve">Organische parameters </v>
      </c>
      <c r="F2009" t="str">
        <f t="shared" si="89"/>
        <v xml:space="preserve">Pesticiden en metabolieten </v>
      </c>
      <c r="G2009" t="str">
        <f t="shared" si="90"/>
        <v xml:space="preserve">Pesticiden en humaan toxicologisch relevante metabolieten </v>
      </c>
    </row>
    <row r="2010" spans="1:7" x14ac:dyDescent="0.25">
      <c r="A2010">
        <v>8063</v>
      </c>
      <c r="B2010" t="str">
        <f>"p-broomaniline"</f>
        <v>p-broomaniline</v>
      </c>
      <c r="C2010" t="s">
        <v>19016</v>
      </c>
      <c r="D2010" t="str">
        <f>"106-40-1"</f>
        <v>106-40-1</v>
      </c>
      <c r="E2010" t="str">
        <f t="shared" si="86"/>
        <v xml:space="preserve">Organische parameters </v>
      </c>
      <c r="F2010" t="str">
        <f t="shared" si="89"/>
        <v xml:space="preserve">Pesticiden en metabolieten </v>
      </c>
      <c r="G2010" t="str">
        <f t="shared" si="90"/>
        <v xml:space="preserve">Pesticiden en humaan toxicologisch relevante metabolieten </v>
      </c>
    </row>
    <row r="2011" spans="1:7" x14ac:dyDescent="0.25">
      <c r="A2011">
        <v>8064</v>
      </c>
      <c r="B2011" t="str">
        <f>"2-broom-3-chloor-1-propeen"</f>
        <v>2-broom-3-chloor-1-propeen</v>
      </c>
      <c r="C2011" t="s">
        <v>19016</v>
      </c>
      <c r="D2011" t="str">
        <f>"16400-63-8"</f>
        <v>16400-63-8</v>
      </c>
      <c r="E2011" t="str">
        <f t="shared" si="86"/>
        <v xml:space="preserve">Organische parameters </v>
      </c>
      <c r="F2011" t="str">
        <f>"Gehalogeneerde alifatische koolwaterstoffen "</f>
        <v xml:space="preserve">Gehalogeneerde alifatische koolwaterstoffen </v>
      </c>
      <c r="G2011" t="str">
        <f>"Overige gehalogeneerde alifatische koolwaterstoffen "</f>
        <v xml:space="preserve">Overige gehalogeneerde alifatische koolwaterstoffen </v>
      </c>
    </row>
    <row r="2012" spans="1:7" x14ac:dyDescent="0.25">
      <c r="A2012">
        <v>8065</v>
      </c>
      <c r="B2012" t="str">
        <f>"broomfenoxim"</f>
        <v>broomfenoxim</v>
      </c>
      <c r="C2012" t="s">
        <v>19016</v>
      </c>
      <c r="D2012" t="str">
        <f>"13181-17-4"</f>
        <v>13181-17-4</v>
      </c>
      <c r="E2012" t="str">
        <f t="shared" si="86"/>
        <v xml:space="preserve">Organische parameters </v>
      </c>
      <c r="F2012" t="str">
        <f t="shared" ref="F2012:F2043" si="91">"Pesticiden en metabolieten "</f>
        <v xml:space="preserve">Pesticiden en metabolieten </v>
      </c>
      <c r="G2012" t="str">
        <f t="shared" ref="G2012:G2043" si="92">"Pesticiden en humaan toxicologisch relevante metabolieten "</f>
        <v xml:space="preserve">Pesticiden en humaan toxicologisch relevante metabolieten </v>
      </c>
    </row>
    <row r="2013" spans="1:7" x14ac:dyDescent="0.25">
      <c r="A2013">
        <v>8066</v>
      </c>
      <c r="B2013" t="str">
        <f>"broompropylaat"</f>
        <v>broompropylaat</v>
      </c>
      <c r="C2013" t="s">
        <v>19016</v>
      </c>
      <c r="D2013" t="str">
        <f>"18181-80-1"</f>
        <v>18181-80-1</v>
      </c>
      <c r="E2013" t="str">
        <f t="shared" si="86"/>
        <v xml:space="preserve">Organische parameters </v>
      </c>
      <c r="F2013" t="str">
        <f t="shared" si="91"/>
        <v xml:space="preserve">Pesticiden en metabolieten </v>
      </c>
      <c r="G2013" t="str">
        <f t="shared" si="92"/>
        <v xml:space="preserve">Pesticiden en humaan toxicologisch relevante metabolieten </v>
      </c>
    </row>
    <row r="2014" spans="1:7" x14ac:dyDescent="0.25">
      <c r="A2014">
        <v>8067</v>
      </c>
      <c r="B2014" t="str">
        <f>"bupirimaat"</f>
        <v>bupirimaat</v>
      </c>
      <c r="C2014" t="s">
        <v>19016</v>
      </c>
      <c r="D2014" t="str">
        <f>"41483-43-6"</f>
        <v>41483-43-6</v>
      </c>
      <c r="E2014" t="str">
        <f t="shared" si="86"/>
        <v xml:space="preserve">Organische parameters </v>
      </c>
      <c r="F2014" t="str">
        <f t="shared" si="91"/>
        <v xml:space="preserve">Pesticiden en metabolieten </v>
      </c>
      <c r="G2014" t="str">
        <f t="shared" si="92"/>
        <v xml:space="preserve">Pesticiden en humaan toxicologisch relevante metabolieten </v>
      </c>
    </row>
    <row r="2015" spans="1:7" x14ac:dyDescent="0.25">
      <c r="A2015">
        <v>8068</v>
      </c>
      <c r="B2015" t="str">
        <f>"butocarboxim"</f>
        <v>butocarboxim</v>
      </c>
      <c r="C2015" t="s">
        <v>19016</v>
      </c>
      <c r="D2015" t="str">
        <f>"34681-10-2"</f>
        <v>34681-10-2</v>
      </c>
      <c r="E2015" t="str">
        <f t="shared" ref="E2015:E2078" si="93">"Organische parameters "</f>
        <v xml:space="preserve">Organische parameters </v>
      </c>
      <c r="F2015" t="str">
        <f t="shared" si="91"/>
        <v xml:space="preserve">Pesticiden en metabolieten </v>
      </c>
      <c r="G2015" t="str">
        <f t="shared" si="92"/>
        <v xml:space="preserve">Pesticiden en humaan toxicologisch relevante metabolieten </v>
      </c>
    </row>
    <row r="2016" spans="1:7" x14ac:dyDescent="0.25">
      <c r="A2016">
        <v>8069</v>
      </c>
      <c r="B2016" t="str">
        <f>"butoxycarboxim"</f>
        <v>butoxycarboxim</v>
      </c>
      <c r="C2016" t="s">
        <v>19016</v>
      </c>
      <c r="D2016" t="str">
        <f>"34681-23-7"</f>
        <v>34681-23-7</v>
      </c>
      <c r="E2016" t="str">
        <f t="shared" si="93"/>
        <v xml:space="preserve">Organische parameters </v>
      </c>
      <c r="F2016" t="str">
        <f t="shared" si="91"/>
        <v xml:space="preserve">Pesticiden en metabolieten </v>
      </c>
      <c r="G2016" t="str">
        <f t="shared" si="92"/>
        <v xml:space="preserve">Pesticiden en humaan toxicologisch relevante metabolieten </v>
      </c>
    </row>
    <row r="2017" spans="1:7" x14ac:dyDescent="0.25">
      <c r="A2017">
        <v>8070</v>
      </c>
      <c r="B2017" t="str">
        <f>"buturon"</f>
        <v>buturon</v>
      </c>
      <c r="C2017" t="s">
        <v>19016</v>
      </c>
      <c r="D2017" t="str">
        <f>"3766-60-7"</f>
        <v>3766-60-7</v>
      </c>
      <c r="E2017" t="str">
        <f t="shared" si="93"/>
        <v xml:space="preserve">Organische parameters </v>
      </c>
      <c r="F2017" t="str">
        <f t="shared" si="91"/>
        <v xml:space="preserve">Pesticiden en metabolieten </v>
      </c>
      <c r="G2017" t="str">
        <f t="shared" si="92"/>
        <v xml:space="preserve">Pesticiden en humaan toxicologisch relevante metabolieten </v>
      </c>
    </row>
    <row r="2018" spans="1:7" x14ac:dyDescent="0.25">
      <c r="A2018">
        <v>8071</v>
      </c>
      <c r="B2018" t="str">
        <f>"butralin"</f>
        <v>butralin</v>
      </c>
      <c r="C2018" t="s">
        <v>19016</v>
      </c>
      <c r="D2018" t="str">
        <f>"33629-47-9"</f>
        <v>33629-47-9</v>
      </c>
      <c r="E2018" t="str">
        <f t="shared" si="93"/>
        <v xml:space="preserve">Organische parameters </v>
      </c>
      <c r="F2018" t="str">
        <f t="shared" si="91"/>
        <v xml:space="preserve">Pesticiden en metabolieten </v>
      </c>
      <c r="G2018" t="str">
        <f t="shared" si="92"/>
        <v xml:space="preserve">Pesticiden en humaan toxicologisch relevante metabolieten </v>
      </c>
    </row>
    <row r="2019" spans="1:7" x14ac:dyDescent="0.25">
      <c r="A2019">
        <v>8072</v>
      </c>
      <c r="B2019" t="str">
        <f>"butylaat"</f>
        <v>butylaat</v>
      </c>
      <c r="C2019" t="s">
        <v>19016</v>
      </c>
      <c r="D2019" t="str">
        <f>"2008-41-5"</f>
        <v>2008-41-5</v>
      </c>
      <c r="E2019" t="str">
        <f t="shared" si="93"/>
        <v xml:space="preserve">Organische parameters </v>
      </c>
      <c r="F2019" t="str">
        <f t="shared" si="91"/>
        <v xml:space="preserve">Pesticiden en metabolieten </v>
      </c>
      <c r="G2019" t="str">
        <f t="shared" si="92"/>
        <v xml:space="preserve">Pesticiden en humaan toxicologisch relevante metabolieten </v>
      </c>
    </row>
    <row r="2020" spans="1:7" x14ac:dyDescent="0.25">
      <c r="A2020">
        <v>8073</v>
      </c>
      <c r="B2020" t="str">
        <f>"californische pap"</f>
        <v>californische pap</v>
      </c>
      <c r="C2020" t="s">
        <v>19016</v>
      </c>
      <c r="D2020" t="str">
        <f>"1344-81-6"</f>
        <v>1344-81-6</v>
      </c>
      <c r="E2020" t="str">
        <f t="shared" si="93"/>
        <v xml:space="preserve">Organische parameters </v>
      </c>
      <c r="F2020" t="str">
        <f t="shared" si="91"/>
        <v xml:space="preserve">Pesticiden en metabolieten </v>
      </c>
      <c r="G2020" t="str">
        <f t="shared" si="92"/>
        <v xml:space="preserve">Pesticiden en humaan toxicologisch relevante metabolieten </v>
      </c>
    </row>
    <row r="2021" spans="1:7" x14ac:dyDescent="0.25">
      <c r="A2021">
        <v>8074</v>
      </c>
      <c r="B2021" t="str">
        <f>"captafol"</f>
        <v>captafol</v>
      </c>
      <c r="C2021" t="s">
        <v>19016</v>
      </c>
      <c r="D2021" t="str">
        <f>"1-6-2425"</f>
        <v>1-6-2425</v>
      </c>
      <c r="E2021" t="str">
        <f t="shared" si="93"/>
        <v xml:space="preserve">Organische parameters </v>
      </c>
      <c r="F2021" t="str">
        <f t="shared" si="91"/>
        <v xml:space="preserve">Pesticiden en metabolieten </v>
      </c>
      <c r="G2021" t="str">
        <f t="shared" si="92"/>
        <v xml:space="preserve">Pesticiden en humaan toxicologisch relevante metabolieten </v>
      </c>
    </row>
    <row r="2022" spans="1:7" x14ac:dyDescent="0.25">
      <c r="A2022">
        <v>8075</v>
      </c>
      <c r="B2022" t="str">
        <f>"captan"</f>
        <v>captan</v>
      </c>
      <c r="C2022" t="s">
        <v>19016</v>
      </c>
      <c r="D2022" t="str">
        <f>"133-06-2"</f>
        <v>133-06-2</v>
      </c>
      <c r="E2022" t="str">
        <f t="shared" si="93"/>
        <v xml:space="preserve">Organische parameters </v>
      </c>
      <c r="F2022" t="str">
        <f t="shared" si="91"/>
        <v xml:space="preserve">Pesticiden en metabolieten </v>
      </c>
      <c r="G2022" t="str">
        <f t="shared" si="92"/>
        <v xml:space="preserve">Pesticiden en humaan toxicologisch relevante metabolieten </v>
      </c>
    </row>
    <row r="2023" spans="1:7" x14ac:dyDescent="0.25">
      <c r="A2023">
        <v>8076</v>
      </c>
      <c r="B2023" t="str">
        <f>"carbaryl"</f>
        <v>carbaryl</v>
      </c>
      <c r="C2023" t="s">
        <v>19016</v>
      </c>
      <c r="D2023" t="str">
        <f>"63-25-2"</f>
        <v>63-25-2</v>
      </c>
      <c r="E2023" t="str">
        <f t="shared" si="93"/>
        <v xml:space="preserve">Organische parameters </v>
      </c>
      <c r="F2023" t="str">
        <f t="shared" si="91"/>
        <v xml:space="preserve">Pesticiden en metabolieten </v>
      </c>
      <c r="G2023" t="str">
        <f t="shared" si="92"/>
        <v xml:space="preserve">Pesticiden en humaan toxicologisch relevante metabolieten </v>
      </c>
    </row>
    <row r="2024" spans="1:7" x14ac:dyDescent="0.25">
      <c r="A2024">
        <v>8077</v>
      </c>
      <c r="B2024" t="str">
        <f>"carbateen"</f>
        <v>carbateen</v>
      </c>
      <c r="C2024" t="s">
        <v>19016</v>
      </c>
      <c r="D2024" t="str">
        <f>"9006-42-2"</f>
        <v>9006-42-2</v>
      </c>
      <c r="E2024" t="str">
        <f t="shared" si="93"/>
        <v xml:space="preserve">Organische parameters </v>
      </c>
      <c r="F2024" t="str">
        <f t="shared" si="91"/>
        <v xml:space="preserve">Pesticiden en metabolieten </v>
      </c>
      <c r="G2024" t="str">
        <f t="shared" si="92"/>
        <v xml:space="preserve">Pesticiden en humaan toxicologisch relevante metabolieten </v>
      </c>
    </row>
    <row r="2025" spans="1:7" x14ac:dyDescent="0.25">
      <c r="A2025">
        <v>8078</v>
      </c>
      <c r="B2025" t="str">
        <f>"carbeetamide"</f>
        <v>carbeetamide</v>
      </c>
      <c r="C2025" t="s">
        <v>19016</v>
      </c>
      <c r="D2025" t="str">
        <f>"16118-49-3"</f>
        <v>16118-49-3</v>
      </c>
      <c r="E2025" t="str">
        <f t="shared" si="93"/>
        <v xml:space="preserve">Organische parameters </v>
      </c>
      <c r="F2025" t="str">
        <f t="shared" si="91"/>
        <v xml:space="preserve">Pesticiden en metabolieten </v>
      </c>
      <c r="G2025" t="str">
        <f t="shared" si="92"/>
        <v xml:space="preserve">Pesticiden en humaan toxicologisch relevante metabolieten </v>
      </c>
    </row>
    <row r="2026" spans="1:7" x14ac:dyDescent="0.25">
      <c r="A2026">
        <v>8079</v>
      </c>
      <c r="B2026" t="str">
        <f>"carbendazim"</f>
        <v>carbendazim</v>
      </c>
      <c r="C2026" t="s">
        <v>19016</v>
      </c>
      <c r="D2026" t="str">
        <f>"10605-21-7"</f>
        <v>10605-21-7</v>
      </c>
      <c r="E2026" t="str">
        <f t="shared" si="93"/>
        <v xml:space="preserve">Organische parameters </v>
      </c>
      <c r="F2026" t="str">
        <f t="shared" si="91"/>
        <v xml:space="preserve">Pesticiden en metabolieten </v>
      </c>
      <c r="G2026" t="str">
        <f t="shared" si="92"/>
        <v xml:space="preserve">Pesticiden en humaan toxicologisch relevante metabolieten </v>
      </c>
    </row>
    <row r="2027" spans="1:7" x14ac:dyDescent="0.25">
      <c r="A2027">
        <v>8080</v>
      </c>
      <c r="B2027" t="str">
        <f>"carbitulaat"</f>
        <v>carbitulaat</v>
      </c>
      <c r="C2027" t="s">
        <v>19016</v>
      </c>
      <c r="D2027" t="str">
        <f>""</f>
        <v/>
      </c>
      <c r="E2027" t="str">
        <f t="shared" si="93"/>
        <v xml:space="preserve">Organische parameters </v>
      </c>
      <c r="F2027" t="str">
        <f t="shared" si="91"/>
        <v xml:space="preserve">Pesticiden en metabolieten </v>
      </c>
      <c r="G2027" t="str">
        <f t="shared" si="92"/>
        <v xml:space="preserve">Pesticiden en humaan toxicologisch relevante metabolieten </v>
      </c>
    </row>
    <row r="2028" spans="1:7" x14ac:dyDescent="0.25">
      <c r="A2028">
        <v>8081</v>
      </c>
      <c r="B2028" t="str">
        <f>"carbofenothion"</f>
        <v>carbofenothion</v>
      </c>
      <c r="C2028" t="s">
        <v>19016</v>
      </c>
      <c r="D2028" t="str">
        <f>"786-19-6"</f>
        <v>786-19-6</v>
      </c>
      <c r="E2028" t="str">
        <f t="shared" si="93"/>
        <v xml:space="preserve">Organische parameters </v>
      </c>
      <c r="F2028" t="str">
        <f t="shared" si="91"/>
        <v xml:space="preserve">Pesticiden en metabolieten </v>
      </c>
      <c r="G2028" t="str">
        <f t="shared" si="92"/>
        <v xml:space="preserve">Pesticiden en humaan toxicologisch relevante metabolieten </v>
      </c>
    </row>
    <row r="2029" spans="1:7" x14ac:dyDescent="0.25">
      <c r="A2029">
        <v>8082</v>
      </c>
      <c r="B2029" t="str">
        <f>"carbofuran"</f>
        <v>carbofuran</v>
      </c>
      <c r="C2029" t="s">
        <v>19016</v>
      </c>
      <c r="D2029" t="str">
        <f>"1563-66-2"</f>
        <v>1563-66-2</v>
      </c>
      <c r="E2029" t="str">
        <f t="shared" si="93"/>
        <v xml:space="preserve">Organische parameters </v>
      </c>
      <c r="F2029" t="str">
        <f t="shared" si="91"/>
        <v xml:space="preserve">Pesticiden en metabolieten </v>
      </c>
      <c r="G2029" t="str">
        <f t="shared" si="92"/>
        <v xml:space="preserve">Pesticiden en humaan toxicologisch relevante metabolieten </v>
      </c>
    </row>
    <row r="2030" spans="1:7" x14ac:dyDescent="0.25">
      <c r="A2030">
        <v>8083</v>
      </c>
      <c r="B2030" t="str">
        <f>"carbosulfan"</f>
        <v>carbosulfan</v>
      </c>
      <c r="C2030" t="s">
        <v>19016</v>
      </c>
      <c r="D2030" t="str">
        <f>"55285-14-8"</f>
        <v>55285-14-8</v>
      </c>
      <c r="E2030" t="str">
        <f t="shared" si="93"/>
        <v xml:space="preserve">Organische parameters </v>
      </c>
      <c r="F2030" t="str">
        <f t="shared" si="91"/>
        <v xml:space="preserve">Pesticiden en metabolieten </v>
      </c>
      <c r="G2030" t="str">
        <f t="shared" si="92"/>
        <v xml:space="preserve">Pesticiden en humaan toxicologisch relevante metabolieten </v>
      </c>
    </row>
    <row r="2031" spans="1:7" x14ac:dyDescent="0.25">
      <c r="A2031">
        <v>8084</v>
      </c>
      <c r="B2031" t="str">
        <f>"carboxin"</f>
        <v>carboxin</v>
      </c>
      <c r="C2031" t="s">
        <v>19016</v>
      </c>
      <c r="D2031" t="str">
        <f>"5234-68-4"</f>
        <v>5234-68-4</v>
      </c>
      <c r="E2031" t="str">
        <f t="shared" si="93"/>
        <v xml:space="preserve">Organische parameters </v>
      </c>
      <c r="F2031" t="str">
        <f t="shared" si="91"/>
        <v xml:space="preserve">Pesticiden en metabolieten </v>
      </c>
      <c r="G2031" t="str">
        <f t="shared" si="92"/>
        <v xml:space="preserve">Pesticiden en humaan toxicologisch relevante metabolieten </v>
      </c>
    </row>
    <row r="2032" spans="1:7" x14ac:dyDescent="0.25">
      <c r="A2032">
        <v>8085</v>
      </c>
      <c r="B2032" t="str">
        <f>"cetoctaelate"</f>
        <v>cetoctaelate</v>
      </c>
      <c r="C2032" t="s">
        <v>19016</v>
      </c>
      <c r="D2032" t="str">
        <f>""</f>
        <v/>
      </c>
      <c r="E2032" t="str">
        <f t="shared" si="93"/>
        <v xml:space="preserve">Organische parameters </v>
      </c>
      <c r="F2032" t="str">
        <f t="shared" si="91"/>
        <v xml:space="preserve">Pesticiden en metabolieten </v>
      </c>
      <c r="G2032" t="str">
        <f t="shared" si="92"/>
        <v xml:space="preserve">Pesticiden en humaan toxicologisch relevante metabolieten </v>
      </c>
    </row>
    <row r="2033" spans="1:7" x14ac:dyDescent="0.25">
      <c r="A2033">
        <v>8086</v>
      </c>
      <c r="B2033" t="str">
        <f>"cepyram"</f>
        <v>cepyram</v>
      </c>
      <c r="C2033" t="s">
        <v>19016</v>
      </c>
      <c r="D2033" t="str">
        <f>""</f>
        <v/>
      </c>
      <c r="E2033" t="str">
        <f t="shared" si="93"/>
        <v xml:space="preserve">Organische parameters </v>
      </c>
      <c r="F2033" t="str">
        <f t="shared" si="91"/>
        <v xml:space="preserve">Pesticiden en metabolieten </v>
      </c>
      <c r="G2033" t="str">
        <f t="shared" si="92"/>
        <v xml:space="preserve">Pesticiden en humaan toxicologisch relevante metabolieten </v>
      </c>
    </row>
    <row r="2034" spans="1:7" x14ac:dyDescent="0.25">
      <c r="A2034">
        <v>8087</v>
      </c>
      <c r="B2034" t="str">
        <f>"chinomethionaat"</f>
        <v>chinomethionaat</v>
      </c>
      <c r="C2034" t="s">
        <v>19016</v>
      </c>
      <c r="D2034" t="str">
        <f>"2-1-2439"</f>
        <v>2-1-2439</v>
      </c>
      <c r="E2034" t="str">
        <f t="shared" si="93"/>
        <v xml:space="preserve">Organische parameters </v>
      </c>
      <c r="F2034" t="str">
        <f t="shared" si="91"/>
        <v xml:space="preserve">Pesticiden en metabolieten </v>
      </c>
      <c r="G2034" t="str">
        <f t="shared" si="92"/>
        <v xml:space="preserve">Pesticiden en humaan toxicologisch relevante metabolieten </v>
      </c>
    </row>
    <row r="2035" spans="1:7" x14ac:dyDescent="0.25">
      <c r="A2035">
        <v>8088</v>
      </c>
      <c r="B2035" t="str">
        <f>"chlofentezin"</f>
        <v>chlofentezin</v>
      </c>
      <c r="C2035" t="s">
        <v>19016</v>
      </c>
      <c r="D2035" t="str">
        <f>"74115-24-5"</f>
        <v>74115-24-5</v>
      </c>
      <c r="E2035" t="str">
        <f t="shared" si="93"/>
        <v xml:space="preserve">Organische parameters </v>
      </c>
      <c r="F2035" t="str">
        <f t="shared" si="91"/>
        <v xml:space="preserve">Pesticiden en metabolieten </v>
      </c>
      <c r="G2035" t="str">
        <f t="shared" si="92"/>
        <v xml:space="preserve">Pesticiden en humaan toxicologisch relevante metabolieten </v>
      </c>
    </row>
    <row r="2036" spans="1:7" x14ac:dyDescent="0.25">
      <c r="A2036">
        <v>8089</v>
      </c>
      <c r="B2036" t="str">
        <f>"chloormethoxynil"</f>
        <v>chloormethoxynil</v>
      </c>
      <c r="C2036" t="s">
        <v>19016</v>
      </c>
      <c r="D2036" t="str">
        <f>"32861-85-1"</f>
        <v>32861-85-1</v>
      </c>
      <c r="E2036" t="str">
        <f t="shared" si="93"/>
        <v xml:space="preserve">Organische parameters </v>
      </c>
      <c r="F2036" t="str">
        <f t="shared" si="91"/>
        <v xml:space="preserve">Pesticiden en metabolieten </v>
      </c>
      <c r="G2036" t="str">
        <f t="shared" si="92"/>
        <v xml:space="preserve">Pesticiden en humaan toxicologisch relevante metabolieten </v>
      </c>
    </row>
    <row r="2037" spans="1:7" x14ac:dyDescent="0.25">
      <c r="A2037">
        <v>8090</v>
      </c>
      <c r="B2037" t="str">
        <f>"chlooracrylzuur"</f>
        <v>chlooracrylzuur</v>
      </c>
      <c r="C2037" t="s">
        <v>19016</v>
      </c>
      <c r="D2037" t="str">
        <f>"598-79-8"</f>
        <v>598-79-8</v>
      </c>
      <c r="E2037" t="str">
        <f t="shared" si="93"/>
        <v xml:space="preserve">Organische parameters </v>
      </c>
      <c r="F2037" t="str">
        <f t="shared" si="91"/>
        <v xml:space="preserve">Pesticiden en metabolieten </v>
      </c>
      <c r="G2037" t="str">
        <f t="shared" si="92"/>
        <v xml:space="preserve">Pesticiden en humaan toxicologisch relevante metabolieten </v>
      </c>
    </row>
    <row r="2038" spans="1:7" x14ac:dyDescent="0.25">
      <c r="A2038">
        <v>8091</v>
      </c>
      <c r="B2038" t="str">
        <f>"chloorallylalcohol"</f>
        <v>chloorallylalcohol</v>
      </c>
      <c r="C2038" t="s">
        <v>19016</v>
      </c>
      <c r="D2038" t="str">
        <f>""</f>
        <v/>
      </c>
      <c r="E2038" t="str">
        <f t="shared" si="93"/>
        <v xml:space="preserve">Organische parameters </v>
      </c>
      <c r="F2038" t="str">
        <f t="shared" si="91"/>
        <v xml:space="preserve">Pesticiden en metabolieten </v>
      </c>
      <c r="G2038" t="str">
        <f t="shared" si="92"/>
        <v xml:space="preserve">Pesticiden en humaan toxicologisch relevante metabolieten </v>
      </c>
    </row>
    <row r="2039" spans="1:7" x14ac:dyDescent="0.25">
      <c r="A2039">
        <v>8092</v>
      </c>
      <c r="B2039" t="str">
        <f>"chlooramben"</f>
        <v>chlooramben</v>
      </c>
      <c r="C2039" t="s">
        <v>19016</v>
      </c>
      <c r="D2039" t="str">
        <f>"133-90-4"</f>
        <v>133-90-4</v>
      </c>
      <c r="E2039" t="str">
        <f t="shared" si="93"/>
        <v xml:space="preserve">Organische parameters </v>
      </c>
      <c r="F2039" t="str">
        <f t="shared" si="91"/>
        <v xml:space="preserve">Pesticiden en metabolieten </v>
      </c>
      <c r="G2039" t="str">
        <f t="shared" si="92"/>
        <v xml:space="preserve">Pesticiden en humaan toxicologisch relevante metabolieten </v>
      </c>
    </row>
    <row r="2040" spans="1:7" x14ac:dyDescent="0.25">
      <c r="A2040">
        <v>8094</v>
      </c>
      <c r="B2040" t="str">
        <f>"2-chlooraniline"</f>
        <v>2-chlooraniline</v>
      </c>
      <c r="C2040" t="s">
        <v>19016</v>
      </c>
      <c r="D2040" t="str">
        <f>"95-51-2"</f>
        <v>95-51-2</v>
      </c>
      <c r="E2040" t="str">
        <f t="shared" si="93"/>
        <v xml:space="preserve">Organische parameters </v>
      </c>
      <c r="F2040" t="str">
        <f t="shared" si="91"/>
        <v xml:space="preserve">Pesticiden en metabolieten </v>
      </c>
      <c r="G2040" t="str">
        <f t="shared" si="92"/>
        <v xml:space="preserve">Pesticiden en humaan toxicologisch relevante metabolieten </v>
      </c>
    </row>
    <row r="2041" spans="1:7" x14ac:dyDescent="0.25">
      <c r="A2041">
        <v>8095</v>
      </c>
      <c r="B2041" t="str">
        <f>"chloorbenside"</f>
        <v>chloorbenside</v>
      </c>
      <c r="C2041" t="s">
        <v>19016</v>
      </c>
      <c r="D2041" t="str">
        <f>"103-17-3"</f>
        <v>103-17-3</v>
      </c>
      <c r="E2041" t="str">
        <f t="shared" si="93"/>
        <v xml:space="preserve">Organische parameters </v>
      </c>
      <c r="F2041" t="str">
        <f t="shared" si="91"/>
        <v xml:space="preserve">Pesticiden en metabolieten </v>
      </c>
      <c r="G2041" t="str">
        <f t="shared" si="92"/>
        <v xml:space="preserve">Pesticiden en humaan toxicologisch relevante metabolieten </v>
      </c>
    </row>
    <row r="2042" spans="1:7" x14ac:dyDescent="0.25">
      <c r="A2042">
        <v>8096</v>
      </c>
      <c r="B2042" t="str">
        <f>"chloorbenzilaat"</f>
        <v>chloorbenzilaat</v>
      </c>
      <c r="C2042" t="s">
        <v>19016</v>
      </c>
      <c r="D2042" t="str">
        <f>"510-15-6"</f>
        <v>510-15-6</v>
      </c>
      <c r="E2042" t="str">
        <f t="shared" si="93"/>
        <v xml:space="preserve">Organische parameters </v>
      </c>
      <c r="F2042" t="str">
        <f t="shared" si="91"/>
        <v xml:space="preserve">Pesticiden en metabolieten </v>
      </c>
      <c r="G2042" t="str">
        <f t="shared" si="92"/>
        <v xml:space="preserve">Pesticiden en humaan toxicologisch relevante metabolieten </v>
      </c>
    </row>
    <row r="2043" spans="1:7" x14ac:dyDescent="0.25">
      <c r="A2043">
        <v>8097</v>
      </c>
      <c r="B2043" t="str">
        <f>"chloorbromuron"</f>
        <v>chloorbromuron</v>
      </c>
      <c r="C2043" t="s">
        <v>19016</v>
      </c>
      <c r="D2043" t="str">
        <f>"13360-45-7"</f>
        <v>13360-45-7</v>
      </c>
      <c r="E2043" t="str">
        <f t="shared" si="93"/>
        <v xml:space="preserve">Organische parameters </v>
      </c>
      <c r="F2043" t="str">
        <f t="shared" si="91"/>
        <v xml:space="preserve">Pesticiden en metabolieten </v>
      </c>
      <c r="G2043" t="str">
        <f t="shared" si="92"/>
        <v xml:space="preserve">Pesticiden en humaan toxicologisch relevante metabolieten </v>
      </c>
    </row>
    <row r="2044" spans="1:7" x14ac:dyDescent="0.25">
      <c r="A2044">
        <v>8098</v>
      </c>
      <c r="B2044" t="str">
        <f>"chloorbroomoxyline"</f>
        <v>chloorbroomoxyline</v>
      </c>
      <c r="C2044" t="s">
        <v>19016</v>
      </c>
      <c r="D2044" t="str">
        <f>""</f>
        <v/>
      </c>
      <c r="E2044" t="str">
        <f t="shared" si="93"/>
        <v xml:space="preserve">Organische parameters </v>
      </c>
      <c r="F2044" t="str">
        <f t="shared" ref="F2044:F2075" si="94">"Pesticiden en metabolieten "</f>
        <v xml:space="preserve">Pesticiden en metabolieten </v>
      </c>
      <c r="G2044" t="str">
        <f t="shared" ref="G2044:G2075" si="95">"Pesticiden en humaan toxicologisch relevante metabolieten "</f>
        <v xml:space="preserve">Pesticiden en humaan toxicologisch relevante metabolieten </v>
      </c>
    </row>
    <row r="2045" spans="1:7" x14ac:dyDescent="0.25">
      <c r="A2045">
        <v>8099</v>
      </c>
      <c r="B2045" t="str">
        <f>"chloorbufam"</f>
        <v>chloorbufam</v>
      </c>
      <c r="C2045" t="s">
        <v>19016</v>
      </c>
      <c r="D2045" t="str">
        <f>"1967-16-4"</f>
        <v>1967-16-4</v>
      </c>
      <c r="E2045" t="str">
        <f t="shared" si="93"/>
        <v xml:space="preserve">Organische parameters </v>
      </c>
      <c r="F2045" t="str">
        <f t="shared" si="94"/>
        <v xml:space="preserve">Pesticiden en metabolieten </v>
      </c>
      <c r="G2045" t="str">
        <f t="shared" si="95"/>
        <v xml:space="preserve">Pesticiden en humaan toxicologisch relevante metabolieten </v>
      </c>
    </row>
    <row r="2046" spans="1:7" x14ac:dyDescent="0.25">
      <c r="A2046">
        <v>8101</v>
      </c>
      <c r="B2046" t="str">
        <f>"chloordecone"</f>
        <v>chloordecone</v>
      </c>
      <c r="C2046" t="s">
        <v>19016</v>
      </c>
      <c r="D2046" t="str">
        <f>"143-50-0"</f>
        <v>143-50-0</v>
      </c>
      <c r="E2046" t="str">
        <f t="shared" si="93"/>
        <v xml:space="preserve">Organische parameters </v>
      </c>
      <c r="F2046" t="str">
        <f t="shared" si="94"/>
        <v xml:space="preserve">Pesticiden en metabolieten </v>
      </c>
      <c r="G2046" t="str">
        <f t="shared" si="95"/>
        <v xml:space="preserve">Pesticiden en humaan toxicologisch relevante metabolieten </v>
      </c>
    </row>
    <row r="2047" spans="1:7" x14ac:dyDescent="0.25">
      <c r="A2047">
        <v>8102</v>
      </c>
      <c r="B2047" t="str">
        <f>"chloorfacinon"</f>
        <v>chloorfacinon</v>
      </c>
      <c r="C2047" t="s">
        <v>19016</v>
      </c>
      <c r="D2047" t="str">
        <f>"3691-35-8"</f>
        <v>3691-35-8</v>
      </c>
      <c r="E2047" t="str">
        <f t="shared" si="93"/>
        <v xml:space="preserve">Organische parameters </v>
      </c>
      <c r="F2047" t="str">
        <f t="shared" si="94"/>
        <v xml:space="preserve">Pesticiden en metabolieten </v>
      </c>
      <c r="G2047" t="str">
        <f t="shared" si="95"/>
        <v xml:space="preserve">Pesticiden en humaan toxicologisch relevante metabolieten </v>
      </c>
    </row>
    <row r="2048" spans="1:7" x14ac:dyDescent="0.25">
      <c r="A2048">
        <v>8103</v>
      </c>
      <c r="B2048" t="str">
        <f>"chloorfenamidine"</f>
        <v>chloorfenamidine</v>
      </c>
      <c r="C2048" t="s">
        <v>19016</v>
      </c>
      <c r="D2048" t="str">
        <f>"6164-98-3"</f>
        <v>6164-98-3</v>
      </c>
      <c r="E2048" t="str">
        <f t="shared" si="93"/>
        <v xml:space="preserve">Organische parameters </v>
      </c>
      <c r="F2048" t="str">
        <f t="shared" si="94"/>
        <v xml:space="preserve">Pesticiden en metabolieten </v>
      </c>
      <c r="G2048" t="str">
        <f t="shared" si="95"/>
        <v xml:space="preserve">Pesticiden en humaan toxicologisch relevante metabolieten </v>
      </c>
    </row>
    <row r="2049" spans="1:7" x14ac:dyDescent="0.25">
      <c r="A2049">
        <v>8104</v>
      </c>
      <c r="B2049" t="str">
        <f>"2-chloorfenol"</f>
        <v>2-chloorfenol</v>
      </c>
      <c r="C2049" t="s">
        <v>19016</v>
      </c>
      <c r="D2049" t="str">
        <f>"95-57-8"</f>
        <v>95-57-8</v>
      </c>
      <c r="E2049" t="str">
        <f t="shared" si="93"/>
        <v xml:space="preserve">Organische parameters </v>
      </c>
      <c r="F2049" t="str">
        <f t="shared" si="94"/>
        <v xml:space="preserve">Pesticiden en metabolieten </v>
      </c>
      <c r="G2049" t="str">
        <f t="shared" si="95"/>
        <v xml:space="preserve">Pesticiden en humaan toxicologisch relevante metabolieten </v>
      </c>
    </row>
    <row r="2050" spans="1:7" x14ac:dyDescent="0.25">
      <c r="A2050">
        <v>8105</v>
      </c>
      <c r="B2050" t="str">
        <f>"4-chloorfenoxyazijnzuur"</f>
        <v>4-chloorfenoxyazijnzuur</v>
      </c>
      <c r="C2050" t="s">
        <v>19016</v>
      </c>
      <c r="D2050" t="str">
        <f>"122-88-3"</f>
        <v>122-88-3</v>
      </c>
      <c r="E2050" t="str">
        <f t="shared" si="93"/>
        <v xml:space="preserve">Organische parameters </v>
      </c>
      <c r="F2050" t="str">
        <f t="shared" si="94"/>
        <v xml:space="preserve">Pesticiden en metabolieten </v>
      </c>
      <c r="G2050" t="str">
        <f t="shared" si="95"/>
        <v xml:space="preserve">Pesticiden en humaan toxicologisch relevante metabolieten </v>
      </c>
    </row>
    <row r="2051" spans="1:7" x14ac:dyDescent="0.25">
      <c r="A2051">
        <v>8106</v>
      </c>
      <c r="B2051" t="str">
        <f>"chloorfenprop-methyl"</f>
        <v>chloorfenprop-methyl</v>
      </c>
      <c r="C2051" t="s">
        <v>19016</v>
      </c>
      <c r="D2051" t="str">
        <f>"14437-17-3"</f>
        <v>14437-17-3</v>
      </c>
      <c r="E2051" t="str">
        <f t="shared" si="93"/>
        <v xml:space="preserve">Organische parameters </v>
      </c>
      <c r="F2051" t="str">
        <f t="shared" si="94"/>
        <v xml:space="preserve">Pesticiden en metabolieten </v>
      </c>
      <c r="G2051" t="str">
        <f t="shared" si="95"/>
        <v xml:space="preserve">Pesticiden en humaan toxicologisch relevante metabolieten </v>
      </c>
    </row>
    <row r="2052" spans="1:7" x14ac:dyDescent="0.25">
      <c r="A2052">
        <v>8107</v>
      </c>
      <c r="B2052" t="str">
        <f>"chloorfenson"</f>
        <v>chloorfenson</v>
      </c>
      <c r="C2052" t="s">
        <v>19016</v>
      </c>
      <c r="D2052" t="str">
        <f>"80-33-1"</f>
        <v>80-33-1</v>
      </c>
      <c r="E2052" t="str">
        <f t="shared" si="93"/>
        <v xml:space="preserve">Organische parameters </v>
      </c>
      <c r="F2052" t="str">
        <f t="shared" si="94"/>
        <v xml:space="preserve">Pesticiden en metabolieten </v>
      </c>
      <c r="G2052" t="str">
        <f t="shared" si="95"/>
        <v xml:space="preserve">Pesticiden en humaan toxicologisch relevante metabolieten </v>
      </c>
    </row>
    <row r="2053" spans="1:7" x14ac:dyDescent="0.25">
      <c r="A2053">
        <v>8109</v>
      </c>
      <c r="B2053" t="str">
        <f>"chloorfenylethanol"</f>
        <v>chloorfenylethanol</v>
      </c>
      <c r="C2053" t="s">
        <v>19016</v>
      </c>
      <c r="D2053" t="str">
        <f>""</f>
        <v/>
      </c>
      <c r="E2053" t="str">
        <f t="shared" si="93"/>
        <v xml:space="preserve">Organische parameters </v>
      </c>
      <c r="F2053" t="str">
        <f t="shared" si="94"/>
        <v xml:space="preserve">Pesticiden en metabolieten </v>
      </c>
      <c r="G2053" t="str">
        <f t="shared" si="95"/>
        <v xml:space="preserve">Pesticiden en humaan toxicologisch relevante metabolieten </v>
      </c>
    </row>
    <row r="2054" spans="1:7" x14ac:dyDescent="0.25">
      <c r="A2054">
        <v>8110</v>
      </c>
      <c r="B2054" t="str">
        <f>"chloorflurenol"</f>
        <v>chloorflurenol</v>
      </c>
      <c r="C2054" t="s">
        <v>19016</v>
      </c>
      <c r="D2054" t="str">
        <f>"2464-37-1"</f>
        <v>2464-37-1</v>
      </c>
      <c r="E2054" t="str">
        <f t="shared" si="93"/>
        <v xml:space="preserve">Organische parameters </v>
      </c>
      <c r="F2054" t="str">
        <f t="shared" si="94"/>
        <v xml:space="preserve">Pesticiden en metabolieten </v>
      </c>
      <c r="G2054" t="str">
        <f t="shared" si="95"/>
        <v xml:space="preserve">Pesticiden en humaan toxicologisch relevante metabolieten </v>
      </c>
    </row>
    <row r="2055" spans="1:7" x14ac:dyDescent="0.25">
      <c r="A2055">
        <v>8111</v>
      </c>
      <c r="B2055" t="str">
        <f>"3-chloormethoxyaniline"</f>
        <v>3-chloormethoxyaniline</v>
      </c>
      <c r="C2055" t="s">
        <v>19016</v>
      </c>
      <c r="D2055" t="str">
        <f>""</f>
        <v/>
      </c>
      <c r="E2055" t="str">
        <f t="shared" si="93"/>
        <v xml:space="preserve">Organische parameters </v>
      </c>
      <c r="F2055" t="str">
        <f t="shared" si="94"/>
        <v xml:space="preserve">Pesticiden en metabolieten </v>
      </c>
      <c r="G2055" t="str">
        <f t="shared" si="95"/>
        <v xml:space="preserve">Pesticiden en humaan toxicologisch relevante metabolieten </v>
      </c>
    </row>
    <row r="2056" spans="1:7" x14ac:dyDescent="0.25">
      <c r="A2056">
        <v>8112</v>
      </c>
      <c r="B2056" t="str">
        <f>"chloorpyrifos-methyl"</f>
        <v>chloorpyrifos-methyl</v>
      </c>
      <c r="C2056" t="s">
        <v>19016</v>
      </c>
      <c r="D2056" t="str">
        <f>"5598-13-0"</f>
        <v>5598-13-0</v>
      </c>
      <c r="E2056" t="str">
        <f t="shared" si="93"/>
        <v xml:space="preserve">Organische parameters </v>
      </c>
      <c r="F2056" t="str">
        <f t="shared" si="94"/>
        <v xml:space="preserve">Pesticiden en metabolieten </v>
      </c>
      <c r="G2056" t="str">
        <f t="shared" si="95"/>
        <v xml:space="preserve">Pesticiden en humaan toxicologisch relevante metabolieten </v>
      </c>
    </row>
    <row r="2057" spans="1:7" x14ac:dyDescent="0.25">
      <c r="A2057">
        <v>8113</v>
      </c>
      <c r="B2057" t="str">
        <f>"4-chloor-2-methylfenol"</f>
        <v>4-chloor-2-methylfenol</v>
      </c>
      <c r="C2057" t="s">
        <v>19016</v>
      </c>
      <c r="D2057" t="str">
        <f>"1570-64-5"</f>
        <v>1570-64-5</v>
      </c>
      <c r="E2057" t="str">
        <f t="shared" si="93"/>
        <v xml:space="preserve">Organische parameters </v>
      </c>
      <c r="F2057" t="str">
        <f t="shared" si="94"/>
        <v xml:space="preserve">Pesticiden en metabolieten </v>
      </c>
      <c r="G2057" t="str">
        <f t="shared" si="95"/>
        <v xml:space="preserve">Pesticiden en humaan toxicologisch relevante metabolieten </v>
      </c>
    </row>
    <row r="2058" spans="1:7" x14ac:dyDescent="0.25">
      <c r="A2058">
        <v>8114</v>
      </c>
      <c r="B2058" t="str">
        <f>"4-chloor-3-methylfenol"</f>
        <v>4-chloor-3-methylfenol</v>
      </c>
      <c r="C2058" t="s">
        <v>19016</v>
      </c>
      <c r="D2058" t="str">
        <f>"59-50-7"</f>
        <v>59-50-7</v>
      </c>
      <c r="E2058" t="str">
        <f t="shared" si="93"/>
        <v xml:space="preserve">Organische parameters </v>
      </c>
      <c r="F2058" t="str">
        <f t="shared" si="94"/>
        <v xml:space="preserve">Pesticiden en metabolieten </v>
      </c>
      <c r="G2058" t="str">
        <f t="shared" si="95"/>
        <v xml:space="preserve">Pesticiden en humaan toxicologisch relevante metabolieten </v>
      </c>
    </row>
    <row r="2059" spans="1:7" x14ac:dyDescent="0.25">
      <c r="A2059">
        <v>8115</v>
      </c>
      <c r="B2059" t="str">
        <f>"4-chlooraniline"</f>
        <v>4-chlooraniline</v>
      </c>
      <c r="C2059" t="s">
        <v>19016</v>
      </c>
      <c r="D2059" t="str">
        <f>"106-47-8"</f>
        <v>106-47-8</v>
      </c>
      <c r="E2059" t="str">
        <f t="shared" si="93"/>
        <v xml:space="preserve">Organische parameters </v>
      </c>
      <c r="F2059" t="str">
        <f t="shared" si="94"/>
        <v xml:space="preserve">Pesticiden en metabolieten </v>
      </c>
      <c r="G2059" t="str">
        <f t="shared" si="95"/>
        <v xml:space="preserve">Pesticiden en humaan toxicologisch relevante metabolieten </v>
      </c>
    </row>
    <row r="2060" spans="1:7" x14ac:dyDescent="0.25">
      <c r="A2060">
        <v>8116</v>
      </c>
      <c r="B2060" t="str">
        <f>"chloorsulfuron"</f>
        <v>chloorsulfuron</v>
      </c>
      <c r="C2060" t="s">
        <v>19016</v>
      </c>
      <c r="D2060" t="str">
        <f>"64902-72-3"</f>
        <v>64902-72-3</v>
      </c>
      <c r="E2060" t="str">
        <f t="shared" si="93"/>
        <v xml:space="preserve">Organische parameters </v>
      </c>
      <c r="F2060" t="str">
        <f t="shared" si="94"/>
        <v xml:space="preserve">Pesticiden en metabolieten </v>
      </c>
      <c r="G2060" t="str">
        <f t="shared" si="95"/>
        <v xml:space="preserve">Pesticiden en humaan toxicologisch relevante metabolieten </v>
      </c>
    </row>
    <row r="2061" spans="1:7" x14ac:dyDescent="0.25">
      <c r="A2061">
        <v>8117</v>
      </c>
      <c r="B2061" t="str">
        <f>"chloorthal"</f>
        <v>chloorthal</v>
      </c>
      <c r="C2061" t="s">
        <v>19016</v>
      </c>
      <c r="D2061" t="str">
        <f>"2136-79-0"</f>
        <v>2136-79-0</v>
      </c>
      <c r="E2061" t="str">
        <f t="shared" si="93"/>
        <v xml:space="preserve">Organische parameters </v>
      </c>
      <c r="F2061" t="str">
        <f t="shared" si="94"/>
        <v xml:space="preserve">Pesticiden en metabolieten </v>
      </c>
      <c r="G2061" t="str">
        <f t="shared" si="95"/>
        <v xml:space="preserve">Pesticiden en humaan toxicologisch relevante metabolieten </v>
      </c>
    </row>
    <row r="2062" spans="1:7" x14ac:dyDescent="0.25">
      <c r="A2062">
        <v>8118</v>
      </c>
      <c r="B2062" t="str">
        <f>"chloorthal-methyl"</f>
        <v>chloorthal-methyl</v>
      </c>
      <c r="C2062" t="s">
        <v>19016</v>
      </c>
      <c r="D2062" t="str">
        <f>"1861-32-1"</f>
        <v>1861-32-1</v>
      </c>
      <c r="E2062" t="str">
        <f t="shared" si="93"/>
        <v xml:space="preserve">Organische parameters </v>
      </c>
      <c r="F2062" t="str">
        <f t="shared" si="94"/>
        <v xml:space="preserve">Pesticiden en metabolieten </v>
      </c>
      <c r="G2062" t="str">
        <f t="shared" si="95"/>
        <v xml:space="preserve">Pesticiden en humaan toxicologisch relevante metabolieten </v>
      </c>
    </row>
    <row r="2063" spans="1:7" x14ac:dyDescent="0.25">
      <c r="A2063">
        <v>8119</v>
      </c>
      <c r="B2063" t="str">
        <f>"chloorthalonil"</f>
        <v>chloorthalonil</v>
      </c>
      <c r="C2063" t="s">
        <v>19016</v>
      </c>
      <c r="D2063" t="str">
        <f>"1897-45-6"</f>
        <v>1897-45-6</v>
      </c>
      <c r="E2063" t="str">
        <f t="shared" si="93"/>
        <v xml:space="preserve">Organische parameters </v>
      </c>
      <c r="F2063" t="str">
        <f t="shared" si="94"/>
        <v xml:space="preserve">Pesticiden en metabolieten </v>
      </c>
      <c r="G2063" t="str">
        <f t="shared" si="95"/>
        <v xml:space="preserve">Pesticiden en humaan toxicologisch relevante metabolieten </v>
      </c>
    </row>
    <row r="2064" spans="1:7" x14ac:dyDescent="0.25">
      <c r="A2064">
        <v>8120</v>
      </c>
      <c r="B2064" t="str">
        <f>"chloorthiamide"</f>
        <v>chloorthiamide</v>
      </c>
      <c r="C2064" t="s">
        <v>19016</v>
      </c>
      <c r="D2064" t="str">
        <f>"1918-13-4"</f>
        <v>1918-13-4</v>
      </c>
      <c r="E2064" t="str">
        <f t="shared" si="93"/>
        <v xml:space="preserve">Organische parameters </v>
      </c>
      <c r="F2064" t="str">
        <f t="shared" si="94"/>
        <v xml:space="preserve">Pesticiden en metabolieten </v>
      </c>
      <c r="G2064" t="str">
        <f t="shared" si="95"/>
        <v xml:space="preserve">Pesticiden en humaan toxicologisch relevante metabolieten </v>
      </c>
    </row>
    <row r="2065" spans="1:7" x14ac:dyDescent="0.25">
      <c r="A2065">
        <v>8121</v>
      </c>
      <c r="B2065" t="str">
        <f>"chloorthiofos"</f>
        <v>chloorthiofos</v>
      </c>
      <c r="C2065" t="s">
        <v>19016</v>
      </c>
      <c r="D2065" t="str">
        <f>"60238-56-4"</f>
        <v>60238-56-4</v>
      </c>
      <c r="E2065" t="str">
        <f t="shared" si="93"/>
        <v xml:space="preserve">Organische parameters </v>
      </c>
      <c r="F2065" t="str">
        <f t="shared" si="94"/>
        <v xml:space="preserve">Pesticiden en metabolieten </v>
      </c>
      <c r="G2065" t="str">
        <f t="shared" si="95"/>
        <v xml:space="preserve">Pesticiden en humaan toxicologisch relevante metabolieten </v>
      </c>
    </row>
    <row r="2066" spans="1:7" x14ac:dyDescent="0.25">
      <c r="A2066">
        <v>8122</v>
      </c>
      <c r="B2066" t="str">
        <f>"chloortoluron"</f>
        <v>chloortoluron</v>
      </c>
      <c r="C2066" t="s">
        <v>19016</v>
      </c>
      <c r="D2066" t="str">
        <f>"15545-48-9"</f>
        <v>15545-48-9</v>
      </c>
      <c r="E2066" t="str">
        <f t="shared" si="93"/>
        <v xml:space="preserve">Organische parameters </v>
      </c>
      <c r="F2066" t="str">
        <f t="shared" si="94"/>
        <v xml:space="preserve">Pesticiden en metabolieten </v>
      </c>
      <c r="G2066" t="str">
        <f t="shared" si="95"/>
        <v xml:space="preserve">Pesticiden en humaan toxicologisch relevante metabolieten </v>
      </c>
    </row>
    <row r="2067" spans="1:7" x14ac:dyDescent="0.25">
      <c r="A2067">
        <v>8123</v>
      </c>
      <c r="B2067" t="str">
        <f>"chlooraniformethaan"</f>
        <v>chlooraniformethaan</v>
      </c>
      <c r="C2067" t="s">
        <v>19016</v>
      </c>
      <c r="D2067" t="str">
        <f>"20856-57-9"</f>
        <v>20856-57-9</v>
      </c>
      <c r="E2067" t="str">
        <f t="shared" si="93"/>
        <v xml:space="preserve">Organische parameters </v>
      </c>
      <c r="F2067" t="str">
        <f t="shared" si="94"/>
        <v xml:space="preserve">Pesticiden en metabolieten </v>
      </c>
      <c r="G2067" t="str">
        <f t="shared" si="95"/>
        <v xml:space="preserve">Pesticiden en humaan toxicologisch relevante metabolieten </v>
      </c>
    </row>
    <row r="2068" spans="1:7" x14ac:dyDescent="0.25">
      <c r="A2068">
        <v>8124</v>
      </c>
      <c r="B2068" t="str">
        <f>"chlooranil"</f>
        <v>chlooranil</v>
      </c>
      <c r="C2068" t="s">
        <v>19016</v>
      </c>
      <c r="D2068" t="str">
        <f>"118-75-2"</f>
        <v>118-75-2</v>
      </c>
      <c r="E2068" t="str">
        <f t="shared" si="93"/>
        <v xml:space="preserve">Organische parameters </v>
      </c>
      <c r="F2068" t="str">
        <f t="shared" si="94"/>
        <v xml:space="preserve">Pesticiden en metabolieten </v>
      </c>
      <c r="G2068" t="str">
        <f t="shared" si="95"/>
        <v xml:space="preserve">Pesticiden en humaan toxicologisch relevante metabolieten </v>
      </c>
    </row>
    <row r="2069" spans="1:7" x14ac:dyDescent="0.25">
      <c r="A2069">
        <v>8125</v>
      </c>
      <c r="B2069" t="str">
        <f>"chloraalhydraat"</f>
        <v>chloraalhydraat</v>
      </c>
      <c r="C2069" t="s">
        <v>19016</v>
      </c>
      <c r="D2069" t="str">
        <f>"302-17-0"</f>
        <v>302-17-0</v>
      </c>
      <c r="E2069" t="str">
        <f t="shared" si="93"/>
        <v xml:space="preserve">Organische parameters </v>
      </c>
      <c r="F2069" t="str">
        <f t="shared" si="94"/>
        <v xml:space="preserve">Pesticiden en metabolieten </v>
      </c>
      <c r="G2069" t="str">
        <f t="shared" si="95"/>
        <v xml:space="preserve">Pesticiden en humaan toxicologisch relevante metabolieten </v>
      </c>
    </row>
    <row r="2070" spans="1:7" x14ac:dyDescent="0.25">
      <c r="A2070">
        <v>8126</v>
      </c>
      <c r="B2070" t="str">
        <f>"prynachlor"</f>
        <v>prynachlor</v>
      </c>
      <c r="C2070" t="s">
        <v>19016</v>
      </c>
      <c r="D2070" t="str">
        <f>"21267-72-1"</f>
        <v>21267-72-1</v>
      </c>
      <c r="E2070" t="str">
        <f t="shared" si="93"/>
        <v xml:space="preserve">Organische parameters </v>
      </c>
      <c r="F2070" t="str">
        <f t="shared" si="94"/>
        <v xml:space="preserve">Pesticiden en metabolieten </v>
      </c>
      <c r="G2070" t="str">
        <f t="shared" si="95"/>
        <v xml:space="preserve">Pesticiden en humaan toxicologisch relevante metabolieten </v>
      </c>
    </row>
    <row r="2071" spans="1:7" x14ac:dyDescent="0.25">
      <c r="A2071">
        <v>8127</v>
      </c>
      <c r="B2071" t="str">
        <f>"chloridazon"</f>
        <v>chloridazon</v>
      </c>
      <c r="C2071" t="s">
        <v>19016</v>
      </c>
      <c r="D2071" t="str">
        <f>"1698-60-8"</f>
        <v>1698-60-8</v>
      </c>
      <c r="E2071" t="str">
        <f t="shared" si="93"/>
        <v xml:space="preserve">Organische parameters </v>
      </c>
      <c r="F2071" t="str">
        <f t="shared" si="94"/>
        <v xml:space="preserve">Pesticiden en metabolieten </v>
      </c>
      <c r="G2071" t="str">
        <f t="shared" si="95"/>
        <v xml:space="preserve">Pesticiden en humaan toxicologisch relevante metabolieten </v>
      </c>
    </row>
    <row r="2072" spans="1:7" x14ac:dyDescent="0.25">
      <c r="A2072">
        <v>8128</v>
      </c>
      <c r="B2072" t="str">
        <f>"chloormefos"</f>
        <v>chloormefos</v>
      </c>
      <c r="C2072" t="s">
        <v>19016</v>
      </c>
      <c r="D2072" t="str">
        <f>"24934-91-6"</f>
        <v>24934-91-6</v>
      </c>
      <c r="E2072" t="str">
        <f t="shared" si="93"/>
        <v xml:space="preserve">Organische parameters </v>
      </c>
      <c r="F2072" t="str">
        <f t="shared" si="94"/>
        <v xml:space="preserve">Pesticiden en metabolieten </v>
      </c>
      <c r="G2072" t="str">
        <f t="shared" si="95"/>
        <v xml:space="preserve">Pesticiden en humaan toxicologisch relevante metabolieten </v>
      </c>
    </row>
    <row r="2073" spans="1:7" x14ac:dyDescent="0.25">
      <c r="A2073">
        <v>8130</v>
      </c>
      <c r="B2073" t="str">
        <f>"chlooroxuron"</f>
        <v>chlooroxuron</v>
      </c>
      <c r="C2073" t="s">
        <v>19016</v>
      </c>
      <c r="D2073" t="str">
        <f>"1982-47-4"</f>
        <v>1982-47-4</v>
      </c>
      <c r="E2073" t="str">
        <f t="shared" si="93"/>
        <v xml:space="preserve">Organische parameters </v>
      </c>
      <c r="F2073" t="str">
        <f t="shared" si="94"/>
        <v xml:space="preserve">Pesticiden en metabolieten </v>
      </c>
      <c r="G2073" t="str">
        <f t="shared" si="95"/>
        <v xml:space="preserve">Pesticiden en humaan toxicologisch relevante metabolieten </v>
      </c>
    </row>
    <row r="2074" spans="1:7" x14ac:dyDescent="0.25">
      <c r="A2074">
        <v>8131</v>
      </c>
      <c r="B2074" t="str">
        <f>"clopyralid"</f>
        <v>clopyralid</v>
      </c>
      <c r="C2074" t="s">
        <v>19016</v>
      </c>
      <c r="D2074" t="str">
        <f>"1702-17-6"</f>
        <v>1702-17-6</v>
      </c>
      <c r="E2074" t="str">
        <f t="shared" si="93"/>
        <v xml:space="preserve">Organische parameters </v>
      </c>
      <c r="F2074" t="str">
        <f t="shared" si="94"/>
        <v xml:space="preserve">Pesticiden en metabolieten </v>
      </c>
      <c r="G2074" t="str">
        <f t="shared" si="95"/>
        <v xml:space="preserve">Pesticiden en humaan toxicologisch relevante metabolieten </v>
      </c>
    </row>
    <row r="2075" spans="1:7" x14ac:dyDescent="0.25">
      <c r="A2075">
        <v>8132</v>
      </c>
      <c r="B2075" t="str">
        <f>"COBH"</f>
        <v>COBH</v>
      </c>
      <c r="C2075" t="s">
        <v>19016</v>
      </c>
      <c r="D2075" t="str">
        <f>"495-73-8"</f>
        <v>495-73-8</v>
      </c>
      <c r="E2075" t="str">
        <f t="shared" si="93"/>
        <v xml:space="preserve">Organische parameters </v>
      </c>
      <c r="F2075" t="str">
        <f t="shared" si="94"/>
        <v xml:space="preserve">Pesticiden en metabolieten </v>
      </c>
      <c r="G2075" t="str">
        <f t="shared" si="95"/>
        <v xml:space="preserve">Pesticiden en humaan toxicologisch relevante metabolieten </v>
      </c>
    </row>
    <row r="2076" spans="1:7" x14ac:dyDescent="0.25">
      <c r="A2076">
        <v>8133</v>
      </c>
      <c r="B2076" t="str">
        <f>"coumatetralyl"</f>
        <v>coumatetralyl</v>
      </c>
      <c r="C2076" t="s">
        <v>19016</v>
      </c>
      <c r="D2076" t="str">
        <f>"5836-29-3"</f>
        <v>5836-29-3</v>
      </c>
      <c r="E2076" t="str">
        <f t="shared" si="93"/>
        <v xml:space="preserve">Organische parameters </v>
      </c>
      <c r="F2076" t="str">
        <f t="shared" ref="F2076:F2081" si="96">"Pesticiden en metabolieten "</f>
        <v xml:space="preserve">Pesticiden en metabolieten </v>
      </c>
      <c r="G2076" t="str">
        <f t="shared" ref="G2076:G2081" si="97">"Pesticiden en humaan toxicologisch relevante metabolieten "</f>
        <v xml:space="preserve">Pesticiden en humaan toxicologisch relevante metabolieten </v>
      </c>
    </row>
    <row r="2077" spans="1:7" x14ac:dyDescent="0.25">
      <c r="A2077">
        <v>8134</v>
      </c>
      <c r="B2077" t="str">
        <f>"crimidine"</f>
        <v>crimidine</v>
      </c>
      <c r="C2077" t="s">
        <v>19016</v>
      </c>
      <c r="D2077" t="str">
        <f>"535-89-7"</f>
        <v>535-89-7</v>
      </c>
      <c r="E2077" t="str">
        <f t="shared" si="93"/>
        <v xml:space="preserve">Organische parameters </v>
      </c>
      <c r="F2077" t="str">
        <f t="shared" si="96"/>
        <v xml:space="preserve">Pesticiden en metabolieten </v>
      </c>
      <c r="G2077" t="str">
        <f t="shared" si="97"/>
        <v xml:space="preserve">Pesticiden en humaan toxicologisch relevante metabolieten </v>
      </c>
    </row>
    <row r="2078" spans="1:7" x14ac:dyDescent="0.25">
      <c r="A2078">
        <v>8135</v>
      </c>
      <c r="B2078" t="str">
        <f>"cumachloor"</f>
        <v>cumachloor</v>
      </c>
      <c r="C2078" t="s">
        <v>19016</v>
      </c>
      <c r="D2078" t="str">
        <f>"81-82-3"</f>
        <v>81-82-3</v>
      </c>
      <c r="E2078" t="str">
        <f t="shared" si="93"/>
        <v xml:space="preserve">Organische parameters </v>
      </c>
      <c r="F2078" t="str">
        <f t="shared" si="96"/>
        <v xml:space="preserve">Pesticiden en metabolieten </v>
      </c>
      <c r="G2078" t="str">
        <f t="shared" si="97"/>
        <v xml:space="preserve">Pesticiden en humaan toxicologisch relevante metabolieten </v>
      </c>
    </row>
    <row r="2079" spans="1:7" x14ac:dyDescent="0.25">
      <c r="A2079">
        <v>8136</v>
      </c>
      <c r="B2079" t="str">
        <f>"cumafos"</f>
        <v>cumafos</v>
      </c>
      <c r="C2079" t="s">
        <v>19016</v>
      </c>
      <c r="D2079" t="str">
        <f>"56-72-4"</f>
        <v>56-72-4</v>
      </c>
      <c r="E2079" t="str">
        <f t="shared" ref="E2079:E2142" si="98">"Organische parameters "</f>
        <v xml:space="preserve">Organische parameters </v>
      </c>
      <c r="F2079" t="str">
        <f t="shared" si="96"/>
        <v xml:space="preserve">Pesticiden en metabolieten </v>
      </c>
      <c r="G2079" t="str">
        <f t="shared" si="97"/>
        <v xml:space="preserve">Pesticiden en humaan toxicologisch relevante metabolieten </v>
      </c>
    </row>
    <row r="2080" spans="1:7" x14ac:dyDescent="0.25">
      <c r="A2080">
        <v>8138</v>
      </c>
      <c r="B2080" t="str">
        <f>"cyanazin"</f>
        <v>cyanazin</v>
      </c>
      <c r="C2080" t="s">
        <v>19016</v>
      </c>
      <c r="D2080" t="str">
        <f>"21725-46-2"</f>
        <v>21725-46-2</v>
      </c>
      <c r="E2080" t="str">
        <f t="shared" si="98"/>
        <v xml:space="preserve">Organische parameters </v>
      </c>
      <c r="F2080" t="str">
        <f t="shared" si="96"/>
        <v xml:space="preserve">Pesticiden en metabolieten </v>
      </c>
      <c r="G2080" t="str">
        <f t="shared" si="97"/>
        <v xml:space="preserve">Pesticiden en humaan toxicologisch relevante metabolieten </v>
      </c>
    </row>
    <row r="2081" spans="1:7" x14ac:dyDescent="0.25">
      <c r="A2081">
        <v>8139</v>
      </c>
      <c r="B2081" t="str">
        <f>"cycloaat"</f>
        <v>cycloaat</v>
      </c>
      <c r="C2081" t="s">
        <v>19016</v>
      </c>
      <c r="D2081" t="str">
        <f>"1134-23-2"</f>
        <v>1134-23-2</v>
      </c>
      <c r="E2081" t="str">
        <f t="shared" si="98"/>
        <v xml:space="preserve">Organische parameters </v>
      </c>
      <c r="F2081" t="str">
        <f t="shared" si="96"/>
        <v xml:space="preserve">Pesticiden en metabolieten </v>
      </c>
      <c r="G2081" t="str">
        <f t="shared" si="97"/>
        <v xml:space="preserve">Pesticiden en humaan toxicologisch relevante metabolieten </v>
      </c>
    </row>
    <row r="2082" spans="1:7" x14ac:dyDescent="0.25">
      <c r="A2082">
        <v>8140</v>
      </c>
      <c r="B2082" t="str">
        <f>"cyclohexeen"</f>
        <v>cyclohexeen</v>
      </c>
      <c r="C2082" t="s">
        <v>19016</v>
      </c>
      <c r="D2082" t="str">
        <f>"110-83-8"</f>
        <v>110-83-8</v>
      </c>
      <c r="E2082" t="str">
        <f t="shared" si="98"/>
        <v xml:space="preserve">Organische parameters </v>
      </c>
      <c r="F2082" t="str">
        <f>""</f>
        <v/>
      </c>
      <c r="G2082" t="str">
        <f>""</f>
        <v/>
      </c>
    </row>
    <row r="2083" spans="1:7" x14ac:dyDescent="0.25">
      <c r="A2083">
        <v>8141</v>
      </c>
      <c r="B2083" t="str">
        <f>"cycluron"</f>
        <v>cycluron</v>
      </c>
      <c r="C2083" t="s">
        <v>19016</v>
      </c>
      <c r="D2083" t="str">
        <f>"2163-69-1"</f>
        <v>2163-69-1</v>
      </c>
      <c r="E2083" t="str">
        <f t="shared" si="98"/>
        <v xml:space="preserve">Organische parameters </v>
      </c>
      <c r="F2083" t="str">
        <f t="shared" ref="F2083:F2114" si="99">"Pesticiden en metabolieten "</f>
        <v xml:space="preserve">Pesticiden en metabolieten </v>
      </c>
      <c r="G2083" t="str">
        <f t="shared" ref="G2083:G2114" si="100">"Pesticiden en humaan toxicologisch relevante metabolieten "</f>
        <v xml:space="preserve">Pesticiden en humaan toxicologisch relevante metabolieten </v>
      </c>
    </row>
    <row r="2084" spans="1:7" x14ac:dyDescent="0.25">
      <c r="A2084">
        <v>8142</v>
      </c>
      <c r="B2084" t="str">
        <f>"cyfluthrin"</f>
        <v>cyfluthrin</v>
      </c>
      <c r="C2084" t="s">
        <v>19016</v>
      </c>
      <c r="D2084" t="str">
        <f>"68359-37-5"</f>
        <v>68359-37-5</v>
      </c>
      <c r="E2084" t="str">
        <f t="shared" si="98"/>
        <v xml:space="preserve">Organische parameters </v>
      </c>
      <c r="F2084" t="str">
        <f t="shared" si="99"/>
        <v xml:space="preserve">Pesticiden en metabolieten </v>
      </c>
      <c r="G2084" t="str">
        <f t="shared" si="100"/>
        <v xml:space="preserve">Pesticiden en humaan toxicologisch relevante metabolieten </v>
      </c>
    </row>
    <row r="2085" spans="1:7" x14ac:dyDescent="0.25">
      <c r="A2085">
        <v>8143</v>
      </c>
      <c r="B2085" t="str">
        <f>"cyhalothrin"</f>
        <v>cyhalothrin</v>
      </c>
      <c r="C2085" t="s">
        <v>19016</v>
      </c>
      <c r="D2085" t="str">
        <f>"68085-85-8"</f>
        <v>68085-85-8</v>
      </c>
      <c r="E2085" t="str">
        <f t="shared" si="98"/>
        <v xml:space="preserve">Organische parameters </v>
      </c>
      <c r="F2085" t="str">
        <f t="shared" si="99"/>
        <v xml:space="preserve">Pesticiden en metabolieten </v>
      </c>
      <c r="G2085" t="str">
        <f t="shared" si="100"/>
        <v xml:space="preserve">Pesticiden en humaan toxicologisch relevante metabolieten </v>
      </c>
    </row>
    <row r="2086" spans="1:7" x14ac:dyDescent="0.25">
      <c r="A2086">
        <v>8144</v>
      </c>
      <c r="B2086" t="str">
        <f>"cyhexatin"</f>
        <v>cyhexatin</v>
      </c>
      <c r="C2086" t="s">
        <v>19016</v>
      </c>
      <c r="D2086" t="str">
        <f>"13121-70-5"</f>
        <v>13121-70-5</v>
      </c>
      <c r="E2086" t="str">
        <f t="shared" si="98"/>
        <v xml:space="preserve">Organische parameters </v>
      </c>
      <c r="F2086" t="str">
        <f t="shared" si="99"/>
        <v xml:space="preserve">Pesticiden en metabolieten </v>
      </c>
      <c r="G2086" t="str">
        <f t="shared" si="100"/>
        <v xml:space="preserve">Pesticiden en humaan toxicologisch relevante metabolieten </v>
      </c>
    </row>
    <row r="2087" spans="1:7" x14ac:dyDescent="0.25">
      <c r="A2087">
        <v>8145</v>
      </c>
      <c r="B2087" t="str">
        <f>"cymoxanil"</f>
        <v>cymoxanil</v>
      </c>
      <c r="C2087" t="s">
        <v>19016</v>
      </c>
      <c r="D2087" t="str">
        <f>"57966-95-7"</f>
        <v>57966-95-7</v>
      </c>
      <c r="E2087" t="str">
        <f t="shared" si="98"/>
        <v xml:space="preserve">Organische parameters </v>
      </c>
      <c r="F2087" t="str">
        <f t="shared" si="99"/>
        <v xml:space="preserve">Pesticiden en metabolieten </v>
      </c>
      <c r="G2087" t="str">
        <f t="shared" si="100"/>
        <v xml:space="preserve">Pesticiden en humaan toxicologisch relevante metabolieten </v>
      </c>
    </row>
    <row r="2088" spans="1:7" x14ac:dyDescent="0.25">
      <c r="A2088">
        <v>8146</v>
      </c>
      <c r="B2088" t="str">
        <f>"cypendazool"</f>
        <v>cypendazool</v>
      </c>
      <c r="C2088" t="s">
        <v>19016</v>
      </c>
      <c r="D2088" t="str">
        <f>"28559-00-4"</f>
        <v>28559-00-4</v>
      </c>
      <c r="E2088" t="str">
        <f t="shared" si="98"/>
        <v xml:space="preserve">Organische parameters </v>
      </c>
      <c r="F2088" t="str">
        <f t="shared" si="99"/>
        <v xml:space="preserve">Pesticiden en metabolieten </v>
      </c>
      <c r="G2088" t="str">
        <f t="shared" si="100"/>
        <v xml:space="preserve">Pesticiden en humaan toxicologisch relevante metabolieten </v>
      </c>
    </row>
    <row r="2089" spans="1:7" x14ac:dyDescent="0.25">
      <c r="A2089">
        <v>8147</v>
      </c>
      <c r="B2089" t="str">
        <f>"cypermethrin"</f>
        <v>cypermethrin</v>
      </c>
      <c r="C2089" t="s">
        <v>19016</v>
      </c>
      <c r="D2089" t="str">
        <f>"52315-07-8"</f>
        <v>52315-07-8</v>
      </c>
      <c r="E2089" t="str">
        <f t="shared" si="98"/>
        <v xml:space="preserve">Organische parameters </v>
      </c>
      <c r="F2089" t="str">
        <f t="shared" si="99"/>
        <v xml:space="preserve">Pesticiden en metabolieten </v>
      </c>
      <c r="G2089" t="str">
        <f t="shared" si="100"/>
        <v xml:space="preserve">Pesticiden en humaan toxicologisch relevante metabolieten </v>
      </c>
    </row>
    <row r="2090" spans="1:7" x14ac:dyDescent="0.25">
      <c r="A2090">
        <v>8148</v>
      </c>
      <c r="B2090" t="str">
        <f>"cyprofuram"</f>
        <v>cyprofuram</v>
      </c>
      <c r="C2090" t="s">
        <v>19016</v>
      </c>
      <c r="D2090" t="str">
        <f>"69581-33-5"</f>
        <v>69581-33-5</v>
      </c>
      <c r="E2090" t="str">
        <f t="shared" si="98"/>
        <v xml:space="preserve">Organische parameters </v>
      </c>
      <c r="F2090" t="str">
        <f t="shared" si="99"/>
        <v xml:space="preserve">Pesticiden en metabolieten </v>
      </c>
      <c r="G2090" t="str">
        <f t="shared" si="100"/>
        <v xml:space="preserve">Pesticiden en humaan toxicologisch relevante metabolieten </v>
      </c>
    </row>
    <row r="2091" spans="1:7" x14ac:dyDescent="0.25">
      <c r="A2091">
        <v>8149</v>
      </c>
      <c r="B2091" t="str">
        <f>"cyromazine"</f>
        <v>cyromazine</v>
      </c>
      <c r="C2091" t="s">
        <v>19016</v>
      </c>
      <c r="D2091" t="str">
        <f>"66215-27-8"</f>
        <v>66215-27-8</v>
      </c>
      <c r="E2091" t="str">
        <f t="shared" si="98"/>
        <v xml:space="preserve">Organische parameters </v>
      </c>
      <c r="F2091" t="str">
        <f t="shared" si="99"/>
        <v xml:space="preserve">Pesticiden en metabolieten </v>
      </c>
      <c r="G2091" t="str">
        <f t="shared" si="100"/>
        <v xml:space="preserve">Pesticiden en humaan toxicologisch relevante metabolieten </v>
      </c>
    </row>
    <row r="2092" spans="1:7" x14ac:dyDescent="0.25">
      <c r="A2092">
        <v>8150</v>
      </c>
      <c r="B2092" t="str">
        <f>"2,4-dichloorfenoxyazijnzuur"</f>
        <v>2,4-dichloorfenoxyazijnzuur</v>
      </c>
      <c r="C2092" t="s">
        <v>19016</v>
      </c>
      <c r="D2092" t="str">
        <f>"94-75-7"</f>
        <v>94-75-7</v>
      </c>
      <c r="E2092" t="str">
        <f t="shared" si="98"/>
        <v xml:space="preserve">Organische parameters </v>
      </c>
      <c r="F2092" t="str">
        <f t="shared" si="99"/>
        <v xml:space="preserve">Pesticiden en metabolieten </v>
      </c>
      <c r="G2092" t="str">
        <f t="shared" si="100"/>
        <v xml:space="preserve">Pesticiden en humaan toxicologisch relevante metabolieten </v>
      </c>
    </row>
    <row r="2093" spans="1:7" x14ac:dyDescent="0.25">
      <c r="A2093">
        <v>8151</v>
      </c>
      <c r="B2093" t="str">
        <f>"2,4-DB (4-(2,4-dichloorfenoxy)boterzuur)"</f>
        <v>2,4-DB (4-(2,4-dichloorfenoxy)boterzuur)</v>
      </c>
      <c r="C2093" t="s">
        <v>19016</v>
      </c>
      <c r="D2093" t="str">
        <f>"94-82-6"</f>
        <v>94-82-6</v>
      </c>
      <c r="E2093" t="str">
        <f t="shared" si="98"/>
        <v xml:space="preserve">Organische parameters </v>
      </c>
      <c r="F2093" t="str">
        <f t="shared" si="99"/>
        <v xml:space="preserve">Pesticiden en metabolieten </v>
      </c>
      <c r="G2093" t="str">
        <f t="shared" si="100"/>
        <v xml:space="preserve">Pesticiden en humaan toxicologisch relevante metabolieten </v>
      </c>
    </row>
    <row r="2094" spans="1:7" x14ac:dyDescent="0.25">
      <c r="A2094">
        <v>8152</v>
      </c>
      <c r="B2094" t="str">
        <f>"2,4-D 1-butylester"</f>
        <v>2,4-D 1-butylester</v>
      </c>
      <c r="C2094" t="s">
        <v>19016</v>
      </c>
      <c r="D2094" t="str">
        <f>"94-80-4"</f>
        <v>94-80-4</v>
      </c>
      <c r="E2094" t="str">
        <f t="shared" si="98"/>
        <v xml:space="preserve">Organische parameters </v>
      </c>
      <c r="F2094" t="str">
        <f t="shared" si="99"/>
        <v xml:space="preserve">Pesticiden en metabolieten </v>
      </c>
      <c r="G2094" t="str">
        <f t="shared" si="100"/>
        <v xml:space="preserve">Pesticiden en humaan toxicologisch relevante metabolieten </v>
      </c>
    </row>
    <row r="2095" spans="1:7" x14ac:dyDescent="0.25">
      <c r="A2095">
        <v>8153</v>
      </c>
      <c r="B2095" t="str">
        <f>"2,4-D butylglycolester"</f>
        <v>2,4-D butylglycolester</v>
      </c>
      <c r="C2095" t="s">
        <v>19016</v>
      </c>
      <c r="D2095" t="str">
        <f>"1929-73-3"</f>
        <v>1929-73-3</v>
      </c>
      <c r="E2095" t="str">
        <f t="shared" si="98"/>
        <v xml:space="preserve">Organische parameters </v>
      </c>
      <c r="F2095" t="str">
        <f t="shared" si="99"/>
        <v xml:space="preserve">Pesticiden en metabolieten </v>
      </c>
      <c r="G2095" t="str">
        <f t="shared" si="100"/>
        <v xml:space="preserve">Pesticiden en humaan toxicologisch relevante metabolieten </v>
      </c>
    </row>
    <row r="2096" spans="1:7" x14ac:dyDescent="0.25">
      <c r="A2096">
        <v>8154</v>
      </c>
      <c r="B2096" t="str">
        <f>"2,4-D iso-butylester"</f>
        <v>2,4-D iso-butylester</v>
      </c>
      <c r="C2096" t="s">
        <v>19016</v>
      </c>
      <c r="D2096" t="str">
        <f>"17-13-15-1"</f>
        <v>17-13-15-1</v>
      </c>
      <c r="E2096" t="str">
        <f t="shared" si="98"/>
        <v xml:space="preserve">Organische parameters </v>
      </c>
      <c r="F2096" t="str">
        <f t="shared" si="99"/>
        <v xml:space="preserve">Pesticiden en metabolieten </v>
      </c>
      <c r="G2096" t="str">
        <f t="shared" si="100"/>
        <v xml:space="preserve">Pesticiden en humaan toxicologisch relevante metabolieten </v>
      </c>
    </row>
    <row r="2097" spans="1:7" x14ac:dyDescent="0.25">
      <c r="A2097">
        <v>8155</v>
      </c>
      <c r="B2097" t="str">
        <f>"2,4-D iso-octylester"</f>
        <v>2,4-D iso-octylester</v>
      </c>
      <c r="C2097" t="s">
        <v>19016</v>
      </c>
      <c r="D2097" t="str">
        <f>"25168-26-7"</f>
        <v>25168-26-7</v>
      </c>
      <c r="E2097" t="str">
        <f t="shared" si="98"/>
        <v xml:space="preserve">Organische parameters </v>
      </c>
      <c r="F2097" t="str">
        <f t="shared" si="99"/>
        <v xml:space="preserve">Pesticiden en metabolieten </v>
      </c>
      <c r="G2097" t="str">
        <f t="shared" si="100"/>
        <v xml:space="preserve">Pesticiden en humaan toxicologisch relevante metabolieten </v>
      </c>
    </row>
    <row r="2098" spans="1:7" x14ac:dyDescent="0.25">
      <c r="A2098">
        <v>8156</v>
      </c>
      <c r="B2098" t="str">
        <f>"2,4-D methylester"</f>
        <v>2,4-D methylester</v>
      </c>
      <c r="C2098" t="s">
        <v>19016</v>
      </c>
      <c r="D2098" t="str">
        <f>"1928-38-7"</f>
        <v>1928-38-7</v>
      </c>
      <c r="E2098" t="str">
        <f t="shared" si="98"/>
        <v xml:space="preserve">Organische parameters </v>
      </c>
      <c r="F2098" t="str">
        <f t="shared" si="99"/>
        <v xml:space="preserve">Pesticiden en metabolieten </v>
      </c>
      <c r="G2098" t="str">
        <f t="shared" si="100"/>
        <v xml:space="preserve">Pesticiden en humaan toxicologisch relevante metabolieten </v>
      </c>
    </row>
    <row r="2099" spans="1:7" x14ac:dyDescent="0.25">
      <c r="A2099">
        <v>8157</v>
      </c>
      <c r="B2099" t="str">
        <f>"2,4-DB methylester"</f>
        <v>2,4-DB methylester</v>
      </c>
      <c r="C2099" t="s">
        <v>19016</v>
      </c>
      <c r="D2099" t="str">
        <f>"18625-12-2"</f>
        <v>18625-12-2</v>
      </c>
      <c r="E2099" t="str">
        <f t="shared" si="98"/>
        <v xml:space="preserve">Organische parameters </v>
      </c>
      <c r="F2099" t="str">
        <f t="shared" si="99"/>
        <v xml:space="preserve">Pesticiden en metabolieten </v>
      </c>
      <c r="G2099" t="str">
        <f t="shared" si="100"/>
        <v xml:space="preserve">Pesticiden en humaan toxicologisch relevante metabolieten </v>
      </c>
    </row>
    <row r="2100" spans="1:7" x14ac:dyDescent="0.25">
      <c r="A2100">
        <v>8158</v>
      </c>
      <c r="B2100" t="str">
        <f>"dalapon (2,2-dichloorpropionzuur)"</f>
        <v>dalapon (2,2-dichloorpropionzuur)</v>
      </c>
      <c r="C2100" t="s">
        <v>19016</v>
      </c>
      <c r="D2100" t="str">
        <f>"75-99-0"</f>
        <v>75-99-0</v>
      </c>
      <c r="E2100" t="str">
        <f t="shared" si="98"/>
        <v xml:space="preserve">Organische parameters </v>
      </c>
      <c r="F2100" t="str">
        <f t="shared" si="99"/>
        <v xml:space="preserve">Pesticiden en metabolieten </v>
      </c>
      <c r="G2100" t="str">
        <f t="shared" si="100"/>
        <v xml:space="preserve">Pesticiden en humaan toxicologisch relevante metabolieten </v>
      </c>
    </row>
    <row r="2101" spans="1:7" x14ac:dyDescent="0.25">
      <c r="A2101">
        <v>8159</v>
      </c>
      <c r="B2101" t="str">
        <f>"daminozide"</f>
        <v>daminozide</v>
      </c>
      <c r="C2101" t="s">
        <v>19016</v>
      </c>
      <c r="D2101" t="str">
        <f>"1596-84-5"</f>
        <v>1596-84-5</v>
      </c>
      <c r="E2101" t="str">
        <f t="shared" si="98"/>
        <v xml:space="preserve">Organische parameters </v>
      </c>
      <c r="F2101" t="str">
        <f t="shared" si="99"/>
        <v xml:space="preserve">Pesticiden en metabolieten </v>
      </c>
      <c r="G2101" t="str">
        <f t="shared" si="100"/>
        <v xml:space="preserve">Pesticiden en humaan toxicologisch relevante metabolieten </v>
      </c>
    </row>
    <row r="2102" spans="1:7" x14ac:dyDescent="0.25">
      <c r="A2102">
        <v>8160</v>
      </c>
      <c r="B2102" t="str">
        <f>"dazomet"</f>
        <v>dazomet</v>
      </c>
      <c r="C2102" t="s">
        <v>19016</v>
      </c>
      <c r="D2102" t="str">
        <f>"533-74-4"</f>
        <v>533-74-4</v>
      </c>
      <c r="E2102" t="str">
        <f t="shared" si="98"/>
        <v xml:space="preserve">Organische parameters </v>
      </c>
      <c r="F2102" t="str">
        <f t="shared" si="99"/>
        <v xml:space="preserve">Pesticiden en metabolieten </v>
      </c>
      <c r="G2102" t="str">
        <f t="shared" si="100"/>
        <v xml:space="preserve">Pesticiden en humaan toxicologisch relevante metabolieten </v>
      </c>
    </row>
    <row r="2103" spans="1:7" x14ac:dyDescent="0.25">
      <c r="A2103">
        <v>8162</v>
      </c>
      <c r="B2103" t="str">
        <f>"o,p-DDD"</f>
        <v>o,p-DDD</v>
      </c>
      <c r="C2103" t="s">
        <v>19016</v>
      </c>
      <c r="D2103" t="str">
        <f>"53-19-0"</f>
        <v>53-19-0</v>
      </c>
      <c r="E2103" t="str">
        <f t="shared" si="98"/>
        <v xml:space="preserve">Organische parameters </v>
      </c>
      <c r="F2103" t="str">
        <f t="shared" si="99"/>
        <v xml:space="preserve">Pesticiden en metabolieten </v>
      </c>
      <c r="G2103" t="str">
        <f t="shared" si="100"/>
        <v xml:space="preserve">Pesticiden en humaan toxicologisch relevante metabolieten </v>
      </c>
    </row>
    <row r="2104" spans="1:7" x14ac:dyDescent="0.25">
      <c r="A2104">
        <v>8163</v>
      </c>
      <c r="B2104" t="str">
        <f>"p,p'-DDD"</f>
        <v>p,p'-DDD</v>
      </c>
      <c r="C2104" t="s">
        <v>19016</v>
      </c>
      <c r="D2104" t="str">
        <f>"72-54-8"</f>
        <v>72-54-8</v>
      </c>
      <c r="E2104" t="str">
        <f t="shared" si="98"/>
        <v xml:space="preserve">Organische parameters </v>
      </c>
      <c r="F2104" t="str">
        <f t="shared" si="99"/>
        <v xml:space="preserve">Pesticiden en metabolieten </v>
      </c>
      <c r="G2104" t="str">
        <f t="shared" si="100"/>
        <v xml:space="preserve">Pesticiden en humaan toxicologisch relevante metabolieten </v>
      </c>
    </row>
    <row r="2105" spans="1:7" x14ac:dyDescent="0.25">
      <c r="A2105">
        <v>8164</v>
      </c>
      <c r="B2105" t="str">
        <f>"o,p'-DDE"</f>
        <v>o,p'-DDE</v>
      </c>
      <c r="C2105" t="s">
        <v>19016</v>
      </c>
      <c r="D2105" t="str">
        <f>"3424-82-6"</f>
        <v>3424-82-6</v>
      </c>
      <c r="E2105" t="str">
        <f t="shared" si="98"/>
        <v xml:space="preserve">Organische parameters </v>
      </c>
      <c r="F2105" t="str">
        <f t="shared" si="99"/>
        <v xml:space="preserve">Pesticiden en metabolieten </v>
      </c>
      <c r="G2105" t="str">
        <f t="shared" si="100"/>
        <v xml:space="preserve">Pesticiden en humaan toxicologisch relevante metabolieten </v>
      </c>
    </row>
    <row r="2106" spans="1:7" x14ac:dyDescent="0.25">
      <c r="A2106">
        <v>8165</v>
      </c>
      <c r="B2106" t="str">
        <f>"p,p'-DDE"</f>
        <v>p,p'-DDE</v>
      </c>
      <c r="C2106" t="s">
        <v>19016</v>
      </c>
      <c r="D2106" t="str">
        <f>"72-55-9"</f>
        <v>72-55-9</v>
      </c>
      <c r="E2106" t="str">
        <f t="shared" si="98"/>
        <v xml:space="preserve">Organische parameters </v>
      </c>
      <c r="F2106" t="str">
        <f t="shared" si="99"/>
        <v xml:space="preserve">Pesticiden en metabolieten </v>
      </c>
      <c r="G2106" t="str">
        <f t="shared" si="100"/>
        <v xml:space="preserve">Pesticiden en humaan toxicologisch relevante metabolieten </v>
      </c>
    </row>
    <row r="2107" spans="1:7" x14ac:dyDescent="0.25">
      <c r="A2107">
        <v>8166</v>
      </c>
      <c r="B2107" t="str">
        <f>"o,p'-DDT"</f>
        <v>o,p'-DDT</v>
      </c>
      <c r="C2107" t="s">
        <v>19016</v>
      </c>
      <c r="D2107" t="str">
        <f>"789-02-6"</f>
        <v>789-02-6</v>
      </c>
      <c r="E2107" t="str">
        <f t="shared" si="98"/>
        <v xml:space="preserve">Organische parameters </v>
      </c>
      <c r="F2107" t="str">
        <f t="shared" si="99"/>
        <v xml:space="preserve">Pesticiden en metabolieten </v>
      </c>
      <c r="G2107" t="str">
        <f t="shared" si="100"/>
        <v xml:space="preserve">Pesticiden en humaan toxicologisch relevante metabolieten </v>
      </c>
    </row>
    <row r="2108" spans="1:7" x14ac:dyDescent="0.25">
      <c r="A2108">
        <v>8167</v>
      </c>
      <c r="B2108" t="str">
        <f>"p,p'-DDT"</f>
        <v>p,p'-DDT</v>
      </c>
      <c r="C2108" t="s">
        <v>19016</v>
      </c>
      <c r="D2108" t="str">
        <f>"50-29-3"</f>
        <v>50-29-3</v>
      </c>
      <c r="E2108" t="str">
        <f t="shared" si="98"/>
        <v xml:space="preserve">Organische parameters </v>
      </c>
      <c r="F2108" t="str">
        <f t="shared" si="99"/>
        <v xml:space="preserve">Pesticiden en metabolieten </v>
      </c>
      <c r="G2108" t="str">
        <f t="shared" si="100"/>
        <v xml:space="preserve">Pesticiden en humaan toxicologisch relevante metabolieten </v>
      </c>
    </row>
    <row r="2109" spans="1:7" x14ac:dyDescent="0.25">
      <c r="A2109">
        <v>8168</v>
      </c>
      <c r="B2109" t="str">
        <f>"decafentin"</f>
        <v>decafentin</v>
      </c>
      <c r="C2109" t="s">
        <v>19016</v>
      </c>
      <c r="D2109" t="str">
        <f>"15652-38-7"</f>
        <v>15652-38-7</v>
      </c>
      <c r="E2109" t="str">
        <f t="shared" si="98"/>
        <v xml:space="preserve">Organische parameters </v>
      </c>
      <c r="F2109" t="str">
        <f t="shared" si="99"/>
        <v xml:space="preserve">Pesticiden en metabolieten </v>
      </c>
      <c r="G2109" t="str">
        <f t="shared" si="100"/>
        <v xml:space="preserve">Pesticiden en humaan toxicologisch relevante metabolieten </v>
      </c>
    </row>
    <row r="2110" spans="1:7" x14ac:dyDescent="0.25">
      <c r="A2110">
        <v>8169</v>
      </c>
      <c r="B2110" t="str">
        <f>"diethyltoluamide"</f>
        <v>diethyltoluamide</v>
      </c>
      <c r="C2110" t="s">
        <v>19016</v>
      </c>
      <c r="D2110" t="str">
        <f>"134-62-3"</f>
        <v>134-62-3</v>
      </c>
      <c r="E2110" t="str">
        <f t="shared" si="98"/>
        <v xml:space="preserve">Organische parameters </v>
      </c>
      <c r="F2110" t="str">
        <f t="shared" si="99"/>
        <v xml:space="preserve">Pesticiden en metabolieten </v>
      </c>
      <c r="G2110" t="str">
        <f t="shared" si="100"/>
        <v xml:space="preserve">Pesticiden en humaan toxicologisch relevante metabolieten </v>
      </c>
    </row>
    <row r="2111" spans="1:7" x14ac:dyDescent="0.25">
      <c r="A2111">
        <v>8170</v>
      </c>
      <c r="B2111" t="str">
        <f>"deltamethrin"</f>
        <v>deltamethrin</v>
      </c>
      <c r="C2111" t="s">
        <v>19016</v>
      </c>
      <c r="D2111" t="str">
        <f>"52918-63-5"</f>
        <v>52918-63-5</v>
      </c>
      <c r="E2111" t="str">
        <f t="shared" si="98"/>
        <v xml:space="preserve">Organische parameters </v>
      </c>
      <c r="F2111" t="str">
        <f t="shared" si="99"/>
        <v xml:space="preserve">Pesticiden en metabolieten </v>
      </c>
      <c r="G2111" t="str">
        <f t="shared" si="100"/>
        <v xml:space="preserve">Pesticiden en humaan toxicologisch relevante metabolieten </v>
      </c>
    </row>
    <row r="2112" spans="1:7" x14ac:dyDescent="0.25">
      <c r="A2112">
        <v>8171</v>
      </c>
      <c r="B2112" t="str">
        <f>"demefion"</f>
        <v>demefion</v>
      </c>
      <c r="C2112" t="s">
        <v>19016</v>
      </c>
      <c r="D2112" t="str">
        <f>"8065-62-1"</f>
        <v>8065-62-1</v>
      </c>
      <c r="E2112" t="str">
        <f t="shared" si="98"/>
        <v xml:space="preserve">Organische parameters </v>
      </c>
      <c r="F2112" t="str">
        <f t="shared" si="99"/>
        <v xml:space="preserve">Pesticiden en metabolieten </v>
      </c>
      <c r="G2112" t="str">
        <f t="shared" si="100"/>
        <v xml:space="preserve">Pesticiden en humaan toxicologisch relevante metabolieten </v>
      </c>
    </row>
    <row r="2113" spans="1:7" x14ac:dyDescent="0.25">
      <c r="A2113">
        <v>8172</v>
      </c>
      <c r="B2113" t="str">
        <f>"demeton"</f>
        <v>demeton</v>
      </c>
      <c r="C2113" t="s">
        <v>19016</v>
      </c>
      <c r="D2113" t="str">
        <f>"8065-48-3"</f>
        <v>8065-48-3</v>
      </c>
      <c r="E2113" t="str">
        <f t="shared" si="98"/>
        <v xml:space="preserve">Organische parameters </v>
      </c>
      <c r="F2113" t="str">
        <f t="shared" si="99"/>
        <v xml:space="preserve">Pesticiden en metabolieten </v>
      </c>
      <c r="G2113" t="str">
        <f t="shared" si="100"/>
        <v xml:space="preserve">Pesticiden en humaan toxicologisch relevante metabolieten </v>
      </c>
    </row>
    <row r="2114" spans="1:7" x14ac:dyDescent="0.25">
      <c r="A2114">
        <v>8173</v>
      </c>
      <c r="B2114" t="str">
        <f>"demeton-S-methyl"</f>
        <v>demeton-S-methyl</v>
      </c>
      <c r="C2114" t="s">
        <v>19016</v>
      </c>
      <c r="D2114" t="str">
        <f>"919-86-8"</f>
        <v>919-86-8</v>
      </c>
      <c r="E2114" t="str">
        <f t="shared" si="98"/>
        <v xml:space="preserve">Organische parameters </v>
      </c>
      <c r="F2114" t="str">
        <f t="shared" si="99"/>
        <v xml:space="preserve">Pesticiden en metabolieten </v>
      </c>
      <c r="G2114" t="str">
        <f t="shared" si="100"/>
        <v xml:space="preserve">Pesticiden en humaan toxicologisch relevante metabolieten </v>
      </c>
    </row>
    <row r="2115" spans="1:7" x14ac:dyDescent="0.25">
      <c r="A2115">
        <v>8174</v>
      </c>
      <c r="B2115" t="str">
        <f>"demeton-S-methylsulfon"</f>
        <v>demeton-S-methylsulfon</v>
      </c>
      <c r="C2115" t="s">
        <v>19016</v>
      </c>
      <c r="D2115" t="str">
        <f>"17040-19-6"</f>
        <v>17040-19-6</v>
      </c>
      <c r="E2115" t="str">
        <f t="shared" si="98"/>
        <v xml:space="preserve">Organische parameters </v>
      </c>
      <c r="F2115" t="str">
        <f t="shared" ref="F2115:F2141" si="101">"Pesticiden en metabolieten "</f>
        <v xml:space="preserve">Pesticiden en metabolieten </v>
      </c>
      <c r="G2115" t="str">
        <f t="shared" ref="G2115:G2135" si="102">"Pesticiden en humaan toxicologisch relevante metabolieten "</f>
        <v xml:space="preserve">Pesticiden en humaan toxicologisch relevante metabolieten </v>
      </c>
    </row>
    <row r="2116" spans="1:7" x14ac:dyDescent="0.25">
      <c r="A2116">
        <v>8176</v>
      </c>
      <c r="B2116" t="str">
        <f>"desethylatrazin"</f>
        <v>desethylatrazin</v>
      </c>
      <c r="C2116" t="s">
        <v>19016</v>
      </c>
      <c r="D2116" t="str">
        <f>"6190-65-4"</f>
        <v>6190-65-4</v>
      </c>
      <c r="E2116" t="str">
        <f t="shared" si="98"/>
        <v xml:space="preserve">Organische parameters </v>
      </c>
      <c r="F2116" t="str">
        <f t="shared" si="101"/>
        <v xml:space="preserve">Pesticiden en metabolieten </v>
      </c>
      <c r="G2116" t="str">
        <f t="shared" si="102"/>
        <v xml:space="preserve">Pesticiden en humaan toxicologisch relevante metabolieten </v>
      </c>
    </row>
    <row r="2117" spans="1:7" x14ac:dyDescent="0.25">
      <c r="A2117">
        <v>8177</v>
      </c>
      <c r="B2117" t="str">
        <f>"desethylterbutylatrazin"</f>
        <v>desethylterbutylatrazin</v>
      </c>
      <c r="C2117" t="s">
        <v>19016</v>
      </c>
      <c r="D2117" t="str">
        <f>""</f>
        <v/>
      </c>
      <c r="E2117" t="str">
        <f t="shared" si="98"/>
        <v xml:space="preserve">Organische parameters </v>
      </c>
      <c r="F2117" t="str">
        <f t="shared" si="101"/>
        <v xml:space="preserve">Pesticiden en metabolieten </v>
      </c>
      <c r="G2117" t="str">
        <f t="shared" si="102"/>
        <v xml:space="preserve">Pesticiden en humaan toxicologisch relevante metabolieten </v>
      </c>
    </row>
    <row r="2118" spans="1:7" x14ac:dyDescent="0.25">
      <c r="A2118">
        <v>8178</v>
      </c>
      <c r="B2118" t="str">
        <f>"desisopropylatrazin"</f>
        <v>desisopropylatrazin</v>
      </c>
      <c r="C2118" t="s">
        <v>19016</v>
      </c>
      <c r="D2118" t="str">
        <f>"1007-28-9"</f>
        <v>1007-28-9</v>
      </c>
      <c r="E2118" t="str">
        <f t="shared" si="98"/>
        <v xml:space="preserve">Organische parameters </v>
      </c>
      <c r="F2118" t="str">
        <f t="shared" si="101"/>
        <v xml:space="preserve">Pesticiden en metabolieten </v>
      </c>
      <c r="G2118" t="str">
        <f t="shared" si="102"/>
        <v xml:space="preserve">Pesticiden en humaan toxicologisch relevante metabolieten </v>
      </c>
    </row>
    <row r="2119" spans="1:7" x14ac:dyDescent="0.25">
      <c r="A2119">
        <v>8179</v>
      </c>
      <c r="B2119" t="str">
        <f>"desmedifam"</f>
        <v>desmedifam</v>
      </c>
      <c r="C2119" t="s">
        <v>19016</v>
      </c>
      <c r="D2119" t="str">
        <f>"13684-56-5"</f>
        <v>13684-56-5</v>
      </c>
      <c r="E2119" t="str">
        <f t="shared" si="98"/>
        <v xml:space="preserve">Organische parameters </v>
      </c>
      <c r="F2119" t="str">
        <f t="shared" si="101"/>
        <v xml:space="preserve">Pesticiden en metabolieten </v>
      </c>
      <c r="G2119" t="str">
        <f t="shared" si="102"/>
        <v xml:space="preserve">Pesticiden en humaan toxicologisch relevante metabolieten </v>
      </c>
    </row>
    <row r="2120" spans="1:7" x14ac:dyDescent="0.25">
      <c r="A2120">
        <v>8180</v>
      </c>
      <c r="B2120" t="str">
        <f>"desmetryn"</f>
        <v>desmetryn</v>
      </c>
      <c r="C2120" t="s">
        <v>19016</v>
      </c>
      <c r="D2120" t="str">
        <f>"1014-69-3"</f>
        <v>1014-69-3</v>
      </c>
      <c r="E2120" t="str">
        <f t="shared" si="98"/>
        <v xml:space="preserve">Organische parameters </v>
      </c>
      <c r="F2120" t="str">
        <f t="shared" si="101"/>
        <v xml:space="preserve">Pesticiden en metabolieten </v>
      </c>
      <c r="G2120" t="str">
        <f t="shared" si="102"/>
        <v xml:space="preserve">Pesticiden en humaan toxicologisch relevante metabolieten </v>
      </c>
    </row>
    <row r="2121" spans="1:7" x14ac:dyDescent="0.25">
      <c r="A2121">
        <v>8182</v>
      </c>
      <c r="B2121" t="str">
        <f>"dialifos"</f>
        <v>dialifos</v>
      </c>
      <c r="C2121" t="s">
        <v>19016</v>
      </c>
      <c r="D2121" t="str">
        <f>"10311-84-9"</f>
        <v>10311-84-9</v>
      </c>
      <c r="E2121" t="str">
        <f t="shared" si="98"/>
        <v xml:space="preserve">Organische parameters </v>
      </c>
      <c r="F2121" t="str">
        <f t="shared" si="101"/>
        <v xml:space="preserve">Pesticiden en metabolieten </v>
      </c>
      <c r="G2121" t="str">
        <f t="shared" si="102"/>
        <v xml:space="preserve">Pesticiden en humaan toxicologisch relevante metabolieten </v>
      </c>
    </row>
    <row r="2122" spans="1:7" x14ac:dyDescent="0.25">
      <c r="A2122">
        <v>8183</v>
      </c>
      <c r="B2122" t="str">
        <f>"diamino-o-cresol"</f>
        <v>diamino-o-cresol</v>
      </c>
      <c r="C2122" t="s">
        <v>19016</v>
      </c>
      <c r="D2122" t="str">
        <f>"15872-73-8"</f>
        <v>15872-73-8</v>
      </c>
      <c r="E2122" t="str">
        <f t="shared" si="98"/>
        <v xml:space="preserve">Organische parameters </v>
      </c>
      <c r="F2122" t="str">
        <f t="shared" si="101"/>
        <v xml:space="preserve">Pesticiden en metabolieten </v>
      </c>
      <c r="G2122" t="str">
        <f t="shared" si="102"/>
        <v xml:space="preserve">Pesticiden en humaan toxicologisch relevante metabolieten </v>
      </c>
    </row>
    <row r="2123" spans="1:7" x14ac:dyDescent="0.25">
      <c r="A2123">
        <v>8184</v>
      </c>
      <c r="B2123" t="str">
        <f>"diallaat"</f>
        <v>diallaat</v>
      </c>
      <c r="C2123" t="s">
        <v>19016</v>
      </c>
      <c r="D2123" t="str">
        <f>"2303-16-4"</f>
        <v>2303-16-4</v>
      </c>
      <c r="E2123" t="str">
        <f t="shared" si="98"/>
        <v xml:space="preserve">Organische parameters </v>
      </c>
      <c r="F2123" t="str">
        <f t="shared" si="101"/>
        <v xml:space="preserve">Pesticiden en metabolieten </v>
      </c>
      <c r="G2123" t="str">
        <f t="shared" si="102"/>
        <v xml:space="preserve">Pesticiden en humaan toxicologisch relevante metabolieten </v>
      </c>
    </row>
    <row r="2124" spans="1:7" x14ac:dyDescent="0.25">
      <c r="A2124">
        <v>8185</v>
      </c>
      <c r="B2124" t="str">
        <f>"diazinon"</f>
        <v>diazinon</v>
      </c>
      <c r="C2124" t="s">
        <v>19016</v>
      </c>
      <c r="D2124" t="str">
        <f>"333-41-5"</f>
        <v>333-41-5</v>
      </c>
      <c r="E2124" t="str">
        <f t="shared" si="98"/>
        <v xml:space="preserve">Organische parameters </v>
      </c>
      <c r="F2124" t="str">
        <f t="shared" si="101"/>
        <v xml:space="preserve">Pesticiden en metabolieten </v>
      </c>
      <c r="G2124" t="str">
        <f t="shared" si="102"/>
        <v xml:space="preserve">Pesticiden en humaan toxicologisch relevante metabolieten </v>
      </c>
    </row>
    <row r="2125" spans="1:7" x14ac:dyDescent="0.25">
      <c r="A2125">
        <v>8188</v>
      </c>
      <c r="B2125" t="str">
        <f>"dicamba"</f>
        <v>dicamba</v>
      </c>
      <c r="C2125" t="s">
        <v>19016</v>
      </c>
      <c r="D2125" t="str">
        <f>"1918-00-9"</f>
        <v>1918-00-9</v>
      </c>
      <c r="E2125" t="str">
        <f t="shared" si="98"/>
        <v xml:space="preserve">Organische parameters </v>
      </c>
      <c r="F2125" t="str">
        <f t="shared" si="101"/>
        <v xml:space="preserve">Pesticiden en metabolieten </v>
      </c>
      <c r="G2125" t="str">
        <f t="shared" si="102"/>
        <v xml:space="preserve">Pesticiden en humaan toxicologisch relevante metabolieten </v>
      </c>
    </row>
    <row r="2126" spans="1:7" x14ac:dyDescent="0.25">
      <c r="A2126">
        <v>8189</v>
      </c>
      <c r="B2126" t="str">
        <f>"dichlobenil"</f>
        <v>dichlobenil</v>
      </c>
      <c r="C2126" t="s">
        <v>19016</v>
      </c>
      <c r="D2126" t="str">
        <f>"1194-65-6"</f>
        <v>1194-65-6</v>
      </c>
      <c r="E2126" t="str">
        <f t="shared" si="98"/>
        <v xml:space="preserve">Organische parameters </v>
      </c>
      <c r="F2126" t="str">
        <f t="shared" si="101"/>
        <v xml:space="preserve">Pesticiden en metabolieten </v>
      </c>
      <c r="G2126" t="str">
        <f t="shared" si="102"/>
        <v xml:space="preserve">Pesticiden en humaan toxicologisch relevante metabolieten </v>
      </c>
    </row>
    <row r="2127" spans="1:7" x14ac:dyDescent="0.25">
      <c r="A2127">
        <v>8190</v>
      </c>
      <c r="B2127" t="str">
        <f>"dichlofenthion"</f>
        <v>dichlofenthion</v>
      </c>
      <c r="C2127" t="s">
        <v>19016</v>
      </c>
      <c r="D2127" t="str">
        <f>"97-17-6"</f>
        <v>97-17-6</v>
      </c>
      <c r="E2127" t="str">
        <f t="shared" si="98"/>
        <v xml:space="preserve">Organische parameters </v>
      </c>
      <c r="F2127" t="str">
        <f t="shared" si="101"/>
        <v xml:space="preserve">Pesticiden en metabolieten </v>
      </c>
      <c r="G2127" t="str">
        <f t="shared" si="102"/>
        <v xml:space="preserve">Pesticiden en humaan toxicologisch relevante metabolieten </v>
      </c>
    </row>
    <row r="2128" spans="1:7" x14ac:dyDescent="0.25">
      <c r="A2128">
        <v>8191</v>
      </c>
      <c r="B2128" t="str">
        <f>"dichlofluanide"</f>
        <v>dichlofluanide</v>
      </c>
      <c r="C2128" t="s">
        <v>19016</v>
      </c>
      <c r="D2128" t="str">
        <f>"1085-98-9"</f>
        <v>1085-98-9</v>
      </c>
      <c r="E2128" t="str">
        <f t="shared" si="98"/>
        <v xml:space="preserve">Organische parameters </v>
      </c>
      <c r="F2128" t="str">
        <f t="shared" si="101"/>
        <v xml:space="preserve">Pesticiden en metabolieten </v>
      </c>
      <c r="G2128" t="str">
        <f t="shared" si="102"/>
        <v xml:space="preserve">Pesticiden en humaan toxicologisch relevante metabolieten </v>
      </c>
    </row>
    <row r="2129" spans="1:7" x14ac:dyDescent="0.25">
      <c r="A2129">
        <v>8192</v>
      </c>
      <c r="B2129" t="str">
        <f>"dichlofob-methyl"</f>
        <v>dichlofob-methyl</v>
      </c>
      <c r="C2129" t="s">
        <v>19016</v>
      </c>
      <c r="D2129" t="str">
        <f>""</f>
        <v/>
      </c>
      <c r="E2129" t="str">
        <f t="shared" si="98"/>
        <v xml:space="preserve">Organische parameters </v>
      </c>
      <c r="F2129" t="str">
        <f t="shared" si="101"/>
        <v xml:space="preserve">Pesticiden en metabolieten </v>
      </c>
      <c r="G2129" t="str">
        <f t="shared" si="102"/>
        <v xml:space="preserve">Pesticiden en humaan toxicologisch relevante metabolieten </v>
      </c>
    </row>
    <row r="2130" spans="1:7" x14ac:dyDescent="0.25">
      <c r="A2130">
        <v>8193</v>
      </c>
      <c r="B2130" t="str">
        <f>"diclone"</f>
        <v>diclone</v>
      </c>
      <c r="C2130" t="s">
        <v>19016</v>
      </c>
      <c r="D2130" t="str">
        <f>"117-80-6"</f>
        <v>117-80-6</v>
      </c>
      <c r="E2130" t="str">
        <f t="shared" si="98"/>
        <v xml:space="preserve">Organische parameters </v>
      </c>
      <c r="F2130" t="str">
        <f t="shared" si="101"/>
        <v xml:space="preserve">Pesticiden en metabolieten </v>
      </c>
      <c r="G2130" t="str">
        <f t="shared" si="102"/>
        <v xml:space="preserve">Pesticiden en humaan toxicologisch relevante metabolieten </v>
      </c>
    </row>
    <row r="2131" spans="1:7" x14ac:dyDescent="0.25">
      <c r="A2131">
        <v>8194</v>
      </c>
      <c r="B2131" t="str">
        <f>"dichlooraceetamide"</f>
        <v>dichlooraceetamide</v>
      </c>
      <c r="C2131" t="s">
        <v>19016</v>
      </c>
      <c r="D2131" t="str">
        <f>"683-72-7"</f>
        <v>683-72-7</v>
      </c>
      <c r="E2131" t="str">
        <f t="shared" si="98"/>
        <v xml:space="preserve">Organische parameters </v>
      </c>
      <c r="F2131" t="str">
        <f t="shared" si="101"/>
        <v xml:space="preserve">Pesticiden en metabolieten </v>
      </c>
      <c r="G2131" t="str">
        <f t="shared" si="102"/>
        <v xml:space="preserve">Pesticiden en humaan toxicologisch relevante metabolieten </v>
      </c>
    </row>
    <row r="2132" spans="1:7" x14ac:dyDescent="0.25">
      <c r="A2132">
        <v>8195</v>
      </c>
      <c r="B2132" t="str">
        <f>"2,4-dichlooraniline"</f>
        <v>2,4-dichlooraniline</v>
      </c>
      <c r="C2132" t="s">
        <v>19016</v>
      </c>
      <c r="D2132" t="str">
        <f>"554-00-7"</f>
        <v>554-00-7</v>
      </c>
      <c r="E2132" t="str">
        <f t="shared" si="98"/>
        <v xml:space="preserve">Organische parameters </v>
      </c>
      <c r="F2132" t="str">
        <f t="shared" si="101"/>
        <v xml:space="preserve">Pesticiden en metabolieten </v>
      </c>
      <c r="G2132" t="str">
        <f t="shared" si="102"/>
        <v xml:space="preserve">Pesticiden en humaan toxicologisch relevante metabolieten </v>
      </c>
    </row>
    <row r="2133" spans="1:7" x14ac:dyDescent="0.25">
      <c r="A2133">
        <v>8196</v>
      </c>
      <c r="B2133" t="str">
        <f>"2,6-dichlooraniline"</f>
        <v>2,6-dichlooraniline</v>
      </c>
      <c r="C2133" t="s">
        <v>19016</v>
      </c>
      <c r="D2133" t="str">
        <f>"608-31-1"</f>
        <v>608-31-1</v>
      </c>
      <c r="E2133" t="str">
        <f t="shared" si="98"/>
        <v xml:space="preserve">Organische parameters </v>
      </c>
      <c r="F2133" t="str">
        <f t="shared" si="101"/>
        <v xml:space="preserve">Pesticiden en metabolieten </v>
      </c>
      <c r="G2133" t="str">
        <f t="shared" si="102"/>
        <v xml:space="preserve">Pesticiden en humaan toxicologisch relevante metabolieten </v>
      </c>
    </row>
    <row r="2134" spans="1:7" x14ac:dyDescent="0.25">
      <c r="A2134">
        <v>8197</v>
      </c>
      <c r="B2134" t="str">
        <f>"3,4-dichlooraniline"</f>
        <v>3,4-dichlooraniline</v>
      </c>
      <c r="C2134" t="s">
        <v>19016</v>
      </c>
      <c r="D2134" t="str">
        <f>"95-76-1"</f>
        <v>95-76-1</v>
      </c>
      <c r="E2134" t="str">
        <f t="shared" si="98"/>
        <v xml:space="preserve">Organische parameters </v>
      </c>
      <c r="F2134" t="str">
        <f t="shared" si="101"/>
        <v xml:space="preserve">Pesticiden en metabolieten </v>
      </c>
      <c r="G2134" t="str">
        <f t="shared" si="102"/>
        <v xml:space="preserve">Pesticiden en humaan toxicologisch relevante metabolieten </v>
      </c>
    </row>
    <row r="2135" spans="1:7" x14ac:dyDescent="0.25">
      <c r="A2135">
        <v>8198</v>
      </c>
      <c r="B2135" t="str">
        <f>"3,5-dichlooraniline"</f>
        <v>3,5-dichlooraniline</v>
      </c>
      <c r="C2135" t="s">
        <v>19016</v>
      </c>
      <c r="D2135" t="str">
        <f>"626-43-7"</f>
        <v>626-43-7</v>
      </c>
      <c r="E2135" t="str">
        <f t="shared" si="98"/>
        <v xml:space="preserve">Organische parameters </v>
      </c>
      <c r="F2135" t="str">
        <f t="shared" si="101"/>
        <v xml:space="preserve">Pesticiden en metabolieten </v>
      </c>
      <c r="G2135" t="str">
        <f t="shared" si="102"/>
        <v xml:space="preserve">Pesticiden en humaan toxicologisch relevante metabolieten </v>
      </c>
    </row>
    <row r="2136" spans="1:7" x14ac:dyDescent="0.25">
      <c r="A2136">
        <v>8199</v>
      </c>
      <c r="B2136" t="str">
        <f>"2,6-dichloorbenzamide"</f>
        <v>2,6-dichloorbenzamide</v>
      </c>
      <c r="C2136" t="s">
        <v>19016</v>
      </c>
      <c r="D2136" t="str">
        <f>"2008-58-4"</f>
        <v>2008-58-4</v>
      </c>
      <c r="E2136" t="str">
        <f t="shared" si="98"/>
        <v xml:space="preserve">Organische parameters </v>
      </c>
      <c r="F2136" t="str">
        <f t="shared" si="101"/>
        <v xml:space="preserve">Pesticiden en metabolieten </v>
      </c>
      <c r="G2136" t="str">
        <f>"Niet humaan toxicologisch relevante metabolieten "</f>
        <v xml:space="preserve">Niet humaan toxicologisch relevante metabolieten </v>
      </c>
    </row>
    <row r="2137" spans="1:7" x14ac:dyDescent="0.25">
      <c r="A2137">
        <v>8200</v>
      </c>
      <c r="B2137" t="str">
        <f>"2,5-dichloorbenzoëzuur"</f>
        <v>2,5-dichloorbenzoëzuur</v>
      </c>
      <c r="C2137" t="s">
        <v>19016</v>
      </c>
      <c r="D2137" t="str">
        <f>"2905-69-3"</f>
        <v>2905-69-3</v>
      </c>
      <c r="E2137" t="str">
        <f t="shared" si="98"/>
        <v xml:space="preserve">Organische parameters </v>
      </c>
      <c r="F2137" t="str">
        <f t="shared" si="101"/>
        <v xml:space="preserve">Pesticiden en metabolieten </v>
      </c>
      <c r="G2137" t="str">
        <f>"Pesticiden en humaan toxicologisch relevante metabolieten "</f>
        <v xml:space="preserve">Pesticiden en humaan toxicologisch relevante metabolieten </v>
      </c>
    </row>
    <row r="2138" spans="1:7" x14ac:dyDescent="0.25">
      <c r="A2138">
        <v>8201</v>
      </c>
      <c r="B2138" t="str">
        <f>"dichloor-chloorfenylaminotriazine"</f>
        <v>dichloor-chloorfenylaminotriazine</v>
      </c>
      <c r="C2138" t="s">
        <v>19016</v>
      </c>
      <c r="D2138" t="str">
        <f>""</f>
        <v/>
      </c>
      <c r="E2138" t="str">
        <f t="shared" si="98"/>
        <v xml:space="preserve">Organische parameters </v>
      </c>
      <c r="F2138" t="str">
        <f t="shared" si="101"/>
        <v xml:space="preserve">Pesticiden en metabolieten </v>
      </c>
      <c r="G2138" t="str">
        <f>"Pesticiden en humaan toxicologisch relevante metabolieten "</f>
        <v xml:space="preserve">Pesticiden en humaan toxicologisch relevante metabolieten </v>
      </c>
    </row>
    <row r="2139" spans="1:7" x14ac:dyDescent="0.25">
      <c r="A2139">
        <v>8202</v>
      </c>
      <c r="B2139" t="str">
        <f>"2,4-dichloorfenol"</f>
        <v>2,4-dichloorfenol</v>
      </c>
      <c r="C2139" t="s">
        <v>19016</v>
      </c>
      <c r="D2139" t="str">
        <f>"120-83-2"</f>
        <v>120-83-2</v>
      </c>
      <c r="E2139" t="str">
        <f t="shared" si="98"/>
        <v xml:space="preserve">Organische parameters </v>
      </c>
      <c r="F2139" t="str">
        <f t="shared" si="101"/>
        <v xml:space="preserve">Pesticiden en metabolieten </v>
      </c>
      <c r="G2139" t="str">
        <f>"Pesticiden en humaan toxicologisch relevante metabolieten "</f>
        <v xml:space="preserve">Pesticiden en humaan toxicologisch relevante metabolieten </v>
      </c>
    </row>
    <row r="2140" spans="1:7" x14ac:dyDescent="0.25">
      <c r="A2140">
        <v>8203</v>
      </c>
      <c r="B2140" t="str">
        <f>"2,4-dichloor-4-methylfenol"</f>
        <v>2,4-dichloor-4-methylfenol</v>
      </c>
      <c r="C2140" t="s">
        <v>19016</v>
      </c>
      <c r="D2140" t="str">
        <f>""</f>
        <v/>
      </c>
      <c r="E2140" t="str">
        <f t="shared" si="98"/>
        <v xml:space="preserve">Organische parameters </v>
      </c>
      <c r="F2140" t="str">
        <f t="shared" si="101"/>
        <v xml:space="preserve">Pesticiden en metabolieten </v>
      </c>
      <c r="G2140" t="str">
        <f>"Pesticiden en humaan toxicologisch relevante metabolieten "</f>
        <v xml:space="preserve">Pesticiden en humaan toxicologisch relevante metabolieten </v>
      </c>
    </row>
    <row r="2141" spans="1:7" x14ac:dyDescent="0.25">
      <c r="A2141">
        <v>8204</v>
      </c>
      <c r="B2141" t="str">
        <f>"dichloorprop (2,4-DP)"</f>
        <v>dichloorprop (2,4-DP)</v>
      </c>
      <c r="C2141" t="s">
        <v>19016</v>
      </c>
      <c r="D2141" t="str">
        <f>"120-36-5"</f>
        <v>120-36-5</v>
      </c>
      <c r="E2141" t="str">
        <f t="shared" si="98"/>
        <v xml:space="preserve">Organische parameters </v>
      </c>
      <c r="F2141" t="str">
        <f t="shared" si="101"/>
        <v xml:space="preserve">Pesticiden en metabolieten </v>
      </c>
      <c r="G2141" t="str">
        <f>"Pesticiden en humaan toxicologisch relevante metabolieten "</f>
        <v xml:space="preserve">Pesticiden en humaan toxicologisch relevante metabolieten </v>
      </c>
    </row>
    <row r="2142" spans="1:7" x14ac:dyDescent="0.25">
      <c r="A2142">
        <v>8205</v>
      </c>
      <c r="B2142" t="str">
        <f>"1,2-dichloorpropaan"</f>
        <v>1,2-dichloorpropaan</v>
      </c>
      <c r="C2142" t="s">
        <v>19016</v>
      </c>
      <c r="D2142" t="str">
        <f>"78-87-5"</f>
        <v>78-87-5</v>
      </c>
      <c r="E2142" t="str">
        <f t="shared" si="98"/>
        <v xml:space="preserve">Organische parameters </v>
      </c>
      <c r="F2142" t="str">
        <f>"Gehalogeneerde alifatische koolwaterstoffen "</f>
        <v xml:space="preserve">Gehalogeneerde alifatische koolwaterstoffen </v>
      </c>
      <c r="G2142" t="str">
        <f>"Overige gehalogeneerde alifatische koolwaterstoffen "</f>
        <v xml:space="preserve">Overige gehalogeneerde alifatische koolwaterstoffen </v>
      </c>
    </row>
    <row r="2143" spans="1:7" x14ac:dyDescent="0.25">
      <c r="A2143">
        <v>8206</v>
      </c>
      <c r="B2143" t="str">
        <f>"1,3-dichloorpropaan"</f>
        <v>1,3-dichloorpropaan</v>
      </c>
      <c r="C2143" t="s">
        <v>19016</v>
      </c>
      <c r="D2143" t="str">
        <f>"142-28-9"</f>
        <v>142-28-9</v>
      </c>
      <c r="E2143" t="str">
        <f t="shared" ref="E2143:E2206" si="103">"Organische parameters "</f>
        <v xml:space="preserve">Organische parameters </v>
      </c>
      <c r="F2143" t="str">
        <f>"Gehalogeneerde alifatische koolwaterstoffen "</f>
        <v xml:space="preserve">Gehalogeneerde alifatische koolwaterstoffen </v>
      </c>
      <c r="G2143" t="str">
        <f>"Overige gehalogeneerde alifatische koolwaterstoffen "</f>
        <v xml:space="preserve">Overige gehalogeneerde alifatische koolwaterstoffen </v>
      </c>
    </row>
    <row r="2144" spans="1:7" x14ac:dyDescent="0.25">
      <c r="A2144">
        <v>8207</v>
      </c>
      <c r="B2144" t="str">
        <f>"1,3-dichloorpropeen"</f>
        <v>1,3-dichloorpropeen</v>
      </c>
      <c r="C2144" t="s">
        <v>19016</v>
      </c>
      <c r="D2144" t="str">
        <f>"542-75-6"</f>
        <v>542-75-6</v>
      </c>
      <c r="E2144" t="str">
        <f t="shared" si="103"/>
        <v xml:space="preserve">Organische parameters </v>
      </c>
      <c r="F2144" t="str">
        <f>"Gehalogeneerde alifatische koolwaterstoffen "</f>
        <v xml:space="preserve">Gehalogeneerde alifatische koolwaterstoffen </v>
      </c>
      <c r="G2144" t="str">
        <f>"Overige gehalogeneerde alifatische koolwaterstoffen "</f>
        <v xml:space="preserve">Overige gehalogeneerde alifatische koolwaterstoffen </v>
      </c>
    </row>
    <row r="2145" spans="1:7" x14ac:dyDescent="0.25">
      <c r="A2145">
        <v>8208</v>
      </c>
      <c r="B2145" t="str">
        <f>"dichloor-s-triazine"</f>
        <v>dichloor-s-triazine</v>
      </c>
      <c r="C2145" t="s">
        <v>19016</v>
      </c>
      <c r="D2145" t="str">
        <f>"2831-66-5"</f>
        <v>2831-66-5</v>
      </c>
      <c r="E2145" t="str">
        <f t="shared" si="103"/>
        <v xml:space="preserve">Organische parameters </v>
      </c>
      <c r="F2145" t="str">
        <f t="shared" ref="F2145:F2208" si="104">"Pesticiden en metabolieten "</f>
        <v xml:space="preserve">Pesticiden en metabolieten </v>
      </c>
      <c r="G2145" t="str">
        <f t="shared" ref="G2145:G2208" si="105">"Pesticiden en humaan toxicologisch relevante metabolieten "</f>
        <v xml:space="preserve">Pesticiden en humaan toxicologisch relevante metabolieten </v>
      </c>
    </row>
    <row r="2146" spans="1:7" x14ac:dyDescent="0.25">
      <c r="A2146">
        <v>8209</v>
      </c>
      <c r="B2146" t="str">
        <f>"dichloorvos"</f>
        <v>dichloorvos</v>
      </c>
      <c r="C2146" t="s">
        <v>19016</v>
      </c>
      <c r="D2146" t="str">
        <f>"62-73-7"</f>
        <v>62-73-7</v>
      </c>
      <c r="E2146" t="str">
        <f t="shared" si="103"/>
        <v xml:space="preserve">Organische parameters </v>
      </c>
      <c r="F2146" t="str">
        <f t="shared" si="104"/>
        <v xml:space="preserve">Pesticiden en metabolieten </v>
      </c>
      <c r="G2146" t="str">
        <f t="shared" si="105"/>
        <v xml:space="preserve">Pesticiden en humaan toxicologisch relevante metabolieten </v>
      </c>
    </row>
    <row r="2147" spans="1:7" x14ac:dyDescent="0.25">
      <c r="A2147">
        <v>8210</v>
      </c>
      <c r="B2147" t="str">
        <f>"dichlorofeen"</f>
        <v>dichlorofeen</v>
      </c>
      <c r="C2147" t="s">
        <v>19016</v>
      </c>
      <c r="D2147" t="str">
        <f>"97-23-4"</f>
        <v>97-23-4</v>
      </c>
      <c r="E2147" t="str">
        <f t="shared" si="103"/>
        <v xml:space="preserve">Organische parameters </v>
      </c>
      <c r="F2147" t="str">
        <f t="shared" si="104"/>
        <v xml:space="preserve">Pesticiden en metabolieten </v>
      </c>
      <c r="G2147" t="str">
        <f t="shared" si="105"/>
        <v xml:space="preserve">Pesticiden en humaan toxicologisch relevante metabolieten </v>
      </c>
    </row>
    <row r="2148" spans="1:7" x14ac:dyDescent="0.25">
      <c r="A2148">
        <v>8211</v>
      </c>
      <c r="B2148" t="str">
        <f>"dichloran"</f>
        <v>dichloran</v>
      </c>
      <c r="C2148" t="s">
        <v>19016</v>
      </c>
      <c r="D2148" t="str">
        <f>"81859-29-2"</f>
        <v>81859-29-2</v>
      </c>
      <c r="E2148" t="str">
        <f t="shared" si="103"/>
        <v xml:space="preserve">Organische parameters </v>
      </c>
      <c r="F2148" t="str">
        <f t="shared" si="104"/>
        <v xml:space="preserve">Pesticiden en metabolieten </v>
      </c>
      <c r="G2148" t="str">
        <f t="shared" si="105"/>
        <v xml:space="preserve">Pesticiden en humaan toxicologisch relevante metabolieten </v>
      </c>
    </row>
    <row r="2149" spans="1:7" x14ac:dyDescent="0.25">
      <c r="A2149">
        <v>8212</v>
      </c>
      <c r="B2149" t="str">
        <f>"diclobutrazol"</f>
        <v>diclobutrazol</v>
      </c>
      <c r="C2149" t="s">
        <v>19016</v>
      </c>
      <c r="D2149" t="str">
        <f>"75736-33-3"</f>
        <v>75736-33-3</v>
      </c>
      <c r="E2149" t="str">
        <f t="shared" si="103"/>
        <v xml:space="preserve">Organische parameters </v>
      </c>
      <c r="F2149" t="str">
        <f t="shared" si="104"/>
        <v xml:space="preserve">Pesticiden en metabolieten </v>
      </c>
      <c r="G2149" t="str">
        <f t="shared" si="105"/>
        <v xml:space="preserve">Pesticiden en humaan toxicologisch relevante metabolieten </v>
      </c>
    </row>
    <row r="2150" spans="1:7" x14ac:dyDescent="0.25">
      <c r="A2150">
        <v>8213</v>
      </c>
      <c r="B2150" t="str">
        <f>"diclofop"</f>
        <v>diclofop</v>
      </c>
      <c r="C2150" t="s">
        <v>19016</v>
      </c>
      <c r="D2150" t="str">
        <f>"40843-25-2"</f>
        <v>40843-25-2</v>
      </c>
      <c r="E2150" t="str">
        <f t="shared" si="103"/>
        <v xml:space="preserve">Organische parameters </v>
      </c>
      <c r="F2150" t="str">
        <f t="shared" si="104"/>
        <v xml:space="preserve">Pesticiden en metabolieten </v>
      </c>
      <c r="G2150" t="str">
        <f t="shared" si="105"/>
        <v xml:space="preserve">Pesticiden en humaan toxicologisch relevante metabolieten </v>
      </c>
    </row>
    <row r="2151" spans="1:7" x14ac:dyDescent="0.25">
      <c r="A2151">
        <v>8214</v>
      </c>
      <c r="B2151" t="str">
        <f>"diclofop-methyl"</f>
        <v>diclofop-methyl</v>
      </c>
      <c r="C2151" t="s">
        <v>19016</v>
      </c>
      <c r="D2151" t="str">
        <f>"51338-27-3"</f>
        <v>51338-27-3</v>
      </c>
      <c r="E2151" t="str">
        <f t="shared" si="103"/>
        <v xml:space="preserve">Organische parameters </v>
      </c>
      <c r="F2151" t="str">
        <f t="shared" si="104"/>
        <v xml:space="preserve">Pesticiden en metabolieten </v>
      </c>
      <c r="G2151" t="str">
        <f t="shared" si="105"/>
        <v xml:space="preserve">Pesticiden en humaan toxicologisch relevante metabolieten </v>
      </c>
    </row>
    <row r="2152" spans="1:7" x14ac:dyDescent="0.25">
      <c r="A2152">
        <v>8215</v>
      </c>
      <c r="B2152" t="str">
        <f>"dicofol"</f>
        <v>dicofol</v>
      </c>
      <c r="C2152" t="s">
        <v>19016</v>
      </c>
      <c r="D2152" t="str">
        <f>"115-32-2"</f>
        <v>115-32-2</v>
      </c>
      <c r="E2152" t="str">
        <f t="shared" si="103"/>
        <v xml:space="preserve">Organische parameters </v>
      </c>
      <c r="F2152" t="str">
        <f t="shared" si="104"/>
        <v xml:space="preserve">Pesticiden en metabolieten </v>
      </c>
      <c r="G2152" t="str">
        <f t="shared" si="105"/>
        <v xml:space="preserve">Pesticiden en humaan toxicologisch relevante metabolieten </v>
      </c>
    </row>
    <row r="2153" spans="1:7" x14ac:dyDescent="0.25">
      <c r="A2153">
        <v>8216</v>
      </c>
      <c r="B2153" t="str">
        <f>"dicrotofos"</f>
        <v>dicrotofos</v>
      </c>
      <c r="C2153" t="s">
        <v>19016</v>
      </c>
      <c r="D2153" t="str">
        <f>"141-66-2"</f>
        <v>141-66-2</v>
      </c>
      <c r="E2153" t="str">
        <f t="shared" si="103"/>
        <v xml:space="preserve">Organische parameters </v>
      </c>
      <c r="F2153" t="str">
        <f t="shared" si="104"/>
        <v xml:space="preserve">Pesticiden en metabolieten </v>
      </c>
      <c r="G2153" t="str">
        <f t="shared" si="105"/>
        <v xml:space="preserve">Pesticiden en humaan toxicologisch relevante metabolieten </v>
      </c>
    </row>
    <row r="2154" spans="1:7" x14ac:dyDescent="0.25">
      <c r="A2154">
        <v>8217</v>
      </c>
      <c r="B2154" t="str">
        <f>"dieldrin"</f>
        <v>dieldrin</v>
      </c>
      <c r="C2154" t="s">
        <v>19016</v>
      </c>
      <c r="D2154" t="str">
        <f>"60-57-1"</f>
        <v>60-57-1</v>
      </c>
      <c r="E2154" t="str">
        <f t="shared" si="103"/>
        <v xml:space="preserve">Organische parameters </v>
      </c>
      <c r="F2154" t="str">
        <f t="shared" si="104"/>
        <v xml:space="preserve">Pesticiden en metabolieten </v>
      </c>
      <c r="G2154" t="str">
        <f t="shared" si="105"/>
        <v xml:space="preserve">Pesticiden en humaan toxicologisch relevante metabolieten </v>
      </c>
    </row>
    <row r="2155" spans="1:7" x14ac:dyDescent="0.25">
      <c r="A2155">
        <v>8218</v>
      </c>
      <c r="B2155" t="str">
        <f>"dienochloor"</f>
        <v>dienochloor</v>
      </c>
      <c r="C2155" t="s">
        <v>19016</v>
      </c>
      <c r="D2155" t="str">
        <f>"2227-17-0"</f>
        <v>2227-17-0</v>
      </c>
      <c r="E2155" t="str">
        <f t="shared" si="103"/>
        <v xml:space="preserve">Organische parameters </v>
      </c>
      <c r="F2155" t="str">
        <f t="shared" si="104"/>
        <v xml:space="preserve">Pesticiden en metabolieten </v>
      </c>
      <c r="G2155" t="str">
        <f t="shared" si="105"/>
        <v xml:space="preserve">Pesticiden en humaan toxicologisch relevante metabolieten </v>
      </c>
    </row>
    <row r="2156" spans="1:7" x14ac:dyDescent="0.25">
      <c r="A2156">
        <v>8219</v>
      </c>
      <c r="B2156" t="str">
        <f>"dethatyl-ethyl"</f>
        <v>dethatyl-ethyl</v>
      </c>
      <c r="C2156" t="s">
        <v>19016</v>
      </c>
      <c r="D2156" t="str">
        <f>""</f>
        <v/>
      </c>
      <c r="E2156" t="str">
        <f t="shared" si="103"/>
        <v xml:space="preserve">Organische parameters </v>
      </c>
      <c r="F2156" t="str">
        <f t="shared" si="104"/>
        <v xml:space="preserve">Pesticiden en metabolieten </v>
      </c>
      <c r="G2156" t="str">
        <f t="shared" si="105"/>
        <v xml:space="preserve">Pesticiden en humaan toxicologisch relevante metabolieten </v>
      </c>
    </row>
    <row r="2157" spans="1:7" x14ac:dyDescent="0.25">
      <c r="A2157">
        <v>8221</v>
      </c>
      <c r="B2157" t="str">
        <f>"diethofencarb"</f>
        <v>diethofencarb</v>
      </c>
      <c r="C2157" t="s">
        <v>19016</v>
      </c>
      <c r="D2157" t="str">
        <f>"87130-20-9"</f>
        <v>87130-20-9</v>
      </c>
      <c r="E2157" t="str">
        <f t="shared" si="103"/>
        <v xml:space="preserve">Organische parameters </v>
      </c>
      <c r="F2157" t="str">
        <f t="shared" si="104"/>
        <v xml:space="preserve">Pesticiden en metabolieten </v>
      </c>
      <c r="G2157" t="str">
        <f t="shared" si="105"/>
        <v xml:space="preserve">Pesticiden en humaan toxicologisch relevante metabolieten </v>
      </c>
    </row>
    <row r="2158" spans="1:7" x14ac:dyDescent="0.25">
      <c r="A2158">
        <v>8222</v>
      </c>
      <c r="B2158" t="str">
        <f>"2,6-diethylaniline"</f>
        <v>2,6-diethylaniline</v>
      </c>
      <c r="C2158" t="s">
        <v>19016</v>
      </c>
      <c r="D2158" t="str">
        <f>"579-66-8"</f>
        <v>579-66-8</v>
      </c>
      <c r="E2158" t="str">
        <f t="shared" si="103"/>
        <v xml:space="preserve">Organische parameters </v>
      </c>
      <c r="F2158" t="str">
        <f t="shared" si="104"/>
        <v xml:space="preserve">Pesticiden en metabolieten </v>
      </c>
      <c r="G2158" t="str">
        <f t="shared" si="105"/>
        <v xml:space="preserve">Pesticiden en humaan toxicologisch relevante metabolieten </v>
      </c>
    </row>
    <row r="2159" spans="1:7" x14ac:dyDescent="0.25">
      <c r="A2159">
        <v>8223</v>
      </c>
      <c r="B2159" t="str">
        <f>"diethyldianthogeen"</f>
        <v>diethyldianthogeen</v>
      </c>
      <c r="C2159" t="s">
        <v>19016</v>
      </c>
      <c r="D2159" t="str">
        <f>""</f>
        <v/>
      </c>
      <c r="E2159" t="str">
        <f t="shared" si="103"/>
        <v xml:space="preserve">Organische parameters </v>
      </c>
      <c r="F2159" t="str">
        <f t="shared" si="104"/>
        <v xml:space="preserve">Pesticiden en metabolieten </v>
      </c>
      <c r="G2159" t="str">
        <f t="shared" si="105"/>
        <v xml:space="preserve">Pesticiden en humaan toxicologisch relevante metabolieten </v>
      </c>
    </row>
    <row r="2160" spans="1:7" x14ac:dyDescent="0.25">
      <c r="A2160">
        <v>8225</v>
      </c>
      <c r="B2160" t="str">
        <f>"difenamide"</f>
        <v>difenamide</v>
      </c>
      <c r="C2160" t="s">
        <v>19016</v>
      </c>
      <c r="D2160" t="str">
        <f>"957-51-7"</f>
        <v>957-51-7</v>
      </c>
      <c r="E2160" t="str">
        <f t="shared" si="103"/>
        <v xml:space="preserve">Organische parameters </v>
      </c>
      <c r="F2160" t="str">
        <f t="shared" si="104"/>
        <v xml:space="preserve">Pesticiden en metabolieten </v>
      </c>
      <c r="G2160" t="str">
        <f t="shared" si="105"/>
        <v xml:space="preserve">Pesticiden en humaan toxicologisch relevante metabolieten </v>
      </c>
    </row>
    <row r="2161" spans="1:7" x14ac:dyDescent="0.25">
      <c r="A2161">
        <v>8226</v>
      </c>
      <c r="B2161" t="str">
        <f>"difenoxuron"</f>
        <v>difenoxuron</v>
      </c>
      <c r="C2161" t="s">
        <v>19016</v>
      </c>
      <c r="D2161" t="str">
        <f>"14214-32-5"</f>
        <v>14214-32-5</v>
      </c>
      <c r="E2161" t="str">
        <f t="shared" si="103"/>
        <v xml:space="preserve">Organische parameters </v>
      </c>
      <c r="F2161" t="str">
        <f t="shared" si="104"/>
        <v xml:space="preserve">Pesticiden en metabolieten </v>
      </c>
      <c r="G2161" t="str">
        <f t="shared" si="105"/>
        <v xml:space="preserve">Pesticiden en humaan toxicologisch relevante metabolieten </v>
      </c>
    </row>
    <row r="2162" spans="1:7" x14ac:dyDescent="0.25">
      <c r="A2162">
        <v>8227</v>
      </c>
      <c r="B2162" t="str">
        <f>"difenylacetonitril"</f>
        <v>difenylacetonitril</v>
      </c>
      <c r="C2162" t="s">
        <v>19016</v>
      </c>
      <c r="D2162" t="str">
        <f>"86-29-3"</f>
        <v>86-29-3</v>
      </c>
      <c r="E2162" t="str">
        <f t="shared" si="103"/>
        <v xml:space="preserve">Organische parameters </v>
      </c>
      <c r="F2162" t="str">
        <f t="shared" si="104"/>
        <v xml:space="preserve">Pesticiden en metabolieten </v>
      </c>
      <c r="G2162" t="str">
        <f t="shared" si="105"/>
        <v xml:space="preserve">Pesticiden en humaan toxicologisch relevante metabolieten </v>
      </c>
    </row>
    <row r="2163" spans="1:7" x14ac:dyDescent="0.25">
      <c r="A2163">
        <v>8228</v>
      </c>
      <c r="B2163" t="str">
        <f>"difenzoquat"</f>
        <v>difenzoquat</v>
      </c>
      <c r="C2163" t="s">
        <v>19016</v>
      </c>
      <c r="D2163" t="str">
        <f>"49866-87-7"</f>
        <v>49866-87-7</v>
      </c>
      <c r="E2163" t="str">
        <f t="shared" si="103"/>
        <v xml:space="preserve">Organische parameters </v>
      </c>
      <c r="F2163" t="str">
        <f t="shared" si="104"/>
        <v xml:space="preserve">Pesticiden en metabolieten </v>
      </c>
      <c r="G2163" t="str">
        <f t="shared" si="105"/>
        <v xml:space="preserve">Pesticiden en humaan toxicologisch relevante metabolieten </v>
      </c>
    </row>
    <row r="2164" spans="1:7" x14ac:dyDescent="0.25">
      <c r="A2164">
        <v>8229</v>
      </c>
      <c r="B2164" t="str">
        <f>"diflubenzuron"</f>
        <v>diflubenzuron</v>
      </c>
      <c r="C2164" t="s">
        <v>19016</v>
      </c>
      <c r="D2164" t="str">
        <f>"35367-38-5"</f>
        <v>35367-38-5</v>
      </c>
      <c r="E2164" t="str">
        <f t="shared" si="103"/>
        <v xml:space="preserve">Organische parameters </v>
      </c>
      <c r="F2164" t="str">
        <f t="shared" si="104"/>
        <v xml:space="preserve">Pesticiden en metabolieten </v>
      </c>
      <c r="G2164" t="str">
        <f t="shared" si="105"/>
        <v xml:space="preserve">Pesticiden en humaan toxicologisch relevante metabolieten </v>
      </c>
    </row>
    <row r="2165" spans="1:7" x14ac:dyDescent="0.25">
      <c r="A2165">
        <v>8231</v>
      </c>
      <c r="B2165" t="str">
        <f>"dikegulac-natrium"</f>
        <v>dikegulac-natrium</v>
      </c>
      <c r="C2165" t="s">
        <v>19016</v>
      </c>
      <c r="D2165" t="str">
        <f>"52508-35-7"</f>
        <v>52508-35-7</v>
      </c>
      <c r="E2165" t="str">
        <f t="shared" si="103"/>
        <v xml:space="preserve">Organische parameters </v>
      </c>
      <c r="F2165" t="str">
        <f t="shared" si="104"/>
        <v xml:space="preserve">Pesticiden en metabolieten </v>
      </c>
      <c r="G2165" t="str">
        <f t="shared" si="105"/>
        <v xml:space="preserve">Pesticiden en humaan toxicologisch relevante metabolieten </v>
      </c>
    </row>
    <row r="2166" spans="1:7" x14ac:dyDescent="0.25">
      <c r="A2166">
        <v>8232</v>
      </c>
      <c r="B2166" t="str">
        <f>"dimefox"</f>
        <v>dimefox</v>
      </c>
      <c r="C2166" t="s">
        <v>19016</v>
      </c>
      <c r="D2166" t="str">
        <f>"115-26-4"</f>
        <v>115-26-4</v>
      </c>
      <c r="E2166" t="str">
        <f t="shared" si="103"/>
        <v xml:space="preserve">Organische parameters </v>
      </c>
      <c r="F2166" t="str">
        <f t="shared" si="104"/>
        <v xml:space="preserve">Pesticiden en metabolieten </v>
      </c>
      <c r="G2166" t="str">
        <f t="shared" si="105"/>
        <v xml:space="preserve">Pesticiden en humaan toxicologisch relevante metabolieten </v>
      </c>
    </row>
    <row r="2167" spans="1:7" x14ac:dyDescent="0.25">
      <c r="A2167">
        <v>8233</v>
      </c>
      <c r="B2167" t="str">
        <f>"dimefuron"</f>
        <v>dimefuron</v>
      </c>
      <c r="C2167" t="s">
        <v>19016</v>
      </c>
      <c r="D2167" t="str">
        <f>"34205-21-5"</f>
        <v>34205-21-5</v>
      </c>
      <c r="E2167" t="str">
        <f t="shared" si="103"/>
        <v xml:space="preserve">Organische parameters </v>
      </c>
      <c r="F2167" t="str">
        <f t="shared" si="104"/>
        <v xml:space="preserve">Pesticiden en metabolieten </v>
      </c>
      <c r="G2167" t="str">
        <f t="shared" si="105"/>
        <v xml:space="preserve">Pesticiden en humaan toxicologisch relevante metabolieten </v>
      </c>
    </row>
    <row r="2168" spans="1:7" x14ac:dyDescent="0.25">
      <c r="A2168">
        <v>8234</v>
      </c>
      <c r="B2168" t="str">
        <f>"dimetan"</f>
        <v>dimetan</v>
      </c>
      <c r="C2168" t="s">
        <v>19016</v>
      </c>
      <c r="D2168" t="str">
        <f>"122-15-6"</f>
        <v>122-15-6</v>
      </c>
      <c r="E2168" t="str">
        <f t="shared" si="103"/>
        <v xml:space="preserve">Organische parameters </v>
      </c>
      <c r="F2168" t="str">
        <f t="shared" si="104"/>
        <v xml:space="preserve">Pesticiden en metabolieten </v>
      </c>
      <c r="G2168" t="str">
        <f t="shared" si="105"/>
        <v xml:space="preserve">Pesticiden en humaan toxicologisch relevante metabolieten </v>
      </c>
    </row>
    <row r="2169" spans="1:7" x14ac:dyDescent="0.25">
      <c r="A2169">
        <v>8235</v>
      </c>
      <c r="B2169" t="str">
        <f>"dimethachloor"</f>
        <v>dimethachloor</v>
      </c>
      <c r="C2169" t="s">
        <v>19016</v>
      </c>
      <c r="D2169" t="str">
        <f>"50563-36-5"</f>
        <v>50563-36-5</v>
      </c>
      <c r="E2169" t="str">
        <f t="shared" si="103"/>
        <v xml:space="preserve">Organische parameters </v>
      </c>
      <c r="F2169" t="str">
        <f t="shared" si="104"/>
        <v xml:space="preserve">Pesticiden en metabolieten </v>
      </c>
      <c r="G2169" t="str">
        <f t="shared" si="105"/>
        <v xml:space="preserve">Pesticiden en humaan toxicologisch relevante metabolieten </v>
      </c>
    </row>
    <row r="2170" spans="1:7" x14ac:dyDescent="0.25">
      <c r="A2170">
        <v>8236</v>
      </c>
      <c r="B2170" t="str">
        <f>"dimethipin"</f>
        <v>dimethipin</v>
      </c>
      <c r="C2170" t="s">
        <v>19016</v>
      </c>
      <c r="D2170" t="str">
        <f>"55290-64-7"</f>
        <v>55290-64-7</v>
      </c>
      <c r="E2170" t="str">
        <f t="shared" si="103"/>
        <v xml:space="preserve">Organische parameters </v>
      </c>
      <c r="F2170" t="str">
        <f t="shared" si="104"/>
        <v xml:space="preserve">Pesticiden en metabolieten </v>
      </c>
      <c r="G2170" t="str">
        <f t="shared" si="105"/>
        <v xml:space="preserve">Pesticiden en humaan toxicologisch relevante metabolieten </v>
      </c>
    </row>
    <row r="2171" spans="1:7" x14ac:dyDescent="0.25">
      <c r="A2171">
        <v>8237</v>
      </c>
      <c r="B2171" t="str">
        <f>"dimethirimol"</f>
        <v>dimethirimol</v>
      </c>
      <c r="C2171" t="s">
        <v>19016</v>
      </c>
      <c r="D2171" t="str">
        <f>"5221-53-4"</f>
        <v>5221-53-4</v>
      </c>
      <c r="E2171" t="str">
        <f t="shared" si="103"/>
        <v xml:space="preserve">Organische parameters </v>
      </c>
      <c r="F2171" t="str">
        <f t="shared" si="104"/>
        <v xml:space="preserve">Pesticiden en metabolieten </v>
      </c>
      <c r="G2171" t="str">
        <f t="shared" si="105"/>
        <v xml:space="preserve">Pesticiden en humaan toxicologisch relevante metabolieten </v>
      </c>
    </row>
    <row r="2172" spans="1:7" x14ac:dyDescent="0.25">
      <c r="A2172">
        <v>8238</v>
      </c>
      <c r="B2172" t="str">
        <f>"dimethoaat"</f>
        <v>dimethoaat</v>
      </c>
      <c r="C2172" t="s">
        <v>19016</v>
      </c>
      <c r="D2172" t="str">
        <f>"60-51-5"</f>
        <v>60-51-5</v>
      </c>
      <c r="E2172" t="str">
        <f t="shared" si="103"/>
        <v xml:space="preserve">Organische parameters </v>
      </c>
      <c r="F2172" t="str">
        <f t="shared" si="104"/>
        <v xml:space="preserve">Pesticiden en metabolieten </v>
      </c>
      <c r="G2172" t="str">
        <f t="shared" si="105"/>
        <v xml:space="preserve">Pesticiden en humaan toxicologisch relevante metabolieten </v>
      </c>
    </row>
    <row r="2173" spans="1:7" x14ac:dyDescent="0.25">
      <c r="A2173">
        <v>8239</v>
      </c>
      <c r="B2173" t="str">
        <f>"2,6-dimethylaniline"</f>
        <v>2,6-dimethylaniline</v>
      </c>
      <c r="C2173" t="s">
        <v>19016</v>
      </c>
      <c r="D2173" t="str">
        <f>"87-62-7"</f>
        <v>87-62-7</v>
      </c>
      <c r="E2173" t="str">
        <f t="shared" si="103"/>
        <v xml:space="preserve">Organische parameters </v>
      </c>
      <c r="F2173" t="str">
        <f t="shared" si="104"/>
        <v xml:space="preserve">Pesticiden en metabolieten </v>
      </c>
      <c r="G2173" t="str">
        <f t="shared" si="105"/>
        <v xml:space="preserve">Pesticiden en humaan toxicologisch relevante metabolieten </v>
      </c>
    </row>
    <row r="2174" spans="1:7" x14ac:dyDescent="0.25">
      <c r="A2174">
        <v>8240</v>
      </c>
      <c r="B2174" t="str">
        <f>"2,4-dimethylfenol"</f>
        <v>2,4-dimethylfenol</v>
      </c>
      <c r="C2174" t="s">
        <v>19016</v>
      </c>
      <c r="D2174" t="str">
        <f>"105-67-9"</f>
        <v>105-67-9</v>
      </c>
      <c r="E2174" t="str">
        <f t="shared" si="103"/>
        <v xml:space="preserve">Organische parameters </v>
      </c>
      <c r="F2174" t="str">
        <f t="shared" si="104"/>
        <v xml:space="preserve">Pesticiden en metabolieten </v>
      </c>
      <c r="G2174" t="str">
        <f t="shared" si="105"/>
        <v xml:space="preserve">Pesticiden en humaan toxicologisch relevante metabolieten </v>
      </c>
    </row>
    <row r="2175" spans="1:7" x14ac:dyDescent="0.25">
      <c r="A2175">
        <v>8242</v>
      </c>
      <c r="B2175" t="str">
        <f>"dimexano"</f>
        <v>dimexano</v>
      </c>
      <c r="C2175" t="s">
        <v>19016</v>
      </c>
      <c r="D2175" t="str">
        <f>"1468-37-7"</f>
        <v>1468-37-7</v>
      </c>
      <c r="E2175" t="str">
        <f t="shared" si="103"/>
        <v xml:space="preserve">Organische parameters </v>
      </c>
      <c r="F2175" t="str">
        <f t="shared" si="104"/>
        <v xml:space="preserve">Pesticiden en metabolieten </v>
      </c>
      <c r="G2175" t="str">
        <f t="shared" si="105"/>
        <v xml:space="preserve">Pesticiden en humaan toxicologisch relevante metabolieten </v>
      </c>
    </row>
    <row r="2176" spans="1:7" x14ac:dyDescent="0.25">
      <c r="A2176">
        <v>8243</v>
      </c>
      <c r="B2176" t="str">
        <f>"diniconazol"</f>
        <v>diniconazol</v>
      </c>
      <c r="C2176" t="s">
        <v>19016</v>
      </c>
      <c r="D2176" t="str">
        <f>"83657-24-3"</f>
        <v>83657-24-3</v>
      </c>
      <c r="E2176" t="str">
        <f t="shared" si="103"/>
        <v xml:space="preserve">Organische parameters </v>
      </c>
      <c r="F2176" t="str">
        <f t="shared" si="104"/>
        <v xml:space="preserve">Pesticiden en metabolieten </v>
      </c>
      <c r="G2176" t="str">
        <f t="shared" si="105"/>
        <v xml:space="preserve">Pesticiden en humaan toxicologisch relevante metabolieten </v>
      </c>
    </row>
    <row r="2177" spans="1:7" x14ac:dyDescent="0.25">
      <c r="A2177">
        <v>8244</v>
      </c>
      <c r="B2177" t="str">
        <f>"2,4-dinitrofenol"</f>
        <v>2,4-dinitrofenol</v>
      </c>
      <c r="C2177" t="s">
        <v>19016</v>
      </c>
      <c r="D2177" t="str">
        <f>"51-28-5"</f>
        <v>51-28-5</v>
      </c>
      <c r="E2177" t="str">
        <f t="shared" si="103"/>
        <v xml:space="preserve">Organische parameters </v>
      </c>
      <c r="F2177" t="str">
        <f t="shared" si="104"/>
        <v xml:space="preserve">Pesticiden en metabolieten </v>
      </c>
      <c r="G2177" t="str">
        <f t="shared" si="105"/>
        <v xml:space="preserve">Pesticiden en humaan toxicologisch relevante metabolieten </v>
      </c>
    </row>
    <row r="2178" spans="1:7" x14ac:dyDescent="0.25">
      <c r="A2178">
        <v>8245</v>
      </c>
      <c r="B2178" t="str">
        <f>"dinitrorhodaanbenzeen"</f>
        <v>dinitrorhodaanbenzeen</v>
      </c>
      <c r="C2178" t="s">
        <v>19016</v>
      </c>
      <c r="D2178" t="str">
        <f>"1594-56-5"</f>
        <v>1594-56-5</v>
      </c>
      <c r="E2178" t="str">
        <f t="shared" si="103"/>
        <v xml:space="preserve">Organische parameters </v>
      </c>
      <c r="F2178" t="str">
        <f t="shared" si="104"/>
        <v xml:space="preserve">Pesticiden en metabolieten </v>
      </c>
      <c r="G2178" t="str">
        <f t="shared" si="105"/>
        <v xml:space="preserve">Pesticiden en humaan toxicologisch relevante metabolieten </v>
      </c>
    </row>
    <row r="2179" spans="1:7" x14ac:dyDescent="0.25">
      <c r="A2179">
        <v>8246</v>
      </c>
      <c r="B2179" t="str">
        <f>"dinobuton"</f>
        <v>dinobuton</v>
      </c>
      <c r="C2179" t="s">
        <v>19016</v>
      </c>
      <c r="D2179" t="str">
        <f>"973-21-7"</f>
        <v>973-21-7</v>
      </c>
      <c r="E2179" t="str">
        <f t="shared" si="103"/>
        <v xml:space="preserve">Organische parameters </v>
      </c>
      <c r="F2179" t="str">
        <f t="shared" si="104"/>
        <v xml:space="preserve">Pesticiden en metabolieten </v>
      </c>
      <c r="G2179" t="str">
        <f t="shared" si="105"/>
        <v xml:space="preserve">Pesticiden en humaan toxicologisch relevante metabolieten </v>
      </c>
    </row>
    <row r="2180" spans="1:7" x14ac:dyDescent="0.25">
      <c r="A2180">
        <v>8247</v>
      </c>
      <c r="B2180" t="str">
        <f>"dinocap"</f>
        <v>dinocap</v>
      </c>
      <c r="C2180" t="s">
        <v>19016</v>
      </c>
      <c r="D2180" t="str">
        <f>"39300-45-3"</f>
        <v>39300-45-3</v>
      </c>
      <c r="E2180" t="str">
        <f t="shared" si="103"/>
        <v xml:space="preserve">Organische parameters </v>
      </c>
      <c r="F2180" t="str">
        <f t="shared" si="104"/>
        <v xml:space="preserve">Pesticiden en metabolieten </v>
      </c>
      <c r="G2180" t="str">
        <f t="shared" si="105"/>
        <v xml:space="preserve">Pesticiden en humaan toxicologisch relevante metabolieten </v>
      </c>
    </row>
    <row r="2181" spans="1:7" x14ac:dyDescent="0.25">
      <c r="A2181">
        <v>8248</v>
      </c>
      <c r="B2181" t="str">
        <f>"dinoseb (2-sec.butyl-4,6-dinitrofenol)"</f>
        <v>dinoseb (2-sec.butyl-4,6-dinitrofenol)</v>
      </c>
      <c r="C2181" t="s">
        <v>19016</v>
      </c>
      <c r="D2181" t="str">
        <f>"88-85-7"</f>
        <v>88-85-7</v>
      </c>
      <c r="E2181" t="str">
        <f t="shared" si="103"/>
        <v xml:space="preserve">Organische parameters </v>
      </c>
      <c r="F2181" t="str">
        <f t="shared" si="104"/>
        <v xml:space="preserve">Pesticiden en metabolieten </v>
      </c>
      <c r="G2181" t="str">
        <f t="shared" si="105"/>
        <v xml:space="preserve">Pesticiden en humaan toxicologisch relevante metabolieten </v>
      </c>
    </row>
    <row r="2182" spans="1:7" x14ac:dyDescent="0.25">
      <c r="A2182">
        <v>8249</v>
      </c>
      <c r="B2182" t="str">
        <f>"dinoseb-acetaat"</f>
        <v>dinoseb-acetaat</v>
      </c>
      <c r="C2182" t="s">
        <v>19016</v>
      </c>
      <c r="D2182" t="str">
        <f>"2813-95-8"</f>
        <v>2813-95-8</v>
      </c>
      <c r="E2182" t="str">
        <f t="shared" si="103"/>
        <v xml:space="preserve">Organische parameters </v>
      </c>
      <c r="F2182" t="str">
        <f t="shared" si="104"/>
        <v xml:space="preserve">Pesticiden en metabolieten </v>
      </c>
      <c r="G2182" t="str">
        <f t="shared" si="105"/>
        <v xml:space="preserve">Pesticiden en humaan toxicologisch relevante metabolieten </v>
      </c>
    </row>
    <row r="2183" spans="1:7" x14ac:dyDescent="0.25">
      <c r="A2183">
        <v>8250</v>
      </c>
      <c r="B2183" t="str">
        <f>"dinoterb (2-tert.butyl-4,6-dinitrofenol)"</f>
        <v>dinoterb (2-tert.butyl-4,6-dinitrofenol)</v>
      </c>
      <c r="C2183" t="s">
        <v>19016</v>
      </c>
      <c r="D2183" t="str">
        <f>"1420-07-1"</f>
        <v>1420-07-1</v>
      </c>
      <c r="E2183" t="str">
        <f t="shared" si="103"/>
        <v xml:space="preserve">Organische parameters </v>
      </c>
      <c r="F2183" t="str">
        <f t="shared" si="104"/>
        <v xml:space="preserve">Pesticiden en metabolieten </v>
      </c>
      <c r="G2183" t="str">
        <f t="shared" si="105"/>
        <v xml:space="preserve">Pesticiden en humaan toxicologisch relevante metabolieten </v>
      </c>
    </row>
    <row r="2184" spans="1:7" x14ac:dyDescent="0.25">
      <c r="A2184">
        <v>8251</v>
      </c>
      <c r="B2184" t="str">
        <f>"dioxacarb"</f>
        <v>dioxacarb</v>
      </c>
      <c r="C2184" t="s">
        <v>19016</v>
      </c>
      <c r="D2184" t="str">
        <f>"6988-21-2"</f>
        <v>6988-21-2</v>
      </c>
      <c r="E2184" t="str">
        <f t="shared" si="103"/>
        <v xml:space="preserve">Organische parameters </v>
      </c>
      <c r="F2184" t="str">
        <f t="shared" si="104"/>
        <v xml:space="preserve">Pesticiden en metabolieten </v>
      </c>
      <c r="G2184" t="str">
        <f t="shared" si="105"/>
        <v xml:space="preserve">Pesticiden en humaan toxicologisch relevante metabolieten </v>
      </c>
    </row>
    <row r="2185" spans="1:7" x14ac:dyDescent="0.25">
      <c r="A2185">
        <v>8252</v>
      </c>
      <c r="B2185" t="str">
        <f>"dioxathion"</f>
        <v>dioxathion</v>
      </c>
      <c r="C2185" t="s">
        <v>19016</v>
      </c>
      <c r="D2185" t="str">
        <f>"78-34-2"</f>
        <v>78-34-2</v>
      </c>
      <c r="E2185" t="str">
        <f t="shared" si="103"/>
        <v xml:space="preserve">Organische parameters </v>
      </c>
      <c r="F2185" t="str">
        <f t="shared" si="104"/>
        <v xml:space="preserve">Pesticiden en metabolieten </v>
      </c>
      <c r="G2185" t="str">
        <f t="shared" si="105"/>
        <v xml:space="preserve">Pesticiden en humaan toxicologisch relevante metabolieten </v>
      </c>
    </row>
    <row r="2186" spans="1:7" x14ac:dyDescent="0.25">
      <c r="A2186">
        <v>8253</v>
      </c>
      <c r="B2186" t="str">
        <f>"dipropylisocinchom."</f>
        <v>dipropylisocinchom.</v>
      </c>
      <c r="C2186" t="s">
        <v>19016</v>
      </c>
      <c r="D2186" t="str">
        <f>"136-45-8"</f>
        <v>136-45-8</v>
      </c>
      <c r="E2186" t="str">
        <f t="shared" si="103"/>
        <v xml:space="preserve">Organische parameters </v>
      </c>
      <c r="F2186" t="str">
        <f t="shared" si="104"/>
        <v xml:space="preserve">Pesticiden en metabolieten </v>
      </c>
      <c r="G2186" t="str">
        <f t="shared" si="105"/>
        <v xml:space="preserve">Pesticiden en humaan toxicologisch relevante metabolieten </v>
      </c>
    </row>
    <row r="2187" spans="1:7" x14ac:dyDescent="0.25">
      <c r="A2187">
        <v>8254</v>
      </c>
      <c r="B2187" t="str">
        <f>"diquat"</f>
        <v>diquat</v>
      </c>
      <c r="C2187" t="s">
        <v>19016</v>
      </c>
      <c r="D2187" t="str">
        <f>"2764-72-9"</f>
        <v>2764-72-9</v>
      </c>
      <c r="E2187" t="str">
        <f t="shared" si="103"/>
        <v xml:space="preserve">Organische parameters </v>
      </c>
      <c r="F2187" t="str">
        <f t="shared" si="104"/>
        <v xml:space="preserve">Pesticiden en metabolieten </v>
      </c>
      <c r="G2187" t="str">
        <f t="shared" si="105"/>
        <v xml:space="preserve">Pesticiden en humaan toxicologisch relevante metabolieten </v>
      </c>
    </row>
    <row r="2188" spans="1:7" x14ac:dyDescent="0.25">
      <c r="A2188">
        <v>8255</v>
      </c>
      <c r="B2188" t="str">
        <f>"disulfoton"</f>
        <v>disulfoton</v>
      </c>
      <c r="C2188" t="s">
        <v>19016</v>
      </c>
      <c r="D2188" t="str">
        <f>"298-04-4"</f>
        <v>298-04-4</v>
      </c>
      <c r="E2188" t="str">
        <f t="shared" si="103"/>
        <v xml:space="preserve">Organische parameters </v>
      </c>
      <c r="F2188" t="str">
        <f t="shared" si="104"/>
        <v xml:space="preserve">Pesticiden en metabolieten </v>
      </c>
      <c r="G2188" t="str">
        <f t="shared" si="105"/>
        <v xml:space="preserve">Pesticiden en humaan toxicologisch relevante metabolieten </v>
      </c>
    </row>
    <row r="2189" spans="1:7" x14ac:dyDescent="0.25">
      <c r="A2189">
        <v>8256</v>
      </c>
      <c r="B2189" t="str">
        <f>"ditalimfos"</f>
        <v>ditalimfos</v>
      </c>
      <c r="C2189" t="s">
        <v>19016</v>
      </c>
      <c r="D2189" t="str">
        <f>"5131-24-8"</f>
        <v>5131-24-8</v>
      </c>
      <c r="E2189" t="str">
        <f t="shared" si="103"/>
        <v xml:space="preserve">Organische parameters </v>
      </c>
      <c r="F2189" t="str">
        <f t="shared" si="104"/>
        <v xml:space="preserve">Pesticiden en metabolieten </v>
      </c>
      <c r="G2189" t="str">
        <f t="shared" si="105"/>
        <v xml:space="preserve">Pesticiden en humaan toxicologisch relevante metabolieten </v>
      </c>
    </row>
    <row r="2190" spans="1:7" x14ac:dyDescent="0.25">
      <c r="A2190">
        <v>8257</v>
      </c>
      <c r="B2190" t="str">
        <f>"dithianon"</f>
        <v>dithianon</v>
      </c>
      <c r="C2190" t="s">
        <v>19016</v>
      </c>
      <c r="D2190" t="str">
        <f>"3347-22-6"</f>
        <v>3347-22-6</v>
      </c>
      <c r="E2190" t="str">
        <f t="shared" si="103"/>
        <v xml:space="preserve">Organische parameters </v>
      </c>
      <c r="F2190" t="str">
        <f t="shared" si="104"/>
        <v xml:space="preserve">Pesticiden en metabolieten </v>
      </c>
      <c r="G2190" t="str">
        <f t="shared" si="105"/>
        <v xml:space="preserve">Pesticiden en humaan toxicologisch relevante metabolieten </v>
      </c>
    </row>
    <row r="2191" spans="1:7" x14ac:dyDescent="0.25">
      <c r="A2191">
        <v>8258</v>
      </c>
      <c r="B2191" t="str">
        <f>"diuron"</f>
        <v>diuron</v>
      </c>
      <c r="C2191" t="s">
        <v>19016</v>
      </c>
      <c r="D2191" t="str">
        <f>"330-54-1"</f>
        <v>330-54-1</v>
      </c>
      <c r="E2191" t="str">
        <f t="shared" si="103"/>
        <v xml:space="preserve">Organische parameters </v>
      </c>
      <c r="F2191" t="str">
        <f t="shared" si="104"/>
        <v xml:space="preserve">Pesticiden en metabolieten </v>
      </c>
      <c r="G2191" t="str">
        <f t="shared" si="105"/>
        <v xml:space="preserve">Pesticiden en humaan toxicologisch relevante metabolieten </v>
      </c>
    </row>
    <row r="2192" spans="1:7" x14ac:dyDescent="0.25">
      <c r="A2192">
        <v>8259</v>
      </c>
      <c r="B2192" t="str">
        <f>"2-methyl-4,6-dinitrofenol (DNOC)"</f>
        <v>2-methyl-4,6-dinitrofenol (DNOC)</v>
      </c>
      <c r="C2192" t="s">
        <v>19016</v>
      </c>
      <c r="D2192" t="str">
        <f>"534-52-1"</f>
        <v>534-52-1</v>
      </c>
      <c r="E2192" t="str">
        <f t="shared" si="103"/>
        <v xml:space="preserve">Organische parameters </v>
      </c>
      <c r="F2192" t="str">
        <f t="shared" si="104"/>
        <v xml:space="preserve">Pesticiden en metabolieten </v>
      </c>
      <c r="G2192" t="str">
        <f t="shared" si="105"/>
        <v xml:space="preserve">Pesticiden en humaan toxicologisch relevante metabolieten </v>
      </c>
    </row>
    <row r="2193" spans="1:7" x14ac:dyDescent="0.25">
      <c r="A2193">
        <v>8260</v>
      </c>
      <c r="B2193" t="str">
        <f>"dodemorf"</f>
        <v>dodemorf</v>
      </c>
      <c r="C2193" t="s">
        <v>19016</v>
      </c>
      <c r="D2193" t="str">
        <f>"1593-77-7"</f>
        <v>1593-77-7</v>
      </c>
      <c r="E2193" t="str">
        <f t="shared" si="103"/>
        <v xml:space="preserve">Organische parameters </v>
      </c>
      <c r="F2193" t="str">
        <f t="shared" si="104"/>
        <v xml:space="preserve">Pesticiden en metabolieten </v>
      </c>
      <c r="G2193" t="str">
        <f t="shared" si="105"/>
        <v xml:space="preserve">Pesticiden en humaan toxicologisch relevante metabolieten </v>
      </c>
    </row>
    <row r="2194" spans="1:7" x14ac:dyDescent="0.25">
      <c r="A2194">
        <v>8261</v>
      </c>
      <c r="B2194" t="str">
        <f>"dodine"</f>
        <v>dodine</v>
      </c>
      <c r="C2194" t="s">
        <v>19016</v>
      </c>
      <c r="D2194" t="str">
        <f>"3-10-2439"</f>
        <v>3-10-2439</v>
      </c>
      <c r="E2194" t="str">
        <f t="shared" si="103"/>
        <v xml:space="preserve">Organische parameters </v>
      </c>
      <c r="F2194" t="str">
        <f t="shared" si="104"/>
        <v xml:space="preserve">Pesticiden en metabolieten </v>
      </c>
      <c r="G2194" t="str">
        <f t="shared" si="105"/>
        <v xml:space="preserve">Pesticiden en humaan toxicologisch relevante metabolieten </v>
      </c>
    </row>
    <row r="2195" spans="1:7" x14ac:dyDescent="0.25">
      <c r="A2195">
        <v>8263</v>
      </c>
      <c r="B2195" t="str">
        <f>"alfa-endosulfan"</f>
        <v>alfa-endosulfan</v>
      </c>
      <c r="C2195" t="s">
        <v>19016</v>
      </c>
      <c r="D2195" t="str">
        <f>"959-98-8"</f>
        <v>959-98-8</v>
      </c>
      <c r="E2195" t="str">
        <f t="shared" si="103"/>
        <v xml:space="preserve">Organische parameters </v>
      </c>
      <c r="F2195" t="str">
        <f t="shared" si="104"/>
        <v xml:space="preserve">Pesticiden en metabolieten </v>
      </c>
      <c r="G2195" t="str">
        <f t="shared" si="105"/>
        <v xml:space="preserve">Pesticiden en humaan toxicologisch relevante metabolieten </v>
      </c>
    </row>
    <row r="2196" spans="1:7" x14ac:dyDescent="0.25">
      <c r="A2196">
        <v>8264</v>
      </c>
      <c r="B2196" t="str">
        <f>"beta-endosulfan"</f>
        <v>beta-endosulfan</v>
      </c>
      <c r="C2196" t="s">
        <v>19016</v>
      </c>
      <c r="D2196" t="str">
        <f>"33213-65-9"</f>
        <v>33213-65-9</v>
      </c>
      <c r="E2196" t="str">
        <f t="shared" si="103"/>
        <v xml:space="preserve">Organische parameters </v>
      </c>
      <c r="F2196" t="str">
        <f t="shared" si="104"/>
        <v xml:space="preserve">Pesticiden en metabolieten </v>
      </c>
      <c r="G2196" t="str">
        <f t="shared" si="105"/>
        <v xml:space="preserve">Pesticiden en humaan toxicologisch relevante metabolieten </v>
      </c>
    </row>
    <row r="2197" spans="1:7" x14ac:dyDescent="0.25">
      <c r="A2197">
        <v>8265</v>
      </c>
      <c r="B2197" t="str">
        <f>"endosulfansulfaat"</f>
        <v>endosulfansulfaat</v>
      </c>
      <c r="C2197" t="s">
        <v>19016</v>
      </c>
      <c r="D2197" t="str">
        <f>"1031-07-8"</f>
        <v>1031-07-8</v>
      </c>
      <c r="E2197" t="str">
        <f t="shared" si="103"/>
        <v xml:space="preserve">Organische parameters </v>
      </c>
      <c r="F2197" t="str">
        <f t="shared" si="104"/>
        <v xml:space="preserve">Pesticiden en metabolieten </v>
      </c>
      <c r="G2197" t="str">
        <f t="shared" si="105"/>
        <v xml:space="preserve">Pesticiden en humaan toxicologisch relevante metabolieten </v>
      </c>
    </row>
    <row r="2198" spans="1:7" x14ac:dyDescent="0.25">
      <c r="A2198">
        <v>8266</v>
      </c>
      <c r="B2198" t="str">
        <f>"endothal-natrium"</f>
        <v>endothal-natrium</v>
      </c>
      <c r="C2198" t="s">
        <v>19016</v>
      </c>
      <c r="D2198" t="str">
        <f>"129-67-9"</f>
        <v>129-67-9</v>
      </c>
      <c r="E2198" t="str">
        <f t="shared" si="103"/>
        <v xml:space="preserve">Organische parameters </v>
      </c>
      <c r="F2198" t="str">
        <f t="shared" si="104"/>
        <v xml:space="preserve">Pesticiden en metabolieten </v>
      </c>
      <c r="G2198" t="str">
        <f t="shared" si="105"/>
        <v xml:space="preserve">Pesticiden en humaan toxicologisch relevante metabolieten </v>
      </c>
    </row>
    <row r="2199" spans="1:7" x14ac:dyDescent="0.25">
      <c r="A2199">
        <v>8267</v>
      </c>
      <c r="B2199" t="str">
        <f>"endothion"</f>
        <v>endothion</v>
      </c>
      <c r="C2199" t="s">
        <v>19016</v>
      </c>
      <c r="D2199" t="str">
        <f>"3-4-2778"</f>
        <v>3-4-2778</v>
      </c>
      <c r="E2199" t="str">
        <f t="shared" si="103"/>
        <v xml:space="preserve">Organische parameters </v>
      </c>
      <c r="F2199" t="str">
        <f t="shared" si="104"/>
        <v xml:space="preserve">Pesticiden en metabolieten </v>
      </c>
      <c r="G2199" t="str">
        <f t="shared" si="105"/>
        <v xml:space="preserve">Pesticiden en humaan toxicologisch relevante metabolieten </v>
      </c>
    </row>
    <row r="2200" spans="1:7" x14ac:dyDescent="0.25">
      <c r="A2200">
        <v>8268</v>
      </c>
      <c r="B2200" t="str">
        <f>"endrin"</f>
        <v>endrin</v>
      </c>
      <c r="C2200" t="s">
        <v>19016</v>
      </c>
      <c r="D2200" t="str">
        <f>"72-20-8"</f>
        <v>72-20-8</v>
      </c>
      <c r="E2200" t="str">
        <f t="shared" si="103"/>
        <v xml:space="preserve">Organische parameters </v>
      </c>
      <c r="F2200" t="str">
        <f t="shared" si="104"/>
        <v xml:space="preserve">Pesticiden en metabolieten </v>
      </c>
      <c r="G2200" t="str">
        <f t="shared" si="105"/>
        <v xml:space="preserve">Pesticiden en humaan toxicologisch relevante metabolieten </v>
      </c>
    </row>
    <row r="2201" spans="1:7" x14ac:dyDescent="0.25">
      <c r="A2201">
        <v>8269</v>
      </c>
      <c r="B2201" t="str">
        <f>"epichloorhydrine"</f>
        <v>epichloorhydrine</v>
      </c>
      <c r="C2201" t="s">
        <v>19016</v>
      </c>
      <c r="D2201" t="str">
        <f>"106-89-8"</f>
        <v>106-89-8</v>
      </c>
      <c r="E2201" t="str">
        <f t="shared" si="103"/>
        <v xml:space="preserve">Organische parameters </v>
      </c>
      <c r="F2201" t="str">
        <f t="shared" si="104"/>
        <v xml:space="preserve">Pesticiden en metabolieten </v>
      </c>
      <c r="G2201" t="str">
        <f t="shared" si="105"/>
        <v xml:space="preserve">Pesticiden en humaan toxicologisch relevante metabolieten </v>
      </c>
    </row>
    <row r="2202" spans="1:7" x14ac:dyDescent="0.25">
      <c r="A2202">
        <v>8270</v>
      </c>
      <c r="B2202" t="str">
        <f>"EPN"</f>
        <v>EPN</v>
      </c>
      <c r="C2202" t="s">
        <v>19016</v>
      </c>
      <c r="D2202" t="str">
        <f>"2104-64-5"</f>
        <v>2104-64-5</v>
      </c>
      <c r="E2202" t="str">
        <f t="shared" si="103"/>
        <v xml:space="preserve">Organische parameters </v>
      </c>
      <c r="F2202" t="str">
        <f t="shared" si="104"/>
        <v xml:space="preserve">Pesticiden en metabolieten </v>
      </c>
      <c r="G2202" t="str">
        <f t="shared" si="105"/>
        <v xml:space="preserve">Pesticiden en humaan toxicologisch relevante metabolieten </v>
      </c>
    </row>
    <row r="2203" spans="1:7" x14ac:dyDescent="0.25">
      <c r="A2203">
        <v>8271</v>
      </c>
      <c r="B2203" t="str">
        <f>"EPTC"</f>
        <v>EPTC</v>
      </c>
      <c r="C2203" t="s">
        <v>19016</v>
      </c>
      <c r="D2203" t="str">
        <f>"759-94-4"</f>
        <v>759-94-4</v>
      </c>
      <c r="E2203" t="str">
        <f t="shared" si="103"/>
        <v xml:space="preserve">Organische parameters </v>
      </c>
      <c r="F2203" t="str">
        <f t="shared" si="104"/>
        <v xml:space="preserve">Pesticiden en metabolieten </v>
      </c>
      <c r="G2203" t="str">
        <f t="shared" si="105"/>
        <v xml:space="preserve">Pesticiden en humaan toxicologisch relevante metabolieten </v>
      </c>
    </row>
    <row r="2204" spans="1:7" x14ac:dyDescent="0.25">
      <c r="A2204">
        <v>8272</v>
      </c>
      <c r="B2204" t="str">
        <f>"ergocalciferol"</f>
        <v>ergocalciferol</v>
      </c>
      <c r="C2204" t="s">
        <v>19016</v>
      </c>
      <c r="D2204" t="str">
        <f>"50-14-6"</f>
        <v>50-14-6</v>
      </c>
      <c r="E2204" t="str">
        <f t="shared" si="103"/>
        <v xml:space="preserve">Organische parameters </v>
      </c>
      <c r="F2204" t="str">
        <f t="shared" si="104"/>
        <v xml:space="preserve">Pesticiden en metabolieten </v>
      </c>
      <c r="G2204" t="str">
        <f t="shared" si="105"/>
        <v xml:space="preserve">Pesticiden en humaan toxicologisch relevante metabolieten </v>
      </c>
    </row>
    <row r="2205" spans="1:7" x14ac:dyDescent="0.25">
      <c r="A2205">
        <v>8273</v>
      </c>
      <c r="B2205" t="str">
        <f>"esfenvaleraat"</f>
        <v>esfenvaleraat</v>
      </c>
      <c r="C2205" t="s">
        <v>19016</v>
      </c>
      <c r="D2205" t="str">
        <f>"66230-04-4"</f>
        <v>66230-04-4</v>
      </c>
      <c r="E2205" t="str">
        <f t="shared" si="103"/>
        <v xml:space="preserve">Organische parameters </v>
      </c>
      <c r="F2205" t="str">
        <f t="shared" si="104"/>
        <v xml:space="preserve">Pesticiden en metabolieten </v>
      </c>
      <c r="G2205" t="str">
        <f t="shared" si="105"/>
        <v xml:space="preserve">Pesticiden en humaan toxicologisch relevante metabolieten </v>
      </c>
    </row>
    <row r="2206" spans="1:7" x14ac:dyDescent="0.25">
      <c r="A2206">
        <v>8274</v>
      </c>
      <c r="B2206" t="str">
        <f>"ethalfluraline"</f>
        <v>ethalfluraline</v>
      </c>
      <c r="C2206" t="s">
        <v>19016</v>
      </c>
      <c r="D2206" t="str">
        <f>"55283-68-6"</f>
        <v>55283-68-6</v>
      </c>
      <c r="E2206" t="str">
        <f t="shared" si="103"/>
        <v xml:space="preserve">Organische parameters </v>
      </c>
      <c r="F2206" t="str">
        <f t="shared" si="104"/>
        <v xml:space="preserve">Pesticiden en metabolieten </v>
      </c>
      <c r="G2206" t="str">
        <f t="shared" si="105"/>
        <v xml:space="preserve">Pesticiden en humaan toxicologisch relevante metabolieten </v>
      </c>
    </row>
    <row r="2207" spans="1:7" x14ac:dyDescent="0.25">
      <c r="A2207">
        <v>8275</v>
      </c>
      <c r="B2207" t="str">
        <f>"ethefon"</f>
        <v>ethefon</v>
      </c>
      <c r="C2207" t="s">
        <v>19016</v>
      </c>
      <c r="D2207" t="str">
        <f>"16672-87-0"</f>
        <v>16672-87-0</v>
      </c>
      <c r="E2207" t="str">
        <f t="shared" ref="E2207:E2270" si="106">"Organische parameters "</f>
        <v xml:space="preserve">Organische parameters </v>
      </c>
      <c r="F2207" t="str">
        <f t="shared" si="104"/>
        <v xml:space="preserve">Pesticiden en metabolieten </v>
      </c>
      <c r="G2207" t="str">
        <f t="shared" si="105"/>
        <v xml:space="preserve">Pesticiden en humaan toxicologisch relevante metabolieten </v>
      </c>
    </row>
    <row r="2208" spans="1:7" x14ac:dyDescent="0.25">
      <c r="A2208">
        <v>8276</v>
      </c>
      <c r="B2208" t="str">
        <f>"ethidimuron"</f>
        <v>ethidimuron</v>
      </c>
      <c r="C2208" t="s">
        <v>19016</v>
      </c>
      <c r="D2208" t="str">
        <f>"30043-49-3"</f>
        <v>30043-49-3</v>
      </c>
      <c r="E2208" t="str">
        <f t="shared" si="106"/>
        <v xml:space="preserve">Organische parameters </v>
      </c>
      <c r="F2208" t="str">
        <f t="shared" si="104"/>
        <v xml:space="preserve">Pesticiden en metabolieten </v>
      </c>
      <c r="G2208" t="str">
        <f t="shared" si="105"/>
        <v xml:space="preserve">Pesticiden en humaan toxicologisch relevante metabolieten </v>
      </c>
    </row>
    <row r="2209" spans="1:7" x14ac:dyDescent="0.25">
      <c r="A2209">
        <v>8277</v>
      </c>
      <c r="B2209" t="str">
        <f>"ethiofencarb"</f>
        <v>ethiofencarb</v>
      </c>
      <c r="C2209" t="s">
        <v>19016</v>
      </c>
      <c r="D2209" t="str">
        <f>"29973-13-5"</f>
        <v>29973-13-5</v>
      </c>
      <c r="E2209" t="str">
        <f t="shared" si="106"/>
        <v xml:space="preserve">Organische parameters </v>
      </c>
      <c r="F2209" t="str">
        <f t="shared" ref="F2209:F2272" si="107">"Pesticiden en metabolieten "</f>
        <v xml:space="preserve">Pesticiden en metabolieten </v>
      </c>
      <c r="G2209" t="str">
        <f t="shared" ref="G2209:G2272" si="108">"Pesticiden en humaan toxicologisch relevante metabolieten "</f>
        <v xml:space="preserve">Pesticiden en humaan toxicologisch relevante metabolieten </v>
      </c>
    </row>
    <row r="2210" spans="1:7" x14ac:dyDescent="0.25">
      <c r="A2210">
        <v>8278</v>
      </c>
      <c r="B2210" t="str">
        <f>"ethion"</f>
        <v>ethion</v>
      </c>
      <c r="C2210" t="s">
        <v>19016</v>
      </c>
      <c r="D2210" t="str">
        <f>"563-12-2"</f>
        <v>563-12-2</v>
      </c>
      <c r="E2210" t="str">
        <f t="shared" si="106"/>
        <v xml:space="preserve">Organische parameters </v>
      </c>
      <c r="F2210" t="str">
        <f t="shared" si="107"/>
        <v xml:space="preserve">Pesticiden en metabolieten </v>
      </c>
      <c r="G2210" t="str">
        <f t="shared" si="108"/>
        <v xml:space="preserve">Pesticiden en humaan toxicologisch relevante metabolieten </v>
      </c>
    </row>
    <row r="2211" spans="1:7" x14ac:dyDescent="0.25">
      <c r="A2211">
        <v>8279</v>
      </c>
      <c r="B2211" t="str">
        <f>"ethirimol"</f>
        <v>ethirimol</v>
      </c>
      <c r="C2211" t="s">
        <v>19016</v>
      </c>
      <c r="D2211" t="str">
        <f>"23947-60-6"</f>
        <v>23947-60-6</v>
      </c>
      <c r="E2211" t="str">
        <f t="shared" si="106"/>
        <v xml:space="preserve">Organische parameters </v>
      </c>
      <c r="F2211" t="str">
        <f t="shared" si="107"/>
        <v xml:space="preserve">Pesticiden en metabolieten </v>
      </c>
      <c r="G2211" t="str">
        <f t="shared" si="108"/>
        <v xml:space="preserve">Pesticiden en humaan toxicologisch relevante metabolieten </v>
      </c>
    </row>
    <row r="2212" spans="1:7" x14ac:dyDescent="0.25">
      <c r="A2212">
        <v>8280</v>
      </c>
      <c r="B2212" t="str">
        <f>"ethofumesaat"</f>
        <v>ethofumesaat</v>
      </c>
      <c r="C2212" t="s">
        <v>19016</v>
      </c>
      <c r="D2212" t="str">
        <f>"26225-79-6"</f>
        <v>26225-79-6</v>
      </c>
      <c r="E2212" t="str">
        <f t="shared" si="106"/>
        <v xml:space="preserve">Organische parameters </v>
      </c>
      <c r="F2212" t="str">
        <f t="shared" si="107"/>
        <v xml:space="preserve">Pesticiden en metabolieten </v>
      </c>
      <c r="G2212" t="str">
        <f t="shared" si="108"/>
        <v xml:space="preserve">Pesticiden en humaan toxicologisch relevante metabolieten </v>
      </c>
    </row>
    <row r="2213" spans="1:7" x14ac:dyDescent="0.25">
      <c r="A2213">
        <v>8281</v>
      </c>
      <c r="B2213" t="str">
        <f>"ethoprofos"</f>
        <v>ethoprofos</v>
      </c>
      <c r="C2213" t="s">
        <v>19016</v>
      </c>
      <c r="D2213" t="str">
        <f>"13194-48-4"</f>
        <v>13194-48-4</v>
      </c>
      <c r="E2213" t="str">
        <f t="shared" si="106"/>
        <v xml:space="preserve">Organische parameters </v>
      </c>
      <c r="F2213" t="str">
        <f t="shared" si="107"/>
        <v xml:space="preserve">Pesticiden en metabolieten </v>
      </c>
      <c r="G2213" t="str">
        <f t="shared" si="108"/>
        <v xml:space="preserve">Pesticiden en humaan toxicologisch relevante metabolieten </v>
      </c>
    </row>
    <row r="2214" spans="1:7" x14ac:dyDescent="0.25">
      <c r="A2214">
        <v>8283</v>
      </c>
      <c r="B2214" t="str">
        <f>"ethoxyquine"</f>
        <v>ethoxyquine</v>
      </c>
      <c r="C2214" t="s">
        <v>19016</v>
      </c>
      <c r="D2214" t="str">
        <f>"91-53-2"</f>
        <v>91-53-2</v>
      </c>
      <c r="E2214" t="str">
        <f t="shared" si="106"/>
        <v xml:space="preserve">Organische parameters </v>
      </c>
      <c r="F2214" t="str">
        <f t="shared" si="107"/>
        <v xml:space="preserve">Pesticiden en metabolieten </v>
      </c>
      <c r="G2214" t="str">
        <f t="shared" si="108"/>
        <v xml:space="preserve">Pesticiden en humaan toxicologisch relevante metabolieten </v>
      </c>
    </row>
    <row r="2215" spans="1:7" x14ac:dyDescent="0.25">
      <c r="A2215">
        <v>8284</v>
      </c>
      <c r="B2215" t="str">
        <f>"ethyleenglycol"</f>
        <v>ethyleenglycol</v>
      </c>
      <c r="C2215" t="s">
        <v>19016</v>
      </c>
      <c r="D2215" t="str">
        <f>"107-21-1"</f>
        <v>107-21-1</v>
      </c>
      <c r="E2215" t="str">
        <f t="shared" si="106"/>
        <v xml:space="preserve">Organische parameters </v>
      </c>
      <c r="F2215" t="str">
        <f t="shared" si="107"/>
        <v xml:space="preserve">Pesticiden en metabolieten </v>
      </c>
      <c r="G2215" t="str">
        <f t="shared" si="108"/>
        <v xml:space="preserve">Pesticiden en humaan toxicologisch relevante metabolieten </v>
      </c>
    </row>
    <row r="2216" spans="1:7" x14ac:dyDescent="0.25">
      <c r="A2216">
        <v>8285</v>
      </c>
      <c r="B2216" t="str">
        <f>"ethyleenthioureum"</f>
        <v>ethyleenthioureum</v>
      </c>
      <c r="C2216" t="s">
        <v>19016</v>
      </c>
      <c r="D2216" t="str">
        <f>"96-45-7"</f>
        <v>96-45-7</v>
      </c>
      <c r="E2216" t="str">
        <f t="shared" si="106"/>
        <v xml:space="preserve">Organische parameters </v>
      </c>
      <c r="F2216" t="str">
        <f t="shared" si="107"/>
        <v xml:space="preserve">Pesticiden en metabolieten </v>
      </c>
      <c r="G2216" t="str">
        <f t="shared" si="108"/>
        <v xml:space="preserve">Pesticiden en humaan toxicologisch relevante metabolieten </v>
      </c>
    </row>
    <row r="2217" spans="1:7" x14ac:dyDescent="0.25">
      <c r="A2217">
        <v>8286</v>
      </c>
      <c r="B2217" t="str">
        <f>"ethyleenureum"</f>
        <v>ethyleenureum</v>
      </c>
      <c r="C2217" t="s">
        <v>19016</v>
      </c>
      <c r="D2217" t="str">
        <f>"120-93-4"</f>
        <v>120-93-4</v>
      </c>
      <c r="E2217" t="str">
        <f t="shared" si="106"/>
        <v xml:space="preserve">Organische parameters </v>
      </c>
      <c r="F2217" t="str">
        <f t="shared" si="107"/>
        <v xml:space="preserve">Pesticiden en metabolieten </v>
      </c>
      <c r="G2217" t="str">
        <f t="shared" si="108"/>
        <v xml:space="preserve">Pesticiden en humaan toxicologisch relevante metabolieten </v>
      </c>
    </row>
    <row r="2218" spans="1:7" x14ac:dyDescent="0.25">
      <c r="A2218">
        <v>8287</v>
      </c>
      <c r="B2218" t="str">
        <f>"ethylkwikbromide"</f>
        <v>ethylkwikbromide</v>
      </c>
      <c r="C2218" t="s">
        <v>19016</v>
      </c>
      <c r="D2218" t="str">
        <f>"107-26-6"</f>
        <v>107-26-6</v>
      </c>
      <c r="E2218" t="str">
        <f t="shared" si="106"/>
        <v xml:space="preserve">Organische parameters </v>
      </c>
      <c r="F2218" t="str">
        <f t="shared" si="107"/>
        <v xml:space="preserve">Pesticiden en metabolieten </v>
      </c>
      <c r="G2218" t="str">
        <f t="shared" si="108"/>
        <v xml:space="preserve">Pesticiden en humaan toxicologisch relevante metabolieten </v>
      </c>
    </row>
    <row r="2219" spans="1:7" x14ac:dyDescent="0.25">
      <c r="A2219">
        <v>8288</v>
      </c>
      <c r="B2219" t="str">
        <f>"etridiazool"</f>
        <v>etridiazool</v>
      </c>
      <c r="C2219" t="s">
        <v>19016</v>
      </c>
      <c r="D2219" t="str">
        <f>"2593-15-9"</f>
        <v>2593-15-9</v>
      </c>
      <c r="E2219" t="str">
        <f t="shared" si="106"/>
        <v xml:space="preserve">Organische parameters </v>
      </c>
      <c r="F2219" t="str">
        <f t="shared" si="107"/>
        <v xml:space="preserve">Pesticiden en metabolieten </v>
      </c>
      <c r="G2219" t="str">
        <f t="shared" si="108"/>
        <v xml:space="preserve">Pesticiden en humaan toxicologisch relevante metabolieten </v>
      </c>
    </row>
    <row r="2220" spans="1:7" x14ac:dyDescent="0.25">
      <c r="A2220">
        <v>8289</v>
      </c>
      <c r="B2220" t="str">
        <f>"etrimfos"</f>
        <v>etrimfos</v>
      </c>
      <c r="C2220" t="s">
        <v>19016</v>
      </c>
      <c r="D2220" t="str">
        <f>"38260-54-7"</f>
        <v>38260-54-7</v>
      </c>
      <c r="E2220" t="str">
        <f t="shared" si="106"/>
        <v xml:space="preserve">Organische parameters </v>
      </c>
      <c r="F2220" t="str">
        <f t="shared" si="107"/>
        <v xml:space="preserve">Pesticiden en metabolieten </v>
      </c>
      <c r="G2220" t="str">
        <f t="shared" si="108"/>
        <v xml:space="preserve">Pesticiden en humaan toxicologisch relevante metabolieten </v>
      </c>
    </row>
    <row r="2221" spans="1:7" x14ac:dyDescent="0.25">
      <c r="A2221">
        <v>8290</v>
      </c>
      <c r="B2221" t="str">
        <f>"fenamifos"</f>
        <v>fenamifos</v>
      </c>
      <c r="C2221" t="s">
        <v>19016</v>
      </c>
      <c r="D2221" t="str">
        <f>"22224-92-6"</f>
        <v>22224-92-6</v>
      </c>
      <c r="E2221" t="str">
        <f t="shared" si="106"/>
        <v xml:space="preserve">Organische parameters </v>
      </c>
      <c r="F2221" t="str">
        <f t="shared" si="107"/>
        <v xml:space="preserve">Pesticiden en metabolieten </v>
      </c>
      <c r="G2221" t="str">
        <f t="shared" si="108"/>
        <v xml:space="preserve">Pesticiden en humaan toxicologisch relevante metabolieten </v>
      </c>
    </row>
    <row r="2222" spans="1:7" x14ac:dyDescent="0.25">
      <c r="A2222">
        <v>8291</v>
      </c>
      <c r="B2222" t="str">
        <f>"fenaminosulf"</f>
        <v>fenaminosulf</v>
      </c>
      <c r="C2222" t="s">
        <v>19016</v>
      </c>
      <c r="D2222" t="str">
        <f>"140-56-7"</f>
        <v>140-56-7</v>
      </c>
      <c r="E2222" t="str">
        <f t="shared" si="106"/>
        <v xml:space="preserve">Organische parameters </v>
      </c>
      <c r="F2222" t="str">
        <f t="shared" si="107"/>
        <v xml:space="preserve">Pesticiden en metabolieten </v>
      </c>
      <c r="G2222" t="str">
        <f t="shared" si="108"/>
        <v xml:space="preserve">Pesticiden en humaan toxicologisch relevante metabolieten </v>
      </c>
    </row>
    <row r="2223" spans="1:7" x14ac:dyDescent="0.25">
      <c r="A2223">
        <v>8292</v>
      </c>
      <c r="B2223" t="str">
        <f>"fenarimol"</f>
        <v>fenarimol</v>
      </c>
      <c r="C2223" t="s">
        <v>19016</v>
      </c>
      <c r="D2223" t="str">
        <f>"60168-88-9"</f>
        <v>60168-88-9</v>
      </c>
      <c r="E2223" t="str">
        <f t="shared" si="106"/>
        <v xml:space="preserve">Organische parameters </v>
      </c>
      <c r="F2223" t="str">
        <f t="shared" si="107"/>
        <v xml:space="preserve">Pesticiden en metabolieten </v>
      </c>
      <c r="G2223" t="str">
        <f t="shared" si="108"/>
        <v xml:space="preserve">Pesticiden en humaan toxicologisch relevante metabolieten </v>
      </c>
    </row>
    <row r="2224" spans="1:7" x14ac:dyDescent="0.25">
      <c r="A2224">
        <v>8293</v>
      </c>
      <c r="B2224" t="str">
        <f>"fenaxoprop-ethyl"</f>
        <v>fenaxoprop-ethyl</v>
      </c>
      <c r="C2224" t="s">
        <v>19016</v>
      </c>
      <c r="D2224" t="str">
        <f>""</f>
        <v/>
      </c>
      <c r="E2224" t="str">
        <f t="shared" si="106"/>
        <v xml:space="preserve">Organische parameters </v>
      </c>
      <c r="F2224" t="str">
        <f t="shared" si="107"/>
        <v xml:space="preserve">Pesticiden en metabolieten </v>
      </c>
      <c r="G2224" t="str">
        <f t="shared" si="108"/>
        <v xml:space="preserve">Pesticiden en humaan toxicologisch relevante metabolieten </v>
      </c>
    </row>
    <row r="2225" spans="1:7" x14ac:dyDescent="0.25">
      <c r="A2225">
        <v>8294</v>
      </c>
      <c r="B2225" t="str">
        <f>"fenazofloor"</f>
        <v>fenazofloor</v>
      </c>
      <c r="C2225" t="s">
        <v>19016</v>
      </c>
      <c r="D2225" t="str">
        <f>""</f>
        <v/>
      </c>
      <c r="E2225" t="str">
        <f t="shared" si="106"/>
        <v xml:space="preserve">Organische parameters </v>
      </c>
      <c r="F2225" t="str">
        <f t="shared" si="107"/>
        <v xml:space="preserve">Pesticiden en metabolieten </v>
      </c>
      <c r="G2225" t="str">
        <f t="shared" si="108"/>
        <v xml:space="preserve">Pesticiden en humaan toxicologisch relevante metabolieten </v>
      </c>
    </row>
    <row r="2226" spans="1:7" x14ac:dyDescent="0.25">
      <c r="A2226">
        <v>8295</v>
      </c>
      <c r="B2226" t="str">
        <f>"fenbutatinoxide"</f>
        <v>fenbutatinoxide</v>
      </c>
      <c r="C2226" t="s">
        <v>19016</v>
      </c>
      <c r="D2226" t="str">
        <f>"13356-08-6"</f>
        <v>13356-08-6</v>
      </c>
      <c r="E2226" t="str">
        <f t="shared" si="106"/>
        <v xml:space="preserve">Organische parameters </v>
      </c>
      <c r="F2226" t="str">
        <f t="shared" si="107"/>
        <v xml:space="preserve">Pesticiden en metabolieten </v>
      </c>
      <c r="G2226" t="str">
        <f t="shared" si="108"/>
        <v xml:space="preserve">Pesticiden en humaan toxicologisch relevante metabolieten </v>
      </c>
    </row>
    <row r="2227" spans="1:7" x14ac:dyDescent="0.25">
      <c r="A2227">
        <v>8296</v>
      </c>
      <c r="B2227" t="str">
        <f>"fenchloorfos  (ronnel)"</f>
        <v>fenchloorfos  (ronnel)</v>
      </c>
      <c r="C2227" t="s">
        <v>19016</v>
      </c>
      <c r="D2227" t="str">
        <f>"299-84-3"</f>
        <v>299-84-3</v>
      </c>
      <c r="E2227" t="str">
        <f t="shared" si="106"/>
        <v xml:space="preserve">Organische parameters </v>
      </c>
      <c r="F2227" t="str">
        <f t="shared" si="107"/>
        <v xml:space="preserve">Pesticiden en metabolieten </v>
      </c>
      <c r="G2227" t="str">
        <f t="shared" si="108"/>
        <v xml:space="preserve">Pesticiden en humaan toxicologisch relevante metabolieten </v>
      </c>
    </row>
    <row r="2228" spans="1:7" x14ac:dyDescent="0.25">
      <c r="A2228">
        <v>8297</v>
      </c>
      <c r="B2228" t="str">
        <f>"fenfuram"</f>
        <v>fenfuram</v>
      </c>
      <c r="C2228" t="s">
        <v>19016</v>
      </c>
      <c r="D2228" t="str">
        <f>"24691-80-3"</f>
        <v>24691-80-3</v>
      </c>
      <c r="E2228" t="str">
        <f t="shared" si="106"/>
        <v xml:space="preserve">Organische parameters </v>
      </c>
      <c r="F2228" t="str">
        <f t="shared" si="107"/>
        <v xml:space="preserve">Pesticiden en metabolieten </v>
      </c>
      <c r="G2228" t="str">
        <f t="shared" si="108"/>
        <v xml:space="preserve">Pesticiden en humaan toxicologisch relevante metabolieten </v>
      </c>
    </row>
    <row r="2229" spans="1:7" x14ac:dyDescent="0.25">
      <c r="A2229">
        <v>8298</v>
      </c>
      <c r="B2229" t="str">
        <f>"fenitrothion"</f>
        <v>fenitrothion</v>
      </c>
      <c r="C2229" t="s">
        <v>19016</v>
      </c>
      <c r="D2229" t="str">
        <f>"122-14-5"</f>
        <v>122-14-5</v>
      </c>
      <c r="E2229" t="str">
        <f t="shared" si="106"/>
        <v xml:space="preserve">Organische parameters </v>
      </c>
      <c r="F2229" t="str">
        <f t="shared" si="107"/>
        <v xml:space="preserve">Pesticiden en metabolieten </v>
      </c>
      <c r="G2229" t="str">
        <f t="shared" si="108"/>
        <v xml:space="preserve">Pesticiden en humaan toxicologisch relevante metabolieten </v>
      </c>
    </row>
    <row r="2230" spans="1:7" x14ac:dyDescent="0.25">
      <c r="A2230">
        <v>8300</v>
      </c>
      <c r="B2230" t="str">
        <f>"fenmedifam"</f>
        <v>fenmedifam</v>
      </c>
      <c r="C2230" t="s">
        <v>19016</v>
      </c>
      <c r="D2230" t="str">
        <f>"13684-63-4"</f>
        <v>13684-63-4</v>
      </c>
      <c r="E2230" t="str">
        <f t="shared" si="106"/>
        <v xml:space="preserve">Organische parameters </v>
      </c>
      <c r="F2230" t="str">
        <f t="shared" si="107"/>
        <v xml:space="preserve">Pesticiden en metabolieten </v>
      </c>
      <c r="G2230" t="str">
        <f t="shared" si="108"/>
        <v xml:space="preserve">Pesticiden en humaan toxicologisch relevante metabolieten </v>
      </c>
    </row>
    <row r="2231" spans="1:7" x14ac:dyDescent="0.25">
      <c r="A2231">
        <v>8301</v>
      </c>
      <c r="B2231" t="str">
        <f>"fenothiazine"</f>
        <v>fenothiazine</v>
      </c>
      <c r="C2231" t="s">
        <v>19016</v>
      </c>
      <c r="D2231" t="str">
        <f>"92-84-2"</f>
        <v>92-84-2</v>
      </c>
      <c r="E2231" t="str">
        <f t="shared" si="106"/>
        <v xml:space="preserve">Organische parameters </v>
      </c>
      <c r="F2231" t="str">
        <f t="shared" si="107"/>
        <v xml:space="preserve">Pesticiden en metabolieten </v>
      </c>
      <c r="G2231" t="str">
        <f t="shared" si="108"/>
        <v xml:space="preserve">Pesticiden en humaan toxicologisch relevante metabolieten </v>
      </c>
    </row>
    <row r="2232" spans="1:7" x14ac:dyDescent="0.25">
      <c r="A2232">
        <v>8302</v>
      </c>
      <c r="B2232" t="str">
        <f>"fenotrin"</f>
        <v>fenotrin</v>
      </c>
      <c r="C2232" t="s">
        <v>19016</v>
      </c>
      <c r="D2232" t="str">
        <f>"26002-80-2"</f>
        <v>26002-80-2</v>
      </c>
      <c r="E2232" t="str">
        <f t="shared" si="106"/>
        <v xml:space="preserve">Organische parameters </v>
      </c>
      <c r="F2232" t="str">
        <f t="shared" si="107"/>
        <v xml:space="preserve">Pesticiden en metabolieten </v>
      </c>
      <c r="G2232" t="str">
        <f t="shared" si="108"/>
        <v xml:space="preserve">Pesticiden en humaan toxicologisch relevante metabolieten </v>
      </c>
    </row>
    <row r="2233" spans="1:7" x14ac:dyDescent="0.25">
      <c r="A2233">
        <v>8303</v>
      </c>
      <c r="B2233" t="str">
        <f>"fenoxaprop"</f>
        <v>fenoxaprop</v>
      </c>
      <c r="C2233" t="s">
        <v>19016</v>
      </c>
      <c r="D2233" t="str">
        <f>"73519-55-8"</f>
        <v>73519-55-8</v>
      </c>
      <c r="E2233" t="str">
        <f t="shared" si="106"/>
        <v xml:space="preserve">Organische parameters </v>
      </c>
      <c r="F2233" t="str">
        <f t="shared" si="107"/>
        <v xml:space="preserve">Pesticiden en metabolieten </v>
      </c>
      <c r="G2233" t="str">
        <f t="shared" si="108"/>
        <v xml:space="preserve">Pesticiden en humaan toxicologisch relevante metabolieten </v>
      </c>
    </row>
    <row r="2234" spans="1:7" x14ac:dyDescent="0.25">
      <c r="A2234">
        <v>8304</v>
      </c>
      <c r="B2234" t="str">
        <f>"fenoxycarb"</f>
        <v>fenoxycarb</v>
      </c>
      <c r="C2234" t="s">
        <v>19016</v>
      </c>
      <c r="D2234" t="str">
        <f>"72490-01-8"</f>
        <v>72490-01-8</v>
      </c>
      <c r="E2234" t="str">
        <f t="shared" si="106"/>
        <v xml:space="preserve">Organische parameters </v>
      </c>
      <c r="F2234" t="str">
        <f t="shared" si="107"/>
        <v xml:space="preserve">Pesticiden en metabolieten </v>
      </c>
      <c r="G2234" t="str">
        <f t="shared" si="108"/>
        <v xml:space="preserve">Pesticiden en humaan toxicologisch relevante metabolieten </v>
      </c>
    </row>
    <row r="2235" spans="1:7" x14ac:dyDescent="0.25">
      <c r="A2235">
        <v>8305</v>
      </c>
      <c r="B2235" t="str">
        <f>"fenpiclonil"</f>
        <v>fenpiclonil</v>
      </c>
      <c r="C2235" t="s">
        <v>19016</v>
      </c>
      <c r="D2235" t="str">
        <f>"74738-17-3"</f>
        <v>74738-17-3</v>
      </c>
      <c r="E2235" t="str">
        <f t="shared" si="106"/>
        <v xml:space="preserve">Organische parameters </v>
      </c>
      <c r="F2235" t="str">
        <f t="shared" si="107"/>
        <v xml:space="preserve">Pesticiden en metabolieten </v>
      </c>
      <c r="G2235" t="str">
        <f t="shared" si="108"/>
        <v xml:space="preserve">Pesticiden en humaan toxicologisch relevante metabolieten </v>
      </c>
    </row>
    <row r="2236" spans="1:7" x14ac:dyDescent="0.25">
      <c r="A2236">
        <v>8306</v>
      </c>
      <c r="B2236" t="str">
        <f>"fenpropathrin"</f>
        <v>fenpropathrin</v>
      </c>
      <c r="C2236" t="s">
        <v>19016</v>
      </c>
      <c r="D2236" t="str">
        <f>"64257-84-7"</f>
        <v>64257-84-7</v>
      </c>
      <c r="E2236" t="str">
        <f t="shared" si="106"/>
        <v xml:space="preserve">Organische parameters </v>
      </c>
      <c r="F2236" t="str">
        <f t="shared" si="107"/>
        <v xml:space="preserve">Pesticiden en metabolieten </v>
      </c>
      <c r="G2236" t="str">
        <f t="shared" si="108"/>
        <v xml:space="preserve">Pesticiden en humaan toxicologisch relevante metabolieten </v>
      </c>
    </row>
    <row r="2237" spans="1:7" x14ac:dyDescent="0.25">
      <c r="A2237">
        <v>8307</v>
      </c>
      <c r="B2237" t="str">
        <f>"fenpropimorf"</f>
        <v>fenpropimorf</v>
      </c>
      <c r="C2237" t="s">
        <v>19016</v>
      </c>
      <c r="D2237" t="str">
        <f>"67564-91-4"</f>
        <v>67564-91-4</v>
      </c>
      <c r="E2237" t="str">
        <f t="shared" si="106"/>
        <v xml:space="preserve">Organische parameters </v>
      </c>
      <c r="F2237" t="str">
        <f t="shared" si="107"/>
        <v xml:space="preserve">Pesticiden en metabolieten </v>
      </c>
      <c r="G2237" t="str">
        <f t="shared" si="108"/>
        <v xml:space="preserve">Pesticiden en humaan toxicologisch relevante metabolieten </v>
      </c>
    </row>
    <row r="2238" spans="1:7" x14ac:dyDescent="0.25">
      <c r="A2238">
        <v>8308</v>
      </c>
      <c r="B2238" t="str">
        <f>"fenson"</f>
        <v>fenson</v>
      </c>
      <c r="C2238" t="s">
        <v>19016</v>
      </c>
      <c r="D2238" t="str">
        <f>"80-38-6"</f>
        <v>80-38-6</v>
      </c>
      <c r="E2238" t="str">
        <f t="shared" si="106"/>
        <v xml:space="preserve">Organische parameters </v>
      </c>
      <c r="F2238" t="str">
        <f t="shared" si="107"/>
        <v xml:space="preserve">Pesticiden en metabolieten </v>
      </c>
      <c r="G2238" t="str">
        <f t="shared" si="108"/>
        <v xml:space="preserve">Pesticiden en humaan toxicologisch relevante metabolieten </v>
      </c>
    </row>
    <row r="2239" spans="1:7" x14ac:dyDescent="0.25">
      <c r="A2239">
        <v>8309</v>
      </c>
      <c r="B2239" t="str">
        <f>"fenthion"</f>
        <v>fenthion</v>
      </c>
      <c r="C2239" t="s">
        <v>19016</v>
      </c>
      <c r="D2239" t="str">
        <f>"55-38-9"</f>
        <v>55-38-9</v>
      </c>
      <c r="E2239" t="str">
        <f t="shared" si="106"/>
        <v xml:space="preserve">Organische parameters </v>
      </c>
      <c r="F2239" t="str">
        <f t="shared" si="107"/>
        <v xml:space="preserve">Pesticiden en metabolieten </v>
      </c>
      <c r="G2239" t="str">
        <f t="shared" si="108"/>
        <v xml:space="preserve">Pesticiden en humaan toxicologisch relevante metabolieten </v>
      </c>
    </row>
    <row r="2240" spans="1:7" x14ac:dyDescent="0.25">
      <c r="A2240">
        <v>8310</v>
      </c>
      <c r="B2240" t="str">
        <f>"fenthoaat"</f>
        <v>fenthoaat</v>
      </c>
      <c r="C2240" t="s">
        <v>19016</v>
      </c>
      <c r="D2240" t="str">
        <f>"7-3-2597"</f>
        <v>7-3-2597</v>
      </c>
      <c r="E2240" t="str">
        <f t="shared" si="106"/>
        <v xml:space="preserve">Organische parameters </v>
      </c>
      <c r="F2240" t="str">
        <f t="shared" si="107"/>
        <v xml:space="preserve">Pesticiden en metabolieten </v>
      </c>
      <c r="G2240" t="str">
        <f t="shared" si="108"/>
        <v xml:space="preserve">Pesticiden en humaan toxicologisch relevante metabolieten </v>
      </c>
    </row>
    <row r="2241" spans="1:7" x14ac:dyDescent="0.25">
      <c r="A2241">
        <v>8311</v>
      </c>
      <c r="B2241" t="str">
        <f>"fentinacetaat"</f>
        <v>fentinacetaat</v>
      </c>
      <c r="C2241" t="s">
        <v>19016</v>
      </c>
      <c r="D2241" t="str">
        <f>"900-95-8"</f>
        <v>900-95-8</v>
      </c>
      <c r="E2241" t="str">
        <f t="shared" si="106"/>
        <v xml:space="preserve">Organische parameters </v>
      </c>
      <c r="F2241" t="str">
        <f t="shared" si="107"/>
        <v xml:space="preserve">Pesticiden en metabolieten </v>
      </c>
      <c r="G2241" t="str">
        <f t="shared" si="108"/>
        <v xml:space="preserve">Pesticiden en humaan toxicologisch relevante metabolieten </v>
      </c>
    </row>
    <row r="2242" spans="1:7" x14ac:dyDescent="0.25">
      <c r="A2242">
        <v>8312</v>
      </c>
      <c r="B2242" t="str">
        <f>"fentinhydroxide"</f>
        <v>fentinhydroxide</v>
      </c>
      <c r="C2242" t="s">
        <v>19016</v>
      </c>
      <c r="D2242" t="str">
        <f>"76-87-9"</f>
        <v>76-87-9</v>
      </c>
      <c r="E2242" t="str">
        <f t="shared" si="106"/>
        <v xml:space="preserve">Organische parameters </v>
      </c>
      <c r="F2242" t="str">
        <f t="shared" si="107"/>
        <v xml:space="preserve">Pesticiden en metabolieten </v>
      </c>
      <c r="G2242" t="str">
        <f t="shared" si="108"/>
        <v xml:space="preserve">Pesticiden en humaan toxicologisch relevante metabolieten </v>
      </c>
    </row>
    <row r="2243" spans="1:7" x14ac:dyDescent="0.25">
      <c r="A2243">
        <v>8313</v>
      </c>
      <c r="B2243" t="str">
        <f>"fenvaleraat"</f>
        <v>fenvaleraat</v>
      </c>
      <c r="C2243" t="s">
        <v>19016</v>
      </c>
      <c r="D2243" t="str">
        <f>"51630-58-1"</f>
        <v>51630-58-1</v>
      </c>
      <c r="E2243" t="str">
        <f t="shared" si="106"/>
        <v xml:space="preserve">Organische parameters </v>
      </c>
      <c r="F2243" t="str">
        <f t="shared" si="107"/>
        <v xml:space="preserve">Pesticiden en metabolieten </v>
      </c>
      <c r="G2243" t="str">
        <f t="shared" si="108"/>
        <v xml:space="preserve">Pesticiden en humaan toxicologisch relevante metabolieten </v>
      </c>
    </row>
    <row r="2244" spans="1:7" x14ac:dyDescent="0.25">
      <c r="A2244">
        <v>8314</v>
      </c>
      <c r="B2244" t="str">
        <f>"o-fenylfenol"</f>
        <v>o-fenylfenol</v>
      </c>
      <c r="C2244" t="s">
        <v>19016</v>
      </c>
      <c r="D2244" t="str">
        <f>"90-43-7"</f>
        <v>90-43-7</v>
      </c>
      <c r="E2244" t="str">
        <f t="shared" si="106"/>
        <v xml:space="preserve">Organische parameters </v>
      </c>
      <c r="F2244" t="str">
        <f t="shared" si="107"/>
        <v xml:space="preserve">Pesticiden en metabolieten </v>
      </c>
      <c r="G2244" t="str">
        <f t="shared" si="108"/>
        <v xml:space="preserve">Pesticiden en humaan toxicologisch relevante metabolieten </v>
      </c>
    </row>
    <row r="2245" spans="1:7" x14ac:dyDescent="0.25">
      <c r="A2245">
        <v>8315</v>
      </c>
      <c r="B2245" t="str">
        <f>"6-chloor-4-hydroxy-3-fenylpyridazine"</f>
        <v>6-chloor-4-hydroxy-3-fenylpyridazine</v>
      </c>
      <c r="C2245" t="s">
        <v>19016</v>
      </c>
      <c r="D2245" t="str">
        <f>"40020-01-7"</f>
        <v>40020-01-7</v>
      </c>
      <c r="E2245" t="str">
        <f t="shared" si="106"/>
        <v xml:space="preserve">Organische parameters </v>
      </c>
      <c r="F2245" t="str">
        <f t="shared" si="107"/>
        <v xml:space="preserve">Pesticiden en metabolieten </v>
      </c>
      <c r="G2245" t="str">
        <f t="shared" si="108"/>
        <v xml:space="preserve">Pesticiden en humaan toxicologisch relevante metabolieten </v>
      </c>
    </row>
    <row r="2246" spans="1:7" x14ac:dyDescent="0.25">
      <c r="A2246">
        <v>8316</v>
      </c>
      <c r="B2246" t="str">
        <f>"fenylkwikverbindingen"</f>
        <v>fenylkwikverbindingen</v>
      </c>
      <c r="C2246" t="s">
        <v>19016</v>
      </c>
      <c r="D2246" t="str">
        <f>""</f>
        <v/>
      </c>
      <c r="E2246" t="str">
        <f t="shared" si="106"/>
        <v xml:space="preserve">Organische parameters </v>
      </c>
      <c r="F2246" t="str">
        <f t="shared" si="107"/>
        <v xml:space="preserve">Pesticiden en metabolieten </v>
      </c>
      <c r="G2246" t="str">
        <f t="shared" si="108"/>
        <v xml:space="preserve">Pesticiden en humaan toxicologisch relevante metabolieten </v>
      </c>
    </row>
    <row r="2247" spans="1:7" x14ac:dyDescent="0.25">
      <c r="A2247">
        <v>8317</v>
      </c>
      <c r="B2247" t="str">
        <f>"feranimol"</f>
        <v>feranimol</v>
      </c>
      <c r="C2247" t="s">
        <v>19016</v>
      </c>
      <c r="D2247" t="str">
        <f>""</f>
        <v/>
      </c>
      <c r="E2247" t="str">
        <f t="shared" si="106"/>
        <v xml:space="preserve">Organische parameters </v>
      </c>
      <c r="F2247" t="str">
        <f t="shared" si="107"/>
        <v xml:space="preserve">Pesticiden en metabolieten </v>
      </c>
      <c r="G2247" t="str">
        <f t="shared" si="108"/>
        <v xml:space="preserve">Pesticiden en humaan toxicologisch relevante metabolieten </v>
      </c>
    </row>
    <row r="2248" spans="1:7" x14ac:dyDescent="0.25">
      <c r="A2248">
        <v>8318</v>
      </c>
      <c r="B2248" t="str">
        <f>"ferbam"</f>
        <v>ferbam</v>
      </c>
      <c r="C2248" t="s">
        <v>19016</v>
      </c>
      <c r="D2248" t="str">
        <f>"14484-64-1"</f>
        <v>14484-64-1</v>
      </c>
      <c r="E2248" t="str">
        <f t="shared" si="106"/>
        <v xml:space="preserve">Organische parameters </v>
      </c>
      <c r="F2248" t="str">
        <f t="shared" si="107"/>
        <v xml:space="preserve">Pesticiden en metabolieten </v>
      </c>
      <c r="G2248" t="str">
        <f t="shared" si="108"/>
        <v xml:space="preserve">Pesticiden en humaan toxicologisch relevante metabolieten </v>
      </c>
    </row>
    <row r="2249" spans="1:7" x14ac:dyDescent="0.25">
      <c r="A2249">
        <v>8319</v>
      </c>
      <c r="B2249" t="str">
        <f>"flamprop-isopropyl"</f>
        <v>flamprop-isopropyl</v>
      </c>
      <c r="C2249" t="s">
        <v>19016</v>
      </c>
      <c r="D2249" t="str">
        <f>"52756-22-6"</f>
        <v>52756-22-6</v>
      </c>
      <c r="E2249" t="str">
        <f t="shared" si="106"/>
        <v xml:space="preserve">Organische parameters </v>
      </c>
      <c r="F2249" t="str">
        <f t="shared" si="107"/>
        <v xml:space="preserve">Pesticiden en metabolieten </v>
      </c>
      <c r="G2249" t="str">
        <f t="shared" si="108"/>
        <v xml:space="preserve">Pesticiden en humaan toxicologisch relevante metabolieten </v>
      </c>
    </row>
    <row r="2250" spans="1:7" x14ac:dyDescent="0.25">
      <c r="A2250">
        <v>8320</v>
      </c>
      <c r="B2250" t="str">
        <f>"flamprop-methyl"</f>
        <v>flamprop-methyl</v>
      </c>
      <c r="C2250" t="s">
        <v>19016</v>
      </c>
      <c r="D2250" t="str">
        <f>"52756-25-9"</f>
        <v>52756-25-9</v>
      </c>
      <c r="E2250" t="str">
        <f t="shared" si="106"/>
        <v xml:space="preserve">Organische parameters </v>
      </c>
      <c r="F2250" t="str">
        <f t="shared" si="107"/>
        <v xml:space="preserve">Pesticiden en metabolieten </v>
      </c>
      <c r="G2250" t="str">
        <f t="shared" si="108"/>
        <v xml:space="preserve">Pesticiden en humaan toxicologisch relevante metabolieten </v>
      </c>
    </row>
    <row r="2251" spans="1:7" x14ac:dyDescent="0.25">
      <c r="A2251">
        <v>8321</v>
      </c>
      <c r="B2251" t="str">
        <f>"fluazifop-butyl"</f>
        <v>fluazifop-butyl</v>
      </c>
      <c r="C2251" t="s">
        <v>19016</v>
      </c>
      <c r="D2251" t="str">
        <f>"69806-50-4"</f>
        <v>69806-50-4</v>
      </c>
      <c r="E2251" t="str">
        <f t="shared" si="106"/>
        <v xml:space="preserve">Organische parameters </v>
      </c>
      <c r="F2251" t="str">
        <f t="shared" si="107"/>
        <v xml:space="preserve">Pesticiden en metabolieten </v>
      </c>
      <c r="G2251" t="str">
        <f t="shared" si="108"/>
        <v xml:space="preserve">Pesticiden en humaan toxicologisch relevante metabolieten </v>
      </c>
    </row>
    <row r="2252" spans="1:7" x14ac:dyDescent="0.25">
      <c r="A2252">
        <v>8322</v>
      </c>
      <c r="B2252" t="str">
        <f>"flubenzimine"</f>
        <v>flubenzimine</v>
      </c>
      <c r="C2252" t="s">
        <v>19016</v>
      </c>
      <c r="D2252" t="str">
        <f>"37893-02-0"</f>
        <v>37893-02-0</v>
      </c>
      <c r="E2252" t="str">
        <f t="shared" si="106"/>
        <v xml:space="preserve">Organische parameters </v>
      </c>
      <c r="F2252" t="str">
        <f t="shared" si="107"/>
        <v xml:space="preserve">Pesticiden en metabolieten </v>
      </c>
      <c r="G2252" t="str">
        <f t="shared" si="108"/>
        <v xml:space="preserve">Pesticiden en humaan toxicologisch relevante metabolieten </v>
      </c>
    </row>
    <row r="2253" spans="1:7" x14ac:dyDescent="0.25">
      <c r="A2253">
        <v>8323</v>
      </c>
      <c r="B2253" t="str">
        <f>"flucithrinaat"</f>
        <v>flucithrinaat</v>
      </c>
      <c r="C2253" t="s">
        <v>19016</v>
      </c>
      <c r="D2253" t="str">
        <f>"70124-77-5"</f>
        <v>70124-77-5</v>
      </c>
      <c r="E2253" t="str">
        <f t="shared" si="106"/>
        <v xml:space="preserve">Organische parameters </v>
      </c>
      <c r="F2253" t="str">
        <f t="shared" si="107"/>
        <v xml:space="preserve">Pesticiden en metabolieten </v>
      </c>
      <c r="G2253" t="str">
        <f t="shared" si="108"/>
        <v xml:space="preserve">Pesticiden en humaan toxicologisch relevante metabolieten </v>
      </c>
    </row>
    <row r="2254" spans="1:7" x14ac:dyDescent="0.25">
      <c r="A2254">
        <v>8324</v>
      </c>
      <c r="B2254" t="str">
        <f>"fluennitril"</f>
        <v>fluennitril</v>
      </c>
      <c r="C2254" t="s">
        <v>19016</v>
      </c>
      <c r="D2254" t="str">
        <f>""</f>
        <v/>
      </c>
      <c r="E2254" t="str">
        <f t="shared" si="106"/>
        <v xml:space="preserve">Organische parameters </v>
      </c>
      <c r="F2254" t="str">
        <f t="shared" si="107"/>
        <v xml:space="preserve">Pesticiden en metabolieten </v>
      </c>
      <c r="G2254" t="str">
        <f t="shared" si="108"/>
        <v xml:space="preserve">Pesticiden en humaan toxicologisch relevante metabolieten </v>
      </c>
    </row>
    <row r="2255" spans="1:7" x14ac:dyDescent="0.25">
      <c r="A2255">
        <v>8326</v>
      </c>
      <c r="B2255" t="str">
        <f>"fluometuron"</f>
        <v>fluometuron</v>
      </c>
      <c r="C2255" t="s">
        <v>19016</v>
      </c>
      <c r="D2255" t="str">
        <f>"2164-17-2"</f>
        <v>2164-17-2</v>
      </c>
      <c r="E2255" t="str">
        <f t="shared" si="106"/>
        <v xml:space="preserve">Organische parameters </v>
      </c>
      <c r="F2255" t="str">
        <f t="shared" si="107"/>
        <v xml:space="preserve">Pesticiden en metabolieten </v>
      </c>
      <c r="G2255" t="str">
        <f t="shared" si="108"/>
        <v xml:space="preserve">Pesticiden en humaan toxicologisch relevante metabolieten </v>
      </c>
    </row>
    <row r="2256" spans="1:7" x14ac:dyDescent="0.25">
      <c r="A2256">
        <v>8327</v>
      </c>
      <c r="B2256" t="str">
        <f>"fluorchloridon"</f>
        <v>fluorchloridon</v>
      </c>
      <c r="C2256" t="s">
        <v>19016</v>
      </c>
      <c r="D2256" t="str">
        <f>"61213-25-0"</f>
        <v>61213-25-0</v>
      </c>
      <c r="E2256" t="str">
        <f t="shared" si="106"/>
        <v xml:space="preserve">Organische parameters </v>
      </c>
      <c r="F2256" t="str">
        <f t="shared" si="107"/>
        <v xml:space="preserve">Pesticiden en metabolieten </v>
      </c>
      <c r="G2256" t="str">
        <f t="shared" si="108"/>
        <v xml:space="preserve">Pesticiden en humaan toxicologisch relevante metabolieten </v>
      </c>
    </row>
    <row r="2257" spans="1:7" x14ac:dyDescent="0.25">
      <c r="A2257">
        <v>8328</v>
      </c>
      <c r="B2257" t="str">
        <f>"fluorodifeen"</f>
        <v>fluorodifeen</v>
      </c>
      <c r="C2257" t="s">
        <v>19016</v>
      </c>
      <c r="D2257" t="str">
        <f>"15457-05-3"</f>
        <v>15457-05-3</v>
      </c>
      <c r="E2257" t="str">
        <f t="shared" si="106"/>
        <v xml:space="preserve">Organische parameters </v>
      </c>
      <c r="F2257" t="str">
        <f t="shared" si="107"/>
        <v xml:space="preserve">Pesticiden en metabolieten </v>
      </c>
      <c r="G2257" t="str">
        <f t="shared" si="108"/>
        <v xml:space="preserve">Pesticiden en humaan toxicologisch relevante metabolieten </v>
      </c>
    </row>
    <row r="2258" spans="1:7" x14ac:dyDescent="0.25">
      <c r="A2258">
        <v>8329</v>
      </c>
      <c r="B2258" t="str">
        <f>"flurenol"</f>
        <v>flurenol</v>
      </c>
      <c r="C2258" t="s">
        <v>19016</v>
      </c>
      <c r="D2258" t="str">
        <f>"467-69-6"</f>
        <v>467-69-6</v>
      </c>
      <c r="E2258" t="str">
        <f t="shared" si="106"/>
        <v xml:space="preserve">Organische parameters </v>
      </c>
      <c r="F2258" t="str">
        <f t="shared" si="107"/>
        <v xml:space="preserve">Pesticiden en metabolieten </v>
      </c>
      <c r="G2258" t="str">
        <f t="shared" si="108"/>
        <v xml:space="preserve">Pesticiden en humaan toxicologisch relevante metabolieten </v>
      </c>
    </row>
    <row r="2259" spans="1:7" x14ac:dyDescent="0.25">
      <c r="A2259">
        <v>8330</v>
      </c>
      <c r="B2259" t="str">
        <f>"fluroxypyr"</f>
        <v>fluroxypyr</v>
      </c>
      <c r="C2259" t="s">
        <v>19016</v>
      </c>
      <c r="D2259" t="str">
        <f>"69377-81-7"</f>
        <v>69377-81-7</v>
      </c>
      <c r="E2259" t="str">
        <f t="shared" si="106"/>
        <v xml:space="preserve">Organische parameters </v>
      </c>
      <c r="F2259" t="str">
        <f t="shared" si="107"/>
        <v xml:space="preserve">Pesticiden en metabolieten </v>
      </c>
      <c r="G2259" t="str">
        <f t="shared" si="108"/>
        <v xml:space="preserve">Pesticiden en humaan toxicologisch relevante metabolieten </v>
      </c>
    </row>
    <row r="2260" spans="1:7" x14ac:dyDescent="0.25">
      <c r="A2260">
        <v>8331</v>
      </c>
      <c r="B2260" t="str">
        <f>"flusilazol"</f>
        <v>flusilazol</v>
      </c>
      <c r="C2260" t="s">
        <v>19016</v>
      </c>
      <c r="D2260" t="str">
        <f>"85509-19-9"</f>
        <v>85509-19-9</v>
      </c>
      <c r="E2260" t="str">
        <f t="shared" si="106"/>
        <v xml:space="preserve">Organische parameters </v>
      </c>
      <c r="F2260" t="str">
        <f t="shared" si="107"/>
        <v xml:space="preserve">Pesticiden en metabolieten </v>
      </c>
      <c r="G2260" t="str">
        <f t="shared" si="108"/>
        <v xml:space="preserve">Pesticiden en humaan toxicologisch relevante metabolieten </v>
      </c>
    </row>
    <row r="2261" spans="1:7" x14ac:dyDescent="0.25">
      <c r="A2261">
        <v>8332</v>
      </c>
      <c r="B2261" t="str">
        <f>"flutriafol"</f>
        <v>flutriafol</v>
      </c>
      <c r="C2261" t="s">
        <v>19016</v>
      </c>
      <c r="D2261" t="str">
        <f>"76674-21-0"</f>
        <v>76674-21-0</v>
      </c>
      <c r="E2261" t="str">
        <f t="shared" si="106"/>
        <v xml:space="preserve">Organische parameters </v>
      </c>
      <c r="F2261" t="str">
        <f t="shared" si="107"/>
        <v xml:space="preserve">Pesticiden en metabolieten </v>
      </c>
      <c r="G2261" t="str">
        <f t="shared" si="108"/>
        <v xml:space="preserve">Pesticiden en humaan toxicologisch relevante metabolieten </v>
      </c>
    </row>
    <row r="2262" spans="1:7" x14ac:dyDescent="0.25">
      <c r="A2262">
        <v>8333</v>
      </c>
      <c r="B2262" t="str">
        <f>"fluvalinaat"</f>
        <v>fluvalinaat</v>
      </c>
      <c r="C2262" t="s">
        <v>19016</v>
      </c>
      <c r="D2262" t="str">
        <f>"69409-94-5"</f>
        <v>69409-94-5</v>
      </c>
      <c r="E2262" t="str">
        <f t="shared" si="106"/>
        <v xml:space="preserve">Organische parameters </v>
      </c>
      <c r="F2262" t="str">
        <f t="shared" si="107"/>
        <v xml:space="preserve">Pesticiden en metabolieten </v>
      </c>
      <c r="G2262" t="str">
        <f t="shared" si="108"/>
        <v xml:space="preserve">Pesticiden en humaan toxicologisch relevante metabolieten </v>
      </c>
    </row>
    <row r="2263" spans="1:7" x14ac:dyDescent="0.25">
      <c r="A2263">
        <v>8334</v>
      </c>
      <c r="B2263" t="str">
        <f>"folpet"</f>
        <v>folpet</v>
      </c>
      <c r="C2263" t="s">
        <v>19016</v>
      </c>
      <c r="D2263" t="str">
        <f>"133-07-3"</f>
        <v>133-07-3</v>
      </c>
      <c r="E2263" t="str">
        <f t="shared" si="106"/>
        <v xml:space="preserve">Organische parameters </v>
      </c>
      <c r="F2263" t="str">
        <f t="shared" si="107"/>
        <v xml:space="preserve">Pesticiden en metabolieten </v>
      </c>
      <c r="G2263" t="str">
        <f t="shared" si="108"/>
        <v xml:space="preserve">Pesticiden en humaan toxicologisch relevante metabolieten </v>
      </c>
    </row>
    <row r="2264" spans="1:7" x14ac:dyDescent="0.25">
      <c r="A2264">
        <v>8335</v>
      </c>
      <c r="B2264" t="str">
        <f>"fonofos"</f>
        <v>fonofos</v>
      </c>
      <c r="C2264" t="s">
        <v>19016</v>
      </c>
      <c r="D2264" t="str">
        <f>"944-22-9"</f>
        <v>944-22-9</v>
      </c>
      <c r="E2264" t="str">
        <f t="shared" si="106"/>
        <v xml:space="preserve">Organische parameters </v>
      </c>
      <c r="F2264" t="str">
        <f t="shared" si="107"/>
        <v xml:space="preserve">Pesticiden en metabolieten </v>
      </c>
      <c r="G2264" t="str">
        <f t="shared" si="108"/>
        <v xml:space="preserve">Pesticiden en humaan toxicologisch relevante metabolieten </v>
      </c>
    </row>
    <row r="2265" spans="1:7" x14ac:dyDescent="0.25">
      <c r="A2265">
        <v>8336</v>
      </c>
      <c r="B2265" t="str">
        <f>"foraat"</f>
        <v>foraat</v>
      </c>
      <c r="C2265" t="s">
        <v>19016</v>
      </c>
      <c r="D2265" t="str">
        <f>"298-02-2"</f>
        <v>298-02-2</v>
      </c>
      <c r="E2265" t="str">
        <f t="shared" si="106"/>
        <v xml:space="preserve">Organische parameters </v>
      </c>
      <c r="F2265" t="str">
        <f t="shared" si="107"/>
        <v xml:space="preserve">Pesticiden en metabolieten </v>
      </c>
      <c r="G2265" t="str">
        <f t="shared" si="108"/>
        <v xml:space="preserve">Pesticiden en humaan toxicologisch relevante metabolieten </v>
      </c>
    </row>
    <row r="2266" spans="1:7" x14ac:dyDescent="0.25">
      <c r="A2266">
        <v>8337</v>
      </c>
      <c r="B2266" t="str">
        <f>"formaline"</f>
        <v>formaline</v>
      </c>
      <c r="C2266" t="s">
        <v>19016</v>
      </c>
      <c r="D2266" t="str">
        <f>"50-00-0"</f>
        <v>50-00-0</v>
      </c>
      <c r="E2266" t="str">
        <f t="shared" si="106"/>
        <v xml:space="preserve">Organische parameters </v>
      </c>
      <c r="F2266" t="str">
        <f t="shared" si="107"/>
        <v xml:space="preserve">Pesticiden en metabolieten </v>
      </c>
      <c r="G2266" t="str">
        <f t="shared" si="108"/>
        <v xml:space="preserve">Pesticiden en humaan toxicologisch relevante metabolieten </v>
      </c>
    </row>
    <row r="2267" spans="1:7" x14ac:dyDescent="0.25">
      <c r="A2267">
        <v>8338</v>
      </c>
      <c r="B2267" t="str">
        <f>"formetanaat"</f>
        <v>formetanaat</v>
      </c>
      <c r="C2267" t="s">
        <v>19016</v>
      </c>
      <c r="D2267" t="str">
        <f>"22259-30-9"</f>
        <v>22259-30-9</v>
      </c>
      <c r="E2267" t="str">
        <f t="shared" si="106"/>
        <v xml:space="preserve">Organische parameters </v>
      </c>
      <c r="F2267" t="str">
        <f t="shared" si="107"/>
        <v xml:space="preserve">Pesticiden en metabolieten </v>
      </c>
      <c r="G2267" t="str">
        <f t="shared" si="108"/>
        <v xml:space="preserve">Pesticiden en humaan toxicologisch relevante metabolieten </v>
      </c>
    </row>
    <row r="2268" spans="1:7" x14ac:dyDescent="0.25">
      <c r="A2268">
        <v>8339</v>
      </c>
      <c r="B2268" t="str">
        <f>"formothion"</f>
        <v>formothion</v>
      </c>
      <c r="C2268" t="s">
        <v>19016</v>
      </c>
      <c r="D2268" t="str">
        <f>"2540-82-1"</f>
        <v>2540-82-1</v>
      </c>
      <c r="E2268" t="str">
        <f t="shared" si="106"/>
        <v xml:space="preserve">Organische parameters </v>
      </c>
      <c r="F2268" t="str">
        <f t="shared" si="107"/>
        <v xml:space="preserve">Pesticiden en metabolieten </v>
      </c>
      <c r="G2268" t="str">
        <f t="shared" si="108"/>
        <v xml:space="preserve">Pesticiden en humaan toxicologisch relevante metabolieten </v>
      </c>
    </row>
    <row r="2269" spans="1:7" x14ac:dyDescent="0.25">
      <c r="A2269">
        <v>8340</v>
      </c>
      <c r="B2269" t="str">
        <f>"fosalon"</f>
        <v>fosalon</v>
      </c>
      <c r="C2269" t="s">
        <v>19016</v>
      </c>
      <c r="D2269" t="str">
        <f>"2310-17-0"</f>
        <v>2310-17-0</v>
      </c>
      <c r="E2269" t="str">
        <f t="shared" si="106"/>
        <v xml:space="preserve">Organische parameters </v>
      </c>
      <c r="F2269" t="str">
        <f t="shared" si="107"/>
        <v xml:space="preserve">Pesticiden en metabolieten </v>
      </c>
      <c r="G2269" t="str">
        <f t="shared" si="108"/>
        <v xml:space="preserve">Pesticiden en humaan toxicologisch relevante metabolieten </v>
      </c>
    </row>
    <row r="2270" spans="1:7" x14ac:dyDescent="0.25">
      <c r="A2270">
        <v>8341</v>
      </c>
      <c r="B2270" t="str">
        <f>"fosetyl"</f>
        <v>fosetyl</v>
      </c>
      <c r="C2270" t="s">
        <v>19016</v>
      </c>
      <c r="D2270" t="str">
        <f>"15845-66-6"</f>
        <v>15845-66-6</v>
      </c>
      <c r="E2270" t="str">
        <f t="shared" si="106"/>
        <v xml:space="preserve">Organische parameters </v>
      </c>
      <c r="F2270" t="str">
        <f t="shared" si="107"/>
        <v xml:space="preserve">Pesticiden en metabolieten </v>
      </c>
      <c r="G2270" t="str">
        <f t="shared" si="108"/>
        <v xml:space="preserve">Pesticiden en humaan toxicologisch relevante metabolieten </v>
      </c>
    </row>
    <row r="2271" spans="1:7" x14ac:dyDescent="0.25">
      <c r="A2271">
        <v>8342</v>
      </c>
      <c r="B2271" t="str">
        <f>"fosetyl-aluminium"</f>
        <v>fosetyl-aluminium</v>
      </c>
      <c r="C2271" t="s">
        <v>19016</v>
      </c>
      <c r="D2271" t="str">
        <f>"39148-24-8"</f>
        <v>39148-24-8</v>
      </c>
      <c r="E2271" t="str">
        <f t="shared" ref="E2271:E2334" si="109">"Organische parameters "</f>
        <v xml:space="preserve">Organische parameters </v>
      </c>
      <c r="F2271" t="str">
        <f t="shared" si="107"/>
        <v xml:space="preserve">Pesticiden en metabolieten </v>
      </c>
      <c r="G2271" t="str">
        <f t="shared" si="108"/>
        <v xml:space="preserve">Pesticiden en humaan toxicologisch relevante metabolieten </v>
      </c>
    </row>
    <row r="2272" spans="1:7" x14ac:dyDescent="0.25">
      <c r="A2272">
        <v>8344</v>
      </c>
      <c r="B2272" t="str">
        <f>"fosfor (gele)"</f>
        <v>fosfor (gele)</v>
      </c>
      <c r="C2272" t="s">
        <v>19016</v>
      </c>
      <c r="D2272" t="str">
        <f>"12185-10-3"</f>
        <v>12185-10-3</v>
      </c>
      <c r="E2272" t="str">
        <f t="shared" si="109"/>
        <v xml:space="preserve">Organische parameters </v>
      </c>
      <c r="F2272" t="str">
        <f t="shared" si="107"/>
        <v xml:space="preserve">Pesticiden en metabolieten </v>
      </c>
      <c r="G2272" t="str">
        <f t="shared" si="108"/>
        <v xml:space="preserve">Pesticiden en humaan toxicologisch relevante metabolieten </v>
      </c>
    </row>
    <row r="2273" spans="1:7" x14ac:dyDescent="0.25">
      <c r="A2273">
        <v>8345</v>
      </c>
      <c r="B2273" t="str">
        <f>"fosmet"</f>
        <v>fosmet</v>
      </c>
      <c r="C2273" t="s">
        <v>19016</v>
      </c>
      <c r="D2273" t="str">
        <f>"732-11-6"</f>
        <v>732-11-6</v>
      </c>
      <c r="E2273" t="str">
        <f t="shared" si="109"/>
        <v xml:space="preserve">Organische parameters </v>
      </c>
      <c r="F2273" t="str">
        <f t="shared" ref="F2273:F2336" si="110">"Pesticiden en metabolieten "</f>
        <v xml:space="preserve">Pesticiden en metabolieten </v>
      </c>
      <c r="G2273" t="str">
        <f t="shared" ref="G2273:G2336" si="111">"Pesticiden en humaan toxicologisch relevante metabolieten "</f>
        <v xml:space="preserve">Pesticiden en humaan toxicologisch relevante metabolieten </v>
      </c>
    </row>
    <row r="2274" spans="1:7" x14ac:dyDescent="0.25">
      <c r="A2274">
        <v>8346</v>
      </c>
      <c r="B2274" t="str">
        <f>"foxim"</f>
        <v>foxim</v>
      </c>
      <c r="C2274" t="s">
        <v>19016</v>
      </c>
      <c r="D2274" t="str">
        <f>"14816-18-3"</f>
        <v>14816-18-3</v>
      </c>
      <c r="E2274" t="str">
        <f t="shared" si="109"/>
        <v xml:space="preserve">Organische parameters </v>
      </c>
      <c r="F2274" t="str">
        <f t="shared" si="110"/>
        <v xml:space="preserve">Pesticiden en metabolieten </v>
      </c>
      <c r="G2274" t="str">
        <f t="shared" si="111"/>
        <v xml:space="preserve">Pesticiden en humaan toxicologisch relevante metabolieten </v>
      </c>
    </row>
    <row r="2275" spans="1:7" x14ac:dyDescent="0.25">
      <c r="A2275">
        <v>8347</v>
      </c>
      <c r="B2275" t="str">
        <f>"fuberidazool"</f>
        <v>fuberidazool</v>
      </c>
      <c r="C2275" t="s">
        <v>19016</v>
      </c>
      <c r="D2275" t="str">
        <f>"3878-19-1"</f>
        <v>3878-19-1</v>
      </c>
      <c r="E2275" t="str">
        <f t="shared" si="109"/>
        <v xml:space="preserve">Organische parameters </v>
      </c>
      <c r="F2275" t="str">
        <f t="shared" si="110"/>
        <v xml:space="preserve">Pesticiden en metabolieten </v>
      </c>
      <c r="G2275" t="str">
        <f t="shared" si="111"/>
        <v xml:space="preserve">Pesticiden en humaan toxicologisch relevante metabolieten </v>
      </c>
    </row>
    <row r="2276" spans="1:7" x14ac:dyDescent="0.25">
      <c r="A2276">
        <v>8348</v>
      </c>
      <c r="B2276" t="str">
        <f>"furalaxyl"</f>
        <v>furalaxyl</v>
      </c>
      <c r="C2276" t="s">
        <v>19016</v>
      </c>
      <c r="D2276" t="str">
        <f>"57646-30-7"</f>
        <v>57646-30-7</v>
      </c>
      <c r="E2276" t="str">
        <f t="shared" si="109"/>
        <v xml:space="preserve">Organische parameters </v>
      </c>
      <c r="F2276" t="str">
        <f t="shared" si="110"/>
        <v xml:space="preserve">Pesticiden en metabolieten </v>
      </c>
      <c r="G2276" t="str">
        <f t="shared" si="111"/>
        <v xml:space="preserve">Pesticiden en humaan toxicologisch relevante metabolieten </v>
      </c>
    </row>
    <row r="2277" spans="1:7" x14ac:dyDescent="0.25">
      <c r="A2277">
        <v>8349</v>
      </c>
      <c r="B2277" t="str">
        <f>"furathiocarb"</f>
        <v>furathiocarb</v>
      </c>
      <c r="C2277" t="s">
        <v>19016</v>
      </c>
      <c r="D2277" t="str">
        <f>"65907-30-4"</f>
        <v>65907-30-4</v>
      </c>
      <c r="E2277" t="str">
        <f t="shared" si="109"/>
        <v xml:space="preserve">Organische parameters </v>
      </c>
      <c r="F2277" t="str">
        <f t="shared" si="110"/>
        <v xml:space="preserve">Pesticiden en metabolieten </v>
      </c>
      <c r="G2277" t="str">
        <f t="shared" si="111"/>
        <v xml:space="preserve">Pesticiden en humaan toxicologisch relevante metabolieten </v>
      </c>
    </row>
    <row r="2278" spans="1:7" x14ac:dyDescent="0.25">
      <c r="A2278">
        <v>8350</v>
      </c>
      <c r="B2278" t="str">
        <f>"furmecyclox"</f>
        <v>furmecyclox</v>
      </c>
      <c r="C2278" t="s">
        <v>19016</v>
      </c>
      <c r="D2278" t="str">
        <f>"60568-05-0"</f>
        <v>60568-05-0</v>
      </c>
      <c r="E2278" t="str">
        <f t="shared" si="109"/>
        <v xml:space="preserve">Organische parameters </v>
      </c>
      <c r="F2278" t="str">
        <f t="shared" si="110"/>
        <v xml:space="preserve">Pesticiden en metabolieten </v>
      </c>
      <c r="G2278" t="str">
        <f t="shared" si="111"/>
        <v xml:space="preserve">Pesticiden en humaan toxicologisch relevante metabolieten </v>
      </c>
    </row>
    <row r="2279" spans="1:7" x14ac:dyDescent="0.25">
      <c r="A2279">
        <v>8351</v>
      </c>
      <c r="B2279" t="str">
        <f>"gibberelline"</f>
        <v>gibberelline</v>
      </c>
      <c r="C2279" t="s">
        <v>19016</v>
      </c>
      <c r="D2279" t="str">
        <f>"8030-53-3"</f>
        <v>8030-53-3</v>
      </c>
      <c r="E2279" t="str">
        <f t="shared" si="109"/>
        <v xml:space="preserve">Organische parameters </v>
      </c>
      <c r="F2279" t="str">
        <f t="shared" si="110"/>
        <v xml:space="preserve">Pesticiden en metabolieten </v>
      </c>
      <c r="G2279" t="str">
        <f t="shared" si="111"/>
        <v xml:space="preserve">Pesticiden en humaan toxicologisch relevante metabolieten </v>
      </c>
    </row>
    <row r="2280" spans="1:7" x14ac:dyDescent="0.25">
      <c r="A2280">
        <v>8352</v>
      </c>
      <c r="B2280" t="str">
        <f>"glufosinaat-ammonium"</f>
        <v>glufosinaat-ammonium</v>
      </c>
      <c r="C2280" t="s">
        <v>19016</v>
      </c>
      <c r="D2280" t="str">
        <f>"77182-82-2"</f>
        <v>77182-82-2</v>
      </c>
      <c r="E2280" t="str">
        <f t="shared" si="109"/>
        <v xml:space="preserve">Organische parameters </v>
      </c>
      <c r="F2280" t="str">
        <f t="shared" si="110"/>
        <v xml:space="preserve">Pesticiden en metabolieten </v>
      </c>
      <c r="G2280" t="str">
        <f t="shared" si="111"/>
        <v xml:space="preserve">Pesticiden en humaan toxicologisch relevante metabolieten </v>
      </c>
    </row>
    <row r="2281" spans="1:7" x14ac:dyDescent="0.25">
      <c r="A2281">
        <v>8354</v>
      </c>
      <c r="B2281" t="str">
        <f>"glyfosaat"</f>
        <v>glyfosaat</v>
      </c>
      <c r="C2281" t="s">
        <v>19016</v>
      </c>
      <c r="D2281" t="str">
        <f>"1071-83-6"</f>
        <v>1071-83-6</v>
      </c>
      <c r="E2281" t="str">
        <f t="shared" si="109"/>
        <v xml:space="preserve">Organische parameters </v>
      </c>
      <c r="F2281" t="str">
        <f t="shared" si="110"/>
        <v xml:space="preserve">Pesticiden en metabolieten </v>
      </c>
      <c r="G2281" t="str">
        <f t="shared" si="111"/>
        <v xml:space="preserve">Pesticiden en humaan toxicologisch relevante metabolieten </v>
      </c>
    </row>
    <row r="2282" spans="1:7" x14ac:dyDescent="0.25">
      <c r="A2282">
        <v>8355</v>
      </c>
      <c r="B2282" t="str">
        <f>"gralit"</f>
        <v>gralit</v>
      </c>
      <c r="C2282" t="s">
        <v>19016</v>
      </c>
      <c r="D2282" t="str">
        <f>""</f>
        <v/>
      </c>
      <c r="E2282" t="str">
        <f t="shared" si="109"/>
        <v xml:space="preserve">Organische parameters </v>
      </c>
      <c r="F2282" t="str">
        <f t="shared" si="110"/>
        <v xml:space="preserve">Pesticiden en metabolieten </v>
      </c>
      <c r="G2282" t="str">
        <f t="shared" si="111"/>
        <v xml:space="preserve">Pesticiden en humaan toxicologisch relevante metabolieten </v>
      </c>
    </row>
    <row r="2283" spans="1:7" x14ac:dyDescent="0.25">
      <c r="A2283">
        <v>8356</v>
      </c>
      <c r="B2283" t="str">
        <f>"guazatine"</f>
        <v>guazatine</v>
      </c>
      <c r="C2283" t="s">
        <v>19016</v>
      </c>
      <c r="D2283" t="str">
        <f>""</f>
        <v/>
      </c>
      <c r="E2283" t="str">
        <f t="shared" si="109"/>
        <v xml:space="preserve">Organische parameters </v>
      </c>
      <c r="F2283" t="str">
        <f t="shared" si="110"/>
        <v xml:space="preserve">Pesticiden en metabolieten </v>
      </c>
      <c r="G2283" t="str">
        <f t="shared" si="111"/>
        <v xml:space="preserve">Pesticiden en humaan toxicologisch relevante metabolieten </v>
      </c>
    </row>
    <row r="2284" spans="1:7" x14ac:dyDescent="0.25">
      <c r="A2284">
        <v>8357</v>
      </c>
      <c r="B2284" t="str">
        <f>"haloxyfop-ethoxyethyl"</f>
        <v>haloxyfop-ethoxyethyl</v>
      </c>
      <c r="C2284" t="s">
        <v>19016</v>
      </c>
      <c r="D2284" t="str">
        <f>"87237-48-7"</f>
        <v>87237-48-7</v>
      </c>
      <c r="E2284" t="str">
        <f t="shared" si="109"/>
        <v xml:space="preserve">Organische parameters </v>
      </c>
      <c r="F2284" t="str">
        <f t="shared" si="110"/>
        <v xml:space="preserve">Pesticiden en metabolieten </v>
      </c>
      <c r="G2284" t="str">
        <f t="shared" si="111"/>
        <v xml:space="preserve">Pesticiden en humaan toxicologisch relevante metabolieten </v>
      </c>
    </row>
    <row r="2285" spans="1:7" x14ac:dyDescent="0.25">
      <c r="A2285">
        <v>8358</v>
      </c>
      <c r="B2285" t="str">
        <f>"heptachloor"</f>
        <v>heptachloor</v>
      </c>
      <c r="C2285" t="s">
        <v>19016</v>
      </c>
      <c r="D2285" t="str">
        <f>"76-44-8"</f>
        <v>76-44-8</v>
      </c>
      <c r="E2285" t="str">
        <f t="shared" si="109"/>
        <v xml:space="preserve">Organische parameters </v>
      </c>
      <c r="F2285" t="str">
        <f t="shared" si="110"/>
        <v xml:space="preserve">Pesticiden en metabolieten </v>
      </c>
      <c r="G2285" t="str">
        <f t="shared" si="111"/>
        <v xml:space="preserve">Pesticiden en humaan toxicologisch relevante metabolieten </v>
      </c>
    </row>
    <row r="2286" spans="1:7" x14ac:dyDescent="0.25">
      <c r="A2286">
        <v>8359</v>
      </c>
      <c r="B2286" t="str">
        <f>"heptachloorepoxide(som)"</f>
        <v>heptachloorepoxide(som)</v>
      </c>
      <c r="C2286" t="s">
        <v>19016</v>
      </c>
      <c r="D2286" t="str">
        <f>""</f>
        <v/>
      </c>
      <c r="E2286" t="str">
        <f t="shared" si="109"/>
        <v xml:space="preserve">Organische parameters </v>
      </c>
      <c r="F2286" t="str">
        <f t="shared" si="110"/>
        <v xml:space="preserve">Pesticiden en metabolieten </v>
      </c>
      <c r="G2286" t="str">
        <f t="shared" si="111"/>
        <v xml:space="preserve">Pesticiden en humaan toxicologisch relevante metabolieten </v>
      </c>
    </row>
    <row r="2287" spans="1:7" x14ac:dyDescent="0.25">
      <c r="A2287">
        <v>8360</v>
      </c>
      <c r="B2287" t="str">
        <f>"heptenofos"</f>
        <v>heptenofos</v>
      </c>
      <c r="C2287" t="s">
        <v>19016</v>
      </c>
      <c r="D2287" t="str">
        <f>"23560-59-0"</f>
        <v>23560-59-0</v>
      </c>
      <c r="E2287" t="str">
        <f t="shared" si="109"/>
        <v xml:space="preserve">Organische parameters </v>
      </c>
      <c r="F2287" t="str">
        <f t="shared" si="110"/>
        <v xml:space="preserve">Pesticiden en metabolieten </v>
      </c>
      <c r="G2287" t="str">
        <f t="shared" si="111"/>
        <v xml:space="preserve">Pesticiden en humaan toxicologisch relevante metabolieten </v>
      </c>
    </row>
    <row r="2288" spans="1:7" x14ac:dyDescent="0.25">
      <c r="A2288">
        <v>8361</v>
      </c>
      <c r="B2288" t="str">
        <f>"hexachloorbenzeen (HCB)"</f>
        <v>hexachloorbenzeen (HCB)</v>
      </c>
      <c r="C2288" t="s">
        <v>19016</v>
      </c>
      <c r="D2288" t="str">
        <f>"118-74-1"</f>
        <v>118-74-1</v>
      </c>
      <c r="E2288" t="str">
        <f t="shared" si="109"/>
        <v xml:space="preserve">Organische parameters </v>
      </c>
      <c r="F2288" t="str">
        <f t="shared" si="110"/>
        <v xml:space="preserve">Pesticiden en metabolieten </v>
      </c>
      <c r="G2288" t="str">
        <f t="shared" si="111"/>
        <v xml:space="preserve">Pesticiden en humaan toxicologisch relevante metabolieten </v>
      </c>
    </row>
    <row r="2289" spans="1:7" x14ac:dyDescent="0.25">
      <c r="A2289">
        <v>8362</v>
      </c>
      <c r="B2289" t="str">
        <f>"alfa-hexachloorcyclohexaan"</f>
        <v>alfa-hexachloorcyclohexaan</v>
      </c>
      <c r="C2289" t="s">
        <v>19016</v>
      </c>
      <c r="D2289" t="str">
        <f>"319-84-6"</f>
        <v>319-84-6</v>
      </c>
      <c r="E2289" t="str">
        <f t="shared" si="109"/>
        <v xml:space="preserve">Organische parameters </v>
      </c>
      <c r="F2289" t="str">
        <f t="shared" si="110"/>
        <v xml:space="preserve">Pesticiden en metabolieten </v>
      </c>
      <c r="G2289" t="str">
        <f t="shared" si="111"/>
        <v xml:space="preserve">Pesticiden en humaan toxicologisch relevante metabolieten </v>
      </c>
    </row>
    <row r="2290" spans="1:7" x14ac:dyDescent="0.25">
      <c r="A2290">
        <v>8363</v>
      </c>
      <c r="B2290" t="str">
        <f>"beta-hexachloorcyclohexaan"</f>
        <v>beta-hexachloorcyclohexaan</v>
      </c>
      <c r="C2290" t="s">
        <v>19016</v>
      </c>
      <c r="D2290" t="str">
        <f>"319-85-7"</f>
        <v>319-85-7</v>
      </c>
      <c r="E2290" t="str">
        <f t="shared" si="109"/>
        <v xml:space="preserve">Organische parameters </v>
      </c>
      <c r="F2290" t="str">
        <f t="shared" si="110"/>
        <v xml:space="preserve">Pesticiden en metabolieten </v>
      </c>
      <c r="G2290" t="str">
        <f t="shared" si="111"/>
        <v xml:space="preserve">Pesticiden en humaan toxicologisch relevante metabolieten </v>
      </c>
    </row>
    <row r="2291" spans="1:7" x14ac:dyDescent="0.25">
      <c r="A2291">
        <v>8364</v>
      </c>
      <c r="B2291" t="str">
        <f>"hexaconazool"</f>
        <v>hexaconazool</v>
      </c>
      <c r="C2291" t="s">
        <v>19016</v>
      </c>
      <c r="D2291" t="str">
        <f>"79983-71-4"</f>
        <v>79983-71-4</v>
      </c>
      <c r="E2291" t="str">
        <f t="shared" si="109"/>
        <v xml:space="preserve">Organische parameters </v>
      </c>
      <c r="F2291" t="str">
        <f t="shared" si="110"/>
        <v xml:space="preserve">Pesticiden en metabolieten </v>
      </c>
      <c r="G2291" t="str">
        <f t="shared" si="111"/>
        <v xml:space="preserve">Pesticiden en humaan toxicologisch relevante metabolieten </v>
      </c>
    </row>
    <row r="2292" spans="1:7" x14ac:dyDescent="0.25">
      <c r="A2292">
        <v>8365</v>
      </c>
      <c r="B2292" t="str">
        <f>"hexahydro-1,3,5-triethyl-s-triazine"</f>
        <v>hexahydro-1,3,5-triethyl-s-triazine</v>
      </c>
      <c r="C2292" t="s">
        <v>19016</v>
      </c>
      <c r="D2292" t="str">
        <f>"7779-27-3"</f>
        <v>7779-27-3</v>
      </c>
      <c r="E2292" t="str">
        <f t="shared" si="109"/>
        <v xml:space="preserve">Organische parameters </v>
      </c>
      <c r="F2292" t="str">
        <f t="shared" si="110"/>
        <v xml:space="preserve">Pesticiden en metabolieten </v>
      </c>
      <c r="G2292" t="str">
        <f t="shared" si="111"/>
        <v xml:space="preserve">Pesticiden en humaan toxicologisch relevante metabolieten </v>
      </c>
    </row>
    <row r="2293" spans="1:7" x14ac:dyDescent="0.25">
      <c r="A2293">
        <v>8366</v>
      </c>
      <c r="B2293" t="str">
        <f>"hexazinon"</f>
        <v>hexazinon</v>
      </c>
      <c r="C2293" t="s">
        <v>19016</v>
      </c>
      <c r="D2293" t="str">
        <f>"51235-04-2"</f>
        <v>51235-04-2</v>
      </c>
      <c r="E2293" t="str">
        <f t="shared" si="109"/>
        <v xml:space="preserve">Organische parameters </v>
      </c>
      <c r="F2293" t="str">
        <f t="shared" si="110"/>
        <v xml:space="preserve">Pesticiden en metabolieten </v>
      </c>
      <c r="G2293" t="str">
        <f t="shared" si="111"/>
        <v xml:space="preserve">Pesticiden en humaan toxicologisch relevante metabolieten </v>
      </c>
    </row>
    <row r="2294" spans="1:7" x14ac:dyDescent="0.25">
      <c r="A2294">
        <v>8367</v>
      </c>
      <c r="B2294" t="str">
        <f>"hexyleenglycol"</f>
        <v>hexyleenglycol</v>
      </c>
      <c r="C2294" t="s">
        <v>19016</v>
      </c>
      <c r="D2294" t="str">
        <f>"107-41-5"</f>
        <v>107-41-5</v>
      </c>
      <c r="E2294" t="str">
        <f t="shared" si="109"/>
        <v xml:space="preserve">Organische parameters </v>
      </c>
      <c r="F2294" t="str">
        <f t="shared" si="110"/>
        <v xml:space="preserve">Pesticiden en metabolieten </v>
      </c>
      <c r="G2294" t="str">
        <f t="shared" si="111"/>
        <v xml:space="preserve">Pesticiden en humaan toxicologisch relevante metabolieten </v>
      </c>
    </row>
    <row r="2295" spans="1:7" x14ac:dyDescent="0.25">
      <c r="A2295">
        <v>8368</v>
      </c>
      <c r="B2295" t="str">
        <f>"hexythiazox"</f>
        <v>hexythiazox</v>
      </c>
      <c r="C2295" t="s">
        <v>19016</v>
      </c>
      <c r="D2295" t="str">
        <f>"78587-05-0"</f>
        <v>78587-05-0</v>
      </c>
      <c r="E2295" t="str">
        <f t="shared" si="109"/>
        <v xml:space="preserve">Organische parameters </v>
      </c>
      <c r="F2295" t="str">
        <f t="shared" si="110"/>
        <v xml:space="preserve">Pesticiden en metabolieten </v>
      </c>
      <c r="G2295" t="str">
        <f t="shared" si="111"/>
        <v xml:space="preserve">Pesticiden en humaan toxicologisch relevante metabolieten </v>
      </c>
    </row>
    <row r="2296" spans="1:7" x14ac:dyDescent="0.25">
      <c r="A2296">
        <v>8369</v>
      </c>
      <c r="B2296" t="str">
        <f>"hydropeen"</f>
        <v>hydropeen</v>
      </c>
      <c r="C2296" t="s">
        <v>19016</v>
      </c>
      <c r="D2296" t="str">
        <f>""</f>
        <v/>
      </c>
      <c r="E2296" t="str">
        <f t="shared" si="109"/>
        <v xml:space="preserve">Organische parameters </v>
      </c>
      <c r="F2296" t="str">
        <f t="shared" si="110"/>
        <v xml:space="preserve">Pesticiden en metabolieten </v>
      </c>
      <c r="G2296" t="str">
        <f t="shared" si="111"/>
        <v xml:space="preserve">Pesticiden en humaan toxicologisch relevante metabolieten </v>
      </c>
    </row>
    <row r="2297" spans="1:7" x14ac:dyDescent="0.25">
      <c r="A2297">
        <v>8370</v>
      </c>
      <c r="B2297" t="str">
        <f>"8-hydroxychinoline"</f>
        <v>8-hydroxychinoline</v>
      </c>
      <c r="C2297" t="s">
        <v>19016</v>
      </c>
      <c r="D2297" t="str">
        <f>"148-24-3"</f>
        <v>148-24-3</v>
      </c>
      <c r="E2297" t="str">
        <f t="shared" si="109"/>
        <v xml:space="preserve">Organische parameters </v>
      </c>
      <c r="F2297" t="str">
        <f t="shared" si="110"/>
        <v xml:space="preserve">Pesticiden en metabolieten </v>
      </c>
      <c r="G2297" t="str">
        <f t="shared" si="111"/>
        <v xml:space="preserve">Pesticiden en humaan toxicologisch relevante metabolieten </v>
      </c>
    </row>
    <row r="2298" spans="1:7" x14ac:dyDescent="0.25">
      <c r="A2298">
        <v>8371</v>
      </c>
      <c r="B2298" t="str">
        <f>"hydroxyethylhydrazine"</f>
        <v>hydroxyethylhydrazine</v>
      </c>
      <c r="C2298" t="s">
        <v>19016</v>
      </c>
      <c r="D2298" t="str">
        <f>"109-84-2"</f>
        <v>109-84-2</v>
      </c>
      <c r="E2298" t="str">
        <f t="shared" si="109"/>
        <v xml:space="preserve">Organische parameters </v>
      </c>
      <c r="F2298" t="str">
        <f t="shared" si="110"/>
        <v xml:space="preserve">Pesticiden en metabolieten </v>
      </c>
      <c r="G2298" t="str">
        <f t="shared" si="111"/>
        <v xml:space="preserve">Pesticiden en humaan toxicologisch relevante metabolieten </v>
      </c>
    </row>
    <row r="2299" spans="1:7" x14ac:dyDescent="0.25">
      <c r="A2299">
        <v>8372</v>
      </c>
      <c r="B2299" t="str">
        <f>"hymexazool"</f>
        <v>hymexazool</v>
      </c>
      <c r="C2299" t="s">
        <v>19016</v>
      </c>
      <c r="D2299" t="str">
        <f>"10004-44-1"</f>
        <v>10004-44-1</v>
      </c>
      <c r="E2299" t="str">
        <f t="shared" si="109"/>
        <v xml:space="preserve">Organische parameters </v>
      </c>
      <c r="F2299" t="str">
        <f t="shared" si="110"/>
        <v xml:space="preserve">Pesticiden en metabolieten </v>
      </c>
      <c r="G2299" t="str">
        <f t="shared" si="111"/>
        <v xml:space="preserve">Pesticiden en humaan toxicologisch relevante metabolieten </v>
      </c>
    </row>
    <row r="2300" spans="1:7" x14ac:dyDescent="0.25">
      <c r="A2300">
        <v>8373</v>
      </c>
      <c r="B2300" t="str">
        <f>"imazalil"</f>
        <v>imazalil</v>
      </c>
      <c r="C2300" t="s">
        <v>19016</v>
      </c>
      <c r="D2300" t="str">
        <f>"35554-44-0"</f>
        <v>35554-44-0</v>
      </c>
      <c r="E2300" t="str">
        <f t="shared" si="109"/>
        <v xml:space="preserve">Organische parameters </v>
      </c>
      <c r="F2300" t="str">
        <f t="shared" si="110"/>
        <v xml:space="preserve">Pesticiden en metabolieten </v>
      </c>
      <c r="G2300" t="str">
        <f t="shared" si="111"/>
        <v xml:space="preserve">Pesticiden en humaan toxicologisch relevante metabolieten </v>
      </c>
    </row>
    <row r="2301" spans="1:7" x14ac:dyDescent="0.25">
      <c r="A2301">
        <v>8374</v>
      </c>
      <c r="B2301" t="str">
        <f>"imazamethabenz"</f>
        <v>imazamethabenz</v>
      </c>
      <c r="C2301" t="s">
        <v>19016</v>
      </c>
      <c r="D2301" t="str">
        <f>"100728-84-5"</f>
        <v>100728-84-5</v>
      </c>
      <c r="E2301" t="str">
        <f t="shared" si="109"/>
        <v xml:space="preserve">Organische parameters </v>
      </c>
      <c r="F2301" t="str">
        <f t="shared" si="110"/>
        <v xml:space="preserve">Pesticiden en metabolieten </v>
      </c>
      <c r="G2301" t="str">
        <f t="shared" si="111"/>
        <v xml:space="preserve">Pesticiden en humaan toxicologisch relevante metabolieten </v>
      </c>
    </row>
    <row r="2302" spans="1:7" x14ac:dyDescent="0.25">
      <c r="A2302">
        <v>8376</v>
      </c>
      <c r="B2302" t="str">
        <f>"iprodion"</f>
        <v>iprodion</v>
      </c>
      <c r="C2302" t="s">
        <v>19016</v>
      </c>
      <c r="D2302" t="str">
        <f>"36734-19-7"</f>
        <v>36734-19-7</v>
      </c>
      <c r="E2302" t="str">
        <f t="shared" si="109"/>
        <v xml:space="preserve">Organische parameters </v>
      </c>
      <c r="F2302" t="str">
        <f t="shared" si="110"/>
        <v xml:space="preserve">Pesticiden en metabolieten </v>
      </c>
      <c r="G2302" t="str">
        <f t="shared" si="111"/>
        <v xml:space="preserve">Pesticiden en humaan toxicologisch relevante metabolieten </v>
      </c>
    </row>
    <row r="2303" spans="1:7" x14ac:dyDescent="0.25">
      <c r="A2303">
        <v>8377</v>
      </c>
      <c r="B2303" t="str">
        <f>"isazofos"</f>
        <v>isazofos</v>
      </c>
      <c r="C2303" t="s">
        <v>19016</v>
      </c>
      <c r="D2303" t="str">
        <f>"42509-80-8"</f>
        <v>42509-80-8</v>
      </c>
      <c r="E2303" t="str">
        <f t="shared" si="109"/>
        <v xml:space="preserve">Organische parameters </v>
      </c>
      <c r="F2303" t="str">
        <f t="shared" si="110"/>
        <v xml:space="preserve">Pesticiden en metabolieten </v>
      </c>
      <c r="G2303" t="str">
        <f t="shared" si="111"/>
        <v xml:space="preserve">Pesticiden en humaan toxicologisch relevante metabolieten </v>
      </c>
    </row>
    <row r="2304" spans="1:7" x14ac:dyDescent="0.25">
      <c r="A2304">
        <v>8378</v>
      </c>
      <c r="B2304" t="str">
        <f>"isocil"</f>
        <v>isocil</v>
      </c>
      <c r="C2304" t="s">
        <v>19016</v>
      </c>
      <c r="D2304" t="str">
        <f>"314-42-1"</f>
        <v>314-42-1</v>
      </c>
      <c r="E2304" t="str">
        <f t="shared" si="109"/>
        <v xml:space="preserve">Organische parameters </v>
      </c>
      <c r="F2304" t="str">
        <f t="shared" si="110"/>
        <v xml:space="preserve">Pesticiden en metabolieten </v>
      </c>
      <c r="G2304" t="str">
        <f t="shared" si="111"/>
        <v xml:space="preserve">Pesticiden en humaan toxicologisch relevante metabolieten </v>
      </c>
    </row>
    <row r="2305" spans="1:7" x14ac:dyDescent="0.25">
      <c r="A2305">
        <v>8379</v>
      </c>
      <c r="B2305" t="str">
        <f>"isodrin"</f>
        <v>isodrin</v>
      </c>
      <c r="C2305" t="s">
        <v>19016</v>
      </c>
      <c r="D2305" t="str">
        <f>"465-73-6"</f>
        <v>465-73-6</v>
      </c>
      <c r="E2305" t="str">
        <f t="shared" si="109"/>
        <v xml:space="preserve">Organische parameters </v>
      </c>
      <c r="F2305" t="str">
        <f t="shared" si="110"/>
        <v xml:space="preserve">Pesticiden en metabolieten </v>
      </c>
      <c r="G2305" t="str">
        <f t="shared" si="111"/>
        <v xml:space="preserve">Pesticiden en humaan toxicologisch relevante metabolieten </v>
      </c>
    </row>
    <row r="2306" spans="1:7" x14ac:dyDescent="0.25">
      <c r="A2306">
        <v>8380</v>
      </c>
      <c r="B2306" t="str">
        <f>"isofenfos"</f>
        <v>isofenfos</v>
      </c>
      <c r="C2306" t="s">
        <v>19016</v>
      </c>
      <c r="D2306" t="str">
        <f>"25311-71-1"</f>
        <v>25311-71-1</v>
      </c>
      <c r="E2306" t="str">
        <f t="shared" si="109"/>
        <v xml:space="preserve">Organische parameters </v>
      </c>
      <c r="F2306" t="str">
        <f t="shared" si="110"/>
        <v xml:space="preserve">Pesticiden en metabolieten </v>
      </c>
      <c r="G2306" t="str">
        <f t="shared" si="111"/>
        <v xml:space="preserve">Pesticiden en humaan toxicologisch relevante metabolieten </v>
      </c>
    </row>
    <row r="2307" spans="1:7" x14ac:dyDescent="0.25">
      <c r="A2307">
        <v>8381</v>
      </c>
      <c r="B2307" t="str">
        <f>"isolan"</f>
        <v>isolan</v>
      </c>
      <c r="C2307" t="s">
        <v>19016</v>
      </c>
      <c r="D2307" t="str">
        <f>"119-38-0"</f>
        <v>119-38-0</v>
      </c>
      <c r="E2307" t="str">
        <f t="shared" si="109"/>
        <v xml:space="preserve">Organische parameters </v>
      </c>
      <c r="F2307" t="str">
        <f t="shared" si="110"/>
        <v xml:space="preserve">Pesticiden en metabolieten </v>
      </c>
      <c r="G2307" t="str">
        <f t="shared" si="111"/>
        <v xml:space="preserve">Pesticiden en humaan toxicologisch relevante metabolieten </v>
      </c>
    </row>
    <row r="2308" spans="1:7" x14ac:dyDescent="0.25">
      <c r="A2308">
        <v>8382</v>
      </c>
      <c r="B2308" t="str">
        <f>"isoproturon"</f>
        <v>isoproturon</v>
      </c>
      <c r="C2308" t="s">
        <v>19016</v>
      </c>
      <c r="D2308" t="str">
        <f>"34123-59-6"</f>
        <v>34123-59-6</v>
      </c>
      <c r="E2308" t="str">
        <f t="shared" si="109"/>
        <v xml:space="preserve">Organische parameters </v>
      </c>
      <c r="F2308" t="str">
        <f t="shared" si="110"/>
        <v xml:space="preserve">Pesticiden en metabolieten </v>
      </c>
      <c r="G2308" t="str">
        <f t="shared" si="111"/>
        <v xml:space="preserve">Pesticiden en humaan toxicologisch relevante metabolieten </v>
      </c>
    </row>
    <row r="2309" spans="1:7" x14ac:dyDescent="0.25">
      <c r="A2309">
        <v>8383</v>
      </c>
      <c r="B2309" t="str">
        <f>"iso-octylfenolpolyglycolether"</f>
        <v>iso-octylfenolpolyglycolether</v>
      </c>
      <c r="C2309" t="s">
        <v>19016</v>
      </c>
      <c r="D2309" t="str">
        <f>"9616-45-9"</f>
        <v>9616-45-9</v>
      </c>
      <c r="E2309" t="str">
        <f t="shared" si="109"/>
        <v xml:space="preserve">Organische parameters </v>
      </c>
      <c r="F2309" t="str">
        <f t="shared" si="110"/>
        <v xml:space="preserve">Pesticiden en metabolieten </v>
      </c>
      <c r="G2309" t="str">
        <f t="shared" si="111"/>
        <v xml:space="preserve">Pesticiden en humaan toxicologisch relevante metabolieten </v>
      </c>
    </row>
    <row r="2310" spans="1:7" x14ac:dyDescent="0.25">
      <c r="A2310">
        <v>8384</v>
      </c>
      <c r="B2310" t="str">
        <f>"isoxaben"</f>
        <v>isoxaben</v>
      </c>
      <c r="C2310" t="s">
        <v>19016</v>
      </c>
      <c r="D2310" t="str">
        <f>"82558-50-7"</f>
        <v>82558-50-7</v>
      </c>
      <c r="E2310" t="str">
        <f t="shared" si="109"/>
        <v xml:space="preserve">Organische parameters </v>
      </c>
      <c r="F2310" t="str">
        <f t="shared" si="110"/>
        <v xml:space="preserve">Pesticiden en metabolieten </v>
      </c>
      <c r="G2310" t="str">
        <f t="shared" si="111"/>
        <v xml:space="preserve">Pesticiden en humaan toxicologisch relevante metabolieten </v>
      </c>
    </row>
    <row r="2311" spans="1:7" x14ac:dyDescent="0.25">
      <c r="A2311">
        <v>8385</v>
      </c>
      <c r="B2311" t="str">
        <f>"joodfenfos"</f>
        <v>joodfenfos</v>
      </c>
      <c r="C2311" t="s">
        <v>19016</v>
      </c>
      <c r="D2311" t="str">
        <f>"18181-70-9"</f>
        <v>18181-70-9</v>
      </c>
      <c r="E2311" t="str">
        <f t="shared" si="109"/>
        <v xml:space="preserve">Organische parameters </v>
      </c>
      <c r="F2311" t="str">
        <f t="shared" si="110"/>
        <v xml:space="preserve">Pesticiden en metabolieten </v>
      </c>
      <c r="G2311" t="str">
        <f t="shared" si="111"/>
        <v xml:space="preserve">Pesticiden en humaan toxicologisch relevante metabolieten </v>
      </c>
    </row>
    <row r="2312" spans="1:7" x14ac:dyDescent="0.25">
      <c r="A2312">
        <v>8386</v>
      </c>
      <c r="B2312" t="str">
        <f>"kasugamycine"</f>
        <v>kasugamycine</v>
      </c>
      <c r="C2312" t="s">
        <v>19016</v>
      </c>
      <c r="D2312" t="str">
        <f>"6980-18-3"</f>
        <v>6980-18-3</v>
      </c>
      <c r="E2312" t="str">
        <f t="shared" si="109"/>
        <v xml:space="preserve">Organische parameters </v>
      </c>
      <c r="F2312" t="str">
        <f t="shared" si="110"/>
        <v xml:space="preserve">Pesticiden en metabolieten </v>
      </c>
      <c r="G2312" t="str">
        <f t="shared" si="111"/>
        <v xml:space="preserve">Pesticiden en humaan toxicologisch relevante metabolieten </v>
      </c>
    </row>
    <row r="2313" spans="1:7" x14ac:dyDescent="0.25">
      <c r="A2313">
        <v>8387</v>
      </c>
      <c r="B2313" t="str">
        <f>"kopernaftenaat"</f>
        <v>kopernaftenaat</v>
      </c>
      <c r="C2313" t="s">
        <v>19016</v>
      </c>
      <c r="D2313" t="str">
        <f>"1338-02-9"</f>
        <v>1338-02-9</v>
      </c>
      <c r="E2313" t="str">
        <f t="shared" si="109"/>
        <v xml:space="preserve">Organische parameters </v>
      </c>
      <c r="F2313" t="str">
        <f t="shared" si="110"/>
        <v xml:space="preserve">Pesticiden en metabolieten </v>
      </c>
      <c r="G2313" t="str">
        <f t="shared" si="111"/>
        <v xml:space="preserve">Pesticiden en humaan toxicologisch relevante metabolieten </v>
      </c>
    </row>
    <row r="2314" spans="1:7" x14ac:dyDescent="0.25">
      <c r="A2314">
        <v>8388</v>
      </c>
      <c r="B2314" t="str">
        <f>"koperoxychinolaat"</f>
        <v>koperoxychinolaat</v>
      </c>
      <c r="C2314" t="s">
        <v>19016</v>
      </c>
      <c r="D2314" t="str">
        <f>"10380-28-6"</f>
        <v>10380-28-6</v>
      </c>
      <c r="E2314" t="str">
        <f t="shared" si="109"/>
        <v xml:space="preserve">Organische parameters </v>
      </c>
      <c r="F2314" t="str">
        <f t="shared" si="110"/>
        <v xml:space="preserve">Pesticiden en metabolieten </v>
      </c>
      <c r="G2314" t="str">
        <f t="shared" si="111"/>
        <v xml:space="preserve">Pesticiden en humaan toxicologisch relevante metabolieten </v>
      </c>
    </row>
    <row r="2315" spans="1:7" x14ac:dyDescent="0.25">
      <c r="A2315">
        <v>8389</v>
      </c>
      <c r="B2315" t="str">
        <f>"koperoxyduul"</f>
        <v>koperoxyduul</v>
      </c>
      <c r="C2315" t="s">
        <v>19016</v>
      </c>
      <c r="D2315" t="str">
        <f>""</f>
        <v/>
      </c>
      <c r="E2315" t="str">
        <f t="shared" si="109"/>
        <v xml:space="preserve">Organische parameters </v>
      </c>
      <c r="F2315" t="str">
        <f t="shared" si="110"/>
        <v xml:space="preserve">Pesticiden en metabolieten </v>
      </c>
      <c r="G2315" t="str">
        <f t="shared" si="111"/>
        <v xml:space="preserve">Pesticiden en humaan toxicologisch relevante metabolieten </v>
      </c>
    </row>
    <row r="2316" spans="1:7" x14ac:dyDescent="0.25">
      <c r="A2316">
        <v>8390</v>
      </c>
      <c r="B2316" t="str">
        <f>"kwikmethoxyethyl"</f>
        <v>kwikmethoxyethyl</v>
      </c>
      <c r="C2316" t="s">
        <v>19016</v>
      </c>
      <c r="D2316" t="str">
        <f>"28403-56-7"</f>
        <v>28403-56-7</v>
      </c>
      <c r="E2316" t="str">
        <f t="shared" si="109"/>
        <v xml:space="preserve">Organische parameters </v>
      </c>
      <c r="F2316" t="str">
        <f t="shared" si="110"/>
        <v xml:space="preserve">Pesticiden en metabolieten </v>
      </c>
      <c r="G2316" t="str">
        <f t="shared" si="111"/>
        <v xml:space="preserve">Pesticiden en humaan toxicologisch relevante metabolieten </v>
      </c>
    </row>
    <row r="2317" spans="1:7" x14ac:dyDescent="0.25">
      <c r="A2317">
        <v>8391</v>
      </c>
      <c r="B2317" t="str">
        <f>"lauryldimethylbenzylammoniumchloride"</f>
        <v>lauryldimethylbenzylammoniumchloride</v>
      </c>
      <c r="C2317" t="s">
        <v>19016</v>
      </c>
      <c r="D2317" t="str">
        <f>"139-07-1"</f>
        <v>139-07-1</v>
      </c>
      <c r="E2317" t="str">
        <f t="shared" si="109"/>
        <v xml:space="preserve">Organische parameters </v>
      </c>
      <c r="F2317" t="str">
        <f t="shared" si="110"/>
        <v xml:space="preserve">Pesticiden en metabolieten </v>
      </c>
      <c r="G2317" t="str">
        <f t="shared" si="111"/>
        <v xml:space="preserve">Pesticiden en humaan toxicologisch relevante metabolieten </v>
      </c>
    </row>
    <row r="2318" spans="1:7" x14ac:dyDescent="0.25">
      <c r="A2318">
        <v>8392</v>
      </c>
      <c r="B2318" t="str">
        <f>"lenacil"</f>
        <v>lenacil</v>
      </c>
      <c r="C2318" t="s">
        <v>19016</v>
      </c>
      <c r="D2318" t="str">
        <f>"1-8-2164"</f>
        <v>1-8-2164</v>
      </c>
      <c r="E2318" t="str">
        <f t="shared" si="109"/>
        <v xml:space="preserve">Organische parameters </v>
      </c>
      <c r="F2318" t="str">
        <f t="shared" si="110"/>
        <v xml:space="preserve">Pesticiden en metabolieten </v>
      </c>
      <c r="G2318" t="str">
        <f t="shared" si="111"/>
        <v xml:space="preserve">Pesticiden en humaan toxicologisch relevante metabolieten </v>
      </c>
    </row>
    <row r="2319" spans="1:7" x14ac:dyDescent="0.25">
      <c r="A2319">
        <v>8393</v>
      </c>
      <c r="B2319" t="str">
        <f>"lindaan"</f>
        <v>lindaan</v>
      </c>
      <c r="C2319" t="s">
        <v>19016</v>
      </c>
      <c r="D2319" t="str">
        <f>"58-89-9"</f>
        <v>58-89-9</v>
      </c>
      <c r="E2319" t="str">
        <f t="shared" si="109"/>
        <v xml:space="preserve">Organische parameters </v>
      </c>
      <c r="F2319" t="str">
        <f t="shared" si="110"/>
        <v xml:space="preserve">Pesticiden en metabolieten </v>
      </c>
      <c r="G2319" t="str">
        <f t="shared" si="111"/>
        <v xml:space="preserve">Pesticiden en humaan toxicologisch relevante metabolieten </v>
      </c>
    </row>
    <row r="2320" spans="1:7" x14ac:dyDescent="0.25">
      <c r="A2320">
        <v>8394</v>
      </c>
      <c r="B2320" t="str">
        <f>"linuron"</f>
        <v>linuron</v>
      </c>
      <c r="C2320" t="s">
        <v>19016</v>
      </c>
      <c r="D2320" t="str">
        <f>"330-55-2"</f>
        <v>330-55-2</v>
      </c>
      <c r="E2320" t="str">
        <f t="shared" si="109"/>
        <v xml:space="preserve">Organische parameters </v>
      </c>
      <c r="F2320" t="str">
        <f t="shared" si="110"/>
        <v xml:space="preserve">Pesticiden en metabolieten </v>
      </c>
      <c r="G2320" t="str">
        <f t="shared" si="111"/>
        <v xml:space="preserve">Pesticiden en humaan toxicologisch relevante metabolieten </v>
      </c>
    </row>
    <row r="2321" spans="1:7" x14ac:dyDescent="0.25">
      <c r="A2321">
        <v>8395</v>
      </c>
      <c r="B2321" t="str">
        <f>"lonchocarpus"</f>
        <v>lonchocarpus</v>
      </c>
      <c r="C2321" t="s">
        <v>19016</v>
      </c>
      <c r="D2321" t="str">
        <f>"97766-22-8"</f>
        <v>97766-22-8</v>
      </c>
      <c r="E2321" t="str">
        <f t="shared" si="109"/>
        <v xml:space="preserve">Organische parameters </v>
      </c>
      <c r="F2321" t="str">
        <f t="shared" si="110"/>
        <v xml:space="preserve">Pesticiden en metabolieten </v>
      </c>
      <c r="G2321" t="str">
        <f t="shared" si="111"/>
        <v xml:space="preserve">Pesticiden en humaan toxicologisch relevante metabolieten </v>
      </c>
    </row>
    <row r="2322" spans="1:7" x14ac:dyDescent="0.25">
      <c r="A2322">
        <v>8396</v>
      </c>
      <c r="B2322" t="str">
        <f>"malathion"</f>
        <v>malathion</v>
      </c>
      <c r="C2322" t="s">
        <v>19016</v>
      </c>
      <c r="D2322" t="str">
        <f>"121-75-5"</f>
        <v>121-75-5</v>
      </c>
      <c r="E2322" t="str">
        <f t="shared" si="109"/>
        <v xml:space="preserve">Organische parameters </v>
      </c>
      <c r="F2322" t="str">
        <f t="shared" si="110"/>
        <v xml:space="preserve">Pesticiden en metabolieten </v>
      </c>
      <c r="G2322" t="str">
        <f t="shared" si="111"/>
        <v xml:space="preserve">Pesticiden en humaan toxicologisch relevante metabolieten </v>
      </c>
    </row>
    <row r="2323" spans="1:7" x14ac:dyDescent="0.25">
      <c r="A2323">
        <v>8397</v>
      </c>
      <c r="B2323" t="str">
        <f>"maleinehydrazide"</f>
        <v>maleinehydrazide</v>
      </c>
      <c r="C2323" t="s">
        <v>19016</v>
      </c>
      <c r="D2323" t="str">
        <f>"123-33-1"</f>
        <v>123-33-1</v>
      </c>
      <c r="E2323" t="str">
        <f t="shared" si="109"/>
        <v xml:space="preserve">Organische parameters </v>
      </c>
      <c r="F2323" t="str">
        <f t="shared" si="110"/>
        <v xml:space="preserve">Pesticiden en metabolieten </v>
      </c>
      <c r="G2323" t="str">
        <f t="shared" si="111"/>
        <v xml:space="preserve">Pesticiden en humaan toxicologisch relevante metabolieten </v>
      </c>
    </row>
    <row r="2324" spans="1:7" x14ac:dyDescent="0.25">
      <c r="A2324">
        <v>8398</v>
      </c>
      <c r="B2324" t="str">
        <f>"manam"</f>
        <v>manam</v>
      </c>
      <c r="C2324" t="s">
        <v>19016</v>
      </c>
      <c r="D2324" t="str">
        <f>"15339-36-3"</f>
        <v>15339-36-3</v>
      </c>
      <c r="E2324" t="str">
        <f t="shared" si="109"/>
        <v xml:space="preserve">Organische parameters </v>
      </c>
      <c r="F2324" t="str">
        <f t="shared" si="110"/>
        <v xml:space="preserve">Pesticiden en metabolieten </v>
      </c>
      <c r="G2324" t="str">
        <f t="shared" si="111"/>
        <v xml:space="preserve">Pesticiden en humaan toxicologisch relevante metabolieten </v>
      </c>
    </row>
    <row r="2325" spans="1:7" x14ac:dyDescent="0.25">
      <c r="A2325">
        <v>8399</v>
      </c>
      <c r="B2325" t="str">
        <f>"mancozeb"</f>
        <v>mancozeb</v>
      </c>
      <c r="C2325" t="s">
        <v>19016</v>
      </c>
      <c r="D2325" t="str">
        <f>"7-1-8018"</f>
        <v>7-1-8018</v>
      </c>
      <c r="E2325" t="str">
        <f t="shared" si="109"/>
        <v xml:space="preserve">Organische parameters </v>
      </c>
      <c r="F2325" t="str">
        <f t="shared" si="110"/>
        <v xml:space="preserve">Pesticiden en metabolieten </v>
      </c>
      <c r="G2325" t="str">
        <f t="shared" si="111"/>
        <v xml:space="preserve">Pesticiden en humaan toxicologisch relevante metabolieten </v>
      </c>
    </row>
    <row r="2326" spans="1:7" x14ac:dyDescent="0.25">
      <c r="A2326">
        <v>8400</v>
      </c>
      <c r="B2326" t="str">
        <f>"maneb"</f>
        <v>maneb</v>
      </c>
      <c r="C2326" t="s">
        <v>19016</v>
      </c>
      <c r="D2326" t="str">
        <f>"12427-38-2"</f>
        <v>12427-38-2</v>
      </c>
      <c r="E2326" t="str">
        <f t="shared" si="109"/>
        <v xml:space="preserve">Organische parameters </v>
      </c>
      <c r="F2326" t="str">
        <f t="shared" si="110"/>
        <v xml:space="preserve">Pesticiden en metabolieten </v>
      </c>
      <c r="G2326" t="str">
        <f t="shared" si="111"/>
        <v xml:space="preserve">Pesticiden en humaan toxicologisch relevante metabolieten </v>
      </c>
    </row>
    <row r="2327" spans="1:7" x14ac:dyDescent="0.25">
      <c r="A2327">
        <v>8401</v>
      </c>
      <c r="B2327" t="str">
        <f>"4-chloor-2-methylfenoxyazijnzuur"</f>
        <v>4-chloor-2-methylfenoxyazijnzuur</v>
      </c>
      <c r="C2327" t="s">
        <v>19016</v>
      </c>
      <c r="D2327" t="str">
        <f>"94-74-6"</f>
        <v>94-74-6</v>
      </c>
      <c r="E2327" t="str">
        <f t="shared" si="109"/>
        <v xml:space="preserve">Organische parameters </v>
      </c>
      <c r="F2327" t="str">
        <f t="shared" si="110"/>
        <v xml:space="preserve">Pesticiden en metabolieten </v>
      </c>
      <c r="G2327" t="str">
        <f t="shared" si="111"/>
        <v xml:space="preserve">Pesticiden en humaan toxicologisch relevante metabolieten </v>
      </c>
    </row>
    <row r="2328" spans="1:7" x14ac:dyDescent="0.25">
      <c r="A2328">
        <v>8402</v>
      </c>
      <c r="B2328" t="str">
        <f>"4-(4-chloor-2-methylfenoxy)boterzuur"</f>
        <v>4-(4-chloor-2-methylfenoxy)boterzuur</v>
      </c>
      <c r="C2328" t="s">
        <v>19016</v>
      </c>
      <c r="D2328" t="str">
        <f>"94-81-5"</f>
        <v>94-81-5</v>
      </c>
      <c r="E2328" t="str">
        <f t="shared" si="109"/>
        <v xml:space="preserve">Organische parameters </v>
      </c>
      <c r="F2328" t="str">
        <f t="shared" si="110"/>
        <v xml:space="preserve">Pesticiden en metabolieten </v>
      </c>
      <c r="G2328" t="str">
        <f t="shared" si="111"/>
        <v xml:space="preserve">Pesticiden en humaan toxicologisch relevante metabolieten </v>
      </c>
    </row>
    <row r="2329" spans="1:7" x14ac:dyDescent="0.25">
      <c r="A2329">
        <v>8403</v>
      </c>
      <c r="B2329" t="str">
        <f>"mecarbam"</f>
        <v>mecarbam</v>
      </c>
      <c r="C2329" t="s">
        <v>19016</v>
      </c>
      <c r="D2329" t="str">
        <f>"2595-54-2"</f>
        <v>2595-54-2</v>
      </c>
      <c r="E2329" t="str">
        <f t="shared" si="109"/>
        <v xml:space="preserve">Organische parameters </v>
      </c>
      <c r="F2329" t="str">
        <f t="shared" si="110"/>
        <v xml:space="preserve">Pesticiden en metabolieten </v>
      </c>
      <c r="G2329" t="str">
        <f t="shared" si="111"/>
        <v xml:space="preserve">Pesticiden en humaan toxicologisch relevante metabolieten </v>
      </c>
    </row>
    <row r="2330" spans="1:7" x14ac:dyDescent="0.25">
      <c r="A2330">
        <v>8404</v>
      </c>
      <c r="B2330" t="str">
        <f>"mecoprop"</f>
        <v>mecoprop</v>
      </c>
      <c r="C2330" t="s">
        <v>19016</v>
      </c>
      <c r="D2330" t="str">
        <f>"7085-19-0"</f>
        <v>7085-19-0</v>
      </c>
      <c r="E2330" t="str">
        <f t="shared" si="109"/>
        <v xml:space="preserve">Organische parameters </v>
      </c>
      <c r="F2330" t="str">
        <f t="shared" si="110"/>
        <v xml:space="preserve">Pesticiden en metabolieten </v>
      </c>
      <c r="G2330" t="str">
        <f t="shared" si="111"/>
        <v xml:space="preserve">Pesticiden en humaan toxicologisch relevante metabolieten </v>
      </c>
    </row>
    <row r="2331" spans="1:7" x14ac:dyDescent="0.25">
      <c r="A2331">
        <v>8405</v>
      </c>
      <c r="B2331" t="str">
        <f>"mefluidide"</f>
        <v>mefluidide</v>
      </c>
      <c r="C2331" t="s">
        <v>19016</v>
      </c>
      <c r="D2331" t="str">
        <f>"53780-34-0"</f>
        <v>53780-34-0</v>
      </c>
      <c r="E2331" t="str">
        <f t="shared" si="109"/>
        <v xml:space="preserve">Organische parameters </v>
      </c>
      <c r="F2331" t="str">
        <f t="shared" si="110"/>
        <v xml:space="preserve">Pesticiden en metabolieten </v>
      </c>
      <c r="G2331" t="str">
        <f t="shared" si="111"/>
        <v xml:space="preserve">Pesticiden en humaan toxicologisch relevante metabolieten </v>
      </c>
    </row>
    <row r="2332" spans="1:7" x14ac:dyDescent="0.25">
      <c r="A2332">
        <v>8406</v>
      </c>
      <c r="B2332" t="str">
        <f>"MEMC"</f>
        <v>MEMC</v>
      </c>
      <c r="C2332" t="s">
        <v>19016</v>
      </c>
      <c r="D2332" t="str">
        <f>"123-88-6"</f>
        <v>123-88-6</v>
      </c>
      <c r="E2332" t="str">
        <f t="shared" si="109"/>
        <v xml:space="preserve">Organische parameters </v>
      </c>
      <c r="F2332" t="str">
        <f t="shared" si="110"/>
        <v xml:space="preserve">Pesticiden en metabolieten </v>
      </c>
      <c r="G2332" t="str">
        <f t="shared" si="111"/>
        <v xml:space="preserve">Pesticiden en humaan toxicologisch relevante metabolieten </v>
      </c>
    </row>
    <row r="2333" spans="1:7" x14ac:dyDescent="0.25">
      <c r="A2333">
        <v>8407</v>
      </c>
      <c r="B2333" t="str">
        <f>"menazon"</f>
        <v>menazon</v>
      </c>
      <c r="C2333" t="s">
        <v>19016</v>
      </c>
      <c r="D2333" t="str">
        <f>"78-57-9"</f>
        <v>78-57-9</v>
      </c>
      <c r="E2333" t="str">
        <f t="shared" si="109"/>
        <v xml:space="preserve">Organische parameters </v>
      </c>
      <c r="F2333" t="str">
        <f t="shared" si="110"/>
        <v xml:space="preserve">Pesticiden en metabolieten </v>
      </c>
      <c r="G2333" t="str">
        <f t="shared" si="111"/>
        <v xml:space="preserve">Pesticiden en humaan toxicologisch relevante metabolieten </v>
      </c>
    </row>
    <row r="2334" spans="1:7" x14ac:dyDescent="0.25">
      <c r="A2334">
        <v>8408</v>
      </c>
      <c r="B2334" t="str">
        <f>"mepiquat chloride"</f>
        <v>mepiquat chloride</v>
      </c>
      <c r="C2334" t="s">
        <v>19016</v>
      </c>
      <c r="D2334" t="str">
        <f>"24307-26-4"</f>
        <v>24307-26-4</v>
      </c>
      <c r="E2334" t="str">
        <f t="shared" si="109"/>
        <v xml:space="preserve">Organische parameters </v>
      </c>
      <c r="F2334" t="str">
        <f t="shared" si="110"/>
        <v xml:space="preserve">Pesticiden en metabolieten </v>
      </c>
      <c r="G2334" t="str">
        <f t="shared" si="111"/>
        <v xml:space="preserve">Pesticiden en humaan toxicologisch relevante metabolieten </v>
      </c>
    </row>
    <row r="2335" spans="1:7" x14ac:dyDescent="0.25">
      <c r="A2335">
        <v>8409</v>
      </c>
      <c r="B2335" t="str">
        <f>"mepronil"</f>
        <v>mepronil</v>
      </c>
      <c r="C2335" t="s">
        <v>19016</v>
      </c>
      <c r="D2335" t="str">
        <f>"55814-41-0"</f>
        <v>55814-41-0</v>
      </c>
      <c r="E2335" t="str">
        <f t="shared" ref="E2335:E2398" si="112">"Organische parameters "</f>
        <v xml:space="preserve">Organische parameters </v>
      </c>
      <c r="F2335" t="str">
        <f t="shared" si="110"/>
        <v xml:space="preserve">Pesticiden en metabolieten </v>
      </c>
      <c r="G2335" t="str">
        <f t="shared" si="111"/>
        <v xml:space="preserve">Pesticiden en humaan toxicologisch relevante metabolieten </v>
      </c>
    </row>
    <row r="2336" spans="1:7" x14ac:dyDescent="0.25">
      <c r="A2336">
        <v>8411</v>
      </c>
      <c r="B2336" t="str">
        <f>"mesulan"</f>
        <v>mesulan</v>
      </c>
      <c r="C2336" t="s">
        <v>19016</v>
      </c>
      <c r="D2336" t="str">
        <f>""</f>
        <v/>
      </c>
      <c r="E2336" t="str">
        <f t="shared" si="112"/>
        <v xml:space="preserve">Organische parameters </v>
      </c>
      <c r="F2336" t="str">
        <f t="shared" si="110"/>
        <v xml:space="preserve">Pesticiden en metabolieten </v>
      </c>
      <c r="G2336" t="str">
        <f t="shared" si="111"/>
        <v xml:space="preserve">Pesticiden en humaan toxicologisch relevante metabolieten </v>
      </c>
    </row>
    <row r="2337" spans="1:7" x14ac:dyDescent="0.25">
      <c r="A2337">
        <v>8412</v>
      </c>
      <c r="B2337" t="str">
        <f>"metalaxyl"</f>
        <v>metalaxyl</v>
      </c>
      <c r="C2337" t="s">
        <v>19016</v>
      </c>
      <c r="D2337" t="str">
        <f>"57837-19-1"</f>
        <v>57837-19-1</v>
      </c>
      <c r="E2337" t="str">
        <f t="shared" si="112"/>
        <v xml:space="preserve">Organische parameters </v>
      </c>
      <c r="F2337" t="str">
        <f t="shared" ref="F2337:F2352" si="113">"Pesticiden en metabolieten "</f>
        <v xml:space="preserve">Pesticiden en metabolieten </v>
      </c>
      <c r="G2337" t="str">
        <f t="shared" ref="G2337:G2352" si="114">"Pesticiden en humaan toxicologisch relevante metabolieten "</f>
        <v xml:space="preserve">Pesticiden en humaan toxicologisch relevante metabolieten </v>
      </c>
    </row>
    <row r="2338" spans="1:7" x14ac:dyDescent="0.25">
      <c r="A2338">
        <v>8413</v>
      </c>
      <c r="B2338" t="str">
        <f>"metaldehyde"</f>
        <v>metaldehyde</v>
      </c>
      <c r="C2338" t="s">
        <v>19016</v>
      </c>
      <c r="D2338" t="str">
        <f>"9002-91-9"</f>
        <v>9002-91-9</v>
      </c>
      <c r="E2338" t="str">
        <f t="shared" si="112"/>
        <v xml:space="preserve">Organische parameters </v>
      </c>
      <c r="F2338" t="str">
        <f t="shared" si="113"/>
        <v xml:space="preserve">Pesticiden en metabolieten </v>
      </c>
      <c r="G2338" t="str">
        <f t="shared" si="114"/>
        <v xml:space="preserve">Pesticiden en humaan toxicologisch relevante metabolieten </v>
      </c>
    </row>
    <row r="2339" spans="1:7" x14ac:dyDescent="0.25">
      <c r="A2339">
        <v>8414</v>
      </c>
      <c r="B2339" t="str">
        <f>"metam-ammonium"</f>
        <v>metam-ammonium</v>
      </c>
      <c r="C2339" t="s">
        <v>19016</v>
      </c>
      <c r="D2339" t="str">
        <f>"39680-90-5"</f>
        <v>39680-90-5</v>
      </c>
      <c r="E2339" t="str">
        <f t="shared" si="112"/>
        <v xml:space="preserve">Organische parameters </v>
      </c>
      <c r="F2339" t="str">
        <f t="shared" si="113"/>
        <v xml:space="preserve">Pesticiden en metabolieten </v>
      </c>
      <c r="G2339" t="str">
        <f t="shared" si="114"/>
        <v xml:space="preserve">Pesticiden en humaan toxicologisch relevante metabolieten </v>
      </c>
    </row>
    <row r="2340" spans="1:7" x14ac:dyDescent="0.25">
      <c r="A2340">
        <v>8415</v>
      </c>
      <c r="B2340" t="str">
        <f>"metamitron"</f>
        <v>metamitron</v>
      </c>
      <c r="C2340" t="s">
        <v>19016</v>
      </c>
      <c r="D2340" t="str">
        <f>"41394-05-2"</f>
        <v>41394-05-2</v>
      </c>
      <c r="E2340" t="str">
        <f t="shared" si="112"/>
        <v xml:space="preserve">Organische parameters </v>
      </c>
      <c r="F2340" t="str">
        <f t="shared" si="113"/>
        <v xml:space="preserve">Pesticiden en metabolieten </v>
      </c>
      <c r="G2340" t="str">
        <f t="shared" si="114"/>
        <v xml:space="preserve">Pesticiden en humaan toxicologisch relevante metabolieten </v>
      </c>
    </row>
    <row r="2341" spans="1:7" x14ac:dyDescent="0.25">
      <c r="A2341">
        <v>8416</v>
      </c>
      <c r="B2341" t="str">
        <f>"metam-natrium"</f>
        <v>metam-natrium</v>
      </c>
      <c r="C2341" t="s">
        <v>19016</v>
      </c>
      <c r="D2341" t="str">
        <f>"137-42-8"</f>
        <v>137-42-8</v>
      </c>
      <c r="E2341" t="str">
        <f t="shared" si="112"/>
        <v xml:space="preserve">Organische parameters </v>
      </c>
      <c r="F2341" t="str">
        <f t="shared" si="113"/>
        <v xml:space="preserve">Pesticiden en metabolieten </v>
      </c>
      <c r="G2341" t="str">
        <f t="shared" si="114"/>
        <v xml:space="preserve">Pesticiden en humaan toxicologisch relevante metabolieten </v>
      </c>
    </row>
    <row r="2342" spans="1:7" x14ac:dyDescent="0.25">
      <c r="A2342">
        <v>8417</v>
      </c>
      <c r="B2342" t="str">
        <f>"metazachloor"</f>
        <v>metazachloor</v>
      </c>
      <c r="C2342" t="s">
        <v>19016</v>
      </c>
      <c r="D2342" t="str">
        <f>"67129-08-2"</f>
        <v>67129-08-2</v>
      </c>
      <c r="E2342" t="str">
        <f t="shared" si="112"/>
        <v xml:space="preserve">Organische parameters </v>
      </c>
      <c r="F2342" t="str">
        <f t="shared" si="113"/>
        <v xml:space="preserve">Pesticiden en metabolieten </v>
      </c>
      <c r="G2342" t="str">
        <f t="shared" si="114"/>
        <v xml:space="preserve">Pesticiden en humaan toxicologisch relevante metabolieten </v>
      </c>
    </row>
    <row r="2343" spans="1:7" x14ac:dyDescent="0.25">
      <c r="A2343">
        <v>8418</v>
      </c>
      <c r="B2343" t="str">
        <f>"methabenzthiazuron"</f>
        <v>methabenzthiazuron</v>
      </c>
      <c r="C2343" t="s">
        <v>19016</v>
      </c>
      <c r="D2343" t="str">
        <f>"18691-97-9"</f>
        <v>18691-97-9</v>
      </c>
      <c r="E2343" t="str">
        <f t="shared" si="112"/>
        <v xml:space="preserve">Organische parameters </v>
      </c>
      <c r="F2343" t="str">
        <f t="shared" si="113"/>
        <v xml:space="preserve">Pesticiden en metabolieten </v>
      </c>
      <c r="G2343" t="str">
        <f t="shared" si="114"/>
        <v xml:space="preserve">Pesticiden en humaan toxicologisch relevante metabolieten </v>
      </c>
    </row>
    <row r="2344" spans="1:7" x14ac:dyDescent="0.25">
      <c r="A2344">
        <v>8420</v>
      </c>
      <c r="B2344" t="str">
        <f>"methamidofos"</f>
        <v>methamidofos</v>
      </c>
      <c r="C2344" t="s">
        <v>19016</v>
      </c>
      <c r="D2344" t="str">
        <f>"10265-92-6"</f>
        <v>10265-92-6</v>
      </c>
      <c r="E2344" t="str">
        <f t="shared" si="112"/>
        <v xml:space="preserve">Organische parameters </v>
      </c>
      <c r="F2344" t="str">
        <f t="shared" si="113"/>
        <v xml:space="preserve">Pesticiden en metabolieten </v>
      </c>
      <c r="G2344" t="str">
        <f t="shared" si="114"/>
        <v xml:space="preserve">Pesticiden en humaan toxicologisch relevante metabolieten </v>
      </c>
    </row>
    <row r="2345" spans="1:7" x14ac:dyDescent="0.25">
      <c r="A2345">
        <v>8421</v>
      </c>
      <c r="B2345" t="str">
        <f>"methazol"</f>
        <v>methazol</v>
      </c>
      <c r="C2345" t="s">
        <v>19016</v>
      </c>
      <c r="D2345" t="str">
        <f>"20354-26-1"</f>
        <v>20354-26-1</v>
      </c>
      <c r="E2345" t="str">
        <f t="shared" si="112"/>
        <v xml:space="preserve">Organische parameters </v>
      </c>
      <c r="F2345" t="str">
        <f t="shared" si="113"/>
        <v xml:space="preserve">Pesticiden en metabolieten </v>
      </c>
      <c r="G2345" t="str">
        <f t="shared" si="114"/>
        <v xml:space="preserve">Pesticiden en humaan toxicologisch relevante metabolieten </v>
      </c>
    </row>
    <row r="2346" spans="1:7" x14ac:dyDescent="0.25">
      <c r="A2346">
        <v>8422</v>
      </c>
      <c r="B2346" t="str">
        <f>"methfuroxam"</f>
        <v>methfuroxam</v>
      </c>
      <c r="C2346" t="s">
        <v>19016</v>
      </c>
      <c r="D2346" t="str">
        <f>"28730-17-8"</f>
        <v>28730-17-8</v>
      </c>
      <c r="E2346" t="str">
        <f t="shared" si="112"/>
        <v xml:space="preserve">Organische parameters </v>
      </c>
      <c r="F2346" t="str">
        <f t="shared" si="113"/>
        <v xml:space="preserve">Pesticiden en metabolieten </v>
      </c>
      <c r="G2346" t="str">
        <f t="shared" si="114"/>
        <v xml:space="preserve">Pesticiden en humaan toxicologisch relevante metabolieten </v>
      </c>
    </row>
    <row r="2347" spans="1:7" x14ac:dyDescent="0.25">
      <c r="A2347">
        <v>8423</v>
      </c>
      <c r="B2347" t="str">
        <f>"methidathion"</f>
        <v>methidathion</v>
      </c>
      <c r="C2347" t="s">
        <v>19016</v>
      </c>
      <c r="D2347" t="str">
        <f>"950-37-8"</f>
        <v>950-37-8</v>
      </c>
      <c r="E2347" t="str">
        <f t="shared" si="112"/>
        <v xml:space="preserve">Organische parameters </v>
      </c>
      <c r="F2347" t="str">
        <f t="shared" si="113"/>
        <v xml:space="preserve">Pesticiden en metabolieten </v>
      </c>
      <c r="G2347" t="str">
        <f t="shared" si="114"/>
        <v xml:space="preserve">Pesticiden en humaan toxicologisch relevante metabolieten </v>
      </c>
    </row>
    <row r="2348" spans="1:7" x14ac:dyDescent="0.25">
      <c r="A2348">
        <v>8424</v>
      </c>
      <c r="B2348" t="str">
        <f>"methiocarb"</f>
        <v>methiocarb</v>
      </c>
      <c r="C2348" t="s">
        <v>19016</v>
      </c>
      <c r="D2348" t="str">
        <f>"2032-65-7"</f>
        <v>2032-65-7</v>
      </c>
      <c r="E2348" t="str">
        <f t="shared" si="112"/>
        <v xml:space="preserve">Organische parameters </v>
      </c>
      <c r="F2348" t="str">
        <f t="shared" si="113"/>
        <v xml:space="preserve">Pesticiden en metabolieten </v>
      </c>
      <c r="G2348" t="str">
        <f t="shared" si="114"/>
        <v xml:space="preserve">Pesticiden en humaan toxicologisch relevante metabolieten </v>
      </c>
    </row>
    <row r="2349" spans="1:7" x14ac:dyDescent="0.25">
      <c r="A2349">
        <v>8425</v>
      </c>
      <c r="B2349" t="str">
        <f>"methomyl"</f>
        <v>methomyl</v>
      </c>
      <c r="C2349" t="s">
        <v>19016</v>
      </c>
      <c r="D2349" t="str">
        <f>"16752-77-5"</f>
        <v>16752-77-5</v>
      </c>
      <c r="E2349" t="str">
        <f t="shared" si="112"/>
        <v xml:space="preserve">Organische parameters </v>
      </c>
      <c r="F2349" t="str">
        <f t="shared" si="113"/>
        <v xml:space="preserve">Pesticiden en metabolieten </v>
      </c>
      <c r="G2349" t="str">
        <f t="shared" si="114"/>
        <v xml:space="preserve">Pesticiden en humaan toxicologisch relevante metabolieten </v>
      </c>
    </row>
    <row r="2350" spans="1:7" x14ac:dyDescent="0.25">
      <c r="A2350">
        <v>8426</v>
      </c>
      <c r="B2350" t="str">
        <f>"methoprene"</f>
        <v>methoprene</v>
      </c>
      <c r="C2350" t="s">
        <v>19016</v>
      </c>
      <c r="D2350" t="str">
        <f>"40596-69-8"</f>
        <v>40596-69-8</v>
      </c>
      <c r="E2350" t="str">
        <f t="shared" si="112"/>
        <v xml:space="preserve">Organische parameters </v>
      </c>
      <c r="F2350" t="str">
        <f t="shared" si="113"/>
        <v xml:space="preserve">Pesticiden en metabolieten </v>
      </c>
      <c r="G2350" t="str">
        <f t="shared" si="114"/>
        <v xml:space="preserve">Pesticiden en humaan toxicologisch relevante metabolieten </v>
      </c>
    </row>
    <row r="2351" spans="1:7" x14ac:dyDescent="0.25">
      <c r="A2351">
        <v>8427</v>
      </c>
      <c r="B2351" t="str">
        <f>"methoprotryne"</f>
        <v>methoprotryne</v>
      </c>
      <c r="C2351" t="s">
        <v>19016</v>
      </c>
      <c r="D2351" t="str">
        <f>"841-06-5"</f>
        <v>841-06-5</v>
      </c>
      <c r="E2351" t="str">
        <f t="shared" si="112"/>
        <v xml:space="preserve">Organische parameters </v>
      </c>
      <c r="F2351" t="str">
        <f t="shared" si="113"/>
        <v xml:space="preserve">Pesticiden en metabolieten </v>
      </c>
      <c r="G2351" t="str">
        <f t="shared" si="114"/>
        <v xml:space="preserve">Pesticiden en humaan toxicologisch relevante metabolieten </v>
      </c>
    </row>
    <row r="2352" spans="1:7" x14ac:dyDescent="0.25">
      <c r="A2352">
        <v>8428</v>
      </c>
      <c r="B2352" t="str">
        <f>"methoxychloor"</f>
        <v>methoxychloor</v>
      </c>
      <c r="C2352" t="s">
        <v>19016</v>
      </c>
      <c r="D2352" t="str">
        <f>"72-43-5"</f>
        <v>72-43-5</v>
      </c>
      <c r="E2352" t="str">
        <f t="shared" si="112"/>
        <v xml:space="preserve">Organische parameters </v>
      </c>
      <c r="F2352" t="str">
        <f t="shared" si="113"/>
        <v xml:space="preserve">Pesticiden en metabolieten </v>
      </c>
      <c r="G2352" t="str">
        <f t="shared" si="114"/>
        <v xml:space="preserve">Pesticiden en humaan toxicologisch relevante metabolieten </v>
      </c>
    </row>
    <row r="2353" spans="1:7" x14ac:dyDescent="0.25">
      <c r="A2353">
        <v>8429</v>
      </c>
      <c r="B2353" t="str">
        <f>"methylbromide (broommethaan)"</f>
        <v>methylbromide (broommethaan)</v>
      </c>
      <c r="C2353" t="s">
        <v>19016</v>
      </c>
      <c r="D2353" t="str">
        <f>"74-83-9"</f>
        <v>74-83-9</v>
      </c>
      <c r="E2353" t="str">
        <f t="shared" si="112"/>
        <v xml:space="preserve">Organische parameters </v>
      </c>
      <c r="F2353" t="str">
        <f>"Gehalogeneerde alifatische koolwaterstoffen "</f>
        <v xml:space="preserve">Gehalogeneerde alifatische koolwaterstoffen </v>
      </c>
      <c r="G2353" t="str">
        <f>"Overige gehalogeneerde alifatische koolwaterstoffen "</f>
        <v xml:space="preserve">Overige gehalogeneerde alifatische koolwaterstoffen </v>
      </c>
    </row>
    <row r="2354" spans="1:7" x14ac:dyDescent="0.25">
      <c r="A2354">
        <v>8430</v>
      </c>
      <c r="B2354" t="str">
        <f>"methylisothiocyanaat (MITC)"</f>
        <v>methylisothiocyanaat (MITC)</v>
      </c>
      <c r="C2354" t="s">
        <v>19016</v>
      </c>
      <c r="D2354" t="str">
        <f>"556-61-6"</f>
        <v>556-61-6</v>
      </c>
      <c r="E2354" t="str">
        <f t="shared" si="112"/>
        <v xml:space="preserve">Organische parameters </v>
      </c>
      <c r="F2354" t="str">
        <f t="shared" ref="F2354:F2417" si="115">"Pesticiden en metabolieten "</f>
        <v xml:space="preserve">Pesticiden en metabolieten </v>
      </c>
      <c r="G2354" t="str">
        <f t="shared" ref="G2354:G2385" si="116">"Pesticiden en humaan toxicologisch relevante metabolieten "</f>
        <v xml:space="preserve">Pesticiden en humaan toxicologisch relevante metabolieten </v>
      </c>
    </row>
    <row r="2355" spans="1:7" x14ac:dyDescent="0.25">
      <c r="A2355">
        <v>8431</v>
      </c>
      <c r="B2355" t="str">
        <f>"methylmetiram"</f>
        <v>methylmetiram</v>
      </c>
      <c r="C2355" t="s">
        <v>19016</v>
      </c>
      <c r="D2355" t="str">
        <f>"8064-35-5"</f>
        <v>8064-35-5</v>
      </c>
      <c r="E2355" t="str">
        <f t="shared" si="112"/>
        <v xml:space="preserve">Organische parameters </v>
      </c>
      <c r="F2355" t="str">
        <f t="shared" si="115"/>
        <v xml:space="preserve">Pesticiden en metabolieten </v>
      </c>
      <c r="G2355" t="str">
        <f t="shared" si="116"/>
        <v xml:space="preserve">Pesticiden en humaan toxicologisch relevante metabolieten </v>
      </c>
    </row>
    <row r="2356" spans="1:7" x14ac:dyDescent="0.25">
      <c r="A2356">
        <v>8432</v>
      </c>
      <c r="B2356" t="str">
        <f>"methylnaftoxyacetaat"</f>
        <v>methylnaftoxyacetaat</v>
      </c>
      <c r="C2356" t="s">
        <v>19016</v>
      </c>
      <c r="D2356" t="str">
        <f>"1929-87-9"</f>
        <v>1929-87-9</v>
      </c>
      <c r="E2356" t="str">
        <f t="shared" si="112"/>
        <v xml:space="preserve">Organische parameters </v>
      </c>
      <c r="F2356" t="str">
        <f t="shared" si="115"/>
        <v xml:space="preserve">Pesticiden en metabolieten </v>
      </c>
      <c r="G2356" t="str">
        <f t="shared" si="116"/>
        <v xml:space="preserve">Pesticiden en humaan toxicologisch relevante metabolieten </v>
      </c>
    </row>
    <row r="2357" spans="1:7" x14ac:dyDescent="0.25">
      <c r="A2357">
        <v>8434</v>
      </c>
      <c r="B2357" t="str">
        <f>"metobromuron"</f>
        <v>metobromuron</v>
      </c>
      <c r="C2357" t="s">
        <v>19016</v>
      </c>
      <c r="D2357" t="str">
        <f>"3060-89-7"</f>
        <v>3060-89-7</v>
      </c>
      <c r="E2357" t="str">
        <f t="shared" si="112"/>
        <v xml:space="preserve">Organische parameters </v>
      </c>
      <c r="F2357" t="str">
        <f t="shared" si="115"/>
        <v xml:space="preserve">Pesticiden en metabolieten </v>
      </c>
      <c r="G2357" t="str">
        <f t="shared" si="116"/>
        <v xml:space="preserve">Pesticiden en humaan toxicologisch relevante metabolieten </v>
      </c>
    </row>
    <row r="2358" spans="1:7" x14ac:dyDescent="0.25">
      <c r="A2358">
        <v>8435</v>
      </c>
      <c r="B2358" t="str">
        <f>"metolachloor"</f>
        <v>metolachloor</v>
      </c>
      <c r="C2358" t="s">
        <v>19016</v>
      </c>
      <c r="D2358" t="str">
        <f>"51218-45-2"</f>
        <v>51218-45-2</v>
      </c>
      <c r="E2358" t="str">
        <f t="shared" si="112"/>
        <v xml:space="preserve">Organische parameters </v>
      </c>
      <c r="F2358" t="str">
        <f t="shared" si="115"/>
        <v xml:space="preserve">Pesticiden en metabolieten </v>
      </c>
      <c r="G2358" t="str">
        <f t="shared" si="116"/>
        <v xml:space="preserve">Pesticiden en humaan toxicologisch relevante metabolieten </v>
      </c>
    </row>
    <row r="2359" spans="1:7" x14ac:dyDescent="0.25">
      <c r="A2359">
        <v>8436</v>
      </c>
      <c r="B2359" t="str">
        <f>"metoxuron"</f>
        <v>metoxuron</v>
      </c>
      <c r="C2359" t="s">
        <v>19016</v>
      </c>
      <c r="D2359" t="str">
        <f>"19937-59-8"</f>
        <v>19937-59-8</v>
      </c>
      <c r="E2359" t="str">
        <f t="shared" si="112"/>
        <v xml:space="preserve">Organische parameters </v>
      </c>
      <c r="F2359" t="str">
        <f t="shared" si="115"/>
        <v xml:space="preserve">Pesticiden en metabolieten </v>
      </c>
      <c r="G2359" t="str">
        <f t="shared" si="116"/>
        <v xml:space="preserve">Pesticiden en humaan toxicologisch relevante metabolieten </v>
      </c>
    </row>
    <row r="2360" spans="1:7" x14ac:dyDescent="0.25">
      <c r="A2360">
        <v>8437</v>
      </c>
      <c r="B2360" t="str">
        <f>"metribuzin"</f>
        <v>metribuzin</v>
      </c>
      <c r="C2360" t="s">
        <v>19016</v>
      </c>
      <c r="D2360" t="str">
        <f>"21087-64-9"</f>
        <v>21087-64-9</v>
      </c>
      <c r="E2360" t="str">
        <f t="shared" si="112"/>
        <v xml:space="preserve">Organische parameters </v>
      </c>
      <c r="F2360" t="str">
        <f t="shared" si="115"/>
        <v xml:space="preserve">Pesticiden en metabolieten </v>
      </c>
      <c r="G2360" t="str">
        <f t="shared" si="116"/>
        <v xml:space="preserve">Pesticiden en humaan toxicologisch relevante metabolieten </v>
      </c>
    </row>
    <row r="2361" spans="1:7" x14ac:dyDescent="0.25">
      <c r="A2361">
        <v>8438</v>
      </c>
      <c r="B2361" t="str">
        <f>"metsulfuron-methyl"</f>
        <v>metsulfuron-methyl</v>
      </c>
      <c r="C2361" t="s">
        <v>19016</v>
      </c>
      <c r="D2361" t="str">
        <f>"74223-64-6"</f>
        <v>74223-64-6</v>
      </c>
      <c r="E2361" t="str">
        <f t="shared" si="112"/>
        <v xml:space="preserve">Organische parameters </v>
      </c>
      <c r="F2361" t="str">
        <f t="shared" si="115"/>
        <v xml:space="preserve">Pesticiden en metabolieten </v>
      </c>
      <c r="G2361" t="str">
        <f t="shared" si="116"/>
        <v xml:space="preserve">Pesticiden en humaan toxicologisch relevante metabolieten </v>
      </c>
    </row>
    <row r="2362" spans="1:7" x14ac:dyDescent="0.25">
      <c r="A2362">
        <v>8439</v>
      </c>
      <c r="B2362" t="str">
        <f>"mevinfos (cis+trans)"</f>
        <v>mevinfos (cis+trans)</v>
      </c>
      <c r="C2362" t="s">
        <v>19016</v>
      </c>
      <c r="D2362" t="str">
        <f>""</f>
        <v/>
      </c>
      <c r="E2362" t="str">
        <f t="shared" si="112"/>
        <v xml:space="preserve">Organische parameters </v>
      </c>
      <c r="F2362" t="str">
        <f t="shared" si="115"/>
        <v xml:space="preserve">Pesticiden en metabolieten </v>
      </c>
      <c r="G2362" t="str">
        <f t="shared" si="116"/>
        <v xml:space="preserve">Pesticiden en humaan toxicologisch relevante metabolieten </v>
      </c>
    </row>
    <row r="2363" spans="1:7" x14ac:dyDescent="0.25">
      <c r="A2363">
        <v>8440</v>
      </c>
      <c r="B2363" t="str">
        <f>"mierezuur"</f>
        <v>mierezuur</v>
      </c>
      <c r="C2363" t="s">
        <v>19016</v>
      </c>
      <c r="D2363" t="str">
        <f>"64-18-6"</f>
        <v>64-18-6</v>
      </c>
      <c r="E2363" t="str">
        <f t="shared" si="112"/>
        <v xml:space="preserve">Organische parameters </v>
      </c>
      <c r="F2363" t="str">
        <f t="shared" si="115"/>
        <v xml:space="preserve">Pesticiden en metabolieten </v>
      </c>
      <c r="G2363" t="str">
        <f t="shared" si="116"/>
        <v xml:space="preserve">Pesticiden en humaan toxicologisch relevante metabolieten </v>
      </c>
    </row>
    <row r="2364" spans="1:7" x14ac:dyDescent="0.25">
      <c r="A2364">
        <v>8441</v>
      </c>
      <c r="B2364" t="str">
        <f>"mirex"</f>
        <v>mirex</v>
      </c>
      <c r="C2364" t="s">
        <v>19016</v>
      </c>
      <c r="D2364" t="str">
        <f>"2385-85-5"</f>
        <v>2385-85-5</v>
      </c>
      <c r="E2364" t="str">
        <f t="shared" si="112"/>
        <v xml:space="preserve">Organische parameters </v>
      </c>
      <c r="F2364" t="str">
        <f t="shared" si="115"/>
        <v xml:space="preserve">Pesticiden en metabolieten </v>
      </c>
      <c r="G2364" t="str">
        <f t="shared" si="116"/>
        <v xml:space="preserve">Pesticiden en humaan toxicologisch relevante metabolieten </v>
      </c>
    </row>
    <row r="2365" spans="1:7" x14ac:dyDescent="0.25">
      <c r="A2365">
        <v>8443</v>
      </c>
      <c r="B2365" t="str">
        <f>"molinaat"</f>
        <v>molinaat</v>
      </c>
      <c r="C2365" t="s">
        <v>19016</v>
      </c>
      <c r="D2365" t="str">
        <f>"2212-67-1"</f>
        <v>2212-67-1</v>
      </c>
      <c r="E2365" t="str">
        <f t="shared" si="112"/>
        <v xml:space="preserve">Organische parameters </v>
      </c>
      <c r="F2365" t="str">
        <f t="shared" si="115"/>
        <v xml:space="preserve">Pesticiden en metabolieten </v>
      </c>
      <c r="G2365" t="str">
        <f t="shared" si="116"/>
        <v xml:space="preserve">Pesticiden en humaan toxicologisch relevante metabolieten </v>
      </c>
    </row>
    <row r="2366" spans="1:7" x14ac:dyDescent="0.25">
      <c r="A2366">
        <v>8444</v>
      </c>
      <c r="B2366" t="str">
        <f>"monalide"</f>
        <v>monalide</v>
      </c>
      <c r="C2366" t="s">
        <v>19016</v>
      </c>
      <c r="D2366" t="str">
        <f>"7287-36-7"</f>
        <v>7287-36-7</v>
      </c>
      <c r="E2366" t="str">
        <f t="shared" si="112"/>
        <v xml:space="preserve">Organische parameters </v>
      </c>
      <c r="F2366" t="str">
        <f t="shared" si="115"/>
        <v xml:space="preserve">Pesticiden en metabolieten </v>
      </c>
      <c r="G2366" t="str">
        <f t="shared" si="116"/>
        <v xml:space="preserve">Pesticiden en humaan toxicologisch relevante metabolieten </v>
      </c>
    </row>
    <row r="2367" spans="1:7" x14ac:dyDescent="0.25">
      <c r="A2367">
        <v>8445</v>
      </c>
      <c r="B2367" t="str">
        <f>"monocrotofos"</f>
        <v>monocrotofos</v>
      </c>
      <c r="C2367" t="s">
        <v>19016</v>
      </c>
      <c r="D2367" t="str">
        <f>"6923-22-4"</f>
        <v>6923-22-4</v>
      </c>
      <c r="E2367" t="str">
        <f t="shared" si="112"/>
        <v xml:space="preserve">Organische parameters </v>
      </c>
      <c r="F2367" t="str">
        <f t="shared" si="115"/>
        <v xml:space="preserve">Pesticiden en metabolieten </v>
      </c>
      <c r="G2367" t="str">
        <f t="shared" si="116"/>
        <v xml:space="preserve">Pesticiden en humaan toxicologisch relevante metabolieten </v>
      </c>
    </row>
    <row r="2368" spans="1:7" x14ac:dyDescent="0.25">
      <c r="A2368">
        <v>8446</v>
      </c>
      <c r="B2368" t="str">
        <f>"monolinuron"</f>
        <v>monolinuron</v>
      </c>
      <c r="C2368" t="s">
        <v>19016</v>
      </c>
      <c r="D2368" t="str">
        <f>"1746-81-2"</f>
        <v>1746-81-2</v>
      </c>
      <c r="E2368" t="str">
        <f t="shared" si="112"/>
        <v xml:space="preserve">Organische parameters </v>
      </c>
      <c r="F2368" t="str">
        <f t="shared" si="115"/>
        <v xml:space="preserve">Pesticiden en metabolieten </v>
      </c>
      <c r="G2368" t="str">
        <f t="shared" si="116"/>
        <v xml:space="preserve">Pesticiden en humaan toxicologisch relevante metabolieten </v>
      </c>
    </row>
    <row r="2369" spans="1:7" x14ac:dyDescent="0.25">
      <c r="A2369">
        <v>8447</v>
      </c>
      <c r="B2369" t="str">
        <f>"monuron"</f>
        <v>monuron</v>
      </c>
      <c r="C2369" t="s">
        <v>19016</v>
      </c>
      <c r="D2369" t="str">
        <f>"150-68-5"</f>
        <v>150-68-5</v>
      </c>
      <c r="E2369" t="str">
        <f t="shared" si="112"/>
        <v xml:space="preserve">Organische parameters </v>
      </c>
      <c r="F2369" t="str">
        <f t="shared" si="115"/>
        <v xml:space="preserve">Pesticiden en metabolieten </v>
      </c>
      <c r="G2369" t="str">
        <f t="shared" si="116"/>
        <v xml:space="preserve">Pesticiden en humaan toxicologisch relevante metabolieten </v>
      </c>
    </row>
    <row r="2370" spans="1:7" x14ac:dyDescent="0.25">
      <c r="A2370">
        <v>8448</v>
      </c>
      <c r="B2370" t="str">
        <f>"myclobutanil"</f>
        <v>myclobutanil</v>
      </c>
      <c r="C2370" t="s">
        <v>19016</v>
      </c>
      <c r="D2370" t="str">
        <f>"88671-89-0"</f>
        <v>88671-89-0</v>
      </c>
      <c r="E2370" t="str">
        <f t="shared" si="112"/>
        <v xml:space="preserve">Organische parameters </v>
      </c>
      <c r="F2370" t="str">
        <f t="shared" si="115"/>
        <v xml:space="preserve">Pesticiden en metabolieten </v>
      </c>
      <c r="G2370" t="str">
        <f t="shared" si="116"/>
        <v xml:space="preserve">Pesticiden en humaan toxicologisch relevante metabolieten </v>
      </c>
    </row>
    <row r="2371" spans="1:7" x14ac:dyDescent="0.25">
      <c r="A2371">
        <v>8449</v>
      </c>
      <c r="B2371" t="str">
        <f>"nabam"</f>
        <v>nabam</v>
      </c>
      <c r="C2371" t="s">
        <v>19016</v>
      </c>
      <c r="D2371" t="str">
        <f>"142-59-6"</f>
        <v>142-59-6</v>
      </c>
      <c r="E2371" t="str">
        <f t="shared" si="112"/>
        <v xml:space="preserve">Organische parameters </v>
      </c>
      <c r="F2371" t="str">
        <f t="shared" si="115"/>
        <v xml:space="preserve">Pesticiden en metabolieten </v>
      </c>
      <c r="G2371" t="str">
        <f t="shared" si="116"/>
        <v xml:space="preserve">Pesticiden en humaan toxicologisch relevante metabolieten </v>
      </c>
    </row>
    <row r="2372" spans="1:7" x14ac:dyDescent="0.25">
      <c r="A2372">
        <v>8450</v>
      </c>
      <c r="B2372" t="str">
        <f>"naftaleen"</f>
        <v>naftaleen</v>
      </c>
      <c r="C2372" t="s">
        <v>19016</v>
      </c>
      <c r="D2372" t="str">
        <f>"91-20-3"</f>
        <v>91-20-3</v>
      </c>
      <c r="E2372" t="str">
        <f t="shared" si="112"/>
        <v xml:space="preserve">Organische parameters </v>
      </c>
      <c r="F2372" t="str">
        <f t="shared" si="115"/>
        <v xml:space="preserve">Pesticiden en metabolieten </v>
      </c>
      <c r="G2372" t="str">
        <f t="shared" si="116"/>
        <v xml:space="preserve">Pesticiden en humaan toxicologisch relevante metabolieten </v>
      </c>
    </row>
    <row r="2373" spans="1:7" x14ac:dyDescent="0.25">
      <c r="A2373">
        <v>8451</v>
      </c>
      <c r="B2373" t="str">
        <f>"naftylaceetamide"</f>
        <v>naftylaceetamide</v>
      </c>
      <c r="C2373" t="s">
        <v>19016</v>
      </c>
      <c r="D2373" t="str">
        <f>"86-86-2"</f>
        <v>86-86-2</v>
      </c>
      <c r="E2373" t="str">
        <f t="shared" si="112"/>
        <v xml:space="preserve">Organische parameters </v>
      </c>
      <c r="F2373" t="str">
        <f t="shared" si="115"/>
        <v xml:space="preserve">Pesticiden en metabolieten </v>
      </c>
      <c r="G2373" t="str">
        <f t="shared" si="116"/>
        <v xml:space="preserve">Pesticiden en humaan toxicologisch relevante metabolieten </v>
      </c>
    </row>
    <row r="2374" spans="1:7" x14ac:dyDescent="0.25">
      <c r="A2374">
        <v>8452</v>
      </c>
      <c r="B2374" t="str">
        <f>"naled"</f>
        <v>naled</v>
      </c>
      <c r="C2374" t="s">
        <v>19016</v>
      </c>
      <c r="D2374" t="str">
        <f>"300-76-5"</f>
        <v>300-76-5</v>
      </c>
      <c r="E2374" t="str">
        <f t="shared" si="112"/>
        <v xml:space="preserve">Organische parameters </v>
      </c>
      <c r="F2374" t="str">
        <f t="shared" si="115"/>
        <v xml:space="preserve">Pesticiden en metabolieten </v>
      </c>
      <c r="G2374" t="str">
        <f t="shared" si="116"/>
        <v xml:space="preserve">Pesticiden en humaan toxicologisch relevante metabolieten </v>
      </c>
    </row>
    <row r="2375" spans="1:7" x14ac:dyDescent="0.25">
      <c r="A2375">
        <v>8453</v>
      </c>
      <c r="B2375" t="str">
        <f>"napropamide"</f>
        <v>napropamide</v>
      </c>
      <c r="C2375" t="s">
        <v>19016</v>
      </c>
      <c r="D2375" t="str">
        <f>"15299-99-7"</f>
        <v>15299-99-7</v>
      </c>
      <c r="E2375" t="str">
        <f t="shared" si="112"/>
        <v xml:space="preserve">Organische parameters </v>
      </c>
      <c r="F2375" t="str">
        <f t="shared" si="115"/>
        <v xml:space="preserve">Pesticiden en metabolieten </v>
      </c>
      <c r="G2375" t="str">
        <f t="shared" si="116"/>
        <v xml:space="preserve">Pesticiden en humaan toxicologisch relevante metabolieten </v>
      </c>
    </row>
    <row r="2376" spans="1:7" x14ac:dyDescent="0.25">
      <c r="A2376">
        <v>8454</v>
      </c>
      <c r="B2376" t="str">
        <f>"naftalam"</f>
        <v>naftalam</v>
      </c>
      <c r="C2376" t="s">
        <v>19016</v>
      </c>
      <c r="D2376" t="str">
        <f>"132-66-1"</f>
        <v>132-66-1</v>
      </c>
      <c r="E2376" t="str">
        <f t="shared" si="112"/>
        <v xml:space="preserve">Organische parameters </v>
      </c>
      <c r="F2376" t="str">
        <f t="shared" si="115"/>
        <v xml:space="preserve">Pesticiden en metabolieten </v>
      </c>
      <c r="G2376" t="str">
        <f t="shared" si="116"/>
        <v xml:space="preserve">Pesticiden en humaan toxicologisch relevante metabolieten </v>
      </c>
    </row>
    <row r="2377" spans="1:7" x14ac:dyDescent="0.25">
      <c r="A2377">
        <v>8455</v>
      </c>
      <c r="B2377" t="str">
        <f>"natrium-dimethyldithiocarbamaat"</f>
        <v>natrium-dimethyldithiocarbamaat</v>
      </c>
      <c r="C2377" t="s">
        <v>19016</v>
      </c>
      <c r="D2377" t="str">
        <f>"128-04-1"</f>
        <v>128-04-1</v>
      </c>
      <c r="E2377" t="str">
        <f t="shared" si="112"/>
        <v xml:space="preserve">Organische parameters </v>
      </c>
      <c r="F2377" t="str">
        <f t="shared" si="115"/>
        <v xml:space="preserve">Pesticiden en metabolieten </v>
      </c>
      <c r="G2377" t="str">
        <f t="shared" si="116"/>
        <v xml:space="preserve">Pesticiden en humaan toxicologisch relevante metabolieten </v>
      </c>
    </row>
    <row r="2378" spans="1:7" x14ac:dyDescent="0.25">
      <c r="A2378">
        <v>8456</v>
      </c>
      <c r="B2378" t="str">
        <f>"neburon"</f>
        <v>neburon</v>
      </c>
      <c r="C2378" t="s">
        <v>19016</v>
      </c>
      <c r="D2378" t="str">
        <f>"555-37-3"</f>
        <v>555-37-3</v>
      </c>
      <c r="E2378" t="str">
        <f t="shared" si="112"/>
        <v xml:space="preserve">Organische parameters </v>
      </c>
      <c r="F2378" t="str">
        <f t="shared" si="115"/>
        <v xml:space="preserve">Pesticiden en metabolieten </v>
      </c>
      <c r="G2378" t="str">
        <f t="shared" si="116"/>
        <v xml:space="preserve">Pesticiden en humaan toxicologisch relevante metabolieten </v>
      </c>
    </row>
    <row r="2379" spans="1:7" x14ac:dyDescent="0.25">
      <c r="A2379">
        <v>8457</v>
      </c>
      <c r="B2379" t="str">
        <f>"nicotine"</f>
        <v>nicotine</v>
      </c>
      <c r="C2379" t="s">
        <v>19016</v>
      </c>
      <c r="D2379" t="str">
        <f>"54-11-5"</f>
        <v>54-11-5</v>
      </c>
      <c r="E2379" t="str">
        <f t="shared" si="112"/>
        <v xml:space="preserve">Organische parameters </v>
      </c>
      <c r="F2379" t="str">
        <f t="shared" si="115"/>
        <v xml:space="preserve">Pesticiden en metabolieten </v>
      </c>
      <c r="G2379" t="str">
        <f t="shared" si="116"/>
        <v xml:space="preserve">Pesticiden en humaan toxicologisch relevante metabolieten </v>
      </c>
    </row>
    <row r="2380" spans="1:7" x14ac:dyDescent="0.25">
      <c r="A2380">
        <v>8458</v>
      </c>
      <c r="B2380" t="str">
        <f>"nitralin"</f>
        <v>nitralin</v>
      </c>
      <c r="C2380" t="s">
        <v>19016</v>
      </c>
      <c r="D2380" t="str">
        <f>"4726-14-1"</f>
        <v>4726-14-1</v>
      </c>
      <c r="E2380" t="str">
        <f t="shared" si="112"/>
        <v xml:space="preserve">Organische parameters </v>
      </c>
      <c r="F2380" t="str">
        <f t="shared" si="115"/>
        <v xml:space="preserve">Pesticiden en metabolieten </v>
      </c>
      <c r="G2380" t="str">
        <f t="shared" si="116"/>
        <v xml:space="preserve">Pesticiden en humaan toxicologisch relevante metabolieten </v>
      </c>
    </row>
    <row r="2381" spans="1:7" x14ac:dyDescent="0.25">
      <c r="A2381">
        <v>8459</v>
      </c>
      <c r="B2381" t="str">
        <f>"nitrofeen"</f>
        <v>nitrofeen</v>
      </c>
      <c r="C2381" t="s">
        <v>19016</v>
      </c>
      <c r="D2381" t="str">
        <f>"1836-75-5"</f>
        <v>1836-75-5</v>
      </c>
      <c r="E2381" t="str">
        <f t="shared" si="112"/>
        <v xml:space="preserve">Organische parameters </v>
      </c>
      <c r="F2381" t="str">
        <f t="shared" si="115"/>
        <v xml:space="preserve">Pesticiden en metabolieten </v>
      </c>
      <c r="G2381" t="str">
        <f t="shared" si="116"/>
        <v xml:space="preserve">Pesticiden en humaan toxicologisch relevante metabolieten </v>
      </c>
    </row>
    <row r="2382" spans="1:7" x14ac:dyDescent="0.25">
      <c r="A2382">
        <v>8460</v>
      </c>
      <c r="B2382" t="str">
        <f>"2-nitrofenol"</f>
        <v>2-nitrofenol</v>
      </c>
      <c r="C2382" t="s">
        <v>19016</v>
      </c>
      <c r="D2382" t="str">
        <f>"88-75-5"</f>
        <v>88-75-5</v>
      </c>
      <c r="E2382" t="str">
        <f t="shared" si="112"/>
        <v xml:space="preserve">Organische parameters </v>
      </c>
      <c r="F2382" t="str">
        <f t="shared" si="115"/>
        <v xml:space="preserve">Pesticiden en metabolieten </v>
      </c>
      <c r="G2382" t="str">
        <f t="shared" si="116"/>
        <v xml:space="preserve">Pesticiden en humaan toxicologisch relevante metabolieten </v>
      </c>
    </row>
    <row r="2383" spans="1:7" x14ac:dyDescent="0.25">
      <c r="A2383">
        <v>8461</v>
      </c>
      <c r="B2383" t="str">
        <f>"4-nitrofenol"</f>
        <v>4-nitrofenol</v>
      </c>
      <c r="C2383" t="s">
        <v>19016</v>
      </c>
      <c r="D2383" t="str">
        <f>"100-02-7"</f>
        <v>100-02-7</v>
      </c>
      <c r="E2383" t="str">
        <f t="shared" si="112"/>
        <v xml:space="preserve">Organische parameters </v>
      </c>
      <c r="F2383" t="str">
        <f t="shared" si="115"/>
        <v xml:space="preserve">Pesticiden en metabolieten </v>
      </c>
      <c r="G2383" t="str">
        <f t="shared" si="116"/>
        <v xml:space="preserve">Pesticiden en humaan toxicologisch relevante metabolieten </v>
      </c>
    </row>
    <row r="2384" spans="1:7" x14ac:dyDescent="0.25">
      <c r="A2384">
        <v>8462</v>
      </c>
      <c r="B2384" t="str">
        <f>"nitrothal-isopropyl"</f>
        <v>nitrothal-isopropyl</v>
      </c>
      <c r="C2384" t="s">
        <v>19016</v>
      </c>
      <c r="D2384" t="str">
        <f>"10552-74-6"</f>
        <v>10552-74-6</v>
      </c>
      <c r="E2384" t="str">
        <f t="shared" si="112"/>
        <v xml:space="preserve">Organische parameters </v>
      </c>
      <c r="F2384" t="str">
        <f t="shared" si="115"/>
        <v xml:space="preserve">Pesticiden en metabolieten </v>
      </c>
      <c r="G2384" t="str">
        <f t="shared" si="116"/>
        <v xml:space="preserve">Pesticiden en humaan toxicologisch relevante metabolieten </v>
      </c>
    </row>
    <row r="2385" spans="1:7" x14ac:dyDescent="0.25">
      <c r="A2385">
        <v>8463</v>
      </c>
      <c r="B2385" t="str">
        <f>"NIX"</f>
        <v>NIX</v>
      </c>
      <c r="C2385" t="s">
        <v>19016</v>
      </c>
      <c r="D2385" t="str">
        <f>""</f>
        <v/>
      </c>
      <c r="E2385" t="str">
        <f t="shared" si="112"/>
        <v xml:space="preserve">Organische parameters </v>
      </c>
      <c r="F2385" t="str">
        <f t="shared" si="115"/>
        <v xml:space="preserve">Pesticiden en metabolieten </v>
      </c>
      <c r="G2385" t="str">
        <f t="shared" si="116"/>
        <v xml:space="preserve">Pesticiden en humaan toxicologisch relevante metabolieten </v>
      </c>
    </row>
    <row r="2386" spans="1:7" x14ac:dyDescent="0.25">
      <c r="A2386">
        <v>8464</v>
      </c>
      <c r="B2386" t="str">
        <f>"nonylfenolpolyglyco-ether"</f>
        <v>nonylfenolpolyglyco-ether</v>
      </c>
      <c r="C2386" t="s">
        <v>19016</v>
      </c>
      <c r="D2386" t="str">
        <f>""</f>
        <v/>
      </c>
      <c r="E2386" t="str">
        <f t="shared" si="112"/>
        <v xml:space="preserve">Organische parameters </v>
      </c>
      <c r="F2386" t="str">
        <f t="shared" si="115"/>
        <v xml:space="preserve">Pesticiden en metabolieten </v>
      </c>
      <c r="G2386" t="str">
        <f t="shared" ref="G2386:G2417" si="117">"Pesticiden en humaan toxicologisch relevante metabolieten "</f>
        <v xml:space="preserve">Pesticiden en humaan toxicologisch relevante metabolieten </v>
      </c>
    </row>
    <row r="2387" spans="1:7" x14ac:dyDescent="0.25">
      <c r="A2387">
        <v>8465</v>
      </c>
      <c r="B2387" t="str">
        <f>"norflurazon"</f>
        <v>norflurazon</v>
      </c>
      <c r="C2387" t="s">
        <v>19016</v>
      </c>
      <c r="D2387" t="str">
        <f>"27314-13-2"</f>
        <v>27314-13-2</v>
      </c>
      <c r="E2387" t="str">
        <f t="shared" si="112"/>
        <v xml:space="preserve">Organische parameters </v>
      </c>
      <c r="F2387" t="str">
        <f t="shared" si="115"/>
        <v xml:space="preserve">Pesticiden en metabolieten </v>
      </c>
      <c r="G2387" t="str">
        <f t="shared" si="117"/>
        <v xml:space="preserve">Pesticiden en humaan toxicologisch relevante metabolieten </v>
      </c>
    </row>
    <row r="2388" spans="1:7" x14ac:dyDescent="0.25">
      <c r="A2388">
        <v>8466</v>
      </c>
      <c r="B2388" t="str">
        <f>"nuarimol"</f>
        <v>nuarimol</v>
      </c>
      <c r="C2388" t="s">
        <v>19016</v>
      </c>
      <c r="D2388" t="str">
        <f>"63284-71-9"</f>
        <v>63284-71-9</v>
      </c>
      <c r="E2388" t="str">
        <f t="shared" si="112"/>
        <v xml:space="preserve">Organische parameters </v>
      </c>
      <c r="F2388" t="str">
        <f t="shared" si="115"/>
        <v xml:space="preserve">Pesticiden en metabolieten </v>
      </c>
      <c r="G2388" t="str">
        <f t="shared" si="117"/>
        <v xml:space="preserve">Pesticiden en humaan toxicologisch relevante metabolieten </v>
      </c>
    </row>
    <row r="2389" spans="1:7" x14ac:dyDescent="0.25">
      <c r="A2389">
        <v>8467</v>
      </c>
      <c r="B2389" t="str">
        <f>"ofurac"</f>
        <v>ofurac</v>
      </c>
      <c r="C2389" t="s">
        <v>19016</v>
      </c>
      <c r="D2389" t="str">
        <f>"58810-48-3"</f>
        <v>58810-48-3</v>
      </c>
      <c r="E2389" t="str">
        <f t="shared" si="112"/>
        <v xml:space="preserve">Organische parameters </v>
      </c>
      <c r="F2389" t="str">
        <f t="shared" si="115"/>
        <v xml:space="preserve">Pesticiden en metabolieten </v>
      </c>
      <c r="G2389" t="str">
        <f t="shared" si="117"/>
        <v xml:space="preserve">Pesticiden en humaan toxicologisch relevante metabolieten </v>
      </c>
    </row>
    <row r="2390" spans="1:7" x14ac:dyDescent="0.25">
      <c r="A2390">
        <v>8468</v>
      </c>
      <c r="B2390" t="str">
        <f>"omethoaat"</f>
        <v>omethoaat</v>
      </c>
      <c r="C2390" t="s">
        <v>19016</v>
      </c>
      <c r="D2390" t="str">
        <f>"1113-02-6"</f>
        <v>1113-02-6</v>
      </c>
      <c r="E2390" t="str">
        <f t="shared" si="112"/>
        <v xml:space="preserve">Organische parameters </v>
      </c>
      <c r="F2390" t="str">
        <f t="shared" si="115"/>
        <v xml:space="preserve">Pesticiden en metabolieten </v>
      </c>
      <c r="G2390" t="str">
        <f t="shared" si="117"/>
        <v xml:space="preserve">Pesticiden en humaan toxicologisch relevante metabolieten </v>
      </c>
    </row>
    <row r="2391" spans="1:7" x14ac:dyDescent="0.25">
      <c r="A2391">
        <v>8469</v>
      </c>
      <c r="B2391" t="str">
        <f>"orbencarb"</f>
        <v>orbencarb</v>
      </c>
      <c r="C2391" t="s">
        <v>19016</v>
      </c>
      <c r="D2391" t="str">
        <f>"34622-58-7"</f>
        <v>34622-58-7</v>
      </c>
      <c r="E2391" t="str">
        <f t="shared" si="112"/>
        <v xml:space="preserve">Organische parameters </v>
      </c>
      <c r="F2391" t="str">
        <f t="shared" si="115"/>
        <v xml:space="preserve">Pesticiden en metabolieten </v>
      </c>
      <c r="G2391" t="str">
        <f t="shared" si="117"/>
        <v xml:space="preserve">Pesticiden en humaan toxicologisch relevante metabolieten </v>
      </c>
    </row>
    <row r="2392" spans="1:7" x14ac:dyDescent="0.25">
      <c r="A2392">
        <v>8470</v>
      </c>
      <c r="B2392" t="str">
        <f>"oryzalin"</f>
        <v>oryzalin</v>
      </c>
      <c r="C2392" t="s">
        <v>19016</v>
      </c>
      <c r="D2392" t="str">
        <f>"19044-88-3"</f>
        <v>19044-88-3</v>
      </c>
      <c r="E2392" t="str">
        <f t="shared" si="112"/>
        <v xml:space="preserve">Organische parameters </v>
      </c>
      <c r="F2392" t="str">
        <f t="shared" si="115"/>
        <v xml:space="preserve">Pesticiden en metabolieten </v>
      </c>
      <c r="G2392" t="str">
        <f t="shared" si="117"/>
        <v xml:space="preserve">Pesticiden en humaan toxicologisch relevante metabolieten </v>
      </c>
    </row>
    <row r="2393" spans="1:7" x14ac:dyDescent="0.25">
      <c r="A2393">
        <v>8471</v>
      </c>
      <c r="B2393" t="str">
        <f>"oxadiazon"</f>
        <v>oxadiazon</v>
      </c>
      <c r="C2393" t="s">
        <v>19016</v>
      </c>
      <c r="D2393" t="str">
        <f>"19666-30-9"</f>
        <v>19666-30-9</v>
      </c>
      <c r="E2393" t="str">
        <f t="shared" si="112"/>
        <v xml:space="preserve">Organische parameters </v>
      </c>
      <c r="F2393" t="str">
        <f t="shared" si="115"/>
        <v xml:space="preserve">Pesticiden en metabolieten </v>
      </c>
      <c r="G2393" t="str">
        <f t="shared" si="117"/>
        <v xml:space="preserve">Pesticiden en humaan toxicologisch relevante metabolieten </v>
      </c>
    </row>
    <row r="2394" spans="1:7" x14ac:dyDescent="0.25">
      <c r="A2394">
        <v>8472</v>
      </c>
      <c r="B2394" t="str">
        <f>"oxadixyl"</f>
        <v>oxadixyl</v>
      </c>
      <c r="C2394" t="s">
        <v>19016</v>
      </c>
      <c r="D2394" t="str">
        <f>"77732-09-3"</f>
        <v>77732-09-3</v>
      </c>
      <c r="E2394" t="str">
        <f t="shared" si="112"/>
        <v xml:space="preserve">Organische parameters </v>
      </c>
      <c r="F2394" t="str">
        <f t="shared" si="115"/>
        <v xml:space="preserve">Pesticiden en metabolieten </v>
      </c>
      <c r="G2394" t="str">
        <f t="shared" si="117"/>
        <v xml:space="preserve">Pesticiden en humaan toxicologisch relevante metabolieten </v>
      </c>
    </row>
    <row r="2395" spans="1:7" x14ac:dyDescent="0.25">
      <c r="A2395">
        <v>8473</v>
      </c>
      <c r="B2395" t="str">
        <f>"oxamyl"</f>
        <v>oxamyl</v>
      </c>
      <c r="C2395" t="s">
        <v>19016</v>
      </c>
      <c r="D2395" t="str">
        <f>"23135-22-0"</f>
        <v>23135-22-0</v>
      </c>
      <c r="E2395" t="str">
        <f t="shared" si="112"/>
        <v xml:space="preserve">Organische parameters </v>
      </c>
      <c r="F2395" t="str">
        <f t="shared" si="115"/>
        <v xml:space="preserve">Pesticiden en metabolieten </v>
      </c>
      <c r="G2395" t="str">
        <f t="shared" si="117"/>
        <v xml:space="preserve">Pesticiden en humaan toxicologisch relevante metabolieten </v>
      </c>
    </row>
    <row r="2396" spans="1:7" x14ac:dyDescent="0.25">
      <c r="A2396">
        <v>8474</v>
      </c>
      <c r="B2396" t="str">
        <f>"oxycarboxine"</f>
        <v>oxycarboxine</v>
      </c>
      <c r="C2396" t="s">
        <v>19016</v>
      </c>
      <c r="D2396" t="str">
        <f>"5259-88-1"</f>
        <v>5259-88-1</v>
      </c>
      <c r="E2396" t="str">
        <f t="shared" si="112"/>
        <v xml:space="preserve">Organische parameters </v>
      </c>
      <c r="F2396" t="str">
        <f t="shared" si="115"/>
        <v xml:space="preserve">Pesticiden en metabolieten </v>
      </c>
      <c r="G2396" t="str">
        <f t="shared" si="117"/>
        <v xml:space="preserve">Pesticiden en humaan toxicologisch relevante metabolieten </v>
      </c>
    </row>
    <row r="2397" spans="1:7" x14ac:dyDescent="0.25">
      <c r="A2397">
        <v>8475</v>
      </c>
      <c r="B2397" t="str">
        <f>"oxydemeton-methyl"</f>
        <v>oxydemeton-methyl</v>
      </c>
      <c r="C2397" t="s">
        <v>19016</v>
      </c>
      <c r="D2397" t="str">
        <f>"301-12-2"</f>
        <v>301-12-2</v>
      </c>
      <c r="E2397" t="str">
        <f t="shared" si="112"/>
        <v xml:space="preserve">Organische parameters </v>
      </c>
      <c r="F2397" t="str">
        <f t="shared" si="115"/>
        <v xml:space="preserve">Pesticiden en metabolieten </v>
      </c>
      <c r="G2397" t="str">
        <f t="shared" si="117"/>
        <v xml:space="preserve">Pesticiden en humaan toxicologisch relevante metabolieten </v>
      </c>
    </row>
    <row r="2398" spans="1:7" x14ac:dyDescent="0.25">
      <c r="A2398">
        <v>8476</v>
      </c>
      <c r="B2398" t="str">
        <f>"oxyfluorfeen"</f>
        <v>oxyfluorfeen</v>
      </c>
      <c r="C2398" t="s">
        <v>19016</v>
      </c>
      <c r="D2398" t="str">
        <f>"42874-03-3"</f>
        <v>42874-03-3</v>
      </c>
      <c r="E2398" t="str">
        <f t="shared" si="112"/>
        <v xml:space="preserve">Organische parameters </v>
      </c>
      <c r="F2398" t="str">
        <f t="shared" si="115"/>
        <v xml:space="preserve">Pesticiden en metabolieten </v>
      </c>
      <c r="G2398" t="str">
        <f t="shared" si="117"/>
        <v xml:space="preserve">Pesticiden en humaan toxicologisch relevante metabolieten </v>
      </c>
    </row>
    <row r="2399" spans="1:7" x14ac:dyDescent="0.25">
      <c r="A2399">
        <v>8478</v>
      </c>
      <c r="B2399" t="str">
        <f>"paclobutrazol"</f>
        <v>paclobutrazol</v>
      </c>
      <c r="C2399" t="s">
        <v>19016</v>
      </c>
      <c r="D2399" t="str">
        <f>"76738-62-0"</f>
        <v>76738-62-0</v>
      </c>
      <c r="E2399" t="str">
        <f t="shared" ref="E2399:E2462" si="118">"Organische parameters "</f>
        <v xml:space="preserve">Organische parameters </v>
      </c>
      <c r="F2399" t="str">
        <f t="shared" si="115"/>
        <v xml:space="preserve">Pesticiden en metabolieten </v>
      </c>
      <c r="G2399" t="str">
        <f t="shared" si="117"/>
        <v xml:space="preserve">Pesticiden en humaan toxicologisch relevante metabolieten </v>
      </c>
    </row>
    <row r="2400" spans="1:7" x14ac:dyDescent="0.25">
      <c r="A2400">
        <v>8479</v>
      </c>
      <c r="B2400" t="str">
        <f>"paraoxon-ethyl"</f>
        <v>paraoxon-ethyl</v>
      </c>
      <c r="C2400" t="s">
        <v>19016</v>
      </c>
      <c r="D2400" t="str">
        <f>"311-45-5"</f>
        <v>311-45-5</v>
      </c>
      <c r="E2400" t="str">
        <f t="shared" si="118"/>
        <v xml:space="preserve">Organische parameters </v>
      </c>
      <c r="F2400" t="str">
        <f t="shared" si="115"/>
        <v xml:space="preserve">Pesticiden en metabolieten </v>
      </c>
      <c r="G2400" t="str">
        <f t="shared" si="117"/>
        <v xml:space="preserve">Pesticiden en humaan toxicologisch relevante metabolieten </v>
      </c>
    </row>
    <row r="2401" spans="1:7" x14ac:dyDescent="0.25">
      <c r="A2401">
        <v>8480</v>
      </c>
      <c r="B2401" t="str">
        <f>"paraoxon-methyl"</f>
        <v>paraoxon-methyl</v>
      </c>
      <c r="C2401" t="s">
        <v>19016</v>
      </c>
      <c r="D2401" t="str">
        <f>"950-35-6"</f>
        <v>950-35-6</v>
      </c>
      <c r="E2401" t="str">
        <f t="shared" si="118"/>
        <v xml:space="preserve">Organische parameters </v>
      </c>
      <c r="F2401" t="str">
        <f t="shared" si="115"/>
        <v xml:space="preserve">Pesticiden en metabolieten </v>
      </c>
      <c r="G2401" t="str">
        <f t="shared" si="117"/>
        <v xml:space="preserve">Pesticiden en humaan toxicologisch relevante metabolieten </v>
      </c>
    </row>
    <row r="2402" spans="1:7" x14ac:dyDescent="0.25">
      <c r="A2402">
        <v>8481</v>
      </c>
      <c r="B2402" t="str">
        <f>"paraquat"</f>
        <v>paraquat</v>
      </c>
      <c r="C2402" t="s">
        <v>19016</v>
      </c>
      <c r="D2402" t="str">
        <f>"4685-14-7"</f>
        <v>4685-14-7</v>
      </c>
      <c r="E2402" t="str">
        <f t="shared" si="118"/>
        <v xml:space="preserve">Organische parameters </v>
      </c>
      <c r="F2402" t="str">
        <f t="shared" si="115"/>
        <v xml:space="preserve">Pesticiden en metabolieten </v>
      </c>
      <c r="G2402" t="str">
        <f t="shared" si="117"/>
        <v xml:space="preserve">Pesticiden en humaan toxicologisch relevante metabolieten </v>
      </c>
    </row>
    <row r="2403" spans="1:7" x14ac:dyDescent="0.25">
      <c r="A2403">
        <v>8482</v>
      </c>
      <c r="B2403" t="str">
        <f>"parathion-ethyl"</f>
        <v>parathion-ethyl</v>
      </c>
      <c r="C2403" t="s">
        <v>19016</v>
      </c>
      <c r="D2403" t="str">
        <f>"56-38-2"</f>
        <v>56-38-2</v>
      </c>
      <c r="E2403" t="str">
        <f t="shared" si="118"/>
        <v xml:space="preserve">Organische parameters </v>
      </c>
      <c r="F2403" t="str">
        <f t="shared" si="115"/>
        <v xml:space="preserve">Pesticiden en metabolieten </v>
      </c>
      <c r="G2403" t="str">
        <f t="shared" si="117"/>
        <v xml:space="preserve">Pesticiden en humaan toxicologisch relevante metabolieten </v>
      </c>
    </row>
    <row r="2404" spans="1:7" x14ac:dyDescent="0.25">
      <c r="A2404">
        <v>8483</v>
      </c>
      <c r="B2404" t="str">
        <f>"parathion-methyl"</f>
        <v>parathion-methyl</v>
      </c>
      <c r="C2404" t="s">
        <v>19016</v>
      </c>
      <c r="D2404" t="str">
        <f>"298-00-0"</f>
        <v>298-00-0</v>
      </c>
      <c r="E2404" t="str">
        <f t="shared" si="118"/>
        <v xml:space="preserve">Organische parameters </v>
      </c>
      <c r="F2404" t="str">
        <f t="shared" si="115"/>
        <v xml:space="preserve">Pesticiden en metabolieten </v>
      </c>
      <c r="G2404" t="str">
        <f t="shared" si="117"/>
        <v xml:space="preserve">Pesticiden en humaan toxicologisch relevante metabolieten </v>
      </c>
    </row>
    <row r="2405" spans="1:7" x14ac:dyDescent="0.25">
      <c r="A2405">
        <v>8484</v>
      </c>
      <c r="B2405" t="str">
        <f>"parijs groen"</f>
        <v>parijs groen</v>
      </c>
      <c r="C2405" t="s">
        <v>19016</v>
      </c>
      <c r="D2405" t="str">
        <f>"12002-03-8"</f>
        <v>12002-03-8</v>
      </c>
      <c r="E2405" t="str">
        <f t="shared" si="118"/>
        <v xml:space="preserve">Organische parameters </v>
      </c>
      <c r="F2405" t="str">
        <f t="shared" si="115"/>
        <v xml:space="preserve">Pesticiden en metabolieten </v>
      </c>
      <c r="G2405" t="str">
        <f t="shared" si="117"/>
        <v xml:space="preserve">Pesticiden en humaan toxicologisch relevante metabolieten </v>
      </c>
    </row>
    <row r="2406" spans="1:7" x14ac:dyDescent="0.25">
      <c r="A2406">
        <v>8485</v>
      </c>
      <c r="B2406" t="str">
        <f>"pebulaat"</f>
        <v>pebulaat</v>
      </c>
      <c r="C2406" t="s">
        <v>19016</v>
      </c>
      <c r="D2406" t="str">
        <f>"1114-71-2"</f>
        <v>1114-71-2</v>
      </c>
      <c r="E2406" t="str">
        <f t="shared" si="118"/>
        <v xml:space="preserve">Organische parameters </v>
      </c>
      <c r="F2406" t="str">
        <f t="shared" si="115"/>
        <v xml:space="preserve">Pesticiden en metabolieten </v>
      </c>
      <c r="G2406" t="str">
        <f t="shared" si="117"/>
        <v xml:space="preserve">Pesticiden en humaan toxicologisch relevante metabolieten </v>
      </c>
    </row>
    <row r="2407" spans="1:7" x14ac:dyDescent="0.25">
      <c r="A2407">
        <v>8486</v>
      </c>
      <c r="B2407" t="str">
        <f>"penconazool"</f>
        <v>penconazool</v>
      </c>
      <c r="C2407" t="s">
        <v>19016</v>
      </c>
      <c r="D2407" t="str">
        <f>"66246-88-6"</f>
        <v>66246-88-6</v>
      </c>
      <c r="E2407" t="str">
        <f t="shared" si="118"/>
        <v xml:space="preserve">Organische parameters </v>
      </c>
      <c r="F2407" t="str">
        <f t="shared" si="115"/>
        <v xml:space="preserve">Pesticiden en metabolieten </v>
      </c>
      <c r="G2407" t="str">
        <f t="shared" si="117"/>
        <v xml:space="preserve">Pesticiden en humaan toxicologisch relevante metabolieten </v>
      </c>
    </row>
    <row r="2408" spans="1:7" x14ac:dyDescent="0.25">
      <c r="A2408">
        <v>8487</v>
      </c>
      <c r="B2408" t="str">
        <f>"pencycuron"</f>
        <v>pencycuron</v>
      </c>
      <c r="C2408" t="s">
        <v>19016</v>
      </c>
      <c r="D2408" t="str">
        <f>"66063-05-6"</f>
        <v>66063-05-6</v>
      </c>
      <c r="E2408" t="str">
        <f t="shared" si="118"/>
        <v xml:space="preserve">Organische parameters </v>
      </c>
      <c r="F2408" t="str">
        <f t="shared" si="115"/>
        <v xml:space="preserve">Pesticiden en metabolieten </v>
      </c>
      <c r="G2408" t="str">
        <f t="shared" si="117"/>
        <v xml:space="preserve">Pesticiden en humaan toxicologisch relevante metabolieten </v>
      </c>
    </row>
    <row r="2409" spans="1:7" x14ac:dyDescent="0.25">
      <c r="A2409">
        <v>8488</v>
      </c>
      <c r="B2409" t="str">
        <f>"pendimethalin"</f>
        <v>pendimethalin</v>
      </c>
      <c r="C2409" t="s">
        <v>19016</v>
      </c>
      <c r="D2409" t="str">
        <f>"40487-42-1"</f>
        <v>40487-42-1</v>
      </c>
      <c r="E2409" t="str">
        <f t="shared" si="118"/>
        <v xml:space="preserve">Organische parameters </v>
      </c>
      <c r="F2409" t="str">
        <f t="shared" si="115"/>
        <v xml:space="preserve">Pesticiden en metabolieten </v>
      </c>
      <c r="G2409" t="str">
        <f t="shared" si="117"/>
        <v xml:space="preserve">Pesticiden en humaan toxicologisch relevante metabolieten </v>
      </c>
    </row>
    <row r="2410" spans="1:7" x14ac:dyDescent="0.25">
      <c r="A2410">
        <v>8489</v>
      </c>
      <c r="B2410" t="str">
        <f>"pentachlooraniline"</f>
        <v>pentachlooraniline</v>
      </c>
      <c r="C2410" t="s">
        <v>19016</v>
      </c>
      <c r="D2410" t="str">
        <f>"527-20-8"</f>
        <v>527-20-8</v>
      </c>
      <c r="E2410" t="str">
        <f t="shared" si="118"/>
        <v xml:space="preserve">Organische parameters </v>
      </c>
      <c r="F2410" t="str">
        <f t="shared" si="115"/>
        <v xml:space="preserve">Pesticiden en metabolieten </v>
      </c>
      <c r="G2410" t="str">
        <f t="shared" si="117"/>
        <v xml:space="preserve">Pesticiden en humaan toxicologisch relevante metabolieten </v>
      </c>
    </row>
    <row r="2411" spans="1:7" x14ac:dyDescent="0.25">
      <c r="A2411">
        <v>8490</v>
      </c>
      <c r="B2411" t="str">
        <f>"pentachloorthioanisool"</f>
        <v>pentachloorthioanisool</v>
      </c>
      <c r="C2411" t="s">
        <v>19016</v>
      </c>
      <c r="D2411" t="str">
        <f>"1825-19-0"</f>
        <v>1825-19-0</v>
      </c>
      <c r="E2411" t="str">
        <f t="shared" si="118"/>
        <v xml:space="preserve">Organische parameters </v>
      </c>
      <c r="F2411" t="str">
        <f t="shared" si="115"/>
        <v xml:space="preserve">Pesticiden en metabolieten </v>
      </c>
      <c r="G2411" t="str">
        <f t="shared" si="117"/>
        <v xml:space="preserve">Pesticiden en humaan toxicologisch relevante metabolieten </v>
      </c>
    </row>
    <row r="2412" spans="1:7" x14ac:dyDescent="0.25">
      <c r="A2412">
        <v>8491</v>
      </c>
      <c r="B2412" t="str">
        <f>"pentachloorfenol"</f>
        <v>pentachloorfenol</v>
      </c>
      <c r="C2412" t="s">
        <v>19016</v>
      </c>
      <c r="D2412" t="str">
        <f>"87-86-5"</f>
        <v>87-86-5</v>
      </c>
      <c r="E2412" t="str">
        <f t="shared" si="118"/>
        <v xml:space="preserve">Organische parameters </v>
      </c>
      <c r="F2412" t="str">
        <f t="shared" si="115"/>
        <v xml:space="preserve">Pesticiden en metabolieten </v>
      </c>
      <c r="G2412" t="str">
        <f t="shared" si="117"/>
        <v xml:space="preserve">Pesticiden en humaan toxicologisch relevante metabolieten </v>
      </c>
    </row>
    <row r="2413" spans="1:7" x14ac:dyDescent="0.25">
      <c r="A2413">
        <v>8492</v>
      </c>
      <c r="B2413" t="str">
        <f>"permethrin"</f>
        <v>permethrin</v>
      </c>
      <c r="C2413" t="s">
        <v>19016</v>
      </c>
      <c r="D2413" t="str">
        <f>"52645-53-1"</f>
        <v>52645-53-1</v>
      </c>
      <c r="E2413" t="str">
        <f t="shared" si="118"/>
        <v xml:space="preserve">Organische parameters </v>
      </c>
      <c r="F2413" t="str">
        <f t="shared" si="115"/>
        <v xml:space="preserve">Pesticiden en metabolieten </v>
      </c>
      <c r="G2413" t="str">
        <f t="shared" si="117"/>
        <v xml:space="preserve">Pesticiden en humaan toxicologisch relevante metabolieten </v>
      </c>
    </row>
    <row r="2414" spans="1:7" x14ac:dyDescent="0.25">
      <c r="A2414">
        <v>8493</v>
      </c>
      <c r="B2414" t="str">
        <f>"perthane"</f>
        <v>perthane</v>
      </c>
      <c r="C2414" t="s">
        <v>19016</v>
      </c>
      <c r="D2414" t="str">
        <f>"72-56-0"</f>
        <v>72-56-0</v>
      </c>
      <c r="E2414" t="str">
        <f t="shared" si="118"/>
        <v xml:space="preserve">Organische parameters </v>
      </c>
      <c r="F2414" t="str">
        <f t="shared" si="115"/>
        <v xml:space="preserve">Pesticiden en metabolieten </v>
      </c>
      <c r="G2414" t="str">
        <f t="shared" si="117"/>
        <v xml:space="preserve">Pesticiden en humaan toxicologisch relevante metabolieten </v>
      </c>
    </row>
    <row r="2415" spans="1:7" x14ac:dyDescent="0.25">
      <c r="A2415">
        <v>8495</v>
      </c>
      <c r="B2415" t="str">
        <f>"fencapton"</f>
        <v>fencapton</v>
      </c>
      <c r="C2415" t="s">
        <v>19016</v>
      </c>
      <c r="D2415" t="str">
        <f>"2275-14-1"</f>
        <v>2275-14-1</v>
      </c>
      <c r="E2415" t="str">
        <f t="shared" si="118"/>
        <v xml:space="preserve">Organische parameters </v>
      </c>
      <c r="F2415" t="str">
        <f t="shared" si="115"/>
        <v xml:space="preserve">Pesticiden en metabolieten </v>
      </c>
      <c r="G2415" t="str">
        <f t="shared" si="117"/>
        <v xml:space="preserve">Pesticiden en humaan toxicologisch relevante metabolieten </v>
      </c>
    </row>
    <row r="2416" spans="1:7" x14ac:dyDescent="0.25">
      <c r="A2416">
        <v>8496</v>
      </c>
      <c r="B2416" t="str">
        <f>"picloram"</f>
        <v>picloram</v>
      </c>
      <c r="C2416" t="s">
        <v>19016</v>
      </c>
      <c r="D2416" t="str">
        <f>"1-2-1918"</f>
        <v>1-2-1918</v>
      </c>
      <c r="E2416" t="str">
        <f t="shared" si="118"/>
        <v xml:space="preserve">Organische parameters </v>
      </c>
      <c r="F2416" t="str">
        <f t="shared" si="115"/>
        <v xml:space="preserve">Pesticiden en metabolieten </v>
      </c>
      <c r="G2416" t="str">
        <f t="shared" si="117"/>
        <v xml:space="preserve">Pesticiden en humaan toxicologisch relevante metabolieten </v>
      </c>
    </row>
    <row r="2417" spans="1:7" x14ac:dyDescent="0.25">
      <c r="A2417">
        <v>8497</v>
      </c>
      <c r="B2417" t="str">
        <f>"piperonylbutoxide"</f>
        <v>piperonylbutoxide</v>
      </c>
      <c r="C2417" t="s">
        <v>19016</v>
      </c>
      <c r="D2417" t="str">
        <f>"51-03-6"</f>
        <v>51-03-6</v>
      </c>
      <c r="E2417" t="str">
        <f t="shared" si="118"/>
        <v xml:space="preserve">Organische parameters </v>
      </c>
      <c r="F2417" t="str">
        <f t="shared" si="115"/>
        <v xml:space="preserve">Pesticiden en metabolieten </v>
      </c>
      <c r="G2417" t="str">
        <f t="shared" si="117"/>
        <v xml:space="preserve">Pesticiden en humaan toxicologisch relevante metabolieten </v>
      </c>
    </row>
    <row r="2418" spans="1:7" x14ac:dyDescent="0.25">
      <c r="A2418">
        <v>8498</v>
      </c>
      <c r="B2418" t="str">
        <f>"piproctanyliumbromide"</f>
        <v>piproctanyliumbromide</v>
      </c>
      <c r="C2418" t="s">
        <v>19016</v>
      </c>
      <c r="D2418" t="str">
        <f>"56717-11-4"</f>
        <v>56717-11-4</v>
      </c>
      <c r="E2418" t="str">
        <f t="shared" si="118"/>
        <v xml:space="preserve">Organische parameters </v>
      </c>
      <c r="F2418" t="str">
        <f t="shared" ref="F2418:F2481" si="119">"Pesticiden en metabolieten "</f>
        <v xml:space="preserve">Pesticiden en metabolieten </v>
      </c>
      <c r="G2418" t="str">
        <f t="shared" ref="G2418:G2449" si="120">"Pesticiden en humaan toxicologisch relevante metabolieten "</f>
        <v xml:space="preserve">Pesticiden en humaan toxicologisch relevante metabolieten </v>
      </c>
    </row>
    <row r="2419" spans="1:7" x14ac:dyDescent="0.25">
      <c r="A2419">
        <v>8499</v>
      </c>
      <c r="B2419" t="str">
        <f>"pirimicarb"</f>
        <v>pirimicarb</v>
      </c>
      <c r="C2419" t="s">
        <v>19016</v>
      </c>
      <c r="D2419" t="str">
        <f>"23103-98-2"</f>
        <v>23103-98-2</v>
      </c>
      <c r="E2419" t="str">
        <f t="shared" si="118"/>
        <v xml:space="preserve">Organische parameters </v>
      </c>
      <c r="F2419" t="str">
        <f t="shared" si="119"/>
        <v xml:space="preserve">Pesticiden en metabolieten </v>
      </c>
      <c r="G2419" t="str">
        <f t="shared" si="120"/>
        <v xml:space="preserve">Pesticiden en humaan toxicologisch relevante metabolieten </v>
      </c>
    </row>
    <row r="2420" spans="1:7" x14ac:dyDescent="0.25">
      <c r="A2420">
        <v>8500</v>
      </c>
      <c r="B2420" t="str">
        <f>"pirimifos-ethyl"</f>
        <v>pirimifos-ethyl</v>
      </c>
      <c r="C2420" t="s">
        <v>19016</v>
      </c>
      <c r="D2420" t="str">
        <f>"23505-41-1"</f>
        <v>23505-41-1</v>
      </c>
      <c r="E2420" t="str">
        <f t="shared" si="118"/>
        <v xml:space="preserve">Organische parameters </v>
      </c>
      <c r="F2420" t="str">
        <f t="shared" si="119"/>
        <v xml:space="preserve">Pesticiden en metabolieten </v>
      </c>
      <c r="G2420" t="str">
        <f t="shared" si="120"/>
        <v xml:space="preserve">Pesticiden en humaan toxicologisch relevante metabolieten </v>
      </c>
    </row>
    <row r="2421" spans="1:7" x14ac:dyDescent="0.25">
      <c r="A2421">
        <v>8501</v>
      </c>
      <c r="B2421" t="str">
        <f>"pirimifos-methyl"</f>
        <v>pirimifos-methyl</v>
      </c>
      <c r="C2421" t="s">
        <v>19016</v>
      </c>
      <c r="D2421" t="str">
        <f>"29232-93-7"</f>
        <v>29232-93-7</v>
      </c>
      <c r="E2421" t="str">
        <f t="shared" si="118"/>
        <v xml:space="preserve">Organische parameters </v>
      </c>
      <c r="F2421" t="str">
        <f t="shared" si="119"/>
        <v xml:space="preserve">Pesticiden en metabolieten </v>
      </c>
      <c r="G2421" t="str">
        <f t="shared" si="120"/>
        <v xml:space="preserve">Pesticiden en humaan toxicologisch relevante metabolieten </v>
      </c>
    </row>
    <row r="2422" spans="1:7" x14ac:dyDescent="0.25">
      <c r="A2422">
        <v>8502</v>
      </c>
      <c r="B2422" t="str">
        <f>"plifenaat"</f>
        <v>plifenaat</v>
      </c>
      <c r="C2422" t="s">
        <v>19016</v>
      </c>
      <c r="D2422" t="str">
        <f>"21757-82-4"</f>
        <v>21757-82-4</v>
      </c>
      <c r="E2422" t="str">
        <f t="shared" si="118"/>
        <v xml:space="preserve">Organische parameters </v>
      </c>
      <c r="F2422" t="str">
        <f t="shared" si="119"/>
        <v xml:space="preserve">Pesticiden en metabolieten </v>
      </c>
      <c r="G2422" t="str">
        <f t="shared" si="120"/>
        <v xml:space="preserve">Pesticiden en humaan toxicologisch relevante metabolieten </v>
      </c>
    </row>
    <row r="2423" spans="1:7" x14ac:dyDescent="0.25">
      <c r="A2423">
        <v>8503</v>
      </c>
      <c r="B2423" t="str">
        <f>"polyboraten"</f>
        <v>polyboraten</v>
      </c>
      <c r="C2423" t="s">
        <v>19016</v>
      </c>
      <c r="D2423" t="str">
        <f>""</f>
        <v/>
      </c>
      <c r="E2423" t="str">
        <f t="shared" si="118"/>
        <v xml:space="preserve">Organische parameters </v>
      </c>
      <c r="F2423" t="str">
        <f t="shared" si="119"/>
        <v xml:space="preserve">Pesticiden en metabolieten </v>
      </c>
      <c r="G2423" t="str">
        <f t="shared" si="120"/>
        <v xml:space="preserve">Pesticiden en humaan toxicologisch relevante metabolieten </v>
      </c>
    </row>
    <row r="2424" spans="1:7" x14ac:dyDescent="0.25">
      <c r="A2424">
        <v>8504</v>
      </c>
      <c r="B2424" t="str">
        <f>"polybutenen"</f>
        <v>polybutenen</v>
      </c>
      <c r="C2424" t="s">
        <v>19016</v>
      </c>
      <c r="D2424" t="str">
        <f>"9003-29-6"</f>
        <v>9003-29-6</v>
      </c>
      <c r="E2424" t="str">
        <f t="shared" si="118"/>
        <v xml:space="preserve">Organische parameters </v>
      </c>
      <c r="F2424" t="str">
        <f t="shared" si="119"/>
        <v xml:space="preserve">Pesticiden en metabolieten </v>
      </c>
      <c r="G2424" t="str">
        <f t="shared" si="120"/>
        <v xml:space="preserve">Pesticiden en humaan toxicologisch relevante metabolieten </v>
      </c>
    </row>
    <row r="2425" spans="1:7" x14ac:dyDescent="0.25">
      <c r="A2425">
        <v>8505</v>
      </c>
      <c r="B2425" t="str">
        <f>"prochloraz"</f>
        <v>prochloraz</v>
      </c>
      <c r="C2425" t="s">
        <v>19016</v>
      </c>
      <c r="D2425" t="str">
        <f>"67747-09-5"</f>
        <v>67747-09-5</v>
      </c>
      <c r="E2425" t="str">
        <f t="shared" si="118"/>
        <v xml:space="preserve">Organische parameters </v>
      </c>
      <c r="F2425" t="str">
        <f t="shared" si="119"/>
        <v xml:space="preserve">Pesticiden en metabolieten </v>
      </c>
      <c r="G2425" t="str">
        <f t="shared" si="120"/>
        <v xml:space="preserve">Pesticiden en humaan toxicologisch relevante metabolieten </v>
      </c>
    </row>
    <row r="2426" spans="1:7" x14ac:dyDescent="0.25">
      <c r="A2426">
        <v>8506</v>
      </c>
      <c r="B2426" t="str">
        <f>"proclonol"</f>
        <v>proclonol</v>
      </c>
      <c r="C2426" t="s">
        <v>19016</v>
      </c>
      <c r="D2426" t="str">
        <f>"14088-71-2"</f>
        <v>14088-71-2</v>
      </c>
      <c r="E2426" t="str">
        <f t="shared" si="118"/>
        <v xml:space="preserve">Organische parameters </v>
      </c>
      <c r="F2426" t="str">
        <f t="shared" si="119"/>
        <v xml:space="preserve">Pesticiden en metabolieten </v>
      </c>
      <c r="G2426" t="str">
        <f t="shared" si="120"/>
        <v xml:space="preserve">Pesticiden en humaan toxicologisch relevante metabolieten </v>
      </c>
    </row>
    <row r="2427" spans="1:7" x14ac:dyDescent="0.25">
      <c r="A2427">
        <v>8507</v>
      </c>
      <c r="B2427" t="str">
        <f>"procymidon"</f>
        <v>procymidon</v>
      </c>
      <c r="C2427" t="s">
        <v>19016</v>
      </c>
      <c r="D2427" t="str">
        <f>"32809-16-8"</f>
        <v>32809-16-8</v>
      </c>
      <c r="E2427" t="str">
        <f t="shared" si="118"/>
        <v xml:space="preserve">Organische parameters </v>
      </c>
      <c r="F2427" t="str">
        <f t="shared" si="119"/>
        <v xml:space="preserve">Pesticiden en metabolieten </v>
      </c>
      <c r="G2427" t="str">
        <f t="shared" si="120"/>
        <v xml:space="preserve">Pesticiden en humaan toxicologisch relevante metabolieten </v>
      </c>
    </row>
    <row r="2428" spans="1:7" x14ac:dyDescent="0.25">
      <c r="A2428">
        <v>8508</v>
      </c>
      <c r="B2428" t="str">
        <f>"prodiamine"</f>
        <v>prodiamine</v>
      </c>
      <c r="C2428" t="s">
        <v>19016</v>
      </c>
      <c r="D2428" t="str">
        <f>"29091-21-2"</f>
        <v>29091-21-2</v>
      </c>
      <c r="E2428" t="str">
        <f t="shared" si="118"/>
        <v xml:space="preserve">Organische parameters </v>
      </c>
      <c r="F2428" t="str">
        <f t="shared" si="119"/>
        <v xml:space="preserve">Pesticiden en metabolieten </v>
      </c>
      <c r="G2428" t="str">
        <f t="shared" si="120"/>
        <v xml:space="preserve">Pesticiden en humaan toxicologisch relevante metabolieten </v>
      </c>
    </row>
    <row r="2429" spans="1:7" x14ac:dyDescent="0.25">
      <c r="A2429">
        <v>8509</v>
      </c>
      <c r="B2429" t="str">
        <f>"profam"</f>
        <v>profam</v>
      </c>
      <c r="C2429" t="s">
        <v>19016</v>
      </c>
      <c r="D2429" t="str">
        <f>"122-42-9"</f>
        <v>122-42-9</v>
      </c>
      <c r="E2429" t="str">
        <f t="shared" si="118"/>
        <v xml:space="preserve">Organische parameters </v>
      </c>
      <c r="F2429" t="str">
        <f t="shared" si="119"/>
        <v xml:space="preserve">Pesticiden en metabolieten </v>
      </c>
      <c r="G2429" t="str">
        <f t="shared" si="120"/>
        <v xml:space="preserve">Pesticiden en humaan toxicologisch relevante metabolieten </v>
      </c>
    </row>
    <row r="2430" spans="1:7" x14ac:dyDescent="0.25">
      <c r="A2430">
        <v>8510</v>
      </c>
      <c r="B2430" t="str">
        <f>"profenofos"</f>
        <v>profenofos</v>
      </c>
      <c r="C2430" t="s">
        <v>19016</v>
      </c>
      <c r="D2430" t="str">
        <f>"41198-08-7"</f>
        <v>41198-08-7</v>
      </c>
      <c r="E2430" t="str">
        <f t="shared" si="118"/>
        <v xml:space="preserve">Organische parameters </v>
      </c>
      <c r="F2430" t="str">
        <f t="shared" si="119"/>
        <v xml:space="preserve">Pesticiden en metabolieten </v>
      </c>
      <c r="G2430" t="str">
        <f t="shared" si="120"/>
        <v xml:space="preserve">Pesticiden en humaan toxicologisch relevante metabolieten </v>
      </c>
    </row>
    <row r="2431" spans="1:7" x14ac:dyDescent="0.25">
      <c r="A2431">
        <v>8511</v>
      </c>
      <c r="B2431" t="str">
        <f>"promecarb"</f>
        <v>promecarb</v>
      </c>
      <c r="C2431" t="s">
        <v>19016</v>
      </c>
      <c r="D2431" t="str">
        <f>"2631-37-0"</f>
        <v>2631-37-0</v>
      </c>
      <c r="E2431" t="str">
        <f t="shared" si="118"/>
        <v xml:space="preserve">Organische parameters </v>
      </c>
      <c r="F2431" t="str">
        <f t="shared" si="119"/>
        <v xml:space="preserve">Pesticiden en metabolieten </v>
      </c>
      <c r="G2431" t="str">
        <f t="shared" si="120"/>
        <v xml:space="preserve">Pesticiden en humaan toxicologisch relevante metabolieten </v>
      </c>
    </row>
    <row r="2432" spans="1:7" x14ac:dyDescent="0.25">
      <c r="A2432">
        <v>8512</v>
      </c>
      <c r="B2432" t="str">
        <f>"prometryn"</f>
        <v>prometryn</v>
      </c>
      <c r="C2432" t="s">
        <v>19016</v>
      </c>
      <c r="D2432" t="str">
        <f>"7287-19-6"</f>
        <v>7287-19-6</v>
      </c>
      <c r="E2432" t="str">
        <f t="shared" si="118"/>
        <v xml:space="preserve">Organische parameters </v>
      </c>
      <c r="F2432" t="str">
        <f t="shared" si="119"/>
        <v xml:space="preserve">Pesticiden en metabolieten </v>
      </c>
      <c r="G2432" t="str">
        <f t="shared" si="120"/>
        <v xml:space="preserve">Pesticiden en humaan toxicologisch relevante metabolieten </v>
      </c>
    </row>
    <row r="2433" spans="1:7" x14ac:dyDescent="0.25">
      <c r="A2433">
        <v>8513</v>
      </c>
      <c r="B2433" t="str">
        <f>"propachloor"</f>
        <v>propachloor</v>
      </c>
      <c r="C2433" t="s">
        <v>19016</v>
      </c>
      <c r="D2433" t="str">
        <f>"1918-16-7"</f>
        <v>1918-16-7</v>
      </c>
      <c r="E2433" t="str">
        <f t="shared" si="118"/>
        <v xml:space="preserve">Organische parameters </v>
      </c>
      <c r="F2433" t="str">
        <f t="shared" si="119"/>
        <v xml:space="preserve">Pesticiden en metabolieten </v>
      </c>
      <c r="G2433" t="str">
        <f t="shared" si="120"/>
        <v xml:space="preserve">Pesticiden en humaan toxicologisch relevante metabolieten </v>
      </c>
    </row>
    <row r="2434" spans="1:7" x14ac:dyDescent="0.25">
      <c r="A2434">
        <v>8514</v>
      </c>
      <c r="B2434" t="str">
        <f>"propamocarb"</f>
        <v>propamocarb</v>
      </c>
      <c r="C2434" t="s">
        <v>19016</v>
      </c>
      <c r="D2434" t="str">
        <f>"24579-73-5"</f>
        <v>24579-73-5</v>
      </c>
      <c r="E2434" t="str">
        <f t="shared" si="118"/>
        <v xml:space="preserve">Organische parameters </v>
      </c>
      <c r="F2434" t="str">
        <f t="shared" si="119"/>
        <v xml:space="preserve">Pesticiden en metabolieten </v>
      </c>
      <c r="G2434" t="str">
        <f t="shared" si="120"/>
        <v xml:space="preserve">Pesticiden en humaan toxicologisch relevante metabolieten </v>
      </c>
    </row>
    <row r="2435" spans="1:7" x14ac:dyDescent="0.25">
      <c r="A2435">
        <v>8515</v>
      </c>
      <c r="B2435" t="str">
        <f>"propanil"</f>
        <v>propanil</v>
      </c>
      <c r="C2435" t="s">
        <v>19016</v>
      </c>
      <c r="D2435" t="str">
        <f>"709-98-8"</f>
        <v>709-98-8</v>
      </c>
      <c r="E2435" t="str">
        <f t="shared" si="118"/>
        <v xml:space="preserve">Organische parameters </v>
      </c>
      <c r="F2435" t="str">
        <f t="shared" si="119"/>
        <v xml:space="preserve">Pesticiden en metabolieten </v>
      </c>
      <c r="G2435" t="str">
        <f t="shared" si="120"/>
        <v xml:space="preserve">Pesticiden en humaan toxicologisch relevante metabolieten </v>
      </c>
    </row>
    <row r="2436" spans="1:7" x14ac:dyDescent="0.25">
      <c r="A2436">
        <v>8516</v>
      </c>
      <c r="B2436" t="str">
        <f>"propargite"</f>
        <v>propargite</v>
      </c>
      <c r="C2436" t="s">
        <v>19016</v>
      </c>
      <c r="D2436" t="str">
        <f>"2312-35-8"</f>
        <v>2312-35-8</v>
      </c>
      <c r="E2436" t="str">
        <f t="shared" si="118"/>
        <v xml:space="preserve">Organische parameters </v>
      </c>
      <c r="F2436" t="str">
        <f t="shared" si="119"/>
        <v xml:space="preserve">Pesticiden en metabolieten </v>
      </c>
      <c r="G2436" t="str">
        <f t="shared" si="120"/>
        <v xml:space="preserve">Pesticiden en humaan toxicologisch relevante metabolieten </v>
      </c>
    </row>
    <row r="2437" spans="1:7" x14ac:dyDescent="0.25">
      <c r="A2437">
        <v>8517</v>
      </c>
      <c r="B2437" t="str">
        <f>"propazin"</f>
        <v>propazin</v>
      </c>
      <c r="C2437" t="s">
        <v>19016</v>
      </c>
      <c r="D2437" t="str">
        <f>"139-40-2"</f>
        <v>139-40-2</v>
      </c>
      <c r="E2437" t="str">
        <f t="shared" si="118"/>
        <v xml:space="preserve">Organische parameters </v>
      </c>
      <c r="F2437" t="str">
        <f t="shared" si="119"/>
        <v xml:space="preserve">Pesticiden en metabolieten </v>
      </c>
      <c r="G2437" t="str">
        <f t="shared" si="120"/>
        <v xml:space="preserve">Pesticiden en humaan toxicologisch relevante metabolieten </v>
      </c>
    </row>
    <row r="2438" spans="1:7" x14ac:dyDescent="0.25">
      <c r="A2438">
        <v>8518</v>
      </c>
      <c r="B2438" t="str">
        <f>"propetamfos"</f>
        <v>propetamfos</v>
      </c>
      <c r="C2438" t="s">
        <v>19016</v>
      </c>
      <c r="D2438" t="str">
        <f>"31218-83-4"</f>
        <v>31218-83-4</v>
      </c>
      <c r="E2438" t="str">
        <f t="shared" si="118"/>
        <v xml:space="preserve">Organische parameters </v>
      </c>
      <c r="F2438" t="str">
        <f t="shared" si="119"/>
        <v xml:space="preserve">Pesticiden en metabolieten </v>
      </c>
      <c r="G2438" t="str">
        <f t="shared" si="120"/>
        <v xml:space="preserve">Pesticiden en humaan toxicologisch relevante metabolieten </v>
      </c>
    </row>
    <row r="2439" spans="1:7" x14ac:dyDescent="0.25">
      <c r="A2439">
        <v>8519</v>
      </c>
      <c r="B2439" t="str">
        <f>"propiconazool"</f>
        <v>propiconazool</v>
      </c>
      <c r="C2439" t="s">
        <v>19016</v>
      </c>
      <c r="D2439" t="str">
        <f>"60207-90-1"</f>
        <v>60207-90-1</v>
      </c>
      <c r="E2439" t="str">
        <f t="shared" si="118"/>
        <v xml:space="preserve">Organische parameters </v>
      </c>
      <c r="F2439" t="str">
        <f t="shared" si="119"/>
        <v xml:space="preserve">Pesticiden en metabolieten </v>
      </c>
      <c r="G2439" t="str">
        <f t="shared" si="120"/>
        <v xml:space="preserve">Pesticiden en humaan toxicologisch relevante metabolieten </v>
      </c>
    </row>
    <row r="2440" spans="1:7" x14ac:dyDescent="0.25">
      <c r="A2440">
        <v>8520</v>
      </c>
      <c r="B2440" t="str">
        <f>"propineb"</f>
        <v>propineb</v>
      </c>
      <c r="C2440" t="s">
        <v>19016</v>
      </c>
      <c r="D2440" t="str">
        <f>"12071-83-9"</f>
        <v>12071-83-9</v>
      </c>
      <c r="E2440" t="str">
        <f t="shared" si="118"/>
        <v xml:space="preserve">Organische parameters </v>
      </c>
      <c r="F2440" t="str">
        <f t="shared" si="119"/>
        <v xml:space="preserve">Pesticiden en metabolieten </v>
      </c>
      <c r="G2440" t="str">
        <f t="shared" si="120"/>
        <v xml:space="preserve">Pesticiden en humaan toxicologisch relevante metabolieten </v>
      </c>
    </row>
    <row r="2441" spans="1:7" x14ac:dyDescent="0.25">
      <c r="A2441">
        <v>8521</v>
      </c>
      <c r="B2441" t="str">
        <f>"propoxur"</f>
        <v>propoxur</v>
      </c>
      <c r="C2441" t="s">
        <v>19016</v>
      </c>
      <c r="D2441" t="str">
        <f>"114-26-1"</f>
        <v>114-26-1</v>
      </c>
      <c r="E2441" t="str">
        <f t="shared" si="118"/>
        <v xml:space="preserve">Organische parameters </v>
      </c>
      <c r="F2441" t="str">
        <f t="shared" si="119"/>
        <v xml:space="preserve">Pesticiden en metabolieten </v>
      </c>
      <c r="G2441" t="str">
        <f t="shared" si="120"/>
        <v xml:space="preserve">Pesticiden en humaan toxicologisch relevante metabolieten </v>
      </c>
    </row>
    <row r="2442" spans="1:7" x14ac:dyDescent="0.25">
      <c r="A2442">
        <v>8522</v>
      </c>
      <c r="B2442" t="str">
        <f>"propyzamide"</f>
        <v>propyzamide</v>
      </c>
      <c r="C2442" t="s">
        <v>19016</v>
      </c>
      <c r="D2442" t="str">
        <f>"23950-58-5"</f>
        <v>23950-58-5</v>
      </c>
      <c r="E2442" t="str">
        <f t="shared" si="118"/>
        <v xml:space="preserve">Organische parameters </v>
      </c>
      <c r="F2442" t="str">
        <f t="shared" si="119"/>
        <v xml:space="preserve">Pesticiden en metabolieten </v>
      </c>
      <c r="G2442" t="str">
        <f t="shared" si="120"/>
        <v xml:space="preserve">Pesticiden en humaan toxicologisch relevante metabolieten </v>
      </c>
    </row>
    <row r="2443" spans="1:7" x14ac:dyDescent="0.25">
      <c r="A2443">
        <v>8523</v>
      </c>
      <c r="B2443" t="str">
        <f>"prothoaat"</f>
        <v>prothoaat</v>
      </c>
      <c r="C2443" t="s">
        <v>19016</v>
      </c>
      <c r="D2443" t="str">
        <f>"2275-18-5"</f>
        <v>2275-18-5</v>
      </c>
      <c r="E2443" t="str">
        <f t="shared" si="118"/>
        <v xml:space="preserve">Organische parameters </v>
      </c>
      <c r="F2443" t="str">
        <f t="shared" si="119"/>
        <v xml:space="preserve">Pesticiden en metabolieten </v>
      </c>
      <c r="G2443" t="str">
        <f t="shared" si="120"/>
        <v xml:space="preserve">Pesticiden en humaan toxicologisch relevante metabolieten </v>
      </c>
    </row>
    <row r="2444" spans="1:7" x14ac:dyDescent="0.25">
      <c r="A2444">
        <v>8524</v>
      </c>
      <c r="B2444" t="str">
        <f>"pyracarbolide"</f>
        <v>pyracarbolide</v>
      </c>
      <c r="C2444" t="s">
        <v>19016</v>
      </c>
      <c r="D2444" t="str">
        <f>"24691-76-7"</f>
        <v>24691-76-7</v>
      </c>
      <c r="E2444" t="str">
        <f t="shared" si="118"/>
        <v xml:space="preserve">Organische parameters </v>
      </c>
      <c r="F2444" t="str">
        <f t="shared" si="119"/>
        <v xml:space="preserve">Pesticiden en metabolieten </v>
      </c>
      <c r="G2444" t="str">
        <f t="shared" si="120"/>
        <v xml:space="preserve">Pesticiden en humaan toxicologisch relevante metabolieten </v>
      </c>
    </row>
    <row r="2445" spans="1:7" x14ac:dyDescent="0.25">
      <c r="A2445">
        <v>8525</v>
      </c>
      <c r="B2445" t="str">
        <f>"pyraoxon"</f>
        <v>pyraoxon</v>
      </c>
      <c r="C2445" t="s">
        <v>19016</v>
      </c>
      <c r="D2445" t="str">
        <f>""</f>
        <v/>
      </c>
      <c r="E2445" t="str">
        <f t="shared" si="118"/>
        <v xml:space="preserve">Organische parameters </v>
      </c>
      <c r="F2445" t="str">
        <f t="shared" si="119"/>
        <v xml:space="preserve">Pesticiden en metabolieten </v>
      </c>
      <c r="G2445" t="str">
        <f t="shared" si="120"/>
        <v xml:space="preserve">Pesticiden en humaan toxicologisch relevante metabolieten </v>
      </c>
    </row>
    <row r="2446" spans="1:7" x14ac:dyDescent="0.25">
      <c r="A2446">
        <v>8526</v>
      </c>
      <c r="B2446" t="str">
        <f>"pyrazofos"</f>
        <v>pyrazofos</v>
      </c>
      <c r="C2446" t="s">
        <v>19016</v>
      </c>
      <c r="D2446" t="str">
        <f>"13457-18-6"</f>
        <v>13457-18-6</v>
      </c>
      <c r="E2446" t="str">
        <f t="shared" si="118"/>
        <v xml:space="preserve">Organische parameters </v>
      </c>
      <c r="F2446" t="str">
        <f t="shared" si="119"/>
        <v xml:space="preserve">Pesticiden en metabolieten </v>
      </c>
      <c r="G2446" t="str">
        <f t="shared" si="120"/>
        <v xml:space="preserve">Pesticiden en humaan toxicologisch relevante metabolieten </v>
      </c>
    </row>
    <row r="2447" spans="1:7" x14ac:dyDescent="0.25">
      <c r="A2447">
        <v>8527</v>
      </c>
      <c r="B2447" t="str">
        <f>"pyridaat"</f>
        <v>pyridaat</v>
      </c>
      <c r="C2447" t="s">
        <v>19016</v>
      </c>
      <c r="D2447" t="str">
        <f>"55512-33-9"</f>
        <v>55512-33-9</v>
      </c>
      <c r="E2447" t="str">
        <f t="shared" si="118"/>
        <v xml:space="preserve">Organische parameters </v>
      </c>
      <c r="F2447" t="str">
        <f t="shared" si="119"/>
        <v xml:space="preserve">Pesticiden en metabolieten </v>
      </c>
      <c r="G2447" t="str">
        <f t="shared" si="120"/>
        <v xml:space="preserve">Pesticiden en humaan toxicologisch relevante metabolieten </v>
      </c>
    </row>
    <row r="2448" spans="1:7" x14ac:dyDescent="0.25">
      <c r="A2448">
        <v>8528</v>
      </c>
      <c r="B2448" t="str">
        <f>"pyridine"</f>
        <v>pyridine</v>
      </c>
      <c r="C2448" t="s">
        <v>19016</v>
      </c>
      <c r="D2448" t="str">
        <f>"110-86-1"</f>
        <v>110-86-1</v>
      </c>
      <c r="E2448" t="str">
        <f t="shared" si="118"/>
        <v xml:space="preserve">Organische parameters </v>
      </c>
      <c r="F2448" t="str">
        <f t="shared" si="119"/>
        <v xml:space="preserve">Pesticiden en metabolieten </v>
      </c>
      <c r="G2448" t="str">
        <f t="shared" si="120"/>
        <v xml:space="preserve">Pesticiden en humaan toxicologisch relevante metabolieten </v>
      </c>
    </row>
    <row r="2449" spans="1:7" x14ac:dyDescent="0.25">
      <c r="A2449">
        <v>8529</v>
      </c>
      <c r="B2449" t="str">
        <f>"pyrifenox"</f>
        <v>pyrifenox</v>
      </c>
      <c r="C2449" t="s">
        <v>19016</v>
      </c>
      <c r="D2449" t="str">
        <f>"88283-41-4"</f>
        <v>88283-41-4</v>
      </c>
      <c r="E2449" t="str">
        <f t="shared" si="118"/>
        <v xml:space="preserve">Organische parameters </v>
      </c>
      <c r="F2449" t="str">
        <f t="shared" si="119"/>
        <v xml:space="preserve">Pesticiden en metabolieten </v>
      </c>
      <c r="G2449" t="str">
        <f t="shared" si="120"/>
        <v xml:space="preserve">Pesticiden en humaan toxicologisch relevante metabolieten </v>
      </c>
    </row>
    <row r="2450" spans="1:7" x14ac:dyDescent="0.25">
      <c r="A2450">
        <v>8530</v>
      </c>
      <c r="B2450" t="str">
        <f>"pyrimidine"</f>
        <v>pyrimidine</v>
      </c>
      <c r="C2450" t="s">
        <v>19016</v>
      </c>
      <c r="D2450" t="str">
        <f>"289-95-2"</f>
        <v>289-95-2</v>
      </c>
      <c r="E2450" t="str">
        <f t="shared" si="118"/>
        <v xml:space="preserve">Organische parameters </v>
      </c>
      <c r="F2450" t="str">
        <f t="shared" si="119"/>
        <v xml:space="preserve">Pesticiden en metabolieten </v>
      </c>
      <c r="G2450" t="str">
        <f t="shared" ref="G2450:G2481" si="121">"Pesticiden en humaan toxicologisch relevante metabolieten "</f>
        <v xml:space="preserve">Pesticiden en humaan toxicologisch relevante metabolieten </v>
      </c>
    </row>
    <row r="2451" spans="1:7" x14ac:dyDescent="0.25">
      <c r="A2451">
        <v>8531</v>
      </c>
      <c r="B2451" t="str">
        <f>"chinalfos"</f>
        <v>chinalfos</v>
      </c>
      <c r="C2451" t="s">
        <v>19016</v>
      </c>
      <c r="D2451" t="str">
        <f>"13593-03-8"</f>
        <v>13593-03-8</v>
      </c>
      <c r="E2451" t="str">
        <f t="shared" si="118"/>
        <v xml:space="preserve">Organische parameters </v>
      </c>
      <c r="F2451" t="str">
        <f t="shared" si="119"/>
        <v xml:space="preserve">Pesticiden en metabolieten </v>
      </c>
      <c r="G2451" t="str">
        <f t="shared" si="121"/>
        <v xml:space="preserve">Pesticiden en humaan toxicologisch relevante metabolieten </v>
      </c>
    </row>
    <row r="2452" spans="1:7" x14ac:dyDescent="0.25">
      <c r="A2452">
        <v>8532</v>
      </c>
      <c r="B2452" t="str">
        <f>"chinonamide"</f>
        <v>chinonamide</v>
      </c>
      <c r="C2452" t="s">
        <v>19016</v>
      </c>
      <c r="D2452" t="str">
        <f>"27541-88-4"</f>
        <v>27541-88-4</v>
      </c>
      <c r="E2452" t="str">
        <f t="shared" si="118"/>
        <v xml:space="preserve">Organische parameters </v>
      </c>
      <c r="F2452" t="str">
        <f t="shared" si="119"/>
        <v xml:space="preserve">Pesticiden en metabolieten </v>
      </c>
      <c r="G2452" t="str">
        <f t="shared" si="121"/>
        <v xml:space="preserve">Pesticiden en humaan toxicologisch relevante metabolieten </v>
      </c>
    </row>
    <row r="2453" spans="1:7" x14ac:dyDescent="0.25">
      <c r="A2453">
        <v>8533</v>
      </c>
      <c r="B2453" t="str">
        <f>"quintoceen"</f>
        <v>quintoceen</v>
      </c>
      <c r="C2453" t="s">
        <v>19016</v>
      </c>
      <c r="D2453" t="str">
        <f>"82-68-8"</f>
        <v>82-68-8</v>
      </c>
      <c r="E2453" t="str">
        <f t="shared" si="118"/>
        <v xml:space="preserve">Organische parameters </v>
      </c>
      <c r="F2453" t="str">
        <f t="shared" si="119"/>
        <v xml:space="preserve">Pesticiden en metabolieten </v>
      </c>
      <c r="G2453" t="str">
        <f t="shared" si="121"/>
        <v xml:space="preserve">Pesticiden en humaan toxicologisch relevante metabolieten </v>
      </c>
    </row>
    <row r="2454" spans="1:7" x14ac:dyDescent="0.25">
      <c r="A2454">
        <v>8534</v>
      </c>
      <c r="B2454" t="str">
        <f>"quizalofop-ethyl"</f>
        <v>quizalofop-ethyl</v>
      </c>
      <c r="C2454" t="s">
        <v>19016</v>
      </c>
      <c r="D2454" t="str">
        <f>"76578-14-8"</f>
        <v>76578-14-8</v>
      </c>
      <c r="E2454" t="str">
        <f t="shared" si="118"/>
        <v xml:space="preserve">Organische parameters </v>
      </c>
      <c r="F2454" t="str">
        <f t="shared" si="119"/>
        <v xml:space="preserve">Pesticiden en metabolieten </v>
      </c>
      <c r="G2454" t="str">
        <f t="shared" si="121"/>
        <v xml:space="preserve">Pesticiden en humaan toxicologisch relevante metabolieten </v>
      </c>
    </row>
    <row r="2455" spans="1:7" x14ac:dyDescent="0.25">
      <c r="A2455">
        <v>8535</v>
      </c>
      <c r="B2455" t="str">
        <f>"resmethrin"</f>
        <v>resmethrin</v>
      </c>
      <c r="C2455" t="s">
        <v>19016</v>
      </c>
      <c r="D2455" t="str">
        <f>"10453-86-8"</f>
        <v>10453-86-8</v>
      </c>
      <c r="E2455" t="str">
        <f t="shared" si="118"/>
        <v xml:space="preserve">Organische parameters </v>
      </c>
      <c r="F2455" t="str">
        <f t="shared" si="119"/>
        <v xml:space="preserve">Pesticiden en metabolieten </v>
      </c>
      <c r="G2455" t="str">
        <f t="shared" si="121"/>
        <v xml:space="preserve">Pesticiden en humaan toxicologisch relevante metabolieten </v>
      </c>
    </row>
    <row r="2456" spans="1:7" x14ac:dyDescent="0.25">
      <c r="A2456">
        <v>8536</v>
      </c>
      <c r="B2456" t="str">
        <f>"rotenon"</f>
        <v>rotenon</v>
      </c>
      <c r="C2456" t="s">
        <v>19016</v>
      </c>
      <c r="D2456" t="str">
        <f>"83-79-4"</f>
        <v>83-79-4</v>
      </c>
      <c r="E2456" t="str">
        <f t="shared" si="118"/>
        <v xml:space="preserve">Organische parameters </v>
      </c>
      <c r="F2456" t="str">
        <f t="shared" si="119"/>
        <v xml:space="preserve">Pesticiden en metabolieten </v>
      </c>
      <c r="G2456" t="str">
        <f t="shared" si="121"/>
        <v xml:space="preserve">Pesticiden en humaan toxicologisch relevante metabolieten </v>
      </c>
    </row>
    <row r="2457" spans="1:7" x14ac:dyDescent="0.25">
      <c r="A2457">
        <v>8538</v>
      </c>
      <c r="B2457" t="str">
        <f>"S 421"</f>
        <v>S 421</v>
      </c>
      <c r="C2457" t="s">
        <v>19016</v>
      </c>
      <c r="D2457" t="str">
        <f>"127-90-2"</f>
        <v>127-90-2</v>
      </c>
      <c r="E2457" t="str">
        <f t="shared" si="118"/>
        <v xml:space="preserve">Organische parameters </v>
      </c>
      <c r="F2457" t="str">
        <f t="shared" si="119"/>
        <v xml:space="preserve">Pesticiden en metabolieten </v>
      </c>
      <c r="G2457" t="str">
        <f t="shared" si="121"/>
        <v xml:space="preserve">Pesticiden en humaan toxicologisch relevante metabolieten </v>
      </c>
    </row>
    <row r="2458" spans="1:7" x14ac:dyDescent="0.25">
      <c r="A2458">
        <v>8539</v>
      </c>
      <c r="B2458" t="str">
        <f>"salicylanilide"</f>
        <v>salicylanilide</v>
      </c>
      <c r="C2458" t="s">
        <v>19016</v>
      </c>
      <c r="D2458" t="str">
        <f>"87-17-2"</f>
        <v>87-17-2</v>
      </c>
      <c r="E2458" t="str">
        <f t="shared" si="118"/>
        <v xml:space="preserve">Organische parameters </v>
      </c>
      <c r="F2458" t="str">
        <f t="shared" si="119"/>
        <v xml:space="preserve">Pesticiden en metabolieten </v>
      </c>
      <c r="G2458" t="str">
        <f t="shared" si="121"/>
        <v xml:space="preserve">Pesticiden en humaan toxicologisch relevante metabolieten </v>
      </c>
    </row>
    <row r="2459" spans="1:7" x14ac:dyDescent="0.25">
      <c r="A2459">
        <v>8540</v>
      </c>
      <c r="B2459" t="str">
        <f>"schradan"</f>
        <v>schradan</v>
      </c>
      <c r="C2459" t="s">
        <v>19016</v>
      </c>
      <c r="D2459" t="str">
        <f>"152-16-9"</f>
        <v>152-16-9</v>
      </c>
      <c r="E2459" t="str">
        <f t="shared" si="118"/>
        <v xml:space="preserve">Organische parameters </v>
      </c>
      <c r="F2459" t="str">
        <f t="shared" si="119"/>
        <v xml:space="preserve">Pesticiden en metabolieten </v>
      </c>
      <c r="G2459" t="str">
        <f t="shared" si="121"/>
        <v xml:space="preserve">Pesticiden en humaan toxicologisch relevante metabolieten </v>
      </c>
    </row>
    <row r="2460" spans="1:7" x14ac:dyDescent="0.25">
      <c r="A2460">
        <v>8541</v>
      </c>
      <c r="B2460" t="str">
        <f>"scilla maritima"</f>
        <v>scilla maritima</v>
      </c>
      <c r="C2460" t="s">
        <v>19016</v>
      </c>
      <c r="D2460" t="str">
        <f>""</f>
        <v/>
      </c>
      <c r="E2460" t="str">
        <f t="shared" si="118"/>
        <v xml:space="preserve">Organische parameters </v>
      </c>
      <c r="F2460" t="str">
        <f t="shared" si="119"/>
        <v xml:space="preserve">Pesticiden en metabolieten </v>
      </c>
      <c r="G2460" t="str">
        <f t="shared" si="121"/>
        <v xml:space="preserve">Pesticiden en humaan toxicologisch relevante metabolieten </v>
      </c>
    </row>
    <row r="2461" spans="1:7" x14ac:dyDescent="0.25">
      <c r="A2461">
        <v>8542</v>
      </c>
      <c r="B2461" t="str">
        <f>"scilliroside"</f>
        <v>scilliroside</v>
      </c>
      <c r="C2461" t="s">
        <v>19016</v>
      </c>
      <c r="D2461" t="str">
        <f>"507-60-8"</f>
        <v>507-60-8</v>
      </c>
      <c r="E2461" t="str">
        <f t="shared" si="118"/>
        <v xml:space="preserve">Organische parameters </v>
      </c>
      <c r="F2461" t="str">
        <f t="shared" si="119"/>
        <v xml:space="preserve">Pesticiden en metabolieten </v>
      </c>
      <c r="G2461" t="str">
        <f t="shared" si="121"/>
        <v xml:space="preserve">Pesticiden en humaan toxicologisch relevante metabolieten </v>
      </c>
    </row>
    <row r="2462" spans="1:7" x14ac:dyDescent="0.25">
      <c r="A2462">
        <v>8543</v>
      </c>
      <c r="B2462" t="str">
        <f>"secbumeton"</f>
        <v>secbumeton</v>
      </c>
      <c r="C2462" t="s">
        <v>19016</v>
      </c>
      <c r="D2462" t="str">
        <f>"26259-45-0"</f>
        <v>26259-45-0</v>
      </c>
      <c r="E2462" t="str">
        <f t="shared" si="118"/>
        <v xml:space="preserve">Organische parameters </v>
      </c>
      <c r="F2462" t="str">
        <f t="shared" si="119"/>
        <v xml:space="preserve">Pesticiden en metabolieten </v>
      </c>
      <c r="G2462" t="str">
        <f t="shared" si="121"/>
        <v xml:space="preserve">Pesticiden en humaan toxicologisch relevante metabolieten </v>
      </c>
    </row>
    <row r="2463" spans="1:7" x14ac:dyDescent="0.25">
      <c r="A2463">
        <v>8544</v>
      </c>
      <c r="B2463" t="str">
        <f>"selectieve olie"</f>
        <v>selectieve olie</v>
      </c>
      <c r="C2463" t="s">
        <v>19016</v>
      </c>
      <c r="D2463" t="str">
        <f>""</f>
        <v/>
      </c>
      <c r="E2463" t="str">
        <f t="shared" ref="E2463:E2526" si="122">"Organische parameters "</f>
        <v xml:space="preserve">Organische parameters </v>
      </c>
      <c r="F2463" t="str">
        <f t="shared" si="119"/>
        <v xml:space="preserve">Pesticiden en metabolieten </v>
      </c>
      <c r="G2463" t="str">
        <f t="shared" si="121"/>
        <v xml:space="preserve">Pesticiden en humaan toxicologisch relevante metabolieten </v>
      </c>
    </row>
    <row r="2464" spans="1:7" x14ac:dyDescent="0.25">
      <c r="A2464">
        <v>8545</v>
      </c>
      <c r="B2464" t="str">
        <f>"sethoxydim"</f>
        <v>sethoxydim</v>
      </c>
      <c r="C2464" t="s">
        <v>19016</v>
      </c>
      <c r="D2464" t="str">
        <f>"74051-80-2"</f>
        <v>74051-80-2</v>
      </c>
      <c r="E2464" t="str">
        <f t="shared" si="122"/>
        <v xml:space="preserve">Organische parameters </v>
      </c>
      <c r="F2464" t="str">
        <f t="shared" si="119"/>
        <v xml:space="preserve">Pesticiden en metabolieten </v>
      </c>
      <c r="G2464" t="str">
        <f t="shared" si="121"/>
        <v xml:space="preserve">Pesticiden en humaan toxicologisch relevante metabolieten </v>
      </c>
    </row>
    <row r="2465" spans="1:7" x14ac:dyDescent="0.25">
      <c r="A2465">
        <v>8546</v>
      </c>
      <c r="B2465" t="str">
        <f>"siduron"</f>
        <v>siduron</v>
      </c>
      <c r="C2465" t="s">
        <v>19016</v>
      </c>
      <c r="D2465" t="str">
        <f>"1982-49-6"</f>
        <v>1982-49-6</v>
      </c>
      <c r="E2465" t="str">
        <f t="shared" si="122"/>
        <v xml:space="preserve">Organische parameters </v>
      </c>
      <c r="F2465" t="str">
        <f t="shared" si="119"/>
        <v xml:space="preserve">Pesticiden en metabolieten </v>
      </c>
      <c r="G2465" t="str">
        <f t="shared" si="121"/>
        <v xml:space="preserve">Pesticiden en humaan toxicologisch relevante metabolieten </v>
      </c>
    </row>
    <row r="2466" spans="1:7" x14ac:dyDescent="0.25">
      <c r="A2466">
        <v>8547</v>
      </c>
      <c r="B2466" t="str">
        <f>"simazin"</f>
        <v>simazin</v>
      </c>
      <c r="C2466" t="s">
        <v>19016</v>
      </c>
      <c r="D2466" t="str">
        <f>"122-34-9"</f>
        <v>122-34-9</v>
      </c>
      <c r="E2466" t="str">
        <f t="shared" si="122"/>
        <v xml:space="preserve">Organische parameters </v>
      </c>
      <c r="F2466" t="str">
        <f t="shared" si="119"/>
        <v xml:space="preserve">Pesticiden en metabolieten </v>
      </c>
      <c r="G2466" t="str">
        <f t="shared" si="121"/>
        <v xml:space="preserve">Pesticiden en humaan toxicologisch relevante metabolieten </v>
      </c>
    </row>
    <row r="2467" spans="1:7" x14ac:dyDescent="0.25">
      <c r="A2467">
        <v>8548</v>
      </c>
      <c r="B2467" t="str">
        <f>"strychnine"</f>
        <v>strychnine</v>
      </c>
      <c r="C2467" t="s">
        <v>19016</v>
      </c>
      <c r="D2467" t="str">
        <f>"57-24-9"</f>
        <v>57-24-9</v>
      </c>
      <c r="E2467" t="str">
        <f t="shared" si="122"/>
        <v xml:space="preserve">Organische parameters </v>
      </c>
      <c r="F2467" t="str">
        <f t="shared" si="119"/>
        <v xml:space="preserve">Pesticiden en metabolieten </v>
      </c>
      <c r="G2467" t="str">
        <f t="shared" si="121"/>
        <v xml:space="preserve">Pesticiden en humaan toxicologisch relevante metabolieten </v>
      </c>
    </row>
    <row r="2468" spans="1:7" x14ac:dyDescent="0.25">
      <c r="A2468">
        <v>8549</v>
      </c>
      <c r="B2468" t="str">
        <f>"sublimaat"</f>
        <v>sublimaat</v>
      </c>
      <c r="C2468" t="s">
        <v>19016</v>
      </c>
      <c r="D2468" t="str">
        <f>"7487-94-7"</f>
        <v>7487-94-7</v>
      </c>
      <c r="E2468" t="str">
        <f t="shared" si="122"/>
        <v xml:space="preserve">Organische parameters </v>
      </c>
      <c r="F2468" t="str">
        <f t="shared" si="119"/>
        <v xml:space="preserve">Pesticiden en metabolieten </v>
      </c>
      <c r="G2468" t="str">
        <f t="shared" si="121"/>
        <v xml:space="preserve">Pesticiden en humaan toxicologisch relevante metabolieten </v>
      </c>
    </row>
    <row r="2469" spans="1:7" x14ac:dyDescent="0.25">
      <c r="A2469">
        <v>8550</v>
      </c>
      <c r="B2469" t="str">
        <f>"sulfotep"</f>
        <v>sulfotep</v>
      </c>
      <c r="C2469" t="s">
        <v>19016</v>
      </c>
      <c r="D2469" t="str">
        <f>"3689-24-5"</f>
        <v>3689-24-5</v>
      </c>
      <c r="E2469" t="str">
        <f t="shared" si="122"/>
        <v xml:space="preserve">Organische parameters </v>
      </c>
      <c r="F2469" t="str">
        <f t="shared" si="119"/>
        <v xml:space="preserve">Pesticiden en metabolieten </v>
      </c>
      <c r="G2469" t="str">
        <f t="shared" si="121"/>
        <v xml:space="preserve">Pesticiden en humaan toxicologisch relevante metabolieten </v>
      </c>
    </row>
    <row r="2470" spans="1:7" x14ac:dyDescent="0.25">
      <c r="A2470">
        <v>8551</v>
      </c>
      <c r="B2470" t="str">
        <f>"2,4,5-T (2,4,5-trichloorfenoxyazijnzuur)"</f>
        <v>2,4,5-T (2,4,5-trichloorfenoxyazijnzuur)</v>
      </c>
      <c r="C2470" t="s">
        <v>19016</v>
      </c>
      <c r="D2470" t="str">
        <f>"93-76-5"</f>
        <v>93-76-5</v>
      </c>
      <c r="E2470" t="str">
        <f t="shared" si="122"/>
        <v xml:space="preserve">Organische parameters </v>
      </c>
      <c r="F2470" t="str">
        <f t="shared" si="119"/>
        <v xml:space="preserve">Pesticiden en metabolieten </v>
      </c>
      <c r="G2470" t="str">
        <f t="shared" si="121"/>
        <v xml:space="preserve">Pesticiden en humaan toxicologisch relevante metabolieten </v>
      </c>
    </row>
    <row r="2471" spans="1:7" x14ac:dyDescent="0.25">
      <c r="A2471">
        <v>8552</v>
      </c>
      <c r="B2471" t="str">
        <f>"2,3,6-trichloorbenzoezuur"</f>
        <v>2,3,6-trichloorbenzoezuur</v>
      </c>
      <c r="C2471" t="s">
        <v>19016</v>
      </c>
      <c r="D2471" t="str">
        <f>"8003-94-9"</f>
        <v>8003-94-9</v>
      </c>
      <c r="E2471" t="str">
        <f t="shared" si="122"/>
        <v xml:space="preserve">Organische parameters </v>
      </c>
      <c r="F2471" t="str">
        <f t="shared" si="119"/>
        <v xml:space="preserve">Pesticiden en metabolieten </v>
      </c>
      <c r="G2471" t="str">
        <f t="shared" si="121"/>
        <v xml:space="preserve">Pesticiden en humaan toxicologisch relevante metabolieten </v>
      </c>
    </row>
    <row r="2472" spans="1:7" x14ac:dyDescent="0.25">
      <c r="A2472">
        <v>8553</v>
      </c>
      <c r="B2472" t="str">
        <f>"trichloorazijnzuur"</f>
        <v>trichloorazijnzuur</v>
      </c>
      <c r="C2472" t="s">
        <v>19016</v>
      </c>
      <c r="D2472" t="str">
        <f>"76-03-9"</f>
        <v>76-03-9</v>
      </c>
      <c r="E2472" t="str">
        <f t="shared" si="122"/>
        <v xml:space="preserve">Organische parameters </v>
      </c>
      <c r="F2472" t="str">
        <f t="shared" si="119"/>
        <v xml:space="preserve">Pesticiden en metabolieten </v>
      </c>
      <c r="G2472" t="str">
        <f t="shared" si="121"/>
        <v xml:space="preserve">Pesticiden en humaan toxicologisch relevante metabolieten </v>
      </c>
    </row>
    <row r="2473" spans="1:7" x14ac:dyDescent="0.25">
      <c r="A2473">
        <v>8554</v>
      </c>
      <c r="B2473" t="str">
        <f>"tebutam"</f>
        <v>tebutam</v>
      </c>
      <c r="C2473" t="s">
        <v>19016</v>
      </c>
      <c r="D2473" t="str">
        <f>"35256-85-0"</f>
        <v>35256-85-0</v>
      </c>
      <c r="E2473" t="str">
        <f t="shared" si="122"/>
        <v xml:space="preserve">Organische parameters </v>
      </c>
      <c r="F2473" t="str">
        <f t="shared" si="119"/>
        <v xml:space="preserve">Pesticiden en metabolieten </v>
      </c>
      <c r="G2473" t="str">
        <f t="shared" si="121"/>
        <v xml:space="preserve">Pesticiden en humaan toxicologisch relevante metabolieten </v>
      </c>
    </row>
    <row r="2474" spans="1:7" x14ac:dyDescent="0.25">
      <c r="A2474">
        <v>8555</v>
      </c>
      <c r="B2474" t="str">
        <f>"tebuthiuron"</f>
        <v>tebuthiuron</v>
      </c>
      <c r="C2474" t="s">
        <v>19016</v>
      </c>
      <c r="D2474" t="str">
        <f>"34014-18-1"</f>
        <v>34014-18-1</v>
      </c>
      <c r="E2474" t="str">
        <f t="shared" si="122"/>
        <v xml:space="preserve">Organische parameters </v>
      </c>
      <c r="F2474" t="str">
        <f t="shared" si="119"/>
        <v xml:space="preserve">Pesticiden en metabolieten </v>
      </c>
      <c r="G2474" t="str">
        <f t="shared" si="121"/>
        <v xml:space="preserve">Pesticiden en humaan toxicologisch relevante metabolieten </v>
      </c>
    </row>
    <row r="2475" spans="1:7" x14ac:dyDescent="0.25">
      <c r="A2475">
        <v>8556</v>
      </c>
      <c r="B2475" t="str">
        <f>"tecnazeen"</f>
        <v>tecnazeen</v>
      </c>
      <c r="C2475" t="s">
        <v>19016</v>
      </c>
      <c r="D2475" t="str">
        <f>"117-18-0"</f>
        <v>117-18-0</v>
      </c>
      <c r="E2475" t="str">
        <f t="shared" si="122"/>
        <v xml:space="preserve">Organische parameters </v>
      </c>
      <c r="F2475" t="str">
        <f t="shared" si="119"/>
        <v xml:space="preserve">Pesticiden en metabolieten </v>
      </c>
      <c r="G2475" t="str">
        <f t="shared" si="121"/>
        <v xml:space="preserve">Pesticiden en humaan toxicologisch relevante metabolieten </v>
      </c>
    </row>
    <row r="2476" spans="1:7" x14ac:dyDescent="0.25">
      <c r="A2476">
        <v>8557</v>
      </c>
      <c r="B2476" t="str">
        <f>"tecoram"</f>
        <v>tecoram</v>
      </c>
      <c r="C2476" t="s">
        <v>19016</v>
      </c>
      <c r="D2476" t="str">
        <f>"5836-23-7"</f>
        <v>5836-23-7</v>
      </c>
      <c r="E2476" t="str">
        <f t="shared" si="122"/>
        <v xml:space="preserve">Organische parameters </v>
      </c>
      <c r="F2476" t="str">
        <f t="shared" si="119"/>
        <v xml:space="preserve">Pesticiden en metabolieten </v>
      </c>
      <c r="G2476" t="str">
        <f t="shared" si="121"/>
        <v xml:space="preserve">Pesticiden en humaan toxicologisch relevante metabolieten </v>
      </c>
    </row>
    <row r="2477" spans="1:7" x14ac:dyDescent="0.25">
      <c r="A2477">
        <v>8558</v>
      </c>
      <c r="B2477" t="str">
        <f>"teflubenzuron"</f>
        <v>teflubenzuron</v>
      </c>
      <c r="C2477" t="s">
        <v>19016</v>
      </c>
      <c r="D2477" t="str">
        <f>"83121-18-0"</f>
        <v>83121-18-0</v>
      </c>
      <c r="E2477" t="str">
        <f t="shared" si="122"/>
        <v xml:space="preserve">Organische parameters </v>
      </c>
      <c r="F2477" t="str">
        <f t="shared" si="119"/>
        <v xml:space="preserve">Pesticiden en metabolieten </v>
      </c>
      <c r="G2477" t="str">
        <f t="shared" si="121"/>
        <v xml:space="preserve">Pesticiden en humaan toxicologisch relevante metabolieten </v>
      </c>
    </row>
    <row r="2478" spans="1:7" x14ac:dyDescent="0.25">
      <c r="A2478">
        <v>8559</v>
      </c>
      <c r="B2478" t="str">
        <f>"tefluthrine"</f>
        <v>tefluthrine</v>
      </c>
      <c r="C2478" t="s">
        <v>19016</v>
      </c>
      <c r="D2478" t="str">
        <f>"79538-32-2"</f>
        <v>79538-32-2</v>
      </c>
      <c r="E2478" t="str">
        <f t="shared" si="122"/>
        <v xml:space="preserve">Organische parameters </v>
      </c>
      <c r="F2478" t="str">
        <f t="shared" si="119"/>
        <v xml:space="preserve">Pesticiden en metabolieten </v>
      </c>
      <c r="G2478" t="str">
        <f t="shared" si="121"/>
        <v xml:space="preserve">Pesticiden en humaan toxicologisch relevante metabolieten </v>
      </c>
    </row>
    <row r="2479" spans="1:7" x14ac:dyDescent="0.25">
      <c r="A2479">
        <v>8560</v>
      </c>
      <c r="B2479" t="str">
        <f>"telodrine"</f>
        <v>telodrine</v>
      </c>
      <c r="C2479" t="s">
        <v>19016</v>
      </c>
      <c r="D2479" t="str">
        <f>"297-78-9"</f>
        <v>297-78-9</v>
      </c>
      <c r="E2479" t="str">
        <f t="shared" si="122"/>
        <v xml:space="preserve">Organische parameters </v>
      </c>
      <c r="F2479" t="str">
        <f t="shared" si="119"/>
        <v xml:space="preserve">Pesticiden en metabolieten </v>
      </c>
      <c r="G2479" t="str">
        <f t="shared" si="121"/>
        <v xml:space="preserve">Pesticiden en humaan toxicologisch relevante metabolieten </v>
      </c>
    </row>
    <row r="2480" spans="1:7" x14ac:dyDescent="0.25">
      <c r="A2480">
        <v>8561</v>
      </c>
      <c r="B2480" t="str">
        <f>"temefos"</f>
        <v>temefos</v>
      </c>
      <c r="C2480" t="s">
        <v>19016</v>
      </c>
      <c r="D2480" t="str">
        <f>"3383-96-8"</f>
        <v>3383-96-8</v>
      </c>
      <c r="E2480" t="str">
        <f t="shared" si="122"/>
        <v xml:space="preserve">Organische parameters </v>
      </c>
      <c r="F2480" t="str">
        <f t="shared" si="119"/>
        <v xml:space="preserve">Pesticiden en metabolieten </v>
      </c>
      <c r="G2480" t="str">
        <f t="shared" si="121"/>
        <v xml:space="preserve">Pesticiden en humaan toxicologisch relevante metabolieten </v>
      </c>
    </row>
    <row r="2481" spans="1:7" x14ac:dyDescent="0.25">
      <c r="A2481">
        <v>8562</v>
      </c>
      <c r="B2481" t="str">
        <f>"tetraethyl pyrofosfaat"</f>
        <v>tetraethyl pyrofosfaat</v>
      </c>
      <c r="C2481" t="s">
        <v>19016</v>
      </c>
      <c r="D2481" t="str">
        <f>"107-49-3"</f>
        <v>107-49-3</v>
      </c>
      <c r="E2481" t="str">
        <f t="shared" si="122"/>
        <v xml:space="preserve">Organische parameters </v>
      </c>
      <c r="F2481" t="str">
        <f t="shared" si="119"/>
        <v xml:space="preserve">Pesticiden en metabolieten </v>
      </c>
      <c r="G2481" t="str">
        <f t="shared" si="121"/>
        <v xml:space="preserve">Pesticiden en humaan toxicologisch relevante metabolieten </v>
      </c>
    </row>
    <row r="2482" spans="1:7" x14ac:dyDescent="0.25">
      <c r="A2482">
        <v>8563</v>
      </c>
      <c r="B2482" t="str">
        <f>"terbacil"</f>
        <v>terbacil</v>
      </c>
      <c r="C2482" t="s">
        <v>19016</v>
      </c>
      <c r="D2482" t="str">
        <f>"5902-51-2"</f>
        <v>5902-51-2</v>
      </c>
      <c r="E2482" t="str">
        <f t="shared" si="122"/>
        <v xml:space="preserve">Organische parameters </v>
      </c>
      <c r="F2482" t="str">
        <f t="shared" ref="F2482:F2545" si="123">"Pesticiden en metabolieten "</f>
        <v xml:space="preserve">Pesticiden en metabolieten </v>
      </c>
      <c r="G2482" t="str">
        <f t="shared" ref="G2482:G2513" si="124">"Pesticiden en humaan toxicologisch relevante metabolieten "</f>
        <v xml:space="preserve">Pesticiden en humaan toxicologisch relevante metabolieten </v>
      </c>
    </row>
    <row r="2483" spans="1:7" x14ac:dyDescent="0.25">
      <c r="A2483">
        <v>8564</v>
      </c>
      <c r="B2483" t="str">
        <f>"terbuconazool"</f>
        <v>terbuconazool</v>
      </c>
      <c r="C2483" t="s">
        <v>19016</v>
      </c>
      <c r="D2483" t="str">
        <f>"107534-96-3"</f>
        <v>107534-96-3</v>
      </c>
      <c r="E2483" t="str">
        <f t="shared" si="122"/>
        <v xml:space="preserve">Organische parameters </v>
      </c>
      <c r="F2483" t="str">
        <f t="shared" si="123"/>
        <v xml:space="preserve">Pesticiden en metabolieten </v>
      </c>
      <c r="G2483" t="str">
        <f t="shared" si="124"/>
        <v xml:space="preserve">Pesticiden en humaan toxicologisch relevante metabolieten </v>
      </c>
    </row>
    <row r="2484" spans="1:7" x14ac:dyDescent="0.25">
      <c r="A2484">
        <v>8565</v>
      </c>
      <c r="B2484" t="str">
        <f>"terbumeton"</f>
        <v>terbumeton</v>
      </c>
      <c r="C2484" t="s">
        <v>19016</v>
      </c>
      <c r="D2484" t="str">
        <f>"33693-04-8"</f>
        <v>33693-04-8</v>
      </c>
      <c r="E2484" t="str">
        <f t="shared" si="122"/>
        <v xml:space="preserve">Organische parameters </v>
      </c>
      <c r="F2484" t="str">
        <f t="shared" si="123"/>
        <v xml:space="preserve">Pesticiden en metabolieten </v>
      </c>
      <c r="G2484" t="str">
        <f t="shared" si="124"/>
        <v xml:space="preserve">Pesticiden en humaan toxicologisch relevante metabolieten </v>
      </c>
    </row>
    <row r="2485" spans="1:7" x14ac:dyDescent="0.25">
      <c r="A2485">
        <v>8566</v>
      </c>
      <c r="B2485" t="str">
        <f>"terbufos"</f>
        <v>terbufos</v>
      </c>
      <c r="C2485" t="s">
        <v>19016</v>
      </c>
      <c r="D2485" t="str">
        <f>"13071-79-9"</f>
        <v>13071-79-9</v>
      </c>
      <c r="E2485" t="str">
        <f t="shared" si="122"/>
        <v xml:space="preserve">Organische parameters </v>
      </c>
      <c r="F2485" t="str">
        <f t="shared" si="123"/>
        <v xml:space="preserve">Pesticiden en metabolieten </v>
      </c>
      <c r="G2485" t="str">
        <f t="shared" si="124"/>
        <v xml:space="preserve">Pesticiden en humaan toxicologisch relevante metabolieten </v>
      </c>
    </row>
    <row r="2486" spans="1:7" x14ac:dyDescent="0.25">
      <c r="A2486">
        <v>8567</v>
      </c>
      <c r="B2486" t="str">
        <f>"terbutryn"</f>
        <v>terbutryn</v>
      </c>
      <c r="C2486" t="s">
        <v>19016</v>
      </c>
      <c r="D2486" t="str">
        <f>"886-50-0"</f>
        <v>886-50-0</v>
      </c>
      <c r="E2486" t="str">
        <f t="shared" si="122"/>
        <v xml:space="preserve">Organische parameters </v>
      </c>
      <c r="F2486" t="str">
        <f t="shared" si="123"/>
        <v xml:space="preserve">Pesticiden en metabolieten </v>
      </c>
      <c r="G2486" t="str">
        <f t="shared" si="124"/>
        <v xml:space="preserve">Pesticiden en humaan toxicologisch relevante metabolieten </v>
      </c>
    </row>
    <row r="2487" spans="1:7" x14ac:dyDescent="0.25">
      <c r="A2487">
        <v>8568</v>
      </c>
      <c r="B2487" t="str">
        <f>"terbutylazine"</f>
        <v>terbutylazine</v>
      </c>
      <c r="C2487" t="s">
        <v>19016</v>
      </c>
      <c r="D2487" t="str">
        <f>"5915-41-3"</f>
        <v>5915-41-3</v>
      </c>
      <c r="E2487" t="str">
        <f t="shared" si="122"/>
        <v xml:space="preserve">Organische parameters </v>
      </c>
      <c r="F2487" t="str">
        <f t="shared" si="123"/>
        <v xml:space="preserve">Pesticiden en metabolieten </v>
      </c>
      <c r="G2487" t="str">
        <f t="shared" si="124"/>
        <v xml:space="preserve">Pesticiden en humaan toxicologisch relevante metabolieten </v>
      </c>
    </row>
    <row r="2488" spans="1:7" x14ac:dyDescent="0.25">
      <c r="A2488">
        <v>8569</v>
      </c>
      <c r="B2488" t="str">
        <f>"terramycine"</f>
        <v>terramycine</v>
      </c>
      <c r="C2488" t="s">
        <v>19016</v>
      </c>
      <c r="D2488" t="str">
        <f>"79-57-2"</f>
        <v>79-57-2</v>
      </c>
      <c r="E2488" t="str">
        <f t="shared" si="122"/>
        <v xml:space="preserve">Organische parameters </v>
      </c>
      <c r="F2488" t="str">
        <f t="shared" si="123"/>
        <v xml:space="preserve">Pesticiden en metabolieten </v>
      </c>
      <c r="G2488" t="str">
        <f t="shared" si="124"/>
        <v xml:space="preserve">Pesticiden en humaan toxicologisch relevante metabolieten </v>
      </c>
    </row>
    <row r="2489" spans="1:7" x14ac:dyDescent="0.25">
      <c r="A2489">
        <v>8570</v>
      </c>
      <c r="B2489" t="str">
        <f>"2,3,4,5-tetrachlooraniline"</f>
        <v>2,3,4,5-tetrachlooraniline</v>
      </c>
      <c r="C2489" t="s">
        <v>19016</v>
      </c>
      <c r="D2489" t="str">
        <f>"634-83-3"</f>
        <v>634-83-3</v>
      </c>
      <c r="E2489" t="str">
        <f t="shared" si="122"/>
        <v xml:space="preserve">Organische parameters </v>
      </c>
      <c r="F2489" t="str">
        <f t="shared" si="123"/>
        <v xml:space="preserve">Pesticiden en metabolieten </v>
      </c>
      <c r="G2489" t="str">
        <f t="shared" si="124"/>
        <v xml:space="preserve">Pesticiden en humaan toxicologisch relevante metabolieten </v>
      </c>
    </row>
    <row r="2490" spans="1:7" x14ac:dyDescent="0.25">
      <c r="A2490">
        <v>8571</v>
      </c>
      <c r="B2490" t="str">
        <f>"2,3,5,6-tetrachlooraniline"</f>
        <v>2,3,5,6-tetrachlooraniline</v>
      </c>
      <c r="C2490" t="s">
        <v>19016</v>
      </c>
      <c r="D2490" t="str">
        <f>"3481-20-7"</f>
        <v>3481-20-7</v>
      </c>
      <c r="E2490" t="str">
        <f t="shared" si="122"/>
        <v xml:space="preserve">Organische parameters </v>
      </c>
      <c r="F2490" t="str">
        <f t="shared" si="123"/>
        <v xml:space="preserve">Pesticiden en metabolieten </v>
      </c>
      <c r="G2490" t="str">
        <f t="shared" si="124"/>
        <v xml:space="preserve">Pesticiden en humaan toxicologisch relevante metabolieten </v>
      </c>
    </row>
    <row r="2491" spans="1:7" x14ac:dyDescent="0.25">
      <c r="A2491">
        <v>8572</v>
      </c>
      <c r="B2491" t="str">
        <f>"tetrachloorvinfos"</f>
        <v>tetrachloorvinfos</v>
      </c>
      <c r="C2491" t="s">
        <v>19016</v>
      </c>
      <c r="D2491" t="str">
        <f>"961-11-5"</f>
        <v>961-11-5</v>
      </c>
      <c r="E2491" t="str">
        <f t="shared" si="122"/>
        <v xml:space="preserve">Organische parameters </v>
      </c>
      <c r="F2491" t="str">
        <f t="shared" si="123"/>
        <v xml:space="preserve">Pesticiden en metabolieten </v>
      </c>
      <c r="G2491" t="str">
        <f t="shared" si="124"/>
        <v xml:space="preserve">Pesticiden en humaan toxicologisch relevante metabolieten </v>
      </c>
    </row>
    <row r="2492" spans="1:7" x14ac:dyDescent="0.25">
      <c r="A2492">
        <v>8573</v>
      </c>
      <c r="B2492" t="str">
        <f>"tetradifon"</f>
        <v>tetradifon</v>
      </c>
      <c r="C2492" t="s">
        <v>19016</v>
      </c>
      <c r="D2492" t="str">
        <f>"116-29-0"</f>
        <v>116-29-0</v>
      </c>
      <c r="E2492" t="str">
        <f t="shared" si="122"/>
        <v xml:space="preserve">Organische parameters </v>
      </c>
      <c r="F2492" t="str">
        <f t="shared" si="123"/>
        <v xml:space="preserve">Pesticiden en metabolieten </v>
      </c>
      <c r="G2492" t="str">
        <f t="shared" si="124"/>
        <v xml:space="preserve">Pesticiden en humaan toxicologisch relevante metabolieten </v>
      </c>
    </row>
    <row r="2493" spans="1:7" x14ac:dyDescent="0.25">
      <c r="A2493">
        <v>8574</v>
      </c>
      <c r="B2493" t="str">
        <f>"tetramethrin"</f>
        <v>tetramethrin</v>
      </c>
      <c r="C2493" t="s">
        <v>19016</v>
      </c>
      <c r="D2493" t="str">
        <f>"7696-12-0"</f>
        <v>7696-12-0</v>
      </c>
      <c r="E2493" t="str">
        <f t="shared" si="122"/>
        <v xml:space="preserve">Organische parameters </v>
      </c>
      <c r="F2493" t="str">
        <f t="shared" si="123"/>
        <v xml:space="preserve">Pesticiden en metabolieten </v>
      </c>
      <c r="G2493" t="str">
        <f t="shared" si="124"/>
        <v xml:space="preserve">Pesticiden en humaan toxicologisch relevante metabolieten </v>
      </c>
    </row>
    <row r="2494" spans="1:7" x14ac:dyDescent="0.25">
      <c r="A2494">
        <v>8575</v>
      </c>
      <c r="B2494" t="str">
        <f>"tetrasul"</f>
        <v>tetrasul</v>
      </c>
      <c r="C2494" t="s">
        <v>19016</v>
      </c>
      <c r="D2494" t="str">
        <f>"2227-13-6"</f>
        <v>2227-13-6</v>
      </c>
      <c r="E2494" t="str">
        <f t="shared" si="122"/>
        <v xml:space="preserve">Organische parameters </v>
      </c>
      <c r="F2494" t="str">
        <f t="shared" si="123"/>
        <v xml:space="preserve">Pesticiden en metabolieten </v>
      </c>
      <c r="G2494" t="str">
        <f t="shared" si="124"/>
        <v xml:space="preserve">Pesticiden en humaan toxicologisch relevante metabolieten </v>
      </c>
    </row>
    <row r="2495" spans="1:7" x14ac:dyDescent="0.25">
      <c r="A2495">
        <v>8576</v>
      </c>
      <c r="B2495" t="str">
        <f>"thiabendazol"</f>
        <v>thiabendazol</v>
      </c>
      <c r="C2495" t="s">
        <v>19016</v>
      </c>
      <c r="D2495" t="str">
        <f>"148-79-8"</f>
        <v>148-79-8</v>
      </c>
      <c r="E2495" t="str">
        <f t="shared" si="122"/>
        <v xml:space="preserve">Organische parameters </v>
      </c>
      <c r="F2495" t="str">
        <f t="shared" si="123"/>
        <v xml:space="preserve">Pesticiden en metabolieten </v>
      </c>
      <c r="G2495" t="str">
        <f t="shared" si="124"/>
        <v xml:space="preserve">Pesticiden en humaan toxicologisch relevante metabolieten </v>
      </c>
    </row>
    <row r="2496" spans="1:7" x14ac:dyDescent="0.25">
      <c r="A2496">
        <v>8577</v>
      </c>
      <c r="B2496" t="str">
        <f>"thiameturon"</f>
        <v>thiameturon</v>
      </c>
      <c r="C2496" t="s">
        <v>19016</v>
      </c>
      <c r="D2496" t="str">
        <f>"79277-67-1"</f>
        <v>79277-67-1</v>
      </c>
      <c r="E2496" t="str">
        <f t="shared" si="122"/>
        <v xml:space="preserve">Organische parameters </v>
      </c>
      <c r="F2496" t="str">
        <f t="shared" si="123"/>
        <v xml:space="preserve">Pesticiden en metabolieten </v>
      </c>
      <c r="G2496" t="str">
        <f t="shared" si="124"/>
        <v xml:space="preserve">Pesticiden en humaan toxicologisch relevante metabolieten </v>
      </c>
    </row>
    <row r="2497" spans="1:7" x14ac:dyDescent="0.25">
      <c r="A2497">
        <v>8578</v>
      </c>
      <c r="B2497" t="str">
        <f>"thiameturon-methyl"</f>
        <v>thiameturon-methyl</v>
      </c>
      <c r="C2497" t="s">
        <v>19016</v>
      </c>
      <c r="D2497" t="str">
        <f>"79277-27-3"</f>
        <v>79277-27-3</v>
      </c>
      <c r="E2497" t="str">
        <f t="shared" si="122"/>
        <v xml:space="preserve">Organische parameters </v>
      </c>
      <c r="F2497" t="str">
        <f t="shared" si="123"/>
        <v xml:space="preserve">Pesticiden en metabolieten </v>
      </c>
      <c r="G2497" t="str">
        <f t="shared" si="124"/>
        <v xml:space="preserve">Pesticiden en humaan toxicologisch relevante metabolieten </v>
      </c>
    </row>
    <row r="2498" spans="1:7" x14ac:dyDescent="0.25">
      <c r="A2498">
        <v>8579</v>
      </c>
      <c r="B2498" t="str">
        <f>"thiazafluron"</f>
        <v>thiazafluron</v>
      </c>
      <c r="C2498" t="s">
        <v>19016</v>
      </c>
      <c r="D2498" t="str">
        <f>"25366-23-8"</f>
        <v>25366-23-8</v>
      </c>
      <c r="E2498" t="str">
        <f t="shared" si="122"/>
        <v xml:space="preserve">Organische parameters </v>
      </c>
      <c r="F2498" t="str">
        <f t="shared" si="123"/>
        <v xml:space="preserve">Pesticiden en metabolieten </v>
      </c>
      <c r="G2498" t="str">
        <f t="shared" si="124"/>
        <v xml:space="preserve">Pesticiden en humaan toxicologisch relevante metabolieten </v>
      </c>
    </row>
    <row r="2499" spans="1:7" x14ac:dyDescent="0.25">
      <c r="A2499">
        <v>8580</v>
      </c>
      <c r="B2499" t="str">
        <f>"thiochinox"</f>
        <v>thiochinox</v>
      </c>
      <c r="C2499" t="s">
        <v>19016</v>
      </c>
      <c r="D2499" t="str">
        <f>"93-75-4"</f>
        <v>93-75-4</v>
      </c>
      <c r="E2499" t="str">
        <f t="shared" si="122"/>
        <v xml:space="preserve">Organische parameters </v>
      </c>
      <c r="F2499" t="str">
        <f t="shared" si="123"/>
        <v xml:space="preserve">Pesticiden en metabolieten </v>
      </c>
      <c r="G2499" t="str">
        <f t="shared" si="124"/>
        <v xml:space="preserve">Pesticiden en humaan toxicologisch relevante metabolieten </v>
      </c>
    </row>
    <row r="2500" spans="1:7" x14ac:dyDescent="0.25">
      <c r="A2500">
        <v>8581</v>
      </c>
      <c r="B2500" t="str">
        <f>"thiocyanomethylthiobenzothiazol"</f>
        <v>thiocyanomethylthiobenzothiazol</v>
      </c>
      <c r="C2500" t="s">
        <v>19016</v>
      </c>
      <c r="D2500" t="str">
        <f>"21564-17-0"</f>
        <v>21564-17-0</v>
      </c>
      <c r="E2500" t="str">
        <f t="shared" si="122"/>
        <v xml:space="preserve">Organische parameters </v>
      </c>
      <c r="F2500" t="str">
        <f t="shared" si="123"/>
        <v xml:space="preserve">Pesticiden en metabolieten </v>
      </c>
      <c r="G2500" t="str">
        <f t="shared" si="124"/>
        <v xml:space="preserve">Pesticiden en humaan toxicologisch relevante metabolieten </v>
      </c>
    </row>
    <row r="2501" spans="1:7" x14ac:dyDescent="0.25">
      <c r="A2501">
        <v>8582</v>
      </c>
      <c r="B2501" t="str">
        <f>"thiocyclam hydrogeenoxalaat"</f>
        <v>thiocyclam hydrogeenoxalaat</v>
      </c>
      <c r="C2501" t="s">
        <v>19016</v>
      </c>
      <c r="D2501" t="str">
        <f>"31895-22-4"</f>
        <v>31895-22-4</v>
      </c>
      <c r="E2501" t="str">
        <f t="shared" si="122"/>
        <v xml:space="preserve">Organische parameters </v>
      </c>
      <c r="F2501" t="str">
        <f t="shared" si="123"/>
        <v xml:space="preserve">Pesticiden en metabolieten </v>
      </c>
      <c r="G2501" t="str">
        <f t="shared" si="124"/>
        <v xml:space="preserve">Pesticiden en humaan toxicologisch relevante metabolieten </v>
      </c>
    </row>
    <row r="2502" spans="1:7" x14ac:dyDescent="0.25">
      <c r="A2502">
        <v>8583</v>
      </c>
      <c r="B2502" t="str">
        <f>"thiodicarb"</f>
        <v>thiodicarb</v>
      </c>
      <c r="C2502" t="s">
        <v>19016</v>
      </c>
      <c r="D2502" t="str">
        <f>"59669-26-0"</f>
        <v>59669-26-0</v>
      </c>
      <c r="E2502" t="str">
        <f t="shared" si="122"/>
        <v xml:space="preserve">Organische parameters </v>
      </c>
      <c r="F2502" t="str">
        <f t="shared" si="123"/>
        <v xml:space="preserve">Pesticiden en metabolieten </v>
      </c>
      <c r="G2502" t="str">
        <f t="shared" si="124"/>
        <v xml:space="preserve">Pesticiden en humaan toxicologisch relevante metabolieten </v>
      </c>
    </row>
    <row r="2503" spans="1:7" x14ac:dyDescent="0.25">
      <c r="A2503">
        <v>8584</v>
      </c>
      <c r="B2503" t="str">
        <f>"thiofanaat-methyl"</f>
        <v>thiofanaat-methyl</v>
      </c>
      <c r="C2503" t="s">
        <v>19016</v>
      </c>
      <c r="D2503" t="str">
        <f>"23564-05-8"</f>
        <v>23564-05-8</v>
      </c>
      <c r="E2503" t="str">
        <f t="shared" si="122"/>
        <v xml:space="preserve">Organische parameters </v>
      </c>
      <c r="F2503" t="str">
        <f t="shared" si="123"/>
        <v xml:space="preserve">Pesticiden en metabolieten </v>
      </c>
      <c r="G2503" t="str">
        <f t="shared" si="124"/>
        <v xml:space="preserve">Pesticiden en humaan toxicologisch relevante metabolieten </v>
      </c>
    </row>
    <row r="2504" spans="1:7" x14ac:dyDescent="0.25">
      <c r="A2504">
        <v>8585</v>
      </c>
      <c r="B2504" t="str">
        <f>"thiofanox"</f>
        <v>thiofanox</v>
      </c>
      <c r="C2504" t="s">
        <v>19016</v>
      </c>
      <c r="D2504" t="str">
        <f>"39196-18-4"</f>
        <v>39196-18-4</v>
      </c>
      <c r="E2504" t="str">
        <f t="shared" si="122"/>
        <v xml:space="preserve">Organische parameters </v>
      </c>
      <c r="F2504" t="str">
        <f t="shared" si="123"/>
        <v xml:space="preserve">Pesticiden en metabolieten </v>
      </c>
      <c r="G2504" t="str">
        <f t="shared" si="124"/>
        <v xml:space="preserve">Pesticiden en humaan toxicologisch relevante metabolieten </v>
      </c>
    </row>
    <row r="2505" spans="1:7" x14ac:dyDescent="0.25">
      <c r="A2505">
        <v>8586</v>
      </c>
      <c r="B2505" t="str">
        <f>"thiometon"</f>
        <v>thiometon</v>
      </c>
      <c r="C2505" t="s">
        <v>19016</v>
      </c>
      <c r="D2505" t="str">
        <f>"640-15-3"</f>
        <v>640-15-3</v>
      </c>
      <c r="E2505" t="str">
        <f t="shared" si="122"/>
        <v xml:space="preserve">Organische parameters </v>
      </c>
      <c r="F2505" t="str">
        <f t="shared" si="123"/>
        <v xml:space="preserve">Pesticiden en metabolieten </v>
      </c>
      <c r="G2505" t="str">
        <f t="shared" si="124"/>
        <v xml:space="preserve">Pesticiden en humaan toxicologisch relevante metabolieten </v>
      </c>
    </row>
    <row r="2506" spans="1:7" x14ac:dyDescent="0.25">
      <c r="A2506">
        <v>8587</v>
      </c>
      <c r="B2506" t="str">
        <f>"thionazine"</f>
        <v>thionazine</v>
      </c>
      <c r="C2506" t="s">
        <v>19016</v>
      </c>
      <c r="D2506" t="str">
        <f>"297-97-2"</f>
        <v>297-97-2</v>
      </c>
      <c r="E2506" t="str">
        <f t="shared" si="122"/>
        <v xml:space="preserve">Organische parameters </v>
      </c>
      <c r="F2506" t="str">
        <f t="shared" si="123"/>
        <v xml:space="preserve">Pesticiden en metabolieten </v>
      </c>
      <c r="G2506" t="str">
        <f t="shared" si="124"/>
        <v xml:space="preserve">Pesticiden en humaan toxicologisch relevante metabolieten </v>
      </c>
    </row>
    <row r="2507" spans="1:7" x14ac:dyDescent="0.25">
      <c r="A2507">
        <v>8588</v>
      </c>
      <c r="B2507" t="str">
        <f>"thiram"</f>
        <v>thiram</v>
      </c>
      <c r="C2507" t="s">
        <v>19016</v>
      </c>
      <c r="D2507" t="str">
        <f>"137-26-8"</f>
        <v>137-26-8</v>
      </c>
      <c r="E2507" t="str">
        <f t="shared" si="122"/>
        <v xml:space="preserve">Organische parameters </v>
      </c>
      <c r="F2507" t="str">
        <f t="shared" si="123"/>
        <v xml:space="preserve">Pesticiden en metabolieten </v>
      </c>
      <c r="G2507" t="str">
        <f t="shared" si="124"/>
        <v xml:space="preserve">Pesticiden en humaan toxicologisch relevante metabolieten </v>
      </c>
    </row>
    <row r="2508" spans="1:7" x14ac:dyDescent="0.25">
      <c r="A2508">
        <v>8589</v>
      </c>
      <c r="B2508" t="str">
        <f>"tolclofos-ethyl"</f>
        <v>tolclofos-ethyl</v>
      </c>
      <c r="C2508" t="s">
        <v>19016</v>
      </c>
      <c r="D2508" t="str">
        <f>""</f>
        <v/>
      </c>
      <c r="E2508" t="str">
        <f t="shared" si="122"/>
        <v xml:space="preserve">Organische parameters </v>
      </c>
      <c r="F2508" t="str">
        <f t="shared" si="123"/>
        <v xml:space="preserve">Pesticiden en metabolieten </v>
      </c>
      <c r="G2508" t="str">
        <f t="shared" si="124"/>
        <v xml:space="preserve">Pesticiden en humaan toxicologisch relevante metabolieten </v>
      </c>
    </row>
    <row r="2509" spans="1:7" x14ac:dyDescent="0.25">
      <c r="A2509">
        <v>8590</v>
      </c>
      <c r="B2509" t="str">
        <f>"tolclofos-methyl"</f>
        <v>tolclofos-methyl</v>
      </c>
      <c r="C2509" t="s">
        <v>19016</v>
      </c>
      <c r="D2509" t="str">
        <f>"57018-04-9"</f>
        <v>57018-04-9</v>
      </c>
      <c r="E2509" t="str">
        <f t="shared" si="122"/>
        <v xml:space="preserve">Organische parameters </v>
      </c>
      <c r="F2509" t="str">
        <f t="shared" si="123"/>
        <v xml:space="preserve">Pesticiden en metabolieten </v>
      </c>
      <c r="G2509" t="str">
        <f t="shared" si="124"/>
        <v xml:space="preserve">Pesticiden en humaan toxicologisch relevante metabolieten </v>
      </c>
    </row>
    <row r="2510" spans="1:7" x14ac:dyDescent="0.25">
      <c r="A2510">
        <v>8591</v>
      </c>
      <c r="B2510" t="str">
        <f>"tolylfluanide"</f>
        <v>tolylfluanide</v>
      </c>
      <c r="C2510" t="s">
        <v>19016</v>
      </c>
      <c r="D2510" t="str">
        <f>"731-27-1"</f>
        <v>731-27-1</v>
      </c>
      <c r="E2510" t="str">
        <f t="shared" si="122"/>
        <v xml:space="preserve">Organische parameters </v>
      </c>
      <c r="F2510" t="str">
        <f t="shared" si="123"/>
        <v xml:space="preserve">Pesticiden en metabolieten </v>
      </c>
      <c r="G2510" t="str">
        <f t="shared" si="124"/>
        <v xml:space="preserve">Pesticiden en humaan toxicologisch relevante metabolieten </v>
      </c>
    </row>
    <row r="2511" spans="1:7" x14ac:dyDescent="0.25">
      <c r="A2511">
        <v>8592</v>
      </c>
      <c r="B2511" t="str">
        <f>"toxafeen"</f>
        <v>toxafeen</v>
      </c>
      <c r="C2511" t="s">
        <v>19016</v>
      </c>
      <c r="D2511" t="str">
        <f>"8001-35-2"</f>
        <v>8001-35-2</v>
      </c>
      <c r="E2511" t="str">
        <f t="shared" si="122"/>
        <v xml:space="preserve">Organische parameters </v>
      </c>
      <c r="F2511" t="str">
        <f t="shared" si="123"/>
        <v xml:space="preserve">Pesticiden en metabolieten </v>
      </c>
      <c r="G2511" t="str">
        <f t="shared" si="124"/>
        <v xml:space="preserve">Pesticiden en humaan toxicologisch relevante metabolieten </v>
      </c>
    </row>
    <row r="2512" spans="1:7" x14ac:dyDescent="0.25">
      <c r="A2512">
        <v>8593</v>
      </c>
      <c r="B2512" t="str">
        <f>"2,4,5-TP (2-(2,4,5-trichloorfenoxy)propionzuur)"</f>
        <v>2,4,5-TP (2-(2,4,5-trichloorfenoxy)propionzuur)</v>
      </c>
      <c r="C2512" t="s">
        <v>19016</v>
      </c>
      <c r="D2512" t="str">
        <f>"93-72-1"</f>
        <v>93-72-1</v>
      </c>
      <c r="E2512" t="str">
        <f t="shared" si="122"/>
        <v xml:space="preserve">Organische parameters </v>
      </c>
      <c r="F2512" t="str">
        <f t="shared" si="123"/>
        <v xml:space="preserve">Pesticiden en metabolieten </v>
      </c>
      <c r="G2512" t="str">
        <f t="shared" si="124"/>
        <v xml:space="preserve">Pesticiden en humaan toxicologisch relevante metabolieten </v>
      </c>
    </row>
    <row r="2513" spans="1:7" x14ac:dyDescent="0.25">
      <c r="A2513">
        <v>8594</v>
      </c>
      <c r="B2513" t="str">
        <f>"tralkoxydime"</f>
        <v>tralkoxydime</v>
      </c>
      <c r="C2513" t="s">
        <v>19016</v>
      </c>
      <c r="D2513" t="str">
        <f>"87820-88-0"</f>
        <v>87820-88-0</v>
      </c>
      <c r="E2513" t="str">
        <f t="shared" si="122"/>
        <v xml:space="preserve">Organische parameters </v>
      </c>
      <c r="F2513" t="str">
        <f t="shared" si="123"/>
        <v xml:space="preserve">Pesticiden en metabolieten </v>
      </c>
      <c r="G2513" t="str">
        <f t="shared" si="124"/>
        <v xml:space="preserve">Pesticiden en humaan toxicologisch relevante metabolieten </v>
      </c>
    </row>
    <row r="2514" spans="1:7" x14ac:dyDescent="0.25">
      <c r="A2514">
        <v>8595</v>
      </c>
      <c r="B2514" t="str">
        <f>"triadimefon"</f>
        <v>triadimefon</v>
      </c>
      <c r="C2514" t="s">
        <v>19016</v>
      </c>
      <c r="D2514" t="str">
        <f>"43121-43-3"</f>
        <v>43121-43-3</v>
      </c>
      <c r="E2514" t="str">
        <f t="shared" si="122"/>
        <v xml:space="preserve">Organische parameters </v>
      </c>
      <c r="F2514" t="str">
        <f t="shared" si="123"/>
        <v xml:space="preserve">Pesticiden en metabolieten </v>
      </c>
      <c r="G2514" t="str">
        <f t="shared" ref="G2514:G2547" si="125">"Pesticiden en humaan toxicologisch relevante metabolieten "</f>
        <v xml:space="preserve">Pesticiden en humaan toxicologisch relevante metabolieten </v>
      </c>
    </row>
    <row r="2515" spans="1:7" x14ac:dyDescent="0.25">
      <c r="A2515">
        <v>8596</v>
      </c>
      <c r="B2515" t="str">
        <f>"triadimenol"</f>
        <v>triadimenol</v>
      </c>
      <c r="C2515" t="s">
        <v>19016</v>
      </c>
      <c r="D2515" t="str">
        <f>"55219-65-3"</f>
        <v>55219-65-3</v>
      </c>
      <c r="E2515" t="str">
        <f t="shared" si="122"/>
        <v xml:space="preserve">Organische parameters </v>
      </c>
      <c r="F2515" t="str">
        <f t="shared" si="123"/>
        <v xml:space="preserve">Pesticiden en metabolieten </v>
      </c>
      <c r="G2515" t="str">
        <f t="shared" si="125"/>
        <v xml:space="preserve">Pesticiden en humaan toxicologisch relevante metabolieten </v>
      </c>
    </row>
    <row r="2516" spans="1:7" x14ac:dyDescent="0.25">
      <c r="A2516">
        <v>8597</v>
      </c>
      <c r="B2516" t="str">
        <f>"triallaat"</f>
        <v>triallaat</v>
      </c>
      <c r="C2516" t="s">
        <v>19016</v>
      </c>
      <c r="D2516" t="str">
        <f>"2303-17-5"</f>
        <v>2303-17-5</v>
      </c>
      <c r="E2516" t="str">
        <f t="shared" si="122"/>
        <v xml:space="preserve">Organische parameters </v>
      </c>
      <c r="F2516" t="str">
        <f t="shared" si="123"/>
        <v xml:space="preserve">Pesticiden en metabolieten </v>
      </c>
      <c r="G2516" t="str">
        <f t="shared" si="125"/>
        <v xml:space="preserve">Pesticiden en humaan toxicologisch relevante metabolieten </v>
      </c>
    </row>
    <row r="2517" spans="1:7" x14ac:dyDescent="0.25">
      <c r="A2517">
        <v>8598</v>
      </c>
      <c r="B2517" t="str">
        <f>"triamifos"</f>
        <v>triamifos</v>
      </c>
      <c r="C2517" t="s">
        <v>19016</v>
      </c>
      <c r="D2517" t="str">
        <f>"1031-47-6"</f>
        <v>1031-47-6</v>
      </c>
      <c r="E2517" t="str">
        <f t="shared" si="122"/>
        <v xml:space="preserve">Organische parameters </v>
      </c>
      <c r="F2517" t="str">
        <f t="shared" si="123"/>
        <v xml:space="preserve">Pesticiden en metabolieten </v>
      </c>
      <c r="G2517" t="str">
        <f t="shared" si="125"/>
        <v xml:space="preserve">Pesticiden en humaan toxicologisch relevante metabolieten </v>
      </c>
    </row>
    <row r="2518" spans="1:7" x14ac:dyDescent="0.25">
      <c r="A2518">
        <v>8599</v>
      </c>
      <c r="B2518" t="str">
        <f>"triasulforon"</f>
        <v>triasulforon</v>
      </c>
      <c r="C2518" t="s">
        <v>19016</v>
      </c>
      <c r="D2518" t="str">
        <f>""</f>
        <v/>
      </c>
      <c r="E2518" t="str">
        <f t="shared" si="122"/>
        <v xml:space="preserve">Organische parameters </v>
      </c>
      <c r="F2518" t="str">
        <f t="shared" si="123"/>
        <v xml:space="preserve">Pesticiden en metabolieten </v>
      </c>
      <c r="G2518" t="str">
        <f t="shared" si="125"/>
        <v xml:space="preserve">Pesticiden en humaan toxicologisch relevante metabolieten </v>
      </c>
    </row>
    <row r="2519" spans="1:7" x14ac:dyDescent="0.25">
      <c r="A2519">
        <v>8600</v>
      </c>
      <c r="B2519" t="str">
        <f>"triazofos"</f>
        <v>triazofos</v>
      </c>
      <c r="C2519" t="s">
        <v>19016</v>
      </c>
      <c r="D2519" t="str">
        <f>"24017-47-8"</f>
        <v>24017-47-8</v>
      </c>
      <c r="E2519" t="str">
        <f t="shared" si="122"/>
        <v xml:space="preserve">Organische parameters </v>
      </c>
      <c r="F2519" t="str">
        <f t="shared" si="123"/>
        <v xml:space="preserve">Pesticiden en metabolieten </v>
      </c>
      <c r="G2519" t="str">
        <f t="shared" si="125"/>
        <v xml:space="preserve">Pesticiden en humaan toxicologisch relevante metabolieten </v>
      </c>
    </row>
    <row r="2520" spans="1:7" x14ac:dyDescent="0.25">
      <c r="A2520">
        <v>8601</v>
      </c>
      <c r="B2520" t="str">
        <f>"trichlofenidine"</f>
        <v>trichlofenidine</v>
      </c>
      <c r="C2520" t="s">
        <v>19016</v>
      </c>
      <c r="D2520" t="str">
        <f>"53720-80-2"</f>
        <v>53720-80-2</v>
      </c>
      <c r="E2520" t="str">
        <f t="shared" si="122"/>
        <v xml:space="preserve">Organische parameters </v>
      </c>
      <c r="F2520" t="str">
        <f t="shared" si="123"/>
        <v xml:space="preserve">Pesticiden en metabolieten </v>
      </c>
      <c r="G2520" t="str">
        <f t="shared" si="125"/>
        <v xml:space="preserve">Pesticiden en humaan toxicologisch relevante metabolieten </v>
      </c>
    </row>
    <row r="2521" spans="1:7" x14ac:dyDescent="0.25">
      <c r="A2521">
        <v>8602</v>
      </c>
      <c r="B2521" t="str">
        <f>"2,4,5-trichloorfenol"</f>
        <v>2,4,5-trichloorfenol</v>
      </c>
      <c r="C2521" t="s">
        <v>19016</v>
      </c>
      <c r="D2521" t="str">
        <f>"95-95-4"</f>
        <v>95-95-4</v>
      </c>
      <c r="E2521" t="str">
        <f t="shared" si="122"/>
        <v xml:space="preserve">Organische parameters </v>
      </c>
      <c r="F2521" t="str">
        <f t="shared" si="123"/>
        <v xml:space="preserve">Pesticiden en metabolieten </v>
      </c>
      <c r="G2521" t="str">
        <f t="shared" si="125"/>
        <v xml:space="preserve">Pesticiden en humaan toxicologisch relevante metabolieten </v>
      </c>
    </row>
    <row r="2522" spans="1:7" x14ac:dyDescent="0.25">
      <c r="A2522">
        <v>8603</v>
      </c>
      <c r="B2522" t="str">
        <f>"2,4,6-trichloorfenol"</f>
        <v>2,4,6-trichloorfenol</v>
      </c>
      <c r="C2522" t="s">
        <v>19016</v>
      </c>
      <c r="D2522" t="str">
        <f>"88-06-2"</f>
        <v>88-06-2</v>
      </c>
      <c r="E2522" t="str">
        <f t="shared" si="122"/>
        <v xml:space="preserve">Organische parameters </v>
      </c>
      <c r="F2522" t="str">
        <f t="shared" si="123"/>
        <v xml:space="preserve">Pesticiden en metabolieten </v>
      </c>
      <c r="G2522" t="str">
        <f t="shared" si="125"/>
        <v xml:space="preserve">Pesticiden en humaan toxicologisch relevante metabolieten </v>
      </c>
    </row>
    <row r="2523" spans="1:7" x14ac:dyDescent="0.25">
      <c r="A2523">
        <v>8604</v>
      </c>
      <c r="B2523" t="str">
        <f>"trichloorfon"</f>
        <v>trichloorfon</v>
      </c>
      <c r="C2523" t="s">
        <v>19016</v>
      </c>
      <c r="D2523" t="str">
        <f>"52-68-6"</f>
        <v>52-68-6</v>
      </c>
      <c r="E2523" t="str">
        <f t="shared" si="122"/>
        <v xml:space="preserve">Organische parameters </v>
      </c>
      <c r="F2523" t="str">
        <f t="shared" si="123"/>
        <v xml:space="preserve">Pesticiden en metabolieten </v>
      </c>
      <c r="G2523" t="str">
        <f t="shared" si="125"/>
        <v xml:space="preserve">Pesticiden en humaan toxicologisch relevante metabolieten </v>
      </c>
    </row>
    <row r="2524" spans="1:7" x14ac:dyDescent="0.25">
      <c r="A2524">
        <v>8605</v>
      </c>
      <c r="B2524" t="str">
        <f>"trichloortrinitrobenzeen"</f>
        <v>trichloortrinitrobenzeen</v>
      </c>
      <c r="C2524" t="s">
        <v>19016</v>
      </c>
      <c r="D2524" t="str">
        <f>"28260-63-1"</f>
        <v>28260-63-1</v>
      </c>
      <c r="E2524" t="str">
        <f t="shared" si="122"/>
        <v xml:space="preserve">Organische parameters </v>
      </c>
      <c r="F2524" t="str">
        <f t="shared" si="123"/>
        <v xml:space="preserve">Pesticiden en metabolieten </v>
      </c>
      <c r="G2524" t="str">
        <f t="shared" si="125"/>
        <v xml:space="preserve">Pesticiden en humaan toxicologisch relevante metabolieten </v>
      </c>
    </row>
    <row r="2525" spans="1:7" x14ac:dyDescent="0.25">
      <c r="A2525">
        <v>8606</v>
      </c>
      <c r="B2525" t="str">
        <f>"trichloronaat"</f>
        <v>trichloronaat</v>
      </c>
      <c r="C2525" t="s">
        <v>19016</v>
      </c>
      <c r="D2525" t="str">
        <f>"327-98-0"</f>
        <v>327-98-0</v>
      </c>
      <c r="E2525" t="str">
        <f t="shared" si="122"/>
        <v xml:space="preserve">Organische parameters </v>
      </c>
      <c r="F2525" t="str">
        <f t="shared" si="123"/>
        <v xml:space="preserve">Pesticiden en metabolieten </v>
      </c>
      <c r="G2525" t="str">
        <f t="shared" si="125"/>
        <v xml:space="preserve">Pesticiden en humaan toxicologisch relevante metabolieten </v>
      </c>
    </row>
    <row r="2526" spans="1:7" x14ac:dyDescent="0.25">
      <c r="A2526">
        <v>8607</v>
      </c>
      <c r="B2526" t="str">
        <f>"triclopyr"</f>
        <v>triclopyr</v>
      </c>
      <c r="C2526" t="s">
        <v>19016</v>
      </c>
      <c r="D2526" t="str">
        <f>"55335-06-3"</f>
        <v>55335-06-3</v>
      </c>
      <c r="E2526" t="str">
        <f t="shared" si="122"/>
        <v xml:space="preserve">Organische parameters </v>
      </c>
      <c r="F2526" t="str">
        <f t="shared" si="123"/>
        <v xml:space="preserve">Pesticiden en metabolieten </v>
      </c>
      <c r="G2526" t="str">
        <f t="shared" si="125"/>
        <v xml:space="preserve">Pesticiden en humaan toxicologisch relevante metabolieten </v>
      </c>
    </row>
    <row r="2527" spans="1:7" x14ac:dyDescent="0.25">
      <c r="A2527">
        <v>8608</v>
      </c>
      <c r="B2527" t="str">
        <f>"tridemorf"</f>
        <v>tridemorf</v>
      </c>
      <c r="C2527" t="s">
        <v>19016</v>
      </c>
      <c r="D2527" t="str">
        <f>"24602-86-6"</f>
        <v>24602-86-6</v>
      </c>
      <c r="E2527" t="str">
        <f t="shared" ref="E2527:E2590" si="126">"Organische parameters "</f>
        <v xml:space="preserve">Organische parameters </v>
      </c>
      <c r="F2527" t="str">
        <f t="shared" si="123"/>
        <v xml:space="preserve">Pesticiden en metabolieten </v>
      </c>
      <c r="G2527" t="str">
        <f t="shared" si="125"/>
        <v xml:space="preserve">Pesticiden en humaan toxicologisch relevante metabolieten </v>
      </c>
    </row>
    <row r="2528" spans="1:7" x14ac:dyDescent="0.25">
      <c r="A2528">
        <v>8609</v>
      </c>
      <c r="B2528" t="str">
        <f>"trietazin"</f>
        <v>trietazin</v>
      </c>
      <c r="C2528" t="s">
        <v>19016</v>
      </c>
      <c r="D2528" t="str">
        <f>"1912-26-1"</f>
        <v>1912-26-1</v>
      </c>
      <c r="E2528" t="str">
        <f t="shared" si="126"/>
        <v xml:space="preserve">Organische parameters </v>
      </c>
      <c r="F2528" t="str">
        <f t="shared" si="123"/>
        <v xml:space="preserve">Pesticiden en metabolieten </v>
      </c>
      <c r="G2528" t="str">
        <f t="shared" si="125"/>
        <v xml:space="preserve">Pesticiden en humaan toxicologisch relevante metabolieten </v>
      </c>
    </row>
    <row r="2529" spans="1:7" x14ac:dyDescent="0.25">
      <c r="A2529">
        <v>8610</v>
      </c>
      <c r="B2529" t="str">
        <f>"trifenmorf"</f>
        <v>trifenmorf</v>
      </c>
      <c r="C2529" t="s">
        <v>19016</v>
      </c>
      <c r="D2529" t="str">
        <f>"1420-06-0"</f>
        <v>1420-06-0</v>
      </c>
      <c r="E2529" t="str">
        <f t="shared" si="126"/>
        <v xml:space="preserve">Organische parameters </v>
      </c>
      <c r="F2529" t="str">
        <f t="shared" si="123"/>
        <v xml:space="preserve">Pesticiden en metabolieten </v>
      </c>
      <c r="G2529" t="str">
        <f t="shared" si="125"/>
        <v xml:space="preserve">Pesticiden en humaan toxicologisch relevante metabolieten </v>
      </c>
    </row>
    <row r="2530" spans="1:7" x14ac:dyDescent="0.25">
      <c r="A2530">
        <v>8612</v>
      </c>
      <c r="B2530" t="str">
        <f>"trifluralin"</f>
        <v>trifluralin</v>
      </c>
      <c r="C2530" t="s">
        <v>19016</v>
      </c>
      <c r="D2530" t="str">
        <f>"1582-09-8"</f>
        <v>1582-09-8</v>
      </c>
      <c r="E2530" t="str">
        <f t="shared" si="126"/>
        <v xml:space="preserve">Organische parameters </v>
      </c>
      <c r="F2530" t="str">
        <f t="shared" si="123"/>
        <v xml:space="preserve">Pesticiden en metabolieten </v>
      </c>
      <c r="G2530" t="str">
        <f t="shared" si="125"/>
        <v xml:space="preserve">Pesticiden en humaan toxicologisch relevante metabolieten </v>
      </c>
    </row>
    <row r="2531" spans="1:7" x14ac:dyDescent="0.25">
      <c r="A2531">
        <v>8613</v>
      </c>
      <c r="B2531" t="str">
        <f>"triforine"</f>
        <v>triforine</v>
      </c>
      <c r="C2531" t="s">
        <v>19016</v>
      </c>
      <c r="D2531" t="str">
        <f>"26644-46-2"</f>
        <v>26644-46-2</v>
      </c>
      <c r="E2531" t="str">
        <f t="shared" si="126"/>
        <v xml:space="preserve">Organische parameters </v>
      </c>
      <c r="F2531" t="str">
        <f t="shared" si="123"/>
        <v xml:space="preserve">Pesticiden en metabolieten </v>
      </c>
      <c r="G2531" t="str">
        <f t="shared" si="125"/>
        <v xml:space="preserve">Pesticiden en humaan toxicologisch relevante metabolieten </v>
      </c>
    </row>
    <row r="2532" spans="1:7" x14ac:dyDescent="0.25">
      <c r="A2532">
        <v>8615</v>
      </c>
      <c r="B2532" t="str">
        <f>"urbazide"</f>
        <v>urbazide</v>
      </c>
      <c r="C2532" t="s">
        <v>19016</v>
      </c>
      <c r="D2532" t="str">
        <f>"2445-07-0"</f>
        <v>2445-07-0</v>
      </c>
      <c r="E2532" t="str">
        <f t="shared" si="126"/>
        <v xml:space="preserve">Organische parameters </v>
      </c>
      <c r="F2532" t="str">
        <f t="shared" si="123"/>
        <v xml:space="preserve">Pesticiden en metabolieten </v>
      </c>
      <c r="G2532" t="str">
        <f t="shared" si="125"/>
        <v xml:space="preserve">Pesticiden en humaan toxicologisch relevante metabolieten </v>
      </c>
    </row>
    <row r="2533" spans="1:7" x14ac:dyDescent="0.25">
      <c r="A2533">
        <v>8616</v>
      </c>
      <c r="B2533" t="str">
        <f>"validamycine"</f>
        <v>validamycine</v>
      </c>
      <c r="C2533" t="s">
        <v>19016</v>
      </c>
      <c r="D2533" t="str">
        <f>"37248-47-8"</f>
        <v>37248-47-8</v>
      </c>
      <c r="E2533" t="str">
        <f t="shared" si="126"/>
        <v xml:space="preserve">Organische parameters </v>
      </c>
      <c r="F2533" t="str">
        <f t="shared" si="123"/>
        <v xml:space="preserve">Pesticiden en metabolieten </v>
      </c>
      <c r="G2533" t="str">
        <f t="shared" si="125"/>
        <v xml:space="preserve">Pesticiden en humaan toxicologisch relevante metabolieten </v>
      </c>
    </row>
    <row r="2534" spans="1:7" x14ac:dyDescent="0.25">
      <c r="A2534">
        <v>8617</v>
      </c>
      <c r="B2534" t="str">
        <f>"vamidothion"</f>
        <v>vamidothion</v>
      </c>
      <c r="C2534" t="s">
        <v>19016</v>
      </c>
      <c r="D2534" t="str">
        <f>"2275-23-2"</f>
        <v>2275-23-2</v>
      </c>
      <c r="E2534" t="str">
        <f t="shared" si="126"/>
        <v xml:space="preserve">Organische parameters </v>
      </c>
      <c r="F2534" t="str">
        <f t="shared" si="123"/>
        <v xml:space="preserve">Pesticiden en metabolieten </v>
      </c>
      <c r="G2534" t="str">
        <f t="shared" si="125"/>
        <v xml:space="preserve">Pesticiden en humaan toxicologisch relevante metabolieten </v>
      </c>
    </row>
    <row r="2535" spans="1:7" x14ac:dyDescent="0.25">
      <c r="A2535">
        <v>8618</v>
      </c>
      <c r="B2535" t="str">
        <f>"vernolaat"</f>
        <v>vernolaat</v>
      </c>
      <c r="C2535" t="s">
        <v>19016</v>
      </c>
      <c r="D2535" t="str">
        <f>"1929-77-7"</f>
        <v>1929-77-7</v>
      </c>
      <c r="E2535" t="str">
        <f t="shared" si="126"/>
        <v xml:space="preserve">Organische parameters </v>
      </c>
      <c r="F2535" t="str">
        <f t="shared" si="123"/>
        <v xml:space="preserve">Pesticiden en metabolieten </v>
      </c>
      <c r="G2535" t="str">
        <f t="shared" si="125"/>
        <v xml:space="preserve">Pesticiden en humaan toxicologisch relevante metabolieten </v>
      </c>
    </row>
    <row r="2536" spans="1:7" x14ac:dyDescent="0.25">
      <c r="A2536">
        <v>8619</v>
      </c>
      <c r="B2536" t="str">
        <f>"vinchlozolin"</f>
        <v>vinchlozolin</v>
      </c>
      <c r="C2536" t="s">
        <v>19016</v>
      </c>
      <c r="D2536" t="str">
        <f>"50471-44-8"</f>
        <v>50471-44-8</v>
      </c>
      <c r="E2536" t="str">
        <f t="shared" si="126"/>
        <v xml:space="preserve">Organische parameters </v>
      </c>
      <c r="F2536" t="str">
        <f t="shared" si="123"/>
        <v xml:space="preserve">Pesticiden en metabolieten </v>
      </c>
      <c r="G2536" t="str">
        <f t="shared" si="125"/>
        <v xml:space="preserve">Pesticiden en humaan toxicologisch relevante metabolieten </v>
      </c>
    </row>
    <row r="2537" spans="1:7" x14ac:dyDescent="0.25">
      <c r="A2537">
        <v>8620</v>
      </c>
      <c r="B2537" t="str">
        <f>"warfarin"</f>
        <v>warfarin</v>
      </c>
      <c r="C2537" t="s">
        <v>19016</v>
      </c>
      <c r="D2537" t="str">
        <f>"81-81-2"</f>
        <v>81-81-2</v>
      </c>
      <c r="E2537" t="str">
        <f t="shared" si="126"/>
        <v xml:space="preserve">Organische parameters </v>
      </c>
      <c r="F2537" t="str">
        <f t="shared" si="123"/>
        <v xml:space="preserve">Pesticiden en metabolieten </v>
      </c>
      <c r="G2537" t="str">
        <f t="shared" si="125"/>
        <v xml:space="preserve">Pesticiden en humaan toxicologisch relevante metabolieten </v>
      </c>
    </row>
    <row r="2538" spans="1:7" x14ac:dyDescent="0.25">
      <c r="A2538">
        <v>8621</v>
      </c>
      <c r="B2538" t="str">
        <f>"zineb"</f>
        <v>zineb</v>
      </c>
      <c r="C2538" t="s">
        <v>19016</v>
      </c>
      <c r="D2538" t="str">
        <f>"12122-67-7"</f>
        <v>12122-67-7</v>
      </c>
      <c r="E2538" t="str">
        <f t="shared" si="126"/>
        <v xml:space="preserve">Organische parameters </v>
      </c>
      <c r="F2538" t="str">
        <f t="shared" si="123"/>
        <v xml:space="preserve">Pesticiden en metabolieten </v>
      </c>
      <c r="G2538" t="str">
        <f t="shared" si="125"/>
        <v xml:space="preserve">Pesticiden en humaan toxicologisch relevante metabolieten </v>
      </c>
    </row>
    <row r="2539" spans="1:7" x14ac:dyDescent="0.25">
      <c r="A2539">
        <v>8622</v>
      </c>
      <c r="B2539" t="str">
        <f>"zinkfosfide"</f>
        <v>zinkfosfide</v>
      </c>
      <c r="C2539" t="s">
        <v>19016</v>
      </c>
      <c r="D2539" t="str">
        <f>"1314-84-7"</f>
        <v>1314-84-7</v>
      </c>
      <c r="E2539" t="str">
        <f t="shared" si="126"/>
        <v xml:space="preserve">Organische parameters </v>
      </c>
      <c r="F2539" t="str">
        <f t="shared" si="123"/>
        <v xml:space="preserve">Pesticiden en metabolieten </v>
      </c>
      <c r="G2539" t="str">
        <f t="shared" si="125"/>
        <v xml:space="preserve">Pesticiden en humaan toxicologisch relevante metabolieten </v>
      </c>
    </row>
    <row r="2540" spans="1:7" x14ac:dyDescent="0.25">
      <c r="A2540">
        <v>8623</v>
      </c>
      <c r="B2540" t="str">
        <f>"ziram"</f>
        <v>ziram</v>
      </c>
      <c r="C2540" t="s">
        <v>19016</v>
      </c>
      <c r="D2540" t="str">
        <f>"137-30-4"</f>
        <v>137-30-4</v>
      </c>
      <c r="E2540" t="str">
        <f t="shared" si="126"/>
        <v xml:space="preserve">Organische parameters </v>
      </c>
      <c r="F2540" t="str">
        <f t="shared" si="123"/>
        <v xml:space="preserve">Pesticiden en metabolieten </v>
      </c>
      <c r="G2540" t="str">
        <f t="shared" si="125"/>
        <v xml:space="preserve">Pesticiden en humaan toxicologisch relevante metabolieten </v>
      </c>
    </row>
    <row r="2541" spans="1:7" x14ac:dyDescent="0.25">
      <c r="A2541">
        <v>8624</v>
      </c>
      <c r="B2541" t="str">
        <f>"zwavel"</f>
        <v>zwavel</v>
      </c>
      <c r="C2541" t="s">
        <v>19016</v>
      </c>
      <c r="D2541" t="str">
        <f>"7704-34-9"</f>
        <v>7704-34-9</v>
      </c>
      <c r="E2541" t="str">
        <f t="shared" si="126"/>
        <v xml:space="preserve">Organische parameters </v>
      </c>
      <c r="F2541" t="str">
        <f t="shared" si="123"/>
        <v xml:space="preserve">Pesticiden en metabolieten </v>
      </c>
      <c r="G2541" t="str">
        <f t="shared" si="125"/>
        <v xml:space="preserve">Pesticiden en humaan toxicologisch relevante metabolieten </v>
      </c>
    </row>
    <row r="2542" spans="1:7" x14ac:dyDescent="0.25">
      <c r="A2542">
        <v>8625</v>
      </c>
      <c r="B2542" t="str">
        <f>"zwavelkoolstof"</f>
        <v>zwavelkoolstof</v>
      </c>
      <c r="C2542" t="s">
        <v>19016</v>
      </c>
      <c r="D2542" t="str">
        <f>"75-15-0"</f>
        <v>75-15-0</v>
      </c>
      <c r="E2542" t="str">
        <f t="shared" si="126"/>
        <v xml:space="preserve">Organische parameters </v>
      </c>
      <c r="F2542" t="str">
        <f t="shared" si="123"/>
        <v xml:space="preserve">Pesticiden en metabolieten </v>
      </c>
      <c r="G2542" t="str">
        <f t="shared" si="125"/>
        <v xml:space="preserve">Pesticiden en humaan toxicologisch relevante metabolieten </v>
      </c>
    </row>
    <row r="2543" spans="1:7" x14ac:dyDescent="0.25">
      <c r="A2543">
        <v>8626</v>
      </c>
      <c r="B2543" t="str">
        <f>"chloorprofam"</f>
        <v>chloorprofam</v>
      </c>
      <c r="C2543" t="s">
        <v>19016</v>
      </c>
      <c r="D2543" t="str">
        <f>"101-21-3"</f>
        <v>101-21-3</v>
      </c>
      <c r="E2543" t="str">
        <f t="shared" si="126"/>
        <v xml:space="preserve">Organische parameters </v>
      </c>
      <c r="F2543" t="str">
        <f t="shared" si="123"/>
        <v xml:space="preserve">Pesticiden en metabolieten </v>
      </c>
      <c r="G2543" t="str">
        <f t="shared" si="125"/>
        <v xml:space="preserve">Pesticiden en humaan toxicologisch relevante metabolieten </v>
      </c>
    </row>
    <row r="2544" spans="1:7" x14ac:dyDescent="0.25">
      <c r="A2544">
        <v>8628</v>
      </c>
      <c r="B2544" t="str">
        <f>"dichloorfenoxyethylpropionaat"</f>
        <v>dichloorfenoxyethylpropionaat</v>
      </c>
      <c r="C2544" t="s">
        <v>19016</v>
      </c>
      <c r="D2544" t="str">
        <f>""</f>
        <v/>
      </c>
      <c r="E2544" t="str">
        <f t="shared" si="126"/>
        <v xml:space="preserve">Organische parameters </v>
      </c>
      <c r="F2544" t="str">
        <f t="shared" si="123"/>
        <v xml:space="preserve">Pesticiden en metabolieten </v>
      </c>
      <c r="G2544" t="str">
        <f t="shared" si="125"/>
        <v xml:space="preserve">Pesticiden en humaan toxicologisch relevante metabolieten </v>
      </c>
    </row>
    <row r="2545" spans="1:7" x14ac:dyDescent="0.25">
      <c r="A2545">
        <v>8629</v>
      </c>
      <c r="B2545" t="str">
        <f>"delta-HCH (delta-hexachloorcyclohexaan)"</f>
        <v>delta-HCH (delta-hexachloorcyclohexaan)</v>
      </c>
      <c r="C2545" t="s">
        <v>19016</v>
      </c>
      <c r="D2545" t="str">
        <f>"319-86-8"</f>
        <v>319-86-8</v>
      </c>
      <c r="E2545" t="str">
        <f t="shared" si="126"/>
        <v xml:space="preserve">Organische parameters </v>
      </c>
      <c r="F2545" t="str">
        <f t="shared" si="123"/>
        <v xml:space="preserve">Pesticiden en metabolieten </v>
      </c>
      <c r="G2545" t="str">
        <f t="shared" si="125"/>
        <v xml:space="preserve">Pesticiden en humaan toxicologisch relevante metabolieten </v>
      </c>
    </row>
    <row r="2546" spans="1:7" x14ac:dyDescent="0.25">
      <c r="A2546">
        <v>8630</v>
      </c>
      <c r="B2546" t="str">
        <f>"cis-heptachloorepoxide"</f>
        <v>cis-heptachloorepoxide</v>
      </c>
      <c r="C2546" t="s">
        <v>19016</v>
      </c>
      <c r="D2546" t="str">
        <f>"1024-57-3"</f>
        <v>1024-57-3</v>
      </c>
      <c r="E2546" t="str">
        <f t="shared" si="126"/>
        <v xml:space="preserve">Organische parameters </v>
      </c>
      <c r="F2546" t="str">
        <f t="shared" ref="F2546:F2609" si="127">"Pesticiden en metabolieten "</f>
        <v xml:space="preserve">Pesticiden en metabolieten </v>
      </c>
      <c r="G2546" t="str">
        <f t="shared" si="125"/>
        <v xml:space="preserve">Pesticiden en humaan toxicologisch relevante metabolieten </v>
      </c>
    </row>
    <row r="2547" spans="1:7" x14ac:dyDescent="0.25">
      <c r="A2547">
        <v>8631</v>
      </c>
      <c r="B2547" t="str">
        <f>"trans-heptachloorepoxide"</f>
        <v>trans-heptachloorepoxide</v>
      </c>
      <c r="C2547" t="s">
        <v>19016</v>
      </c>
      <c r="D2547" t="str">
        <f>"28044-83-9"</f>
        <v>28044-83-9</v>
      </c>
      <c r="E2547" t="str">
        <f t="shared" si="126"/>
        <v xml:space="preserve">Organische parameters </v>
      </c>
      <c r="F2547" t="str">
        <f t="shared" si="127"/>
        <v xml:space="preserve">Pesticiden en metabolieten </v>
      </c>
      <c r="G2547" t="str">
        <f t="shared" si="125"/>
        <v xml:space="preserve">Pesticiden en humaan toxicologisch relevante metabolieten </v>
      </c>
    </row>
    <row r="2548" spans="1:7" x14ac:dyDescent="0.25">
      <c r="A2548">
        <v>8632</v>
      </c>
      <c r="B2548" t="str">
        <f>"aminomethylfosfonzuur"</f>
        <v>aminomethylfosfonzuur</v>
      </c>
      <c r="C2548" t="s">
        <v>19016</v>
      </c>
      <c r="D2548" t="str">
        <f>"1066-51-9"</f>
        <v>1066-51-9</v>
      </c>
      <c r="E2548" t="str">
        <f t="shared" si="126"/>
        <v xml:space="preserve">Organische parameters </v>
      </c>
      <c r="F2548" t="str">
        <f t="shared" si="127"/>
        <v xml:space="preserve">Pesticiden en metabolieten </v>
      </c>
      <c r="G2548" t="str">
        <f>"Niet humaan toxicologisch relevante metabolieten "</f>
        <v xml:space="preserve">Niet humaan toxicologisch relevante metabolieten </v>
      </c>
    </row>
    <row r="2549" spans="1:7" x14ac:dyDescent="0.25">
      <c r="A2549">
        <v>8633</v>
      </c>
      <c r="B2549" t="str">
        <f>"endrinaldehyde"</f>
        <v>endrinaldehyde</v>
      </c>
      <c r="C2549" t="s">
        <v>19016</v>
      </c>
      <c r="D2549" t="str">
        <f>"7421-93-4"</f>
        <v>7421-93-4</v>
      </c>
      <c r="E2549" t="str">
        <f t="shared" si="126"/>
        <v xml:space="preserve">Organische parameters </v>
      </c>
      <c r="F2549" t="str">
        <f t="shared" si="127"/>
        <v xml:space="preserve">Pesticiden en metabolieten </v>
      </c>
      <c r="G2549" t="str">
        <f t="shared" ref="G2549:G2580" si="128">"Pesticiden en humaan toxicologisch relevante metabolieten "</f>
        <v xml:space="preserve">Pesticiden en humaan toxicologisch relevante metabolieten </v>
      </c>
    </row>
    <row r="2550" spans="1:7" x14ac:dyDescent="0.25">
      <c r="A2550">
        <v>8634</v>
      </c>
      <c r="B2550" t="str">
        <f>"butocarboxinsulfoxide"</f>
        <v>butocarboxinsulfoxide</v>
      </c>
      <c r="C2550" t="s">
        <v>19016</v>
      </c>
      <c r="D2550" t="str">
        <f>"34681-24-8"</f>
        <v>34681-24-8</v>
      </c>
      <c r="E2550" t="str">
        <f t="shared" si="126"/>
        <v xml:space="preserve">Organische parameters </v>
      </c>
      <c r="F2550" t="str">
        <f t="shared" si="127"/>
        <v xml:space="preserve">Pesticiden en metabolieten </v>
      </c>
      <c r="G2550" t="str">
        <f t="shared" si="128"/>
        <v xml:space="preserve">Pesticiden en humaan toxicologisch relevante metabolieten </v>
      </c>
    </row>
    <row r="2551" spans="1:7" x14ac:dyDescent="0.25">
      <c r="A2551">
        <v>8635</v>
      </c>
      <c r="B2551" t="str">
        <f>"ethiofencarbsulfoxide"</f>
        <v>ethiofencarbsulfoxide</v>
      </c>
      <c r="C2551" t="s">
        <v>19016</v>
      </c>
      <c r="D2551" t="str">
        <f>"53380-22-6"</f>
        <v>53380-22-6</v>
      </c>
      <c r="E2551" t="str">
        <f t="shared" si="126"/>
        <v xml:space="preserve">Organische parameters </v>
      </c>
      <c r="F2551" t="str">
        <f t="shared" si="127"/>
        <v xml:space="preserve">Pesticiden en metabolieten </v>
      </c>
      <c r="G2551" t="str">
        <f t="shared" si="128"/>
        <v xml:space="preserve">Pesticiden en humaan toxicologisch relevante metabolieten </v>
      </c>
    </row>
    <row r="2552" spans="1:7" x14ac:dyDescent="0.25">
      <c r="A2552">
        <v>8636</v>
      </c>
      <c r="B2552" t="str">
        <f>"methiocarbsulfon"</f>
        <v>methiocarbsulfon</v>
      </c>
      <c r="C2552" t="s">
        <v>19016</v>
      </c>
      <c r="D2552" t="str">
        <f>"2179-25-1"</f>
        <v>2179-25-1</v>
      </c>
      <c r="E2552" t="str">
        <f t="shared" si="126"/>
        <v xml:space="preserve">Organische parameters </v>
      </c>
      <c r="F2552" t="str">
        <f t="shared" si="127"/>
        <v xml:space="preserve">Pesticiden en metabolieten </v>
      </c>
      <c r="G2552" t="str">
        <f t="shared" si="128"/>
        <v xml:space="preserve">Pesticiden en humaan toxicologisch relevante metabolieten </v>
      </c>
    </row>
    <row r="2553" spans="1:7" x14ac:dyDescent="0.25">
      <c r="A2553">
        <v>8637</v>
      </c>
      <c r="B2553" t="str">
        <f>"thiofanoxsulfoxide"</f>
        <v>thiofanoxsulfoxide</v>
      </c>
      <c r="C2553" t="s">
        <v>19016</v>
      </c>
      <c r="D2553" t="str">
        <f>"39184-27-5"</f>
        <v>39184-27-5</v>
      </c>
      <c r="E2553" t="str">
        <f t="shared" si="126"/>
        <v xml:space="preserve">Organische parameters </v>
      </c>
      <c r="F2553" t="str">
        <f t="shared" si="127"/>
        <v xml:space="preserve">Pesticiden en metabolieten </v>
      </c>
      <c r="G2553" t="str">
        <f t="shared" si="128"/>
        <v xml:space="preserve">Pesticiden en humaan toxicologisch relevante metabolieten </v>
      </c>
    </row>
    <row r="2554" spans="1:7" x14ac:dyDescent="0.25">
      <c r="A2554">
        <v>8638</v>
      </c>
      <c r="B2554" t="str">
        <f>"thiofanoxsulfon"</f>
        <v>thiofanoxsulfon</v>
      </c>
      <c r="C2554" t="s">
        <v>19016</v>
      </c>
      <c r="D2554" t="str">
        <f>"39184-59-3"</f>
        <v>39184-59-3</v>
      </c>
      <c r="E2554" t="str">
        <f t="shared" si="126"/>
        <v xml:space="preserve">Organische parameters </v>
      </c>
      <c r="F2554" t="str">
        <f t="shared" si="127"/>
        <v xml:space="preserve">Pesticiden en metabolieten </v>
      </c>
      <c r="G2554" t="str">
        <f t="shared" si="128"/>
        <v xml:space="preserve">Pesticiden en humaan toxicologisch relevante metabolieten </v>
      </c>
    </row>
    <row r="2555" spans="1:7" x14ac:dyDescent="0.25">
      <c r="A2555">
        <v>8639</v>
      </c>
      <c r="B2555" t="str">
        <f>"3-hydroxycarbofuran"</f>
        <v>3-hydroxycarbofuran</v>
      </c>
      <c r="C2555" t="s">
        <v>19016</v>
      </c>
      <c r="D2555" t="str">
        <f>"16655-82-6"</f>
        <v>16655-82-6</v>
      </c>
      <c r="E2555" t="str">
        <f t="shared" si="126"/>
        <v xml:space="preserve">Organische parameters </v>
      </c>
      <c r="F2555" t="str">
        <f t="shared" si="127"/>
        <v xml:space="preserve">Pesticiden en metabolieten </v>
      </c>
      <c r="G2555" t="str">
        <f t="shared" si="128"/>
        <v xml:space="preserve">Pesticiden en humaan toxicologisch relevante metabolieten </v>
      </c>
    </row>
    <row r="2556" spans="1:7" x14ac:dyDescent="0.25">
      <c r="A2556">
        <v>8640</v>
      </c>
      <c r="B2556" t="str">
        <f>"cis-chloordaan"</f>
        <v>cis-chloordaan</v>
      </c>
      <c r="C2556" t="s">
        <v>19016</v>
      </c>
      <c r="D2556" t="str">
        <f>"5103-71-9"</f>
        <v>5103-71-9</v>
      </c>
      <c r="E2556" t="str">
        <f t="shared" si="126"/>
        <v xml:space="preserve">Organische parameters </v>
      </c>
      <c r="F2556" t="str">
        <f t="shared" si="127"/>
        <v xml:space="preserve">Pesticiden en metabolieten </v>
      </c>
      <c r="G2556" t="str">
        <f t="shared" si="128"/>
        <v xml:space="preserve">Pesticiden en humaan toxicologisch relevante metabolieten </v>
      </c>
    </row>
    <row r="2557" spans="1:7" x14ac:dyDescent="0.25">
      <c r="A2557">
        <v>8641</v>
      </c>
      <c r="B2557" t="str">
        <f>"trans-chloordaan"</f>
        <v>trans-chloordaan</v>
      </c>
      <c r="C2557" t="s">
        <v>19016</v>
      </c>
      <c r="D2557" t="str">
        <f>"5103-74-2"</f>
        <v>5103-74-2</v>
      </c>
      <c r="E2557" t="str">
        <f t="shared" si="126"/>
        <v xml:space="preserve">Organische parameters </v>
      </c>
      <c r="F2557" t="str">
        <f t="shared" si="127"/>
        <v xml:space="preserve">Pesticiden en metabolieten </v>
      </c>
      <c r="G2557" t="str">
        <f t="shared" si="128"/>
        <v xml:space="preserve">Pesticiden en humaan toxicologisch relevante metabolieten </v>
      </c>
    </row>
    <row r="2558" spans="1:7" x14ac:dyDescent="0.25">
      <c r="A2558">
        <v>8642</v>
      </c>
      <c r="B2558" t="str">
        <f>"cis-chloorfenvinfos"</f>
        <v>cis-chloorfenvinfos</v>
      </c>
      <c r="C2558" t="s">
        <v>19016</v>
      </c>
      <c r="D2558" t="str">
        <f>"470-90-6"</f>
        <v>470-90-6</v>
      </c>
      <c r="E2558" t="str">
        <f t="shared" si="126"/>
        <v xml:space="preserve">Organische parameters </v>
      </c>
      <c r="F2558" t="str">
        <f t="shared" si="127"/>
        <v xml:space="preserve">Pesticiden en metabolieten </v>
      </c>
      <c r="G2558" t="str">
        <f t="shared" si="128"/>
        <v xml:space="preserve">Pesticiden en humaan toxicologisch relevante metabolieten </v>
      </c>
    </row>
    <row r="2559" spans="1:7" x14ac:dyDescent="0.25">
      <c r="A2559">
        <v>8643</v>
      </c>
      <c r="B2559" t="str">
        <f>"trans-chloorfenvinfos"</f>
        <v>trans-chloorfenvinfos</v>
      </c>
      <c r="C2559" t="s">
        <v>19016</v>
      </c>
      <c r="D2559" t="str">
        <f>""</f>
        <v/>
      </c>
      <c r="E2559" t="str">
        <f t="shared" si="126"/>
        <v xml:space="preserve">Organische parameters </v>
      </c>
      <c r="F2559" t="str">
        <f t="shared" si="127"/>
        <v xml:space="preserve">Pesticiden en metabolieten </v>
      </c>
      <c r="G2559" t="str">
        <f t="shared" si="128"/>
        <v xml:space="preserve">Pesticiden en humaan toxicologisch relevante metabolieten </v>
      </c>
    </row>
    <row r="2560" spans="1:7" x14ac:dyDescent="0.25">
      <c r="A2560">
        <v>8644</v>
      </c>
      <c r="B2560" t="str">
        <f>"cis-mevinfos"</f>
        <v>cis-mevinfos</v>
      </c>
      <c r="C2560" t="s">
        <v>19016</v>
      </c>
      <c r="D2560" t="str">
        <f>"298-01-1"</f>
        <v>298-01-1</v>
      </c>
      <c r="E2560" t="str">
        <f t="shared" si="126"/>
        <v xml:space="preserve">Organische parameters </v>
      </c>
      <c r="F2560" t="str">
        <f t="shared" si="127"/>
        <v xml:space="preserve">Pesticiden en metabolieten </v>
      </c>
      <c r="G2560" t="str">
        <f t="shared" si="128"/>
        <v xml:space="preserve">Pesticiden en humaan toxicologisch relevante metabolieten </v>
      </c>
    </row>
    <row r="2561" spans="1:7" x14ac:dyDescent="0.25">
      <c r="A2561">
        <v>8645</v>
      </c>
      <c r="B2561" t="str">
        <f>"trans-mevinfos"</f>
        <v>trans-mevinfos</v>
      </c>
      <c r="C2561" t="s">
        <v>19016</v>
      </c>
      <c r="D2561" t="str">
        <f>"338-45-4"</f>
        <v>338-45-4</v>
      </c>
      <c r="E2561" t="str">
        <f t="shared" si="126"/>
        <v xml:space="preserve">Organische parameters </v>
      </c>
      <c r="F2561" t="str">
        <f t="shared" si="127"/>
        <v xml:space="preserve">Pesticiden en metabolieten </v>
      </c>
      <c r="G2561" t="str">
        <f t="shared" si="128"/>
        <v xml:space="preserve">Pesticiden en humaan toxicologisch relevante metabolieten </v>
      </c>
    </row>
    <row r="2562" spans="1:7" x14ac:dyDescent="0.25">
      <c r="A2562">
        <v>8646</v>
      </c>
      <c r="B2562" t="str">
        <f>"cis-fosfamidon"</f>
        <v>cis-fosfamidon</v>
      </c>
      <c r="C2562" t="s">
        <v>19016</v>
      </c>
      <c r="D2562" t="str">
        <f>"23783-98-4"</f>
        <v>23783-98-4</v>
      </c>
      <c r="E2562" t="str">
        <f t="shared" si="126"/>
        <v xml:space="preserve">Organische parameters </v>
      </c>
      <c r="F2562" t="str">
        <f t="shared" si="127"/>
        <v xml:space="preserve">Pesticiden en metabolieten </v>
      </c>
      <c r="G2562" t="str">
        <f t="shared" si="128"/>
        <v xml:space="preserve">Pesticiden en humaan toxicologisch relevante metabolieten </v>
      </c>
    </row>
    <row r="2563" spans="1:7" x14ac:dyDescent="0.25">
      <c r="A2563">
        <v>8647</v>
      </c>
      <c r="B2563" t="str">
        <f>"trans-fosfamidon"</f>
        <v>trans-fosfamidon</v>
      </c>
      <c r="C2563" t="s">
        <v>19016</v>
      </c>
      <c r="D2563" t="str">
        <f>"297-99-4"</f>
        <v>297-99-4</v>
      </c>
      <c r="E2563" t="str">
        <f t="shared" si="126"/>
        <v xml:space="preserve">Organische parameters </v>
      </c>
      <c r="F2563" t="str">
        <f t="shared" si="127"/>
        <v xml:space="preserve">Pesticiden en metabolieten </v>
      </c>
      <c r="G2563" t="str">
        <f t="shared" si="128"/>
        <v xml:space="preserve">Pesticiden en humaan toxicologisch relevante metabolieten </v>
      </c>
    </row>
    <row r="2564" spans="1:7" x14ac:dyDescent="0.25">
      <c r="A2564">
        <v>8648</v>
      </c>
      <c r="B2564" t="str">
        <f>"2,4-dichloorbenzoëzuur"</f>
        <v>2,4-dichloorbenzoëzuur</v>
      </c>
      <c r="C2564" t="s">
        <v>19016</v>
      </c>
      <c r="D2564" t="str">
        <f>"35112-28-8"</f>
        <v>35112-28-8</v>
      </c>
      <c r="E2564" t="str">
        <f t="shared" si="126"/>
        <v xml:space="preserve">Organische parameters </v>
      </c>
      <c r="F2564" t="str">
        <f t="shared" si="127"/>
        <v xml:space="preserve">Pesticiden en metabolieten </v>
      </c>
      <c r="G2564" t="str">
        <f t="shared" si="128"/>
        <v xml:space="preserve">Pesticiden en humaan toxicologisch relevante metabolieten </v>
      </c>
    </row>
    <row r="2565" spans="1:7" x14ac:dyDescent="0.25">
      <c r="A2565">
        <v>8649</v>
      </c>
      <c r="B2565" t="str">
        <f>"prosulfocarb"</f>
        <v>prosulfocarb</v>
      </c>
      <c r="C2565" t="s">
        <v>19016</v>
      </c>
      <c r="D2565" t="str">
        <f>"52888-80-9"</f>
        <v>52888-80-9</v>
      </c>
      <c r="E2565" t="str">
        <f t="shared" si="126"/>
        <v xml:space="preserve">Organische parameters </v>
      </c>
      <c r="F2565" t="str">
        <f t="shared" si="127"/>
        <v xml:space="preserve">Pesticiden en metabolieten </v>
      </c>
      <c r="G2565" t="str">
        <f t="shared" si="128"/>
        <v xml:space="preserve">Pesticiden en humaan toxicologisch relevante metabolieten </v>
      </c>
    </row>
    <row r="2566" spans="1:7" x14ac:dyDescent="0.25">
      <c r="A2566">
        <v>8652</v>
      </c>
      <c r="B2566" t="str">
        <f>"chloorpyrifos"</f>
        <v>chloorpyrifos</v>
      </c>
      <c r="C2566" t="s">
        <v>19016</v>
      </c>
      <c r="D2566" t="str">
        <f>"2921-88-2"</f>
        <v>2921-88-2</v>
      </c>
      <c r="E2566" t="str">
        <f t="shared" si="126"/>
        <v xml:space="preserve">Organische parameters </v>
      </c>
      <c r="F2566" t="str">
        <f t="shared" si="127"/>
        <v xml:space="preserve">Pesticiden en metabolieten </v>
      </c>
      <c r="G2566" t="str">
        <f t="shared" si="128"/>
        <v xml:space="preserve">Pesticiden en humaan toxicologisch relevante metabolieten </v>
      </c>
    </row>
    <row r="2567" spans="1:7" x14ac:dyDescent="0.25">
      <c r="A2567">
        <v>8653</v>
      </c>
      <c r="B2567" t="str">
        <f>"dithiocarbamaten als CS2"</f>
        <v>dithiocarbamaten als CS2</v>
      </c>
      <c r="C2567" t="s">
        <v>19069</v>
      </c>
      <c r="D2567" t="str">
        <f>"4384-82-1"</f>
        <v>4384-82-1</v>
      </c>
      <c r="E2567" t="str">
        <f t="shared" si="126"/>
        <v xml:space="preserve">Organische parameters </v>
      </c>
      <c r="F2567" t="str">
        <f t="shared" si="127"/>
        <v xml:space="preserve">Pesticiden en metabolieten </v>
      </c>
      <c r="G2567" t="str">
        <f t="shared" si="128"/>
        <v xml:space="preserve">Pesticiden en humaan toxicologisch relevante metabolieten </v>
      </c>
    </row>
    <row r="2568" spans="1:7" x14ac:dyDescent="0.25">
      <c r="A2568">
        <v>8654</v>
      </c>
      <c r="B2568" t="str">
        <f>"4-hydroxy-2,5,6,-trichloorisoftalonitril"</f>
        <v>4-hydroxy-2,5,6,-trichloorisoftalonitril</v>
      </c>
      <c r="C2568" t="s">
        <v>19016</v>
      </c>
      <c r="D2568" t="str">
        <f>"28343-61-5"</f>
        <v>28343-61-5</v>
      </c>
      <c r="E2568" t="str">
        <f t="shared" si="126"/>
        <v xml:space="preserve">Organische parameters </v>
      </c>
      <c r="F2568" t="str">
        <f t="shared" si="127"/>
        <v xml:space="preserve">Pesticiden en metabolieten </v>
      </c>
      <c r="G2568" t="str">
        <f t="shared" si="128"/>
        <v xml:space="preserve">Pesticiden en humaan toxicologisch relevante metabolieten </v>
      </c>
    </row>
    <row r="2569" spans="1:7" x14ac:dyDescent="0.25">
      <c r="A2569">
        <v>8655</v>
      </c>
      <c r="B2569" t="str">
        <f>"oxychloordaan"</f>
        <v>oxychloordaan</v>
      </c>
      <c r="C2569" t="s">
        <v>19016</v>
      </c>
      <c r="D2569" t="str">
        <f>"27304-13-8"</f>
        <v>27304-13-8</v>
      </c>
      <c r="E2569" t="str">
        <f t="shared" si="126"/>
        <v xml:space="preserve">Organische parameters </v>
      </c>
      <c r="F2569" t="str">
        <f t="shared" si="127"/>
        <v xml:space="preserve">Pesticiden en metabolieten </v>
      </c>
      <c r="G2569" t="str">
        <f t="shared" si="128"/>
        <v xml:space="preserve">Pesticiden en humaan toxicologisch relevante metabolieten </v>
      </c>
    </row>
    <row r="2570" spans="1:7" x14ac:dyDescent="0.25">
      <c r="A2570">
        <v>8656</v>
      </c>
      <c r="B2570" t="str">
        <f>"epsilon-HCH"</f>
        <v>epsilon-HCH</v>
      </c>
      <c r="C2570" t="s">
        <v>19016</v>
      </c>
      <c r="D2570" t="str">
        <f>"7-10-6108"</f>
        <v>7-10-6108</v>
      </c>
      <c r="E2570" t="str">
        <f t="shared" si="126"/>
        <v xml:space="preserve">Organische parameters </v>
      </c>
      <c r="F2570" t="str">
        <f t="shared" si="127"/>
        <v xml:space="preserve">Pesticiden en metabolieten </v>
      </c>
      <c r="G2570" t="str">
        <f t="shared" si="128"/>
        <v xml:space="preserve">Pesticiden en humaan toxicologisch relevante metabolieten </v>
      </c>
    </row>
    <row r="2571" spans="1:7" x14ac:dyDescent="0.25">
      <c r="A2571">
        <v>8657</v>
      </c>
      <c r="B2571" t="str">
        <f>"dimethomorf"</f>
        <v>dimethomorf</v>
      </c>
      <c r="C2571" t="s">
        <v>19016</v>
      </c>
      <c r="D2571" t="str">
        <f>"110488-70-5"</f>
        <v>110488-70-5</v>
      </c>
      <c r="E2571" t="str">
        <f t="shared" si="126"/>
        <v xml:space="preserve">Organische parameters </v>
      </c>
      <c r="F2571" t="str">
        <f t="shared" si="127"/>
        <v xml:space="preserve">Pesticiden en metabolieten </v>
      </c>
      <c r="G2571" t="str">
        <f t="shared" si="128"/>
        <v xml:space="preserve">Pesticiden en humaan toxicologisch relevante metabolieten </v>
      </c>
    </row>
    <row r="2572" spans="1:7" x14ac:dyDescent="0.25">
      <c r="A2572">
        <v>8658</v>
      </c>
      <c r="B2572" t="str">
        <f>"N,N-Dimethyl-N'-tolylsulfonyldiamide"</f>
        <v>N,N-Dimethyl-N'-tolylsulfonyldiamide</v>
      </c>
      <c r="C2572" t="s">
        <v>19016</v>
      </c>
      <c r="D2572" t="str">
        <f>"66840-71-9"</f>
        <v>66840-71-9</v>
      </c>
      <c r="E2572" t="str">
        <f t="shared" si="126"/>
        <v xml:space="preserve">Organische parameters </v>
      </c>
      <c r="F2572" t="str">
        <f t="shared" si="127"/>
        <v xml:space="preserve">Pesticiden en metabolieten </v>
      </c>
      <c r="G2572" t="str">
        <f t="shared" si="128"/>
        <v xml:space="preserve">Pesticiden en humaan toxicologisch relevante metabolieten </v>
      </c>
    </row>
    <row r="2573" spans="1:7" x14ac:dyDescent="0.25">
      <c r="A2573">
        <v>8659</v>
      </c>
      <c r="B2573" t="str">
        <f>"epoxiconazool"</f>
        <v>epoxiconazool</v>
      </c>
      <c r="C2573" t="s">
        <v>19016</v>
      </c>
      <c r="D2573" t="str">
        <f>"106325-08-0"</f>
        <v>106325-08-0</v>
      </c>
      <c r="E2573" t="str">
        <f t="shared" si="126"/>
        <v xml:space="preserve">Organische parameters </v>
      </c>
      <c r="F2573" t="str">
        <f t="shared" si="127"/>
        <v xml:space="preserve">Pesticiden en metabolieten </v>
      </c>
      <c r="G2573" t="str">
        <f t="shared" si="128"/>
        <v xml:space="preserve">Pesticiden en humaan toxicologisch relevante metabolieten </v>
      </c>
    </row>
    <row r="2574" spans="1:7" x14ac:dyDescent="0.25">
      <c r="A2574">
        <v>8660</v>
      </c>
      <c r="B2574" t="str">
        <f>"flutolanil"</f>
        <v>flutolanil</v>
      </c>
      <c r="C2574" t="s">
        <v>19016</v>
      </c>
      <c r="D2574" t="str">
        <f>"66332-96-5"</f>
        <v>66332-96-5</v>
      </c>
      <c r="E2574" t="str">
        <f t="shared" si="126"/>
        <v xml:space="preserve">Organische parameters </v>
      </c>
      <c r="F2574" t="str">
        <f t="shared" si="127"/>
        <v xml:space="preserve">Pesticiden en metabolieten </v>
      </c>
      <c r="G2574" t="str">
        <f t="shared" si="128"/>
        <v xml:space="preserve">Pesticiden en humaan toxicologisch relevante metabolieten </v>
      </c>
    </row>
    <row r="2575" spans="1:7" x14ac:dyDescent="0.25">
      <c r="A2575">
        <v>8661</v>
      </c>
      <c r="B2575" t="str">
        <f>"pyrimethanil"</f>
        <v>pyrimethanil</v>
      </c>
      <c r="C2575" t="s">
        <v>19016</v>
      </c>
      <c r="D2575" t="str">
        <f>"53112-28-0"</f>
        <v>53112-28-0</v>
      </c>
      <c r="E2575" t="str">
        <f t="shared" si="126"/>
        <v xml:space="preserve">Organische parameters </v>
      </c>
      <c r="F2575" t="str">
        <f t="shared" si="127"/>
        <v xml:space="preserve">Pesticiden en metabolieten </v>
      </c>
      <c r="G2575" t="str">
        <f t="shared" si="128"/>
        <v xml:space="preserve">Pesticiden en humaan toxicologisch relevante metabolieten </v>
      </c>
    </row>
    <row r="2576" spans="1:7" x14ac:dyDescent="0.25">
      <c r="A2576">
        <v>8662</v>
      </c>
      <c r="B2576" t="str">
        <f>"tebufenpyrad"</f>
        <v>tebufenpyrad</v>
      </c>
      <c r="C2576" t="s">
        <v>19016</v>
      </c>
      <c r="D2576" t="str">
        <f>"119168-77-3"</f>
        <v>119168-77-3</v>
      </c>
      <c r="E2576" t="str">
        <f t="shared" si="126"/>
        <v xml:space="preserve">Organische parameters </v>
      </c>
      <c r="F2576" t="str">
        <f t="shared" si="127"/>
        <v xml:space="preserve">Pesticiden en metabolieten </v>
      </c>
      <c r="G2576" t="str">
        <f t="shared" si="128"/>
        <v xml:space="preserve">Pesticiden en humaan toxicologisch relevante metabolieten </v>
      </c>
    </row>
    <row r="2577" spans="1:7" x14ac:dyDescent="0.25">
      <c r="A2577">
        <v>8663</v>
      </c>
      <c r="B2577" t="str">
        <f>"tetrahydroftaalimide"</f>
        <v>tetrahydroftaalimide</v>
      </c>
      <c r="C2577" t="s">
        <v>19016</v>
      </c>
      <c r="D2577" t="str">
        <f>"1469-48-3"</f>
        <v>1469-48-3</v>
      </c>
      <c r="E2577" t="str">
        <f t="shared" si="126"/>
        <v xml:space="preserve">Organische parameters </v>
      </c>
      <c r="F2577" t="str">
        <f t="shared" si="127"/>
        <v xml:space="preserve">Pesticiden en metabolieten </v>
      </c>
      <c r="G2577" t="str">
        <f t="shared" si="128"/>
        <v xml:space="preserve">Pesticiden en humaan toxicologisch relevante metabolieten </v>
      </c>
    </row>
    <row r="2578" spans="1:7" x14ac:dyDescent="0.25">
      <c r="A2578">
        <v>8664</v>
      </c>
      <c r="B2578" t="str">
        <f>"kresoxim-methyl"</f>
        <v>kresoxim-methyl</v>
      </c>
      <c r="C2578" t="s">
        <v>19016</v>
      </c>
      <c r="D2578" t="str">
        <f>"143390-89-0"</f>
        <v>143390-89-0</v>
      </c>
      <c r="E2578" t="str">
        <f t="shared" si="126"/>
        <v xml:space="preserve">Organische parameters </v>
      </c>
      <c r="F2578" t="str">
        <f t="shared" si="127"/>
        <v xml:space="preserve">Pesticiden en metabolieten </v>
      </c>
      <c r="G2578" t="str">
        <f t="shared" si="128"/>
        <v xml:space="preserve">Pesticiden en humaan toxicologisch relevante metabolieten </v>
      </c>
    </row>
    <row r="2579" spans="1:7" x14ac:dyDescent="0.25">
      <c r="A2579">
        <v>8665</v>
      </c>
      <c r="B2579" t="str">
        <f>"1-(4-chloorfenyl)ureum"</f>
        <v>1-(4-chloorfenyl)ureum</v>
      </c>
      <c r="C2579" t="s">
        <v>19016</v>
      </c>
      <c r="D2579" t="str">
        <f>"140-38-5"</f>
        <v>140-38-5</v>
      </c>
      <c r="E2579" t="str">
        <f t="shared" si="126"/>
        <v xml:space="preserve">Organische parameters </v>
      </c>
      <c r="F2579" t="str">
        <f t="shared" si="127"/>
        <v xml:space="preserve">Pesticiden en metabolieten </v>
      </c>
      <c r="G2579" t="str">
        <f t="shared" si="128"/>
        <v xml:space="preserve">Pesticiden en humaan toxicologisch relevante metabolieten </v>
      </c>
    </row>
    <row r="2580" spans="1:7" x14ac:dyDescent="0.25">
      <c r="A2580">
        <v>8666</v>
      </c>
      <c r="B2580" t="str">
        <f>"1-(3-chloor-4-methylfenyl)ureum"</f>
        <v>1-(3-chloor-4-methylfenyl)ureum</v>
      </c>
      <c r="C2580" t="s">
        <v>19016</v>
      </c>
      <c r="D2580" t="str">
        <f>"13142-64-8"</f>
        <v>13142-64-8</v>
      </c>
      <c r="E2580" t="str">
        <f t="shared" si="126"/>
        <v xml:space="preserve">Organische parameters </v>
      </c>
      <c r="F2580" t="str">
        <f t="shared" si="127"/>
        <v xml:space="preserve">Pesticiden en metabolieten </v>
      </c>
      <c r="G2580" t="str">
        <f t="shared" si="128"/>
        <v xml:space="preserve">Pesticiden en humaan toxicologisch relevante metabolieten </v>
      </c>
    </row>
    <row r="2581" spans="1:7" x14ac:dyDescent="0.25">
      <c r="A2581">
        <v>8667</v>
      </c>
      <c r="B2581" t="str">
        <f>"1-(4-isopropylfenyl)ureum"</f>
        <v>1-(4-isopropylfenyl)ureum</v>
      </c>
      <c r="C2581" t="s">
        <v>19016</v>
      </c>
      <c r="D2581" t="str">
        <f>"56046-17-4"</f>
        <v>56046-17-4</v>
      </c>
      <c r="E2581" t="str">
        <f t="shared" si="126"/>
        <v xml:space="preserve">Organische parameters </v>
      </c>
      <c r="F2581" t="str">
        <f t="shared" si="127"/>
        <v xml:space="preserve">Pesticiden en metabolieten </v>
      </c>
      <c r="G2581" t="str">
        <f t="shared" ref="G2581:G2612" si="129">"Pesticiden en humaan toxicologisch relevante metabolieten "</f>
        <v xml:space="preserve">Pesticiden en humaan toxicologisch relevante metabolieten </v>
      </c>
    </row>
    <row r="2582" spans="1:7" x14ac:dyDescent="0.25">
      <c r="A2582">
        <v>8668</v>
      </c>
      <c r="B2582" t="str">
        <f>"1-(4-isopropylfenyl)-3-methylureum"</f>
        <v>1-(4-isopropylfenyl)-3-methylureum</v>
      </c>
      <c r="C2582" t="s">
        <v>19016</v>
      </c>
      <c r="D2582" t="str">
        <f>"34123-57-4"</f>
        <v>34123-57-4</v>
      </c>
      <c r="E2582" t="str">
        <f t="shared" si="126"/>
        <v xml:space="preserve">Organische parameters </v>
      </c>
      <c r="F2582" t="str">
        <f t="shared" si="127"/>
        <v xml:space="preserve">Pesticiden en metabolieten </v>
      </c>
      <c r="G2582" t="str">
        <f t="shared" si="129"/>
        <v xml:space="preserve">Pesticiden en humaan toxicologisch relevante metabolieten </v>
      </c>
    </row>
    <row r="2583" spans="1:7" x14ac:dyDescent="0.25">
      <c r="A2583">
        <v>8669</v>
      </c>
      <c r="B2583" t="str">
        <f>"1-(3,4-dichloorfenyl)ureum"</f>
        <v>1-(3,4-dichloorfenyl)ureum</v>
      </c>
      <c r="C2583" t="s">
        <v>19016</v>
      </c>
      <c r="D2583" t="str">
        <f>"8-2-2327"</f>
        <v>8-2-2327</v>
      </c>
      <c r="E2583" t="str">
        <f t="shared" si="126"/>
        <v xml:space="preserve">Organische parameters </v>
      </c>
      <c r="F2583" t="str">
        <f t="shared" si="127"/>
        <v xml:space="preserve">Pesticiden en metabolieten </v>
      </c>
      <c r="G2583" t="str">
        <f t="shared" si="129"/>
        <v xml:space="preserve">Pesticiden en humaan toxicologisch relevante metabolieten </v>
      </c>
    </row>
    <row r="2584" spans="1:7" x14ac:dyDescent="0.25">
      <c r="A2584">
        <v>8670</v>
      </c>
      <c r="B2584" t="str">
        <f>"1-(3,4-dichloorfenyl)-3-methylureum"</f>
        <v>1-(3,4-dichloorfenyl)-3-methylureum</v>
      </c>
      <c r="C2584" t="s">
        <v>19016</v>
      </c>
      <c r="D2584" t="str">
        <f>"3567-62-2"</f>
        <v>3567-62-2</v>
      </c>
      <c r="E2584" t="str">
        <f t="shared" si="126"/>
        <v xml:space="preserve">Organische parameters </v>
      </c>
      <c r="F2584" t="str">
        <f t="shared" si="127"/>
        <v xml:space="preserve">Pesticiden en metabolieten </v>
      </c>
      <c r="G2584" t="str">
        <f t="shared" si="129"/>
        <v xml:space="preserve">Pesticiden en humaan toxicologisch relevante metabolieten </v>
      </c>
    </row>
    <row r="2585" spans="1:7" x14ac:dyDescent="0.25">
      <c r="A2585">
        <v>8671</v>
      </c>
      <c r="B2585" t="str">
        <f>"pesticiden (som)"</f>
        <v>pesticiden (som)</v>
      </c>
      <c r="C2585" t="s">
        <v>19016</v>
      </c>
      <c r="D2585" t="str">
        <f>""</f>
        <v/>
      </c>
      <c r="E2585" t="str">
        <f t="shared" si="126"/>
        <v xml:space="preserve">Organische parameters </v>
      </c>
      <c r="F2585" t="str">
        <f t="shared" si="127"/>
        <v xml:space="preserve">Pesticiden en metabolieten </v>
      </c>
      <c r="G2585" t="str">
        <f t="shared" si="129"/>
        <v xml:space="preserve">Pesticiden en humaan toxicologisch relevante metabolieten </v>
      </c>
    </row>
    <row r="2586" spans="1:7" x14ac:dyDescent="0.25">
      <c r="A2586">
        <v>8672</v>
      </c>
      <c r="B2586" t="str">
        <f>"bromuron"</f>
        <v>bromuron</v>
      </c>
      <c r="C2586" t="s">
        <v>19016</v>
      </c>
      <c r="D2586" t="str">
        <f>"3408-97-7"</f>
        <v>3408-97-7</v>
      </c>
      <c r="E2586" t="str">
        <f t="shared" si="126"/>
        <v xml:space="preserve">Organische parameters </v>
      </c>
      <c r="F2586" t="str">
        <f t="shared" si="127"/>
        <v xml:space="preserve">Pesticiden en metabolieten </v>
      </c>
      <c r="G2586" t="str">
        <f t="shared" si="129"/>
        <v xml:space="preserve">Pesticiden en humaan toxicologisch relevante metabolieten </v>
      </c>
    </row>
    <row r="2587" spans="1:7" x14ac:dyDescent="0.25">
      <c r="A2587">
        <v>8674</v>
      </c>
      <c r="B2587" t="str">
        <f>"diflufenican"</f>
        <v>diflufenican</v>
      </c>
      <c r="C2587" t="s">
        <v>19016</v>
      </c>
      <c r="D2587" t="str">
        <f>"83164-33-4"</f>
        <v>83164-33-4</v>
      </c>
      <c r="E2587" t="str">
        <f t="shared" si="126"/>
        <v xml:space="preserve">Organische parameters </v>
      </c>
      <c r="F2587" t="str">
        <f t="shared" si="127"/>
        <v xml:space="preserve">Pesticiden en metabolieten </v>
      </c>
      <c r="G2587" t="str">
        <f t="shared" si="129"/>
        <v xml:space="preserve">Pesticiden en humaan toxicologisch relevante metabolieten </v>
      </c>
    </row>
    <row r="2588" spans="1:7" x14ac:dyDescent="0.25">
      <c r="A2588">
        <v>8675</v>
      </c>
      <c r="B2588" t="str">
        <f>"haloxyfop"</f>
        <v>haloxyfop</v>
      </c>
      <c r="C2588" t="s">
        <v>19016</v>
      </c>
      <c r="D2588" t="str">
        <f>"69806-34-4"</f>
        <v>69806-34-4</v>
      </c>
      <c r="E2588" t="str">
        <f t="shared" si="126"/>
        <v xml:space="preserve">Organische parameters </v>
      </c>
      <c r="F2588" t="str">
        <f t="shared" si="127"/>
        <v xml:space="preserve">Pesticiden en metabolieten </v>
      </c>
      <c r="G2588" t="str">
        <f t="shared" si="129"/>
        <v xml:space="preserve">Pesticiden en humaan toxicologisch relevante metabolieten </v>
      </c>
    </row>
    <row r="2589" spans="1:7" x14ac:dyDescent="0.25">
      <c r="A2589">
        <v>8676</v>
      </c>
      <c r="B2589" t="str">
        <f>"fluazifop"</f>
        <v>fluazifop</v>
      </c>
      <c r="C2589" t="s">
        <v>19016</v>
      </c>
      <c r="D2589" t="str">
        <f>"69335-91-7"</f>
        <v>69335-91-7</v>
      </c>
      <c r="E2589" t="str">
        <f t="shared" si="126"/>
        <v xml:space="preserve">Organische parameters </v>
      </c>
      <c r="F2589" t="str">
        <f t="shared" si="127"/>
        <v xml:space="preserve">Pesticiden en metabolieten </v>
      </c>
      <c r="G2589" t="str">
        <f t="shared" si="129"/>
        <v xml:space="preserve">Pesticiden en humaan toxicologisch relevante metabolieten </v>
      </c>
    </row>
    <row r="2590" spans="1:7" x14ac:dyDescent="0.25">
      <c r="A2590">
        <v>8677</v>
      </c>
      <c r="B2590" t="str">
        <f>"ioxynil"</f>
        <v>ioxynil</v>
      </c>
      <c r="C2590" t="s">
        <v>19016</v>
      </c>
      <c r="D2590" t="str">
        <f>"1689-83-4"</f>
        <v>1689-83-4</v>
      </c>
      <c r="E2590" t="str">
        <f t="shared" si="126"/>
        <v xml:space="preserve">Organische parameters </v>
      </c>
      <c r="F2590" t="str">
        <f t="shared" si="127"/>
        <v xml:space="preserve">Pesticiden en metabolieten </v>
      </c>
      <c r="G2590" t="str">
        <f t="shared" si="129"/>
        <v xml:space="preserve">Pesticiden en humaan toxicologisch relevante metabolieten </v>
      </c>
    </row>
    <row r="2591" spans="1:7" x14ac:dyDescent="0.25">
      <c r="A2591">
        <v>8679</v>
      </c>
      <c r="B2591" t="str">
        <f>"2,6-dichloorbenzoëzuur"</f>
        <v>2,6-dichloorbenzoëzuur</v>
      </c>
      <c r="C2591" t="s">
        <v>19016</v>
      </c>
      <c r="D2591" t="str">
        <f>"50-30-6"</f>
        <v>50-30-6</v>
      </c>
      <c r="E2591" t="str">
        <f t="shared" ref="E2591:E2654" si="130">"Organische parameters "</f>
        <v xml:space="preserve">Organische parameters </v>
      </c>
      <c r="F2591" t="str">
        <f t="shared" si="127"/>
        <v xml:space="preserve">Pesticiden en metabolieten </v>
      </c>
      <c r="G2591" t="str">
        <f t="shared" si="129"/>
        <v xml:space="preserve">Pesticiden en humaan toxicologisch relevante metabolieten </v>
      </c>
    </row>
    <row r="2592" spans="1:7" x14ac:dyDescent="0.25">
      <c r="A2592">
        <v>8680</v>
      </c>
      <c r="B2592" t="str">
        <f>"edifenfos"</f>
        <v>edifenfos</v>
      </c>
      <c r="C2592" t="s">
        <v>19016</v>
      </c>
      <c r="D2592" t="str">
        <f>"17109-49-8"</f>
        <v>17109-49-8</v>
      </c>
      <c r="E2592" t="str">
        <f t="shared" si="130"/>
        <v xml:space="preserve">Organische parameters </v>
      </c>
      <c r="F2592" t="str">
        <f t="shared" si="127"/>
        <v xml:space="preserve">Pesticiden en metabolieten </v>
      </c>
      <c r="G2592" t="str">
        <f t="shared" si="129"/>
        <v xml:space="preserve">Pesticiden en humaan toxicologisch relevante metabolieten </v>
      </c>
    </row>
    <row r="2593" spans="1:7" x14ac:dyDescent="0.25">
      <c r="A2593">
        <v>8681</v>
      </c>
      <c r="B2593" t="str">
        <f>"desethylterbutylazine"</f>
        <v>desethylterbutylazine</v>
      </c>
      <c r="C2593" t="s">
        <v>19016</v>
      </c>
      <c r="D2593" t="str">
        <f>"30125-63-4"</f>
        <v>30125-63-4</v>
      </c>
      <c r="E2593" t="str">
        <f t="shared" si="130"/>
        <v xml:space="preserve">Organische parameters </v>
      </c>
      <c r="F2593" t="str">
        <f t="shared" si="127"/>
        <v xml:space="preserve">Pesticiden en metabolieten </v>
      </c>
      <c r="G2593" t="str">
        <f t="shared" si="129"/>
        <v xml:space="preserve">Pesticiden en humaan toxicologisch relevante metabolieten </v>
      </c>
    </row>
    <row r="2594" spans="1:7" x14ac:dyDescent="0.25">
      <c r="A2594">
        <v>8682</v>
      </c>
      <c r="B2594" t="str">
        <f>"dimetheenamide"</f>
        <v>dimetheenamide</v>
      </c>
      <c r="C2594" t="s">
        <v>19016</v>
      </c>
      <c r="D2594" t="str">
        <f>"87674-68-8"</f>
        <v>87674-68-8</v>
      </c>
      <c r="E2594" t="str">
        <f t="shared" si="130"/>
        <v xml:space="preserve">Organische parameters </v>
      </c>
      <c r="F2594" t="str">
        <f t="shared" si="127"/>
        <v xml:space="preserve">Pesticiden en metabolieten </v>
      </c>
      <c r="G2594" t="str">
        <f t="shared" si="129"/>
        <v xml:space="preserve">Pesticiden en humaan toxicologisch relevante metabolieten </v>
      </c>
    </row>
    <row r="2595" spans="1:7" x14ac:dyDescent="0.25">
      <c r="A2595">
        <v>8683</v>
      </c>
      <c r="B2595" t="str">
        <f>"1,3,5-triazine-2,4-diamine"</f>
        <v>1,3,5-triazine-2,4-diamine</v>
      </c>
      <c r="C2595" t="s">
        <v>19016</v>
      </c>
      <c r="D2595" t="str">
        <f>"504-08-5"</f>
        <v>504-08-5</v>
      </c>
      <c r="E2595" t="str">
        <f t="shared" si="130"/>
        <v xml:space="preserve">Organische parameters </v>
      </c>
      <c r="F2595" t="str">
        <f t="shared" si="127"/>
        <v xml:space="preserve">Pesticiden en metabolieten </v>
      </c>
      <c r="G2595" t="str">
        <f t="shared" si="129"/>
        <v xml:space="preserve">Pesticiden en humaan toxicologisch relevante metabolieten </v>
      </c>
    </row>
    <row r="2596" spans="1:7" x14ac:dyDescent="0.25">
      <c r="A2596">
        <v>8684</v>
      </c>
      <c r="B2596" t="str">
        <f>"isochloridazon"</f>
        <v>isochloridazon</v>
      </c>
      <c r="C2596" t="s">
        <v>19016</v>
      </c>
      <c r="D2596" t="str">
        <f>"162354-96-3"</f>
        <v>162354-96-3</v>
      </c>
      <c r="E2596" t="str">
        <f t="shared" si="130"/>
        <v xml:space="preserve">Organische parameters </v>
      </c>
      <c r="F2596" t="str">
        <f t="shared" si="127"/>
        <v xml:space="preserve">Pesticiden en metabolieten </v>
      </c>
      <c r="G2596" t="str">
        <f t="shared" si="129"/>
        <v xml:space="preserve">Pesticiden en humaan toxicologisch relevante metabolieten </v>
      </c>
    </row>
    <row r="2597" spans="1:7" x14ac:dyDescent="0.25">
      <c r="A2597">
        <v>8685</v>
      </c>
      <c r="B2597" t="str">
        <f>"N-(t-butyl)-O-3-dimethyl ureylfenylcarbamaat"</f>
        <v>N-(t-butyl)-O-3-dimethyl ureylfenylcarbamaat</v>
      </c>
      <c r="C2597" t="s">
        <v>19016</v>
      </c>
      <c r="D2597" t="str">
        <f>""</f>
        <v/>
      </c>
      <c r="E2597" t="str">
        <f t="shared" si="130"/>
        <v xml:space="preserve">Organische parameters </v>
      </c>
      <c r="F2597" t="str">
        <f t="shared" si="127"/>
        <v xml:space="preserve">Pesticiden en metabolieten </v>
      </c>
      <c r="G2597" t="str">
        <f t="shared" si="129"/>
        <v xml:space="preserve">Pesticiden en humaan toxicologisch relevante metabolieten </v>
      </c>
    </row>
    <row r="2598" spans="1:7" x14ac:dyDescent="0.25">
      <c r="A2598">
        <v>8686</v>
      </c>
      <c r="B2598" t="str">
        <f>"sebutylazine"</f>
        <v>sebutylazine</v>
      </c>
      <c r="C2598" t="s">
        <v>19016</v>
      </c>
      <c r="D2598" t="str">
        <f>"7286-69-3"</f>
        <v>7286-69-3</v>
      </c>
      <c r="E2598" t="str">
        <f t="shared" si="130"/>
        <v xml:space="preserve">Organische parameters </v>
      </c>
      <c r="F2598" t="str">
        <f t="shared" si="127"/>
        <v xml:space="preserve">Pesticiden en metabolieten </v>
      </c>
      <c r="G2598" t="str">
        <f t="shared" si="129"/>
        <v xml:space="preserve">Pesticiden en humaan toxicologisch relevante metabolieten </v>
      </c>
    </row>
    <row r="2599" spans="1:7" x14ac:dyDescent="0.25">
      <c r="A2599">
        <v>8688</v>
      </c>
      <c r="B2599" t="str">
        <f>"terbucarb"</f>
        <v>terbucarb</v>
      </c>
      <c r="C2599" t="s">
        <v>19016</v>
      </c>
      <c r="D2599" t="str">
        <f>"2-11-1918"</f>
        <v>2-11-1918</v>
      </c>
      <c r="E2599" t="str">
        <f t="shared" si="130"/>
        <v xml:space="preserve">Organische parameters </v>
      </c>
      <c r="F2599" t="str">
        <f t="shared" si="127"/>
        <v xml:space="preserve">Pesticiden en metabolieten </v>
      </c>
      <c r="G2599" t="str">
        <f t="shared" si="129"/>
        <v xml:space="preserve">Pesticiden en humaan toxicologisch relevante metabolieten </v>
      </c>
    </row>
    <row r="2600" spans="1:7" x14ac:dyDescent="0.25">
      <c r="A2600">
        <v>8689</v>
      </c>
      <c r="B2600" t="str">
        <f>"haloxyfop-methyl"</f>
        <v>haloxyfop-methyl</v>
      </c>
      <c r="C2600" t="s">
        <v>19016</v>
      </c>
      <c r="D2600" t="str">
        <f>"69806-40-2"</f>
        <v>69806-40-2</v>
      </c>
      <c r="E2600" t="str">
        <f t="shared" si="130"/>
        <v xml:space="preserve">Organische parameters </v>
      </c>
      <c r="F2600" t="str">
        <f t="shared" si="127"/>
        <v xml:space="preserve">Pesticiden en metabolieten </v>
      </c>
      <c r="G2600" t="str">
        <f t="shared" si="129"/>
        <v xml:space="preserve">Pesticiden en humaan toxicologisch relevante metabolieten </v>
      </c>
    </row>
    <row r="2601" spans="1:7" x14ac:dyDescent="0.25">
      <c r="A2601">
        <v>8690</v>
      </c>
      <c r="B2601" t="str">
        <f>"difenoconazool"</f>
        <v>difenoconazool</v>
      </c>
      <c r="C2601" t="s">
        <v>19016</v>
      </c>
      <c r="D2601" t="str">
        <f>"119446-68-3"</f>
        <v>119446-68-3</v>
      </c>
      <c r="E2601" t="str">
        <f t="shared" si="130"/>
        <v xml:space="preserve">Organische parameters </v>
      </c>
      <c r="F2601" t="str">
        <f t="shared" si="127"/>
        <v xml:space="preserve">Pesticiden en metabolieten </v>
      </c>
      <c r="G2601" t="str">
        <f t="shared" si="129"/>
        <v xml:space="preserve">Pesticiden en humaan toxicologisch relevante metabolieten </v>
      </c>
    </row>
    <row r="2602" spans="1:7" x14ac:dyDescent="0.25">
      <c r="A2602">
        <v>8691</v>
      </c>
      <c r="B2602" t="str">
        <f>"pyridaben"</f>
        <v>pyridaben</v>
      </c>
      <c r="C2602" t="s">
        <v>19016</v>
      </c>
      <c r="D2602" t="str">
        <f>"96489-71-3"</f>
        <v>96489-71-3</v>
      </c>
      <c r="E2602" t="str">
        <f t="shared" si="130"/>
        <v xml:space="preserve">Organische parameters </v>
      </c>
      <c r="F2602" t="str">
        <f t="shared" si="127"/>
        <v xml:space="preserve">Pesticiden en metabolieten </v>
      </c>
      <c r="G2602" t="str">
        <f t="shared" si="129"/>
        <v xml:space="preserve">Pesticiden en humaan toxicologisch relevante metabolieten </v>
      </c>
    </row>
    <row r="2603" spans="1:7" x14ac:dyDescent="0.25">
      <c r="A2603">
        <v>8692</v>
      </c>
      <c r="B2603" t="str">
        <f>"pyriproxyfen"</f>
        <v>pyriproxyfen</v>
      </c>
      <c r="C2603" t="s">
        <v>19016</v>
      </c>
      <c r="D2603" t="str">
        <f>"95737-68-1"</f>
        <v>95737-68-1</v>
      </c>
      <c r="E2603" t="str">
        <f t="shared" si="130"/>
        <v xml:space="preserve">Organische parameters </v>
      </c>
      <c r="F2603" t="str">
        <f t="shared" si="127"/>
        <v xml:space="preserve">Pesticiden en metabolieten </v>
      </c>
      <c r="G2603" t="str">
        <f t="shared" si="129"/>
        <v xml:space="preserve">Pesticiden en humaan toxicologisch relevante metabolieten </v>
      </c>
    </row>
    <row r="2604" spans="1:7" x14ac:dyDescent="0.25">
      <c r="A2604">
        <v>8693</v>
      </c>
      <c r="B2604" t="str">
        <f>"fenuron"</f>
        <v>fenuron</v>
      </c>
      <c r="C2604" t="s">
        <v>19016</v>
      </c>
      <c r="D2604" t="str">
        <f>"101-42-8"</f>
        <v>101-42-8</v>
      </c>
      <c r="E2604" t="str">
        <f t="shared" si="130"/>
        <v xml:space="preserve">Organische parameters </v>
      </c>
      <c r="F2604" t="str">
        <f t="shared" si="127"/>
        <v xml:space="preserve">Pesticiden en metabolieten </v>
      </c>
      <c r="G2604" t="str">
        <f t="shared" si="129"/>
        <v xml:space="preserve">Pesticiden en humaan toxicologisch relevante metabolieten </v>
      </c>
    </row>
    <row r="2605" spans="1:7" x14ac:dyDescent="0.25">
      <c r="A2605">
        <v>8694</v>
      </c>
      <c r="B2605" t="str">
        <f>"fluazinam"</f>
        <v>fluazinam</v>
      </c>
      <c r="C2605" t="s">
        <v>19016</v>
      </c>
      <c r="D2605" t="str">
        <f>"79622-59-6"</f>
        <v>79622-59-6</v>
      </c>
      <c r="E2605" t="str">
        <f t="shared" si="130"/>
        <v xml:space="preserve">Organische parameters </v>
      </c>
      <c r="F2605" t="str">
        <f t="shared" si="127"/>
        <v xml:space="preserve">Pesticiden en metabolieten </v>
      </c>
      <c r="G2605" t="str">
        <f t="shared" si="129"/>
        <v xml:space="preserve">Pesticiden en humaan toxicologisch relevante metabolieten </v>
      </c>
    </row>
    <row r="2606" spans="1:7" x14ac:dyDescent="0.25">
      <c r="A2606">
        <v>8695</v>
      </c>
      <c r="B2606" t="str">
        <f>"chlooroxynil"</f>
        <v>chlooroxynil</v>
      </c>
      <c r="C2606" t="s">
        <v>19016</v>
      </c>
      <c r="D2606" t="str">
        <f>"1891-95-8"</f>
        <v>1891-95-8</v>
      </c>
      <c r="E2606" t="str">
        <f t="shared" si="130"/>
        <v xml:space="preserve">Organische parameters </v>
      </c>
      <c r="F2606" t="str">
        <f t="shared" si="127"/>
        <v xml:space="preserve">Pesticiden en metabolieten </v>
      </c>
      <c r="G2606" t="str">
        <f t="shared" si="129"/>
        <v xml:space="preserve">Pesticiden en humaan toxicologisch relevante metabolieten </v>
      </c>
    </row>
    <row r="2607" spans="1:7" x14ac:dyDescent="0.25">
      <c r="A2607">
        <v>8696</v>
      </c>
      <c r="B2607" t="str">
        <f>"cycloxydim"</f>
        <v>cycloxydim</v>
      </c>
      <c r="C2607" t="s">
        <v>19016</v>
      </c>
      <c r="D2607" t="str">
        <f>"101205-02-1"</f>
        <v>101205-02-1</v>
      </c>
      <c r="E2607" t="str">
        <f t="shared" si="130"/>
        <v xml:space="preserve">Organische parameters </v>
      </c>
      <c r="F2607" t="str">
        <f t="shared" si="127"/>
        <v xml:space="preserve">Pesticiden en metabolieten </v>
      </c>
      <c r="G2607" t="str">
        <f t="shared" si="129"/>
        <v xml:space="preserve">Pesticiden en humaan toxicologisch relevante metabolieten </v>
      </c>
    </row>
    <row r="2608" spans="1:7" x14ac:dyDescent="0.25">
      <c r="A2608">
        <v>8697</v>
      </c>
      <c r="B2608" t="str">
        <f>"abamectine"</f>
        <v>abamectine</v>
      </c>
      <c r="C2608" t="s">
        <v>19016</v>
      </c>
      <c r="D2608" t="str">
        <f>"71751-41-2"</f>
        <v>71751-41-2</v>
      </c>
      <c r="E2608" t="str">
        <f t="shared" si="130"/>
        <v xml:space="preserve">Organische parameters </v>
      </c>
      <c r="F2608" t="str">
        <f t="shared" si="127"/>
        <v xml:space="preserve">Pesticiden en metabolieten </v>
      </c>
      <c r="G2608" t="str">
        <f t="shared" si="129"/>
        <v xml:space="preserve">Pesticiden en humaan toxicologisch relevante metabolieten </v>
      </c>
    </row>
    <row r="2609" spans="1:7" x14ac:dyDescent="0.25">
      <c r="A2609">
        <v>8698</v>
      </c>
      <c r="B2609" t="str">
        <f>"azaconazool"</f>
        <v>azaconazool</v>
      </c>
      <c r="C2609" t="s">
        <v>19016</v>
      </c>
      <c r="D2609" t="str">
        <f>"60207-31-0"</f>
        <v>60207-31-0</v>
      </c>
      <c r="E2609" t="str">
        <f t="shared" si="130"/>
        <v xml:space="preserve">Organische parameters </v>
      </c>
      <c r="F2609" t="str">
        <f t="shared" si="127"/>
        <v xml:space="preserve">Pesticiden en metabolieten </v>
      </c>
      <c r="G2609" t="str">
        <f t="shared" si="129"/>
        <v xml:space="preserve">Pesticiden en humaan toxicologisch relevante metabolieten </v>
      </c>
    </row>
    <row r="2610" spans="1:7" x14ac:dyDescent="0.25">
      <c r="A2610">
        <v>8699</v>
      </c>
      <c r="B2610" t="str">
        <f>"azoxystrobine"</f>
        <v>azoxystrobine</v>
      </c>
      <c r="C2610" t="s">
        <v>19016</v>
      </c>
      <c r="D2610" t="str">
        <f>"131860-33-8"</f>
        <v>131860-33-8</v>
      </c>
      <c r="E2610" t="str">
        <f t="shared" si="130"/>
        <v xml:space="preserve">Organische parameters </v>
      </c>
      <c r="F2610" t="str">
        <f t="shared" ref="F2610:F2673" si="131">"Pesticiden en metabolieten "</f>
        <v xml:space="preserve">Pesticiden en metabolieten </v>
      </c>
      <c r="G2610" t="str">
        <f t="shared" si="129"/>
        <v xml:space="preserve">Pesticiden en humaan toxicologisch relevante metabolieten </v>
      </c>
    </row>
    <row r="2611" spans="1:7" x14ac:dyDescent="0.25">
      <c r="A2611">
        <v>8700</v>
      </c>
      <c r="B2611" t="str">
        <f>"cyprodinil"</f>
        <v>cyprodinil</v>
      </c>
      <c r="C2611" t="s">
        <v>19016</v>
      </c>
      <c r="D2611" t="str">
        <f>"121552-61-2"</f>
        <v>121552-61-2</v>
      </c>
      <c r="E2611" t="str">
        <f t="shared" si="130"/>
        <v xml:space="preserve">Organische parameters </v>
      </c>
      <c r="F2611" t="str">
        <f t="shared" si="131"/>
        <v xml:space="preserve">Pesticiden en metabolieten </v>
      </c>
      <c r="G2611" t="str">
        <f t="shared" si="129"/>
        <v xml:space="preserve">Pesticiden en humaan toxicologisch relevante metabolieten </v>
      </c>
    </row>
    <row r="2612" spans="1:7" x14ac:dyDescent="0.25">
      <c r="A2612">
        <v>8701</v>
      </c>
      <c r="B2612" t="str">
        <f>"imidaclopride"</f>
        <v>imidaclopride</v>
      </c>
      <c r="C2612" t="s">
        <v>19016</v>
      </c>
      <c r="D2612" t="str">
        <f>"138261-41-3"</f>
        <v>138261-41-3</v>
      </c>
      <c r="E2612" t="str">
        <f t="shared" si="130"/>
        <v xml:space="preserve">Organische parameters </v>
      </c>
      <c r="F2612" t="str">
        <f t="shared" si="131"/>
        <v xml:space="preserve">Pesticiden en metabolieten </v>
      </c>
      <c r="G2612" t="str">
        <f t="shared" si="129"/>
        <v xml:space="preserve">Pesticiden en humaan toxicologisch relevante metabolieten </v>
      </c>
    </row>
    <row r="2613" spans="1:7" x14ac:dyDescent="0.25">
      <c r="A2613">
        <v>8702</v>
      </c>
      <c r="B2613" t="str">
        <f>"nicosulfuron"</f>
        <v>nicosulfuron</v>
      </c>
      <c r="C2613" t="s">
        <v>19016</v>
      </c>
      <c r="D2613" t="str">
        <f>"111991-09-4"</f>
        <v>111991-09-4</v>
      </c>
      <c r="E2613" t="str">
        <f t="shared" si="130"/>
        <v xml:space="preserve">Organische parameters </v>
      </c>
      <c r="F2613" t="str">
        <f t="shared" si="131"/>
        <v xml:space="preserve">Pesticiden en metabolieten </v>
      </c>
      <c r="G2613" t="str">
        <f t="shared" ref="G2613:G2635" si="132">"Pesticiden en humaan toxicologisch relevante metabolieten "</f>
        <v xml:space="preserve">Pesticiden en humaan toxicologisch relevante metabolieten </v>
      </c>
    </row>
    <row r="2614" spans="1:7" x14ac:dyDescent="0.25">
      <c r="A2614">
        <v>8703</v>
      </c>
      <c r="B2614" t="str">
        <f>"pymetrozine"</f>
        <v>pymetrozine</v>
      </c>
      <c r="C2614" t="s">
        <v>19016</v>
      </c>
      <c r="D2614" t="str">
        <f>"123312-89-0"</f>
        <v>123312-89-0</v>
      </c>
      <c r="E2614" t="str">
        <f t="shared" si="130"/>
        <v xml:space="preserve">Organische parameters </v>
      </c>
      <c r="F2614" t="str">
        <f t="shared" si="131"/>
        <v xml:space="preserve">Pesticiden en metabolieten </v>
      </c>
      <c r="G2614" t="str">
        <f t="shared" si="132"/>
        <v xml:space="preserve">Pesticiden en humaan toxicologisch relevante metabolieten </v>
      </c>
    </row>
    <row r="2615" spans="1:7" x14ac:dyDescent="0.25">
      <c r="A2615">
        <v>8704</v>
      </c>
      <c r="B2615" t="str">
        <f>"sulcotrione"</f>
        <v>sulcotrione</v>
      </c>
      <c r="C2615" t="s">
        <v>19016</v>
      </c>
      <c r="D2615" t="str">
        <f>"99105-77-8"</f>
        <v>99105-77-8</v>
      </c>
      <c r="E2615" t="str">
        <f t="shared" si="130"/>
        <v xml:space="preserve">Organische parameters </v>
      </c>
      <c r="F2615" t="str">
        <f t="shared" si="131"/>
        <v xml:space="preserve">Pesticiden en metabolieten </v>
      </c>
      <c r="G2615" t="str">
        <f t="shared" si="132"/>
        <v xml:space="preserve">Pesticiden en humaan toxicologisch relevante metabolieten </v>
      </c>
    </row>
    <row r="2616" spans="1:7" x14ac:dyDescent="0.25">
      <c r="A2616">
        <v>8705</v>
      </c>
      <c r="B2616" t="str">
        <f>"amidosulfuron"</f>
        <v>amidosulfuron</v>
      </c>
      <c r="C2616" t="s">
        <v>19016</v>
      </c>
      <c r="D2616" t="str">
        <f>"120923-37-7"</f>
        <v>120923-37-7</v>
      </c>
      <c r="E2616" t="str">
        <f t="shared" si="130"/>
        <v xml:space="preserve">Organische parameters </v>
      </c>
      <c r="F2616" t="str">
        <f t="shared" si="131"/>
        <v xml:space="preserve">Pesticiden en metabolieten </v>
      </c>
      <c r="G2616" t="str">
        <f t="shared" si="132"/>
        <v xml:space="preserve">Pesticiden en humaan toxicologisch relevante metabolieten </v>
      </c>
    </row>
    <row r="2617" spans="1:7" x14ac:dyDescent="0.25">
      <c r="A2617">
        <v>8706</v>
      </c>
      <c r="B2617" t="str">
        <f>"azimsulfuron"</f>
        <v>azimsulfuron</v>
      </c>
      <c r="C2617" t="s">
        <v>19016</v>
      </c>
      <c r="D2617" t="str">
        <f>"120162-55-2"</f>
        <v>120162-55-2</v>
      </c>
      <c r="E2617" t="str">
        <f t="shared" si="130"/>
        <v xml:space="preserve">Organische parameters </v>
      </c>
      <c r="F2617" t="str">
        <f t="shared" si="131"/>
        <v xml:space="preserve">Pesticiden en metabolieten </v>
      </c>
      <c r="G2617" t="str">
        <f t="shared" si="132"/>
        <v xml:space="preserve">Pesticiden en humaan toxicologisch relevante metabolieten </v>
      </c>
    </row>
    <row r="2618" spans="1:7" x14ac:dyDescent="0.25">
      <c r="A2618">
        <v>8707</v>
      </c>
      <c r="B2618" t="str">
        <f>"clomazone"</f>
        <v>clomazone</v>
      </c>
      <c r="C2618" t="s">
        <v>19016</v>
      </c>
      <c r="D2618" t="str">
        <f>"81777-89-1"</f>
        <v>81777-89-1</v>
      </c>
      <c r="E2618" t="str">
        <f t="shared" si="130"/>
        <v xml:space="preserve">Organische parameters </v>
      </c>
      <c r="F2618" t="str">
        <f t="shared" si="131"/>
        <v xml:space="preserve">Pesticiden en metabolieten </v>
      </c>
      <c r="G2618" t="str">
        <f t="shared" si="132"/>
        <v xml:space="preserve">Pesticiden en humaan toxicologisch relevante metabolieten </v>
      </c>
    </row>
    <row r="2619" spans="1:7" x14ac:dyDescent="0.25">
      <c r="A2619">
        <v>8708</v>
      </c>
      <c r="B2619" t="str">
        <f>"dimethenamid-p"</f>
        <v>dimethenamid-p</v>
      </c>
      <c r="C2619" t="s">
        <v>19016</v>
      </c>
      <c r="D2619" t="str">
        <f>"163515-14-8"</f>
        <v>163515-14-8</v>
      </c>
      <c r="E2619" t="str">
        <f t="shared" si="130"/>
        <v xml:space="preserve">Organische parameters </v>
      </c>
      <c r="F2619" t="str">
        <f t="shared" si="131"/>
        <v xml:space="preserve">Pesticiden en metabolieten </v>
      </c>
      <c r="G2619" t="str">
        <f t="shared" si="132"/>
        <v xml:space="preserve">Pesticiden en humaan toxicologisch relevante metabolieten </v>
      </c>
    </row>
    <row r="2620" spans="1:7" x14ac:dyDescent="0.25">
      <c r="A2620">
        <v>8709</v>
      </c>
      <c r="B2620" t="str">
        <f>"ethoxysulfuron"</f>
        <v>ethoxysulfuron</v>
      </c>
      <c r="C2620" t="s">
        <v>19016</v>
      </c>
      <c r="D2620" t="str">
        <f>"126801-58-9"</f>
        <v>126801-58-9</v>
      </c>
      <c r="E2620" t="str">
        <f t="shared" si="130"/>
        <v xml:space="preserve">Organische parameters </v>
      </c>
      <c r="F2620" t="str">
        <f t="shared" si="131"/>
        <v xml:space="preserve">Pesticiden en metabolieten </v>
      </c>
      <c r="G2620" t="str">
        <f t="shared" si="132"/>
        <v xml:space="preserve">Pesticiden en humaan toxicologisch relevante metabolieten </v>
      </c>
    </row>
    <row r="2621" spans="1:7" x14ac:dyDescent="0.25">
      <c r="A2621">
        <v>8710</v>
      </c>
      <c r="B2621" t="str">
        <f>"florasulam"</f>
        <v>florasulam</v>
      </c>
      <c r="C2621" t="s">
        <v>19016</v>
      </c>
      <c r="D2621" t="str">
        <f>"145701-23-1"</f>
        <v>145701-23-1</v>
      </c>
      <c r="E2621" t="str">
        <f t="shared" si="130"/>
        <v xml:space="preserve">Organische parameters </v>
      </c>
      <c r="F2621" t="str">
        <f t="shared" si="131"/>
        <v xml:space="preserve">Pesticiden en metabolieten </v>
      </c>
      <c r="G2621" t="str">
        <f t="shared" si="132"/>
        <v xml:space="preserve">Pesticiden en humaan toxicologisch relevante metabolieten </v>
      </c>
    </row>
    <row r="2622" spans="1:7" x14ac:dyDescent="0.25">
      <c r="A2622">
        <v>8711</v>
      </c>
      <c r="B2622" t="str">
        <f>"foramsulfuron"</f>
        <v>foramsulfuron</v>
      </c>
      <c r="C2622" t="s">
        <v>19016</v>
      </c>
      <c r="D2622" t="str">
        <f>"173159-57-4"</f>
        <v>173159-57-4</v>
      </c>
      <c r="E2622" t="str">
        <f t="shared" si="130"/>
        <v xml:space="preserve">Organische parameters </v>
      </c>
      <c r="F2622" t="str">
        <f t="shared" si="131"/>
        <v xml:space="preserve">Pesticiden en metabolieten </v>
      </c>
      <c r="G2622" t="str">
        <f t="shared" si="132"/>
        <v xml:space="preserve">Pesticiden en humaan toxicologisch relevante metabolieten </v>
      </c>
    </row>
    <row r="2623" spans="1:7" x14ac:dyDescent="0.25">
      <c r="A2623">
        <v>8712</v>
      </c>
      <c r="B2623" t="str">
        <f>"fosthiazaat"</f>
        <v>fosthiazaat</v>
      </c>
      <c r="C2623" t="s">
        <v>19016</v>
      </c>
      <c r="D2623" t="str">
        <f>"98886-44-3"</f>
        <v>98886-44-3</v>
      </c>
      <c r="E2623" t="str">
        <f t="shared" si="130"/>
        <v xml:space="preserve">Organische parameters </v>
      </c>
      <c r="F2623" t="str">
        <f t="shared" si="131"/>
        <v xml:space="preserve">Pesticiden en metabolieten </v>
      </c>
      <c r="G2623" t="str">
        <f t="shared" si="132"/>
        <v xml:space="preserve">Pesticiden en humaan toxicologisch relevante metabolieten </v>
      </c>
    </row>
    <row r="2624" spans="1:7" x14ac:dyDescent="0.25">
      <c r="A2624">
        <v>8714</v>
      </c>
      <c r="B2624" t="str">
        <f>"iodosulfuron-methyl-natrium"</f>
        <v>iodosulfuron-methyl-natrium</v>
      </c>
      <c r="C2624" t="s">
        <v>19016</v>
      </c>
      <c r="D2624" t="str">
        <f>"144550-36-7"</f>
        <v>144550-36-7</v>
      </c>
      <c r="E2624" t="str">
        <f t="shared" si="130"/>
        <v xml:space="preserve">Organische parameters </v>
      </c>
      <c r="F2624" t="str">
        <f t="shared" si="131"/>
        <v xml:space="preserve">Pesticiden en metabolieten </v>
      </c>
      <c r="G2624" t="str">
        <f t="shared" si="132"/>
        <v xml:space="preserve">Pesticiden en humaan toxicologisch relevante metabolieten </v>
      </c>
    </row>
    <row r="2625" spans="1:7" x14ac:dyDescent="0.25">
      <c r="A2625">
        <v>8715</v>
      </c>
      <c r="B2625" t="str">
        <f>"mefenpyr-dietyl"</f>
        <v>mefenpyr-dietyl</v>
      </c>
      <c r="C2625" t="s">
        <v>19016</v>
      </c>
      <c r="D2625" t="str">
        <f>"135590-91-9"</f>
        <v>135590-91-9</v>
      </c>
      <c r="E2625" t="str">
        <f t="shared" si="130"/>
        <v xml:space="preserve">Organische parameters </v>
      </c>
      <c r="F2625" t="str">
        <f t="shared" si="131"/>
        <v xml:space="preserve">Pesticiden en metabolieten </v>
      </c>
      <c r="G2625" t="str">
        <f t="shared" si="132"/>
        <v xml:space="preserve">Pesticiden en humaan toxicologisch relevante metabolieten </v>
      </c>
    </row>
    <row r="2626" spans="1:7" x14ac:dyDescent="0.25">
      <c r="A2626">
        <v>8716</v>
      </c>
      <c r="B2626" t="str">
        <f>"mesotrion"</f>
        <v>mesotrion</v>
      </c>
      <c r="C2626" t="s">
        <v>19016</v>
      </c>
      <c r="D2626" t="str">
        <f>"104206-82-8"</f>
        <v>104206-82-8</v>
      </c>
      <c r="E2626" t="str">
        <f t="shared" si="130"/>
        <v xml:space="preserve">Organische parameters </v>
      </c>
      <c r="F2626" t="str">
        <f t="shared" si="131"/>
        <v xml:space="preserve">Pesticiden en metabolieten </v>
      </c>
      <c r="G2626" t="str">
        <f t="shared" si="132"/>
        <v xml:space="preserve">Pesticiden en humaan toxicologisch relevante metabolieten </v>
      </c>
    </row>
    <row r="2627" spans="1:7" x14ac:dyDescent="0.25">
      <c r="A2627">
        <v>8718</v>
      </c>
      <c r="B2627" t="str">
        <f>"oxasulfuron"</f>
        <v>oxasulfuron</v>
      </c>
      <c r="C2627" t="s">
        <v>19016</v>
      </c>
      <c r="D2627" t="str">
        <f>"144651-06-9"</f>
        <v>144651-06-9</v>
      </c>
      <c r="E2627" t="str">
        <f t="shared" si="130"/>
        <v xml:space="preserve">Organische parameters </v>
      </c>
      <c r="F2627" t="str">
        <f t="shared" si="131"/>
        <v xml:space="preserve">Pesticiden en metabolieten </v>
      </c>
      <c r="G2627" t="str">
        <f t="shared" si="132"/>
        <v xml:space="preserve">Pesticiden en humaan toxicologisch relevante metabolieten </v>
      </c>
    </row>
    <row r="2628" spans="1:7" x14ac:dyDescent="0.25">
      <c r="A2628">
        <v>8719</v>
      </c>
      <c r="B2628" t="str">
        <f>"prosulfuron"</f>
        <v>prosulfuron</v>
      </c>
      <c r="C2628" t="s">
        <v>19016</v>
      </c>
      <c r="D2628" t="str">
        <f>"94125-34-5"</f>
        <v>94125-34-5</v>
      </c>
      <c r="E2628" t="str">
        <f t="shared" si="130"/>
        <v xml:space="preserve">Organische parameters </v>
      </c>
      <c r="F2628" t="str">
        <f t="shared" si="131"/>
        <v xml:space="preserve">Pesticiden en metabolieten </v>
      </c>
      <c r="G2628" t="str">
        <f t="shared" si="132"/>
        <v xml:space="preserve">Pesticiden en humaan toxicologisch relevante metabolieten </v>
      </c>
    </row>
    <row r="2629" spans="1:7" x14ac:dyDescent="0.25">
      <c r="A2629">
        <v>8722</v>
      </c>
      <c r="B2629" t="str">
        <f>"pyraclostrobin"</f>
        <v>pyraclostrobin</v>
      </c>
      <c r="C2629" t="s">
        <v>19016</v>
      </c>
      <c r="D2629" t="str">
        <f>"175013-18-0"</f>
        <v>175013-18-0</v>
      </c>
      <c r="E2629" t="str">
        <f t="shared" si="130"/>
        <v xml:space="preserve">Organische parameters </v>
      </c>
      <c r="F2629" t="str">
        <f t="shared" si="131"/>
        <v xml:space="preserve">Pesticiden en metabolieten </v>
      </c>
      <c r="G2629" t="str">
        <f t="shared" si="132"/>
        <v xml:space="preserve">Pesticiden en humaan toxicologisch relevante metabolieten </v>
      </c>
    </row>
    <row r="2630" spans="1:7" x14ac:dyDescent="0.25">
      <c r="A2630">
        <v>8723</v>
      </c>
      <c r="B2630" t="str">
        <f>"rimsulfuron"</f>
        <v>rimsulfuron</v>
      </c>
      <c r="C2630" t="s">
        <v>19016</v>
      </c>
      <c r="D2630" t="str">
        <f>"122931-48-0"</f>
        <v>122931-48-0</v>
      </c>
      <c r="E2630" t="str">
        <f t="shared" si="130"/>
        <v xml:space="preserve">Organische parameters </v>
      </c>
      <c r="F2630" t="str">
        <f t="shared" si="131"/>
        <v xml:space="preserve">Pesticiden en metabolieten </v>
      </c>
      <c r="G2630" t="str">
        <f t="shared" si="132"/>
        <v xml:space="preserve">Pesticiden en humaan toxicologisch relevante metabolieten </v>
      </c>
    </row>
    <row r="2631" spans="1:7" x14ac:dyDescent="0.25">
      <c r="A2631">
        <v>8725</v>
      </c>
      <c r="B2631" t="str">
        <f>"sulfosulfuron"</f>
        <v>sulfosulfuron</v>
      </c>
      <c r="C2631" t="s">
        <v>19016</v>
      </c>
      <c r="D2631" t="str">
        <f>"141776-32-1"</f>
        <v>141776-32-1</v>
      </c>
      <c r="E2631" t="str">
        <f t="shared" si="130"/>
        <v xml:space="preserve">Organische parameters </v>
      </c>
      <c r="F2631" t="str">
        <f t="shared" si="131"/>
        <v xml:space="preserve">Pesticiden en metabolieten </v>
      </c>
      <c r="G2631" t="str">
        <f t="shared" si="132"/>
        <v xml:space="preserve">Pesticiden en humaan toxicologisch relevante metabolieten </v>
      </c>
    </row>
    <row r="2632" spans="1:7" x14ac:dyDescent="0.25">
      <c r="A2632">
        <v>8726</v>
      </c>
      <c r="B2632" t="str">
        <f>"thiacloprid"</f>
        <v>thiacloprid</v>
      </c>
      <c r="C2632" t="s">
        <v>19016</v>
      </c>
      <c r="D2632" t="str">
        <f>"111988-49-9"</f>
        <v>111988-49-9</v>
      </c>
      <c r="E2632" t="str">
        <f t="shared" si="130"/>
        <v xml:space="preserve">Organische parameters </v>
      </c>
      <c r="F2632" t="str">
        <f t="shared" si="131"/>
        <v xml:space="preserve">Pesticiden en metabolieten </v>
      </c>
      <c r="G2632" t="str">
        <f t="shared" si="132"/>
        <v xml:space="preserve">Pesticiden en humaan toxicologisch relevante metabolieten </v>
      </c>
    </row>
    <row r="2633" spans="1:7" x14ac:dyDescent="0.25">
      <c r="A2633">
        <v>8727</v>
      </c>
      <c r="B2633" t="str">
        <f>"triflusulfuron-methyl"</f>
        <v>triflusulfuron-methyl</v>
      </c>
      <c r="C2633" t="s">
        <v>19016</v>
      </c>
      <c r="D2633" t="str">
        <f>"126535-15-7"</f>
        <v>126535-15-7</v>
      </c>
      <c r="E2633" t="str">
        <f t="shared" si="130"/>
        <v xml:space="preserve">Organische parameters </v>
      </c>
      <c r="F2633" t="str">
        <f t="shared" si="131"/>
        <v xml:space="preserve">Pesticiden en metabolieten </v>
      </c>
      <c r="G2633" t="str">
        <f t="shared" si="132"/>
        <v xml:space="preserve">Pesticiden en humaan toxicologisch relevante metabolieten </v>
      </c>
    </row>
    <row r="2634" spans="1:7" x14ac:dyDescent="0.25">
      <c r="A2634">
        <v>8728</v>
      </c>
      <c r="B2634" t="str">
        <f>"demeton-O"</f>
        <v>demeton-O</v>
      </c>
      <c r="C2634" t="s">
        <v>19016</v>
      </c>
      <c r="D2634" t="str">
        <f>"298-03-3"</f>
        <v>298-03-3</v>
      </c>
      <c r="E2634" t="str">
        <f t="shared" si="130"/>
        <v xml:space="preserve">Organische parameters </v>
      </c>
      <c r="F2634" t="str">
        <f t="shared" si="131"/>
        <v xml:space="preserve">Pesticiden en metabolieten </v>
      </c>
      <c r="G2634" t="str">
        <f t="shared" si="132"/>
        <v xml:space="preserve">Pesticiden en humaan toxicologisch relevante metabolieten </v>
      </c>
    </row>
    <row r="2635" spans="1:7" x14ac:dyDescent="0.25">
      <c r="A2635">
        <v>8729</v>
      </c>
      <c r="B2635" t="str">
        <f>"tritosulfuron"</f>
        <v>tritosulfuron</v>
      </c>
      <c r="C2635" t="s">
        <v>19016</v>
      </c>
      <c r="D2635" t="str">
        <f>"142469-14-5"</f>
        <v>142469-14-5</v>
      </c>
      <c r="E2635" t="str">
        <f t="shared" si="130"/>
        <v xml:space="preserve">Organische parameters </v>
      </c>
      <c r="F2635" t="str">
        <f t="shared" si="131"/>
        <v xml:space="preserve">Pesticiden en metabolieten </v>
      </c>
      <c r="G2635" t="str">
        <f t="shared" si="132"/>
        <v xml:space="preserve">Pesticiden en humaan toxicologisch relevante metabolieten </v>
      </c>
    </row>
    <row r="2636" spans="1:7" x14ac:dyDescent="0.25">
      <c r="A2636">
        <v>8730</v>
      </c>
      <c r="B2636" t="str">
        <f>"methyl-desfenylchloridazon"</f>
        <v>methyl-desfenylchloridazon</v>
      </c>
      <c r="C2636" t="s">
        <v>19016</v>
      </c>
      <c r="D2636" t="str">
        <f>"17254-80-7"</f>
        <v>17254-80-7</v>
      </c>
      <c r="E2636" t="str">
        <f t="shared" si="130"/>
        <v xml:space="preserve">Organische parameters </v>
      </c>
      <c r="F2636" t="str">
        <f t="shared" si="131"/>
        <v xml:space="preserve">Pesticiden en metabolieten </v>
      </c>
      <c r="G2636" t="str">
        <f>"Niet humaan toxicologisch relevante metabolieten "</f>
        <v xml:space="preserve">Niet humaan toxicologisch relevante metabolieten </v>
      </c>
    </row>
    <row r="2637" spans="1:7" x14ac:dyDescent="0.25">
      <c r="A2637">
        <v>8731</v>
      </c>
      <c r="B2637" t="str">
        <f>"N,N-dimethylaminosulfanilide (DMSA)"</f>
        <v>N,N-dimethylaminosulfanilide (DMSA)</v>
      </c>
      <c r="C2637" t="s">
        <v>19016</v>
      </c>
      <c r="D2637" t="str">
        <f>"4710-17-2"</f>
        <v>4710-17-2</v>
      </c>
      <c r="E2637" t="str">
        <f t="shared" si="130"/>
        <v xml:space="preserve">Organische parameters </v>
      </c>
      <c r="F2637" t="str">
        <f t="shared" si="131"/>
        <v xml:space="preserve">Pesticiden en metabolieten </v>
      </c>
      <c r="G2637" t="str">
        <f>"Niet humaan toxicologisch relevante metabolieten "</f>
        <v xml:space="preserve">Niet humaan toxicologisch relevante metabolieten </v>
      </c>
    </row>
    <row r="2638" spans="1:7" x14ac:dyDescent="0.25">
      <c r="A2638">
        <v>8732</v>
      </c>
      <c r="B2638" t="str">
        <f>"desfenylchloridazon"</f>
        <v>desfenylchloridazon</v>
      </c>
      <c r="C2638" t="s">
        <v>19016</v>
      </c>
      <c r="D2638" t="str">
        <f>"6339-19-1"</f>
        <v>6339-19-1</v>
      </c>
      <c r="E2638" t="str">
        <f t="shared" si="130"/>
        <v xml:space="preserve">Organische parameters </v>
      </c>
      <c r="F2638" t="str">
        <f t="shared" si="131"/>
        <v xml:space="preserve">Pesticiden en metabolieten </v>
      </c>
      <c r="G2638" t="str">
        <f>"Niet humaan toxicologisch relevante metabolieten "</f>
        <v xml:space="preserve">Niet humaan toxicologisch relevante metabolieten </v>
      </c>
    </row>
    <row r="2639" spans="1:7" x14ac:dyDescent="0.25">
      <c r="A2639">
        <v>8733</v>
      </c>
      <c r="B2639" t="str">
        <f>"2,3-dinitrofenol"</f>
        <v>2,3-dinitrofenol</v>
      </c>
      <c r="C2639" t="s">
        <v>19016</v>
      </c>
      <c r="D2639" t="str">
        <f>"66-56-8"</f>
        <v>66-56-8</v>
      </c>
      <c r="E2639" t="str">
        <f t="shared" si="130"/>
        <v xml:space="preserve">Organische parameters </v>
      </c>
      <c r="F2639" t="str">
        <f t="shared" si="131"/>
        <v xml:space="preserve">Pesticiden en metabolieten </v>
      </c>
      <c r="G2639" t="str">
        <f t="shared" ref="G2639:G2702" si="133">"Pesticiden en humaan toxicologisch relevante metabolieten "</f>
        <v xml:space="preserve">Pesticiden en humaan toxicologisch relevante metabolieten </v>
      </c>
    </row>
    <row r="2640" spans="1:7" x14ac:dyDescent="0.25">
      <c r="A2640">
        <v>8734</v>
      </c>
      <c r="B2640" t="str">
        <f>"metalaxyl-M"</f>
        <v>metalaxyl-M</v>
      </c>
      <c r="C2640" t="s">
        <v>19016</v>
      </c>
      <c r="D2640" t="str">
        <f>"70630-17-0"</f>
        <v>70630-17-0</v>
      </c>
      <c r="E2640" t="str">
        <f t="shared" si="130"/>
        <v xml:space="preserve">Organische parameters </v>
      </c>
      <c r="F2640" t="str">
        <f t="shared" si="131"/>
        <v xml:space="preserve">Pesticiden en metabolieten </v>
      </c>
      <c r="G2640" t="str">
        <f t="shared" si="133"/>
        <v xml:space="preserve">Pesticiden en humaan toxicologisch relevante metabolieten </v>
      </c>
    </row>
    <row r="2641" spans="1:7" x14ac:dyDescent="0.25">
      <c r="A2641">
        <v>8735</v>
      </c>
      <c r="B2641" t="str">
        <f>"S-metolachloor"</f>
        <v>S-metolachloor</v>
      </c>
      <c r="C2641" t="s">
        <v>19016</v>
      </c>
      <c r="D2641" t="str">
        <f>"87392-12-9"</f>
        <v>87392-12-9</v>
      </c>
      <c r="E2641" t="str">
        <f t="shared" si="130"/>
        <v xml:space="preserve">Organische parameters </v>
      </c>
      <c r="F2641" t="str">
        <f t="shared" si="131"/>
        <v xml:space="preserve">Pesticiden en metabolieten </v>
      </c>
      <c r="G2641" t="str">
        <f t="shared" si="133"/>
        <v xml:space="preserve">Pesticiden en humaan toxicologisch relevante metabolieten </v>
      </c>
    </row>
    <row r="2642" spans="1:7" x14ac:dyDescent="0.25">
      <c r="A2642">
        <v>8736</v>
      </c>
      <c r="B2642" t="str">
        <f>"lufenuron"</f>
        <v>lufenuron</v>
      </c>
      <c r="C2642" t="s">
        <v>19016</v>
      </c>
      <c r="D2642" t="str">
        <f>"103055-07-8"</f>
        <v>103055-07-8</v>
      </c>
      <c r="E2642" t="str">
        <f t="shared" si="130"/>
        <v xml:space="preserve">Organische parameters </v>
      </c>
      <c r="F2642" t="str">
        <f t="shared" si="131"/>
        <v xml:space="preserve">Pesticiden en metabolieten </v>
      </c>
      <c r="G2642" t="str">
        <f t="shared" si="133"/>
        <v xml:space="preserve">Pesticiden en humaan toxicologisch relevante metabolieten </v>
      </c>
    </row>
    <row r="2643" spans="1:7" x14ac:dyDescent="0.25">
      <c r="A2643">
        <v>8737</v>
      </c>
      <c r="B2643" t="str">
        <f>"picoxystrobin"</f>
        <v>picoxystrobin</v>
      </c>
      <c r="C2643" t="s">
        <v>19016</v>
      </c>
      <c r="D2643" t="str">
        <f>"117428-22-5"</f>
        <v>117428-22-5</v>
      </c>
      <c r="E2643" t="str">
        <f t="shared" si="130"/>
        <v xml:space="preserve">Organische parameters </v>
      </c>
      <c r="F2643" t="str">
        <f t="shared" si="131"/>
        <v xml:space="preserve">Pesticiden en metabolieten </v>
      </c>
      <c r="G2643" t="str">
        <f t="shared" si="133"/>
        <v xml:space="preserve">Pesticiden en humaan toxicologisch relevante metabolieten </v>
      </c>
    </row>
    <row r="2644" spans="1:7" x14ac:dyDescent="0.25">
      <c r="A2644">
        <v>8738</v>
      </c>
      <c r="B2644" t="str">
        <f>"fipronil"</f>
        <v>fipronil</v>
      </c>
      <c r="C2644" t="s">
        <v>19016</v>
      </c>
      <c r="D2644" t="str">
        <f>"120068-37-3"</f>
        <v>120068-37-3</v>
      </c>
      <c r="E2644" t="str">
        <f t="shared" si="130"/>
        <v xml:space="preserve">Organische parameters </v>
      </c>
      <c r="F2644" t="str">
        <f t="shared" si="131"/>
        <v xml:space="preserve">Pesticiden en metabolieten </v>
      </c>
      <c r="G2644" t="str">
        <f t="shared" si="133"/>
        <v xml:space="preserve">Pesticiden en humaan toxicologisch relevante metabolieten </v>
      </c>
    </row>
    <row r="2645" spans="1:7" x14ac:dyDescent="0.25">
      <c r="A2645">
        <v>8739</v>
      </c>
      <c r="B2645" t="str">
        <f>"trifloxystrobin"</f>
        <v>trifloxystrobin</v>
      </c>
      <c r="C2645" t="s">
        <v>19016</v>
      </c>
      <c r="D2645" t="str">
        <f>"141517-21-7"</f>
        <v>141517-21-7</v>
      </c>
      <c r="E2645" t="str">
        <f t="shared" si="130"/>
        <v xml:space="preserve">Organische parameters </v>
      </c>
      <c r="F2645" t="str">
        <f t="shared" si="131"/>
        <v xml:space="preserve">Pesticiden en metabolieten </v>
      </c>
      <c r="G2645" t="str">
        <f t="shared" si="133"/>
        <v xml:space="preserve">Pesticiden en humaan toxicologisch relevante metabolieten </v>
      </c>
    </row>
    <row r="2646" spans="1:7" x14ac:dyDescent="0.25">
      <c r="A2646">
        <v>8740</v>
      </c>
      <c r="B2646" t="str">
        <f>"spirodiclofen"</f>
        <v>spirodiclofen</v>
      </c>
      <c r="C2646" t="s">
        <v>19016</v>
      </c>
      <c r="D2646" t="str">
        <f>"148477-71-8"</f>
        <v>148477-71-8</v>
      </c>
      <c r="E2646" t="str">
        <f t="shared" si="130"/>
        <v xml:space="preserve">Organische parameters </v>
      </c>
      <c r="F2646" t="str">
        <f t="shared" si="131"/>
        <v xml:space="preserve">Pesticiden en metabolieten </v>
      </c>
      <c r="G2646" t="str">
        <f t="shared" si="133"/>
        <v xml:space="preserve">Pesticiden en humaan toxicologisch relevante metabolieten </v>
      </c>
    </row>
    <row r="2647" spans="1:7" x14ac:dyDescent="0.25">
      <c r="A2647">
        <v>8741</v>
      </c>
      <c r="B2647" t="str">
        <f>"zoxamide"</f>
        <v>zoxamide</v>
      </c>
      <c r="C2647" t="s">
        <v>19016</v>
      </c>
      <c r="D2647" t="str">
        <f>"156052-68-5"</f>
        <v>156052-68-5</v>
      </c>
      <c r="E2647" t="str">
        <f t="shared" si="130"/>
        <v xml:space="preserve">Organische parameters </v>
      </c>
      <c r="F2647" t="str">
        <f t="shared" si="131"/>
        <v xml:space="preserve">Pesticiden en metabolieten </v>
      </c>
      <c r="G2647" t="str">
        <f t="shared" si="133"/>
        <v xml:space="preserve">Pesticiden en humaan toxicologisch relevante metabolieten </v>
      </c>
    </row>
    <row r="2648" spans="1:7" x14ac:dyDescent="0.25">
      <c r="A2648">
        <v>8742</v>
      </c>
      <c r="B2648" t="str">
        <f>"fenamidon"</f>
        <v>fenamidon</v>
      </c>
      <c r="C2648" t="s">
        <v>19016</v>
      </c>
      <c r="D2648" t="str">
        <f>"161326-34-7"</f>
        <v>161326-34-7</v>
      </c>
      <c r="E2648" t="str">
        <f t="shared" si="130"/>
        <v xml:space="preserve">Organische parameters </v>
      </c>
      <c r="F2648" t="str">
        <f t="shared" si="131"/>
        <v xml:space="preserve">Pesticiden en metabolieten </v>
      </c>
      <c r="G2648" t="str">
        <f t="shared" si="133"/>
        <v xml:space="preserve">Pesticiden en humaan toxicologisch relevante metabolieten </v>
      </c>
    </row>
    <row r="2649" spans="1:7" x14ac:dyDescent="0.25">
      <c r="A2649">
        <v>8744</v>
      </c>
      <c r="B2649" t="str">
        <f>"boscalid"</f>
        <v>boscalid</v>
      </c>
      <c r="C2649" t="s">
        <v>19016</v>
      </c>
      <c r="D2649" t="str">
        <f>"188425-85-6"</f>
        <v>188425-85-6</v>
      </c>
      <c r="E2649" t="str">
        <f t="shared" si="130"/>
        <v xml:space="preserve">Organische parameters </v>
      </c>
      <c r="F2649" t="str">
        <f t="shared" si="131"/>
        <v xml:space="preserve">Pesticiden en metabolieten </v>
      </c>
      <c r="G2649" t="str">
        <f t="shared" si="133"/>
        <v xml:space="preserve">Pesticiden en humaan toxicologisch relevante metabolieten </v>
      </c>
    </row>
    <row r="2650" spans="1:7" x14ac:dyDescent="0.25">
      <c r="A2650">
        <v>8746</v>
      </c>
      <c r="B2650" t="str">
        <f>"buprofezine"</f>
        <v>buprofezine</v>
      </c>
      <c r="C2650" t="s">
        <v>19016</v>
      </c>
      <c r="D2650" t="str">
        <f>"69327-76-0"</f>
        <v>69327-76-0</v>
      </c>
      <c r="E2650" t="str">
        <f t="shared" si="130"/>
        <v xml:space="preserve">Organische parameters </v>
      </c>
      <c r="F2650" t="str">
        <f t="shared" si="131"/>
        <v xml:space="preserve">Pesticiden en metabolieten </v>
      </c>
      <c r="G2650" t="str">
        <f t="shared" si="133"/>
        <v xml:space="preserve">Pesticiden en humaan toxicologisch relevante metabolieten </v>
      </c>
    </row>
    <row r="2651" spans="1:7" x14ac:dyDescent="0.25">
      <c r="A2651">
        <v>8747</v>
      </c>
      <c r="B2651" t="str">
        <f>"fluroxypyr-meptyl"</f>
        <v>fluroxypyr-meptyl</v>
      </c>
      <c r="C2651" t="s">
        <v>19016</v>
      </c>
      <c r="D2651" t="str">
        <f>"81406-37-3"</f>
        <v>81406-37-3</v>
      </c>
      <c r="E2651" t="str">
        <f t="shared" si="130"/>
        <v xml:space="preserve">Organische parameters </v>
      </c>
      <c r="F2651" t="str">
        <f t="shared" si="131"/>
        <v xml:space="preserve">Pesticiden en metabolieten </v>
      </c>
      <c r="G2651" t="str">
        <f t="shared" si="133"/>
        <v xml:space="preserve">Pesticiden en humaan toxicologisch relevante metabolieten </v>
      </c>
    </row>
    <row r="2652" spans="1:7" x14ac:dyDescent="0.25">
      <c r="A2652">
        <v>8748</v>
      </c>
      <c r="B2652" t="str">
        <f>"cyproconazool"</f>
        <v>cyproconazool</v>
      </c>
      <c r="C2652" t="s">
        <v>19016</v>
      </c>
      <c r="D2652" t="str">
        <f>"94361-06-5"</f>
        <v>94361-06-5</v>
      </c>
      <c r="E2652" t="str">
        <f t="shared" si="130"/>
        <v xml:space="preserve">Organische parameters </v>
      </c>
      <c r="F2652" t="str">
        <f t="shared" si="131"/>
        <v xml:space="preserve">Pesticiden en metabolieten </v>
      </c>
      <c r="G2652" t="str">
        <f t="shared" si="133"/>
        <v xml:space="preserve">Pesticiden en humaan toxicologisch relevante metabolieten </v>
      </c>
    </row>
    <row r="2653" spans="1:7" x14ac:dyDescent="0.25">
      <c r="A2653">
        <v>8749</v>
      </c>
      <c r="B2653" t="str">
        <f>"disulfoton-sulfon"</f>
        <v>disulfoton-sulfon</v>
      </c>
      <c r="C2653" t="s">
        <v>19016</v>
      </c>
      <c r="D2653" t="str">
        <f>"5-6-2497"</f>
        <v>5-6-2497</v>
      </c>
      <c r="E2653" t="str">
        <f t="shared" si="130"/>
        <v xml:space="preserve">Organische parameters </v>
      </c>
      <c r="F2653" t="str">
        <f t="shared" si="131"/>
        <v xml:space="preserve">Pesticiden en metabolieten </v>
      </c>
      <c r="G2653" t="str">
        <f t="shared" si="133"/>
        <v xml:space="preserve">Pesticiden en humaan toxicologisch relevante metabolieten </v>
      </c>
    </row>
    <row r="2654" spans="1:7" x14ac:dyDescent="0.25">
      <c r="A2654">
        <v>8750</v>
      </c>
      <c r="B2654" t="str">
        <f>"disulfoton-sulfoxide"</f>
        <v>disulfoton-sulfoxide</v>
      </c>
      <c r="C2654" t="s">
        <v>19016</v>
      </c>
      <c r="D2654" t="str">
        <f>"6-7-2497"</f>
        <v>6-7-2497</v>
      </c>
      <c r="E2654" t="str">
        <f t="shared" si="130"/>
        <v xml:space="preserve">Organische parameters </v>
      </c>
      <c r="F2654" t="str">
        <f t="shared" si="131"/>
        <v xml:space="preserve">Pesticiden en metabolieten </v>
      </c>
      <c r="G2654" t="str">
        <f t="shared" si="133"/>
        <v xml:space="preserve">Pesticiden en humaan toxicologisch relevante metabolieten </v>
      </c>
    </row>
    <row r="2655" spans="1:7" x14ac:dyDescent="0.25">
      <c r="A2655">
        <v>8751</v>
      </c>
      <c r="B2655" t="str">
        <f>"foraat-sulfoxide"</f>
        <v>foraat-sulfoxide</v>
      </c>
      <c r="C2655" t="s">
        <v>19016</v>
      </c>
      <c r="D2655" t="str">
        <f>"6-3-2588"</f>
        <v>6-3-2588</v>
      </c>
      <c r="E2655" t="str">
        <f t="shared" ref="E2655:E2718" si="134">"Organische parameters "</f>
        <v xml:space="preserve">Organische parameters </v>
      </c>
      <c r="F2655" t="str">
        <f t="shared" si="131"/>
        <v xml:space="preserve">Pesticiden en metabolieten </v>
      </c>
      <c r="G2655" t="str">
        <f t="shared" si="133"/>
        <v xml:space="preserve">Pesticiden en humaan toxicologisch relevante metabolieten </v>
      </c>
    </row>
    <row r="2656" spans="1:7" x14ac:dyDescent="0.25">
      <c r="A2656">
        <v>8752</v>
      </c>
      <c r="B2656" t="str">
        <f>"foraat-sulfon"</f>
        <v>foraat-sulfon</v>
      </c>
      <c r="C2656" t="s">
        <v>19016</v>
      </c>
      <c r="D2656" t="str">
        <f>"7-4-2588"</f>
        <v>7-4-2588</v>
      </c>
      <c r="E2656" t="str">
        <f t="shared" si="134"/>
        <v xml:space="preserve">Organische parameters </v>
      </c>
      <c r="F2656" t="str">
        <f t="shared" si="131"/>
        <v xml:space="preserve">Pesticiden en metabolieten </v>
      </c>
      <c r="G2656" t="str">
        <f t="shared" si="133"/>
        <v xml:space="preserve">Pesticiden en humaan toxicologisch relevante metabolieten </v>
      </c>
    </row>
    <row r="2657" spans="1:7" x14ac:dyDescent="0.25">
      <c r="A2657">
        <v>8753</v>
      </c>
      <c r="B2657" t="str">
        <f>"methiocarb-sulfoxide"</f>
        <v>methiocarb-sulfoxide</v>
      </c>
      <c r="C2657" t="s">
        <v>19016</v>
      </c>
      <c r="D2657" t="str">
        <f>"1-10-2635"</f>
        <v>1-10-2635</v>
      </c>
      <c r="E2657" t="str">
        <f t="shared" si="134"/>
        <v xml:space="preserve">Organische parameters </v>
      </c>
      <c r="F2657" t="str">
        <f t="shared" si="131"/>
        <v xml:space="preserve">Pesticiden en metabolieten </v>
      </c>
      <c r="G2657" t="str">
        <f t="shared" si="133"/>
        <v xml:space="preserve">Pesticiden en humaan toxicologisch relevante metabolieten </v>
      </c>
    </row>
    <row r="2658" spans="1:7" x14ac:dyDescent="0.25">
      <c r="A2658">
        <v>8754</v>
      </c>
      <c r="B2658" t="str">
        <f>"flufenoxuron"</f>
        <v>flufenoxuron</v>
      </c>
      <c r="C2658" t="s">
        <v>19016</v>
      </c>
      <c r="D2658" t="str">
        <f>"101463-69-8"</f>
        <v>101463-69-8</v>
      </c>
      <c r="E2658" t="str">
        <f t="shared" si="134"/>
        <v xml:space="preserve">Organische parameters </v>
      </c>
      <c r="F2658" t="str">
        <f t="shared" si="131"/>
        <v xml:space="preserve">Pesticiden en metabolieten </v>
      </c>
      <c r="G2658" t="str">
        <f t="shared" si="133"/>
        <v xml:space="preserve">Pesticiden en humaan toxicologisch relevante metabolieten </v>
      </c>
    </row>
    <row r="2659" spans="1:7" x14ac:dyDescent="0.25">
      <c r="A2659">
        <v>8755</v>
      </c>
      <c r="B2659" t="str">
        <f>"terbufos-sulfoxide"</f>
        <v>terbufos-sulfoxide</v>
      </c>
      <c r="C2659" t="s">
        <v>19016</v>
      </c>
      <c r="D2659" t="str">
        <f>"10548-10-4"</f>
        <v>10548-10-4</v>
      </c>
      <c r="E2659" t="str">
        <f t="shared" si="134"/>
        <v xml:space="preserve">Organische parameters </v>
      </c>
      <c r="F2659" t="str">
        <f t="shared" si="131"/>
        <v xml:space="preserve">Pesticiden en metabolieten </v>
      </c>
      <c r="G2659" t="str">
        <f t="shared" si="133"/>
        <v xml:space="preserve">Pesticiden en humaan toxicologisch relevante metabolieten </v>
      </c>
    </row>
    <row r="2660" spans="1:7" x14ac:dyDescent="0.25">
      <c r="A2660">
        <v>8757</v>
      </c>
      <c r="B2660" t="str">
        <f>"tebufenozide"</f>
        <v>tebufenozide</v>
      </c>
      <c r="C2660" t="s">
        <v>19016</v>
      </c>
      <c r="D2660" t="str">
        <f>"112410-23-8"</f>
        <v>112410-23-8</v>
      </c>
      <c r="E2660" t="str">
        <f t="shared" si="134"/>
        <v xml:space="preserve">Organische parameters </v>
      </c>
      <c r="F2660" t="str">
        <f t="shared" si="131"/>
        <v xml:space="preserve">Pesticiden en metabolieten </v>
      </c>
      <c r="G2660" t="str">
        <f t="shared" si="133"/>
        <v xml:space="preserve">Pesticiden en humaan toxicologisch relevante metabolieten </v>
      </c>
    </row>
    <row r="2661" spans="1:7" x14ac:dyDescent="0.25">
      <c r="A2661">
        <v>8758</v>
      </c>
      <c r="B2661" t="str">
        <f>"flucycloxuron"</f>
        <v>flucycloxuron</v>
      </c>
      <c r="C2661" t="s">
        <v>19016</v>
      </c>
      <c r="D2661" t="str">
        <f>"113036-88-7"</f>
        <v>113036-88-7</v>
      </c>
      <c r="E2661" t="str">
        <f t="shared" si="134"/>
        <v xml:space="preserve">Organische parameters </v>
      </c>
      <c r="F2661" t="str">
        <f t="shared" si="131"/>
        <v xml:space="preserve">Pesticiden en metabolieten </v>
      </c>
      <c r="G2661" t="str">
        <f t="shared" si="133"/>
        <v xml:space="preserve">Pesticiden en humaan toxicologisch relevante metabolieten </v>
      </c>
    </row>
    <row r="2662" spans="1:7" x14ac:dyDescent="0.25">
      <c r="A2662">
        <v>8759</v>
      </c>
      <c r="B2662" t="str">
        <f>"fensulfothion"</f>
        <v>fensulfothion</v>
      </c>
      <c r="C2662" t="s">
        <v>19016</v>
      </c>
      <c r="D2662" t="str">
        <f>"115-90-2"</f>
        <v>115-90-2</v>
      </c>
      <c r="E2662" t="str">
        <f t="shared" si="134"/>
        <v xml:space="preserve">Organische parameters </v>
      </c>
      <c r="F2662" t="str">
        <f t="shared" si="131"/>
        <v xml:space="preserve">Pesticiden en metabolieten </v>
      </c>
      <c r="G2662" t="str">
        <f t="shared" si="133"/>
        <v xml:space="preserve">Pesticiden en humaan toxicologisch relevante metabolieten </v>
      </c>
    </row>
    <row r="2663" spans="1:7" x14ac:dyDescent="0.25">
      <c r="A2663">
        <v>8760</v>
      </c>
      <c r="B2663" t="str">
        <f>"fenhexamide"</f>
        <v>fenhexamide</v>
      </c>
      <c r="C2663" t="s">
        <v>19016</v>
      </c>
      <c r="D2663" t="str">
        <f>"126833-17-8"</f>
        <v>126833-17-8</v>
      </c>
      <c r="E2663" t="str">
        <f t="shared" si="134"/>
        <v xml:space="preserve">Organische parameters </v>
      </c>
      <c r="F2663" t="str">
        <f t="shared" si="131"/>
        <v xml:space="preserve">Pesticiden en metabolieten </v>
      </c>
      <c r="G2663" t="str">
        <f t="shared" si="133"/>
        <v xml:space="preserve">Pesticiden en humaan toxicologisch relevante metabolieten </v>
      </c>
    </row>
    <row r="2664" spans="1:7" x14ac:dyDescent="0.25">
      <c r="A2664">
        <v>8761</v>
      </c>
      <c r="B2664" t="str">
        <f>"famoxadon"</f>
        <v>famoxadon</v>
      </c>
      <c r="C2664" t="s">
        <v>19016</v>
      </c>
      <c r="D2664" t="str">
        <f>"131807-57-3"</f>
        <v>131807-57-3</v>
      </c>
      <c r="E2664" t="str">
        <f t="shared" si="134"/>
        <v xml:space="preserve">Organische parameters </v>
      </c>
      <c r="F2664" t="str">
        <f t="shared" si="131"/>
        <v xml:space="preserve">Pesticiden en metabolieten </v>
      </c>
      <c r="G2664" t="str">
        <f t="shared" si="133"/>
        <v xml:space="preserve">Pesticiden en humaan toxicologisch relevante metabolieten </v>
      </c>
    </row>
    <row r="2665" spans="1:7" x14ac:dyDescent="0.25">
      <c r="A2665">
        <v>8762</v>
      </c>
      <c r="B2665" t="str">
        <f>"fenpyroximaat"</f>
        <v>fenpyroximaat</v>
      </c>
      <c r="C2665" t="s">
        <v>19016</v>
      </c>
      <c r="D2665" t="str">
        <f>"134098-61-6"</f>
        <v>134098-61-6</v>
      </c>
      <c r="E2665" t="str">
        <f t="shared" si="134"/>
        <v xml:space="preserve">Organische parameters </v>
      </c>
      <c r="F2665" t="str">
        <f t="shared" si="131"/>
        <v xml:space="preserve">Pesticiden en metabolieten </v>
      </c>
      <c r="G2665" t="str">
        <f t="shared" si="133"/>
        <v xml:space="preserve">Pesticiden en humaan toxicologisch relevante metabolieten </v>
      </c>
    </row>
    <row r="2666" spans="1:7" x14ac:dyDescent="0.25">
      <c r="A2666">
        <v>8763</v>
      </c>
      <c r="B2666" t="str">
        <f>"methyl-3-hydroxyfenylcarbamaat"</f>
        <v>methyl-3-hydroxyfenylcarbamaat</v>
      </c>
      <c r="C2666" t="s">
        <v>19016</v>
      </c>
      <c r="D2666" t="str">
        <f>"13683-89-1"</f>
        <v>13683-89-1</v>
      </c>
      <c r="E2666" t="str">
        <f t="shared" si="134"/>
        <v xml:space="preserve">Organische parameters </v>
      </c>
      <c r="F2666" t="str">
        <f t="shared" si="131"/>
        <v xml:space="preserve">Pesticiden en metabolieten </v>
      </c>
      <c r="G2666" t="str">
        <f t="shared" si="133"/>
        <v xml:space="preserve">Pesticiden en humaan toxicologisch relevante metabolieten </v>
      </c>
    </row>
    <row r="2667" spans="1:7" x14ac:dyDescent="0.25">
      <c r="A2667">
        <v>8764</v>
      </c>
      <c r="B2667" t="str">
        <f>"picolinafen"</f>
        <v>picolinafen</v>
      </c>
      <c r="C2667" t="s">
        <v>19016</v>
      </c>
      <c r="D2667" t="str">
        <f>"137641-05-5"</f>
        <v>137641-05-5</v>
      </c>
      <c r="E2667" t="str">
        <f t="shared" si="134"/>
        <v xml:space="preserve">Organische parameters </v>
      </c>
      <c r="F2667" t="str">
        <f t="shared" si="131"/>
        <v xml:space="preserve">Pesticiden en metabolieten </v>
      </c>
      <c r="G2667" t="str">
        <f t="shared" si="133"/>
        <v xml:space="preserve">Pesticiden en humaan toxicologisch relevante metabolieten </v>
      </c>
    </row>
    <row r="2668" spans="1:7" x14ac:dyDescent="0.25">
      <c r="A2668">
        <v>8765</v>
      </c>
      <c r="B2668" t="str">
        <f>"profoxydim"</f>
        <v>profoxydim</v>
      </c>
      <c r="C2668" t="s">
        <v>19016</v>
      </c>
      <c r="D2668" t="str">
        <f>"139001-49-3"</f>
        <v>139001-49-3</v>
      </c>
      <c r="E2668" t="str">
        <f t="shared" si="134"/>
        <v xml:space="preserve">Organische parameters </v>
      </c>
      <c r="F2668" t="str">
        <f t="shared" si="131"/>
        <v xml:space="preserve">Pesticiden en metabolieten </v>
      </c>
      <c r="G2668" t="str">
        <f t="shared" si="133"/>
        <v xml:space="preserve">Pesticiden en humaan toxicologisch relevante metabolieten </v>
      </c>
    </row>
    <row r="2669" spans="1:7" x14ac:dyDescent="0.25">
      <c r="A2669">
        <v>8766</v>
      </c>
      <c r="B2669" t="str">
        <f>"iprovalicarb"</f>
        <v>iprovalicarb</v>
      </c>
      <c r="C2669" t="s">
        <v>19016</v>
      </c>
      <c r="D2669" t="str">
        <f>"140923-17-7"</f>
        <v>140923-17-7</v>
      </c>
      <c r="E2669" t="str">
        <f t="shared" si="134"/>
        <v xml:space="preserve">Organische parameters </v>
      </c>
      <c r="F2669" t="str">
        <f t="shared" si="131"/>
        <v xml:space="preserve">Pesticiden en metabolieten </v>
      </c>
      <c r="G2669" t="str">
        <f t="shared" si="133"/>
        <v xml:space="preserve">Pesticiden en humaan toxicologisch relevante metabolieten </v>
      </c>
    </row>
    <row r="2670" spans="1:7" x14ac:dyDescent="0.25">
      <c r="A2670">
        <v>8767</v>
      </c>
      <c r="B2670" t="str">
        <f>"isoxaflutool"</f>
        <v>isoxaflutool</v>
      </c>
      <c r="C2670" t="s">
        <v>19016</v>
      </c>
      <c r="D2670" t="str">
        <f>"141112-29-0"</f>
        <v>141112-29-0</v>
      </c>
      <c r="E2670" t="str">
        <f t="shared" si="134"/>
        <v xml:space="preserve">Organische parameters </v>
      </c>
      <c r="F2670" t="str">
        <f t="shared" si="131"/>
        <v xml:space="preserve">Pesticiden en metabolieten </v>
      </c>
      <c r="G2670" t="str">
        <f t="shared" si="133"/>
        <v xml:space="preserve">Pesticiden en humaan toxicologisch relevante metabolieten </v>
      </c>
    </row>
    <row r="2671" spans="1:7" x14ac:dyDescent="0.25">
      <c r="A2671">
        <v>8768</v>
      </c>
      <c r="B2671" t="str">
        <f>"bifenazaat"</f>
        <v>bifenazaat</v>
      </c>
      <c r="C2671" t="s">
        <v>19016</v>
      </c>
      <c r="D2671" t="str">
        <f>"149877-41-8"</f>
        <v>149877-41-8</v>
      </c>
      <c r="E2671" t="str">
        <f t="shared" si="134"/>
        <v xml:space="preserve">Organische parameters </v>
      </c>
      <c r="F2671" t="str">
        <f t="shared" si="131"/>
        <v xml:space="preserve">Pesticiden en metabolieten </v>
      </c>
      <c r="G2671" t="str">
        <f t="shared" si="133"/>
        <v xml:space="preserve">Pesticiden en humaan toxicologisch relevante metabolieten </v>
      </c>
    </row>
    <row r="2672" spans="1:7" x14ac:dyDescent="0.25">
      <c r="A2672">
        <v>8769</v>
      </c>
      <c r="B2672" t="str">
        <f>"flonicamide"</f>
        <v>flonicamide</v>
      </c>
      <c r="C2672" t="s">
        <v>19016</v>
      </c>
      <c r="D2672" t="str">
        <f>"158062-67-0"</f>
        <v>158062-67-0</v>
      </c>
      <c r="E2672" t="str">
        <f t="shared" si="134"/>
        <v xml:space="preserve">Organische parameters </v>
      </c>
      <c r="F2672" t="str">
        <f t="shared" si="131"/>
        <v xml:space="preserve">Pesticiden en metabolieten </v>
      </c>
      <c r="G2672" t="str">
        <f t="shared" si="133"/>
        <v xml:space="preserve">Pesticiden en humaan toxicologisch relevante metabolieten </v>
      </c>
    </row>
    <row r="2673" spans="1:7" x14ac:dyDescent="0.25">
      <c r="A2673">
        <v>8770</v>
      </c>
      <c r="B2673" t="str">
        <f>"acetamiprid"</f>
        <v>acetamiprid</v>
      </c>
      <c r="C2673" t="s">
        <v>19016</v>
      </c>
      <c r="D2673" t="str">
        <f>"160430-64-8"</f>
        <v>160430-64-8</v>
      </c>
      <c r="E2673" t="str">
        <f t="shared" si="134"/>
        <v xml:space="preserve">Organische parameters </v>
      </c>
      <c r="F2673" t="str">
        <f t="shared" si="131"/>
        <v xml:space="preserve">Pesticiden en metabolieten </v>
      </c>
      <c r="G2673" t="str">
        <f t="shared" si="133"/>
        <v xml:space="preserve">Pesticiden en humaan toxicologisch relevante metabolieten </v>
      </c>
    </row>
    <row r="2674" spans="1:7" x14ac:dyDescent="0.25">
      <c r="A2674">
        <v>8771</v>
      </c>
      <c r="B2674" t="str">
        <f>"methoxyfenozide"</f>
        <v>methoxyfenozide</v>
      </c>
      <c r="C2674" t="s">
        <v>19016</v>
      </c>
      <c r="D2674" t="str">
        <f>"161050-58-4"</f>
        <v>161050-58-4</v>
      </c>
      <c r="E2674" t="str">
        <f t="shared" si="134"/>
        <v xml:space="preserve">Organische parameters </v>
      </c>
      <c r="F2674" t="str">
        <f t="shared" ref="F2674:F2737" si="135">"Pesticiden en metabolieten "</f>
        <v xml:space="preserve">Pesticiden en metabolieten </v>
      </c>
      <c r="G2674" t="str">
        <f t="shared" si="133"/>
        <v xml:space="preserve">Pesticiden en humaan toxicologisch relevante metabolieten </v>
      </c>
    </row>
    <row r="2675" spans="1:7" x14ac:dyDescent="0.25">
      <c r="A2675">
        <v>8772</v>
      </c>
      <c r="B2675" t="str">
        <f>"spinosad"</f>
        <v>spinosad</v>
      </c>
      <c r="C2675" t="s">
        <v>19016</v>
      </c>
      <c r="D2675" t="str">
        <f>"168316-95-8"</f>
        <v>168316-95-8</v>
      </c>
      <c r="E2675" t="str">
        <f t="shared" si="134"/>
        <v xml:space="preserve">Organische parameters </v>
      </c>
      <c r="F2675" t="str">
        <f t="shared" si="135"/>
        <v xml:space="preserve">Pesticiden en metabolieten </v>
      </c>
      <c r="G2675" t="str">
        <f t="shared" si="133"/>
        <v xml:space="preserve">Pesticiden en humaan toxicologisch relevante metabolieten </v>
      </c>
    </row>
    <row r="2676" spans="1:7" x14ac:dyDescent="0.25">
      <c r="A2676">
        <v>8773</v>
      </c>
      <c r="B2676" t="str">
        <f>"indoxacarb"</f>
        <v>indoxacarb</v>
      </c>
      <c r="C2676" t="s">
        <v>19016</v>
      </c>
      <c r="D2676" t="str">
        <f>"173584-44-6"</f>
        <v>173584-44-6</v>
      </c>
      <c r="E2676" t="str">
        <f t="shared" si="134"/>
        <v xml:space="preserve">Organische parameters </v>
      </c>
      <c r="F2676" t="str">
        <f t="shared" si="135"/>
        <v xml:space="preserve">Pesticiden en metabolieten </v>
      </c>
      <c r="G2676" t="str">
        <f t="shared" si="133"/>
        <v xml:space="preserve">Pesticiden en humaan toxicologisch relevante metabolieten </v>
      </c>
    </row>
    <row r="2677" spans="1:7" x14ac:dyDescent="0.25">
      <c r="A2677">
        <v>8774</v>
      </c>
      <c r="B2677" t="str">
        <f>"clothianidine"</f>
        <v>clothianidine</v>
      </c>
      <c r="C2677" t="s">
        <v>19016</v>
      </c>
      <c r="D2677" t="str">
        <f>"210880-92-5"</f>
        <v>210880-92-5</v>
      </c>
      <c r="E2677" t="str">
        <f t="shared" si="134"/>
        <v xml:space="preserve">Organische parameters </v>
      </c>
      <c r="F2677" t="str">
        <f t="shared" si="135"/>
        <v xml:space="preserve">Pesticiden en metabolieten </v>
      </c>
      <c r="G2677" t="str">
        <f t="shared" si="133"/>
        <v xml:space="preserve">Pesticiden en humaan toxicologisch relevante metabolieten </v>
      </c>
    </row>
    <row r="2678" spans="1:7" x14ac:dyDescent="0.25">
      <c r="A2678">
        <v>8775</v>
      </c>
      <c r="B2678" t="str">
        <f>"primicarb-desmetyl"</f>
        <v>primicarb-desmetyl</v>
      </c>
      <c r="C2678" t="s">
        <v>19016</v>
      </c>
      <c r="D2678" t="str">
        <f>"30614-22-3"</f>
        <v>30614-22-3</v>
      </c>
      <c r="E2678" t="str">
        <f t="shared" si="134"/>
        <v xml:space="preserve">Organische parameters </v>
      </c>
      <c r="F2678" t="str">
        <f t="shared" si="135"/>
        <v xml:space="preserve">Pesticiden en metabolieten </v>
      </c>
      <c r="G2678" t="str">
        <f t="shared" si="133"/>
        <v xml:space="preserve">Pesticiden en humaan toxicologisch relevante metabolieten </v>
      </c>
    </row>
    <row r="2679" spans="1:7" x14ac:dyDescent="0.25">
      <c r="A2679">
        <v>8776</v>
      </c>
      <c r="B2679" t="str">
        <f>"thiocyclam"</f>
        <v>thiocyclam</v>
      </c>
      <c r="C2679" t="s">
        <v>19016</v>
      </c>
      <c r="D2679" t="str">
        <f>"31895-21-3"</f>
        <v>31895-21-3</v>
      </c>
      <c r="E2679" t="str">
        <f t="shared" si="134"/>
        <v xml:space="preserve">Organische parameters </v>
      </c>
      <c r="F2679" t="str">
        <f t="shared" si="135"/>
        <v xml:space="preserve">Pesticiden en metabolieten </v>
      </c>
      <c r="G2679" t="str">
        <f t="shared" si="133"/>
        <v xml:space="preserve">Pesticiden en humaan toxicologisch relevante metabolieten </v>
      </c>
    </row>
    <row r="2680" spans="1:7" x14ac:dyDescent="0.25">
      <c r="A2680">
        <v>8777</v>
      </c>
      <c r="B2680" t="str">
        <f>"fenamifos-sulfoxide"</f>
        <v>fenamifos-sulfoxide</v>
      </c>
      <c r="C2680" t="s">
        <v>19016</v>
      </c>
      <c r="D2680" t="str">
        <f>"31972-43-7"</f>
        <v>31972-43-7</v>
      </c>
      <c r="E2680" t="str">
        <f t="shared" si="134"/>
        <v xml:space="preserve">Organische parameters </v>
      </c>
      <c r="F2680" t="str">
        <f t="shared" si="135"/>
        <v xml:space="preserve">Pesticiden en metabolieten </v>
      </c>
      <c r="G2680" t="str">
        <f t="shared" si="133"/>
        <v xml:space="preserve">Pesticiden en humaan toxicologisch relevante metabolieten </v>
      </c>
    </row>
    <row r="2681" spans="1:7" x14ac:dyDescent="0.25">
      <c r="A2681">
        <v>8778</v>
      </c>
      <c r="B2681" t="str">
        <f>"fenamifos-sulfon"</f>
        <v>fenamifos-sulfon</v>
      </c>
      <c r="C2681" t="s">
        <v>19016</v>
      </c>
      <c r="D2681" t="str">
        <f>"31972-44-8"</f>
        <v>31972-44-8</v>
      </c>
      <c r="E2681" t="str">
        <f t="shared" si="134"/>
        <v xml:space="preserve">Organische parameters </v>
      </c>
      <c r="F2681" t="str">
        <f t="shared" si="135"/>
        <v xml:space="preserve">Pesticiden en metabolieten </v>
      </c>
      <c r="G2681" t="str">
        <f t="shared" si="133"/>
        <v xml:space="preserve">Pesticiden en humaan toxicologisch relevante metabolieten </v>
      </c>
    </row>
    <row r="2682" spans="1:7" x14ac:dyDescent="0.25">
      <c r="A2682">
        <v>8779</v>
      </c>
      <c r="B2682" t="str">
        <f>"fenthion-sulfoxide"</f>
        <v>fenthion-sulfoxide</v>
      </c>
      <c r="C2682" t="s">
        <v>19016</v>
      </c>
      <c r="D2682" t="str">
        <f>"3761-41-9"</f>
        <v>3761-41-9</v>
      </c>
      <c r="E2682" t="str">
        <f t="shared" si="134"/>
        <v xml:space="preserve">Organische parameters </v>
      </c>
      <c r="F2682" t="str">
        <f t="shared" si="135"/>
        <v xml:space="preserve">Pesticiden en metabolieten </v>
      </c>
      <c r="G2682" t="str">
        <f t="shared" si="133"/>
        <v xml:space="preserve">Pesticiden en humaan toxicologisch relevante metabolieten </v>
      </c>
    </row>
    <row r="2683" spans="1:7" x14ac:dyDescent="0.25">
      <c r="A2683">
        <v>8780</v>
      </c>
      <c r="B2683" t="str">
        <f>"fenthion-sulfon"</f>
        <v>fenthion-sulfon</v>
      </c>
      <c r="C2683" t="s">
        <v>19016</v>
      </c>
      <c r="D2683" t="str">
        <f>"3761-42-0"</f>
        <v>3761-42-0</v>
      </c>
      <c r="E2683" t="str">
        <f t="shared" si="134"/>
        <v xml:space="preserve">Organische parameters </v>
      </c>
      <c r="F2683" t="str">
        <f t="shared" si="135"/>
        <v xml:space="preserve">Pesticiden en metabolieten </v>
      </c>
      <c r="G2683" t="str">
        <f t="shared" si="133"/>
        <v xml:space="preserve">Pesticiden en humaan toxicologisch relevante metabolieten </v>
      </c>
    </row>
    <row r="2684" spans="1:7" x14ac:dyDescent="0.25">
      <c r="A2684">
        <v>8781</v>
      </c>
      <c r="B2684" t="str">
        <f>"tricyclazool"</f>
        <v>tricyclazool</v>
      </c>
      <c r="C2684" t="s">
        <v>19016</v>
      </c>
      <c r="D2684" t="str">
        <f>"41814-78-2"</f>
        <v>41814-78-2</v>
      </c>
      <c r="E2684" t="str">
        <f t="shared" si="134"/>
        <v xml:space="preserve">Organische parameters </v>
      </c>
      <c r="F2684" t="str">
        <f t="shared" si="135"/>
        <v xml:space="preserve">Pesticiden en metabolieten </v>
      </c>
      <c r="G2684" t="str">
        <f t="shared" si="133"/>
        <v xml:space="preserve">Pesticiden en humaan toxicologisch relevante metabolieten </v>
      </c>
    </row>
    <row r="2685" spans="1:7" x14ac:dyDescent="0.25">
      <c r="A2685">
        <v>8782</v>
      </c>
      <c r="B2685" t="str">
        <f>"ethiofencarb-sulfon"</f>
        <v>ethiofencarb-sulfon</v>
      </c>
      <c r="C2685" t="s">
        <v>19016</v>
      </c>
      <c r="D2685" t="str">
        <f>"53380-23-7"</f>
        <v>53380-23-7</v>
      </c>
      <c r="E2685" t="str">
        <f t="shared" si="134"/>
        <v xml:space="preserve">Organische parameters </v>
      </c>
      <c r="F2685" t="str">
        <f t="shared" si="135"/>
        <v xml:space="preserve">Pesticiden en metabolieten </v>
      </c>
      <c r="G2685" t="str">
        <f t="shared" si="133"/>
        <v xml:space="preserve">Pesticiden en humaan toxicologisch relevante metabolieten </v>
      </c>
    </row>
    <row r="2686" spans="1:7" x14ac:dyDescent="0.25">
      <c r="A2686">
        <v>8783</v>
      </c>
      <c r="B2686" t="str">
        <f>"terbufos-sulfon"</f>
        <v>terbufos-sulfon</v>
      </c>
      <c r="C2686" t="s">
        <v>19016</v>
      </c>
      <c r="D2686" t="str">
        <f>"56070-16-7"</f>
        <v>56070-16-7</v>
      </c>
      <c r="E2686" t="str">
        <f t="shared" si="134"/>
        <v xml:space="preserve">Organische parameters </v>
      </c>
      <c r="F2686" t="str">
        <f t="shared" si="135"/>
        <v xml:space="preserve">Pesticiden en metabolieten </v>
      </c>
      <c r="G2686" t="str">
        <f t="shared" si="133"/>
        <v xml:space="preserve">Pesticiden en humaan toxicologisch relevante metabolieten </v>
      </c>
    </row>
    <row r="2687" spans="1:7" x14ac:dyDescent="0.25">
      <c r="A2687">
        <v>8784</v>
      </c>
      <c r="B2687" t="str">
        <f>"triflumuron"</f>
        <v>triflumuron</v>
      </c>
      <c r="C2687" t="s">
        <v>19016</v>
      </c>
      <c r="D2687" t="str">
        <f>"64628-44-0"</f>
        <v>64628-44-0</v>
      </c>
      <c r="E2687" t="str">
        <f t="shared" si="134"/>
        <v xml:space="preserve">Organische parameters </v>
      </c>
      <c r="F2687" t="str">
        <f t="shared" si="135"/>
        <v xml:space="preserve">Pesticiden en metabolieten </v>
      </c>
      <c r="G2687" t="str">
        <f t="shared" si="133"/>
        <v xml:space="preserve">Pesticiden en humaan toxicologisch relevante metabolieten </v>
      </c>
    </row>
    <row r="2688" spans="1:7" x14ac:dyDescent="0.25">
      <c r="A2688">
        <v>8785</v>
      </c>
      <c r="B2688" t="str">
        <f>"chloorfluazuron"</f>
        <v>chloorfluazuron</v>
      </c>
      <c r="C2688" t="s">
        <v>19016</v>
      </c>
      <c r="D2688" t="str">
        <f>"71422-67-8"</f>
        <v>71422-67-8</v>
      </c>
      <c r="E2688" t="str">
        <f t="shared" si="134"/>
        <v xml:space="preserve">Organische parameters </v>
      </c>
      <c r="F2688" t="str">
        <f t="shared" si="135"/>
        <v xml:space="preserve">Pesticiden en metabolieten </v>
      </c>
      <c r="G2688" t="str">
        <f t="shared" si="133"/>
        <v xml:space="preserve">Pesticiden en humaan toxicologisch relevante metabolieten </v>
      </c>
    </row>
    <row r="2689" spans="1:7" x14ac:dyDescent="0.25">
      <c r="A2689">
        <v>8786</v>
      </c>
      <c r="B2689" t="str">
        <f>"triazoxide"</f>
        <v>triazoxide</v>
      </c>
      <c r="C2689" t="s">
        <v>19016</v>
      </c>
      <c r="D2689" t="str">
        <f>"72459-58-6"</f>
        <v>72459-58-6</v>
      </c>
      <c r="E2689" t="str">
        <f t="shared" si="134"/>
        <v xml:space="preserve">Organische parameters </v>
      </c>
      <c r="F2689" t="str">
        <f t="shared" si="135"/>
        <v xml:space="preserve">Pesticiden en metabolieten </v>
      </c>
      <c r="G2689" t="str">
        <f t="shared" si="133"/>
        <v xml:space="preserve">Pesticiden en humaan toxicologisch relevante metabolieten </v>
      </c>
    </row>
    <row r="2690" spans="1:7" x14ac:dyDescent="0.25">
      <c r="A2690">
        <v>8787</v>
      </c>
      <c r="B2690" t="str">
        <f>"hexaflumuron"</f>
        <v>hexaflumuron</v>
      </c>
      <c r="C2690" t="s">
        <v>19016</v>
      </c>
      <c r="D2690" t="str">
        <f>"86479-06-3"</f>
        <v>86479-06-3</v>
      </c>
      <c r="E2690" t="str">
        <f t="shared" si="134"/>
        <v xml:space="preserve">Organische parameters </v>
      </c>
      <c r="F2690" t="str">
        <f t="shared" si="135"/>
        <v xml:space="preserve">Pesticiden en metabolieten </v>
      </c>
      <c r="G2690" t="str">
        <f t="shared" si="133"/>
        <v xml:space="preserve">Pesticiden en humaan toxicologisch relevante metabolieten </v>
      </c>
    </row>
    <row r="2691" spans="1:7" x14ac:dyDescent="0.25">
      <c r="A2691">
        <v>8788</v>
      </c>
      <c r="B2691" t="str">
        <f>"thiamethoxam"</f>
        <v>thiamethoxam</v>
      </c>
      <c r="C2691" t="s">
        <v>19016</v>
      </c>
      <c r="D2691" t="str">
        <f>"153719-23-4"</f>
        <v>153719-23-4</v>
      </c>
      <c r="E2691" t="str">
        <f t="shared" si="134"/>
        <v xml:space="preserve">Organische parameters </v>
      </c>
      <c r="F2691" t="str">
        <f t="shared" si="135"/>
        <v xml:space="preserve">Pesticiden en metabolieten </v>
      </c>
      <c r="G2691" t="str">
        <f t="shared" si="133"/>
        <v xml:space="preserve">Pesticiden en humaan toxicologisch relevante metabolieten </v>
      </c>
    </row>
    <row r="2692" spans="1:7" x14ac:dyDescent="0.25">
      <c r="A2692">
        <v>8789</v>
      </c>
      <c r="B2692" t="str">
        <f>"fenvaleraat en esfenvaleraat (som RR&amp;SS)"</f>
        <v>fenvaleraat en esfenvaleraat (som RR&amp;SS)</v>
      </c>
      <c r="C2692" t="s">
        <v>19016</v>
      </c>
      <c r="D2692" t="str">
        <f>""</f>
        <v/>
      </c>
      <c r="E2692" t="str">
        <f t="shared" si="134"/>
        <v xml:space="preserve">Organische parameters </v>
      </c>
      <c r="F2692" t="str">
        <f t="shared" si="135"/>
        <v xml:space="preserve">Pesticiden en metabolieten </v>
      </c>
      <c r="G2692" t="str">
        <f t="shared" si="133"/>
        <v xml:space="preserve">Pesticiden en humaan toxicologisch relevante metabolieten </v>
      </c>
    </row>
    <row r="2693" spans="1:7" x14ac:dyDescent="0.25">
      <c r="A2693">
        <v>8791</v>
      </c>
      <c r="B2693" t="str">
        <f>"2-nitrofenol en 4-nitrofenol (som)"</f>
        <v>2-nitrofenol en 4-nitrofenol (som)</v>
      </c>
      <c r="C2693" t="s">
        <v>19016</v>
      </c>
      <c r="D2693" t="str">
        <f>""</f>
        <v/>
      </c>
      <c r="E2693" t="str">
        <f t="shared" si="134"/>
        <v xml:space="preserve">Organische parameters </v>
      </c>
      <c r="F2693" t="str">
        <f t="shared" si="135"/>
        <v xml:space="preserve">Pesticiden en metabolieten </v>
      </c>
      <c r="G2693" t="str">
        <f t="shared" si="133"/>
        <v xml:space="preserve">Pesticiden en humaan toxicologisch relevante metabolieten </v>
      </c>
    </row>
    <row r="2694" spans="1:7" x14ac:dyDescent="0.25">
      <c r="A2694">
        <v>8792</v>
      </c>
      <c r="B2694" t="str">
        <f>"fenvalerate en esfenvalerate (som RS&amp;SR)"</f>
        <v>fenvalerate en esfenvalerate (som RS&amp;SR)</v>
      </c>
      <c r="C2694" t="s">
        <v>19070</v>
      </c>
      <c r="D2694" t="str">
        <f>""</f>
        <v/>
      </c>
      <c r="E2694" t="str">
        <f t="shared" si="134"/>
        <v xml:space="preserve">Organische parameters </v>
      </c>
      <c r="F2694" t="str">
        <f t="shared" si="135"/>
        <v xml:space="preserve">Pesticiden en metabolieten </v>
      </c>
      <c r="G2694" t="str">
        <f t="shared" si="133"/>
        <v xml:space="preserve">Pesticiden en humaan toxicologisch relevante metabolieten </v>
      </c>
    </row>
    <row r="2695" spans="1:7" x14ac:dyDescent="0.25">
      <c r="A2695">
        <v>8793</v>
      </c>
      <c r="B2695" t="str">
        <f>"imazamethabenzmethyl"</f>
        <v>imazamethabenzmethyl</v>
      </c>
      <c r="C2695" t="s">
        <v>19016</v>
      </c>
      <c r="D2695" t="str">
        <f>"81405-85-8"</f>
        <v>81405-85-8</v>
      </c>
      <c r="E2695" t="str">
        <f t="shared" si="134"/>
        <v xml:space="preserve">Organische parameters </v>
      </c>
      <c r="F2695" t="str">
        <f t="shared" si="135"/>
        <v xml:space="preserve">Pesticiden en metabolieten </v>
      </c>
      <c r="G2695" t="str">
        <f t="shared" si="133"/>
        <v xml:space="preserve">Pesticiden en humaan toxicologisch relevante metabolieten </v>
      </c>
    </row>
    <row r="2696" spans="1:7" x14ac:dyDescent="0.25">
      <c r="A2696">
        <v>8794</v>
      </c>
      <c r="B2696" t="str">
        <f>"6-benzyladenine"</f>
        <v>6-benzyladenine</v>
      </c>
      <c r="C2696" t="s">
        <v>19016</v>
      </c>
      <c r="D2696" t="str">
        <f>"1214-39-7"</f>
        <v>1214-39-7</v>
      </c>
      <c r="E2696" t="str">
        <f t="shared" si="134"/>
        <v xml:space="preserve">Organische parameters </v>
      </c>
      <c r="F2696" t="str">
        <f t="shared" si="135"/>
        <v xml:space="preserve">Pesticiden en metabolieten </v>
      </c>
      <c r="G2696" t="str">
        <f t="shared" si="133"/>
        <v xml:space="preserve">Pesticiden en humaan toxicologisch relevante metabolieten </v>
      </c>
    </row>
    <row r="2697" spans="1:7" x14ac:dyDescent="0.25">
      <c r="A2697">
        <v>8795</v>
      </c>
      <c r="B2697" t="str">
        <f>"carfentrazon-ethyl"</f>
        <v>carfentrazon-ethyl</v>
      </c>
      <c r="C2697" t="s">
        <v>19016</v>
      </c>
      <c r="D2697" t="str">
        <f>"128639-02-1"</f>
        <v>128639-02-1</v>
      </c>
      <c r="E2697" t="str">
        <f t="shared" si="134"/>
        <v xml:space="preserve">Organische parameters </v>
      </c>
      <c r="F2697" t="str">
        <f t="shared" si="135"/>
        <v xml:space="preserve">Pesticiden en metabolieten </v>
      </c>
      <c r="G2697" t="str">
        <f t="shared" si="133"/>
        <v xml:space="preserve">Pesticiden en humaan toxicologisch relevante metabolieten </v>
      </c>
    </row>
    <row r="2698" spans="1:7" x14ac:dyDescent="0.25">
      <c r="A2698">
        <v>8796</v>
      </c>
      <c r="B2698" t="str">
        <f>"clodinafop-propargyl"</f>
        <v>clodinafop-propargyl</v>
      </c>
      <c r="C2698" t="s">
        <v>19016</v>
      </c>
      <c r="D2698" t="str">
        <f>"105512-06-9"</f>
        <v>105512-06-9</v>
      </c>
      <c r="E2698" t="str">
        <f t="shared" si="134"/>
        <v xml:space="preserve">Organische parameters </v>
      </c>
      <c r="F2698" t="str">
        <f t="shared" si="135"/>
        <v xml:space="preserve">Pesticiden en metabolieten </v>
      </c>
      <c r="G2698" t="str">
        <f t="shared" si="133"/>
        <v xml:space="preserve">Pesticiden en humaan toxicologisch relevante metabolieten </v>
      </c>
    </row>
    <row r="2699" spans="1:7" x14ac:dyDescent="0.25">
      <c r="A2699">
        <v>8797</v>
      </c>
      <c r="B2699" t="str">
        <f>"flumioxazin"</f>
        <v>flumioxazin</v>
      </c>
      <c r="C2699" t="s">
        <v>19016</v>
      </c>
      <c r="D2699" t="str">
        <f>"103361-09-7"</f>
        <v>103361-09-7</v>
      </c>
      <c r="E2699" t="str">
        <f t="shared" si="134"/>
        <v xml:space="preserve">Organische parameters </v>
      </c>
      <c r="F2699" t="str">
        <f t="shared" si="135"/>
        <v xml:space="preserve">Pesticiden en metabolieten </v>
      </c>
      <c r="G2699" t="str">
        <f t="shared" si="133"/>
        <v xml:space="preserve">Pesticiden en humaan toxicologisch relevante metabolieten </v>
      </c>
    </row>
    <row r="2700" spans="1:7" x14ac:dyDescent="0.25">
      <c r="A2700">
        <v>8798</v>
      </c>
      <c r="B2700" t="str">
        <f>"fluopicolide"</f>
        <v>fluopicolide</v>
      </c>
      <c r="C2700" t="s">
        <v>19016</v>
      </c>
      <c r="D2700" t="str">
        <f>"239110-15-7"</f>
        <v>239110-15-7</v>
      </c>
      <c r="E2700" t="str">
        <f t="shared" si="134"/>
        <v xml:space="preserve">Organische parameters </v>
      </c>
      <c r="F2700" t="str">
        <f t="shared" si="135"/>
        <v xml:space="preserve">Pesticiden en metabolieten </v>
      </c>
      <c r="G2700" t="str">
        <f t="shared" si="133"/>
        <v xml:space="preserve">Pesticiden en humaan toxicologisch relevante metabolieten </v>
      </c>
    </row>
    <row r="2701" spans="1:7" x14ac:dyDescent="0.25">
      <c r="A2701">
        <v>8799</v>
      </c>
      <c r="B2701" t="str">
        <f>"E-fluoxastrobin"</f>
        <v>E-fluoxastrobin</v>
      </c>
      <c r="C2701" t="s">
        <v>19016</v>
      </c>
      <c r="D2701" t="str">
        <f>"193740-76-0"</f>
        <v>193740-76-0</v>
      </c>
      <c r="E2701" t="str">
        <f t="shared" si="134"/>
        <v xml:space="preserve">Organische parameters </v>
      </c>
      <c r="F2701" t="str">
        <f t="shared" si="135"/>
        <v xml:space="preserve">Pesticiden en metabolieten </v>
      </c>
      <c r="G2701" t="str">
        <f t="shared" si="133"/>
        <v xml:space="preserve">Pesticiden en humaan toxicologisch relevante metabolieten </v>
      </c>
    </row>
    <row r="2702" spans="1:7" x14ac:dyDescent="0.25">
      <c r="A2702">
        <v>8800</v>
      </c>
      <c r="B2702" t="str">
        <f>"pinoxaden"</f>
        <v>pinoxaden</v>
      </c>
      <c r="C2702" t="s">
        <v>19016</v>
      </c>
      <c r="D2702" t="str">
        <f>"243973-20-8"</f>
        <v>243973-20-8</v>
      </c>
      <c r="E2702" t="str">
        <f t="shared" si="134"/>
        <v xml:space="preserve">Organische parameters </v>
      </c>
      <c r="F2702" t="str">
        <f t="shared" si="135"/>
        <v xml:space="preserve">Pesticiden en metabolieten </v>
      </c>
      <c r="G2702" t="str">
        <f t="shared" si="133"/>
        <v xml:space="preserve">Pesticiden en humaan toxicologisch relevante metabolieten </v>
      </c>
    </row>
    <row r="2703" spans="1:7" x14ac:dyDescent="0.25">
      <c r="A2703">
        <v>8801</v>
      </c>
      <c r="B2703" t="str">
        <f>"quinoclamine"</f>
        <v>quinoclamine</v>
      </c>
      <c r="C2703" t="s">
        <v>19016</v>
      </c>
      <c r="D2703" t="str">
        <f>"2797-51-5"</f>
        <v>2797-51-5</v>
      </c>
      <c r="E2703" t="str">
        <f t="shared" si="134"/>
        <v xml:space="preserve">Organische parameters </v>
      </c>
      <c r="F2703" t="str">
        <f t="shared" si="135"/>
        <v xml:space="preserve">Pesticiden en metabolieten </v>
      </c>
      <c r="G2703" t="str">
        <f t="shared" ref="G2703:G2766" si="136">"Pesticiden en humaan toxicologisch relevante metabolieten "</f>
        <v xml:space="preserve">Pesticiden en humaan toxicologisch relevante metabolieten </v>
      </c>
    </row>
    <row r="2704" spans="1:7" x14ac:dyDescent="0.25">
      <c r="A2704">
        <v>8802</v>
      </c>
      <c r="B2704" t="str">
        <f>"tepraloxydim"</f>
        <v>tepraloxydim</v>
      </c>
      <c r="C2704" t="s">
        <v>19016</v>
      </c>
      <c r="D2704" t="str">
        <f>"149979-41-9"</f>
        <v>149979-41-9</v>
      </c>
      <c r="E2704" t="str">
        <f t="shared" si="134"/>
        <v xml:space="preserve">Organische parameters </v>
      </c>
      <c r="F2704" t="str">
        <f t="shared" si="135"/>
        <v xml:space="preserve">Pesticiden en metabolieten </v>
      </c>
      <c r="G2704" t="str">
        <f t="shared" si="136"/>
        <v xml:space="preserve">Pesticiden en humaan toxicologisch relevante metabolieten </v>
      </c>
    </row>
    <row r="2705" spans="1:7" x14ac:dyDescent="0.25">
      <c r="A2705">
        <v>8803</v>
      </c>
      <c r="B2705" t="str">
        <f>"cis- propiconazool "</f>
        <v xml:space="preserve">cis- propiconazool </v>
      </c>
      <c r="C2705" t="s">
        <v>19016</v>
      </c>
      <c r="D2705" t="str">
        <f>""</f>
        <v/>
      </c>
      <c r="E2705" t="str">
        <f t="shared" si="134"/>
        <v xml:space="preserve">Organische parameters </v>
      </c>
      <c r="F2705" t="str">
        <f t="shared" si="135"/>
        <v xml:space="preserve">Pesticiden en metabolieten </v>
      </c>
      <c r="G2705" t="str">
        <f t="shared" si="136"/>
        <v xml:space="preserve">Pesticiden en humaan toxicologisch relevante metabolieten </v>
      </c>
    </row>
    <row r="2706" spans="1:7" x14ac:dyDescent="0.25">
      <c r="A2706">
        <v>8804</v>
      </c>
      <c r="B2706" t="str">
        <f>"trans- propiconazool "</f>
        <v xml:space="preserve">trans- propiconazool </v>
      </c>
      <c r="C2706" t="s">
        <v>19016</v>
      </c>
      <c r="D2706" t="str">
        <f>""</f>
        <v/>
      </c>
      <c r="E2706" t="str">
        <f t="shared" si="134"/>
        <v xml:space="preserve">Organische parameters </v>
      </c>
      <c r="F2706" t="str">
        <f t="shared" si="135"/>
        <v xml:space="preserve">Pesticiden en metabolieten </v>
      </c>
      <c r="G2706" t="str">
        <f t="shared" si="136"/>
        <v xml:space="preserve">Pesticiden en humaan toxicologisch relevante metabolieten </v>
      </c>
    </row>
    <row r="2707" spans="1:7" x14ac:dyDescent="0.25">
      <c r="A2707">
        <v>8805</v>
      </c>
      <c r="B2707" t="str">
        <f>"3,4,5-trimethacarb"</f>
        <v>3,4,5-trimethacarb</v>
      </c>
      <c r="C2707" t="s">
        <v>19016</v>
      </c>
      <c r="D2707" t="str">
        <f>"2686-99-9"</f>
        <v>2686-99-9</v>
      </c>
      <c r="E2707" t="str">
        <f t="shared" si="134"/>
        <v xml:space="preserve">Organische parameters </v>
      </c>
      <c r="F2707" t="str">
        <f t="shared" si="135"/>
        <v xml:space="preserve">Pesticiden en metabolieten </v>
      </c>
      <c r="G2707" t="str">
        <f t="shared" si="136"/>
        <v xml:space="preserve">Pesticiden en humaan toxicologisch relevante metabolieten </v>
      </c>
    </row>
    <row r="2708" spans="1:7" x14ac:dyDescent="0.25">
      <c r="A2708">
        <v>8806</v>
      </c>
      <c r="B2708" t="str">
        <f>"acibenzolar-s-methyl"</f>
        <v>acibenzolar-s-methyl</v>
      </c>
      <c r="C2708" t="s">
        <v>19016</v>
      </c>
      <c r="D2708" t="str">
        <f>"135158-54-2"</f>
        <v>135158-54-2</v>
      </c>
      <c r="E2708" t="str">
        <f t="shared" si="134"/>
        <v xml:space="preserve">Organische parameters </v>
      </c>
      <c r="F2708" t="str">
        <f t="shared" si="135"/>
        <v xml:space="preserve">Pesticiden en metabolieten </v>
      </c>
      <c r="G2708" t="str">
        <f t="shared" si="136"/>
        <v xml:space="preserve">Pesticiden en humaan toxicologisch relevante metabolieten </v>
      </c>
    </row>
    <row r="2709" spans="1:7" x14ac:dyDescent="0.25">
      <c r="A2709">
        <v>8807</v>
      </c>
      <c r="B2709" t="str">
        <f>"acrinathrin"</f>
        <v>acrinathrin</v>
      </c>
      <c r="C2709" t="s">
        <v>19016</v>
      </c>
      <c r="D2709" t="str">
        <f>"103833-18-7"</f>
        <v>103833-18-7</v>
      </c>
      <c r="E2709" t="str">
        <f t="shared" si="134"/>
        <v xml:space="preserve">Organische parameters </v>
      </c>
      <c r="F2709" t="str">
        <f t="shared" si="135"/>
        <v xml:space="preserve">Pesticiden en metabolieten </v>
      </c>
      <c r="G2709" t="str">
        <f t="shared" si="136"/>
        <v xml:space="preserve">Pesticiden en humaan toxicologisch relevante metabolieten </v>
      </c>
    </row>
    <row r="2710" spans="1:7" x14ac:dyDescent="0.25">
      <c r="A2710">
        <v>8808</v>
      </c>
      <c r="B2710" t="str">
        <f>"alanycarb"</f>
        <v>alanycarb</v>
      </c>
      <c r="C2710" t="s">
        <v>19016</v>
      </c>
      <c r="D2710" t="str">
        <f>"83130-01-2"</f>
        <v>83130-01-2</v>
      </c>
      <c r="E2710" t="str">
        <f t="shared" si="134"/>
        <v xml:space="preserve">Organische parameters </v>
      </c>
      <c r="F2710" t="str">
        <f t="shared" si="135"/>
        <v xml:space="preserve">Pesticiden en metabolieten </v>
      </c>
      <c r="G2710" t="str">
        <f t="shared" si="136"/>
        <v xml:space="preserve">Pesticiden en humaan toxicologisch relevante metabolieten </v>
      </c>
    </row>
    <row r="2711" spans="1:7" x14ac:dyDescent="0.25">
      <c r="A2711">
        <v>8809</v>
      </c>
      <c r="B2711" t="str">
        <f>"aminocarb"</f>
        <v>aminocarb</v>
      </c>
      <c r="C2711" t="s">
        <v>19016</v>
      </c>
      <c r="D2711" t="str">
        <f>"2032-59-9"</f>
        <v>2032-59-9</v>
      </c>
      <c r="E2711" t="str">
        <f t="shared" si="134"/>
        <v xml:space="preserve">Organische parameters </v>
      </c>
      <c r="F2711" t="str">
        <f t="shared" si="135"/>
        <v xml:space="preserve">Pesticiden en metabolieten </v>
      </c>
      <c r="G2711" t="str">
        <f t="shared" si="136"/>
        <v xml:space="preserve">Pesticiden en humaan toxicologisch relevante metabolieten </v>
      </c>
    </row>
    <row r="2712" spans="1:7" x14ac:dyDescent="0.25">
      <c r="A2712">
        <v>8810</v>
      </c>
      <c r="B2712" t="str">
        <f>"amisulbrom"</f>
        <v>amisulbrom</v>
      </c>
      <c r="C2712" t="s">
        <v>19016</v>
      </c>
      <c r="D2712" t="str">
        <f>"348635-87-0"</f>
        <v>348635-87-0</v>
      </c>
      <c r="E2712" t="str">
        <f t="shared" si="134"/>
        <v xml:space="preserve">Organische parameters </v>
      </c>
      <c r="F2712" t="str">
        <f t="shared" si="135"/>
        <v xml:space="preserve">Pesticiden en metabolieten </v>
      </c>
      <c r="G2712" t="str">
        <f t="shared" si="136"/>
        <v xml:space="preserve">Pesticiden en humaan toxicologisch relevante metabolieten </v>
      </c>
    </row>
    <row r="2713" spans="1:7" x14ac:dyDescent="0.25">
      <c r="A2713">
        <v>8811</v>
      </c>
      <c r="B2713" t="str">
        <f>"iodosulfuron-methyl"</f>
        <v>iodosulfuron-methyl</v>
      </c>
      <c r="C2713" t="s">
        <v>19016</v>
      </c>
      <c r="D2713" t="str">
        <f>""</f>
        <v/>
      </c>
      <c r="E2713" t="str">
        <f t="shared" si="134"/>
        <v xml:space="preserve">Organische parameters </v>
      </c>
      <c r="F2713" t="str">
        <f t="shared" si="135"/>
        <v xml:space="preserve">Pesticiden en metabolieten </v>
      </c>
      <c r="G2713" t="str">
        <f t="shared" si="136"/>
        <v xml:space="preserve">Pesticiden en humaan toxicologisch relevante metabolieten </v>
      </c>
    </row>
    <row r="2714" spans="1:7" x14ac:dyDescent="0.25">
      <c r="A2714">
        <v>8812</v>
      </c>
      <c r="B2714" t="str">
        <f>"azadirachtin"</f>
        <v>azadirachtin</v>
      </c>
      <c r="C2714" t="s">
        <v>19016</v>
      </c>
      <c r="D2714" t="str">
        <f>"11141-17-6"</f>
        <v>11141-17-6</v>
      </c>
      <c r="E2714" t="str">
        <f t="shared" si="134"/>
        <v xml:space="preserve">Organische parameters </v>
      </c>
      <c r="F2714" t="str">
        <f t="shared" si="135"/>
        <v xml:space="preserve">Pesticiden en metabolieten </v>
      </c>
      <c r="G2714" t="str">
        <f t="shared" si="136"/>
        <v xml:space="preserve">Pesticiden en humaan toxicologisch relevante metabolieten </v>
      </c>
    </row>
    <row r="2715" spans="1:7" x14ac:dyDescent="0.25">
      <c r="A2715">
        <v>8813</v>
      </c>
      <c r="B2715" t="str">
        <f>"benodanil"</f>
        <v>benodanil</v>
      </c>
      <c r="C2715" t="s">
        <v>19016</v>
      </c>
      <c r="D2715" t="str">
        <f>"15310-01-7"</f>
        <v>15310-01-7</v>
      </c>
      <c r="E2715" t="str">
        <f t="shared" si="134"/>
        <v xml:space="preserve">Organische parameters </v>
      </c>
      <c r="F2715" t="str">
        <f t="shared" si="135"/>
        <v xml:space="preserve">Pesticiden en metabolieten </v>
      </c>
      <c r="G2715" t="str">
        <f t="shared" si="136"/>
        <v xml:space="preserve">Pesticiden en humaan toxicologisch relevante metabolieten </v>
      </c>
    </row>
    <row r="2716" spans="1:7" x14ac:dyDescent="0.25">
      <c r="A2716">
        <v>8814</v>
      </c>
      <c r="B2716" t="str">
        <f>"benoxacor"</f>
        <v>benoxacor</v>
      </c>
      <c r="C2716" t="s">
        <v>19016</v>
      </c>
      <c r="D2716" t="str">
        <f>"98730-04-2"</f>
        <v>98730-04-2</v>
      </c>
      <c r="E2716" t="str">
        <f t="shared" si="134"/>
        <v xml:space="preserve">Organische parameters </v>
      </c>
      <c r="F2716" t="str">
        <f t="shared" si="135"/>
        <v xml:space="preserve">Pesticiden en metabolieten </v>
      </c>
      <c r="G2716" t="str">
        <f t="shared" si="136"/>
        <v xml:space="preserve">Pesticiden en humaan toxicologisch relevante metabolieten </v>
      </c>
    </row>
    <row r="2717" spans="1:7" x14ac:dyDescent="0.25">
      <c r="A2717">
        <v>8815</v>
      </c>
      <c r="B2717" t="str">
        <f>"benthiavalicarb-isopropyl"</f>
        <v>benthiavalicarb-isopropyl</v>
      </c>
      <c r="C2717" t="s">
        <v>19016</v>
      </c>
      <c r="D2717" t="str">
        <f>"177406-68-7"</f>
        <v>177406-68-7</v>
      </c>
      <c r="E2717" t="str">
        <f t="shared" si="134"/>
        <v xml:space="preserve">Organische parameters </v>
      </c>
      <c r="F2717" t="str">
        <f t="shared" si="135"/>
        <v xml:space="preserve">Pesticiden en metabolieten </v>
      </c>
      <c r="G2717" t="str">
        <f t="shared" si="136"/>
        <v xml:space="preserve">Pesticiden en humaan toxicologisch relevante metabolieten </v>
      </c>
    </row>
    <row r="2718" spans="1:7" x14ac:dyDescent="0.25">
      <c r="A2718">
        <v>8816</v>
      </c>
      <c r="B2718" t="str">
        <f>"bixafen"</f>
        <v>bixafen</v>
      </c>
      <c r="C2718" t="s">
        <v>19016</v>
      </c>
      <c r="D2718" t="str">
        <f>"581809-46-3"</f>
        <v>581809-46-3</v>
      </c>
      <c r="E2718" t="str">
        <f t="shared" si="134"/>
        <v xml:space="preserve">Organische parameters </v>
      </c>
      <c r="F2718" t="str">
        <f t="shared" si="135"/>
        <v xml:space="preserve">Pesticiden en metabolieten </v>
      </c>
      <c r="G2718" t="str">
        <f t="shared" si="136"/>
        <v xml:space="preserve">Pesticiden en humaan toxicologisch relevante metabolieten </v>
      </c>
    </row>
    <row r="2719" spans="1:7" x14ac:dyDescent="0.25">
      <c r="A2719">
        <v>8817</v>
      </c>
      <c r="B2719" t="str">
        <f>"bromoxynil-octanoaat"</f>
        <v>bromoxynil-octanoaat</v>
      </c>
      <c r="C2719" t="s">
        <v>19016</v>
      </c>
      <c r="D2719" t="str">
        <f>"1689-99-2"</f>
        <v>1689-99-2</v>
      </c>
      <c r="E2719" t="str">
        <f t="shared" ref="E2719:E2782" si="137">"Organische parameters "</f>
        <v xml:space="preserve">Organische parameters </v>
      </c>
      <c r="F2719" t="str">
        <f t="shared" si="135"/>
        <v xml:space="preserve">Pesticiden en metabolieten </v>
      </c>
      <c r="G2719" t="str">
        <f t="shared" si="136"/>
        <v xml:space="preserve">Pesticiden en humaan toxicologisch relevante metabolieten </v>
      </c>
    </row>
    <row r="2720" spans="1:7" x14ac:dyDescent="0.25">
      <c r="A2720">
        <v>8818</v>
      </c>
      <c r="B2720" t="str">
        <f>"bromuconazool"</f>
        <v>bromuconazool</v>
      </c>
      <c r="C2720" t="s">
        <v>19016</v>
      </c>
      <c r="D2720" t="str">
        <f>"116255-48-2"</f>
        <v>116255-48-2</v>
      </c>
      <c r="E2720" t="str">
        <f t="shared" si="137"/>
        <v xml:space="preserve">Organische parameters </v>
      </c>
      <c r="F2720" t="str">
        <f t="shared" si="135"/>
        <v xml:space="preserve">Pesticiden en metabolieten </v>
      </c>
      <c r="G2720" t="str">
        <f t="shared" si="136"/>
        <v xml:space="preserve">Pesticiden en humaan toxicologisch relevante metabolieten </v>
      </c>
    </row>
    <row r="2721" spans="1:7" x14ac:dyDescent="0.25">
      <c r="A2721">
        <v>8819</v>
      </c>
      <c r="B2721" t="str">
        <f>"broomcyclen"</f>
        <v>broomcyclen</v>
      </c>
      <c r="C2721" t="s">
        <v>19016</v>
      </c>
      <c r="D2721" t="str">
        <f>"1715-40-8"</f>
        <v>1715-40-8</v>
      </c>
      <c r="E2721" t="str">
        <f t="shared" si="137"/>
        <v xml:space="preserve">Organische parameters </v>
      </c>
      <c r="F2721" t="str">
        <f t="shared" si="135"/>
        <v xml:space="preserve">Pesticiden en metabolieten </v>
      </c>
      <c r="G2721" t="str">
        <f t="shared" si="136"/>
        <v xml:space="preserve">Pesticiden en humaan toxicologisch relevante metabolieten </v>
      </c>
    </row>
    <row r="2722" spans="1:7" x14ac:dyDescent="0.25">
      <c r="A2722">
        <v>8820</v>
      </c>
      <c r="B2722" t="str">
        <f>"butafenacil"</f>
        <v>butafenacil</v>
      </c>
      <c r="C2722" t="s">
        <v>19016</v>
      </c>
      <c r="D2722" t="str">
        <f>"134605-64-4"</f>
        <v>134605-64-4</v>
      </c>
      <c r="E2722" t="str">
        <f t="shared" si="137"/>
        <v xml:space="preserve">Organische parameters </v>
      </c>
      <c r="F2722" t="str">
        <f t="shared" si="135"/>
        <v xml:space="preserve">Pesticiden en metabolieten </v>
      </c>
      <c r="G2722" t="str">
        <f t="shared" si="136"/>
        <v xml:space="preserve">Pesticiden en humaan toxicologisch relevante metabolieten </v>
      </c>
    </row>
    <row r="2723" spans="1:7" x14ac:dyDescent="0.25">
      <c r="A2723">
        <v>8821</v>
      </c>
      <c r="B2723" t="str">
        <f>"cadusofos"</f>
        <v>cadusofos</v>
      </c>
      <c r="C2723" t="s">
        <v>19016</v>
      </c>
      <c r="D2723" t="str">
        <f>"95465-99-9"</f>
        <v>95465-99-9</v>
      </c>
      <c r="E2723" t="str">
        <f t="shared" si="137"/>
        <v xml:space="preserve">Organische parameters </v>
      </c>
      <c r="F2723" t="str">
        <f t="shared" si="135"/>
        <v xml:space="preserve">Pesticiden en metabolieten </v>
      </c>
      <c r="G2723" t="str">
        <f t="shared" si="136"/>
        <v xml:space="preserve">Pesticiden en humaan toxicologisch relevante metabolieten </v>
      </c>
    </row>
    <row r="2724" spans="1:7" x14ac:dyDescent="0.25">
      <c r="A2724">
        <v>8822</v>
      </c>
      <c r="B2724" t="str">
        <f>"carbofenothion-methyl"</f>
        <v>carbofenothion-methyl</v>
      </c>
      <c r="C2724" t="s">
        <v>19016</v>
      </c>
      <c r="D2724" t="str">
        <f>"953-17-3"</f>
        <v>953-17-3</v>
      </c>
      <c r="E2724" t="str">
        <f t="shared" si="137"/>
        <v xml:space="preserve">Organische parameters </v>
      </c>
      <c r="F2724" t="str">
        <f t="shared" si="135"/>
        <v xml:space="preserve">Pesticiden en metabolieten </v>
      </c>
      <c r="G2724" t="str">
        <f t="shared" si="136"/>
        <v xml:space="preserve">Pesticiden en humaan toxicologisch relevante metabolieten </v>
      </c>
    </row>
    <row r="2725" spans="1:7" x14ac:dyDescent="0.25">
      <c r="A2725">
        <v>8823</v>
      </c>
      <c r="B2725" t="str">
        <f>"carbofuran-3-keto"</f>
        <v>carbofuran-3-keto</v>
      </c>
      <c r="C2725" t="s">
        <v>19016</v>
      </c>
      <c r="D2725" t="str">
        <f>"16709-30-1"</f>
        <v>16709-30-1</v>
      </c>
      <c r="E2725" t="str">
        <f t="shared" si="137"/>
        <v xml:space="preserve">Organische parameters </v>
      </c>
      <c r="F2725" t="str">
        <f t="shared" si="135"/>
        <v xml:space="preserve">Pesticiden en metabolieten </v>
      </c>
      <c r="G2725" t="str">
        <f t="shared" si="136"/>
        <v xml:space="preserve">Pesticiden en humaan toxicologisch relevante metabolieten </v>
      </c>
    </row>
    <row r="2726" spans="1:7" x14ac:dyDescent="0.25">
      <c r="A2726">
        <v>8824</v>
      </c>
      <c r="B2726" t="str">
        <f>"carbofuran-fenol"</f>
        <v>carbofuran-fenol</v>
      </c>
      <c r="C2726" t="s">
        <v>19016</v>
      </c>
      <c r="D2726" t="str">
        <f>"1563-38-8"</f>
        <v>1563-38-8</v>
      </c>
      <c r="E2726" t="str">
        <f t="shared" si="137"/>
        <v xml:space="preserve">Organische parameters </v>
      </c>
      <c r="F2726" t="str">
        <f t="shared" si="135"/>
        <v xml:space="preserve">Pesticiden en metabolieten </v>
      </c>
      <c r="G2726" t="str">
        <f t="shared" si="136"/>
        <v xml:space="preserve">Pesticiden en humaan toxicologisch relevante metabolieten </v>
      </c>
    </row>
    <row r="2727" spans="1:7" x14ac:dyDescent="0.25">
      <c r="A2727">
        <v>8825</v>
      </c>
      <c r="B2727" t="str">
        <f>"carpropamide"</f>
        <v>carpropamide</v>
      </c>
      <c r="C2727" t="s">
        <v>19016</v>
      </c>
      <c r="D2727" t="str">
        <f>"104030-54-8"</f>
        <v>104030-54-8</v>
      </c>
      <c r="E2727" t="str">
        <f t="shared" si="137"/>
        <v xml:space="preserve">Organische parameters </v>
      </c>
      <c r="F2727" t="str">
        <f t="shared" si="135"/>
        <v xml:space="preserve">Pesticiden en metabolieten </v>
      </c>
      <c r="G2727" t="str">
        <f t="shared" si="136"/>
        <v xml:space="preserve">Pesticiden en humaan toxicologisch relevante metabolieten </v>
      </c>
    </row>
    <row r="2728" spans="1:7" x14ac:dyDescent="0.25">
      <c r="A2728">
        <v>8826</v>
      </c>
      <c r="B2728" t="str">
        <f>"carvon"</f>
        <v>carvon</v>
      </c>
      <c r="C2728" t="s">
        <v>19016</v>
      </c>
      <c r="D2728" t="str">
        <f>"99-49-0"</f>
        <v>99-49-0</v>
      </c>
      <c r="E2728" t="str">
        <f t="shared" si="137"/>
        <v xml:space="preserve">Organische parameters </v>
      </c>
      <c r="F2728" t="str">
        <f t="shared" si="135"/>
        <v xml:space="preserve">Pesticiden en metabolieten </v>
      </c>
      <c r="G2728" t="str">
        <f t="shared" si="136"/>
        <v xml:space="preserve">Pesticiden en humaan toxicologisch relevante metabolieten </v>
      </c>
    </row>
    <row r="2729" spans="1:7" x14ac:dyDescent="0.25">
      <c r="A2729">
        <v>8827</v>
      </c>
      <c r="B2729" t="str">
        <f>"chloorfenapyr"</f>
        <v>chloorfenapyr</v>
      </c>
      <c r="C2729" t="s">
        <v>19016</v>
      </c>
      <c r="D2729" t="str">
        <f>"122453-73-0"</f>
        <v>122453-73-0</v>
      </c>
      <c r="E2729" t="str">
        <f t="shared" si="137"/>
        <v xml:space="preserve">Organische parameters </v>
      </c>
      <c r="F2729" t="str">
        <f t="shared" si="135"/>
        <v xml:space="preserve">Pesticiden en metabolieten </v>
      </c>
      <c r="G2729" t="str">
        <f t="shared" si="136"/>
        <v xml:space="preserve">Pesticiden en humaan toxicologisch relevante metabolieten </v>
      </c>
    </row>
    <row r="2730" spans="1:7" x14ac:dyDescent="0.25">
      <c r="A2730">
        <v>8828</v>
      </c>
      <c r="B2730" t="str">
        <f>"chloorfenvinfos (alfa-)"</f>
        <v>chloorfenvinfos (alfa-)</v>
      </c>
      <c r="C2730" t="s">
        <v>19016</v>
      </c>
      <c r="D2730" t="str">
        <f>""</f>
        <v/>
      </c>
      <c r="E2730" t="str">
        <f t="shared" si="137"/>
        <v xml:space="preserve">Organische parameters </v>
      </c>
      <c r="F2730" t="str">
        <f t="shared" si="135"/>
        <v xml:space="preserve">Pesticiden en metabolieten </v>
      </c>
      <c r="G2730" t="str">
        <f t="shared" si="136"/>
        <v xml:space="preserve">Pesticiden en humaan toxicologisch relevante metabolieten </v>
      </c>
    </row>
    <row r="2731" spans="1:7" x14ac:dyDescent="0.25">
      <c r="A2731">
        <v>8829</v>
      </c>
      <c r="B2731" t="str">
        <f>"chloorfenvinfos (beta-)"</f>
        <v>chloorfenvinfos (beta-)</v>
      </c>
      <c r="C2731" t="s">
        <v>19016</v>
      </c>
      <c r="D2731" t="str">
        <f>""</f>
        <v/>
      </c>
      <c r="E2731" t="str">
        <f t="shared" si="137"/>
        <v xml:space="preserve">Organische parameters </v>
      </c>
      <c r="F2731" t="str">
        <f t="shared" si="135"/>
        <v xml:space="preserve">Pesticiden en metabolieten </v>
      </c>
      <c r="G2731" t="str">
        <f t="shared" si="136"/>
        <v xml:space="preserve">Pesticiden en humaan toxicologisch relevante metabolieten </v>
      </c>
    </row>
    <row r="2732" spans="1:7" x14ac:dyDescent="0.25">
      <c r="A2732">
        <v>8830</v>
      </c>
      <c r="B2732" t="str">
        <f>"chloorneb"</f>
        <v>chloorneb</v>
      </c>
      <c r="C2732" t="s">
        <v>19016</v>
      </c>
      <c r="D2732" t="str">
        <f>"2675-77-6"</f>
        <v>2675-77-6</v>
      </c>
      <c r="E2732" t="str">
        <f t="shared" si="137"/>
        <v xml:space="preserve">Organische parameters </v>
      </c>
      <c r="F2732" t="str">
        <f t="shared" si="135"/>
        <v xml:space="preserve">Pesticiden en metabolieten </v>
      </c>
      <c r="G2732" t="str">
        <f t="shared" si="136"/>
        <v xml:space="preserve">Pesticiden en humaan toxicologisch relevante metabolieten </v>
      </c>
    </row>
    <row r="2733" spans="1:7" x14ac:dyDescent="0.25">
      <c r="A2733">
        <v>8831</v>
      </c>
      <c r="B2733" t="str">
        <f>"chloorpropylaat"</f>
        <v>chloorpropylaat</v>
      </c>
      <c r="C2733" t="s">
        <v>19016</v>
      </c>
      <c r="D2733" t="str">
        <f>"2-10-5836"</f>
        <v>2-10-5836</v>
      </c>
      <c r="E2733" t="str">
        <f t="shared" si="137"/>
        <v xml:space="preserve">Organische parameters </v>
      </c>
      <c r="F2733" t="str">
        <f t="shared" si="135"/>
        <v xml:space="preserve">Pesticiden en metabolieten </v>
      </c>
      <c r="G2733" t="str">
        <f t="shared" si="136"/>
        <v xml:space="preserve">Pesticiden en humaan toxicologisch relevante metabolieten </v>
      </c>
    </row>
    <row r="2734" spans="1:7" x14ac:dyDescent="0.25">
      <c r="A2734">
        <v>8832</v>
      </c>
      <c r="B2734" t="str">
        <f>"chlorantraniliprole"</f>
        <v>chlorantraniliprole</v>
      </c>
      <c r="C2734" t="s">
        <v>19016</v>
      </c>
      <c r="D2734" t="str">
        <f>"500008-45-7"</f>
        <v>500008-45-7</v>
      </c>
      <c r="E2734" t="str">
        <f t="shared" si="137"/>
        <v xml:space="preserve">Organische parameters </v>
      </c>
      <c r="F2734" t="str">
        <f t="shared" si="135"/>
        <v xml:space="preserve">Pesticiden en metabolieten </v>
      </c>
      <c r="G2734" t="str">
        <f t="shared" si="136"/>
        <v xml:space="preserve">Pesticiden en humaan toxicologisch relevante metabolieten </v>
      </c>
    </row>
    <row r="2735" spans="1:7" x14ac:dyDescent="0.25">
      <c r="A2735">
        <v>8833</v>
      </c>
      <c r="B2735" t="str">
        <f>"chloorthion"</f>
        <v>chloorthion</v>
      </c>
      <c r="C2735" t="s">
        <v>19016</v>
      </c>
      <c r="D2735" t="str">
        <f>"500-28-7"</f>
        <v>500-28-7</v>
      </c>
      <c r="E2735" t="str">
        <f t="shared" si="137"/>
        <v xml:space="preserve">Organische parameters </v>
      </c>
      <c r="F2735" t="str">
        <f t="shared" si="135"/>
        <v xml:space="preserve">Pesticiden en metabolieten </v>
      </c>
      <c r="G2735" t="str">
        <f t="shared" si="136"/>
        <v xml:space="preserve">Pesticiden en humaan toxicologisch relevante metabolieten </v>
      </c>
    </row>
    <row r="2736" spans="1:7" x14ac:dyDescent="0.25">
      <c r="A2736">
        <v>8834</v>
      </c>
      <c r="B2736" t="str">
        <f>"chloorthiofos-sulfon"</f>
        <v>chloorthiofos-sulfon</v>
      </c>
      <c r="C2736" t="s">
        <v>19016</v>
      </c>
      <c r="D2736" t="str">
        <f>"25900-20-3"</f>
        <v>25900-20-3</v>
      </c>
      <c r="E2736" t="str">
        <f t="shared" si="137"/>
        <v xml:space="preserve">Organische parameters </v>
      </c>
      <c r="F2736" t="str">
        <f t="shared" si="135"/>
        <v xml:space="preserve">Pesticiden en metabolieten </v>
      </c>
      <c r="G2736" t="str">
        <f t="shared" si="136"/>
        <v xml:space="preserve">Pesticiden en humaan toxicologisch relevante metabolieten </v>
      </c>
    </row>
    <row r="2737" spans="1:7" x14ac:dyDescent="0.25">
      <c r="A2737">
        <v>8835</v>
      </c>
      <c r="B2737" t="str">
        <f>"chlozolinaat"</f>
        <v>chlozolinaat</v>
      </c>
      <c r="C2737" t="s">
        <v>19016</v>
      </c>
      <c r="D2737" t="str">
        <f>"72391-46-9"</f>
        <v>72391-46-9</v>
      </c>
      <c r="E2737" t="str">
        <f t="shared" si="137"/>
        <v xml:space="preserve">Organische parameters </v>
      </c>
      <c r="F2737" t="str">
        <f t="shared" si="135"/>
        <v xml:space="preserve">Pesticiden en metabolieten </v>
      </c>
      <c r="G2737" t="str">
        <f t="shared" si="136"/>
        <v xml:space="preserve">Pesticiden en humaan toxicologisch relevante metabolieten </v>
      </c>
    </row>
    <row r="2738" spans="1:7" x14ac:dyDescent="0.25">
      <c r="A2738">
        <v>8836</v>
      </c>
      <c r="B2738" t="str">
        <f>"clethodim"</f>
        <v>clethodim</v>
      </c>
      <c r="C2738" t="s">
        <v>19016</v>
      </c>
      <c r="D2738" t="str">
        <f>"99129-21-2"</f>
        <v>99129-21-2</v>
      </c>
      <c r="E2738" t="str">
        <f t="shared" si="137"/>
        <v xml:space="preserve">Organische parameters </v>
      </c>
      <c r="F2738" t="str">
        <f t="shared" ref="F2738:F2801" si="138">"Pesticiden en metabolieten "</f>
        <v xml:space="preserve">Pesticiden en metabolieten </v>
      </c>
      <c r="G2738" t="str">
        <f t="shared" si="136"/>
        <v xml:space="preserve">Pesticiden en humaan toxicologisch relevante metabolieten </v>
      </c>
    </row>
    <row r="2739" spans="1:7" x14ac:dyDescent="0.25">
      <c r="A2739">
        <v>8837</v>
      </c>
      <c r="B2739" t="str">
        <f>"climbazool"</f>
        <v>climbazool</v>
      </c>
      <c r="C2739" t="s">
        <v>19016</v>
      </c>
      <c r="D2739" t="str">
        <f>"38083-17-9"</f>
        <v>38083-17-9</v>
      </c>
      <c r="E2739" t="str">
        <f t="shared" si="137"/>
        <v xml:space="preserve">Organische parameters </v>
      </c>
      <c r="F2739" t="str">
        <f t="shared" si="138"/>
        <v xml:space="preserve">Pesticiden en metabolieten </v>
      </c>
      <c r="G2739" t="str">
        <f t="shared" si="136"/>
        <v xml:space="preserve">Pesticiden en humaan toxicologisch relevante metabolieten </v>
      </c>
    </row>
    <row r="2740" spans="1:7" x14ac:dyDescent="0.25">
      <c r="A2740">
        <v>8838</v>
      </c>
      <c r="B2740" t="str">
        <f>"cloquintocet-mexyl"</f>
        <v>cloquintocet-mexyl</v>
      </c>
      <c r="C2740" t="s">
        <v>19016</v>
      </c>
      <c r="D2740" t="str">
        <f>"99607-70-2"</f>
        <v>99607-70-2</v>
      </c>
      <c r="E2740" t="str">
        <f t="shared" si="137"/>
        <v xml:space="preserve">Organische parameters </v>
      </c>
      <c r="F2740" t="str">
        <f t="shared" si="138"/>
        <v xml:space="preserve">Pesticiden en metabolieten </v>
      </c>
      <c r="G2740" t="str">
        <f t="shared" si="136"/>
        <v xml:space="preserve">Pesticiden en humaan toxicologisch relevante metabolieten </v>
      </c>
    </row>
    <row r="2741" spans="1:7" x14ac:dyDescent="0.25">
      <c r="A2741">
        <v>8839</v>
      </c>
      <c r="B2741" t="str">
        <f>"crufomaat"</f>
        <v>crufomaat</v>
      </c>
      <c r="C2741" t="s">
        <v>19016</v>
      </c>
      <c r="D2741" t="str">
        <f>"299-86-5"</f>
        <v>299-86-5</v>
      </c>
      <c r="E2741" t="str">
        <f t="shared" si="137"/>
        <v xml:space="preserve">Organische parameters </v>
      </c>
      <c r="F2741" t="str">
        <f t="shared" si="138"/>
        <v xml:space="preserve">Pesticiden en metabolieten </v>
      </c>
      <c r="G2741" t="str">
        <f t="shared" si="136"/>
        <v xml:space="preserve">Pesticiden en humaan toxicologisch relevante metabolieten </v>
      </c>
    </row>
    <row r="2742" spans="1:7" x14ac:dyDescent="0.25">
      <c r="A2742">
        <v>8840</v>
      </c>
      <c r="B2742" t="str">
        <f>"cyanofenfos"</f>
        <v>cyanofenfos</v>
      </c>
      <c r="C2742" t="s">
        <v>19016</v>
      </c>
      <c r="D2742" t="str">
        <f>"13067-93-1"</f>
        <v>13067-93-1</v>
      </c>
      <c r="E2742" t="str">
        <f t="shared" si="137"/>
        <v xml:space="preserve">Organische parameters </v>
      </c>
      <c r="F2742" t="str">
        <f t="shared" si="138"/>
        <v xml:space="preserve">Pesticiden en metabolieten </v>
      </c>
      <c r="G2742" t="str">
        <f t="shared" si="136"/>
        <v xml:space="preserve">Pesticiden en humaan toxicologisch relevante metabolieten </v>
      </c>
    </row>
    <row r="2743" spans="1:7" x14ac:dyDescent="0.25">
      <c r="A2743">
        <v>8841</v>
      </c>
      <c r="B2743" t="str">
        <f>"cyanofos"</f>
        <v>cyanofos</v>
      </c>
      <c r="C2743" t="s">
        <v>19016</v>
      </c>
      <c r="D2743" t="str">
        <f>"2636-26-2"</f>
        <v>2636-26-2</v>
      </c>
      <c r="E2743" t="str">
        <f t="shared" si="137"/>
        <v xml:space="preserve">Organische parameters </v>
      </c>
      <c r="F2743" t="str">
        <f t="shared" si="138"/>
        <v xml:space="preserve">Pesticiden en metabolieten </v>
      </c>
      <c r="G2743" t="str">
        <f t="shared" si="136"/>
        <v xml:space="preserve">Pesticiden en humaan toxicologisch relevante metabolieten </v>
      </c>
    </row>
    <row r="2744" spans="1:7" x14ac:dyDescent="0.25">
      <c r="A2744">
        <v>8842</v>
      </c>
      <c r="B2744" t="str">
        <f>"cyazofamide"</f>
        <v>cyazofamide</v>
      </c>
      <c r="C2744" t="s">
        <v>19016</v>
      </c>
      <c r="D2744" t="str">
        <f>"120116-88-3"</f>
        <v>120116-88-3</v>
      </c>
      <c r="E2744" t="str">
        <f t="shared" si="137"/>
        <v xml:space="preserve">Organische parameters </v>
      </c>
      <c r="F2744" t="str">
        <f t="shared" si="138"/>
        <v xml:space="preserve">Pesticiden en metabolieten </v>
      </c>
      <c r="G2744" t="str">
        <f t="shared" si="136"/>
        <v xml:space="preserve">Pesticiden en humaan toxicologisch relevante metabolieten </v>
      </c>
    </row>
    <row r="2745" spans="1:7" x14ac:dyDescent="0.25">
      <c r="A2745">
        <v>8843</v>
      </c>
      <c r="B2745" t="str">
        <f>"cyfenothrin"</f>
        <v>cyfenothrin</v>
      </c>
      <c r="C2745" t="s">
        <v>19016</v>
      </c>
      <c r="D2745" t="str">
        <f>"39515-40-7"</f>
        <v>39515-40-7</v>
      </c>
      <c r="E2745" t="str">
        <f t="shared" si="137"/>
        <v xml:space="preserve">Organische parameters </v>
      </c>
      <c r="F2745" t="str">
        <f t="shared" si="138"/>
        <v xml:space="preserve">Pesticiden en metabolieten </v>
      </c>
      <c r="G2745" t="str">
        <f t="shared" si="136"/>
        <v xml:space="preserve">Pesticiden en humaan toxicologisch relevante metabolieten </v>
      </c>
    </row>
    <row r="2746" spans="1:7" x14ac:dyDescent="0.25">
      <c r="A2746">
        <v>8844</v>
      </c>
      <c r="B2746" t="str">
        <f>"cyflufenamide"</f>
        <v>cyflufenamide</v>
      </c>
      <c r="C2746" t="s">
        <v>19016</v>
      </c>
      <c r="D2746" t="str">
        <f>"180409-60-3"</f>
        <v>180409-60-3</v>
      </c>
      <c r="E2746" t="str">
        <f t="shared" si="137"/>
        <v xml:space="preserve">Organische parameters </v>
      </c>
      <c r="F2746" t="str">
        <f t="shared" si="138"/>
        <v xml:space="preserve">Pesticiden en metabolieten </v>
      </c>
      <c r="G2746" t="str">
        <f t="shared" si="136"/>
        <v xml:space="preserve">Pesticiden en humaan toxicologisch relevante metabolieten </v>
      </c>
    </row>
    <row r="2747" spans="1:7" x14ac:dyDescent="0.25">
      <c r="A2747">
        <v>8845</v>
      </c>
      <c r="B2747" t="str">
        <f>"cyhalofop-butyl"</f>
        <v>cyhalofop-butyl</v>
      </c>
      <c r="C2747" t="s">
        <v>19016</v>
      </c>
      <c r="D2747" t="str">
        <f>"122008-85-9"</f>
        <v>122008-85-9</v>
      </c>
      <c r="E2747" t="str">
        <f t="shared" si="137"/>
        <v xml:space="preserve">Organische parameters </v>
      </c>
      <c r="F2747" t="str">
        <f t="shared" si="138"/>
        <v xml:space="preserve">Pesticiden en metabolieten </v>
      </c>
      <c r="G2747" t="str">
        <f t="shared" si="136"/>
        <v xml:space="preserve">Pesticiden en humaan toxicologisch relevante metabolieten </v>
      </c>
    </row>
    <row r="2748" spans="1:7" x14ac:dyDescent="0.25">
      <c r="A2748">
        <v>8846</v>
      </c>
      <c r="B2748" t="str">
        <f>"cyhalothrin (lambda-)"</f>
        <v>cyhalothrin (lambda-)</v>
      </c>
      <c r="C2748" t="s">
        <v>19016</v>
      </c>
      <c r="D2748" t="str">
        <f>"91465-08-6"</f>
        <v>91465-08-6</v>
      </c>
      <c r="E2748" t="str">
        <f t="shared" si="137"/>
        <v xml:space="preserve">Organische parameters </v>
      </c>
      <c r="F2748" t="str">
        <f t="shared" si="138"/>
        <v xml:space="preserve">Pesticiden en metabolieten </v>
      </c>
      <c r="G2748" t="str">
        <f t="shared" si="136"/>
        <v xml:space="preserve">Pesticiden en humaan toxicologisch relevante metabolieten </v>
      </c>
    </row>
    <row r="2749" spans="1:7" x14ac:dyDescent="0.25">
      <c r="A2749">
        <v>8847</v>
      </c>
      <c r="B2749" t="str">
        <f>"cymiazool"</f>
        <v>cymiazool</v>
      </c>
      <c r="C2749" t="s">
        <v>19016</v>
      </c>
      <c r="D2749" t="str">
        <f>"61676-87-7"</f>
        <v>61676-87-7</v>
      </c>
      <c r="E2749" t="str">
        <f t="shared" si="137"/>
        <v xml:space="preserve">Organische parameters </v>
      </c>
      <c r="F2749" t="str">
        <f t="shared" si="138"/>
        <v xml:space="preserve">Pesticiden en metabolieten </v>
      </c>
      <c r="G2749" t="str">
        <f t="shared" si="136"/>
        <v xml:space="preserve">Pesticiden en humaan toxicologisch relevante metabolieten </v>
      </c>
    </row>
    <row r="2750" spans="1:7" x14ac:dyDescent="0.25">
      <c r="A2750">
        <v>8848</v>
      </c>
      <c r="B2750" t="str">
        <f>"cythioaat"</f>
        <v>cythioaat</v>
      </c>
      <c r="C2750" t="s">
        <v>19016</v>
      </c>
      <c r="D2750" t="str">
        <f>"115-93-5"</f>
        <v>115-93-5</v>
      </c>
      <c r="E2750" t="str">
        <f t="shared" si="137"/>
        <v xml:space="preserve">Organische parameters </v>
      </c>
      <c r="F2750" t="str">
        <f t="shared" si="138"/>
        <v xml:space="preserve">Pesticiden en metabolieten </v>
      </c>
      <c r="G2750" t="str">
        <f t="shared" si="136"/>
        <v xml:space="preserve">Pesticiden en humaan toxicologisch relevante metabolieten </v>
      </c>
    </row>
    <row r="2751" spans="1:7" x14ac:dyDescent="0.25">
      <c r="A2751">
        <v>8849</v>
      </c>
      <c r="B2751" t="str">
        <f>"demeton-s"</f>
        <v>demeton-s</v>
      </c>
      <c r="C2751" t="s">
        <v>19016</v>
      </c>
      <c r="D2751" t="str">
        <f>"126-75-0"</f>
        <v>126-75-0</v>
      </c>
      <c r="E2751" t="str">
        <f t="shared" si="137"/>
        <v xml:space="preserve">Organische parameters </v>
      </c>
      <c r="F2751" t="str">
        <f t="shared" si="138"/>
        <v xml:space="preserve">Pesticiden en metabolieten </v>
      </c>
      <c r="G2751" t="str">
        <f t="shared" si="136"/>
        <v xml:space="preserve">Pesticiden en humaan toxicologisch relevante metabolieten </v>
      </c>
    </row>
    <row r="2752" spans="1:7" x14ac:dyDescent="0.25">
      <c r="A2752">
        <v>8850</v>
      </c>
      <c r="B2752" t="str">
        <f>"diafenthiuron"</f>
        <v>diafenthiuron</v>
      </c>
      <c r="C2752" t="s">
        <v>19016</v>
      </c>
      <c r="D2752" t="str">
        <f>"80060-09-9"</f>
        <v>80060-09-9</v>
      </c>
      <c r="E2752" t="str">
        <f t="shared" si="137"/>
        <v xml:space="preserve">Organische parameters </v>
      </c>
      <c r="F2752" t="str">
        <f t="shared" si="138"/>
        <v xml:space="preserve">Pesticiden en metabolieten </v>
      </c>
      <c r="G2752" t="str">
        <f t="shared" si="136"/>
        <v xml:space="preserve">Pesticiden en humaan toxicologisch relevante metabolieten </v>
      </c>
    </row>
    <row r="2753" spans="1:7" x14ac:dyDescent="0.25">
      <c r="A2753">
        <v>8851</v>
      </c>
      <c r="B2753" t="str">
        <f>"4,4'-dichloorbenzofenon"</f>
        <v>4,4'-dichloorbenzofenon</v>
      </c>
      <c r="C2753" t="s">
        <v>19016</v>
      </c>
      <c r="D2753" t="str">
        <f>"90-98-2"</f>
        <v>90-98-2</v>
      </c>
      <c r="E2753" t="str">
        <f t="shared" si="137"/>
        <v xml:space="preserve">Organische parameters </v>
      </c>
      <c r="F2753" t="str">
        <f t="shared" si="138"/>
        <v xml:space="preserve">Pesticiden en metabolieten </v>
      </c>
      <c r="G2753" t="str">
        <f t="shared" si="136"/>
        <v xml:space="preserve">Pesticiden en humaan toxicologisch relevante metabolieten </v>
      </c>
    </row>
    <row r="2754" spans="1:7" x14ac:dyDescent="0.25">
      <c r="A2754">
        <v>8852</v>
      </c>
      <c r="B2754" t="str">
        <f>"diethatyl-ethyl"</f>
        <v>diethatyl-ethyl</v>
      </c>
      <c r="C2754" t="s">
        <v>19016</v>
      </c>
      <c r="D2754" t="str">
        <f>"38727-55-8"</f>
        <v>38727-55-8</v>
      </c>
      <c r="E2754" t="str">
        <f t="shared" si="137"/>
        <v xml:space="preserve">Organische parameters </v>
      </c>
      <c r="F2754" t="str">
        <f t="shared" si="138"/>
        <v xml:space="preserve">Pesticiden en metabolieten </v>
      </c>
      <c r="G2754" t="str">
        <f t="shared" si="136"/>
        <v xml:space="preserve">Pesticiden en humaan toxicologisch relevante metabolieten </v>
      </c>
    </row>
    <row r="2755" spans="1:7" x14ac:dyDescent="0.25">
      <c r="A2755">
        <v>8853</v>
      </c>
      <c r="B2755" t="str">
        <f>"dimoxystrobin"</f>
        <v>dimoxystrobin</v>
      </c>
      <c r="C2755" t="s">
        <v>19016</v>
      </c>
      <c r="D2755" t="str">
        <f>"149961-52-4"</f>
        <v>149961-52-4</v>
      </c>
      <c r="E2755" t="str">
        <f t="shared" si="137"/>
        <v xml:space="preserve">Organische parameters </v>
      </c>
      <c r="F2755" t="str">
        <f t="shared" si="138"/>
        <v xml:space="preserve">Pesticiden en metabolieten </v>
      </c>
      <c r="G2755" t="str">
        <f t="shared" si="136"/>
        <v xml:space="preserve">Pesticiden en humaan toxicologisch relevante metabolieten </v>
      </c>
    </row>
    <row r="2756" spans="1:7" x14ac:dyDescent="0.25">
      <c r="A2756">
        <v>8854</v>
      </c>
      <c r="B2756" t="str">
        <f>"dinotefuran"</f>
        <v>dinotefuran</v>
      </c>
      <c r="C2756" t="s">
        <v>19016</v>
      </c>
      <c r="D2756" t="str">
        <f>"165252-70-0"</f>
        <v>165252-70-0</v>
      </c>
      <c r="E2756" t="str">
        <f t="shared" si="137"/>
        <v xml:space="preserve">Organische parameters </v>
      </c>
      <c r="F2756" t="str">
        <f t="shared" si="138"/>
        <v xml:space="preserve">Pesticiden en metabolieten </v>
      </c>
      <c r="G2756" t="str">
        <f t="shared" si="136"/>
        <v xml:space="preserve">Pesticiden en humaan toxicologisch relevante metabolieten </v>
      </c>
    </row>
    <row r="2757" spans="1:7" x14ac:dyDescent="0.25">
      <c r="A2757">
        <v>8855</v>
      </c>
      <c r="B2757" t="str">
        <f>"dioxabenzofos"</f>
        <v>dioxabenzofos</v>
      </c>
      <c r="C2757" t="s">
        <v>19016</v>
      </c>
      <c r="D2757" t="str">
        <f>"3811-49-2"</f>
        <v>3811-49-2</v>
      </c>
      <c r="E2757" t="str">
        <f t="shared" si="137"/>
        <v xml:space="preserve">Organische parameters </v>
      </c>
      <c r="F2757" t="str">
        <f t="shared" si="138"/>
        <v xml:space="preserve">Pesticiden en metabolieten </v>
      </c>
      <c r="G2757" t="str">
        <f t="shared" si="136"/>
        <v xml:space="preserve">Pesticiden en humaan toxicologisch relevante metabolieten </v>
      </c>
    </row>
    <row r="2758" spans="1:7" x14ac:dyDescent="0.25">
      <c r="A2758">
        <v>8856</v>
      </c>
      <c r="B2758" t="str">
        <f>"dipropetryn"</f>
        <v>dipropetryn</v>
      </c>
      <c r="C2758" t="s">
        <v>19016</v>
      </c>
      <c r="D2758" t="str">
        <f>"4147-51-7"</f>
        <v>4147-51-7</v>
      </c>
      <c r="E2758" t="str">
        <f t="shared" si="137"/>
        <v xml:space="preserve">Organische parameters </v>
      </c>
      <c r="F2758" t="str">
        <f t="shared" si="138"/>
        <v xml:space="preserve">Pesticiden en metabolieten </v>
      </c>
      <c r="G2758" t="str">
        <f t="shared" si="136"/>
        <v xml:space="preserve">Pesticiden en humaan toxicologisch relevante metabolieten </v>
      </c>
    </row>
    <row r="2759" spans="1:7" x14ac:dyDescent="0.25">
      <c r="A2759">
        <v>8857</v>
      </c>
      <c r="B2759" t="str">
        <f>"emamectin"</f>
        <v>emamectin</v>
      </c>
      <c r="C2759" t="s">
        <v>19016</v>
      </c>
      <c r="D2759" t="str">
        <f>"119791-41-2"</f>
        <v>119791-41-2</v>
      </c>
      <c r="E2759" t="str">
        <f t="shared" si="137"/>
        <v xml:space="preserve">Organische parameters </v>
      </c>
      <c r="F2759" t="str">
        <f t="shared" si="138"/>
        <v xml:space="preserve">Pesticiden en metabolieten </v>
      </c>
      <c r="G2759" t="str">
        <f t="shared" si="136"/>
        <v xml:space="preserve">Pesticiden en humaan toxicologisch relevante metabolieten </v>
      </c>
    </row>
    <row r="2760" spans="1:7" x14ac:dyDescent="0.25">
      <c r="A2760">
        <v>8858</v>
      </c>
      <c r="B2760" t="str">
        <f>"etaconazool"</f>
        <v>etaconazool</v>
      </c>
      <c r="C2760" t="s">
        <v>19016</v>
      </c>
      <c r="D2760" t="str">
        <f>"60207-93-4"</f>
        <v>60207-93-4</v>
      </c>
      <c r="E2760" t="str">
        <f t="shared" si="137"/>
        <v xml:space="preserve">Organische parameters </v>
      </c>
      <c r="F2760" t="str">
        <f t="shared" si="138"/>
        <v xml:space="preserve">Pesticiden en metabolieten </v>
      </c>
      <c r="G2760" t="str">
        <f t="shared" si="136"/>
        <v xml:space="preserve">Pesticiden en humaan toxicologisch relevante metabolieten </v>
      </c>
    </row>
    <row r="2761" spans="1:7" x14ac:dyDescent="0.25">
      <c r="A2761">
        <v>8859</v>
      </c>
      <c r="B2761" t="str">
        <f>"ethiprole"</f>
        <v>ethiprole</v>
      </c>
      <c r="C2761" t="s">
        <v>19016</v>
      </c>
      <c r="D2761" t="str">
        <f>"181587-01-9"</f>
        <v>181587-01-9</v>
      </c>
      <c r="E2761" t="str">
        <f t="shared" si="137"/>
        <v xml:space="preserve">Organische parameters </v>
      </c>
      <c r="F2761" t="str">
        <f t="shared" si="138"/>
        <v xml:space="preserve">Pesticiden en metabolieten </v>
      </c>
      <c r="G2761" t="str">
        <f t="shared" si="136"/>
        <v xml:space="preserve">Pesticiden en humaan toxicologisch relevante metabolieten </v>
      </c>
    </row>
    <row r="2762" spans="1:7" x14ac:dyDescent="0.25">
      <c r="A2762">
        <v>8860</v>
      </c>
      <c r="B2762" t="str">
        <f>"etofenprox"</f>
        <v>etofenprox</v>
      </c>
      <c r="C2762" t="s">
        <v>19016</v>
      </c>
      <c r="D2762" t="str">
        <f>"80844-07-1"</f>
        <v>80844-07-1</v>
      </c>
      <c r="E2762" t="str">
        <f t="shared" si="137"/>
        <v xml:space="preserve">Organische parameters </v>
      </c>
      <c r="F2762" t="str">
        <f t="shared" si="138"/>
        <v xml:space="preserve">Pesticiden en metabolieten </v>
      </c>
      <c r="G2762" t="str">
        <f t="shared" si="136"/>
        <v xml:space="preserve">Pesticiden en humaan toxicologisch relevante metabolieten </v>
      </c>
    </row>
    <row r="2763" spans="1:7" x14ac:dyDescent="0.25">
      <c r="A2763">
        <v>8861</v>
      </c>
      <c r="B2763" t="str">
        <f>"etoxazool"</f>
        <v>etoxazool</v>
      </c>
      <c r="C2763" t="s">
        <v>19016</v>
      </c>
      <c r="D2763" t="str">
        <f>"153233-91-1"</f>
        <v>153233-91-1</v>
      </c>
      <c r="E2763" t="str">
        <f t="shared" si="137"/>
        <v xml:space="preserve">Organische parameters </v>
      </c>
      <c r="F2763" t="str">
        <f t="shared" si="138"/>
        <v xml:space="preserve">Pesticiden en metabolieten </v>
      </c>
      <c r="G2763" t="str">
        <f t="shared" si="136"/>
        <v xml:space="preserve">Pesticiden en humaan toxicologisch relevante metabolieten </v>
      </c>
    </row>
    <row r="2764" spans="1:7" x14ac:dyDescent="0.25">
      <c r="A2764">
        <v>8862</v>
      </c>
      <c r="B2764" t="str">
        <f>"famofos"</f>
        <v>famofos</v>
      </c>
      <c r="C2764" t="s">
        <v>19016</v>
      </c>
      <c r="D2764" t="str">
        <f>"52-85-7"</f>
        <v>52-85-7</v>
      </c>
      <c r="E2764" t="str">
        <f t="shared" si="137"/>
        <v xml:space="preserve">Organische parameters </v>
      </c>
      <c r="F2764" t="str">
        <f t="shared" si="138"/>
        <v xml:space="preserve">Pesticiden en metabolieten </v>
      </c>
      <c r="G2764" t="str">
        <f t="shared" si="136"/>
        <v xml:space="preserve">Pesticiden en humaan toxicologisch relevante metabolieten </v>
      </c>
    </row>
    <row r="2765" spans="1:7" x14ac:dyDescent="0.25">
      <c r="A2765">
        <v>8863</v>
      </c>
      <c r="B2765" t="str">
        <f>"fenazaquin"</f>
        <v>fenazaquin</v>
      </c>
      <c r="C2765" t="s">
        <v>19016</v>
      </c>
      <c r="D2765" t="str">
        <f>"120928-09-8"</f>
        <v>120928-09-8</v>
      </c>
      <c r="E2765" t="str">
        <f t="shared" si="137"/>
        <v xml:space="preserve">Organische parameters </v>
      </c>
      <c r="F2765" t="str">
        <f t="shared" si="138"/>
        <v xml:space="preserve">Pesticiden en metabolieten </v>
      </c>
      <c r="G2765" t="str">
        <f t="shared" si="136"/>
        <v xml:space="preserve">Pesticiden en humaan toxicologisch relevante metabolieten </v>
      </c>
    </row>
    <row r="2766" spans="1:7" x14ac:dyDescent="0.25">
      <c r="A2766">
        <v>8864</v>
      </c>
      <c r="B2766" t="str">
        <f>"fenbuconazool"</f>
        <v>fenbuconazool</v>
      </c>
      <c r="C2766" t="s">
        <v>19016</v>
      </c>
      <c r="D2766" t="str">
        <f>"114369-43-6"</f>
        <v>114369-43-6</v>
      </c>
      <c r="E2766" t="str">
        <f t="shared" si="137"/>
        <v xml:space="preserve">Organische parameters </v>
      </c>
      <c r="F2766" t="str">
        <f t="shared" si="138"/>
        <v xml:space="preserve">Pesticiden en metabolieten </v>
      </c>
      <c r="G2766" t="str">
        <f t="shared" si="136"/>
        <v xml:space="preserve">Pesticiden en humaan toxicologisch relevante metabolieten </v>
      </c>
    </row>
    <row r="2767" spans="1:7" x14ac:dyDescent="0.25">
      <c r="A2767">
        <v>8865</v>
      </c>
      <c r="B2767" t="str">
        <f>"fenfluthrin"</f>
        <v>fenfluthrin</v>
      </c>
      <c r="C2767" t="s">
        <v>19016</v>
      </c>
      <c r="D2767" t="str">
        <f>"67640-14-6"</f>
        <v>67640-14-6</v>
      </c>
      <c r="E2767" t="str">
        <f t="shared" si="137"/>
        <v xml:space="preserve">Organische parameters </v>
      </c>
      <c r="F2767" t="str">
        <f t="shared" si="138"/>
        <v xml:space="preserve">Pesticiden en metabolieten </v>
      </c>
      <c r="G2767" t="str">
        <f t="shared" ref="G2767:G2830" si="139">"Pesticiden en humaan toxicologisch relevante metabolieten "</f>
        <v xml:space="preserve">Pesticiden en humaan toxicologisch relevante metabolieten </v>
      </c>
    </row>
    <row r="2768" spans="1:7" x14ac:dyDescent="0.25">
      <c r="A2768">
        <v>8866</v>
      </c>
      <c r="B2768" t="str">
        <f>"fenobucarb"</f>
        <v>fenobucarb</v>
      </c>
      <c r="C2768" t="s">
        <v>19016</v>
      </c>
      <c r="D2768" t="str">
        <f>"3766-81-2"</f>
        <v>3766-81-2</v>
      </c>
      <c r="E2768" t="str">
        <f t="shared" si="137"/>
        <v xml:space="preserve">Organische parameters </v>
      </c>
      <c r="F2768" t="str">
        <f t="shared" si="138"/>
        <v xml:space="preserve">Pesticiden en metabolieten </v>
      </c>
      <c r="G2768" t="str">
        <f t="shared" si="139"/>
        <v xml:space="preserve">Pesticiden en humaan toxicologisch relevante metabolieten </v>
      </c>
    </row>
    <row r="2769" spans="1:7" x14ac:dyDescent="0.25">
      <c r="A2769">
        <v>8867</v>
      </c>
      <c r="B2769" t="str">
        <f>"fenothiocarb"</f>
        <v>fenothiocarb</v>
      </c>
      <c r="C2769" t="s">
        <v>19016</v>
      </c>
      <c r="D2769" t="str">
        <f>"62850-32-2"</f>
        <v>62850-32-2</v>
      </c>
      <c r="E2769" t="str">
        <f t="shared" si="137"/>
        <v xml:space="preserve">Organische parameters </v>
      </c>
      <c r="F2769" t="str">
        <f t="shared" si="138"/>
        <v xml:space="preserve">Pesticiden en metabolieten </v>
      </c>
      <c r="G2769" t="str">
        <f t="shared" si="139"/>
        <v xml:space="preserve">Pesticiden en humaan toxicologisch relevante metabolieten </v>
      </c>
    </row>
    <row r="2770" spans="1:7" x14ac:dyDescent="0.25">
      <c r="A2770">
        <v>8868</v>
      </c>
      <c r="B2770" t="str">
        <f>"fenoxaprop-p-ethyl"</f>
        <v>fenoxaprop-p-ethyl</v>
      </c>
      <c r="C2770" t="s">
        <v>19016</v>
      </c>
      <c r="D2770" t="str">
        <f>"71283-80-2"</f>
        <v>71283-80-2</v>
      </c>
      <c r="E2770" t="str">
        <f t="shared" si="137"/>
        <v xml:space="preserve">Organische parameters </v>
      </c>
      <c r="F2770" t="str">
        <f t="shared" si="138"/>
        <v xml:space="preserve">Pesticiden en metabolieten </v>
      </c>
      <c r="G2770" t="str">
        <f t="shared" si="139"/>
        <v xml:space="preserve">Pesticiden en humaan toxicologisch relevante metabolieten </v>
      </c>
    </row>
    <row r="2771" spans="1:7" x14ac:dyDescent="0.25">
      <c r="A2771">
        <v>8869</v>
      </c>
      <c r="B2771" t="str">
        <f>"fenpropidin"</f>
        <v>fenpropidin</v>
      </c>
      <c r="C2771" t="s">
        <v>19016</v>
      </c>
      <c r="D2771" t="str">
        <f>"67306-00-7"</f>
        <v>67306-00-7</v>
      </c>
      <c r="E2771" t="str">
        <f t="shared" si="137"/>
        <v xml:space="preserve">Organische parameters </v>
      </c>
      <c r="F2771" t="str">
        <f t="shared" si="138"/>
        <v xml:space="preserve">Pesticiden en metabolieten </v>
      </c>
      <c r="G2771" t="str">
        <f t="shared" si="139"/>
        <v xml:space="preserve">Pesticiden en humaan toxicologisch relevante metabolieten </v>
      </c>
    </row>
    <row r="2772" spans="1:7" x14ac:dyDescent="0.25">
      <c r="A2772">
        <v>8870</v>
      </c>
      <c r="B2772" t="str">
        <f>"fipronil-sulfon"</f>
        <v>fipronil-sulfon</v>
      </c>
      <c r="C2772" t="s">
        <v>19016</v>
      </c>
      <c r="D2772" t="str">
        <f>"120068-36-2"</f>
        <v>120068-36-2</v>
      </c>
      <c r="E2772" t="str">
        <f t="shared" si="137"/>
        <v xml:space="preserve">Organische parameters </v>
      </c>
      <c r="F2772" t="str">
        <f t="shared" si="138"/>
        <v xml:space="preserve">Pesticiden en metabolieten </v>
      </c>
      <c r="G2772" t="str">
        <f t="shared" si="139"/>
        <v xml:space="preserve">Pesticiden en humaan toxicologisch relevante metabolieten </v>
      </c>
    </row>
    <row r="2773" spans="1:7" x14ac:dyDescent="0.25">
      <c r="A2773">
        <v>8871</v>
      </c>
      <c r="B2773" t="str">
        <f>"fluazifop-p-butyl"</f>
        <v>fluazifop-p-butyl</v>
      </c>
      <c r="C2773" t="s">
        <v>19016</v>
      </c>
      <c r="D2773" t="str">
        <f>"79241-46-6"</f>
        <v>79241-46-6</v>
      </c>
      <c r="E2773" t="str">
        <f t="shared" si="137"/>
        <v xml:space="preserve">Organische parameters </v>
      </c>
      <c r="F2773" t="str">
        <f t="shared" si="138"/>
        <v xml:space="preserve">Pesticiden en metabolieten </v>
      </c>
      <c r="G2773" t="str">
        <f t="shared" si="139"/>
        <v xml:space="preserve">Pesticiden en humaan toxicologisch relevante metabolieten </v>
      </c>
    </row>
    <row r="2774" spans="1:7" x14ac:dyDescent="0.25">
      <c r="A2774">
        <v>8872</v>
      </c>
      <c r="B2774" t="str">
        <f>"flubendiamide"</f>
        <v>flubendiamide</v>
      </c>
      <c r="C2774" t="s">
        <v>19016</v>
      </c>
      <c r="D2774" t="str">
        <f>"272451-65-7"</f>
        <v>272451-65-7</v>
      </c>
      <c r="E2774" t="str">
        <f t="shared" si="137"/>
        <v xml:space="preserve">Organische parameters </v>
      </c>
      <c r="F2774" t="str">
        <f t="shared" si="138"/>
        <v xml:space="preserve">Pesticiden en metabolieten </v>
      </c>
      <c r="G2774" t="str">
        <f t="shared" si="139"/>
        <v xml:space="preserve">Pesticiden en humaan toxicologisch relevante metabolieten </v>
      </c>
    </row>
    <row r="2775" spans="1:7" x14ac:dyDescent="0.25">
      <c r="A2775">
        <v>8873</v>
      </c>
      <c r="B2775" t="str">
        <f>"fluchloralin"</f>
        <v>fluchloralin</v>
      </c>
      <c r="C2775" t="s">
        <v>19016</v>
      </c>
      <c r="D2775" t="str">
        <f>"33245-39-5"</f>
        <v>33245-39-5</v>
      </c>
      <c r="E2775" t="str">
        <f t="shared" si="137"/>
        <v xml:space="preserve">Organische parameters </v>
      </c>
      <c r="F2775" t="str">
        <f t="shared" si="138"/>
        <v xml:space="preserve">Pesticiden en metabolieten </v>
      </c>
      <c r="G2775" t="str">
        <f t="shared" si="139"/>
        <v xml:space="preserve">Pesticiden en humaan toxicologisch relevante metabolieten </v>
      </c>
    </row>
    <row r="2776" spans="1:7" x14ac:dyDescent="0.25">
      <c r="A2776">
        <v>8874</v>
      </c>
      <c r="B2776" t="str">
        <f>"fludioxonil"</f>
        <v>fludioxonil</v>
      </c>
      <c r="C2776" t="s">
        <v>19016</v>
      </c>
      <c r="D2776" t="str">
        <f>"131341-86-1"</f>
        <v>131341-86-1</v>
      </c>
      <c r="E2776" t="str">
        <f t="shared" si="137"/>
        <v xml:space="preserve">Organische parameters </v>
      </c>
      <c r="F2776" t="str">
        <f t="shared" si="138"/>
        <v xml:space="preserve">Pesticiden en metabolieten </v>
      </c>
      <c r="G2776" t="str">
        <f t="shared" si="139"/>
        <v xml:space="preserve">Pesticiden en humaan toxicologisch relevante metabolieten </v>
      </c>
    </row>
    <row r="2777" spans="1:7" x14ac:dyDescent="0.25">
      <c r="A2777">
        <v>8875</v>
      </c>
      <c r="B2777" t="str">
        <f>"flufenacet"</f>
        <v>flufenacet</v>
      </c>
      <c r="C2777" t="s">
        <v>19016</v>
      </c>
      <c r="D2777" t="str">
        <f>"142459-58-3"</f>
        <v>142459-58-3</v>
      </c>
      <c r="E2777" t="str">
        <f t="shared" si="137"/>
        <v xml:space="preserve">Organische parameters </v>
      </c>
      <c r="F2777" t="str">
        <f t="shared" si="138"/>
        <v xml:space="preserve">Pesticiden en metabolieten </v>
      </c>
      <c r="G2777" t="str">
        <f t="shared" si="139"/>
        <v xml:space="preserve">Pesticiden en humaan toxicologisch relevante metabolieten </v>
      </c>
    </row>
    <row r="2778" spans="1:7" x14ac:dyDescent="0.25">
      <c r="A2778">
        <v>8876</v>
      </c>
      <c r="B2778" t="str">
        <f>"fluopyram"</f>
        <v>fluopyram</v>
      </c>
      <c r="C2778" t="s">
        <v>19016</v>
      </c>
      <c r="D2778" t="str">
        <f>"658066-35-4"</f>
        <v>658066-35-4</v>
      </c>
      <c r="E2778" t="str">
        <f t="shared" si="137"/>
        <v xml:space="preserve">Organische parameters </v>
      </c>
      <c r="F2778" t="str">
        <f t="shared" si="138"/>
        <v xml:space="preserve">Pesticiden en metabolieten </v>
      </c>
      <c r="G2778" t="str">
        <f t="shared" si="139"/>
        <v xml:space="preserve">Pesticiden en humaan toxicologisch relevante metabolieten </v>
      </c>
    </row>
    <row r="2779" spans="1:7" x14ac:dyDescent="0.25">
      <c r="A2779">
        <v>8877</v>
      </c>
      <c r="B2779" t="str">
        <f>"fluotrimazool"</f>
        <v>fluotrimazool</v>
      </c>
      <c r="C2779" t="s">
        <v>19016</v>
      </c>
      <c r="D2779" t="str">
        <f>"57381-79-0"</f>
        <v>57381-79-0</v>
      </c>
      <c r="E2779" t="str">
        <f t="shared" si="137"/>
        <v xml:space="preserve">Organische parameters </v>
      </c>
      <c r="F2779" t="str">
        <f t="shared" si="138"/>
        <v xml:space="preserve">Pesticiden en metabolieten </v>
      </c>
      <c r="G2779" t="str">
        <f t="shared" si="139"/>
        <v xml:space="preserve">Pesticiden en humaan toxicologisch relevante metabolieten </v>
      </c>
    </row>
    <row r="2780" spans="1:7" x14ac:dyDescent="0.25">
      <c r="A2780">
        <v>8878</v>
      </c>
      <c r="B2780" t="str">
        <f>"fluquinconazool"</f>
        <v>fluquinconazool</v>
      </c>
      <c r="C2780" t="s">
        <v>19016</v>
      </c>
      <c r="D2780" t="str">
        <f>"136426-54-5"</f>
        <v>136426-54-5</v>
      </c>
      <c r="E2780" t="str">
        <f t="shared" si="137"/>
        <v xml:space="preserve">Organische parameters </v>
      </c>
      <c r="F2780" t="str">
        <f t="shared" si="138"/>
        <v xml:space="preserve">Pesticiden en metabolieten </v>
      </c>
      <c r="G2780" t="str">
        <f t="shared" si="139"/>
        <v xml:space="preserve">Pesticiden en humaan toxicologisch relevante metabolieten </v>
      </c>
    </row>
    <row r="2781" spans="1:7" x14ac:dyDescent="0.25">
      <c r="A2781">
        <v>8879</v>
      </c>
      <c r="B2781" t="str">
        <f>"flurenol-butyl"</f>
        <v>flurenol-butyl</v>
      </c>
      <c r="C2781" t="s">
        <v>19016</v>
      </c>
      <c r="D2781" t="str">
        <f>"2-9-2314"</f>
        <v>2-9-2314</v>
      </c>
      <c r="E2781" t="str">
        <f t="shared" si="137"/>
        <v xml:space="preserve">Organische parameters </v>
      </c>
      <c r="F2781" t="str">
        <f t="shared" si="138"/>
        <v xml:space="preserve">Pesticiden en metabolieten </v>
      </c>
      <c r="G2781" t="str">
        <f t="shared" si="139"/>
        <v xml:space="preserve">Pesticiden en humaan toxicologisch relevante metabolieten </v>
      </c>
    </row>
    <row r="2782" spans="1:7" x14ac:dyDescent="0.25">
      <c r="A2782">
        <v>8880</v>
      </c>
      <c r="B2782" t="str">
        <f>"formetanaat hydrochloride"</f>
        <v>formetanaat hydrochloride</v>
      </c>
      <c r="C2782" t="s">
        <v>19016</v>
      </c>
      <c r="D2782" t="str">
        <f>"23422-53-9"</f>
        <v>23422-53-9</v>
      </c>
      <c r="E2782" t="str">
        <f t="shared" si="137"/>
        <v xml:space="preserve">Organische parameters </v>
      </c>
      <c r="F2782" t="str">
        <f t="shared" si="138"/>
        <v xml:space="preserve">Pesticiden en metabolieten </v>
      </c>
      <c r="G2782" t="str">
        <f t="shared" si="139"/>
        <v xml:space="preserve">Pesticiden en humaan toxicologisch relevante metabolieten </v>
      </c>
    </row>
    <row r="2783" spans="1:7" x14ac:dyDescent="0.25">
      <c r="A2783">
        <v>8881</v>
      </c>
      <c r="B2783" t="str">
        <f>"flurprimidol"</f>
        <v>flurprimidol</v>
      </c>
      <c r="C2783" t="s">
        <v>19016</v>
      </c>
      <c r="D2783" t="str">
        <f>"56425-91-3"</f>
        <v>56425-91-3</v>
      </c>
      <c r="E2783" t="str">
        <f t="shared" ref="E2783:E2846" si="140">"Organische parameters "</f>
        <v xml:space="preserve">Organische parameters </v>
      </c>
      <c r="F2783" t="str">
        <f t="shared" si="138"/>
        <v xml:space="preserve">Pesticiden en metabolieten </v>
      </c>
      <c r="G2783" t="str">
        <f t="shared" si="139"/>
        <v xml:space="preserve">Pesticiden en humaan toxicologisch relevante metabolieten </v>
      </c>
    </row>
    <row r="2784" spans="1:7" x14ac:dyDescent="0.25">
      <c r="A2784">
        <v>8882</v>
      </c>
      <c r="B2784" t="str">
        <f>"fluthiacet-methyl"</f>
        <v>fluthiacet-methyl</v>
      </c>
      <c r="C2784" t="s">
        <v>19016</v>
      </c>
      <c r="D2784" t="str">
        <f>"117337-19-6"</f>
        <v>117337-19-6</v>
      </c>
      <c r="E2784" t="str">
        <f t="shared" si="140"/>
        <v xml:space="preserve">Organische parameters </v>
      </c>
      <c r="F2784" t="str">
        <f t="shared" si="138"/>
        <v xml:space="preserve">Pesticiden en metabolieten </v>
      </c>
      <c r="G2784" t="str">
        <f t="shared" si="139"/>
        <v xml:space="preserve">Pesticiden en humaan toxicologisch relevante metabolieten </v>
      </c>
    </row>
    <row r="2785" spans="1:7" x14ac:dyDescent="0.25">
      <c r="A2785">
        <v>8883</v>
      </c>
      <c r="B2785" t="str">
        <f>"fluxapyroxad"</f>
        <v>fluxapyroxad</v>
      </c>
      <c r="C2785" t="s">
        <v>19016</v>
      </c>
      <c r="D2785" t="str">
        <f>"907204-31-3"</f>
        <v>907204-31-3</v>
      </c>
      <c r="E2785" t="str">
        <f t="shared" si="140"/>
        <v xml:space="preserve">Organische parameters </v>
      </c>
      <c r="F2785" t="str">
        <f t="shared" si="138"/>
        <v xml:space="preserve">Pesticiden en metabolieten </v>
      </c>
      <c r="G2785" t="str">
        <f t="shared" si="139"/>
        <v xml:space="preserve">Pesticiden en humaan toxicologisch relevante metabolieten </v>
      </c>
    </row>
    <row r="2786" spans="1:7" x14ac:dyDescent="0.25">
      <c r="A2786">
        <v>8884</v>
      </c>
      <c r="B2786" t="str">
        <f>"forchlorfenuron"</f>
        <v>forchlorfenuron</v>
      </c>
      <c r="C2786" t="s">
        <v>19016</v>
      </c>
      <c r="D2786" t="str">
        <f>"68157-60-8"</f>
        <v>68157-60-8</v>
      </c>
      <c r="E2786" t="str">
        <f t="shared" si="140"/>
        <v xml:space="preserve">Organische parameters </v>
      </c>
      <c r="F2786" t="str">
        <f t="shared" si="138"/>
        <v xml:space="preserve">Pesticiden en metabolieten </v>
      </c>
      <c r="G2786" t="str">
        <f t="shared" si="139"/>
        <v xml:space="preserve">Pesticiden en humaan toxicologisch relevante metabolieten </v>
      </c>
    </row>
    <row r="2787" spans="1:7" x14ac:dyDescent="0.25">
      <c r="A2787">
        <v>8885</v>
      </c>
      <c r="B2787" t="str">
        <f>"fosfolan"</f>
        <v>fosfolan</v>
      </c>
      <c r="C2787" t="s">
        <v>19016</v>
      </c>
      <c r="D2787" t="str">
        <f>"947-02-4"</f>
        <v>947-02-4</v>
      </c>
      <c r="E2787" t="str">
        <f t="shared" si="140"/>
        <v xml:space="preserve">Organische parameters </v>
      </c>
      <c r="F2787" t="str">
        <f t="shared" si="138"/>
        <v xml:space="preserve">Pesticiden en metabolieten </v>
      </c>
      <c r="G2787" t="str">
        <f t="shared" si="139"/>
        <v xml:space="preserve">Pesticiden en humaan toxicologisch relevante metabolieten </v>
      </c>
    </row>
    <row r="2788" spans="1:7" x14ac:dyDescent="0.25">
      <c r="A2788">
        <v>8886</v>
      </c>
      <c r="B2788" t="str">
        <f>"fthalimide"</f>
        <v>fthalimide</v>
      </c>
      <c r="C2788" t="s">
        <v>19016</v>
      </c>
      <c r="D2788" t="str">
        <f>"85-41-6"</f>
        <v>85-41-6</v>
      </c>
      <c r="E2788" t="str">
        <f t="shared" si="140"/>
        <v xml:space="preserve">Organische parameters </v>
      </c>
      <c r="F2788" t="str">
        <f t="shared" si="138"/>
        <v xml:space="preserve">Pesticiden en metabolieten </v>
      </c>
      <c r="G2788" t="str">
        <f t="shared" si="139"/>
        <v xml:space="preserve">Pesticiden en humaan toxicologisch relevante metabolieten </v>
      </c>
    </row>
    <row r="2789" spans="1:7" x14ac:dyDescent="0.25">
      <c r="A2789">
        <v>8887</v>
      </c>
      <c r="B2789" t="str">
        <f>"halfenprox"</f>
        <v>halfenprox</v>
      </c>
      <c r="C2789" t="s">
        <v>19016</v>
      </c>
      <c r="D2789" t="str">
        <f>"111872-58-3"</f>
        <v>111872-58-3</v>
      </c>
      <c r="E2789" t="str">
        <f t="shared" si="140"/>
        <v xml:space="preserve">Organische parameters </v>
      </c>
      <c r="F2789" t="str">
        <f t="shared" si="138"/>
        <v xml:space="preserve">Pesticiden en metabolieten </v>
      </c>
      <c r="G2789" t="str">
        <f t="shared" si="139"/>
        <v xml:space="preserve">Pesticiden en humaan toxicologisch relevante metabolieten </v>
      </c>
    </row>
    <row r="2790" spans="1:7" x14ac:dyDescent="0.25">
      <c r="A2790">
        <v>8888</v>
      </c>
      <c r="B2790" t="str">
        <f>"halofenozide"</f>
        <v>halofenozide</v>
      </c>
      <c r="C2790" t="s">
        <v>19016</v>
      </c>
      <c r="D2790" t="str">
        <f>"112226-61-6"</f>
        <v>112226-61-6</v>
      </c>
      <c r="E2790" t="str">
        <f t="shared" si="140"/>
        <v xml:space="preserve">Organische parameters </v>
      </c>
      <c r="F2790" t="str">
        <f t="shared" si="138"/>
        <v xml:space="preserve">Pesticiden en metabolieten </v>
      </c>
      <c r="G2790" t="str">
        <f t="shared" si="139"/>
        <v xml:space="preserve">Pesticiden en humaan toxicologisch relevante metabolieten </v>
      </c>
    </row>
    <row r="2791" spans="1:7" x14ac:dyDescent="0.25">
      <c r="A2791">
        <v>8889</v>
      </c>
      <c r="B2791" t="str">
        <f>"imazaquin"</f>
        <v>imazaquin</v>
      </c>
      <c r="C2791" t="s">
        <v>19016</v>
      </c>
      <c r="D2791" t="str">
        <f>"81335-37-7"</f>
        <v>81335-37-7</v>
      </c>
      <c r="E2791" t="str">
        <f t="shared" si="140"/>
        <v xml:space="preserve">Organische parameters </v>
      </c>
      <c r="F2791" t="str">
        <f t="shared" si="138"/>
        <v xml:space="preserve">Pesticiden en metabolieten </v>
      </c>
      <c r="G2791" t="str">
        <f t="shared" si="139"/>
        <v xml:space="preserve">Pesticiden en humaan toxicologisch relevante metabolieten </v>
      </c>
    </row>
    <row r="2792" spans="1:7" x14ac:dyDescent="0.25">
      <c r="A2792">
        <v>8890</v>
      </c>
      <c r="B2792" t="str">
        <f>"imazethapyr"</f>
        <v>imazethapyr</v>
      </c>
      <c r="C2792" t="s">
        <v>19016</v>
      </c>
      <c r="D2792" t="str">
        <f>"81335-77-5"</f>
        <v>81335-77-5</v>
      </c>
      <c r="E2792" t="str">
        <f t="shared" si="140"/>
        <v xml:space="preserve">Organische parameters </v>
      </c>
      <c r="F2792" t="str">
        <f t="shared" si="138"/>
        <v xml:space="preserve">Pesticiden en metabolieten </v>
      </c>
      <c r="G2792" t="str">
        <f t="shared" si="139"/>
        <v xml:space="preserve">Pesticiden en humaan toxicologisch relevante metabolieten </v>
      </c>
    </row>
    <row r="2793" spans="1:7" x14ac:dyDescent="0.25">
      <c r="A2793">
        <v>8891</v>
      </c>
      <c r="B2793" t="str">
        <f>"imibenconazool"</f>
        <v>imibenconazool</v>
      </c>
      <c r="C2793" t="s">
        <v>19016</v>
      </c>
      <c r="D2793" t="str">
        <f>"86598-92-7"</f>
        <v>86598-92-7</v>
      </c>
      <c r="E2793" t="str">
        <f t="shared" si="140"/>
        <v xml:space="preserve">Organische parameters </v>
      </c>
      <c r="F2793" t="str">
        <f t="shared" si="138"/>
        <v xml:space="preserve">Pesticiden en metabolieten </v>
      </c>
      <c r="G2793" t="str">
        <f t="shared" si="139"/>
        <v xml:space="preserve">Pesticiden en humaan toxicologisch relevante metabolieten </v>
      </c>
    </row>
    <row r="2794" spans="1:7" x14ac:dyDescent="0.25">
      <c r="A2794">
        <v>8892</v>
      </c>
      <c r="B2794" t="str">
        <f>"iprobenfos"</f>
        <v>iprobenfos</v>
      </c>
      <c r="C2794" t="s">
        <v>19016</v>
      </c>
      <c r="D2794" t="str">
        <f>"26087-47-8"</f>
        <v>26087-47-8</v>
      </c>
      <c r="E2794" t="str">
        <f t="shared" si="140"/>
        <v xml:space="preserve">Organische parameters </v>
      </c>
      <c r="F2794" t="str">
        <f t="shared" si="138"/>
        <v xml:space="preserve">Pesticiden en metabolieten </v>
      </c>
      <c r="G2794" t="str">
        <f t="shared" si="139"/>
        <v xml:space="preserve">Pesticiden en humaan toxicologisch relevante metabolieten </v>
      </c>
    </row>
    <row r="2795" spans="1:7" x14ac:dyDescent="0.25">
      <c r="A2795">
        <v>8893</v>
      </c>
      <c r="B2795" t="str">
        <f>"isocarbofos"</f>
        <v>isocarbofos</v>
      </c>
      <c r="C2795" t="s">
        <v>19016</v>
      </c>
      <c r="D2795" t="str">
        <f>"24353-61-5"</f>
        <v>24353-61-5</v>
      </c>
      <c r="E2795" t="str">
        <f t="shared" si="140"/>
        <v xml:space="preserve">Organische parameters </v>
      </c>
      <c r="F2795" t="str">
        <f t="shared" si="138"/>
        <v xml:space="preserve">Pesticiden en metabolieten </v>
      </c>
      <c r="G2795" t="str">
        <f t="shared" si="139"/>
        <v xml:space="preserve">Pesticiden en humaan toxicologisch relevante metabolieten </v>
      </c>
    </row>
    <row r="2796" spans="1:7" x14ac:dyDescent="0.25">
      <c r="A2796">
        <v>8894</v>
      </c>
      <c r="B2796" t="str">
        <f>"isofenfos-methyl"</f>
        <v>isofenfos-methyl</v>
      </c>
      <c r="C2796" t="s">
        <v>19016</v>
      </c>
      <c r="D2796" t="str">
        <f>"101365-44-0"</f>
        <v>101365-44-0</v>
      </c>
      <c r="E2796" t="str">
        <f t="shared" si="140"/>
        <v xml:space="preserve">Organische parameters </v>
      </c>
      <c r="F2796" t="str">
        <f t="shared" si="138"/>
        <v xml:space="preserve">Pesticiden en metabolieten </v>
      </c>
      <c r="G2796" t="str">
        <f t="shared" si="139"/>
        <v xml:space="preserve">Pesticiden en humaan toxicologisch relevante metabolieten </v>
      </c>
    </row>
    <row r="2797" spans="1:7" x14ac:dyDescent="0.25">
      <c r="A2797">
        <v>8895</v>
      </c>
      <c r="B2797" t="str">
        <f>"isofenfos-oxon"</f>
        <v>isofenfos-oxon</v>
      </c>
      <c r="C2797" t="s">
        <v>19016</v>
      </c>
      <c r="D2797" t="str">
        <f>"31120-85-1"</f>
        <v>31120-85-1</v>
      </c>
      <c r="E2797" t="str">
        <f t="shared" si="140"/>
        <v xml:space="preserve">Organische parameters </v>
      </c>
      <c r="F2797" t="str">
        <f t="shared" si="138"/>
        <v xml:space="preserve">Pesticiden en metabolieten </v>
      </c>
      <c r="G2797" t="str">
        <f t="shared" si="139"/>
        <v xml:space="preserve">Pesticiden en humaan toxicologisch relevante metabolieten </v>
      </c>
    </row>
    <row r="2798" spans="1:7" x14ac:dyDescent="0.25">
      <c r="A2798">
        <v>8896</v>
      </c>
      <c r="B2798" t="str">
        <f>"isoprocarb"</f>
        <v>isoprocarb</v>
      </c>
      <c r="C2798" t="s">
        <v>19016</v>
      </c>
      <c r="D2798" t="str">
        <f>"2631-40-5"</f>
        <v>2631-40-5</v>
      </c>
      <c r="E2798" t="str">
        <f t="shared" si="140"/>
        <v xml:space="preserve">Organische parameters </v>
      </c>
      <c r="F2798" t="str">
        <f t="shared" si="138"/>
        <v xml:space="preserve">Pesticiden en metabolieten </v>
      </c>
      <c r="G2798" t="str">
        <f t="shared" si="139"/>
        <v xml:space="preserve">Pesticiden en humaan toxicologisch relevante metabolieten </v>
      </c>
    </row>
    <row r="2799" spans="1:7" x14ac:dyDescent="0.25">
      <c r="A2799">
        <v>8897</v>
      </c>
      <c r="B2799" t="str">
        <f>"isoprothiolan"</f>
        <v>isoprothiolan</v>
      </c>
      <c r="C2799" t="s">
        <v>19016</v>
      </c>
      <c r="D2799" t="str">
        <f>"50512-35-1"</f>
        <v>50512-35-1</v>
      </c>
      <c r="E2799" t="str">
        <f t="shared" si="140"/>
        <v xml:space="preserve">Organische parameters </v>
      </c>
      <c r="F2799" t="str">
        <f t="shared" si="138"/>
        <v xml:space="preserve">Pesticiden en metabolieten </v>
      </c>
      <c r="G2799" t="str">
        <f t="shared" si="139"/>
        <v xml:space="preserve">Pesticiden en humaan toxicologisch relevante metabolieten </v>
      </c>
    </row>
    <row r="2800" spans="1:7" x14ac:dyDescent="0.25">
      <c r="A2800">
        <v>8898</v>
      </c>
      <c r="B2800" t="str">
        <f>"isopyrazam"</f>
        <v>isopyrazam</v>
      </c>
      <c r="C2800" t="s">
        <v>19016</v>
      </c>
      <c r="D2800" t="str">
        <f>"881685-58-1"</f>
        <v>881685-58-1</v>
      </c>
      <c r="E2800" t="str">
        <f t="shared" si="140"/>
        <v xml:space="preserve">Organische parameters </v>
      </c>
      <c r="F2800" t="str">
        <f t="shared" si="138"/>
        <v xml:space="preserve">Pesticiden en metabolieten </v>
      </c>
      <c r="G2800" t="str">
        <f t="shared" si="139"/>
        <v xml:space="preserve">Pesticiden en humaan toxicologisch relevante metabolieten </v>
      </c>
    </row>
    <row r="2801" spans="1:7" x14ac:dyDescent="0.25">
      <c r="A2801">
        <v>8899</v>
      </c>
      <c r="B2801" t="str">
        <f>"isouron"</f>
        <v>isouron</v>
      </c>
      <c r="C2801" t="s">
        <v>19016</v>
      </c>
      <c r="D2801" t="str">
        <f>"55861-78-4"</f>
        <v>55861-78-4</v>
      </c>
      <c r="E2801" t="str">
        <f t="shared" si="140"/>
        <v xml:space="preserve">Organische parameters </v>
      </c>
      <c r="F2801" t="str">
        <f t="shared" si="138"/>
        <v xml:space="preserve">Pesticiden en metabolieten </v>
      </c>
      <c r="G2801" t="str">
        <f t="shared" si="139"/>
        <v xml:space="preserve">Pesticiden en humaan toxicologisch relevante metabolieten </v>
      </c>
    </row>
    <row r="2802" spans="1:7" x14ac:dyDescent="0.25">
      <c r="A2802">
        <v>8900</v>
      </c>
      <c r="B2802" t="str">
        <f>"isoxadifen-ethyl"</f>
        <v>isoxadifen-ethyl</v>
      </c>
      <c r="C2802" t="s">
        <v>19016</v>
      </c>
      <c r="D2802" t="str">
        <f>"163520-33-0"</f>
        <v>163520-33-0</v>
      </c>
      <c r="E2802" t="str">
        <f t="shared" si="140"/>
        <v xml:space="preserve">Organische parameters </v>
      </c>
      <c r="F2802" t="str">
        <f t="shared" ref="F2802:F2865" si="141">"Pesticiden en metabolieten "</f>
        <v xml:space="preserve">Pesticiden en metabolieten </v>
      </c>
      <c r="G2802" t="str">
        <f t="shared" si="139"/>
        <v xml:space="preserve">Pesticiden en humaan toxicologisch relevante metabolieten </v>
      </c>
    </row>
    <row r="2803" spans="1:7" x14ac:dyDescent="0.25">
      <c r="A2803">
        <v>8901</v>
      </c>
      <c r="B2803" t="str">
        <f>"isoxathion"</f>
        <v>isoxathion</v>
      </c>
      <c r="C2803" t="s">
        <v>19016</v>
      </c>
      <c r="D2803" t="str">
        <f>"18854-01-8"</f>
        <v>18854-01-8</v>
      </c>
      <c r="E2803" t="str">
        <f t="shared" si="140"/>
        <v xml:space="preserve">Organische parameters </v>
      </c>
      <c r="F2803" t="str">
        <f t="shared" si="141"/>
        <v xml:space="preserve">Pesticiden en metabolieten </v>
      </c>
      <c r="G2803" t="str">
        <f t="shared" si="139"/>
        <v xml:space="preserve">Pesticiden en humaan toxicologisch relevante metabolieten </v>
      </c>
    </row>
    <row r="2804" spans="1:7" x14ac:dyDescent="0.25">
      <c r="A2804">
        <v>8903</v>
      </c>
      <c r="B2804" t="str">
        <f>"leptofos"</f>
        <v>leptofos</v>
      </c>
      <c r="C2804" t="s">
        <v>19016</v>
      </c>
      <c r="D2804" t="str">
        <f>"21609-90-5"</f>
        <v>21609-90-5</v>
      </c>
      <c r="E2804" t="str">
        <f t="shared" si="140"/>
        <v xml:space="preserve">Organische parameters </v>
      </c>
      <c r="F2804" t="str">
        <f t="shared" si="141"/>
        <v xml:space="preserve">Pesticiden en metabolieten </v>
      </c>
      <c r="G2804" t="str">
        <f t="shared" si="139"/>
        <v xml:space="preserve">Pesticiden en humaan toxicologisch relevante metabolieten </v>
      </c>
    </row>
    <row r="2805" spans="1:7" x14ac:dyDescent="0.25">
      <c r="A2805">
        <v>8904</v>
      </c>
      <c r="B2805" t="str">
        <f>"malaoxon"</f>
        <v>malaoxon</v>
      </c>
      <c r="C2805" t="s">
        <v>19016</v>
      </c>
      <c r="D2805" t="str">
        <f>"1634-78-2"</f>
        <v>1634-78-2</v>
      </c>
      <c r="E2805" t="str">
        <f t="shared" si="140"/>
        <v xml:space="preserve">Organische parameters </v>
      </c>
      <c r="F2805" t="str">
        <f t="shared" si="141"/>
        <v xml:space="preserve">Pesticiden en metabolieten </v>
      </c>
      <c r="G2805" t="str">
        <f t="shared" si="139"/>
        <v xml:space="preserve">Pesticiden en humaan toxicologisch relevante metabolieten </v>
      </c>
    </row>
    <row r="2806" spans="1:7" x14ac:dyDescent="0.25">
      <c r="A2806">
        <v>8905</v>
      </c>
      <c r="B2806" t="str">
        <f>"mandipropamide"</f>
        <v>mandipropamide</v>
      </c>
      <c r="C2806" t="s">
        <v>19016</v>
      </c>
      <c r="D2806" t="str">
        <f>"374726-62-2"</f>
        <v>374726-62-2</v>
      </c>
      <c r="E2806" t="str">
        <f t="shared" si="140"/>
        <v xml:space="preserve">Organische parameters </v>
      </c>
      <c r="F2806" t="str">
        <f t="shared" si="141"/>
        <v xml:space="preserve">Pesticiden en metabolieten </v>
      </c>
      <c r="G2806" t="str">
        <f t="shared" si="139"/>
        <v xml:space="preserve">Pesticiden en humaan toxicologisch relevante metabolieten </v>
      </c>
    </row>
    <row r="2807" spans="1:7" x14ac:dyDescent="0.25">
      <c r="A2807">
        <v>8906</v>
      </c>
      <c r="B2807" t="str">
        <f>"mefenacet"</f>
        <v>mefenacet</v>
      </c>
      <c r="C2807" t="s">
        <v>19016</v>
      </c>
      <c r="D2807" t="str">
        <f>"73250-68-7"</f>
        <v>73250-68-7</v>
      </c>
      <c r="E2807" t="str">
        <f t="shared" si="140"/>
        <v xml:space="preserve">Organische parameters </v>
      </c>
      <c r="F2807" t="str">
        <f t="shared" si="141"/>
        <v xml:space="preserve">Pesticiden en metabolieten </v>
      </c>
      <c r="G2807" t="str">
        <f t="shared" si="139"/>
        <v xml:space="preserve">Pesticiden en humaan toxicologisch relevante metabolieten </v>
      </c>
    </row>
    <row r="2808" spans="1:7" x14ac:dyDescent="0.25">
      <c r="A2808">
        <v>8907</v>
      </c>
      <c r="B2808" t="str">
        <f>"mefosfolan"</f>
        <v>mefosfolan</v>
      </c>
      <c r="C2808" t="s">
        <v>19016</v>
      </c>
      <c r="D2808" t="str">
        <f>"950-10-7"</f>
        <v>950-10-7</v>
      </c>
      <c r="E2808" t="str">
        <f t="shared" si="140"/>
        <v xml:space="preserve">Organische parameters </v>
      </c>
      <c r="F2808" t="str">
        <f t="shared" si="141"/>
        <v xml:space="preserve">Pesticiden en metabolieten </v>
      </c>
      <c r="G2808" t="str">
        <f t="shared" si="139"/>
        <v xml:space="preserve">Pesticiden en humaan toxicologisch relevante metabolieten </v>
      </c>
    </row>
    <row r="2809" spans="1:7" x14ac:dyDescent="0.25">
      <c r="A2809">
        <v>8908</v>
      </c>
      <c r="B2809" t="str">
        <f>"mepanipyrim"</f>
        <v>mepanipyrim</v>
      </c>
      <c r="C2809" t="s">
        <v>19016</v>
      </c>
      <c r="D2809" t="str">
        <f>"110235-47-7"</f>
        <v>110235-47-7</v>
      </c>
      <c r="E2809" t="str">
        <f t="shared" si="140"/>
        <v xml:space="preserve">Organische parameters </v>
      </c>
      <c r="F2809" t="str">
        <f t="shared" si="141"/>
        <v xml:space="preserve">Pesticiden en metabolieten </v>
      </c>
      <c r="G2809" t="str">
        <f t="shared" si="139"/>
        <v xml:space="preserve">Pesticiden en humaan toxicologisch relevante metabolieten </v>
      </c>
    </row>
    <row r="2810" spans="1:7" x14ac:dyDescent="0.25">
      <c r="A2810">
        <v>8909</v>
      </c>
      <c r="B2810" t="str">
        <f>"mesosulfuron-methyl"</f>
        <v>mesosulfuron-methyl</v>
      </c>
      <c r="C2810" t="s">
        <v>19016</v>
      </c>
      <c r="D2810" t="str">
        <f>"208465-21-8"</f>
        <v>208465-21-8</v>
      </c>
      <c r="E2810" t="str">
        <f t="shared" si="140"/>
        <v xml:space="preserve">Organische parameters </v>
      </c>
      <c r="F2810" t="str">
        <f t="shared" si="141"/>
        <v xml:space="preserve">Pesticiden en metabolieten </v>
      </c>
      <c r="G2810" t="str">
        <f t="shared" si="139"/>
        <v xml:space="preserve">Pesticiden en humaan toxicologisch relevante metabolieten </v>
      </c>
    </row>
    <row r="2811" spans="1:7" x14ac:dyDescent="0.25">
      <c r="A2811">
        <v>8910</v>
      </c>
      <c r="B2811" t="str">
        <f>"metaflumizon"</f>
        <v>metaflumizon</v>
      </c>
      <c r="C2811" t="s">
        <v>19016</v>
      </c>
      <c r="D2811" t="str">
        <f>"139968-49-3"</f>
        <v>139968-49-3</v>
      </c>
      <c r="E2811" t="str">
        <f t="shared" si="140"/>
        <v xml:space="preserve">Organische parameters </v>
      </c>
      <c r="F2811" t="str">
        <f t="shared" si="141"/>
        <v xml:space="preserve">Pesticiden en metabolieten </v>
      </c>
      <c r="G2811" t="str">
        <f t="shared" si="139"/>
        <v xml:space="preserve">Pesticiden en humaan toxicologisch relevante metabolieten </v>
      </c>
    </row>
    <row r="2812" spans="1:7" x14ac:dyDescent="0.25">
      <c r="A2812">
        <v>8911</v>
      </c>
      <c r="B2812" t="str">
        <f>"metconazool"</f>
        <v>metconazool</v>
      </c>
      <c r="C2812" t="s">
        <v>19016</v>
      </c>
      <c r="D2812" t="str">
        <f>"125116-23-6"</f>
        <v>125116-23-6</v>
      </c>
      <c r="E2812" t="str">
        <f t="shared" si="140"/>
        <v xml:space="preserve">Organische parameters </v>
      </c>
      <c r="F2812" t="str">
        <f t="shared" si="141"/>
        <v xml:space="preserve">Pesticiden en metabolieten </v>
      </c>
      <c r="G2812" t="str">
        <f t="shared" si="139"/>
        <v xml:space="preserve">Pesticiden en humaan toxicologisch relevante metabolieten </v>
      </c>
    </row>
    <row r="2813" spans="1:7" x14ac:dyDescent="0.25">
      <c r="A2813">
        <v>8912</v>
      </c>
      <c r="B2813" t="str">
        <f>"methacrifos"</f>
        <v>methacrifos</v>
      </c>
      <c r="C2813" t="s">
        <v>19016</v>
      </c>
      <c r="D2813" t="str">
        <f>"30864-28-9"</f>
        <v>30864-28-9</v>
      </c>
      <c r="E2813" t="str">
        <f t="shared" si="140"/>
        <v xml:space="preserve">Organische parameters </v>
      </c>
      <c r="F2813" t="str">
        <f t="shared" si="141"/>
        <v xml:space="preserve">Pesticiden en metabolieten </v>
      </c>
      <c r="G2813" t="str">
        <f t="shared" si="139"/>
        <v xml:space="preserve">Pesticiden en humaan toxicologisch relevante metabolieten </v>
      </c>
    </row>
    <row r="2814" spans="1:7" x14ac:dyDescent="0.25">
      <c r="A2814">
        <v>8913</v>
      </c>
      <c r="B2814" t="str">
        <f>"metolcarb"</f>
        <v>metolcarb</v>
      </c>
      <c r="C2814" t="s">
        <v>19016</v>
      </c>
      <c r="D2814" t="str">
        <f>"1129-41-5"</f>
        <v>1129-41-5</v>
      </c>
      <c r="E2814" t="str">
        <f t="shared" si="140"/>
        <v xml:space="preserve">Organische parameters </v>
      </c>
      <c r="F2814" t="str">
        <f t="shared" si="141"/>
        <v xml:space="preserve">Pesticiden en metabolieten </v>
      </c>
      <c r="G2814" t="str">
        <f t="shared" si="139"/>
        <v xml:space="preserve">Pesticiden en humaan toxicologisch relevante metabolieten </v>
      </c>
    </row>
    <row r="2815" spans="1:7" x14ac:dyDescent="0.25">
      <c r="A2815">
        <v>8914</v>
      </c>
      <c r="B2815" t="str">
        <f>"metrafenon"</f>
        <v>metrafenon</v>
      </c>
      <c r="C2815" t="s">
        <v>19016</v>
      </c>
      <c r="D2815" t="str">
        <f>"220899-03-6"</f>
        <v>220899-03-6</v>
      </c>
      <c r="E2815" t="str">
        <f t="shared" si="140"/>
        <v xml:space="preserve">Organische parameters </v>
      </c>
      <c r="F2815" t="str">
        <f t="shared" si="141"/>
        <v xml:space="preserve">Pesticiden en metabolieten </v>
      </c>
      <c r="G2815" t="str">
        <f t="shared" si="139"/>
        <v xml:space="preserve">Pesticiden en humaan toxicologisch relevante metabolieten </v>
      </c>
    </row>
    <row r="2816" spans="1:7" x14ac:dyDescent="0.25">
      <c r="A2816">
        <v>8915</v>
      </c>
      <c r="B2816" t="str">
        <f>"mexacarbaat"</f>
        <v>mexacarbaat</v>
      </c>
      <c r="C2816" t="s">
        <v>19016</v>
      </c>
      <c r="D2816" t="str">
        <f>"315-18-4"</f>
        <v>315-18-4</v>
      </c>
      <c r="E2816" t="str">
        <f t="shared" si="140"/>
        <v xml:space="preserve">Organische parameters </v>
      </c>
      <c r="F2816" t="str">
        <f t="shared" si="141"/>
        <v xml:space="preserve">Pesticiden en metabolieten </v>
      </c>
      <c r="G2816" t="str">
        <f t="shared" si="139"/>
        <v xml:space="preserve">Pesticiden en humaan toxicologisch relevante metabolieten </v>
      </c>
    </row>
    <row r="2817" spans="1:7" x14ac:dyDescent="0.25">
      <c r="A2817">
        <v>8916</v>
      </c>
      <c r="B2817" t="str">
        <f>"nafthol-1"</f>
        <v>nafthol-1</v>
      </c>
      <c r="C2817" t="s">
        <v>19016</v>
      </c>
      <c r="D2817" t="str">
        <f>"1321-67-1"</f>
        <v>1321-67-1</v>
      </c>
      <c r="E2817" t="str">
        <f t="shared" si="140"/>
        <v xml:space="preserve">Organische parameters </v>
      </c>
      <c r="F2817" t="str">
        <f t="shared" si="141"/>
        <v xml:space="preserve">Pesticiden en metabolieten </v>
      </c>
      <c r="G2817" t="str">
        <f t="shared" si="139"/>
        <v xml:space="preserve">Pesticiden en humaan toxicologisch relevante metabolieten </v>
      </c>
    </row>
    <row r="2818" spans="1:7" x14ac:dyDescent="0.25">
      <c r="A2818">
        <v>8917</v>
      </c>
      <c r="B2818" t="str">
        <f>"nitenpyram"</f>
        <v>nitenpyram</v>
      </c>
      <c r="C2818" t="s">
        <v>19016</v>
      </c>
      <c r="D2818" t="str">
        <f>"150824-47-8"</f>
        <v>150824-47-8</v>
      </c>
      <c r="E2818" t="str">
        <f t="shared" si="140"/>
        <v xml:space="preserve">Organische parameters </v>
      </c>
      <c r="F2818" t="str">
        <f t="shared" si="141"/>
        <v xml:space="preserve">Pesticiden en metabolieten </v>
      </c>
      <c r="G2818" t="str">
        <f t="shared" si="139"/>
        <v xml:space="preserve">Pesticiden en humaan toxicologisch relevante metabolieten </v>
      </c>
    </row>
    <row r="2819" spans="1:7" x14ac:dyDescent="0.25">
      <c r="A2819">
        <v>8918</v>
      </c>
      <c r="B2819" t="str">
        <f>"nitrapyrin"</f>
        <v>nitrapyrin</v>
      </c>
      <c r="C2819" t="s">
        <v>19016</v>
      </c>
      <c r="D2819" t="str">
        <f>"1929-82-4"</f>
        <v>1929-82-4</v>
      </c>
      <c r="E2819" t="str">
        <f t="shared" si="140"/>
        <v xml:space="preserve">Organische parameters </v>
      </c>
      <c r="F2819" t="str">
        <f t="shared" si="141"/>
        <v xml:space="preserve">Pesticiden en metabolieten </v>
      </c>
      <c r="G2819" t="str">
        <f t="shared" si="139"/>
        <v xml:space="preserve">Pesticiden en humaan toxicologisch relevante metabolieten </v>
      </c>
    </row>
    <row r="2820" spans="1:7" x14ac:dyDescent="0.25">
      <c r="A2820">
        <v>8919</v>
      </c>
      <c r="B2820" t="str">
        <f>"novaluron"</f>
        <v>novaluron</v>
      </c>
      <c r="C2820" t="s">
        <v>19016</v>
      </c>
      <c r="D2820" t="str">
        <f>"116714-46-6"</f>
        <v>116714-46-6</v>
      </c>
      <c r="E2820" t="str">
        <f t="shared" si="140"/>
        <v xml:space="preserve">Organische parameters </v>
      </c>
      <c r="F2820" t="str">
        <f t="shared" si="141"/>
        <v xml:space="preserve">Pesticiden en metabolieten </v>
      </c>
      <c r="G2820" t="str">
        <f t="shared" si="139"/>
        <v xml:space="preserve">Pesticiden en humaan toxicologisch relevante metabolieten </v>
      </c>
    </row>
    <row r="2821" spans="1:7" x14ac:dyDescent="0.25">
      <c r="A2821">
        <v>8920</v>
      </c>
      <c r="B2821" t="str">
        <f>"oxamyl-oxime"</f>
        <v>oxamyl-oxime</v>
      </c>
      <c r="C2821" t="s">
        <v>19016</v>
      </c>
      <c r="D2821" t="str">
        <f>"30558-43-1"</f>
        <v>30558-43-1</v>
      </c>
      <c r="E2821" t="str">
        <f t="shared" si="140"/>
        <v xml:space="preserve">Organische parameters </v>
      </c>
      <c r="F2821" t="str">
        <f t="shared" si="141"/>
        <v xml:space="preserve">Pesticiden en metabolieten </v>
      </c>
      <c r="G2821" t="str">
        <f t="shared" si="139"/>
        <v xml:space="preserve">Pesticiden en humaan toxicologisch relevante metabolieten </v>
      </c>
    </row>
    <row r="2822" spans="1:7" x14ac:dyDescent="0.25">
      <c r="A2822">
        <v>8921</v>
      </c>
      <c r="B2822" t="str">
        <f>"pentachlooranisool"</f>
        <v>pentachlooranisool</v>
      </c>
      <c r="C2822" t="s">
        <v>19016</v>
      </c>
      <c r="D2822" t="str">
        <f>"1825-21-4"</f>
        <v>1825-21-4</v>
      </c>
      <c r="E2822" t="str">
        <f t="shared" si="140"/>
        <v xml:space="preserve">Organische parameters </v>
      </c>
      <c r="F2822" t="str">
        <f t="shared" si="141"/>
        <v xml:space="preserve">Pesticiden en metabolieten </v>
      </c>
      <c r="G2822" t="str">
        <f t="shared" si="139"/>
        <v xml:space="preserve">Pesticiden en humaan toxicologisch relevante metabolieten </v>
      </c>
    </row>
    <row r="2823" spans="1:7" x14ac:dyDescent="0.25">
      <c r="A2823">
        <v>8922</v>
      </c>
      <c r="B2823" t="str">
        <f>"pentanochloor"</f>
        <v>pentanochloor</v>
      </c>
      <c r="C2823" t="s">
        <v>19016</v>
      </c>
      <c r="D2823" t="str">
        <f>"2307-68-8"</f>
        <v>2307-68-8</v>
      </c>
      <c r="E2823" t="str">
        <f t="shared" si="140"/>
        <v xml:space="preserve">Organische parameters </v>
      </c>
      <c r="F2823" t="str">
        <f t="shared" si="141"/>
        <v xml:space="preserve">Pesticiden en metabolieten </v>
      </c>
      <c r="G2823" t="str">
        <f t="shared" si="139"/>
        <v xml:space="preserve">Pesticiden en humaan toxicologisch relevante metabolieten </v>
      </c>
    </row>
    <row r="2824" spans="1:7" x14ac:dyDescent="0.25">
      <c r="A2824">
        <v>8923</v>
      </c>
      <c r="B2824" t="str">
        <f>"penthiopyrad"</f>
        <v>penthiopyrad</v>
      </c>
      <c r="C2824" t="s">
        <v>19016</v>
      </c>
      <c r="D2824" t="str">
        <f>"183675-82-3"</f>
        <v>183675-82-3</v>
      </c>
      <c r="E2824" t="str">
        <f t="shared" si="140"/>
        <v xml:space="preserve">Organische parameters </v>
      </c>
      <c r="F2824" t="str">
        <f t="shared" si="141"/>
        <v xml:space="preserve">Pesticiden en metabolieten </v>
      </c>
      <c r="G2824" t="str">
        <f t="shared" si="139"/>
        <v xml:space="preserve">Pesticiden en humaan toxicologisch relevante metabolieten </v>
      </c>
    </row>
    <row r="2825" spans="1:7" x14ac:dyDescent="0.25">
      <c r="A2825">
        <v>8924</v>
      </c>
      <c r="B2825" t="str">
        <f>"permethrin (cis-)"</f>
        <v>permethrin (cis-)</v>
      </c>
      <c r="C2825" t="s">
        <v>19016</v>
      </c>
      <c r="D2825" t="str">
        <f>"61949-76-6"</f>
        <v>61949-76-6</v>
      </c>
      <c r="E2825" t="str">
        <f t="shared" si="140"/>
        <v xml:space="preserve">Organische parameters </v>
      </c>
      <c r="F2825" t="str">
        <f t="shared" si="141"/>
        <v xml:space="preserve">Pesticiden en metabolieten </v>
      </c>
      <c r="G2825" t="str">
        <f t="shared" si="139"/>
        <v xml:space="preserve">Pesticiden en humaan toxicologisch relevante metabolieten </v>
      </c>
    </row>
    <row r="2826" spans="1:7" x14ac:dyDescent="0.25">
      <c r="A2826">
        <v>8925</v>
      </c>
      <c r="B2826" t="str">
        <f>"permethrin (trans-)"</f>
        <v>permethrin (trans-)</v>
      </c>
      <c r="C2826" t="s">
        <v>19016</v>
      </c>
      <c r="D2826" t="str">
        <f>"61949-77-7"</f>
        <v>61949-77-7</v>
      </c>
      <c r="E2826" t="str">
        <f t="shared" si="140"/>
        <v xml:space="preserve">Organische parameters </v>
      </c>
      <c r="F2826" t="str">
        <f t="shared" si="141"/>
        <v xml:space="preserve">Pesticiden en metabolieten </v>
      </c>
      <c r="G2826" t="str">
        <f t="shared" si="139"/>
        <v xml:space="preserve">Pesticiden en humaan toxicologisch relevante metabolieten </v>
      </c>
    </row>
    <row r="2827" spans="1:7" x14ac:dyDescent="0.25">
      <c r="A2827">
        <v>8926</v>
      </c>
      <c r="B2827" t="str">
        <f>"fosmet-oxon"</f>
        <v>fosmet-oxon</v>
      </c>
      <c r="C2827" t="s">
        <v>19016</v>
      </c>
      <c r="D2827" t="str">
        <f>"3735-33-9"</f>
        <v>3735-33-9</v>
      </c>
      <c r="E2827" t="str">
        <f t="shared" si="140"/>
        <v xml:space="preserve">Organische parameters </v>
      </c>
      <c r="F2827" t="str">
        <f t="shared" si="141"/>
        <v xml:space="preserve">Pesticiden en metabolieten </v>
      </c>
      <c r="G2827" t="str">
        <f t="shared" si="139"/>
        <v xml:space="preserve">Pesticiden en humaan toxicologisch relevante metabolieten </v>
      </c>
    </row>
    <row r="2828" spans="1:7" x14ac:dyDescent="0.25">
      <c r="A2828">
        <v>8927</v>
      </c>
      <c r="B2828" t="str">
        <f>"pirimicarb-desmethyl-formamido"</f>
        <v>pirimicarb-desmethyl-formamido</v>
      </c>
      <c r="C2828" t="s">
        <v>19016</v>
      </c>
      <c r="D2828" t="str">
        <f>"27218-04-8"</f>
        <v>27218-04-8</v>
      </c>
      <c r="E2828" t="str">
        <f t="shared" si="140"/>
        <v xml:space="preserve">Organische parameters </v>
      </c>
      <c r="F2828" t="str">
        <f t="shared" si="141"/>
        <v xml:space="preserve">Pesticiden en metabolieten </v>
      </c>
      <c r="G2828" t="str">
        <f t="shared" si="139"/>
        <v xml:space="preserve">Pesticiden en humaan toxicologisch relevante metabolieten </v>
      </c>
    </row>
    <row r="2829" spans="1:7" x14ac:dyDescent="0.25">
      <c r="A2829">
        <v>8928</v>
      </c>
      <c r="B2829" t="str">
        <f>"profluralin"</f>
        <v>profluralin</v>
      </c>
      <c r="C2829" t="s">
        <v>19016</v>
      </c>
      <c r="D2829" t="str">
        <f>"26399-36-0"</f>
        <v>26399-36-0</v>
      </c>
      <c r="E2829" t="str">
        <f t="shared" si="140"/>
        <v xml:space="preserve">Organische parameters </v>
      </c>
      <c r="F2829" t="str">
        <f t="shared" si="141"/>
        <v xml:space="preserve">Pesticiden en metabolieten </v>
      </c>
      <c r="G2829" t="str">
        <f t="shared" si="139"/>
        <v xml:space="preserve">Pesticiden en humaan toxicologisch relevante metabolieten </v>
      </c>
    </row>
    <row r="2830" spans="1:7" x14ac:dyDescent="0.25">
      <c r="A2830">
        <v>8929</v>
      </c>
      <c r="B2830" t="str">
        <f>"propafos"</f>
        <v>propafos</v>
      </c>
      <c r="C2830" t="s">
        <v>19016</v>
      </c>
      <c r="D2830" t="str">
        <f>"7292-16-2"</f>
        <v>7292-16-2</v>
      </c>
      <c r="E2830" t="str">
        <f t="shared" si="140"/>
        <v xml:space="preserve">Organische parameters </v>
      </c>
      <c r="F2830" t="str">
        <f t="shared" si="141"/>
        <v xml:space="preserve">Pesticiden en metabolieten </v>
      </c>
      <c r="G2830" t="str">
        <f t="shared" si="139"/>
        <v xml:space="preserve">Pesticiden en humaan toxicologisch relevante metabolieten </v>
      </c>
    </row>
    <row r="2831" spans="1:7" x14ac:dyDescent="0.25">
      <c r="A2831">
        <v>8930</v>
      </c>
      <c r="B2831" t="str">
        <f>"propaquizafop"</f>
        <v>propaquizafop</v>
      </c>
      <c r="C2831" t="s">
        <v>19016</v>
      </c>
      <c r="D2831" t="str">
        <f>"111479-05-1"</f>
        <v>111479-05-1</v>
      </c>
      <c r="E2831" t="str">
        <f t="shared" si="140"/>
        <v xml:space="preserve">Organische parameters </v>
      </c>
      <c r="F2831" t="str">
        <f t="shared" si="141"/>
        <v xml:space="preserve">Pesticiden en metabolieten </v>
      </c>
      <c r="G2831" t="str">
        <f t="shared" ref="G2831:G2880" si="142">"Pesticiden en humaan toxicologisch relevante metabolieten "</f>
        <v xml:space="preserve">Pesticiden en humaan toxicologisch relevante metabolieten </v>
      </c>
    </row>
    <row r="2832" spans="1:7" x14ac:dyDescent="0.25">
      <c r="A2832">
        <v>8931</v>
      </c>
      <c r="B2832" t="str">
        <f>"propoxycarbazon"</f>
        <v>propoxycarbazon</v>
      </c>
      <c r="C2832" t="s">
        <v>19016</v>
      </c>
      <c r="D2832" t="str">
        <f>"145026-81-9"</f>
        <v>145026-81-9</v>
      </c>
      <c r="E2832" t="str">
        <f t="shared" si="140"/>
        <v xml:space="preserve">Organische parameters </v>
      </c>
      <c r="F2832" t="str">
        <f t="shared" si="141"/>
        <v xml:space="preserve">Pesticiden en metabolieten </v>
      </c>
      <c r="G2832" t="str">
        <f t="shared" si="142"/>
        <v xml:space="preserve">Pesticiden en humaan toxicologisch relevante metabolieten </v>
      </c>
    </row>
    <row r="2833" spans="1:7" x14ac:dyDescent="0.25">
      <c r="A2833">
        <v>8932</v>
      </c>
      <c r="B2833" t="str">
        <f>"proquinazid"</f>
        <v>proquinazid</v>
      </c>
      <c r="C2833" t="s">
        <v>19016</v>
      </c>
      <c r="D2833" t="str">
        <f>"189278-12-4"</f>
        <v>189278-12-4</v>
      </c>
      <c r="E2833" t="str">
        <f t="shared" si="140"/>
        <v xml:space="preserve">Organische parameters </v>
      </c>
      <c r="F2833" t="str">
        <f t="shared" si="141"/>
        <v xml:space="preserve">Pesticiden en metabolieten </v>
      </c>
      <c r="G2833" t="str">
        <f t="shared" si="142"/>
        <v xml:space="preserve">Pesticiden en humaan toxicologisch relevante metabolieten </v>
      </c>
    </row>
    <row r="2834" spans="1:7" x14ac:dyDescent="0.25">
      <c r="A2834">
        <v>8933</v>
      </c>
      <c r="B2834" t="str">
        <f>"prothiocarb hydrochloride"</f>
        <v>prothiocarb hydrochloride</v>
      </c>
      <c r="C2834" t="s">
        <v>19016</v>
      </c>
      <c r="D2834" t="str">
        <f>"19622-19-6"</f>
        <v>19622-19-6</v>
      </c>
      <c r="E2834" t="str">
        <f t="shared" si="140"/>
        <v xml:space="preserve">Organische parameters </v>
      </c>
      <c r="F2834" t="str">
        <f t="shared" si="141"/>
        <v xml:space="preserve">Pesticiden en metabolieten </v>
      </c>
      <c r="G2834" t="str">
        <f t="shared" si="142"/>
        <v xml:space="preserve">Pesticiden en humaan toxicologisch relevante metabolieten </v>
      </c>
    </row>
    <row r="2835" spans="1:7" x14ac:dyDescent="0.25">
      <c r="A2835">
        <v>8934</v>
      </c>
      <c r="B2835" t="str">
        <f>"prothioconazool"</f>
        <v>prothioconazool</v>
      </c>
      <c r="C2835" t="s">
        <v>19016</v>
      </c>
      <c r="D2835" t="str">
        <f>"178928-70-6"</f>
        <v>178928-70-6</v>
      </c>
      <c r="E2835" t="str">
        <f t="shared" si="140"/>
        <v xml:space="preserve">Organische parameters </v>
      </c>
      <c r="F2835" t="str">
        <f t="shared" si="141"/>
        <v xml:space="preserve">Pesticiden en metabolieten </v>
      </c>
      <c r="G2835" t="str">
        <f t="shared" si="142"/>
        <v xml:space="preserve">Pesticiden en humaan toxicologisch relevante metabolieten </v>
      </c>
    </row>
    <row r="2836" spans="1:7" x14ac:dyDescent="0.25">
      <c r="A2836">
        <v>8935</v>
      </c>
      <c r="B2836" t="str">
        <f>"prothioconazool-desthio"</f>
        <v>prothioconazool-desthio</v>
      </c>
      <c r="C2836" t="s">
        <v>19016</v>
      </c>
      <c r="D2836" t="str">
        <f>"120983-64-4"</f>
        <v>120983-64-4</v>
      </c>
      <c r="E2836" t="str">
        <f t="shared" si="140"/>
        <v xml:space="preserve">Organische parameters </v>
      </c>
      <c r="F2836" t="str">
        <f t="shared" si="141"/>
        <v xml:space="preserve">Pesticiden en metabolieten </v>
      </c>
      <c r="G2836" t="str">
        <f t="shared" si="142"/>
        <v xml:space="preserve">Pesticiden en humaan toxicologisch relevante metabolieten </v>
      </c>
    </row>
    <row r="2837" spans="1:7" x14ac:dyDescent="0.25">
      <c r="A2837">
        <v>8936</v>
      </c>
      <c r="B2837" t="str">
        <f>"prothiofos"</f>
        <v>prothiofos</v>
      </c>
      <c r="C2837" t="s">
        <v>19016</v>
      </c>
      <c r="D2837" t="str">
        <f>"34643-46-4"</f>
        <v>34643-46-4</v>
      </c>
      <c r="E2837" t="str">
        <f t="shared" si="140"/>
        <v xml:space="preserve">Organische parameters </v>
      </c>
      <c r="F2837" t="str">
        <f t="shared" si="141"/>
        <v xml:space="preserve">Pesticiden en metabolieten </v>
      </c>
      <c r="G2837" t="str">
        <f t="shared" si="142"/>
        <v xml:space="preserve">Pesticiden en humaan toxicologisch relevante metabolieten </v>
      </c>
    </row>
    <row r="2838" spans="1:7" x14ac:dyDescent="0.25">
      <c r="A2838">
        <v>8937</v>
      </c>
      <c r="B2838" t="str">
        <f>"pyraclofos"</f>
        <v>pyraclofos</v>
      </c>
      <c r="C2838" t="s">
        <v>19016</v>
      </c>
      <c r="D2838" t="str">
        <f>"77458-01-6"</f>
        <v>77458-01-6</v>
      </c>
      <c r="E2838" t="str">
        <f t="shared" si="140"/>
        <v xml:space="preserve">Organische parameters </v>
      </c>
      <c r="F2838" t="str">
        <f t="shared" si="141"/>
        <v xml:space="preserve">Pesticiden en metabolieten </v>
      </c>
      <c r="G2838" t="str">
        <f t="shared" si="142"/>
        <v xml:space="preserve">Pesticiden en humaan toxicologisch relevante metabolieten </v>
      </c>
    </row>
    <row r="2839" spans="1:7" x14ac:dyDescent="0.25">
      <c r="A2839">
        <v>8938</v>
      </c>
      <c r="B2839" t="str">
        <f>"pyraflufen-ethyl"</f>
        <v>pyraflufen-ethyl</v>
      </c>
      <c r="C2839" t="s">
        <v>19016</v>
      </c>
      <c r="D2839" t="str">
        <f>"129630-19-9"</f>
        <v>129630-19-9</v>
      </c>
      <c r="E2839" t="str">
        <f t="shared" si="140"/>
        <v xml:space="preserve">Organische parameters </v>
      </c>
      <c r="F2839" t="str">
        <f t="shared" si="141"/>
        <v xml:space="preserve">Pesticiden en metabolieten </v>
      </c>
      <c r="G2839" t="str">
        <f t="shared" si="142"/>
        <v xml:space="preserve">Pesticiden en humaan toxicologisch relevante metabolieten </v>
      </c>
    </row>
    <row r="2840" spans="1:7" x14ac:dyDescent="0.25">
      <c r="A2840">
        <v>8939</v>
      </c>
      <c r="B2840" t="str">
        <f>"pyrethrine"</f>
        <v>pyrethrine</v>
      </c>
      <c r="C2840" t="s">
        <v>19016</v>
      </c>
      <c r="D2840" t="str">
        <f>"121-29-9"</f>
        <v>121-29-9</v>
      </c>
      <c r="E2840" t="str">
        <f t="shared" si="140"/>
        <v xml:space="preserve">Organische parameters </v>
      </c>
      <c r="F2840" t="str">
        <f t="shared" si="141"/>
        <v xml:space="preserve">Pesticiden en metabolieten </v>
      </c>
      <c r="G2840" t="str">
        <f t="shared" si="142"/>
        <v xml:space="preserve">Pesticiden en humaan toxicologisch relevante metabolieten </v>
      </c>
    </row>
    <row r="2841" spans="1:7" x14ac:dyDescent="0.25">
      <c r="A2841">
        <v>8940</v>
      </c>
      <c r="B2841" t="str">
        <f>"pyridafenthion"</f>
        <v>pyridafenthion</v>
      </c>
      <c r="C2841" t="s">
        <v>19016</v>
      </c>
      <c r="D2841" t="str">
        <f>"119-12-0"</f>
        <v>119-12-0</v>
      </c>
      <c r="E2841" t="str">
        <f t="shared" si="140"/>
        <v xml:space="preserve">Organische parameters </v>
      </c>
      <c r="F2841" t="str">
        <f t="shared" si="141"/>
        <v xml:space="preserve">Pesticiden en metabolieten </v>
      </c>
      <c r="G2841" t="str">
        <f t="shared" si="142"/>
        <v xml:space="preserve">Pesticiden en humaan toxicologisch relevante metabolieten </v>
      </c>
    </row>
    <row r="2842" spans="1:7" x14ac:dyDescent="0.25">
      <c r="A2842">
        <v>8941</v>
      </c>
      <c r="B2842" t="str">
        <f>"pyridalyl"</f>
        <v>pyridalyl</v>
      </c>
      <c r="C2842" t="s">
        <v>19016</v>
      </c>
      <c r="D2842" t="str">
        <f>"179101-81-6"</f>
        <v>179101-81-6</v>
      </c>
      <c r="E2842" t="str">
        <f t="shared" si="140"/>
        <v xml:space="preserve">Organische parameters </v>
      </c>
      <c r="F2842" t="str">
        <f t="shared" si="141"/>
        <v xml:space="preserve">Pesticiden en metabolieten </v>
      </c>
      <c r="G2842" t="str">
        <f t="shared" si="142"/>
        <v xml:space="preserve">Pesticiden en humaan toxicologisch relevante metabolieten </v>
      </c>
    </row>
    <row r="2843" spans="1:7" x14ac:dyDescent="0.25">
      <c r="A2843">
        <v>8942</v>
      </c>
      <c r="B2843" t="str">
        <f>"propamocarb hydrochloride"</f>
        <v>propamocarb hydrochloride</v>
      </c>
      <c r="C2843" t="s">
        <v>19016</v>
      </c>
      <c r="D2843" t="str">
        <f>"25606-41-1"</f>
        <v>25606-41-1</v>
      </c>
      <c r="E2843" t="str">
        <f t="shared" si="140"/>
        <v xml:space="preserve">Organische parameters </v>
      </c>
      <c r="F2843" t="str">
        <f t="shared" si="141"/>
        <v xml:space="preserve">Pesticiden en metabolieten </v>
      </c>
      <c r="G2843" t="str">
        <f t="shared" si="142"/>
        <v xml:space="preserve">Pesticiden en humaan toxicologisch relevante metabolieten </v>
      </c>
    </row>
    <row r="2844" spans="1:7" x14ac:dyDescent="0.25">
      <c r="A2844">
        <v>8943</v>
      </c>
      <c r="B2844" t="str">
        <f>"pyrimidifen"</f>
        <v>pyrimidifen</v>
      </c>
      <c r="C2844" t="s">
        <v>19016</v>
      </c>
      <c r="D2844" t="str">
        <f>"105779-78-0"</f>
        <v>105779-78-0</v>
      </c>
      <c r="E2844" t="str">
        <f t="shared" si="140"/>
        <v xml:space="preserve">Organische parameters </v>
      </c>
      <c r="F2844" t="str">
        <f t="shared" si="141"/>
        <v xml:space="preserve">Pesticiden en metabolieten </v>
      </c>
      <c r="G2844" t="str">
        <f t="shared" si="142"/>
        <v xml:space="preserve">Pesticiden en humaan toxicologisch relevante metabolieten </v>
      </c>
    </row>
    <row r="2845" spans="1:7" x14ac:dyDescent="0.25">
      <c r="A2845">
        <v>8944</v>
      </c>
      <c r="B2845" t="str">
        <f>"pyroquilon"</f>
        <v>pyroquilon</v>
      </c>
      <c r="C2845" t="s">
        <v>19016</v>
      </c>
      <c r="D2845" t="str">
        <f>"57369-32-1"</f>
        <v>57369-32-1</v>
      </c>
      <c r="E2845" t="str">
        <f t="shared" si="140"/>
        <v xml:space="preserve">Organische parameters </v>
      </c>
      <c r="F2845" t="str">
        <f t="shared" si="141"/>
        <v xml:space="preserve">Pesticiden en metabolieten </v>
      </c>
      <c r="G2845" t="str">
        <f t="shared" si="142"/>
        <v xml:space="preserve">Pesticiden en humaan toxicologisch relevante metabolieten </v>
      </c>
    </row>
    <row r="2846" spans="1:7" x14ac:dyDescent="0.25">
      <c r="A2846">
        <v>8945</v>
      </c>
      <c r="B2846" t="str">
        <f>"quinclorac"</f>
        <v>quinclorac</v>
      </c>
      <c r="C2846" t="s">
        <v>19016</v>
      </c>
      <c r="D2846" t="str">
        <f>"84087-01-4"</f>
        <v>84087-01-4</v>
      </c>
      <c r="E2846" t="str">
        <f t="shared" si="140"/>
        <v xml:space="preserve">Organische parameters </v>
      </c>
      <c r="F2846" t="str">
        <f t="shared" si="141"/>
        <v xml:space="preserve">Pesticiden en metabolieten </v>
      </c>
      <c r="G2846" t="str">
        <f t="shared" si="142"/>
        <v xml:space="preserve">Pesticiden en humaan toxicologisch relevante metabolieten </v>
      </c>
    </row>
    <row r="2847" spans="1:7" x14ac:dyDescent="0.25">
      <c r="A2847">
        <v>8946</v>
      </c>
      <c r="B2847" t="str">
        <f>"quinoxyfen"</f>
        <v>quinoxyfen</v>
      </c>
      <c r="C2847" t="s">
        <v>19016</v>
      </c>
      <c r="D2847" t="str">
        <f>"124495-18-7"</f>
        <v>124495-18-7</v>
      </c>
      <c r="E2847" t="str">
        <f t="shared" ref="E2847:E2915" si="143">"Organische parameters "</f>
        <v xml:space="preserve">Organische parameters </v>
      </c>
      <c r="F2847" t="str">
        <f t="shared" si="141"/>
        <v xml:space="preserve">Pesticiden en metabolieten </v>
      </c>
      <c r="G2847" t="str">
        <f t="shared" si="142"/>
        <v xml:space="preserve">Pesticiden en humaan toxicologisch relevante metabolieten </v>
      </c>
    </row>
    <row r="2848" spans="1:7" x14ac:dyDescent="0.25">
      <c r="A2848">
        <v>8947</v>
      </c>
      <c r="B2848" t="str">
        <f>"quizalofop"</f>
        <v>quizalofop</v>
      </c>
      <c r="C2848" t="s">
        <v>19016</v>
      </c>
      <c r="D2848" t="str">
        <f>"76578-12-6"</f>
        <v>76578-12-6</v>
      </c>
      <c r="E2848" t="str">
        <f t="shared" si="143"/>
        <v xml:space="preserve">Organische parameters </v>
      </c>
      <c r="F2848" t="str">
        <f t="shared" si="141"/>
        <v xml:space="preserve">Pesticiden en metabolieten </v>
      </c>
      <c r="G2848" t="str">
        <f t="shared" si="142"/>
        <v xml:space="preserve">Pesticiden en humaan toxicologisch relevante metabolieten </v>
      </c>
    </row>
    <row r="2849" spans="1:7" x14ac:dyDescent="0.25">
      <c r="A2849">
        <v>8948</v>
      </c>
      <c r="B2849" t="str">
        <f>"silafluofen"</f>
        <v>silafluofen</v>
      </c>
      <c r="C2849" t="s">
        <v>19016</v>
      </c>
      <c r="D2849" t="str">
        <f>"105024-66-6"</f>
        <v>105024-66-6</v>
      </c>
      <c r="E2849" t="str">
        <f t="shared" si="143"/>
        <v xml:space="preserve">Organische parameters </v>
      </c>
      <c r="F2849" t="str">
        <f t="shared" si="141"/>
        <v xml:space="preserve">Pesticiden en metabolieten </v>
      </c>
      <c r="G2849" t="str">
        <f t="shared" si="142"/>
        <v xml:space="preserve">Pesticiden en humaan toxicologisch relevante metabolieten </v>
      </c>
    </row>
    <row r="2850" spans="1:7" x14ac:dyDescent="0.25">
      <c r="A2850">
        <v>8949</v>
      </c>
      <c r="B2850" t="str">
        <f>"silthiofam"</f>
        <v>silthiofam</v>
      </c>
      <c r="C2850" t="s">
        <v>19016</v>
      </c>
      <c r="D2850" t="str">
        <f>"175217-20-6"</f>
        <v>175217-20-6</v>
      </c>
      <c r="E2850" t="str">
        <f t="shared" si="143"/>
        <v xml:space="preserve">Organische parameters </v>
      </c>
      <c r="F2850" t="str">
        <f t="shared" si="141"/>
        <v xml:space="preserve">Pesticiden en metabolieten </v>
      </c>
      <c r="G2850" t="str">
        <f t="shared" si="142"/>
        <v xml:space="preserve">Pesticiden en humaan toxicologisch relevante metabolieten </v>
      </c>
    </row>
    <row r="2851" spans="1:7" x14ac:dyDescent="0.25">
      <c r="A2851">
        <v>8950</v>
      </c>
      <c r="B2851" t="str">
        <f>"spiromesifen"</f>
        <v>spiromesifen</v>
      </c>
      <c r="C2851" t="s">
        <v>19016</v>
      </c>
      <c r="D2851" t="str">
        <f>"283594-90-1"</f>
        <v>283594-90-1</v>
      </c>
      <c r="E2851" t="str">
        <f t="shared" si="143"/>
        <v xml:space="preserve">Organische parameters </v>
      </c>
      <c r="F2851" t="str">
        <f t="shared" si="141"/>
        <v xml:space="preserve">Pesticiden en metabolieten </v>
      </c>
      <c r="G2851" t="str">
        <f t="shared" si="142"/>
        <v xml:space="preserve">Pesticiden en humaan toxicologisch relevante metabolieten </v>
      </c>
    </row>
    <row r="2852" spans="1:7" x14ac:dyDescent="0.25">
      <c r="A2852">
        <v>8951</v>
      </c>
      <c r="B2852" t="str">
        <f>"spirotetramat"</f>
        <v>spirotetramat</v>
      </c>
      <c r="C2852" t="s">
        <v>19016</v>
      </c>
      <c r="D2852" t="str">
        <f>"203313-25-1"</f>
        <v>203313-25-1</v>
      </c>
      <c r="E2852" t="str">
        <f t="shared" si="143"/>
        <v xml:space="preserve">Organische parameters </v>
      </c>
      <c r="F2852" t="str">
        <f t="shared" si="141"/>
        <v xml:space="preserve">Pesticiden en metabolieten </v>
      </c>
      <c r="G2852" t="str">
        <f t="shared" si="142"/>
        <v xml:space="preserve">Pesticiden en humaan toxicologisch relevante metabolieten </v>
      </c>
    </row>
    <row r="2853" spans="1:7" x14ac:dyDescent="0.25">
      <c r="A2853">
        <v>8952</v>
      </c>
      <c r="B2853" t="str">
        <f>"spirotetramat cis-enol"</f>
        <v>spirotetramat cis-enol</v>
      </c>
      <c r="C2853" t="s">
        <v>19016</v>
      </c>
      <c r="D2853" t="str">
        <f>"203312-38-3"</f>
        <v>203312-38-3</v>
      </c>
      <c r="E2853" t="str">
        <f t="shared" si="143"/>
        <v xml:space="preserve">Organische parameters </v>
      </c>
      <c r="F2853" t="str">
        <f t="shared" si="141"/>
        <v xml:space="preserve">Pesticiden en metabolieten </v>
      </c>
      <c r="G2853" t="str">
        <f t="shared" si="142"/>
        <v xml:space="preserve">Pesticiden en humaan toxicologisch relevante metabolieten </v>
      </c>
    </row>
    <row r="2854" spans="1:7" x14ac:dyDescent="0.25">
      <c r="A2854">
        <v>8953</v>
      </c>
      <c r="B2854" t="str">
        <f>"spirotetramat cis-keto-hydroxy"</f>
        <v>spirotetramat cis-keto-hydroxy</v>
      </c>
      <c r="C2854" t="s">
        <v>19016</v>
      </c>
      <c r="D2854" t="str">
        <f>"1172134-11-0"</f>
        <v>1172134-11-0</v>
      </c>
      <c r="E2854" t="str">
        <f t="shared" si="143"/>
        <v xml:space="preserve">Organische parameters </v>
      </c>
      <c r="F2854" t="str">
        <f t="shared" si="141"/>
        <v xml:space="preserve">Pesticiden en metabolieten </v>
      </c>
      <c r="G2854" t="str">
        <f t="shared" si="142"/>
        <v xml:space="preserve">Pesticiden en humaan toxicologisch relevante metabolieten </v>
      </c>
    </row>
    <row r="2855" spans="1:7" x14ac:dyDescent="0.25">
      <c r="A2855">
        <v>8954</v>
      </c>
      <c r="B2855" t="str">
        <f>"spirotetramat enol-glucoside"</f>
        <v>spirotetramat enol-glucoside</v>
      </c>
      <c r="C2855" t="s">
        <v>19016</v>
      </c>
      <c r="D2855" t="str">
        <f>"1172614-86-6"</f>
        <v>1172614-86-6</v>
      </c>
      <c r="E2855" t="str">
        <f t="shared" si="143"/>
        <v xml:space="preserve">Organische parameters </v>
      </c>
      <c r="F2855" t="str">
        <f t="shared" si="141"/>
        <v xml:space="preserve">Pesticiden en metabolieten </v>
      </c>
      <c r="G2855" t="str">
        <f t="shared" si="142"/>
        <v xml:space="preserve">Pesticiden en humaan toxicologisch relevante metabolieten </v>
      </c>
    </row>
    <row r="2856" spans="1:7" x14ac:dyDescent="0.25">
      <c r="A2856">
        <v>8955</v>
      </c>
      <c r="B2856" t="str">
        <f>"spirotetramat mono-hydroxy"</f>
        <v>spirotetramat mono-hydroxy</v>
      </c>
      <c r="C2856" t="s">
        <v>19016</v>
      </c>
      <c r="D2856" t="str">
        <f>"1172134-12-1"</f>
        <v>1172134-12-1</v>
      </c>
      <c r="E2856" t="str">
        <f t="shared" si="143"/>
        <v xml:space="preserve">Organische parameters </v>
      </c>
      <c r="F2856" t="str">
        <f t="shared" si="141"/>
        <v xml:space="preserve">Pesticiden en metabolieten </v>
      </c>
      <c r="G2856" t="str">
        <f t="shared" si="142"/>
        <v xml:space="preserve">Pesticiden en humaan toxicologisch relevante metabolieten </v>
      </c>
    </row>
    <row r="2857" spans="1:7" x14ac:dyDescent="0.25">
      <c r="A2857">
        <v>8956</v>
      </c>
      <c r="B2857" t="str">
        <f>"spiroxamine"</f>
        <v>spiroxamine</v>
      </c>
      <c r="C2857" t="s">
        <v>19016</v>
      </c>
      <c r="D2857" t="str">
        <f>"118134-30-8"</f>
        <v>118134-30-8</v>
      </c>
      <c r="E2857" t="str">
        <f t="shared" si="143"/>
        <v xml:space="preserve">Organische parameters </v>
      </c>
      <c r="F2857" t="str">
        <f t="shared" si="141"/>
        <v xml:space="preserve">Pesticiden en metabolieten </v>
      </c>
      <c r="G2857" t="str">
        <f t="shared" si="142"/>
        <v xml:space="preserve">Pesticiden en humaan toxicologisch relevante metabolieten </v>
      </c>
    </row>
    <row r="2858" spans="1:7" x14ac:dyDescent="0.25">
      <c r="A2858">
        <v>8957</v>
      </c>
      <c r="B2858" t="str">
        <f>"sulfentrazon"</f>
        <v>sulfentrazon</v>
      </c>
      <c r="C2858" t="s">
        <v>19016</v>
      </c>
      <c r="D2858" t="str">
        <f>"122836-35-5"</f>
        <v>122836-35-5</v>
      </c>
      <c r="E2858" t="str">
        <f t="shared" si="143"/>
        <v xml:space="preserve">Organische parameters </v>
      </c>
      <c r="F2858" t="str">
        <f t="shared" si="141"/>
        <v xml:space="preserve">Pesticiden en metabolieten </v>
      </c>
      <c r="G2858" t="str">
        <f t="shared" si="142"/>
        <v xml:space="preserve">Pesticiden en humaan toxicologisch relevante metabolieten </v>
      </c>
    </row>
    <row r="2859" spans="1:7" x14ac:dyDescent="0.25">
      <c r="A2859">
        <v>8958</v>
      </c>
      <c r="B2859" t="str">
        <f>"sulprofos"</f>
        <v>sulprofos</v>
      </c>
      <c r="C2859" t="s">
        <v>19016</v>
      </c>
      <c r="D2859" t="str">
        <f>"35400-43-2"</f>
        <v>35400-43-2</v>
      </c>
      <c r="E2859" t="str">
        <f t="shared" si="143"/>
        <v xml:space="preserve">Organische parameters </v>
      </c>
      <c r="F2859" t="str">
        <f t="shared" si="141"/>
        <v xml:space="preserve">Pesticiden en metabolieten </v>
      </c>
      <c r="G2859" t="str">
        <f t="shared" si="142"/>
        <v xml:space="preserve">Pesticiden en humaan toxicologisch relevante metabolieten </v>
      </c>
    </row>
    <row r="2860" spans="1:7" x14ac:dyDescent="0.25">
      <c r="A2860">
        <v>8959</v>
      </c>
      <c r="B2860" t="str">
        <f>"tebupirimfos"</f>
        <v>tebupirimfos</v>
      </c>
      <c r="C2860" t="s">
        <v>19016</v>
      </c>
      <c r="D2860" t="str">
        <f>"96182-53-5"</f>
        <v>96182-53-5</v>
      </c>
      <c r="E2860" t="str">
        <f t="shared" si="143"/>
        <v xml:space="preserve">Organische parameters </v>
      </c>
      <c r="F2860" t="str">
        <f t="shared" si="141"/>
        <v xml:space="preserve">Pesticiden en metabolieten </v>
      </c>
      <c r="G2860" t="str">
        <f t="shared" si="142"/>
        <v xml:space="preserve">Pesticiden en humaan toxicologisch relevante metabolieten </v>
      </c>
    </row>
    <row r="2861" spans="1:7" x14ac:dyDescent="0.25">
      <c r="A2861">
        <v>8960</v>
      </c>
      <c r="B2861" t="str">
        <f>"tetraconazool"</f>
        <v>tetraconazool</v>
      </c>
      <c r="C2861" t="s">
        <v>19016</v>
      </c>
      <c r="D2861" t="str">
        <f>"112281-77-3"</f>
        <v>112281-77-3</v>
      </c>
      <c r="E2861" t="str">
        <f t="shared" si="143"/>
        <v xml:space="preserve">Organische parameters </v>
      </c>
      <c r="F2861" t="str">
        <f t="shared" si="141"/>
        <v xml:space="preserve">Pesticiden en metabolieten </v>
      </c>
      <c r="G2861" t="str">
        <f t="shared" si="142"/>
        <v xml:space="preserve">Pesticiden en humaan toxicologisch relevante metabolieten </v>
      </c>
    </row>
    <row r="2862" spans="1:7" x14ac:dyDescent="0.25">
      <c r="A2862">
        <v>8961</v>
      </c>
      <c r="B2862" t="str">
        <f>"thidiazuron"</f>
        <v>thidiazuron</v>
      </c>
      <c r="C2862" t="s">
        <v>19016</v>
      </c>
      <c r="D2862" t="str">
        <f>"51707-55-2"</f>
        <v>51707-55-2</v>
      </c>
      <c r="E2862" t="str">
        <f t="shared" si="143"/>
        <v xml:space="preserve">Organische parameters </v>
      </c>
      <c r="F2862" t="str">
        <f t="shared" si="141"/>
        <v xml:space="preserve">Pesticiden en metabolieten </v>
      </c>
      <c r="G2862" t="str">
        <f t="shared" si="142"/>
        <v xml:space="preserve">Pesticiden en humaan toxicologisch relevante metabolieten </v>
      </c>
    </row>
    <row r="2863" spans="1:7" x14ac:dyDescent="0.25">
      <c r="A2863">
        <v>8962</v>
      </c>
      <c r="B2863" t="str">
        <f>"thiobencarb"</f>
        <v>thiobencarb</v>
      </c>
      <c r="C2863" t="s">
        <v>19016</v>
      </c>
      <c r="D2863" t="str">
        <f>"28249-77-6"</f>
        <v>28249-77-6</v>
      </c>
      <c r="E2863" t="str">
        <f t="shared" si="143"/>
        <v xml:space="preserve">Organische parameters </v>
      </c>
      <c r="F2863" t="str">
        <f t="shared" si="141"/>
        <v xml:space="preserve">Pesticiden en metabolieten </v>
      </c>
      <c r="G2863" t="str">
        <f t="shared" si="142"/>
        <v xml:space="preserve">Pesticiden en humaan toxicologisch relevante metabolieten </v>
      </c>
    </row>
    <row r="2864" spans="1:7" x14ac:dyDescent="0.25">
      <c r="A2864">
        <v>8963</v>
      </c>
      <c r="B2864" t="str">
        <f>"transfluthrin"</f>
        <v>transfluthrin</v>
      </c>
      <c r="C2864" t="s">
        <v>19016</v>
      </c>
      <c r="D2864" t="str">
        <f>"118712-89-3"</f>
        <v>118712-89-3</v>
      </c>
      <c r="E2864" t="str">
        <f t="shared" si="143"/>
        <v xml:space="preserve">Organische parameters </v>
      </c>
      <c r="F2864" t="str">
        <f t="shared" si="141"/>
        <v xml:space="preserve">Pesticiden en metabolieten </v>
      </c>
      <c r="G2864" t="str">
        <f t="shared" si="142"/>
        <v xml:space="preserve">Pesticiden en humaan toxicologisch relevante metabolieten </v>
      </c>
    </row>
    <row r="2865" spans="1:7" x14ac:dyDescent="0.25">
      <c r="A2865">
        <v>8964</v>
      </c>
      <c r="B2865" t="str">
        <f>"triapenthenol"</f>
        <v>triapenthenol</v>
      </c>
      <c r="C2865" t="s">
        <v>19016</v>
      </c>
      <c r="D2865" t="str">
        <f>"76608-88-3"</f>
        <v>76608-88-3</v>
      </c>
      <c r="E2865" t="str">
        <f t="shared" si="143"/>
        <v xml:space="preserve">Organische parameters </v>
      </c>
      <c r="F2865" t="str">
        <f t="shared" si="141"/>
        <v xml:space="preserve">Pesticiden en metabolieten </v>
      </c>
      <c r="G2865" t="str">
        <f t="shared" si="142"/>
        <v xml:space="preserve">Pesticiden en humaan toxicologisch relevante metabolieten </v>
      </c>
    </row>
    <row r="2866" spans="1:7" x14ac:dyDescent="0.25">
      <c r="A2866">
        <v>8965</v>
      </c>
      <c r="B2866" t="str">
        <f>"triazamaat"</f>
        <v>triazamaat</v>
      </c>
      <c r="C2866" t="s">
        <v>19016</v>
      </c>
      <c r="D2866" t="str">
        <f>"112143-82-5"</f>
        <v>112143-82-5</v>
      </c>
      <c r="E2866" t="str">
        <f t="shared" si="143"/>
        <v xml:space="preserve">Organische parameters </v>
      </c>
      <c r="F2866" t="str">
        <f t="shared" ref="F2866:F2892" si="144">"Pesticiden en metabolieten "</f>
        <v xml:space="preserve">Pesticiden en metabolieten </v>
      </c>
      <c r="G2866" t="str">
        <f t="shared" si="142"/>
        <v xml:space="preserve">Pesticiden en humaan toxicologisch relevante metabolieten </v>
      </c>
    </row>
    <row r="2867" spans="1:7" x14ac:dyDescent="0.25">
      <c r="A2867">
        <v>8966</v>
      </c>
      <c r="B2867" t="str">
        <f>"tribenuron-methyl"</f>
        <v>tribenuron-methyl</v>
      </c>
      <c r="C2867" t="s">
        <v>19016</v>
      </c>
      <c r="D2867" t="str">
        <f>"101200-48-0"</f>
        <v>101200-48-0</v>
      </c>
      <c r="E2867" t="str">
        <f t="shared" si="143"/>
        <v xml:space="preserve">Organische parameters </v>
      </c>
      <c r="F2867" t="str">
        <f t="shared" si="144"/>
        <v xml:space="preserve">Pesticiden en metabolieten </v>
      </c>
      <c r="G2867" t="str">
        <f t="shared" si="142"/>
        <v xml:space="preserve">Pesticiden en humaan toxicologisch relevante metabolieten </v>
      </c>
    </row>
    <row r="2868" spans="1:7" x14ac:dyDescent="0.25">
      <c r="A2868">
        <v>8967</v>
      </c>
      <c r="B2868" t="str">
        <f>"triflumizool"</f>
        <v>triflumizool</v>
      </c>
      <c r="C2868" t="s">
        <v>19016</v>
      </c>
      <c r="D2868" t="str">
        <f>"68694-11-1"</f>
        <v>68694-11-1</v>
      </c>
      <c r="E2868" t="str">
        <f t="shared" si="143"/>
        <v xml:space="preserve">Organische parameters </v>
      </c>
      <c r="F2868" t="str">
        <f t="shared" si="144"/>
        <v xml:space="preserve">Pesticiden en metabolieten </v>
      </c>
      <c r="G2868" t="str">
        <f t="shared" si="142"/>
        <v xml:space="preserve">Pesticiden en humaan toxicologisch relevante metabolieten </v>
      </c>
    </row>
    <row r="2869" spans="1:7" x14ac:dyDescent="0.25">
      <c r="A2869">
        <v>8968</v>
      </c>
      <c r="B2869" t="str">
        <f>"trinexapac-ethyl"</f>
        <v>trinexapac-ethyl</v>
      </c>
      <c r="C2869" t="s">
        <v>19016</v>
      </c>
      <c r="D2869" t="str">
        <f>"95266-40-3"</f>
        <v>95266-40-3</v>
      </c>
      <c r="E2869" t="str">
        <f t="shared" si="143"/>
        <v xml:space="preserve">Organische parameters </v>
      </c>
      <c r="F2869" t="str">
        <f t="shared" si="144"/>
        <v xml:space="preserve">Pesticiden en metabolieten </v>
      </c>
      <c r="G2869" t="str">
        <f t="shared" si="142"/>
        <v xml:space="preserve">Pesticiden en humaan toxicologisch relevante metabolieten </v>
      </c>
    </row>
    <row r="2870" spans="1:7" x14ac:dyDescent="0.25">
      <c r="A2870">
        <v>8969</v>
      </c>
      <c r="B2870" t="str">
        <f>"triticonazool"</f>
        <v>triticonazool</v>
      </c>
      <c r="C2870" t="s">
        <v>19016</v>
      </c>
      <c r="D2870" t="str">
        <f>"131983-72-7"</f>
        <v>131983-72-7</v>
      </c>
      <c r="E2870" t="str">
        <f t="shared" si="143"/>
        <v xml:space="preserve">Organische parameters </v>
      </c>
      <c r="F2870" t="str">
        <f t="shared" si="144"/>
        <v xml:space="preserve">Pesticiden en metabolieten </v>
      </c>
      <c r="G2870" t="str">
        <f t="shared" si="142"/>
        <v xml:space="preserve">Pesticiden en humaan toxicologisch relevante metabolieten </v>
      </c>
    </row>
    <row r="2871" spans="1:7" x14ac:dyDescent="0.25">
      <c r="A2871">
        <v>8970</v>
      </c>
      <c r="B2871" t="str">
        <f>"uniconazool"</f>
        <v>uniconazool</v>
      </c>
      <c r="C2871" t="s">
        <v>19016</v>
      </c>
      <c r="D2871" t="str">
        <f>"83657-22-1"</f>
        <v>83657-22-1</v>
      </c>
      <c r="E2871" t="str">
        <f t="shared" si="143"/>
        <v xml:space="preserve">Organische parameters </v>
      </c>
      <c r="F2871" t="str">
        <f t="shared" si="144"/>
        <v xml:space="preserve">Pesticiden en metabolieten </v>
      </c>
      <c r="G2871" t="str">
        <f t="shared" si="142"/>
        <v xml:space="preserve">Pesticiden en humaan toxicologisch relevante metabolieten </v>
      </c>
    </row>
    <row r="2872" spans="1:7" x14ac:dyDescent="0.25">
      <c r="A2872">
        <v>9002</v>
      </c>
      <c r="B2872" t="str">
        <f>"2,4'-methoxychloor"</f>
        <v>2,4'-methoxychloor</v>
      </c>
      <c r="C2872" t="s">
        <v>19016</v>
      </c>
      <c r="D2872" t="str">
        <f>"30667-99-3"</f>
        <v>30667-99-3</v>
      </c>
      <c r="E2872" t="str">
        <f t="shared" si="143"/>
        <v xml:space="preserve">Organische parameters </v>
      </c>
      <c r="F2872" t="str">
        <f t="shared" si="144"/>
        <v xml:space="preserve">Pesticiden en metabolieten </v>
      </c>
      <c r="G2872" t="str">
        <f t="shared" si="142"/>
        <v xml:space="preserve">Pesticiden en humaan toxicologisch relevante metabolieten </v>
      </c>
    </row>
    <row r="2873" spans="1:7" x14ac:dyDescent="0.25">
      <c r="A2873">
        <v>9003</v>
      </c>
      <c r="B2873" t="str">
        <f>"glufosinaat"</f>
        <v>glufosinaat</v>
      </c>
      <c r="C2873" t="s">
        <v>19016</v>
      </c>
      <c r="D2873" t="str">
        <f>"51276-47-2"</f>
        <v>51276-47-2</v>
      </c>
      <c r="E2873" t="str">
        <f t="shared" si="143"/>
        <v xml:space="preserve">Organische parameters </v>
      </c>
      <c r="F2873" t="str">
        <f t="shared" si="144"/>
        <v xml:space="preserve">Pesticiden en metabolieten </v>
      </c>
      <c r="G2873" t="str">
        <f t="shared" si="142"/>
        <v xml:space="preserve">Pesticiden en humaan toxicologisch relevante metabolieten </v>
      </c>
    </row>
    <row r="2874" spans="1:7" x14ac:dyDescent="0.25">
      <c r="A2874">
        <v>9004</v>
      </c>
      <c r="B2874" t="str">
        <f>"flufenacet-ESA"</f>
        <v>flufenacet-ESA</v>
      </c>
      <c r="C2874" t="s">
        <v>19016</v>
      </c>
      <c r="D2874" t="str">
        <f>""</f>
        <v/>
      </c>
      <c r="E2874" t="str">
        <f t="shared" si="143"/>
        <v xml:space="preserve">Organische parameters </v>
      </c>
      <c r="F2874" t="str">
        <f t="shared" si="144"/>
        <v xml:space="preserve">Pesticiden en metabolieten </v>
      </c>
      <c r="G2874" t="str">
        <f t="shared" si="142"/>
        <v xml:space="preserve">Pesticiden en humaan toxicologisch relevante metabolieten </v>
      </c>
    </row>
    <row r="2875" spans="1:7" x14ac:dyDescent="0.25">
      <c r="A2875">
        <v>9005</v>
      </c>
      <c r="B2875" t="str">
        <f>"flufenacet-OA"</f>
        <v>flufenacet-OA</v>
      </c>
      <c r="C2875" t="s">
        <v>19016</v>
      </c>
      <c r="D2875" t="str">
        <f>"201668-31-7"</f>
        <v>201668-31-7</v>
      </c>
      <c r="E2875" t="str">
        <f t="shared" si="143"/>
        <v xml:space="preserve">Organische parameters </v>
      </c>
      <c r="F2875" t="str">
        <f t="shared" si="144"/>
        <v xml:space="preserve">Pesticiden en metabolieten </v>
      </c>
      <c r="G2875" t="str">
        <f t="shared" si="142"/>
        <v xml:space="preserve">Pesticiden en humaan toxicologisch relevante metabolieten </v>
      </c>
    </row>
    <row r="2876" spans="1:7" x14ac:dyDescent="0.25">
      <c r="A2876">
        <v>9006</v>
      </c>
      <c r="B2876" t="str">
        <f>"acetochloor-ESA"</f>
        <v>acetochloor-ESA</v>
      </c>
      <c r="C2876" t="s">
        <v>19016</v>
      </c>
      <c r="D2876" t="str">
        <f>""</f>
        <v/>
      </c>
      <c r="E2876" t="str">
        <f t="shared" si="143"/>
        <v xml:space="preserve">Organische parameters </v>
      </c>
      <c r="F2876" t="str">
        <f t="shared" si="144"/>
        <v xml:space="preserve">Pesticiden en metabolieten </v>
      </c>
      <c r="G2876" t="str">
        <f t="shared" si="142"/>
        <v xml:space="preserve">Pesticiden en humaan toxicologisch relevante metabolieten </v>
      </c>
    </row>
    <row r="2877" spans="1:7" x14ac:dyDescent="0.25">
      <c r="A2877">
        <v>9007</v>
      </c>
      <c r="B2877" t="str">
        <f>"tembotrion"</f>
        <v>tembotrion</v>
      </c>
      <c r="C2877" t="s">
        <v>19016</v>
      </c>
      <c r="D2877" t="str">
        <f>"335104-84-2"</f>
        <v>335104-84-2</v>
      </c>
      <c r="E2877" t="str">
        <f t="shared" si="143"/>
        <v xml:space="preserve">Organische parameters </v>
      </c>
      <c r="F2877" t="str">
        <f t="shared" si="144"/>
        <v xml:space="preserve">Pesticiden en metabolieten </v>
      </c>
      <c r="G2877" t="str">
        <f t="shared" si="142"/>
        <v xml:space="preserve">Pesticiden en humaan toxicologisch relevante metabolieten </v>
      </c>
    </row>
    <row r="2878" spans="1:7" x14ac:dyDescent="0.25">
      <c r="A2878">
        <v>9008</v>
      </c>
      <c r="B2878" t="str">
        <f>"topramezon"</f>
        <v>topramezon</v>
      </c>
      <c r="C2878" t="s">
        <v>19016</v>
      </c>
      <c r="D2878" t="str">
        <f>"210631-68-8"</f>
        <v>210631-68-8</v>
      </c>
      <c r="E2878" t="str">
        <f t="shared" si="143"/>
        <v xml:space="preserve">Organische parameters </v>
      </c>
      <c r="F2878" t="str">
        <f t="shared" si="144"/>
        <v xml:space="preserve">Pesticiden en metabolieten </v>
      </c>
      <c r="G2878" t="str">
        <f t="shared" si="142"/>
        <v xml:space="preserve">Pesticiden en humaan toxicologisch relevante metabolieten </v>
      </c>
    </row>
    <row r="2879" spans="1:7" x14ac:dyDescent="0.25">
      <c r="A2879">
        <v>9009</v>
      </c>
      <c r="B2879" t="str">
        <f>"acetochloor"</f>
        <v>acetochloor</v>
      </c>
      <c r="C2879" t="s">
        <v>19016</v>
      </c>
      <c r="D2879" t="str">
        <f>"34256-82-1"</f>
        <v>34256-82-1</v>
      </c>
      <c r="E2879" t="str">
        <f t="shared" si="143"/>
        <v xml:space="preserve">Organische parameters </v>
      </c>
      <c r="F2879" t="str">
        <f t="shared" si="144"/>
        <v xml:space="preserve">Pesticiden en metabolieten </v>
      </c>
      <c r="G2879" t="str">
        <f t="shared" si="142"/>
        <v xml:space="preserve">Pesticiden en humaan toxicologisch relevante metabolieten </v>
      </c>
    </row>
    <row r="2880" spans="1:7" x14ac:dyDescent="0.25">
      <c r="A2880">
        <v>9010</v>
      </c>
      <c r="B2880" t="str">
        <f>"alachloor-ESA"</f>
        <v>alachloor-ESA</v>
      </c>
      <c r="C2880" t="s">
        <v>19016</v>
      </c>
      <c r="D2880" t="str">
        <f>"142363-53-9"</f>
        <v>142363-53-9</v>
      </c>
      <c r="E2880" t="str">
        <f t="shared" si="143"/>
        <v xml:space="preserve">Organische parameters </v>
      </c>
      <c r="F2880" t="str">
        <f t="shared" si="144"/>
        <v xml:space="preserve">Pesticiden en metabolieten </v>
      </c>
      <c r="G2880" t="str">
        <f t="shared" si="142"/>
        <v xml:space="preserve">Pesticiden en humaan toxicologisch relevante metabolieten </v>
      </c>
    </row>
    <row r="2881" spans="1:7" x14ac:dyDescent="0.25">
      <c r="A2881">
        <v>9011</v>
      </c>
      <c r="B2881" t="str">
        <f>"dimethenamid-ESA"</f>
        <v>dimethenamid-ESA</v>
      </c>
      <c r="C2881" t="s">
        <v>19016</v>
      </c>
      <c r="D2881" t="str">
        <f>"205939-58-8"</f>
        <v>205939-58-8</v>
      </c>
      <c r="E2881" t="str">
        <f t="shared" si="143"/>
        <v xml:space="preserve">Organische parameters </v>
      </c>
      <c r="F2881" t="str">
        <f t="shared" si="144"/>
        <v xml:space="preserve">Pesticiden en metabolieten </v>
      </c>
      <c r="G2881" t="str">
        <f>"Niet humaan toxicologisch relevante metabolieten "</f>
        <v xml:space="preserve">Niet humaan toxicologisch relevante metabolieten </v>
      </c>
    </row>
    <row r="2882" spans="1:7" x14ac:dyDescent="0.25">
      <c r="A2882">
        <v>9012</v>
      </c>
      <c r="B2882" t="str">
        <f>"dimethenamid-OA"</f>
        <v>dimethenamid-OA</v>
      </c>
      <c r="C2882" t="s">
        <v>19016</v>
      </c>
      <c r="D2882" t="str">
        <f>"380412-59-9"</f>
        <v>380412-59-9</v>
      </c>
      <c r="E2882" t="str">
        <f t="shared" si="143"/>
        <v xml:space="preserve">Organische parameters </v>
      </c>
      <c r="F2882" t="str">
        <f t="shared" si="144"/>
        <v xml:space="preserve">Pesticiden en metabolieten </v>
      </c>
      <c r="G2882" t="str">
        <f>"Niet humaan toxicologisch relevante metabolieten "</f>
        <v xml:space="preserve">Niet humaan toxicologisch relevante metabolieten </v>
      </c>
    </row>
    <row r="2883" spans="1:7" x14ac:dyDescent="0.25">
      <c r="A2883">
        <v>9013</v>
      </c>
      <c r="B2883" t="str">
        <f>"metolachloor-ESA"</f>
        <v>metolachloor-ESA</v>
      </c>
      <c r="C2883" t="s">
        <v>19016</v>
      </c>
      <c r="D2883" t="str">
        <f>"171118-09-5"</f>
        <v>171118-09-5</v>
      </c>
      <c r="E2883" t="str">
        <f t="shared" si="143"/>
        <v xml:space="preserve">Organische parameters </v>
      </c>
      <c r="F2883" t="str">
        <f t="shared" si="144"/>
        <v xml:space="preserve">Pesticiden en metabolieten </v>
      </c>
      <c r="G2883" t="str">
        <f>"Niet humaan toxicologisch relevante metabolieten "</f>
        <v xml:space="preserve">Niet humaan toxicologisch relevante metabolieten </v>
      </c>
    </row>
    <row r="2884" spans="1:7" x14ac:dyDescent="0.25">
      <c r="A2884">
        <v>9014</v>
      </c>
      <c r="B2884" t="str">
        <f>"metolachloor-OA"</f>
        <v>metolachloor-OA</v>
      </c>
      <c r="C2884" t="s">
        <v>19016</v>
      </c>
      <c r="D2884" t="str">
        <f>"152019-73-3"</f>
        <v>152019-73-3</v>
      </c>
      <c r="E2884" t="str">
        <f t="shared" si="143"/>
        <v xml:space="preserve">Organische parameters </v>
      </c>
      <c r="F2884" t="str">
        <f t="shared" si="144"/>
        <v xml:space="preserve">Pesticiden en metabolieten </v>
      </c>
      <c r="G2884" t="str">
        <f>"Niet humaan toxicologisch relevante metabolieten "</f>
        <v xml:space="preserve">Niet humaan toxicologisch relevante metabolieten </v>
      </c>
    </row>
    <row r="2885" spans="1:7" x14ac:dyDescent="0.25">
      <c r="A2885">
        <v>9015</v>
      </c>
      <c r="B2885" t="str">
        <f>"metribuzin-desamino"</f>
        <v>metribuzin-desamino</v>
      </c>
      <c r="C2885" t="s">
        <v>19016</v>
      </c>
      <c r="D2885" t="str">
        <f>"35045-02-4"</f>
        <v>35045-02-4</v>
      </c>
      <c r="E2885" t="str">
        <f t="shared" si="143"/>
        <v xml:space="preserve">Organische parameters </v>
      </c>
      <c r="F2885" t="str">
        <f t="shared" si="144"/>
        <v xml:space="preserve">Pesticiden en metabolieten </v>
      </c>
      <c r="G2885" t="str">
        <f>"Pesticiden en humaan toxicologisch relevante metabolieten "</f>
        <v xml:space="preserve">Pesticiden en humaan toxicologisch relevante metabolieten </v>
      </c>
    </row>
    <row r="2886" spans="1:7" x14ac:dyDescent="0.25">
      <c r="A2886">
        <v>9016</v>
      </c>
      <c r="B2886" t="str">
        <f>"propachloor-ESA"</f>
        <v>propachloor-ESA</v>
      </c>
      <c r="C2886" t="s">
        <v>19016</v>
      </c>
      <c r="D2886" t="str">
        <f>""</f>
        <v/>
      </c>
      <c r="E2886" t="str">
        <f t="shared" si="143"/>
        <v xml:space="preserve">Organische parameters </v>
      </c>
      <c r="F2886" t="str">
        <f t="shared" si="144"/>
        <v xml:space="preserve">Pesticiden en metabolieten </v>
      </c>
      <c r="G2886" t="str">
        <f>"Niet humaan toxicologisch relevante metabolieten "</f>
        <v xml:space="preserve">Niet humaan toxicologisch relevante metabolieten </v>
      </c>
    </row>
    <row r="2887" spans="1:7" x14ac:dyDescent="0.25">
      <c r="A2887">
        <v>9017</v>
      </c>
      <c r="B2887" t="str">
        <f>"propachloor-OA"</f>
        <v>propachloor-OA</v>
      </c>
      <c r="C2887" t="s">
        <v>19016</v>
      </c>
      <c r="D2887" t="str">
        <f>""</f>
        <v/>
      </c>
      <c r="E2887" t="str">
        <f t="shared" si="143"/>
        <v xml:space="preserve">Organische parameters </v>
      </c>
      <c r="F2887" t="str">
        <f t="shared" si="144"/>
        <v xml:space="preserve">Pesticiden en metabolieten </v>
      </c>
      <c r="G2887" t="str">
        <f t="shared" ref="G2887:G2892" si="145">"Pesticiden en humaan toxicologisch relevante metabolieten "</f>
        <v xml:space="preserve">Pesticiden en humaan toxicologisch relevante metabolieten </v>
      </c>
    </row>
    <row r="2888" spans="1:7" x14ac:dyDescent="0.25">
      <c r="A2888">
        <v>9018</v>
      </c>
      <c r="B2888" t="str">
        <f>"pyroxsulam"</f>
        <v>pyroxsulam</v>
      </c>
      <c r="C2888" t="s">
        <v>19016</v>
      </c>
      <c r="D2888" t="str">
        <f>"422556-08-9"</f>
        <v>422556-08-9</v>
      </c>
      <c r="E2888" t="str">
        <f t="shared" si="143"/>
        <v xml:space="preserve">Organische parameters </v>
      </c>
      <c r="F2888" t="str">
        <f t="shared" si="144"/>
        <v xml:space="preserve">Pesticiden en metabolieten </v>
      </c>
      <c r="G2888" t="str">
        <f t="shared" si="145"/>
        <v xml:space="preserve">Pesticiden en humaan toxicologisch relevante metabolieten </v>
      </c>
    </row>
    <row r="2889" spans="1:7" x14ac:dyDescent="0.25">
      <c r="A2889">
        <v>9019</v>
      </c>
      <c r="B2889" t="str">
        <f>"quinmerac"</f>
        <v>quinmerac</v>
      </c>
      <c r="C2889" t="s">
        <v>19016</v>
      </c>
      <c r="D2889" t="str">
        <f>"90717-03-6"</f>
        <v>90717-03-6</v>
      </c>
      <c r="E2889" t="str">
        <f t="shared" si="143"/>
        <v xml:space="preserve">Organische parameters </v>
      </c>
      <c r="F2889" t="str">
        <f t="shared" si="144"/>
        <v xml:space="preserve">Pesticiden en metabolieten </v>
      </c>
      <c r="G2889" t="str">
        <f t="shared" si="145"/>
        <v xml:space="preserve">Pesticiden en humaan toxicologisch relevante metabolieten </v>
      </c>
    </row>
    <row r="2890" spans="1:7" x14ac:dyDescent="0.25">
      <c r="A2890">
        <v>9020</v>
      </c>
      <c r="B2890" t="str">
        <f>"quizalofop-P-ethyl"</f>
        <v>quizalofop-P-ethyl</v>
      </c>
      <c r="C2890" t="s">
        <v>19016</v>
      </c>
      <c r="D2890" t="str">
        <f>"100646-51-3"</f>
        <v>100646-51-3</v>
      </c>
      <c r="E2890" t="str">
        <f t="shared" si="143"/>
        <v xml:space="preserve">Organische parameters </v>
      </c>
      <c r="F2890" t="str">
        <f t="shared" si="144"/>
        <v xml:space="preserve">Pesticiden en metabolieten </v>
      </c>
      <c r="G2890" t="str">
        <f t="shared" si="145"/>
        <v xml:space="preserve">Pesticiden en humaan toxicologisch relevante metabolieten </v>
      </c>
    </row>
    <row r="2891" spans="1:7" x14ac:dyDescent="0.25">
      <c r="A2891">
        <v>9021</v>
      </c>
      <c r="B2891" t="str">
        <f>"fosfamidon isomeren"</f>
        <v>fosfamidon isomeren</v>
      </c>
      <c r="C2891" t="s">
        <v>19016</v>
      </c>
      <c r="D2891" t="str">
        <f>"13171-21-6"</f>
        <v>13171-21-6</v>
      </c>
      <c r="E2891" t="str">
        <f t="shared" si="143"/>
        <v xml:space="preserve">Organische parameters </v>
      </c>
      <c r="F2891" t="str">
        <f t="shared" si="144"/>
        <v xml:space="preserve">Pesticiden en metabolieten </v>
      </c>
      <c r="G2891" t="str">
        <f t="shared" si="145"/>
        <v xml:space="preserve">Pesticiden en humaan toxicologisch relevante metabolieten </v>
      </c>
    </row>
    <row r="2892" spans="1:7" x14ac:dyDescent="0.25">
      <c r="A2892">
        <v>9022</v>
      </c>
      <c r="B2892" t="str">
        <f>"E,Z-fluoxastrobin"</f>
        <v>E,Z-fluoxastrobin</v>
      </c>
      <c r="C2892" t="s">
        <v>19016</v>
      </c>
      <c r="D2892" t="str">
        <f>"193740-76-0"</f>
        <v>193740-76-0</v>
      </c>
      <c r="E2892" t="str">
        <f t="shared" si="143"/>
        <v xml:space="preserve">Organische parameters </v>
      </c>
      <c r="F2892" t="str">
        <f t="shared" si="144"/>
        <v xml:space="preserve">Pesticiden en metabolieten </v>
      </c>
      <c r="G2892" t="str">
        <f t="shared" si="145"/>
        <v xml:space="preserve">Pesticiden en humaan toxicologisch relevante metabolieten </v>
      </c>
    </row>
    <row r="2893" spans="1:7" x14ac:dyDescent="0.25">
      <c r="A2893">
        <v>9025</v>
      </c>
      <c r="B2893" t="str">
        <f>"cyanuurzuur"</f>
        <v>cyanuurzuur</v>
      </c>
      <c r="C2893" t="s">
        <v>19016</v>
      </c>
      <c r="D2893" t="str">
        <f>"108-80-5"</f>
        <v>108-80-5</v>
      </c>
      <c r="E2893" t="str">
        <f t="shared" si="143"/>
        <v xml:space="preserve">Organische parameters </v>
      </c>
      <c r="F2893" t="str">
        <f>"Overige antropogene stoffen "</f>
        <v xml:space="preserve">Overige antropogene stoffen </v>
      </c>
      <c r="G2893" t="str">
        <f>""</f>
        <v/>
      </c>
    </row>
    <row r="2894" spans="1:7" x14ac:dyDescent="0.25">
      <c r="A2894">
        <v>9026</v>
      </c>
      <c r="B2894" t="str">
        <f>"sulfaminezuur"</f>
        <v>sulfaminezuur</v>
      </c>
      <c r="C2894" t="s">
        <v>19016</v>
      </c>
      <c r="D2894" t="str">
        <f>"5329-14-6"</f>
        <v>5329-14-6</v>
      </c>
      <c r="E2894" t="str">
        <f t="shared" si="143"/>
        <v xml:space="preserve">Organische parameters </v>
      </c>
      <c r="F2894" t="str">
        <f>"Overige antropogene stoffen "</f>
        <v xml:space="preserve">Overige antropogene stoffen </v>
      </c>
      <c r="G2894" t="str">
        <f>""</f>
        <v/>
      </c>
    </row>
    <row r="2895" spans="1:7" x14ac:dyDescent="0.25">
      <c r="A2895">
        <v>9027</v>
      </c>
      <c r="B2895" t="str">
        <f>"trifluormethaansulfonzuur"</f>
        <v>trifluormethaansulfonzuur</v>
      </c>
      <c r="C2895" t="s">
        <v>19016</v>
      </c>
      <c r="D2895" t="str">
        <f>"1493-13-6"</f>
        <v>1493-13-6</v>
      </c>
      <c r="E2895" t="str">
        <f t="shared" si="143"/>
        <v xml:space="preserve">Organische parameters </v>
      </c>
      <c r="F2895" t="str">
        <f>"Overige antropogene stoffen "</f>
        <v xml:space="preserve">Overige antropogene stoffen </v>
      </c>
      <c r="G2895" t="str">
        <f>""</f>
        <v/>
      </c>
    </row>
    <row r="2896" spans="1:7" x14ac:dyDescent="0.25">
      <c r="A2896">
        <v>9028</v>
      </c>
      <c r="B2896" t="str">
        <f>"Metazachloor-C-metaboliet"</f>
        <v>Metazachloor-C-metaboliet</v>
      </c>
      <c r="C2896" t="s">
        <v>19016</v>
      </c>
      <c r="D2896" t="str">
        <f>"1231244-60-2"</f>
        <v>1231244-60-2</v>
      </c>
      <c r="E2896" t="str">
        <f t="shared" si="143"/>
        <v xml:space="preserve">Organische parameters </v>
      </c>
      <c r="F2896" t="str">
        <f t="shared" ref="F2896:F2915" si="146">"Pesticiden en metabolieten "</f>
        <v xml:space="preserve">Pesticiden en metabolieten </v>
      </c>
      <c r="G2896" t="str">
        <f>"Niet humaan toxicologisch relevante metabolieten "</f>
        <v xml:space="preserve">Niet humaan toxicologisch relevante metabolieten </v>
      </c>
    </row>
    <row r="2897" spans="1:7" x14ac:dyDescent="0.25">
      <c r="A2897">
        <v>9029</v>
      </c>
      <c r="B2897" t="str">
        <f>"Metazachloor-S-metaboliet"</f>
        <v>Metazachloor-S-metaboliet</v>
      </c>
      <c r="C2897" t="s">
        <v>19016</v>
      </c>
      <c r="D2897" t="str">
        <f>"172960-62-2"</f>
        <v>172960-62-2</v>
      </c>
      <c r="E2897" t="str">
        <f t="shared" si="143"/>
        <v xml:space="preserve">Organische parameters </v>
      </c>
      <c r="F2897" t="str">
        <f t="shared" si="146"/>
        <v xml:space="preserve">Pesticiden en metabolieten </v>
      </c>
      <c r="G2897" t="str">
        <f>"Niet humaan toxicologisch relevante metabolieten "</f>
        <v xml:space="preserve">Niet humaan toxicologisch relevante metabolieten </v>
      </c>
    </row>
    <row r="2898" spans="1:7" x14ac:dyDescent="0.25">
      <c r="A2898">
        <v>9030</v>
      </c>
      <c r="B2898" t="str">
        <f>"Sedaxaan"</f>
        <v>Sedaxaan</v>
      </c>
      <c r="C2898" t="s">
        <v>19016</v>
      </c>
      <c r="D2898" t="str">
        <f>"874967-67-6"</f>
        <v>874967-67-6</v>
      </c>
      <c r="E2898" t="str">
        <f t="shared" si="143"/>
        <v xml:space="preserve">Organische parameters </v>
      </c>
      <c r="F2898" t="str">
        <f t="shared" si="146"/>
        <v xml:space="preserve">Pesticiden en metabolieten </v>
      </c>
      <c r="G2898" t="str">
        <f t="shared" ref="G2898:G2911" si="147">"Pesticiden en humaan toxicologisch relevante metabolieten "</f>
        <v xml:space="preserve">Pesticiden en humaan toxicologisch relevante metabolieten </v>
      </c>
    </row>
    <row r="2899" spans="1:7" x14ac:dyDescent="0.25">
      <c r="A2899">
        <v>9031</v>
      </c>
      <c r="B2899" t="str">
        <f>"Penflufen"</f>
        <v>Penflufen</v>
      </c>
      <c r="C2899" t="s">
        <v>19016</v>
      </c>
      <c r="D2899" t="str">
        <f>"494793-67-8"</f>
        <v>494793-67-8</v>
      </c>
      <c r="E2899" t="str">
        <f t="shared" si="143"/>
        <v xml:space="preserve">Organische parameters </v>
      </c>
      <c r="F2899" t="str">
        <f t="shared" si="146"/>
        <v xml:space="preserve">Pesticiden en metabolieten </v>
      </c>
      <c r="G2899" t="str">
        <f t="shared" si="147"/>
        <v xml:space="preserve">Pesticiden en humaan toxicologisch relevante metabolieten </v>
      </c>
    </row>
    <row r="2900" spans="1:7" x14ac:dyDescent="0.25">
      <c r="A2900">
        <v>9032</v>
      </c>
      <c r="B2900" t="str">
        <f>"Halauxifen-methyl"</f>
        <v>Halauxifen-methyl</v>
      </c>
      <c r="C2900" t="s">
        <v>19016</v>
      </c>
      <c r="D2900" t="str">
        <f>"943831-98-9"</f>
        <v>943831-98-9</v>
      </c>
      <c r="E2900" t="str">
        <f t="shared" si="143"/>
        <v xml:space="preserve">Organische parameters </v>
      </c>
      <c r="F2900" t="str">
        <f t="shared" si="146"/>
        <v xml:space="preserve">Pesticiden en metabolieten </v>
      </c>
      <c r="G2900" t="str">
        <f t="shared" si="147"/>
        <v xml:space="preserve">Pesticiden en humaan toxicologisch relevante metabolieten </v>
      </c>
    </row>
    <row r="2901" spans="1:7" x14ac:dyDescent="0.25">
      <c r="A2901">
        <v>9033</v>
      </c>
      <c r="B2901" t="str">
        <f>"Flupyradifuron"</f>
        <v>Flupyradifuron</v>
      </c>
      <c r="C2901" t="s">
        <v>19016</v>
      </c>
      <c r="D2901" t="str">
        <f>"951659-40-8"</f>
        <v>951659-40-8</v>
      </c>
      <c r="E2901" t="str">
        <f t="shared" si="143"/>
        <v xml:space="preserve">Organische parameters </v>
      </c>
      <c r="F2901" t="str">
        <f t="shared" si="146"/>
        <v xml:space="preserve">Pesticiden en metabolieten </v>
      </c>
      <c r="G2901" t="str">
        <f t="shared" si="147"/>
        <v xml:space="preserve">Pesticiden en humaan toxicologisch relevante metabolieten </v>
      </c>
    </row>
    <row r="2902" spans="1:7" x14ac:dyDescent="0.25">
      <c r="A2902">
        <v>9034</v>
      </c>
      <c r="B2902" t="str">
        <f>"swep"</f>
        <v>swep</v>
      </c>
      <c r="C2902" t="s">
        <v>19016</v>
      </c>
      <c r="D2902" t="str">
        <f>"1918-18-9"</f>
        <v>1918-18-9</v>
      </c>
      <c r="E2902" t="str">
        <f t="shared" si="143"/>
        <v xml:space="preserve">Organische parameters </v>
      </c>
      <c r="F2902" t="str">
        <f t="shared" si="146"/>
        <v xml:space="preserve">Pesticiden en metabolieten </v>
      </c>
      <c r="G2902" t="str">
        <f t="shared" si="147"/>
        <v xml:space="preserve">Pesticiden en humaan toxicologisch relevante metabolieten </v>
      </c>
    </row>
    <row r="2903" spans="1:7" x14ac:dyDescent="0.25">
      <c r="A2903">
        <v>9035</v>
      </c>
      <c r="B2903" t="str">
        <f>"joodpropynylbutylcarbamaat"</f>
        <v>joodpropynylbutylcarbamaat</v>
      </c>
      <c r="C2903" t="s">
        <v>19016</v>
      </c>
      <c r="D2903" t="str">
        <f>"55406-53-6"</f>
        <v>55406-53-6</v>
      </c>
      <c r="E2903" t="str">
        <f t="shared" si="143"/>
        <v xml:space="preserve">Organische parameters </v>
      </c>
      <c r="F2903" t="str">
        <f t="shared" si="146"/>
        <v xml:space="preserve">Pesticiden en metabolieten </v>
      </c>
      <c r="G2903" t="str">
        <f t="shared" si="147"/>
        <v xml:space="preserve">Pesticiden en humaan toxicologisch relevante metabolieten </v>
      </c>
    </row>
    <row r="2904" spans="1:7" x14ac:dyDescent="0.25">
      <c r="A2904">
        <v>9036</v>
      </c>
      <c r="B2904" t="str">
        <f>"spiromesifen metaboliet M01"</f>
        <v>spiromesifen metaboliet M01</v>
      </c>
      <c r="C2904" t="s">
        <v>19016</v>
      </c>
      <c r="D2904" t="str">
        <f>"148476-30-6"</f>
        <v>148476-30-6</v>
      </c>
      <c r="E2904" t="str">
        <f t="shared" si="143"/>
        <v xml:space="preserve">Organische parameters </v>
      </c>
      <c r="F2904" t="str">
        <f t="shared" si="146"/>
        <v xml:space="preserve">Pesticiden en metabolieten </v>
      </c>
      <c r="G2904" t="str">
        <f t="shared" si="147"/>
        <v xml:space="preserve">Pesticiden en humaan toxicologisch relevante metabolieten </v>
      </c>
    </row>
    <row r="2905" spans="1:7" x14ac:dyDescent="0.25">
      <c r="A2905">
        <v>9037</v>
      </c>
      <c r="B2905" t="str">
        <f>"metalaxyl metaboliet cga 108906"</f>
        <v>metalaxyl metaboliet cga 108906</v>
      </c>
      <c r="C2905" t="s">
        <v>19016</v>
      </c>
      <c r="D2905" t="str">
        <f>"104390-56-9"</f>
        <v>104390-56-9</v>
      </c>
      <c r="E2905" t="str">
        <f t="shared" si="143"/>
        <v xml:space="preserve">Organische parameters </v>
      </c>
      <c r="F2905" t="str">
        <f t="shared" si="146"/>
        <v xml:space="preserve">Pesticiden en metabolieten </v>
      </c>
      <c r="G2905" t="str">
        <f t="shared" si="147"/>
        <v xml:space="preserve">Pesticiden en humaan toxicologisch relevante metabolieten </v>
      </c>
    </row>
    <row r="2906" spans="1:7" x14ac:dyDescent="0.25">
      <c r="A2906">
        <v>9038</v>
      </c>
      <c r="B2906" t="str">
        <f>"metalaxyl metaboliet cga 62826"</f>
        <v>metalaxyl metaboliet cga 62826</v>
      </c>
      <c r="C2906" t="s">
        <v>19016</v>
      </c>
      <c r="D2906" t="str">
        <f>"87764-37-2"</f>
        <v>87764-37-2</v>
      </c>
      <c r="E2906" t="str">
        <f t="shared" si="143"/>
        <v xml:space="preserve">Organische parameters </v>
      </c>
      <c r="F2906" t="str">
        <f t="shared" si="146"/>
        <v xml:space="preserve">Pesticiden en metabolieten </v>
      </c>
      <c r="G2906" t="str">
        <f t="shared" si="147"/>
        <v xml:space="preserve">Pesticiden en humaan toxicologisch relevante metabolieten </v>
      </c>
    </row>
    <row r="2907" spans="1:7" x14ac:dyDescent="0.25">
      <c r="A2907">
        <v>9039</v>
      </c>
      <c r="B2907" t="str">
        <f>"prometon"</f>
        <v>prometon</v>
      </c>
      <c r="C2907" t="s">
        <v>19016</v>
      </c>
      <c r="D2907" t="str">
        <f>"1610-18-0"</f>
        <v>1610-18-0</v>
      </c>
      <c r="E2907" t="str">
        <f t="shared" si="143"/>
        <v xml:space="preserve">Organische parameters </v>
      </c>
      <c r="F2907" t="str">
        <f t="shared" si="146"/>
        <v xml:space="preserve">Pesticiden en metabolieten </v>
      </c>
      <c r="G2907" t="str">
        <f t="shared" si="147"/>
        <v xml:space="preserve">Pesticiden en humaan toxicologisch relevante metabolieten </v>
      </c>
    </row>
    <row r="2908" spans="1:7" x14ac:dyDescent="0.25">
      <c r="A2908">
        <v>9040</v>
      </c>
      <c r="B2908" t="str">
        <f>"dimethachloorsulfonzuur"</f>
        <v>dimethachloorsulfonzuur</v>
      </c>
      <c r="C2908" t="s">
        <v>19016</v>
      </c>
      <c r="D2908" t="str">
        <f>"1231710-75-0"</f>
        <v>1231710-75-0</v>
      </c>
      <c r="E2908" t="str">
        <f t="shared" si="143"/>
        <v xml:space="preserve">Organische parameters </v>
      </c>
      <c r="F2908" t="str">
        <f t="shared" si="146"/>
        <v xml:space="preserve">Pesticiden en metabolieten </v>
      </c>
      <c r="G2908" t="str">
        <f t="shared" si="147"/>
        <v xml:space="preserve">Pesticiden en humaan toxicologisch relevante metabolieten </v>
      </c>
    </row>
    <row r="2909" spans="1:7" x14ac:dyDescent="0.25">
      <c r="A2909">
        <v>9041</v>
      </c>
      <c r="B2909" t="str">
        <f>"dimethachloorzuur"</f>
        <v>dimethachloorzuur</v>
      </c>
      <c r="C2909" t="s">
        <v>19016</v>
      </c>
      <c r="D2909" t="str">
        <f>"1086384-49-7"</f>
        <v>1086384-49-7</v>
      </c>
      <c r="E2909" t="str">
        <f t="shared" si="143"/>
        <v xml:space="preserve">Organische parameters </v>
      </c>
      <c r="F2909" t="str">
        <f t="shared" si="146"/>
        <v xml:space="preserve">Pesticiden en metabolieten </v>
      </c>
      <c r="G2909" t="str">
        <f t="shared" si="147"/>
        <v xml:space="preserve">Pesticiden en humaan toxicologisch relevante metabolieten </v>
      </c>
    </row>
    <row r="2910" spans="1:7" x14ac:dyDescent="0.25">
      <c r="A2910">
        <v>9042</v>
      </c>
      <c r="B2910" t="str">
        <f>"cinidon-ethyl"</f>
        <v>cinidon-ethyl</v>
      </c>
      <c r="C2910" t="s">
        <v>19016</v>
      </c>
      <c r="D2910" t="str">
        <f>"142891-20-1"</f>
        <v>142891-20-1</v>
      </c>
      <c r="E2910" t="str">
        <f t="shared" si="143"/>
        <v xml:space="preserve">Organische parameters </v>
      </c>
      <c r="F2910" t="str">
        <f t="shared" si="146"/>
        <v xml:space="preserve">Pesticiden en metabolieten </v>
      </c>
      <c r="G2910" t="str">
        <f t="shared" si="147"/>
        <v xml:space="preserve">Pesticiden en humaan toxicologisch relevante metabolieten </v>
      </c>
    </row>
    <row r="2911" spans="1:7" x14ac:dyDescent="0.25">
      <c r="A2911">
        <v>9043</v>
      </c>
      <c r="B2911" t="str">
        <f>"milbemectin A4"</f>
        <v>milbemectin A4</v>
      </c>
      <c r="C2911" t="s">
        <v>19016</v>
      </c>
      <c r="D2911" t="str">
        <f>"51596-11-3"</f>
        <v>51596-11-3</v>
      </c>
      <c r="E2911" t="str">
        <f t="shared" si="143"/>
        <v xml:space="preserve">Organische parameters </v>
      </c>
      <c r="F2911" t="str">
        <f t="shared" si="146"/>
        <v xml:space="preserve">Pesticiden en metabolieten </v>
      </c>
      <c r="G2911" t="str">
        <f t="shared" si="147"/>
        <v xml:space="preserve">Pesticiden en humaan toxicologisch relevante metabolieten </v>
      </c>
    </row>
    <row r="2912" spans="1:7" x14ac:dyDescent="0.25">
      <c r="A2912">
        <v>9044</v>
      </c>
      <c r="B2912" t="str">
        <f>"metolachloorsulfonzuur"</f>
        <v>metolachloorsulfonzuur</v>
      </c>
      <c r="C2912" t="s">
        <v>19016</v>
      </c>
      <c r="D2912" t="str">
        <f>"947601-85-6"</f>
        <v>947601-85-6</v>
      </c>
      <c r="E2912" t="str">
        <f t="shared" si="143"/>
        <v xml:space="preserve">Organische parameters </v>
      </c>
      <c r="F2912" t="str">
        <f t="shared" si="146"/>
        <v xml:space="preserve">Pesticiden en metabolieten </v>
      </c>
      <c r="G2912" t="str">
        <f>"Niet humaan toxicologisch relevante metabolieten "</f>
        <v xml:space="preserve">Niet humaan toxicologisch relevante metabolieten </v>
      </c>
    </row>
    <row r="2913" spans="1:7" x14ac:dyDescent="0.25">
      <c r="A2913">
        <v>9045</v>
      </c>
      <c r="B2913" t="str">
        <f>"chloorthalonil metaboliet m5 r611965"</f>
        <v>chloorthalonil metaboliet m5 r611965</v>
      </c>
      <c r="C2913" t="s">
        <v>19016</v>
      </c>
      <c r="D2913" t="str">
        <f>"142733-37-7"</f>
        <v>142733-37-7</v>
      </c>
      <c r="E2913" t="str">
        <f t="shared" si="143"/>
        <v xml:space="preserve">Organische parameters </v>
      </c>
      <c r="F2913" t="str">
        <f t="shared" si="146"/>
        <v xml:space="preserve">Pesticiden en metabolieten </v>
      </c>
      <c r="G2913" t="str">
        <f>"Niet humaan toxicologisch relevante metabolieten "</f>
        <v xml:space="preserve">Niet humaan toxicologisch relevante metabolieten </v>
      </c>
    </row>
    <row r="2914" spans="1:7" x14ac:dyDescent="0.25">
      <c r="A2914">
        <v>9046</v>
      </c>
      <c r="B2914" t="str">
        <f>"chloorthalonilsulfonzuur r417888"</f>
        <v>chloorthalonilsulfonzuur r417888</v>
      </c>
      <c r="C2914" t="s">
        <v>19016</v>
      </c>
      <c r="D2914" t="str">
        <f>"1418095-02-95"</f>
        <v>1418095-02-95</v>
      </c>
      <c r="E2914" t="str">
        <f t="shared" si="143"/>
        <v xml:space="preserve">Organische parameters </v>
      </c>
      <c r="F2914" t="str">
        <f t="shared" si="146"/>
        <v xml:space="preserve">Pesticiden en metabolieten </v>
      </c>
      <c r="G2914" t="str">
        <f>"Niet humaan toxicologisch relevante metabolieten "</f>
        <v xml:space="preserve">Niet humaan toxicologisch relevante metabolieten </v>
      </c>
    </row>
    <row r="2915" spans="1:7" x14ac:dyDescent="0.25">
      <c r="A2915">
        <v>9047</v>
      </c>
      <c r="B2915" t="str">
        <f>"dimethachloor metaboliet cga 36987"</f>
        <v>dimethachloor metaboliet cga 36987</v>
      </c>
      <c r="C2915" t="s">
        <v>19016</v>
      </c>
      <c r="D2915" t="str">
        <f>"1418095-08-5"</f>
        <v>1418095-08-5</v>
      </c>
      <c r="E2915" t="str">
        <f t="shared" si="143"/>
        <v xml:space="preserve">Organische parameters </v>
      </c>
      <c r="F2915" t="str">
        <f t="shared" si="146"/>
        <v xml:space="preserve">Pesticiden en metabolieten </v>
      </c>
      <c r="G2915" t="str">
        <f>"Niet humaan toxicologisch relevante metabolieten "</f>
        <v xml:space="preserve">Niet humaan toxicologisch relevante metabolieten </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4208"/>
  <sheetViews>
    <sheetView topLeftCell="A4154" zoomScale="70" zoomScaleNormal="70" workbookViewId="0">
      <selection activeCell="D6" sqref="D6:E4207"/>
    </sheetView>
  </sheetViews>
  <sheetFormatPr defaultRowHeight="15" x14ac:dyDescent="0.25"/>
  <cols>
    <col min="1" max="1" width="24.7109375" style="2" bestFit="1" customWidth="1"/>
    <col min="2" max="2" width="12.85546875" style="8" bestFit="1" customWidth="1"/>
    <col min="3" max="3" width="17.28515625" style="8" bestFit="1" customWidth="1"/>
    <col min="4" max="4" width="45.42578125" style="2" customWidth="1"/>
    <col min="5" max="5" width="50.42578125" style="7" bestFit="1" customWidth="1"/>
    <col min="6" max="6" width="9.5703125" style="27" bestFit="1" customWidth="1"/>
    <col min="7" max="7" width="21" style="15" customWidth="1"/>
    <col min="8" max="8" width="14.28515625" style="15" customWidth="1"/>
    <col min="9" max="9" width="12.28515625" style="15" customWidth="1"/>
    <col min="10" max="10" width="14" style="15" customWidth="1"/>
    <col min="11" max="11" width="8.85546875" style="15" customWidth="1"/>
    <col min="12" max="12" width="16.140625" style="15" bestFit="1" customWidth="1"/>
  </cols>
  <sheetData>
    <row r="1" spans="1:20" x14ac:dyDescent="0.25">
      <c r="A1" t="s">
        <v>19071</v>
      </c>
      <c r="B1" s="20"/>
      <c r="C1" s="20"/>
      <c r="E1" s="21"/>
    </row>
    <row r="2" spans="1:20" x14ac:dyDescent="0.25">
      <c r="B2" s="20"/>
      <c r="C2" s="20"/>
      <c r="E2" s="21"/>
    </row>
    <row r="3" spans="1:20" s="25" customFormat="1" x14ac:dyDescent="0.25">
      <c r="A3" s="10" t="s">
        <v>19072</v>
      </c>
      <c r="B3" s="11" t="s">
        <v>19073</v>
      </c>
      <c r="C3" s="11" t="s">
        <v>8</v>
      </c>
      <c r="D3" s="10" t="s">
        <v>19074</v>
      </c>
      <c r="E3" s="12" t="s">
        <v>19075</v>
      </c>
      <c r="G3" s="14" t="s">
        <v>19076</v>
      </c>
      <c r="H3" s="14" t="s">
        <v>19077</v>
      </c>
      <c r="I3" s="14" t="s">
        <v>19078</v>
      </c>
      <c r="J3" s="14" t="s">
        <v>19079</v>
      </c>
      <c r="K3" s="14" t="s">
        <v>19080</v>
      </c>
      <c r="L3" s="14" t="s">
        <v>19081</v>
      </c>
      <c r="N3" s="25" t="s">
        <v>19082</v>
      </c>
      <c r="O3" s="25" t="s">
        <v>19083</v>
      </c>
      <c r="P3" s="25" t="s">
        <v>19083</v>
      </c>
      <c r="Q3" s="25" t="s">
        <v>19083</v>
      </c>
      <c r="R3" s="25" t="s">
        <v>19083</v>
      </c>
      <c r="S3" s="25" t="s">
        <v>19083</v>
      </c>
      <c r="T3" s="25" t="s">
        <v>19083</v>
      </c>
    </row>
    <row r="4" spans="1:20" x14ac:dyDescent="0.25">
      <c r="A4" s="2" t="s">
        <v>19084</v>
      </c>
      <c r="C4" s="2"/>
      <c r="E4" s="4"/>
      <c r="G4" s="15" t="s">
        <v>19085</v>
      </c>
      <c r="H4" s="15" t="s">
        <v>19086</v>
      </c>
      <c r="I4" s="15" t="s">
        <v>19087</v>
      </c>
      <c r="J4" s="15" t="s">
        <v>19088</v>
      </c>
      <c r="K4" s="15">
        <v>12512</v>
      </c>
      <c r="L4" s="15" t="s">
        <v>19089</v>
      </c>
    </row>
    <row r="5" spans="1:20" x14ac:dyDescent="0.25">
      <c r="A5" s="2" t="s">
        <v>786</v>
      </c>
      <c r="C5" s="2"/>
      <c r="E5" s="5"/>
      <c r="G5" s="15" t="s">
        <v>19090</v>
      </c>
      <c r="H5" s="15" t="s">
        <v>19091</v>
      </c>
      <c r="I5" s="15" t="s">
        <v>19092</v>
      </c>
      <c r="J5" s="15" t="s">
        <v>19093</v>
      </c>
      <c r="K5" s="15">
        <v>95827</v>
      </c>
      <c r="L5" s="15" t="s">
        <v>19089</v>
      </c>
    </row>
    <row r="6" spans="1:20" x14ac:dyDescent="0.25">
      <c r="A6" s="2" t="s">
        <v>789</v>
      </c>
      <c r="B6" s="8" t="s">
        <v>791</v>
      </c>
      <c r="C6" s="2" t="s">
        <v>789</v>
      </c>
      <c r="D6" s="2" t="s">
        <v>790</v>
      </c>
      <c r="E6" s="4" t="s">
        <v>19094</v>
      </c>
      <c r="G6" s="15" t="s">
        <v>19095</v>
      </c>
      <c r="H6" s="15" t="s">
        <v>19096</v>
      </c>
      <c r="I6" s="15" t="s">
        <v>19097</v>
      </c>
      <c r="J6" s="15" t="s">
        <v>19098</v>
      </c>
      <c r="K6" s="15">
        <v>6338</v>
      </c>
      <c r="L6" s="15" t="s">
        <v>19099</v>
      </c>
    </row>
    <row r="7" spans="1:20" x14ac:dyDescent="0.25">
      <c r="A7" s="2" t="s">
        <v>792</v>
      </c>
      <c r="B7" s="8" t="s">
        <v>17392</v>
      </c>
      <c r="C7" s="2" t="s">
        <v>792</v>
      </c>
      <c r="D7" s="2" t="s">
        <v>793</v>
      </c>
      <c r="E7" s="4" t="s">
        <v>19100</v>
      </c>
      <c r="G7" s="15" t="s">
        <v>19101</v>
      </c>
      <c r="H7" s="15" t="s">
        <v>19102</v>
      </c>
      <c r="I7" s="15" t="s">
        <v>19103</v>
      </c>
      <c r="J7" s="15" t="s">
        <v>19104</v>
      </c>
      <c r="K7" s="15">
        <v>6212</v>
      </c>
      <c r="L7" s="15" t="s">
        <v>19099</v>
      </c>
    </row>
    <row r="8" spans="1:20" x14ac:dyDescent="0.25">
      <c r="A8" s="2" t="s">
        <v>796</v>
      </c>
      <c r="B8" s="8" t="s">
        <v>17485</v>
      </c>
      <c r="C8" s="2" t="s">
        <v>796</v>
      </c>
      <c r="D8" s="2" t="s">
        <v>797</v>
      </c>
      <c r="E8" s="4" t="s">
        <v>19105</v>
      </c>
      <c r="G8" s="15" t="s">
        <v>19105</v>
      </c>
      <c r="H8" s="15" t="s">
        <v>19106</v>
      </c>
      <c r="I8" s="15" t="s">
        <v>19107</v>
      </c>
      <c r="J8" s="15" t="s">
        <v>19108</v>
      </c>
      <c r="K8" s="15">
        <v>1140</v>
      </c>
      <c r="L8" s="15" t="s">
        <v>19099</v>
      </c>
    </row>
    <row r="9" spans="1:20" x14ac:dyDescent="0.25">
      <c r="A9" s="2" t="s">
        <v>799</v>
      </c>
      <c r="B9" s="8" t="s">
        <v>17267</v>
      </c>
      <c r="C9" s="2" t="s">
        <v>799</v>
      </c>
      <c r="D9" s="2" t="s">
        <v>800</v>
      </c>
      <c r="E9" s="4" t="s">
        <v>19109</v>
      </c>
      <c r="G9" s="15" t="s">
        <v>19110</v>
      </c>
      <c r="H9" s="15" t="s">
        <v>19111</v>
      </c>
      <c r="I9" s="15" t="s">
        <v>19112</v>
      </c>
      <c r="J9" s="15" t="s">
        <v>19113</v>
      </c>
      <c r="K9" s="15">
        <v>6720</v>
      </c>
      <c r="L9" s="15" t="s">
        <v>19099</v>
      </c>
    </row>
    <row r="10" spans="1:20" x14ac:dyDescent="0.25">
      <c r="A10" s="2" t="s">
        <v>801</v>
      </c>
      <c r="B10" s="8" t="s">
        <v>18021</v>
      </c>
      <c r="C10" s="2" t="s">
        <v>801</v>
      </c>
      <c r="D10" s="2" t="s">
        <v>802</v>
      </c>
      <c r="E10" s="4" t="s">
        <v>19114</v>
      </c>
      <c r="G10" s="15" t="s">
        <v>19115</v>
      </c>
      <c r="H10" s="15" t="s">
        <v>19116</v>
      </c>
      <c r="I10" s="15" t="s">
        <v>19117</v>
      </c>
      <c r="J10" s="15" t="s">
        <v>19118</v>
      </c>
      <c r="K10" s="15">
        <v>2206</v>
      </c>
      <c r="L10" s="15" t="s">
        <v>19099</v>
      </c>
    </row>
    <row r="11" spans="1:20" x14ac:dyDescent="0.25">
      <c r="A11" s="2" t="s">
        <v>803</v>
      </c>
      <c r="B11" s="8" t="s">
        <v>18399</v>
      </c>
      <c r="C11" s="2" t="s">
        <v>803</v>
      </c>
      <c r="D11" s="2" t="s">
        <v>804</v>
      </c>
      <c r="E11" s="4" t="s">
        <v>19119</v>
      </c>
      <c r="G11" s="15" t="s">
        <v>19120</v>
      </c>
      <c r="H11" s="15" t="s">
        <v>19121</v>
      </c>
      <c r="I11" s="15" t="s">
        <v>19122</v>
      </c>
      <c r="J11" s="15" t="s">
        <v>19123</v>
      </c>
      <c r="K11" s="15">
        <v>17596</v>
      </c>
      <c r="L11" s="15" t="s">
        <v>19099</v>
      </c>
    </row>
    <row r="12" spans="1:20" x14ac:dyDescent="0.25">
      <c r="A12" s="2" t="s">
        <v>807</v>
      </c>
      <c r="B12" s="8" t="s">
        <v>1903</v>
      </c>
      <c r="C12" s="2" t="s">
        <v>806</v>
      </c>
      <c r="D12" s="2" t="s">
        <v>807</v>
      </c>
      <c r="E12" s="4" t="s">
        <v>19124</v>
      </c>
      <c r="G12" s="15" t="s">
        <v>19125</v>
      </c>
      <c r="H12" s="15" t="s">
        <v>19086</v>
      </c>
      <c r="I12" s="15" t="s">
        <v>19087</v>
      </c>
      <c r="J12" s="15" t="s">
        <v>19088</v>
      </c>
      <c r="K12" s="15">
        <v>12512</v>
      </c>
      <c r="L12" s="15" t="s">
        <v>19099</v>
      </c>
    </row>
    <row r="13" spans="1:20" x14ac:dyDescent="0.25">
      <c r="A13" s="2" t="s">
        <v>809</v>
      </c>
      <c r="B13" s="8" t="s">
        <v>16936</v>
      </c>
      <c r="C13" s="2" t="s">
        <v>809</v>
      </c>
      <c r="D13" s="2" t="s">
        <v>810</v>
      </c>
      <c r="E13" s="4" t="s">
        <v>810</v>
      </c>
      <c r="G13" s="15" t="s">
        <v>19126</v>
      </c>
      <c r="H13" s="15" t="s">
        <v>19127</v>
      </c>
      <c r="I13" s="15" t="s">
        <v>19128</v>
      </c>
      <c r="J13" s="15" t="s">
        <v>19129</v>
      </c>
      <c r="K13" s="15">
        <v>7153</v>
      </c>
      <c r="L13" s="15" t="s">
        <v>19099</v>
      </c>
    </row>
    <row r="14" spans="1:20" x14ac:dyDescent="0.25">
      <c r="A14" s="2" t="s">
        <v>19130</v>
      </c>
      <c r="C14" s="2"/>
      <c r="E14" s="4"/>
      <c r="G14" s="15" t="s">
        <v>19131</v>
      </c>
      <c r="H14" s="15" t="s">
        <v>19132</v>
      </c>
      <c r="I14" s="15" t="s">
        <v>19133</v>
      </c>
      <c r="J14" s="15" t="s">
        <v>19134</v>
      </c>
      <c r="K14" s="15">
        <v>1550286</v>
      </c>
      <c r="L14" s="15" t="s">
        <v>19089</v>
      </c>
    </row>
    <row r="15" spans="1:20" x14ac:dyDescent="0.25">
      <c r="A15" s="2" t="s">
        <v>812</v>
      </c>
      <c r="B15" s="8" t="s">
        <v>15524</v>
      </c>
      <c r="C15" s="2" t="s">
        <v>812</v>
      </c>
      <c r="D15" s="2" t="s">
        <v>813</v>
      </c>
      <c r="E15" s="4" t="s">
        <v>813</v>
      </c>
      <c r="G15" s="15" t="s">
        <v>19135</v>
      </c>
      <c r="H15" s="15" t="s">
        <v>19136</v>
      </c>
      <c r="I15" s="15" t="s">
        <v>19137</v>
      </c>
      <c r="J15" s="15" t="s">
        <v>19138</v>
      </c>
      <c r="K15" s="15">
        <v>83852</v>
      </c>
      <c r="L15" s="15" t="s">
        <v>19099</v>
      </c>
    </row>
    <row r="16" spans="1:20" x14ac:dyDescent="0.25">
      <c r="A16" s="2" t="s">
        <v>815</v>
      </c>
      <c r="B16" s="8" t="s">
        <v>817</v>
      </c>
      <c r="C16" s="2" t="s">
        <v>815</v>
      </c>
      <c r="D16" s="2" t="s">
        <v>816</v>
      </c>
      <c r="E16" s="4" t="s">
        <v>19139</v>
      </c>
      <c r="G16" s="15" t="s">
        <v>19139</v>
      </c>
      <c r="H16" s="15" t="s">
        <v>19140</v>
      </c>
      <c r="I16" s="15" t="s">
        <v>19141</v>
      </c>
      <c r="J16" s="15" t="s">
        <v>19142</v>
      </c>
      <c r="K16" s="15">
        <v>12418</v>
      </c>
      <c r="L16" s="15" t="s">
        <v>19099</v>
      </c>
    </row>
    <row r="17" spans="1:12" x14ac:dyDescent="0.25">
      <c r="A17" s="2" t="s">
        <v>818</v>
      </c>
      <c r="B17" s="8" t="s">
        <v>15526</v>
      </c>
      <c r="C17" s="2" t="s">
        <v>818</v>
      </c>
      <c r="D17" s="2" t="s">
        <v>819</v>
      </c>
      <c r="E17" s="4" t="s">
        <v>19143</v>
      </c>
      <c r="G17" s="15" t="s">
        <v>19143</v>
      </c>
      <c r="H17" s="15" t="s">
        <v>19144</v>
      </c>
      <c r="I17" s="15" t="s">
        <v>19145</v>
      </c>
      <c r="J17" s="15" t="s">
        <v>19146</v>
      </c>
      <c r="K17" s="15">
        <v>6278</v>
      </c>
      <c r="L17" s="15" t="s">
        <v>19099</v>
      </c>
    </row>
    <row r="18" spans="1:12" x14ac:dyDescent="0.25">
      <c r="A18" s="2" t="s">
        <v>821</v>
      </c>
      <c r="B18" s="8" t="s">
        <v>15527</v>
      </c>
      <c r="C18" s="2" t="s">
        <v>821</v>
      </c>
      <c r="D18" s="2" t="s">
        <v>822</v>
      </c>
      <c r="E18" s="4" t="s">
        <v>19147</v>
      </c>
      <c r="G18" s="15" t="s">
        <v>19148</v>
      </c>
      <c r="H18" s="15" t="s">
        <v>19149</v>
      </c>
      <c r="I18" s="15" t="s">
        <v>19150</v>
      </c>
      <c r="J18" s="15" t="s">
        <v>19151</v>
      </c>
      <c r="K18" s="15">
        <v>7367</v>
      </c>
      <c r="L18" s="15" t="s">
        <v>19099</v>
      </c>
    </row>
    <row r="19" spans="1:12" x14ac:dyDescent="0.25">
      <c r="A19" s="2" t="s">
        <v>824</v>
      </c>
      <c r="B19" s="8" t="s">
        <v>15528</v>
      </c>
      <c r="C19" s="2" t="s">
        <v>824</v>
      </c>
      <c r="D19" s="2" t="s">
        <v>825</v>
      </c>
      <c r="E19" s="4" t="s">
        <v>19152</v>
      </c>
      <c r="G19" s="15" t="s">
        <v>19153</v>
      </c>
      <c r="H19" s="15" t="s">
        <v>19154</v>
      </c>
      <c r="I19" s="15" t="s">
        <v>19155</v>
      </c>
      <c r="J19" s="15" t="s">
        <v>19142</v>
      </c>
      <c r="K19" s="15">
        <v>6591</v>
      </c>
      <c r="L19" s="15" t="s">
        <v>19099</v>
      </c>
    </row>
    <row r="20" spans="1:12" x14ac:dyDescent="0.25">
      <c r="A20" s="2" t="s">
        <v>827</v>
      </c>
      <c r="B20" s="8" t="s">
        <v>15529</v>
      </c>
      <c r="C20" s="2" t="s">
        <v>827</v>
      </c>
      <c r="D20" s="2" t="s">
        <v>828</v>
      </c>
      <c r="E20" s="4" t="s">
        <v>19156</v>
      </c>
      <c r="G20" s="15" t="s">
        <v>19156</v>
      </c>
      <c r="H20" s="15" t="s">
        <v>19157</v>
      </c>
      <c r="I20" s="15" t="s">
        <v>19158</v>
      </c>
      <c r="J20" s="15" t="s">
        <v>19146</v>
      </c>
      <c r="K20" s="15">
        <v>6574</v>
      </c>
      <c r="L20" s="15" t="s">
        <v>19099</v>
      </c>
    </row>
    <row r="21" spans="1:12" x14ac:dyDescent="0.25">
      <c r="A21" s="2" t="s">
        <v>830</v>
      </c>
      <c r="B21" s="8" t="s">
        <v>15530</v>
      </c>
      <c r="C21" s="2" t="s">
        <v>830</v>
      </c>
      <c r="D21" s="2" t="s">
        <v>831</v>
      </c>
      <c r="E21" s="4" t="s">
        <v>19159</v>
      </c>
      <c r="G21" s="15" t="s">
        <v>19159</v>
      </c>
      <c r="H21" s="15" t="s">
        <v>19160</v>
      </c>
      <c r="I21" s="15" t="s">
        <v>19161</v>
      </c>
      <c r="J21" s="15" t="s">
        <v>19162</v>
      </c>
      <c r="K21" s="15">
        <v>11733</v>
      </c>
      <c r="L21" s="15" t="s">
        <v>19099</v>
      </c>
    </row>
    <row r="22" spans="1:12" x14ac:dyDescent="0.25">
      <c r="A22" s="2" t="s">
        <v>833</v>
      </c>
      <c r="B22" s="8" t="s">
        <v>15531</v>
      </c>
      <c r="C22" s="2" t="s">
        <v>833</v>
      </c>
      <c r="D22" s="2" t="s">
        <v>834</v>
      </c>
      <c r="E22" s="4" t="s">
        <v>19163</v>
      </c>
      <c r="G22" s="15" t="s">
        <v>19164</v>
      </c>
      <c r="H22" s="15" t="s">
        <v>19165</v>
      </c>
      <c r="I22" s="15" t="s">
        <v>19166</v>
      </c>
      <c r="J22" s="15" t="s">
        <v>19167</v>
      </c>
      <c r="K22" s="15">
        <v>15099039</v>
      </c>
      <c r="L22" s="15" t="s">
        <v>19099</v>
      </c>
    </row>
    <row r="23" spans="1:12" x14ac:dyDescent="0.25">
      <c r="A23" s="2" t="s">
        <v>836</v>
      </c>
      <c r="B23" s="8" t="s">
        <v>15532</v>
      </c>
      <c r="C23" s="2" t="s">
        <v>836</v>
      </c>
      <c r="D23" s="2" t="s">
        <v>837</v>
      </c>
      <c r="E23" s="4" t="s">
        <v>19168</v>
      </c>
      <c r="G23" s="15" t="s">
        <v>19168</v>
      </c>
      <c r="H23" s="15" t="s">
        <v>19169</v>
      </c>
      <c r="I23" s="15" t="s">
        <v>19170</v>
      </c>
      <c r="J23" s="15" t="s">
        <v>19171</v>
      </c>
      <c r="K23" s="15">
        <v>11201</v>
      </c>
      <c r="L23" s="15" t="s">
        <v>19099</v>
      </c>
    </row>
    <row r="24" spans="1:12" x14ac:dyDescent="0.25">
      <c r="A24" s="2" t="s">
        <v>839</v>
      </c>
      <c r="B24" s="8" t="s">
        <v>15533</v>
      </c>
      <c r="C24" s="2" t="s">
        <v>839</v>
      </c>
      <c r="D24" s="2" t="s">
        <v>840</v>
      </c>
      <c r="E24" s="4" t="s">
        <v>19172</v>
      </c>
      <c r="G24" s="15" t="s">
        <v>19173</v>
      </c>
      <c r="H24" s="15" t="s">
        <v>19174</v>
      </c>
      <c r="I24" s="15" t="s">
        <v>19175</v>
      </c>
      <c r="J24" s="15" t="s">
        <v>19176</v>
      </c>
      <c r="K24" s="15">
        <v>40919</v>
      </c>
      <c r="L24" s="15" t="s">
        <v>19099</v>
      </c>
    </row>
    <row r="25" spans="1:12" x14ac:dyDescent="0.25">
      <c r="A25" s="2" t="s">
        <v>842</v>
      </c>
      <c r="B25" s="8" t="s">
        <v>15534</v>
      </c>
      <c r="C25" s="2" t="s">
        <v>842</v>
      </c>
      <c r="D25" s="2" t="s">
        <v>843</v>
      </c>
      <c r="E25" s="4" t="s">
        <v>843</v>
      </c>
      <c r="G25" s="15" t="s">
        <v>843</v>
      </c>
      <c r="H25" s="15" t="s">
        <v>19177</v>
      </c>
      <c r="I25" s="15" t="s">
        <v>19178</v>
      </c>
      <c r="J25" s="15" t="s">
        <v>19179</v>
      </c>
      <c r="K25" s="15">
        <v>5976</v>
      </c>
      <c r="L25" s="15" t="s">
        <v>19099</v>
      </c>
    </row>
    <row r="26" spans="1:12" x14ac:dyDescent="0.25">
      <c r="A26" s="2" t="s">
        <v>845</v>
      </c>
      <c r="B26" s="8" t="s">
        <v>15535</v>
      </c>
      <c r="C26" s="2" t="s">
        <v>845</v>
      </c>
      <c r="D26" s="2" t="s">
        <v>846</v>
      </c>
      <c r="E26" s="4" t="s">
        <v>19180</v>
      </c>
      <c r="G26" s="15" t="s">
        <v>19180</v>
      </c>
      <c r="H26" s="15" t="s">
        <v>19181</v>
      </c>
      <c r="I26" s="15" t="s">
        <v>19182</v>
      </c>
      <c r="J26" s="15" t="s">
        <v>19183</v>
      </c>
      <c r="K26" s="15">
        <v>6365</v>
      </c>
      <c r="L26" s="15" t="s">
        <v>19099</v>
      </c>
    </row>
    <row r="27" spans="1:12" x14ac:dyDescent="0.25">
      <c r="A27" s="2" t="s">
        <v>848</v>
      </c>
      <c r="B27" s="8" t="s">
        <v>15536</v>
      </c>
      <c r="C27" s="2" t="s">
        <v>848</v>
      </c>
      <c r="D27" s="2" t="s">
        <v>849</v>
      </c>
      <c r="E27" s="4" t="s">
        <v>19184</v>
      </c>
      <c r="G27" s="15" t="s">
        <v>19185</v>
      </c>
      <c r="H27" s="15" t="s">
        <v>19186</v>
      </c>
      <c r="I27" s="15" t="s">
        <v>19187</v>
      </c>
      <c r="J27" s="15" t="s">
        <v>19188</v>
      </c>
      <c r="K27" s="15">
        <v>6366</v>
      </c>
      <c r="L27" s="15" t="s">
        <v>19099</v>
      </c>
    </row>
    <row r="28" spans="1:12" x14ac:dyDescent="0.25">
      <c r="A28" s="2" t="s">
        <v>851</v>
      </c>
      <c r="B28" s="8" t="s">
        <v>15537</v>
      </c>
      <c r="C28" s="2" t="s">
        <v>851</v>
      </c>
      <c r="D28" s="2" t="s">
        <v>852</v>
      </c>
      <c r="E28" s="4" t="s">
        <v>19189</v>
      </c>
      <c r="G28" s="15" t="s">
        <v>19189</v>
      </c>
      <c r="H28" s="15" t="s">
        <v>19190</v>
      </c>
      <c r="I28" s="15" t="s">
        <v>19191</v>
      </c>
      <c r="J28" s="15" t="s">
        <v>19192</v>
      </c>
      <c r="K28" s="15">
        <v>6573</v>
      </c>
      <c r="L28" s="15" t="s">
        <v>19099</v>
      </c>
    </row>
    <row r="29" spans="1:12" x14ac:dyDescent="0.25">
      <c r="A29" s="2" t="s">
        <v>854</v>
      </c>
      <c r="B29" s="8" t="s">
        <v>15538</v>
      </c>
      <c r="C29" s="2" t="s">
        <v>854</v>
      </c>
      <c r="D29" s="2" t="s">
        <v>855</v>
      </c>
      <c r="E29" s="4" t="s">
        <v>19193</v>
      </c>
      <c r="G29" s="15" t="s">
        <v>19194</v>
      </c>
      <c r="H29" s="15" t="s">
        <v>19195</v>
      </c>
      <c r="I29" s="15" t="s">
        <v>19196</v>
      </c>
      <c r="J29" s="15" t="s">
        <v>19197</v>
      </c>
      <c r="K29" s="15">
        <v>11245</v>
      </c>
      <c r="L29" s="15" t="s">
        <v>19099</v>
      </c>
    </row>
    <row r="30" spans="1:12" x14ac:dyDescent="0.25">
      <c r="A30" s="2" t="s">
        <v>857</v>
      </c>
      <c r="B30" s="8" t="s">
        <v>15539</v>
      </c>
      <c r="C30" s="2" t="s">
        <v>857</v>
      </c>
      <c r="D30" s="2" t="s">
        <v>858</v>
      </c>
      <c r="E30" s="4" t="s">
        <v>858</v>
      </c>
      <c r="G30" s="15" t="s">
        <v>19198</v>
      </c>
      <c r="H30" s="15" t="s">
        <v>19199</v>
      </c>
      <c r="I30" s="15" t="s">
        <v>19200</v>
      </c>
      <c r="J30" s="15" t="s">
        <v>19201</v>
      </c>
      <c r="K30" s="15">
        <v>108207</v>
      </c>
      <c r="L30" s="15" t="s">
        <v>19099</v>
      </c>
    </row>
    <row r="31" spans="1:12" x14ac:dyDescent="0.25">
      <c r="A31" s="2" t="s">
        <v>860</v>
      </c>
      <c r="B31" s="8" t="s">
        <v>15540</v>
      </c>
      <c r="C31" s="2" t="s">
        <v>860</v>
      </c>
      <c r="D31" s="2" t="s">
        <v>861</v>
      </c>
      <c r="E31" s="4" t="s">
        <v>19202</v>
      </c>
      <c r="G31" s="15" t="s">
        <v>19202</v>
      </c>
      <c r="H31" s="15" t="s">
        <v>19203</v>
      </c>
      <c r="I31" s="15" t="s">
        <v>19204</v>
      </c>
      <c r="J31" s="15" t="s">
        <v>19162</v>
      </c>
      <c r="K31" s="15">
        <v>18505</v>
      </c>
      <c r="L31" s="15" t="s">
        <v>19099</v>
      </c>
    </row>
    <row r="32" spans="1:12" x14ac:dyDescent="0.25">
      <c r="A32" s="2" t="s">
        <v>863</v>
      </c>
      <c r="B32" s="8" t="s">
        <v>15541</v>
      </c>
      <c r="C32" s="2" t="s">
        <v>863</v>
      </c>
      <c r="D32" s="2" t="s">
        <v>864</v>
      </c>
      <c r="E32" s="4" t="s">
        <v>19205</v>
      </c>
      <c r="G32" s="15" t="s">
        <v>19206</v>
      </c>
      <c r="H32" s="15" t="s">
        <v>19207</v>
      </c>
      <c r="I32" s="15" t="s">
        <v>19208</v>
      </c>
      <c r="J32" s="15" t="s">
        <v>19209</v>
      </c>
      <c r="K32" s="15">
        <v>87012</v>
      </c>
      <c r="L32" s="15" t="s">
        <v>19099</v>
      </c>
    </row>
    <row r="33" spans="1:12" x14ac:dyDescent="0.25">
      <c r="A33" s="2" t="s">
        <v>866</v>
      </c>
      <c r="B33" s="8" t="s">
        <v>15542</v>
      </c>
      <c r="C33" s="2" t="s">
        <v>866</v>
      </c>
      <c r="D33" s="2" t="s">
        <v>867</v>
      </c>
      <c r="E33" s="4" t="s">
        <v>19210</v>
      </c>
      <c r="G33" s="15" t="s">
        <v>19211</v>
      </c>
      <c r="H33" s="15" t="s">
        <v>19212</v>
      </c>
      <c r="I33" s="15" t="s">
        <v>19213</v>
      </c>
      <c r="J33" s="15" t="s">
        <v>19214</v>
      </c>
      <c r="K33" s="15">
        <v>98482</v>
      </c>
      <c r="L33" s="15" t="s">
        <v>19099</v>
      </c>
    </row>
    <row r="34" spans="1:12" x14ac:dyDescent="0.25">
      <c r="A34" s="2" t="s">
        <v>869</v>
      </c>
      <c r="B34" s="8" t="s">
        <v>15543</v>
      </c>
      <c r="C34" s="2" t="s">
        <v>869</v>
      </c>
      <c r="D34" s="2" t="s">
        <v>870</v>
      </c>
      <c r="E34" s="4" t="s">
        <v>19215</v>
      </c>
      <c r="G34" s="15" t="s">
        <v>19216</v>
      </c>
      <c r="H34" s="15" t="s">
        <v>19217</v>
      </c>
      <c r="I34" s="15" t="s">
        <v>19218</v>
      </c>
      <c r="J34" s="15" t="s">
        <v>19219</v>
      </c>
      <c r="K34" s="15">
        <v>10263</v>
      </c>
      <c r="L34" s="15" t="s">
        <v>19099</v>
      </c>
    </row>
    <row r="35" spans="1:12" x14ac:dyDescent="0.25">
      <c r="A35" s="2" t="s">
        <v>872</v>
      </c>
      <c r="B35" s="8" t="s">
        <v>15544</v>
      </c>
      <c r="C35" s="2" t="s">
        <v>872</v>
      </c>
      <c r="D35" s="2" t="s">
        <v>873</v>
      </c>
      <c r="E35" s="4" t="s">
        <v>19220</v>
      </c>
      <c r="G35" s="15" t="s">
        <v>19221</v>
      </c>
      <c r="H35" s="15" t="s">
        <v>19222</v>
      </c>
      <c r="I35" s="15" t="s">
        <v>19223</v>
      </c>
      <c r="J35" s="15" t="s">
        <v>19224</v>
      </c>
      <c r="K35" s="15">
        <v>12463</v>
      </c>
      <c r="L35" s="15" t="s">
        <v>19099</v>
      </c>
    </row>
    <row r="36" spans="1:12" x14ac:dyDescent="0.25">
      <c r="A36" s="2" t="s">
        <v>875</v>
      </c>
      <c r="B36" s="8" t="s">
        <v>15545</v>
      </c>
      <c r="C36" s="2" t="s">
        <v>875</v>
      </c>
      <c r="D36" s="2" t="s">
        <v>876</v>
      </c>
      <c r="E36" s="4" t="s">
        <v>19225</v>
      </c>
      <c r="G36" s="15" t="s">
        <v>19226</v>
      </c>
      <c r="H36" s="15" t="s">
        <v>19227</v>
      </c>
      <c r="I36" s="15" t="s">
        <v>19228</v>
      </c>
      <c r="J36" s="15" t="s">
        <v>19229</v>
      </c>
      <c r="K36" s="15">
        <v>8404</v>
      </c>
      <c r="L36" s="15" t="s">
        <v>19099</v>
      </c>
    </row>
    <row r="37" spans="1:12" x14ac:dyDescent="0.25">
      <c r="A37" s="2" t="s">
        <v>878</v>
      </c>
      <c r="B37" s="8" t="s">
        <v>15546</v>
      </c>
      <c r="C37" s="2" t="s">
        <v>878</v>
      </c>
      <c r="D37" s="2" t="s">
        <v>879</v>
      </c>
      <c r="E37" s="4" t="s">
        <v>19230</v>
      </c>
      <c r="G37" s="15" t="s">
        <v>19230</v>
      </c>
      <c r="H37" s="15" t="s">
        <v>19231</v>
      </c>
      <c r="I37" s="15" t="s">
        <v>19232</v>
      </c>
      <c r="J37" s="15" t="s">
        <v>19219</v>
      </c>
      <c r="K37" s="15">
        <v>10695</v>
      </c>
      <c r="L37" s="15" t="s">
        <v>19099</v>
      </c>
    </row>
    <row r="38" spans="1:12" x14ac:dyDescent="0.25">
      <c r="A38" s="2" t="s">
        <v>881</v>
      </c>
      <c r="B38" s="8" t="s">
        <v>15547</v>
      </c>
      <c r="C38" s="2" t="s">
        <v>881</v>
      </c>
      <c r="D38" s="2" t="s">
        <v>882</v>
      </c>
      <c r="E38" s="4" t="s">
        <v>19233</v>
      </c>
      <c r="G38" s="15" t="s">
        <v>19234</v>
      </c>
      <c r="H38" s="15" t="s">
        <v>19235</v>
      </c>
      <c r="I38" s="15" t="s">
        <v>19236</v>
      </c>
      <c r="J38" s="15" t="s">
        <v>19237</v>
      </c>
      <c r="K38" s="15">
        <v>70139</v>
      </c>
      <c r="L38" s="15" t="s">
        <v>19099</v>
      </c>
    </row>
    <row r="39" spans="1:12" x14ac:dyDescent="0.25">
      <c r="A39" s="2" t="s">
        <v>884</v>
      </c>
      <c r="B39" s="8" t="s">
        <v>15548</v>
      </c>
      <c r="C39" s="2" t="s">
        <v>884</v>
      </c>
      <c r="D39" s="2" t="s">
        <v>885</v>
      </c>
      <c r="E39" s="4" t="s">
        <v>19238</v>
      </c>
      <c r="G39" s="15" t="s">
        <v>19239</v>
      </c>
      <c r="H39" s="15" t="s">
        <v>19240</v>
      </c>
      <c r="I39" s="15" t="s">
        <v>19241</v>
      </c>
      <c r="J39" s="15" t="s">
        <v>19224</v>
      </c>
      <c r="K39" s="15">
        <v>12468</v>
      </c>
      <c r="L39" s="15" t="s">
        <v>19099</v>
      </c>
    </row>
    <row r="40" spans="1:12" x14ac:dyDescent="0.25">
      <c r="A40" s="2" t="s">
        <v>887</v>
      </c>
      <c r="B40" s="8" t="s">
        <v>15549</v>
      </c>
      <c r="C40" s="2" t="s">
        <v>887</v>
      </c>
      <c r="D40" s="2" t="s">
        <v>888</v>
      </c>
      <c r="E40" s="4" t="s">
        <v>19242</v>
      </c>
      <c r="G40" s="15" t="s">
        <v>19242</v>
      </c>
      <c r="H40" s="15" t="s">
        <v>19243</v>
      </c>
      <c r="I40" s="15" t="s">
        <v>19244</v>
      </c>
      <c r="J40" s="15" t="s">
        <v>19245</v>
      </c>
      <c r="K40" s="15">
        <v>10686</v>
      </c>
      <c r="L40" s="15" t="s">
        <v>19099</v>
      </c>
    </row>
    <row r="41" spans="1:12" x14ac:dyDescent="0.25">
      <c r="A41" s="2" t="s">
        <v>890</v>
      </c>
      <c r="B41" s="8" t="s">
        <v>15550</v>
      </c>
      <c r="C41" s="2" t="s">
        <v>890</v>
      </c>
      <c r="D41" s="2" t="s">
        <v>891</v>
      </c>
      <c r="E41" s="4" t="s">
        <v>19246</v>
      </c>
      <c r="G41" s="15" t="s">
        <v>19246</v>
      </c>
      <c r="H41" s="15" t="s">
        <v>19247</v>
      </c>
      <c r="I41" s="15" t="s">
        <v>19248</v>
      </c>
      <c r="J41" s="15" t="s">
        <v>19249</v>
      </c>
      <c r="K41" s="15">
        <v>6895</v>
      </c>
      <c r="L41" s="15" t="s">
        <v>19099</v>
      </c>
    </row>
    <row r="42" spans="1:12" x14ac:dyDescent="0.25">
      <c r="A42" s="2" t="s">
        <v>893</v>
      </c>
      <c r="B42" s="8" t="s">
        <v>15551</v>
      </c>
      <c r="C42" s="2" t="s">
        <v>893</v>
      </c>
      <c r="D42" s="2" t="s">
        <v>894</v>
      </c>
      <c r="E42" s="4" t="s">
        <v>19250</v>
      </c>
      <c r="G42" s="15" t="s">
        <v>19250</v>
      </c>
      <c r="H42" s="15" t="s">
        <v>19251</v>
      </c>
      <c r="I42" s="15" t="s">
        <v>19252</v>
      </c>
      <c r="J42" s="15" t="s">
        <v>19162</v>
      </c>
      <c r="K42" s="15">
        <v>7285</v>
      </c>
      <c r="L42" s="15" t="s">
        <v>19099</v>
      </c>
    </row>
    <row r="43" spans="1:12" x14ac:dyDescent="0.25">
      <c r="A43" s="2" t="s">
        <v>896</v>
      </c>
      <c r="B43" s="8" t="s">
        <v>15552</v>
      </c>
      <c r="C43" s="2" t="s">
        <v>896</v>
      </c>
      <c r="D43" s="2" t="s">
        <v>897</v>
      </c>
      <c r="E43" s="4" t="s">
        <v>19253</v>
      </c>
      <c r="G43" s="15" t="s">
        <v>19254</v>
      </c>
      <c r="H43" s="15" t="s">
        <v>19255</v>
      </c>
      <c r="I43" s="15" t="s">
        <v>19256</v>
      </c>
      <c r="J43" s="15" t="s">
        <v>19257</v>
      </c>
      <c r="K43" s="15">
        <v>5370144</v>
      </c>
      <c r="L43" s="15" t="s">
        <v>19099</v>
      </c>
    </row>
    <row r="44" spans="1:12" x14ac:dyDescent="0.25">
      <c r="A44" s="2" t="s">
        <v>899</v>
      </c>
      <c r="B44" s="8" t="s">
        <v>15553</v>
      </c>
      <c r="C44" s="2" t="s">
        <v>899</v>
      </c>
      <c r="D44" s="2" t="s">
        <v>900</v>
      </c>
      <c r="E44" s="4" t="s">
        <v>19258</v>
      </c>
      <c r="G44" s="15" t="s">
        <v>19259</v>
      </c>
      <c r="H44" s="15" t="s">
        <v>19260</v>
      </c>
      <c r="I44" s="15" t="s">
        <v>19261</v>
      </c>
      <c r="J44" s="15" t="s">
        <v>19262</v>
      </c>
      <c r="K44" s="15">
        <v>7220</v>
      </c>
      <c r="L44" s="15" t="s">
        <v>19099</v>
      </c>
    </row>
    <row r="45" spans="1:12" x14ac:dyDescent="0.25">
      <c r="A45" s="2" t="s">
        <v>902</v>
      </c>
      <c r="B45" s="8" t="s">
        <v>15554</v>
      </c>
      <c r="C45" s="2" t="s">
        <v>902</v>
      </c>
      <c r="D45" s="2" t="s">
        <v>903</v>
      </c>
      <c r="E45" s="4" t="s">
        <v>19263</v>
      </c>
      <c r="G45" s="15" t="s">
        <v>19263</v>
      </c>
      <c r="H45" s="15" t="s">
        <v>19264</v>
      </c>
      <c r="I45" s="15" t="s">
        <v>19265</v>
      </c>
      <c r="J45" s="15" t="s">
        <v>19219</v>
      </c>
      <c r="K45" s="15">
        <v>7269</v>
      </c>
      <c r="L45" s="15" t="s">
        <v>19099</v>
      </c>
    </row>
    <row r="46" spans="1:12" x14ac:dyDescent="0.25">
      <c r="A46" s="2" t="s">
        <v>905</v>
      </c>
      <c r="B46" s="8" t="s">
        <v>15555</v>
      </c>
      <c r="C46" s="2" t="s">
        <v>905</v>
      </c>
      <c r="D46" s="2" t="s">
        <v>906</v>
      </c>
      <c r="E46" s="4" t="s">
        <v>19266</v>
      </c>
      <c r="G46" s="15" t="s">
        <v>19267</v>
      </c>
      <c r="H46" s="15" t="s">
        <v>19268</v>
      </c>
      <c r="I46" s="15" t="s">
        <v>19269</v>
      </c>
      <c r="J46" s="15" t="s">
        <v>19224</v>
      </c>
      <c r="K46" s="15">
        <v>7270</v>
      </c>
      <c r="L46" s="15" t="s">
        <v>19099</v>
      </c>
    </row>
    <row r="47" spans="1:12" x14ac:dyDescent="0.25">
      <c r="A47" s="2" t="s">
        <v>908</v>
      </c>
      <c r="B47" s="8" t="s">
        <v>15556</v>
      </c>
      <c r="C47" s="2" t="s">
        <v>908</v>
      </c>
      <c r="D47" s="2" t="s">
        <v>909</v>
      </c>
      <c r="E47" s="4" t="s">
        <v>19270</v>
      </c>
      <c r="G47" s="15" t="s">
        <v>19270</v>
      </c>
      <c r="H47" s="15" t="s">
        <v>19271</v>
      </c>
      <c r="I47" s="15" t="s">
        <v>19272</v>
      </c>
      <c r="J47" s="15" t="s">
        <v>19245</v>
      </c>
      <c r="K47" s="15">
        <v>7247</v>
      </c>
      <c r="L47" s="15" t="s">
        <v>19099</v>
      </c>
    </row>
    <row r="48" spans="1:12" x14ac:dyDescent="0.25">
      <c r="A48" s="2" t="s">
        <v>911</v>
      </c>
      <c r="B48" s="8" t="s">
        <v>15557</v>
      </c>
      <c r="C48" s="2" t="s">
        <v>911</v>
      </c>
      <c r="D48" s="2" t="s">
        <v>912</v>
      </c>
      <c r="E48" s="4" t="s">
        <v>19273</v>
      </c>
      <c r="G48" s="15" t="s">
        <v>19273</v>
      </c>
      <c r="H48" s="15" t="s">
        <v>19274</v>
      </c>
      <c r="I48" s="15" t="s">
        <v>19275</v>
      </c>
      <c r="J48" s="15" t="s">
        <v>19249</v>
      </c>
      <c r="K48" s="15">
        <v>13</v>
      </c>
      <c r="L48" s="15" t="s">
        <v>19099</v>
      </c>
    </row>
    <row r="49" spans="1:12" x14ac:dyDescent="0.25">
      <c r="A49" s="2" t="s">
        <v>914</v>
      </c>
      <c r="B49" s="8" t="s">
        <v>15558</v>
      </c>
      <c r="C49" s="2" t="s">
        <v>914</v>
      </c>
      <c r="D49" s="2" t="s">
        <v>915</v>
      </c>
      <c r="E49" s="4" t="s">
        <v>19276</v>
      </c>
      <c r="G49" s="15" t="s">
        <v>19277</v>
      </c>
      <c r="H49" s="15" t="s">
        <v>19278</v>
      </c>
      <c r="I49" s="15" t="s">
        <v>19279</v>
      </c>
      <c r="J49" s="15" t="s">
        <v>19280</v>
      </c>
      <c r="K49" s="15">
        <v>11990</v>
      </c>
      <c r="L49" s="15" t="s">
        <v>19099</v>
      </c>
    </row>
    <row r="50" spans="1:12" x14ac:dyDescent="0.25">
      <c r="A50" s="2" t="s">
        <v>917</v>
      </c>
      <c r="B50" s="8" t="s">
        <v>15559</v>
      </c>
      <c r="C50" s="2" t="s">
        <v>917</v>
      </c>
      <c r="D50" s="2" t="s">
        <v>918</v>
      </c>
      <c r="E50" s="4" t="s">
        <v>19281</v>
      </c>
      <c r="G50" s="15" t="s">
        <v>19282</v>
      </c>
      <c r="H50" s="15" t="s">
        <v>19283</v>
      </c>
      <c r="I50" s="15" t="s">
        <v>19284</v>
      </c>
      <c r="J50" s="15" t="s">
        <v>19285</v>
      </c>
      <c r="K50" s="15">
        <v>1030</v>
      </c>
      <c r="L50" s="15" t="s">
        <v>19099</v>
      </c>
    </row>
    <row r="51" spans="1:12" x14ac:dyDescent="0.25">
      <c r="A51" s="2" t="s">
        <v>920</v>
      </c>
      <c r="B51" s="8" t="s">
        <v>15560</v>
      </c>
      <c r="C51" s="2" t="s">
        <v>920</v>
      </c>
      <c r="D51" s="2" t="s">
        <v>921</v>
      </c>
      <c r="E51" s="4" t="s">
        <v>19286</v>
      </c>
      <c r="G51" s="15" t="s">
        <v>19287</v>
      </c>
      <c r="H51" s="15" t="s">
        <v>19288</v>
      </c>
      <c r="I51" s="15" t="s">
        <v>19289</v>
      </c>
      <c r="J51" s="15" t="s">
        <v>19290</v>
      </c>
      <c r="K51" s="15">
        <v>41088</v>
      </c>
      <c r="L51" s="15" t="s">
        <v>19099</v>
      </c>
    </row>
    <row r="52" spans="1:12" x14ac:dyDescent="0.25">
      <c r="A52" s="2" t="s">
        <v>923</v>
      </c>
      <c r="B52" s="8" t="s">
        <v>15561</v>
      </c>
      <c r="C52" s="2" t="s">
        <v>923</v>
      </c>
      <c r="D52" s="2" t="s">
        <v>924</v>
      </c>
      <c r="E52" s="4" t="s">
        <v>19291</v>
      </c>
      <c r="G52" s="15" t="s">
        <v>19292</v>
      </c>
      <c r="H52" s="15" t="s">
        <v>19293</v>
      </c>
      <c r="I52" s="15" t="s">
        <v>19294</v>
      </c>
      <c r="J52" s="15" t="s">
        <v>19295</v>
      </c>
      <c r="K52" s="15">
        <v>7834</v>
      </c>
      <c r="L52" s="15" t="s">
        <v>19099</v>
      </c>
    </row>
    <row r="53" spans="1:12" x14ac:dyDescent="0.25">
      <c r="A53" s="2" t="s">
        <v>926</v>
      </c>
      <c r="B53" s="8" t="s">
        <v>15562</v>
      </c>
      <c r="C53" s="2" t="s">
        <v>926</v>
      </c>
      <c r="D53" s="2" t="s">
        <v>927</v>
      </c>
      <c r="E53" s="4" t="s">
        <v>19296</v>
      </c>
      <c r="G53" s="15" t="s">
        <v>19297</v>
      </c>
      <c r="H53" s="15" t="s">
        <v>19298</v>
      </c>
      <c r="I53" s="15" t="s">
        <v>19299</v>
      </c>
      <c r="J53" s="15" t="s">
        <v>19300</v>
      </c>
      <c r="K53" s="15">
        <v>7243</v>
      </c>
      <c r="L53" s="15" t="s">
        <v>19099</v>
      </c>
    </row>
    <row r="54" spans="1:12" x14ac:dyDescent="0.25">
      <c r="A54" s="2" t="s">
        <v>929</v>
      </c>
      <c r="B54" s="8" t="s">
        <v>15563</v>
      </c>
      <c r="C54" s="2" t="s">
        <v>929</v>
      </c>
      <c r="D54" s="2" t="s">
        <v>930</v>
      </c>
      <c r="E54" s="4" t="s">
        <v>19301</v>
      </c>
      <c r="G54" s="15" t="s">
        <v>19302</v>
      </c>
      <c r="H54" s="15" t="s">
        <v>19303</v>
      </c>
      <c r="I54" s="15" t="s">
        <v>19304</v>
      </c>
      <c r="J54" s="15" t="s">
        <v>19305</v>
      </c>
      <c r="K54" s="15">
        <v>61948</v>
      </c>
      <c r="L54" s="15" t="s">
        <v>19099</v>
      </c>
    </row>
    <row r="55" spans="1:12" x14ac:dyDescent="0.25">
      <c r="A55" s="2" t="s">
        <v>932</v>
      </c>
      <c r="B55" s="8" t="s">
        <v>15564</v>
      </c>
      <c r="C55" s="2" t="s">
        <v>932</v>
      </c>
      <c r="D55" s="2" t="s">
        <v>933</v>
      </c>
      <c r="E55" s="4" t="s">
        <v>19306</v>
      </c>
      <c r="G55" s="15" t="s">
        <v>19306</v>
      </c>
      <c r="H55" s="15" t="s">
        <v>19307</v>
      </c>
      <c r="I55" s="15" t="s">
        <v>19308</v>
      </c>
      <c r="J55" s="15" t="s">
        <v>19309</v>
      </c>
      <c r="K55" s="15">
        <v>7280</v>
      </c>
      <c r="L55" s="15" t="s">
        <v>19099</v>
      </c>
    </row>
    <row r="56" spans="1:12" x14ac:dyDescent="0.25">
      <c r="A56" s="2" t="s">
        <v>935</v>
      </c>
      <c r="B56" s="8" t="s">
        <v>15565</v>
      </c>
      <c r="C56" s="2" t="s">
        <v>935</v>
      </c>
      <c r="D56" s="2" t="s">
        <v>936</v>
      </c>
      <c r="E56" s="4" t="s">
        <v>19310</v>
      </c>
      <c r="G56" s="15" t="s">
        <v>19310</v>
      </c>
      <c r="H56" s="15" t="s">
        <v>19311</v>
      </c>
      <c r="I56" s="15" t="s">
        <v>19312</v>
      </c>
      <c r="J56" s="15" t="s">
        <v>19171</v>
      </c>
      <c r="K56" s="15">
        <v>7839</v>
      </c>
      <c r="L56" s="15" t="s">
        <v>19099</v>
      </c>
    </row>
    <row r="57" spans="1:12" x14ac:dyDescent="0.25">
      <c r="A57" s="2" t="s">
        <v>938</v>
      </c>
      <c r="B57" s="8" t="s">
        <v>15566</v>
      </c>
      <c r="C57" s="2" t="s">
        <v>938</v>
      </c>
      <c r="D57" s="2" t="s">
        <v>939</v>
      </c>
      <c r="E57" s="4" t="s">
        <v>19313</v>
      </c>
      <c r="G57" s="15" t="s">
        <v>19314</v>
      </c>
      <c r="H57" s="15" t="s">
        <v>19315</v>
      </c>
      <c r="I57" s="15" t="s">
        <v>19316</v>
      </c>
      <c r="J57" s="15" t="s">
        <v>19219</v>
      </c>
      <c r="K57" s="15">
        <v>13629</v>
      </c>
      <c r="L57" s="15" t="s">
        <v>19099</v>
      </c>
    </row>
    <row r="58" spans="1:12" x14ac:dyDescent="0.25">
      <c r="A58" s="2" t="s">
        <v>941</v>
      </c>
      <c r="B58" s="8" t="s">
        <v>15567</v>
      </c>
      <c r="C58" s="2" t="s">
        <v>941</v>
      </c>
      <c r="D58" s="2" t="s">
        <v>942</v>
      </c>
      <c r="E58" s="4" t="s">
        <v>19317</v>
      </c>
      <c r="G58" s="15" t="s">
        <v>19318</v>
      </c>
      <c r="H58" s="15" t="s">
        <v>19319</v>
      </c>
      <c r="I58" s="15" t="s">
        <v>19320</v>
      </c>
      <c r="J58" s="15" t="s">
        <v>19321</v>
      </c>
      <c r="K58" s="15">
        <v>12375</v>
      </c>
      <c r="L58" s="15" t="s">
        <v>19099</v>
      </c>
    </row>
    <row r="59" spans="1:12" x14ac:dyDescent="0.25">
      <c r="A59" s="2" t="s">
        <v>944</v>
      </c>
      <c r="B59" s="8" t="s">
        <v>15568</v>
      </c>
      <c r="C59" s="2" t="s">
        <v>944</v>
      </c>
      <c r="D59" s="2" t="s">
        <v>945</v>
      </c>
      <c r="E59" s="4" t="s">
        <v>19322</v>
      </c>
      <c r="G59" s="15" t="s">
        <v>19322</v>
      </c>
      <c r="H59" s="15" t="s">
        <v>19323</v>
      </c>
      <c r="I59" s="15" t="s">
        <v>19324</v>
      </c>
      <c r="J59" s="15" t="s">
        <v>19219</v>
      </c>
      <c r="K59" s="15">
        <v>8657</v>
      </c>
      <c r="L59" s="15" t="s">
        <v>19099</v>
      </c>
    </row>
    <row r="60" spans="1:12" x14ac:dyDescent="0.25">
      <c r="A60" s="2" t="s">
        <v>947</v>
      </c>
      <c r="B60" s="8" t="s">
        <v>15569</v>
      </c>
      <c r="C60" s="2" t="s">
        <v>947</v>
      </c>
      <c r="D60" s="2" t="s">
        <v>948</v>
      </c>
      <c r="E60" s="4" t="s">
        <v>19325</v>
      </c>
      <c r="G60" s="15" t="s">
        <v>19325</v>
      </c>
      <c r="H60" s="15" t="s">
        <v>19326</v>
      </c>
      <c r="I60" s="15" t="s">
        <v>19327</v>
      </c>
      <c r="J60" s="15" t="s">
        <v>19328</v>
      </c>
      <c r="K60" s="15">
        <v>7239</v>
      </c>
      <c r="L60" s="15" t="s">
        <v>19099</v>
      </c>
    </row>
    <row r="61" spans="1:12" x14ac:dyDescent="0.25">
      <c r="A61" s="2" t="s">
        <v>950</v>
      </c>
      <c r="B61" s="8" t="s">
        <v>15570</v>
      </c>
      <c r="C61" s="2" t="s">
        <v>950</v>
      </c>
      <c r="D61" s="2" t="s">
        <v>951</v>
      </c>
      <c r="E61" s="4" t="s">
        <v>19329</v>
      </c>
      <c r="G61" s="15" t="s">
        <v>19329</v>
      </c>
      <c r="H61" s="15" t="s">
        <v>19330</v>
      </c>
      <c r="I61" s="15" t="s">
        <v>19331</v>
      </c>
      <c r="J61" s="15" t="s">
        <v>19183</v>
      </c>
      <c r="K61" s="15">
        <v>11</v>
      </c>
      <c r="L61" s="15" t="s">
        <v>19099</v>
      </c>
    </row>
    <row r="62" spans="1:12" x14ac:dyDescent="0.25">
      <c r="A62" s="2" t="s">
        <v>953</v>
      </c>
      <c r="B62" s="8" t="s">
        <v>15571</v>
      </c>
      <c r="C62" s="2" t="s">
        <v>953</v>
      </c>
      <c r="D62" s="2" t="s">
        <v>954</v>
      </c>
      <c r="E62" s="4" t="s">
        <v>19332</v>
      </c>
      <c r="G62" s="15" t="s">
        <v>19333</v>
      </c>
      <c r="H62" s="15" t="s">
        <v>19334</v>
      </c>
      <c r="I62" s="15" t="s">
        <v>19335</v>
      </c>
      <c r="J62" s="15" t="s">
        <v>19188</v>
      </c>
      <c r="K62" s="15">
        <v>10900</v>
      </c>
      <c r="L62" s="15" t="s">
        <v>19099</v>
      </c>
    </row>
    <row r="63" spans="1:12" x14ac:dyDescent="0.25">
      <c r="A63" s="2" t="s">
        <v>956</v>
      </c>
      <c r="B63" s="8" t="s">
        <v>15572</v>
      </c>
      <c r="C63" s="2" t="s">
        <v>956</v>
      </c>
      <c r="D63" s="2" t="s">
        <v>957</v>
      </c>
      <c r="E63" s="4" t="s">
        <v>19336</v>
      </c>
      <c r="G63" s="15" t="s">
        <v>19336</v>
      </c>
      <c r="H63" s="15" t="s">
        <v>19337</v>
      </c>
      <c r="I63" s="15" t="s">
        <v>19338</v>
      </c>
      <c r="J63" s="15" t="s">
        <v>19192</v>
      </c>
      <c r="K63" s="15">
        <v>6564</v>
      </c>
      <c r="L63" s="15" t="s">
        <v>19099</v>
      </c>
    </row>
    <row r="64" spans="1:12" x14ac:dyDescent="0.25">
      <c r="A64" s="2" t="s">
        <v>959</v>
      </c>
      <c r="B64" s="8" t="s">
        <v>15573</v>
      </c>
      <c r="C64" s="2" t="s">
        <v>959</v>
      </c>
      <c r="D64" s="2" t="s">
        <v>960</v>
      </c>
      <c r="E64" s="4" t="s">
        <v>19339</v>
      </c>
      <c r="G64" s="15" t="s">
        <v>19340</v>
      </c>
      <c r="H64" s="15" t="s">
        <v>19341</v>
      </c>
      <c r="I64" s="15" t="s">
        <v>19342</v>
      </c>
      <c r="J64" s="15" t="s">
        <v>19197</v>
      </c>
      <c r="K64" s="15">
        <v>11243</v>
      </c>
      <c r="L64" s="15" t="s">
        <v>19099</v>
      </c>
    </row>
    <row r="65" spans="1:12" x14ac:dyDescent="0.25">
      <c r="A65" s="2" t="s">
        <v>962</v>
      </c>
      <c r="B65" s="8" t="s">
        <v>15574</v>
      </c>
      <c r="C65" s="2" t="s">
        <v>962</v>
      </c>
      <c r="D65" s="2" t="s">
        <v>963</v>
      </c>
      <c r="E65" s="4" t="s">
        <v>19343</v>
      </c>
      <c r="G65" s="15" t="s">
        <v>19343</v>
      </c>
      <c r="H65" s="15" t="s">
        <v>19344</v>
      </c>
      <c r="I65" s="15" t="s">
        <v>19345</v>
      </c>
      <c r="J65" s="15" t="s">
        <v>19346</v>
      </c>
      <c r="K65" s="15">
        <v>31222</v>
      </c>
      <c r="L65" s="15" t="s">
        <v>19099</v>
      </c>
    </row>
    <row r="66" spans="1:12" x14ac:dyDescent="0.25">
      <c r="A66" s="2" t="s">
        <v>965</v>
      </c>
      <c r="B66" s="8" t="s">
        <v>15575</v>
      </c>
      <c r="C66" s="2" t="s">
        <v>965</v>
      </c>
      <c r="D66" s="2" t="s">
        <v>966</v>
      </c>
      <c r="E66" s="4" t="s">
        <v>19347</v>
      </c>
      <c r="G66" s="15" t="s">
        <v>19348</v>
      </c>
      <c r="H66" s="15" t="s">
        <v>19349</v>
      </c>
      <c r="I66" s="15" t="s">
        <v>19350</v>
      </c>
      <c r="J66" s="15" t="s">
        <v>19351</v>
      </c>
      <c r="K66" s="15">
        <v>289</v>
      </c>
      <c r="L66" s="15" t="s">
        <v>19099</v>
      </c>
    </row>
    <row r="67" spans="1:12" x14ac:dyDescent="0.25">
      <c r="A67" s="2" t="s">
        <v>968</v>
      </c>
      <c r="B67" s="8" t="s">
        <v>15576</v>
      </c>
      <c r="C67" s="2" t="s">
        <v>968</v>
      </c>
      <c r="D67" s="2" t="s">
        <v>969</v>
      </c>
      <c r="E67" s="4" t="s">
        <v>19352</v>
      </c>
      <c r="G67" s="15" t="s">
        <v>19352</v>
      </c>
      <c r="H67" s="15" t="s">
        <v>19353</v>
      </c>
      <c r="I67" s="15" t="s">
        <v>19354</v>
      </c>
      <c r="J67" s="15" t="s">
        <v>19355</v>
      </c>
      <c r="K67" s="15">
        <v>10707</v>
      </c>
      <c r="L67" s="15" t="s">
        <v>19099</v>
      </c>
    </row>
    <row r="68" spans="1:12" x14ac:dyDescent="0.25">
      <c r="A68" s="2" t="s">
        <v>971</v>
      </c>
      <c r="B68" s="8" t="s">
        <v>15577</v>
      </c>
      <c r="C68" s="2" t="s">
        <v>971</v>
      </c>
      <c r="D68" s="2" t="s">
        <v>972</v>
      </c>
      <c r="E68" s="4" t="s">
        <v>19356</v>
      </c>
      <c r="G68" s="15" t="s">
        <v>19357</v>
      </c>
      <c r="H68" s="15" t="s">
        <v>19358</v>
      </c>
      <c r="I68" s="15" t="s">
        <v>19359</v>
      </c>
      <c r="J68" s="15" t="s">
        <v>19360</v>
      </c>
      <c r="K68" s="15">
        <v>7276</v>
      </c>
      <c r="L68" s="15" t="s">
        <v>19099</v>
      </c>
    </row>
    <row r="69" spans="1:12" x14ac:dyDescent="0.25">
      <c r="A69" s="2" t="s">
        <v>974</v>
      </c>
      <c r="B69" s="8" t="s">
        <v>15578</v>
      </c>
      <c r="C69" s="2" t="s">
        <v>974</v>
      </c>
      <c r="D69" s="2" t="s">
        <v>975</v>
      </c>
      <c r="E69" s="4" t="s">
        <v>19361</v>
      </c>
      <c r="G69" s="15" t="s">
        <v>19361</v>
      </c>
      <c r="H69" s="15" t="s">
        <v>19362</v>
      </c>
      <c r="I69" s="15" t="s">
        <v>19363</v>
      </c>
      <c r="J69" s="15" t="s">
        <v>19364</v>
      </c>
      <c r="K69" s="15">
        <v>7237</v>
      </c>
      <c r="L69" s="15" t="s">
        <v>19099</v>
      </c>
    </row>
    <row r="70" spans="1:12" x14ac:dyDescent="0.25">
      <c r="A70" s="2" t="s">
        <v>977</v>
      </c>
      <c r="B70" s="8" t="s">
        <v>15579</v>
      </c>
      <c r="C70" s="2" t="s">
        <v>977</v>
      </c>
      <c r="D70" s="2" t="s">
        <v>978</v>
      </c>
      <c r="E70" s="4" t="s">
        <v>19365</v>
      </c>
      <c r="G70" s="15" t="s">
        <v>19366</v>
      </c>
      <c r="H70" s="15" t="s">
        <v>19367</v>
      </c>
      <c r="I70" s="15" t="s">
        <v>19368</v>
      </c>
      <c r="J70" s="15" t="s">
        <v>19369</v>
      </c>
      <c r="K70" s="15">
        <v>30001</v>
      </c>
      <c r="L70" s="15" t="s">
        <v>19099</v>
      </c>
    </row>
    <row r="71" spans="1:12" x14ac:dyDescent="0.25">
      <c r="A71" s="2" t="s">
        <v>980</v>
      </c>
      <c r="B71" s="8" t="s">
        <v>15580</v>
      </c>
      <c r="C71" s="2" t="s">
        <v>980</v>
      </c>
      <c r="D71" s="2" t="s">
        <v>981</v>
      </c>
      <c r="E71" s="4" t="s">
        <v>19370</v>
      </c>
      <c r="G71" s="15" t="s">
        <v>19371</v>
      </c>
      <c r="H71" s="15" t="s">
        <v>19372</v>
      </c>
      <c r="I71" s="15" t="s">
        <v>19373</v>
      </c>
      <c r="J71" s="15" t="s">
        <v>19374</v>
      </c>
      <c r="K71" s="15">
        <v>19113</v>
      </c>
      <c r="L71" s="15" t="s">
        <v>19099</v>
      </c>
    </row>
    <row r="72" spans="1:12" x14ac:dyDescent="0.25">
      <c r="A72" s="2" t="s">
        <v>983</v>
      </c>
      <c r="B72" s="8" t="s">
        <v>15581</v>
      </c>
      <c r="C72" s="2" t="s">
        <v>983</v>
      </c>
      <c r="D72" s="2" t="s">
        <v>984</v>
      </c>
      <c r="E72" s="4" t="s">
        <v>19375</v>
      </c>
      <c r="G72" s="15" t="s">
        <v>19376</v>
      </c>
      <c r="H72" s="15" t="s">
        <v>19377</v>
      </c>
      <c r="I72" s="15" t="s">
        <v>19378</v>
      </c>
      <c r="J72" s="15" t="s">
        <v>19379</v>
      </c>
      <c r="K72" s="15">
        <v>16854</v>
      </c>
      <c r="L72" s="15" t="s">
        <v>19099</v>
      </c>
    </row>
    <row r="73" spans="1:12" ht="30" customHeight="1" x14ac:dyDescent="0.25">
      <c r="A73" s="2" t="s">
        <v>986</v>
      </c>
      <c r="B73" s="8" t="s">
        <v>15582</v>
      </c>
      <c r="C73" s="2" t="s">
        <v>986</v>
      </c>
      <c r="D73" s="2" t="s">
        <v>987</v>
      </c>
      <c r="E73" s="4" t="s">
        <v>19380</v>
      </c>
      <c r="G73" s="15" t="s">
        <v>19381</v>
      </c>
      <c r="H73" s="15" t="s">
        <v>19382</v>
      </c>
      <c r="I73" s="15" t="s">
        <v>19383</v>
      </c>
      <c r="J73" s="15" t="s">
        <v>19384</v>
      </c>
      <c r="K73" s="15">
        <v>118274</v>
      </c>
      <c r="L73" s="15" t="s">
        <v>19099</v>
      </c>
    </row>
    <row r="74" spans="1:12" x14ac:dyDescent="0.25">
      <c r="A74" s="2" t="s">
        <v>989</v>
      </c>
      <c r="B74" s="8" t="s">
        <v>15583</v>
      </c>
      <c r="C74" s="2" t="s">
        <v>989</v>
      </c>
      <c r="D74" s="2" t="s">
        <v>990</v>
      </c>
      <c r="E74" s="4" t="s">
        <v>19385</v>
      </c>
      <c r="G74" s="15" t="s">
        <v>19385</v>
      </c>
      <c r="H74" s="15" t="s">
        <v>19386</v>
      </c>
      <c r="I74" s="15" t="s">
        <v>19387</v>
      </c>
      <c r="J74" s="15" t="s">
        <v>19245</v>
      </c>
      <c r="K74" s="15">
        <v>7947</v>
      </c>
      <c r="L74" s="15" t="s">
        <v>19099</v>
      </c>
    </row>
    <row r="75" spans="1:12" x14ac:dyDescent="0.25">
      <c r="A75" s="2" t="s">
        <v>992</v>
      </c>
      <c r="B75" s="8" t="s">
        <v>15584</v>
      </c>
      <c r="C75" s="2" t="s">
        <v>992</v>
      </c>
      <c r="D75" s="2" t="s">
        <v>993</v>
      </c>
      <c r="E75" s="4" t="s">
        <v>19388</v>
      </c>
      <c r="G75" s="15" t="s">
        <v>19389</v>
      </c>
      <c r="H75" s="15" t="s">
        <v>19390</v>
      </c>
      <c r="I75" s="15" t="s">
        <v>19391</v>
      </c>
      <c r="J75" s="15" t="s">
        <v>19392</v>
      </c>
      <c r="K75" s="15">
        <v>138452</v>
      </c>
      <c r="L75" s="15" t="s">
        <v>19099</v>
      </c>
    </row>
    <row r="76" spans="1:12" x14ac:dyDescent="0.25">
      <c r="A76" s="2" t="s">
        <v>995</v>
      </c>
      <c r="B76" s="8" t="s">
        <v>15585</v>
      </c>
      <c r="C76" s="2" t="s">
        <v>995</v>
      </c>
      <c r="D76" s="2" t="s">
        <v>996</v>
      </c>
      <c r="E76" s="4" t="s">
        <v>19393</v>
      </c>
      <c r="G76" s="15" t="s">
        <v>19394</v>
      </c>
      <c r="H76" s="15" t="s">
        <v>19395</v>
      </c>
      <c r="I76" s="15" t="s">
        <v>19396</v>
      </c>
      <c r="J76" s="15" t="s">
        <v>19249</v>
      </c>
      <c r="K76" s="15">
        <v>7950</v>
      </c>
      <c r="L76" s="15" t="s">
        <v>19099</v>
      </c>
    </row>
    <row r="77" spans="1:12" x14ac:dyDescent="0.25">
      <c r="A77" s="2" t="s">
        <v>998</v>
      </c>
      <c r="B77" s="8" t="s">
        <v>15586</v>
      </c>
      <c r="C77" s="2" t="s">
        <v>998</v>
      </c>
      <c r="D77" s="2" t="s">
        <v>999</v>
      </c>
      <c r="E77" s="4" t="s">
        <v>19397</v>
      </c>
      <c r="G77" s="15" t="s">
        <v>19397</v>
      </c>
      <c r="H77" s="15" t="s">
        <v>19398</v>
      </c>
      <c r="I77" s="15" t="s">
        <v>19399</v>
      </c>
      <c r="J77" s="15" t="s">
        <v>19400</v>
      </c>
      <c r="K77" s="15">
        <v>7434</v>
      </c>
      <c r="L77" s="15" t="s">
        <v>19099</v>
      </c>
    </row>
    <row r="78" spans="1:12" x14ac:dyDescent="0.25">
      <c r="A78" s="2" t="s">
        <v>1001</v>
      </c>
      <c r="B78" s="8" t="s">
        <v>15587</v>
      </c>
      <c r="C78" s="2" t="s">
        <v>1001</v>
      </c>
      <c r="D78" s="2" t="s">
        <v>1002</v>
      </c>
      <c r="E78" s="4" t="s">
        <v>19401</v>
      </c>
      <c r="G78" s="15" t="s">
        <v>19402</v>
      </c>
      <c r="H78" s="15" t="s">
        <v>19403</v>
      </c>
      <c r="I78" s="15" t="s">
        <v>19404</v>
      </c>
      <c r="J78" s="15" t="s">
        <v>19405</v>
      </c>
      <c r="K78" s="15">
        <v>13931</v>
      </c>
      <c r="L78" s="15" t="s">
        <v>19099</v>
      </c>
    </row>
    <row r="79" spans="1:12" x14ac:dyDescent="0.25">
      <c r="A79" s="2" t="s">
        <v>1004</v>
      </c>
      <c r="B79" s="8" t="s">
        <v>15588</v>
      </c>
      <c r="C79" s="2" t="s">
        <v>1004</v>
      </c>
      <c r="D79" s="2" t="s">
        <v>1005</v>
      </c>
      <c r="E79" s="4" t="s">
        <v>19406</v>
      </c>
      <c r="G79" s="15" t="s">
        <v>19407</v>
      </c>
      <c r="H79" s="15" t="s">
        <v>19408</v>
      </c>
      <c r="I79" s="15" t="s">
        <v>19409</v>
      </c>
      <c r="J79" s="15" t="s">
        <v>19410</v>
      </c>
      <c r="K79" s="15">
        <v>7955</v>
      </c>
      <c r="L79" s="15" t="s">
        <v>19099</v>
      </c>
    </row>
    <row r="80" spans="1:12" x14ac:dyDescent="0.25">
      <c r="A80" s="2" t="s">
        <v>1007</v>
      </c>
      <c r="B80" s="8" t="s">
        <v>15589</v>
      </c>
      <c r="C80" s="2" t="s">
        <v>1007</v>
      </c>
      <c r="D80" s="2" t="s">
        <v>1008</v>
      </c>
      <c r="E80" s="4" t="s">
        <v>19411</v>
      </c>
      <c r="G80" s="15" t="s">
        <v>19412</v>
      </c>
      <c r="H80" s="15" t="s">
        <v>19413</v>
      </c>
      <c r="I80" s="15" t="s">
        <v>19414</v>
      </c>
      <c r="J80" s="15" t="s">
        <v>19415</v>
      </c>
      <c r="K80" s="15">
        <v>80296</v>
      </c>
      <c r="L80" s="15" t="s">
        <v>19099</v>
      </c>
    </row>
    <row r="81" spans="1:12" ht="30" customHeight="1" x14ac:dyDescent="0.25">
      <c r="A81" s="2" t="s">
        <v>1010</v>
      </c>
      <c r="B81" s="8" t="s">
        <v>15590</v>
      </c>
      <c r="C81" s="2" t="s">
        <v>1010</v>
      </c>
      <c r="D81" s="2" t="s">
        <v>1011</v>
      </c>
      <c r="E81" s="4" t="s">
        <v>19416</v>
      </c>
      <c r="G81" s="15" t="s">
        <v>19417</v>
      </c>
      <c r="H81" s="15" t="s">
        <v>19418</v>
      </c>
      <c r="I81" s="15" t="s">
        <v>19419</v>
      </c>
      <c r="J81" s="15" t="s">
        <v>19420</v>
      </c>
      <c r="K81" s="15">
        <v>6433396</v>
      </c>
      <c r="L81" s="15" t="s">
        <v>19099</v>
      </c>
    </row>
    <row r="82" spans="1:12" x14ac:dyDescent="0.25">
      <c r="A82" s="2" t="s">
        <v>1013</v>
      </c>
      <c r="B82" s="8" t="s">
        <v>15591</v>
      </c>
      <c r="C82" s="2" t="s">
        <v>1013</v>
      </c>
      <c r="D82" s="2" t="s">
        <v>1014</v>
      </c>
      <c r="E82" s="4" t="s">
        <v>19421</v>
      </c>
      <c r="G82" s="15" t="s">
        <v>19422</v>
      </c>
      <c r="H82" s="15" t="s">
        <v>19423</v>
      </c>
      <c r="I82" s="15" t="s">
        <v>19424</v>
      </c>
      <c r="J82" s="15" t="s">
        <v>19300</v>
      </c>
      <c r="K82" s="15">
        <v>7935</v>
      </c>
      <c r="L82" s="15" t="s">
        <v>19099</v>
      </c>
    </row>
    <row r="83" spans="1:12" x14ac:dyDescent="0.25">
      <c r="A83" s="2" t="s">
        <v>1016</v>
      </c>
      <c r="B83" s="8" t="s">
        <v>15592</v>
      </c>
      <c r="C83" s="2" t="s">
        <v>1016</v>
      </c>
      <c r="D83" s="2" t="s">
        <v>1017</v>
      </c>
      <c r="E83" s="4" t="s">
        <v>19425</v>
      </c>
      <c r="G83" s="15" t="s">
        <v>19425</v>
      </c>
      <c r="H83" s="15" t="s">
        <v>19426</v>
      </c>
      <c r="I83" s="15" t="s">
        <v>19427</v>
      </c>
      <c r="J83" s="15" t="s">
        <v>19219</v>
      </c>
      <c r="K83" s="15">
        <v>8864</v>
      </c>
      <c r="L83" s="15" t="s">
        <v>19099</v>
      </c>
    </row>
    <row r="84" spans="1:12" x14ac:dyDescent="0.25">
      <c r="A84" s="2" t="s">
        <v>1019</v>
      </c>
      <c r="B84" s="8" t="s">
        <v>15593</v>
      </c>
      <c r="C84" s="2" t="s">
        <v>1019</v>
      </c>
      <c r="D84" s="2" t="s">
        <v>1020</v>
      </c>
      <c r="E84" s="4" t="s">
        <v>19428</v>
      </c>
      <c r="G84" s="15" t="s">
        <v>19429</v>
      </c>
      <c r="H84" s="15" t="s">
        <v>19430</v>
      </c>
      <c r="I84" s="15" t="s">
        <v>19431</v>
      </c>
      <c r="J84" s="15" t="s">
        <v>19432</v>
      </c>
      <c r="K84" s="15">
        <v>7289</v>
      </c>
      <c r="L84" s="15" t="s">
        <v>19099</v>
      </c>
    </row>
    <row r="85" spans="1:12" x14ac:dyDescent="0.25">
      <c r="A85" s="2" t="s">
        <v>1022</v>
      </c>
      <c r="B85" s="8" t="s">
        <v>15594</v>
      </c>
      <c r="C85" s="2" t="s">
        <v>1022</v>
      </c>
      <c r="D85" s="2" t="s">
        <v>1023</v>
      </c>
      <c r="E85" s="4" t="s">
        <v>19433</v>
      </c>
      <c r="G85" s="15" t="s">
        <v>19433</v>
      </c>
      <c r="H85" s="15" t="s">
        <v>19434</v>
      </c>
      <c r="I85" s="15" t="s">
        <v>19435</v>
      </c>
      <c r="J85" s="15" t="s">
        <v>19436</v>
      </c>
      <c r="K85" s="15">
        <v>12064</v>
      </c>
      <c r="L85" s="15" t="s">
        <v>19099</v>
      </c>
    </row>
    <row r="86" spans="1:12" x14ac:dyDescent="0.25">
      <c r="A86" s="2" t="s">
        <v>1025</v>
      </c>
      <c r="B86" s="8" t="s">
        <v>15595</v>
      </c>
      <c r="C86" s="2" t="s">
        <v>1025</v>
      </c>
      <c r="D86" s="2" t="s">
        <v>1026</v>
      </c>
      <c r="E86" s="4" t="s">
        <v>19437</v>
      </c>
      <c r="G86" s="15" t="s">
        <v>19437</v>
      </c>
      <c r="H86" s="15" t="s">
        <v>19438</v>
      </c>
      <c r="I86" s="15" t="s">
        <v>19439</v>
      </c>
      <c r="J86" s="15" t="s">
        <v>19328</v>
      </c>
      <c r="K86" s="15">
        <v>10943</v>
      </c>
      <c r="L86" s="15" t="s">
        <v>19099</v>
      </c>
    </row>
    <row r="87" spans="1:12" x14ac:dyDescent="0.25">
      <c r="A87" s="2" t="s">
        <v>1028</v>
      </c>
      <c r="B87" s="8" t="s">
        <v>15596</v>
      </c>
      <c r="C87" s="2" t="s">
        <v>1028</v>
      </c>
      <c r="D87" s="2" t="s">
        <v>1029</v>
      </c>
      <c r="E87" s="4" t="s">
        <v>19440</v>
      </c>
      <c r="G87" s="15" t="s">
        <v>19440</v>
      </c>
      <c r="H87" s="15" t="s">
        <v>19441</v>
      </c>
      <c r="I87" s="15" t="s">
        <v>19442</v>
      </c>
      <c r="J87" s="15" t="s">
        <v>19192</v>
      </c>
      <c r="K87" s="15">
        <v>8881</v>
      </c>
      <c r="L87" s="15" t="s">
        <v>19099</v>
      </c>
    </row>
    <row r="88" spans="1:12" x14ac:dyDescent="0.25">
      <c r="A88" s="2" t="s">
        <v>1031</v>
      </c>
      <c r="B88" s="8" t="s">
        <v>15597</v>
      </c>
      <c r="C88" s="2" t="s">
        <v>1031</v>
      </c>
      <c r="D88" s="2" t="s">
        <v>1032</v>
      </c>
      <c r="E88" s="4" t="s">
        <v>19443</v>
      </c>
      <c r="G88" s="15" t="s">
        <v>19444</v>
      </c>
      <c r="H88" s="15" t="s">
        <v>19445</v>
      </c>
      <c r="I88" s="15" t="s">
        <v>19446</v>
      </c>
      <c r="J88" s="15" t="s">
        <v>19197</v>
      </c>
      <c r="K88" s="15">
        <v>24726</v>
      </c>
      <c r="L88" s="15" t="s">
        <v>19099</v>
      </c>
    </row>
    <row r="89" spans="1:12" x14ac:dyDescent="0.25">
      <c r="A89" s="2" t="s">
        <v>1034</v>
      </c>
      <c r="B89" s="8" t="s">
        <v>15598</v>
      </c>
      <c r="C89" s="2" t="s">
        <v>1034</v>
      </c>
      <c r="D89" s="2" t="s">
        <v>1035</v>
      </c>
      <c r="E89" s="4" t="s">
        <v>19447</v>
      </c>
      <c r="G89" s="15" t="s">
        <v>19448</v>
      </c>
      <c r="H89" s="15" t="s">
        <v>19449</v>
      </c>
      <c r="I89" s="15" t="s">
        <v>19450</v>
      </c>
      <c r="J89" s="15" t="s">
        <v>19451</v>
      </c>
      <c r="K89" s="15">
        <v>7594</v>
      </c>
      <c r="L89" s="15" t="s">
        <v>19099</v>
      </c>
    </row>
    <row r="90" spans="1:12" x14ac:dyDescent="0.25">
      <c r="A90" s="2" t="s">
        <v>1037</v>
      </c>
      <c r="B90" s="8" t="s">
        <v>15599</v>
      </c>
      <c r="C90" s="2" t="s">
        <v>1037</v>
      </c>
      <c r="D90" s="2" t="s">
        <v>1038</v>
      </c>
      <c r="E90" s="4" t="s">
        <v>19452</v>
      </c>
      <c r="G90" s="15" t="s">
        <v>19453</v>
      </c>
      <c r="H90" s="15" t="s">
        <v>19454</v>
      </c>
      <c r="I90" s="15" t="s">
        <v>19455</v>
      </c>
      <c r="J90" s="15" t="s">
        <v>19351</v>
      </c>
      <c r="K90" s="15">
        <v>5054</v>
      </c>
      <c r="L90" s="15" t="s">
        <v>19099</v>
      </c>
    </row>
    <row r="91" spans="1:12" x14ac:dyDescent="0.25">
      <c r="A91" s="2" t="s">
        <v>1040</v>
      </c>
      <c r="B91" s="8" t="s">
        <v>15600</v>
      </c>
      <c r="C91" s="2" t="s">
        <v>1040</v>
      </c>
      <c r="D91" s="2" t="s">
        <v>1041</v>
      </c>
      <c r="E91" s="4" t="s">
        <v>19456</v>
      </c>
      <c r="G91" s="15" t="s">
        <v>19456</v>
      </c>
      <c r="H91" s="15" t="s">
        <v>19457</v>
      </c>
      <c r="I91" s="15" t="s">
        <v>19458</v>
      </c>
      <c r="J91" s="15" t="s">
        <v>19355</v>
      </c>
      <c r="K91" s="15">
        <v>7452</v>
      </c>
      <c r="L91" s="15" t="s">
        <v>19099</v>
      </c>
    </row>
    <row r="92" spans="1:12" x14ac:dyDescent="0.25">
      <c r="A92" s="2" t="s">
        <v>1043</v>
      </c>
      <c r="B92" s="8" t="s">
        <v>15601</v>
      </c>
      <c r="C92" s="2" t="s">
        <v>1043</v>
      </c>
      <c r="D92" s="2" t="s">
        <v>1044</v>
      </c>
      <c r="E92" s="4" t="s">
        <v>19459</v>
      </c>
      <c r="G92" s="15" t="s">
        <v>19459</v>
      </c>
      <c r="H92" s="15" t="s">
        <v>19460</v>
      </c>
      <c r="I92" s="15" t="s">
        <v>19461</v>
      </c>
      <c r="J92" s="15" t="s">
        <v>19462</v>
      </c>
      <c r="K92" s="15">
        <v>10450</v>
      </c>
      <c r="L92" s="15" t="s">
        <v>19099</v>
      </c>
    </row>
    <row r="93" spans="1:12" x14ac:dyDescent="0.25">
      <c r="A93" s="2" t="s">
        <v>1046</v>
      </c>
      <c r="B93" s="8" t="s">
        <v>15602</v>
      </c>
      <c r="C93" s="2" t="s">
        <v>1046</v>
      </c>
      <c r="D93" s="2" t="s">
        <v>1047</v>
      </c>
      <c r="E93" s="4" t="s">
        <v>19463</v>
      </c>
      <c r="G93" s="15" t="s">
        <v>19464</v>
      </c>
      <c r="H93" s="15" t="s">
        <v>19465</v>
      </c>
      <c r="I93" s="15" t="s">
        <v>19466</v>
      </c>
      <c r="J93" s="15" t="s">
        <v>19467</v>
      </c>
      <c r="K93" s="15">
        <v>23229</v>
      </c>
      <c r="L93" s="15" t="s">
        <v>19099</v>
      </c>
    </row>
    <row r="94" spans="1:12" x14ac:dyDescent="0.25">
      <c r="A94" s="2" t="s">
        <v>1049</v>
      </c>
      <c r="B94" s="8" t="s">
        <v>15603</v>
      </c>
      <c r="C94" s="2" t="s">
        <v>1049</v>
      </c>
      <c r="D94" s="2" t="s">
        <v>1050</v>
      </c>
      <c r="E94" s="4" t="s">
        <v>19468</v>
      </c>
      <c r="G94" s="15" t="s">
        <v>19469</v>
      </c>
      <c r="H94" s="15" t="s">
        <v>19470</v>
      </c>
      <c r="I94" s="15" t="s">
        <v>19471</v>
      </c>
      <c r="J94" s="15" t="s">
        <v>19472</v>
      </c>
      <c r="K94" s="15">
        <v>7450</v>
      </c>
      <c r="L94" s="15" t="s">
        <v>19099</v>
      </c>
    </row>
    <row r="95" spans="1:12" x14ac:dyDescent="0.25">
      <c r="A95" s="2" t="s">
        <v>1052</v>
      </c>
      <c r="B95" s="8" t="s">
        <v>15604</v>
      </c>
      <c r="C95" s="2" t="s">
        <v>1052</v>
      </c>
      <c r="D95" s="2" t="s">
        <v>1053</v>
      </c>
      <c r="E95" s="4" t="s">
        <v>19473</v>
      </c>
      <c r="G95" s="15" t="s">
        <v>19473</v>
      </c>
      <c r="H95" s="15" t="s">
        <v>19474</v>
      </c>
      <c r="I95" s="15" t="s">
        <v>19475</v>
      </c>
      <c r="J95" s="15" t="s">
        <v>19476</v>
      </c>
      <c r="K95" s="15">
        <v>30647</v>
      </c>
      <c r="L95" s="15" t="s">
        <v>19099</v>
      </c>
    </row>
    <row r="96" spans="1:12" x14ac:dyDescent="0.25">
      <c r="A96" s="2" t="s">
        <v>1055</v>
      </c>
      <c r="B96" s="8" t="s">
        <v>15605</v>
      </c>
      <c r="C96" s="2" t="s">
        <v>1055</v>
      </c>
      <c r="D96" s="2" t="s">
        <v>1056</v>
      </c>
      <c r="E96" s="4" t="s">
        <v>19477</v>
      </c>
      <c r="G96" s="15" t="s">
        <v>19478</v>
      </c>
      <c r="H96" s="15" t="s">
        <v>19479</v>
      </c>
      <c r="I96" s="15" t="s">
        <v>19480</v>
      </c>
      <c r="J96" s="15" t="s">
        <v>19481</v>
      </c>
      <c r="K96" s="15">
        <v>7845</v>
      </c>
      <c r="L96" s="15" t="s">
        <v>19099</v>
      </c>
    </row>
    <row r="97" spans="1:12" x14ac:dyDescent="0.25">
      <c r="A97" s="2" t="s">
        <v>1058</v>
      </c>
      <c r="B97" s="8" t="s">
        <v>15606</v>
      </c>
      <c r="C97" s="2" t="s">
        <v>1058</v>
      </c>
      <c r="D97" s="2" t="s">
        <v>1059</v>
      </c>
      <c r="E97" s="4" t="s">
        <v>19482</v>
      </c>
      <c r="G97" s="15" t="s">
        <v>19482</v>
      </c>
      <c r="H97" s="15" t="s">
        <v>19483</v>
      </c>
      <c r="I97" s="15" t="s">
        <v>19484</v>
      </c>
      <c r="J97" s="15" t="s">
        <v>19364</v>
      </c>
      <c r="K97" s="15">
        <v>7929</v>
      </c>
      <c r="L97" s="15" t="s">
        <v>19099</v>
      </c>
    </row>
    <row r="98" spans="1:12" x14ac:dyDescent="0.25">
      <c r="A98" s="2" t="s">
        <v>1061</v>
      </c>
      <c r="B98" s="8" t="s">
        <v>15607</v>
      </c>
      <c r="C98" s="2" t="s">
        <v>1061</v>
      </c>
      <c r="D98" s="2" t="s">
        <v>1062</v>
      </c>
      <c r="E98" s="4" t="s">
        <v>19485</v>
      </c>
      <c r="G98" s="15" t="s">
        <v>19486</v>
      </c>
      <c r="H98" s="15" t="s">
        <v>19487</v>
      </c>
      <c r="I98" s="15" t="s">
        <v>19488</v>
      </c>
      <c r="J98" s="15" t="s">
        <v>19489</v>
      </c>
      <c r="K98" s="15">
        <v>17190</v>
      </c>
      <c r="L98" s="15" t="s">
        <v>19099</v>
      </c>
    </row>
    <row r="99" spans="1:12" x14ac:dyDescent="0.25">
      <c r="A99" s="2" t="s">
        <v>1064</v>
      </c>
      <c r="B99" s="8" t="s">
        <v>15608</v>
      </c>
      <c r="C99" s="2" t="s">
        <v>1064</v>
      </c>
      <c r="D99" s="2" t="s">
        <v>1065</v>
      </c>
      <c r="E99" s="4" t="s">
        <v>19490</v>
      </c>
      <c r="G99" s="15" t="s">
        <v>19491</v>
      </c>
      <c r="H99" s="15" t="s">
        <v>19492</v>
      </c>
      <c r="I99" s="15" t="s">
        <v>19493</v>
      </c>
      <c r="J99" s="15" t="s">
        <v>19494</v>
      </c>
      <c r="K99" s="15">
        <v>1045</v>
      </c>
      <c r="L99" s="15" t="s">
        <v>19099</v>
      </c>
    </row>
    <row r="100" spans="1:12" x14ac:dyDescent="0.25">
      <c r="A100" s="2" t="s">
        <v>1067</v>
      </c>
      <c r="B100" s="8" t="s">
        <v>15609</v>
      </c>
      <c r="C100" s="2" t="s">
        <v>1067</v>
      </c>
      <c r="D100" s="2" t="s">
        <v>1068</v>
      </c>
      <c r="E100" s="4" t="s">
        <v>19495</v>
      </c>
      <c r="G100" s="15" t="s">
        <v>19496</v>
      </c>
      <c r="H100" s="15" t="s">
        <v>19497</v>
      </c>
      <c r="I100" s="15" t="s">
        <v>19498</v>
      </c>
      <c r="J100" s="15" t="s">
        <v>19499</v>
      </c>
      <c r="K100" s="15">
        <v>17046</v>
      </c>
      <c r="L100" s="15" t="s">
        <v>19099</v>
      </c>
    </row>
    <row r="101" spans="1:12" x14ac:dyDescent="0.25">
      <c r="A101" s="2" t="s">
        <v>1070</v>
      </c>
      <c r="B101" s="8" t="s">
        <v>15610</v>
      </c>
      <c r="C101" s="2" t="s">
        <v>1070</v>
      </c>
      <c r="D101" s="2" t="s">
        <v>1071</v>
      </c>
      <c r="E101" s="4" t="s">
        <v>19500</v>
      </c>
      <c r="G101" s="15" t="s">
        <v>19501</v>
      </c>
      <c r="H101" s="15" t="s">
        <v>19502</v>
      </c>
      <c r="I101" s="15" t="s">
        <v>19503</v>
      </c>
      <c r="J101" s="15" t="s">
        <v>19504</v>
      </c>
      <c r="K101" s="15">
        <v>8064</v>
      </c>
      <c r="L101" s="15" t="s">
        <v>19099</v>
      </c>
    </row>
    <row r="102" spans="1:12" x14ac:dyDescent="0.25">
      <c r="A102" s="2" t="s">
        <v>1073</v>
      </c>
      <c r="B102" s="8" t="s">
        <v>15611</v>
      </c>
      <c r="C102" s="2" t="s">
        <v>1073</v>
      </c>
      <c r="D102" s="2" t="s">
        <v>1074</v>
      </c>
      <c r="E102" s="4" t="s">
        <v>19505</v>
      </c>
      <c r="G102" s="15" t="s">
        <v>19506</v>
      </c>
      <c r="H102" s="15" t="s">
        <v>19507</v>
      </c>
      <c r="I102" s="15" t="s">
        <v>19508</v>
      </c>
      <c r="J102" s="15" t="s">
        <v>19509</v>
      </c>
      <c r="K102" s="15">
        <v>8796</v>
      </c>
      <c r="L102" s="15" t="s">
        <v>19099</v>
      </c>
    </row>
    <row r="103" spans="1:12" x14ac:dyDescent="0.25">
      <c r="A103" s="2" t="s">
        <v>1076</v>
      </c>
      <c r="B103" s="8" t="s">
        <v>15612</v>
      </c>
      <c r="C103" s="2" t="s">
        <v>1076</v>
      </c>
      <c r="D103" s="2" t="s">
        <v>1077</v>
      </c>
      <c r="E103" s="4" t="s">
        <v>19510</v>
      </c>
      <c r="G103" s="15" t="s">
        <v>19511</v>
      </c>
      <c r="H103" s="15" t="s">
        <v>19512</v>
      </c>
      <c r="I103" s="15" t="s">
        <v>19513</v>
      </c>
      <c r="J103" s="15" t="s">
        <v>19300</v>
      </c>
      <c r="K103" s="15">
        <v>7814</v>
      </c>
      <c r="L103" s="15" t="s">
        <v>19099</v>
      </c>
    </row>
    <row r="104" spans="1:12" x14ac:dyDescent="0.25">
      <c r="A104" s="2" t="s">
        <v>1079</v>
      </c>
      <c r="B104" s="8" t="s">
        <v>15613</v>
      </c>
      <c r="C104" s="2" t="s">
        <v>1079</v>
      </c>
      <c r="D104" s="2" t="s">
        <v>1080</v>
      </c>
      <c r="E104" s="4" t="s">
        <v>19514</v>
      </c>
      <c r="G104" s="15" t="s">
        <v>19515</v>
      </c>
      <c r="H104" s="15" t="s">
        <v>19516</v>
      </c>
      <c r="I104" s="15" t="s">
        <v>19517</v>
      </c>
      <c r="J104" s="15" t="s">
        <v>19280</v>
      </c>
      <c r="K104" s="15">
        <v>12205</v>
      </c>
      <c r="L104" s="15" t="s">
        <v>19099</v>
      </c>
    </row>
    <row r="105" spans="1:12" x14ac:dyDescent="0.25">
      <c r="A105" s="2" t="s">
        <v>1082</v>
      </c>
      <c r="B105" s="8" t="s">
        <v>15614</v>
      </c>
      <c r="C105" s="2" t="s">
        <v>1082</v>
      </c>
      <c r="D105" s="2" t="s">
        <v>1083</v>
      </c>
      <c r="E105" s="4" t="s">
        <v>19518</v>
      </c>
      <c r="G105" s="15" t="s">
        <v>19519</v>
      </c>
      <c r="H105" s="15" t="s">
        <v>19520</v>
      </c>
      <c r="I105" s="15" t="s">
        <v>19521</v>
      </c>
      <c r="J105" s="15" t="s">
        <v>19522</v>
      </c>
      <c r="K105" s="15">
        <v>601765</v>
      </c>
      <c r="L105" s="15" t="s">
        <v>19099</v>
      </c>
    </row>
    <row r="106" spans="1:12" x14ac:dyDescent="0.25">
      <c r="A106" s="2" t="s">
        <v>1085</v>
      </c>
      <c r="B106" s="8" t="s">
        <v>15615</v>
      </c>
      <c r="C106" s="2" t="s">
        <v>1085</v>
      </c>
      <c r="D106" s="2" t="s">
        <v>1086</v>
      </c>
      <c r="E106" s="4" t="s">
        <v>19523</v>
      </c>
      <c r="G106" s="15" t="s">
        <v>19523</v>
      </c>
      <c r="H106" s="15" t="s">
        <v>19524</v>
      </c>
      <c r="I106" s="15" t="s">
        <v>19525</v>
      </c>
      <c r="J106" s="15" t="s">
        <v>19526</v>
      </c>
      <c r="K106" s="15">
        <v>9016</v>
      </c>
      <c r="L106" s="15" t="s">
        <v>19099</v>
      </c>
    </row>
    <row r="107" spans="1:12" x14ac:dyDescent="0.25">
      <c r="A107" s="2" t="s">
        <v>1088</v>
      </c>
      <c r="B107" s="8" t="s">
        <v>15616</v>
      </c>
      <c r="C107" s="2" t="s">
        <v>1088</v>
      </c>
      <c r="D107" s="2" t="s">
        <v>1089</v>
      </c>
      <c r="E107" s="4" t="s">
        <v>19527</v>
      </c>
      <c r="G107" s="15" t="s">
        <v>19528</v>
      </c>
      <c r="H107" s="15" t="s">
        <v>19529</v>
      </c>
      <c r="I107" s="15" t="s">
        <v>19530</v>
      </c>
      <c r="J107" s="15" t="s">
        <v>19531</v>
      </c>
      <c r="K107" s="15">
        <v>25211</v>
      </c>
      <c r="L107" s="15" t="s">
        <v>19099</v>
      </c>
    </row>
    <row r="108" spans="1:12" x14ac:dyDescent="0.25">
      <c r="A108" s="2" t="s">
        <v>1091</v>
      </c>
      <c r="B108" s="8" t="s">
        <v>15617</v>
      </c>
      <c r="C108" s="2" t="s">
        <v>1091</v>
      </c>
      <c r="D108" s="2" t="s">
        <v>1092</v>
      </c>
      <c r="E108" s="4" t="s">
        <v>19532</v>
      </c>
      <c r="G108" s="15" t="s">
        <v>19532</v>
      </c>
      <c r="H108" s="15" t="s">
        <v>19533</v>
      </c>
      <c r="I108" s="15" t="s">
        <v>19534</v>
      </c>
      <c r="J108" s="15" t="s">
        <v>19535</v>
      </c>
      <c r="K108" s="15">
        <v>67150</v>
      </c>
      <c r="L108" s="15" t="s">
        <v>19099</v>
      </c>
    </row>
    <row r="109" spans="1:12" x14ac:dyDescent="0.25">
      <c r="A109" s="2" t="s">
        <v>1094</v>
      </c>
      <c r="B109" s="8" t="s">
        <v>15618</v>
      </c>
      <c r="C109" s="2" t="s">
        <v>1094</v>
      </c>
      <c r="D109" s="2" t="s">
        <v>1095</v>
      </c>
      <c r="E109" s="4" t="s">
        <v>19536</v>
      </c>
      <c r="G109" s="15" t="s">
        <v>19536</v>
      </c>
      <c r="H109" s="15" t="s">
        <v>19537</v>
      </c>
      <c r="I109" s="15" t="s">
        <v>19538</v>
      </c>
      <c r="J109" s="15" t="s">
        <v>19219</v>
      </c>
      <c r="K109" s="15">
        <v>7734</v>
      </c>
      <c r="L109" s="15" t="s">
        <v>19099</v>
      </c>
    </row>
    <row r="110" spans="1:12" x14ac:dyDescent="0.25">
      <c r="A110" s="2" t="s">
        <v>1097</v>
      </c>
      <c r="B110" s="8" t="s">
        <v>15619</v>
      </c>
      <c r="C110" s="2" t="s">
        <v>1097</v>
      </c>
      <c r="D110" s="2" t="s">
        <v>1098</v>
      </c>
      <c r="E110" s="4" t="s">
        <v>19539</v>
      </c>
      <c r="G110" s="15" t="s">
        <v>19539</v>
      </c>
      <c r="H110" s="15" t="s">
        <v>19540</v>
      </c>
      <c r="I110" s="15" t="s">
        <v>19541</v>
      </c>
      <c r="J110" s="15" t="s">
        <v>19542</v>
      </c>
      <c r="K110" s="15">
        <v>66911</v>
      </c>
      <c r="L110" s="15" t="s">
        <v>19099</v>
      </c>
    </row>
    <row r="111" spans="1:12" x14ac:dyDescent="0.25">
      <c r="A111" s="2" t="s">
        <v>1100</v>
      </c>
      <c r="B111" s="8" t="s">
        <v>15620</v>
      </c>
      <c r="C111" s="2" t="s">
        <v>1100</v>
      </c>
      <c r="D111" s="2" t="s">
        <v>1101</v>
      </c>
      <c r="E111" s="4" t="s">
        <v>19543</v>
      </c>
      <c r="G111" s="15" t="s">
        <v>19544</v>
      </c>
      <c r="H111" s="15" t="s">
        <v>19545</v>
      </c>
      <c r="I111" s="15" t="s">
        <v>19546</v>
      </c>
      <c r="J111" s="15" t="s">
        <v>19547</v>
      </c>
      <c r="K111" s="15">
        <v>642197</v>
      </c>
      <c r="L111" s="15" t="s">
        <v>19099</v>
      </c>
    </row>
    <row r="112" spans="1:12" x14ac:dyDescent="0.25">
      <c r="A112" s="2" t="s">
        <v>1103</v>
      </c>
      <c r="B112" s="8" t="s">
        <v>15621</v>
      </c>
      <c r="C112" s="2" t="s">
        <v>1103</v>
      </c>
      <c r="D112" s="2" t="s">
        <v>1104</v>
      </c>
      <c r="E112" s="4" t="s">
        <v>19548</v>
      </c>
      <c r="G112" s="15" t="s">
        <v>19548</v>
      </c>
      <c r="H112" s="15" t="s">
        <v>19549</v>
      </c>
      <c r="I112" s="15" t="s">
        <v>19550</v>
      </c>
      <c r="J112" s="15" t="s">
        <v>19328</v>
      </c>
      <c r="K112" s="15">
        <v>4685</v>
      </c>
      <c r="L112" s="15" t="s">
        <v>19099</v>
      </c>
    </row>
    <row r="113" spans="1:12" x14ac:dyDescent="0.25">
      <c r="A113" s="2" t="s">
        <v>1106</v>
      </c>
      <c r="B113" s="8" t="s">
        <v>15622</v>
      </c>
      <c r="C113" s="2" t="s">
        <v>1106</v>
      </c>
      <c r="D113" s="2" t="s">
        <v>1107</v>
      </c>
      <c r="E113" s="4" t="s">
        <v>19551</v>
      </c>
      <c r="G113" s="15" t="s">
        <v>19551</v>
      </c>
      <c r="H113" s="15" t="s">
        <v>19552</v>
      </c>
      <c r="I113" s="15" t="s">
        <v>19553</v>
      </c>
      <c r="J113" s="15" t="s">
        <v>19554</v>
      </c>
      <c r="K113" s="15">
        <v>8059</v>
      </c>
      <c r="L113" s="15" t="s">
        <v>19099</v>
      </c>
    </row>
    <row r="114" spans="1:12" x14ac:dyDescent="0.25">
      <c r="A114" s="2" t="s">
        <v>1109</v>
      </c>
      <c r="B114" s="8" t="s">
        <v>15623</v>
      </c>
      <c r="C114" s="2" t="s">
        <v>1109</v>
      </c>
      <c r="D114" s="2" t="s">
        <v>1110</v>
      </c>
      <c r="E114" s="4" t="s">
        <v>19555</v>
      </c>
      <c r="G114" s="15" t="s">
        <v>19556</v>
      </c>
      <c r="H114" s="15" t="s">
        <v>19557</v>
      </c>
      <c r="I114" s="15" t="s">
        <v>19558</v>
      </c>
      <c r="J114" s="15" t="s">
        <v>19351</v>
      </c>
      <c r="K114" s="15">
        <v>785</v>
      </c>
      <c r="L114" s="15" t="s">
        <v>19099</v>
      </c>
    </row>
    <row r="115" spans="1:12" x14ac:dyDescent="0.25">
      <c r="A115" s="2" t="s">
        <v>1112</v>
      </c>
      <c r="B115" s="8" t="s">
        <v>15624</v>
      </c>
      <c r="C115" s="2" t="s">
        <v>1112</v>
      </c>
      <c r="D115" s="2" t="s">
        <v>1113</v>
      </c>
      <c r="E115" s="4" t="s">
        <v>19559</v>
      </c>
      <c r="G115" s="15" t="s">
        <v>19559</v>
      </c>
      <c r="H115" s="15" t="s">
        <v>19560</v>
      </c>
      <c r="I115" s="15" t="s">
        <v>19561</v>
      </c>
      <c r="J115" s="15" t="s">
        <v>19355</v>
      </c>
      <c r="K115" s="15">
        <v>7492</v>
      </c>
      <c r="L115" s="15" t="s">
        <v>19099</v>
      </c>
    </row>
    <row r="116" spans="1:12" x14ac:dyDescent="0.25">
      <c r="A116" s="2" t="s">
        <v>1115</v>
      </c>
      <c r="B116" s="8" t="s">
        <v>15625</v>
      </c>
      <c r="C116" s="2" t="s">
        <v>1115</v>
      </c>
      <c r="D116" s="2" t="s">
        <v>1116</v>
      </c>
      <c r="E116" s="4" t="s">
        <v>19562</v>
      </c>
      <c r="G116" s="15" t="s">
        <v>19562</v>
      </c>
      <c r="H116" s="15" t="s">
        <v>19563</v>
      </c>
      <c r="I116" s="15" t="s">
        <v>19564</v>
      </c>
      <c r="J116" s="15" t="s">
        <v>19462</v>
      </c>
      <c r="K116" s="15">
        <v>31275</v>
      </c>
      <c r="L116" s="15" t="s">
        <v>19099</v>
      </c>
    </row>
    <row r="117" spans="1:12" x14ac:dyDescent="0.25">
      <c r="A117" s="2" t="s">
        <v>1118</v>
      </c>
      <c r="B117" s="8" t="s">
        <v>15626</v>
      </c>
      <c r="C117" s="2" t="s">
        <v>1118</v>
      </c>
      <c r="D117" s="2" t="s">
        <v>1119</v>
      </c>
      <c r="E117" s="4" t="s">
        <v>19565</v>
      </c>
      <c r="G117" s="15" t="s">
        <v>19566</v>
      </c>
      <c r="H117" s="15" t="s">
        <v>19567</v>
      </c>
      <c r="I117" s="15" t="s">
        <v>19568</v>
      </c>
      <c r="J117" s="15" t="s">
        <v>19467</v>
      </c>
      <c r="K117" s="15">
        <v>13888</v>
      </c>
      <c r="L117" s="15" t="s">
        <v>19099</v>
      </c>
    </row>
    <row r="118" spans="1:12" x14ac:dyDescent="0.25">
      <c r="A118" s="2" t="s">
        <v>1121</v>
      </c>
      <c r="B118" s="8" t="s">
        <v>15627</v>
      </c>
      <c r="C118" s="2" t="s">
        <v>1121</v>
      </c>
      <c r="D118" s="2" t="s">
        <v>1122</v>
      </c>
      <c r="E118" s="4" t="s">
        <v>19569</v>
      </c>
      <c r="G118" s="15" t="s">
        <v>19570</v>
      </c>
      <c r="H118" s="15" t="s">
        <v>19571</v>
      </c>
      <c r="I118" s="15" t="s">
        <v>19572</v>
      </c>
      <c r="J118" s="15" t="s">
        <v>19472</v>
      </c>
      <c r="K118" s="15">
        <v>7486</v>
      </c>
      <c r="L118" s="15" t="s">
        <v>19099</v>
      </c>
    </row>
    <row r="119" spans="1:12" x14ac:dyDescent="0.25">
      <c r="A119" s="2" t="s">
        <v>1124</v>
      </c>
      <c r="B119" s="8" t="s">
        <v>15628</v>
      </c>
      <c r="C119" s="2" t="s">
        <v>1124</v>
      </c>
      <c r="D119" s="2" t="s">
        <v>1125</v>
      </c>
      <c r="E119" s="4" t="s">
        <v>19573</v>
      </c>
      <c r="G119" s="15" t="s">
        <v>19574</v>
      </c>
      <c r="H119" s="15" t="s">
        <v>19575</v>
      </c>
      <c r="I119" s="15" t="s">
        <v>19576</v>
      </c>
      <c r="J119" s="15" t="s">
        <v>19577</v>
      </c>
      <c r="K119" s="15">
        <v>182167</v>
      </c>
      <c r="L119" s="15" t="s">
        <v>19099</v>
      </c>
    </row>
    <row r="120" spans="1:12" x14ac:dyDescent="0.25">
      <c r="A120" s="2" t="s">
        <v>1127</v>
      </c>
      <c r="B120" s="8" t="s">
        <v>15629</v>
      </c>
      <c r="C120" s="2" t="s">
        <v>1127</v>
      </c>
      <c r="D120" s="2" t="s">
        <v>1128</v>
      </c>
      <c r="E120" s="4" t="s">
        <v>19578</v>
      </c>
      <c r="G120" s="15" t="s">
        <v>19579</v>
      </c>
      <c r="H120" s="15" t="s">
        <v>19580</v>
      </c>
      <c r="I120" s="15" t="s">
        <v>19581</v>
      </c>
      <c r="J120" s="15" t="s">
        <v>19582</v>
      </c>
      <c r="K120" s="15">
        <v>185831</v>
      </c>
      <c r="L120" s="15" t="s">
        <v>19099</v>
      </c>
    </row>
    <row r="121" spans="1:12" x14ac:dyDescent="0.25">
      <c r="A121" s="2" t="s">
        <v>1130</v>
      </c>
      <c r="B121" s="8" t="s">
        <v>15630</v>
      </c>
      <c r="C121" s="2" t="s">
        <v>1130</v>
      </c>
      <c r="D121" s="2" t="s">
        <v>1131</v>
      </c>
      <c r="E121" s="4" t="s">
        <v>19583</v>
      </c>
      <c r="G121" s="15" t="s">
        <v>19583</v>
      </c>
      <c r="H121" s="15" t="s">
        <v>19584</v>
      </c>
      <c r="I121" s="15" t="s">
        <v>19585</v>
      </c>
      <c r="J121" s="15" t="s">
        <v>19364</v>
      </c>
      <c r="K121" s="15">
        <v>7809</v>
      </c>
      <c r="L121" s="15" t="s">
        <v>19099</v>
      </c>
    </row>
    <row r="122" spans="1:12" x14ac:dyDescent="0.25">
      <c r="A122" s="2" t="s">
        <v>1133</v>
      </c>
      <c r="B122" s="8" t="s">
        <v>15631</v>
      </c>
      <c r="C122" s="2" t="s">
        <v>1133</v>
      </c>
      <c r="D122" s="2" t="s">
        <v>1134</v>
      </c>
      <c r="E122" s="4" t="s">
        <v>19586</v>
      </c>
      <c r="G122" s="15" t="s">
        <v>19587</v>
      </c>
      <c r="H122" s="15" t="s">
        <v>19588</v>
      </c>
      <c r="I122" s="15" t="s">
        <v>19589</v>
      </c>
      <c r="J122" s="15" t="s">
        <v>19472</v>
      </c>
      <c r="K122" s="15">
        <v>12668</v>
      </c>
      <c r="L122" s="15" t="s">
        <v>19099</v>
      </c>
    </row>
    <row r="123" spans="1:12" x14ac:dyDescent="0.25">
      <c r="A123" s="2" t="s">
        <v>1136</v>
      </c>
      <c r="B123" s="8" t="s">
        <v>15632</v>
      </c>
      <c r="C123" s="2" t="s">
        <v>1136</v>
      </c>
      <c r="D123" s="2" t="s">
        <v>1137</v>
      </c>
      <c r="E123" s="4" t="s">
        <v>19590</v>
      </c>
      <c r="G123" s="15" t="s">
        <v>19591</v>
      </c>
      <c r="H123" s="15" t="s">
        <v>19592</v>
      </c>
      <c r="I123" s="15" t="s">
        <v>19593</v>
      </c>
      <c r="J123" s="15" t="s">
        <v>19594</v>
      </c>
      <c r="K123" s="15">
        <v>273</v>
      </c>
      <c r="L123" s="15" t="s">
        <v>19099</v>
      </c>
    </row>
    <row r="124" spans="1:12" x14ac:dyDescent="0.25">
      <c r="A124" s="2" t="s">
        <v>1139</v>
      </c>
      <c r="B124" s="8" t="s">
        <v>15633</v>
      </c>
      <c r="C124" s="2" t="s">
        <v>1139</v>
      </c>
      <c r="D124" s="2" t="s">
        <v>1140</v>
      </c>
      <c r="E124" s="4" t="s">
        <v>19595</v>
      </c>
      <c r="G124" s="15" t="s">
        <v>19595</v>
      </c>
      <c r="H124" s="15" t="s">
        <v>19596</v>
      </c>
      <c r="I124" s="15" t="s">
        <v>19597</v>
      </c>
      <c r="J124" s="15" t="s">
        <v>19598</v>
      </c>
      <c r="K124" s="15">
        <v>11328</v>
      </c>
      <c r="L124" s="15" t="s">
        <v>19099</v>
      </c>
    </row>
    <row r="125" spans="1:12" x14ac:dyDescent="0.25">
      <c r="A125" s="2" t="s">
        <v>1142</v>
      </c>
      <c r="B125" s="8" t="s">
        <v>15634</v>
      </c>
      <c r="C125" s="2" t="s">
        <v>1142</v>
      </c>
      <c r="D125" s="2" t="s">
        <v>1143</v>
      </c>
      <c r="E125" s="4" t="s">
        <v>1143</v>
      </c>
      <c r="G125" s="15" t="s">
        <v>19599</v>
      </c>
      <c r="H125" s="15" t="s">
        <v>19600</v>
      </c>
      <c r="I125" s="15" t="s">
        <v>19601</v>
      </c>
      <c r="J125" s="15" t="s">
        <v>19602</v>
      </c>
      <c r="K125" s="15">
        <v>68570</v>
      </c>
      <c r="L125" s="15" t="s">
        <v>19099</v>
      </c>
    </row>
    <row r="126" spans="1:12" x14ac:dyDescent="0.25">
      <c r="A126" s="2" t="s">
        <v>1145</v>
      </c>
      <c r="B126" s="8" t="s">
        <v>15635</v>
      </c>
      <c r="C126" s="2" t="s">
        <v>1145</v>
      </c>
      <c r="D126" s="2" t="s">
        <v>1146</v>
      </c>
      <c r="E126" s="4" t="s">
        <v>1146</v>
      </c>
      <c r="G126" s="15" t="s">
        <v>19603</v>
      </c>
      <c r="H126" s="15" t="s">
        <v>19604</v>
      </c>
      <c r="I126" s="15" t="s">
        <v>19605</v>
      </c>
      <c r="J126" s="15" t="s">
        <v>19602</v>
      </c>
      <c r="K126" s="15">
        <v>5757</v>
      </c>
      <c r="L126" s="15" t="s">
        <v>19099</v>
      </c>
    </row>
    <row r="127" spans="1:12" x14ac:dyDescent="0.25">
      <c r="A127" s="2" t="s">
        <v>1148</v>
      </c>
      <c r="B127" s="8" t="s">
        <v>15636</v>
      </c>
      <c r="C127" s="2" t="s">
        <v>1148</v>
      </c>
      <c r="D127" s="2" t="s">
        <v>1149</v>
      </c>
      <c r="E127" s="4" t="s">
        <v>19606</v>
      </c>
      <c r="G127" s="15" t="s">
        <v>19607</v>
      </c>
      <c r="H127" s="15" t="s">
        <v>19608</v>
      </c>
      <c r="I127" s="15" t="s">
        <v>19609</v>
      </c>
      <c r="J127" s="15" t="s">
        <v>19610</v>
      </c>
      <c r="K127" s="15">
        <v>9209</v>
      </c>
      <c r="L127" s="15" t="s">
        <v>19099</v>
      </c>
    </row>
    <row r="128" spans="1:12" x14ac:dyDescent="0.25">
      <c r="A128" s="2" t="s">
        <v>1151</v>
      </c>
      <c r="B128" s="8" t="s">
        <v>15637</v>
      </c>
      <c r="C128" s="2" t="s">
        <v>1151</v>
      </c>
      <c r="D128" s="2" t="s">
        <v>1152</v>
      </c>
      <c r="E128" s="4" t="s">
        <v>1152</v>
      </c>
      <c r="G128" s="15" t="s">
        <v>19611</v>
      </c>
      <c r="H128" s="15" t="s">
        <v>19612</v>
      </c>
      <c r="I128" s="15" t="s">
        <v>19613</v>
      </c>
      <c r="J128" s="15" t="s">
        <v>19614</v>
      </c>
      <c r="K128" s="15">
        <v>2758</v>
      </c>
      <c r="L128" s="15" t="s">
        <v>19099</v>
      </c>
    </row>
    <row r="129" spans="1:12" x14ac:dyDescent="0.25">
      <c r="A129" s="2" t="s">
        <v>1154</v>
      </c>
      <c r="B129" s="8" t="s">
        <v>15638</v>
      </c>
      <c r="C129" s="2" t="s">
        <v>1154</v>
      </c>
      <c r="D129" s="2" t="s">
        <v>1155</v>
      </c>
      <c r="E129" s="4" t="s">
        <v>19615</v>
      </c>
      <c r="G129" s="15" t="s">
        <v>19616</v>
      </c>
      <c r="H129" s="15" t="s">
        <v>19617</v>
      </c>
      <c r="I129" s="15" t="s">
        <v>19618</v>
      </c>
      <c r="J129" s="15" t="s">
        <v>19619</v>
      </c>
      <c r="K129" s="15">
        <v>6702</v>
      </c>
      <c r="L129" s="15" t="s">
        <v>19099</v>
      </c>
    </row>
    <row r="130" spans="1:12" x14ac:dyDescent="0.25">
      <c r="A130" s="2" t="s">
        <v>1157</v>
      </c>
      <c r="B130" s="8" t="s">
        <v>15639</v>
      </c>
      <c r="C130" s="2" t="s">
        <v>1157</v>
      </c>
      <c r="D130" s="2" t="s">
        <v>1158</v>
      </c>
      <c r="E130" s="4" t="s">
        <v>19620</v>
      </c>
      <c r="G130" s="15" t="s">
        <v>19621</v>
      </c>
      <c r="H130" s="15" t="s">
        <v>19622</v>
      </c>
      <c r="I130" s="15" t="s">
        <v>19623</v>
      </c>
      <c r="J130" s="15" t="s">
        <v>19624</v>
      </c>
      <c r="K130" s="15">
        <v>8916</v>
      </c>
      <c r="L130" s="15" t="s">
        <v>19099</v>
      </c>
    </row>
    <row r="131" spans="1:12" x14ac:dyDescent="0.25">
      <c r="A131" s="2" t="s">
        <v>1160</v>
      </c>
      <c r="B131" s="8" t="s">
        <v>15640</v>
      </c>
      <c r="C131" s="2" t="s">
        <v>1160</v>
      </c>
      <c r="D131" s="2" t="s">
        <v>1161</v>
      </c>
      <c r="E131" s="4" t="s">
        <v>19625</v>
      </c>
      <c r="G131" s="15" t="s">
        <v>19626</v>
      </c>
      <c r="H131" s="15" t="s">
        <v>19627</v>
      </c>
      <c r="I131" s="15" t="s">
        <v>19628</v>
      </c>
      <c r="J131" s="15" t="s">
        <v>19629</v>
      </c>
      <c r="K131" s="15">
        <v>7852</v>
      </c>
      <c r="L131" s="15" t="s">
        <v>19099</v>
      </c>
    </row>
    <row r="132" spans="1:12" x14ac:dyDescent="0.25">
      <c r="A132" s="2" t="s">
        <v>1163</v>
      </c>
      <c r="B132" s="8" t="s">
        <v>15641</v>
      </c>
      <c r="C132" s="2" t="s">
        <v>1163</v>
      </c>
      <c r="D132" s="2" t="s">
        <v>1164</v>
      </c>
      <c r="E132" s="4" t="s">
        <v>19630</v>
      </c>
      <c r="G132" s="15" t="s">
        <v>19631</v>
      </c>
      <c r="H132" s="15" t="s">
        <v>19632</v>
      </c>
      <c r="I132" s="15" t="s">
        <v>19633</v>
      </c>
      <c r="J132" s="15" t="s">
        <v>19634</v>
      </c>
      <c r="K132" s="15">
        <v>8007</v>
      </c>
      <c r="L132" s="15" t="s">
        <v>19099</v>
      </c>
    </row>
    <row r="133" spans="1:12" x14ac:dyDescent="0.25">
      <c r="A133" s="2" t="s">
        <v>1166</v>
      </c>
      <c r="B133" s="8" t="s">
        <v>15642</v>
      </c>
      <c r="C133" s="2" t="s">
        <v>1166</v>
      </c>
      <c r="D133" s="2" t="s">
        <v>1167</v>
      </c>
      <c r="E133" s="4" t="s">
        <v>19635</v>
      </c>
      <c r="G133" s="15" t="s">
        <v>19636</v>
      </c>
      <c r="H133" s="15" t="s">
        <v>19637</v>
      </c>
      <c r="I133" s="15" t="s">
        <v>19638</v>
      </c>
      <c r="J133" s="15" t="s">
        <v>19639</v>
      </c>
      <c r="K133" s="15">
        <v>8143</v>
      </c>
      <c r="L133" s="15" t="s">
        <v>19099</v>
      </c>
    </row>
    <row r="134" spans="1:12" x14ac:dyDescent="0.25">
      <c r="A134" s="2" t="s">
        <v>1169</v>
      </c>
      <c r="B134" s="8" t="s">
        <v>15643</v>
      </c>
      <c r="C134" s="2" t="s">
        <v>1169</v>
      </c>
      <c r="D134" s="2" t="s">
        <v>1170</v>
      </c>
      <c r="E134" s="4" t="s">
        <v>19640</v>
      </c>
      <c r="G134" s="15" t="s">
        <v>19641</v>
      </c>
      <c r="H134" s="15" t="s">
        <v>19642</v>
      </c>
      <c r="I134" s="15" t="s">
        <v>19643</v>
      </c>
      <c r="J134" s="15" t="s">
        <v>19644</v>
      </c>
      <c r="K134" s="15">
        <v>8640</v>
      </c>
      <c r="L134" s="15" t="s">
        <v>19099</v>
      </c>
    </row>
    <row r="135" spans="1:12" x14ac:dyDescent="0.25">
      <c r="A135" s="2" t="s">
        <v>1172</v>
      </c>
      <c r="B135" s="8" t="s">
        <v>15644</v>
      </c>
      <c r="C135" s="2" t="s">
        <v>1172</v>
      </c>
      <c r="D135" s="2" t="s">
        <v>1173</v>
      </c>
      <c r="E135" s="4" t="s">
        <v>19645</v>
      </c>
      <c r="G135" s="15" t="s">
        <v>19646</v>
      </c>
      <c r="H135" s="15" t="s">
        <v>19647</v>
      </c>
      <c r="I135" s="15" t="s">
        <v>19648</v>
      </c>
      <c r="J135" s="15" t="s">
        <v>19649</v>
      </c>
      <c r="K135" s="15">
        <v>13381</v>
      </c>
      <c r="L135" s="15" t="s">
        <v>19099</v>
      </c>
    </row>
    <row r="136" spans="1:12" x14ac:dyDescent="0.25">
      <c r="A136" s="2" t="s">
        <v>1175</v>
      </c>
      <c r="B136" s="8" t="s">
        <v>15645</v>
      </c>
      <c r="C136" s="2" t="s">
        <v>1175</v>
      </c>
      <c r="D136" s="2" t="s">
        <v>1176</v>
      </c>
      <c r="E136" s="4" t="s">
        <v>1176</v>
      </c>
      <c r="G136" s="15" t="s">
        <v>19650</v>
      </c>
      <c r="H136" s="15" t="s">
        <v>19651</v>
      </c>
      <c r="I136" s="15" t="s">
        <v>19652</v>
      </c>
      <c r="J136" s="15" t="s">
        <v>19653</v>
      </c>
      <c r="K136" s="15">
        <v>8174</v>
      </c>
      <c r="L136" s="15" t="s">
        <v>19099</v>
      </c>
    </row>
    <row r="137" spans="1:12" x14ac:dyDescent="0.25">
      <c r="A137" s="2" t="s">
        <v>1178</v>
      </c>
      <c r="B137" s="8" t="s">
        <v>15646</v>
      </c>
      <c r="C137" s="2" t="s">
        <v>1178</v>
      </c>
      <c r="D137" s="2" t="s">
        <v>1179</v>
      </c>
      <c r="E137" s="4" t="s">
        <v>19654</v>
      </c>
      <c r="G137" s="15" t="s">
        <v>19655</v>
      </c>
      <c r="H137" s="15" t="s">
        <v>19656</v>
      </c>
      <c r="I137" s="15" t="s">
        <v>19657</v>
      </c>
      <c r="J137" s="15" t="s">
        <v>19658</v>
      </c>
      <c r="K137" s="15">
        <v>12395</v>
      </c>
      <c r="L137" s="15" t="s">
        <v>19099</v>
      </c>
    </row>
    <row r="138" spans="1:12" x14ac:dyDescent="0.25">
      <c r="A138" s="2" t="s">
        <v>1181</v>
      </c>
      <c r="B138" s="8" t="s">
        <v>15647</v>
      </c>
      <c r="C138" s="2" t="s">
        <v>1181</v>
      </c>
      <c r="D138" s="2" t="s">
        <v>1182</v>
      </c>
      <c r="E138" s="4" t="s">
        <v>1182</v>
      </c>
      <c r="G138" s="15" t="s">
        <v>19659</v>
      </c>
      <c r="H138" s="15" t="s">
        <v>19660</v>
      </c>
      <c r="I138" s="15" t="s">
        <v>19661</v>
      </c>
      <c r="J138" s="15" t="s">
        <v>19662</v>
      </c>
      <c r="K138" s="15">
        <v>2682</v>
      </c>
      <c r="L138" s="15" t="s">
        <v>19099</v>
      </c>
    </row>
    <row r="139" spans="1:12" x14ac:dyDescent="0.25">
      <c r="A139" s="2" t="s">
        <v>1184</v>
      </c>
      <c r="B139" s="8" t="s">
        <v>15648</v>
      </c>
      <c r="C139" s="2" t="s">
        <v>1184</v>
      </c>
      <c r="D139" s="2" t="s">
        <v>1185</v>
      </c>
      <c r="E139" s="4" t="s">
        <v>1185</v>
      </c>
      <c r="G139" s="15" t="s">
        <v>19663</v>
      </c>
      <c r="H139" s="15" t="s">
        <v>19664</v>
      </c>
      <c r="I139" s="15" t="s">
        <v>19665</v>
      </c>
      <c r="J139" s="15" t="s">
        <v>19504</v>
      </c>
      <c r="K139" s="15">
        <v>7900</v>
      </c>
      <c r="L139" s="15" t="s">
        <v>19099</v>
      </c>
    </row>
    <row r="140" spans="1:12" x14ac:dyDescent="0.25">
      <c r="A140" s="2" t="s">
        <v>1187</v>
      </c>
      <c r="B140" s="8" t="s">
        <v>15649</v>
      </c>
      <c r="C140" s="2" t="s">
        <v>1187</v>
      </c>
      <c r="D140" s="2" t="s">
        <v>1188</v>
      </c>
      <c r="E140" s="4" t="s">
        <v>19666</v>
      </c>
      <c r="G140" s="15" t="s">
        <v>19666</v>
      </c>
      <c r="H140" s="15" t="s">
        <v>19667</v>
      </c>
      <c r="I140" s="15" t="s">
        <v>19668</v>
      </c>
      <c r="J140" s="15" t="s">
        <v>19669</v>
      </c>
      <c r="K140" s="15">
        <v>12338</v>
      </c>
      <c r="L140" s="15" t="s">
        <v>19099</v>
      </c>
    </row>
    <row r="141" spans="1:12" x14ac:dyDescent="0.25">
      <c r="A141" s="2" t="s">
        <v>1190</v>
      </c>
      <c r="B141" s="8" t="s">
        <v>15650</v>
      </c>
      <c r="C141" s="2" t="s">
        <v>1190</v>
      </c>
      <c r="D141" s="2" t="s">
        <v>1191</v>
      </c>
      <c r="E141" s="4" t="s">
        <v>19670</v>
      </c>
      <c r="G141" s="15" t="s">
        <v>19670</v>
      </c>
      <c r="H141" s="15" t="s">
        <v>19671</v>
      </c>
      <c r="I141" s="15" t="s">
        <v>19672</v>
      </c>
      <c r="J141" s="15" t="s">
        <v>19219</v>
      </c>
      <c r="K141" s="15">
        <v>14091</v>
      </c>
      <c r="L141" s="15" t="s">
        <v>19099</v>
      </c>
    </row>
    <row r="142" spans="1:12" x14ac:dyDescent="0.25">
      <c r="A142" s="2" t="s">
        <v>1193</v>
      </c>
      <c r="B142" s="8" t="s">
        <v>15651</v>
      </c>
      <c r="C142" s="2" t="s">
        <v>1193</v>
      </c>
      <c r="D142" s="2" t="s">
        <v>1194</v>
      </c>
      <c r="E142" s="4" t="s">
        <v>19673</v>
      </c>
      <c r="G142" s="15" t="s">
        <v>19674</v>
      </c>
      <c r="H142" s="15" t="s">
        <v>19675</v>
      </c>
      <c r="I142" s="15" t="s">
        <v>19676</v>
      </c>
      <c r="J142" s="15" t="s">
        <v>19677</v>
      </c>
      <c r="K142" s="15">
        <v>13387</v>
      </c>
      <c r="L142" s="15" t="s">
        <v>19099</v>
      </c>
    </row>
    <row r="143" spans="1:12" x14ac:dyDescent="0.25">
      <c r="A143" s="2" t="s">
        <v>1196</v>
      </c>
      <c r="B143" s="8" t="s">
        <v>15652</v>
      </c>
      <c r="C143" s="2" t="s">
        <v>1196</v>
      </c>
      <c r="D143" s="2" t="s">
        <v>1197</v>
      </c>
      <c r="E143" s="4" t="s">
        <v>19678</v>
      </c>
      <c r="G143" s="15" t="s">
        <v>19679</v>
      </c>
      <c r="H143" s="15" t="s">
        <v>19680</v>
      </c>
      <c r="I143" s="15" t="s">
        <v>19681</v>
      </c>
      <c r="J143" s="15" t="s">
        <v>19682</v>
      </c>
      <c r="K143" s="15">
        <v>20636</v>
      </c>
      <c r="L143" s="15" t="s">
        <v>19099</v>
      </c>
    </row>
    <row r="144" spans="1:12" x14ac:dyDescent="0.25">
      <c r="A144" s="2" t="s">
        <v>1199</v>
      </c>
      <c r="B144" s="8" t="s">
        <v>15653</v>
      </c>
      <c r="C144" s="2" t="s">
        <v>1199</v>
      </c>
      <c r="D144" s="2" t="s">
        <v>1200</v>
      </c>
      <c r="E144" s="4" t="s">
        <v>19683</v>
      </c>
      <c r="G144" s="15" t="s">
        <v>19683</v>
      </c>
      <c r="H144" s="15" t="s">
        <v>19684</v>
      </c>
      <c r="I144" s="15" t="s">
        <v>19685</v>
      </c>
      <c r="J144" s="15" t="s">
        <v>19686</v>
      </c>
      <c r="K144" s="15">
        <v>7002</v>
      </c>
      <c r="L144" s="15" t="s">
        <v>19099</v>
      </c>
    </row>
    <row r="145" spans="1:12" x14ac:dyDescent="0.25">
      <c r="A145" s="2" t="s">
        <v>1202</v>
      </c>
      <c r="B145" s="8" t="s">
        <v>15654</v>
      </c>
      <c r="C145" s="2" t="s">
        <v>1202</v>
      </c>
      <c r="D145" s="2" t="s">
        <v>1203</v>
      </c>
      <c r="E145" s="4" t="s">
        <v>1203</v>
      </c>
      <c r="G145" s="15" t="s">
        <v>19687</v>
      </c>
      <c r="H145" s="15" t="s">
        <v>19688</v>
      </c>
      <c r="I145" s="15" t="s">
        <v>19689</v>
      </c>
      <c r="J145" s="15" t="s">
        <v>19690</v>
      </c>
      <c r="K145" s="15">
        <v>15287</v>
      </c>
      <c r="L145" s="15" t="s">
        <v>19099</v>
      </c>
    </row>
    <row r="146" spans="1:12" x14ac:dyDescent="0.25">
      <c r="A146" s="2" t="s">
        <v>1205</v>
      </c>
      <c r="B146" s="8" t="s">
        <v>15655</v>
      </c>
      <c r="C146" s="2" t="s">
        <v>1205</v>
      </c>
      <c r="D146" s="2" t="s">
        <v>1206</v>
      </c>
      <c r="E146" s="4" t="s">
        <v>1206</v>
      </c>
      <c r="G146" s="15" t="s">
        <v>1206</v>
      </c>
      <c r="H146" s="15" t="s">
        <v>19691</v>
      </c>
      <c r="I146" s="15" t="s">
        <v>19692</v>
      </c>
      <c r="J146" s="15" t="s">
        <v>19693</v>
      </c>
      <c r="K146" s="15">
        <v>12967</v>
      </c>
      <c r="L146" s="15" t="s">
        <v>19099</v>
      </c>
    </row>
    <row r="147" spans="1:12" x14ac:dyDescent="0.25">
      <c r="A147" s="2" t="s">
        <v>1208</v>
      </c>
      <c r="B147" s="8" t="s">
        <v>15656</v>
      </c>
      <c r="C147" s="2" t="s">
        <v>1208</v>
      </c>
      <c r="D147" s="2" t="s">
        <v>1209</v>
      </c>
      <c r="E147" s="4" t="s">
        <v>19694</v>
      </c>
      <c r="G147" s="15" t="s">
        <v>19695</v>
      </c>
      <c r="H147" s="15" t="s">
        <v>19696</v>
      </c>
      <c r="I147" s="15" t="s">
        <v>19697</v>
      </c>
      <c r="J147" s="15" t="s">
        <v>19698</v>
      </c>
      <c r="K147" s="15">
        <v>16979</v>
      </c>
      <c r="L147" s="15" t="s">
        <v>19099</v>
      </c>
    </row>
    <row r="148" spans="1:12" x14ac:dyDescent="0.25">
      <c r="A148" s="2" t="s">
        <v>1211</v>
      </c>
      <c r="B148" s="8" t="s">
        <v>15657</v>
      </c>
      <c r="C148" s="2" t="s">
        <v>1211</v>
      </c>
      <c r="D148" s="2" t="s">
        <v>1212</v>
      </c>
      <c r="E148" s="4" t="s">
        <v>19699</v>
      </c>
      <c r="G148" s="15" t="s">
        <v>19700</v>
      </c>
      <c r="H148" s="15" t="s">
        <v>19701</v>
      </c>
      <c r="I148" s="15" t="s">
        <v>19702</v>
      </c>
      <c r="J148" s="15" t="s">
        <v>19703</v>
      </c>
      <c r="K148" s="15">
        <v>20655</v>
      </c>
      <c r="L148" s="15" t="s">
        <v>19099</v>
      </c>
    </row>
    <row r="149" spans="1:12" x14ac:dyDescent="0.25">
      <c r="A149" s="2" t="s">
        <v>1214</v>
      </c>
      <c r="B149" s="8" t="s">
        <v>15658</v>
      </c>
      <c r="C149" s="2" t="s">
        <v>1214</v>
      </c>
      <c r="D149" s="2" t="s">
        <v>1215</v>
      </c>
      <c r="E149" s="4" t="s">
        <v>19704</v>
      </c>
      <c r="G149" s="15" t="s">
        <v>19705</v>
      </c>
      <c r="H149" s="15" t="s">
        <v>19706</v>
      </c>
      <c r="I149" s="15" t="s">
        <v>19707</v>
      </c>
      <c r="J149" s="15" t="s">
        <v>19686</v>
      </c>
      <c r="K149" s="15">
        <v>588163</v>
      </c>
      <c r="L149" s="15" t="s">
        <v>19099</v>
      </c>
    </row>
    <row r="150" spans="1:12" x14ac:dyDescent="0.25">
      <c r="A150" s="2" t="s">
        <v>1217</v>
      </c>
      <c r="B150" s="8" t="s">
        <v>15659</v>
      </c>
      <c r="C150" s="2" t="s">
        <v>1217</v>
      </c>
      <c r="D150" s="2" t="s">
        <v>1218</v>
      </c>
      <c r="E150" s="4" t="s">
        <v>19708</v>
      </c>
      <c r="G150" s="15" t="s">
        <v>19709</v>
      </c>
      <c r="H150" s="15" t="s">
        <v>19710</v>
      </c>
      <c r="I150" s="15" t="s">
        <v>19711</v>
      </c>
      <c r="J150" s="15" t="s">
        <v>19712</v>
      </c>
      <c r="K150" s="15">
        <v>7848</v>
      </c>
      <c r="L150" s="15" t="s">
        <v>19099</v>
      </c>
    </row>
    <row r="151" spans="1:12" x14ac:dyDescent="0.25">
      <c r="A151" s="2" t="s">
        <v>1220</v>
      </c>
      <c r="B151" s="8" t="s">
        <v>15660</v>
      </c>
      <c r="C151" s="2" t="s">
        <v>1220</v>
      </c>
      <c r="D151" s="2" t="s">
        <v>1221</v>
      </c>
      <c r="E151" s="4" t="s">
        <v>19713</v>
      </c>
      <c r="G151" s="15" t="s">
        <v>19714</v>
      </c>
      <c r="H151" s="15" t="s">
        <v>19715</v>
      </c>
      <c r="I151" s="15" t="s">
        <v>19716</v>
      </c>
      <c r="J151" s="15" t="s">
        <v>19717</v>
      </c>
      <c r="K151" s="15">
        <v>8252</v>
      </c>
      <c r="L151" s="15" t="s">
        <v>19099</v>
      </c>
    </row>
    <row r="152" spans="1:12" x14ac:dyDescent="0.25">
      <c r="A152" s="2" t="s">
        <v>1223</v>
      </c>
      <c r="B152" s="8" t="s">
        <v>15661</v>
      </c>
      <c r="C152" s="2" t="s">
        <v>1223</v>
      </c>
      <c r="D152" s="2" t="s">
        <v>1224</v>
      </c>
      <c r="E152" s="4" t="s">
        <v>19718</v>
      </c>
      <c r="G152" s="15" t="s">
        <v>19719</v>
      </c>
      <c r="H152" s="15" t="s">
        <v>19720</v>
      </c>
      <c r="I152" s="15" t="s">
        <v>19721</v>
      </c>
      <c r="J152" s="15" t="s">
        <v>19722</v>
      </c>
      <c r="K152" s="15">
        <v>22522</v>
      </c>
      <c r="L152" s="15" t="s">
        <v>19099</v>
      </c>
    </row>
    <row r="153" spans="1:12" x14ac:dyDescent="0.25">
      <c r="A153" s="2" t="s">
        <v>1226</v>
      </c>
      <c r="B153" s="8" t="s">
        <v>15662</v>
      </c>
      <c r="C153" s="2" t="s">
        <v>1226</v>
      </c>
      <c r="D153" s="2" t="s">
        <v>1227</v>
      </c>
      <c r="E153" s="4" t="s">
        <v>19723</v>
      </c>
      <c r="G153" s="15" t="s">
        <v>19724</v>
      </c>
      <c r="H153" s="15" t="s">
        <v>19725</v>
      </c>
      <c r="I153" s="15" t="s">
        <v>19726</v>
      </c>
      <c r="J153" s="15" t="s">
        <v>19245</v>
      </c>
      <c r="K153" s="15">
        <v>7668</v>
      </c>
      <c r="L153" s="15" t="s">
        <v>19099</v>
      </c>
    </row>
    <row r="154" spans="1:12" x14ac:dyDescent="0.25">
      <c r="A154" s="2" t="s">
        <v>1229</v>
      </c>
      <c r="B154" s="8" t="s">
        <v>15663</v>
      </c>
      <c r="C154" s="2" t="s">
        <v>1229</v>
      </c>
      <c r="D154" s="2" t="s">
        <v>1230</v>
      </c>
      <c r="E154" s="4" t="s">
        <v>19727</v>
      </c>
      <c r="G154" s="15" t="s">
        <v>19728</v>
      </c>
      <c r="H154" s="15" t="s">
        <v>19729</v>
      </c>
      <c r="I154" s="15" t="s">
        <v>19730</v>
      </c>
      <c r="J154" s="15" t="s">
        <v>19698</v>
      </c>
      <c r="K154" s="15">
        <v>17631</v>
      </c>
      <c r="L154" s="15" t="s">
        <v>19099</v>
      </c>
    </row>
    <row r="155" spans="1:12" x14ac:dyDescent="0.25">
      <c r="A155" s="2" t="s">
        <v>1232</v>
      </c>
      <c r="B155" s="8" t="s">
        <v>15664</v>
      </c>
      <c r="C155" s="2" t="s">
        <v>1232</v>
      </c>
      <c r="D155" s="2" t="s">
        <v>1233</v>
      </c>
      <c r="E155" s="4" t="s">
        <v>19731</v>
      </c>
      <c r="G155" s="15" t="s">
        <v>19732</v>
      </c>
      <c r="H155" s="15" t="s">
        <v>19733</v>
      </c>
      <c r="I155" s="15" t="s">
        <v>19734</v>
      </c>
      <c r="J155" s="15" t="s">
        <v>19735</v>
      </c>
      <c r="K155" s="15">
        <v>8012</v>
      </c>
      <c r="L155" s="15" t="s">
        <v>19099</v>
      </c>
    </row>
    <row r="156" spans="1:12" x14ac:dyDescent="0.25">
      <c r="A156" s="2" t="s">
        <v>1235</v>
      </c>
      <c r="B156" s="8" t="s">
        <v>15665</v>
      </c>
      <c r="C156" s="2" t="s">
        <v>1235</v>
      </c>
      <c r="D156" s="2" t="s">
        <v>1236</v>
      </c>
      <c r="E156" s="4" t="s">
        <v>19736</v>
      </c>
      <c r="G156" s="15" t="s">
        <v>19737</v>
      </c>
      <c r="H156" s="15" t="s">
        <v>19738</v>
      </c>
      <c r="I156" s="15" t="s">
        <v>19739</v>
      </c>
      <c r="J156" s="15" t="s">
        <v>19703</v>
      </c>
      <c r="K156" s="15">
        <v>20661</v>
      </c>
      <c r="L156" s="15" t="s">
        <v>19099</v>
      </c>
    </row>
    <row r="157" spans="1:12" x14ac:dyDescent="0.25">
      <c r="A157" s="2" t="s">
        <v>1238</v>
      </c>
      <c r="B157" s="8" t="s">
        <v>15666</v>
      </c>
      <c r="C157" s="2" t="s">
        <v>1238</v>
      </c>
      <c r="D157" s="2" t="s">
        <v>1239</v>
      </c>
      <c r="E157" s="4" t="s">
        <v>19740</v>
      </c>
      <c r="G157" s="15" t="s">
        <v>19741</v>
      </c>
      <c r="H157" s="15" t="s">
        <v>19742</v>
      </c>
      <c r="I157" s="15" t="s">
        <v>19743</v>
      </c>
      <c r="J157" s="15" t="s">
        <v>19698</v>
      </c>
      <c r="K157" s="15">
        <v>17630</v>
      </c>
      <c r="L157" s="15" t="s">
        <v>19099</v>
      </c>
    </row>
    <row r="158" spans="1:12" x14ac:dyDescent="0.25">
      <c r="A158" s="2" t="s">
        <v>1241</v>
      </c>
      <c r="B158" s="8" t="s">
        <v>15667</v>
      </c>
      <c r="C158" s="2" t="s">
        <v>1241</v>
      </c>
      <c r="D158" s="2" t="s">
        <v>1242</v>
      </c>
      <c r="E158" s="4" t="s">
        <v>19744</v>
      </c>
      <c r="G158" s="15" t="s">
        <v>19745</v>
      </c>
      <c r="H158" s="15" t="s">
        <v>19746</v>
      </c>
      <c r="I158" s="15" t="s">
        <v>19747</v>
      </c>
      <c r="J158" s="15" t="s">
        <v>19748</v>
      </c>
      <c r="K158" s="15">
        <v>8067</v>
      </c>
      <c r="L158" s="15" t="s">
        <v>19099</v>
      </c>
    </row>
    <row r="159" spans="1:12" x14ac:dyDescent="0.25">
      <c r="A159" s="2" t="s">
        <v>1244</v>
      </c>
      <c r="B159" s="8" t="s">
        <v>15668</v>
      </c>
      <c r="C159" s="2" t="s">
        <v>1244</v>
      </c>
      <c r="D159" s="2" t="s">
        <v>1245</v>
      </c>
      <c r="E159" s="4" t="s">
        <v>19749</v>
      </c>
      <c r="G159" s="15" t="s">
        <v>19750</v>
      </c>
      <c r="H159" s="15" t="s">
        <v>19751</v>
      </c>
      <c r="I159" s="15" t="s">
        <v>19752</v>
      </c>
      <c r="J159" s="15" t="s">
        <v>19682</v>
      </c>
      <c r="K159" s="15">
        <v>20632</v>
      </c>
      <c r="L159" s="15" t="s">
        <v>19099</v>
      </c>
    </row>
    <row r="160" spans="1:12" x14ac:dyDescent="0.25">
      <c r="A160" s="2" t="s">
        <v>1247</v>
      </c>
      <c r="B160" s="8" t="s">
        <v>15669</v>
      </c>
      <c r="C160" s="2" t="s">
        <v>1247</v>
      </c>
      <c r="D160" s="2" t="s">
        <v>1248</v>
      </c>
      <c r="E160" s="4" t="s">
        <v>1248</v>
      </c>
      <c r="G160" s="15" t="s">
        <v>19753</v>
      </c>
      <c r="H160" s="15" t="s">
        <v>19754</v>
      </c>
      <c r="I160" s="15" t="s">
        <v>19755</v>
      </c>
      <c r="J160" s="15" t="s">
        <v>19088</v>
      </c>
      <c r="K160" s="15">
        <v>8103</v>
      </c>
      <c r="L160" s="15" t="s">
        <v>19099</v>
      </c>
    </row>
    <row r="161" spans="1:12" x14ac:dyDescent="0.25">
      <c r="A161" s="2" t="s">
        <v>1250</v>
      </c>
      <c r="B161" s="8" t="s">
        <v>15670</v>
      </c>
      <c r="C161" s="2" t="s">
        <v>1250</v>
      </c>
      <c r="D161" s="2" t="s">
        <v>1251</v>
      </c>
      <c r="E161" s="4" t="s">
        <v>1251</v>
      </c>
      <c r="G161" s="15" t="s">
        <v>19756</v>
      </c>
      <c r="H161" s="15" t="s">
        <v>19757</v>
      </c>
      <c r="I161" s="15" t="s">
        <v>19758</v>
      </c>
      <c r="J161" s="15" t="s">
        <v>19759</v>
      </c>
      <c r="K161" s="15">
        <v>8130</v>
      </c>
      <c r="L161" s="15" t="s">
        <v>19099</v>
      </c>
    </row>
    <row r="162" spans="1:12" x14ac:dyDescent="0.25">
      <c r="A162" s="2" t="s">
        <v>1253</v>
      </c>
      <c r="B162" s="8" t="s">
        <v>15671</v>
      </c>
      <c r="C162" s="2" t="s">
        <v>1253</v>
      </c>
      <c r="D162" s="2" t="s">
        <v>1254</v>
      </c>
      <c r="E162" s="4" t="s">
        <v>19760</v>
      </c>
      <c r="G162" s="15" t="s">
        <v>19761</v>
      </c>
      <c r="H162" s="15" t="s">
        <v>19762</v>
      </c>
      <c r="I162" s="15" t="s">
        <v>19763</v>
      </c>
      <c r="J162" s="15" t="s">
        <v>19764</v>
      </c>
      <c r="K162" s="15">
        <v>11610</v>
      </c>
      <c r="L162" s="15" t="s">
        <v>19099</v>
      </c>
    </row>
    <row r="163" spans="1:12" x14ac:dyDescent="0.25">
      <c r="A163" s="2" t="s">
        <v>1256</v>
      </c>
      <c r="B163" s="8" t="s">
        <v>15672</v>
      </c>
      <c r="C163" s="2" t="s">
        <v>1256</v>
      </c>
      <c r="D163" s="2" t="s">
        <v>1257</v>
      </c>
      <c r="E163" s="4" t="s">
        <v>19765</v>
      </c>
      <c r="G163" s="15" t="s">
        <v>19766</v>
      </c>
      <c r="H163" s="15" t="s">
        <v>19767</v>
      </c>
      <c r="I163" s="15" t="s">
        <v>19768</v>
      </c>
      <c r="J163" s="15" t="s">
        <v>19769</v>
      </c>
      <c r="K163" s="15">
        <v>544716</v>
      </c>
      <c r="L163" s="15" t="s">
        <v>19099</v>
      </c>
    </row>
    <row r="164" spans="1:12" x14ac:dyDescent="0.25">
      <c r="A164" s="2" t="s">
        <v>1259</v>
      </c>
      <c r="B164" s="8" t="s">
        <v>15673</v>
      </c>
      <c r="C164" s="2" t="s">
        <v>1259</v>
      </c>
      <c r="D164" s="2" t="s">
        <v>1260</v>
      </c>
      <c r="E164" s="4" t="s">
        <v>19770</v>
      </c>
      <c r="G164" s="15" t="s">
        <v>19771</v>
      </c>
      <c r="H164" s="15" t="s">
        <v>19772</v>
      </c>
      <c r="I164" s="15" t="s">
        <v>19773</v>
      </c>
      <c r="J164" s="15" t="s">
        <v>19774</v>
      </c>
      <c r="K164" s="15">
        <v>8125</v>
      </c>
      <c r="L164" s="15" t="s">
        <v>19099</v>
      </c>
    </row>
    <row r="165" spans="1:12" x14ac:dyDescent="0.25">
      <c r="A165" s="2" t="s">
        <v>1262</v>
      </c>
      <c r="B165" s="8" t="s">
        <v>15674</v>
      </c>
      <c r="C165" s="2" t="s">
        <v>1262</v>
      </c>
      <c r="D165" s="2" t="s">
        <v>1263</v>
      </c>
      <c r="E165" s="4" t="s">
        <v>1263</v>
      </c>
      <c r="G165" s="15" t="s">
        <v>19775</v>
      </c>
      <c r="H165" s="15" t="s">
        <v>19776</v>
      </c>
      <c r="I165" s="15" t="s">
        <v>19777</v>
      </c>
      <c r="J165" s="15" t="s">
        <v>19778</v>
      </c>
      <c r="K165" s="15">
        <v>957</v>
      </c>
      <c r="L165" s="15" t="s">
        <v>19099</v>
      </c>
    </row>
    <row r="166" spans="1:12" x14ac:dyDescent="0.25">
      <c r="A166" s="2" t="s">
        <v>1265</v>
      </c>
      <c r="B166" s="8" t="s">
        <v>15675</v>
      </c>
      <c r="C166" s="2" t="s">
        <v>1265</v>
      </c>
      <c r="D166" s="2" t="s">
        <v>1266</v>
      </c>
      <c r="E166" s="4" t="s">
        <v>19779</v>
      </c>
      <c r="G166" s="15" t="s">
        <v>19780</v>
      </c>
      <c r="H166" s="15" t="s">
        <v>19781</v>
      </c>
      <c r="I166" s="15" t="s">
        <v>19782</v>
      </c>
      <c r="J166" s="15" t="s">
        <v>19783</v>
      </c>
      <c r="K166" s="15">
        <v>31285</v>
      </c>
      <c r="L166" s="15" t="s">
        <v>19099</v>
      </c>
    </row>
    <row r="167" spans="1:12" x14ac:dyDescent="0.25">
      <c r="A167" s="2" t="s">
        <v>1268</v>
      </c>
      <c r="B167" s="8" t="s">
        <v>15676</v>
      </c>
      <c r="C167" s="2" t="s">
        <v>1268</v>
      </c>
      <c r="D167" s="2" t="s">
        <v>1269</v>
      </c>
      <c r="E167" s="4" t="s">
        <v>1269</v>
      </c>
      <c r="G167" s="15" t="s">
        <v>19784</v>
      </c>
      <c r="H167" s="15" t="s">
        <v>19785</v>
      </c>
      <c r="I167" s="15" t="s">
        <v>19786</v>
      </c>
      <c r="J167" s="15" t="s">
        <v>19787</v>
      </c>
      <c r="K167" s="15">
        <v>8914</v>
      </c>
      <c r="L167" s="15" t="s">
        <v>19099</v>
      </c>
    </row>
    <row r="168" spans="1:12" x14ac:dyDescent="0.25">
      <c r="A168" s="2" t="s">
        <v>1271</v>
      </c>
      <c r="B168" s="8" t="s">
        <v>15677</v>
      </c>
      <c r="C168" s="2" t="s">
        <v>1271</v>
      </c>
      <c r="D168" s="2" t="s">
        <v>1272</v>
      </c>
      <c r="E168" s="4" t="s">
        <v>19788</v>
      </c>
      <c r="G168" s="15" t="s">
        <v>19788</v>
      </c>
      <c r="H168" s="15" t="s">
        <v>19789</v>
      </c>
      <c r="I168" s="15" t="s">
        <v>19790</v>
      </c>
      <c r="J168" s="15" t="s">
        <v>19791</v>
      </c>
      <c r="K168" s="15">
        <v>6</v>
      </c>
      <c r="L168" s="15" t="s">
        <v>19099</v>
      </c>
    </row>
    <row r="169" spans="1:12" x14ac:dyDescent="0.25">
      <c r="A169" s="2" t="s">
        <v>1274</v>
      </c>
      <c r="B169" s="8" t="s">
        <v>15678</v>
      </c>
      <c r="C169" s="2" t="s">
        <v>1274</v>
      </c>
      <c r="D169" s="2" t="s">
        <v>1275</v>
      </c>
      <c r="E169" s="4" t="s">
        <v>19792</v>
      </c>
      <c r="G169" s="15" t="s">
        <v>19792</v>
      </c>
      <c r="H169" s="15" t="s">
        <v>19793</v>
      </c>
      <c r="I169" s="15" t="s">
        <v>19794</v>
      </c>
      <c r="J169" s="15" t="s">
        <v>19795</v>
      </c>
      <c r="K169" s="15">
        <v>6945</v>
      </c>
      <c r="L169" s="15" t="s">
        <v>19099</v>
      </c>
    </row>
    <row r="170" spans="1:12" x14ac:dyDescent="0.25">
      <c r="A170" s="2" t="s">
        <v>1277</v>
      </c>
      <c r="B170" s="8" t="s">
        <v>15679</v>
      </c>
      <c r="C170" s="2" t="s">
        <v>1277</v>
      </c>
      <c r="D170" s="2" t="s">
        <v>1278</v>
      </c>
      <c r="E170" s="4" t="s">
        <v>19796</v>
      </c>
      <c r="G170" s="15" t="s">
        <v>19796</v>
      </c>
      <c r="H170" s="15" t="s">
        <v>19797</v>
      </c>
      <c r="I170" s="15" t="s">
        <v>19798</v>
      </c>
      <c r="J170" s="15" t="s">
        <v>19795</v>
      </c>
      <c r="K170" s="15">
        <v>8489</v>
      </c>
      <c r="L170" s="15" t="s">
        <v>19099</v>
      </c>
    </row>
    <row r="171" spans="1:12" x14ac:dyDescent="0.25">
      <c r="A171" s="2" t="s">
        <v>1280</v>
      </c>
      <c r="B171" s="8" t="s">
        <v>15680</v>
      </c>
      <c r="C171" s="2" t="s">
        <v>1280</v>
      </c>
      <c r="D171" s="2" t="s">
        <v>1281</v>
      </c>
      <c r="E171" s="4" t="s">
        <v>19799</v>
      </c>
      <c r="G171" s="15" t="s">
        <v>19799</v>
      </c>
      <c r="H171" s="15" t="s">
        <v>19800</v>
      </c>
      <c r="I171" s="15" t="s">
        <v>19801</v>
      </c>
      <c r="J171" s="15" t="s">
        <v>19795</v>
      </c>
      <c r="K171" s="15">
        <v>7474</v>
      </c>
      <c r="L171" s="15" t="s">
        <v>19099</v>
      </c>
    </row>
    <row r="172" spans="1:12" x14ac:dyDescent="0.25">
      <c r="A172" s="2" t="s">
        <v>1283</v>
      </c>
      <c r="B172" s="8" t="s">
        <v>15681</v>
      </c>
      <c r="C172" s="2" t="s">
        <v>1283</v>
      </c>
      <c r="D172" s="2" t="s">
        <v>1284</v>
      </c>
      <c r="E172" s="4" t="s">
        <v>19802</v>
      </c>
      <c r="G172" s="15" t="s">
        <v>19803</v>
      </c>
      <c r="H172" s="15" t="s">
        <v>19804</v>
      </c>
      <c r="I172" s="15" t="s">
        <v>19805</v>
      </c>
      <c r="J172" s="15" t="s">
        <v>19806</v>
      </c>
      <c r="K172" s="15">
        <v>20993</v>
      </c>
      <c r="L172" s="15" t="s">
        <v>19099</v>
      </c>
    </row>
    <row r="173" spans="1:12" x14ac:dyDescent="0.25">
      <c r="A173" s="2" t="s">
        <v>1286</v>
      </c>
      <c r="B173" s="8" t="s">
        <v>15682</v>
      </c>
      <c r="C173" s="2" t="s">
        <v>1286</v>
      </c>
      <c r="D173" s="2" t="s">
        <v>1287</v>
      </c>
      <c r="E173" s="4" t="s">
        <v>19807</v>
      </c>
      <c r="G173" s="15" t="s">
        <v>19807</v>
      </c>
      <c r="H173" s="15" t="s">
        <v>19808</v>
      </c>
      <c r="I173" s="15" t="s">
        <v>19809</v>
      </c>
      <c r="J173" s="15" t="s">
        <v>19810</v>
      </c>
      <c r="K173" s="15">
        <v>10899</v>
      </c>
      <c r="L173" s="15" t="s">
        <v>19099</v>
      </c>
    </row>
    <row r="174" spans="1:12" x14ac:dyDescent="0.25">
      <c r="A174" s="2" t="s">
        <v>1289</v>
      </c>
      <c r="B174" s="8" t="s">
        <v>15683</v>
      </c>
      <c r="C174" s="2" t="s">
        <v>1289</v>
      </c>
      <c r="D174" s="2" t="s">
        <v>1290</v>
      </c>
      <c r="E174" s="4" t="s">
        <v>19811</v>
      </c>
      <c r="G174" s="15" t="s">
        <v>19811</v>
      </c>
      <c r="H174" s="15" t="s">
        <v>19812</v>
      </c>
      <c r="I174" s="15" t="s">
        <v>19813</v>
      </c>
      <c r="J174" s="15" t="s">
        <v>19814</v>
      </c>
      <c r="K174" s="15">
        <v>8005</v>
      </c>
      <c r="L174" s="15" t="s">
        <v>19099</v>
      </c>
    </row>
    <row r="175" spans="1:12" x14ac:dyDescent="0.25">
      <c r="A175" s="2" t="s">
        <v>1292</v>
      </c>
      <c r="B175" s="8" t="s">
        <v>15684</v>
      </c>
      <c r="C175" s="2" t="s">
        <v>1292</v>
      </c>
      <c r="D175" s="2" t="s">
        <v>1293</v>
      </c>
      <c r="E175" s="4" t="s">
        <v>19815</v>
      </c>
      <c r="G175" s="15" t="s">
        <v>19815</v>
      </c>
      <c r="H175" s="15" t="s">
        <v>19816</v>
      </c>
      <c r="I175" s="15" t="s">
        <v>19817</v>
      </c>
      <c r="J175" s="15" t="s">
        <v>19818</v>
      </c>
      <c r="K175" s="15">
        <v>7003</v>
      </c>
      <c r="L175" s="15" t="s">
        <v>19099</v>
      </c>
    </row>
    <row r="176" spans="1:12" x14ac:dyDescent="0.25">
      <c r="A176" s="2" t="s">
        <v>1295</v>
      </c>
      <c r="B176" s="8" t="s">
        <v>15685</v>
      </c>
      <c r="C176" s="2" t="s">
        <v>1295</v>
      </c>
      <c r="D176" s="2" t="s">
        <v>1296</v>
      </c>
      <c r="E176" s="4" t="s">
        <v>19819</v>
      </c>
      <c r="G176" s="15" t="s">
        <v>19820</v>
      </c>
      <c r="H176" s="15" t="s">
        <v>19821</v>
      </c>
      <c r="I176" s="15" t="s">
        <v>19822</v>
      </c>
      <c r="J176" s="15" t="s">
        <v>19823</v>
      </c>
      <c r="K176" s="15">
        <v>5354490</v>
      </c>
      <c r="L176" s="15" t="s">
        <v>19099</v>
      </c>
    </row>
    <row r="177" spans="1:12" x14ac:dyDescent="0.25">
      <c r="A177" s="2" t="s">
        <v>1298</v>
      </c>
      <c r="B177" s="8" t="s">
        <v>15686</v>
      </c>
      <c r="C177" s="2" t="s">
        <v>1298</v>
      </c>
      <c r="D177" s="2" t="s">
        <v>1299</v>
      </c>
      <c r="E177" s="4" t="s">
        <v>19824</v>
      </c>
      <c r="G177" s="15" t="s">
        <v>19825</v>
      </c>
      <c r="H177" s="15" t="s">
        <v>19826</v>
      </c>
      <c r="I177" s="15" t="s">
        <v>19827</v>
      </c>
      <c r="J177" s="15" t="s">
        <v>19828</v>
      </c>
      <c r="K177" s="15">
        <v>6054</v>
      </c>
      <c r="L177" s="15" t="s">
        <v>19099</v>
      </c>
    </row>
    <row r="178" spans="1:12" x14ac:dyDescent="0.25">
      <c r="A178" s="2" t="s">
        <v>1301</v>
      </c>
      <c r="B178" s="8" t="s">
        <v>15687</v>
      </c>
      <c r="C178" s="2" t="s">
        <v>1301</v>
      </c>
      <c r="D178" s="2" t="s">
        <v>1302</v>
      </c>
      <c r="E178" s="4" t="s">
        <v>19829</v>
      </c>
      <c r="G178" s="15" t="s">
        <v>19830</v>
      </c>
      <c r="H178" s="15" t="s">
        <v>19831</v>
      </c>
      <c r="I178" s="15" t="s">
        <v>19832</v>
      </c>
      <c r="J178" s="15" t="s">
        <v>19833</v>
      </c>
      <c r="K178" s="15">
        <v>7408</v>
      </c>
      <c r="L178" s="15" t="s">
        <v>19099</v>
      </c>
    </row>
    <row r="179" spans="1:12" x14ac:dyDescent="0.25">
      <c r="A179" s="2" t="s">
        <v>1304</v>
      </c>
      <c r="B179" s="8" t="s">
        <v>15688</v>
      </c>
      <c r="C179" s="2" t="s">
        <v>1304</v>
      </c>
      <c r="D179" s="2" t="s">
        <v>1305</v>
      </c>
      <c r="E179" s="4" t="s">
        <v>19834</v>
      </c>
      <c r="G179" s="15" t="s">
        <v>19835</v>
      </c>
      <c r="H179" s="15" t="s">
        <v>19836</v>
      </c>
      <c r="I179" s="15" t="s">
        <v>19837</v>
      </c>
      <c r="J179" s="15" t="s">
        <v>19838</v>
      </c>
      <c r="K179" s="15">
        <v>7005</v>
      </c>
      <c r="L179" s="15" t="s">
        <v>19099</v>
      </c>
    </row>
    <row r="180" spans="1:12" x14ac:dyDescent="0.25">
      <c r="A180" s="2" t="s">
        <v>1307</v>
      </c>
      <c r="B180" s="8" t="s">
        <v>15689</v>
      </c>
      <c r="C180" s="2" t="s">
        <v>1307</v>
      </c>
      <c r="D180" s="2" t="s">
        <v>1308</v>
      </c>
      <c r="E180" s="4" t="s">
        <v>19839</v>
      </c>
      <c r="G180" s="15" t="s">
        <v>19840</v>
      </c>
      <c r="H180" s="15" t="s">
        <v>19841</v>
      </c>
      <c r="I180" s="15" t="s">
        <v>19842</v>
      </c>
      <c r="J180" s="15" t="s">
        <v>19843</v>
      </c>
      <c r="K180" s="15">
        <v>21387</v>
      </c>
      <c r="L180" s="15" t="s">
        <v>19099</v>
      </c>
    </row>
    <row r="181" spans="1:12" x14ac:dyDescent="0.25">
      <c r="A181" s="2" t="s">
        <v>1310</v>
      </c>
      <c r="B181" s="8" t="s">
        <v>15690</v>
      </c>
      <c r="C181" s="2" t="s">
        <v>1310</v>
      </c>
      <c r="D181" s="2" t="s">
        <v>1311</v>
      </c>
      <c r="E181" s="4" t="s">
        <v>19844</v>
      </c>
      <c r="G181" s="15" t="s">
        <v>19844</v>
      </c>
      <c r="H181" s="15" t="s">
        <v>19845</v>
      </c>
      <c r="I181" s="15" t="s">
        <v>19846</v>
      </c>
      <c r="J181" s="15" t="s">
        <v>19847</v>
      </c>
      <c r="K181" s="15">
        <v>6849</v>
      </c>
      <c r="L181" s="15" t="s">
        <v>19099</v>
      </c>
    </row>
    <row r="182" spans="1:12" x14ac:dyDescent="0.25">
      <c r="A182" s="2" t="s">
        <v>1313</v>
      </c>
      <c r="B182" s="8" t="s">
        <v>15691</v>
      </c>
      <c r="C182" s="2" t="s">
        <v>1313</v>
      </c>
      <c r="D182" s="2" t="s">
        <v>1314</v>
      </c>
      <c r="E182" s="4" t="s">
        <v>19848</v>
      </c>
      <c r="G182" s="15" t="s">
        <v>19848</v>
      </c>
      <c r="H182" s="15" t="s">
        <v>19849</v>
      </c>
      <c r="I182" s="15" t="s">
        <v>19850</v>
      </c>
      <c r="J182" s="15" t="s">
        <v>19851</v>
      </c>
      <c r="K182" s="15">
        <v>21694</v>
      </c>
      <c r="L182" s="15" t="s">
        <v>19099</v>
      </c>
    </row>
    <row r="183" spans="1:12" x14ac:dyDescent="0.25">
      <c r="A183" s="2" t="s">
        <v>1316</v>
      </c>
      <c r="B183" s="8" t="s">
        <v>15692</v>
      </c>
      <c r="C183" s="2" t="s">
        <v>1316</v>
      </c>
      <c r="D183" s="2" t="s">
        <v>1317</v>
      </c>
      <c r="E183" s="4" t="s">
        <v>19852</v>
      </c>
      <c r="G183" s="15" t="s">
        <v>19853</v>
      </c>
      <c r="H183" s="15" t="s">
        <v>19854</v>
      </c>
      <c r="I183" s="15" t="s">
        <v>19855</v>
      </c>
      <c r="J183" s="15" t="s">
        <v>19856</v>
      </c>
      <c r="K183" s="15">
        <v>8596</v>
      </c>
      <c r="L183" s="15" t="s">
        <v>19099</v>
      </c>
    </row>
    <row r="184" spans="1:12" x14ac:dyDescent="0.25">
      <c r="A184" s="2" t="s">
        <v>1319</v>
      </c>
      <c r="B184" s="8" t="s">
        <v>15693</v>
      </c>
      <c r="C184" s="2" t="s">
        <v>1319</v>
      </c>
      <c r="D184" s="2" t="s">
        <v>1320</v>
      </c>
      <c r="E184" s="4" t="s">
        <v>19857</v>
      </c>
      <c r="G184" s="15" t="s">
        <v>19858</v>
      </c>
      <c r="H184" s="15" t="s">
        <v>19859</v>
      </c>
      <c r="I184" s="15" t="s">
        <v>19860</v>
      </c>
      <c r="J184" s="15" t="s">
        <v>19861</v>
      </c>
      <c r="K184" s="15">
        <v>6812</v>
      </c>
      <c r="L184" s="15" t="s">
        <v>19099</v>
      </c>
    </row>
    <row r="185" spans="1:12" x14ac:dyDescent="0.25">
      <c r="A185" s="2" t="s">
        <v>1322</v>
      </c>
      <c r="B185" s="8" t="s">
        <v>15694</v>
      </c>
      <c r="C185" s="2" t="s">
        <v>1322</v>
      </c>
      <c r="D185" s="2" t="s">
        <v>1323</v>
      </c>
      <c r="E185" s="4" t="s">
        <v>19862</v>
      </c>
      <c r="G185" s="15" t="s">
        <v>19863</v>
      </c>
      <c r="H185" s="15" t="s">
        <v>19864</v>
      </c>
      <c r="I185" s="15" t="s">
        <v>19865</v>
      </c>
      <c r="J185" s="15" t="s">
        <v>19866</v>
      </c>
      <c r="K185" s="15">
        <v>545651</v>
      </c>
      <c r="L185" s="15" t="s">
        <v>19099</v>
      </c>
    </row>
    <row r="186" spans="1:12" x14ac:dyDescent="0.25">
      <c r="A186" s="2" t="s">
        <v>1325</v>
      </c>
      <c r="B186" s="8" t="s">
        <v>15695</v>
      </c>
      <c r="C186" s="2" t="s">
        <v>1325</v>
      </c>
      <c r="D186" s="2" t="s">
        <v>1326</v>
      </c>
      <c r="E186" s="4" t="s">
        <v>19867</v>
      </c>
      <c r="G186" s="15" t="s">
        <v>19868</v>
      </c>
      <c r="H186" s="15" t="s">
        <v>19869</v>
      </c>
      <c r="I186" s="15" t="s">
        <v>19870</v>
      </c>
      <c r="J186" s="15" t="s">
        <v>19219</v>
      </c>
      <c r="K186" s="15">
        <v>10812</v>
      </c>
      <c r="L186" s="15" t="s">
        <v>19099</v>
      </c>
    </row>
    <row r="187" spans="1:12" x14ac:dyDescent="0.25">
      <c r="A187" s="2" t="s">
        <v>1328</v>
      </c>
      <c r="B187" s="8" t="s">
        <v>15696</v>
      </c>
      <c r="C187" s="2" t="s">
        <v>1328</v>
      </c>
      <c r="D187" s="2" t="s">
        <v>1329</v>
      </c>
      <c r="E187" s="4" t="s">
        <v>19871</v>
      </c>
      <c r="G187" s="15" t="s">
        <v>19872</v>
      </c>
      <c r="H187" s="15" t="s">
        <v>19873</v>
      </c>
      <c r="I187" s="15" t="s">
        <v>19874</v>
      </c>
      <c r="J187" s="15" t="s">
        <v>19219</v>
      </c>
      <c r="K187" s="15">
        <v>7463</v>
      </c>
      <c r="L187" s="15" t="s">
        <v>19099</v>
      </c>
    </row>
    <row r="188" spans="1:12" x14ac:dyDescent="0.25">
      <c r="A188" s="2" t="s">
        <v>1331</v>
      </c>
      <c r="B188" s="8" t="s">
        <v>15697</v>
      </c>
      <c r="C188" s="2" t="s">
        <v>1331</v>
      </c>
      <c r="D188" s="2" t="s">
        <v>1332</v>
      </c>
      <c r="E188" s="4" t="s">
        <v>19875</v>
      </c>
      <c r="G188" s="15" t="s">
        <v>19876</v>
      </c>
      <c r="H188" s="15" t="s">
        <v>19877</v>
      </c>
      <c r="I188" s="15" t="s">
        <v>19878</v>
      </c>
      <c r="J188" s="15" t="s">
        <v>19879</v>
      </c>
      <c r="K188" s="15">
        <v>66988</v>
      </c>
      <c r="L188" s="15" t="s">
        <v>19099</v>
      </c>
    </row>
    <row r="189" spans="1:12" x14ac:dyDescent="0.25">
      <c r="A189" s="2" t="s">
        <v>1334</v>
      </c>
      <c r="B189" s="8" t="s">
        <v>15698</v>
      </c>
      <c r="C189" s="2" t="s">
        <v>1334</v>
      </c>
      <c r="D189" s="2" t="s">
        <v>1335</v>
      </c>
      <c r="E189" s="4" t="s">
        <v>19880</v>
      </c>
      <c r="G189" s="15" t="s">
        <v>19881</v>
      </c>
      <c r="H189" s="15" t="s">
        <v>19882</v>
      </c>
      <c r="I189" s="15" t="s">
        <v>19883</v>
      </c>
      <c r="J189" s="15" t="s">
        <v>19884</v>
      </c>
      <c r="K189" s="15">
        <v>6735</v>
      </c>
      <c r="L189" s="15" t="s">
        <v>19099</v>
      </c>
    </row>
    <row r="190" spans="1:12" x14ac:dyDescent="0.25">
      <c r="A190" s="2" t="s">
        <v>1337</v>
      </c>
      <c r="B190" s="8" t="s">
        <v>15699</v>
      </c>
      <c r="C190" s="2" t="s">
        <v>1337</v>
      </c>
      <c r="D190" s="2" t="s">
        <v>1338</v>
      </c>
      <c r="E190" s="4" t="s">
        <v>19885</v>
      </c>
      <c r="G190" s="15" t="s">
        <v>19886</v>
      </c>
      <c r="H190" s="15" t="s">
        <v>19887</v>
      </c>
      <c r="I190" s="15" t="s">
        <v>19888</v>
      </c>
      <c r="J190" s="15" t="s">
        <v>19889</v>
      </c>
      <c r="K190" s="15">
        <v>444294</v>
      </c>
      <c r="L190" s="15" t="s">
        <v>19099</v>
      </c>
    </row>
    <row r="191" spans="1:12" x14ac:dyDescent="0.25">
      <c r="A191" s="2" t="s">
        <v>1340</v>
      </c>
      <c r="B191" s="8" t="s">
        <v>15700</v>
      </c>
      <c r="C191" s="2" t="s">
        <v>1340</v>
      </c>
      <c r="D191" s="2" t="s">
        <v>1341</v>
      </c>
      <c r="E191" s="4" t="s">
        <v>19890</v>
      </c>
      <c r="G191" s="15" t="s">
        <v>19891</v>
      </c>
      <c r="H191" s="15" t="s">
        <v>19892</v>
      </c>
      <c r="I191" s="15" t="s">
        <v>19893</v>
      </c>
      <c r="J191" s="15" t="s">
        <v>19894</v>
      </c>
      <c r="K191" s="15">
        <v>40007</v>
      </c>
      <c r="L191" s="15" t="s">
        <v>19099</v>
      </c>
    </row>
    <row r="192" spans="1:12" x14ac:dyDescent="0.25">
      <c r="A192" s="2" t="s">
        <v>1343</v>
      </c>
      <c r="B192" s="8" t="s">
        <v>15701</v>
      </c>
      <c r="C192" s="2" t="s">
        <v>1343</v>
      </c>
      <c r="D192" s="2" t="s">
        <v>1344</v>
      </c>
      <c r="E192" s="4" t="s">
        <v>19895</v>
      </c>
      <c r="G192" s="15" t="s">
        <v>19896</v>
      </c>
      <c r="H192" s="15" t="s">
        <v>19897</v>
      </c>
      <c r="I192" s="15" t="s">
        <v>19898</v>
      </c>
      <c r="J192" s="15" t="s">
        <v>19899</v>
      </c>
      <c r="K192" s="15">
        <v>8923</v>
      </c>
      <c r="L192" s="15" t="s">
        <v>19099</v>
      </c>
    </row>
    <row r="193" spans="1:12" x14ac:dyDescent="0.25">
      <c r="A193" s="2" t="s">
        <v>1346</v>
      </c>
      <c r="B193" s="8" t="s">
        <v>15702</v>
      </c>
      <c r="C193" s="2" t="s">
        <v>1346</v>
      </c>
      <c r="D193" s="2" t="s">
        <v>1347</v>
      </c>
      <c r="E193" s="4" t="s">
        <v>19900</v>
      </c>
      <c r="G193" s="15" t="s">
        <v>19901</v>
      </c>
      <c r="H193" s="15" t="s">
        <v>19902</v>
      </c>
      <c r="I193" s="15" t="s">
        <v>19903</v>
      </c>
      <c r="J193" s="15" t="s">
        <v>19904</v>
      </c>
      <c r="K193" s="15">
        <v>24773</v>
      </c>
      <c r="L193" s="15" t="s">
        <v>19099</v>
      </c>
    </row>
    <row r="194" spans="1:12" x14ac:dyDescent="0.25">
      <c r="A194" s="2" t="s">
        <v>1349</v>
      </c>
      <c r="B194" s="8" t="s">
        <v>15703</v>
      </c>
      <c r="C194" s="2" t="s">
        <v>1349</v>
      </c>
      <c r="D194" s="2" t="s">
        <v>1350</v>
      </c>
      <c r="E194" s="4" t="s">
        <v>19905</v>
      </c>
      <c r="G194" s="15" t="s">
        <v>19906</v>
      </c>
      <c r="H194" s="15" t="s">
        <v>19907</v>
      </c>
      <c r="I194" s="15" t="s">
        <v>19908</v>
      </c>
      <c r="J194" s="15" t="s">
        <v>19909</v>
      </c>
      <c r="K194" s="15">
        <v>23284</v>
      </c>
      <c r="L194" s="15" t="s">
        <v>19099</v>
      </c>
    </row>
    <row r="195" spans="1:12" x14ac:dyDescent="0.25">
      <c r="A195" s="2" t="s">
        <v>1352</v>
      </c>
      <c r="B195" s="8" t="s">
        <v>15704</v>
      </c>
      <c r="C195" s="2" t="s">
        <v>1352</v>
      </c>
      <c r="D195" s="2" t="s">
        <v>1353</v>
      </c>
      <c r="E195" s="4" t="s">
        <v>19910</v>
      </c>
      <c r="G195" s="15" t="s">
        <v>19911</v>
      </c>
      <c r="H195" s="15" t="s">
        <v>19912</v>
      </c>
      <c r="I195" s="15" t="s">
        <v>19913</v>
      </c>
      <c r="J195" s="15" t="s">
        <v>19894</v>
      </c>
      <c r="K195" s="15">
        <v>8946</v>
      </c>
      <c r="L195" s="15" t="s">
        <v>19099</v>
      </c>
    </row>
    <row r="196" spans="1:12" x14ac:dyDescent="0.25">
      <c r="A196" s="2" t="s">
        <v>1355</v>
      </c>
      <c r="B196" s="8" t="s">
        <v>15705</v>
      </c>
      <c r="C196" s="2" t="s">
        <v>1355</v>
      </c>
      <c r="D196" s="2" t="s">
        <v>1356</v>
      </c>
      <c r="E196" s="4" t="s">
        <v>19914</v>
      </c>
      <c r="G196" s="15" t="s">
        <v>19914</v>
      </c>
      <c r="H196" s="15" t="s">
        <v>19915</v>
      </c>
      <c r="I196" s="15" t="s">
        <v>19916</v>
      </c>
      <c r="J196" s="15" t="s">
        <v>19917</v>
      </c>
      <c r="K196" s="15">
        <v>10907</v>
      </c>
      <c r="L196" s="15" t="s">
        <v>19099</v>
      </c>
    </row>
    <row r="197" spans="1:12" x14ac:dyDescent="0.25">
      <c r="A197" s="2" t="s">
        <v>1358</v>
      </c>
      <c r="B197" s="8" t="s">
        <v>15706</v>
      </c>
      <c r="C197" s="2" t="s">
        <v>1358</v>
      </c>
      <c r="D197" s="2" t="s">
        <v>1359</v>
      </c>
      <c r="E197" s="4" t="s">
        <v>19918</v>
      </c>
      <c r="G197" s="15" t="s">
        <v>19919</v>
      </c>
      <c r="H197" s="15" t="s">
        <v>19920</v>
      </c>
      <c r="I197" s="15" t="s">
        <v>19921</v>
      </c>
      <c r="J197" s="15" t="s">
        <v>19922</v>
      </c>
      <c r="K197" s="15">
        <v>27010</v>
      </c>
      <c r="L197" s="15" t="s">
        <v>19099</v>
      </c>
    </row>
    <row r="198" spans="1:12" x14ac:dyDescent="0.25">
      <c r="A198" s="2" t="s">
        <v>1361</v>
      </c>
      <c r="B198" s="8" t="s">
        <v>15707</v>
      </c>
      <c r="C198" s="2" t="s">
        <v>1361</v>
      </c>
      <c r="D198" s="2" t="s">
        <v>1362</v>
      </c>
      <c r="E198" s="4" t="s">
        <v>19923</v>
      </c>
      <c r="G198" s="15" t="s">
        <v>19924</v>
      </c>
      <c r="H198" s="15" t="s">
        <v>19925</v>
      </c>
      <c r="I198" s="15" t="s">
        <v>19926</v>
      </c>
      <c r="J198" s="15" t="s">
        <v>19927</v>
      </c>
      <c r="K198" s="15">
        <v>77407</v>
      </c>
      <c r="L198" s="15" t="s">
        <v>19099</v>
      </c>
    </row>
    <row r="199" spans="1:12" x14ac:dyDescent="0.25">
      <c r="A199" s="2" t="s">
        <v>1364</v>
      </c>
      <c r="B199" s="8" t="s">
        <v>15708</v>
      </c>
      <c r="C199" s="2" t="s">
        <v>1364</v>
      </c>
      <c r="D199" s="2" t="s">
        <v>1365</v>
      </c>
      <c r="E199" s="4" t="s">
        <v>19928</v>
      </c>
      <c r="G199" s="15" t="s">
        <v>1365</v>
      </c>
      <c r="H199" s="15" t="s">
        <v>19929</v>
      </c>
      <c r="I199" s="15" t="s">
        <v>19930</v>
      </c>
      <c r="J199" s="15" t="s">
        <v>19931</v>
      </c>
      <c r="K199" s="15">
        <v>8134</v>
      </c>
      <c r="L199" s="15" t="s">
        <v>19099</v>
      </c>
    </row>
    <row r="200" spans="1:12" x14ac:dyDescent="0.25">
      <c r="A200" s="2" t="s">
        <v>1367</v>
      </c>
      <c r="B200" s="8" t="s">
        <v>15709</v>
      </c>
      <c r="C200" s="2" t="s">
        <v>1367</v>
      </c>
      <c r="D200" s="2" t="s">
        <v>1368</v>
      </c>
      <c r="E200" s="4" t="s">
        <v>19932</v>
      </c>
      <c r="G200" s="15" t="s">
        <v>19933</v>
      </c>
      <c r="H200" s="15" t="s">
        <v>19934</v>
      </c>
      <c r="I200" s="15" t="s">
        <v>19935</v>
      </c>
      <c r="J200" s="15" t="s">
        <v>19936</v>
      </c>
      <c r="K200" s="15">
        <v>31288</v>
      </c>
      <c r="L200" s="15" t="s">
        <v>19099</v>
      </c>
    </row>
    <row r="201" spans="1:12" x14ac:dyDescent="0.25">
      <c r="A201" s="2" t="s">
        <v>1370</v>
      </c>
      <c r="B201" s="8" t="s">
        <v>15710</v>
      </c>
      <c r="C201" s="2" t="s">
        <v>1370</v>
      </c>
      <c r="D201" s="2" t="s">
        <v>1371</v>
      </c>
      <c r="E201" s="4" t="s">
        <v>19937</v>
      </c>
      <c r="G201" s="15" t="s">
        <v>1371</v>
      </c>
      <c r="H201" s="15" t="s">
        <v>19938</v>
      </c>
      <c r="I201" s="15" t="s">
        <v>19939</v>
      </c>
      <c r="J201" s="15" t="s">
        <v>19290</v>
      </c>
      <c r="K201" s="15">
        <v>8177</v>
      </c>
      <c r="L201" s="15" t="s">
        <v>19099</v>
      </c>
    </row>
    <row r="202" spans="1:12" x14ac:dyDescent="0.25">
      <c r="A202" s="2" t="s">
        <v>1373</v>
      </c>
      <c r="B202" s="8" t="s">
        <v>15711</v>
      </c>
      <c r="C202" s="2" t="s">
        <v>1373</v>
      </c>
      <c r="D202" s="2" t="s">
        <v>1374</v>
      </c>
      <c r="E202" s="4" t="s">
        <v>19940</v>
      </c>
      <c r="G202" s="15" t="s">
        <v>19940</v>
      </c>
      <c r="H202" s="15" t="s">
        <v>19941</v>
      </c>
      <c r="I202" s="15" t="s">
        <v>19942</v>
      </c>
      <c r="J202" s="15" t="s">
        <v>19943</v>
      </c>
      <c r="K202" s="15">
        <v>25059</v>
      </c>
      <c r="L202" s="15" t="s">
        <v>19099</v>
      </c>
    </row>
    <row r="203" spans="1:12" x14ac:dyDescent="0.25">
      <c r="A203" s="2" t="s">
        <v>1376</v>
      </c>
      <c r="B203" s="8" t="s">
        <v>15712</v>
      </c>
      <c r="C203" s="2" t="s">
        <v>1376</v>
      </c>
      <c r="D203" s="2" t="s">
        <v>1377</v>
      </c>
      <c r="E203" s="4" t="s">
        <v>19944</v>
      </c>
      <c r="G203" s="15" t="s">
        <v>19944</v>
      </c>
      <c r="H203" s="15" t="s">
        <v>19945</v>
      </c>
      <c r="I203" s="15" t="s">
        <v>19946</v>
      </c>
      <c r="J203" s="15" t="s">
        <v>19690</v>
      </c>
      <c r="K203" s="15">
        <v>6495</v>
      </c>
      <c r="L203" s="15" t="s">
        <v>19099</v>
      </c>
    </row>
    <row r="204" spans="1:12" x14ac:dyDescent="0.25">
      <c r="A204" s="2" t="s">
        <v>1379</v>
      </c>
      <c r="B204" s="8" t="s">
        <v>15713</v>
      </c>
      <c r="C204" s="2" t="s">
        <v>1379</v>
      </c>
      <c r="D204" s="2" t="s">
        <v>1380</v>
      </c>
      <c r="E204" s="4" t="s">
        <v>19947</v>
      </c>
      <c r="G204" s="15" t="s">
        <v>19947</v>
      </c>
      <c r="H204" s="15" t="s">
        <v>19948</v>
      </c>
      <c r="I204" s="15" t="s">
        <v>19949</v>
      </c>
      <c r="J204" s="15" t="s">
        <v>19192</v>
      </c>
      <c r="K204" s="15">
        <v>11660</v>
      </c>
      <c r="L204" s="15" t="s">
        <v>19099</v>
      </c>
    </row>
    <row r="205" spans="1:12" x14ac:dyDescent="0.25">
      <c r="A205" s="2" t="s">
        <v>1382</v>
      </c>
      <c r="B205" s="8" t="s">
        <v>15714</v>
      </c>
      <c r="C205" s="2" t="s">
        <v>1382</v>
      </c>
      <c r="D205" s="2" t="s">
        <v>1383</v>
      </c>
      <c r="E205" s="4" t="s">
        <v>19950</v>
      </c>
      <c r="G205" s="15" t="s">
        <v>19951</v>
      </c>
      <c r="H205" s="15" t="s">
        <v>19952</v>
      </c>
      <c r="I205" s="15" t="s">
        <v>19953</v>
      </c>
      <c r="J205" s="15" t="s">
        <v>19954</v>
      </c>
      <c r="K205" s="15">
        <v>8115</v>
      </c>
      <c r="L205" s="15" t="s">
        <v>19099</v>
      </c>
    </row>
    <row r="206" spans="1:12" x14ac:dyDescent="0.25">
      <c r="A206" s="2" t="s">
        <v>1385</v>
      </c>
      <c r="B206" s="8" t="s">
        <v>15715</v>
      </c>
      <c r="C206" s="2" t="s">
        <v>1385</v>
      </c>
      <c r="D206" s="2" t="s">
        <v>1386</v>
      </c>
      <c r="E206" s="4" t="s">
        <v>19955</v>
      </c>
      <c r="G206" s="15" t="s">
        <v>19956</v>
      </c>
      <c r="H206" s="15" t="s">
        <v>19957</v>
      </c>
      <c r="I206" s="15" t="s">
        <v>19958</v>
      </c>
      <c r="J206" s="15" t="s">
        <v>19959</v>
      </c>
      <c r="K206" s="15">
        <v>66538</v>
      </c>
      <c r="L206" s="15" t="s">
        <v>19099</v>
      </c>
    </row>
    <row r="207" spans="1:12" x14ac:dyDescent="0.25">
      <c r="A207" s="2" t="s">
        <v>1388</v>
      </c>
      <c r="B207" s="8" t="s">
        <v>15716</v>
      </c>
      <c r="C207" s="2" t="s">
        <v>1388</v>
      </c>
      <c r="D207" s="2" t="s">
        <v>1389</v>
      </c>
      <c r="E207" s="4" t="s">
        <v>19960</v>
      </c>
      <c r="G207" s="15" t="s">
        <v>19961</v>
      </c>
      <c r="H207" s="15" t="s">
        <v>19962</v>
      </c>
      <c r="I207" s="15" t="s">
        <v>19963</v>
      </c>
      <c r="J207" s="15" t="s">
        <v>19964</v>
      </c>
      <c r="K207" s="15">
        <v>6418</v>
      </c>
      <c r="L207" s="15" t="s">
        <v>19099</v>
      </c>
    </row>
    <row r="208" spans="1:12" x14ac:dyDescent="0.25">
      <c r="A208" s="2" t="s">
        <v>1391</v>
      </c>
      <c r="B208" s="8" t="s">
        <v>15717</v>
      </c>
      <c r="C208" s="2" t="s">
        <v>1391</v>
      </c>
      <c r="D208" s="2" t="s">
        <v>1392</v>
      </c>
      <c r="E208" s="4" t="s">
        <v>19965</v>
      </c>
      <c r="G208" s="15" t="s">
        <v>19966</v>
      </c>
      <c r="H208" s="15" t="s">
        <v>19967</v>
      </c>
      <c r="I208" s="15" t="s">
        <v>19968</v>
      </c>
      <c r="J208" s="15" t="s">
        <v>19969</v>
      </c>
      <c r="K208" s="15">
        <v>8447</v>
      </c>
      <c r="L208" s="15" t="s">
        <v>19099</v>
      </c>
    </row>
    <row r="209" spans="1:12" x14ac:dyDescent="0.25">
      <c r="A209" s="2" t="s">
        <v>1394</v>
      </c>
      <c r="B209" s="8" t="s">
        <v>15718</v>
      </c>
      <c r="C209" s="2" t="s">
        <v>1394</v>
      </c>
      <c r="D209" s="2" t="s">
        <v>1395</v>
      </c>
      <c r="E209" s="4" t="s">
        <v>19970</v>
      </c>
      <c r="G209" s="15" t="s">
        <v>19971</v>
      </c>
      <c r="H209" s="15" t="s">
        <v>19972</v>
      </c>
      <c r="I209" s="15" t="s">
        <v>19973</v>
      </c>
      <c r="J209" s="15" t="s">
        <v>19974</v>
      </c>
      <c r="K209" s="15">
        <v>6800</v>
      </c>
      <c r="L209" s="15" t="s">
        <v>19099</v>
      </c>
    </row>
    <row r="210" spans="1:12" x14ac:dyDescent="0.25">
      <c r="A210" s="2" t="s">
        <v>1397</v>
      </c>
      <c r="B210" s="8" t="s">
        <v>15719</v>
      </c>
      <c r="C210" s="2" t="s">
        <v>1397</v>
      </c>
      <c r="D210" s="2" t="s">
        <v>1398</v>
      </c>
      <c r="E210" s="4" t="s">
        <v>19975</v>
      </c>
      <c r="G210" s="15" t="s">
        <v>19975</v>
      </c>
      <c r="H210" s="15" t="s">
        <v>19976</v>
      </c>
      <c r="I210" s="15" t="s">
        <v>19977</v>
      </c>
      <c r="J210" s="15" t="s">
        <v>19978</v>
      </c>
      <c r="K210" s="15">
        <v>12466</v>
      </c>
      <c r="L210" s="15" t="s">
        <v>19099</v>
      </c>
    </row>
    <row r="211" spans="1:12" x14ac:dyDescent="0.25">
      <c r="A211" s="2" t="s">
        <v>1400</v>
      </c>
      <c r="B211" s="8" t="s">
        <v>15720</v>
      </c>
      <c r="C211" s="2" t="s">
        <v>1400</v>
      </c>
      <c r="D211" s="2" t="s">
        <v>1401</v>
      </c>
      <c r="E211" s="4" t="s">
        <v>19979</v>
      </c>
      <c r="G211" s="15" t="s">
        <v>19979</v>
      </c>
      <c r="H211" s="15" t="s">
        <v>19980</v>
      </c>
      <c r="I211" s="15" t="s">
        <v>19981</v>
      </c>
      <c r="J211" s="15" t="s">
        <v>19982</v>
      </c>
      <c r="K211" s="15">
        <v>21013</v>
      </c>
      <c r="L211" s="15" t="s">
        <v>19099</v>
      </c>
    </row>
    <row r="212" spans="1:12" x14ac:dyDescent="0.25">
      <c r="A212" s="2" t="s">
        <v>1403</v>
      </c>
      <c r="B212" s="8" t="s">
        <v>15721</v>
      </c>
      <c r="C212" s="2" t="s">
        <v>1403</v>
      </c>
      <c r="D212" s="2" t="s">
        <v>1404</v>
      </c>
      <c r="E212" s="4" t="s">
        <v>19983</v>
      </c>
      <c r="G212" s="15" t="s">
        <v>19984</v>
      </c>
      <c r="H212" s="15" t="s">
        <v>19985</v>
      </c>
      <c r="I212" s="15" t="s">
        <v>19986</v>
      </c>
      <c r="J212" s="15" t="s">
        <v>19978</v>
      </c>
      <c r="K212" s="15">
        <v>3013925</v>
      </c>
      <c r="L212" s="15" t="s">
        <v>19099</v>
      </c>
    </row>
    <row r="213" spans="1:12" x14ac:dyDescent="0.25">
      <c r="A213" s="2" t="s">
        <v>1406</v>
      </c>
      <c r="B213" s="9" t="s">
        <v>1408</v>
      </c>
      <c r="C213" s="2" t="s">
        <v>1406</v>
      </c>
      <c r="D213" s="2" t="s">
        <v>1407</v>
      </c>
      <c r="E213" s="4" t="s">
        <v>19987</v>
      </c>
      <c r="G213" s="15" t="s">
        <v>19988</v>
      </c>
      <c r="H213" s="15" t="s">
        <v>19989</v>
      </c>
      <c r="I213" s="15" t="s">
        <v>19990</v>
      </c>
      <c r="J213" s="15" t="s">
        <v>19982</v>
      </c>
      <c r="K213" s="15">
        <v>6028</v>
      </c>
      <c r="L213" s="15" t="s">
        <v>19099</v>
      </c>
    </row>
    <row r="214" spans="1:12" x14ac:dyDescent="0.25">
      <c r="A214" s="2" t="s">
        <v>1409</v>
      </c>
      <c r="B214" s="9" t="s">
        <v>1411</v>
      </c>
      <c r="C214" s="2" t="s">
        <v>1409</v>
      </c>
      <c r="D214" s="2" t="s">
        <v>1410</v>
      </c>
      <c r="E214" s="4" t="s">
        <v>19991</v>
      </c>
      <c r="G214" s="15" t="s">
        <v>19992</v>
      </c>
      <c r="H214" s="15" t="s">
        <v>19993</v>
      </c>
      <c r="I214" s="15" t="s">
        <v>19994</v>
      </c>
      <c r="J214" s="15" t="s">
        <v>19774</v>
      </c>
      <c r="K214" s="15">
        <v>11270</v>
      </c>
      <c r="L214" s="15" t="s">
        <v>19995</v>
      </c>
    </row>
    <row r="215" spans="1:12" x14ac:dyDescent="0.25">
      <c r="A215" s="2" t="s">
        <v>1412</v>
      </c>
      <c r="B215" s="8" t="s">
        <v>15724</v>
      </c>
      <c r="C215" s="2" t="s">
        <v>1412</v>
      </c>
      <c r="D215" s="2" t="s">
        <v>1413</v>
      </c>
      <c r="E215" s="4" t="s">
        <v>1413</v>
      </c>
      <c r="G215" s="15" t="s">
        <v>1413</v>
      </c>
      <c r="H215" s="15" t="s">
        <v>19996</v>
      </c>
      <c r="I215" s="15" t="s">
        <v>19997</v>
      </c>
      <c r="J215" s="15" t="s">
        <v>19998</v>
      </c>
      <c r="K215" s="15">
        <v>73844</v>
      </c>
      <c r="L215" s="15" t="s">
        <v>19099</v>
      </c>
    </row>
    <row r="216" spans="1:12" x14ac:dyDescent="0.25">
      <c r="A216" s="2" t="s">
        <v>1415</v>
      </c>
      <c r="B216" s="8" t="s">
        <v>15725</v>
      </c>
      <c r="C216" s="2" t="s">
        <v>1415</v>
      </c>
      <c r="D216" s="2" t="s">
        <v>1416</v>
      </c>
      <c r="E216" s="4" t="s">
        <v>19999</v>
      </c>
      <c r="G216" s="15" t="s">
        <v>19999</v>
      </c>
      <c r="H216" s="15" t="s">
        <v>20000</v>
      </c>
      <c r="I216" s="15" t="s">
        <v>20001</v>
      </c>
      <c r="J216" s="15" t="s">
        <v>20002</v>
      </c>
      <c r="K216" s="15">
        <v>12464</v>
      </c>
      <c r="L216" s="15" t="s">
        <v>19099</v>
      </c>
    </row>
    <row r="217" spans="1:12" x14ac:dyDescent="0.25">
      <c r="A217" s="2" t="s">
        <v>1418</v>
      </c>
      <c r="B217" s="8" t="s">
        <v>15726</v>
      </c>
      <c r="C217" s="2" t="s">
        <v>1418</v>
      </c>
      <c r="D217" s="2" t="s">
        <v>1419</v>
      </c>
      <c r="E217" s="4" t="s">
        <v>20003</v>
      </c>
      <c r="G217" s="15" t="s">
        <v>20003</v>
      </c>
      <c r="H217" s="15" t="s">
        <v>20004</v>
      </c>
      <c r="I217" s="15" t="s">
        <v>20005</v>
      </c>
      <c r="J217" s="15" t="s">
        <v>20006</v>
      </c>
      <c r="K217" s="15">
        <v>27582</v>
      </c>
      <c r="L217" s="15" t="s">
        <v>19099</v>
      </c>
    </row>
    <row r="218" spans="1:12" x14ac:dyDescent="0.25">
      <c r="A218" s="2" t="s">
        <v>1421</v>
      </c>
      <c r="B218" s="8" t="s">
        <v>15727</v>
      </c>
      <c r="C218" s="2" t="s">
        <v>1421</v>
      </c>
      <c r="D218" s="2" t="s">
        <v>1422</v>
      </c>
      <c r="E218" s="4" t="s">
        <v>20007</v>
      </c>
      <c r="G218" s="15" t="s">
        <v>20008</v>
      </c>
      <c r="H218" s="15" t="s">
        <v>20009</v>
      </c>
      <c r="I218" s="15" t="s">
        <v>20010</v>
      </c>
      <c r="J218" s="15" t="s">
        <v>19978</v>
      </c>
      <c r="K218" s="15">
        <v>18998</v>
      </c>
      <c r="L218" s="15" t="s">
        <v>19099</v>
      </c>
    </row>
    <row r="219" spans="1:12" x14ac:dyDescent="0.25">
      <c r="A219" s="2" t="s">
        <v>1424</v>
      </c>
      <c r="B219" s="8" t="s">
        <v>15728</v>
      </c>
      <c r="C219" s="2" t="s">
        <v>1424</v>
      </c>
      <c r="D219" s="2" t="s">
        <v>1425</v>
      </c>
      <c r="E219" s="4" t="s">
        <v>20011</v>
      </c>
      <c r="G219" s="15" t="s">
        <v>20012</v>
      </c>
      <c r="H219" s="15" t="s">
        <v>20013</v>
      </c>
      <c r="I219" s="15" t="s">
        <v>20014</v>
      </c>
      <c r="J219" s="15" t="s">
        <v>19982</v>
      </c>
      <c r="K219" s="15">
        <v>13636</v>
      </c>
      <c r="L219" s="15" t="s">
        <v>19099</v>
      </c>
    </row>
    <row r="220" spans="1:12" x14ac:dyDescent="0.25">
      <c r="A220" s="2" t="s">
        <v>1427</v>
      </c>
      <c r="B220" s="8" t="s">
        <v>15729</v>
      </c>
      <c r="C220" s="2" t="s">
        <v>1427</v>
      </c>
      <c r="D220" s="2" t="s">
        <v>1428</v>
      </c>
      <c r="E220" s="4" t="s">
        <v>20015</v>
      </c>
      <c r="G220" s="15" t="s">
        <v>20015</v>
      </c>
      <c r="H220" s="15" t="s">
        <v>20016</v>
      </c>
      <c r="I220" s="15" t="s">
        <v>20017</v>
      </c>
      <c r="J220" s="15" t="s">
        <v>20018</v>
      </c>
      <c r="K220" s="15">
        <v>12769</v>
      </c>
      <c r="L220" s="15" t="s">
        <v>19099</v>
      </c>
    </row>
    <row r="221" spans="1:12" x14ac:dyDescent="0.25">
      <c r="A221" s="2" t="s">
        <v>1430</v>
      </c>
      <c r="B221" s="8" t="s">
        <v>15730</v>
      </c>
      <c r="C221" s="2" t="s">
        <v>1430</v>
      </c>
      <c r="D221" s="2" t="s">
        <v>1431</v>
      </c>
      <c r="E221" s="4" t="s">
        <v>20019</v>
      </c>
      <c r="G221" s="15" t="s">
        <v>20019</v>
      </c>
      <c r="H221" s="15" t="s">
        <v>20020</v>
      </c>
      <c r="I221" s="15" t="s">
        <v>20021</v>
      </c>
      <c r="J221" s="15" t="s">
        <v>20002</v>
      </c>
      <c r="K221" s="15">
        <v>87676</v>
      </c>
      <c r="L221" s="15" t="s">
        <v>19099</v>
      </c>
    </row>
    <row r="222" spans="1:12" x14ac:dyDescent="0.25">
      <c r="A222" s="2" t="s">
        <v>1433</v>
      </c>
      <c r="B222" s="8" t="s">
        <v>15731</v>
      </c>
      <c r="C222" s="2" t="s">
        <v>1433</v>
      </c>
      <c r="D222" s="2" t="s">
        <v>1434</v>
      </c>
      <c r="E222" s="4" t="s">
        <v>20022</v>
      </c>
      <c r="G222" s="15" t="s">
        <v>20022</v>
      </c>
      <c r="H222" s="15" t="s">
        <v>20023</v>
      </c>
      <c r="I222" s="15" t="s">
        <v>20024</v>
      </c>
      <c r="J222" s="15" t="s">
        <v>20006</v>
      </c>
      <c r="K222" s="15">
        <v>13619</v>
      </c>
      <c r="L222" s="15" t="s">
        <v>19099</v>
      </c>
    </row>
    <row r="223" spans="1:12" x14ac:dyDescent="0.25">
      <c r="A223" s="2" t="s">
        <v>1436</v>
      </c>
      <c r="B223" s="8" t="s">
        <v>15732</v>
      </c>
      <c r="C223" s="2" t="s">
        <v>1436</v>
      </c>
      <c r="D223" s="2" t="s">
        <v>1437</v>
      </c>
      <c r="E223" s="4" t="s">
        <v>20025</v>
      </c>
      <c r="G223" s="15" t="s">
        <v>20026</v>
      </c>
      <c r="H223" s="15" t="s">
        <v>20027</v>
      </c>
      <c r="I223" s="15" t="s">
        <v>20028</v>
      </c>
      <c r="J223" s="15" t="s">
        <v>20029</v>
      </c>
      <c r="K223" s="15">
        <v>25550</v>
      </c>
      <c r="L223" s="15" t="s">
        <v>19099</v>
      </c>
    </row>
    <row r="224" spans="1:12" x14ac:dyDescent="0.25">
      <c r="A224" s="2" t="s">
        <v>1439</v>
      </c>
      <c r="B224" s="8" t="s">
        <v>15733</v>
      </c>
      <c r="C224" s="2" t="s">
        <v>1439</v>
      </c>
      <c r="D224" s="2" t="s">
        <v>1440</v>
      </c>
      <c r="E224" s="4" t="s">
        <v>20030</v>
      </c>
      <c r="G224" s="15" t="s">
        <v>20030</v>
      </c>
      <c r="H224" s="15" t="s">
        <v>20031</v>
      </c>
      <c r="I224" s="15" t="s">
        <v>20032</v>
      </c>
      <c r="J224" s="15" t="s">
        <v>20033</v>
      </c>
      <c r="K224" s="15">
        <v>19944</v>
      </c>
      <c r="L224" s="15" t="s">
        <v>19099</v>
      </c>
    </row>
    <row r="225" spans="1:12" x14ac:dyDescent="0.25">
      <c r="A225" s="2" t="s">
        <v>1442</v>
      </c>
      <c r="B225" s="8" t="s">
        <v>15734</v>
      </c>
      <c r="C225" s="2" t="s">
        <v>1442</v>
      </c>
      <c r="D225" s="2" t="s">
        <v>1443</v>
      </c>
      <c r="E225" s="4" t="s">
        <v>20034</v>
      </c>
      <c r="G225" s="15" t="s">
        <v>20034</v>
      </c>
      <c r="H225" s="15" t="s">
        <v>20035</v>
      </c>
      <c r="I225" s="15" t="s">
        <v>20036</v>
      </c>
      <c r="J225" s="15" t="s">
        <v>20002</v>
      </c>
      <c r="K225" s="15">
        <v>184908</v>
      </c>
      <c r="L225" s="15" t="s">
        <v>19099</v>
      </c>
    </row>
    <row r="226" spans="1:12" x14ac:dyDescent="0.25">
      <c r="A226" s="2" t="s">
        <v>1445</v>
      </c>
      <c r="B226" s="8" t="s">
        <v>15735</v>
      </c>
      <c r="C226" s="2" t="s">
        <v>1445</v>
      </c>
      <c r="D226" s="2" t="s">
        <v>1446</v>
      </c>
      <c r="E226" s="4" t="s">
        <v>20037</v>
      </c>
      <c r="G226" s="15" t="s">
        <v>20037</v>
      </c>
      <c r="H226" s="15" t="s">
        <v>20038</v>
      </c>
      <c r="I226" s="15" t="s">
        <v>20039</v>
      </c>
      <c r="J226" s="15" t="s">
        <v>20006</v>
      </c>
      <c r="K226" s="15">
        <v>13618</v>
      </c>
      <c r="L226" s="15" t="s">
        <v>19099</v>
      </c>
    </row>
    <row r="227" spans="1:12" x14ac:dyDescent="0.25">
      <c r="A227" s="2" t="s">
        <v>1448</v>
      </c>
      <c r="B227" s="8" t="s">
        <v>15736</v>
      </c>
      <c r="C227" s="2" t="s">
        <v>1448</v>
      </c>
      <c r="D227" s="2" t="s">
        <v>1449</v>
      </c>
      <c r="E227" s="4" t="s">
        <v>20040</v>
      </c>
      <c r="G227" s="15" t="s">
        <v>20041</v>
      </c>
      <c r="H227" s="15" t="s">
        <v>20042</v>
      </c>
      <c r="I227" s="15" t="s">
        <v>20043</v>
      </c>
      <c r="J227" s="15" t="s">
        <v>19504</v>
      </c>
      <c r="K227" s="15">
        <v>262</v>
      </c>
      <c r="L227" s="15" t="s">
        <v>19099</v>
      </c>
    </row>
    <row r="228" spans="1:12" x14ac:dyDescent="0.25">
      <c r="A228" s="2" t="s">
        <v>1451</v>
      </c>
      <c r="B228" s="8" t="s">
        <v>15737</v>
      </c>
      <c r="C228" s="2" t="s">
        <v>1451</v>
      </c>
      <c r="D228" s="2" t="s">
        <v>1452</v>
      </c>
      <c r="E228" s="4" t="s">
        <v>20044</v>
      </c>
      <c r="G228" s="15" t="s">
        <v>20045</v>
      </c>
      <c r="H228" s="15" t="s">
        <v>20046</v>
      </c>
      <c r="I228" s="15" t="s">
        <v>20047</v>
      </c>
      <c r="J228" s="15" t="s">
        <v>20048</v>
      </c>
      <c r="K228" s="15">
        <v>650</v>
      </c>
      <c r="L228" s="15" t="s">
        <v>19099</v>
      </c>
    </row>
    <row r="229" spans="1:12" x14ac:dyDescent="0.25">
      <c r="A229" s="2" t="s">
        <v>1454</v>
      </c>
      <c r="B229" s="8" t="s">
        <v>15738</v>
      </c>
      <c r="C229" s="2" t="s">
        <v>1454</v>
      </c>
      <c r="D229" s="2" t="s">
        <v>1455</v>
      </c>
      <c r="E229" s="4" t="s">
        <v>20049</v>
      </c>
      <c r="G229" s="15" t="s">
        <v>20049</v>
      </c>
      <c r="H229" s="15" t="s">
        <v>20050</v>
      </c>
      <c r="I229" s="15" t="s">
        <v>20051</v>
      </c>
      <c r="J229" s="15" t="s">
        <v>20052</v>
      </c>
      <c r="K229" s="15">
        <v>6589</v>
      </c>
      <c r="L229" s="15" t="s">
        <v>19099</v>
      </c>
    </row>
    <row r="230" spans="1:12" x14ac:dyDescent="0.25">
      <c r="A230" s="2" t="s">
        <v>1457</v>
      </c>
      <c r="B230" s="8" t="s">
        <v>15739</v>
      </c>
      <c r="C230" s="2" t="s">
        <v>1457</v>
      </c>
      <c r="D230" s="2" t="s">
        <v>1458</v>
      </c>
      <c r="E230" s="4" t="s">
        <v>20053</v>
      </c>
      <c r="G230" s="15" t="s">
        <v>20053</v>
      </c>
      <c r="H230" s="15" t="s">
        <v>20054</v>
      </c>
      <c r="I230" s="15" t="s">
        <v>20055</v>
      </c>
      <c r="J230" s="15" t="s">
        <v>19828</v>
      </c>
      <c r="K230" s="15">
        <v>10687</v>
      </c>
      <c r="L230" s="15" t="s">
        <v>19099</v>
      </c>
    </row>
    <row r="231" spans="1:12" x14ac:dyDescent="0.25">
      <c r="A231" s="2" t="s">
        <v>1460</v>
      </c>
      <c r="B231" s="8" t="s">
        <v>15740</v>
      </c>
      <c r="C231" s="2" t="s">
        <v>1460</v>
      </c>
      <c r="D231" s="2" t="s">
        <v>1461</v>
      </c>
      <c r="E231" s="4" t="s">
        <v>1461</v>
      </c>
      <c r="G231" s="15" t="s">
        <v>1461</v>
      </c>
      <c r="H231" s="15" t="s">
        <v>20056</v>
      </c>
      <c r="I231" s="15" t="s">
        <v>20057</v>
      </c>
      <c r="J231" s="15" t="s">
        <v>20058</v>
      </c>
      <c r="K231" s="15">
        <v>11420</v>
      </c>
      <c r="L231" s="15" t="s">
        <v>19099</v>
      </c>
    </row>
    <row r="232" spans="1:12" x14ac:dyDescent="0.25">
      <c r="A232" s="2" t="s">
        <v>1463</v>
      </c>
      <c r="B232" s="8" t="s">
        <v>15741</v>
      </c>
      <c r="C232" s="2" t="s">
        <v>1463</v>
      </c>
      <c r="D232" s="2" t="s">
        <v>1464</v>
      </c>
      <c r="E232" s="4" t="s">
        <v>20059</v>
      </c>
      <c r="G232" s="15" t="s">
        <v>20059</v>
      </c>
      <c r="H232" s="15" t="s">
        <v>20060</v>
      </c>
      <c r="I232" s="15" t="s">
        <v>20061</v>
      </c>
      <c r="J232" s="15" t="s">
        <v>20062</v>
      </c>
      <c r="K232" s="15">
        <v>11844</v>
      </c>
      <c r="L232" s="15" t="s">
        <v>19099</v>
      </c>
    </row>
    <row r="233" spans="1:12" x14ac:dyDescent="0.25">
      <c r="A233" s="2" t="s">
        <v>1466</v>
      </c>
      <c r="B233" s="8" t="s">
        <v>15742</v>
      </c>
      <c r="C233" s="2" t="s">
        <v>1466</v>
      </c>
      <c r="D233" s="2" t="s">
        <v>1467</v>
      </c>
      <c r="E233" s="4" t="s">
        <v>20063</v>
      </c>
      <c r="G233" s="15" t="s">
        <v>20064</v>
      </c>
      <c r="H233" s="15" t="s">
        <v>20065</v>
      </c>
      <c r="I233" s="15" t="s">
        <v>20066</v>
      </c>
      <c r="J233" s="15" t="s">
        <v>20067</v>
      </c>
      <c r="K233" s="15">
        <v>5765</v>
      </c>
      <c r="L233" s="15" t="s">
        <v>19099</v>
      </c>
    </row>
    <row r="234" spans="1:12" x14ac:dyDescent="0.25">
      <c r="A234" s="2" t="s">
        <v>1469</v>
      </c>
      <c r="B234" s="8" t="s">
        <v>15743</v>
      </c>
      <c r="C234" s="2" t="s">
        <v>1469</v>
      </c>
      <c r="D234" s="2" t="s">
        <v>1470</v>
      </c>
      <c r="E234" s="4" t="s">
        <v>20068</v>
      </c>
      <c r="G234" s="15" t="s">
        <v>20069</v>
      </c>
      <c r="H234" s="15" t="s">
        <v>20070</v>
      </c>
      <c r="I234" s="15" t="s">
        <v>20071</v>
      </c>
      <c r="J234" s="15" t="s">
        <v>19197</v>
      </c>
      <c r="K234" s="15">
        <v>6565</v>
      </c>
      <c r="L234" s="15" t="s">
        <v>19099</v>
      </c>
    </row>
    <row r="235" spans="1:12" x14ac:dyDescent="0.25">
      <c r="A235" s="2" t="s">
        <v>1472</v>
      </c>
      <c r="B235" s="8" t="s">
        <v>15744</v>
      </c>
      <c r="C235" s="2" t="s">
        <v>1472</v>
      </c>
      <c r="D235" s="2" t="s">
        <v>1473</v>
      </c>
      <c r="E235" s="4" t="s">
        <v>20072</v>
      </c>
      <c r="G235" s="15" t="s">
        <v>20073</v>
      </c>
      <c r="H235" s="15" t="s">
        <v>20074</v>
      </c>
      <c r="I235" s="15" t="s">
        <v>20075</v>
      </c>
      <c r="J235" s="15" t="s">
        <v>19432</v>
      </c>
      <c r="K235" s="15">
        <v>12018</v>
      </c>
      <c r="L235" s="15" t="s">
        <v>19099</v>
      </c>
    </row>
    <row r="236" spans="1:12" x14ac:dyDescent="0.25">
      <c r="A236" s="2" t="s">
        <v>1475</v>
      </c>
      <c r="B236" s="8" t="s">
        <v>15745</v>
      </c>
      <c r="C236" s="2" t="s">
        <v>1475</v>
      </c>
      <c r="D236" s="2" t="s">
        <v>1476</v>
      </c>
      <c r="E236" s="4" t="s">
        <v>20076</v>
      </c>
      <c r="G236" s="15" t="s">
        <v>20076</v>
      </c>
      <c r="H236" s="15" t="s">
        <v>20077</v>
      </c>
      <c r="I236" s="15" t="s">
        <v>20078</v>
      </c>
      <c r="J236" s="15" t="s">
        <v>20079</v>
      </c>
      <c r="K236" s="15">
        <v>11334</v>
      </c>
      <c r="L236" s="15" t="s">
        <v>19099</v>
      </c>
    </row>
    <row r="237" spans="1:12" x14ac:dyDescent="0.25">
      <c r="A237" s="2" t="s">
        <v>1478</v>
      </c>
      <c r="B237" s="8" t="s">
        <v>15746</v>
      </c>
      <c r="C237" s="2" t="s">
        <v>1478</v>
      </c>
      <c r="D237" s="2" t="s">
        <v>1479</v>
      </c>
      <c r="E237" s="4" t="s">
        <v>20080</v>
      </c>
      <c r="G237" s="15" t="s">
        <v>20081</v>
      </c>
      <c r="H237" s="15" t="s">
        <v>20082</v>
      </c>
      <c r="I237" s="15" t="s">
        <v>20083</v>
      </c>
      <c r="J237" s="15" t="s">
        <v>20084</v>
      </c>
      <c r="K237" s="15">
        <v>33050</v>
      </c>
      <c r="L237" s="15" t="s">
        <v>19099</v>
      </c>
    </row>
    <row r="238" spans="1:12" x14ac:dyDescent="0.25">
      <c r="A238" s="2" t="s">
        <v>1481</v>
      </c>
      <c r="B238" s="8" t="s">
        <v>15747</v>
      </c>
      <c r="C238" s="2" t="s">
        <v>1481</v>
      </c>
      <c r="D238" s="2" t="s">
        <v>1482</v>
      </c>
      <c r="E238" s="4" t="s">
        <v>20085</v>
      </c>
      <c r="G238" s="15" t="s">
        <v>20086</v>
      </c>
      <c r="H238" s="15" t="s">
        <v>20087</v>
      </c>
      <c r="I238" s="15" t="s">
        <v>20088</v>
      </c>
      <c r="J238" s="15" t="s">
        <v>19436</v>
      </c>
      <c r="K238" s="15">
        <v>18555</v>
      </c>
      <c r="L238" s="15" t="s">
        <v>19099</v>
      </c>
    </row>
    <row r="239" spans="1:12" x14ac:dyDescent="0.25">
      <c r="A239" s="2" t="s">
        <v>1484</v>
      </c>
      <c r="B239" s="8" t="s">
        <v>15748</v>
      </c>
      <c r="C239" s="2" t="s">
        <v>1484</v>
      </c>
      <c r="D239" s="2" t="s">
        <v>1485</v>
      </c>
      <c r="E239" s="4" t="s">
        <v>20089</v>
      </c>
      <c r="G239" s="15" t="s">
        <v>20090</v>
      </c>
      <c r="H239" s="15" t="s">
        <v>20091</v>
      </c>
      <c r="I239" s="15" t="s">
        <v>20092</v>
      </c>
      <c r="J239" s="15" t="s">
        <v>20093</v>
      </c>
      <c r="K239" s="15">
        <v>321710</v>
      </c>
      <c r="L239" s="15" t="s">
        <v>19099</v>
      </c>
    </row>
    <row r="240" spans="1:12" x14ac:dyDescent="0.25">
      <c r="A240" s="2" t="s">
        <v>1487</v>
      </c>
      <c r="B240" s="8" t="s">
        <v>15749</v>
      </c>
      <c r="C240" s="2" t="s">
        <v>1487</v>
      </c>
      <c r="D240" s="2" t="s">
        <v>1488</v>
      </c>
      <c r="E240" s="4" t="s">
        <v>20094</v>
      </c>
      <c r="G240" s="15" t="s">
        <v>20094</v>
      </c>
      <c r="H240" s="15" t="s">
        <v>20095</v>
      </c>
      <c r="I240" s="15" t="s">
        <v>20096</v>
      </c>
      <c r="J240" s="15" t="s">
        <v>20097</v>
      </c>
      <c r="K240" s="15">
        <v>6191</v>
      </c>
      <c r="L240" s="15" t="s">
        <v>19099</v>
      </c>
    </row>
    <row r="241" spans="1:12" x14ac:dyDescent="0.25">
      <c r="A241" s="2" t="s">
        <v>1490</v>
      </c>
      <c r="B241" s="8" t="s">
        <v>15750</v>
      </c>
      <c r="C241" s="2" t="s">
        <v>1490</v>
      </c>
      <c r="D241" s="2" t="s">
        <v>1491</v>
      </c>
      <c r="E241" s="4" t="s">
        <v>20098</v>
      </c>
      <c r="G241" s="15" t="s">
        <v>20099</v>
      </c>
      <c r="H241" s="15" t="s">
        <v>20100</v>
      </c>
      <c r="I241" s="15" t="s">
        <v>20101</v>
      </c>
      <c r="J241" s="15" t="s">
        <v>20102</v>
      </c>
      <c r="K241" s="15">
        <v>11761</v>
      </c>
      <c r="L241" s="15" t="s">
        <v>19099</v>
      </c>
    </row>
    <row r="242" spans="1:12" x14ac:dyDescent="0.25">
      <c r="A242" s="2" t="s">
        <v>1493</v>
      </c>
      <c r="B242" s="8" t="s">
        <v>15751</v>
      </c>
      <c r="C242" s="2" t="s">
        <v>1493</v>
      </c>
      <c r="D242" s="2" t="s">
        <v>1494</v>
      </c>
      <c r="E242" s="4" t="s">
        <v>20103</v>
      </c>
      <c r="G242" s="15" t="s">
        <v>20104</v>
      </c>
      <c r="H242" s="15" t="s">
        <v>20105</v>
      </c>
      <c r="I242" s="15" t="s">
        <v>20106</v>
      </c>
      <c r="J242" s="15" t="s">
        <v>20107</v>
      </c>
      <c r="K242" s="15">
        <v>18205</v>
      </c>
      <c r="L242" s="15" t="s">
        <v>19099</v>
      </c>
    </row>
    <row r="243" spans="1:12" x14ac:dyDescent="0.25">
      <c r="A243" s="2" t="s">
        <v>1496</v>
      </c>
      <c r="B243" s="8" t="s">
        <v>15752</v>
      </c>
      <c r="C243" s="2" t="s">
        <v>1496</v>
      </c>
      <c r="D243" s="2" t="s">
        <v>1497</v>
      </c>
      <c r="E243" s="4" t="s">
        <v>1497</v>
      </c>
      <c r="G243" s="15" t="s">
        <v>14352</v>
      </c>
      <c r="H243" s="15" t="s">
        <v>20108</v>
      </c>
      <c r="I243" s="15" t="s">
        <v>20109</v>
      </c>
      <c r="J243" s="15" t="s">
        <v>19833</v>
      </c>
      <c r="K243" s="15">
        <v>6893</v>
      </c>
      <c r="L243" s="15" t="s">
        <v>19099</v>
      </c>
    </row>
    <row r="244" spans="1:12" x14ac:dyDescent="0.25">
      <c r="A244" s="2" t="s">
        <v>1499</v>
      </c>
      <c r="B244" s="8" t="s">
        <v>15753</v>
      </c>
      <c r="C244" s="2" t="s">
        <v>1499</v>
      </c>
      <c r="D244" s="2" t="s">
        <v>1500</v>
      </c>
      <c r="E244" s="4" t="s">
        <v>20110</v>
      </c>
      <c r="G244" s="15" t="s">
        <v>20111</v>
      </c>
      <c r="H244" s="15" t="s">
        <v>20112</v>
      </c>
      <c r="I244" s="15" t="s">
        <v>20113</v>
      </c>
      <c r="J244" s="15" t="s">
        <v>20114</v>
      </c>
      <c r="K244" s="15">
        <v>551387</v>
      </c>
      <c r="L244" s="15" t="s">
        <v>19099</v>
      </c>
    </row>
    <row r="245" spans="1:12" x14ac:dyDescent="0.25">
      <c r="A245" s="2" t="s">
        <v>1502</v>
      </c>
      <c r="B245" s="8" t="s">
        <v>15754</v>
      </c>
      <c r="C245" s="2" t="s">
        <v>1502</v>
      </c>
      <c r="D245" s="2" t="s">
        <v>1503</v>
      </c>
      <c r="E245" s="4" t="s">
        <v>20115</v>
      </c>
      <c r="G245" s="15" t="s">
        <v>20116</v>
      </c>
      <c r="H245" s="15" t="s">
        <v>20117</v>
      </c>
      <c r="I245" s="15" t="s">
        <v>20118</v>
      </c>
      <c r="J245" s="15" t="s">
        <v>20119</v>
      </c>
      <c r="K245" s="15">
        <v>1480</v>
      </c>
      <c r="L245" s="15" t="s">
        <v>19099</v>
      </c>
    </row>
    <row r="246" spans="1:12" x14ac:dyDescent="0.25">
      <c r="A246" s="2" t="s">
        <v>1505</v>
      </c>
      <c r="B246" s="8" t="s">
        <v>15755</v>
      </c>
      <c r="C246" s="2" t="s">
        <v>1505</v>
      </c>
      <c r="D246" s="2" t="s">
        <v>1506</v>
      </c>
      <c r="E246" s="4" t="s">
        <v>1506</v>
      </c>
      <c r="G246" s="15" t="s">
        <v>1506</v>
      </c>
      <c r="H246" s="15" t="s">
        <v>20120</v>
      </c>
      <c r="I246" s="15" t="s">
        <v>20121</v>
      </c>
      <c r="J246" s="15" t="s">
        <v>19998</v>
      </c>
      <c r="K246" s="15">
        <v>8717</v>
      </c>
      <c r="L246" s="15" t="s">
        <v>19099</v>
      </c>
    </row>
    <row r="247" spans="1:12" x14ac:dyDescent="0.25">
      <c r="A247" s="2" t="s">
        <v>1508</v>
      </c>
      <c r="B247" s="8" t="s">
        <v>15756</v>
      </c>
      <c r="C247" s="2" t="s">
        <v>1508</v>
      </c>
      <c r="D247" s="2" t="s">
        <v>1509</v>
      </c>
      <c r="E247" s="4" t="s">
        <v>20122</v>
      </c>
      <c r="G247" s="15" t="s">
        <v>20122</v>
      </c>
      <c r="H247" s="15" t="s">
        <v>20123</v>
      </c>
      <c r="I247" s="15" t="s">
        <v>20124</v>
      </c>
      <c r="J247" s="15" t="s">
        <v>20002</v>
      </c>
      <c r="K247" s="15">
        <v>12487</v>
      </c>
      <c r="L247" s="15" t="s">
        <v>19099</v>
      </c>
    </row>
    <row r="248" spans="1:12" x14ac:dyDescent="0.25">
      <c r="A248" s="2" t="s">
        <v>1511</v>
      </c>
      <c r="B248" s="8" t="s">
        <v>15757</v>
      </c>
      <c r="C248" s="2" t="s">
        <v>1511</v>
      </c>
      <c r="D248" s="2" t="s">
        <v>1512</v>
      </c>
      <c r="E248" s="4" t="s">
        <v>20125</v>
      </c>
      <c r="G248" s="15" t="s">
        <v>20125</v>
      </c>
      <c r="H248" s="15" t="s">
        <v>20126</v>
      </c>
      <c r="I248" s="15" t="s">
        <v>20127</v>
      </c>
      <c r="J248" s="15" t="s">
        <v>20006</v>
      </c>
      <c r="K248" s="15">
        <v>7271</v>
      </c>
      <c r="L248" s="15" t="s">
        <v>19099</v>
      </c>
    </row>
    <row r="249" spans="1:12" x14ac:dyDescent="0.25">
      <c r="A249" s="2" t="s">
        <v>1514</v>
      </c>
      <c r="B249" s="8" t="s">
        <v>15758</v>
      </c>
      <c r="C249" s="2" t="s">
        <v>1514</v>
      </c>
      <c r="D249" s="2" t="s">
        <v>1515</v>
      </c>
      <c r="E249" s="4" t="s">
        <v>20128</v>
      </c>
      <c r="G249" s="15" t="s">
        <v>20129</v>
      </c>
      <c r="H249" s="15" t="s">
        <v>20130</v>
      </c>
      <c r="I249" s="15" t="s">
        <v>20131</v>
      </c>
      <c r="J249" s="15" t="s">
        <v>20132</v>
      </c>
      <c r="K249" s="15">
        <v>7158</v>
      </c>
      <c r="L249" s="15" t="s">
        <v>19099</v>
      </c>
    </row>
    <row r="250" spans="1:12" x14ac:dyDescent="0.25">
      <c r="A250" s="2" t="s">
        <v>1517</v>
      </c>
      <c r="B250" s="8" t="s">
        <v>15759</v>
      </c>
      <c r="C250" s="2" t="s">
        <v>1517</v>
      </c>
      <c r="D250" s="2" t="s">
        <v>1518</v>
      </c>
      <c r="E250" s="4" t="s">
        <v>20133</v>
      </c>
      <c r="G250" s="15" t="s">
        <v>20133</v>
      </c>
      <c r="H250" s="15" t="s">
        <v>20134</v>
      </c>
      <c r="I250" s="15" t="s">
        <v>20135</v>
      </c>
      <c r="J250" s="15" t="s">
        <v>20136</v>
      </c>
      <c r="K250" s="15">
        <v>1483</v>
      </c>
      <c r="L250" s="15" t="s">
        <v>19099</v>
      </c>
    </row>
    <row r="251" spans="1:12" x14ac:dyDescent="0.25">
      <c r="A251" s="2" t="s">
        <v>1520</v>
      </c>
      <c r="B251" s="8" t="s">
        <v>15760</v>
      </c>
      <c r="C251" s="2" t="s">
        <v>1520</v>
      </c>
      <c r="D251" s="2" t="s">
        <v>1521</v>
      </c>
      <c r="E251" s="4" t="s">
        <v>1521</v>
      </c>
      <c r="G251" s="15" t="s">
        <v>1521</v>
      </c>
      <c r="H251" s="15" t="s">
        <v>20137</v>
      </c>
      <c r="I251" s="15" t="s">
        <v>20138</v>
      </c>
      <c r="J251" s="15" t="s">
        <v>19998</v>
      </c>
      <c r="K251" s="15">
        <v>6913</v>
      </c>
      <c r="L251" s="15" t="s">
        <v>19099</v>
      </c>
    </row>
    <row r="252" spans="1:12" x14ac:dyDescent="0.25">
      <c r="A252" s="2" t="s">
        <v>1523</v>
      </c>
      <c r="B252" s="8" t="s">
        <v>15761</v>
      </c>
      <c r="C252" s="2" t="s">
        <v>1523</v>
      </c>
      <c r="D252" s="2" t="s">
        <v>1524</v>
      </c>
      <c r="E252" s="4" t="s">
        <v>20139</v>
      </c>
      <c r="G252" s="15" t="s">
        <v>20139</v>
      </c>
      <c r="H252" s="15" t="s">
        <v>20140</v>
      </c>
      <c r="I252" s="15" t="s">
        <v>20141</v>
      </c>
      <c r="J252" s="15" t="s">
        <v>20018</v>
      </c>
      <c r="K252" s="15">
        <v>10698</v>
      </c>
      <c r="L252" s="15" t="s">
        <v>19099</v>
      </c>
    </row>
    <row r="253" spans="1:12" x14ac:dyDescent="0.25">
      <c r="A253" s="2" t="s">
        <v>1526</v>
      </c>
      <c r="B253" s="8" t="s">
        <v>15762</v>
      </c>
      <c r="C253" s="2" t="s">
        <v>1526</v>
      </c>
      <c r="D253" s="2" t="s">
        <v>1527</v>
      </c>
      <c r="E253" s="4" t="s">
        <v>1527</v>
      </c>
      <c r="G253" s="15" t="s">
        <v>1527</v>
      </c>
      <c r="H253" s="15" t="s">
        <v>20142</v>
      </c>
      <c r="I253" s="15" t="s">
        <v>20143</v>
      </c>
      <c r="J253" s="15" t="s">
        <v>19833</v>
      </c>
      <c r="K253" s="15">
        <v>7953</v>
      </c>
      <c r="L253" s="15" t="s">
        <v>19099</v>
      </c>
    </row>
    <row r="254" spans="1:12" x14ac:dyDescent="0.25">
      <c r="A254" s="2" t="s">
        <v>1529</v>
      </c>
      <c r="B254" s="8" t="s">
        <v>15763</v>
      </c>
      <c r="C254" s="2" t="s">
        <v>1529</v>
      </c>
      <c r="D254" s="2" t="s">
        <v>1530</v>
      </c>
      <c r="E254" s="4" t="s">
        <v>20144</v>
      </c>
      <c r="G254" s="15" t="s">
        <v>20144</v>
      </c>
      <c r="H254" s="15" t="s">
        <v>20145</v>
      </c>
      <c r="I254" s="15" t="s">
        <v>20146</v>
      </c>
      <c r="J254" s="15" t="s">
        <v>20002</v>
      </c>
      <c r="K254" s="15">
        <v>12471</v>
      </c>
      <c r="L254" s="15" t="s">
        <v>19099</v>
      </c>
    </row>
    <row r="255" spans="1:12" x14ac:dyDescent="0.25">
      <c r="A255" s="2" t="s">
        <v>1532</v>
      </c>
      <c r="B255" s="8" t="s">
        <v>15764</v>
      </c>
      <c r="C255" s="2" t="s">
        <v>1532</v>
      </c>
      <c r="D255" s="2" t="s">
        <v>1533</v>
      </c>
      <c r="E255" s="4" t="s">
        <v>20147</v>
      </c>
      <c r="G255" s="15" t="s">
        <v>20147</v>
      </c>
      <c r="H255" s="15" t="s">
        <v>20148</v>
      </c>
      <c r="I255" s="15" t="s">
        <v>20149</v>
      </c>
      <c r="J255" s="15" t="s">
        <v>20006</v>
      </c>
      <c r="K255" s="15">
        <v>6914</v>
      </c>
      <c r="L255" s="15" t="s">
        <v>19099</v>
      </c>
    </row>
    <row r="256" spans="1:12" x14ac:dyDescent="0.25">
      <c r="A256" s="2" t="s">
        <v>1535</v>
      </c>
      <c r="B256" s="8" t="s">
        <v>15765</v>
      </c>
      <c r="C256" s="2" t="s">
        <v>1535</v>
      </c>
      <c r="D256" s="2" t="s">
        <v>1536</v>
      </c>
      <c r="E256" s="4" t="s">
        <v>20150</v>
      </c>
      <c r="G256" s="15" t="s">
        <v>20150</v>
      </c>
      <c r="H256" s="15" t="s">
        <v>20151</v>
      </c>
      <c r="I256" s="15" t="s">
        <v>20152</v>
      </c>
      <c r="J256" s="15" t="s">
        <v>20153</v>
      </c>
      <c r="K256" s="15">
        <v>6954</v>
      </c>
      <c r="L256" s="15" t="s">
        <v>19099</v>
      </c>
    </row>
    <row r="257" spans="1:12" x14ac:dyDescent="0.25">
      <c r="A257" s="2" t="s">
        <v>1538</v>
      </c>
      <c r="B257" s="8" t="s">
        <v>15766</v>
      </c>
      <c r="C257" s="2" t="s">
        <v>1538</v>
      </c>
      <c r="D257" s="2" t="s">
        <v>1539</v>
      </c>
      <c r="E257" s="4" t="s">
        <v>20154</v>
      </c>
      <c r="G257" s="15" t="s">
        <v>20155</v>
      </c>
      <c r="H257" s="15" t="s">
        <v>20156</v>
      </c>
      <c r="I257" s="15" t="s">
        <v>20157</v>
      </c>
      <c r="J257" s="15" t="s">
        <v>20158</v>
      </c>
      <c r="K257" s="15">
        <v>12902</v>
      </c>
      <c r="L257" s="15" t="s">
        <v>19099</v>
      </c>
    </row>
    <row r="258" spans="1:12" x14ac:dyDescent="0.25">
      <c r="A258" s="2" t="s">
        <v>1541</v>
      </c>
      <c r="B258" s="8" t="s">
        <v>15767</v>
      </c>
      <c r="C258" s="2" t="s">
        <v>1541</v>
      </c>
      <c r="D258" s="2" t="s">
        <v>1542</v>
      </c>
      <c r="E258" s="4" t="s">
        <v>20159</v>
      </c>
      <c r="G258" s="15" t="s">
        <v>20160</v>
      </c>
      <c r="H258" s="15" t="s">
        <v>20161</v>
      </c>
      <c r="I258" s="15" t="s">
        <v>20162</v>
      </c>
      <c r="J258" s="15" t="s">
        <v>20163</v>
      </c>
      <c r="K258" s="15">
        <v>31362</v>
      </c>
      <c r="L258" s="15" t="s">
        <v>19099</v>
      </c>
    </row>
    <row r="259" spans="1:12" x14ac:dyDescent="0.25">
      <c r="A259" s="2" t="s">
        <v>1544</v>
      </c>
      <c r="B259" s="8" t="s">
        <v>15768</v>
      </c>
      <c r="C259" s="2" t="s">
        <v>1544</v>
      </c>
      <c r="D259" s="2" t="s">
        <v>1545</v>
      </c>
      <c r="E259" s="4" t="s">
        <v>20164</v>
      </c>
      <c r="G259" s="15" t="s">
        <v>20165</v>
      </c>
      <c r="H259" s="15" t="s">
        <v>20166</v>
      </c>
      <c r="I259" s="15" t="s">
        <v>20167</v>
      </c>
      <c r="J259" s="15" t="s">
        <v>20168</v>
      </c>
      <c r="K259" s="15">
        <v>78951</v>
      </c>
      <c r="L259" s="15" t="s">
        <v>19099</v>
      </c>
    </row>
    <row r="260" spans="1:12" x14ac:dyDescent="0.25">
      <c r="A260" s="2" t="s">
        <v>1547</v>
      </c>
      <c r="B260" s="8" t="s">
        <v>15769</v>
      </c>
      <c r="C260" s="2" t="s">
        <v>1547</v>
      </c>
      <c r="D260" s="2" t="s">
        <v>1548</v>
      </c>
      <c r="E260" s="4" t="s">
        <v>20169</v>
      </c>
      <c r="G260" s="15" t="s">
        <v>20170</v>
      </c>
      <c r="H260" s="15" t="s">
        <v>20171</v>
      </c>
      <c r="I260" s="15" t="s">
        <v>20172</v>
      </c>
      <c r="J260" s="15" t="s">
        <v>20173</v>
      </c>
      <c r="K260" s="15">
        <v>1486</v>
      </c>
      <c r="L260" s="15" t="s">
        <v>19099</v>
      </c>
    </row>
    <row r="261" spans="1:12" x14ac:dyDescent="0.25">
      <c r="A261" s="2" t="s">
        <v>1550</v>
      </c>
      <c r="B261" s="8" t="s">
        <v>15770</v>
      </c>
      <c r="C261" s="2" t="s">
        <v>1550</v>
      </c>
      <c r="D261" s="2" t="s">
        <v>1551</v>
      </c>
      <c r="E261" s="4" t="s">
        <v>1551</v>
      </c>
      <c r="G261" s="15" t="s">
        <v>20174</v>
      </c>
      <c r="H261" s="15" t="s">
        <v>20175</v>
      </c>
      <c r="I261" s="15" t="s">
        <v>20176</v>
      </c>
      <c r="J261" s="15" t="s">
        <v>20177</v>
      </c>
      <c r="K261" s="15">
        <v>62039</v>
      </c>
      <c r="L261" s="15" t="s">
        <v>19099</v>
      </c>
    </row>
    <row r="262" spans="1:12" x14ac:dyDescent="0.25">
      <c r="A262" s="2" t="s">
        <v>1553</v>
      </c>
      <c r="B262" s="8" t="s">
        <v>15771</v>
      </c>
      <c r="C262" s="2" t="s">
        <v>1553</v>
      </c>
      <c r="D262" s="2" t="s">
        <v>1554</v>
      </c>
      <c r="E262" s="4" t="s">
        <v>20178</v>
      </c>
      <c r="G262" s="15" t="s">
        <v>20179</v>
      </c>
      <c r="H262" s="15" t="s">
        <v>20180</v>
      </c>
      <c r="I262" s="15" t="s">
        <v>20181</v>
      </c>
      <c r="J262" s="15" t="s">
        <v>20177</v>
      </c>
      <c r="K262" s="15">
        <v>61286</v>
      </c>
      <c r="L262" s="15" t="s">
        <v>19099</v>
      </c>
    </row>
    <row r="263" spans="1:12" x14ac:dyDescent="0.25">
      <c r="A263" s="2" t="s">
        <v>1556</v>
      </c>
      <c r="B263" s="8" t="s">
        <v>15772</v>
      </c>
      <c r="C263" s="2" t="s">
        <v>1556</v>
      </c>
      <c r="D263" s="2" t="s">
        <v>1557</v>
      </c>
      <c r="E263" s="4" t="s">
        <v>20182</v>
      </c>
      <c r="G263" s="15" t="s">
        <v>20183</v>
      </c>
      <c r="H263" s="15" t="s">
        <v>20184</v>
      </c>
      <c r="I263" s="15" t="s">
        <v>20185</v>
      </c>
      <c r="J263" s="15" t="s">
        <v>20186</v>
      </c>
      <c r="K263" s="15">
        <v>96177</v>
      </c>
      <c r="L263" s="15" t="s">
        <v>19099</v>
      </c>
    </row>
    <row r="264" spans="1:12" x14ac:dyDescent="0.25">
      <c r="A264" s="2" t="s">
        <v>1559</v>
      </c>
      <c r="B264" s="8" t="s">
        <v>15773</v>
      </c>
      <c r="C264" s="2" t="s">
        <v>1559</v>
      </c>
      <c r="D264" s="2" t="s">
        <v>1560</v>
      </c>
      <c r="E264" s="4" t="s">
        <v>20187</v>
      </c>
      <c r="G264" s="15" t="s">
        <v>20188</v>
      </c>
      <c r="H264" s="15" t="s">
        <v>20189</v>
      </c>
      <c r="I264" s="15" t="s">
        <v>20190</v>
      </c>
      <c r="J264" s="15" t="s">
        <v>20191</v>
      </c>
      <c r="K264" s="15">
        <v>7261</v>
      </c>
      <c r="L264" s="15" t="s">
        <v>19099</v>
      </c>
    </row>
    <row r="265" spans="1:12" x14ac:dyDescent="0.25">
      <c r="A265" s="2" t="s">
        <v>1562</v>
      </c>
      <c r="B265" s="8" t="s">
        <v>15774</v>
      </c>
      <c r="C265" s="2" t="s">
        <v>1562</v>
      </c>
      <c r="D265" s="2" t="s">
        <v>1563</v>
      </c>
      <c r="E265" s="4" t="s">
        <v>20192</v>
      </c>
      <c r="G265" s="15" t="s">
        <v>20193</v>
      </c>
      <c r="H265" s="15" t="s">
        <v>20194</v>
      </c>
      <c r="I265" s="15" t="s">
        <v>20195</v>
      </c>
      <c r="J265" s="15" t="s">
        <v>20196</v>
      </c>
      <c r="K265" s="15">
        <v>38221</v>
      </c>
      <c r="L265" s="15" t="s">
        <v>19099</v>
      </c>
    </row>
    <row r="266" spans="1:12" x14ac:dyDescent="0.25">
      <c r="A266" s="2" t="s">
        <v>1565</v>
      </c>
      <c r="B266" s="8" t="s">
        <v>15775</v>
      </c>
      <c r="C266" s="2" t="s">
        <v>1565</v>
      </c>
      <c r="D266" s="2" t="s">
        <v>1566</v>
      </c>
      <c r="E266" s="4" t="s">
        <v>20197</v>
      </c>
      <c r="G266" s="15" t="s">
        <v>20198</v>
      </c>
      <c r="H266" s="15" t="s">
        <v>20199</v>
      </c>
      <c r="I266" s="15" t="s">
        <v>20200</v>
      </c>
      <c r="J266" s="15" t="s">
        <v>20201</v>
      </c>
      <c r="K266" s="15">
        <v>11976</v>
      </c>
      <c r="L266" s="15" t="s">
        <v>19099</v>
      </c>
    </row>
    <row r="267" spans="1:12" x14ac:dyDescent="0.25">
      <c r="A267" s="2" t="s">
        <v>1568</v>
      </c>
      <c r="B267" s="8" t="s">
        <v>15776</v>
      </c>
      <c r="C267" s="2" t="s">
        <v>1568</v>
      </c>
      <c r="D267" s="2" t="s">
        <v>1569</v>
      </c>
      <c r="E267" s="4" t="s">
        <v>20202</v>
      </c>
      <c r="G267" s="15" t="s">
        <v>20203</v>
      </c>
      <c r="H267" s="15" t="s">
        <v>20204</v>
      </c>
      <c r="I267" s="15" t="s">
        <v>20205</v>
      </c>
      <c r="J267" s="15" t="s">
        <v>20206</v>
      </c>
      <c r="K267" s="15">
        <v>1489</v>
      </c>
      <c r="L267" s="15" t="s">
        <v>19099</v>
      </c>
    </row>
    <row r="268" spans="1:12" x14ac:dyDescent="0.25">
      <c r="A268" s="2" t="s">
        <v>1571</v>
      </c>
      <c r="B268" s="8" t="s">
        <v>15777</v>
      </c>
      <c r="C268" s="2" t="s">
        <v>1571</v>
      </c>
      <c r="D268" s="2" t="s">
        <v>1572</v>
      </c>
      <c r="E268" s="4" t="s">
        <v>1572</v>
      </c>
      <c r="G268" s="15" t="s">
        <v>20207</v>
      </c>
      <c r="H268" s="15" t="s">
        <v>20208</v>
      </c>
      <c r="I268" s="15" t="s">
        <v>20209</v>
      </c>
      <c r="J268" s="15" t="s">
        <v>19778</v>
      </c>
      <c r="K268" s="15">
        <v>98257</v>
      </c>
      <c r="L268" s="15" t="s">
        <v>19099</v>
      </c>
    </row>
    <row r="269" spans="1:12" x14ac:dyDescent="0.25">
      <c r="A269" s="2" t="s">
        <v>1574</v>
      </c>
      <c r="B269" s="8" t="s">
        <v>15778</v>
      </c>
      <c r="C269" s="2" t="s">
        <v>1574</v>
      </c>
      <c r="D269" s="2" t="s">
        <v>1575</v>
      </c>
      <c r="E269" s="4" t="s">
        <v>1575</v>
      </c>
      <c r="G269" s="15" t="s">
        <v>1575</v>
      </c>
      <c r="H269" s="15" t="s">
        <v>20210</v>
      </c>
      <c r="I269" s="15" t="s">
        <v>20211</v>
      </c>
      <c r="J269" s="15" t="s">
        <v>20212</v>
      </c>
      <c r="K269" s="15">
        <v>61814</v>
      </c>
      <c r="L269" s="15" t="s">
        <v>19099</v>
      </c>
    </row>
    <row r="270" spans="1:12" x14ac:dyDescent="0.25">
      <c r="A270" s="2" t="s">
        <v>1577</v>
      </c>
      <c r="B270" s="8" t="s">
        <v>15779</v>
      </c>
      <c r="C270" s="2" t="s">
        <v>1577</v>
      </c>
      <c r="D270" s="2" t="s">
        <v>1578</v>
      </c>
      <c r="E270" s="4" t="s">
        <v>20213</v>
      </c>
      <c r="G270" s="15" t="s">
        <v>20213</v>
      </c>
      <c r="H270" s="15" t="s">
        <v>20214</v>
      </c>
      <c r="I270" s="15" t="s">
        <v>20215</v>
      </c>
      <c r="J270" s="15" t="s">
        <v>20216</v>
      </c>
      <c r="K270" s="15">
        <v>7907</v>
      </c>
      <c r="L270" s="15" t="s">
        <v>19099</v>
      </c>
    </row>
    <row r="271" spans="1:12" x14ac:dyDescent="0.25">
      <c r="A271" s="2" t="s">
        <v>1580</v>
      </c>
      <c r="B271" s="8" t="s">
        <v>15780</v>
      </c>
      <c r="C271" s="2" t="s">
        <v>1580</v>
      </c>
      <c r="D271" s="2" t="s">
        <v>1581</v>
      </c>
      <c r="E271" s="4" t="s">
        <v>20217</v>
      </c>
      <c r="G271" s="15" t="s">
        <v>20218</v>
      </c>
      <c r="H271" s="15" t="s">
        <v>20219</v>
      </c>
      <c r="I271" s="15" t="s">
        <v>20220</v>
      </c>
      <c r="J271" s="15" t="s">
        <v>19759</v>
      </c>
      <c r="K271" s="15">
        <v>11271</v>
      </c>
      <c r="L271" s="15" t="s">
        <v>19099</v>
      </c>
    </row>
    <row r="272" spans="1:12" x14ac:dyDescent="0.25">
      <c r="A272" s="2" t="s">
        <v>1583</v>
      </c>
      <c r="B272" s="8" t="s">
        <v>15781</v>
      </c>
      <c r="C272" s="2" t="s">
        <v>1583</v>
      </c>
      <c r="D272" s="2" t="s">
        <v>1584</v>
      </c>
      <c r="E272" s="4" t="s">
        <v>20221</v>
      </c>
      <c r="G272" s="15" t="s">
        <v>20221</v>
      </c>
      <c r="H272" s="15" t="s">
        <v>20222</v>
      </c>
      <c r="I272" s="15" t="s">
        <v>20223</v>
      </c>
      <c r="J272" s="15" t="s">
        <v>19917</v>
      </c>
      <c r="K272" s="15">
        <v>11511</v>
      </c>
      <c r="L272" s="15" t="s">
        <v>19099</v>
      </c>
    </row>
    <row r="273" spans="1:12" x14ac:dyDescent="0.25">
      <c r="A273" s="2" t="s">
        <v>1586</v>
      </c>
      <c r="B273" s="8" t="s">
        <v>15782</v>
      </c>
      <c r="C273" s="2" t="s">
        <v>1586</v>
      </c>
      <c r="D273" s="2" t="s">
        <v>1587</v>
      </c>
      <c r="E273" s="4" t="s">
        <v>20224</v>
      </c>
      <c r="G273" s="15" t="s">
        <v>20224</v>
      </c>
      <c r="H273" s="15" t="s">
        <v>20225</v>
      </c>
      <c r="I273" s="15" t="s">
        <v>20226</v>
      </c>
      <c r="J273" s="15" t="s">
        <v>19828</v>
      </c>
      <c r="K273" s="15">
        <v>7771</v>
      </c>
      <c r="L273" s="15" t="s">
        <v>19099</v>
      </c>
    </row>
    <row r="274" spans="1:12" x14ac:dyDescent="0.25">
      <c r="A274" s="2" t="s">
        <v>1589</v>
      </c>
      <c r="B274" s="8" t="s">
        <v>15783</v>
      </c>
      <c r="C274" s="2" t="s">
        <v>1589</v>
      </c>
      <c r="D274" s="2" t="s">
        <v>1590</v>
      </c>
      <c r="E274" s="4" t="s">
        <v>1590</v>
      </c>
      <c r="G274" s="15" t="s">
        <v>1590</v>
      </c>
      <c r="H274" s="15" t="s">
        <v>20227</v>
      </c>
      <c r="I274" s="15" t="s">
        <v>20228</v>
      </c>
      <c r="J274" s="15" t="s">
        <v>20058</v>
      </c>
      <c r="K274" s="15">
        <v>7936</v>
      </c>
      <c r="L274" s="15" t="s">
        <v>19099</v>
      </c>
    </row>
    <row r="275" spans="1:12" x14ac:dyDescent="0.25">
      <c r="A275" s="2" t="s">
        <v>1592</v>
      </c>
      <c r="B275" s="8" t="s">
        <v>15784</v>
      </c>
      <c r="C275" s="2" t="s">
        <v>1592</v>
      </c>
      <c r="D275" s="2" t="s">
        <v>1593</v>
      </c>
      <c r="E275" s="4" t="s">
        <v>1593</v>
      </c>
      <c r="G275" s="15" t="s">
        <v>1593</v>
      </c>
      <c r="H275" s="15" t="s">
        <v>20229</v>
      </c>
      <c r="I275" s="15" t="s">
        <v>20230</v>
      </c>
      <c r="J275" s="15" t="s">
        <v>20231</v>
      </c>
      <c r="K275" s="15">
        <v>14536</v>
      </c>
      <c r="L275" s="15" t="s">
        <v>19099</v>
      </c>
    </row>
    <row r="276" spans="1:12" x14ac:dyDescent="0.25">
      <c r="A276" s="2" t="s">
        <v>1595</v>
      </c>
      <c r="B276" s="8" t="s">
        <v>15785</v>
      </c>
      <c r="C276" s="2" t="s">
        <v>1595</v>
      </c>
      <c r="D276" s="2" t="s">
        <v>1596</v>
      </c>
      <c r="E276" s="4" t="s">
        <v>20232</v>
      </c>
      <c r="G276" s="15" t="s">
        <v>20233</v>
      </c>
      <c r="H276" s="15" t="s">
        <v>20234</v>
      </c>
      <c r="I276" s="15" t="s">
        <v>20235</v>
      </c>
      <c r="J276" s="15" t="s">
        <v>20236</v>
      </c>
      <c r="K276" s="15">
        <v>14840</v>
      </c>
      <c r="L276" s="15" t="s">
        <v>19099</v>
      </c>
    </row>
    <row r="277" spans="1:12" x14ac:dyDescent="0.25">
      <c r="A277" s="2" t="s">
        <v>1598</v>
      </c>
      <c r="B277" s="8" t="s">
        <v>15786</v>
      </c>
      <c r="C277" s="2" t="s">
        <v>1598</v>
      </c>
      <c r="D277" s="2" t="s">
        <v>1599</v>
      </c>
      <c r="E277" s="4" t="s">
        <v>20237</v>
      </c>
      <c r="G277" s="15" t="s">
        <v>20238</v>
      </c>
      <c r="H277" s="15" t="s">
        <v>20239</v>
      </c>
      <c r="I277" s="15" t="s">
        <v>20240</v>
      </c>
      <c r="J277" s="15" t="s">
        <v>20241</v>
      </c>
      <c r="K277" s="15">
        <v>16002</v>
      </c>
      <c r="L277" s="15" t="s">
        <v>19099</v>
      </c>
    </row>
    <row r="278" spans="1:12" x14ac:dyDescent="0.25">
      <c r="A278" s="2" t="s">
        <v>1601</v>
      </c>
      <c r="B278" s="8" t="s">
        <v>15787</v>
      </c>
      <c r="C278" s="2" t="s">
        <v>1601</v>
      </c>
      <c r="D278" s="2" t="s">
        <v>1602</v>
      </c>
      <c r="E278" s="4" t="s">
        <v>1602</v>
      </c>
      <c r="G278" s="15" t="s">
        <v>20242</v>
      </c>
      <c r="H278" s="15" t="s">
        <v>20243</v>
      </c>
      <c r="I278" s="15" t="s">
        <v>20244</v>
      </c>
      <c r="J278" s="15" t="s">
        <v>20245</v>
      </c>
      <c r="K278" s="15">
        <v>7206</v>
      </c>
      <c r="L278" s="15" t="s">
        <v>19099</v>
      </c>
    </row>
    <row r="279" spans="1:12" x14ac:dyDescent="0.25">
      <c r="A279" s="2" t="s">
        <v>1604</v>
      </c>
      <c r="B279" s="8" t="s">
        <v>15788</v>
      </c>
      <c r="C279" s="2" t="s">
        <v>1604</v>
      </c>
      <c r="D279" s="2" t="s">
        <v>1605</v>
      </c>
      <c r="E279" s="4" t="s">
        <v>20246</v>
      </c>
      <c r="G279" s="15" t="s">
        <v>20246</v>
      </c>
      <c r="H279" s="15" t="s">
        <v>20247</v>
      </c>
      <c r="I279" s="15" t="s">
        <v>20248</v>
      </c>
      <c r="J279" s="15" t="s">
        <v>20249</v>
      </c>
      <c r="K279" s="15">
        <v>75893</v>
      </c>
      <c r="L279" s="15" t="s">
        <v>19099</v>
      </c>
    </row>
    <row r="280" spans="1:12" x14ac:dyDescent="0.25">
      <c r="A280" s="2" t="s">
        <v>1607</v>
      </c>
      <c r="B280" s="8" t="s">
        <v>15789</v>
      </c>
      <c r="C280" s="2" t="s">
        <v>1607</v>
      </c>
      <c r="D280" s="2" t="s">
        <v>1608</v>
      </c>
      <c r="E280" s="4" t="s">
        <v>20250</v>
      </c>
      <c r="G280" s="15" t="s">
        <v>20250</v>
      </c>
      <c r="H280" s="15" t="s">
        <v>20251</v>
      </c>
      <c r="I280" s="15" t="s">
        <v>20252</v>
      </c>
      <c r="J280" s="15" t="s">
        <v>20062</v>
      </c>
      <c r="K280" s="15">
        <v>11123</v>
      </c>
      <c r="L280" s="15" t="s">
        <v>19099</v>
      </c>
    </row>
    <row r="281" spans="1:12" x14ac:dyDescent="0.25">
      <c r="A281" s="2" t="s">
        <v>1610</v>
      </c>
      <c r="B281" s="8" t="s">
        <v>15790</v>
      </c>
      <c r="C281" s="2" t="s">
        <v>1610</v>
      </c>
      <c r="D281" s="2" t="s">
        <v>1611</v>
      </c>
      <c r="E281" s="4" t="s">
        <v>20253</v>
      </c>
      <c r="G281" s="15" t="s">
        <v>20253</v>
      </c>
      <c r="H281" s="15" t="s">
        <v>20254</v>
      </c>
      <c r="I281" s="15" t="s">
        <v>20255</v>
      </c>
      <c r="J281" s="15" t="s">
        <v>20079</v>
      </c>
      <c r="K281" s="15">
        <v>8449</v>
      </c>
      <c r="L281" s="15" t="s">
        <v>19099</v>
      </c>
    </row>
    <row r="282" spans="1:12" x14ac:dyDescent="0.25">
      <c r="A282" s="2" t="s">
        <v>1613</v>
      </c>
      <c r="B282" s="8" t="s">
        <v>15791</v>
      </c>
      <c r="C282" s="2" t="s">
        <v>1613</v>
      </c>
      <c r="D282" s="2" t="s">
        <v>1614</v>
      </c>
      <c r="E282" s="4" t="s">
        <v>20256</v>
      </c>
      <c r="G282" s="15" t="s">
        <v>20257</v>
      </c>
      <c r="H282" s="15" t="s">
        <v>20258</v>
      </c>
      <c r="I282" s="15" t="s">
        <v>20259</v>
      </c>
      <c r="J282" s="15" t="s">
        <v>19436</v>
      </c>
      <c r="K282" s="15">
        <v>11899</v>
      </c>
      <c r="L282" s="15" t="s">
        <v>19099</v>
      </c>
    </row>
    <row r="283" spans="1:12" x14ac:dyDescent="0.25">
      <c r="A283" s="2" t="s">
        <v>1616</v>
      </c>
      <c r="B283" s="8" t="s">
        <v>15792</v>
      </c>
      <c r="C283" s="2" t="s">
        <v>1616</v>
      </c>
      <c r="D283" s="2" t="s">
        <v>1617</v>
      </c>
      <c r="E283" s="4" t="s">
        <v>20260</v>
      </c>
      <c r="G283" s="15" t="s">
        <v>20261</v>
      </c>
      <c r="H283" s="15" t="s">
        <v>20262</v>
      </c>
      <c r="I283" s="15" t="s">
        <v>20263</v>
      </c>
      <c r="J283" s="15" t="s">
        <v>20264</v>
      </c>
      <c r="K283" s="15">
        <v>18086</v>
      </c>
      <c r="L283" s="15" t="s">
        <v>19099</v>
      </c>
    </row>
    <row r="284" spans="1:12" x14ac:dyDescent="0.25">
      <c r="A284" s="2" t="s">
        <v>1619</v>
      </c>
      <c r="B284" s="8" t="s">
        <v>15793</v>
      </c>
      <c r="C284" s="2" t="s">
        <v>1619</v>
      </c>
      <c r="D284" s="2" t="s">
        <v>1620</v>
      </c>
      <c r="E284" s="4" t="s">
        <v>20265</v>
      </c>
      <c r="G284" s="15" t="s">
        <v>20266</v>
      </c>
      <c r="H284" s="15" t="s">
        <v>20267</v>
      </c>
      <c r="I284" s="15" t="s">
        <v>20268</v>
      </c>
      <c r="J284" s="15" t="s">
        <v>20269</v>
      </c>
      <c r="K284" s="15">
        <v>4211</v>
      </c>
      <c r="L284" s="15" t="s">
        <v>19099</v>
      </c>
    </row>
    <row r="285" spans="1:12" x14ac:dyDescent="0.25">
      <c r="A285" s="2" t="s">
        <v>1622</v>
      </c>
      <c r="B285" s="8" t="s">
        <v>15794</v>
      </c>
      <c r="C285" s="2" t="s">
        <v>1622</v>
      </c>
      <c r="D285" s="2" t="s">
        <v>1623</v>
      </c>
      <c r="E285" s="4" t="s">
        <v>20270</v>
      </c>
      <c r="G285" s="15" t="s">
        <v>20271</v>
      </c>
      <c r="H285" s="15" t="s">
        <v>20272</v>
      </c>
      <c r="I285" s="15" t="s">
        <v>20273</v>
      </c>
      <c r="J285" s="15" t="s">
        <v>20274</v>
      </c>
      <c r="K285" s="15">
        <v>246598</v>
      </c>
      <c r="L285" s="15" t="s">
        <v>19099</v>
      </c>
    </row>
    <row r="286" spans="1:12" x14ac:dyDescent="0.25">
      <c r="A286" s="2" t="s">
        <v>1625</v>
      </c>
      <c r="B286" s="8" t="s">
        <v>15795</v>
      </c>
      <c r="C286" s="2" t="s">
        <v>1625</v>
      </c>
      <c r="D286" s="2" t="s">
        <v>1626</v>
      </c>
      <c r="E286" s="4" t="s">
        <v>20275</v>
      </c>
      <c r="G286" s="15" t="s">
        <v>20276</v>
      </c>
      <c r="H286" s="15" t="s">
        <v>20277</v>
      </c>
      <c r="I286" s="15" t="s">
        <v>20278</v>
      </c>
      <c r="J286" s="15" t="s">
        <v>20279</v>
      </c>
      <c r="K286" s="15">
        <v>13089</v>
      </c>
      <c r="L286" s="15" t="s">
        <v>19099</v>
      </c>
    </row>
    <row r="287" spans="1:12" x14ac:dyDescent="0.25">
      <c r="A287" s="2" t="s">
        <v>1628</v>
      </c>
      <c r="B287" s="8" t="s">
        <v>15796</v>
      </c>
      <c r="C287" s="2" t="s">
        <v>1628</v>
      </c>
      <c r="D287" s="2" t="s">
        <v>1629</v>
      </c>
      <c r="E287" s="4" t="s">
        <v>1629</v>
      </c>
      <c r="G287" s="15" t="s">
        <v>1629</v>
      </c>
      <c r="H287" s="15" t="s">
        <v>20280</v>
      </c>
      <c r="I287" s="15" t="s">
        <v>20281</v>
      </c>
      <c r="J287" s="15" t="s">
        <v>20282</v>
      </c>
      <c r="K287" s="15">
        <v>7321</v>
      </c>
      <c r="L287" s="15" t="s">
        <v>19099</v>
      </c>
    </row>
    <row r="288" spans="1:12" x14ac:dyDescent="0.25">
      <c r="A288" s="2" t="s">
        <v>1631</v>
      </c>
      <c r="B288" s="8" t="s">
        <v>15797</v>
      </c>
      <c r="C288" s="2" t="s">
        <v>1631</v>
      </c>
      <c r="D288" s="2" t="s">
        <v>1632</v>
      </c>
      <c r="E288" s="4" t="s">
        <v>20283</v>
      </c>
      <c r="G288" s="15" t="s">
        <v>20283</v>
      </c>
      <c r="H288" s="15" t="s">
        <v>20284</v>
      </c>
      <c r="I288" s="15" t="s">
        <v>20285</v>
      </c>
      <c r="J288" s="15" t="s">
        <v>20097</v>
      </c>
      <c r="K288" s="15">
        <v>1493</v>
      </c>
      <c r="L288" s="15" t="s">
        <v>19099</v>
      </c>
    </row>
    <row r="289" spans="1:12" x14ac:dyDescent="0.25">
      <c r="A289" s="2" t="s">
        <v>1634</v>
      </c>
      <c r="B289" s="8" t="s">
        <v>15798</v>
      </c>
      <c r="C289" s="2" t="s">
        <v>1634</v>
      </c>
      <c r="D289" s="2" t="s">
        <v>1635</v>
      </c>
      <c r="E289" s="4" t="s">
        <v>20286</v>
      </c>
      <c r="G289" s="15" t="s">
        <v>20287</v>
      </c>
      <c r="H289" s="15" t="s">
        <v>20288</v>
      </c>
      <c r="I289" s="15" t="s">
        <v>20289</v>
      </c>
      <c r="J289" s="15" t="s">
        <v>20102</v>
      </c>
      <c r="K289" s="15">
        <v>8461</v>
      </c>
      <c r="L289" s="15" t="s">
        <v>19099</v>
      </c>
    </row>
    <row r="290" spans="1:12" x14ac:dyDescent="0.25">
      <c r="A290" s="2" t="s">
        <v>1637</v>
      </c>
      <c r="B290" s="8" t="s">
        <v>15799</v>
      </c>
      <c r="C290" s="2" t="s">
        <v>1637</v>
      </c>
      <c r="D290" s="2" t="s">
        <v>1638</v>
      </c>
      <c r="E290" s="4" t="s">
        <v>20290</v>
      </c>
      <c r="G290" s="15" t="s">
        <v>20291</v>
      </c>
      <c r="H290" s="15" t="s">
        <v>20292</v>
      </c>
      <c r="I290" s="15" t="s">
        <v>20293</v>
      </c>
      <c r="J290" s="15" t="s">
        <v>20294</v>
      </c>
      <c r="K290" s="15">
        <v>23676704</v>
      </c>
      <c r="L290" s="15" t="s">
        <v>19099</v>
      </c>
    </row>
    <row r="291" spans="1:12" x14ac:dyDescent="0.25">
      <c r="A291" s="2" t="s">
        <v>1640</v>
      </c>
      <c r="B291" s="8" t="s">
        <v>15800</v>
      </c>
      <c r="C291" s="2" t="s">
        <v>1640</v>
      </c>
      <c r="D291" s="2" t="s">
        <v>1641</v>
      </c>
      <c r="E291" s="4" t="s">
        <v>20295</v>
      </c>
      <c r="G291" s="15" t="s">
        <v>20296</v>
      </c>
      <c r="H291" s="15" t="s">
        <v>20297</v>
      </c>
      <c r="I291" s="15" t="s">
        <v>20298</v>
      </c>
      <c r="J291" s="15" t="s">
        <v>20299</v>
      </c>
      <c r="K291" s="15">
        <v>8427</v>
      </c>
      <c r="L291" s="15" t="s">
        <v>19099</v>
      </c>
    </row>
    <row r="292" spans="1:12" x14ac:dyDescent="0.25">
      <c r="A292" s="2" t="s">
        <v>1643</v>
      </c>
      <c r="B292" s="8" t="s">
        <v>15801</v>
      </c>
      <c r="C292" s="2" t="s">
        <v>1643</v>
      </c>
      <c r="D292" s="2" t="s">
        <v>1644</v>
      </c>
      <c r="E292" s="4" t="s">
        <v>1644</v>
      </c>
      <c r="G292" s="15" t="s">
        <v>20300</v>
      </c>
      <c r="H292" s="15" t="s">
        <v>20301</v>
      </c>
      <c r="I292" s="15" t="s">
        <v>20302</v>
      </c>
      <c r="J292" s="15" t="s">
        <v>20303</v>
      </c>
      <c r="K292" s="15">
        <v>7173</v>
      </c>
      <c r="L292" s="15" t="s">
        <v>19099</v>
      </c>
    </row>
    <row r="293" spans="1:12" x14ac:dyDescent="0.25">
      <c r="A293" s="2" t="s">
        <v>1646</v>
      </c>
      <c r="B293" s="8" t="s">
        <v>15802</v>
      </c>
      <c r="C293" s="2" t="s">
        <v>1646</v>
      </c>
      <c r="D293" s="2" t="s">
        <v>1647</v>
      </c>
      <c r="E293" s="4" t="s">
        <v>20304</v>
      </c>
      <c r="G293" s="15" t="s">
        <v>20305</v>
      </c>
      <c r="H293" s="15" t="s">
        <v>20306</v>
      </c>
      <c r="I293" s="15" t="s">
        <v>20307</v>
      </c>
      <c r="J293" s="15" t="s">
        <v>20308</v>
      </c>
      <c r="K293" s="15">
        <v>7311</v>
      </c>
      <c r="L293" s="15" t="s">
        <v>19099</v>
      </c>
    </row>
    <row r="294" spans="1:12" x14ac:dyDescent="0.25">
      <c r="A294" s="2" t="s">
        <v>1649</v>
      </c>
      <c r="B294" s="8" t="s">
        <v>15803</v>
      </c>
      <c r="C294" s="2" t="s">
        <v>1649</v>
      </c>
      <c r="D294" s="2" t="s">
        <v>1650</v>
      </c>
      <c r="E294" s="4" t="s">
        <v>20309</v>
      </c>
      <c r="G294" s="15" t="s">
        <v>20310</v>
      </c>
      <c r="H294" s="15" t="s">
        <v>20311</v>
      </c>
      <c r="I294" s="15" t="s">
        <v>20312</v>
      </c>
      <c r="J294" s="15" t="s">
        <v>20313</v>
      </c>
      <c r="K294" s="15">
        <v>11443</v>
      </c>
      <c r="L294" s="15" t="s">
        <v>19099</v>
      </c>
    </row>
    <row r="295" spans="1:12" x14ac:dyDescent="0.25">
      <c r="A295" s="2" t="s">
        <v>1652</v>
      </c>
      <c r="B295" s="8" t="s">
        <v>15804</v>
      </c>
      <c r="C295" s="2" t="s">
        <v>1652</v>
      </c>
      <c r="D295" s="2" t="s">
        <v>1653</v>
      </c>
      <c r="E295" s="4" t="s">
        <v>1653</v>
      </c>
      <c r="G295" s="15" t="s">
        <v>14350</v>
      </c>
      <c r="H295" s="15" t="s">
        <v>20314</v>
      </c>
      <c r="I295" s="15" t="s">
        <v>20315</v>
      </c>
      <c r="J295" s="15" t="s">
        <v>19833</v>
      </c>
      <c r="K295" s="15">
        <v>7250</v>
      </c>
      <c r="L295" s="15" t="s">
        <v>19099</v>
      </c>
    </row>
    <row r="296" spans="1:12" x14ac:dyDescent="0.25">
      <c r="A296" s="2" t="s">
        <v>1655</v>
      </c>
      <c r="B296" s="8" t="s">
        <v>15805</v>
      </c>
      <c r="C296" s="2" t="s">
        <v>1655</v>
      </c>
      <c r="D296" s="2" t="s">
        <v>1656</v>
      </c>
      <c r="E296" s="4" t="s">
        <v>20316</v>
      </c>
      <c r="G296" s="15" t="s">
        <v>20317</v>
      </c>
      <c r="H296" s="15" t="s">
        <v>20318</v>
      </c>
      <c r="I296" s="15" t="s">
        <v>20319</v>
      </c>
      <c r="J296" s="15" t="s">
        <v>20320</v>
      </c>
      <c r="K296" s="15">
        <v>8189</v>
      </c>
      <c r="L296" s="15" t="s">
        <v>19099</v>
      </c>
    </row>
    <row r="297" spans="1:12" x14ac:dyDescent="0.25">
      <c r="A297" s="2" t="s">
        <v>1658</v>
      </c>
      <c r="B297" s="8" t="s">
        <v>15806</v>
      </c>
      <c r="C297" s="2" t="s">
        <v>1658</v>
      </c>
      <c r="D297" s="2" t="s">
        <v>1659</v>
      </c>
      <c r="E297" s="4" t="s">
        <v>20321</v>
      </c>
      <c r="G297" s="15" t="s">
        <v>20321</v>
      </c>
      <c r="H297" s="15" t="s">
        <v>20322</v>
      </c>
      <c r="I297" s="15" t="s">
        <v>20323</v>
      </c>
      <c r="J297" s="15" t="s">
        <v>19917</v>
      </c>
      <c r="K297" s="15">
        <v>11592</v>
      </c>
      <c r="L297" s="15" t="s">
        <v>19099</v>
      </c>
    </row>
    <row r="298" spans="1:12" x14ac:dyDescent="0.25">
      <c r="A298" s="2" t="s">
        <v>1661</v>
      </c>
      <c r="B298" s="8" t="s">
        <v>15807</v>
      </c>
      <c r="C298" s="2" t="s">
        <v>1661</v>
      </c>
      <c r="D298" s="2" t="s">
        <v>1662</v>
      </c>
      <c r="E298" s="4" t="s">
        <v>20324</v>
      </c>
      <c r="G298" s="15" t="s">
        <v>20324</v>
      </c>
      <c r="H298" s="15" t="s">
        <v>20325</v>
      </c>
      <c r="I298" s="15" t="s">
        <v>20326</v>
      </c>
      <c r="J298" s="15" t="s">
        <v>19828</v>
      </c>
      <c r="K298" s="15">
        <v>7267</v>
      </c>
      <c r="L298" s="15" t="s">
        <v>19099</v>
      </c>
    </row>
    <row r="299" spans="1:12" x14ac:dyDescent="0.25">
      <c r="A299" s="2" t="s">
        <v>1664</v>
      </c>
      <c r="B299" s="8" t="s">
        <v>15808</v>
      </c>
      <c r="C299" s="2" t="s">
        <v>1664</v>
      </c>
      <c r="D299" s="2" t="s">
        <v>1665</v>
      </c>
      <c r="E299" s="4" t="s">
        <v>1665</v>
      </c>
      <c r="G299" s="15" t="s">
        <v>1665</v>
      </c>
      <c r="H299" s="15" t="s">
        <v>20327</v>
      </c>
      <c r="I299" s="15" t="s">
        <v>20328</v>
      </c>
      <c r="J299" s="15" t="s">
        <v>20329</v>
      </c>
      <c r="K299" s="15">
        <v>66756</v>
      </c>
      <c r="L299" s="15" t="s">
        <v>19099</v>
      </c>
    </row>
    <row r="300" spans="1:12" x14ac:dyDescent="0.25">
      <c r="A300" s="2" t="s">
        <v>1667</v>
      </c>
      <c r="B300" s="8" t="s">
        <v>15809</v>
      </c>
      <c r="C300" s="2" t="s">
        <v>1667</v>
      </c>
      <c r="D300" s="2" t="s">
        <v>1668</v>
      </c>
      <c r="E300" s="4" t="s">
        <v>20330</v>
      </c>
      <c r="G300" s="15" t="s">
        <v>20330</v>
      </c>
      <c r="H300" s="15" t="s">
        <v>20331</v>
      </c>
      <c r="I300" s="15" t="s">
        <v>20332</v>
      </c>
      <c r="J300" s="15" t="s">
        <v>20249</v>
      </c>
      <c r="K300" s="15">
        <v>23108</v>
      </c>
      <c r="L300" s="15" t="s">
        <v>19099</v>
      </c>
    </row>
    <row r="301" spans="1:12" x14ac:dyDescent="0.25">
      <c r="A301" s="2" t="s">
        <v>1670</v>
      </c>
      <c r="B301" s="8" t="s">
        <v>15810</v>
      </c>
      <c r="C301" s="2" t="s">
        <v>1670</v>
      </c>
      <c r="D301" s="2" t="s">
        <v>1671</v>
      </c>
      <c r="E301" s="4" t="s">
        <v>20333</v>
      </c>
      <c r="G301" s="15" t="s">
        <v>20333</v>
      </c>
      <c r="H301" s="15" t="s">
        <v>20334</v>
      </c>
      <c r="I301" s="15" t="s">
        <v>20335</v>
      </c>
      <c r="J301" s="15" t="s">
        <v>20249</v>
      </c>
      <c r="K301" s="15">
        <v>3576459</v>
      </c>
      <c r="L301" s="15" t="s">
        <v>19099</v>
      </c>
    </row>
    <row r="302" spans="1:12" x14ac:dyDescent="0.25">
      <c r="A302" s="2" t="s">
        <v>1673</v>
      </c>
      <c r="B302" s="8" t="s">
        <v>15811</v>
      </c>
      <c r="C302" s="2" t="s">
        <v>1673</v>
      </c>
      <c r="D302" s="2" t="s">
        <v>1674</v>
      </c>
      <c r="E302" s="4" t="s">
        <v>20336</v>
      </c>
      <c r="G302" s="15" t="s">
        <v>20336</v>
      </c>
      <c r="H302" s="15" t="s">
        <v>20337</v>
      </c>
      <c r="I302" s="15" t="s">
        <v>20338</v>
      </c>
      <c r="J302" s="15" t="s">
        <v>20062</v>
      </c>
      <c r="K302" s="15">
        <v>7262</v>
      </c>
      <c r="L302" s="15" t="s">
        <v>19099</v>
      </c>
    </row>
    <row r="303" spans="1:12" x14ac:dyDescent="0.25">
      <c r="A303" s="2" t="s">
        <v>1676</v>
      </c>
      <c r="B303" s="8" t="s">
        <v>15812</v>
      </c>
      <c r="C303" s="2" t="s">
        <v>1676</v>
      </c>
      <c r="D303" s="2" t="s">
        <v>1677</v>
      </c>
      <c r="E303" s="4" t="s">
        <v>20339</v>
      </c>
      <c r="G303" s="15" t="s">
        <v>20339</v>
      </c>
      <c r="H303" s="15" t="s">
        <v>20340</v>
      </c>
      <c r="I303" s="15" t="s">
        <v>20341</v>
      </c>
      <c r="J303" s="15" t="s">
        <v>20079</v>
      </c>
      <c r="K303" s="15">
        <v>66</v>
      </c>
      <c r="L303" s="15" t="s">
        <v>19099</v>
      </c>
    </row>
    <row r="304" spans="1:12" x14ac:dyDescent="0.25">
      <c r="A304" s="2" t="s">
        <v>1679</v>
      </c>
      <c r="B304" s="8" t="s">
        <v>15813</v>
      </c>
      <c r="C304" s="2" t="s">
        <v>1679</v>
      </c>
      <c r="D304" s="2" t="s">
        <v>1680</v>
      </c>
      <c r="E304" s="4" t="s">
        <v>20342</v>
      </c>
      <c r="G304" s="15" t="s">
        <v>20343</v>
      </c>
      <c r="H304" s="15" t="s">
        <v>20344</v>
      </c>
      <c r="I304" s="15" t="s">
        <v>20345</v>
      </c>
      <c r="J304" s="15" t="s">
        <v>19436</v>
      </c>
      <c r="K304" s="15">
        <v>6977</v>
      </c>
      <c r="L304" s="15" t="s">
        <v>19099</v>
      </c>
    </row>
    <row r="305" spans="1:12" x14ac:dyDescent="0.25">
      <c r="A305" s="2" t="s">
        <v>1682</v>
      </c>
      <c r="B305" s="8" t="s">
        <v>15814</v>
      </c>
      <c r="C305" s="2" t="s">
        <v>1682</v>
      </c>
      <c r="D305" s="2" t="s">
        <v>1683</v>
      </c>
      <c r="E305" s="4" t="s">
        <v>20346</v>
      </c>
      <c r="G305" s="15" t="s">
        <v>20346</v>
      </c>
      <c r="H305" s="15" t="s">
        <v>20347</v>
      </c>
      <c r="I305" s="15" t="s">
        <v>20348</v>
      </c>
      <c r="J305" s="15" t="s">
        <v>20097</v>
      </c>
      <c r="K305" s="15">
        <v>9492</v>
      </c>
      <c r="L305" s="15" t="s">
        <v>19099</v>
      </c>
    </row>
    <row r="306" spans="1:12" x14ac:dyDescent="0.25">
      <c r="A306" s="2" t="s">
        <v>1685</v>
      </c>
      <c r="B306" s="8" t="s">
        <v>15815</v>
      </c>
      <c r="C306" s="2" t="s">
        <v>1685</v>
      </c>
      <c r="D306" s="2" t="s">
        <v>1686</v>
      </c>
      <c r="E306" s="4" t="s">
        <v>20349</v>
      </c>
      <c r="G306" s="15" t="s">
        <v>20350</v>
      </c>
      <c r="H306" s="15" t="s">
        <v>20351</v>
      </c>
      <c r="I306" s="15" t="s">
        <v>20352</v>
      </c>
      <c r="J306" s="15" t="s">
        <v>20102</v>
      </c>
      <c r="K306" s="15">
        <v>12075</v>
      </c>
      <c r="L306" s="15" t="s">
        <v>19099</v>
      </c>
    </row>
    <row r="307" spans="1:12" x14ac:dyDescent="0.25">
      <c r="A307" s="2" t="s">
        <v>1688</v>
      </c>
      <c r="B307" s="8" t="s">
        <v>15816</v>
      </c>
      <c r="C307" s="2" t="s">
        <v>1688</v>
      </c>
      <c r="D307" s="2" t="s">
        <v>1689</v>
      </c>
      <c r="E307" s="4" t="s">
        <v>20353</v>
      </c>
      <c r="G307" s="15" t="s">
        <v>20354</v>
      </c>
      <c r="H307" s="15" t="s">
        <v>20355</v>
      </c>
      <c r="I307" s="15" t="s">
        <v>20356</v>
      </c>
      <c r="J307" s="15" t="s">
        <v>20357</v>
      </c>
      <c r="K307" s="15">
        <v>7923</v>
      </c>
      <c r="L307" s="15" t="s">
        <v>19099</v>
      </c>
    </row>
    <row r="308" spans="1:12" x14ac:dyDescent="0.25">
      <c r="A308" s="2" t="s">
        <v>1691</v>
      </c>
      <c r="B308" s="8" t="s">
        <v>15817</v>
      </c>
      <c r="C308" s="2" t="s">
        <v>1691</v>
      </c>
      <c r="D308" s="2" t="s">
        <v>1692</v>
      </c>
      <c r="E308" s="4" t="s">
        <v>1692</v>
      </c>
      <c r="G308" s="15" t="s">
        <v>14351</v>
      </c>
      <c r="H308" s="15" t="s">
        <v>20358</v>
      </c>
      <c r="I308" s="15" t="s">
        <v>20359</v>
      </c>
      <c r="J308" s="15" t="s">
        <v>19833</v>
      </c>
      <c r="K308" s="15">
        <v>7259</v>
      </c>
      <c r="L308" s="15" t="s">
        <v>19099</v>
      </c>
    </row>
    <row r="309" spans="1:12" x14ac:dyDescent="0.25">
      <c r="A309" s="2" t="s">
        <v>1694</v>
      </c>
      <c r="B309" s="8" t="s">
        <v>15818</v>
      </c>
      <c r="C309" s="2" t="s">
        <v>1694</v>
      </c>
      <c r="D309" s="2" t="s">
        <v>1695</v>
      </c>
      <c r="E309" s="4" t="s">
        <v>20360</v>
      </c>
      <c r="G309" s="15" t="s">
        <v>20361</v>
      </c>
      <c r="H309" s="15" t="s">
        <v>20362</v>
      </c>
      <c r="I309" s="15" t="s">
        <v>20363</v>
      </c>
      <c r="J309" s="15" t="s">
        <v>20364</v>
      </c>
      <c r="K309" s="15">
        <v>12523</v>
      </c>
      <c r="L309" s="15" t="s">
        <v>19099</v>
      </c>
    </row>
    <row r="310" spans="1:12" x14ac:dyDescent="0.25">
      <c r="A310" s="2" t="s">
        <v>1697</v>
      </c>
      <c r="B310" s="8" t="s">
        <v>15819</v>
      </c>
      <c r="C310" s="2" t="s">
        <v>1697</v>
      </c>
      <c r="D310" s="2" t="s">
        <v>1698</v>
      </c>
      <c r="E310" s="4" t="s">
        <v>20365</v>
      </c>
      <c r="G310" s="15" t="s">
        <v>20366</v>
      </c>
      <c r="H310" s="15" t="s">
        <v>20367</v>
      </c>
      <c r="I310" s="15" t="s">
        <v>20368</v>
      </c>
      <c r="J310" s="15" t="s">
        <v>20369</v>
      </c>
      <c r="K310" s="15">
        <v>15979</v>
      </c>
      <c r="L310" s="15" t="s">
        <v>19099</v>
      </c>
    </row>
    <row r="311" spans="1:12" ht="30" customHeight="1" x14ac:dyDescent="0.25">
      <c r="A311" s="2" t="s">
        <v>1700</v>
      </c>
      <c r="B311" s="8" t="s">
        <v>15820</v>
      </c>
      <c r="C311" s="2" t="s">
        <v>1700</v>
      </c>
      <c r="D311" s="2" t="s">
        <v>1701</v>
      </c>
      <c r="E311" s="4" t="s">
        <v>20370</v>
      </c>
      <c r="G311" s="15" t="s">
        <v>20371</v>
      </c>
      <c r="H311" s="15" t="s">
        <v>20372</v>
      </c>
      <c r="I311" s="15" t="s">
        <v>20373</v>
      </c>
      <c r="J311" s="15" t="s">
        <v>20374</v>
      </c>
      <c r="K311" s="15">
        <v>25210512</v>
      </c>
      <c r="L311" s="15" t="s">
        <v>19099</v>
      </c>
    </row>
    <row r="312" spans="1:12" x14ac:dyDescent="0.25">
      <c r="A312" s="2" t="s">
        <v>1703</v>
      </c>
      <c r="B312" s="8" t="s">
        <v>15821</v>
      </c>
      <c r="C312" s="2" t="s">
        <v>1703</v>
      </c>
      <c r="D312" s="2" t="s">
        <v>1704</v>
      </c>
      <c r="E312" s="4" t="s">
        <v>20375</v>
      </c>
      <c r="G312" s="15" t="s">
        <v>20376</v>
      </c>
      <c r="H312" s="15" t="s">
        <v>20377</v>
      </c>
      <c r="I312" s="15" t="s">
        <v>20378</v>
      </c>
      <c r="J312" s="15" t="s">
        <v>20186</v>
      </c>
      <c r="K312" s="15">
        <v>91671</v>
      </c>
      <c r="L312" s="15" t="s">
        <v>19099</v>
      </c>
    </row>
    <row r="313" spans="1:12" x14ac:dyDescent="0.25">
      <c r="A313" s="2" t="s">
        <v>1706</v>
      </c>
      <c r="B313" s="8" t="s">
        <v>15822</v>
      </c>
      <c r="C313" s="2" t="s">
        <v>1706</v>
      </c>
      <c r="D313" s="2" t="s">
        <v>1707</v>
      </c>
      <c r="E313" s="4" t="s">
        <v>1707</v>
      </c>
      <c r="G313" s="15" t="s">
        <v>20379</v>
      </c>
      <c r="H313" s="15" t="s">
        <v>20380</v>
      </c>
      <c r="I313" s="15" t="s">
        <v>20381</v>
      </c>
      <c r="J313" s="15" t="s">
        <v>19787</v>
      </c>
      <c r="K313" s="15">
        <v>7957</v>
      </c>
      <c r="L313" s="15" t="s">
        <v>19099</v>
      </c>
    </row>
    <row r="314" spans="1:12" x14ac:dyDescent="0.25">
      <c r="A314" s="2" t="s">
        <v>1709</v>
      </c>
      <c r="B314" s="8" t="s">
        <v>15823</v>
      </c>
      <c r="C314" s="2" t="s">
        <v>1709</v>
      </c>
      <c r="D314" s="2" t="s">
        <v>1710</v>
      </c>
      <c r="E314" s="4" t="s">
        <v>20382</v>
      </c>
      <c r="G314" s="15" t="s">
        <v>20383</v>
      </c>
      <c r="H314" s="15" t="s">
        <v>20384</v>
      </c>
      <c r="I314" s="15" t="s">
        <v>20385</v>
      </c>
      <c r="J314" s="15" t="s">
        <v>20386</v>
      </c>
      <c r="K314" s="15">
        <v>7958</v>
      </c>
      <c r="L314" s="15" t="s">
        <v>19099</v>
      </c>
    </row>
    <row r="315" spans="1:12" x14ac:dyDescent="0.25">
      <c r="A315" s="2" t="s">
        <v>1712</v>
      </c>
      <c r="B315" s="8" t="s">
        <v>15824</v>
      </c>
      <c r="C315" s="2" t="s">
        <v>1712</v>
      </c>
      <c r="D315" s="2" t="s">
        <v>1713</v>
      </c>
      <c r="E315" s="4" t="s">
        <v>20387</v>
      </c>
      <c r="G315" s="15" t="s">
        <v>20387</v>
      </c>
      <c r="H315" s="15" t="s">
        <v>20388</v>
      </c>
      <c r="I315" s="15" t="s">
        <v>20389</v>
      </c>
      <c r="J315" s="15" t="s">
        <v>19828</v>
      </c>
      <c r="K315" s="15">
        <v>11335</v>
      </c>
      <c r="L315" s="15" t="s">
        <v>19099</v>
      </c>
    </row>
    <row r="316" spans="1:12" x14ac:dyDescent="0.25">
      <c r="A316" s="2" t="s">
        <v>1715</v>
      </c>
      <c r="B316" s="8" t="s">
        <v>15825</v>
      </c>
      <c r="C316" s="2" t="s">
        <v>1715</v>
      </c>
      <c r="D316" s="2" t="s">
        <v>1716</v>
      </c>
      <c r="E316" s="4" t="s">
        <v>1716</v>
      </c>
      <c r="G316" s="15" t="s">
        <v>1716</v>
      </c>
      <c r="H316" s="15" t="s">
        <v>20390</v>
      </c>
      <c r="I316" s="15" t="s">
        <v>20391</v>
      </c>
      <c r="J316" s="15" t="s">
        <v>20058</v>
      </c>
      <c r="K316" s="15">
        <v>7937</v>
      </c>
      <c r="L316" s="15" t="s">
        <v>19099</v>
      </c>
    </row>
    <row r="317" spans="1:12" x14ac:dyDescent="0.25">
      <c r="A317" s="2" t="s">
        <v>1718</v>
      </c>
      <c r="B317" s="8" t="s">
        <v>15826</v>
      </c>
      <c r="C317" s="2" t="s">
        <v>1718</v>
      </c>
      <c r="D317" s="2" t="s">
        <v>1719</v>
      </c>
      <c r="E317" s="4" t="s">
        <v>1719</v>
      </c>
      <c r="G317" s="15" t="s">
        <v>1719</v>
      </c>
      <c r="H317" s="15" t="s">
        <v>20392</v>
      </c>
      <c r="I317" s="15" t="s">
        <v>20393</v>
      </c>
      <c r="J317" s="15" t="s">
        <v>20231</v>
      </c>
      <c r="K317" s="15">
        <v>13414</v>
      </c>
      <c r="L317" s="15" t="s">
        <v>19099</v>
      </c>
    </row>
    <row r="318" spans="1:12" x14ac:dyDescent="0.25">
      <c r="A318" s="2" t="s">
        <v>1721</v>
      </c>
      <c r="B318" s="8" t="s">
        <v>15827</v>
      </c>
      <c r="C318" s="2" t="s">
        <v>1721</v>
      </c>
      <c r="D318" s="2" t="s">
        <v>1722</v>
      </c>
      <c r="E318" s="4" t="s">
        <v>1722</v>
      </c>
      <c r="G318" s="15" t="s">
        <v>1722</v>
      </c>
      <c r="H318" s="15" t="s">
        <v>20394</v>
      </c>
      <c r="I318" s="15" t="s">
        <v>20395</v>
      </c>
      <c r="J318" s="15" t="s">
        <v>20396</v>
      </c>
      <c r="K318" s="15">
        <v>11369</v>
      </c>
      <c r="L318" s="15" t="s">
        <v>19099</v>
      </c>
    </row>
    <row r="319" spans="1:12" x14ac:dyDescent="0.25">
      <c r="A319" s="2" t="s">
        <v>1724</v>
      </c>
      <c r="B319" s="8" t="s">
        <v>15828</v>
      </c>
      <c r="C319" s="2" t="s">
        <v>1724</v>
      </c>
      <c r="D319" s="2" t="s">
        <v>1725</v>
      </c>
      <c r="E319" s="4" t="s">
        <v>20397</v>
      </c>
      <c r="G319" s="15" t="s">
        <v>20397</v>
      </c>
      <c r="H319" s="15" t="s">
        <v>20398</v>
      </c>
      <c r="I319" s="15" t="s">
        <v>20399</v>
      </c>
      <c r="J319" s="15" t="s">
        <v>20400</v>
      </c>
      <c r="K319" s="15">
        <v>116529</v>
      </c>
      <c r="L319" s="15" t="s">
        <v>19099</v>
      </c>
    </row>
    <row r="320" spans="1:12" x14ac:dyDescent="0.25">
      <c r="A320" s="2" t="s">
        <v>1727</v>
      </c>
      <c r="B320" s="8" t="s">
        <v>15829</v>
      </c>
      <c r="C320" s="2" t="s">
        <v>1727</v>
      </c>
      <c r="D320" s="2" t="s">
        <v>1728</v>
      </c>
      <c r="E320" s="4" t="s">
        <v>20401</v>
      </c>
      <c r="G320" s="15" t="s">
        <v>20401</v>
      </c>
      <c r="H320" s="15" t="s">
        <v>20402</v>
      </c>
      <c r="I320" s="15" t="s">
        <v>20403</v>
      </c>
      <c r="J320" s="15" t="s">
        <v>20404</v>
      </c>
      <c r="K320" s="15">
        <v>17077</v>
      </c>
      <c r="L320" s="15" t="s">
        <v>19099</v>
      </c>
    </row>
    <row r="321" spans="1:12" x14ac:dyDescent="0.25">
      <c r="A321" s="2" t="s">
        <v>1730</v>
      </c>
      <c r="B321" s="8" t="s">
        <v>15830</v>
      </c>
      <c r="C321" s="2" t="s">
        <v>1730</v>
      </c>
      <c r="D321" s="2" t="s">
        <v>1731</v>
      </c>
      <c r="E321" s="4" t="s">
        <v>20405</v>
      </c>
      <c r="G321" s="15" t="s">
        <v>20405</v>
      </c>
      <c r="H321" s="15" t="s">
        <v>20406</v>
      </c>
      <c r="I321" s="15" t="s">
        <v>20407</v>
      </c>
      <c r="J321" s="15" t="s">
        <v>20249</v>
      </c>
      <c r="K321" s="15">
        <v>7430</v>
      </c>
      <c r="L321" s="15" t="s">
        <v>19099</v>
      </c>
    </row>
    <row r="322" spans="1:12" x14ac:dyDescent="0.25">
      <c r="A322" s="2" t="s">
        <v>1733</v>
      </c>
      <c r="B322" s="8" t="s">
        <v>15831</v>
      </c>
      <c r="C322" s="2" t="s">
        <v>1733</v>
      </c>
      <c r="D322" s="2" t="s">
        <v>1734</v>
      </c>
      <c r="E322" s="4" t="s">
        <v>20408</v>
      </c>
      <c r="G322" s="15" t="s">
        <v>20408</v>
      </c>
      <c r="H322" s="15" t="s">
        <v>20409</v>
      </c>
      <c r="I322" s="15" t="s">
        <v>20410</v>
      </c>
      <c r="J322" s="15" t="s">
        <v>20062</v>
      </c>
      <c r="K322" s="15">
        <v>11846</v>
      </c>
      <c r="L322" s="15" t="s">
        <v>19099</v>
      </c>
    </row>
    <row r="323" spans="1:12" x14ac:dyDescent="0.25">
      <c r="A323" s="2" t="s">
        <v>1736</v>
      </c>
      <c r="B323" s="8" t="s">
        <v>15832</v>
      </c>
      <c r="C323" s="2" t="s">
        <v>1736</v>
      </c>
      <c r="D323" s="2" t="s">
        <v>1737</v>
      </c>
      <c r="E323" s="4" t="s">
        <v>20411</v>
      </c>
      <c r="G323" s="15" t="s">
        <v>20411</v>
      </c>
      <c r="H323" s="15" t="s">
        <v>20412</v>
      </c>
      <c r="I323" s="15" t="s">
        <v>20413</v>
      </c>
      <c r="J323" s="15" t="s">
        <v>20414</v>
      </c>
      <c r="K323" s="15">
        <v>16183</v>
      </c>
      <c r="L323" s="15" t="s">
        <v>19099</v>
      </c>
    </row>
    <row r="324" spans="1:12" x14ac:dyDescent="0.25">
      <c r="A324" s="2" t="s">
        <v>1739</v>
      </c>
      <c r="B324" s="8" t="s">
        <v>15833</v>
      </c>
      <c r="C324" s="2" t="s">
        <v>1739</v>
      </c>
      <c r="D324" s="2" t="s">
        <v>1740</v>
      </c>
      <c r="E324" s="4" t="s">
        <v>20415</v>
      </c>
      <c r="G324" s="15" t="s">
        <v>20415</v>
      </c>
      <c r="H324" s="15" t="s">
        <v>20416</v>
      </c>
      <c r="I324" s="15" t="s">
        <v>20417</v>
      </c>
      <c r="J324" s="15" t="s">
        <v>20079</v>
      </c>
      <c r="K324" s="15">
        <v>6899</v>
      </c>
      <c r="L324" s="15" t="s">
        <v>19099</v>
      </c>
    </row>
    <row r="325" spans="1:12" x14ac:dyDescent="0.25">
      <c r="A325" s="2" t="s">
        <v>1742</v>
      </c>
      <c r="B325" s="8" t="s">
        <v>15834</v>
      </c>
      <c r="C325" s="2" t="s">
        <v>1742</v>
      </c>
      <c r="D325" s="2" t="s">
        <v>1743</v>
      </c>
      <c r="E325" s="4" t="s">
        <v>20418</v>
      </c>
      <c r="G325" s="15" t="s">
        <v>20418</v>
      </c>
      <c r="H325" s="15" t="s">
        <v>20419</v>
      </c>
      <c r="I325" s="15" t="s">
        <v>20420</v>
      </c>
      <c r="J325" s="15" t="s">
        <v>20067</v>
      </c>
      <c r="K325" s="15">
        <v>5758</v>
      </c>
      <c r="L325" s="15" t="s">
        <v>19099</v>
      </c>
    </row>
    <row r="326" spans="1:12" x14ac:dyDescent="0.25">
      <c r="A326" s="2" t="s">
        <v>1745</v>
      </c>
      <c r="B326" s="8" t="s">
        <v>15835</v>
      </c>
      <c r="C326" s="2" t="s">
        <v>1745</v>
      </c>
      <c r="D326" s="2" t="s">
        <v>1746</v>
      </c>
      <c r="E326" s="4" t="s">
        <v>20421</v>
      </c>
      <c r="G326" s="15" t="s">
        <v>20421</v>
      </c>
      <c r="H326" s="15" t="s">
        <v>20422</v>
      </c>
      <c r="I326" s="15" t="s">
        <v>20423</v>
      </c>
      <c r="J326" s="15" t="s">
        <v>20424</v>
      </c>
      <c r="K326" s="15">
        <v>87439</v>
      </c>
      <c r="L326" s="15" t="s">
        <v>19099</v>
      </c>
    </row>
    <row r="327" spans="1:12" x14ac:dyDescent="0.25">
      <c r="A327" s="2" t="s">
        <v>1748</v>
      </c>
      <c r="B327" s="8" t="s">
        <v>15836</v>
      </c>
      <c r="C327" s="2" t="s">
        <v>1748</v>
      </c>
      <c r="D327" s="2" t="s">
        <v>1749</v>
      </c>
      <c r="E327" s="4" t="s">
        <v>1749</v>
      </c>
      <c r="G327" s="15" t="s">
        <v>1749</v>
      </c>
      <c r="H327" s="15" t="s">
        <v>20425</v>
      </c>
      <c r="I327" s="15" t="s">
        <v>20426</v>
      </c>
      <c r="J327" s="15" t="s">
        <v>20282</v>
      </c>
      <c r="K327" s="15">
        <v>69070</v>
      </c>
      <c r="L327" s="15" t="s">
        <v>19099</v>
      </c>
    </row>
    <row r="328" spans="1:12" x14ac:dyDescent="0.25">
      <c r="A328" s="2" t="s">
        <v>1751</v>
      </c>
      <c r="B328" s="8" t="s">
        <v>15837</v>
      </c>
      <c r="C328" s="2" t="s">
        <v>1751</v>
      </c>
      <c r="D328" s="2" t="s">
        <v>1752</v>
      </c>
      <c r="E328" s="4" t="s">
        <v>20427</v>
      </c>
      <c r="G328" s="15" t="s">
        <v>20427</v>
      </c>
      <c r="H328" s="15" t="s">
        <v>20428</v>
      </c>
      <c r="I328" s="15" t="s">
        <v>20429</v>
      </c>
      <c r="J328" s="15" t="s">
        <v>20097</v>
      </c>
      <c r="K328" s="15">
        <v>11312</v>
      </c>
      <c r="L328" s="15" t="s">
        <v>19099</v>
      </c>
    </row>
    <row r="329" spans="1:12" x14ac:dyDescent="0.25">
      <c r="A329" s="2" t="s">
        <v>1754</v>
      </c>
      <c r="B329" s="8" t="s">
        <v>15838</v>
      </c>
      <c r="C329" s="2" t="s">
        <v>1754</v>
      </c>
      <c r="D329" s="2" t="s">
        <v>1755</v>
      </c>
      <c r="E329" s="4" t="s">
        <v>20430</v>
      </c>
      <c r="G329" s="15" t="s">
        <v>20431</v>
      </c>
      <c r="H329" s="15" t="s">
        <v>20432</v>
      </c>
      <c r="I329" s="15" t="s">
        <v>20433</v>
      </c>
      <c r="J329" s="15" t="s">
        <v>20102</v>
      </c>
      <c r="K329" s="15">
        <v>11813</v>
      </c>
      <c r="L329" s="15" t="s">
        <v>19099</v>
      </c>
    </row>
    <row r="330" spans="1:12" x14ac:dyDescent="0.25">
      <c r="A330" s="2" t="s">
        <v>1757</v>
      </c>
      <c r="B330" s="8" t="s">
        <v>15839</v>
      </c>
      <c r="C330" s="2" t="s">
        <v>1757</v>
      </c>
      <c r="D330" s="2" t="s">
        <v>1758</v>
      </c>
      <c r="E330" s="4" t="s">
        <v>20434</v>
      </c>
      <c r="G330" s="15" t="s">
        <v>20435</v>
      </c>
      <c r="H330" s="15" t="s">
        <v>20436</v>
      </c>
      <c r="I330" s="15" t="s">
        <v>20437</v>
      </c>
      <c r="J330" s="15" t="s">
        <v>20438</v>
      </c>
      <c r="K330" s="15">
        <v>12867</v>
      </c>
      <c r="L330" s="15" t="s">
        <v>19099</v>
      </c>
    </row>
    <row r="331" spans="1:12" x14ac:dyDescent="0.25">
      <c r="A331" s="2" t="s">
        <v>1760</v>
      </c>
      <c r="B331" s="8" t="s">
        <v>15840</v>
      </c>
      <c r="C331" s="2" t="s">
        <v>1760</v>
      </c>
      <c r="D331" s="2" t="s">
        <v>1761</v>
      </c>
      <c r="E331" s="4" t="s">
        <v>20439</v>
      </c>
      <c r="G331" s="15" t="s">
        <v>20440</v>
      </c>
      <c r="H331" s="15" t="s">
        <v>20441</v>
      </c>
      <c r="I331" s="15" t="s">
        <v>20442</v>
      </c>
      <c r="J331" s="15" t="s">
        <v>20308</v>
      </c>
      <c r="K331" s="15">
        <v>31405</v>
      </c>
      <c r="L331" s="15" t="s">
        <v>19099</v>
      </c>
    </row>
    <row r="332" spans="1:12" x14ac:dyDescent="0.25">
      <c r="A332" s="2" t="s">
        <v>1763</v>
      </c>
      <c r="B332" s="8" t="s">
        <v>15841</v>
      </c>
      <c r="C332" s="2" t="s">
        <v>1763</v>
      </c>
      <c r="D332" s="2" t="s">
        <v>1764</v>
      </c>
      <c r="E332" s="4" t="s">
        <v>20443</v>
      </c>
      <c r="G332" s="15" t="s">
        <v>20444</v>
      </c>
      <c r="H332" s="15" t="s">
        <v>20445</v>
      </c>
      <c r="I332" s="15" t="s">
        <v>20446</v>
      </c>
      <c r="J332" s="15" t="s">
        <v>20191</v>
      </c>
      <c r="K332" s="15">
        <v>13205</v>
      </c>
      <c r="L332" s="15" t="s">
        <v>19099</v>
      </c>
    </row>
    <row r="333" spans="1:12" x14ac:dyDescent="0.25">
      <c r="A333" s="2" t="s">
        <v>1766</v>
      </c>
      <c r="B333" s="8" t="s">
        <v>15842</v>
      </c>
      <c r="C333" s="2" t="s">
        <v>1766</v>
      </c>
      <c r="D333" s="2" t="s">
        <v>1767</v>
      </c>
      <c r="E333" s="4" t="s">
        <v>20447</v>
      </c>
      <c r="G333" s="15" t="s">
        <v>20448</v>
      </c>
      <c r="H333" s="15" t="s">
        <v>20449</v>
      </c>
      <c r="I333" s="15" t="s">
        <v>20450</v>
      </c>
      <c r="J333" s="15" t="s">
        <v>20313</v>
      </c>
      <c r="K333" s="15">
        <v>7040</v>
      </c>
      <c r="L333" s="15" t="s">
        <v>19099</v>
      </c>
    </row>
    <row r="334" spans="1:12" x14ac:dyDescent="0.25">
      <c r="A334" s="2" t="s">
        <v>1769</v>
      </c>
      <c r="B334" s="8" t="s">
        <v>15843</v>
      </c>
      <c r="C334" s="2" t="s">
        <v>1769</v>
      </c>
      <c r="D334" s="2" t="s">
        <v>1770</v>
      </c>
      <c r="E334" s="4" t="s">
        <v>1770</v>
      </c>
      <c r="G334" s="15" t="s">
        <v>15104</v>
      </c>
      <c r="H334" s="15" t="s">
        <v>20451</v>
      </c>
      <c r="I334" s="15" t="s">
        <v>20452</v>
      </c>
      <c r="J334" s="15" t="s">
        <v>19833</v>
      </c>
      <c r="K334" s="15">
        <v>6896</v>
      </c>
      <c r="L334" s="15" t="s">
        <v>19099</v>
      </c>
    </row>
    <row r="335" spans="1:12" ht="30" customHeight="1" x14ac:dyDescent="0.25">
      <c r="A335" s="2" t="s">
        <v>1772</v>
      </c>
      <c r="B335" s="8" t="s">
        <v>15844</v>
      </c>
      <c r="C335" s="2" t="s">
        <v>1772</v>
      </c>
      <c r="D335" s="2" t="s">
        <v>1773</v>
      </c>
      <c r="E335" s="4" t="s">
        <v>20453</v>
      </c>
      <c r="G335" s="15" t="s">
        <v>20454</v>
      </c>
      <c r="H335" s="15" t="s">
        <v>20455</v>
      </c>
      <c r="I335" s="15" t="s">
        <v>20456</v>
      </c>
      <c r="J335" s="15" t="s">
        <v>20457</v>
      </c>
      <c r="K335" s="15">
        <v>50851128</v>
      </c>
      <c r="L335" s="15" t="s">
        <v>19099</v>
      </c>
    </row>
    <row r="336" spans="1:12" x14ac:dyDescent="0.25">
      <c r="A336" s="2" t="s">
        <v>1775</v>
      </c>
      <c r="B336" s="8" t="s">
        <v>15845</v>
      </c>
      <c r="C336" s="2" t="s">
        <v>1775</v>
      </c>
      <c r="D336" s="2" t="s">
        <v>1776</v>
      </c>
      <c r="E336" s="4" t="s">
        <v>20458</v>
      </c>
      <c r="G336" s="15" t="s">
        <v>20459</v>
      </c>
      <c r="H336" s="15" t="s">
        <v>20460</v>
      </c>
      <c r="I336" s="15" t="s">
        <v>20461</v>
      </c>
      <c r="J336" s="15" t="s">
        <v>20462</v>
      </c>
      <c r="K336" s="15">
        <v>37182</v>
      </c>
      <c r="L336" s="15" t="s">
        <v>19099</v>
      </c>
    </row>
    <row r="337" spans="1:12" x14ac:dyDescent="0.25">
      <c r="A337" s="2" t="s">
        <v>1778</v>
      </c>
      <c r="B337" s="8" t="s">
        <v>15846</v>
      </c>
      <c r="C337" s="2" t="s">
        <v>1778</v>
      </c>
      <c r="D337" s="2" t="s">
        <v>1779</v>
      </c>
      <c r="E337" s="4" t="s">
        <v>20463</v>
      </c>
      <c r="G337" s="15" t="s">
        <v>20463</v>
      </c>
      <c r="H337" s="15" t="s">
        <v>20464</v>
      </c>
      <c r="I337" s="15" t="s">
        <v>20465</v>
      </c>
      <c r="J337" s="15" t="s">
        <v>20466</v>
      </c>
      <c r="K337" s="15">
        <v>7265</v>
      </c>
      <c r="L337" s="15" t="s">
        <v>19099</v>
      </c>
    </row>
    <row r="338" spans="1:12" x14ac:dyDescent="0.25">
      <c r="A338" s="2" t="s">
        <v>1781</v>
      </c>
      <c r="B338" s="8" t="s">
        <v>15847</v>
      </c>
      <c r="C338" s="2" t="s">
        <v>1781</v>
      </c>
      <c r="D338" s="2" t="s">
        <v>1782</v>
      </c>
      <c r="E338" s="4" t="s">
        <v>20467</v>
      </c>
      <c r="G338" s="15" t="s">
        <v>20468</v>
      </c>
      <c r="H338" s="15" t="s">
        <v>20469</v>
      </c>
      <c r="I338" s="15" t="s">
        <v>20470</v>
      </c>
      <c r="J338" s="15" t="s">
        <v>20471</v>
      </c>
      <c r="K338" s="15">
        <v>11783</v>
      </c>
      <c r="L338" s="15" t="s">
        <v>19099</v>
      </c>
    </row>
    <row r="339" spans="1:12" x14ac:dyDescent="0.25">
      <c r="A339" s="2" t="s">
        <v>1784</v>
      </c>
      <c r="B339" s="8" t="s">
        <v>15848</v>
      </c>
      <c r="C339" s="2" t="s">
        <v>1784</v>
      </c>
      <c r="D339" s="2" t="s">
        <v>1785</v>
      </c>
      <c r="E339" s="4" t="s">
        <v>1785</v>
      </c>
      <c r="G339" s="15" t="s">
        <v>20472</v>
      </c>
      <c r="H339" s="15" t="s">
        <v>20473</v>
      </c>
      <c r="I339" s="15" t="s">
        <v>20474</v>
      </c>
      <c r="J339" s="15" t="s">
        <v>20475</v>
      </c>
      <c r="K339" s="15">
        <v>8795</v>
      </c>
      <c r="L339" s="15" t="s">
        <v>19099</v>
      </c>
    </row>
    <row r="340" spans="1:12" x14ac:dyDescent="0.25">
      <c r="A340" s="2" t="s">
        <v>1787</v>
      </c>
      <c r="B340" s="8" t="s">
        <v>15849</v>
      </c>
      <c r="C340" s="2" t="s">
        <v>1787</v>
      </c>
      <c r="D340" s="2" t="s">
        <v>1788</v>
      </c>
      <c r="E340" s="4" t="s">
        <v>20476</v>
      </c>
      <c r="G340" s="15" t="s">
        <v>20477</v>
      </c>
      <c r="H340" s="15" t="s">
        <v>20478</v>
      </c>
      <c r="I340" s="15" t="s">
        <v>20479</v>
      </c>
      <c r="J340" s="15" t="s">
        <v>19644</v>
      </c>
      <c r="K340" s="15">
        <v>7057</v>
      </c>
      <c r="L340" s="15" t="s">
        <v>19099</v>
      </c>
    </row>
    <row r="341" spans="1:12" x14ac:dyDescent="0.25">
      <c r="A341" s="2" t="s">
        <v>1790</v>
      </c>
      <c r="B341" s="8" t="s">
        <v>15850</v>
      </c>
      <c r="C341" s="2" t="s">
        <v>1790</v>
      </c>
      <c r="D341" s="2" t="s">
        <v>1791</v>
      </c>
      <c r="E341" s="4" t="s">
        <v>20480</v>
      </c>
      <c r="G341" s="15" t="s">
        <v>20481</v>
      </c>
      <c r="H341" s="15" t="s">
        <v>20482</v>
      </c>
      <c r="I341" s="15" t="s">
        <v>20483</v>
      </c>
      <c r="J341" s="15" t="s">
        <v>20484</v>
      </c>
      <c r="K341" s="15">
        <v>11086</v>
      </c>
      <c r="L341" s="15" t="s">
        <v>19099</v>
      </c>
    </row>
    <row r="342" spans="1:12" x14ac:dyDescent="0.25">
      <c r="A342" s="2" t="s">
        <v>1793</v>
      </c>
      <c r="B342" s="8" t="s">
        <v>15851</v>
      </c>
      <c r="C342" s="2" t="s">
        <v>1793</v>
      </c>
      <c r="D342" s="2" t="s">
        <v>1794</v>
      </c>
      <c r="E342" s="4" t="s">
        <v>20485</v>
      </c>
      <c r="G342" s="15" t="s">
        <v>20486</v>
      </c>
      <c r="H342" s="15" t="s">
        <v>20487</v>
      </c>
      <c r="I342" s="15" t="s">
        <v>20488</v>
      </c>
      <c r="J342" s="15" t="s">
        <v>20489</v>
      </c>
      <c r="K342" s="15">
        <v>8341</v>
      </c>
      <c r="L342" s="15" t="s">
        <v>19099</v>
      </c>
    </row>
    <row r="343" spans="1:12" x14ac:dyDescent="0.25">
      <c r="A343" s="2" t="s">
        <v>1796</v>
      </c>
      <c r="B343" s="8" t="s">
        <v>15852</v>
      </c>
      <c r="C343" s="2" t="s">
        <v>1796</v>
      </c>
      <c r="D343" s="2" t="s">
        <v>1797</v>
      </c>
      <c r="E343" s="4" t="s">
        <v>20490</v>
      </c>
      <c r="G343" s="15" t="s">
        <v>20491</v>
      </c>
      <c r="H343" s="15" t="s">
        <v>20492</v>
      </c>
      <c r="I343" s="15" t="s">
        <v>20493</v>
      </c>
      <c r="J343" s="15" t="s">
        <v>20494</v>
      </c>
      <c r="K343" s="15">
        <v>8706</v>
      </c>
      <c r="L343" s="15" t="s">
        <v>19099</v>
      </c>
    </row>
    <row r="344" spans="1:12" x14ac:dyDescent="0.25">
      <c r="A344" s="2" t="s">
        <v>1799</v>
      </c>
      <c r="B344" s="8" t="s">
        <v>15853</v>
      </c>
      <c r="C344" s="2" t="s">
        <v>1799</v>
      </c>
      <c r="D344" s="2" t="s">
        <v>1800</v>
      </c>
      <c r="E344" s="4" t="s">
        <v>1800</v>
      </c>
      <c r="G344" s="15" t="s">
        <v>20495</v>
      </c>
      <c r="H344" s="15" t="s">
        <v>20496</v>
      </c>
      <c r="I344" s="15" t="s">
        <v>20497</v>
      </c>
      <c r="J344" s="15" t="s">
        <v>20498</v>
      </c>
      <c r="K344" s="15">
        <v>57358774</v>
      </c>
      <c r="L344" s="15" t="s">
        <v>19099</v>
      </c>
    </row>
    <row r="345" spans="1:12" x14ac:dyDescent="0.25">
      <c r="A345" s="2" t="s">
        <v>1802</v>
      </c>
      <c r="B345" s="8" t="s">
        <v>15854</v>
      </c>
      <c r="C345" s="2" t="s">
        <v>1802</v>
      </c>
      <c r="D345" s="2" t="s">
        <v>1803</v>
      </c>
      <c r="E345" s="4" t="s">
        <v>20499</v>
      </c>
      <c r="G345" s="15" t="s">
        <v>20500</v>
      </c>
      <c r="H345" s="15" t="s">
        <v>20501</v>
      </c>
      <c r="I345" s="15" t="s">
        <v>20502</v>
      </c>
      <c r="J345" s="15" t="s">
        <v>20503</v>
      </c>
      <c r="K345" s="15">
        <v>4964</v>
      </c>
      <c r="L345" s="15" t="s">
        <v>19099</v>
      </c>
    </row>
    <row r="346" spans="1:12" x14ac:dyDescent="0.25">
      <c r="A346" s="2" t="s">
        <v>1805</v>
      </c>
      <c r="B346" s="8" t="s">
        <v>15855</v>
      </c>
      <c r="C346" s="2" t="s">
        <v>1805</v>
      </c>
      <c r="D346" s="2" t="s">
        <v>1806</v>
      </c>
      <c r="E346" s="4" t="s">
        <v>1806</v>
      </c>
      <c r="G346" s="15" t="s">
        <v>20504</v>
      </c>
      <c r="H346" s="15" t="s">
        <v>20505</v>
      </c>
      <c r="I346" s="15" t="s">
        <v>20506</v>
      </c>
      <c r="J346" s="15" t="s">
        <v>20507</v>
      </c>
      <c r="K346" s="15">
        <v>8163</v>
      </c>
      <c r="L346" s="15" t="s">
        <v>19099</v>
      </c>
    </row>
    <row r="347" spans="1:12" x14ac:dyDescent="0.25">
      <c r="A347" s="2" t="s">
        <v>1808</v>
      </c>
      <c r="B347" s="8" t="s">
        <v>15856</v>
      </c>
      <c r="C347" s="2" t="s">
        <v>1808</v>
      </c>
      <c r="D347" s="2" t="s">
        <v>1809</v>
      </c>
      <c r="E347" s="4" t="s">
        <v>1809</v>
      </c>
      <c r="G347" s="15" t="s">
        <v>20508</v>
      </c>
      <c r="H347" s="15" t="s">
        <v>20509</v>
      </c>
      <c r="I347" s="15" t="s">
        <v>20510</v>
      </c>
      <c r="J347" s="15" t="s">
        <v>20511</v>
      </c>
      <c r="K347" s="15">
        <v>69423</v>
      </c>
      <c r="L347" s="15" t="s">
        <v>19099</v>
      </c>
    </row>
    <row r="348" spans="1:12" x14ac:dyDescent="0.25">
      <c r="A348" s="2" t="s">
        <v>1811</v>
      </c>
      <c r="B348" s="8" t="s">
        <v>15857</v>
      </c>
      <c r="C348" s="2" t="s">
        <v>1811</v>
      </c>
      <c r="D348" s="2" t="s">
        <v>1812</v>
      </c>
      <c r="E348" s="4" t="s">
        <v>1812</v>
      </c>
      <c r="G348" s="15" t="s">
        <v>20512</v>
      </c>
      <c r="H348" s="15" t="s">
        <v>20513</v>
      </c>
      <c r="I348" s="15" t="s">
        <v>20514</v>
      </c>
      <c r="J348" s="15" t="s">
        <v>19504</v>
      </c>
      <c r="K348" s="15">
        <v>14846</v>
      </c>
      <c r="L348" s="15" t="s">
        <v>19099</v>
      </c>
    </row>
    <row r="349" spans="1:12" x14ac:dyDescent="0.25">
      <c r="A349" s="2" t="s">
        <v>1814</v>
      </c>
      <c r="B349" s="8" t="s">
        <v>15858</v>
      </c>
      <c r="C349" s="2" t="s">
        <v>1814</v>
      </c>
      <c r="D349" s="2" t="s">
        <v>1815</v>
      </c>
      <c r="E349" s="4" t="s">
        <v>20515</v>
      </c>
      <c r="G349" s="15" t="s">
        <v>20515</v>
      </c>
      <c r="H349" s="15" t="s">
        <v>20516</v>
      </c>
      <c r="I349" s="15" t="s">
        <v>20517</v>
      </c>
      <c r="J349" s="15" t="s">
        <v>19088</v>
      </c>
      <c r="K349" s="15">
        <v>61247</v>
      </c>
      <c r="L349" s="15" t="s">
        <v>19099</v>
      </c>
    </row>
    <row r="350" spans="1:12" x14ac:dyDescent="0.25">
      <c r="A350" s="2" t="s">
        <v>1817</v>
      </c>
      <c r="B350" s="8" t="s">
        <v>15859</v>
      </c>
      <c r="C350" s="2" t="s">
        <v>1817</v>
      </c>
      <c r="D350" s="2" t="s">
        <v>1818</v>
      </c>
      <c r="E350" s="4" t="s">
        <v>20518</v>
      </c>
      <c r="G350" s="15" t="s">
        <v>20518</v>
      </c>
      <c r="H350" s="15" t="s">
        <v>20519</v>
      </c>
      <c r="I350" s="15" t="s">
        <v>20520</v>
      </c>
      <c r="J350" s="15" t="s">
        <v>20521</v>
      </c>
      <c r="K350" s="15">
        <v>76738</v>
      </c>
      <c r="L350" s="15" t="s">
        <v>19099</v>
      </c>
    </row>
    <row r="351" spans="1:12" x14ac:dyDescent="0.25">
      <c r="A351" s="2" t="s">
        <v>1820</v>
      </c>
      <c r="B351" s="8" t="s">
        <v>15860</v>
      </c>
      <c r="C351" s="2" t="s">
        <v>1820</v>
      </c>
      <c r="D351" s="2" t="s">
        <v>1821</v>
      </c>
      <c r="E351" s="4" t="s">
        <v>1821</v>
      </c>
      <c r="G351" s="15" t="s">
        <v>1821</v>
      </c>
      <c r="H351" s="15" t="s">
        <v>20522</v>
      </c>
      <c r="I351" s="15" t="s">
        <v>20523</v>
      </c>
      <c r="J351" s="15" t="s">
        <v>20524</v>
      </c>
      <c r="K351" s="15">
        <v>7000</v>
      </c>
      <c r="L351" s="15" t="s">
        <v>19099</v>
      </c>
    </row>
    <row r="352" spans="1:12" x14ac:dyDescent="0.25">
      <c r="A352" s="2" t="s">
        <v>1823</v>
      </c>
      <c r="B352" s="8" t="s">
        <v>15861</v>
      </c>
      <c r="C352" s="2" t="s">
        <v>1823</v>
      </c>
      <c r="D352" s="2" t="s">
        <v>1824</v>
      </c>
      <c r="E352" s="4" t="s">
        <v>1824</v>
      </c>
      <c r="G352" s="15" t="s">
        <v>1824</v>
      </c>
      <c r="H352" s="15" t="s">
        <v>20525</v>
      </c>
      <c r="I352" s="15" t="s">
        <v>20526</v>
      </c>
      <c r="J352" s="15" t="s">
        <v>19285</v>
      </c>
      <c r="K352" s="15">
        <v>8019</v>
      </c>
      <c r="L352" s="15" t="s">
        <v>19099</v>
      </c>
    </row>
    <row r="353" spans="1:12" x14ac:dyDescent="0.25">
      <c r="A353" s="2" t="s">
        <v>1826</v>
      </c>
      <c r="B353" s="8" t="s">
        <v>15862</v>
      </c>
      <c r="C353" s="2" t="s">
        <v>1826</v>
      </c>
      <c r="D353" s="2" t="s">
        <v>1827</v>
      </c>
      <c r="E353" s="4" t="s">
        <v>20527</v>
      </c>
      <c r="G353" s="15" t="s">
        <v>20527</v>
      </c>
      <c r="H353" s="15" t="s">
        <v>20528</v>
      </c>
      <c r="I353" s="15" t="s">
        <v>20529</v>
      </c>
      <c r="J353" s="15" t="s">
        <v>20530</v>
      </c>
      <c r="K353" s="15">
        <v>8054</v>
      </c>
      <c r="L353" s="15" t="s">
        <v>19099</v>
      </c>
    </row>
    <row r="354" spans="1:12" x14ac:dyDescent="0.25">
      <c r="A354" s="2" t="s">
        <v>1829</v>
      </c>
      <c r="B354" s="8" t="s">
        <v>15863</v>
      </c>
      <c r="C354" s="2" t="s">
        <v>1829</v>
      </c>
      <c r="D354" s="2" t="s">
        <v>1830</v>
      </c>
      <c r="E354" s="4" t="s">
        <v>20531</v>
      </c>
      <c r="G354" s="15" t="s">
        <v>20532</v>
      </c>
      <c r="H354" s="15" t="s">
        <v>20533</v>
      </c>
      <c r="I354" s="15" t="s">
        <v>20534</v>
      </c>
      <c r="J354" s="15" t="s">
        <v>20535</v>
      </c>
      <c r="K354" s="15">
        <v>7119</v>
      </c>
      <c r="L354" s="15" t="s">
        <v>19099</v>
      </c>
    </row>
    <row r="355" spans="1:12" x14ac:dyDescent="0.25">
      <c r="A355" s="2" t="s">
        <v>1832</v>
      </c>
      <c r="B355" s="8" t="s">
        <v>15864</v>
      </c>
      <c r="C355" s="2" t="s">
        <v>1832</v>
      </c>
      <c r="D355" s="2" t="s">
        <v>1833</v>
      </c>
      <c r="E355" s="4" t="s">
        <v>1833</v>
      </c>
      <c r="G355" s="15" t="s">
        <v>20536</v>
      </c>
      <c r="H355" s="15" t="s">
        <v>20537</v>
      </c>
      <c r="I355" s="15" t="s">
        <v>20538</v>
      </c>
      <c r="J355" s="15" t="s">
        <v>19295</v>
      </c>
      <c r="K355" s="15">
        <v>6561</v>
      </c>
      <c r="L355" s="15" t="s">
        <v>19099</v>
      </c>
    </row>
    <row r="356" spans="1:12" x14ac:dyDescent="0.25">
      <c r="A356" s="2" t="s">
        <v>1835</v>
      </c>
      <c r="B356" s="8" t="s">
        <v>15865</v>
      </c>
      <c r="C356" s="2" t="s">
        <v>1835</v>
      </c>
      <c r="D356" s="2" t="s">
        <v>1836</v>
      </c>
      <c r="E356" s="4" t="s">
        <v>20539</v>
      </c>
      <c r="G356" s="15" t="s">
        <v>20540</v>
      </c>
      <c r="H356" s="15" t="s">
        <v>20541</v>
      </c>
      <c r="I356" s="15" t="s">
        <v>20542</v>
      </c>
      <c r="J356" s="15" t="s">
        <v>19735</v>
      </c>
      <c r="K356" s="15">
        <v>10558</v>
      </c>
      <c r="L356" s="15" t="s">
        <v>19099</v>
      </c>
    </row>
    <row r="357" spans="1:12" x14ac:dyDescent="0.25">
      <c r="A357" s="2" t="s">
        <v>1838</v>
      </c>
      <c r="B357" s="8" t="s">
        <v>15866</v>
      </c>
      <c r="C357" s="2" t="s">
        <v>1838</v>
      </c>
      <c r="D357" s="2" t="s">
        <v>1839</v>
      </c>
      <c r="E357" s="4" t="s">
        <v>20543</v>
      </c>
      <c r="G357" s="15" t="s">
        <v>20544</v>
      </c>
      <c r="H357" s="15" t="s">
        <v>20545</v>
      </c>
      <c r="I357" s="15" t="s">
        <v>20546</v>
      </c>
      <c r="J357" s="15" t="s">
        <v>20547</v>
      </c>
      <c r="K357" s="15">
        <v>7531</v>
      </c>
      <c r="L357" s="15" t="s">
        <v>19099</v>
      </c>
    </row>
    <row r="358" spans="1:12" x14ac:dyDescent="0.25">
      <c r="A358" s="2" t="s">
        <v>1841</v>
      </c>
      <c r="B358" s="8" t="s">
        <v>15867</v>
      </c>
      <c r="C358" s="2" t="s">
        <v>1841</v>
      </c>
      <c r="D358" s="2" t="s">
        <v>1842</v>
      </c>
      <c r="E358" s="4" t="s">
        <v>20548</v>
      </c>
      <c r="G358" s="15" t="s">
        <v>20549</v>
      </c>
      <c r="H358" s="15" t="s">
        <v>20550</v>
      </c>
      <c r="I358" s="15" t="s">
        <v>20551</v>
      </c>
      <c r="J358" s="15" t="s">
        <v>19735</v>
      </c>
      <c r="K358" s="15">
        <v>6387</v>
      </c>
      <c r="L358" s="15" t="s">
        <v>19099</v>
      </c>
    </row>
    <row r="359" spans="1:12" x14ac:dyDescent="0.25">
      <c r="A359" s="2" t="s">
        <v>1844</v>
      </c>
      <c r="B359" s="8" t="s">
        <v>15868</v>
      </c>
      <c r="C359" s="2" t="s">
        <v>1844</v>
      </c>
      <c r="D359" s="2" t="s">
        <v>1845</v>
      </c>
      <c r="E359" s="4" t="s">
        <v>1845</v>
      </c>
      <c r="G359" s="15" t="s">
        <v>20552</v>
      </c>
      <c r="H359" s="15" t="s">
        <v>20553</v>
      </c>
      <c r="I359" s="15" t="s">
        <v>20554</v>
      </c>
      <c r="J359" s="15" t="s">
        <v>19669</v>
      </c>
      <c r="K359" s="15">
        <v>6405</v>
      </c>
      <c r="L359" s="15" t="s">
        <v>19099</v>
      </c>
    </row>
    <row r="360" spans="1:12" x14ac:dyDescent="0.25">
      <c r="A360" s="2" t="s">
        <v>1847</v>
      </c>
      <c r="B360" s="8" t="s">
        <v>15869</v>
      </c>
      <c r="C360" s="2" t="s">
        <v>1847</v>
      </c>
      <c r="D360" s="2" t="s">
        <v>1848</v>
      </c>
      <c r="E360" s="4" t="s">
        <v>20555</v>
      </c>
      <c r="G360" s="15" t="s">
        <v>20556</v>
      </c>
      <c r="H360" s="15" t="s">
        <v>20557</v>
      </c>
      <c r="I360" s="15" t="s">
        <v>20558</v>
      </c>
      <c r="J360" s="15" t="s">
        <v>20559</v>
      </c>
      <c r="K360" s="15">
        <v>39800</v>
      </c>
      <c r="L360" s="15" t="s">
        <v>19099</v>
      </c>
    </row>
    <row r="361" spans="1:12" x14ac:dyDescent="0.25">
      <c r="A361" s="2" t="s">
        <v>1850</v>
      </c>
      <c r="B361" s="8" t="s">
        <v>15870</v>
      </c>
      <c r="C361" s="2" t="s">
        <v>1850</v>
      </c>
      <c r="D361" s="2" t="s">
        <v>1851</v>
      </c>
      <c r="E361" s="4" t="s">
        <v>20560</v>
      </c>
      <c r="G361" s="15" t="s">
        <v>20561</v>
      </c>
      <c r="H361" s="15" t="s">
        <v>20562</v>
      </c>
      <c r="I361" s="15" t="s">
        <v>20563</v>
      </c>
      <c r="J361" s="15" t="s">
        <v>20564</v>
      </c>
      <c r="K361" s="15">
        <v>85498</v>
      </c>
      <c r="L361" s="15" t="s">
        <v>19099</v>
      </c>
    </row>
    <row r="362" spans="1:12" x14ac:dyDescent="0.25">
      <c r="A362" s="2" t="s">
        <v>1853</v>
      </c>
      <c r="B362" s="8" t="s">
        <v>15871</v>
      </c>
      <c r="C362" s="2" t="s">
        <v>1853</v>
      </c>
      <c r="D362" s="2" t="s">
        <v>1854</v>
      </c>
      <c r="E362" s="4" t="s">
        <v>1854</v>
      </c>
      <c r="G362" s="15" t="s">
        <v>20565</v>
      </c>
      <c r="H362" s="15" t="s">
        <v>20566</v>
      </c>
      <c r="I362" s="15" t="s">
        <v>20567</v>
      </c>
      <c r="J362" s="15" t="s">
        <v>20568</v>
      </c>
      <c r="K362" s="15">
        <v>16867</v>
      </c>
      <c r="L362" s="15" t="s">
        <v>19099</v>
      </c>
    </row>
    <row r="363" spans="1:12" x14ac:dyDescent="0.25">
      <c r="A363" s="2" t="s">
        <v>1856</v>
      </c>
      <c r="B363" s="8" t="s">
        <v>15872</v>
      </c>
      <c r="C363" s="2" t="s">
        <v>1856</v>
      </c>
      <c r="D363" s="2" t="s">
        <v>1857</v>
      </c>
      <c r="E363" s="4" t="s">
        <v>20569</v>
      </c>
      <c r="G363" s="15" t="s">
        <v>20570</v>
      </c>
      <c r="H363" s="15" t="s">
        <v>20571</v>
      </c>
      <c r="I363" s="15" t="s">
        <v>20572</v>
      </c>
      <c r="J363" s="15" t="s">
        <v>20573</v>
      </c>
      <c r="K363" s="15">
        <v>12760</v>
      </c>
      <c r="L363" s="15" t="s">
        <v>19099</v>
      </c>
    </row>
    <row r="364" spans="1:12" x14ac:dyDescent="0.25">
      <c r="A364" s="2" t="s">
        <v>1859</v>
      </c>
      <c r="B364" s="8" t="s">
        <v>15873</v>
      </c>
      <c r="C364" s="2" t="s">
        <v>1859</v>
      </c>
      <c r="D364" s="2" t="s">
        <v>1860</v>
      </c>
      <c r="E364" s="4" t="s">
        <v>1860</v>
      </c>
      <c r="G364" s="15" t="s">
        <v>1860</v>
      </c>
      <c r="H364" s="15" t="s">
        <v>20574</v>
      </c>
      <c r="I364" s="15" t="s">
        <v>20575</v>
      </c>
      <c r="J364" s="15" t="s">
        <v>20058</v>
      </c>
      <c r="K364" s="15">
        <v>7242</v>
      </c>
      <c r="L364" s="15" t="s">
        <v>19099</v>
      </c>
    </row>
    <row r="365" spans="1:12" x14ac:dyDescent="0.25">
      <c r="A365" s="2" t="s">
        <v>1862</v>
      </c>
      <c r="B365" s="8" t="s">
        <v>15874</v>
      </c>
      <c r="C365" s="2" t="s">
        <v>1862</v>
      </c>
      <c r="D365" s="2" t="s">
        <v>1863</v>
      </c>
      <c r="E365" s="4" t="s">
        <v>1863</v>
      </c>
      <c r="G365" s="15" t="s">
        <v>20576</v>
      </c>
      <c r="H365" s="15" t="s">
        <v>20577</v>
      </c>
      <c r="I365" s="15" t="s">
        <v>20578</v>
      </c>
      <c r="J365" s="15" t="s">
        <v>20579</v>
      </c>
      <c r="K365" s="15">
        <v>6560</v>
      </c>
      <c r="L365" s="15" t="s">
        <v>19099</v>
      </c>
    </row>
    <row r="366" spans="1:12" x14ac:dyDescent="0.25">
      <c r="A366" s="2" t="s">
        <v>1865</v>
      </c>
      <c r="B366" s="8" t="s">
        <v>15875</v>
      </c>
      <c r="C366" s="2" t="s">
        <v>1865</v>
      </c>
      <c r="D366" s="2" t="s">
        <v>1866</v>
      </c>
      <c r="E366" s="4" t="s">
        <v>20580</v>
      </c>
      <c r="G366" s="15" t="s">
        <v>20580</v>
      </c>
      <c r="H366" s="15" t="s">
        <v>20581</v>
      </c>
      <c r="I366" s="15" t="s">
        <v>20582</v>
      </c>
      <c r="J366" s="15" t="s">
        <v>20583</v>
      </c>
      <c r="K366" s="15">
        <v>6556</v>
      </c>
      <c r="L366" s="15" t="s">
        <v>19099</v>
      </c>
    </row>
    <row r="367" spans="1:12" x14ac:dyDescent="0.25">
      <c r="A367" s="2" t="s">
        <v>1868</v>
      </c>
      <c r="B367" s="8" t="s">
        <v>15876</v>
      </c>
      <c r="C367" s="2" t="s">
        <v>1868</v>
      </c>
      <c r="D367" s="2" t="s">
        <v>1869</v>
      </c>
      <c r="E367" s="4" t="s">
        <v>20584</v>
      </c>
      <c r="G367" s="15" t="s">
        <v>20584</v>
      </c>
      <c r="H367" s="15" t="s">
        <v>20585</v>
      </c>
      <c r="I367" s="15" t="s">
        <v>20586</v>
      </c>
      <c r="J367" s="15" t="s">
        <v>20052</v>
      </c>
      <c r="K367" s="15">
        <v>7892</v>
      </c>
      <c r="L367" s="15" t="s">
        <v>19099</v>
      </c>
    </row>
    <row r="368" spans="1:12" x14ac:dyDescent="0.25">
      <c r="A368" s="2" t="s">
        <v>1871</v>
      </c>
      <c r="B368" s="8" t="s">
        <v>15877</v>
      </c>
      <c r="C368" s="2" t="s">
        <v>1871</v>
      </c>
      <c r="D368" s="2" t="s">
        <v>1872</v>
      </c>
      <c r="E368" s="4" t="s">
        <v>20587</v>
      </c>
      <c r="G368" s="15" t="s">
        <v>20587</v>
      </c>
      <c r="H368" s="15" t="s">
        <v>20588</v>
      </c>
      <c r="I368" s="15" t="s">
        <v>20589</v>
      </c>
      <c r="J368" s="15" t="s">
        <v>20216</v>
      </c>
      <c r="K368" s="15">
        <v>11582</v>
      </c>
      <c r="L368" s="15" t="s">
        <v>19099</v>
      </c>
    </row>
    <row r="369" spans="1:12" x14ac:dyDescent="0.25">
      <c r="A369" s="2" t="s">
        <v>1874</v>
      </c>
      <c r="B369" s="8" t="s">
        <v>15878</v>
      </c>
      <c r="C369" s="2" t="s">
        <v>1874</v>
      </c>
      <c r="D369" s="2" t="s">
        <v>1875</v>
      </c>
      <c r="E369" s="4" t="s">
        <v>20590</v>
      </c>
      <c r="G369" s="15" t="s">
        <v>20590</v>
      </c>
      <c r="H369" s="15" t="s">
        <v>20591</v>
      </c>
      <c r="I369" s="15" t="s">
        <v>20592</v>
      </c>
      <c r="J369" s="15" t="s">
        <v>20593</v>
      </c>
      <c r="K369" s="15">
        <v>20653</v>
      </c>
      <c r="L369" s="15" t="s">
        <v>19099</v>
      </c>
    </row>
    <row r="370" spans="1:12" x14ac:dyDescent="0.25">
      <c r="A370" s="2" t="s">
        <v>1877</v>
      </c>
      <c r="B370" s="8" t="s">
        <v>15879</v>
      </c>
      <c r="C370" s="2" t="s">
        <v>1877</v>
      </c>
      <c r="D370" s="2" t="s">
        <v>1878</v>
      </c>
      <c r="E370" s="4" t="s">
        <v>20594</v>
      </c>
      <c r="G370" s="15" t="s">
        <v>20594</v>
      </c>
      <c r="H370" s="15" t="s">
        <v>20595</v>
      </c>
      <c r="I370" s="15" t="s">
        <v>20596</v>
      </c>
      <c r="J370" s="15" t="s">
        <v>19917</v>
      </c>
      <c r="K370" s="15">
        <v>11594</v>
      </c>
      <c r="L370" s="15" t="s">
        <v>19099</v>
      </c>
    </row>
    <row r="371" spans="1:12" x14ac:dyDescent="0.25">
      <c r="A371" s="2" t="s">
        <v>1880</v>
      </c>
      <c r="B371" s="8" t="s">
        <v>15880</v>
      </c>
      <c r="C371" s="2" t="s">
        <v>1880</v>
      </c>
      <c r="D371" s="2" t="s">
        <v>1881</v>
      </c>
      <c r="E371" s="4" t="s">
        <v>20597</v>
      </c>
      <c r="G371" s="15" t="s">
        <v>20597</v>
      </c>
      <c r="H371" s="15" t="s">
        <v>20598</v>
      </c>
      <c r="I371" s="15" t="s">
        <v>20599</v>
      </c>
      <c r="J371" s="15" t="s">
        <v>19686</v>
      </c>
      <c r="K371" s="15">
        <v>7055</v>
      </c>
      <c r="L371" s="15" t="s">
        <v>19099</v>
      </c>
    </row>
    <row r="372" spans="1:12" x14ac:dyDescent="0.25">
      <c r="A372" s="2" t="s">
        <v>1883</v>
      </c>
      <c r="B372" s="8" t="s">
        <v>15881</v>
      </c>
      <c r="C372" s="2" t="s">
        <v>1883</v>
      </c>
      <c r="D372" s="2" t="s">
        <v>1884</v>
      </c>
      <c r="E372" s="4" t="s">
        <v>20600</v>
      </c>
      <c r="G372" s="15" t="s">
        <v>20601</v>
      </c>
      <c r="H372" s="15" t="s">
        <v>20602</v>
      </c>
      <c r="I372" s="15" t="s">
        <v>20603</v>
      </c>
      <c r="J372" s="15" t="s">
        <v>20604</v>
      </c>
      <c r="K372" s="15">
        <v>8446</v>
      </c>
      <c r="L372" s="15" t="s">
        <v>19099</v>
      </c>
    </row>
    <row r="373" spans="1:12" x14ac:dyDescent="0.25">
      <c r="A373" s="2" t="s">
        <v>1886</v>
      </c>
      <c r="B373" s="8" t="s">
        <v>15882</v>
      </c>
      <c r="C373" s="2" t="s">
        <v>1886</v>
      </c>
      <c r="D373" s="2" t="s">
        <v>1887</v>
      </c>
      <c r="E373" s="4" t="s">
        <v>20605</v>
      </c>
      <c r="G373" s="15" t="s">
        <v>20606</v>
      </c>
      <c r="H373" s="15" t="s">
        <v>20607</v>
      </c>
      <c r="I373" s="15" t="s">
        <v>20608</v>
      </c>
      <c r="J373" s="15" t="s">
        <v>20609</v>
      </c>
      <c r="K373" s="15">
        <v>7224</v>
      </c>
      <c r="L373" s="15" t="s">
        <v>19099</v>
      </c>
    </row>
    <row r="374" spans="1:12" x14ac:dyDescent="0.25">
      <c r="A374" s="2" t="s">
        <v>1889</v>
      </c>
      <c r="B374" s="8" t="s">
        <v>15883</v>
      </c>
      <c r="C374" s="2" t="s">
        <v>1889</v>
      </c>
      <c r="D374" s="2" t="s">
        <v>1890</v>
      </c>
      <c r="E374" s="4" t="s">
        <v>20610</v>
      </c>
      <c r="G374" s="15" t="s">
        <v>20611</v>
      </c>
      <c r="H374" s="15" t="s">
        <v>20612</v>
      </c>
      <c r="I374" s="15" t="s">
        <v>20613</v>
      </c>
      <c r="J374" s="15" t="s">
        <v>20614</v>
      </c>
      <c r="K374" s="15">
        <v>6406</v>
      </c>
      <c r="L374" s="15" t="s">
        <v>19099</v>
      </c>
    </row>
    <row r="375" spans="1:12" x14ac:dyDescent="0.25">
      <c r="A375" s="2" t="s">
        <v>1892</v>
      </c>
      <c r="B375" s="8" t="s">
        <v>15884</v>
      </c>
      <c r="C375" s="2" t="s">
        <v>1892</v>
      </c>
      <c r="D375" s="2" t="s">
        <v>1893</v>
      </c>
      <c r="E375" s="4" t="s">
        <v>1893</v>
      </c>
      <c r="G375" s="15" t="s">
        <v>1893</v>
      </c>
      <c r="H375" s="15" t="s">
        <v>20615</v>
      </c>
      <c r="I375" s="15" t="s">
        <v>20616</v>
      </c>
      <c r="J375" s="15" t="s">
        <v>20617</v>
      </c>
      <c r="K375" s="15">
        <v>7975</v>
      </c>
      <c r="L375" s="15" t="s">
        <v>19099</v>
      </c>
    </row>
    <row r="376" spans="1:12" x14ac:dyDescent="0.25">
      <c r="A376" s="2" t="s">
        <v>1895</v>
      </c>
      <c r="B376" s="8" t="s">
        <v>15885</v>
      </c>
      <c r="C376" s="2" t="s">
        <v>1895</v>
      </c>
      <c r="D376" s="2" t="s">
        <v>1896</v>
      </c>
      <c r="E376" s="4" t="s">
        <v>1896</v>
      </c>
      <c r="G376" s="15" t="s">
        <v>1896</v>
      </c>
      <c r="H376" s="15" t="s">
        <v>20618</v>
      </c>
      <c r="I376" s="15" t="s">
        <v>20619</v>
      </c>
      <c r="J376" s="15" t="s">
        <v>19644</v>
      </c>
      <c r="K376" s="15">
        <v>7060</v>
      </c>
      <c r="L376" s="15" t="s">
        <v>19099</v>
      </c>
    </row>
    <row r="377" spans="1:12" x14ac:dyDescent="0.25">
      <c r="A377" s="2" t="s">
        <v>1898</v>
      </c>
      <c r="B377" s="8" t="s">
        <v>15886</v>
      </c>
      <c r="C377" s="2" t="s">
        <v>1898</v>
      </c>
      <c r="D377" s="2" t="s">
        <v>1899</v>
      </c>
      <c r="E377" s="4" t="s">
        <v>20620</v>
      </c>
      <c r="G377" s="15" t="s">
        <v>20621</v>
      </c>
      <c r="H377" s="15" t="s">
        <v>20622</v>
      </c>
      <c r="I377" s="15" t="s">
        <v>20623</v>
      </c>
      <c r="J377" s="15" t="s">
        <v>20624</v>
      </c>
      <c r="K377" s="15">
        <v>11989</v>
      </c>
      <c r="L377" s="15" t="s">
        <v>19099</v>
      </c>
    </row>
    <row r="378" spans="1:12" x14ac:dyDescent="0.25">
      <c r="A378" s="2" t="s">
        <v>1901</v>
      </c>
      <c r="B378" s="8" t="s">
        <v>15887</v>
      </c>
      <c r="C378" s="2" t="s">
        <v>1901</v>
      </c>
      <c r="D378" s="2" t="s">
        <v>1902</v>
      </c>
      <c r="E378" s="4" t="s">
        <v>19125</v>
      </c>
      <c r="G378" s="15" t="s">
        <v>19125</v>
      </c>
      <c r="H378" s="15" t="s">
        <v>19086</v>
      </c>
      <c r="I378" s="15" t="s">
        <v>19087</v>
      </c>
      <c r="J378" s="15" t="s">
        <v>19088</v>
      </c>
      <c r="K378" s="15">
        <v>12512</v>
      </c>
      <c r="L378" s="15" t="s">
        <v>19099</v>
      </c>
    </row>
    <row r="379" spans="1:12" x14ac:dyDescent="0.25">
      <c r="A379" s="2" t="s">
        <v>1904</v>
      </c>
      <c r="B379" s="8" t="s">
        <v>15888</v>
      </c>
      <c r="C379" s="2" t="s">
        <v>1904</v>
      </c>
      <c r="D379" s="2" t="s">
        <v>1905</v>
      </c>
      <c r="E379" s="4" t="s">
        <v>20625</v>
      </c>
      <c r="G379" s="15" t="s">
        <v>20625</v>
      </c>
      <c r="H379" s="15" t="s">
        <v>20626</v>
      </c>
      <c r="I379" s="15" t="s">
        <v>20627</v>
      </c>
      <c r="J379" s="15" t="s">
        <v>20628</v>
      </c>
      <c r="K379" s="15">
        <v>13527</v>
      </c>
      <c r="L379" s="15" t="s">
        <v>19099</v>
      </c>
    </row>
    <row r="380" spans="1:12" x14ac:dyDescent="0.25">
      <c r="A380" s="2" t="s">
        <v>1907</v>
      </c>
      <c r="B380" s="8" t="s">
        <v>15889</v>
      </c>
      <c r="C380" s="2" t="s">
        <v>1907</v>
      </c>
      <c r="D380" s="2" t="s">
        <v>1908</v>
      </c>
      <c r="E380" s="4" t="s">
        <v>1908</v>
      </c>
      <c r="G380" s="15" t="s">
        <v>1908</v>
      </c>
      <c r="H380" s="15" t="s">
        <v>20629</v>
      </c>
      <c r="I380" s="15" t="s">
        <v>20630</v>
      </c>
      <c r="J380" s="15" t="s">
        <v>19504</v>
      </c>
      <c r="K380" s="15">
        <v>8076</v>
      </c>
      <c r="L380" s="15" t="s">
        <v>19099</v>
      </c>
    </row>
    <row r="381" spans="1:12" x14ac:dyDescent="0.25">
      <c r="A381" s="2" t="s">
        <v>1910</v>
      </c>
      <c r="B381" s="8" t="s">
        <v>15890</v>
      </c>
      <c r="C381" s="2" t="s">
        <v>1910</v>
      </c>
      <c r="D381" s="2" t="s">
        <v>1911</v>
      </c>
      <c r="E381" s="4" t="s">
        <v>20631</v>
      </c>
      <c r="G381" s="15" t="s">
        <v>20631</v>
      </c>
      <c r="H381" s="15" t="s">
        <v>20632</v>
      </c>
      <c r="I381" s="15" t="s">
        <v>20633</v>
      </c>
      <c r="J381" s="15" t="s">
        <v>19088</v>
      </c>
      <c r="K381" s="15">
        <v>17586</v>
      </c>
      <c r="L381" s="15" t="s">
        <v>19099</v>
      </c>
    </row>
    <row r="382" spans="1:12" x14ac:dyDescent="0.25">
      <c r="A382" s="2" t="s">
        <v>1913</v>
      </c>
      <c r="B382" s="8" t="s">
        <v>15891</v>
      </c>
      <c r="C382" s="2" t="s">
        <v>1913</v>
      </c>
      <c r="D382" s="2" t="s">
        <v>1914</v>
      </c>
      <c r="E382" s="4" t="s">
        <v>1914</v>
      </c>
      <c r="G382" s="15" t="s">
        <v>20634</v>
      </c>
      <c r="H382" s="15" t="s">
        <v>20635</v>
      </c>
      <c r="I382" s="15" t="s">
        <v>20636</v>
      </c>
      <c r="J382" s="15" t="s">
        <v>19778</v>
      </c>
      <c r="K382" s="15">
        <v>7720</v>
      </c>
      <c r="L382" s="15" t="s">
        <v>19099</v>
      </c>
    </row>
    <row r="383" spans="1:12" x14ac:dyDescent="0.25">
      <c r="A383" s="2" t="s">
        <v>1916</v>
      </c>
      <c r="B383" s="8" t="s">
        <v>15892</v>
      </c>
      <c r="C383" s="2" t="s">
        <v>1916</v>
      </c>
      <c r="D383" s="2" t="s">
        <v>1917</v>
      </c>
      <c r="E383" s="4" t="s">
        <v>20637</v>
      </c>
      <c r="G383" s="15" t="s">
        <v>20637</v>
      </c>
      <c r="H383" s="15" t="s">
        <v>20638</v>
      </c>
      <c r="I383" s="15" t="s">
        <v>20639</v>
      </c>
      <c r="J383" s="15" t="s">
        <v>20640</v>
      </c>
      <c r="K383" s="15">
        <v>8697</v>
      </c>
      <c r="L383" s="15" t="s">
        <v>19099</v>
      </c>
    </row>
    <row r="384" spans="1:12" x14ac:dyDescent="0.25">
      <c r="A384" s="2" t="s">
        <v>1919</v>
      </c>
      <c r="B384" s="8" t="s">
        <v>15893</v>
      </c>
      <c r="C384" s="2" t="s">
        <v>1919</v>
      </c>
      <c r="D384" s="2" t="s">
        <v>1920</v>
      </c>
      <c r="E384" s="4" t="s">
        <v>20641</v>
      </c>
      <c r="G384" s="15" t="s">
        <v>20642</v>
      </c>
      <c r="H384" s="15" t="s">
        <v>20643</v>
      </c>
      <c r="I384" s="15" t="s">
        <v>20644</v>
      </c>
      <c r="J384" s="15" t="s">
        <v>20645</v>
      </c>
      <c r="K384" s="15">
        <v>5355130</v>
      </c>
      <c r="L384" s="15" t="s">
        <v>19099</v>
      </c>
    </row>
    <row r="385" spans="1:12" x14ac:dyDescent="0.25">
      <c r="A385" s="2" t="s">
        <v>1922</v>
      </c>
      <c r="B385" s="8" t="s">
        <v>15894</v>
      </c>
      <c r="C385" s="2" t="s">
        <v>1922</v>
      </c>
      <c r="D385" s="2" t="s">
        <v>1923</v>
      </c>
      <c r="E385" s="4" t="s">
        <v>20646</v>
      </c>
      <c r="G385" s="15" t="s">
        <v>20646</v>
      </c>
      <c r="H385" s="15" t="s">
        <v>20647</v>
      </c>
      <c r="I385" s="15" t="s">
        <v>20648</v>
      </c>
      <c r="J385" s="15" t="s">
        <v>20649</v>
      </c>
      <c r="K385" s="15">
        <v>14716</v>
      </c>
      <c r="L385" s="15" t="s">
        <v>19099</v>
      </c>
    </row>
    <row r="386" spans="1:12" x14ac:dyDescent="0.25">
      <c r="A386" s="2" t="s">
        <v>1925</v>
      </c>
      <c r="B386" s="8" t="s">
        <v>15895</v>
      </c>
      <c r="C386" s="2" t="s">
        <v>1925</v>
      </c>
      <c r="D386" s="2" t="s">
        <v>1926</v>
      </c>
      <c r="E386" s="4" t="s">
        <v>20650</v>
      </c>
      <c r="G386" s="15" t="s">
        <v>20650</v>
      </c>
      <c r="H386" s="15" t="s">
        <v>20651</v>
      </c>
      <c r="I386" s="15" t="s">
        <v>20652</v>
      </c>
      <c r="J386" s="15" t="s">
        <v>20653</v>
      </c>
      <c r="K386" s="15">
        <v>62823</v>
      </c>
      <c r="L386" s="15" t="s">
        <v>19099</v>
      </c>
    </row>
    <row r="387" spans="1:12" x14ac:dyDescent="0.25">
      <c r="A387" s="2" t="s">
        <v>1928</v>
      </c>
      <c r="B387" s="8" t="s">
        <v>15896</v>
      </c>
      <c r="C387" s="2" t="s">
        <v>1928</v>
      </c>
      <c r="D387" s="2" t="s">
        <v>1929</v>
      </c>
      <c r="E387" s="4" t="s">
        <v>20654</v>
      </c>
      <c r="G387" s="15" t="s">
        <v>20655</v>
      </c>
      <c r="H387" s="15" t="s">
        <v>20656</v>
      </c>
      <c r="I387" s="15" t="s">
        <v>20657</v>
      </c>
      <c r="J387" s="15" t="s">
        <v>20658</v>
      </c>
      <c r="K387" s="15">
        <v>7636</v>
      </c>
      <c r="L387" s="15" t="s">
        <v>19099</v>
      </c>
    </row>
    <row r="388" spans="1:12" x14ac:dyDescent="0.25">
      <c r="A388" s="2" t="s">
        <v>1931</v>
      </c>
      <c r="B388" s="8" t="s">
        <v>15897</v>
      </c>
      <c r="C388" s="2" t="s">
        <v>1931</v>
      </c>
      <c r="D388" s="2" t="s">
        <v>1932</v>
      </c>
      <c r="E388" s="4" t="s">
        <v>20659</v>
      </c>
      <c r="G388" s="15" t="s">
        <v>20659</v>
      </c>
      <c r="H388" s="15" t="s">
        <v>20660</v>
      </c>
      <c r="I388" s="15" t="s">
        <v>20661</v>
      </c>
      <c r="J388" s="15" t="s">
        <v>19828</v>
      </c>
      <c r="K388" s="15">
        <v>6997</v>
      </c>
      <c r="L388" s="15" t="s">
        <v>19099</v>
      </c>
    </row>
    <row r="389" spans="1:12" x14ac:dyDescent="0.25">
      <c r="A389" s="2" t="s">
        <v>1934</v>
      </c>
      <c r="B389" s="8" t="s">
        <v>15898</v>
      </c>
      <c r="C389" s="2" t="s">
        <v>1934</v>
      </c>
      <c r="D389" s="2" t="s">
        <v>1935</v>
      </c>
      <c r="E389" s="4" t="s">
        <v>20662</v>
      </c>
      <c r="G389" s="15" t="s">
        <v>20663</v>
      </c>
      <c r="H389" s="15" t="s">
        <v>20664</v>
      </c>
      <c r="I389" s="15" t="s">
        <v>20665</v>
      </c>
      <c r="J389" s="15" t="s">
        <v>19245</v>
      </c>
      <c r="K389" s="15">
        <v>11903</v>
      </c>
      <c r="L389" s="15" t="s">
        <v>19099</v>
      </c>
    </row>
    <row r="390" spans="1:12" x14ac:dyDescent="0.25">
      <c r="A390" s="2" t="s">
        <v>1937</v>
      </c>
      <c r="B390" s="8" t="s">
        <v>15899</v>
      </c>
      <c r="C390" s="2" t="s">
        <v>1937</v>
      </c>
      <c r="D390" s="2" t="s">
        <v>1938</v>
      </c>
      <c r="E390" s="4" t="s">
        <v>20666</v>
      </c>
      <c r="G390" s="15" t="s">
        <v>20667</v>
      </c>
      <c r="H390" s="15" t="s">
        <v>20668</v>
      </c>
      <c r="I390" s="15" t="s">
        <v>20669</v>
      </c>
      <c r="J390" s="15" t="s">
        <v>20670</v>
      </c>
      <c r="K390" s="15">
        <v>6772</v>
      </c>
      <c r="L390" s="15" t="s">
        <v>19099</v>
      </c>
    </row>
    <row r="391" spans="1:12" x14ac:dyDescent="0.25">
      <c r="A391" s="2" t="s">
        <v>1940</v>
      </c>
      <c r="B391" s="8" t="s">
        <v>15900</v>
      </c>
      <c r="C391" s="2" t="s">
        <v>1940</v>
      </c>
      <c r="D391" s="2" t="s">
        <v>1941</v>
      </c>
      <c r="E391" s="4" t="s">
        <v>20671</v>
      </c>
      <c r="G391" s="15" t="s">
        <v>20672</v>
      </c>
      <c r="H391" s="15" t="s">
        <v>20673</v>
      </c>
      <c r="I391" s="15" t="s">
        <v>20674</v>
      </c>
      <c r="J391" s="15" t="s">
        <v>20675</v>
      </c>
      <c r="K391" s="15">
        <v>5378015</v>
      </c>
      <c r="L391" s="15" t="s">
        <v>19099</v>
      </c>
    </row>
    <row r="392" spans="1:12" x14ac:dyDescent="0.25">
      <c r="A392" s="2" t="s">
        <v>1943</v>
      </c>
      <c r="B392" s="8" t="s">
        <v>15901</v>
      </c>
      <c r="C392" s="2" t="s">
        <v>1943</v>
      </c>
      <c r="D392" s="2" t="s">
        <v>1944</v>
      </c>
      <c r="E392" s="4" t="s">
        <v>20676</v>
      </c>
      <c r="G392" s="15" t="s">
        <v>20677</v>
      </c>
      <c r="H392" s="15" t="s">
        <v>20678</v>
      </c>
      <c r="I392" s="15" t="s">
        <v>20679</v>
      </c>
      <c r="J392" s="15" t="s">
        <v>19712</v>
      </c>
      <c r="K392" s="15">
        <v>6364</v>
      </c>
      <c r="L392" s="15" t="s">
        <v>19099</v>
      </c>
    </row>
    <row r="393" spans="1:12" x14ac:dyDescent="0.25">
      <c r="A393" s="2" t="s">
        <v>1946</v>
      </c>
      <c r="B393" s="8" t="s">
        <v>15902</v>
      </c>
      <c r="C393" s="2" t="s">
        <v>1946</v>
      </c>
      <c r="D393" s="2" t="s">
        <v>1947</v>
      </c>
      <c r="E393" s="4" t="s">
        <v>20680</v>
      </c>
      <c r="G393" s="15" t="s">
        <v>20681</v>
      </c>
      <c r="H393" s="15" t="s">
        <v>20682</v>
      </c>
      <c r="I393" s="15" t="s">
        <v>20683</v>
      </c>
      <c r="J393" s="15" t="s">
        <v>20684</v>
      </c>
      <c r="K393" s="15">
        <v>6581</v>
      </c>
      <c r="L393" s="15" t="s">
        <v>19099</v>
      </c>
    </row>
    <row r="394" spans="1:12" x14ac:dyDescent="0.25">
      <c r="A394" s="2" t="s">
        <v>1949</v>
      </c>
      <c r="B394" s="8" t="s">
        <v>15903</v>
      </c>
      <c r="C394" s="2" t="s">
        <v>1949</v>
      </c>
      <c r="D394" s="2" t="s">
        <v>1950</v>
      </c>
      <c r="E394" s="4" t="s">
        <v>1950</v>
      </c>
      <c r="G394" s="15" t="s">
        <v>20685</v>
      </c>
      <c r="H394" s="15" t="s">
        <v>20686</v>
      </c>
      <c r="I394" s="15" t="s">
        <v>20687</v>
      </c>
      <c r="J394" s="15" t="s">
        <v>20688</v>
      </c>
      <c r="K394" s="15">
        <v>3776</v>
      </c>
      <c r="L394" s="15" t="s">
        <v>19099</v>
      </c>
    </row>
    <row r="395" spans="1:12" x14ac:dyDescent="0.25">
      <c r="A395" s="2" t="s">
        <v>1952</v>
      </c>
      <c r="B395" s="8" t="s">
        <v>15904</v>
      </c>
      <c r="C395" s="2" t="s">
        <v>1952</v>
      </c>
      <c r="D395" s="2" t="s">
        <v>1953</v>
      </c>
      <c r="E395" s="4" t="s">
        <v>1953</v>
      </c>
      <c r="G395" s="15" t="s">
        <v>20689</v>
      </c>
      <c r="H395" s="15" t="s">
        <v>20690</v>
      </c>
      <c r="I395" s="15" t="s">
        <v>20691</v>
      </c>
      <c r="J395" s="15" t="s">
        <v>19653</v>
      </c>
      <c r="K395" s="15">
        <v>24847</v>
      </c>
      <c r="L395" s="15" t="s">
        <v>19099</v>
      </c>
    </row>
    <row r="396" spans="1:12" x14ac:dyDescent="0.25">
      <c r="A396" s="2" t="s">
        <v>1955</v>
      </c>
      <c r="B396" s="8" t="s">
        <v>15905</v>
      </c>
      <c r="C396" s="2" t="s">
        <v>1955</v>
      </c>
      <c r="D396" s="2" t="s">
        <v>1956</v>
      </c>
      <c r="E396" s="4" t="s">
        <v>1956</v>
      </c>
      <c r="G396" s="15" t="s">
        <v>20692</v>
      </c>
      <c r="H396" s="15" t="s">
        <v>20693</v>
      </c>
      <c r="I396" s="15" t="s">
        <v>20694</v>
      </c>
      <c r="J396" s="15" t="s">
        <v>19614</v>
      </c>
      <c r="K396" s="15">
        <v>118745</v>
      </c>
      <c r="L396" s="15" t="s">
        <v>19099</v>
      </c>
    </row>
    <row r="397" spans="1:12" x14ac:dyDescent="0.25">
      <c r="A397" s="2" t="s">
        <v>1958</v>
      </c>
      <c r="B397" s="8" t="s">
        <v>15906</v>
      </c>
      <c r="C397" s="2" t="s">
        <v>1958</v>
      </c>
      <c r="D397" s="2" t="s">
        <v>1959</v>
      </c>
      <c r="E397" s="4" t="s">
        <v>20695</v>
      </c>
      <c r="G397" s="15" t="s">
        <v>20696</v>
      </c>
      <c r="H397" s="15" t="s">
        <v>20697</v>
      </c>
      <c r="I397" s="15" t="s">
        <v>20698</v>
      </c>
      <c r="J397" s="15" t="s">
        <v>20699</v>
      </c>
      <c r="K397" s="15">
        <v>521721</v>
      </c>
      <c r="L397" s="15" t="s">
        <v>19099</v>
      </c>
    </row>
    <row r="398" spans="1:12" x14ac:dyDescent="0.25">
      <c r="A398" s="2" t="s">
        <v>1961</v>
      </c>
      <c r="B398" s="8" t="s">
        <v>15907</v>
      </c>
      <c r="C398" s="2" t="s">
        <v>1961</v>
      </c>
      <c r="D398" s="2" t="s">
        <v>1962</v>
      </c>
      <c r="E398" s="4" t="s">
        <v>20700</v>
      </c>
      <c r="G398" s="15" t="s">
        <v>20700</v>
      </c>
      <c r="H398" s="15" t="s">
        <v>20701</v>
      </c>
      <c r="I398" s="15" t="s">
        <v>20702</v>
      </c>
      <c r="J398" s="15" t="s">
        <v>20018</v>
      </c>
      <c r="K398" s="15">
        <v>12570</v>
      </c>
      <c r="L398" s="15" t="s">
        <v>19099</v>
      </c>
    </row>
    <row r="399" spans="1:12" x14ac:dyDescent="0.25">
      <c r="A399" s="2" t="s">
        <v>1964</v>
      </c>
      <c r="B399" s="8" t="s">
        <v>15908</v>
      </c>
      <c r="C399" s="2" t="s">
        <v>1964</v>
      </c>
      <c r="D399" s="2" t="s">
        <v>1965</v>
      </c>
      <c r="E399" s="4" t="s">
        <v>20703</v>
      </c>
      <c r="G399" s="15" t="s">
        <v>20704</v>
      </c>
      <c r="H399" s="15" t="s">
        <v>20705</v>
      </c>
      <c r="I399" s="15" t="s">
        <v>20706</v>
      </c>
      <c r="J399" s="15" t="s">
        <v>20707</v>
      </c>
      <c r="K399" s="15">
        <v>9309</v>
      </c>
      <c r="L399" s="15" t="s">
        <v>19099</v>
      </c>
    </row>
    <row r="400" spans="1:12" x14ac:dyDescent="0.25">
      <c r="A400" s="2" t="s">
        <v>1967</v>
      </c>
      <c r="B400" s="8" t="s">
        <v>15909</v>
      </c>
      <c r="C400" s="2" t="s">
        <v>1967</v>
      </c>
      <c r="D400" s="2" t="s">
        <v>1968</v>
      </c>
      <c r="E400" s="4" t="s">
        <v>20708</v>
      </c>
      <c r="G400" s="15" t="s">
        <v>20709</v>
      </c>
      <c r="H400" s="15" t="s">
        <v>20710</v>
      </c>
      <c r="I400" s="15" t="s">
        <v>20711</v>
      </c>
      <c r="J400" s="15" t="s">
        <v>19735</v>
      </c>
      <c r="K400" s="15">
        <v>10560</v>
      </c>
      <c r="L400" s="15" t="s">
        <v>19099</v>
      </c>
    </row>
    <row r="401" spans="1:12" x14ac:dyDescent="0.25">
      <c r="A401" s="2" t="s">
        <v>1970</v>
      </c>
      <c r="B401" s="8" t="s">
        <v>15910</v>
      </c>
      <c r="C401" s="2" t="s">
        <v>1970</v>
      </c>
      <c r="D401" s="2" t="s">
        <v>1971</v>
      </c>
      <c r="E401" s="4" t="s">
        <v>1971</v>
      </c>
      <c r="G401" s="15" t="s">
        <v>20712</v>
      </c>
      <c r="H401" s="15" t="s">
        <v>20713</v>
      </c>
      <c r="I401" s="15" t="s">
        <v>20714</v>
      </c>
      <c r="J401" s="15" t="s">
        <v>20579</v>
      </c>
      <c r="K401" s="15">
        <v>6568</v>
      </c>
      <c r="L401" s="15" t="s">
        <v>19099</v>
      </c>
    </row>
    <row r="402" spans="1:12" x14ac:dyDescent="0.25">
      <c r="A402" s="2" t="s">
        <v>1973</v>
      </c>
      <c r="B402" s="8" t="s">
        <v>15911</v>
      </c>
      <c r="C402" s="2" t="s">
        <v>1973</v>
      </c>
      <c r="D402" s="2" t="s">
        <v>1974</v>
      </c>
      <c r="E402" s="4" t="s">
        <v>20715</v>
      </c>
      <c r="G402" s="15" t="s">
        <v>20716</v>
      </c>
      <c r="H402" s="15" t="s">
        <v>20717</v>
      </c>
      <c r="I402" s="15" t="s">
        <v>20718</v>
      </c>
      <c r="J402" s="15" t="s">
        <v>19295</v>
      </c>
      <c r="K402" s="15">
        <v>6569</v>
      </c>
      <c r="L402" s="15" t="s">
        <v>19099</v>
      </c>
    </row>
    <row r="403" spans="1:12" x14ac:dyDescent="0.25">
      <c r="A403" s="2" t="s">
        <v>1976</v>
      </c>
      <c r="B403" s="8" t="s">
        <v>15912</v>
      </c>
      <c r="C403" s="2" t="s">
        <v>1976</v>
      </c>
      <c r="D403" s="2" t="s">
        <v>1977</v>
      </c>
      <c r="E403" s="4" t="s">
        <v>1977</v>
      </c>
      <c r="G403" s="15" t="s">
        <v>1977</v>
      </c>
      <c r="H403" s="15" t="s">
        <v>20719</v>
      </c>
      <c r="I403" s="15" t="s">
        <v>20720</v>
      </c>
      <c r="J403" s="15" t="s">
        <v>19321</v>
      </c>
      <c r="K403" s="15">
        <v>8133</v>
      </c>
      <c r="L403" s="15" t="s">
        <v>19099</v>
      </c>
    </row>
    <row r="404" spans="1:12" x14ac:dyDescent="0.25">
      <c r="A404" s="2" t="s">
        <v>1979</v>
      </c>
      <c r="B404" s="8" t="s">
        <v>15913</v>
      </c>
      <c r="C404" s="2" t="s">
        <v>1979</v>
      </c>
      <c r="D404" s="2" t="s">
        <v>1980</v>
      </c>
      <c r="E404" s="4" t="s">
        <v>20721</v>
      </c>
      <c r="G404" s="15" t="s">
        <v>20721</v>
      </c>
      <c r="H404" s="15" t="s">
        <v>20722</v>
      </c>
      <c r="I404" s="15" t="s">
        <v>20723</v>
      </c>
      <c r="J404" s="15" t="s">
        <v>20724</v>
      </c>
      <c r="K404" s="15">
        <v>8160</v>
      </c>
      <c r="L404" s="15" t="s">
        <v>19099</v>
      </c>
    </row>
    <row r="405" spans="1:12" x14ac:dyDescent="0.25">
      <c r="A405" s="2" t="s">
        <v>1982</v>
      </c>
      <c r="B405" s="8" t="s">
        <v>15914</v>
      </c>
      <c r="C405" s="2" t="s">
        <v>1982</v>
      </c>
      <c r="D405" s="2" t="s">
        <v>1983</v>
      </c>
      <c r="E405" s="4" t="s">
        <v>20725</v>
      </c>
      <c r="G405" s="15" t="s">
        <v>20726</v>
      </c>
      <c r="H405" s="15" t="s">
        <v>20727</v>
      </c>
      <c r="I405" s="15" t="s">
        <v>20728</v>
      </c>
      <c r="J405" s="15" t="s">
        <v>20729</v>
      </c>
      <c r="K405" s="15">
        <v>7895</v>
      </c>
      <c r="L405" s="15" t="s">
        <v>19099</v>
      </c>
    </row>
    <row r="406" spans="1:12" x14ac:dyDescent="0.25">
      <c r="A406" s="2" t="s">
        <v>1985</v>
      </c>
      <c r="B406" s="8" t="s">
        <v>15915</v>
      </c>
      <c r="C406" s="2" t="s">
        <v>1985</v>
      </c>
      <c r="D406" s="2" t="s">
        <v>1986</v>
      </c>
      <c r="E406" s="4" t="s">
        <v>1986</v>
      </c>
      <c r="G406" s="15" t="s">
        <v>20730</v>
      </c>
      <c r="H406" s="15" t="s">
        <v>20731</v>
      </c>
      <c r="I406" s="15" t="s">
        <v>20732</v>
      </c>
      <c r="J406" s="15" t="s">
        <v>19088</v>
      </c>
      <c r="K406" s="15">
        <v>12297</v>
      </c>
      <c r="L406" s="15" t="s">
        <v>19099</v>
      </c>
    </row>
    <row r="407" spans="1:12" x14ac:dyDescent="0.25">
      <c r="A407" s="2" t="s">
        <v>1988</v>
      </c>
      <c r="B407" s="8" t="s">
        <v>15916</v>
      </c>
      <c r="C407" s="2" t="s">
        <v>1988</v>
      </c>
      <c r="D407" s="2" t="s">
        <v>1989</v>
      </c>
      <c r="E407" s="4" t="s">
        <v>20733</v>
      </c>
      <c r="G407" s="15" t="s">
        <v>20734</v>
      </c>
      <c r="H407" s="15" t="s">
        <v>20735</v>
      </c>
      <c r="I407" s="15" t="s">
        <v>20736</v>
      </c>
      <c r="J407" s="15" t="s">
        <v>20737</v>
      </c>
      <c r="K407" s="15">
        <v>11583</v>
      </c>
      <c r="L407" s="15" t="s">
        <v>19099</v>
      </c>
    </row>
    <row r="408" spans="1:12" x14ac:dyDescent="0.25">
      <c r="A408" s="2" t="s">
        <v>1991</v>
      </c>
      <c r="B408" s="8" t="s">
        <v>15917</v>
      </c>
      <c r="C408" s="2" t="s">
        <v>1991</v>
      </c>
      <c r="D408" s="2" t="s">
        <v>1992</v>
      </c>
      <c r="E408" s="4" t="s">
        <v>1992</v>
      </c>
      <c r="G408" s="15" t="s">
        <v>20738</v>
      </c>
      <c r="H408" s="15" t="s">
        <v>20739</v>
      </c>
      <c r="I408" s="15" t="s">
        <v>20740</v>
      </c>
      <c r="J408" s="15" t="s">
        <v>19778</v>
      </c>
      <c r="K408" s="15">
        <v>20083</v>
      </c>
      <c r="L408" s="15" t="s">
        <v>19099</v>
      </c>
    </row>
    <row r="409" spans="1:12" x14ac:dyDescent="0.25">
      <c r="A409" s="2" t="s">
        <v>1994</v>
      </c>
      <c r="B409" s="8" t="s">
        <v>15918</v>
      </c>
      <c r="C409" s="2" t="s">
        <v>1994</v>
      </c>
      <c r="D409" s="2" t="s">
        <v>1995</v>
      </c>
      <c r="E409" s="4" t="s">
        <v>20741</v>
      </c>
      <c r="G409" s="15" t="s">
        <v>20742</v>
      </c>
      <c r="H409" s="15" t="s">
        <v>20743</v>
      </c>
      <c r="I409" s="15" t="s">
        <v>20744</v>
      </c>
      <c r="J409" s="15" t="s">
        <v>20745</v>
      </c>
      <c r="K409" s="15">
        <v>33528</v>
      </c>
      <c r="L409" s="15" t="s">
        <v>19099</v>
      </c>
    </row>
    <row r="410" spans="1:12" x14ac:dyDescent="0.25">
      <c r="A410" s="2" t="s">
        <v>1997</v>
      </c>
      <c r="B410" s="8" t="s">
        <v>15919</v>
      </c>
      <c r="C410" s="2" t="s">
        <v>1997</v>
      </c>
      <c r="D410" s="2" t="s">
        <v>1998</v>
      </c>
      <c r="E410" s="4" t="s">
        <v>20746</v>
      </c>
      <c r="G410" s="15" t="s">
        <v>20747</v>
      </c>
      <c r="H410" s="15" t="s">
        <v>20748</v>
      </c>
      <c r="I410" s="15" t="s">
        <v>20749</v>
      </c>
      <c r="J410" s="15" t="s">
        <v>20750</v>
      </c>
      <c r="K410" s="15">
        <v>68191</v>
      </c>
      <c r="L410" s="15" t="s">
        <v>19099</v>
      </c>
    </row>
    <row r="411" spans="1:12" x14ac:dyDescent="0.25">
      <c r="A411" s="2" t="s">
        <v>2000</v>
      </c>
      <c r="B411" s="8" t="s">
        <v>15920</v>
      </c>
      <c r="C411" s="2" t="s">
        <v>2000</v>
      </c>
      <c r="D411" s="2" t="s">
        <v>2001</v>
      </c>
      <c r="E411" s="4" t="s">
        <v>20751</v>
      </c>
      <c r="G411" s="15" t="s">
        <v>20751</v>
      </c>
      <c r="H411" s="15" t="s">
        <v>20752</v>
      </c>
      <c r="I411" s="15" t="s">
        <v>20753</v>
      </c>
      <c r="J411" s="15" t="s">
        <v>20754</v>
      </c>
      <c r="K411" s="15">
        <v>32883</v>
      </c>
      <c r="L411" s="15" t="s">
        <v>19099</v>
      </c>
    </row>
    <row r="412" spans="1:12" x14ac:dyDescent="0.25">
      <c r="A412" s="2" t="s">
        <v>2003</v>
      </c>
      <c r="B412" s="8" t="s">
        <v>15921</v>
      </c>
      <c r="C412" s="2" t="s">
        <v>2003</v>
      </c>
      <c r="D412" s="2" t="s">
        <v>2004</v>
      </c>
      <c r="E412" s="4" t="s">
        <v>20755</v>
      </c>
      <c r="G412" s="15" t="s">
        <v>20756</v>
      </c>
      <c r="H412" s="15" t="s">
        <v>20757</v>
      </c>
      <c r="I412" s="15" t="s">
        <v>20758</v>
      </c>
      <c r="J412" s="15" t="s">
        <v>20759</v>
      </c>
      <c r="K412" s="15">
        <v>80076</v>
      </c>
      <c r="L412" s="15" t="s">
        <v>19099</v>
      </c>
    </row>
    <row r="413" spans="1:12" x14ac:dyDescent="0.25">
      <c r="A413" s="2" t="s">
        <v>2006</v>
      </c>
      <c r="B413" s="8" t="s">
        <v>15922</v>
      </c>
      <c r="C413" s="2" t="s">
        <v>2006</v>
      </c>
      <c r="D413" s="2" t="s">
        <v>2007</v>
      </c>
      <c r="E413" s="4" t="s">
        <v>20760</v>
      </c>
      <c r="G413" s="15" t="s">
        <v>20760</v>
      </c>
      <c r="H413" s="15" t="s">
        <v>20761</v>
      </c>
      <c r="I413" s="15" t="s">
        <v>20762</v>
      </c>
      <c r="J413" s="15" t="s">
        <v>20763</v>
      </c>
      <c r="K413" s="15">
        <v>12007</v>
      </c>
      <c r="L413" s="15" t="s">
        <v>19099</v>
      </c>
    </row>
    <row r="414" spans="1:12" x14ac:dyDescent="0.25">
      <c r="A414" s="2" t="s">
        <v>2009</v>
      </c>
      <c r="B414" s="8" t="s">
        <v>15923</v>
      </c>
      <c r="C414" s="2" t="s">
        <v>2009</v>
      </c>
      <c r="D414" s="2" t="s">
        <v>2010</v>
      </c>
      <c r="E414" s="4" t="s">
        <v>20764</v>
      </c>
      <c r="G414" s="15" t="s">
        <v>20764</v>
      </c>
      <c r="H414" s="15" t="s">
        <v>20765</v>
      </c>
      <c r="I414" s="15" t="s">
        <v>20766</v>
      </c>
      <c r="J414" s="15" t="s">
        <v>20767</v>
      </c>
      <c r="K414" s="15">
        <v>8492</v>
      </c>
      <c r="L414" s="15" t="s">
        <v>19099</v>
      </c>
    </row>
    <row r="415" spans="1:12" x14ac:dyDescent="0.25">
      <c r="A415" s="2" t="s">
        <v>2012</v>
      </c>
      <c r="B415" s="8" t="s">
        <v>15924</v>
      </c>
      <c r="C415" s="2" t="s">
        <v>2012</v>
      </c>
      <c r="D415" s="2" t="s">
        <v>2013</v>
      </c>
      <c r="E415" s="4" t="s">
        <v>20768</v>
      </c>
      <c r="G415" s="15" t="s">
        <v>20769</v>
      </c>
      <c r="H415" s="15" t="s">
        <v>20770</v>
      </c>
      <c r="I415" s="15" t="s">
        <v>20771</v>
      </c>
      <c r="J415" s="15" t="s">
        <v>20772</v>
      </c>
      <c r="K415" s="15">
        <v>8491</v>
      </c>
      <c r="L415" s="15" t="s">
        <v>19099</v>
      </c>
    </row>
    <row r="416" spans="1:12" x14ac:dyDescent="0.25">
      <c r="A416" s="2" t="s">
        <v>2015</v>
      </c>
      <c r="B416" s="8" t="s">
        <v>15925</v>
      </c>
      <c r="C416" s="2" t="s">
        <v>2015</v>
      </c>
      <c r="D416" s="2" t="s">
        <v>2016</v>
      </c>
      <c r="E416" s="4" t="s">
        <v>20773</v>
      </c>
      <c r="G416" s="15" t="s">
        <v>20773</v>
      </c>
      <c r="H416" s="15" t="s">
        <v>20774</v>
      </c>
      <c r="I416" s="15" t="s">
        <v>20775</v>
      </c>
      <c r="J416" s="15" t="s">
        <v>20763</v>
      </c>
      <c r="K416" s="15">
        <v>66770</v>
      </c>
      <c r="L416" s="15" t="s">
        <v>19099</v>
      </c>
    </row>
    <row r="417" spans="1:12" x14ac:dyDescent="0.25">
      <c r="A417" s="2" t="s">
        <v>2018</v>
      </c>
      <c r="B417" s="8" t="s">
        <v>15926</v>
      </c>
      <c r="C417" s="2" t="s">
        <v>2018</v>
      </c>
      <c r="D417" s="2" t="s">
        <v>2019</v>
      </c>
      <c r="E417" s="4" t="s">
        <v>20776</v>
      </c>
      <c r="G417" s="15" t="s">
        <v>20776</v>
      </c>
      <c r="H417" s="15" t="s">
        <v>20777</v>
      </c>
      <c r="I417" s="15" t="s">
        <v>20778</v>
      </c>
      <c r="J417" s="15" t="s">
        <v>20779</v>
      </c>
      <c r="K417" s="15">
        <v>12008</v>
      </c>
      <c r="L417" s="15" t="s">
        <v>19099</v>
      </c>
    </row>
    <row r="418" spans="1:12" x14ac:dyDescent="0.25">
      <c r="A418" s="2" t="s">
        <v>2021</v>
      </c>
      <c r="B418" s="8" t="s">
        <v>15927</v>
      </c>
      <c r="C418" s="2" t="s">
        <v>2021</v>
      </c>
      <c r="D418" s="2" t="s">
        <v>2022</v>
      </c>
      <c r="E418" s="4" t="s">
        <v>20780</v>
      </c>
      <c r="G418" s="15" t="s">
        <v>20780</v>
      </c>
      <c r="H418" s="15" t="s">
        <v>20781</v>
      </c>
      <c r="I418" s="15" t="s">
        <v>20782</v>
      </c>
      <c r="J418" s="15" t="s">
        <v>20767</v>
      </c>
      <c r="K418" s="15">
        <v>22691</v>
      </c>
      <c r="L418" s="15" t="s">
        <v>19099</v>
      </c>
    </row>
    <row r="419" spans="1:12" x14ac:dyDescent="0.25">
      <c r="A419" s="2" t="s">
        <v>2024</v>
      </c>
      <c r="B419" s="8" t="s">
        <v>15928</v>
      </c>
      <c r="C419" s="2" t="s">
        <v>2024</v>
      </c>
      <c r="D419" s="2" t="s">
        <v>2025</v>
      </c>
      <c r="E419" s="4" t="s">
        <v>20783</v>
      </c>
      <c r="G419" s="15" t="s">
        <v>20784</v>
      </c>
      <c r="H419" s="15" t="s">
        <v>20785</v>
      </c>
      <c r="I419" s="15" t="s">
        <v>20786</v>
      </c>
      <c r="J419" s="15" t="s">
        <v>20772</v>
      </c>
      <c r="K419" s="15">
        <v>83315</v>
      </c>
      <c r="L419" s="15" t="s">
        <v>19099</v>
      </c>
    </row>
    <row r="420" spans="1:12" x14ac:dyDescent="0.25">
      <c r="A420" s="2" t="s">
        <v>2027</v>
      </c>
      <c r="B420" s="8" t="s">
        <v>15929</v>
      </c>
      <c r="C420" s="2" t="s">
        <v>2027</v>
      </c>
      <c r="D420" s="2" t="s">
        <v>2028</v>
      </c>
      <c r="E420" s="4" t="s">
        <v>20787</v>
      </c>
      <c r="G420" s="15" t="s">
        <v>20787</v>
      </c>
      <c r="H420" s="15" t="s">
        <v>20788</v>
      </c>
      <c r="I420" s="15" t="s">
        <v>20789</v>
      </c>
      <c r="J420" s="15" t="s">
        <v>20763</v>
      </c>
      <c r="K420" s="15">
        <v>6897</v>
      </c>
      <c r="L420" s="15" t="s">
        <v>19099</v>
      </c>
    </row>
    <row r="421" spans="1:12" x14ac:dyDescent="0.25">
      <c r="A421" s="2" t="s">
        <v>2030</v>
      </c>
      <c r="B421" s="8" t="s">
        <v>15930</v>
      </c>
      <c r="C421" s="2" t="s">
        <v>2030</v>
      </c>
      <c r="D421" s="2" t="s">
        <v>2031</v>
      </c>
      <c r="E421" s="4" t="s">
        <v>20790</v>
      </c>
      <c r="G421" s="15" t="s">
        <v>20790</v>
      </c>
      <c r="H421" s="15" t="s">
        <v>20791</v>
      </c>
      <c r="I421" s="15" t="s">
        <v>20792</v>
      </c>
      <c r="J421" s="15" t="s">
        <v>20779</v>
      </c>
      <c r="K421" s="15">
        <v>6898</v>
      </c>
      <c r="L421" s="15" t="s">
        <v>19099</v>
      </c>
    </row>
    <row r="422" spans="1:12" x14ac:dyDescent="0.25">
      <c r="A422" s="2" t="s">
        <v>2033</v>
      </c>
      <c r="B422" s="8" t="s">
        <v>15931</v>
      </c>
      <c r="C422" s="2" t="s">
        <v>2033</v>
      </c>
      <c r="D422" s="2" t="s">
        <v>2034</v>
      </c>
      <c r="E422" s="4" t="s">
        <v>20793</v>
      </c>
      <c r="G422" s="15" t="s">
        <v>20793</v>
      </c>
      <c r="H422" s="15" t="s">
        <v>20794</v>
      </c>
      <c r="I422" s="15" t="s">
        <v>20795</v>
      </c>
      <c r="J422" s="15" t="s">
        <v>20796</v>
      </c>
      <c r="K422" s="15">
        <v>98564</v>
      </c>
      <c r="L422" s="15" t="s">
        <v>19099</v>
      </c>
    </row>
    <row r="423" spans="1:12" x14ac:dyDescent="0.25">
      <c r="A423" s="2" t="s">
        <v>2036</v>
      </c>
      <c r="B423" s="8" t="s">
        <v>15932</v>
      </c>
      <c r="C423" s="2" t="s">
        <v>2036</v>
      </c>
      <c r="D423" s="2" t="s">
        <v>2037</v>
      </c>
      <c r="E423" s="4" t="s">
        <v>20797</v>
      </c>
      <c r="G423" s="15" t="s">
        <v>20797</v>
      </c>
      <c r="H423" s="15" t="s">
        <v>20798</v>
      </c>
      <c r="I423" s="15" t="s">
        <v>20799</v>
      </c>
      <c r="J423" s="15" t="s">
        <v>20767</v>
      </c>
      <c r="K423" s="15">
        <v>69855</v>
      </c>
      <c r="L423" s="15" t="s">
        <v>19099</v>
      </c>
    </row>
    <row r="424" spans="1:12" x14ac:dyDescent="0.25">
      <c r="A424" s="2" t="s">
        <v>2039</v>
      </c>
      <c r="B424" s="8" t="s">
        <v>15933</v>
      </c>
      <c r="C424" s="2" t="s">
        <v>2039</v>
      </c>
      <c r="D424" s="2" t="s">
        <v>2040</v>
      </c>
      <c r="E424" s="4" t="s">
        <v>20800</v>
      </c>
      <c r="G424" s="15" t="s">
        <v>20801</v>
      </c>
      <c r="H424" s="15" t="s">
        <v>20802</v>
      </c>
      <c r="I424" s="15" t="s">
        <v>20803</v>
      </c>
      <c r="J424" s="15" t="s">
        <v>20772</v>
      </c>
      <c r="K424" s="15">
        <v>6740</v>
      </c>
      <c r="L424" s="15" t="s">
        <v>19099</v>
      </c>
    </row>
    <row r="425" spans="1:12" x14ac:dyDescent="0.25">
      <c r="A425" s="2" t="s">
        <v>2042</v>
      </c>
      <c r="B425" s="8" t="s">
        <v>15934</v>
      </c>
      <c r="C425" s="2" t="s">
        <v>2042</v>
      </c>
      <c r="D425" s="2" t="s">
        <v>2043</v>
      </c>
      <c r="E425" s="4" t="s">
        <v>20804</v>
      </c>
      <c r="G425" s="15" t="s">
        <v>20805</v>
      </c>
      <c r="H425" s="15" t="s">
        <v>20806</v>
      </c>
      <c r="I425" s="15" t="s">
        <v>20807</v>
      </c>
      <c r="J425" s="15" t="s">
        <v>19978</v>
      </c>
      <c r="K425" s="15">
        <v>16004</v>
      </c>
      <c r="L425" s="15" t="s">
        <v>19099</v>
      </c>
    </row>
    <row r="426" spans="1:12" x14ac:dyDescent="0.25">
      <c r="A426" s="2" t="s">
        <v>2045</v>
      </c>
      <c r="B426" s="8" t="s">
        <v>15935</v>
      </c>
      <c r="C426" s="2" t="s">
        <v>2045</v>
      </c>
      <c r="D426" s="2" t="s">
        <v>2046</v>
      </c>
      <c r="E426" s="4" t="s">
        <v>20808</v>
      </c>
      <c r="G426" s="15" t="s">
        <v>20808</v>
      </c>
      <c r="H426" s="15" t="s">
        <v>20809</v>
      </c>
      <c r="I426" s="15" t="s">
        <v>20810</v>
      </c>
      <c r="J426" s="15" t="s">
        <v>20811</v>
      </c>
      <c r="K426" s="15">
        <v>7240</v>
      </c>
      <c r="L426" s="15" t="s">
        <v>19099</v>
      </c>
    </row>
    <row r="427" spans="1:12" x14ac:dyDescent="0.25">
      <c r="A427" s="2" t="s">
        <v>2048</v>
      </c>
      <c r="B427" s="8" t="s">
        <v>15936</v>
      </c>
      <c r="C427" s="2" t="s">
        <v>2048</v>
      </c>
      <c r="D427" s="2" t="s">
        <v>2049</v>
      </c>
      <c r="E427" s="4" t="s">
        <v>20812</v>
      </c>
      <c r="G427" s="15" t="s">
        <v>20812</v>
      </c>
      <c r="H427" s="15" t="s">
        <v>20813</v>
      </c>
      <c r="I427" s="15" t="s">
        <v>20814</v>
      </c>
      <c r="J427" s="15" t="s">
        <v>20815</v>
      </c>
      <c r="K427" s="15">
        <v>34</v>
      </c>
      <c r="L427" s="15" t="s">
        <v>19099</v>
      </c>
    </row>
    <row r="428" spans="1:12" x14ac:dyDescent="0.25">
      <c r="A428" s="2" t="s">
        <v>2051</v>
      </c>
      <c r="B428" s="8" t="s">
        <v>15937</v>
      </c>
      <c r="C428" s="2" t="s">
        <v>2051</v>
      </c>
      <c r="D428" s="2" t="s">
        <v>2052</v>
      </c>
      <c r="E428" s="4" t="s">
        <v>20816</v>
      </c>
      <c r="G428" s="15" t="s">
        <v>20816</v>
      </c>
      <c r="H428" s="15" t="s">
        <v>20817</v>
      </c>
      <c r="I428" s="15" t="s">
        <v>20818</v>
      </c>
      <c r="J428" s="15" t="s">
        <v>19810</v>
      </c>
      <c r="K428" s="15">
        <v>6361</v>
      </c>
      <c r="L428" s="15" t="s">
        <v>19099</v>
      </c>
    </row>
    <row r="429" spans="1:12" x14ac:dyDescent="0.25">
      <c r="A429" s="2" t="s">
        <v>2054</v>
      </c>
      <c r="B429" s="8" t="s">
        <v>15938</v>
      </c>
      <c r="C429" s="2" t="s">
        <v>2054</v>
      </c>
      <c r="D429" s="2" t="s">
        <v>2055</v>
      </c>
      <c r="E429" s="4" t="s">
        <v>20819</v>
      </c>
      <c r="G429" s="15" t="s">
        <v>20820</v>
      </c>
      <c r="H429" s="15" t="s">
        <v>20821</v>
      </c>
      <c r="I429" s="15" t="s">
        <v>20822</v>
      </c>
      <c r="J429" s="15" t="s">
        <v>20823</v>
      </c>
      <c r="K429" s="15">
        <v>12341</v>
      </c>
      <c r="L429" s="15" t="s">
        <v>19099</v>
      </c>
    </row>
    <row r="430" spans="1:12" x14ac:dyDescent="0.25">
      <c r="A430" s="2" t="s">
        <v>2057</v>
      </c>
      <c r="B430" s="8" t="s">
        <v>15939</v>
      </c>
      <c r="C430" s="2" t="s">
        <v>2057</v>
      </c>
      <c r="D430" s="2" t="s">
        <v>2058</v>
      </c>
      <c r="E430" s="4" t="s">
        <v>20824</v>
      </c>
      <c r="G430" s="15" t="s">
        <v>20824</v>
      </c>
      <c r="H430" s="15" t="s">
        <v>20825</v>
      </c>
      <c r="I430" s="15" t="s">
        <v>20826</v>
      </c>
      <c r="J430" s="15" t="s">
        <v>20827</v>
      </c>
      <c r="K430" s="15">
        <v>7245</v>
      </c>
      <c r="L430" s="15" t="s">
        <v>19099</v>
      </c>
    </row>
    <row r="431" spans="1:12" x14ac:dyDescent="0.25">
      <c r="A431" s="2" t="s">
        <v>2060</v>
      </c>
      <c r="B431" s="8" t="s">
        <v>15940</v>
      </c>
      <c r="C431" s="2" t="s">
        <v>2060</v>
      </c>
      <c r="D431" s="2" t="s">
        <v>2061</v>
      </c>
      <c r="E431" s="4" t="s">
        <v>20828</v>
      </c>
      <c r="G431" s="15" t="s">
        <v>20828</v>
      </c>
      <c r="H431" s="15" t="s">
        <v>20829</v>
      </c>
      <c r="I431" s="15" t="s">
        <v>20830</v>
      </c>
      <c r="J431" s="15" t="s">
        <v>19818</v>
      </c>
      <c r="K431" s="15">
        <v>7056</v>
      </c>
      <c r="L431" s="15" t="s">
        <v>19099</v>
      </c>
    </row>
    <row r="432" spans="1:12" x14ac:dyDescent="0.25">
      <c r="A432" s="2" t="s">
        <v>2063</v>
      </c>
      <c r="B432" s="8" t="s">
        <v>15941</v>
      </c>
      <c r="C432" s="2" t="s">
        <v>2063</v>
      </c>
      <c r="D432" s="2" t="s">
        <v>2064</v>
      </c>
      <c r="E432" s="4" t="s">
        <v>20831</v>
      </c>
      <c r="G432" s="15" t="s">
        <v>20832</v>
      </c>
      <c r="H432" s="15" t="s">
        <v>20833</v>
      </c>
      <c r="I432" s="15" t="s">
        <v>20834</v>
      </c>
      <c r="J432" s="15" t="s">
        <v>20835</v>
      </c>
      <c r="K432" s="15">
        <v>7238</v>
      </c>
      <c r="L432" s="15" t="s">
        <v>19099</v>
      </c>
    </row>
    <row r="433" spans="1:12" x14ac:dyDescent="0.25">
      <c r="A433" s="2" t="s">
        <v>2066</v>
      </c>
      <c r="B433" s="8" t="s">
        <v>15942</v>
      </c>
      <c r="C433" s="2" t="s">
        <v>2066</v>
      </c>
      <c r="D433" s="2" t="s">
        <v>2067</v>
      </c>
      <c r="E433" s="4" t="s">
        <v>20836</v>
      </c>
      <c r="G433" s="15" t="s">
        <v>20836</v>
      </c>
      <c r="H433" s="15" t="s">
        <v>20837</v>
      </c>
      <c r="I433" s="15" t="s">
        <v>20838</v>
      </c>
      <c r="J433" s="15" t="s">
        <v>20839</v>
      </c>
      <c r="K433" s="15">
        <v>6580</v>
      </c>
      <c r="L433" s="15" t="s">
        <v>19099</v>
      </c>
    </row>
    <row r="434" spans="1:12" x14ac:dyDescent="0.25">
      <c r="A434" s="2" t="s">
        <v>2069</v>
      </c>
      <c r="B434" s="8" t="s">
        <v>15943</v>
      </c>
      <c r="C434" s="2" t="s">
        <v>2069</v>
      </c>
      <c r="D434" s="2" t="s">
        <v>2070</v>
      </c>
      <c r="E434" s="4" t="s">
        <v>20840</v>
      </c>
      <c r="G434" s="15" t="s">
        <v>20841</v>
      </c>
      <c r="H434" s="15" t="s">
        <v>20842</v>
      </c>
      <c r="I434" s="15" t="s">
        <v>20843</v>
      </c>
      <c r="J434" s="15" t="s">
        <v>20844</v>
      </c>
      <c r="K434" s="15">
        <v>10757</v>
      </c>
      <c r="L434" s="15" t="s">
        <v>19099</v>
      </c>
    </row>
    <row r="435" spans="1:12" x14ac:dyDescent="0.25">
      <c r="A435" s="2" t="s">
        <v>2072</v>
      </c>
      <c r="B435" s="8" t="s">
        <v>15944</v>
      </c>
      <c r="C435" s="2" t="s">
        <v>2072</v>
      </c>
      <c r="D435" s="2" t="s">
        <v>2073</v>
      </c>
      <c r="E435" s="4" t="s">
        <v>20845</v>
      </c>
      <c r="G435" s="15" t="s">
        <v>20846</v>
      </c>
      <c r="H435" s="15" t="s">
        <v>20847</v>
      </c>
      <c r="I435" s="15" t="s">
        <v>20848</v>
      </c>
      <c r="J435" s="15" t="s">
        <v>20849</v>
      </c>
      <c r="K435" s="15">
        <v>6562</v>
      </c>
      <c r="L435" s="15" t="s">
        <v>19099</v>
      </c>
    </row>
    <row r="436" spans="1:12" x14ac:dyDescent="0.25">
      <c r="A436" s="2" t="s">
        <v>2075</v>
      </c>
      <c r="B436" s="8" t="s">
        <v>15945</v>
      </c>
      <c r="C436" s="2" t="s">
        <v>2075</v>
      </c>
      <c r="D436" s="2" t="s">
        <v>2076</v>
      </c>
      <c r="E436" s="4" t="s">
        <v>20850</v>
      </c>
      <c r="G436" s="15" t="s">
        <v>20851</v>
      </c>
      <c r="H436" s="15" t="s">
        <v>20852</v>
      </c>
      <c r="I436" s="15" t="s">
        <v>20853</v>
      </c>
      <c r="J436" s="15" t="s">
        <v>20854</v>
      </c>
      <c r="K436" s="15">
        <v>31235</v>
      </c>
      <c r="L436" s="15" t="s">
        <v>19099</v>
      </c>
    </row>
    <row r="437" spans="1:12" x14ac:dyDescent="0.25">
      <c r="A437" s="2" t="s">
        <v>2078</v>
      </c>
      <c r="B437" s="8" t="s">
        <v>15946</v>
      </c>
      <c r="C437" s="2" t="s">
        <v>2078</v>
      </c>
      <c r="D437" s="2" t="s">
        <v>2079</v>
      </c>
      <c r="E437" s="4" t="s">
        <v>20855</v>
      </c>
      <c r="G437" s="15" t="s">
        <v>20856</v>
      </c>
      <c r="H437" s="15" t="s">
        <v>20857</v>
      </c>
      <c r="I437" s="15" t="s">
        <v>20858</v>
      </c>
      <c r="J437" s="15" t="s">
        <v>19833</v>
      </c>
      <c r="K437" s="15">
        <v>1001</v>
      </c>
      <c r="L437" s="15" t="s">
        <v>19099</v>
      </c>
    </row>
    <row r="438" spans="1:12" x14ac:dyDescent="0.25">
      <c r="A438" s="2" t="s">
        <v>2081</v>
      </c>
      <c r="B438" s="8" t="s">
        <v>15947</v>
      </c>
      <c r="C438" s="2" t="s">
        <v>2081</v>
      </c>
      <c r="D438" s="2" t="s">
        <v>2082</v>
      </c>
      <c r="E438" s="4" t="s">
        <v>20859</v>
      </c>
      <c r="G438" s="15" t="s">
        <v>20859</v>
      </c>
      <c r="H438" s="15" t="s">
        <v>20860</v>
      </c>
      <c r="I438" s="15" t="s">
        <v>20861</v>
      </c>
      <c r="J438" s="15" t="s">
        <v>20862</v>
      </c>
      <c r="K438" s="15">
        <v>7017</v>
      </c>
      <c r="L438" s="15" t="s">
        <v>19099</v>
      </c>
    </row>
    <row r="439" spans="1:12" x14ac:dyDescent="0.25">
      <c r="A439" s="2" t="s">
        <v>2084</v>
      </c>
      <c r="B439" s="8" t="s">
        <v>15948</v>
      </c>
      <c r="C439" s="2" t="s">
        <v>2084</v>
      </c>
      <c r="D439" s="2" t="s">
        <v>2085</v>
      </c>
      <c r="E439" s="4" t="s">
        <v>20863</v>
      </c>
      <c r="G439" s="15" t="s">
        <v>20864</v>
      </c>
      <c r="H439" s="15" t="s">
        <v>20865</v>
      </c>
      <c r="I439" s="15" t="s">
        <v>20866</v>
      </c>
      <c r="J439" s="15" t="s">
        <v>20867</v>
      </c>
      <c r="K439" s="15">
        <v>77956</v>
      </c>
      <c r="L439" s="15" t="s">
        <v>19099</v>
      </c>
    </row>
    <row r="440" spans="1:12" x14ac:dyDescent="0.25">
      <c r="A440" s="2" t="s">
        <v>2087</v>
      </c>
      <c r="B440" s="8" t="s">
        <v>15949</v>
      </c>
      <c r="C440" s="2" t="s">
        <v>2087</v>
      </c>
      <c r="D440" s="2" t="s">
        <v>2088</v>
      </c>
      <c r="E440" s="4" t="s">
        <v>2088</v>
      </c>
      <c r="G440" s="15" t="s">
        <v>20868</v>
      </c>
      <c r="H440" s="15" t="s">
        <v>20869</v>
      </c>
      <c r="I440" s="15" t="s">
        <v>20870</v>
      </c>
      <c r="J440" s="15" t="s">
        <v>20871</v>
      </c>
      <c r="K440" s="15">
        <v>8017</v>
      </c>
      <c r="L440" s="15" t="s">
        <v>19099</v>
      </c>
    </row>
    <row r="441" spans="1:12" x14ac:dyDescent="0.25">
      <c r="A441" s="2" t="s">
        <v>2090</v>
      </c>
      <c r="B441" s="8" t="s">
        <v>15950</v>
      </c>
      <c r="C441" s="2" t="s">
        <v>2090</v>
      </c>
      <c r="D441" s="2" t="s">
        <v>2091</v>
      </c>
      <c r="E441" s="4" t="s">
        <v>20872</v>
      </c>
      <c r="G441" s="15" t="s">
        <v>20873</v>
      </c>
      <c r="H441" s="15" t="s">
        <v>20874</v>
      </c>
      <c r="I441" s="15" t="s">
        <v>20875</v>
      </c>
      <c r="J441" s="15" t="s">
        <v>19838</v>
      </c>
      <c r="K441" s="15">
        <v>8663</v>
      </c>
      <c r="L441" s="15" t="s">
        <v>19099</v>
      </c>
    </row>
    <row r="442" spans="1:12" x14ac:dyDescent="0.25">
      <c r="A442" s="2" t="s">
        <v>2093</v>
      </c>
      <c r="B442" s="8" t="s">
        <v>15951</v>
      </c>
      <c r="C442" s="2" t="s">
        <v>2093</v>
      </c>
      <c r="D442" s="2" t="s">
        <v>2094</v>
      </c>
      <c r="E442" s="4" t="s">
        <v>20876</v>
      </c>
      <c r="G442" s="15" t="s">
        <v>20877</v>
      </c>
      <c r="H442" s="15" t="s">
        <v>20878</v>
      </c>
      <c r="I442" s="15" t="s">
        <v>20879</v>
      </c>
      <c r="J442" s="15" t="s">
        <v>20880</v>
      </c>
      <c r="K442" s="15">
        <v>135398733</v>
      </c>
      <c r="L442" s="15" t="s">
        <v>19099</v>
      </c>
    </row>
    <row r="443" spans="1:12" x14ac:dyDescent="0.25">
      <c r="A443" s="2" t="s">
        <v>2096</v>
      </c>
      <c r="B443" s="8" t="s">
        <v>15952</v>
      </c>
      <c r="C443" s="2" t="s">
        <v>2096</v>
      </c>
      <c r="D443" s="2" t="s">
        <v>2097</v>
      </c>
      <c r="E443" s="4" t="s">
        <v>20881</v>
      </c>
      <c r="G443" s="15" t="s">
        <v>20882</v>
      </c>
      <c r="H443" s="15" t="s">
        <v>20883</v>
      </c>
      <c r="I443" s="15" t="s">
        <v>20884</v>
      </c>
      <c r="J443" s="15" t="s">
        <v>20885</v>
      </c>
      <c r="K443" s="15">
        <v>13625</v>
      </c>
      <c r="L443" s="15" t="s">
        <v>19099</v>
      </c>
    </row>
    <row r="444" spans="1:12" x14ac:dyDescent="0.25">
      <c r="A444" s="2" t="s">
        <v>2099</v>
      </c>
      <c r="B444" s="8" t="s">
        <v>15953</v>
      </c>
      <c r="C444" s="2" t="s">
        <v>2099</v>
      </c>
      <c r="D444" s="2" t="s">
        <v>2100</v>
      </c>
      <c r="E444" s="4" t="s">
        <v>2100</v>
      </c>
      <c r="G444" s="15" t="s">
        <v>20886</v>
      </c>
      <c r="H444" s="15" t="s">
        <v>20887</v>
      </c>
      <c r="I444" s="15" t="s">
        <v>20888</v>
      </c>
      <c r="J444" s="15" t="s">
        <v>20889</v>
      </c>
      <c r="K444" s="15">
        <v>10443535</v>
      </c>
      <c r="L444" s="15" t="s">
        <v>19099</v>
      </c>
    </row>
    <row r="445" spans="1:12" x14ac:dyDescent="0.25">
      <c r="A445" s="2" t="s">
        <v>2102</v>
      </c>
      <c r="B445" s="8" t="s">
        <v>15954</v>
      </c>
      <c r="C445" s="2" t="s">
        <v>2102</v>
      </c>
      <c r="D445" s="2" t="s">
        <v>2103</v>
      </c>
      <c r="E445" s="4" t="s">
        <v>20890</v>
      </c>
      <c r="G445" s="15" t="s">
        <v>20891</v>
      </c>
      <c r="H445" s="15" t="s">
        <v>20892</v>
      </c>
      <c r="I445" s="15" t="s">
        <v>20893</v>
      </c>
      <c r="J445" s="15" t="s">
        <v>20894</v>
      </c>
      <c r="K445" s="15">
        <v>64676</v>
      </c>
      <c r="L445" s="15" t="s">
        <v>19099</v>
      </c>
    </row>
    <row r="446" spans="1:12" x14ac:dyDescent="0.25">
      <c r="A446" s="2" t="s">
        <v>2105</v>
      </c>
      <c r="B446" s="8" t="s">
        <v>15955</v>
      </c>
      <c r="C446" s="2" t="s">
        <v>2105</v>
      </c>
      <c r="D446" s="2" t="s">
        <v>2106</v>
      </c>
      <c r="E446" s="4" t="s">
        <v>2106</v>
      </c>
      <c r="G446" s="15" t="s">
        <v>2106</v>
      </c>
      <c r="H446" s="15" t="s">
        <v>20895</v>
      </c>
      <c r="I446" s="15" t="s">
        <v>20896</v>
      </c>
      <c r="J446" s="15" t="s">
        <v>20897</v>
      </c>
      <c r="K446" s="15">
        <v>6946</v>
      </c>
      <c r="L446" s="15" t="s">
        <v>19099</v>
      </c>
    </row>
    <row r="447" spans="1:12" x14ac:dyDescent="0.25">
      <c r="A447" s="2" t="s">
        <v>2108</v>
      </c>
      <c r="B447" s="8" t="s">
        <v>15956</v>
      </c>
      <c r="C447" s="2" t="s">
        <v>2108</v>
      </c>
      <c r="D447" s="2" t="s">
        <v>2109</v>
      </c>
      <c r="E447" s="4" t="s">
        <v>20898</v>
      </c>
      <c r="G447" s="15" t="s">
        <v>20898</v>
      </c>
      <c r="H447" s="15" t="s">
        <v>20899</v>
      </c>
      <c r="I447" s="15" t="s">
        <v>20900</v>
      </c>
      <c r="J447" s="15" t="s">
        <v>20901</v>
      </c>
      <c r="K447" s="15">
        <v>398</v>
      </c>
      <c r="L447" s="15" t="s">
        <v>19099</v>
      </c>
    </row>
    <row r="448" spans="1:12" x14ac:dyDescent="0.25">
      <c r="A448" s="2" t="s">
        <v>2111</v>
      </c>
      <c r="B448" s="8" t="s">
        <v>15957</v>
      </c>
      <c r="C448" s="2" t="s">
        <v>2111</v>
      </c>
      <c r="D448" s="2" t="s">
        <v>2112</v>
      </c>
      <c r="E448" s="4" t="s">
        <v>20902</v>
      </c>
      <c r="G448" s="15" t="s">
        <v>20903</v>
      </c>
      <c r="H448" s="15" t="s">
        <v>20904</v>
      </c>
      <c r="I448" s="15" t="s">
        <v>20905</v>
      </c>
      <c r="J448" s="15" t="s">
        <v>20906</v>
      </c>
      <c r="K448" s="15">
        <v>8407</v>
      </c>
      <c r="L448" s="15" t="s">
        <v>19099</v>
      </c>
    </row>
    <row r="449" spans="1:12" x14ac:dyDescent="0.25">
      <c r="A449" s="2" t="s">
        <v>2114</v>
      </c>
      <c r="B449" s="8" t="s">
        <v>15958</v>
      </c>
      <c r="C449" s="2" t="s">
        <v>2114</v>
      </c>
      <c r="D449" s="2" t="s">
        <v>2115</v>
      </c>
      <c r="E449" s="4" t="s">
        <v>20907</v>
      </c>
      <c r="G449" s="15" t="s">
        <v>20907</v>
      </c>
      <c r="H449" s="15" t="s">
        <v>20908</v>
      </c>
      <c r="I449" s="15" t="s">
        <v>20909</v>
      </c>
      <c r="J449" s="15" t="s">
        <v>20910</v>
      </c>
      <c r="K449" s="15">
        <v>6947</v>
      </c>
      <c r="L449" s="15" t="s">
        <v>19099</v>
      </c>
    </row>
    <row r="450" spans="1:12" x14ac:dyDescent="0.25">
      <c r="A450" s="2" t="s">
        <v>2117</v>
      </c>
      <c r="B450" s="8" t="s">
        <v>15959</v>
      </c>
      <c r="C450" s="2" t="s">
        <v>2117</v>
      </c>
      <c r="D450" s="2" t="s">
        <v>2118</v>
      </c>
      <c r="E450" s="4" t="s">
        <v>20911</v>
      </c>
      <c r="G450" s="15" t="s">
        <v>20912</v>
      </c>
      <c r="H450" s="15" t="s">
        <v>20913</v>
      </c>
      <c r="I450" s="15" t="s">
        <v>20914</v>
      </c>
      <c r="J450" s="15" t="s">
        <v>20915</v>
      </c>
      <c r="K450" s="15">
        <v>6944</v>
      </c>
      <c r="L450" s="15" t="s">
        <v>19099</v>
      </c>
    </row>
    <row r="451" spans="1:12" x14ac:dyDescent="0.25">
      <c r="A451" s="2" t="s">
        <v>2120</v>
      </c>
      <c r="B451" s="8" t="s">
        <v>15960</v>
      </c>
      <c r="C451" s="2" t="s">
        <v>2120</v>
      </c>
      <c r="D451" s="2" t="s">
        <v>2121</v>
      </c>
      <c r="E451" s="4" t="s">
        <v>2121</v>
      </c>
      <c r="G451" s="15" t="s">
        <v>20916</v>
      </c>
      <c r="H451" s="15" t="s">
        <v>20917</v>
      </c>
      <c r="I451" s="15" t="s">
        <v>20918</v>
      </c>
      <c r="J451" s="15" t="s">
        <v>20919</v>
      </c>
      <c r="K451" s="15">
        <v>8391</v>
      </c>
      <c r="L451" s="15" t="s">
        <v>19099</v>
      </c>
    </row>
    <row r="452" spans="1:12" x14ac:dyDescent="0.25">
      <c r="A452" s="2" t="s">
        <v>2123</v>
      </c>
      <c r="B452" s="8" t="s">
        <v>15961</v>
      </c>
      <c r="C452" s="2" t="s">
        <v>2123</v>
      </c>
      <c r="D452" s="2" t="s">
        <v>2124</v>
      </c>
      <c r="E452" s="4" t="s">
        <v>20920</v>
      </c>
      <c r="G452" s="15" t="s">
        <v>20921</v>
      </c>
      <c r="H452" s="15" t="s">
        <v>20922</v>
      </c>
      <c r="I452" s="15" t="s">
        <v>20923</v>
      </c>
      <c r="J452" s="15" t="s">
        <v>19861</v>
      </c>
      <c r="K452" s="15">
        <v>8420</v>
      </c>
      <c r="L452" s="15" t="s">
        <v>19099</v>
      </c>
    </row>
    <row r="453" spans="1:12" x14ac:dyDescent="0.25">
      <c r="A453" s="2" t="s">
        <v>2126</v>
      </c>
      <c r="B453" s="8" t="s">
        <v>15962</v>
      </c>
      <c r="C453" s="2" t="s">
        <v>2126</v>
      </c>
      <c r="D453" s="2" t="s">
        <v>2127</v>
      </c>
      <c r="E453" s="4" t="s">
        <v>20924</v>
      </c>
      <c r="G453" s="15" t="s">
        <v>20925</v>
      </c>
      <c r="H453" s="15" t="s">
        <v>20926</v>
      </c>
      <c r="I453" s="15" t="s">
        <v>20927</v>
      </c>
      <c r="J453" s="15" t="s">
        <v>20928</v>
      </c>
      <c r="K453" s="15">
        <v>10401</v>
      </c>
      <c r="L453" s="15" t="s">
        <v>19099</v>
      </c>
    </row>
    <row r="454" spans="1:12" x14ac:dyDescent="0.25">
      <c r="A454" s="2" t="s">
        <v>2129</v>
      </c>
      <c r="B454" s="8" t="s">
        <v>15963</v>
      </c>
      <c r="C454" s="2" t="s">
        <v>2129</v>
      </c>
      <c r="D454" s="2" t="s">
        <v>2130</v>
      </c>
      <c r="E454" s="4" t="s">
        <v>20929</v>
      </c>
      <c r="G454" s="15" t="s">
        <v>20930</v>
      </c>
      <c r="H454" s="15" t="s">
        <v>20931</v>
      </c>
      <c r="I454" s="15" t="s">
        <v>20932</v>
      </c>
      <c r="J454" s="15" t="s">
        <v>20933</v>
      </c>
      <c r="K454" s="15">
        <v>119688</v>
      </c>
      <c r="L454" s="15" t="s">
        <v>19099</v>
      </c>
    </row>
    <row r="455" spans="1:12" x14ac:dyDescent="0.25">
      <c r="A455" s="2" t="s">
        <v>2132</v>
      </c>
      <c r="B455" s="8" t="s">
        <v>15964</v>
      </c>
      <c r="C455" s="2" t="s">
        <v>2132</v>
      </c>
      <c r="D455" s="2" t="s">
        <v>2133</v>
      </c>
      <c r="E455" s="4" t="s">
        <v>20934</v>
      </c>
      <c r="G455" s="15" t="s">
        <v>20935</v>
      </c>
      <c r="H455" s="15" t="s">
        <v>20936</v>
      </c>
      <c r="I455" s="15" t="s">
        <v>20937</v>
      </c>
      <c r="J455" s="15" t="s">
        <v>20938</v>
      </c>
      <c r="K455" s="15">
        <v>6922</v>
      </c>
      <c r="L455" s="15" t="s">
        <v>19099</v>
      </c>
    </row>
    <row r="456" spans="1:12" x14ac:dyDescent="0.25">
      <c r="A456" s="2" t="s">
        <v>2135</v>
      </c>
      <c r="B456" s="8" t="s">
        <v>15965</v>
      </c>
      <c r="C456" s="2" t="s">
        <v>2135</v>
      </c>
      <c r="D456" s="2" t="s">
        <v>2136</v>
      </c>
      <c r="E456" s="4" t="s">
        <v>2136</v>
      </c>
      <c r="G456" s="15" t="s">
        <v>20939</v>
      </c>
      <c r="H456" s="15" t="s">
        <v>20940</v>
      </c>
      <c r="I456" s="15" t="s">
        <v>20941</v>
      </c>
      <c r="J456" s="15" t="s">
        <v>20942</v>
      </c>
      <c r="K456" s="15">
        <v>67759</v>
      </c>
      <c r="L456" s="15" t="s">
        <v>19099</v>
      </c>
    </row>
    <row r="457" spans="1:12" x14ac:dyDescent="0.25">
      <c r="A457" s="2" t="s">
        <v>2138</v>
      </c>
      <c r="B457" s="8" t="s">
        <v>15966</v>
      </c>
      <c r="C457" s="2" t="s">
        <v>2138</v>
      </c>
      <c r="D457" s="2" t="s">
        <v>2139</v>
      </c>
      <c r="E457" s="4" t="s">
        <v>20943</v>
      </c>
      <c r="G457" s="15" t="s">
        <v>20944</v>
      </c>
      <c r="H457" s="15" t="s">
        <v>20945</v>
      </c>
      <c r="I457" s="15" t="s">
        <v>20946</v>
      </c>
      <c r="J457" s="15" t="s">
        <v>20947</v>
      </c>
      <c r="K457" s="15">
        <v>5897</v>
      </c>
      <c r="L457" s="15" t="s">
        <v>19099</v>
      </c>
    </row>
    <row r="458" spans="1:12" x14ac:dyDescent="0.25">
      <c r="A458" s="2" t="s">
        <v>2141</v>
      </c>
      <c r="B458" s="8" t="s">
        <v>15967</v>
      </c>
      <c r="C458" s="2" t="s">
        <v>2141</v>
      </c>
      <c r="D458" s="2" t="s">
        <v>2142</v>
      </c>
      <c r="E458" s="4" t="s">
        <v>20948</v>
      </c>
      <c r="G458" s="15" t="s">
        <v>20949</v>
      </c>
      <c r="H458" s="15" t="s">
        <v>20950</v>
      </c>
      <c r="I458" s="15" t="s">
        <v>20951</v>
      </c>
      <c r="J458" s="15" t="s">
        <v>19351</v>
      </c>
      <c r="K458" s="15">
        <v>14505</v>
      </c>
      <c r="L458" s="15" t="s">
        <v>19099</v>
      </c>
    </row>
    <row r="459" spans="1:12" x14ac:dyDescent="0.25">
      <c r="A459" s="2" t="s">
        <v>2144</v>
      </c>
      <c r="B459" s="8" t="s">
        <v>15968</v>
      </c>
      <c r="C459" s="2" t="s">
        <v>2144</v>
      </c>
      <c r="D459" s="2" t="s">
        <v>2145</v>
      </c>
      <c r="E459" s="4" t="s">
        <v>20952</v>
      </c>
      <c r="G459" s="15" t="s">
        <v>20953</v>
      </c>
      <c r="H459" s="15" t="s">
        <v>20954</v>
      </c>
      <c r="I459" s="15" t="s">
        <v>20955</v>
      </c>
      <c r="J459" s="15" t="s">
        <v>20956</v>
      </c>
      <c r="K459" s="15">
        <v>14079</v>
      </c>
      <c r="L459" s="15" t="s">
        <v>19099</v>
      </c>
    </row>
    <row r="460" spans="1:12" x14ac:dyDescent="0.25">
      <c r="A460" s="2" t="s">
        <v>2147</v>
      </c>
      <c r="B460" s="8" t="s">
        <v>15969</v>
      </c>
      <c r="C460" s="2" t="s">
        <v>2147</v>
      </c>
      <c r="D460" s="2" t="s">
        <v>2148</v>
      </c>
      <c r="E460" s="4" t="s">
        <v>2148</v>
      </c>
      <c r="G460" s="15" t="s">
        <v>20957</v>
      </c>
      <c r="H460" s="15" t="s">
        <v>20958</v>
      </c>
      <c r="I460" s="15" t="s">
        <v>20959</v>
      </c>
      <c r="J460" s="15" t="s">
        <v>20960</v>
      </c>
      <c r="K460" s="15">
        <v>8638</v>
      </c>
      <c r="L460" s="15" t="s">
        <v>19099</v>
      </c>
    </row>
    <row r="461" spans="1:12" x14ac:dyDescent="0.25">
      <c r="A461" s="2" t="s">
        <v>2150</v>
      </c>
      <c r="B461" s="8" t="s">
        <v>15970</v>
      </c>
      <c r="C461" s="2" t="s">
        <v>2150</v>
      </c>
      <c r="D461" s="2" t="s">
        <v>2151</v>
      </c>
      <c r="E461" s="4" t="s">
        <v>2151</v>
      </c>
      <c r="G461" s="15" t="s">
        <v>20961</v>
      </c>
      <c r="H461" s="15" t="s">
        <v>20962</v>
      </c>
      <c r="I461" s="15" t="s">
        <v>20963</v>
      </c>
      <c r="J461" s="15" t="s">
        <v>20964</v>
      </c>
      <c r="K461" s="15">
        <v>697993</v>
      </c>
      <c r="L461" s="15" t="s">
        <v>19099</v>
      </c>
    </row>
    <row r="462" spans="1:12" x14ac:dyDescent="0.25">
      <c r="A462" s="2" t="s">
        <v>2153</v>
      </c>
      <c r="B462" s="8" t="s">
        <v>15971</v>
      </c>
      <c r="C462" s="2" t="s">
        <v>2153</v>
      </c>
      <c r="D462" s="2" t="s">
        <v>2154</v>
      </c>
      <c r="E462" s="4" t="s">
        <v>20965</v>
      </c>
      <c r="G462" s="15" t="s">
        <v>20966</v>
      </c>
      <c r="H462" s="15" t="s">
        <v>20967</v>
      </c>
      <c r="I462" s="15" t="s">
        <v>20968</v>
      </c>
      <c r="J462" s="15" t="s">
        <v>20969</v>
      </c>
      <c r="K462" s="15">
        <v>77344</v>
      </c>
      <c r="L462" s="15" t="s">
        <v>19099</v>
      </c>
    </row>
    <row r="463" spans="1:12" x14ac:dyDescent="0.25">
      <c r="A463" s="2" t="s">
        <v>2156</v>
      </c>
      <c r="B463" s="8" t="s">
        <v>15972</v>
      </c>
      <c r="C463" s="2" t="s">
        <v>2156</v>
      </c>
      <c r="D463" s="2" t="s">
        <v>2157</v>
      </c>
      <c r="E463" s="4" t="s">
        <v>20970</v>
      </c>
      <c r="G463" s="15" t="s">
        <v>20971</v>
      </c>
      <c r="H463" s="15" t="s">
        <v>20972</v>
      </c>
      <c r="I463" s="15" t="s">
        <v>20973</v>
      </c>
      <c r="J463" s="15" t="s">
        <v>20974</v>
      </c>
      <c r="K463" s="15">
        <v>7232</v>
      </c>
      <c r="L463" s="15" t="s">
        <v>19099</v>
      </c>
    </row>
    <row r="464" spans="1:12" x14ac:dyDescent="0.25">
      <c r="A464" s="2" t="s">
        <v>2159</v>
      </c>
      <c r="B464" s="8" t="s">
        <v>15973</v>
      </c>
      <c r="C464" s="2" t="s">
        <v>2159</v>
      </c>
      <c r="D464" s="2" t="s">
        <v>2160</v>
      </c>
      <c r="E464" s="4" t="s">
        <v>20975</v>
      </c>
      <c r="G464" s="15" t="s">
        <v>20976</v>
      </c>
      <c r="H464" s="15" t="s">
        <v>20977</v>
      </c>
      <c r="I464" s="15" t="s">
        <v>20978</v>
      </c>
      <c r="J464" s="15" t="s">
        <v>20979</v>
      </c>
      <c r="K464" s="15">
        <v>20129</v>
      </c>
      <c r="L464" s="15" t="s">
        <v>19099</v>
      </c>
    </row>
    <row r="465" spans="1:12" x14ac:dyDescent="0.25">
      <c r="A465" s="2" t="s">
        <v>2162</v>
      </c>
      <c r="B465" s="8" t="s">
        <v>15974</v>
      </c>
      <c r="C465" s="2" t="s">
        <v>2162</v>
      </c>
      <c r="D465" s="2" t="s">
        <v>2163</v>
      </c>
      <c r="E465" s="4" t="s">
        <v>20980</v>
      </c>
      <c r="G465" s="15" t="s">
        <v>20980</v>
      </c>
      <c r="H465" s="15" t="s">
        <v>20981</v>
      </c>
      <c r="I465" s="15" t="s">
        <v>20982</v>
      </c>
      <c r="J465" s="15" t="s">
        <v>19526</v>
      </c>
      <c r="K465" s="15">
        <v>31236</v>
      </c>
      <c r="L465" s="15" t="s">
        <v>19099</v>
      </c>
    </row>
    <row r="466" spans="1:12" x14ac:dyDescent="0.25">
      <c r="A466" s="2" t="s">
        <v>2165</v>
      </c>
      <c r="B466" s="8" t="s">
        <v>15975</v>
      </c>
      <c r="C466" s="2" t="s">
        <v>2165</v>
      </c>
      <c r="D466" s="2" t="s">
        <v>2166</v>
      </c>
      <c r="E466" s="4" t="s">
        <v>20983</v>
      </c>
      <c r="G466" s="15" t="s">
        <v>20984</v>
      </c>
      <c r="H466" s="15" t="s">
        <v>20985</v>
      </c>
      <c r="I466" s="15" t="s">
        <v>20986</v>
      </c>
      <c r="J466" s="15" t="s">
        <v>20987</v>
      </c>
      <c r="K466" s="15">
        <v>7361</v>
      </c>
      <c r="L466" s="15" t="s">
        <v>19099</v>
      </c>
    </row>
    <row r="467" spans="1:12" x14ac:dyDescent="0.25">
      <c r="A467" s="2" t="s">
        <v>2168</v>
      </c>
      <c r="B467" s="8" t="s">
        <v>15976</v>
      </c>
      <c r="C467" s="2" t="s">
        <v>2168</v>
      </c>
      <c r="D467" s="2" t="s">
        <v>2169</v>
      </c>
      <c r="E467" s="4" t="s">
        <v>20988</v>
      </c>
      <c r="G467" s="15" t="s">
        <v>20989</v>
      </c>
      <c r="H467" s="15" t="s">
        <v>20990</v>
      </c>
      <c r="I467" s="15" t="s">
        <v>20991</v>
      </c>
      <c r="J467" s="15" t="s">
        <v>20018</v>
      </c>
      <c r="K467" s="15">
        <v>6943</v>
      </c>
      <c r="L467" s="15" t="s">
        <v>19099</v>
      </c>
    </row>
    <row r="468" spans="1:12" x14ac:dyDescent="0.25">
      <c r="A468" s="2" t="s">
        <v>2171</v>
      </c>
      <c r="B468" s="8" t="s">
        <v>15977</v>
      </c>
      <c r="C468" s="2" t="s">
        <v>2171</v>
      </c>
      <c r="D468" s="2" t="s">
        <v>2172</v>
      </c>
      <c r="E468" s="4" t="s">
        <v>20992</v>
      </c>
      <c r="G468" s="15" t="s">
        <v>20993</v>
      </c>
      <c r="H468" s="15" t="s">
        <v>20994</v>
      </c>
      <c r="I468" s="15" t="s">
        <v>20995</v>
      </c>
      <c r="J468" s="15" t="s">
        <v>20996</v>
      </c>
      <c r="K468" s="15">
        <v>7619</v>
      </c>
      <c r="L468" s="15" t="s">
        <v>19099</v>
      </c>
    </row>
    <row r="469" spans="1:12" x14ac:dyDescent="0.25">
      <c r="A469" s="2" t="s">
        <v>2174</v>
      </c>
      <c r="B469" s="8" t="s">
        <v>15978</v>
      </c>
      <c r="C469" s="2" t="s">
        <v>2174</v>
      </c>
      <c r="D469" s="2" t="s">
        <v>2175</v>
      </c>
      <c r="E469" s="4" t="s">
        <v>20997</v>
      </c>
      <c r="G469" s="15" t="s">
        <v>20998</v>
      </c>
      <c r="H469" s="15" t="s">
        <v>20999</v>
      </c>
      <c r="I469" s="15" t="s">
        <v>21000</v>
      </c>
      <c r="J469" s="15" t="s">
        <v>20614</v>
      </c>
      <c r="K469" s="15">
        <v>12025</v>
      </c>
      <c r="L469" s="15" t="s">
        <v>19099</v>
      </c>
    </row>
    <row r="470" spans="1:12" x14ac:dyDescent="0.25">
      <c r="A470" s="2" t="s">
        <v>2177</v>
      </c>
      <c r="B470" s="8" t="s">
        <v>15979</v>
      </c>
      <c r="C470" s="2" t="s">
        <v>2177</v>
      </c>
      <c r="D470" s="2" t="s">
        <v>2178</v>
      </c>
      <c r="E470" s="4" t="s">
        <v>21001</v>
      </c>
      <c r="G470" s="15" t="s">
        <v>21002</v>
      </c>
      <c r="H470" s="15" t="s">
        <v>21003</v>
      </c>
      <c r="I470" s="15" t="s">
        <v>21004</v>
      </c>
      <c r="J470" s="15" t="s">
        <v>19889</v>
      </c>
      <c r="K470" s="15">
        <v>5283349</v>
      </c>
      <c r="L470" s="15" t="s">
        <v>19099</v>
      </c>
    </row>
    <row r="471" spans="1:12" x14ac:dyDescent="0.25">
      <c r="A471" s="2" t="s">
        <v>2180</v>
      </c>
      <c r="B471" s="8" t="s">
        <v>15980</v>
      </c>
      <c r="C471" s="2" t="s">
        <v>2180</v>
      </c>
      <c r="D471" s="2" t="s">
        <v>2181</v>
      </c>
      <c r="E471" s="4" t="s">
        <v>21005</v>
      </c>
      <c r="G471" s="15" t="s">
        <v>21005</v>
      </c>
      <c r="H471" s="15" t="s">
        <v>21006</v>
      </c>
      <c r="I471" s="15" t="s">
        <v>21007</v>
      </c>
      <c r="J471" s="15" t="s">
        <v>19176</v>
      </c>
      <c r="K471" s="15">
        <v>8456</v>
      </c>
      <c r="L471" s="15" t="s">
        <v>19099</v>
      </c>
    </row>
    <row r="472" spans="1:12" x14ac:dyDescent="0.25">
      <c r="A472" s="2" t="s">
        <v>2183</v>
      </c>
      <c r="B472" s="8" t="s">
        <v>15981</v>
      </c>
      <c r="C472" s="2" t="s">
        <v>2183</v>
      </c>
      <c r="D472" s="2" t="s">
        <v>2184</v>
      </c>
      <c r="E472" s="4" t="s">
        <v>21008</v>
      </c>
      <c r="G472" s="15" t="s">
        <v>21008</v>
      </c>
      <c r="H472" s="15" t="s">
        <v>21009</v>
      </c>
      <c r="I472" s="15" t="s">
        <v>21010</v>
      </c>
      <c r="J472" s="15" t="s">
        <v>20547</v>
      </c>
      <c r="K472" s="15">
        <v>6923</v>
      </c>
      <c r="L472" s="15" t="s">
        <v>19099</v>
      </c>
    </row>
    <row r="473" spans="1:12" x14ac:dyDescent="0.25">
      <c r="A473" s="2" t="s">
        <v>2186</v>
      </c>
      <c r="B473" s="8" t="s">
        <v>15982</v>
      </c>
      <c r="C473" s="2" t="s">
        <v>2186</v>
      </c>
      <c r="D473" s="2" t="s">
        <v>2187</v>
      </c>
      <c r="E473" s="4" t="s">
        <v>2187</v>
      </c>
      <c r="G473" s="15" t="s">
        <v>21011</v>
      </c>
      <c r="H473" s="15" t="s">
        <v>21012</v>
      </c>
      <c r="I473" s="15" t="s">
        <v>21013</v>
      </c>
      <c r="J473" s="15" t="s">
        <v>21014</v>
      </c>
      <c r="K473" s="15">
        <v>62311</v>
      </c>
      <c r="L473" s="15" t="s">
        <v>19099</v>
      </c>
    </row>
    <row r="474" spans="1:12" x14ac:dyDescent="0.25">
      <c r="A474" s="2" t="s">
        <v>2189</v>
      </c>
      <c r="B474" s="8" t="s">
        <v>15983</v>
      </c>
      <c r="C474" s="2" t="s">
        <v>2189</v>
      </c>
      <c r="D474" s="2" t="s">
        <v>2190</v>
      </c>
      <c r="E474" s="4" t="s">
        <v>21015</v>
      </c>
      <c r="G474" s="15" t="s">
        <v>21016</v>
      </c>
      <c r="H474" s="15" t="s">
        <v>21017</v>
      </c>
      <c r="I474" s="15" t="s">
        <v>21018</v>
      </c>
      <c r="J474" s="15" t="s">
        <v>21019</v>
      </c>
      <c r="K474" s="15">
        <v>12309823</v>
      </c>
      <c r="L474" s="15" t="s">
        <v>19099</v>
      </c>
    </row>
    <row r="475" spans="1:12" x14ac:dyDescent="0.25">
      <c r="A475" s="2" t="s">
        <v>2192</v>
      </c>
      <c r="B475" s="8" t="s">
        <v>15984</v>
      </c>
      <c r="C475" s="2" t="s">
        <v>2192</v>
      </c>
      <c r="D475" s="2" t="s">
        <v>2193</v>
      </c>
      <c r="E475" s="4" t="s">
        <v>2193</v>
      </c>
      <c r="G475" s="15" t="s">
        <v>21020</v>
      </c>
      <c r="H475" s="15" t="s">
        <v>21021</v>
      </c>
      <c r="I475" s="15" t="s">
        <v>21022</v>
      </c>
      <c r="J475" s="15" t="s">
        <v>21023</v>
      </c>
      <c r="K475" s="15">
        <v>8411</v>
      </c>
      <c r="L475" s="15" t="s">
        <v>19099</v>
      </c>
    </row>
    <row r="476" spans="1:12" x14ac:dyDescent="0.25">
      <c r="A476" s="2" t="s">
        <v>2195</v>
      </c>
      <c r="B476" s="8" t="s">
        <v>15985</v>
      </c>
      <c r="C476" s="2" t="s">
        <v>2195</v>
      </c>
      <c r="D476" s="2" t="s">
        <v>2196</v>
      </c>
      <c r="E476" s="4" t="s">
        <v>2196</v>
      </c>
      <c r="G476" s="15" t="s">
        <v>21024</v>
      </c>
      <c r="H476" s="15" t="s">
        <v>21025</v>
      </c>
      <c r="I476" s="15" t="s">
        <v>21026</v>
      </c>
      <c r="J476" s="15" t="s">
        <v>21027</v>
      </c>
      <c r="K476" s="15">
        <v>61994</v>
      </c>
      <c r="L476" s="15" t="s">
        <v>19099</v>
      </c>
    </row>
    <row r="477" spans="1:12" x14ac:dyDescent="0.25">
      <c r="A477" s="2" t="s">
        <v>2198</v>
      </c>
      <c r="B477" s="8" t="s">
        <v>15986</v>
      </c>
      <c r="C477" s="2" t="s">
        <v>2198</v>
      </c>
      <c r="D477" s="2" t="s">
        <v>2199</v>
      </c>
      <c r="E477" s="4" t="s">
        <v>2199</v>
      </c>
      <c r="G477" s="15" t="s">
        <v>21028</v>
      </c>
      <c r="H477" s="15" t="s">
        <v>21029</v>
      </c>
      <c r="I477" s="15" t="s">
        <v>21030</v>
      </c>
      <c r="J477" s="15" t="s">
        <v>21031</v>
      </c>
      <c r="K477" s="15">
        <v>8413</v>
      </c>
      <c r="L477" s="15" t="s">
        <v>19099</v>
      </c>
    </row>
    <row r="478" spans="1:12" x14ac:dyDescent="0.25">
      <c r="A478" s="2" t="s">
        <v>2201</v>
      </c>
      <c r="B478" s="8" t="s">
        <v>15987</v>
      </c>
      <c r="C478" s="2" t="s">
        <v>2201</v>
      </c>
      <c r="D478" s="2" t="s">
        <v>2202</v>
      </c>
      <c r="E478" s="4" t="s">
        <v>21032</v>
      </c>
      <c r="G478" s="15" t="s">
        <v>21033</v>
      </c>
      <c r="H478" s="15" t="s">
        <v>21034</v>
      </c>
      <c r="I478" s="15" t="s">
        <v>21035</v>
      </c>
      <c r="J478" s="15" t="s">
        <v>21036</v>
      </c>
      <c r="K478" s="15">
        <v>11933</v>
      </c>
      <c r="L478" s="15" t="s">
        <v>19099</v>
      </c>
    </row>
    <row r="479" spans="1:12" x14ac:dyDescent="0.25">
      <c r="A479" s="2" t="s">
        <v>2204</v>
      </c>
      <c r="B479" s="8" t="s">
        <v>15988</v>
      </c>
      <c r="C479" s="2" t="s">
        <v>2204</v>
      </c>
      <c r="D479" s="2" t="s">
        <v>2205</v>
      </c>
      <c r="E479" s="4" t="s">
        <v>21037</v>
      </c>
      <c r="G479" s="15" t="s">
        <v>21038</v>
      </c>
      <c r="H479" s="15" t="s">
        <v>21039</v>
      </c>
      <c r="I479" s="15" t="s">
        <v>21040</v>
      </c>
      <c r="J479" s="15" t="s">
        <v>21041</v>
      </c>
      <c r="K479" s="15">
        <v>62235</v>
      </c>
      <c r="L479" s="15" t="s">
        <v>19099</v>
      </c>
    </row>
    <row r="480" spans="1:12" x14ac:dyDescent="0.25">
      <c r="A480" s="2" t="s">
        <v>2207</v>
      </c>
      <c r="B480" s="8" t="s">
        <v>15989</v>
      </c>
      <c r="C480" s="2" t="s">
        <v>2207</v>
      </c>
      <c r="D480" s="2" t="s">
        <v>2208</v>
      </c>
      <c r="E480" s="4" t="s">
        <v>21042</v>
      </c>
      <c r="G480" s="15" t="s">
        <v>21043</v>
      </c>
      <c r="H480" s="15" t="s">
        <v>21044</v>
      </c>
      <c r="I480" s="15" t="s">
        <v>21045</v>
      </c>
      <c r="J480" s="15" t="s">
        <v>19959</v>
      </c>
      <c r="K480" s="15">
        <v>7070</v>
      </c>
      <c r="L480" s="15" t="s">
        <v>19099</v>
      </c>
    </row>
    <row r="481" spans="1:12" x14ac:dyDescent="0.25">
      <c r="A481" s="2" t="s">
        <v>2210</v>
      </c>
      <c r="B481" s="8" t="s">
        <v>15990</v>
      </c>
      <c r="C481" s="2" t="s">
        <v>2210</v>
      </c>
      <c r="D481" s="2" t="s">
        <v>2211</v>
      </c>
      <c r="E481" s="4" t="s">
        <v>2211</v>
      </c>
      <c r="G481" s="15" t="s">
        <v>2211</v>
      </c>
      <c r="H481" s="15" t="s">
        <v>21046</v>
      </c>
      <c r="I481" s="15" t="s">
        <v>21047</v>
      </c>
      <c r="J481" s="15" t="s">
        <v>19998</v>
      </c>
      <c r="K481" s="15">
        <v>74227</v>
      </c>
      <c r="L481" s="15" t="s">
        <v>19099</v>
      </c>
    </row>
    <row r="482" spans="1:12" x14ac:dyDescent="0.25">
      <c r="A482" s="2" t="s">
        <v>2213</v>
      </c>
      <c r="B482" s="8" t="s">
        <v>15991</v>
      </c>
      <c r="C482" s="2" t="s">
        <v>2213</v>
      </c>
      <c r="D482" s="2" t="s">
        <v>2214</v>
      </c>
      <c r="E482" s="4" t="s">
        <v>21048</v>
      </c>
      <c r="G482" s="15" t="s">
        <v>21048</v>
      </c>
      <c r="H482" s="15" t="s">
        <v>21049</v>
      </c>
      <c r="I482" s="15" t="s">
        <v>21050</v>
      </c>
      <c r="J482" s="15" t="s">
        <v>20018</v>
      </c>
      <c r="K482" s="15">
        <v>10696</v>
      </c>
      <c r="L482" s="15" t="s">
        <v>19099</v>
      </c>
    </row>
    <row r="483" spans="1:12" x14ac:dyDescent="0.25">
      <c r="A483" s="2" t="s">
        <v>2216</v>
      </c>
      <c r="B483" s="8" t="s">
        <v>15992</v>
      </c>
      <c r="C483" s="2" t="s">
        <v>2216</v>
      </c>
      <c r="D483" s="2" t="s">
        <v>2217</v>
      </c>
      <c r="E483" s="4" t="s">
        <v>21051</v>
      </c>
      <c r="G483" s="15" t="s">
        <v>21051</v>
      </c>
      <c r="H483" s="15" t="s">
        <v>21052</v>
      </c>
      <c r="I483" s="15" t="s">
        <v>21053</v>
      </c>
      <c r="J483" s="15" t="s">
        <v>20002</v>
      </c>
      <c r="K483" s="15">
        <v>12469</v>
      </c>
      <c r="L483" s="15" t="s">
        <v>19099</v>
      </c>
    </row>
    <row r="484" spans="1:12" x14ac:dyDescent="0.25">
      <c r="A484" s="2" t="s">
        <v>2219</v>
      </c>
      <c r="B484" s="8" t="s">
        <v>15993</v>
      </c>
      <c r="C484" s="2" t="s">
        <v>2219</v>
      </c>
      <c r="D484" s="2" t="s">
        <v>2220</v>
      </c>
      <c r="E484" s="4" t="s">
        <v>21054</v>
      </c>
      <c r="G484" s="15" t="s">
        <v>21054</v>
      </c>
      <c r="H484" s="15" t="s">
        <v>21055</v>
      </c>
      <c r="I484" s="15" t="s">
        <v>21056</v>
      </c>
      <c r="J484" s="15" t="s">
        <v>20006</v>
      </c>
      <c r="K484" s="15">
        <v>11859</v>
      </c>
      <c r="L484" s="15" t="s">
        <v>19099</v>
      </c>
    </row>
    <row r="485" spans="1:12" x14ac:dyDescent="0.25">
      <c r="A485" s="2" t="s">
        <v>2222</v>
      </c>
      <c r="B485" s="8" t="s">
        <v>15994</v>
      </c>
      <c r="C485" s="2" t="s">
        <v>2222</v>
      </c>
      <c r="D485" s="2" t="s">
        <v>2223</v>
      </c>
      <c r="E485" s="4" t="s">
        <v>21057</v>
      </c>
      <c r="G485" s="15" t="s">
        <v>21058</v>
      </c>
      <c r="H485" s="15" t="s">
        <v>21059</v>
      </c>
      <c r="I485" s="15" t="s">
        <v>21060</v>
      </c>
      <c r="J485" s="15" t="s">
        <v>21061</v>
      </c>
      <c r="K485" s="15">
        <v>1614</v>
      </c>
      <c r="L485" s="15" t="s">
        <v>19099</v>
      </c>
    </row>
    <row r="486" spans="1:12" x14ac:dyDescent="0.25">
      <c r="A486" s="2" t="s">
        <v>2225</v>
      </c>
      <c r="B486" s="8" t="s">
        <v>15995</v>
      </c>
      <c r="C486" s="2" t="s">
        <v>2225</v>
      </c>
      <c r="D486" s="2" t="s">
        <v>2226</v>
      </c>
      <c r="E486" s="4" t="s">
        <v>21062</v>
      </c>
      <c r="G486" s="15" t="s">
        <v>21063</v>
      </c>
      <c r="H486" s="15" t="s">
        <v>21064</v>
      </c>
      <c r="I486" s="15" t="s">
        <v>21065</v>
      </c>
      <c r="J486" s="15" t="s">
        <v>20029</v>
      </c>
      <c r="K486" s="15">
        <v>1615</v>
      </c>
      <c r="L486" s="15" t="s">
        <v>19099</v>
      </c>
    </row>
    <row r="487" spans="1:12" x14ac:dyDescent="0.25">
      <c r="A487" s="2" t="s">
        <v>2228</v>
      </c>
      <c r="B487" s="8" t="s">
        <v>15996</v>
      </c>
      <c r="C487" s="2" t="s">
        <v>2228</v>
      </c>
      <c r="D487" s="2" t="s">
        <v>2229</v>
      </c>
      <c r="E487" s="4" t="s">
        <v>2229</v>
      </c>
      <c r="G487" s="15" t="s">
        <v>2229</v>
      </c>
      <c r="H487" s="15" t="s">
        <v>21066</v>
      </c>
      <c r="I487" s="15" t="s">
        <v>21067</v>
      </c>
      <c r="J487" s="15" t="s">
        <v>19833</v>
      </c>
      <c r="K487" s="15">
        <v>7248</v>
      </c>
      <c r="L487" s="15" t="s">
        <v>19099</v>
      </c>
    </row>
    <row r="488" spans="1:12" x14ac:dyDescent="0.25">
      <c r="A488" s="2" t="s">
        <v>2231</v>
      </c>
      <c r="B488" s="8" t="s">
        <v>15997</v>
      </c>
      <c r="C488" s="2" t="s">
        <v>2231</v>
      </c>
      <c r="D488" s="2" t="s">
        <v>2232</v>
      </c>
      <c r="E488" s="4" t="s">
        <v>21068</v>
      </c>
      <c r="G488" s="15" t="s">
        <v>21068</v>
      </c>
      <c r="H488" s="15" t="s">
        <v>21069</v>
      </c>
      <c r="I488" s="15" t="s">
        <v>21070</v>
      </c>
      <c r="J488" s="15" t="s">
        <v>19828</v>
      </c>
      <c r="K488" s="15">
        <v>7249</v>
      </c>
      <c r="L488" s="15" t="s">
        <v>19099</v>
      </c>
    </row>
    <row r="489" spans="1:12" x14ac:dyDescent="0.25">
      <c r="A489" s="2" t="s">
        <v>2234</v>
      </c>
      <c r="B489" s="8" t="s">
        <v>15998</v>
      </c>
      <c r="C489" s="2" t="s">
        <v>2234</v>
      </c>
      <c r="D489" s="2" t="s">
        <v>2235</v>
      </c>
      <c r="E489" s="4" t="s">
        <v>21071</v>
      </c>
      <c r="G489" s="15" t="s">
        <v>21072</v>
      </c>
      <c r="H489" s="15" t="s">
        <v>21073</v>
      </c>
      <c r="I489" s="15" t="s">
        <v>21074</v>
      </c>
      <c r="J489" s="15" t="s">
        <v>21075</v>
      </c>
      <c r="K489" s="15">
        <v>77193</v>
      </c>
      <c r="L489" s="15" t="s">
        <v>19099</v>
      </c>
    </row>
    <row r="490" spans="1:12" x14ac:dyDescent="0.25">
      <c r="A490" s="2" t="s">
        <v>2237</v>
      </c>
      <c r="B490" s="8" t="s">
        <v>15999</v>
      </c>
      <c r="C490" s="2" t="s">
        <v>2237</v>
      </c>
      <c r="D490" s="2" t="s">
        <v>2238</v>
      </c>
      <c r="E490" s="4" t="s">
        <v>2238</v>
      </c>
      <c r="G490" s="15" t="s">
        <v>2238</v>
      </c>
      <c r="H490" s="15" t="s">
        <v>21076</v>
      </c>
      <c r="I490" s="15" t="s">
        <v>21077</v>
      </c>
      <c r="J490" s="15" t="s">
        <v>20058</v>
      </c>
      <c r="K490" s="15">
        <v>11417</v>
      </c>
      <c r="L490" s="15" t="s">
        <v>19099</v>
      </c>
    </row>
    <row r="491" spans="1:12" x14ac:dyDescent="0.25">
      <c r="A491" s="2" t="s">
        <v>2240</v>
      </c>
      <c r="B491" s="8" t="s">
        <v>16000</v>
      </c>
      <c r="C491" s="2" t="s">
        <v>2240</v>
      </c>
      <c r="D491" s="2" t="s">
        <v>2241</v>
      </c>
      <c r="E491" s="4" t="s">
        <v>21078</v>
      </c>
      <c r="G491" s="15" t="s">
        <v>21079</v>
      </c>
      <c r="H491" s="15" t="s">
        <v>21080</v>
      </c>
      <c r="I491" s="15" t="s">
        <v>21081</v>
      </c>
      <c r="J491" s="15" t="s">
        <v>21082</v>
      </c>
      <c r="K491" s="15">
        <v>137735</v>
      </c>
      <c r="L491" s="15" t="s">
        <v>19099</v>
      </c>
    </row>
    <row r="492" spans="1:12" x14ac:dyDescent="0.25">
      <c r="A492" s="2" t="s">
        <v>2243</v>
      </c>
      <c r="B492" s="8" t="s">
        <v>16001</v>
      </c>
      <c r="C492" s="2" t="s">
        <v>2243</v>
      </c>
      <c r="D492" s="2" t="s">
        <v>2244</v>
      </c>
      <c r="E492" s="4" t="s">
        <v>21083</v>
      </c>
      <c r="G492" s="15" t="s">
        <v>21083</v>
      </c>
      <c r="H492" s="15" t="s">
        <v>21084</v>
      </c>
      <c r="I492" s="15" t="s">
        <v>21085</v>
      </c>
      <c r="J492" s="15" t="s">
        <v>20062</v>
      </c>
      <c r="K492" s="15">
        <v>7257</v>
      </c>
      <c r="L492" s="15" t="s">
        <v>19099</v>
      </c>
    </row>
    <row r="493" spans="1:12" x14ac:dyDescent="0.25">
      <c r="A493" s="2" t="s">
        <v>2246</v>
      </c>
      <c r="B493" s="8" t="s">
        <v>16002</v>
      </c>
      <c r="C493" s="2" t="s">
        <v>2246</v>
      </c>
      <c r="D493" s="2" t="s">
        <v>2247</v>
      </c>
      <c r="E493" s="4" t="s">
        <v>21086</v>
      </c>
      <c r="G493" s="15" t="s">
        <v>21087</v>
      </c>
      <c r="H493" s="15" t="s">
        <v>21088</v>
      </c>
      <c r="I493" s="15" t="s">
        <v>21089</v>
      </c>
      <c r="J493" s="15" t="s">
        <v>20067</v>
      </c>
      <c r="K493" s="15">
        <v>5817</v>
      </c>
      <c r="L493" s="15" t="s">
        <v>19099</v>
      </c>
    </row>
    <row r="494" spans="1:12" x14ac:dyDescent="0.25">
      <c r="A494" s="2" t="s">
        <v>2249</v>
      </c>
      <c r="B494" s="8" t="s">
        <v>16003</v>
      </c>
      <c r="C494" s="2" t="s">
        <v>2249</v>
      </c>
      <c r="D494" s="2" t="s">
        <v>2250</v>
      </c>
      <c r="E494" s="4" t="s">
        <v>21090</v>
      </c>
      <c r="G494" s="15" t="s">
        <v>21090</v>
      </c>
      <c r="H494" s="15" t="s">
        <v>21091</v>
      </c>
      <c r="I494" s="15" t="s">
        <v>21092</v>
      </c>
      <c r="J494" s="15" t="s">
        <v>20079</v>
      </c>
      <c r="K494" s="15">
        <v>7258</v>
      </c>
      <c r="L494" s="15" t="s">
        <v>19099</v>
      </c>
    </row>
    <row r="495" spans="1:12" x14ac:dyDescent="0.25">
      <c r="A495" s="2" t="s">
        <v>2252</v>
      </c>
      <c r="B495" s="8" t="s">
        <v>16004</v>
      </c>
      <c r="C495" s="2" t="s">
        <v>2252</v>
      </c>
      <c r="D495" s="2" t="s">
        <v>2253</v>
      </c>
      <c r="E495" s="4" t="s">
        <v>21093</v>
      </c>
      <c r="G495" s="15" t="s">
        <v>21094</v>
      </c>
      <c r="H495" s="15" t="s">
        <v>21095</v>
      </c>
      <c r="I495" s="15" t="s">
        <v>21096</v>
      </c>
      <c r="J495" s="15" t="s">
        <v>19436</v>
      </c>
      <c r="K495" s="15">
        <v>7443</v>
      </c>
      <c r="L495" s="15" t="s">
        <v>19099</v>
      </c>
    </row>
    <row r="496" spans="1:12" x14ac:dyDescent="0.25">
      <c r="A496" s="2" t="s">
        <v>2255</v>
      </c>
      <c r="B496" s="8" t="s">
        <v>16005</v>
      </c>
      <c r="C496" s="2" t="s">
        <v>2255</v>
      </c>
      <c r="D496" s="2" t="s">
        <v>2256</v>
      </c>
      <c r="E496" s="4" t="s">
        <v>21097</v>
      </c>
      <c r="G496" s="15" t="s">
        <v>21098</v>
      </c>
      <c r="H496" s="15" t="s">
        <v>21099</v>
      </c>
      <c r="I496" s="15" t="s">
        <v>21100</v>
      </c>
      <c r="J496" s="15" t="s">
        <v>20097</v>
      </c>
      <c r="K496" s="15">
        <v>11348</v>
      </c>
      <c r="L496" s="15" t="s">
        <v>19099</v>
      </c>
    </row>
    <row r="497" spans="1:12" x14ac:dyDescent="0.25">
      <c r="A497" s="2" t="s">
        <v>2258</v>
      </c>
      <c r="B497" s="8" t="s">
        <v>16006</v>
      </c>
      <c r="C497" s="2" t="s">
        <v>2258</v>
      </c>
      <c r="D497" s="2" t="s">
        <v>2259</v>
      </c>
      <c r="E497" s="4" t="s">
        <v>21101</v>
      </c>
      <c r="G497" s="15" t="s">
        <v>21102</v>
      </c>
      <c r="H497" s="15" t="s">
        <v>21103</v>
      </c>
      <c r="I497" s="15" t="s">
        <v>21104</v>
      </c>
      <c r="J497" s="15" t="s">
        <v>20102</v>
      </c>
      <c r="K497" s="15">
        <v>11883</v>
      </c>
      <c r="L497" s="15" t="s">
        <v>19099</v>
      </c>
    </row>
    <row r="498" spans="1:12" x14ac:dyDescent="0.25">
      <c r="A498" s="2" t="s">
        <v>2261</v>
      </c>
      <c r="B498" s="8" t="s">
        <v>16007</v>
      </c>
      <c r="C498" s="2" t="s">
        <v>2261</v>
      </c>
      <c r="D498" s="2" t="s">
        <v>2262</v>
      </c>
      <c r="E498" s="4" t="s">
        <v>2262</v>
      </c>
      <c r="G498" s="15" t="s">
        <v>2262</v>
      </c>
      <c r="H498" s="15" t="s">
        <v>21105</v>
      </c>
      <c r="I498" s="15" t="s">
        <v>21106</v>
      </c>
      <c r="J498" s="15" t="s">
        <v>19833</v>
      </c>
      <c r="K498" s="15">
        <v>7949</v>
      </c>
      <c r="L498" s="15" t="s">
        <v>19099</v>
      </c>
    </row>
    <row r="499" spans="1:12" x14ac:dyDescent="0.25">
      <c r="A499" s="2" t="s">
        <v>2264</v>
      </c>
      <c r="B499" s="8" t="s">
        <v>16008</v>
      </c>
      <c r="C499" s="2" t="s">
        <v>2264</v>
      </c>
      <c r="D499" s="2" t="s">
        <v>2265</v>
      </c>
      <c r="E499" s="4" t="s">
        <v>21107</v>
      </c>
      <c r="G499" s="15" t="s">
        <v>21107</v>
      </c>
      <c r="H499" s="15" t="s">
        <v>21108</v>
      </c>
      <c r="I499" s="15" t="s">
        <v>21109</v>
      </c>
      <c r="J499" s="15" t="s">
        <v>19828</v>
      </c>
      <c r="K499" s="15">
        <v>7948</v>
      </c>
      <c r="L499" s="15" t="s">
        <v>19099</v>
      </c>
    </row>
    <row r="500" spans="1:12" x14ac:dyDescent="0.25">
      <c r="A500" s="2" t="s">
        <v>2267</v>
      </c>
      <c r="B500" s="8" t="s">
        <v>16009</v>
      </c>
      <c r="C500" s="2" t="s">
        <v>2267</v>
      </c>
      <c r="D500" s="2" t="s">
        <v>2268</v>
      </c>
      <c r="E500" s="4" t="s">
        <v>2268</v>
      </c>
      <c r="G500" s="15" t="s">
        <v>2268</v>
      </c>
      <c r="H500" s="15" t="s">
        <v>21110</v>
      </c>
      <c r="I500" s="15" t="s">
        <v>21111</v>
      </c>
      <c r="J500" s="15" t="s">
        <v>20058</v>
      </c>
      <c r="K500" s="15">
        <v>11565</v>
      </c>
      <c r="L500" s="15" t="s">
        <v>19099</v>
      </c>
    </row>
    <row r="501" spans="1:12" x14ac:dyDescent="0.25">
      <c r="A501" s="2" t="s">
        <v>2270</v>
      </c>
      <c r="B501" s="8" t="s">
        <v>16010</v>
      </c>
      <c r="C501" s="2" t="s">
        <v>2270</v>
      </c>
      <c r="D501" s="2" t="s">
        <v>2271</v>
      </c>
      <c r="E501" s="4" t="s">
        <v>21112</v>
      </c>
      <c r="G501" s="15" t="s">
        <v>21113</v>
      </c>
      <c r="H501" s="15" t="s">
        <v>21114</v>
      </c>
      <c r="I501" s="15" t="s">
        <v>21115</v>
      </c>
      <c r="J501" s="15" t="s">
        <v>21116</v>
      </c>
      <c r="K501" s="15">
        <v>520895</v>
      </c>
      <c r="L501" s="15" t="s">
        <v>19099</v>
      </c>
    </row>
    <row r="502" spans="1:12" x14ac:dyDescent="0.25">
      <c r="A502" s="2" t="s">
        <v>2273</v>
      </c>
      <c r="B502" s="8" t="s">
        <v>16011</v>
      </c>
      <c r="C502" s="2" t="s">
        <v>2273</v>
      </c>
      <c r="D502" s="2" t="s">
        <v>2274</v>
      </c>
      <c r="E502" s="4" t="s">
        <v>21117</v>
      </c>
      <c r="G502" s="15" t="s">
        <v>21117</v>
      </c>
      <c r="H502" s="15" t="s">
        <v>21118</v>
      </c>
      <c r="I502" s="15" t="s">
        <v>21119</v>
      </c>
      <c r="J502" s="15" t="s">
        <v>20062</v>
      </c>
      <c r="K502" s="15">
        <v>12281</v>
      </c>
      <c r="L502" s="15" t="s">
        <v>19099</v>
      </c>
    </row>
    <row r="503" spans="1:12" x14ac:dyDescent="0.25">
      <c r="A503" s="2" t="s">
        <v>2276</v>
      </c>
      <c r="B503" s="8" t="s">
        <v>16012</v>
      </c>
      <c r="C503" s="2" t="s">
        <v>2276</v>
      </c>
      <c r="D503" s="2" t="s">
        <v>2277</v>
      </c>
      <c r="E503" s="4" t="s">
        <v>21120</v>
      </c>
      <c r="G503" s="15" t="s">
        <v>21120</v>
      </c>
      <c r="H503" s="15" t="s">
        <v>21121</v>
      </c>
      <c r="I503" s="15" t="s">
        <v>21122</v>
      </c>
      <c r="J503" s="15" t="s">
        <v>20079</v>
      </c>
      <c r="K503" s="15">
        <v>11571</v>
      </c>
      <c r="L503" s="15" t="s">
        <v>19099</v>
      </c>
    </row>
    <row r="504" spans="1:12" x14ac:dyDescent="0.25">
      <c r="A504" s="2" t="s">
        <v>2279</v>
      </c>
      <c r="B504" s="8" t="s">
        <v>16013</v>
      </c>
      <c r="C504" s="2" t="s">
        <v>2279</v>
      </c>
      <c r="D504" s="2" t="s">
        <v>2280</v>
      </c>
      <c r="E504" s="4" t="s">
        <v>2280</v>
      </c>
      <c r="G504" s="15" t="s">
        <v>2280</v>
      </c>
      <c r="H504" s="15" t="s">
        <v>21123</v>
      </c>
      <c r="I504" s="15" t="s">
        <v>21124</v>
      </c>
      <c r="J504" s="15" t="s">
        <v>20282</v>
      </c>
      <c r="K504" s="15">
        <v>12068</v>
      </c>
      <c r="L504" s="15" t="s">
        <v>19099</v>
      </c>
    </row>
    <row r="505" spans="1:12" x14ac:dyDescent="0.25">
      <c r="A505" s="2" t="s">
        <v>2282</v>
      </c>
      <c r="B505" s="9" t="s">
        <v>2284</v>
      </c>
      <c r="C505" s="2" t="s">
        <v>2282</v>
      </c>
      <c r="D505" s="2" t="s">
        <v>2283</v>
      </c>
      <c r="E505" s="4" t="s">
        <v>21125</v>
      </c>
      <c r="G505" s="15" t="s">
        <v>21125</v>
      </c>
      <c r="H505" s="15" t="s">
        <v>21126</v>
      </c>
      <c r="I505" s="15" t="s">
        <v>21127</v>
      </c>
      <c r="J505" s="15" t="s">
        <v>20097</v>
      </c>
      <c r="K505" s="15">
        <v>11459</v>
      </c>
      <c r="L505" s="15" t="s">
        <v>19995</v>
      </c>
    </row>
    <row r="506" spans="1:12" x14ac:dyDescent="0.25">
      <c r="A506" s="2" t="s">
        <v>2285</v>
      </c>
      <c r="B506" s="8" t="s">
        <v>16015</v>
      </c>
      <c r="C506" s="2" t="s">
        <v>2285</v>
      </c>
      <c r="D506" s="2" t="s">
        <v>2286</v>
      </c>
      <c r="E506" s="4" t="s">
        <v>21128</v>
      </c>
      <c r="G506" s="15" t="s">
        <v>21129</v>
      </c>
      <c r="H506" s="15" t="s">
        <v>21130</v>
      </c>
      <c r="I506" s="15" t="s">
        <v>21131</v>
      </c>
      <c r="J506" s="15" t="s">
        <v>20102</v>
      </c>
      <c r="K506" s="15">
        <v>12067</v>
      </c>
      <c r="L506" s="15" t="s">
        <v>19099</v>
      </c>
    </row>
    <row r="507" spans="1:12" x14ac:dyDescent="0.25">
      <c r="A507" s="2" t="s">
        <v>2288</v>
      </c>
      <c r="B507" s="8" t="s">
        <v>16016</v>
      </c>
      <c r="C507" s="2" t="s">
        <v>2288</v>
      </c>
      <c r="D507" s="2" t="s">
        <v>2289</v>
      </c>
      <c r="E507" s="4" t="s">
        <v>21132</v>
      </c>
      <c r="G507" s="15" t="s">
        <v>21133</v>
      </c>
      <c r="H507" s="15" t="s">
        <v>21134</v>
      </c>
      <c r="I507" s="15" t="s">
        <v>21135</v>
      </c>
      <c r="J507" s="15" t="s">
        <v>21136</v>
      </c>
      <c r="K507" s="15">
        <v>102459</v>
      </c>
      <c r="L507" s="15" t="s">
        <v>19099</v>
      </c>
    </row>
    <row r="508" spans="1:12" x14ac:dyDescent="0.25">
      <c r="A508" s="2" t="s">
        <v>2291</v>
      </c>
      <c r="B508" s="8" t="s">
        <v>16017</v>
      </c>
      <c r="C508" s="2" t="s">
        <v>2291</v>
      </c>
      <c r="D508" s="2" t="s">
        <v>2292</v>
      </c>
      <c r="E508" s="4" t="s">
        <v>21137</v>
      </c>
      <c r="G508" s="15" t="s">
        <v>21138</v>
      </c>
      <c r="H508" s="15" t="s">
        <v>21139</v>
      </c>
      <c r="I508" s="15" t="s">
        <v>21140</v>
      </c>
      <c r="J508" s="15" t="s">
        <v>21141</v>
      </c>
      <c r="K508" s="15">
        <v>249494</v>
      </c>
      <c r="L508" s="15" t="s">
        <v>19099</v>
      </c>
    </row>
    <row r="509" spans="1:12" x14ac:dyDescent="0.25">
      <c r="A509" s="2" t="s">
        <v>2294</v>
      </c>
      <c r="B509" s="8" t="s">
        <v>16018</v>
      </c>
      <c r="C509" s="2" t="s">
        <v>2294</v>
      </c>
      <c r="D509" s="2" t="s">
        <v>2295</v>
      </c>
      <c r="E509" s="4" t="s">
        <v>21142</v>
      </c>
      <c r="G509" s="15" t="s">
        <v>21143</v>
      </c>
      <c r="H509" s="15" t="s">
        <v>21144</v>
      </c>
      <c r="I509" s="15" t="s">
        <v>21145</v>
      </c>
      <c r="J509" s="15" t="s">
        <v>21146</v>
      </c>
      <c r="K509" s="15">
        <v>7853</v>
      </c>
      <c r="L509" s="15" t="s">
        <v>19099</v>
      </c>
    </row>
    <row r="510" spans="1:12" x14ac:dyDescent="0.25">
      <c r="A510" s="2" t="s">
        <v>2297</v>
      </c>
      <c r="B510" s="8" t="s">
        <v>16019</v>
      </c>
      <c r="C510" s="2" t="s">
        <v>2297</v>
      </c>
      <c r="D510" s="2" t="s">
        <v>2298</v>
      </c>
      <c r="E510" s="4" t="s">
        <v>21147</v>
      </c>
      <c r="G510" s="15" t="s">
        <v>21148</v>
      </c>
      <c r="H510" s="15" t="s">
        <v>21149</v>
      </c>
      <c r="I510" s="15" t="s">
        <v>21150</v>
      </c>
      <c r="J510" s="15" t="s">
        <v>21151</v>
      </c>
      <c r="K510" s="15">
        <v>8630</v>
      </c>
      <c r="L510" s="15" t="s">
        <v>19099</v>
      </c>
    </row>
    <row r="511" spans="1:12" x14ac:dyDescent="0.25">
      <c r="A511" s="2" t="s">
        <v>2300</v>
      </c>
      <c r="B511" s="8" t="s">
        <v>16020</v>
      </c>
      <c r="C511" s="2" t="s">
        <v>2300</v>
      </c>
      <c r="D511" s="2" t="s">
        <v>2301</v>
      </c>
      <c r="E511" s="4" t="s">
        <v>21152</v>
      </c>
      <c r="G511" s="15" t="s">
        <v>21153</v>
      </c>
      <c r="H511" s="15" t="s">
        <v>21154</v>
      </c>
      <c r="I511" s="15" t="s">
        <v>21155</v>
      </c>
      <c r="J511" s="15" t="s">
        <v>21156</v>
      </c>
      <c r="K511" s="15">
        <v>6433386</v>
      </c>
      <c r="L511" s="15" t="s">
        <v>19099</v>
      </c>
    </row>
    <row r="512" spans="1:12" x14ac:dyDescent="0.25">
      <c r="A512" s="2" t="s">
        <v>2303</v>
      </c>
      <c r="B512" s="8" t="s">
        <v>16021</v>
      </c>
      <c r="C512" s="2" t="s">
        <v>2303</v>
      </c>
      <c r="D512" s="2" t="s">
        <v>2304</v>
      </c>
      <c r="E512" s="4" t="s">
        <v>21157</v>
      </c>
      <c r="G512" s="15" t="s">
        <v>21158</v>
      </c>
      <c r="H512" s="15" t="s">
        <v>21159</v>
      </c>
      <c r="I512" s="15" t="s">
        <v>21160</v>
      </c>
      <c r="J512" s="15" t="s">
        <v>21161</v>
      </c>
      <c r="K512" s="15">
        <v>5283363</v>
      </c>
      <c r="L512" s="15" t="s">
        <v>19099</v>
      </c>
    </row>
    <row r="513" spans="1:12" x14ac:dyDescent="0.25">
      <c r="A513" s="2" t="s">
        <v>2306</v>
      </c>
      <c r="B513" s="8" t="s">
        <v>16022</v>
      </c>
      <c r="C513" s="2" t="s">
        <v>2306</v>
      </c>
      <c r="D513" s="2" t="s">
        <v>2307</v>
      </c>
      <c r="E513" s="4" t="s">
        <v>21162</v>
      </c>
      <c r="G513" s="15" t="s">
        <v>21163</v>
      </c>
      <c r="H513" s="15" t="s">
        <v>21164</v>
      </c>
      <c r="I513" s="15" t="s">
        <v>21165</v>
      </c>
      <c r="J513" s="15" t="s">
        <v>19658</v>
      </c>
      <c r="K513" s="15">
        <v>5364494</v>
      </c>
      <c r="L513" s="15" t="s">
        <v>19099</v>
      </c>
    </row>
    <row r="514" spans="1:12" x14ac:dyDescent="0.25">
      <c r="A514" s="2" t="s">
        <v>2309</v>
      </c>
      <c r="B514" s="8" t="s">
        <v>16023</v>
      </c>
      <c r="C514" s="2" t="s">
        <v>2309</v>
      </c>
      <c r="D514" s="2" t="s">
        <v>2310</v>
      </c>
      <c r="E514" s="4" t="s">
        <v>2310</v>
      </c>
      <c r="G514" s="15" t="s">
        <v>21166</v>
      </c>
      <c r="H514" s="15" t="s">
        <v>21167</v>
      </c>
      <c r="I514" s="15" t="s">
        <v>21168</v>
      </c>
      <c r="J514" s="15" t="s">
        <v>19690</v>
      </c>
      <c r="K514" s="15">
        <v>547790</v>
      </c>
      <c r="L514" s="15" t="s">
        <v>19099</v>
      </c>
    </row>
    <row r="515" spans="1:12" x14ac:dyDescent="0.25">
      <c r="A515" s="2" t="s">
        <v>2312</v>
      </c>
      <c r="B515" s="8" t="s">
        <v>16024</v>
      </c>
      <c r="C515" s="2" t="s">
        <v>2312</v>
      </c>
      <c r="D515" s="2" t="s">
        <v>2313</v>
      </c>
      <c r="E515" s="4" t="s">
        <v>21169</v>
      </c>
      <c r="G515" s="15" t="s">
        <v>21170</v>
      </c>
      <c r="H515" s="15" t="s">
        <v>21171</v>
      </c>
      <c r="I515" s="15" t="s">
        <v>21172</v>
      </c>
      <c r="J515" s="15" t="s">
        <v>21173</v>
      </c>
      <c r="K515" s="15">
        <v>61209</v>
      </c>
      <c r="L515" s="15" t="s">
        <v>19099</v>
      </c>
    </row>
    <row r="516" spans="1:12" x14ac:dyDescent="0.25">
      <c r="A516" s="2" t="s">
        <v>2315</v>
      </c>
      <c r="B516" s="8" t="s">
        <v>16025</v>
      </c>
      <c r="C516" s="2" t="s">
        <v>2315</v>
      </c>
      <c r="D516" s="2" t="s">
        <v>2316</v>
      </c>
      <c r="E516" s="4" t="s">
        <v>2316</v>
      </c>
      <c r="G516" s="15" t="s">
        <v>2316</v>
      </c>
      <c r="H516" s="15" t="s">
        <v>21174</v>
      </c>
      <c r="I516" s="15" t="s">
        <v>21175</v>
      </c>
      <c r="J516" s="15" t="s">
        <v>20058</v>
      </c>
      <c r="K516" s="15">
        <v>7934</v>
      </c>
      <c r="L516" s="15" t="s">
        <v>19099</v>
      </c>
    </row>
    <row r="517" spans="1:12" x14ac:dyDescent="0.25">
      <c r="A517" s="2" t="s">
        <v>2318</v>
      </c>
      <c r="B517" s="8" t="s">
        <v>16026</v>
      </c>
      <c r="C517" s="2" t="s">
        <v>2318</v>
      </c>
      <c r="D517" s="2" t="s">
        <v>2319</v>
      </c>
      <c r="E517" s="4" t="s">
        <v>21176</v>
      </c>
      <c r="G517" s="15" t="s">
        <v>21176</v>
      </c>
      <c r="H517" s="15" t="s">
        <v>21177</v>
      </c>
      <c r="I517" s="15" t="s">
        <v>21178</v>
      </c>
      <c r="J517" s="15" t="s">
        <v>20052</v>
      </c>
      <c r="K517" s="15">
        <v>7282</v>
      </c>
      <c r="L517" s="15" t="s">
        <v>19099</v>
      </c>
    </row>
    <row r="518" spans="1:12" x14ac:dyDescent="0.25">
      <c r="A518" s="2" t="s">
        <v>2321</v>
      </c>
      <c r="B518" s="8" t="s">
        <v>16027</v>
      </c>
      <c r="C518" s="2" t="s">
        <v>2321</v>
      </c>
      <c r="D518" s="2" t="s">
        <v>2322</v>
      </c>
      <c r="E518" s="4" t="s">
        <v>21179</v>
      </c>
      <c r="G518" s="15" t="s">
        <v>21179</v>
      </c>
      <c r="H518" s="15" t="s">
        <v>21180</v>
      </c>
      <c r="I518" s="15" t="s">
        <v>21181</v>
      </c>
      <c r="J518" s="15" t="s">
        <v>21182</v>
      </c>
      <c r="K518" s="15">
        <v>7755</v>
      </c>
      <c r="L518" s="15" t="s">
        <v>19099</v>
      </c>
    </row>
    <row r="519" spans="1:12" x14ac:dyDescent="0.25">
      <c r="A519" s="2" t="s">
        <v>2324</v>
      </c>
      <c r="B519" s="8" t="s">
        <v>16028</v>
      </c>
      <c r="C519" s="2" t="s">
        <v>2324</v>
      </c>
      <c r="D519" s="2" t="s">
        <v>2325</v>
      </c>
      <c r="E519" s="4" t="s">
        <v>21183</v>
      </c>
      <c r="G519" s="15" t="s">
        <v>21183</v>
      </c>
      <c r="H519" s="15" t="s">
        <v>21184</v>
      </c>
      <c r="I519" s="15" t="s">
        <v>21185</v>
      </c>
      <c r="J519" s="15" t="s">
        <v>20216</v>
      </c>
      <c r="K519" s="15">
        <v>11507</v>
      </c>
      <c r="L519" s="15" t="s">
        <v>19099</v>
      </c>
    </row>
    <row r="520" spans="1:12" x14ac:dyDescent="0.25">
      <c r="A520" s="2" t="s">
        <v>2327</v>
      </c>
      <c r="B520" s="8" t="s">
        <v>16029</v>
      </c>
      <c r="C520" s="2" t="s">
        <v>2327</v>
      </c>
      <c r="D520" s="2" t="s">
        <v>2328</v>
      </c>
      <c r="E520" s="4" t="s">
        <v>21186</v>
      </c>
      <c r="G520" s="15" t="s">
        <v>21186</v>
      </c>
      <c r="H520" s="15" t="s">
        <v>21187</v>
      </c>
      <c r="I520" s="15" t="s">
        <v>21188</v>
      </c>
      <c r="J520" s="15" t="s">
        <v>19917</v>
      </c>
      <c r="K520" s="15">
        <v>11519</v>
      </c>
      <c r="L520" s="15" t="s">
        <v>19099</v>
      </c>
    </row>
    <row r="521" spans="1:12" x14ac:dyDescent="0.25">
      <c r="A521" s="2" t="s">
        <v>2330</v>
      </c>
      <c r="B521" s="8" t="s">
        <v>16030</v>
      </c>
      <c r="C521" s="2" t="s">
        <v>2330</v>
      </c>
      <c r="D521" s="2" t="s">
        <v>2331</v>
      </c>
      <c r="E521" s="4" t="s">
        <v>21189</v>
      </c>
      <c r="G521" s="15" t="s">
        <v>21190</v>
      </c>
      <c r="H521" s="15" t="s">
        <v>21191</v>
      </c>
      <c r="I521" s="15" t="s">
        <v>21192</v>
      </c>
      <c r="J521" s="15" t="s">
        <v>20212</v>
      </c>
      <c r="K521" s="15">
        <v>11455</v>
      </c>
      <c r="L521" s="15" t="s">
        <v>19099</v>
      </c>
    </row>
    <row r="522" spans="1:12" x14ac:dyDescent="0.25">
      <c r="A522" s="2" t="s">
        <v>2333</v>
      </c>
      <c r="B522" s="8" t="s">
        <v>16031</v>
      </c>
      <c r="C522" s="2" t="s">
        <v>2333</v>
      </c>
      <c r="D522" s="2" t="s">
        <v>2334</v>
      </c>
      <c r="E522" s="4" t="s">
        <v>21193</v>
      </c>
      <c r="G522" s="15" t="s">
        <v>21194</v>
      </c>
      <c r="H522" s="15" t="s">
        <v>21195</v>
      </c>
      <c r="I522" s="15" t="s">
        <v>21196</v>
      </c>
      <c r="J522" s="15" t="s">
        <v>21197</v>
      </c>
      <c r="K522" s="15">
        <v>1674</v>
      </c>
      <c r="L522" s="15" t="s">
        <v>19099</v>
      </c>
    </row>
    <row r="523" spans="1:12" x14ac:dyDescent="0.25">
      <c r="A523" s="2" t="s">
        <v>2336</v>
      </c>
      <c r="B523" s="8" t="s">
        <v>16032</v>
      </c>
      <c r="C523" s="2" t="s">
        <v>2336</v>
      </c>
      <c r="D523" s="2" t="s">
        <v>2337</v>
      </c>
      <c r="E523" s="4" t="s">
        <v>2337</v>
      </c>
      <c r="G523" s="15" t="s">
        <v>2337</v>
      </c>
      <c r="H523" s="15" t="s">
        <v>21198</v>
      </c>
      <c r="I523" s="15" t="s">
        <v>21199</v>
      </c>
      <c r="J523" s="15" t="s">
        <v>20617</v>
      </c>
      <c r="K523" s="15">
        <v>7970</v>
      </c>
      <c r="L523" s="15" t="s">
        <v>19099</v>
      </c>
    </row>
    <row r="524" spans="1:12" x14ac:dyDescent="0.25">
      <c r="A524" s="2" t="s">
        <v>2339</v>
      </c>
      <c r="B524" s="8" t="s">
        <v>16033</v>
      </c>
      <c r="C524" s="2" t="s">
        <v>2339</v>
      </c>
      <c r="D524" s="2" t="s">
        <v>2340</v>
      </c>
      <c r="E524" s="4" t="s">
        <v>21200</v>
      </c>
      <c r="G524" s="15" t="s">
        <v>21201</v>
      </c>
      <c r="H524" s="15" t="s">
        <v>21202</v>
      </c>
      <c r="I524" s="15" t="s">
        <v>21203</v>
      </c>
      <c r="J524" s="15" t="s">
        <v>21204</v>
      </c>
      <c r="K524" s="15">
        <v>15073</v>
      </c>
      <c r="L524" s="15" t="s">
        <v>19099</v>
      </c>
    </row>
    <row r="525" spans="1:12" x14ac:dyDescent="0.25">
      <c r="A525" s="2" t="s">
        <v>2342</v>
      </c>
      <c r="B525" s="8" t="s">
        <v>16034</v>
      </c>
      <c r="C525" s="2" t="s">
        <v>2342</v>
      </c>
      <c r="D525" s="2" t="s">
        <v>2343</v>
      </c>
      <c r="E525" s="4" t="s">
        <v>21205</v>
      </c>
      <c r="G525" s="15" t="s">
        <v>21205</v>
      </c>
      <c r="H525" s="15" t="s">
        <v>21206</v>
      </c>
      <c r="I525" s="15" t="s">
        <v>21207</v>
      </c>
      <c r="J525" s="15" t="s">
        <v>21208</v>
      </c>
      <c r="K525" s="15">
        <v>29995</v>
      </c>
      <c r="L525" s="15" t="s">
        <v>19099</v>
      </c>
    </row>
    <row r="526" spans="1:12" x14ac:dyDescent="0.25">
      <c r="A526" s="2" t="s">
        <v>2345</v>
      </c>
      <c r="B526" s="8" t="s">
        <v>16035</v>
      </c>
      <c r="C526" s="2" t="s">
        <v>2345</v>
      </c>
      <c r="D526" s="2" t="s">
        <v>2346</v>
      </c>
      <c r="E526" s="4" t="s">
        <v>21209</v>
      </c>
      <c r="G526" s="15" t="s">
        <v>21209</v>
      </c>
      <c r="H526" s="15" t="s">
        <v>21210</v>
      </c>
      <c r="I526" s="15" t="s">
        <v>21211</v>
      </c>
      <c r="J526" s="15" t="s">
        <v>19828</v>
      </c>
      <c r="K526" s="15">
        <v>12101</v>
      </c>
      <c r="L526" s="15" t="s">
        <v>19099</v>
      </c>
    </row>
    <row r="527" spans="1:12" x14ac:dyDescent="0.25">
      <c r="A527" s="2" t="s">
        <v>2348</v>
      </c>
      <c r="B527" s="8" t="s">
        <v>16036</v>
      </c>
      <c r="C527" s="2" t="s">
        <v>2348</v>
      </c>
      <c r="D527" s="2" t="s">
        <v>2349</v>
      </c>
      <c r="E527" s="4" t="s">
        <v>21212</v>
      </c>
      <c r="G527" s="15" t="s">
        <v>21213</v>
      </c>
      <c r="H527" s="15" t="s">
        <v>21214</v>
      </c>
      <c r="I527" s="15" t="s">
        <v>21215</v>
      </c>
      <c r="J527" s="15" t="s">
        <v>19245</v>
      </c>
      <c r="K527" s="15">
        <v>12100</v>
      </c>
      <c r="L527" s="15" t="s">
        <v>19099</v>
      </c>
    </row>
    <row r="528" spans="1:12" x14ac:dyDescent="0.25">
      <c r="A528" s="2" t="s">
        <v>2351</v>
      </c>
      <c r="B528" s="8" t="s">
        <v>16037</v>
      </c>
      <c r="C528" s="2" t="s">
        <v>2351</v>
      </c>
      <c r="D528" s="2" t="s">
        <v>2352</v>
      </c>
      <c r="E528" s="4" t="s">
        <v>2352</v>
      </c>
      <c r="G528" s="15" t="s">
        <v>21216</v>
      </c>
      <c r="H528" s="15" t="s">
        <v>21217</v>
      </c>
      <c r="I528" s="15" t="s">
        <v>21218</v>
      </c>
      <c r="J528" s="15" t="s">
        <v>19669</v>
      </c>
      <c r="K528" s="15">
        <v>11428</v>
      </c>
      <c r="L528" s="15" t="s">
        <v>19099</v>
      </c>
    </row>
    <row r="529" spans="1:12" x14ac:dyDescent="0.25">
      <c r="A529" s="2" t="s">
        <v>2354</v>
      </c>
      <c r="B529" s="8" t="s">
        <v>16038</v>
      </c>
      <c r="C529" s="2" t="s">
        <v>2354</v>
      </c>
      <c r="D529" s="2" t="s">
        <v>2355</v>
      </c>
      <c r="E529" s="4" t="s">
        <v>21219</v>
      </c>
      <c r="G529" s="15" t="s">
        <v>21220</v>
      </c>
      <c r="H529" s="15" t="s">
        <v>21221</v>
      </c>
      <c r="I529" s="15" t="s">
        <v>21222</v>
      </c>
      <c r="J529" s="15" t="s">
        <v>21223</v>
      </c>
      <c r="K529" s="15">
        <v>11241</v>
      </c>
      <c r="L529" s="15" t="s">
        <v>19099</v>
      </c>
    </row>
    <row r="530" spans="1:12" x14ac:dyDescent="0.25">
      <c r="A530" s="2" t="s">
        <v>2357</v>
      </c>
      <c r="B530" s="8" t="s">
        <v>16039</v>
      </c>
      <c r="C530" s="2" t="s">
        <v>2357</v>
      </c>
      <c r="D530" s="2" t="s">
        <v>2358</v>
      </c>
      <c r="E530" s="4" t="s">
        <v>21224</v>
      </c>
      <c r="G530" s="15" t="s">
        <v>21224</v>
      </c>
      <c r="H530" s="15" t="s">
        <v>21225</v>
      </c>
      <c r="I530" s="15" t="s">
        <v>21226</v>
      </c>
      <c r="J530" s="15" t="s">
        <v>20763</v>
      </c>
      <c r="K530" s="15">
        <v>6894</v>
      </c>
      <c r="L530" s="15" t="s">
        <v>19099</v>
      </c>
    </row>
    <row r="531" spans="1:12" x14ac:dyDescent="0.25">
      <c r="A531" s="2" t="s">
        <v>2360</v>
      </c>
      <c r="B531" s="8" t="s">
        <v>16040</v>
      </c>
      <c r="C531" s="2" t="s">
        <v>2360</v>
      </c>
      <c r="D531" s="2" t="s">
        <v>2361</v>
      </c>
      <c r="E531" s="4" t="s">
        <v>21227</v>
      </c>
      <c r="G531" s="15" t="s">
        <v>21227</v>
      </c>
      <c r="H531" s="15" t="s">
        <v>21228</v>
      </c>
      <c r="I531" s="15" t="s">
        <v>21229</v>
      </c>
      <c r="J531" s="15" t="s">
        <v>20767</v>
      </c>
      <c r="K531" s="15">
        <v>101068</v>
      </c>
      <c r="L531" s="15" t="s">
        <v>19099</v>
      </c>
    </row>
    <row r="532" spans="1:12" x14ac:dyDescent="0.25">
      <c r="A532" s="2" t="s">
        <v>2363</v>
      </c>
      <c r="B532" s="8" t="s">
        <v>16041</v>
      </c>
      <c r="C532" s="2" t="s">
        <v>2363</v>
      </c>
      <c r="D532" s="2" t="s">
        <v>2364</v>
      </c>
      <c r="E532" s="4" t="s">
        <v>21230</v>
      </c>
      <c r="G532" s="15" t="s">
        <v>21230</v>
      </c>
      <c r="H532" s="15" t="s">
        <v>21231</v>
      </c>
      <c r="I532" s="15" t="s">
        <v>21232</v>
      </c>
      <c r="J532" s="15" t="s">
        <v>21233</v>
      </c>
      <c r="K532" s="15">
        <v>21441</v>
      </c>
      <c r="L532" s="15" t="s">
        <v>19099</v>
      </c>
    </row>
    <row r="533" spans="1:12" x14ac:dyDescent="0.25">
      <c r="A533" s="2" t="s">
        <v>2366</v>
      </c>
      <c r="B533" s="8" t="s">
        <v>16042</v>
      </c>
      <c r="C533" s="2" t="s">
        <v>2366</v>
      </c>
      <c r="D533" s="2" t="s">
        <v>2367</v>
      </c>
      <c r="E533" s="4" t="s">
        <v>21234</v>
      </c>
      <c r="G533" s="15" t="s">
        <v>21234</v>
      </c>
      <c r="H533" s="15" t="s">
        <v>21235</v>
      </c>
      <c r="I533" s="15" t="s">
        <v>21236</v>
      </c>
      <c r="J533" s="15" t="s">
        <v>20763</v>
      </c>
      <c r="K533" s="15">
        <v>7255</v>
      </c>
      <c r="L533" s="15" t="s">
        <v>19099</v>
      </c>
    </row>
    <row r="534" spans="1:12" x14ac:dyDescent="0.25">
      <c r="A534" s="2" t="s">
        <v>2369</v>
      </c>
      <c r="B534" s="8" t="s">
        <v>16043</v>
      </c>
      <c r="C534" s="2" t="s">
        <v>2369</v>
      </c>
      <c r="D534" s="2" t="s">
        <v>2370</v>
      </c>
      <c r="E534" s="4" t="s">
        <v>21237</v>
      </c>
      <c r="G534" s="15" t="s">
        <v>21238</v>
      </c>
      <c r="H534" s="15" t="s">
        <v>21239</v>
      </c>
      <c r="I534" s="15" t="s">
        <v>21240</v>
      </c>
      <c r="J534" s="15" t="s">
        <v>21241</v>
      </c>
      <c r="K534" s="15">
        <v>25741</v>
      </c>
      <c r="L534" s="15" t="s">
        <v>19099</v>
      </c>
    </row>
    <row r="535" spans="1:12" x14ac:dyDescent="0.25">
      <c r="A535" s="2" t="s">
        <v>2372</v>
      </c>
      <c r="B535" s="8" t="s">
        <v>16044</v>
      </c>
      <c r="C535" s="2" t="s">
        <v>2372</v>
      </c>
      <c r="D535" s="2" t="s">
        <v>2373</v>
      </c>
      <c r="E535" s="4" t="s">
        <v>21242</v>
      </c>
      <c r="G535" s="15" t="s">
        <v>21243</v>
      </c>
      <c r="H535" s="15" t="s">
        <v>21244</v>
      </c>
      <c r="I535" s="15" t="s">
        <v>21245</v>
      </c>
      <c r="J535" s="15" t="s">
        <v>20772</v>
      </c>
      <c r="K535" s="15">
        <v>123478</v>
      </c>
      <c r="L535" s="15" t="s">
        <v>19099</v>
      </c>
    </row>
    <row r="536" spans="1:12" x14ac:dyDescent="0.25">
      <c r="A536" s="2" t="s">
        <v>2375</v>
      </c>
      <c r="B536" s="8" t="s">
        <v>16045</v>
      </c>
      <c r="C536" s="2" t="s">
        <v>2375</v>
      </c>
      <c r="D536" s="2" t="s">
        <v>2376</v>
      </c>
      <c r="E536" s="4" t="s">
        <v>21246</v>
      </c>
      <c r="G536" s="15" t="s">
        <v>21246</v>
      </c>
      <c r="H536" s="15" t="s">
        <v>21247</v>
      </c>
      <c r="I536" s="15" t="s">
        <v>21248</v>
      </c>
      <c r="J536" s="15" t="s">
        <v>20811</v>
      </c>
      <c r="K536" s="15">
        <v>7932</v>
      </c>
      <c r="L536" s="15" t="s">
        <v>19099</v>
      </c>
    </row>
    <row r="537" spans="1:12" x14ac:dyDescent="0.25">
      <c r="A537" s="2" t="s">
        <v>2378</v>
      </c>
      <c r="B537" s="8" t="s">
        <v>16046</v>
      </c>
      <c r="C537" s="2" t="s">
        <v>2378</v>
      </c>
      <c r="D537" s="2" t="s">
        <v>2379</v>
      </c>
      <c r="E537" s="4" t="s">
        <v>21249</v>
      </c>
      <c r="G537" s="15" t="s">
        <v>21250</v>
      </c>
      <c r="H537" s="15" t="s">
        <v>21251</v>
      </c>
      <c r="I537" s="15" t="s">
        <v>21252</v>
      </c>
      <c r="J537" s="15" t="s">
        <v>21253</v>
      </c>
      <c r="K537" s="15">
        <v>10963</v>
      </c>
      <c r="L537" s="15" t="s">
        <v>19099</v>
      </c>
    </row>
    <row r="538" spans="1:12" x14ac:dyDescent="0.25">
      <c r="A538" s="2" t="s">
        <v>2381</v>
      </c>
      <c r="B538" s="8" t="s">
        <v>16047</v>
      </c>
      <c r="C538" s="2" t="s">
        <v>2381</v>
      </c>
      <c r="D538" s="2" t="s">
        <v>2382</v>
      </c>
      <c r="E538" s="4" t="s">
        <v>21254</v>
      </c>
      <c r="G538" s="15" t="s">
        <v>21255</v>
      </c>
      <c r="H538" s="15" t="s">
        <v>21256</v>
      </c>
      <c r="I538" s="15" t="s">
        <v>21257</v>
      </c>
      <c r="J538" s="15" t="s">
        <v>21258</v>
      </c>
      <c r="K538" s="15">
        <v>7850</v>
      </c>
      <c r="L538" s="15" t="s">
        <v>19099</v>
      </c>
    </row>
    <row r="539" spans="1:12" x14ac:dyDescent="0.25">
      <c r="A539" s="2" t="s">
        <v>2384</v>
      </c>
      <c r="B539" s="8" t="s">
        <v>16048</v>
      </c>
      <c r="C539" s="2" t="s">
        <v>2384</v>
      </c>
      <c r="D539" s="2" t="s">
        <v>2385</v>
      </c>
      <c r="E539" s="4" t="s">
        <v>21259</v>
      </c>
      <c r="G539" s="15" t="s">
        <v>21259</v>
      </c>
      <c r="H539" s="15" t="s">
        <v>21260</v>
      </c>
      <c r="I539" s="15" t="s">
        <v>21261</v>
      </c>
      <c r="J539" s="15" t="s">
        <v>20827</v>
      </c>
      <c r="K539" s="15">
        <v>7933</v>
      </c>
      <c r="L539" s="15" t="s">
        <v>19099</v>
      </c>
    </row>
    <row r="540" spans="1:12" x14ac:dyDescent="0.25">
      <c r="A540" s="2" t="s">
        <v>2387</v>
      </c>
      <c r="B540" s="8" t="s">
        <v>16049</v>
      </c>
      <c r="C540" s="2" t="s">
        <v>2387</v>
      </c>
      <c r="D540" s="2" t="s">
        <v>2388</v>
      </c>
      <c r="E540" s="4" t="s">
        <v>21262</v>
      </c>
      <c r="G540" s="15" t="s">
        <v>21263</v>
      </c>
      <c r="H540" s="15" t="s">
        <v>21264</v>
      </c>
      <c r="I540" s="15" t="s">
        <v>21265</v>
      </c>
      <c r="J540" s="15" t="s">
        <v>21266</v>
      </c>
      <c r="K540" s="15">
        <v>23285</v>
      </c>
      <c r="L540" s="15" t="s">
        <v>19099</v>
      </c>
    </row>
    <row r="541" spans="1:12" x14ac:dyDescent="0.25">
      <c r="A541" s="2" t="s">
        <v>2390</v>
      </c>
      <c r="B541" s="8" t="s">
        <v>16050</v>
      </c>
      <c r="C541" s="2" t="s">
        <v>2390</v>
      </c>
      <c r="D541" s="2" t="s">
        <v>2391</v>
      </c>
      <c r="E541" s="4" t="s">
        <v>21267</v>
      </c>
      <c r="G541" s="15" t="s">
        <v>21268</v>
      </c>
      <c r="H541" s="15" t="s">
        <v>21269</v>
      </c>
      <c r="I541" s="15" t="s">
        <v>21270</v>
      </c>
      <c r="J541" s="15" t="s">
        <v>20835</v>
      </c>
      <c r="K541" s="15">
        <v>7931</v>
      </c>
      <c r="L541" s="15" t="s">
        <v>19099</v>
      </c>
    </row>
    <row r="542" spans="1:12" x14ac:dyDescent="0.25">
      <c r="A542" s="2" t="s">
        <v>2393</v>
      </c>
      <c r="B542" s="8" t="s">
        <v>16051</v>
      </c>
      <c r="C542" s="2" t="s">
        <v>2393</v>
      </c>
      <c r="D542" s="2" t="s">
        <v>2394</v>
      </c>
      <c r="E542" s="4" t="s">
        <v>21271</v>
      </c>
      <c r="G542" s="15" t="s">
        <v>21272</v>
      </c>
      <c r="H542" s="15" t="s">
        <v>21273</v>
      </c>
      <c r="I542" s="15" t="s">
        <v>21274</v>
      </c>
      <c r="J542" s="15" t="s">
        <v>21275</v>
      </c>
      <c r="K542" s="15">
        <v>519787</v>
      </c>
      <c r="L542" s="15" t="s">
        <v>19099</v>
      </c>
    </row>
    <row r="543" spans="1:12" x14ac:dyDescent="0.25">
      <c r="A543" s="2" t="s">
        <v>2396</v>
      </c>
      <c r="B543" s="8" t="s">
        <v>16052</v>
      </c>
      <c r="C543" s="2" t="s">
        <v>2396</v>
      </c>
      <c r="D543" s="2" t="s">
        <v>2397</v>
      </c>
      <c r="E543" s="4" t="s">
        <v>2397</v>
      </c>
      <c r="G543" s="15" t="s">
        <v>21276</v>
      </c>
      <c r="H543" s="15" t="s">
        <v>21277</v>
      </c>
      <c r="I543" s="15" t="s">
        <v>21278</v>
      </c>
      <c r="J543" s="15" t="s">
        <v>21279</v>
      </c>
      <c r="K543" s="15">
        <v>27975</v>
      </c>
      <c r="L543" s="15" t="s">
        <v>19099</v>
      </c>
    </row>
    <row r="544" spans="1:12" x14ac:dyDescent="0.25">
      <c r="A544" s="2" t="s">
        <v>2399</v>
      </c>
      <c r="B544" s="8" t="s">
        <v>16053</v>
      </c>
      <c r="C544" s="2" t="s">
        <v>2399</v>
      </c>
      <c r="D544" s="2" t="s">
        <v>2400</v>
      </c>
      <c r="E544" s="4" t="s">
        <v>2400</v>
      </c>
      <c r="G544" s="15" t="s">
        <v>2400</v>
      </c>
      <c r="H544" s="15" t="s">
        <v>21280</v>
      </c>
      <c r="I544" s="15" t="s">
        <v>21281</v>
      </c>
      <c r="J544" s="15" t="s">
        <v>20897</v>
      </c>
      <c r="K544" s="15">
        <v>7423</v>
      </c>
      <c r="L544" s="15" t="s">
        <v>19099</v>
      </c>
    </row>
    <row r="545" spans="1:12" x14ac:dyDescent="0.25">
      <c r="A545" s="2" t="s">
        <v>2402</v>
      </c>
      <c r="B545" s="8" t="s">
        <v>16054</v>
      </c>
      <c r="C545" s="2" t="s">
        <v>2402</v>
      </c>
      <c r="D545" s="2" t="s">
        <v>2403</v>
      </c>
      <c r="E545" s="4" t="s">
        <v>21282</v>
      </c>
      <c r="G545" s="15" t="s">
        <v>21282</v>
      </c>
      <c r="H545" s="15" t="s">
        <v>21283</v>
      </c>
      <c r="I545" s="15" t="s">
        <v>21284</v>
      </c>
      <c r="J545" s="15" t="s">
        <v>20910</v>
      </c>
      <c r="K545" s="15">
        <v>11137</v>
      </c>
      <c r="L545" s="15" t="s">
        <v>19099</v>
      </c>
    </row>
    <row r="546" spans="1:12" x14ac:dyDescent="0.25">
      <c r="A546" s="2" t="s">
        <v>2405</v>
      </c>
      <c r="B546" s="8" t="s">
        <v>16055</v>
      </c>
      <c r="C546" s="2" t="s">
        <v>2405</v>
      </c>
      <c r="D546" s="2" t="s">
        <v>2406</v>
      </c>
      <c r="E546" s="4" t="s">
        <v>21285</v>
      </c>
      <c r="G546" s="15" t="s">
        <v>21286</v>
      </c>
      <c r="H546" s="15" t="s">
        <v>21287</v>
      </c>
      <c r="I546" s="15" t="s">
        <v>21288</v>
      </c>
      <c r="J546" s="15" t="s">
        <v>20915</v>
      </c>
      <c r="K546" s="15">
        <v>7422</v>
      </c>
      <c r="L546" s="15" t="s">
        <v>19099</v>
      </c>
    </row>
    <row r="547" spans="1:12" x14ac:dyDescent="0.25">
      <c r="A547" s="2" t="s">
        <v>2408</v>
      </c>
      <c r="B547" s="8" t="s">
        <v>16056</v>
      </c>
      <c r="C547" s="2" t="s">
        <v>2408</v>
      </c>
      <c r="D547" s="2" t="s">
        <v>2409</v>
      </c>
      <c r="E547" s="4" t="s">
        <v>21289</v>
      </c>
      <c r="G547" s="15" t="s">
        <v>21290</v>
      </c>
      <c r="H547" s="15" t="s">
        <v>21291</v>
      </c>
      <c r="I547" s="15" t="s">
        <v>21292</v>
      </c>
      <c r="J547" s="15" t="s">
        <v>20018</v>
      </c>
      <c r="K547" s="15">
        <v>12059</v>
      </c>
      <c r="L547" s="15" t="s">
        <v>19099</v>
      </c>
    </row>
    <row r="548" spans="1:12" x14ac:dyDescent="0.25">
      <c r="A548" s="2" t="s">
        <v>2411</v>
      </c>
      <c r="B548" s="8" t="s">
        <v>16057</v>
      </c>
      <c r="C548" s="2" t="s">
        <v>2411</v>
      </c>
      <c r="D548" s="2" t="s">
        <v>2412</v>
      </c>
      <c r="E548" s="4" t="s">
        <v>21293</v>
      </c>
      <c r="G548" s="15" t="s">
        <v>21294</v>
      </c>
      <c r="H548" s="15" t="s">
        <v>21295</v>
      </c>
      <c r="I548" s="15" t="s">
        <v>21296</v>
      </c>
      <c r="J548" s="15" t="s">
        <v>21297</v>
      </c>
      <c r="K548" s="15">
        <v>27999</v>
      </c>
      <c r="L548" s="15" t="s">
        <v>19099</v>
      </c>
    </row>
    <row r="549" spans="1:12" x14ac:dyDescent="0.25">
      <c r="A549" s="2" t="s">
        <v>2414</v>
      </c>
      <c r="B549" s="8" t="s">
        <v>16058</v>
      </c>
      <c r="C549" s="2" t="s">
        <v>2414</v>
      </c>
      <c r="D549" s="2" t="s">
        <v>2415</v>
      </c>
      <c r="E549" s="4" t="s">
        <v>21298</v>
      </c>
      <c r="G549" s="15" t="s">
        <v>21299</v>
      </c>
      <c r="H549" s="15" t="s">
        <v>21300</v>
      </c>
      <c r="I549" s="15" t="s">
        <v>21301</v>
      </c>
      <c r="J549" s="15" t="s">
        <v>20547</v>
      </c>
      <c r="K549" s="15">
        <v>11450</v>
      </c>
      <c r="L549" s="15" t="s">
        <v>19099</v>
      </c>
    </row>
    <row r="550" spans="1:12" x14ac:dyDescent="0.25">
      <c r="A550" s="2" t="s">
        <v>2417</v>
      </c>
      <c r="B550" s="8" t="s">
        <v>16059</v>
      </c>
      <c r="C550" s="2" t="s">
        <v>2417</v>
      </c>
      <c r="D550" s="2" t="s">
        <v>2418</v>
      </c>
      <c r="E550" s="4" t="s">
        <v>21302</v>
      </c>
      <c r="G550" s="15" t="s">
        <v>21303</v>
      </c>
      <c r="H550" s="15" t="s">
        <v>21304</v>
      </c>
      <c r="I550" s="15" t="s">
        <v>21305</v>
      </c>
      <c r="J550" s="15" t="s">
        <v>20915</v>
      </c>
      <c r="K550" s="15">
        <v>152426</v>
      </c>
      <c r="L550" s="15" t="s">
        <v>19099</v>
      </c>
    </row>
    <row r="551" spans="1:12" x14ac:dyDescent="0.25">
      <c r="A551" s="2" t="s">
        <v>2420</v>
      </c>
      <c r="B551" s="8" t="s">
        <v>16060</v>
      </c>
      <c r="C551" s="2" t="s">
        <v>2420</v>
      </c>
      <c r="D551" s="2" t="s">
        <v>2421</v>
      </c>
      <c r="E551" s="4" t="s">
        <v>21306</v>
      </c>
      <c r="G551" s="15" t="s">
        <v>21307</v>
      </c>
      <c r="H551" s="15" t="s">
        <v>21308</v>
      </c>
      <c r="I551" s="15" t="s">
        <v>21309</v>
      </c>
      <c r="J551" s="15" t="s">
        <v>21310</v>
      </c>
      <c r="K551" s="15">
        <v>41122</v>
      </c>
      <c r="L551" s="15" t="s">
        <v>19099</v>
      </c>
    </row>
    <row r="552" spans="1:12" x14ac:dyDescent="0.25">
      <c r="A552" s="2" t="s">
        <v>2423</v>
      </c>
      <c r="B552" s="8" t="s">
        <v>16061</v>
      </c>
      <c r="C552" s="2" t="s">
        <v>2423</v>
      </c>
      <c r="D552" s="2" t="s">
        <v>2424</v>
      </c>
      <c r="E552" s="4" t="s">
        <v>21311</v>
      </c>
      <c r="G552" s="15" t="s">
        <v>21312</v>
      </c>
      <c r="H552" s="15" t="s">
        <v>21313</v>
      </c>
      <c r="I552" s="15" t="s">
        <v>21314</v>
      </c>
      <c r="J552" s="15" t="s">
        <v>21315</v>
      </c>
      <c r="K552" s="15">
        <v>7577</v>
      </c>
      <c r="L552" s="15" t="s">
        <v>19099</v>
      </c>
    </row>
    <row r="553" spans="1:12" x14ac:dyDescent="0.25">
      <c r="A553" s="2" t="s">
        <v>2426</v>
      </c>
      <c r="B553" s="8" t="s">
        <v>16062</v>
      </c>
      <c r="C553" s="2" t="s">
        <v>2426</v>
      </c>
      <c r="D553" s="2" t="s">
        <v>2427</v>
      </c>
      <c r="E553" s="4" t="s">
        <v>21316</v>
      </c>
      <c r="G553" s="15" t="s">
        <v>21317</v>
      </c>
      <c r="H553" s="15" t="s">
        <v>21318</v>
      </c>
      <c r="I553" s="15" t="s">
        <v>21319</v>
      </c>
      <c r="J553" s="15" t="s">
        <v>21320</v>
      </c>
      <c r="K553" s="15">
        <v>7570</v>
      </c>
      <c r="L553" s="15" t="s">
        <v>19099</v>
      </c>
    </row>
    <row r="554" spans="1:12" x14ac:dyDescent="0.25">
      <c r="A554" s="2" t="s">
        <v>2429</v>
      </c>
      <c r="B554" s="8" t="s">
        <v>16063</v>
      </c>
      <c r="C554" s="2" t="s">
        <v>2429</v>
      </c>
      <c r="D554" s="2" t="s">
        <v>2430</v>
      </c>
      <c r="E554" s="4" t="s">
        <v>21321</v>
      </c>
      <c r="G554" s="15" t="s">
        <v>21322</v>
      </c>
      <c r="H554" s="15" t="s">
        <v>21323</v>
      </c>
      <c r="I554" s="15" t="s">
        <v>21324</v>
      </c>
      <c r="J554" s="15" t="s">
        <v>21325</v>
      </c>
      <c r="K554" s="15">
        <v>7543</v>
      </c>
      <c r="L554" s="15" t="s">
        <v>19099</v>
      </c>
    </row>
    <row r="555" spans="1:12" x14ac:dyDescent="0.25">
      <c r="A555" s="2" t="s">
        <v>2432</v>
      </c>
      <c r="B555" s="8" t="s">
        <v>16064</v>
      </c>
      <c r="C555" s="2" t="s">
        <v>2432</v>
      </c>
      <c r="D555" s="2" t="s">
        <v>2433</v>
      </c>
      <c r="E555" s="4" t="s">
        <v>21326</v>
      </c>
      <c r="G555" s="15" t="s">
        <v>21327</v>
      </c>
      <c r="H555" s="15" t="s">
        <v>21328</v>
      </c>
      <c r="I555" s="15" t="s">
        <v>21329</v>
      </c>
      <c r="J555" s="15" t="s">
        <v>21330</v>
      </c>
      <c r="K555" s="15">
        <v>7567</v>
      </c>
      <c r="L555" s="15" t="s">
        <v>19099</v>
      </c>
    </row>
    <row r="556" spans="1:12" x14ac:dyDescent="0.25">
      <c r="A556" s="2" t="s">
        <v>2435</v>
      </c>
      <c r="B556" s="8" t="s">
        <v>16065</v>
      </c>
      <c r="C556" s="2" t="s">
        <v>2435</v>
      </c>
      <c r="D556" s="2" t="s">
        <v>2436</v>
      </c>
      <c r="E556" s="4" t="s">
        <v>21331</v>
      </c>
      <c r="G556" s="15" t="s">
        <v>21332</v>
      </c>
      <c r="H556" s="15" t="s">
        <v>21333</v>
      </c>
      <c r="I556" s="15" t="s">
        <v>21334</v>
      </c>
      <c r="J556" s="15" t="s">
        <v>21335</v>
      </c>
      <c r="K556" s="15">
        <v>7579</v>
      </c>
      <c r="L556" s="15" t="s">
        <v>19099</v>
      </c>
    </row>
    <row r="557" spans="1:12" x14ac:dyDescent="0.25">
      <c r="A557" s="2" t="s">
        <v>2438</v>
      </c>
      <c r="B557" s="8" t="s">
        <v>16066</v>
      </c>
      <c r="C557" s="2" t="s">
        <v>2438</v>
      </c>
      <c r="D557" s="2" t="s">
        <v>2439</v>
      </c>
      <c r="E557" s="4" t="s">
        <v>21336</v>
      </c>
      <c r="G557" s="15" t="s">
        <v>21337</v>
      </c>
      <c r="H557" s="15" t="s">
        <v>21338</v>
      </c>
      <c r="I557" s="15" t="s">
        <v>21339</v>
      </c>
      <c r="J557" s="15" t="s">
        <v>21340</v>
      </c>
      <c r="K557" s="15">
        <v>7034</v>
      </c>
      <c r="L557" s="15" t="s">
        <v>19099</v>
      </c>
    </row>
    <row r="558" spans="1:12" x14ac:dyDescent="0.25">
      <c r="A558" s="2" t="s">
        <v>2441</v>
      </c>
      <c r="B558" s="8" t="s">
        <v>16067</v>
      </c>
      <c r="C558" s="2" t="s">
        <v>2441</v>
      </c>
      <c r="D558" s="2" t="s">
        <v>2442</v>
      </c>
      <c r="E558" s="4" t="s">
        <v>21341</v>
      </c>
      <c r="G558" s="15" t="s">
        <v>21342</v>
      </c>
      <c r="H558" s="15" t="s">
        <v>21343</v>
      </c>
      <c r="I558" s="15" t="s">
        <v>21344</v>
      </c>
      <c r="J558" s="15" t="s">
        <v>20269</v>
      </c>
      <c r="K558" s="15">
        <v>6294</v>
      </c>
      <c r="L558" s="15" t="s">
        <v>19099</v>
      </c>
    </row>
    <row r="559" spans="1:12" x14ac:dyDescent="0.25">
      <c r="A559" s="2" t="s">
        <v>2444</v>
      </c>
      <c r="B559" s="8" t="s">
        <v>16068</v>
      </c>
      <c r="C559" s="2" t="s">
        <v>2444</v>
      </c>
      <c r="D559" s="2" t="s">
        <v>2445</v>
      </c>
      <c r="E559" s="4" t="s">
        <v>21345</v>
      </c>
      <c r="G559" s="15" t="s">
        <v>21346</v>
      </c>
      <c r="H559" s="15" t="s">
        <v>21347</v>
      </c>
      <c r="I559" s="15" t="s">
        <v>21348</v>
      </c>
      <c r="J559" s="15" t="s">
        <v>20274</v>
      </c>
      <c r="K559" s="15">
        <v>3035</v>
      </c>
      <c r="L559" s="15" t="s">
        <v>19099</v>
      </c>
    </row>
    <row r="560" spans="1:12" x14ac:dyDescent="0.25">
      <c r="A560" s="2" t="s">
        <v>2447</v>
      </c>
      <c r="B560" s="8" t="s">
        <v>16069</v>
      </c>
      <c r="C560" s="2" t="s">
        <v>2447</v>
      </c>
      <c r="D560" s="2" t="s">
        <v>2448</v>
      </c>
      <c r="E560" s="4" t="s">
        <v>21349</v>
      </c>
      <c r="G560" s="15" t="s">
        <v>21350</v>
      </c>
      <c r="H560" s="15" t="s">
        <v>21351</v>
      </c>
      <c r="I560" s="15" t="s">
        <v>21352</v>
      </c>
      <c r="J560" s="15" t="s">
        <v>20279</v>
      </c>
      <c r="K560" s="15">
        <v>3036</v>
      </c>
      <c r="L560" s="15" t="s">
        <v>19099</v>
      </c>
    </row>
    <row r="561" spans="1:12" x14ac:dyDescent="0.25">
      <c r="A561" s="2" t="s">
        <v>2450</v>
      </c>
      <c r="B561" s="8" t="s">
        <v>16070</v>
      </c>
      <c r="C561" s="2" t="s">
        <v>2450</v>
      </c>
      <c r="D561" s="2" t="s">
        <v>2451</v>
      </c>
      <c r="E561" s="4" t="s">
        <v>21353</v>
      </c>
      <c r="G561" s="15" t="s">
        <v>21354</v>
      </c>
      <c r="H561" s="15" t="s">
        <v>21355</v>
      </c>
      <c r="I561" s="15" t="s">
        <v>21356</v>
      </c>
      <c r="J561" s="15" t="s">
        <v>21357</v>
      </c>
      <c r="K561" s="15">
        <v>6626</v>
      </c>
      <c r="L561" s="15" t="s">
        <v>19099</v>
      </c>
    </row>
    <row r="562" spans="1:12" x14ac:dyDescent="0.25">
      <c r="A562" s="2" t="s">
        <v>2453</v>
      </c>
      <c r="B562" s="8" t="s">
        <v>16071</v>
      </c>
      <c r="C562" s="2" t="s">
        <v>2453</v>
      </c>
      <c r="D562" s="2" t="s">
        <v>2454</v>
      </c>
      <c r="E562" s="4" t="s">
        <v>21358</v>
      </c>
      <c r="G562" s="15" t="s">
        <v>21359</v>
      </c>
      <c r="H562" s="15" t="s">
        <v>21360</v>
      </c>
      <c r="I562" s="15" t="s">
        <v>21361</v>
      </c>
      <c r="J562" s="15" t="s">
        <v>21362</v>
      </c>
      <c r="K562" s="15">
        <v>8765</v>
      </c>
      <c r="L562" s="15" t="s">
        <v>19099</v>
      </c>
    </row>
    <row r="563" spans="1:12" x14ac:dyDescent="0.25">
      <c r="A563" s="2" t="s">
        <v>2456</v>
      </c>
      <c r="B563" s="8" t="s">
        <v>16072</v>
      </c>
      <c r="C563" s="2" t="s">
        <v>2456</v>
      </c>
      <c r="D563" s="2" t="s">
        <v>2457</v>
      </c>
      <c r="E563" s="4" t="s">
        <v>21363</v>
      </c>
      <c r="G563" s="15" t="s">
        <v>21364</v>
      </c>
      <c r="H563" s="15" t="s">
        <v>21365</v>
      </c>
      <c r="I563" s="15" t="s">
        <v>21366</v>
      </c>
      <c r="J563" s="15" t="s">
        <v>21367</v>
      </c>
      <c r="K563" s="15">
        <v>91688</v>
      </c>
      <c r="L563" s="15" t="s">
        <v>19099</v>
      </c>
    </row>
    <row r="564" spans="1:12" x14ac:dyDescent="0.25">
      <c r="A564" s="2" t="s">
        <v>2459</v>
      </c>
      <c r="B564" s="8" t="s">
        <v>16073</v>
      </c>
      <c r="C564" s="2" t="s">
        <v>2459</v>
      </c>
      <c r="D564" s="2" t="s">
        <v>2460</v>
      </c>
      <c r="E564" s="4" t="s">
        <v>21368</v>
      </c>
      <c r="G564" s="15" t="s">
        <v>21368</v>
      </c>
      <c r="H564" s="15" t="s">
        <v>21369</v>
      </c>
      <c r="I564" s="15" t="s">
        <v>21370</v>
      </c>
      <c r="J564" s="15" t="s">
        <v>20249</v>
      </c>
      <c r="K564" s="15">
        <v>81149</v>
      </c>
      <c r="L564" s="15" t="s">
        <v>19099</v>
      </c>
    </row>
    <row r="565" spans="1:12" x14ac:dyDescent="0.25">
      <c r="A565" s="2" t="s">
        <v>2462</v>
      </c>
      <c r="B565" s="8" t="s">
        <v>16074</v>
      </c>
      <c r="C565" s="2" t="s">
        <v>2462</v>
      </c>
      <c r="D565" s="2" t="s">
        <v>2463</v>
      </c>
      <c r="E565" s="4" t="s">
        <v>21371</v>
      </c>
      <c r="G565" s="15" t="s">
        <v>21372</v>
      </c>
      <c r="H565" s="15" t="s">
        <v>21373</v>
      </c>
      <c r="I565" s="15" t="s">
        <v>21374</v>
      </c>
      <c r="J565" s="15" t="s">
        <v>21375</v>
      </c>
      <c r="K565" s="15">
        <v>14503</v>
      </c>
      <c r="L565" s="15" t="s">
        <v>19099</v>
      </c>
    </row>
    <row r="566" spans="1:12" x14ac:dyDescent="0.25">
      <c r="A566" s="2" t="s">
        <v>2465</v>
      </c>
      <c r="B566" s="8" t="s">
        <v>16075</v>
      </c>
      <c r="C566" s="2" t="s">
        <v>2465</v>
      </c>
      <c r="D566" s="2" t="s">
        <v>2466</v>
      </c>
      <c r="E566" s="4" t="s">
        <v>21376</v>
      </c>
      <c r="G566" s="15" t="s">
        <v>21377</v>
      </c>
      <c r="H566" s="15" t="s">
        <v>21378</v>
      </c>
      <c r="I566" s="15" t="s">
        <v>21379</v>
      </c>
      <c r="J566" s="15" t="s">
        <v>20404</v>
      </c>
      <c r="K566" s="15">
        <v>15292</v>
      </c>
      <c r="L566" s="15" t="s">
        <v>19099</v>
      </c>
    </row>
    <row r="567" spans="1:12" x14ac:dyDescent="0.25">
      <c r="A567" s="2" t="s">
        <v>2468</v>
      </c>
      <c r="B567" s="8" t="s">
        <v>16076</v>
      </c>
      <c r="C567" s="2" t="s">
        <v>2468</v>
      </c>
      <c r="D567" s="2" t="s">
        <v>2469</v>
      </c>
      <c r="E567" s="4" t="s">
        <v>21380</v>
      </c>
      <c r="G567" s="15" t="s">
        <v>21381</v>
      </c>
      <c r="H567" s="15" t="s">
        <v>21382</v>
      </c>
      <c r="I567" s="15" t="s">
        <v>21383</v>
      </c>
      <c r="J567" s="15" t="s">
        <v>20462</v>
      </c>
      <c r="K567" s="15">
        <v>29574</v>
      </c>
      <c r="L567" s="15" t="s">
        <v>19099</v>
      </c>
    </row>
    <row r="568" spans="1:12" x14ac:dyDescent="0.25">
      <c r="A568" s="2" t="s">
        <v>2471</v>
      </c>
      <c r="B568" s="8" t="s">
        <v>16077</v>
      </c>
      <c r="C568" s="2" t="s">
        <v>2471</v>
      </c>
      <c r="D568" s="2" t="s">
        <v>2472</v>
      </c>
      <c r="E568" s="4" t="s">
        <v>21384</v>
      </c>
      <c r="G568" s="15" t="s">
        <v>21385</v>
      </c>
      <c r="H568" s="15" t="s">
        <v>21386</v>
      </c>
      <c r="I568" s="15" t="s">
        <v>21387</v>
      </c>
      <c r="J568" s="15" t="s">
        <v>21388</v>
      </c>
      <c r="K568" s="15">
        <v>7102</v>
      </c>
      <c r="L568" s="15" t="s">
        <v>19099</v>
      </c>
    </row>
    <row r="569" spans="1:12" x14ac:dyDescent="0.25">
      <c r="A569" s="2" t="s">
        <v>2474</v>
      </c>
      <c r="B569" s="8" t="s">
        <v>16078</v>
      </c>
      <c r="C569" s="2" t="s">
        <v>2474</v>
      </c>
      <c r="D569" s="2" t="s">
        <v>2475</v>
      </c>
      <c r="E569" s="4" t="s">
        <v>21389</v>
      </c>
      <c r="G569" s="15" t="s">
        <v>21390</v>
      </c>
      <c r="H569" s="15" t="s">
        <v>21391</v>
      </c>
      <c r="I569" s="15" t="s">
        <v>21392</v>
      </c>
      <c r="J569" s="15" t="s">
        <v>21393</v>
      </c>
      <c r="K569" s="15">
        <v>2151</v>
      </c>
      <c r="L569" s="15" t="s">
        <v>19099</v>
      </c>
    </row>
    <row r="570" spans="1:12" x14ac:dyDescent="0.25">
      <c r="A570" s="2" t="s">
        <v>2477</v>
      </c>
      <c r="B570" s="8" t="s">
        <v>16079</v>
      </c>
      <c r="C570" s="2" t="s">
        <v>2477</v>
      </c>
      <c r="D570" s="2" t="s">
        <v>2478</v>
      </c>
      <c r="E570" s="4" t="s">
        <v>21394</v>
      </c>
      <c r="G570" s="15" t="s">
        <v>21395</v>
      </c>
      <c r="H570" s="15" t="s">
        <v>21396</v>
      </c>
      <c r="I570" s="15" t="s">
        <v>21397</v>
      </c>
      <c r="J570" s="15" t="s">
        <v>21398</v>
      </c>
      <c r="K570" s="15">
        <v>6051</v>
      </c>
      <c r="L570" s="15" t="s">
        <v>19099</v>
      </c>
    </row>
    <row r="571" spans="1:12" x14ac:dyDescent="0.25">
      <c r="A571" s="2" t="s">
        <v>2480</v>
      </c>
      <c r="B571" s="8" t="s">
        <v>16080</v>
      </c>
      <c r="C571" s="2" t="s">
        <v>2480</v>
      </c>
      <c r="D571" s="2" t="s">
        <v>2481</v>
      </c>
      <c r="E571" s="4" t="s">
        <v>21399</v>
      </c>
      <c r="G571" s="15" t="s">
        <v>21399</v>
      </c>
      <c r="H571" s="15" t="s">
        <v>21400</v>
      </c>
      <c r="I571" s="15" t="s">
        <v>21401</v>
      </c>
      <c r="J571" s="15" t="s">
        <v>21402</v>
      </c>
      <c r="K571" s="15">
        <v>7807</v>
      </c>
      <c r="L571" s="15" t="s">
        <v>19099</v>
      </c>
    </row>
    <row r="572" spans="1:12" x14ac:dyDescent="0.25">
      <c r="A572" s="2" t="s">
        <v>2483</v>
      </c>
      <c r="B572" s="8" t="s">
        <v>16081</v>
      </c>
      <c r="C572" s="2" t="s">
        <v>2483</v>
      </c>
      <c r="D572" s="2" t="s">
        <v>2484</v>
      </c>
      <c r="E572" s="4" t="s">
        <v>21403</v>
      </c>
      <c r="G572" s="15" t="s">
        <v>21404</v>
      </c>
      <c r="H572" s="15" t="s">
        <v>21405</v>
      </c>
      <c r="I572" s="15" t="s">
        <v>21406</v>
      </c>
      <c r="J572" s="15" t="s">
        <v>21407</v>
      </c>
      <c r="K572" s="15">
        <v>7565</v>
      </c>
      <c r="L572" s="15" t="s">
        <v>19099</v>
      </c>
    </row>
    <row r="573" spans="1:12" x14ac:dyDescent="0.25">
      <c r="A573" s="2" t="s">
        <v>2486</v>
      </c>
      <c r="B573" s="8" t="s">
        <v>16082</v>
      </c>
      <c r="C573" s="2" t="s">
        <v>2486</v>
      </c>
      <c r="D573" s="2" t="s">
        <v>2487</v>
      </c>
      <c r="E573" s="4" t="s">
        <v>2487</v>
      </c>
      <c r="G573" s="15" t="s">
        <v>2487</v>
      </c>
      <c r="H573" s="15" t="s">
        <v>21408</v>
      </c>
      <c r="I573" s="15" t="s">
        <v>21409</v>
      </c>
      <c r="J573" s="15" t="s">
        <v>21410</v>
      </c>
      <c r="K573" s="15">
        <v>66793</v>
      </c>
      <c r="L573" s="15" t="s">
        <v>19099</v>
      </c>
    </row>
    <row r="574" spans="1:12" x14ac:dyDescent="0.25">
      <c r="A574" s="2" t="s">
        <v>2489</v>
      </c>
      <c r="B574" s="8" t="s">
        <v>16083</v>
      </c>
      <c r="C574" s="2" t="s">
        <v>2489</v>
      </c>
      <c r="D574" s="2" t="s">
        <v>2490</v>
      </c>
      <c r="E574" s="4" t="s">
        <v>2490</v>
      </c>
      <c r="G574" s="15" t="s">
        <v>2490</v>
      </c>
      <c r="H574" s="15" t="s">
        <v>21411</v>
      </c>
      <c r="I574" s="15" t="s">
        <v>21412</v>
      </c>
      <c r="J574" s="15" t="s">
        <v>21413</v>
      </c>
      <c r="K574" s="15">
        <v>31244</v>
      </c>
      <c r="L574" s="15" t="s">
        <v>19099</v>
      </c>
    </row>
    <row r="575" spans="1:12" x14ac:dyDescent="0.25">
      <c r="A575" s="2" t="s">
        <v>2492</v>
      </c>
      <c r="B575" s="8" t="s">
        <v>16084</v>
      </c>
      <c r="C575" s="2" t="s">
        <v>2492</v>
      </c>
      <c r="D575" s="2" t="s">
        <v>2493</v>
      </c>
      <c r="E575" s="4" t="s">
        <v>21414</v>
      </c>
      <c r="G575" s="15" t="s">
        <v>21415</v>
      </c>
      <c r="H575" s="15" t="s">
        <v>21416</v>
      </c>
      <c r="I575" s="15" t="s">
        <v>21417</v>
      </c>
      <c r="J575" s="15" t="s">
        <v>21418</v>
      </c>
      <c r="K575" s="15">
        <v>12724</v>
      </c>
      <c r="L575" s="15" t="s">
        <v>19099</v>
      </c>
    </row>
    <row r="576" spans="1:12" x14ac:dyDescent="0.25">
      <c r="A576" s="2" t="s">
        <v>2495</v>
      </c>
      <c r="B576" s="8" t="s">
        <v>16085</v>
      </c>
      <c r="C576" s="2" t="s">
        <v>2495</v>
      </c>
      <c r="D576" s="2" t="s">
        <v>2496</v>
      </c>
      <c r="E576" s="4" t="s">
        <v>21419</v>
      </c>
      <c r="G576" s="15" t="s">
        <v>21420</v>
      </c>
      <c r="H576" s="15" t="s">
        <v>21421</v>
      </c>
      <c r="I576" s="15" t="s">
        <v>21422</v>
      </c>
      <c r="J576" s="15" t="s">
        <v>20564</v>
      </c>
      <c r="K576" s="15">
        <v>122499</v>
      </c>
      <c r="L576" s="15" t="s">
        <v>19099</v>
      </c>
    </row>
    <row r="577" spans="1:12" x14ac:dyDescent="0.25">
      <c r="A577" s="2" t="s">
        <v>2498</v>
      </c>
      <c r="B577" s="8" t="s">
        <v>16086</v>
      </c>
      <c r="C577" s="2" t="s">
        <v>2498</v>
      </c>
      <c r="D577" s="2" t="s">
        <v>2499</v>
      </c>
      <c r="E577" s="4" t="s">
        <v>2499</v>
      </c>
      <c r="G577" s="15" t="s">
        <v>21423</v>
      </c>
      <c r="H577" s="15" t="s">
        <v>21424</v>
      </c>
      <c r="I577" s="15" t="s">
        <v>21425</v>
      </c>
      <c r="J577" s="15" t="s">
        <v>19088</v>
      </c>
      <c r="K577" s="15">
        <v>7910</v>
      </c>
      <c r="L577" s="15" t="s">
        <v>19099</v>
      </c>
    </row>
    <row r="578" spans="1:12" x14ac:dyDescent="0.25">
      <c r="A578" s="2" t="s">
        <v>2501</v>
      </c>
      <c r="B578" s="8" t="s">
        <v>16087</v>
      </c>
      <c r="C578" s="2" t="s">
        <v>2501</v>
      </c>
      <c r="D578" s="2" t="s">
        <v>2502</v>
      </c>
      <c r="E578" s="4" t="s">
        <v>21426</v>
      </c>
      <c r="G578" s="15" t="s">
        <v>21427</v>
      </c>
      <c r="H578" s="15" t="s">
        <v>21428</v>
      </c>
      <c r="I578" s="15" t="s">
        <v>21429</v>
      </c>
      <c r="J578" s="15" t="s">
        <v>20737</v>
      </c>
      <c r="K578" s="15">
        <v>7909</v>
      </c>
      <c r="L578" s="15" t="s">
        <v>19099</v>
      </c>
    </row>
    <row r="579" spans="1:12" x14ac:dyDescent="0.25">
      <c r="A579" s="2" t="s">
        <v>2504</v>
      </c>
      <c r="B579" s="8" t="s">
        <v>16088</v>
      </c>
      <c r="C579" s="2" t="s">
        <v>2504</v>
      </c>
      <c r="D579" s="2" t="s">
        <v>2505</v>
      </c>
      <c r="E579" s="4" t="s">
        <v>2505</v>
      </c>
      <c r="G579" s="15" t="s">
        <v>2505</v>
      </c>
      <c r="H579" s="15" t="s">
        <v>21430</v>
      </c>
      <c r="I579" s="15" t="s">
        <v>21431</v>
      </c>
      <c r="J579" s="15" t="s">
        <v>20471</v>
      </c>
      <c r="K579" s="15">
        <v>6978</v>
      </c>
      <c r="L579" s="15" t="s">
        <v>19099</v>
      </c>
    </row>
    <row r="580" spans="1:12" x14ac:dyDescent="0.25">
      <c r="A580" s="2" t="s">
        <v>2507</v>
      </c>
      <c r="B580" s="8" t="s">
        <v>16089</v>
      </c>
      <c r="C580" s="2" t="s">
        <v>2507</v>
      </c>
      <c r="D580" s="2" t="s">
        <v>2508</v>
      </c>
      <c r="E580" s="4" t="s">
        <v>2508</v>
      </c>
      <c r="G580" s="15" t="s">
        <v>2508</v>
      </c>
      <c r="H580" s="15" t="s">
        <v>21432</v>
      </c>
      <c r="I580" s="15" t="s">
        <v>21433</v>
      </c>
      <c r="J580" s="15" t="s">
        <v>20471</v>
      </c>
      <c r="K580" s="15">
        <v>8390</v>
      </c>
      <c r="L580" s="15" t="s">
        <v>19099</v>
      </c>
    </row>
    <row r="581" spans="1:12" x14ac:dyDescent="0.25">
      <c r="A581" s="2" t="s">
        <v>2510</v>
      </c>
      <c r="B581" s="8" t="s">
        <v>16090</v>
      </c>
      <c r="C581" s="2" t="s">
        <v>2510</v>
      </c>
      <c r="D581" s="2" t="s">
        <v>2511</v>
      </c>
      <c r="E581" s="4" t="s">
        <v>2511</v>
      </c>
      <c r="G581" s="15" t="s">
        <v>21434</v>
      </c>
      <c r="H581" s="15" t="s">
        <v>21435</v>
      </c>
      <c r="I581" s="15" t="s">
        <v>21436</v>
      </c>
      <c r="J581" s="15" t="s">
        <v>20568</v>
      </c>
      <c r="K581" s="15">
        <v>526661</v>
      </c>
      <c r="L581" s="15" t="s">
        <v>19099</v>
      </c>
    </row>
    <row r="582" spans="1:12" x14ac:dyDescent="0.25">
      <c r="A582" s="2" t="s">
        <v>2513</v>
      </c>
      <c r="B582" s="8" t="s">
        <v>16091</v>
      </c>
      <c r="C582" s="2" t="s">
        <v>2513</v>
      </c>
      <c r="D582" s="2" t="s">
        <v>2514</v>
      </c>
      <c r="E582" s="4" t="s">
        <v>2514</v>
      </c>
      <c r="G582" s="15" t="s">
        <v>2514</v>
      </c>
      <c r="H582" s="15" t="s">
        <v>21437</v>
      </c>
      <c r="I582" s="15" t="s">
        <v>21438</v>
      </c>
      <c r="J582" s="15" t="s">
        <v>20058</v>
      </c>
      <c r="K582" s="15">
        <v>7813</v>
      </c>
      <c r="L582" s="15" t="s">
        <v>19099</v>
      </c>
    </row>
    <row r="583" spans="1:12" x14ac:dyDescent="0.25">
      <c r="A583" s="2" t="s">
        <v>2516</v>
      </c>
      <c r="B583" s="8" t="s">
        <v>16092</v>
      </c>
      <c r="C583" s="2" t="s">
        <v>2516</v>
      </c>
      <c r="D583" s="2" t="s">
        <v>2517</v>
      </c>
      <c r="E583" s="4" t="s">
        <v>21439</v>
      </c>
      <c r="G583" s="15" t="s">
        <v>21440</v>
      </c>
      <c r="H583" s="15" t="s">
        <v>21441</v>
      </c>
      <c r="I583" s="15" t="s">
        <v>21442</v>
      </c>
      <c r="J583" s="15" t="s">
        <v>21443</v>
      </c>
      <c r="K583" s="15">
        <v>19591</v>
      </c>
      <c r="L583" s="15" t="s">
        <v>19099</v>
      </c>
    </row>
    <row r="584" spans="1:12" x14ac:dyDescent="0.25">
      <c r="A584" s="2" t="s">
        <v>2519</v>
      </c>
      <c r="B584" s="8" t="s">
        <v>16093</v>
      </c>
      <c r="C584" s="2" t="s">
        <v>2519</v>
      </c>
      <c r="D584" s="2" t="s">
        <v>2520</v>
      </c>
      <c r="E584" s="4" t="s">
        <v>21444</v>
      </c>
      <c r="G584" s="15" t="s">
        <v>21445</v>
      </c>
      <c r="H584" s="15" t="s">
        <v>21446</v>
      </c>
      <c r="I584" s="15" t="s">
        <v>21447</v>
      </c>
      <c r="J584" s="15" t="s">
        <v>20609</v>
      </c>
      <c r="K584" s="15">
        <v>85282</v>
      </c>
      <c r="L584" s="15" t="s">
        <v>19099</v>
      </c>
    </row>
    <row r="585" spans="1:12" x14ac:dyDescent="0.25">
      <c r="A585" s="2" t="s">
        <v>2522</v>
      </c>
      <c r="B585" s="8" t="s">
        <v>16094</v>
      </c>
      <c r="C585" s="2" t="s">
        <v>2522</v>
      </c>
      <c r="D585" s="2" t="s">
        <v>2523</v>
      </c>
      <c r="E585" s="4" t="s">
        <v>2523</v>
      </c>
      <c r="G585" s="15" t="s">
        <v>2523</v>
      </c>
      <c r="H585" s="15" t="s">
        <v>21448</v>
      </c>
      <c r="I585" s="15" t="s">
        <v>21449</v>
      </c>
      <c r="J585" s="15" t="s">
        <v>19644</v>
      </c>
      <c r="K585" s="15">
        <v>10285</v>
      </c>
      <c r="L585" s="15" t="s">
        <v>19099</v>
      </c>
    </row>
    <row r="586" spans="1:12" x14ac:dyDescent="0.25">
      <c r="A586" s="2" t="s">
        <v>2525</v>
      </c>
      <c r="B586" s="8" t="s">
        <v>16095</v>
      </c>
      <c r="C586" s="2" t="s">
        <v>2525</v>
      </c>
      <c r="D586" s="2" t="s">
        <v>2526</v>
      </c>
      <c r="E586" s="4" t="s">
        <v>21450</v>
      </c>
      <c r="G586" s="15" t="s">
        <v>21451</v>
      </c>
      <c r="H586" s="15" t="s">
        <v>21452</v>
      </c>
      <c r="I586" s="15" t="s">
        <v>21453</v>
      </c>
      <c r="J586" s="15" t="s">
        <v>21182</v>
      </c>
      <c r="K586" s="15">
        <v>12587</v>
      </c>
      <c r="L586" s="15" t="s">
        <v>19099</v>
      </c>
    </row>
    <row r="587" spans="1:12" x14ac:dyDescent="0.25">
      <c r="A587" s="2" t="s">
        <v>2528</v>
      </c>
      <c r="B587" s="8" t="s">
        <v>16096</v>
      </c>
      <c r="C587" s="2" t="s">
        <v>2528</v>
      </c>
      <c r="D587" s="2" t="s">
        <v>2529</v>
      </c>
      <c r="E587" s="4" t="s">
        <v>2529</v>
      </c>
      <c r="G587" s="15" t="s">
        <v>21454</v>
      </c>
      <c r="H587" s="15" t="s">
        <v>21455</v>
      </c>
      <c r="I587" s="15" t="s">
        <v>21456</v>
      </c>
      <c r="J587" s="15" t="s">
        <v>19614</v>
      </c>
      <c r="K587" s="15">
        <v>93012</v>
      </c>
      <c r="L587" s="15" t="s">
        <v>19099</v>
      </c>
    </row>
    <row r="588" spans="1:12" x14ac:dyDescent="0.25">
      <c r="A588" s="2" t="s">
        <v>2531</v>
      </c>
      <c r="B588" s="8" t="s">
        <v>16097</v>
      </c>
      <c r="C588" s="2" t="s">
        <v>2531</v>
      </c>
      <c r="D588" s="2" t="s">
        <v>2532</v>
      </c>
      <c r="E588" s="4" t="s">
        <v>21457</v>
      </c>
      <c r="G588" s="15" t="s">
        <v>21457</v>
      </c>
      <c r="H588" s="15" t="s">
        <v>21458</v>
      </c>
      <c r="I588" s="15" t="s">
        <v>21459</v>
      </c>
      <c r="J588" s="15" t="s">
        <v>20547</v>
      </c>
      <c r="K588" s="15">
        <v>13374048</v>
      </c>
      <c r="L588" s="15" t="s">
        <v>19099</v>
      </c>
    </row>
    <row r="589" spans="1:12" x14ac:dyDescent="0.25">
      <c r="A589" s="2" t="s">
        <v>2534</v>
      </c>
      <c r="B589" s="8" t="s">
        <v>16098</v>
      </c>
      <c r="C589" s="2" t="s">
        <v>2534</v>
      </c>
      <c r="D589" s="2" t="s">
        <v>2535</v>
      </c>
      <c r="E589" s="4" t="s">
        <v>21460</v>
      </c>
      <c r="G589" s="15" t="s">
        <v>21460</v>
      </c>
      <c r="H589" s="15" t="s">
        <v>21461</v>
      </c>
      <c r="I589" s="15" t="s">
        <v>21462</v>
      </c>
      <c r="J589" s="15" t="s">
        <v>20547</v>
      </c>
      <c r="K589" s="15">
        <v>54361374</v>
      </c>
      <c r="L589" s="15" t="s">
        <v>19099</v>
      </c>
    </row>
    <row r="590" spans="1:12" x14ac:dyDescent="0.25">
      <c r="A590" s="2" t="s">
        <v>2537</v>
      </c>
      <c r="B590" s="8" t="s">
        <v>16099</v>
      </c>
      <c r="C590" s="2" t="s">
        <v>2537</v>
      </c>
      <c r="D590" s="2" t="s">
        <v>2538</v>
      </c>
      <c r="E590" s="4" t="s">
        <v>21463</v>
      </c>
      <c r="G590" s="15" t="s">
        <v>21464</v>
      </c>
      <c r="H590" s="15" t="s">
        <v>21465</v>
      </c>
      <c r="I590" s="15" t="s">
        <v>21466</v>
      </c>
      <c r="J590" s="15" t="s">
        <v>21467</v>
      </c>
      <c r="K590" s="15">
        <v>60971</v>
      </c>
      <c r="L590" s="15" t="s">
        <v>19099</v>
      </c>
    </row>
    <row r="591" spans="1:12" x14ac:dyDescent="0.25">
      <c r="A591" s="2" t="s">
        <v>2540</v>
      </c>
      <c r="B591" s="8" t="s">
        <v>16100</v>
      </c>
      <c r="C591" s="2" t="s">
        <v>2540</v>
      </c>
      <c r="D591" s="2" t="s">
        <v>2541</v>
      </c>
      <c r="E591" s="4" t="s">
        <v>21468</v>
      </c>
      <c r="G591" s="15" t="s">
        <v>21468</v>
      </c>
      <c r="H591" s="15" t="s">
        <v>21469</v>
      </c>
      <c r="I591" s="15" t="s">
        <v>21470</v>
      </c>
      <c r="J591" s="15" t="s">
        <v>19828</v>
      </c>
      <c r="K591" s="15">
        <v>31242</v>
      </c>
      <c r="L591" s="15" t="s">
        <v>19099</v>
      </c>
    </row>
    <row r="592" spans="1:12" x14ac:dyDescent="0.25">
      <c r="A592" s="2" t="s">
        <v>2543</v>
      </c>
      <c r="B592" s="8" t="s">
        <v>16101</v>
      </c>
      <c r="C592" s="2" t="s">
        <v>2543</v>
      </c>
      <c r="D592" s="2" t="s">
        <v>2544</v>
      </c>
      <c r="E592" s="4" t="s">
        <v>21471</v>
      </c>
      <c r="G592" s="15" t="s">
        <v>21472</v>
      </c>
      <c r="H592" s="15" t="s">
        <v>21473</v>
      </c>
      <c r="I592" s="15" t="s">
        <v>21474</v>
      </c>
      <c r="J592" s="15" t="s">
        <v>19245</v>
      </c>
      <c r="K592" s="15">
        <v>12160</v>
      </c>
      <c r="L592" s="15" t="s">
        <v>19099</v>
      </c>
    </row>
    <row r="593" spans="1:12" x14ac:dyDescent="0.25">
      <c r="A593" s="2" t="s">
        <v>2546</v>
      </c>
      <c r="B593" s="8" t="s">
        <v>16102</v>
      </c>
      <c r="C593" s="2" t="s">
        <v>2546</v>
      </c>
      <c r="D593" s="2" t="s">
        <v>2547</v>
      </c>
      <c r="E593" s="4" t="s">
        <v>21475</v>
      </c>
      <c r="G593" s="15" t="s">
        <v>21475</v>
      </c>
      <c r="H593" s="15" t="s">
        <v>21476</v>
      </c>
      <c r="I593" s="15" t="s">
        <v>21477</v>
      </c>
      <c r="J593" s="15" t="s">
        <v>20724</v>
      </c>
      <c r="K593" s="15">
        <v>41562</v>
      </c>
      <c r="L593" s="15" t="s">
        <v>19099</v>
      </c>
    </row>
    <row r="594" spans="1:12" x14ac:dyDescent="0.25">
      <c r="A594" s="2" t="s">
        <v>2549</v>
      </c>
      <c r="B594" s="8" t="s">
        <v>16103</v>
      </c>
      <c r="C594" s="2" t="s">
        <v>2549</v>
      </c>
      <c r="D594" s="2" t="s">
        <v>2550</v>
      </c>
      <c r="E594" s="4" t="s">
        <v>21478</v>
      </c>
      <c r="G594" s="15" t="s">
        <v>21478</v>
      </c>
      <c r="H594" s="15" t="s">
        <v>21479</v>
      </c>
      <c r="I594" s="15" t="s">
        <v>21480</v>
      </c>
      <c r="J594" s="15" t="s">
        <v>19535</v>
      </c>
      <c r="K594" s="15">
        <v>31233</v>
      </c>
      <c r="L594" s="15" t="s">
        <v>19099</v>
      </c>
    </row>
    <row r="595" spans="1:12" x14ac:dyDescent="0.25">
      <c r="A595" s="2" t="s">
        <v>2552</v>
      </c>
      <c r="B595" s="8" t="s">
        <v>16104</v>
      </c>
      <c r="C595" s="2" t="s">
        <v>2552</v>
      </c>
      <c r="D595" s="2" t="s">
        <v>2553</v>
      </c>
      <c r="E595" s="4" t="s">
        <v>21481</v>
      </c>
      <c r="G595" s="15" t="s">
        <v>21482</v>
      </c>
      <c r="H595" s="15" t="s">
        <v>21483</v>
      </c>
      <c r="I595" s="15" t="s">
        <v>21484</v>
      </c>
      <c r="J595" s="15" t="s">
        <v>20308</v>
      </c>
      <c r="K595" s="15">
        <v>15730</v>
      </c>
      <c r="L595" s="15" t="s">
        <v>19099</v>
      </c>
    </row>
    <row r="596" spans="1:12" x14ac:dyDescent="0.25">
      <c r="A596" s="2" t="s">
        <v>2555</v>
      </c>
      <c r="B596" s="8" t="s">
        <v>16105</v>
      </c>
      <c r="C596" s="2" t="s">
        <v>2555</v>
      </c>
      <c r="D596" s="2" t="s">
        <v>2556</v>
      </c>
      <c r="E596" s="4" t="s">
        <v>21485</v>
      </c>
      <c r="G596" s="15" t="s">
        <v>21486</v>
      </c>
      <c r="H596" s="15" t="s">
        <v>21487</v>
      </c>
      <c r="I596" s="15" t="s">
        <v>21488</v>
      </c>
      <c r="J596" s="15" t="s">
        <v>21489</v>
      </c>
      <c r="K596" s="15">
        <v>7569</v>
      </c>
      <c r="L596" s="15" t="s">
        <v>19099</v>
      </c>
    </row>
    <row r="597" spans="1:12" x14ac:dyDescent="0.25">
      <c r="A597" s="2" t="s">
        <v>2558</v>
      </c>
      <c r="B597" s="8" t="s">
        <v>16106</v>
      </c>
      <c r="C597" s="2" t="s">
        <v>2558</v>
      </c>
      <c r="D597" s="2" t="s">
        <v>2559</v>
      </c>
      <c r="E597" s="4" t="s">
        <v>21490</v>
      </c>
      <c r="G597" s="15" t="s">
        <v>21490</v>
      </c>
      <c r="H597" s="15" t="s">
        <v>21491</v>
      </c>
      <c r="I597" s="15" t="s">
        <v>21492</v>
      </c>
      <c r="J597" s="15" t="s">
        <v>21493</v>
      </c>
      <c r="K597" s="15">
        <v>1752</v>
      </c>
      <c r="L597" s="15" t="s">
        <v>19099</v>
      </c>
    </row>
    <row r="598" spans="1:12" x14ac:dyDescent="0.25">
      <c r="A598" s="2" t="s">
        <v>2561</v>
      </c>
      <c r="B598" s="8" t="s">
        <v>16107</v>
      </c>
      <c r="C598" s="2" t="s">
        <v>2561</v>
      </c>
      <c r="D598" s="2" t="s">
        <v>2562</v>
      </c>
      <c r="E598" s="4" t="s">
        <v>21494</v>
      </c>
      <c r="G598" s="15" t="s">
        <v>21495</v>
      </c>
      <c r="H598" s="15" t="s">
        <v>21496</v>
      </c>
      <c r="I598" s="15" t="s">
        <v>21497</v>
      </c>
      <c r="J598" s="15" t="s">
        <v>21498</v>
      </c>
      <c r="K598" s="15">
        <v>26229</v>
      </c>
      <c r="L598" s="15" t="s">
        <v>19099</v>
      </c>
    </row>
    <row r="599" spans="1:12" x14ac:dyDescent="0.25">
      <c r="A599" s="2" t="s">
        <v>2564</v>
      </c>
      <c r="B599" s="8" t="s">
        <v>16108</v>
      </c>
      <c r="C599" s="2" t="s">
        <v>2564</v>
      </c>
      <c r="D599" s="2" t="s">
        <v>2565</v>
      </c>
      <c r="E599" s="4" t="s">
        <v>21499</v>
      </c>
      <c r="G599" s="15" t="s">
        <v>21499</v>
      </c>
      <c r="H599" s="15" t="s">
        <v>21500</v>
      </c>
      <c r="I599" s="15" t="s">
        <v>21501</v>
      </c>
      <c r="J599" s="15" t="s">
        <v>21502</v>
      </c>
      <c r="K599" s="15">
        <v>21484</v>
      </c>
      <c r="L599" s="15" t="s">
        <v>19099</v>
      </c>
    </row>
    <row r="600" spans="1:12" x14ac:dyDescent="0.25">
      <c r="A600" s="2" t="s">
        <v>2567</v>
      </c>
      <c r="B600" s="8" t="s">
        <v>16109</v>
      </c>
      <c r="C600" s="2" t="s">
        <v>2567</v>
      </c>
      <c r="D600" s="2" t="s">
        <v>2568</v>
      </c>
      <c r="E600" s="4" t="s">
        <v>21503</v>
      </c>
      <c r="G600" s="15" t="s">
        <v>21504</v>
      </c>
      <c r="H600" s="15" t="s">
        <v>21505</v>
      </c>
      <c r="I600" s="15" t="s">
        <v>21506</v>
      </c>
      <c r="J600" s="15" t="s">
        <v>20763</v>
      </c>
      <c r="K600" s="15">
        <v>7251</v>
      </c>
      <c r="L600" s="15" t="s">
        <v>19099</v>
      </c>
    </row>
    <row r="601" spans="1:12" x14ac:dyDescent="0.25">
      <c r="A601" s="2" t="s">
        <v>2570</v>
      </c>
      <c r="B601" s="8" t="s">
        <v>16110</v>
      </c>
      <c r="C601" s="2" t="s">
        <v>2570</v>
      </c>
      <c r="D601" s="2" t="s">
        <v>2571</v>
      </c>
      <c r="E601" s="4" t="s">
        <v>21507</v>
      </c>
      <c r="G601" s="15" t="s">
        <v>21507</v>
      </c>
      <c r="H601" s="15" t="s">
        <v>21508</v>
      </c>
      <c r="I601" s="15" t="s">
        <v>21509</v>
      </c>
      <c r="J601" s="15" t="s">
        <v>20779</v>
      </c>
      <c r="K601" s="15">
        <v>14855</v>
      </c>
      <c r="L601" s="15" t="s">
        <v>19099</v>
      </c>
    </row>
    <row r="602" spans="1:12" x14ac:dyDescent="0.25">
      <c r="A602" s="2" t="s">
        <v>2573</v>
      </c>
      <c r="B602" s="8" t="s">
        <v>16111</v>
      </c>
      <c r="C602" s="2" t="s">
        <v>2573</v>
      </c>
      <c r="D602" s="2" t="s">
        <v>2574</v>
      </c>
      <c r="E602" s="4" t="s">
        <v>21510</v>
      </c>
      <c r="G602" s="15" t="s">
        <v>21510</v>
      </c>
      <c r="H602" s="15" t="s">
        <v>21511</v>
      </c>
      <c r="I602" s="15" t="s">
        <v>21512</v>
      </c>
      <c r="J602" s="15" t="s">
        <v>20767</v>
      </c>
      <c r="K602" s="15">
        <v>6979</v>
      </c>
      <c r="L602" s="15" t="s">
        <v>19099</v>
      </c>
    </row>
    <row r="603" spans="1:12" x14ac:dyDescent="0.25">
      <c r="A603" s="2" t="s">
        <v>2576</v>
      </c>
      <c r="B603" s="8" t="s">
        <v>16112</v>
      </c>
      <c r="C603" s="2" t="s">
        <v>2576</v>
      </c>
      <c r="D603" s="2" t="s">
        <v>2577</v>
      </c>
      <c r="E603" s="4" t="s">
        <v>21513</v>
      </c>
      <c r="G603" s="15" t="s">
        <v>21514</v>
      </c>
      <c r="H603" s="15" t="s">
        <v>21515</v>
      </c>
      <c r="I603" s="15" t="s">
        <v>21516</v>
      </c>
      <c r="J603" s="15" t="s">
        <v>20772</v>
      </c>
      <c r="K603" s="15">
        <v>6975</v>
      </c>
      <c r="L603" s="15" t="s">
        <v>19099</v>
      </c>
    </row>
    <row r="604" spans="1:12" x14ac:dyDescent="0.25">
      <c r="A604" s="2" t="s">
        <v>2579</v>
      </c>
      <c r="B604" s="8" t="s">
        <v>16113</v>
      </c>
      <c r="C604" s="2" t="s">
        <v>2579</v>
      </c>
      <c r="D604" s="2" t="s">
        <v>2580</v>
      </c>
      <c r="E604" s="4" t="s">
        <v>21517</v>
      </c>
      <c r="G604" s="15" t="s">
        <v>21518</v>
      </c>
      <c r="H604" s="15" t="s">
        <v>21519</v>
      </c>
      <c r="I604" s="15" t="s">
        <v>21520</v>
      </c>
      <c r="J604" s="15" t="s">
        <v>21521</v>
      </c>
      <c r="K604" s="15">
        <v>66631</v>
      </c>
      <c r="L604" s="15" t="s">
        <v>19099</v>
      </c>
    </row>
    <row r="605" spans="1:12" x14ac:dyDescent="0.25">
      <c r="A605" s="2" t="s">
        <v>2582</v>
      </c>
      <c r="B605" s="8" t="s">
        <v>16114</v>
      </c>
      <c r="C605" s="2" t="s">
        <v>2582</v>
      </c>
      <c r="D605" s="2" t="s">
        <v>2583</v>
      </c>
      <c r="E605" s="4" t="s">
        <v>21522</v>
      </c>
      <c r="G605" s="15" t="s">
        <v>21522</v>
      </c>
      <c r="H605" s="15" t="s">
        <v>21523</v>
      </c>
      <c r="I605" s="15" t="s">
        <v>21524</v>
      </c>
      <c r="J605" s="15" t="s">
        <v>20763</v>
      </c>
      <c r="K605" s="15">
        <v>23536</v>
      </c>
      <c r="L605" s="15" t="s">
        <v>19099</v>
      </c>
    </row>
    <row r="606" spans="1:12" x14ac:dyDescent="0.25">
      <c r="A606" s="2" t="s">
        <v>2585</v>
      </c>
      <c r="B606" s="8" t="s">
        <v>16115</v>
      </c>
      <c r="C606" s="2" t="s">
        <v>2585</v>
      </c>
      <c r="D606" s="2" t="s">
        <v>2586</v>
      </c>
      <c r="E606" s="4" t="s">
        <v>21525</v>
      </c>
      <c r="G606" s="15" t="s">
        <v>21525</v>
      </c>
      <c r="H606" s="15" t="s">
        <v>21526</v>
      </c>
      <c r="I606" s="15" t="s">
        <v>21527</v>
      </c>
      <c r="J606" s="15" t="s">
        <v>20779</v>
      </c>
      <c r="K606" s="15">
        <v>1732</v>
      </c>
      <c r="L606" s="15" t="s">
        <v>19099</v>
      </c>
    </row>
    <row r="607" spans="1:12" x14ac:dyDescent="0.25">
      <c r="A607" s="2" t="s">
        <v>2588</v>
      </c>
      <c r="B607" s="8" t="s">
        <v>16116</v>
      </c>
      <c r="C607" s="2" t="s">
        <v>2588</v>
      </c>
      <c r="D607" s="2" t="s">
        <v>2589</v>
      </c>
      <c r="E607" s="4" t="s">
        <v>21528</v>
      </c>
      <c r="G607" s="15" t="s">
        <v>21528</v>
      </c>
      <c r="H607" s="15" t="s">
        <v>21529</v>
      </c>
      <c r="I607" s="15" t="s">
        <v>21530</v>
      </c>
      <c r="J607" s="15" t="s">
        <v>20767</v>
      </c>
      <c r="K607" s="15">
        <v>12477</v>
      </c>
      <c r="L607" s="15" t="s">
        <v>19099</v>
      </c>
    </row>
    <row r="608" spans="1:12" x14ac:dyDescent="0.25">
      <c r="A608" s="2" t="s">
        <v>2591</v>
      </c>
      <c r="B608" s="8" t="s">
        <v>16117</v>
      </c>
      <c r="C608" s="2" t="s">
        <v>2591</v>
      </c>
      <c r="D608" s="2" t="s">
        <v>2592</v>
      </c>
      <c r="E608" s="4" t="s">
        <v>21531</v>
      </c>
      <c r="G608" s="15" t="s">
        <v>21532</v>
      </c>
      <c r="H608" s="15" t="s">
        <v>21533</v>
      </c>
      <c r="I608" s="15" t="s">
        <v>21534</v>
      </c>
      <c r="J608" s="15" t="s">
        <v>20772</v>
      </c>
      <c r="K608" s="15">
        <v>6976</v>
      </c>
      <c r="L608" s="15" t="s">
        <v>19099</v>
      </c>
    </row>
    <row r="609" spans="1:12" x14ac:dyDescent="0.25">
      <c r="A609" s="2" t="s">
        <v>2594</v>
      </c>
      <c r="B609" s="8" t="s">
        <v>16118</v>
      </c>
      <c r="C609" s="2" t="s">
        <v>2594</v>
      </c>
      <c r="D609" s="2" t="s">
        <v>2595</v>
      </c>
      <c r="E609" s="4" t="s">
        <v>21535</v>
      </c>
      <c r="G609" s="15" t="s">
        <v>21535</v>
      </c>
      <c r="H609" s="15" t="s">
        <v>21536</v>
      </c>
      <c r="I609" s="15" t="s">
        <v>21537</v>
      </c>
      <c r="J609" s="15" t="s">
        <v>20811</v>
      </c>
      <c r="K609" s="15">
        <v>7812</v>
      </c>
      <c r="L609" s="15" t="s">
        <v>19099</v>
      </c>
    </row>
    <row r="610" spans="1:12" x14ac:dyDescent="0.25">
      <c r="A610" s="2" t="s">
        <v>2597</v>
      </c>
      <c r="B610" s="8" t="s">
        <v>16119</v>
      </c>
      <c r="C610" s="2" t="s">
        <v>2597</v>
      </c>
      <c r="D610" s="2" t="s">
        <v>2598</v>
      </c>
      <c r="E610" s="4" t="s">
        <v>21538</v>
      </c>
      <c r="G610" s="15" t="s">
        <v>21538</v>
      </c>
      <c r="H610" s="15" t="s">
        <v>21539</v>
      </c>
      <c r="I610" s="15" t="s">
        <v>21540</v>
      </c>
      <c r="J610" s="15" t="s">
        <v>20827</v>
      </c>
      <c r="K610" s="15">
        <v>4684</v>
      </c>
      <c r="L610" s="15" t="s">
        <v>19099</v>
      </c>
    </row>
    <row r="611" spans="1:12" x14ac:dyDescent="0.25">
      <c r="A611" s="2" t="s">
        <v>2600</v>
      </c>
      <c r="B611" s="8" t="s">
        <v>16120</v>
      </c>
      <c r="C611" s="2" t="s">
        <v>2600</v>
      </c>
      <c r="D611" s="2" t="s">
        <v>2601</v>
      </c>
      <c r="E611" s="4" t="s">
        <v>21541</v>
      </c>
      <c r="G611" s="15" t="s">
        <v>21542</v>
      </c>
      <c r="H611" s="15" t="s">
        <v>21543</v>
      </c>
      <c r="I611" s="15" t="s">
        <v>21544</v>
      </c>
      <c r="J611" s="15" t="s">
        <v>21545</v>
      </c>
      <c r="K611" s="15">
        <v>23436</v>
      </c>
      <c r="L611" s="15" t="s">
        <v>19099</v>
      </c>
    </row>
    <row r="612" spans="1:12" x14ac:dyDescent="0.25">
      <c r="A612" s="2" t="s">
        <v>2603</v>
      </c>
      <c r="B612" s="8" t="s">
        <v>16121</v>
      </c>
      <c r="C612" s="2" t="s">
        <v>2603</v>
      </c>
      <c r="D612" s="2" t="s">
        <v>2604</v>
      </c>
      <c r="E612" s="4" t="s">
        <v>21546</v>
      </c>
      <c r="G612" s="15" t="s">
        <v>21546</v>
      </c>
      <c r="H612" s="15" t="s">
        <v>21547</v>
      </c>
      <c r="I612" s="15" t="s">
        <v>21548</v>
      </c>
      <c r="J612" s="15" t="s">
        <v>20763</v>
      </c>
      <c r="K612" s="15">
        <v>70272</v>
      </c>
      <c r="L612" s="15" t="s">
        <v>19099</v>
      </c>
    </row>
    <row r="613" spans="1:12" x14ac:dyDescent="0.25">
      <c r="A613" s="2" t="s">
        <v>2606</v>
      </c>
      <c r="B613" s="8" t="s">
        <v>16122</v>
      </c>
      <c r="C613" s="2" t="s">
        <v>2606</v>
      </c>
      <c r="D613" s="2" t="s">
        <v>2607</v>
      </c>
      <c r="E613" s="4" t="s">
        <v>21549</v>
      </c>
      <c r="G613" s="15" t="s">
        <v>21550</v>
      </c>
      <c r="H613" s="15" t="s">
        <v>21551</v>
      </c>
      <c r="I613" s="15" t="s">
        <v>21552</v>
      </c>
      <c r="J613" s="15" t="s">
        <v>20835</v>
      </c>
      <c r="K613" s="15">
        <v>7810</v>
      </c>
      <c r="L613" s="15" t="s">
        <v>19099</v>
      </c>
    </row>
    <row r="614" spans="1:12" x14ac:dyDescent="0.25">
      <c r="A614" s="2" t="s">
        <v>2609</v>
      </c>
      <c r="B614" s="8" t="s">
        <v>16123</v>
      </c>
      <c r="C614" s="2" t="s">
        <v>2609</v>
      </c>
      <c r="D614" s="2" t="s">
        <v>2610</v>
      </c>
      <c r="E614" s="4" t="s">
        <v>21553</v>
      </c>
      <c r="G614" s="15" t="s">
        <v>21554</v>
      </c>
      <c r="H614" s="15" t="s">
        <v>21555</v>
      </c>
      <c r="I614" s="15" t="s">
        <v>21556</v>
      </c>
      <c r="J614" s="15" t="s">
        <v>21557</v>
      </c>
      <c r="K614" s="15">
        <v>11525</v>
      </c>
      <c r="L614" s="15" t="s">
        <v>19099</v>
      </c>
    </row>
    <row r="615" spans="1:12" x14ac:dyDescent="0.25">
      <c r="A615" s="2" t="s">
        <v>2612</v>
      </c>
      <c r="B615" s="8" t="s">
        <v>16124</v>
      </c>
      <c r="C615" s="2" t="s">
        <v>2612</v>
      </c>
      <c r="D615" s="2" t="s">
        <v>2613</v>
      </c>
      <c r="E615" s="4" t="s">
        <v>21558</v>
      </c>
      <c r="G615" s="15" t="s">
        <v>21559</v>
      </c>
      <c r="H615" s="15" t="s">
        <v>21560</v>
      </c>
      <c r="I615" s="15" t="s">
        <v>21561</v>
      </c>
      <c r="J615" s="15" t="s">
        <v>21562</v>
      </c>
      <c r="K615" s="15">
        <v>6053</v>
      </c>
      <c r="L615" s="15" t="s">
        <v>19099</v>
      </c>
    </row>
    <row r="616" spans="1:12" x14ac:dyDescent="0.25">
      <c r="A616" s="2" t="s">
        <v>2615</v>
      </c>
      <c r="B616" s="8" t="s">
        <v>16125</v>
      </c>
      <c r="C616" s="2" t="s">
        <v>2615</v>
      </c>
      <c r="D616" s="2" t="s">
        <v>2616</v>
      </c>
      <c r="E616" s="4" t="s">
        <v>21563</v>
      </c>
      <c r="G616" s="15" t="s">
        <v>21564</v>
      </c>
      <c r="H616" s="15" t="s">
        <v>21565</v>
      </c>
      <c r="I616" s="15" t="s">
        <v>21566</v>
      </c>
      <c r="J616" s="15" t="s">
        <v>21567</v>
      </c>
      <c r="K616" s="15">
        <v>13101</v>
      </c>
      <c r="L616" s="15" t="s">
        <v>19099</v>
      </c>
    </row>
    <row r="617" spans="1:12" x14ac:dyDescent="0.25">
      <c r="A617" s="2" t="s">
        <v>2618</v>
      </c>
      <c r="B617" s="8" t="s">
        <v>16126</v>
      </c>
      <c r="C617" s="2" t="s">
        <v>2618</v>
      </c>
      <c r="D617" s="2" t="s">
        <v>2619</v>
      </c>
      <c r="E617" s="4" t="s">
        <v>21568</v>
      </c>
      <c r="G617" s="15" t="s">
        <v>21569</v>
      </c>
      <c r="H617" s="15" t="s">
        <v>21570</v>
      </c>
      <c r="I617" s="15" t="s">
        <v>21571</v>
      </c>
      <c r="J617" s="15" t="s">
        <v>21572</v>
      </c>
      <c r="K617" s="15">
        <v>21963</v>
      </c>
      <c r="L617" s="15" t="s">
        <v>19099</v>
      </c>
    </row>
    <row r="618" spans="1:12" x14ac:dyDescent="0.25">
      <c r="A618" s="2" t="s">
        <v>2621</v>
      </c>
      <c r="B618" s="8" t="s">
        <v>16127</v>
      </c>
      <c r="C618" s="2" t="s">
        <v>2621</v>
      </c>
      <c r="D618" s="2" t="s">
        <v>2622</v>
      </c>
      <c r="E618" s="4" t="s">
        <v>21573</v>
      </c>
      <c r="G618" s="15" t="s">
        <v>21574</v>
      </c>
      <c r="H618" s="15" t="s">
        <v>21575</v>
      </c>
      <c r="I618" s="15" t="s">
        <v>21576</v>
      </c>
      <c r="J618" s="15" t="s">
        <v>21182</v>
      </c>
      <c r="K618" s="15">
        <v>31256</v>
      </c>
      <c r="L618" s="15" t="s">
        <v>19099</v>
      </c>
    </row>
    <row r="619" spans="1:12" x14ac:dyDescent="0.25">
      <c r="A619" s="2" t="s">
        <v>2624</v>
      </c>
      <c r="B619" s="8" t="s">
        <v>16128</v>
      </c>
      <c r="C619" s="2" t="s">
        <v>2624</v>
      </c>
      <c r="D619" s="2" t="s">
        <v>2625</v>
      </c>
      <c r="E619" s="4" t="s">
        <v>2625</v>
      </c>
      <c r="G619" s="15" t="s">
        <v>21577</v>
      </c>
      <c r="H619" s="15" t="s">
        <v>21578</v>
      </c>
      <c r="I619" s="15" t="s">
        <v>21579</v>
      </c>
      <c r="J619" s="15" t="s">
        <v>21580</v>
      </c>
      <c r="K619" s="15">
        <v>116545</v>
      </c>
      <c r="L619" s="15" t="s">
        <v>19099</v>
      </c>
    </row>
    <row r="620" spans="1:12" x14ac:dyDescent="0.25">
      <c r="A620" s="2" t="s">
        <v>2627</v>
      </c>
      <c r="B620" s="8" t="s">
        <v>16129</v>
      </c>
      <c r="C620" s="2" t="s">
        <v>2627</v>
      </c>
      <c r="D620" s="2" t="s">
        <v>2628</v>
      </c>
      <c r="E620" s="4" t="s">
        <v>2628</v>
      </c>
      <c r="G620" s="15" t="s">
        <v>2628</v>
      </c>
      <c r="H620" s="15" t="s">
        <v>21581</v>
      </c>
      <c r="I620" s="15" t="s">
        <v>21582</v>
      </c>
      <c r="J620" s="15" t="s">
        <v>20897</v>
      </c>
      <c r="K620" s="15">
        <v>7475</v>
      </c>
      <c r="L620" s="15" t="s">
        <v>19099</v>
      </c>
    </row>
    <row r="621" spans="1:12" x14ac:dyDescent="0.25">
      <c r="A621" s="2" t="s">
        <v>2630</v>
      </c>
      <c r="B621" s="8" t="s">
        <v>16130</v>
      </c>
      <c r="C621" s="2" t="s">
        <v>2630</v>
      </c>
      <c r="D621" s="2" t="s">
        <v>2631</v>
      </c>
      <c r="E621" s="4" t="s">
        <v>2631</v>
      </c>
      <c r="G621" s="15" t="s">
        <v>21583</v>
      </c>
      <c r="H621" s="15" t="s">
        <v>21584</v>
      </c>
      <c r="I621" s="15" t="s">
        <v>21585</v>
      </c>
      <c r="J621" s="15" t="s">
        <v>21586</v>
      </c>
      <c r="K621" s="15">
        <v>7491</v>
      </c>
      <c r="L621" s="15" t="s">
        <v>19099</v>
      </c>
    </row>
    <row r="622" spans="1:12" x14ac:dyDescent="0.25">
      <c r="A622" s="2" t="s">
        <v>2633</v>
      </c>
      <c r="B622" s="8" t="s">
        <v>16131</v>
      </c>
      <c r="C622" s="2" t="s">
        <v>2633</v>
      </c>
      <c r="D622" s="2" t="s">
        <v>2634</v>
      </c>
      <c r="E622" s="4" t="s">
        <v>21587</v>
      </c>
      <c r="G622" s="15" t="s">
        <v>21588</v>
      </c>
      <c r="H622" s="15" t="s">
        <v>21589</v>
      </c>
      <c r="I622" s="15" t="s">
        <v>21590</v>
      </c>
      <c r="J622" s="15" t="s">
        <v>21591</v>
      </c>
      <c r="K622" s="15">
        <v>7114</v>
      </c>
      <c r="L622" s="15" t="s">
        <v>19099</v>
      </c>
    </row>
    <row r="623" spans="1:12" x14ac:dyDescent="0.25">
      <c r="A623" s="2" t="s">
        <v>2636</v>
      </c>
      <c r="B623" s="8" t="s">
        <v>16132</v>
      </c>
      <c r="C623" s="2" t="s">
        <v>2636</v>
      </c>
      <c r="D623" s="2" t="s">
        <v>2637</v>
      </c>
      <c r="E623" s="4" t="s">
        <v>21592</v>
      </c>
      <c r="G623" s="15" t="s">
        <v>21593</v>
      </c>
      <c r="H623" s="15" t="s">
        <v>21594</v>
      </c>
      <c r="I623" s="15" t="s">
        <v>21595</v>
      </c>
      <c r="J623" s="15" t="s">
        <v>20906</v>
      </c>
      <c r="K623" s="15">
        <v>13271</v>
      </c>
      <c r="L623" s="15" t="s">
        <v>19099</v>
      </c>
    </row>
    <row r="624" spans="1:12" x14ac:dyDescent="0.25">
      <c r="A624" s="2" t="s">
        <v>2639</v>
      </c>
      <c r="B624" s="8" t="s">
        <v>16133</v>
      </c>
      <c r="C624" s="2" t="s">
        <v>2639</v>
      </c>
      <c r="D624" s="2" t="s">
        <v>2640</v>
      </c>
      <c r="E624" s="4" t="s">
        <v>21596</v>
      </c>
      <c r="G624" s="15" t="s">
        <v>21596</v>
      </c>
      <c r="H624" s="15" t="s">
        <v>21597</v>
      </c>
      <c r="I624" s="15" t="s">
        <v>21598</v>
      </c>
      <c r="J624" s="15" t="s">
        <v>20910</v>
      </c>
      <c r="K624" s="15">
        <v>980</v>
      </c>
      <c r="L624" s="15" t="s">
        <v>19099</v>
      </c>
    </row>
    <row r="625" spans="1:12" x14ac:dyDescent="0.25">
      <c r="A625" s="2" t="s">
        <v>2642</v>
      </c>
      <c r="B625" s="8" t="s">
        <v>16134</v>
      </c>
      <c r="C625" s="2" t="s">
        <v>2642</v>
      </c>
      <c r="D625" s="2" t="s">
        <v>2643</v>
      </c>
      <c r="E625" s="4" t="s">
        <v>21599</v>
      </c>
      <c r="G625" s="15" t="s">
        <v>21600</v>
      </c>
      <c r="H625" s="15" t="s">
        <v>21601</v>
      </c>
      <c r="I625" s="15" t="s">
        <v>21602</v>
      </c>
      <c r="J625" s="15" t="s">
        <v>20915</v>
      </c>
      <c r="K625" s="15">
        <v>7473</v>
      </c>
      <c r="L625" s="15" t="s">
        <v>19099</v>
      </c>
    </row>
    <row r="626" spans="1:12" x14ac:dyDescent="0.25">
      <c r="A626" s="2" t="s">
        <v>2645</v>
      </c>
      <c r="B626" s="8" t="s">
        <v>16135</v>
      </c>
      <c r="C626" s="2" t="s">
        <v>2645</v>
      </c>
      <c r="D626" s="2" t="s">
        <v>2646</v>
      </c>
      <c r="E626" s="4" t="s">
        <v>21603</v>
      </c>
      <c r="G626" s="15" t="s">
        <v>21604</v>
      </c>
      <c r="H626" s="15" t="s">
        <v>21605</v>
      </c>
      <c r="I626" s="15" t="s">
        <v>21606</v>
      </c>
      <c r="J626" s="15" t="s">
        <v>21607</v>
      </c>
      <c r="K626" s="15">
        <v>9074</v>
      </c>
      <c r="L626" s="15" t="s">
        <v>19099</v>
      </c>
    </row>
    <row r="627" spans="1:12" x14ac:dyDescent="0.25">
      <c r="A627" s="2" t="s">
        <v>2648</v>
      </c>
      <c r="B627" s="8" t="s">
        <v>16136</v>
      </c>
      <c r="C627" s="2" t="s">
        <v>2648</v>
      </c>
      <c r="D627" s="2" t="s">
        <v>2649</v>
      </c>
      <c r="E627" s="4" t="s">
        <v>21608</v>
      </c>
      <c r="G627" s="15" t="s">
        <v>21609</v>
      </c>
      <c r="H627" s="15" t="s">
        <v>21610</v>
      </c>
      <c r="I627" s="15" t="s">
        <v>21611</v>
      </c>
      <c r="J627" s="15" t="s">
        <v>20979</v>
      </c>
      <c r="K627" s="15">
        <v>62374</v>
      </c>
      <c r="L627" s="15" t="s">
        <v>19099</v>
      </c>
    </row>
    <row r="628" spans="1:12" x14ac:dyDescent="0.25">
      <c r="A628" s="2" t="s">
        <v>2651</v>
      </c>
      <c r="B628" s="8" t="s">
        <v>16137</v>
      </c>
      <c r="C628" s="2" t="s">
        <v>2651</v>
      </c>
      <c r="D628" s="2" t="s">
        <v>2652</v>
      </c>
      <c r="E628" s="4" t="s">
        <v>21612</v>
      </c>
      <c r="G628" s="15" t="s">
        <v>21613</v>
      </c>
      <c r="H628" s="15" t="s">
        <v>21614</v>
      </c>
      <c r="I628" s="15" t="s">
        <v>21615</v>
      </c>
      <c r="J628" s="15" t="s">
        <v>21616</v>
      </c>
      <c r="K628" s="15">
        <v>11742</v>
      </c>
      <c r="L628" s="15" t="s">
        <v>19099</v>
      </c>
    </row>
    <row r="629" spans="1:12" x14ac:dyDescent="0.25">
      <c r="A629" s="2" t="s">
        <v>2654</v>
      </c>
      <c r="B629" s="8" t="s">
        <v>16138</v>
      </c>
      <c r="C629" s="2" t="s">
        <v>2654</v>
      </c>
      <c r="D629" s="2" t="s">
        <v>2655</v>
      </c>
      <c r="E629" s="4" t="s">
        <v>21617</v>
      </c>
      <c r="G629" s="15" t="s">
        <v>21618</v>
      </c>
      <c r="H629" s="15" t="s">
        <v>21619</v>
      </c>
      <c r="I629" s="15" t="s">
        <v>21620</v>
      </c>
      <c r="J629" s="15" t="s">
        <v>21621</v>
      </c>
      <c r="K629" s="15">
        <v>72666</v>
      </c>
      <c r="L629" s="15" t="s">
        <v>19099</v>
      </c>
    </row>
    <row r="630" spans="1:12" x14ac:dyDescent="0.25">
      <c r="A630" s="2" t="s">
        <v>2657</v>
      </c>
      <c r="B630" s="8" t="s">
        <v>16139</v>
      </c>
      <c r="C630" s="2" t="s">
        <v>2657</v>
      </c>
      <c r="D630" s="2" t="s">
        <v>2658</v>
      </c>
      <c r="E630" s="4" t="s">
        <v>21622</v>
      </c>
      <c r="G630" s="15" t="s">
        <v>21623</v>
      </c>
      <c r="H630" s="15" t="s">
        <v>21624</v>
      </c>
      <c r="I630" s="15" t="s">
        <v>21625</v>
      </c>
      <c r="J630" s="15" t="s">
        <v>19998</v>
      </c>
      <c r="K630" s="15">
        <v>7464</v>
      </c>
      <c r="L630" s="15" t="s">
        <v>19099</v>
      </c>
    </row>
    <row r="631" spans="1:12" x14ac:dyDescent="0.25">
      <c r="A631" s="2" t="s">
        <v>2660</v>
      </c>
      <c r="B631" s="8" t="s">
        <v>16140</v>
      </c>
      <c r="C631" s="2" t="s">
        <v>2660</v>
      </c>
      <c r="D631" s="2" t="s">
        <v>2661</v>
      </c>
      <c r="E631" s="4" t="s">
        <v>21626</v>
      </c>
      <c r="G631" s="15" t="s">
        <v>21627</v>
      </c>
      <c r="H631" s="15" t="s">
        <v>21628</v>
      </c>
      <c r="I631" s="15" t="s">
        <v>21629</v>
      </c>
      <c r="J631" s="15" t="s">
        <v>20018</v>
      </c>
      <c r="K631" s="15">
        <v>7465</v>
      </c>
      <c r="L631" s="15" t="s">
        <v>19099</v>
      </c>
    </row>
    <row r="632" spans="1:12" x14ac:dyDescent="0.25">
      <c r="A632" s="2" t="s">
        <v>2663</v>
      </c>
      <c r="B632" s="8" t="s">
        <v>16141</v>
      </c>
      <c r="C632" s="2" t="s">
        <v>2663</v>
      </c>
      <c r="D632" s="2" t="s">
        <v>2664</v>
      </c>
      <c r="E632" s="4" t="s">
        <v>21630</v>
      </c>
      <c r="G632" s="15" t="s">
        <v>21631</v>
      </c>
      <c r="H632" s="15" t="s">
        <v>21632</v>
      </c>
      <c r="I632" s="15" t="s">
        <v>21633</v>
      </c>
      <c r="J632" s="15" t="s">
        <v>21493</v>
      </c>
      <c r="K632" s="15">
        <v>338733</v>
      </c>
      <c r="L632" s="15" t="s">
        <v>19099</v>
      </c>
    </row>
    <row r="633" spans="1:12" x14ac:dyDescent="0.25">
      <c r="A633" s="2" t="s">
        <v>2666</v>
      </c>
      <c r="B633" s="8" t="s">
        <v>16142</v>
      </c>
      <c r="C633" s="2" t="s">
        <v>2666</v>
      </c>
      <c r="D633" s="2" t="s">
        <v>2667</v>
      </c>
      <c r="E633" s="4" t="s">
        <v>21634</v>
      </c>
    </row>
    <row r="634" spans="1:12" x14ac:dyDescent="0.25">
      <c r="A634" s="2" t="s">
        <v>2669</v>
      </c>
      <c r="B634" s="8" t="s">
        <v>16143</v>
      </c>
      <c r="C634" s="2" t="s">
        <v>2669</v>
      </c>
      <c r="D634" s="2" t="s">
        <v>2670</v>
      </c>
      <c r="E634" s="4" t="s">
        <v>21635</v>
      </c>
      <c r="G634" s="15" t="s">
        <v>21636</v>
      </c>
      <c r="H634" s="15" t="s">
        <v>21637</v>
      </c>
      <c r="I634" s="15" t="s">
        <v>21638</v>
      </c>
      <c r="J634" s="15" t="s">
        <v>21639</v>
      </c>
      <c r="K634" s="15">
        <v>74879</v>
      </c>
      <c r="L634" s="15" t="s">
        <v>19099</v>
      </c>
    </row>
    <row r="635" spans="1:12" x14ac:dyDescent="0.25">
      <c r="A635" s="2" t="s">
        <v>2672</v>
      </c>
      <c r="B635" s="8" t="s">
        <v>16144</v>
      </c>
      <c r="C635" s="2" t="s">
        <v>2672</v>
      </c>
      <c r="D635" s="2" t="s">
        <v>2673</v>
      </c>
      <c r="E635" s="4" t="s">
        <v>21640</v>
      </c>
      <c r="G635" s="15" t="s">
        <v>21641</v>
      </c>
      <c r="H635" s="15" t="s">
        <v>21642</v>
      </c>
      <c r="I635" s="15" t="s">
        <v>21643</v>
      </c>
      <c r="J635" s="15" t="s">
        <v>20547</v>
      </c>
      <c r="K635" s="15">
        <v>7393</v>
      </c>
      <c r="L635" s="15" t="s">
        <v>19099</v>
      </c>
    </row>
    <row r="636" spans="1:12" x14ac:dyDescent="0.25">
      <c r="A636" s="2" t="s">
        <v>2675</v>
      </c>
      <c r="B636" s="8" t="s">
        <v>16145</v>
      </c>
      <c r="C636" s="2" t="s">
        <v>2675</v>
      </c>
      <c r="D636" s="2" t="s">
        <v>2676</v>
      </c>
      <c r="E636" s="4" t="s">
        <v>21644</v>
      </c>
      <c r="G636" s="15" t="s">
        <v>21645</v>
      </c>
      <c r="H636" s="15" t="s">
        <v>21646</v>
      </c>
      <c r="I636" s="15" t="s">
        <v>21647</v>
      </c>
      <c r="J636" s="15" t="s">
        <v>19614</v>
      </c>
      <c r="K636" s="15">
        <v>7392</v>
      </c>
      <c r="L636" s="15" t="s">
        <v>19099</v>
      </c>
    </row>
    <row r="637" spans="1:12" x14ac:dyDescent="0.25">
      <c r="A637" s="2" t="s">
        <v>2678</v>
      </c>
      <c r="B637" s="8" t="s">
        <v>16146</v>
      </c>
      <c r="C637" s="2" t="s">
        <v>2678</v>
      </c>
      <c r="D637" s="2" t="s">
        <v>2679</v>
      </c>
      <c r="E637" s="4" t="s">
        <v>21648</v>
      </c>
      <c r="G637" s="15" t="s">
        <v>21649</v>
      </c>
      <c r="H637" s="15" t="s">
        <v>21650</v>
      </c>
      <c r="I637" s="15" t="s">
        <v>21651</v>
      </c>
      <c r="J637" s="15" t="s">
        <v>20308</v>
      </c>
      <c r="K637" s="15">
        <v>8814</v>
      </c>
      <c r="L637" s="15" t="s">
        <v>19099</v>
      </c>
    </row>
    <row r="638" spans="1:12" x14ac:dyDescent="0.25">
      <c r="A638" s="2" t="s">
        <v>2681</v>
      </c>
      <c r="B638" s="8" t="s">
        <v>16147</v>
      </c>
      <c r="C638" s="2" t="s">
        <v>2681</v>
      </c>
      <c r="D638" s="2" t="s">
        <v>2682</v>
      </c>
      <c r="E638" s="4" t="s">
        <v>21652</v>
      </c>
      <c r="G638" s="15" t="s">
        <v>21653</v>
      </c>
      <c r="H638" s="15" t="s">
        <v>21654</v>
      </c>
      <c r="I638" s="15" t="s">
        <v>21655</v>
      </c>
      <c r="J638" s="15" t="s">
        <v>21656</v>
      </c>
      <c r="K638" s="15">
        <v>7499</v>
      </c>
      <c r="L638" s="15" t="s">
        <v>19099</v>
      </c>
    </row>
    <row r="639" spans="1:12" ht="30" customHeight="1" x14ac:dyDescent="0.25">
      <c r="A639" s="2" t="s">
        <v>2684</v>
      </c>
      <c r="B639" s="8" t="s">
        <v>16148</v>
      </c>
      <c r="C639" s="2" t="s">
        <v>2684</v>
      </c>
      <c r="D639" s="2" t="s">
        <v>2685</v>
      </c>
      <c r="E639" s="4" t="s">
        <v>21657</v>
      </c>
      <c r="G639" s="15" t="s">
        <v>21658</v>
      </c>
      <c r="H639" s="15" t="s">
        <v>21659</v>
      </c>
      <c r="I639" s="15" t="s">
        <v>21660</v>
      </c>
      <c r="J639" s="15" t="s">
        <v>19176</v>
      </c>
      <c r="K639" s="15">
        <v>27209</v>
      </c>
      <c r="L639" s="15" t="s">
        <v>19099</v>
      </c>
    </row>
    <row r="640" spans="1:12" x14ac:dyDescent="0.25">
      <c r="A640" s="2" t="s">
        <v>2687</v>
      </c>
      <c r="B640" s="8" t="s">
        <v>16149</v>
      </c>
      <c r="C640" s="2" t="s">
        <v>2687</v>
      </c>
      <c r="D640" s="2" t="s">
        <v>2688</v>
      </c>
      <c r="E640" s="4" t="s">
        <v>21661</v>
      </c>
      <c r="G640" s="15" t="s">
        <v>21662</v>
      </c>
      <c r="H640" s="15" t="s">
        <v>21663</v>
      </c>
      <c r="I640" s="15" t="s">
        <v>21664</v>
      </c>
      <c r="J640" s="15" t="s">
        <v>20564</v>
      </c>
      <c r="K640" s="15">
        <v>8705</v>
      </c>
      <c r="L640" s="15" t="s">
        <v>19099</v>
      </c>
    </row>
    <row r="641" spans="1:12" x14ac:dyDescent="0.25">
      <c r="A641" s="2" t="s">
        <v>2690</v>
      </c>
      <c r="B641" s="8" t="s">
        <v>16150</v>
      </c>
      <c r="C641" s="2" t="s">
        <v>2690</v>
      </c>
      <c r="D641" s="2" t="s">
        <v>2691</v>
      </c>
      <c r="E641" s="4" t="s">
        <v>21665</v>
      </c>
      <c r="G641" s="15" t="s">
        <v>21666</v>
      </c>
      <c r="H641" s="15" t="s">
        <v>21667</v>
      </c>
      <c r="I641" s="15" t="s">
        <v>21668</v>
      </c>
      <c r="J641" s="15" t="s">
        <v>19759</v>
      </c>
      <c r="K641" s="15">
        <v>8034</v>
      </c>
      <c r="L641" s="15" t="s">
        <v>19099</v>
      </c>
    </row>
    <row r="642" spans="1:12" x14ac:dyDescent="0.25">
      <c r="A642" s="2" t="s">
        <v>2693</v>
      </c>
      <c r="B642" s="8" t="s">
        <v>16151</v>
      </c>
      <c r="C642" s="2" t="s">
        <v>2693</v>
      </c>
      <c r="D642" s="2" t="s">
        <v>2694</v>
      </c>
      <c r="E642" s="4" t="s">
        <v>21669</v>
      </c>
      <c r="G642" s="15" t="s">
        <v>21669</v>
      </c>
      <c r="H642" s="15" t="s">
        <v>21670</v>
      </c>
      <c r="I642" s="15" t="s">
        <v>21671</v>
      </c>
      <c r="J642" s="15" t="s">
        <v>21672</v>
      </c>
      <c r="K642" s="15">
        <v>19427</v>
      </c>
      <c r="L642" s="15" t="s">
        <v>19099</v>
      </c>
    </row>
    <row r="643" spans="1:12" x14ac:dyDescent="0.25">
      <c r="A643" s="2" t="s">
        <v>2696</v>
      </c>
      <c r="B643" s="8" t="s">
        <v>16152</v>
      </c>
      <c r="C643" s="2" t="s">
        <v>2696</v>
      </c>
      <c r="D643" s="2" t="s">
        <v>2697</v>
      </c>
      <c r="E643" s="4" t="s">
        <v>2697</v>
      </c>
      <c r="G643" s="15" t="s">
        <v>21673</v>
      </c>
      <c r="H643" s="15" t="s">
        <v>21674</v>
      </c>
      <c r="I643" s="15" t="s">
        <v>21675</v>
      </c>
      <c r="J643" s="15" t="s">
        <v>21676</v>
      </c>
      <c r="K643" s="15">
        <v>17768</v>
      </c>
      <c r="L643" s="15" t="s">
        <v>19099</v>
      </c>
    </row>
    <row r="644" spans="1:12" x14ac:dyDescent="0.25">
      <c r="A644" s="2" t="s">
        <v>2699</v>
      </c>
      <c r="B644" s="8" t="s">
        <v>16153</v>
      </c>
      <c r="C644" s="2" t="s">
        <v>2699</v>
      </c>
      <c r="D644" s="2" t="s">
        <v>2700</v>
      </c>
      <c r="E644" s="4" t="s">
        <v>2700</v>
      </c>
      <c r="G644" s="15" t="s">
        <v>21677</v>
      </c>
      <c r="H644" s="15" t="s">
        <v>21678</v>
      </c>
      <c r="I644" s="15" t="s">
        <v>21679</v>
      </c>
      <c r="J644" s="15" t="s">
        <v>20854</v>
      </c>
      <c r="K644" s="15">
        <v>8445</v>
      </c>
      <c r="L644" s="15" t="s">
        <v>19099</v>
      </c>
    </row>
    <row r="645" spans="1:12" x14ac:dyDescent="0.25">
      <c r="A645" s="2" t="s">
        <v>2702</v>
      </c>
      <c r="B645" s="8" t="s">
        <v>16154</v>
      </c>
      <c r="C645" s="2" t="s">
        <v>2702</v>
      </c>
      <c r="D645" s="2" t="s">
        <v>2703</v>
      </c>
      <c r="E645" s="4" t="s">
        <v>21680</v>
      </c>
      <c r="G645" s="15" t="s">
        <v>21681</v>
      </c>
      <c r="H645" s="15" t="s">
        <v>21682</v>
      </c>
      <c r="I645" s="15" t="s">
        <v>21683</v>
      </c>
      <c r="J645" s="15" t="s">
        <v>19245</v>
      </c>
      <c r="K645" s="15">
        <v>27756</v>
      </c>
      <c r="L645" s="15" t="s">
        <v>19099</v>
      </c>
    </row>
    <row r="646" spans="1:12" x14ac:dyDescent="0.25">
      <c r="A646" s="2" t="s">
        <v>2705</v>
      </c>
      <c r="B646" s="8" t="s">
        <v>16155</v>
      </c>
      <c r="C646" s="2" t="s">
        <v>2705</v>
      </c>
      <c r="D646" s="2" t="s">
        <v>2706</v>
      </c>
      <c r="E646" s="4" t="s">
        <v>21684</v>
      </c>
      <c r="G646" s="15" t="s">
        <v>21685</v>
      </c>
      <c r="H646" s="15" t="s">
        <v>21686</v>
      </c>
      <c r="I646" s="15" t="s">
        <v>21687</v>
      </c>
      <c r="J646" s="15" t="s">
        <v>21688</v>
      </c>
      <c r="K646" s="15">
        <v>33344</v>
      </c>
      <c r="L646" s="15" t="s">
        <v>19099</v>
      </c>
    </row>
    <row r="647" spans="1:12" x14ac:dyDescent="0.25">
      <c r="A647" s="2" t="s">
        <v>2708</v>
      </c>
      <c r="B647" s="8" t="s">
        <v>16156</v>
      </c>
      <c r="C647" s="2" t="s">
        <v>2708</v>
      </c>
      <c r="D647" s="2" t="s">
        <v>2709</v>
      </c>
      <c r="E647" s="4" t="s">
        <v>21689</v>
      </c>
      <c r="G647" s="15" t="s">
        <v>21689</v>
      </c>
      <c r="H647" s="15" t="s">
        <v>21690</v>
      </c>
      <c r="I647" s="15" t="s">
        <v>21691</v>
      </c>
      <c r="J647" s="15" t="s">
        <v>20763</v>
      </c>
      <c r="K647" s="15">
        <v>7260</v>
      </c>
      <c r="L647" s="15" t="s">
        <v>19099</v>
      </c>
    </row>
    <row r="648" spans="1:12" x14ac:dyDescent="0.25">
      <c r="A648" s="2" t="s">
        <v>2711</v>
      </c>
      <c r="B648" s="8" t="s">
        <v>16157</v>
      </c>
      <c r="C648" s="2" t="s">
        <v>2711</v>
      </c>
      <c r="D648" s="2" t="s">
        <v>2712</v>
      </c>
      <c r="E648" s="4" t="s">
        <v>21692</v>
      </c>
      <c r="G648" s="15" t="s">
        <v>21692</v>
      </c>
      <c r="H648" s="15" t="s">
        <v>21693</v>
      </c>
      <c r="I648" s="15" t="s">
        <v>21694</v>
      </c>
      <c r="J648" s="15" t="s">
        <v>20767</v>
      </c>
      <c r="K648" s="15">
        <v>74218</v>
      </c>
      <c r="L648" s="15" t="s">
        <v>19099</v>
      </c>
    </row>
    <row r="649" spans="1:12" x14ac:dyDescent="0.25">
      <c r="A649" s="2" t="s">
        <v>2714</v>
      </c>
      <c r="B649" s="8" t="s">
        <v>16158</v>
      </c>
      <c r="C649" s="2" t="s">
        <v>2714</v>
      </c>
      <c r="D649" s="2" t="s">
        <v>2715</v>
      </c>
      <c r="E649" s="4" t="s">
        <v>21695</v>
      </c>
      <c r="G649" s="15" t="s">
        <v>21696</v>
      </c>
      <c r="H649" s="15" t="s">
        <v>21697</v>
      </c>
      <c r="I649" s="15" t="s">
        <v>21698</v>
      </c>
      <c r="J649" s="15" t="s">
        <v>20772</v>
      </c>
      <c r="K649" s="15">
        <v>79329</v>
      </c>
      <c r="L649" s="15" t="s">
        <v>19099</v>
      </c>
    </row>
    <row r="650" spans="1:12" x14ac:dyDescent="0.25">
      <c r="A650" s="2" t="s">
        <v>2717</v>
      </c>
      <c r="B650" s="8" t="s">
        <v>16159</v>
      </c>
      <c r="C650" s="2" t="s">
        <v>2717</v>
      </c>
      <c r="D650" s="2" t="s">
        <v>2718</v>
      </c>
      <c r="E650" s="4" t="s">
        <v>21699</v>
      </c>
      <c r="G650" s="15" t="s">
        <v>21700</v>
      </c>
      <c r="H650" s="15" t="s">
        <v>21701</v>
      </c>
      <c r="I650" s="15" t="s">
        <v>21702</v>
      </c>
      <c r="J650" s="15" t="s">
        <v>21703</v>
      </c>
      <c r="K650" s="15">
        <v>9212</v>
      </c>
      <c r="L650" s="15" t="s">
        <v>19099</v>
      </c>
    </row>
    <row r="651" spans="1:12" x14ac:dyDescent="0.25">
      <c r="A651" s="2" t="s">
        <v>2720</v>
      </c>
      <c r="B651" s="8" t="s">
        <v>16160</v>
      </c>
      <c r="C651" s="2" t="s">
        <v>2720</v>
      </c>
      <c r="D651" s="2" t="s">
        <v>2721</v>
      </c>
      <c r="E651" s="4" t="s">
        <v>2721</v>
      </c>
      <c r="G651" s="15" t="s">
        <v>21704</v>
      </c>
      <c r="H651" s="15" t="s">
        <v>21705</v>
      </c>
      <c r="I651" s="15" t="s">
        <v>21706</v>
      </c>
      <c r="J651" s="15" t="s">
        <v>21707</v>
      </c>
      <c r="K651" s="15">
        <v>108227</v>
      </c>
      <c r="L651" s="15" t="s">
        <v>19099</v>
      </c>
    </row>
    <row r="652" spans="1:12" x14ac:dyDescent="0.25">
      <c r="A652" s="2" t="s">
        <v>2723</v>
      </c>
      <c r="B652" s="8" t="s">
        <v>16161</v>
      </c>
      <c r="C652" s="2" t="s">
        <v>2723</v>
      </c>
      <c r="D652" s="2" t="s">
        <v>2724</v>
      </c>
      <c r="E652" s="4" t="s">
        <v>2724</v>
      </c>
      <c r="G652" s="15" t="s">
        <v>21708</v>
      </c>
      <c r="H652" s="15" t="s">
        <v>21709</v>
      </c>
      <c r="I652" s="15" t="s">
        <v>21710</v>
      </c>
      <c r="J652" s="15" t="s">
        <v>21410</v>
      </c>
      <c r="K652" s="15">
        <v>7447</v>
      </c>
      <c r="L652" s="15" t="s">
        <v>19099</v>
      </c>
    </row>
    <row r="653" spans="1:12" x14ac:dyDescent="0.25">
      <c r="A653" s="2" t="s">
        <v>2726</v>
      </c>
      <c r="B653" s="8" t="s">
        <v>16162</v>
      </c>
      <c r="C653" s="2" t="s">
        <v>2726</v>
      </c>
      <c r="D653" s="2" t="s">
        <v>2727</v>
      </c>
      <c r="E653" s="4" t="s">
        <v>2727</v>
      </c>
      <c r="G653" s="15" t="s">
        <v>21711</v>
      </c>
      <c r="H653" s="15" t="s">
        <v>21712</v>
      </c>
      <c r="I653" s="15" t="s">
        <v>21713</v>
      </c>
      <c r="J653" s="15" t="s">
        <v>20471</v>
      </c>
      <c r="K653" s="15">
        <v>7444</v>
      </c>
      <c r="L653" s="15" t="s">
        <v>19099</v>
      </c>
    </row>
    <row r="654" spans="1:12" x14ac:dyDescent="0.25">
      <c r="A654" s="2" t="s">
        <v>2729</v>
      </c>
      <c r="B654" s="8" t="s">
        <v>16163</v>
      </c>
      <c r="C654" s="2" t="s">
        <v>2729</v>
      </c>
      <c r="D654" s="2" t="s">
        <v>2730</v>
      </c>
      <c r="E654" s="4" t="s">
        <v>2730</v>
      </c>
      <c r="G654" s="15" t="s">
        <v>21714</v>
      </c>
      <c r="H654" s="15" t="s">
        <v>21715</v>
      </c>
      <c r="I654" s="15" t="s">
        <v>21716</v>
      </c>
      <c r="J654" s="15" t="s">
        <v>21717</v>
      </c>
      <c r="K654" s="15">
        <v>92132</v>
      </c>
      <c r="L654" s="15" t="s">
        <v>19099</v>
      </c>
    </row>
    <row r="655" spans="1:12" x14ac:dyDescent="0.25">
      <c r="A655" s="2" t="s">
        <v>2732</v>
      </c>
      <c r="B655" s="8" t="s">
        <v>16164</v>
      </c>
      <c r="C655" s="2" t="s">
        <v>2732</v>
      </c>
      <c r="D655" s="2" t="s">
        <v>2733</v>
      </c>
      <c r="E655" s="4" t="s">
        <v>2733</v>
      </c>
      <c r="G655" s="15" t="s">
        <v>21718</v>
      </c>
      <c r="H655" s="15" t="s">
        <v>21719</v>
      </c>
      <c r="I655" s="15" t="s">
        <v>21720</v>
      </c>
      <c r="J655" s="15" t="s">
        <v>21721</v>
      </c>
      <c r="K655" s="15">
        <v>440663</v>
      </c>
      <c r="L655" s="15" t="s">
        <v>19099</v>
      </c>
    </row>
    <row r="656" spans="1:12" x14ac:dyDescent="0.25">
      <c r="A656" s="2" t="s">
        <v>2735</v>
      </c>
      <c r="B656" s="8" t="s">
        <v>16165</v>
      </c>
      <c r="C656" s="2" t="s">
        <v>2735</v>
      </c>
      <c r="D656" s="2" t="s">
        <v>2736</v>
      </c>
      <c r="E656" s="4" t="s">
        <v>21722</v>
      </c>
      <c r="G656" s="15" t="s">
        <v>21723</v>
      </c>
      <c r="H656" s="15" t="s">
        <v>21724</v>
      </c>
      <c r="I656" s="15" t="s">
        <v>21725</v>
      </c>
      <c r="J656" s="15" t="s">
        <v>20547</v>
      </c>
      <c r="K656" s="15">
        <v>10364</v>
      </c>
      <c r="L656" s="15" t="s">
        <v>19099</v>
      </c>
    </row>
    <row r="657" spans="1:20" x14ac:dyDescent="0.25">
      <c r="A657" s="2" t="s">
        <v>2738</v>
      </c>
      <c r="B657" s="8" t="s">
        <v>16166</v>
      </c>
      <c r="C657" s="2" t="s">
        <v>2738</v>
      </c>
      <c r="D657" s="2" t="s">
        <v>2739</v>
      </c>
      <c r="E657" s="4" t="s">
        <v>21726</v>
      </c>
      <c r="G657" s="15" t="s">
        <v>21727</v>
      </c>
      <c r="H657" s="15" t="s">
        <v>21728</v>
      </c>
      <c r="I657" s="15" t="s">
        <v>21729</v>
      </c>
      <c r="J657" s="15" t="s">
        <v>21730</v>
      </c>
      <c r="K657" s="15">
        <v>10408</v>
      </c>
      <c r="L657" s="15" t="s">
        <v>19099</v>
      </c>
    </row>
    <row r="658" spans="1:20" x14ac:dyDescent="0.25">
      <c r="A658" s="2" t="s">
        <v>2741</v>
      </c>
      <c r="B658" s="8" t="s">
        <v>16167</v>
      </c>
      <c r="C658" s="2" t="s">
        <v>2741</v>
      </c>
      <c r="D658" s="2" t="s">
        <v>2742</v>
      </c>
      <c r="E658" s="4" t="s">
        <v>21731</v>
      </c>
      <c r="G658" s="15" t="s">
        <v>21732</v>
      </c>
      <c r="H658" s="15" t="s">
        <v>21733</v>
      </c>
      <c r="I658" s="15" t="s">
        <v>21734</v>
      </c>
      <c r="J658" s="15" t="s">
        <v>21502</v>
      </c>
      <c r="K658" s="15">
        <v>19052</v>
      </c>
      <c r="L658" s="15" t="s">
        <v>19099</v>
      </c>
    </row>
    <row r="659" spans="1:20" x14ac:dyDescent="0.25">
      <c r="A659" s="2" t="s">
        <v>2744</v>
      </c>
      <c r="B659" s="8" t="s">
        <v>16168</v>
      </c>
      <c r="C659" s="2" t="s">
        <v>2744</v>
      </c>
      <c r="D659" s="2" t="s">
        <v>2745</v>
      </c>
      <c r="E659" s="4" t="s">
        <v>21735</v>
      </c>
      <c r="G659" s="15" t="s">
        <v>21736</v>
      </c>
      <c r="H659" s="15" t="s">
        <v>21737</v>
      </c>
      <c r="I659" s="15" t="s">
        <v>21738</v>
      </c>
      <c r="J659" s="15" t="s">
        <v>21739</v>
      </c>
      <c r="K659" s="15">
        <v>4276</v>
      </c>
      <c r="L659" s="15" t="s">
        <v>19099</v>
      </c>
    </row>
    <row r="660" spans="1:20" x14ac:dyDescent="0.25">
      <c r="A660" s="2" t="s">
        <v>2747</v>
      </c>
      <c r="B660" s="8" t="s">
        <v>16169</v>
      </c>
      <c r="C660" s="2" t="s">
        <v>2747</v>
      </c>
      <c r="D660" s="2" t="s">
        <v>2748</v>
      </c>
      <c r="E660" s="4" t="s">
        <v>2748</v>
      </c>
      <c r="G660" s="15" t="s">
        <v>21740</v>
      </c>
      <c r="H660" s="15" t="s">
        <v>21741</v>
      </c>
      <c r="I660" s="15" t="s">
        <v>21742</v>
      </c>
      <c r="J660" s="15" t="s">
        <v>20547</v>
      </c>
      <c r="K660" s="15">
        <v>6989</v>
      </c>
      <c r="L660" s="15" t="s">
        <v>19099</v>
      </c>
    </row>
    <row r="661" spans="1:20" x14ac:dyDescent="0.25">
      <c r="A661" s="2" t="s">
        <v>2750</v>
      </c>
      <c r="B661" s="8" t="s">
        <v>16170</v>
      </c>
      <c r="C661" s="2" t="s">
        <v>2750</v>
      </c>
      <c r="D661" s="2" t="s">
        <v>2751</v>
      </c>
      <c r="E661" s="4" t="s">
        <v>21743</v>
      </c>
      <c r="G661" s="15" t="s">
        <v>21744</v>
      </c>
      <c r="H661" s="15" t="s">
        <v>21745</v>
      </c>
      <c r="I661" s="15" t="s">
        <v>21746</v>
      </c>
      <c r="J661" s="15" t="s">
        <v>21747</v>
      </c>
      <c r="K661" s="15">
        <v>5462507</v>
      </c>
      <c r="L661" s="15" t="s">
        <v>19099</v>
      </c>
    </row>
    <row r="662" spans="1:20" x14ac:dyDescent="0.25">
      <c r="A662" s="2" t="s">
        <v>2753</v>
      </c>
      <c r="B662" s="8" t="s">
        <v>16171</v>
      </c>
      <c r="C662" s="2" t="s">
        <v>2753</v>
      </c>
      <c r="D662" s="2" t="s">
        <v>2754</v>
      </c>
      <c r="E662" s="4" t="s">
        <v>21748</v>
      </c>
      <c r="G662" s="15" t="s">
        <v>21749</v>
      </c>
      <c r="H662" s="15" t="s">
        <v>21750</v>
      </c>
      <c r="I662" s="15" t="s">
        <v>21751</v>
      </c>
      <c r="J662" s="15" t="s">
        <v>21752</v>
      </c>
      <c r="K662" s="15">
        <v>17131</v>
      </c>
      <c r="L662" s="15" t="s">
        <v>19099</v>
      </c>
    </row>
    <row r="663" spans="1:20" x14ac:dyDescent="0.25">
      <c r="A663" s="2" t="s">
        <v>2756</v>
      </c>
      <c r="B663" s="8" t="s">
        <v>16172</v>
      </c>
      <c r="C663" s="2" t="s">
        <v>2756</v>
      </c>
      <c r="D663" s="2" t="s">
        <v>2757</v>
      </c>
      <c r="E663" s="4" t="s">
        <v>21753</v>
      </c>
      <c r="G663" s="15" t="s">
        <v>21754</v>
      </c>
      <c r="H663" s="15" t="s">
        <v>21755</v>
      </c>
      <c r="I663" s="15" t="s">
        <v>21756</v>
      </c>
      <c r="J663" s="15" t="s">
        <v>21757</v>
      </c>
      <c r="K663" s="15">
        <v>9134</v>
      </c>
      <c r="L663" s="15" t="s">
        <v>19099</v>
      </c>
    </row>
    <row r="664" spans="1:20" x14ac:dyDescent="0.25">
      <c r="A664" s="2" t="s">
        <v>2759</v>
      </c>
      <c r="B664" s="8" t="s">
        <v>16173</v>
      </c>
      <c r="C664" s="2" t="s">
        <v>2759</v>
      </c>
      <c r="D664" s="2" t="s">
        <v>2760</v>
      </c>
      <c r="E664" s="4" t="s">
        <v>2760</v>
      </c>
      <c r="G664" s="15" t="s">
        <v>21758</v>
      </c>
      <c r="H664" s="15" t="s">
        <v>21759</v>
      </c>
      <c r="I664" s="15" t="s">
        <v>21760</v>
      </c>
      <c r="J664" s="15" t="s">
        <v>19602</v>
      </c>
      <c r="K664" s="15">
        <v>7061189</v>
      </c>
      <c r="L664" s="15" t="s">
        <v>19099</v>
      </c>
    </row>
    <row r="665" spans="1:20" x14ac:dyDescent="0.25">
      <c r="A665" s="2" t="s">
        <v>2762</v>
      </c>
      <c r="B665" s="8" t="s">
        <v>16174</v>
      </c>
      <c r="C665" s="2" t="s">
        <v>2762</v>
      </c>
      <c r="D665" s="2" t="s">
        <v>2763</v>
      </c>
      <c r="E665" s="4" t="s">
        <v>21761</v>
      </c>
      <c r="G665" s="15" t="s">
        <v>21762</v>
      </c>
      <c r="H665" s="15" t="s">
        <v>21763</v>
      </c>
      <c r="I665" s="15" t="s">
        <v>21764</v>
      </c>
      <c r="J665" s="15" t="s">
        <v>21765</v>
      </c>
      <c r="K665" s="15">
        <v>1923</v>
      </c>
      <c r="L665" s="15" t="s">
        <v>19099</v>
      </c>
    </row>
    <row r="666" spans="1:20" x14ac:dyDescent="0.25">
      <c r="A666" s="2" t="s">
        <v>2765</v>
      </c>
      <c r="B666" s="8" t="s">
        <v>16175</v>
      </c>
      <c r="C666" s="2" t="s">
        <v>2765</v>
      </c>
      <c r="D666" s="2" t="s">
        <v>2766</v>
      </c>
      <c r="E666" s="4" t="s">
        <v>21766</v>
      </c>
      <c r="G666" s="15" t="s">
        <v>21767</v>
      </c>
      <c r="H666" s="15" t="s">
        <v>21768</v>
      </c>
      <c r="I666" s="15" t="s">
        <v>21769</v>
      </c>
      <c r="J666" s="15" t="s">
        <v>21770</v>
      </c>
      <c r="K666" s="15">
        <v>22568738</v>
      </c>
      <c r="L666" s="15" t="s">
        <v>19099</v>
      </c>
    </row>
    <row r="667" spans="1:20" x14ac:dyDescent="0.25">
      <c r="A667" s="2" t="s">
        <v>2768</v>
      </c>
      <c r="B667" s="8" t="s">
        <v>16176</v>
      </c>
      <c r="C667" s="2" t="s">
        <v>2768</v>
      </c>
      <c r="D667" s="2" t="s">
        <v>2769</v>
      </c>
      <c r="E667" s="4" t="s">
        <v>21771</v>
      </c>
      <c r="G667" s="15" t="s">
        <v>21772</v>
      </c>
      <c r="H667" s="15" t="s">
        <v>21773</v>
      </c>
      <c r="I667" s="15" t="s">
        <v>21774</v>
      </c>
      <c r="J667" s="15" t="s">
        <v>21775</v>
      </c>
      <c r="K667" s="15">
        <v>4668</v>
      </c>
      <c r="L667" s="15" t="s">
        <v>19099</v>
      </c>
    </row>
    <row r="668" spans="1:20" x14ac:dyDescent="0.25">
      <c r="A668" s="2" t="s">
        <v>2771</v>
      </c>
      <c r="B668" s="8" t="s">
        <v>16177</v>
      </c>
      <c r="C668" s="2" t="s">
        <v>2771</v>
      </c>
      <c r="D668" s="2" t="s">
        <v>2772</v>
      </c>
      <c r="E668" s="4" t="s">
        <v>2772</v>
      </c>
      <c r="G668" s="15" t="s">
        <v>21776</v>
      </c>
      <c r="H668" s="15" t="s">
        <v>21777</v>
      </c>
      <c r="I668" s="15" t="s">
        <v>21778</v>
      </c>
      <c r="J668" s="15" t="s">
        <v>21779</v>
      </c>
      <c r="K668" s="15">
        <v>5283381</v>
      </c>
      <c r="L668" s="15" t="s">
        <v>19099</v>
      </c>
    </row>
    <row r="669" spans="1:20" x14ac:dyDescent="0.25">
      <c r="A669" s="2" t="s">
        <v>2774</v>
      </c>
      <c r="B669" s="8" t="s">
        <v>16178</v>
      </c>
      <c r="C669" s="2" t="s">
        <v>2774</v>
      </c>
      <c r="D669" s="2" t="s">
        <v>2775</v>
      </c>
      <c r="E669" s="4" t="s">
        <v>21780</v>
      </c>
      <c r="G669" s="15" t="s">
        <v>21781</v>
      </c>
      <c r="H669" s="15" t="s">
        <v>21782</v>
      </c>
      <c r="I669" s="15" t="s">
        <v>21783</v>
      </c>
      <c r="J669" s="15" t="s">
        <v>21784</v>
      </c>
      <c r="K669" s="15">
        <v>10241</v>
      </c>
      <c r="L669" s="15" t="s">
        <v>19099</v>
      </c>
    </row>
    <row r="670" spans="1:20" x14ac:dyDescent="0.25">
      <c r="A670" s="2" t="s">
        <v>2777</v>
      </c>
      <c r="B670" s="8" t="s">
        <v>16180</v>
      </c>
      <c r="C670" s="2" t="s">
        <v>2777</v>
      </c>
      <c r="D670" s="2" t="s">
        <v>2778</v>
      </c>
      <c r="E670" s="4" t="s">
        <v>21785</v>
      </c>
    </row>
    <row r="671" spans="1:20" x14ac:dyDescent="0.25">
      <c r="A671" s="2" t="s">
        <v>2780</v>
      </c>
      <c r="B671" s="8" t="s">
        <v>16180</v>
      </c>
      <c r="C671" s="2" t="s">
        <v>2780</v>
      </c>
      <c r="D671" s="2" t="s">
        <v>2781</v>
      </c>
      <c r="E671" s="4" t="s">
        <v>21786</v>
      </c>
    </row>
    <row r="672" spans="1:20" x14ac:dyDescent="0.25">
      <c r="A672" s="2" t="s">
        <v>2782</v>
      </c>
      <c r="B672" s="8" t="s">
        <v>16180</v>
      </c>
      <c r="C672" s="2" t="s">
        <v>2782</v>
      </c>
      <c r="D672" s="2" t="s">
        <v>2783</v>
      </c>
      <c r="E672" s="4" t="s">
        <v>21787</v>
      </c>
      <c r="N672" s="15" t="s">
        <v>21788</v>
      </c>
      <c r="O672" s="15" t="s">
        <v>592</v>
      </c>
      <c r="P672" s="15" t="s">
        <v>21789</v>
      </c>
      <c r="Q672" s="15" t="s">
        <v>21790</v>
      </c>
      <c r="R672" s="15" t="s">
        <v>590</v>
      </c>
      <c r="S672" s="15">
        <v>24822</v>
      </c>
      <c r="T672" s="15" t="s">
        <v>19089</v>
      </c>
    </row>
    <row r="673" spans="1:20" x14ac:dyDescent="0.25">
      <c r="A673" s="2" t="s">
        <v>2784</v>
      </c>
      <c r="B673" s="8" t="s">
        <v>16180</v>
      </c>
      <c r="C673" s="2" t="s">
        <v>2784</v>
      </c>
      <c r="D673" s="2" t="s">
        <v>2785</v>
      </c>
      <c r="E673" s="4" t="s">
        <v>21791</v>
      </c>
    </row>
    <row r="674" spans="1:20" x14ac:dyDescent="0.25">
      <c r="A674" s="2" t="s">
        <v>2787</v>
      </c>
      <c r="B674" s="8" t="s">
        <v>16180</v>
      </c>
      <c r="C674" s="2" t="s">
        <v>2787</v>
      </c>
      <c r="D674" s="2" t="s">
        <v>2788</v>
      </c>
      <c r="E674" s="4" t="s">
        <v>21792</v>
      </c>
    </row>
    <row r="675" spans="1:20" x14ac:dyDescent="0.25">
      <c r="A675" s="2" t="s">
        <v>2790</v>
      </c>
      <c r="B675" s="8" t="s">
        <v>16180</v>
      </c>
      <c r="C675" s="2" t="s">
        <v>2790</v>
      </c>
      <c r="D675" s="2" t="s">
        <v>2791</v>
      </c>
      <c r="E675" s="4" t="s">
        <v>21793</v>
      </c>
    </row>
    <row r="676" spans="1:20" x14ac:dyDescent="0.25">
      <c r="A676" s="2" t="s">
        <v>2793</v>
      </c>
      <c r="B676" s="8" t="s">
        <v>16180</v>
      </c>
      <c r="C676" s="2" t="s">
        <v>2793</v>
      </c>
      <c r="D676" s="2" t="s">
        <v>2794</v>
      </c>
      <c r="E676" s="4" t="s">
        <v>21794</v>
      </c>
    </row>
    <row r="677" spans="1:20" x14ac:dyDescent="0.25">
      <c r="A677" s="2" t="s">
        <v>2795</v>
      </c>
      <c r="B677" s="8" t="s">
        <v>16180</v>
      </c>
      <c r="C677" s="2" t="s">
        <v>2795</v>
      </c>
      <c r="D677" s="2" t="s">
        <v>2796</v>
      </c>
      <c r="E677" s="4" t="s">
        <v>21795</v>
      </c>
    </row>
    <row r="678" spans="1:20" x14ac:dyDescent="0.25">
      <c r="A678" s="2" t="s">
        <v>2797</v>
      </c>
      <c r="B678" s="8" t="s">
        <v>16180</v>
      </c>
      <c r="C678" s="2" t="s">
        <v>2797</v>
      </c>
      <c r="D678" s="2" t="s">
        <v>2798</v>
      </c>
      <c r="E678" s="4" t="s">
        <v>21796</v>
      </c>
    </row>
    <row r="679" spans="1:20" x14ac:dyDescent="0.25">
      <c r="A679" s="2" t="s">
        <v>2800</v>
      </c>
      <c r="B679" s="8" t="s">
        <v>16180</v>
      </c>
      <c r="C679" s="2" t="s">
        <v>2800</v>
      </c>
      <c r="D679" s="2" t="s">
        <v>2801</v>
      </c>
      <c r="E679" s="4" t="s">
        <v>21797</v>
      </c>
      <c r="L679" s="15" t="s">
        <v>19099</v>
      </c>
      <c r="N679" s="15" t="s">
        <v>21788</v>
      </c>
      <c r="O679" s="15" t="s">
        <v>21798</v>
      </c>
      <c r="P679" s="15" t="s">
        <v>21799</v>
      </c>
      <c r="Q679" s="15" t="s">
        <v>21800</v>
      </c>
      <c r="R679" s="15" t="s">
        <v>19</v>
      </c>
      <c r="S679" s="15">
        <v>297</v>
      </c>
      <c r="T679" s="15" t="s">
        <v>19995</v>
      </c>
    </row>
    <row r="680" spans="1:20" x14ac:dyDescent="0.25">
      <c r="A680" s="2" t="s">
        <v>2802</v>
      </c>
      <c r="B680" s="8" t="s">
        <v>16180</v>
      </c>
      <c r="C680" s="2" t="s">
        <v>2802</v>
      </c>
      <c r="D680" s="2" t="s">
        <v>2803</v>
      </c>
      <c r="E680" s="4" t="s">
        <v>21801</v>
      </c>
    </row>
    <row r="681" spans="1:20" x14ac:dyDescent="0.25">
      <c r="A681" s="2" t="s">
        <v>2804</v>
      </c>
      <c r="B681" s="8" t="s">
        <v>16180</v>
      </c>
      <c r="C681" s="2" t="s">
        <v>2804</v>
      </c>
      <c r="D681" s="2" t="s">
        <v>2805</v>
      </c>
      <c r="E681" s="4" t="s">
        <v>21802</v>
      </c>
    </row>
    <row r="682" spans="1:20" x14ac:dyDescent="0.25">
      <c r="A682" s="2" t="s">
        <v>2806</v>
      </c>
      <c r="B682" s="8" t="s">
        <v>16180</v>
      </c>
      <c r="C682" s="2" t="s">
        <v>2806</v>
      </c>
      <c r="D682" s="2" t="s">
        <v>2807</v>
      </c>
      <c r="E682" s="4" t="s">
        <v>21803</v>
      </c>
    </row>
    <row r="683" spans="1:20" x14ac:dyDescent="0.25">
      <c r="A683" s="2" t="s">
        <v>2808</v>
      </c>
      <c r="B683" s="8" t="s">
        <v>16181</v>
      </c>
      <c r="C683" s="2" t="s">
        <v>2808</v>
      </c>
      <c r="D683" s="2" t="s">
        <v>2809</v>
      </c>
      <c r="E683" s="4" t="s">
        <v>2809</v>
      </c>
      <c r="G683" s="15" t="s">
        <v>21804</v>
      </c>
      <c r="H683" s="15" t="s">
        <v>21805</v>
      </c>
      <c r="I683" s="15" t="s">
        <v>21806</v>
      </c>
      <c r="J683" s="15" t="s">
        <v>21807</v>
      </c>
      <c r="K683" s="15">
        <v>61585</v>
      </c>
      <c r="L683" s="15" t="s">
        <v>19099</v>
      </c>
    </row>
    <row r="684" spans="1:20" x14ac:dyDescent="0.25">
      <c r="A684" s="2" t="s">
        <v>2811</v>
      </c>
      <c r="B684" s="8" t="s">
        <v>16180</v>
      </c>
      <c r="C684" s="2" t="s">
        <v>2811</v>
      </c>
      <c r="D684" s="2" t="s">
        <v>2812</v>
      </c>
      <c r="E684" s="4" t="s">
        <v>21808</v>
      </c>
      <c r="N684" s="15" t="s">
        <v>21788</v>
      </c>
      <c r="O684" s="15" t="s">
        <v>21809</v>
      </c>
      <c r="P684" s="15" t="s">
        <v>21810</v>
      </c>
      <c r="Q684" s="15" t="s">
        <v>21811</v>
      </c>
      <c r="R684" s="15" t="s">
        <v>21812</v>
      </c>
      <c r="S684" s="15">
        <v>6914637</v>
      </c>
      <c r="T684" s="15" t="s">
        <v>19089</v>
      </c>
    </row>
    <row r="685" spans="1:20" x14ac:dyDescent="0.25">
      <c r="A685" s="2" t="s">
        <v>2813</v>
      </c>
      <c r="B685" s="8" t="s">
        <v>16182</v>
      </c>
      <c r="C685" s="2" t="s">
        <v>2813</v>
      </c>
      <c r="D685" s="2" t="s">
        <v>2814</v>
      </c>
      <c r="E685" s="4" t="s">
        <v>21813</v>
      </c>
      <c r="G685" s="15" t="s">
        <v>21814</v>
      </c>
      <c r="H685" s="15" t="s">
        <v>21815</v>
      </c>
      <c r="I685" s="15" t="s">
        <v>21816</v>
      </c>
      <c r="J685" s="15" t="s">
        <v>21817</v>
      </c>
      <c r="K685" s="15">
        <v>87490983</v>
      </c>
      <c r="L685" s="15" t="s">
        <v>19099</v>
      </c>
    </row>
    <row r="686" spans="1:20" x14ac:dyDescent="0.25">
      <c r="A686" s="2" t="s">
        <v>2816</v>
      </c>
      <c r="B686" s="8" t="s">
        <v>16180</v>
      </c>
      <c r="C686" s="2" t="s">
        <v>2816</v>
      </c>
      <c r="D686" s="2" t="s">
        <v>2817</v>
      </c>
      <c r="E686" s="4" t="s">
        <v>21818</v>
      </c>
    </row>
    <row r="687" spans="1:20" x14ac:dyDescent="0.25">
      <c r="A687" s="2" t="s">
        <v>2818</v>
      </c>
      <c r="B687" s="8" t="s">
        <v>16180</v>
      </c>
      <c r="C687" s="2" t="s">
        <v>2818</v>
      </c>
      <c r="D687" s="2" t="s">
        <v>2819</v>
      </c>
      <c r="E687" s="4" t="s">
        <v>21819</v>
      </c>
    </row>
    <row r="688" spans="1:20" x14ac:dyDescent="0.25">
      <c r="A688" s="2" t="s">
        <v>2821</v>
      </c>
      <c r="B688" s="8" t="s">
        <v>16180</v>
      </c>
      <c r="C688" s="2" t="s">
        <v>2821</v>
      </c>
      <c r="D688" s="2" t="s">
        <v>2822</v>
      </c>
      <c r="E688" s="4" t="s">
        <v>21820</v>
      </c>
    </row>
    <row r="689" spans="1:20" x14ac:dyDescent="0.25">
      <c r="A689" s="2" t="s">
        <v>2823</v>
      </c>
      <c r="B689" s="8" t="s">
        <v>16180</v>
      </c>
      <c r="C689" s="2" t="s">
        <v>2823</v>
      </c>
      <c r="D689" s="2" t="s">
        <v>2824</v>
      </c>
      <c r="E689" s="4" t="s">
        <v>21821</v>
      </c>
    </row>
    <row r="690" spans="1:20" x14ac:dyDescent="0.25">
      <c r="A690" s="2" t="s">
        <v>2825</v>
      </c>
      <c r="B690" s="8" t="s">
        <v>16180</v>
      </c>
      <c r="C690" s="2" t="s">
        <v>2825</v>
      </c>
      <c r="D690" s="2" t="s">
        <v>2826</v>
      </c>
      <c r="E690" s="4" t="s">
        <v>21822</v>
      </c>
    </row>
    <row r="691" spans="1:20" x14ac:dyDescent="0.25">
      <c r="A691" s="2" t="s">
        <v>2827</v>
      </c>
      <c r="B691" s="8" t="s">
        <v>16183</v>
      </c>
      <c r="C691" s="2" t="s">
        <v>2827</v>
      </c>
      <c r="D691" s="2" t="s">
        <v>2828</v>
      </c>
      <c r="E691" s="4" t="s">
        <v>21823</v>
      </c>
      <c r="G691" s="15" t="s">
        <v>21824</v>
      </c>
      <c r="H691" s="15" t="s">
        <v>21825</v>
      </c>
      <c r="I691" s="15" t="s">
        <v>21826</v>
      </c>
      <c r="J691" s="15" t="s">
        <v>21807</v>
      </c>
      <c r="K691" s="15">
        <v>47167</v>
      </c>
      <c r="L691" s="15" t="s">
        <v>19099</v>
      </c>
    </row>
    <row r="692" spans="1:20" x14ac:dyDescent="0.25">
      <c r="A692" s="2" t="s">
        <v>2830</v>
      </c>
      <c r="B692" s="8" t="s">
        <v>16184</v>
      </c>
      <c r="C692" s="2" t="s">
        <v>2830</v>
      </c>
      <c r="D692" s="2" t="s">
        <v>2831</v>
      </c>
      <c r="E692" s="4" t="s">
        <v>2831</v>
      </c>
      <c r="G692" s="15" t="s">
        <v>21827</v>
      </c>
      <c r="H692" s="15" t="s">
        <v>21828</v>
      </c>
      <c r="I692" s="15" t="s">
        <v>21829</v>
      </c>
      <c r="J692" s="15" t="s">
        <v>21830</v>
      </c>
      <c r="K692" s="15">
        <v>89440</v>
      </c>
      <c r="L692" s="15" t="s">
        <v>19099</v>
      </c>
    </row>
    <row r="693" spans="1:20" x14ac:dyDescent="0.25">
      <c r="A693" s="2" t="s">
        <v>2833</v>
      </c>
      <c r="B693" s="8" t="s">
        <v>16185</v>
      </c>
      <c r="C693" s="2" t="s">
        <v>2833</v>
      </c>
      <c r="D693" s="2" t="s">
        <v>2834</v>
      </c>
      <c r="E693" s="4" t="s">
        <v>21831</v>
      </c>
      <c r="G693" s="15" t="s">
        <v>21831</v>
      </c>
      <c r="H693" s="15" t="s">
        <v>21832</v>
      </c>
      <c r="I693" s="15" t="s">
        <v>21833</v>
      </c>
      <c r="J693" s="15" t="s">
        <v>21834</v>
      </c>
      <c r="K693" s="15">
        <v>14017</v>
      </c>
      <c r="L693" s="15" t="s">
        <v>19099</v>
      </c>
    </row>
    <row r="694" spans="1:20" x14ac:dyDescent="0.25">
      <c r="A694" s="2" t="s">
        <v>2836</v>
      </c>
      <c r="B694" s="8" t="s">
        <v>16180</v>
      </c>
      <c r="C694" s="2" t="s">
        <v>2836</v>
      </c>
      <c r="D694" s="2" t="s">
        <v>2837</v>
      </c>
      <c r="E694" s="4" t="s">
        <v>2837</v>
      </c>
      <c r="N694" s="15" t="s">
        <v>21788</v>
      </c>
      <c r="O694" s="15" t="s">
        <v>21835</v>
      </c>
      <c r="P694" s="15" t="s">
        <v>21836</v>
      </c>
      <c r="Q694" s="15" t="s">
        <v>21837</v>
      </c>
      <c r="R694" s="15" t="s">
        <v>21838</v>
      </c>
      <c r="S694" s="15">
        <v>24706</v>
      </c>
      <c r="T694" s="15" t="s">
        <v>19089</v>
      </c>
    </row>
    <row r="695" spans="1:20" x14ac:dyDescent="0.25">
      <c r="A695" s="2" t="s">
        <v>2838</v>
      </c>
      <c r="B695" s="8" t="s">
        <v>16180</v>
      </c>
      <c r="C695" s="2" t="s">
        <v>2838</v>
      </c>
      <c r="D695" s="2" t="s">
        <v>2839</v>
      </c>
      <c r="E695" s="4" t="s">
        <v>2839</v>
      </c>
    </row>
    <row r="696" spans="1:20" x14ac:dyDescent="0.25">
      <c r="A696" s="2" t="s">
        <v>2840</v>
      </c>
      <c r="B696" s="8" t="s">
        <v>16180</v>
      </c>
      <c r="C696" s="2" t="s">
        <v>2840</v>
      </c>
      <c r="D696" s="2" t="s">
        <v>2841</v>
      </c>
      <c r="E696" s="4" t="s">
        <v>21839</v>
      </c>
    </row>
    <row r="697" spans="1:20" x14ac:dyDescent="0.25">
      <c r="A697" s="2" t="s">
        <v>2842</v>
      </c>
      <c r="B697" s="8" t="s">
        <v>16180</v>
      </c>
      <c r="C697" s="2" t="s">
        <v>2842</v>
      </c>
      <c r="D697" s="2" t="s">
        <v>2843</v>
      </c>
      <c r="E697" s="4" t="s">
        <v>21840</v>
      </c>
    </row>
    <row r="698" spans="1:20" x14ac:dyDescent="0.25">
      <c r="A698" s="2" t="s">
        <v>2844</v>
      </c>
      <c r="B698" s="8" t="s">
        <v>16180</v>
      </c>
      <c r="C698" s="2" t="s">
        <v>2844</v>
      </c>
      <c r="D698" s="2" t="s">
        <v>2845</v>
      </c>
      <c r="E698" s="4" t="s">
        <v>21841</v>
      </c>
    </row>
    <row r="699" spans="1:20" x14ac:dyDescent="0.25">
      <c r="A699" s="2" t="s">
        <v>2846</v>
      </c>
      <c r="B699" s="8" t="s">
        <v>16180</v>
      </c>
      <c r="C699" s="2" t="s">
        <v>2846</v>
      </c>
      <c r="D699" s="2" t="s">
        <v>2847</v>
      </c>
      <c r="E699" s="4" t="s">
        <v>21842</v>
      </c>
    </row>
    <row r="700" spans="1:20" x14ac:dyDescent="0.25">
      <c r="A700" s="2" t="s">
        <v>2848</v>
      </c>
      <c r="B700" s="8" t="s">
        <v>16180</v>
      </c>
      <c r="C700" s="2" t="s">
        <v>2848</v>
      </c>
      <c r="D700" s="2" t="s">
        <v>2849</v>
      </c>
      <c r="E700" s="4" t="s">
        <v>21843</v>
      </c>
    </row>
    <row r="701" spans="1:20" x14ac:dyDescent="0.25">
      <c r="A701" s="2" t="s">
        <v>2850</v>
      </c>
      <c r="B701" s="8" t="s">
        <v>16180</v>
      </c>
      <c r="C701" s="2" t="s">
        <v>2850</v>
      </c>
      <c r="D701" s="2" t="s">
        <v>2851</v>
      </c>
      <c r="E701" s="4" t="s">
        <v>21844</v>
      </c>
    </row>
    <row r="702" spans="1:20" x14ac:dyDescent="0.25">
      <c r="A702" s="2" t="s">
        <v>2852</v>
      </c>
      <c r="B702" s="8" t="s">
        <v>16180</v>
      </c>
      <c r="C702" s="2" t="s">
        <v>2852</v>
      </c>
      <c r="D702" s="2" t="s">
        <v>2853</v>
      </c>
      <c r="E702" s="4" t="s">
        <v>21845</v>
      </c>
    </row>
    <row r="703" spans="1:20" x14ac:dyDescent="0.25">
      <c r="A703" s="2" t="s">
        <v>2854</v>
      </c>
      <c r="B703" s="8" t="s">
        <v>16180</v>
      </c>
      <c r="C703" s="2" t="s">
        <v>2854</v>
      </c>
      <c r="D703" s="2" t="s">
        <v>2855</v>
      </c>
      <c r="E703" s="4" t="s">
        <v>21846</v>
      </c>
    </row>
    <row r="704" spans="1:20" x14ac:dyDescent="0.25">
      <c r="A704" s="2" t="s">
        <v>2856</v>
      </c>
      <c r="B704" s="8" t="s">
        <v>16180</v>
      </c>
      <c r="C704" s="2" t="s">
        <v>2856</v>
      </c>
      <c r="D704" s="2" t="s">
        <v>2857</v>
      </c>
      <c r="E704" s="4" t="s">
        <v>21847</v>
      </c>
    </row>
    <row r="705" spans="1:5" x14ac:dyDescent="0.25">
      <c r="A705" s="2" t="s">
        <v>2858</v>
      </c>
      <c r="B705" s="8" t="s">
        <v>16180</v>
      </c>
      <c r="C705" s="2" t="s">
        <v>2858</v>
      </c>
      <c r="D705" s="2" t="s">
        <v>2859</v>
      </c>
      <c r="E705" s="4" t="s">
        <v>21848</v>
      </c>
    </row>
    <row r="706" spans="1:5" x14ac:dyDescent="0.25">
      <c r="A706" s="2" t="s">
        <v>2860</v>
      </c>
      <c r="B706" s="8" t="s">
        <v>16180</v>
      </c>
      <c r="C706" s="2" t="s">
        <v>2860</v>
      </c>
      <c r="D706" s="2" t="s">
        <v>2861</v>
      </c>
      <c r="E706" s="4" t="s">
        <v>21849</v>
      </c>
    </row>
    <row r="707" spans="1:5" x14ac:dyDescent="0.25">
      <c r="A707" s="2" t="s">
        <v>2863</v>
      </c>
      <c r="B707" s="8" t="s">
        <v>16180</v>
      </c>
      <c r="C707" s="2" t="s">
        <v>2863</v>
      </c>
      <c r="D707" s="2" t="s">
        <v>2864</v>
      </c>
      <c r="E707" s="4" t="s">
        <v>21850</v>
      </c>
    </row>
    <row r="708" spans="1:5" x14ac:dyDescent="0.25">
      <c r="A708" s="2" t="s">
        <v>2865</v>
      </c>
      <c r="B708" s="8" t="s">
        <v>16180</v>
      </c>
      <c r="C708" s="2" t="s">
        <v>2865</v>
      </c>
      <c r="D708" s="2" t="s">
        <v>2866</v>
      </c>
      <c r="E708" s="4" t="s">
        <v>21851</v>
      </c>
    </row>
    <row r="709" spans="1:5" x14ac:dyDescent="0.25">
      <c r="A709" s="2" t="s">
        <v>2867</v>
      </c>
      <c r="B709" s="8" t="s">
        <v>16180</v>
      </c>
      <c r="C709" s="2" t="s">
        <v>2867</v>
      </c>
      <c r="D709" s="2" t="s">
        <v>2868</v>
      </c>
      <c r="E709" s="4" t="s">
        <v>21852</v>
      </c>
    </row>
    <row r="710" spans="1:5" x14ac:dyDescent="0.25">
      <c r="A710" s="2" t="s">
        <v>2869</v>
      </c>
      <c r="B710" s="8" t="s">
        <v>16180</v>
      </c>
      <c r="C710" s="2" t="s">
        <v>2869</v>
      </c>
      <c r="D710" s="2" t="s">
        <v>2870</v>
      </c>
      <c r="E710" s="4" t="s">
        <v>21853</v>
      </c>
    </row>
    <row r="711" spans="1:5" x14ac:dyDescent="0.25">
      <c r="A711" s="2" t="s">
        <v>2871</v>
      </c>
      <c r="B711" s="8" t="s">
        <v>16180</v>
      </c>
      <c r="C711" s="2" t="s">
        <v>2871</v>
      </c>
      <c r="D711" s="2" t="s">
        <v>2872</v>
      </c>
      <c r="E711" s="4" t="s">
        <v>21854</v>
      </c>
    </row>
    <row r="712" spans="1:5" x14ac:dyDescent="0.25">
      <c r="A712" s="2" t="s">
        <v>2873</v>
      </c>
      <c r="B712" s="8" t="s">
        <v>16180</v>
      </c>
      <c r="C712" s="2" t="s">
        <v>2873</v>
      </c>
      <c r="D712" s="2" t="s">
        <v>2874</v>
      </c>
      <c r="E712" s="4" t="s">
        <v>21855</v>
      </c>
    </row>
    <row r="713" spans="1:5" x14ac:dyDescent="0.25">
      <c r="A713" s="2" t="s">
        <v>2875</v>
      </c>
      <c r="B713" s="8" t="s">
        <v>16180</v>
      </c>
      <c r="C713" s="2" t="s">
        <v>2875</v>
      </c>
      <c r="D713" s="2" t="s">
        <v>2876</v>
      </c>
      <c r="E713" s="4" t="s">
        <v>21856</v>
      </c>
    </row>
    <row r="714" spans="1:5" x14ac:dyDescent="0.25">
      <c r="A714" s="2" t="s">
        <v>2877</v>
      </c>
      <c r="B714" s="8" t="s">
        <v>16180</v>
      </c>
      <c r="C714" s="2" t="s">
        <v>2877</v>
      </c>
      <c r="D714" s="2" t="s">
        <v>2878</v>
      </c>
      <c r="E714" s="4" t="s">
        <v>21857</v>
      </c>
    </row>
    <row r="715" spans="1:5" x14ac:dyDescent="0.25">
      <c r="A715" s="2" t="s">
        <v>2879</v>
      </c>
      <c r="B715" s="8" t="s">
        <v>16180</v>
      </c>
      <c r="C715" s="2" t="s">
        <v>2879</v>
      </c>
      <c r="D715" s="2" t="s">
        <v>2880</v>
      </c>
      <c r="E715" s="4" t="s">
        <v>21858</v>
      </c>
    </row>
    <row r="716" spans="1:5" x14ac:dyDescent="0.25">
      <c r="A716" s="2" t="s">
        <v>2881</v>
      </c>
      <c r="B716" s="8" t="s">
        <v>16180</v>
      </c>
      <c r="C716" s="2" t="s">
        <v>2881</v>
      </c>
      <c r="D716" s="2" t="s">
        <v>2882</v>
      </c>
      <c r="E716" s="4" t="s">
        <v>21859</v>
      </c>
    </row>
    <row r="717" spans="1:5" x14ac:dyDescent="0.25">
      <c r="A717" s="2" t="s">
        <v>2883</v>
      </c>
      <c r="B717" s="8" t="s">
        <v>16180</v>
      </c>
      <c r="C717" s="2" t="s">
        <v>2883</v>
      </c>
      <c r="D717" s="2" t="s">
        <v>2884</v>
      </c>
      <c r="E717" s="4" t="s">
        <v>21860</v>
      </c>
    </row>
    <row r="718" spans="1:5" x14ac:dyDescent="0.25">
      <c r="A718" s="2" t="s">
        <v>2885</v>
      </c>
      <c r="B718" s="8" t="s">
        <v>16180</v>
      </c>
      <c r="C718" s="2" t="s">
        <v>2885</v>
      </c>
      <c r="D718" s="2" t="s">
        <v>2886</v>
      </c>
      <c r="E718" s="4" t="s">
        <v>21861</v>
      </c>
    </row>
    <row r="719" spans="1:5" x14ac:dyDescent="0.25">
      <c r="A719" s="2" t="s">
        <v>2887</v>
      </c>
      <c r="B719" s="8" t="s">
        <v>16180</v>
      </c>
      <c r="C719" s="2" t="s">
        <v>2887</v>
      </c>
      <c r="D719" s="2" t="s">
        <v>2888</v>
      </c>
      <c r="E719" s="4" t="s">
        <v>21862</v>
      </c>
    </row>
    <row r="720" spans="1:5" x14ac:dyDescent="0.25">
      <c r="A720" s="2" t="s">
        <v>2889</v>
      </c>
      <c r="B720" s="8" t="s">
        <v>16180</v>
      </c>
      <c r="C720" s="2" t="s">
        <v>2889</v>
      </c>
      <c r="D720" s="2" t="s">
        <v>2890</v>
      </c>
      <c r="E720" s="4" t="s">
        <v>21863</v>
      </c>
    </row>
    <row r="721" spans="1:5" x14ac:dyDescent="0.25">
      <c r="A721" s="2" t="s">
        <v>2891</v>
      </c>
      <c r="B721" s="8" t="s">
        <v>16180</v>
      </c>
      <c r="C721" s="2" t="s">
        <v>2891</v>
      </c>
      <c r="D721" s="2" t="s">
        <v>2892</v>
      </c>
      <c r="E721" s="4" t="s">
        <v>21864</v>
      </c>
    </row>
    <row r="722" spans="1:5" x14ac:dyDescent="0.25">
      <c r="A722" s="2" t="s">
        <v>2893</v>
      </c>
      <c r="B722" s="8" t="s">
        <v>16180</v>
      </c>
      <c r="C722" s="2" t="s">
        <v>2893</v>
      </c>
      <c r="D722" s="2" t="s">
        <v>2894</v>
      </c>
      <c r="E722" s="4" t="s">
        <v>21865</v>
      </c>
    </row>
    <row r="723" spans="1:5" x14ac:dyDescent="0.25">
      <c r="A723" s="2" t="s">
        <v>2895</v>
      </c>
      <c r="B723" s="8" t="s">
        <v>16180</v>
      </c>
      <c r="C723" s="2" t="s">
        <v>2895</v>
      </c>
      <c r="D723" s="2" t="s">
        <v>2896</v>
      </c>
      <c r="E723" s="4" t="s">
        <v>21866</v>
      </c>
    </row>
    <row r="724" spans="1:5" x14ac:dyDescent="0.25">
      <c r="A724" s="2" t="s">
        <v>2897</v>
      </c>
      <c r="B724" s="8" t="s">
        <v>16180</v>
      </c>
      <c r="C724" s="2" t="s">
        <v>2897</v>
      </c>
      <c r="D724" s="2" t="s">
        <v>2898</v>
      </c>
      <c r="E724" s="4" t="s">
        <v>21867</v>
      </c>
    </row>
    <row r="725" spans="1:5" x14ac:dyDescent="0.25">
      <c r="A725" s="2" t="s">
        <v>2899</v>
      </c>
      <c r="B725" s="8" t="s">
        <v>16180</v>
      </c>
      <c r="C725" s="2" t="s">
        <v>2899</v>
      </c>
      <c r="D725" s="2" t="s">
        <v>2900</v>
      </c>
      <c r="E725" s="4" t="s">
        <v>21868</v>
      </c>
    </row>
    <row r="726" spans="1:5" x14ac:dyDescent="0.25">
      <c r="A726" s="2" t="s">
        <v>2901</v>
      </c>
      <c r="B726" s="8" t="s">
        <v>16180</v>
      </c>
      <c r="C726" s="2" t="s">
        <v>2901</v>
      </c>
      <c r="D726" s="2" t="s">
        <v>2902</v>
      </c>
      <c r="E726" s="4" t="s">
        <v>21869</v>
      </c>
    </row>
    <row r="727" spans="1:5" x14ac:dyDescent="0.25">
      <c r="A727" s="2" t="s">
        <v>2903</v>
      </c>
      <c r="B727" s="8" t="s">
        <v>16180</v>
      </c>
      <c r="C727" s="2" t="s">
        <v>2903</v>
      </c>
      <c r="D727" s="2" t="s">
        <v>2904</v>
      </c>
      <c r="E727" s="4" t="s">
        <v>21870</v>
      </c>
    </row>
    <row r="728" spans="1:5" x14ac:dyDescent="0.25">
      <c r="A728" s="2" t="s">
        <v>2905</v>
      </c>
      <c r="B728" s="8" t="s">
        <v>16180</v>
      </c>
      <c r="C728" s="2" t="s">
        <v>2905</v>
      </c>
      <c r="D728" s="2" t="s">
        <v>2906</v>
      </c>
      <c r="E728" s="4" t="s">
        <v>21871</v>
      </c>
    </row>
    <row r="729" spans="1:5" x14ac:dyDescent="0.25">
      <c r="A729" s="2" t="s">
        <v>2907</v>
      </c>
      <c r="B729" s="8" t="s">
        <v>16180</v>
      </c>
      <c r="C729" s="2" t="s">
        <v>2907</v>
      </c>
      <c r="D729" s="2" t="s">
        <v>2908</v>
      </c>
      <c r="E729" s="4" t="s">
        <v>21872</v>
      </c>
    </row>
    <row r="730" spans="1:5" x14ac:dyDescent="0.25">
      <c r="A730" s="2" t="s">
        <v>2909</v>
      </c>
      <c r="B730" s="8" t="s">
        <v>16180</v>
      </c>
      <c r="C730" s="2" t="s">
        <v>2909</v>
      </c>
      <c r="D730" s="2" t="s">
        <v>2910</v>
      </c>
      <c r="E730" s="4" t="s">
        <v>21873</v>
      </c>
    </row>
    <row r="731" spans="1:5" x14ac:dyDescent="0.25">
      <c r="A731" s="2" t="s">
        <v>2911</v>
      </c>
      <c r="B731" s="8" t="s">
        <v>16180</v>
      </c>
      <c r="C731" s="2" t="s">
        <v>2911</v>
      </c>
      <c r="D731" s="2" t="s">
        <v>2912</v>
      </c>
      <c r="E731" s="4" t="s">
        <v>21874</v>
      </c>
    </row>
    <row r="732" spans="1:5" x14ac:dyDescent="0.25">
      <c r="A732" s="2" t="s">
        <v>2913</v>
      </c>
      <c r="B732" s="8" t="s">
        <v>16180</v>
      </c>
      <c r="C732" s="2" t="s">
        <v>2913</v>
      </c>
      <c r="D732" s="2" t="s">
        <v>2914</v>
      </c>
      <c r="E732" s="4" t="s">
        <v>21875</v>
      </c>
    </row>
    <row r="733" spans="1:5" x14ac:dyDescent="0.25">
      <c r="A733" s="2" t="s">
        <v>2915</v>
      </c>
      <c r="B733" s="8" t="s">
        <v>16180</v>
      </c>
      <c r="C733" s="2" t="s">
        <v>2915</v>
      </c>
      <c r="D733" s="2" t="s">
        <v>2916</v>
      </c>
      <c r="E733" s="4" t="s">
        <v>21876</v>
      </c>
    </row>
    <row r="734" spans="1:5" x14ac:dyDescent="0.25">
      <c r="A734" s="2" t="s">
        <v>2917</v>
      </c>
      <c r="B734" s="8" t="s">
        <v>16180</v>
      </c>
      <c r="C734" s="2" t="s">
        <v>2917</v>
      </c>
      <c r="D734" s="2" t="s">
        <v>2918</v>
      </c>
      <c r="E734" s="4" t="s">
        <v>21877</v>
      </c>
    </row>
    <row r="735" spans="1:5" ht="30" customHeight="1" x14ac:dyDescent="0.25">
      <c r="A735" s="2" t="s">
        <v>2919</v>
      </c>
      <c r="B735" s="8" t="s">
        <v>16180</v>
      </c>
      <c r="C735" s="2" t="s">
        <v>2919</v>
      </c>
      <c r="D735" s="2" t="s">
        <v>2920</v>
      </c>
      <c r="E735" s="4" t="s">
        <v>21878</v>
      </c>
    </row>
    <row r="736" spans="1:5" x14ac:dyDescent="0.25">
      <c r="A736" s="2" t="s">
        <v>2921</v>
      </c>
      <c r="B736" s="8" t="s">
        <v>16180</v>
      </c>
      <c r="C736" s="2" t="s">
        <v>2921</v>
      </c>
      <c r="D736" s="2" t="s">
        <v>2922</v>
      </c>
      <c r="E736" s="4" t="s">
        <v>21879</v>
      </c>
    </row>
    <row r="737" spans="1:12" x14ac:dyDescent="0.25">
      <c r="A737" s="2" t="s">
        <v>2923</v>
      </c>
      <c r="B737" s="8" t="s">
        <v>16180</v>
      </c>
      <c r="C737" s="2" t="s">
        <v>2923</v>
      </c>
      <c r="D737" s="2" t="s">
        <v>2924</v>
      </c>
      <c r="E737" s="4" t="s">
        <v>21880</v>
      </c>
    </row>
    <row r="738" spans="1:12" x14ac:dyDescent="0.25">
      <c r="A738" s="2" t="s">
        <v>2925</v>
      </c>
      <c r="B738" s="8" t="s">
        <v>16180</v>
      </c>
      <c r="C738" s="2" t="s">
        <v>2925</v>
      </c>
      <c r="D738" s="2" t="s">
        <v>2926</v>
      </c>
      <c r="E738" s="4" t="s">
        <v>21881</v>
      </c>
    </row>
    <row r="739" spans="1:12" x14ac:dyDescent="0.25">
      <c r="A739" s="2" t="s">
        <v>2927</v>
      </c>
      <c r="B739" s="8" t="s">
        <v>16180</v>
      </c>
      <c r="C739" s="2" t="s">
        <v>2927</v>
      </c>
      <c r="D739" s="2" t="s">
        <v>2928</v>
      </c>
      <c r="E739" s="4" t="s">
        <v>21882</v>
      </c>
    </row>
    <row r="740" spans="1:12" x14ac:dyDescent="0.25">
      <c r="A740" s="2" t="s">
        <v>2929</v>
      </c>
      <c r="B740" s="8" t="s">
        <v>16180</v>
      </c>
      <c r="C740" s="2" t="s">
        <v>2929</v>
      </c>
      <c r="D740" s="2" t="s">
        <v>2930</v>
      </c>
      <c r="E740" s="4" t="s">
        <v>21883</v>
      </c>
    </row>
    <row r="741" spans="1:12" x14ac:dyDescent="0.25">
      <c r="A741" s="2" t="s">
        <v>2931</v>
      </c>
      <c r="B741" s="8" t="s">
        <v>16180</v>
      </c>
      <c r="C741" s="2" t="s">
        <v>2931</v>
      </c>
      <c r="D741" s="2" t="s">
        <v>2932</v>
      </c>
      <c r="E741" s="4" t="s">
        <v>21884</v>
      </c>
    </row>
    <row r="742" spans="1:12" x14ac:dyDescent="0.25">
      <c r="A742" s="2" t="s">
        <v>2933</v>
      </c>
      <c r="B742" s="8" t="s">
        <v>16180</v>
      </c>
      <c r="C742" s="2" t="s">
        <v>2933</v>
      </c>
      <c r="D742" s="2" t="s">
        <v>2934</v>
      </c>
      <c r="E742" s="4" t="s">
        <v>21885</v>
      </c>
    </row>
    <row r="743" spans="1:12" ht="30" customHeight="1" x14ac:dyDescent="0.25">
      <c r="A743" s="2" t="s">
        <v>2935</v>
      </c>
      <c r="B743" s="8" t="s">
        <v>16180</v>
      </c>
      <c r="C743" s="2" t="s">
        <v>2935</v>
      </c>
      <c r="D743" s="2" t="s">
        <v>2936</v>
      </c>
      <c r="E743" s="4" t="s">
        <v>21886</v>
      </c>
    </row>
    <row r="744" spans="1:12" x14ac:dyDescent="0.25">
      <c r="A744" s="2" t="s">
        <v>2937</v>
      </c>
      <c r="B744" s="8" t="s">
        <v>16180</v>
      </c>
      <c r="C744" s="2" t="s">
        <v>2937</v>
      </c>
      <c r="D744" s="2" t="s">
        <v>2938</v>
      </c>
      <c r="E744" s="4" t="s">
        <v>21887</v>
      </c>
    </row>
    <row r="745" spans="1:12" x14ac:dyDescent="0.25">
      <c r="A745" s="2" t="s">
        <v>2939</v>
      </c>
      <c r="B745" s="8" t="s">
        <v>16180</v>
      </c>
      <c r="C745" s="2" t="s">
        <v>2939</v>
      </c>
      <c r="D745" s="2" t="s">
        <v>2940</v>
      </c>
      <c r="E745" s="4" t="s">
        <v>21888</v>
      </c>
    </row>
    <row r="746" spans="1:12" x14ac:dyDescent="0.25">
      <c r="A746" s="2" t="s">
        <v>2941</v>
      </c>
      <c r="B746" s="8" t="s">
        <v>16180</v>
      </c>
      <c r="C746" s="2" t="s">
        <v>2941</v>
      </c>
      <c r="D746" s="2" t="s">
        <v>2942</v>
      </c>
      <c r="E746" s="4" t="s">
        <v>21889</v>
      </c>
    </row>
    <row r="747" spans="1:12" x14ac:dyDescent="0.25">
      <c r="A747" s="2" t="s">
        <v>2943</v>
      </c>
      <c r="B747" s="8" t="s">
        <v>16180</v>
      </c>
      <c r="C747" s="2" t="s">
        <v>2943</v>
      </c>
      <c r="D747" s="2" t="s">
        <v>2944</v>
      </c>
      <c r="E747" s="4" t="s">
        <v>21890</v>
      </c>
    </row>
    <row r="748" spans="1:12" x14ac:dyDescent="0.25">
      <c r="A748" s="2" t="s">
        <v>2945</v>
      </c>
      <c r="B748" s="8" t="s">
        <v>16180</v>
      </c>
      <c r="C748" s="2" t="s">
        <v>2945</v>
      </c>
      <c r="D748" s="2" t="s">
        <v>2946</v>
      </c>
      <c r="E748" s="4" t="s">
        <v>21891</v>
      </c>
    </row>
    <row r="749" spans="1:12" x14ac:dyDescent="0.25">
      <c r="A749" s="2" t="s">
        <v>2947</v>
      </c>
      <c r="B749" s="8" t="s">
        <v>16180</v>
      </c>
      <c r="C749" s="2" t="s">
        <v>2947</v>
      </c>
      <c r="D749" s="2" t="s">
        <v>2948</v>
      </c>
      <c r="E749" s="4" t="s">
        <v>2948</v>
      </c>
    </row>
    <row r="750" spans="1:12" x14ac:dyDescent="0.25">
      <c r="A750" s="2" t="s">
        <v>2949</v>
      </c>
      <c r="B750" s="8" t="s">
        <v>16186</v>
      </c>
      <c r="C750" s="2" t="s">
        <v>2949</v>
      </c>
      <c r="D750" s="2" t="s">
        <v>2950</v>
      </c>
      <c r="E750" s="4" t="s">
        <v>21892</v>
      </c>
      <c r="G750" s="15" t="s">
        <v>21893</v>
      </c>
      <c r="H750" s="15" t="s">
        <v>21894</v>
      </c>
      <c r="I750" s="15" t="s">
        <v>21895</v>
      </c>
      <c r="J750" s="15" t="s">
        <v>21896</v>
      </c>
      <c r="K750" s="15">
        <v>16220111</v>
      </c>
      <c r="L750" s="15" t="s">
        <v>19099</v>
      </c>
    </row>
    <row r="751" spans="1:12" x14ac:dyDescent="0.25">
      <c r="A751" s="2" t="s">
        <v>2952</v>
      </c>
      <c r="B751" s="8" t="s">
        <v>16187</v>
      </c>
      <c r="C751" s="2" t="s">
        <v>2952</v>
      </c>
      <c r="D751" s="2" t="s">
        <v>2953</v>
      </c>
      <c r="E751" s="4" t="s">
        <v>21897</v>
      </c>
      <c r="G751" s="15" t="s">
        <v>21827</v>
      </c>
      <c r="H751" s="15" t="s">
        <v>21828</v>
      </c>
      <c r="I751" s="15" t="s">
        <v>21829</v>
      </c>
      <c r="J751" s="15" t="s">
        <v>21830</v>
      </c>
      <c r="K751" s="15">
        <v>89440</v>
      </c>
      <c r="L751" s="15" t="s">
        <v>19099</v>
      </c>
    </row>
    <row r="752" spans="1:12" x14ac:dyDescent="0.25">
      <c r="A752" s="2" t="s">
        <v>2955</v>
      </c>
      <c r="B752" s="8" t="s">
        <v>16189</v>
      </c>
      <c r="C752" s="2" t="s">
        <v>2955</v>
      </c>
      <c r="D752" s="2" t="s">
        <v>2956</v>
      </c>
      <c r="E752" s="4" t="s">
        <v>2956</v>
      </c>
      <c r="G752" s="15" t="s">
        <v>21898</v>
      </c>
      <c r="H752" s="15" t="s">
        <v>21899</v>
      </c>
      <c r="I752" s="15" t="s">
        <v>21900</v>
      </c>
      <c r="J752" s="15" t="s">
        <v>21830</v>
      </c>
      <c r="K752" s="15">
        <v>91696</v>
      </c>
      <c r="L752" s="15" t="s">
        <v>19099</v>
      </c>
    </row>
    <row r="753" spans="1:12" ht="30" customHeight="1" x14ac:dyDescent="0.25">
      <c r="A753" s="2" t="s">
        <v>2958</v>
      </c>
      <c r="B753" s="8" t="s">
        <v>16180</v>
      </c>
      <c r="C753" s="2" t="s">
        <v>2958</v>
      </c>
      <c r="D753" s="2" t="s">
        <v>2959</v>
      </c>
      <c r="E753" s="4" t="s">
        <v>21901</v>
      </c>
    </row>
    <row r="754" spans="1:12" ht="30" customHeight="1" x14ac:dyDescent="0.25">
      <c r="A754" s="2" t="s">
        <v>2960</v>
      </c>
      <c r="B754" s="8" t="s">
        <v>16180</v>
      </c>
      <c r="C754" s="2" t="s">
        <v>2960</v>
      </c>
      <c r="D754" s="2" t="s">
        <v>2961</v>
      </c>
      <c r="E754" s="4" t="s">
        <v>21902</v>
      </c>
    </row>
    <row r="755" spans="1:12" x14ac:dyDescent="0.25">
      <c r="A755" s="2" t="s">
        <v>2962</v>
      </c>
      <c r="B755" s="8" t="s">
        <v>16191</v>
      </c>
      <c r="C755" s="2" t="s">
        <v>2962</v>
      </c>
      <c r="D755" s="2" t="s">
        <v>2963</v>
      </c>
      <c r="E755" s="4" t="s">
        <v>2963</v>
      </c>
      <c r="G755" s="15" t="s">
        <v>21903</v>
      </c>
      <c r="H755" s="15" t="s">
        <v>21904</v>
      </c>
      <c r="I755" s="15" t="s">
        <v>21905</v>
      </c>
      <c r="J755" s="15" t="s">
        <v>538</v>
      </c>
      <c r="K755" s="15">
        <v>105063</v>
      </c>
      <c r="L755" s="15" t="s">
        <v>19099</v>
      </c>
    </row>
    <row r="756" spans="1:12" x14ac:dyDescent="0.25">
      <c r="A756" s="2" t="s">
        <v>2965</v>
      </c>
      <c r="B756" s="8" t="s">
        <v>16192</v>
      </c>
      <c r="C756" s="2" t="s">
        <v>2965</v>
      </c>
      <c r="D756" s="2" t="s">
        <v>2966</v>
      </c>
      <c r="E756" s="4" t="s">
        <v>21906</v>
      </c>
      <c r="G756" s="15" t="s">
        <v>21907</v>
      </c>
      <c r="H756" s="15" t="s">
        <v>21908</v>
      </c>
      <c r="I756" s="15" t="s">
        <v>21909</v>
      </c>
      <c r="J756" s="15" t="s">
        <v>21910</v>
      </c>
      <c r="K756" s="15">
        <v>6734</v>
      </c>
      <c r="L756" s="15" t="s">
        <v>19099</v>
      </c>
    </row>
    <row r="757" spans="1:12" x14ac:dyDescent="0.25">
      <c r="A757" s="2" t="s">
        <v>2968</v>
      </c>
      <c r="B757" s="8" t="s">
        <v>16193</v>
      </c>
      <c r="C757" s="2" t="s">
        <v>2968</v>
      </c>
      <c r="D757" s="2" t="s">
        <v>2969</v>
      </c>
      <c r="E757" s="4" t="s">
        <v>21911</v>
      </c>
      <c r="G757" s="15" t="s">
        <v>21911</v>
      </c>
      <c r="H757" s="15" t="s">
        <v>21912</v>
      </c>
      <c r="I757" s="15" t="s">
        <v>21913</v>
      </c>
      <c r="J757" s="15" t="s">
        <v>21914</v>
      </c>
      <c r="K757" s="15">
        <v>9161</v>
      </c>
      <c r="L757" s="15" t="s">
        <v>19099</v>
      </c>
    </row>
    <row r="758" spans="1:12" x14ac:dyDescent="0.25">
      <c r="A758" s="2" t="s">
        <v>2971</v>
      </c>
      <c r="B758" s="9" t="s">
        <v>2973</v>
      </c>
      <c r="C758" s="2" t="s">
        <v>2971</v>
      </c>
      <c r="D758" s="2" t="s">
        <v>2972</v>
      </c>
      <c r="E758" s="4" t="s">
        <v>21915</v>
      </c>
    </row>
    <row r="759" spans="1:12" x14ac:dyDescent="0.25">
      <c r="A759" s="2" t="s">
        <v>2974</v>
      </c>
      <c r="B759" s="8" t="s">
        <v>16196</v>
      </c>
      <c r="C759" s="2" t="s">
        <v>2974</v>
      </c>
      <c r="D759" s="2" t="s">
        <v>2975</v>
      </c>
      <c r="E759" s="4" t="s">
        <v>21916</v>
      </c>
      <c r="G759" s="15" t="s">
        <v>21917</v>
      </c>
      <c r="H759" s="15" t="s">
        <v>21918</v>
      </c>
      <c r="I759" s="15" t="s">
        <v>21919</v>
      </c>
      <c r="J759" s="15" t="s">
        <v>370</v>
      </c>
      <c r="K759" s="15">
        <v>161148</v>
      </c>
      <c r="L759" s="15" t="s">
        <v>19099</v>
      </c>
    </row>
    <row r="760" spans="1:12" x14ac:dyDescent="0.25">
      <c r="A760" s="2" t="s">
        <v>2977</v>
      </c>
      <c r="B760" s="9" t="s">
        <v>2979</v>
      </c>
      <c r="C760" s="2" t="s">
        <v>2977</v>
      </c>
      <c r="D760" s="2" t="s">
        <v>2978</v>
      </c>
      <c r="E760" s="4" t="s">
        <v>21920</v>
      </c>
      <c r="G760" s="15" t="s">
        <v>21921</v>
      </c>
      <c r="H760" s="15" t="s">
        <v>21922</v>
      </c>
      <c r="I760" s="15" t="s">
        <v>21923</v>
      </c>
      <c r="J760" s="15" t="s">
        <v>21924</v>
      </c>
      <c r="K760" s="15">
        <v>131801133</v>
      </c>
      <c r="L760" s="15" t="s">
        <v>19995</v>
      </c>
    </row>
    <row r="761" spans="1:12" x14ac:dyDescent="0.25">
      <c r="A761" s="2" t="s">
        <v>2980</v>
      </c>
      <c r="B761" s="8" t="s">
        <v>16199</v>
      </c>
      <c r="C761" s="2" t="s">
        <v>2980</v>
      </c>
      <c r="D761" s="2" t="s">
        <v>2981</v>
      </c>
      <c r="E761" s="4" t="s">
        <v>21925</v>
      </c>
      <c r="G761" s="15" t="s">
        <v>21926</v>
      </c>
      <c r="H761" s="15" t="s">
        <v>21927</v>
      </c>
      <c r="I761" s="15" t="s">
        <v>21928</v>
      </c>
      <c r="J761" s="15" t="s">
        <v>21929</v>
      </c>
      <c r="K761" s="15">
        <v>104727</v>
      </c>
      <c r="L761" s="15" t="s">
        <v>19099</v>
      </c>
    </row>
    <row r="762" spans="1:12" x14ac:dyDescent="0.25">
      <c r="A762" s="2" t="s">
        <v>2983</v>
      </c>
      <c r="B762" s="8" t="s">
        <v>16200</v>
      </c>
      <c r="C762" s="2" t="s">
        <v>2983</v>
      </c>
      <c r="D762" s="2" t="s">
        <v>2984</v>
      </c>
      <c r="E762" s="4" t="s">
        <v>21930</v>
      </c>
      <c r="G762" s="15" t="s">
        <v>21931</v>
      </c>
      <c r="H762" s="15" t="s">
        <v>21932</v>
      </c>
      <c r="I762" s="15" t="s">
        <v>21933</v>
      </c>
      <c r="J762" s="15" t="s">
        <v>21934</v>
      </c>
      <c r="K762" s="15">
        <v>9989226</v>
      </c>
      <c r="L762" s="15" t="s">
        <v>19099</v>
      </c>
    </row>
    <row r="763" spans="1:12" x14ac:dyDescent="0.25">
      <c r="A763" s="2" t="s">
        <v>2986</v>
      </c>
      <c r="B763" s="8" t="s">
        <v>16201</v>
      </c>
      <c r="C763" s="2" t="s">
        <v>2986</v>
      </c>
      <c r="D763" s="2" t="s">
        <v>2987</v>
      </c>
      <c r="E763" s="4" t="s">
        <v>21935</v>
      </c>
      <c r="G763" s="15" t="s">
        <v>21936</v>
      </c>
      <c r="H763" s="15" t="s">
        <v>21937</v>
      </c>
      <c r="I763" s="15" t="s">
        <v>21938</v>
      </c>
      <c r="J763" s="15" t="s">
        <v>2986</v>
      </c>
      <c r="K763" s="15">
        <v>30332</v>
      </c>
      <c r="L763" s="15" t="s">
        <v>19099</v>
      </c>
    </row>
    <row r="764" spans="1:12" x14ac:dyDescent="0.25">
      <c r="A764" s="2" t="s">
        <v>2989</v>
      </c>
      <c r="B764" s="8" t="s">
        <v>16202</v>
      </c>
      <c r="C764" s="2" t="s">
        <v>2989</v>
      </c>
      <c r="D764" s="2" t="s">
        <v>2990</v>
      </c>
      <c r="E764" s="4" t="s">
        <v>21939</v>
      </c>
      <c r="G764" s="15" t="s">
        <v>21940</v>
      </c>
      <c r="H764" s="15" t="s">
        <v>21941</v>
      </c>
      <c r="I764" s="15" t="s">
        <v>21942</v>
      </c>
      <c r="J764" s="15" t="s">
        <v>21943</v>
      </c>
      <c r="K764" s="15">
        <v>24850</v>
      </c>
      <c r="L764" s="15" t="s">
        <v>19099</v>
      </c>
    </row>
    <row r="765" spans="1:12" x14ac:dyDescent="0.25">
      <c r="A765" s="2" t="s">
        <v>2992</v>
      </c>
      <c r="B765" s="8" t="s">
        <v>16204</v>
      </c>
      <c r="C765" s="2" t="s">
        <v>2992</v>
      </c>
      <c r="D765" s="2" t="s">
        <v>2993</v>
      </c>
      <c r="E765" s="4" t="s">
        <v>2993</v>
      </c>
      <c r="G765" s="15" t="s">
        <v>21944</v>
      </c>
      <c r="H765" s="15" t="s">
        <v>21945</v>
      </c>
      <c r="I765" s="15" t="s">
        <v>21946</v>
      </c>
      <c r="J765" s="15" t="s">
        <v>562</v>
      </c>
      <c r="K765" s="15">
        <v>104726</v>
      </c>
      <c r="L765" s="15" t="s">
        <v>19099</v>
      </c>
    </row>
    <row r="766" spans="1:12" x14ac:dyDescent="0.25">
      <c r="A766" s="2" t="s">
        <v>2995</v>
      </c>
      <c r="B766" s="8" t="s">
        <v>16205</v>
      </c>
      <c r="C766" s="2" t="s">
        <v>2995</v>
      </c>
      <c r="D766" s="2" t="s">
        <v>2996</v>
      </c>
      <c r="E766" s="4" t="s">
        <v>2996</v>
      </c>
      <c r="G766" s="15" t="s">
        <v>21947</v>
      </c>
      <c r="H766" s="15" t="s">
        <v>21948</v>
      </c>
      <c r="I766" s="15" t="s">
        <v>21949</v>
      </c>
      <c r="J766" s="15" t="s">
        <v>562</v>
      </c>
      <c r="K766" s="15">
        <v>166958</v>
      </c>
      <c r="L766" s="15" t="s">
        <v>19099</v>
      </c>
    </row>
    <row r="767" spans="1:12" x14ac:dyDescent="0.25">
      <c r="A767" s="2" t="s">
        <v>2998</v>
      </c>
      <c r="B767" s="8" t="s">
        <v>16206</v>
      </c>
      <c r="C767" s="2" t="s">
        <v>2998</v>
      </c>
      <c r="D767" s="2" t="s">
        <v>2999</v>
      </c>
      <c r="E767" s="4" t="s">
        <v>2999</v>
      </c>
      <c r="G767" s="15" t="s">
        <v>2999</v>
      </c>
      <c r="H767" s="15" t="s">
        <v>21950</v>
      </c>
      <c r="I767" s="15" t="s">
        <v>21951</v>
      </c>
      <c r="J767" s="15" t="s">
        <v>20617</v>
      </c>
      <c r="K767" s="15">
        <v>6115</v>
      </c>
      <c r="L767" s="15" t="s">
        <v>19099</v>
      </c>
    </row>
    <row r="768" spans="1:12" x14ac:dyDescent="0.25">
      <c r="A768" s="2" t="s">
        <v>3001</v>
      </c>
      <c r="B768" s="8" t="s">
        <v>16207</v>
      </c>
      <c r="C768" s="2" t="s">
        <v>3001</v>
      </c>
      <c r="D768" s="2" t="s">
        <v>3002</v>
      </c>
      <c r="E768" s="4" t="s">
        <v>21952</v>
      </c>
      <c r="G768" s="15" t="s">
        <v>21952</v>
      </c>
      <c r="H768" s="15" t="s">
        <v>21953</v>
      </c>
      <c r="I768" s="15" t="s">
        <v>21954</v>
      </c>
      <c r="J768" s="15" t="s">
        <v>21955</v>
      </c>
      <c r="K768" s="15">
        <v>8418</v>
      </c>
      <c r="L768" s="15" t="s">
        <v>19099</v>
      </c>
    </row>
    <row r="769" spans="1:12" x14ac:dyDescent="0.25">
      <c r="A769" s="2" t="s">
        <v>3004</v>
      </c>
      <c r="B769" s="8" t="s">
        <v>16208</v>
      </c>
      <c r="C769" s="2" t="s">
        <v>3004</v>
      </c>
      <c r="D769" s="2" t="s">
        <v>3005</v>
      </c>
      <c r="E769" s="4" t="s">
        <v>21956</v>
      </c>
      <c r="G769" s="15" t="s">
        <v>21957</v>
      </c>
      <c r="H769" s="15" t="s">
        <v>21958</v>
      </c>
      <c r="I769" s="15" t="s">
        <v>21959</v>
      </c>
      <c r="J769" s="15" t="s">
        <v>21960</v>
      </c>
      <c r="K769" s="15">
        <v>16698</v>
      </c>
      <c r="L769" s="15" t="s">
        <v>19099</v>
      </c>
    </row>
    <row r="770" spans="1:12" x14ac:dyDescent="0.25">
      <c r="A770" s="2" t="s">
        <v>3007</v>
      </c>
      <c r="B770" s="8" t="s">
        <v>16209</v>
      </c>
      <c r="C770" s="2" t="s">
        <v>3007</v>
      </c>
      <c r="D770" s="2" t="s">
        <v>3008</v>
      </c>
      <c r="E770" s="4" t="s">
        <v>3008</v>
      </c>
      <c r="G770" s="15" t="s">
        <v>21961</v>
      </c>
      <c r="H770" s="15" t="s">
        <v>21962</v>
      </c>
      <c r="I770" s="15" t="s">
        <v>21963</v>
      </c>
      <c r="J770" s="15" t="s">
        <v>21964</v>
      </c>
      <c r="K770" s="15">
        <v>16247</v>
      </c>
      <c r="L770" s="15" t="s">
        <v>19099</v>
      </c>
    </row>
    <row r="771" spans="1:12" x14ac:dyDescent="0.25">
      <c r="A771" s="2" t="s">
        <v>3010</v>
      </c>
      <c r="B771" s="8" t="s">
        <v>16210</v>
      </c>
      <c r="C771" s="2" t="s">
        <v>3010</v>
      </c>
      <c r="D771" s="2" t="s">
        <v>3011</v>
      </c>
      <c r="E771" s="4" t="s">
        <v>21965</v>
      </c>
      <c r="G771" s="15" t="s">
        <v>21966</v>
      </c>
      <c r="H771" s="15" t="s">
        <v>21967</v>
      </c>
      <c r="I771" s="15" t="s">
        <v>21968</v>
      </c>
      <c r="J771" s="15" t="s">
        <v>21969</v>
      </c>
      <c r="K771" s="15">
        <v>6009</v>
      </c>
      <c r="L771" s="15" t="s">
        <v>19099</v>
      </c>
    </row>
    <row r="772" spans="1:12" x14ac:dyDescent="0.25">
      <c r="A772" s="2" t="s">
        <v>3013</v>
      </c>
      <c r="B772" s="8" t="s">
        <v>16211</v>
      </c>
      <c r="C772" s="2" t="s">
        <v>3013</v>
      </c>
      <c r="D772" s="2" t="s">
        <v>3014</v>
      </c>
      <c r="E772" s="4" t="s">
        <v>3014</v>
      </c>
      <c r="G772" s="15" t="s">
        <v>21970</v>
      </c>
      <c r="H772" s="15" t="s">
        <v>21971</v>
      </c>
      <c r="I772" s="15" t="s">
        <v>21972</v>
      </c>
      <c r="J772" s="15" t="s">
        <v>20249</v>
      </c>
      <c r="K772" s="15">
        <v>213012</v>
      </c>
      <c r="L772" s="15" t="s">
        <v>19099</v>
      </c>
    </row>
    <row r="773" spans="1:12" x14ac:dyDescent="0.25">
      <c r="A773" s="2" t="s">
        <v>3016</v>
      </c>
      <c r="B773" s="8" t="s">
        <v>16214</v>
      </c>
      <c r="C773" s="2" t="s">
        <v>3016</v>
      </c>
      <c r="D773" s="2" t="s">
        <v>3017</v>
      </c>
      <c r="E773" s="4" t="s">
        <v>21973</v>
      </c>
      <c r="G773" s="15" t="s">
        <v>21974</v>
      </c>
      <c r="H773" s="15" t="s">
        <v>21975</v>
      </c>
      <c r="I773" s="15" t="s">
        <v>21976</v>
      </c>
      <c r="J773" s="15" t="s">
        <v>314</v>
      </c>
      <c r="K773" s="15">
        <v>6336622</v>
      </c>
      <c r="L773" s="15" t="s">
        <v>19099</v>
      </c>
    </row>
    <row r="774" spans="1:12" x14ac:dyDescent="0.25">
      <c r="A774" s="2" t="s">
        <v>3019</v>
      </c>
      <c r="B774" s="8" t="s">
        <v>16215</v>
      </c>
      <c r="C774" s="2" t="s">
        <v>3019</v>
      </c>
      <c r="D774" s="2" t="s">
        <v>3020</v>
      </c>
      <c r="E774" s="4" t="s">
        <v>21977</v>
      </c>
      <c r="G774" s="15" t="s">
        <v>21978</v>
      </c>
      <c r="H774" s="15" t="s">
        <v>21979</v>
      </c>
      <c r="I774" s="15" t="s">
        <v>21980</v>
      </c>
      <c r="J774" s="15" t="s">
        <v>314</v>
      </c>
      <c r="K774" s="15">
        <v>6335515</v>
      </c>
      <c r="L774" s="15" t="s">
        <v>19099</v>
      </c>
    </row>
    <row r="775" spans="1:12" x14ac:dyDescent="0.25">
      <c r="A775" s="2" t="s">
        <v>3022</v>
      </c>
      <c r="B775" s="8" t="s">
        <v>16216</v>
      </c>
      <c r="C775" s="2" t="s">
        <v>3022</v>
      </c>
      <c r="D775" s="2" t="s">
        <v>3023</v>
      </c>
      <c r="E775" s="4" t="s">
        <v>21981</v>
      </c>
      <c r="G775" s="15" t="s">
        <v>21982</v>
      </c>
      <c r="H775" s="15" t="s">
        <v>21983</v>
      </c>
      <c r="I775" s="15" t="s">
        <v>21984</v>
      </c>
      <c r="J775" s="15" t="s">
        <v>21985</v>
      </c>
      <c r="K775" s="15">
        <v>544</v>
      </c>
      <c r="L775" s="15" t="s">
        <v>19099</v>
      </c>
    </row>
    <row r="776" spans="1:12" x14ac:dyDescent="0.25">
      <c r="A776" s="2" t="s">
        <v>3025</v>
      </c>
      <c r="B776" s="8" t="s">
        <v>16217</v>
      </c>
      <c r="C776" s="2" t="s">
        <v>3025</v>
      </c>
      <c r="D776" s="2" t="s">
        <v>3026</v>
      </c>
      <c r="E776" s="4" t="s">
        <v>21986</v>
      </c>
      <c r="G776" s="15" t="s">
        <v>21987</v>
      </c>
      <c r="H776" s="15" t="s">
        <v>21988</v>
      </c>
      <c r="I776" s="15" t="s">
        <v>21989</v>
      </c>
      <c r="J776" s="15" t="s">
        <v>21990</v>
      </c>
      <c r="K776" s="15">
        <v>27401</v>
      </c>
      <c r="L776" s="15" t="s">
        <v>19099</v>
      </c>
    </row>
    <row r="777" spans="1:12" x14ac:dyDescent="0.25">
      <c r="A777" s="2" t="s">
        <v>3028</v>
      </c>
      <c r="B777" s="8" t="s">
        <v>16220</v>
      </c>
      <c r="C777" s="2" t="s">
        <v>3028</v>
      </c>
      <c r="D777" s="2" t="s">
        <v>3029</v>
      </c>
      <c r="E777" s="4" t="s">
        <v>21991</v>
      </c>
      <c r="G777" s="15" t="s">
        <v>21992</v>
      </c>
      <c r="H777" s="15" t="s">
        <v>21993</v>
      </c>
      <c r="I777" s="15" t="s">
        <v>21994</v>
      </c>
      <c r="J777" s="15" t="s">
        <v>498</v>
      </c>
      <c r="K777" s="15">
        <v>66274</v>
      </c>
      <c r="L777" s="15" t="s">
        <v>19099</v>
      </c>
    </row>
    <row r="778" spans="1:12" x14ac:dyDescent="0.25">
      <c r="A778" s="2" t="s">
        <v>3031</v>
      </c>
      <c r="B778" s="8" t="s">
        <v>16221</v>
      </c>
      <c r="C778" s="2" t="s">
        <v>3031</v>
      </c>
      <c r="D778" s="2" t="s">
        <v>3032</v>
      </c>
      <c r="E778" s="4" t="s">
        <v>21995</v>
      </c>
      <c r="G778" s="15" t="s">
        <v>21996</v>
      </c>
      <c r="H778" s="15" t="s">
        <v>21997</v>
      </c>
      <c r="I778" s="15" t="s">
        <v>21998</v>
      </c>
      <c r="J778" s="15" t="s">
        <v>498</v>
      </c>
      <c r="K778" s="15">
        <v>167085</v>
      </c>
      <c r="L778" s="15" t="s">
        <v>19099</v>
      </c>
    </row>
    <row r="779" spans="1:12" x14ac:dyDescent="0.25">
      <c r="A779" s="2" t="s">
        <v>3034</v>
      </c>
      <c r="B779" s="8" t="s">
        <v>16223</v>
      </c>
      <c r="C779" s="2" t="s">
        <v>3034</v>
      </c>
      <c r="D779" s="2" t="s">
        <v>3035</v>
      </c>
      <c r="E779" s="4" t="s">
        <v>21999</v>
      </c>
      <c r="G779" s="15" t="s">
        <v>22000</v>
      </c>
      <c r="H779" s="15" t="s">
        <v>22001</v>
      </c>
      <c r="I779" s="15" t="s">
        <v>22002</v>
      </c>
      <c r="J779" s="15" t="s">
        <v>3034</v>
      </c>
      <c r="K779" s="15">
        <v>518682</v>
      </c>
      <c r="L779" s="15" t="s">
        <v>19099</v>
      </c>
    </row>
    <row r="780" spans="1:12" x14ac:dyDescent="0.25">
      <c r="A780" s="2" t="s">
        <v>3037</v>
      </c>
      <c r="B780" s="8" t="s">
        <v>16180</v>
      </c>
      <c r="C780" s="2" t="s">
        <v>3037</v>
      </c>
      <c r="D780" s="2" t="s">
        <v>3038</v>
      </c>
      <c r="E780" s="4" t="s">
        <v>22003</v>
      </c>
    </row>
    <row r="781" spans="1:12" x14ac:dyDescent="0.25">
      <c r="A781" s="2" t="s">
        <v>3039</v>
      </c>
      <c r="B781" s="8" t="s">
        <v>16225</v>
      </c>
      <c r="C781" s="2" t="s">
        <v>3039</v>
      </c>
      <c r="D781" s="2" t="s">
        <v>3040</v>
      </c>
      <c r="E781" s="4" t="s">
        <v>22004</v>
      </c>
      <c r="G781" s="15" t="s">
        <v>22005</v>
      </c>
      <c r="H781" s="15" t="s">
        <v>22006</v>
      </c>
      <c r="I781" s="15" t="s">
        <v>22007</v>
      </c>
      <c r="J781" s="15" t="s">
        <v>22008</v>
      </c>
      <c r="K781" s="15">
        <v>61828</v>
      </c>
      <c r="L781" s="15" t="s">
        <v>19099</v>
      </c>
    </row>
    <row r="782" spans="1:12" x14ac:dyDescent="0.25">
      <c r="A782" s="2" t="s">
        <v>3042</v>
      </c>
      <c r="B782" s="8" t="s">
        <v>16180</v>
      </c>
      <c r="C782" s="2" t="s">
        <v>3042</v>
      </c>
      <c r="D782" s="2" t="s">
        <v>3043</v>
      </c>
      <c r="E782" s="4" t="s">
        <v>22009</v>
      </c>
    </row>
    <row r="783" spans="1:12" x14ac:dyDescent="0.25">
      <c r="A783" s="2" t="s">
        <v>3044</v>
      </c>
      <c r="B783" s="8" t="s">
        <v>16180</v>
      </c>
      <c r="C783" s="2" t="s">
        <v>3044</v>
      </c>
      <c r="D783" s="2" t="s">
        <v>3045</v>
      </c>
      <c r="E783" s="4" t="s">
        <v>22010</v>
      </c>
    </row>
    <row r="784" spans="1:12" x14ac:dyDescent="0.25">
      <c r="A784" s="2" t="s">
        <v>3046</v>
      </c>
      <c r="B784" s="8" t="s">
        <v>16180</v>
      </c>
      <c r="C784" s="2" t="s">
        <v>3046</v>
      </c>
      <c r="D784" s="2" t="s">
        <v>3047</v>
      </c>
      <c r="E784" s="4" t="s">
        <v>22011</v>
      </c>
    </row>
    <row r="785" spans="1:20" x14ac:dyDescent="0.25">
      <c r="A785" s="2" t="s">
        <v>3048</v>
      </c>
      <c r="B785" s="8" t="s">
        <v>16180</v>
      </c>
      <c r="C785" s="2" t="s">
        <v>3048</v>
      </c>
      <c r="D785" s="2" t="s">
        <v>3049</v>
      </c>
      <c r="E785" s="4" t="s">
        <v>22012</v>
      </c>
    </row>
    <row r="786" spans="1:20" x14ac:dyDescent="0.25">
      <c r="A786" s="2" t="s">
        <v>3050</v>
      </c>
      <c r="B786" s="8" t="s">
        <v>16180</v>
      </c>
      <c r="C786" s="2" t="s">
        <v>3050</v>
      </c>
      <c r="D786" s="2" t="s">
        <v>3051</v>
      </c>
      <c r="E786" s="4" t="s">
        <v>22013</v>
      </c>
    </row>
    <row r="787" spans="1:20" x14ac:dyDescent="0.25">
      <c r="A787" s="2" t="s">
        <v>3052</v>
      </c>
      <c r="B787" s="8" t="s">
        <v>16180</v>
      </c>
      <c r="C787" s="2" t="s">
        <v>3052</v>
      </c>
      <c r="D787" s="2" t="s">
        <v>3053</v>
      </c>
      <c r="E787" s="4" t="s">
        <v>22014</v>
      </c>
    </row>
    <row r="788" spans="1:20" x14ac:dyDescent="0.25">
      <c r="A788" s="2" t="s">
        <v>3054</v>
      </c>
      <c r="B788" s="8" t="s">
        <v>16180</v>
      </c>
      <c r="C788" s="2" t="s">
        <v>3054</v>
      </c>
      <c r="D788" s="2" t="s">
        <v>3055</v>
      </c>
      <c r="E788" s="4" t="s">
        <v>22015</v>
      </c>
    </row>
    <row r="789" spans="1:20" x14ac:dyDescent="0.25">
      <c r="A789" s="2" t="s">
        <v>3056</v>
      </c>
      <c r="B789" s="8" t="s">
        <v>16180</v>
      </c>
      <c r="C789" s="2" t="s">
        <v>3056</v>
      </c>
      <c r="D789" s="2" t="s">
        <v>3057</v>
      </c>
      <c r="E789" s="4" t="s">
        <v>22016</v>
      </c>
    </row>
    <row r="790" spans="1:20" x14ac:dyDescent="0.25">
      <c r="A790" s="2" t="s">
        <v>3058</v>
      </c>
      <c r="B790" s="8" t="s">
        <v>16180</v>
      </c>
      <c r="C790" s="2" t="s">
        <v>3058</v>
      </c>
      <c r="D790" s="2" t="s">
        <v>3059</v>
      </c>
      <c r="E790" s="4" t="s">
        <v>22017</v>
      </c>
    </row>
    <row r="791" spans="1:20" x14ac:dyDescent="0.25">
      <c r="A791" s="2" t="s">
        <v>3060</v>
      </c>
      <c r="B791" s="8" t="s">
        <v>16180</v>
      </c>
      <c r="C791" s="2" t="s">
        <v>3060</v>
      </c>
      <c r="D791" s="2" t="s">
        <v>3061</v>
      </c>
      <c r="E791" s="4" t="s">
        <v>7184</v>
      </c>
    </row>
    <row r="792" spans="1:20" x14ac:dyDescent="0.25">
      <c r="A792" s="2" t="s">
        <v>3062</v>
      </c>
      <c r="B792" s="8" t="s">
        <v>16226</v>
      </c>
      <c r="C792" s="2" t="s">
        <v>3062</v>
      </c>
      <c r="D792" s="2" t="s">
        <v>3063</v>
      </c>
      <c r="E792" s="4" t="s">
        <v>22018</v>
      </c>
      <c r="G792" s="15" t="s">
        <v>22019</v>
      </c>
      <c r="H792" s="15" t="s">
        <v>22020</v>
      </c>
      <c r="I792" s="15" t="s">
        <v>22021</v>
      </c>
      <c r="J792" s="15" t="s">
        <v>21493</v>
      </c>
      <c r="K792" s="15">
        <v>31404</v>
      </c>
      <c r="L792" s="15" t="s">
        <v>19099</v>
      </c>
    </row>
    <row r="793" spans="1:20" x14ac:dyDescent="0.25">
      <c r="A793" s="2" t="s">
        <v>3065</v>
      </c>
      <c r="B793" s="8" t="s">
        <v>16180</v>
      </c>
      <c r="C793" s="2" t="s">
        <v>3065</v>
      </c>
      <c r="D793" s="2" t="s">
        <v>3066</v>
      </c>
      <c r="E793" s="4" t="s">
        <v>22022</v>
      </c>
    </row>
    <row r="794" spans="1:20" x14ac:dyDescent="0.25">
      <c r="A794" s="2" t="s">
        <v>3067</v>
      </c>
      <c r="B794" s="8" t="s">
        <v>16180</v>
      </c>
      <c r="C794" s="2" t="s">
        <v>3067</v>
      </c>
      <c r="D794" s="2" t="s">
        <v>3068</v>
      </c>
      <c r="E794" s="4" t="s">
        <v>3068</v>
      </c>
      <c r="L794" s="15" t="s">
        <v>19995</v>
      </c>
      <c r="N794" s="15" t="s">
        <v>21788</v>
      </c>
      <c r="O794" s="15" t="s">
        <v>21798</v>
      </c>
      <c r="P794" s="15" t="s">
        <v>21799</v>
      </c>
      <c r="Q794" s="15" t="s">
        <v>21800</v>
      </c>
      <c r="R794" s="15" t="s">
        <v>19</v>
      </c>
      <c r="S794" s="15">
        <v>297</v>
      </c>
      <c r="T794" s="15" t="s">
        <v>19995</v>
      </c>
    </row>
    <row r="795" spans="1:20" x14ac:dyDescent="0.25">
      <c r="A795" s="2" t="s">
        <v>3069</v>
      </c>
      <c r="B795" s="8" t="s">
        <v>16180</v>
      </c>
      <c r="C795" s="2" t="s">
        <v>3069</v>
      </c>
      <c r="D795" s="2" t="s">
        <v>3070</v>
      </c>
      <c r="E795" s="4" t="s">
        <v>22023</v>
      </c>
    </row>
    <row r="796" spans="1:20" x14ac:dyDescent="0.25">
      <c r="A796" s="2" t="s">
        <v>3071</v>
      </c>
      <c r="B796" s="8" t="s">
        <v>16180</v>
      </c>
      <c r="C796" s="2" t="s">
        <v>3071</v>
      </c>
      <c r="D796" s="2" t="s">
        <v>3072</v>
      </c>
      <c r="E796" s="4" t="s">
        <v>22024</v>
      </c>
    </row>
    <row r="797" spans="1:20" x14ac:dyDescent="0.25">
      <c r="A797" s="2" t="s">
        <v>3073</v>
      </c>
      <c r="B797" s="8" t="s">
        <v>16180</v>
      </c>
      <c r="C797" s="2" t="s">
        <v>3073</v>
      </c>
      <c r="D797" s="2" t="s">
        <v>3074</v>
      </c>
      <c r="E797" s="4" t="s">
        <v>22025</v>
      </c>
    </row>
    <row r="798" spans="1:20" x14ac:dyDescent="0.25">
      <c r="A798" s="2" t="s">
        <v>3075</v>
      </c>
      <c r="B798" s="8" t="s">
        <v>16227</v>
      </c>
      <c r="C798" s="2" t="s">
        <v>3075</v>
      </c>
      <c r="D798" s="2" t="s">
        <v>3076</v>
      </c>
      <c r="E798" s="4" t="s">
        <v>22026</v>
      </c>
      <c r="G798" s="15" t="s">
        <v>22027</v>
      </c>
      <c r="H798" s="15" t="s">
        <v>22028</v>
      </c>
      <c r="I798" s="15" t="s">
        <v>22029</v>
      </c>
      <c r="J798" s="15" t="s">
        <v>22030</v>
      </c>
      <c r="K798" s="15">
        <v>7641</v>
      </c>
      <c r="L798" s="15" t="s">
        <v>19099</v>
      </c>
    </row>
    <row r="799" spans="1:20" x14ac:dyDescent="0.25">
      <c r="A799" s="2" t="s">
        <v>3078</v>
      </c>
      <c r="B799" s="8" t="s">
        <v>16180</v>
      </c>
      <c r="C799" s="2" t="s">
        <v>3078</v>
      </c>
      <c r="D799" s="2" t="s">
        <v>3079</v>
      </c>
      <c r="E799" s="4" t="s">
        <v>22031</v>
      </c>
    </row>
    <row r="800" spans="1:20" x14ac:dyDescent="0.25">
      <c r="A800" s="2" t="s">
        <v>3080</v>
      </c>
      <c r="B800" s="8" t="s">
        <v>16180</v>
      </c>
      <c r="C800" s="2" t="s">
        <v>3080</v>
      </c>
      <c r="D800" s="2" t="s">
        <v>3081</v>
      </c>
      <c r="E800" s="4" t="s">
        <v>22032</v>
      </c>
    </row>
    <row r="801" spans="1:12" x14ac:dyDescent="0.25">
      <c r="A801" s="2" t="s">
        <v>3082</v>
      </c>
      <c r="B801" s="8" t="s">
        <v>16180</v>
      </c>
      <c r="C801" s="2" t="s">
        <v>3082</v>
      </c>
      <c r="D801" s="2" t="s">
        <v>3083</v>
      </c>
      <c r="E801" s="4" t="s">
        <v>22033</v>
      </c>
    </row>
    <row r="802" spans="1:12" x14ac:dyDescent="0.25">
      <c r="A802" s="2" t="s">
        <v>3084</v>
      </c>
      <c r="B802" s="8" t="s">
        <v>16180</v>
      </c>
      <c r="C802" s="2" t="s">
        <v>3084</v>
      </c>
      <c r="D802" s="2" t="s">
        <v>3085</v>
      </c>
      <c r="E802" s="4" t="s">
        <v>22034</v>
      </c>
    </row>
    <row r="803" spans="1:12" x14ac:dyDescent="0.25">
      <c r="A803" s="2" t="s">
        <v>3086</v>
      </c>
      <c r="B803" s="8" t="s">
        <v>16180</v>
      </c>
      <c r="C803" s="2" t="s">
        <v>3086</v>
      </c>
      <c r="D803" s="2" t="s">
        <v>3087</v>
      </c>
      <c r="E803" s="4" t="s">
        <v>22035</v>
      </c>
    </row>
    <row r="804" spans="1:12" x14ac:dyDescent="0.25">
      <c r="A804" s="2" t="s">
        <v>3088</v>
      </c>
      <c r="B804" s="8" t="s">
        <v>16180</v>
      </c>
      <c r="C804" s="2" t="s">
        <v>3088</v>
      </c>
      <c r="D804" s="2" t="s">
        <v>3089</v>
      </c>
      <c r="E804" s="4" t="s">
        <v>22036</v>
      </c>
    </row>
    <row r="805" spans="1:12" x14ac:dyDescent="0.25">
      <c r="A805" s="2" t="s">
        <v>3090</v>
      </c>
      <c r="B805" s="8" t="s">
        <v>16180</v>
      </c>
      <c r="C805" s="2" t="s">
        <v>3090</v>
      </c>
      <c r="D805" s="2" t="s">
        <v>3091</v>
      </c>
      <c r="E805" s="4" t="s">
        <v>22037</v>
      </c>
    </row>
    <row r="806" spans="1:12" x14ac:dyDescent="0.25">
      <c r="A806" s="2" t="s">
        <v>3092</v>
      </c>
      <c r="B806" s="8" t="s">
        <v>16180</v>
      </c>
      <c r="C806" s="2" t="s">
        <v>3092</v>
      </c>
      <c r="D806" s="2" t="s">
        <v>3093</v>
      </c>
      <c r="E806" s="4" t="s">
        <v>22038</v>
      </c>
    </row>
    <row r="807" spans="1:12" x14ac:dyDescent="0.25">
      <c r="A807" s="2" t="s">
        <v>3094</v>
      </c>
      <c r="B807" s="8" t="s">
        <v>16180</v>
      </c>
      <c r="C807" s="2" t="s">
        <v>3094</v>
      </c>
      <c r="D807" s="2" t="s">
        <v>3095</v>
      </c>
      <c r="E807" s="4" t="s">
        <v>22039</v>
      </c>
    </row>
    <row r="808" spans="1:12" x14ac:dyDescent="0.25">
      <c r="A808" s="2" t="s">
        <v>3096</v>
      </c>
      <c r="B808" s="8" t="s">
        <v>16180</v>
      </c>
      <c r="C808" s="2" t="s">
        <v>3096</v>
      </c>
      <c r="D808" s="2" t="s">
        <v>3097</v>
      </c>
      <c r="E808" s="4" t="s">
        <v>22040</v>
      </c>
    </row>
    <row r="809" spans="1:12" x14ac:dyDescent="0.25">
      <c r="A809" s="2" t="s">
        <v>3098</v>
      </c>
      <c r="B809" s="8" t="s">
        <v>16228</v>
      </c>
      <c r="C809" s="2" t="s">
        <v>3098</v>
      </c>
      <c r="D809" s="2" t="s">
        <v>3099</v>
      </c>
      <c r="E809" s="4" t="s">
        <v>22041</v>
      </c>
      <c r="G809" s="15" t="s">
        <v>22042</v>
      </c>
      <c r="H809" s="15" t="s">
        <v>22043</v>
      </c>
      <c r="I809" s="15" t="s">
        <v>22044</v>
      </c>
      <c r="J809" s="15" t="s">
        <v>22045</v>
      </c>
      <c r="K809" s="15">
        <v>25135</v>
      </c>
      <c r="L809" s="15" t="s">
        <v>19099</v>
      </c>
    </row>
    <row r="810" spans="1:12" x14ac:dyDescent="0.25">
      <c r="A810" s="2" t="s">
        <v>3101</v>
      </c>
      <c r="B810" s="8" t="s">
        <v>16229</v>
      </c>
      <c r="C810" s="2" t="s">
        <v>3101</v>
      </c>
      <c r="D810" s="2" t="s">
        <v>3102</v>
      </c>
      <c r="E810" s="4" t="s">
        <v>22046</v>
      </c>
      <c r="G810" s="15" t="s">
        <v>22047</v>
      </c>
      <c r="H810" s="15" t="s">
        <v>22048</v>
      </c>
      <c r="I810" s="15" t="s">
        <v>22049</v>
      </c>
      <c r="J810" s="15" t="s">
        <v>22050</v>
      </c>
      <c r="K810" s="15">
        <v>6356</v>
      </c>
      <c r="L810" s="15" t="s">
        <v>19099</v>
      </c>
    </row>
    <row r="811" spans="1:12" x14ac:dyDescent="0.25">
      <c r="A811" s="2" t="s">
        <v>3104</v>
      </c>
      <c r="B811" s="8" t="s">
        <v>16180</v>
      </c>
      <c r="C811" s="2" t="s">
        <v>3104</v>
      </c>
      <c r="D811" s="2" t="s">
        <v>3105</v>
      </c>
      <c r="E811" s="4" t="s">
        <v>22051</v>
      </c>
    </row>
    <row r="812" spans="1:12" x14ac:dyDescent="0.25">
      <c r="A812" s="2" t="s">
        <v>3106</v>
      </c>
      <c r="B812" s="8" t="s">
        <v>16180</v>
      </c>
      <c r="C812" s="2" t="s">
        <v>3106</v>
      </c>
      <c r="D812" s="2" t="s">
        <v>3107</v>
      </c>
      <c r="E812" s="4" t="s">
        <v>22052</v>
      </c>
    </row>
    <row r="813" spans="1:12" x14ac:dyDescent="0.25">
      <c r="A813" s="2" t="s">
        <v>3109</v>
      </c>
      <c r="B813" s="8" t="s">
        <v>16180</v>
      </c>
      <c r="C813" s="2" t="s">
        <v>3109</v>
      </c>
      <c r="D813" s="2" t="s">
        <v>3110</v>
      </c>
      <c r="E813" s="4" t="s">
        <v>22053</v>
      </c>
    </row>
    <row r="814" spans="1:12" x14ac:dyDescent="0.25">
      <c r="A814" s="2" t="s">
        <v>3111</v>
      </c>
      <c r="B814" s="8" t="s">
        <v>16180</v>
      </c>
      <c r="C814" s="2" t="s">
        <v>3111</v>
      </c>
      <c r="D814" s="2" t="s">
        <v>3112</v>
      </c>
      <c r="E814" s="4" t="s">
        <v>22054</v>
      </c>
    </row>
    <row r="815" spans="1:12" x14ac:dyDescent="0.25">
      <c r="A815" s="2" t="s">
        <v>3113</v>
      </c>
      <c r="B815" s="8" t="s">
        <v>16180</v>
      </c>
      <c r="C815" s="2" t="s">
        <v>3113</v>
      </c>
      <c r="D815" s="2" t="s">
        <v>3114</v>
      </c>
      <c r="E815" s="4" t="s">
        <v>22055</v>
      </c>
    </row>
    <row r="816" spans="1:12" x14ac:dyDescent="0.25">
      <c r="A816" s="2" t="s">
        <v>3115</v>
      </c>
      <c r="B816" s="8" t="s">
        <v>16180</v>
      </c>
      <c r="C816" s="2" t="s">
        <v>3115</v>
      </c>
      <c r="D816" s="2" t="s">
        <v>3116</v>
      </c>
      <c r="E816" s="4" t="s">
        <v>22056</v>
      </c>
    </row>
    <row r="817" spans="1:5" x14ac:dyDescent="0.25">
      <c r="A817" s="2" t="s">
        <v>3117</v>
      </c>
      <c r="B817" s="8" t="s">
        <v>16180</v>
      </c>
      <c r="C817" s="2" t="s">
        <v>3117</v>
      </c>
      <c r="D817" s="2" t="s">
        <v>3118</v>
      </c>
      <c r="E817" s="4" t="s">
        <v>22057</v>
      </c>
    </row>
    <row r="818" spans="1:5" x14ac:dyDescent="0.25">
      <c r="A818" s="2" t="s">
        <v>3119</v>
      </c>
      <c r="B818" s="8" t="s">
        <v>16180</v>
      </c>
      <c r="C818" s="2" t="s">
        <v>3119</v>
      </c>
      <c r="D818" s="2" t="s">
        <v>3120</v>
      </c>
      <c r="E818" s="4" t="s">
        <v>22058</v>
      </c>
    </row>
    <row r="819" spans="1:5" x14ac:dyDescent="0.25">
      <c r="A819" s="2" t="s">
        <v>3121</v>
      </c>
      <c r="B819" s="8" t="s">
        <v>16180</v>
      </c>
      <c r="C819" s="2" t="s">
        <v>3121</v>
      </c>
      <c r="D819" s="2" t="s">
        <v>3122</v>
      </c>
      <c r="E819" s="4" t="s">
        <v>22059</v>
      </c>
    </row>
    <row r="820" spans="1:5" x14ac:dyDescent="0.25">
      <c r="A820" s="2" t="s">
        <v>3123</v>
      </c>
      <c r="B820" s="8" t="s">
        <v>16180</v>
      </c>
      <c r="C820" s="2" t="s">
        <v>3123</v>
      </c>
      <c r="D820" s="2" t="s">
        <v>3124</v>
      </c>
      <c r="E820" s="4" t="s">
        <v>22060</v>
      </c>
    </row>
    <row r="821" spans="1:5" x14ac:dyDescent="0.25">
      <c r="A821" s="2" t="s">
        <v>3125</v>
      </c>
      <c r="B821" s="8" t="s">
        <v>16180</v>
      </c>
      <c r="C821" s="2" t="s">
        <v>3125</v>
      </c>
      <c r="D821" s="2" t="s">
        <v>3126</v>
      </c>
      <c r="E821" s="4" t="s">
        <v>22061</v>
      </c>
    </row>
    <row r="822" spans="1:5" x14ac:dyDescent="0.25">
      <c r="A822" s="2" t="s">
        <v>3127</v>
      </c>
      <c r="B822" s="8" t="s">
        <v>16180</v>
      </c>
      <c r="C822" s="2" t="s">
        <v>3127</v>
      </c>
      <c r="D822" s="2" t="s">
        <v>3128</v>
      </c>
      <c r="E822" s="4" t="s">
        <v>22062</v>
      </c>
    </row>
    <row r="823" spans="1:5" x14ac:dyDescent="0.25">
      <c r="A823" s="2" t="s">
        <v>3129</v>
      </c>
      <c r="B823" s="8" t="s">
        <v>16180</v>
      </c>
      <c r="C823" s="2" t="s">
        <v>3129</v>
      </c>
      <c r="D823" s="2" t="s">
        <v>3130</v>
      </c>
      <c r="E823" s="4" t="s">
        <v>22063</v>
      </c>
    </row>
    <row r="824" spans="1:5" x14ac:dyDescent="0.25">
      <c r="A824" s="2" t="s">
        <v>3131</v>
      </c>
      <c r="B824" s="8" t="s">
        <v>16180</v>
      </c>
      <c r="C824" s="2" t="s">
        <v>3131</v>
      </c>
      <c r="D824" s="2" t="s">
        <v>3132</v>
      </c>
      <c r="E824" s="4" t="s">
        <v>22064</v>
      </c>
    </row>
    <row r="825" spans="1:5" x14ac:dyDescent="0.25">
      <c r="A825" s="2" t="s">
        <v>3133</v>
      </c>
      <c r="B825" s="8" t="s">
        <v>16180</v>
      </c>
      <c r="C825" s="2" t="s">
        <v>3133</v>
      </c>
      <c r="D825" s="2" t="s">
        <v>3134</v>
      </c>
      <c r="E825" s="4" t="s">
        <v>22065</v>
      </c>
    </row>
    <row r="826" spans="1:5" x14ac:dyDescent="0.25">
      <c r="A826" s="2" t="s">
        <v>3135</v>
      </c>
      <c r="B826" s="8" t="s">
        <v>16180</v>
      </c>
      <c r="C826" s="2" t="s">
        <v>3135</v>
      </c>
      <c r="D826" s="2" t="s">
        <v>3136</v>
      </c>
      <c r="E826" s="4" t="s">
        <v>22066</v>
      </c>
    </row>
    <row r="827" spans="1:5" x14ac:dyDescent="0.25">
      <c r="A827" s="2" t="s">
        <v>3137</v>
      </c>
      <c r="B827" s="8" t="s">
        <v>16180</v>
      </c>
      <c r="C827" s="2" t="s">
        <v>3137</v>
      </c>
      <c r="D827" s="2" t="s">
        <v>3138</v>
      </c>
      <c r="E827" s="4" t="s">
        <v>22067</v>
      </c>
    </row>
    <row r="828" spans="1:5" x14ac:dyDescent="0.25">
      <c r="A828" s="2" t="s">
        <v>3139</v>
      </c>
      <c r="B828" s="8" t="s">
        <v>16180</v>
      </c>
      <c r="C828" s="2" t="s">
        <v>3139</v>
      </c>
      <c r="D828" s="2" t="s">
        <v>3140</v>
      </c>
      <c r="E828" s="4" t="s">
        <v>22068</v>
      </c>
    </row>
    <row r="829" spans="1:5" x14ac:dyDescent="0.25">
      <c r="A829" s="2" t="s">
        <v>3141</v>
      </c>
      <c r="B829" s="8" t="s">
        <v>16180</v>
      </c>
      <c r="C829" s="2" t="s">
        <v>3141</v>
      </c>
      <c r="D829" s="2" t="s">
        <v>3142</v>
      </c>
      <c r="E829" s="4" t="s">
        <v>22069</v>
      </c>
    </row>
    <row r="830" spans="1:5" x14ac:dyDescent="0.25">
      <c r="A830" s="2" t="s">
        <v>3143</v>
      </c>
      <c r="B830" s="8" t="s">
        <v>16180</v>
      </c>
      <c r="C830" s="2" t="s">
        <v>3143</v>
      </c>
      <c r="D830" s="2" t="s">
        <v>3144</v>
      </c>
      <c r="E830" s="4" t="s">
        <v>22070</v>
      </c>
    </row>
    <row r="831" spans="1:5" x14ac:dyDescent="0.25">
      <c r="A831" s="2" t="s">
        <v>3145</v>
      </c>
      <c r="B831" s="8" t="s">
        <v>16180</v>
      </c>
      <c r="C831" s="2" t="s">
        <v>3145</v>
      </c>
      <c r="D831" s="2" t="s">
        <v>3146</v>
      </c>
      <c r="E831" s="4" t="s">
        <v>22071</v>
      </c>
    </row>
    <row r="832" spans="1:5" x14ac:dyDescent="0.25">
      <c r="A832" s="2" t="s">
        <v>3147</v>
      </c>
      <c r="B832" s="8" t="s">
        <v>16180</v>
      </c>
      <c r="C832" s="2" t="s">
        <v>3147</v>
      </c>
      <c r="D832" s="2" t="s">
        <v>3148</v>
      </c>
      <c r="E832" s="4" t="s">
        <v>22072</v>
      </c>
    </row>
    <row r="833" spans="1:12" x14ac:dyDescent="0.25">
      <c r="A833" s="2" t="s">
        <v>3149</v>
      </c>
      <c r="B833" s="8" t="s">
        <v>16180</v>
      </c>
      <c r="C833" s="2" t="s">
        <v>3149</v>
      </c>
      <c r="D833" s="2" t="s">
        <v>3150</v>
      </c>
      <c r="E833" s="4" t="s">
        <v>22073</v>
      </c>
    </row>
    <row r="834" spans="1:12" x14ac:dyDescent="0.25">
      <c r="A834" s="2" t="s">
        <v>3151</v>
      </c>
      <c r="B834" s="8" t="s">
        <v>16180</v>
      </c>
      <c r="C834" s="2" t="s">
        <v>3151</v>
      </c>
      <c r="D834" s="2" t="s">
        <v>3152</v>
      </c>
      <c r="E834" s="4" t="s">
        <v>22074</v>
      </c>
    </row>
    <row r="835" spans="1:12" x14ac:dyDescent="0.25">
      <c r="A835" s="2" t="s">
        <v>3153</v>
      </c>
      <c r="B835" s="8" t="s">
        <v>16231</v>
      </c>
      <c r="C835" s="2" t="s">
        <v>3153</v>
      </c>
      <c r="D835" s="2" t="s">
        <v>3154</v>
      </c>
      <c r="E835" s="4" t="s">
        <v>3154</v>
      </c>
      <c r="G835" s="15" t="s">
        <v>22075</v>
      </c>
      <c r="H835" s="15" t="s">
        <v>22076</v>
      </c>
      <c r="I835" s="15" t="s">
        <v>22077</v>
      </c>
      <c r="J835" s="15" t="s">
        <v>406</v>
      </c>
      <c r="K835" s="15">
        <v>5491664</v>
      </c>
      <c r="L835" s="15" t="s">
        <v>19099</v>
      </c>
    </row>
    <row r="836" spans="1:12" x14ac:dyDescent="0.25">
      <c r="A836" s="2" t="s">
        <v>3156</v>
      </c>
      <c r="B836" s="8" t="s">
        <v>16232</v>
      </c>
      <c r="C836" s="2" t="s">
        <v>3156</v>
      </c>
      <c r="D836" s="2" t="s">
        <v>3157</v>
      </c>
      <c r="E836" s="4" t="s">
        <v>3157</v>
      </c>
      <c r="G836" s="15" t="s">
        <v>22078</v>
      </c>
      <c r="H836" s="15" t="s">
        <v>22079</v>
      </c>
      <c r="I836" s="15" t="s">
        <v>22080</v>
      </c>
      <c r="J836" s="15" t="s">
        <v>406</v>
      </c>
      <c r="K836" s="15">
        <v>6335490</v>
      </c>
      <c r="L836" s="15" t="s">
        <v>19099</v>
      </c>
    </row>
    <row r="837" spans="1:12" x14ac:dyDescent="0.25">
      <c r="A837" s="2" t="s">
        <v>3159</v>
      </c>
      <c r="B837" s="8" t="s">
        <v>16233</v>
      </c>
      <c r="C837" s="2" t="s">
        <v>3159</v>
      </c>
      <c r="D837" s="2" t="s">
        <v>3160</v>
      </c>
      <c r="E837" s="4" t="s">
        <v>22081</v>
      </c>
      <c r="G837" s="15" t="s">
        <v>22082</v>
      </c>
      <c r="H837" s="15" t="s">
        <v>22083</v>
      </c>
      <c r="I837" s="15" t="s">
        <v>22084</v>
      </c>
      <c r="J837" s="15" t="s">
        <v>22085</v>
      </c>
      <c r="K837" s="15">
        <v>5954</v>
      </c>
      <c r="L837" s="15" t="s">
        <v>19099</v>
      </c>
    </row>
    <row r="838" spans="1:12" x14ac:dyDescent="0.25">
      <c r="A838" s="2" t="s">
        <v>3162</v>
      </c>
      <c r="B838" s="8" t="s">
        <v>16234</v>
      </c>
      <c r="C838" s="2" t="s">
        <v>3162</v>
      </c>
      <c r="D838" s="2" t="s">
        <v>3163</v>
      </c>
      <c r="E838" s="4" t="s">
        <v>22086</v>
      </c>
      <c r="G838" s="15" t="s">
        <v>22087</v>
      </c>
      <c r="H838" s="15" t="s">
        <v>22088</v>
      </c>
      <c r="I838" s="15" t="s">
        <v>22089</v>
      </c>
      <c r="J838" s="15" t="s">
        <v>22090</v>
      </c>
      <c r="K838" s="15">
        <v>9146</v>
      </c>
      <c r="L838" s="15" t="s">
        <v>19099</v>
      </c>
    </row>
    <row r="839" spans="1:12" x14ac:dyDescent="0.25">
      <c r="A839" s="2" t="s">
        <v>3165</v>
      </c>
      <c r="B839" s="8" t="s">
        <v>16235</v>
      </c>
      <c r="C839" s="2" t="s">
        <v>3165</v>
      </c>
      <c r="D839" s="2" t="s">
        <v>3166</v>
      </c>
      <c r="E839" s="4" t="s">
        <v>22091</v>
      </c>
      <c r="G839" s="15" t="s">
        <v>22092</v>
      </c>
      <c r="H839" s="15" t="s">
        <v>22093</v>
      </c>
      <c r="I839" s="15" t="s">
        <v>22094</v>
      </c>
      <c r="J839" s="15" t="s">
        <v>22090</v>
      </c>
      <c r="K839" s="15">
        <v>2336</v>
      </c>
      <c r="L839" s="15" t="s">
        <v>19099</v>
      </c>
    </row>
    <row r="840" spans="1:12" x14ac:dyDescent="0.25">
      <c r="A840" s="2" t="s">
        <v>3168</v>
      </c>
      <c r="B840" s="8" t="s">
        <v>16236</v>
      </c>
      <c r="C840" s="2" t="s">
        <v>3168</v>
      </c>
      <c r="D840" s="2" t="s">
        <v>3169</v>
      </c>
      <c r="E840" s="4" t="s">
        <v>22095</v>
      </c>
      <c r="G840" s="15" t="s">
        <v>22096</v>
      </c>
      <c r="H840" s="15" t="s">
        <v>22097</v>
      </c>
      <c r="I840" s="15" t="s">
        <v>22098</v>
      </c>
      <c r="J840" s="15" t="s">
        <v>22090</v>
      </c>
      <c r="K840" s="15">
        <v>9153</v>
      </c>
      <c r="L840" s="15" t="s">
        <v>19099</v>
      </c>
    </row>
    <row r="841" spans="1:12" x14ac:dyDescent="0.25">
      <c r="A841" s="2" t="s">
        <v>3171</v>
      </c>
      <c r="B841" s="8" t="s">
        <v>16237</v>
      </c>
      <c r="C841" s="2" t="s">
        <v>3171</v>
      </c>
      <c r="D841" s="2" t="s">
        <v>3172</v>
      </c>
      <c r="E841" s="4" t="s">
        <v>22099</v>
      </c>
      <c r="G841" s="15" t="s">
        <v>22100</v>
      </c>
      <c r="H841" s="15" t="s">
        <v>22101</v>
      </c>
      <c r="I841" s="15" t="s">
        <v>22102</v>
      </c>
      <c r="J841" s="15" t="s">
        <v>22103</v>
      </c>
      <c r="K841" s="15">
        <v>9201</v>
      </c>
      <c r="L841" s="15" t="s">
        <v>19099</v>
      </c>
    </row>
    <row r="842" spans="1:12" x14ac:dyDescent="0.25">
      <c r="A842" s="2" t="s">
        <v>3174</v>
      </c>
      <c r="B842" s="8" t="s">
        <v>16238</v>
      </c>
      <c r="C842" s="2" t="s">
        <v>3174</v>
      </c>
      <c r="D842" s="2" t="s">
        <v>3175</v>
      </c>
      <c r="E842" s="4" t="s">
        <v>22104</v>
      </c>
      <c r="G842" s="15" t="s">
        <v>22105</v>
      </c>
      <c r="H842" s="15" t="s">
        <v>22106</v>
      </c>
      <c r="I842" s="15" t="s">
        <v>22107</v>
      </c>
      <c r="J842" s="15" t="s">
        <v>22103</v>
      </c>
      <c r="K842" s="15">
        <v>9150</v>
      </c>
      <c r="L842" s="15" t="s">
        <v>19099</v>
      </c>
    </row>
    <row r="843" spans="1:12" x14ac:dyDescent="0.25">
      <c r="A843" s="2" t="s">
        <v>3177</v>
      </c>
      <c r="B843" s="8" t="s">
        <v>16240</v>
      </c>
      <c r="C843" s="2" t="s">
        <v>3177</v>
      </c>
      <c r="D843" s="2" t="s">
        <v>3178</v>
      </c>
      <c r="E843" s="4" t="s">
        <v>3178</v>
      </c>
      <c r="G843" s="15" t="s">
        <v>22108</v>
      </c>
      <c r="H843" s="15" t="s">
        <v>22109</v>
      </c>
      <c r="I843" s="15" t="s">
        <v>22110</v>
      </c>
      <c r="J843" s="15" t="s">
        <v>202</v>
      </c>
      <c r="K843" s="15">
        <v>6335489</v>
      </c>
      <c r="L843" s="15" t="s">
        <v>19099</v>
      </c>
    </row>
    <row r="844" spans="1:12" x14ac:dyDescent="0.25">
      <c r="A844" s="2" t="s">
        <v>3180</v>
      </c>
      <c r="B844" s="8" t="s">
        <v>16241</v>
      </c>
      <c r="C844" s="2" t="s">
        <v>3180</v>
      </c>
      <c r="D844" s="2" t="s">
        <v>3181</v>
      </c>
      <c r="E844" s="4" t="s">
        <v>22111</v>
      </c>
      <c r="G844" s="15" t="s">
        <v>22112</v>
      </c>
      <c r="H844" s="15" t="s">
        <v>22113</v>
      </c>
      <c r="I844" s="15" t="s">
        <v>22114</v>
      </c>
      <c r="J844" s="15" t="s">
        <v>22090</v>
      </c>
      <c r="K844" s="15">
        <v>9128</v>
      </c>
      <c r="L844" s="15" t="s">
        <v>19099</v>
      </c>
    </row>
    <row r="845" spans="1:12" x14ac:dyDescent="0.25">
      <c r="A845" s="2" t="s">
        <v>3183</v>
      </c>
      <c r="B845" s="8" t="s">
        <v>16242</v>
      </c>
      <c r="C845" s="2" t="s">
        <v>3183</v>
      </c>
      <c r="D845" s="2" t="s">
        <v>3184</v>
      </c>
      <c r="E845" s="4" t="s">
        <v>22115</v>
      </c>
      <c r="G845" s="15" t="s">
        <v>22115</v>
      </c>
      <c r="H845" s="15" t="s">
        <v>22116</v>
      </c>
      <c r="I845" s="15" t="s">
        <v>22117</v>
      </c>
      <c r="J845" s="15" t="s">
        <v>22118</v>
      </c>
      <c r="K845" s="15">
        <v>241</v>
      </c>
      <c r="L845" s="15" t="s">
        <v>19099</v>
      </c>
    </row>
    <row r="846" spans="1:12" x14ac:dyDescent="0.25">
      <c r="A846" s="2" t="s">
        <v>3186</v>
      </c>
      <c r="B846" s="8" t="s">
        <v>16243</v>
      </c>
      <c r="C846" s="2" t="s">
        <v>3186</v>
      </c>
      <c r="D846" s="2" t="s">
        <v>3187</v>
      </c>
      <c r="E846" s="4" t="s">
        <v>3187</v>
      </c>
      <c r="G846" s="15" t="s">
        <v>3187</v>
      </c>
      <c r="H846" s="15" t="s">
        <v>22119</v>
      </c>
      <c r="I846" s="15" t="s">
        <v>22120</v>
      </c>
      <c r="J846" s="15" t="s">
        <v>22121</v>
      </c>
      <c r="K846" s="15">
        <v>240</v>
      </c>
      <c r="L846" s="15" t="s">
        <v>19099</v>
      </c>
    </row>
    <row r="847" spans="1:12" x14ac:dyDescent="0.25">
      <c r="A847" s="2" t="s">
        <v>3189</v>
      </c>
      <c r="B847" s="8" t="s">
        <v>16244</v>
      </c>
      <c r="C847" s="2" t="s">
        <v>3189</v>
      </c>
      <c r="D847" s="2" t="s">
        <v>3190</v>
      </c>
      <c r="E847" s="4" t="s">
        <v>22122</v>
      </c>
      <c r="G847" s="15" t="s">
        <v>22123</v>
      </c>
      <c r="H847" s="15" t="s">
        <v>22124</v>
      </c>
      <c r="I847" s="15" t="s">
        <v>22125</v>
      </c>
      <c r="J847" s="15" t="s">
        <v>21413</v>
      </c>
      <c r="K847" s="15">
        <v>999</v>
      </c>
      <c r="L847" s="15" t="s">
        <v>19099</v>
      </c>
    </row>
    <row r="848" spans="1:12" x14ac:dyDescent="0.25">
      <c r="A848" s="2" t="s">
        <v>3192</v>
      </c>
      <c r="B848" s="8" t="s">
        <v>16245</v>
      </c>
      <c r="C848" s="2" t="s">
        <v>3192</v>
      </c>
      <c r="D848" s="2" t="s">
        <v>3193</v>
      </c>
      <c r="E848" s="4" t="s">
        <v>22126</v>
      </c>
      <c r="G848" s="15" t="s">
        <v>22126</v>
      </c>
      <c r="H848" s="15" t="s">
        <v>22127</v>
      </c>
      <c r="I848" s="15" t="s">
        <v>22128</v>
      </c>
      <c r="J848" s="15" t="s">
        <v>22129</v>
      </c>
      <c r="K848" s="15">
        <v>7371</v>
      </c>
      <c r="L848" s="15" t="s">
        <v>19099</v>
      </c>
    </row>
    <row r="849" spans="1:12" x14ac:dyDescent="0.25">
      <c r="A849" s="2" t="s">
        <v>3195</v>
      </c>
      <c r="B849" s="8" t="s">
        <v>16246</v>
      </c>
      <c r="C849" s="2" t="s">
        <v>3195</v>
      </c>
      <c r="D849" s="2" t="s">
        <v>3196</v>
      </c>
      <c r="E849" s="4" t="s">
        <v>22130</v>
      </c>
      <c r="G849" s="15" t="s">
        <v>22131</v>
      </c>
      <c r="H849" s="15" t="s">
        <v>22132</v>
      </c>
      <c r="I849" s="15" t="s">
        <v>22133</v>
      </c>
      <c r="J849" s="15" t="s">
        <v>22134</v>
      </c>
      <c r="K849" s="15">
        <v>9117</v>
      </c>
      <c r="L849" s="15" t="s">
        <v>19099</v>
      </c>
    </row>
    <row r="850" spans="1:12" x14ac:dyDescent="0.25">
      <c r="A850" s="2" t="s">
        <v>3198</v>
      </c>
      <c r="B850" s="8" t="s">
        <v>16249</v>
      </c>
      <c r="C850" s="2" t="s">
        <v>3198</v>
      </c>
      <c r="D850" s="2" t="s">
        <v>3199</v>
      </c>
      <c r="E850" s="4" t="s">
        <v>3199</v>
      </c>
      <c r="G850" s="15" t="s">
        <v>22135</v>
      </c>
      <c r="H850" s="15" t="s">
        <v>22136</v>
      </c>
      <c r="I850" s="15" t="s">
        <v>22137</v>
      </c>
      <c r="J850" s="15" t="s">
        <v>514</v>
      </c>
      <c r="K850" s="15">
        <v>6336623</v>
      </c>
      <c r="L850" s="15" t="s">
        <v>19099</v>
      </c>
    </row>
    <row r="851" spans="1:12" x14ac:dyDescent="0.25">
      <c r="A851" s="2" t="s">
        <v>3201</v>
      </c>
      <c r="B851" s="8" t="s">
        <v>16250</v>
      </c>
      <c r="C851" s="2" t="s">
        <v>3201</v>
      </c>
      <c r="D851" s="2" t="s">
        <v>3202</v>
      </c>
      <c r="E851" s="4" t="s">
        <v>3202</v>
      </c>
      <c r="G851" s="15" t="s">
        <v>22138</v>
      </c>
      <c r="H851" s="15" t="s">
        <v>22139</v>
      </c>
      <c r="I851" s="15" t="s">
        <v>22140</v>
      </c>
      <c r="J851" s="15" t="s">
        <v>514</v>
      </c>
      <c r="K851" s="15">
        <v>6335818</v>
      </c>
      <c r="L851" s="15" t="s">
        <v>19099</v>
      </c>
    </row>
    <row r="852" spans="1:12" x14ac:dyDescent="0.25">
      <c r="A852" s="2" t="s">
        <v>3204</v>
      </c>
      <c r="B852" s="8" t="s">
        <v>16251</v>
      </c>
      <c r="C852" s="2" t="s">
        <v>3204</v>
      </c>
      <c r="D852" s="2" t="s">
        <v>3205</v>
      </c>
      <c r="E852" s="4" t="s">
        <v>3205</v>
      </c>
      <c r="G852" s="15" t="s">
        <v>22141</v>
      </c>
      <c r="H852" s="15" t="s">
        <v>22142</v>
      </c>
      <c r="I852" s="15" t="s">
        <v>22143</v>
      </c>
      <c r="J852" s="15" t="s">
        <v>514</v>
      </c>
      <c r="K852" s="15">
        <v>6328547</v>
      </c>
      <c r="L852" s="15" t="s">
        <v>19099</v>
      </c>
    </row>
    <row r="853" spans="1:12" x14ac:dyDescent="0.25">
      <c r="A853" s="2" t="s">
        <v>3207</v>
      </c>
      <c r="B853" s="8" t="s">
        <v>16252</v>
      </c>
      <c r="C853" s="2" t="s">
        <v>3207</v>
      </c>
      <c r="D853" s="2" t="s">
        <v>3208</v>
      </c>
      <c r="E853" s="4" t="s">
        <v>3208</v>
      </c>
      <c r="G853" s="15" t="s">
        <v>22144</v>
      </c>
      <c r="H853" s="15" t="s">
        <v>22145</v>
      </c>
      <c r="I853" s="15" t="s">
        <v>22146</v>
      </c>
      <c r="J853" s="15" t="s">
        <v>514</v>
      </c>
      <c r="K853" s="15">
        <v>6335500</v>
      </c>
      <c r="L853" s="15" t="s">
        <v>19099</v>
      </c>
    </row>
    <row r="854" spans="1:12" x14ac:dyDescent="0.25">
      <c r="A854" s="2" t="s">
        <v>3210</v>
      </c>
      <c r="B854" s="8" t="s">
        <v>16253</v>
      </c>
      <c r="C854" s="2" t="s">
        <v>3210</v>
      </c>
      <c r="D854" s="2" t="s">
        <v>3211</v>
      </c>
      <c r="E854" s="4" t="s">
        <v>3211</v>
      </c>
      <c r="G854" s="15" t="s">
        <v>22147</v>
      </c>
      <c r="H854" s="15" t="s">
        <v>22148</v>
      </c>
      <c r="I854" s="15" t="s">
        <v>22149</v>
      </c>
      <c r="J854" s="15" t="s">
        <v>514</v>
      </c>
      <c r="K854" s="15">
        <v>6328549</v>
      </c>
      <c r="L854" s="15" t="s">
        <v>19099</v>
      </c>
    </row>
    <row r="855" spans="1:12" x14ac:dyDescent="0.25">
      <c r="A855" s="2" t="s">
        <v>3213</v>
      </c>
      <c r="B855" s="8" t="s">
        <v>16254</v>
      </c>
      <c r="C855" s="2" t="s">
        <v>3213</v>
      </c>
      <c r="D855" s="2" t="s">
        <v>3214</v>
      </c>
      <c r="E855" s="4" t="s">
        <v>22150</v>
      </c>
      <c r="G855" s="15" t="s">
        <v>22151</v>
      </c>
      <c r="H855" s="15" t="s">
        <v>22152</v>
      </c>
      <c r="I855" s="15" t="s">
        <v>22153</v>
      </c>
      <c r="J855" s="15" t="s">
        <v>22090</v>
      </c>
      <c r="K855" s="15">
        <v>9152</v>
      </c>
      <c r="L855" s="15" t="s">
        <v>19099</v>
      </c>
    </row>
    <row r="856" spans="1:12" x14ac:dyDescent="0.25">
      <c r="A856" s="2" t="s">
        <v>3216</v>
      </c>
      <c r="B856" s="8" t="s">
        <v>16256</v>
      </c>
      <c r="C856" s="2" t="s">
        <v>3216</v>
      </c>
      <c r="D856" s="2" t="s">
        <v>3217</v>
      </c>
      <c r="E856" s="4" t="s">
        <v>22154</v>
      </c>
      <c r="G856" s="15" t="s">
        <v>22155</v>
      </c>
      <c r="H856" s="15" t="s">
        <v>22156</v>
      </c>
      <c r="I856" s="15" t="s">
        <v>22157</v>
      </c>
      <c r="J856" s="15" t="s">
        <v>22090</v>
      </c>
      <c r="K856" s="15">
        <v>9158</v>
      </c>
      <c r="L856" s="15" t="s">
        <v>19099</v>
      </c>
    </row>
    <row r="857" spans="1:12" x14ac:dyDescent="0.25">
      <c r="A857" s="2" t="s">
        <v>3219</v>
      </c>
      <c r="B857" s="8" t="s">
        <v>16258</v>
      </c>
      <c r="C857" s="2" t="s">
        <v>3219</v>
      </c>
      <c r="D857" s="2" t="s">
        <v>3220</v>
      </c>
      <c r="E857" s="4" t="s">
        <v>22158</v>
      </c>
      <c r="G857" s="15" t="s">
        <v>22159</v>
      </c>
      <c r="H857" s="15" t="s">
        <v>22160</v>
      </c>
      <c r="I857" s="15" t="s">
        <v>22161</v>
      </c>
      <c r="J857" s="15" t="s">
        <v>3219</v>
      </c>
      <c r="K857" s="15">
        <v>24408</v>
      </c>
      <c r="L857" s="15" t="s">
        <v>19099</v>
      </c>
    </row>
    <row r="858" spans="1:12" x14ac:dyDescent="0.25">
      <c r="A858" s="2" t="s">
        <v>3222</v>
      </c>
      <c r="B858" s="8" t="s">
        <v>16259</v>
      </c>
      <c r="C858" s="2" t="s">
        <v>3222</v>
      </c>
      <c r="D858" s="2" t="s">
        <v>3223</v>
      </c>
      <c r="E858" s="4" t="s">
        <v>22162</v>
      </c>
      <c r="G858" s="15" t="s">
        <v>22162</v>
      </c>
      <c r="H858" s="15" t="s">
        <v>22163</v>
      </c>
      <c r="I858" s="15" t="s">
        <v>22164</v>
      </c>
      <c r="J858" s="15" t="s">
        <v>22165</v>
      </c>
      <c r="K858" s="15">
        <v>7961</v>
      </c>
      <c r="L858" s="15" t="s">
        <v>19099</v>
      </c>
    </row>
    <row r="859" spans="1:12" x14ac:dyDescent="0.25">
      <c r="A859" s="2" t="s">
        <v>3225</v>
      </c>
      <c r="B859" s="8" t="s">
        <v>16260</v>
      </c>
      <c r="C859" s="2" t="s">
        <v>3225</v>
      </c>
      <c r="D859" s="2" t="s">
        <v>3226</v>
      </c>
      <c r="E859" s="4" t="s">
        <v>22166</v>
      </c>
      <c r="G859" s="15" t="s">
        <v>22166</v>
      </c>
      <c r="H859" s="15" t="s">
        <v>22167</v>
      </c>
      <c r="I859" s="15" t="s">
        <v>22168</v>
      </c>
      <c r="J859" s="15" t="s">
        <v>22169</v>
      </c>
      <c r="K859" s="15">
        <v>6323</v>
      </c>
      <c r="L859" s="15" t="s">
        <v>19099</v>
      </c>
    </row>
    <row r="860" spans="1:12" x14ac:dyDescent="0.25">
      <c r="A860" s="2" t="s">
        <v>3228</v>
      </c>
      <c r="B860" s="8" t="s">
        <v>16261</v>
      </c>
      <c r="C860" s="2" t="s">
        <v>3228</v>
      </c>
      <c r="D860" s="2" t="s">
        <v>3229</v>
      </c>
      <c r="E860" s="4" t="s">
        <v>22170</v>
      </c>
      <c r="G860" s="15" t="s">
        <v>22171</v>
      </c>
      <c r="H860" s="15" t="s">
        <v>22172</v>
      </c>
      <c r="I860" s="15" t="s">
        <v>22173</v>
      </c>
      <c r="J860" s="15" t="s">
        <v>22174</v>
      </c>
      <c r="K860" s="15">
        <v>11641</v>
      </c>
      <c r="L860" s="15" t="s">
        <v>19099</v>
      </c>
    </row>
    <row r="861" spans="1:12" x14ac:dyDescent="0.25">
      <c r="A861" s="2" t="s">
        <v>3231</v>
      </c>
      <c r="B861" s="8" t="s">
        <v>16262</v>
      </c>
      <c r="C861" s="2" t="s">
        <v>3231</v>
      </c>
      <c r="D861" s="2" t="s">
        <v>3232</v>
      </c>
      <c r="E861" s="4" t="s">
        <v>22175</v>
      </c>
      <c r="G861" s="15" t="s">
        <v>22176</v>
      </c>
      <c r="H861" s="15" t="s">
        <v>22177</v>
      </c>
      <c r="I861" s="15" t="s">
        <v>22178</v>
      </c>
      <c r="J861" s="15" t="s">
        <v>22179</v>
      </c>
      <c r="K861" s="15">
        <v>542762</v>
      </c>
      <c r="L861" s="15" t="s">
        <v>19099</v>
      </c>
    </row>
    <row r="862" spans="1:12" x14ac:dyDescent="0.25">
      <c r="A862" s="2" t="s">
        <v>3234</v>
      </c>
      <c r="B862" s="8" t="s">
        <v>16263</v>
      </c>
      <c r="C862" s="2" t="s">
        <v>3234</v>
      </c>
      <c r="D862" s="2" t="s">
        <v>3235</v>
      </c>
      <c r="E862" s="4" t="s">
        <v>22180</v>
      </c>
      <c r="G862" s="15" t="s">
        <v>22181</v>
      </c>
      <c r="H862" s="15" t="s">
        <v>22182</v>
      </c>
      <c r="I862" s="15" t="s">
        <v>22183</v>
      </c>
      <c r="J862" s="15" t="s">
        <v>22184</v>
      </c>
      <c r="K862" s="15">
        <v>114809</v>
      </c>
      <c r="L862" s="15" t="s">
        <v>19099</v>
      </c>
    </row>
    <row r="863" spans="1:12" x14ac:dyDescent="0.25">
      <c r="A863" s="2" t="s">
        <v>3237</v>
      </c>
      <c r="B863" s="8" t="s">
        <v>16264</v>
      </c>
      <c r="C863" s="2" t="s">
        <v>3237</v>
      </c>
      <c r="D863" s="2" t="s">
        <v>3238</v>
      </c>
      <c r="E863" s="4" t="s">
        <v>22185</v>
      </c>
      <c r="G863" s="15" t="s">
        <v>22186</v>
      </c>
      <c r="H863" s="15" t="s">
        <v>22187</v>
      </c>
      <c r="I863" s="15" t="s">
        <v>22188</v>
      </c>
      <c r="J863" s="15" t="s">
        <v>22189</v>
      </c>
      <c r="K863" s="15">
        <v>6227</v>
      </c>
      <c r="L863" s="15" t="s">
        <v>19099</v>
      </c>
    </row>
    <row r="864" spans="1:12" x14ac:dyDescent="0.25">
      <c r="A864" s="2" t="s">
        <v>3240</v>
      </c>
      <c r="B864" s="8" t="s">
        <v>16265</v>
      </c>
      <c r="C864" s="2" t="s">
        <v>3240</v>
      </c>
      <c r="D864" s="2" t="s">
        <v>3241</v>
      </c>
      <c r="E864" s="4" t="s">
        <v>22190</v>
      </c>
      <c r="G864" s="15" t="s">
        <v>22190</v>
      </c>
      <c r="H864" s="15" t="s">
        <v>22191</v>
      </c>
      <c r="I864" s="15" t="s">
        <v>22192</v>
      </c>
      <c r="J864" s="15" t="s">
        <v>22193</v>
      </c>
      <c r="K864" s="15">
        <v>84979</v>
      </c>
      <c r="L864" s="15" t="s">
        <v>19099</v>
      </c>
    </row>
    <row r="865" spans="1:12" x14ac:dyDescent="0.25">
      <c r="A865" s="2" t="s">
        <v>3243</v>
      </c>
      <c r="B865" s="8" t="s">
        <v>16266</v>
      </c>
      <c r="C865" s="2" t="s">
        <v>3243</v>
      </c>
      <c r="D865" s="2" t="s">
        <v>3244</v>
      </c>
      <c r="E865" s="4" t="s">
        <v>22194</v>
      </c>
      <c r="G865" s="15" t="s">
        <v>22195</v>
      </c>
      <c r="H865" s="15" t="s">
        <v>22196</v>
      </c>
      <c r="I865" s="15" t="s">
        <v>22197</v>
      </c>
      <c r="J865" s="15" t="s">
        <v>22198</v>
      </c>
      <c r="K865" s="15">
        <v>62119</v>
      </c>
      <c r="L865" s="15" t="s">
        <v>19099</v>
      </c>
    </row>
    <row r="866" spans="1:12" x14ac:dyDescent="0.25">
      <c r="A866" s="2" t="s">
        <v>3246</v>
      </c>
      <c r="B866" s="8" t="s">
        <v>16267</v>
      </c>
      <c r="C866" s="2" t="s">
        <v>3246</v>
      </c>
      <c r="D866" s="2" t="s">
        <v>3247</v>
      </c>
      <c r="E866" s="4" t="s">
        <v>22199</v>
      </c>
      <c r="G866" s="15" t="s">
        <v>22200</v>
      </c>
      <c r="H866" s="15" t="s">
        <v>22201</v>
      </c>
      <c r="I866" s="15" t="s">
        <v>22202</v>
      </c>
      <c r="J866" s="15" t="s">
        <v>22203</v>
      </c>
      <c r="K866" s="15">
        <v>15533</v>
      </c>
      <c r="L866" s="15" t="s">
        <v>19099</v>
      </c>
    </row>
    <row r="867" spans="1:12" x14ac:dyDescent="0.25">
      <c r="A867" s="2" t="s">
        <v>3249</v>
      </c>
      <c r="B867" s="8" t="s">
        <v>16268</v>
      </c>
      <c r="C867" s="2" t="s">
        <v>3249</v>
      </c>
      <c r="D867" s="2" t="s">
        <v>3250</v>
      </c>
      <c r="E867" s="4" t="s">
        <v>15007</v>
      </c>
      <c r="G867" s="15" t="s">
        <v>22204</v>
      </c>
      <c r="H867" s="15" t="s">
        <v>22205</v>
      </c>
      <c r="I867" s="15" t="s">
        <v>22206</v>
      </c>
      <c r="J867" s="15" t="s">
        <v>22207</v>
      </c>
      <c r="K867" s="15">
        <v>15531</v>
      </c>
      <c r="L867" s="15" t="s">
        <v>19099</v>
      </c>
    </row>
    <row r="868" spans="1:12" x14ac:dyDescent="0.25">
      <c r="A868" s="2" t="s">
        <v>3252</v>
      </c>
      <c r="B868" s="8" t="s">
        <v>16269</v>
      </c>
      <c r="C868" s="2" t="s">
        <v>3252</v>
      </c>
      <c r="D868" s="2" t="s">
        <v>3253</v>
      </c>
      <c r="E868" s="4" t="s">
        <v>22208</v>
      </c>
      <c r="G868" s="15" t="s">
        <v>22209</v>
      </c>
      <c r="H868" s="15" t="s">
        <v>22210</v>
      </c>
      <c r="I868" s="15" t="s">
        <v>22211</v>
      </c>
      <c r="J868" s="15" t="s">
        <v>22212</v>
      </c>
      <c r="K868" s="15">
        <v>6383</v>
      </c>
      <c r="L868" s="15" t="s">
        <v>19099</v>
      </c>
    </row>
    <row r="869" spans="1:12" x14ac:dyDescent="0.25">
      <c r="A869" s="2" t="s">
        <v>3255</v>
      </c>
      <c r="B869" s="8" t="s">
        <v>16270</v>
      </c>
      <c r="C869" s="2" t="s">
        <v>3255</v>
      </c>
      <c r="D869" s="2" t="s">
        <v>3256</v>
      </c>
      <c r="E869" s="4" t="s">
        <v>22213</v>
      </c>
      <c r="G869" s="15" t="s">
        <v>22214</v>
      </c>
      <c r="H869" s="15" t="s">
        <v>22215</v>
      </c>
      <c r="I869" s="15" t="s">
        <v>22216</v>
      </c>
      <c r="J869" s="15" t="s">
        <v>22217</v>
      </c>
      <c r="K869" s="15">
        <v>15583</v>
      </c>
      <c r="L869" s="15" t="s">
        <v>19099</v>
      </c>
    </row>
    <row r="870" spans="1:12" x14ac:dyDescent="0.25">
      <c r="A870" s="2" t="s">
        <v>3258</v>
      </c>
      <c r="B870" s="8" t="s">
        <v>16271</v>
      </c>
      <c r="C870" s="2" t="s">
        <v>3258</v>
      </c>
      <c r="D870" s="2" t="s">
        <v>3259</v>
      </c>
      <c r="E870" s="4" t="s">
        <v>3259</v>
      </c>
      <c r="G870" s="15" t="s">
        <v>22218</v>
      </c>
      <c r="H870" s="15" t="s">
        <v>22219</v>
      </c>
      <c r="I870" s="15" t="s">
        <v>22220</v>
      </c>
      <c r="J870" s="15" t="s">
        <v>22221</v>
      </c>
      <c r="K870" s="15">
        <v>31101</v>
      </c>
      <c r="L870" s="15" t="s">
        <v>19099</v>
      </c>
    </row>
    <row r="871" spans="1:12" x14ac:dyDescent="0.25">
      <c r="A871" s="2" t="s">
        <v>3261</v>
      </c>
      <c r="B871" s="8" t="s">
        <v>16272</v>
      </c>
      <c r="C871" s="2" t="s">
        <v>3261</v>
      </c>
      <c r="D871" s="2" t="s">
        <v>3262</v>
      </c>
      <c r="E871" s="4" t="s">
        <v>22222</v>
      </c>
      <c r="G871" s="15" t="s">
        <v>22223</v>
      </c>
      <c r="H871" s="15" t="s">
        <v>22224</v>
      </c>
      <c r="I871" s="15" t="s">
        <v>22225</v>
      </c>
      <c r="J871" s="15" t="s">
        <v>22226</v>
      </c>
      <c r="K871" s="15">
        <v>86287521</v>
      </c>
      <c r="L871" s="15" t="s">
        <v>19099</v>
      </c>
    </row>
    <row r="872" spans="1:12" x14ac:dyDescent="0.25">
      <c r="A872" s="2" t="s">
        <v>3264</v>
      </c>
      <c r="B872" s="8" t="s">
        <v>16273</v>
      </c>
      <c r="C872" s="2" t="s">
        <v>3264</v>
      </c>
      <c r="D872" s="2" t="s">
        <v>3265</v>
      </c>
      <c r="E872" s="4" t="s">
        <v>22227</v>
      </c>
      <c r="G872" s="15" t="s">
        <v>22228</v>
      </c>
      <c r="H872" s="15" t="s">
        <v>22229</v>
      </c>
      <c r="I872" s="15" t="s">
        <v>22230</v>
      </c>
      <c r="J872" s="15" t="s">
        <v>22231</v>
      </c>
      <c r="K872" s="15">
        <v>6107844</v>
      </c>
      <c r="L872" s="15" t="s">
        <v>19099</v>
      </c>
    </row>
    <row r="873" spans="1:12" x14ac:dyDescent="0.25">
      <c r="A873" s="2" t="s">
        <v>3267</v>
      </c>
      <c r="B873" s="8" t="s">
        <v>16274</v>
      </c>
      <c r="C873" s="2" t="s">
        <v>3267</v>
      </c>
      <c r="D873" s="2" t="s">
        <v>3268</v>
      </c>
      <c r="E873" s="4" t="s">
        <v>22232</v>
      </c>
      <c r="G873" s="15" t="s">
        <v>22233</v>
      </c>
      <c r="H873" s="15" t="s">
        <v>22234</v>
      </c>
      <c r="I873" s="15" t="s">
        <v>22235</v>
      </c>
      <c r="J873" s="15" t="s">
        <v>22236</v>
      </c>
      <c r="K873" s="15">
        <v>28936</v>
      </c>
      <c r="L873" s="15" t="s">
        <v>19099</v>
      </c>
    </row>
    <row r="874" spans="1:12" x14ac:dyDescent="0.25">
      <c r="A874" s="2" t="s">
        <v>3270</v>
      </c>
      <c r="B874" s="8" t="s">
        <v>16275</v>
      </c>
      <c r="C874" s="2" t="s">
        <v>3270</v>
      </c>
      <c r="D874" s="2" t="s">
        <v>3271</v>
      </c>
      <c r="E874" s="4" t="s">
        <v>22237</v>
      </c>
    </row>
    <row r="875" spans="1:12" x14ac:dyDescent="0.25">
      <c r="A875" s="2" t="s">
        <v>3273</v>
      </c>
      <c r="B875" s="8" t="s">
        <v>16277</v>
      </c>
      <c r="C875" s="2" t="s">
        <v>3273</v>
      </c>
      <c r="D875" s="2" t="s">
        <v>3274</v>
      </c>
      <c r="E875" s="4" t="s">
        <v>22238</v>
      </c>
      <c r="G875" s="15" t="s">
        <v>22239</v>
      </c>
      <c r="H875" s="15" t="s">
        <v>22240</v>
      </c>
      <c r="I875" s="15" t="s">
        <v>22241</v>
      </c>
      <c r="J875" s="15" t="s">
        <v>22242</v>
      </c>
      <c r="K875" s="15">
        <v>33599</v>
      </c>
      <c r="L875" s="15" t="s">
        <v>19099</v>
      </c>
    </row>
    <row r="876" spans="1:12" x14ac:dyDescent="0.25">
      <c r="A876" s="2" t="s">
        <v>3276</v>
      </c>
      <c r="B876" s="8" t="s">
        <v>16278</v>
      </c>
      <c r="C876" s="2" t="s">
        <v>3276</v>
      </c>
      <c r="D876" s="2" t="s">
        <v>3277</v>
      </c>
      <c r="E876" s="4" t="s">
        <v>22243</v>
      </c>
      <c r="G876" s="15" t="s">
        <v>22244</v>
      </c>
      <c r="H876" s="15" t="s">
        <v>22245</v>
      </c>
      <c r="I876" s="15" t="s">
        <v>22246</v>
      </c>
      <c r="J876" s="15" t="s">
        <v>20033</v>
      </c>
      <c r="K876" s="15">
        <v>15600</v>
      </c>
      <c r="L876" s="15" t="s">
        <v>19099</v>
      </c>
    </row>
    <row r="877" spans="1:12" x14ac:dyDescent="0.25">
      <c r="A877" s="2" t="s">
        <v>3279</v>
      </c>
      <c r="B877" s="8" t="s">
        <v>16279</v>
      </c>
      <c r="C877" s="2" t="s">
        <v>3279</v>
      </c>
      <c r="D877" s="2" t="s">
        <v>3280</v>
      </c>
      <c r="E877" s="4" t="s">
        <v>22247</v>
      </c>
      <c r="G877" s="15" t="s">
        <v>22247</v>
      </c>
      <c r="H877" s="15" t="s">
        <v>22248</v>
      </c>
      <c r="I877" s="15" t="s">
        <v>22249</v>
      </c>
      <c r="J877" s="15" t="s">
        <v>22250</v>
      </c>
      <c r="K877" s="15">
        <v>2969</v>
      </c>
      <c r="L877" s="15" t="s">
        <v>19099</v>
      </c>
    </row>
    <row r="878" spans="1:12" x14ac:dyDescent="0.25">
      <c r="A878" s="2" t="s">
        <v>3282</v>
      </c>
      <c r="B878" s="8" t="s">
        <v>16280</v>
      </c>
      <c r="C878" s="2" t="s">
        <v>3282</v>
      </c>
      <c r="D878" s="2" t="s">
        <v>3283</v>
      </c>
      <c r="E878" s="4" t="s">
        <v>22251</v>
      </c>
      <c r="G878" s="15" t="s">
        <v>22251</v>
      </c>
      <c r="H878" s="15" t="s">
        <v>22252</v>
      </c>
      <c r="I878" s="15" t="s">
        <v>22253</v>
      </c>
      <c r="J878" s="15" t="s">
        <v>22254</v>
      </c>
      <c r="K878" s="15">
        <v>14257</v>
      </c>
      <c r="L878" s="15" t="s">
        <v>19099</v>
      </c>
    </row>
    <row r="879" spans="1:12" x14ac:dyDescent="0.25">
      <c r="A879" s="2" t="s">
        <v>3285</v>
      </c>
      <c r="B879" s="8" t="s">
        <v>16281</v>
      </c>
      <c r="C879" s="2" t="s">
        <v>3285</v>
      </c>
      <c r="D879" s="2" t="s">
        <v>3286</v>
      </c>
      <c r="E879" s="4" t="s">
        <v>22255</v>
      </c>
      <c r="G879" s="15" t="s">
        <v>22255</v>
      </c>
      <c r="H879" s="15" t="s">
        <v>22256</v>
      </c>
      <c r="I879" s="15" t="s">
        <v>22257</v>
      </c>
      <c r="J879" s="15" t="s">
        <v>20699</v>
      </c>
      <c r="K879" s="15">
        <v>8180</v>
      </c>
      <c r="L879" s="15" t="s">
        <v>19099</v>
      </c>
    </row>
    <row r="880" spans="1:12" x14ac:dyDescent="0.25">
      <c r="A880" s="2" t="s">
        <v>3288</v>
      </c>
      <c r="B880" s="8" t="s">
        <v>16282</v>
      </c>
      <c r="C880" s="2" t="s">
        <v>3288</v>
      </c>
      <c r="D880" s="2" t="s">
        <v>3289</v>
      </c>
      <c r="E880" s="4" t="s">
        <v>22258</v>
      </c>
      <c r="G880" s="15" t="s">
        <v>22259</v>
      </c>
      <c r="H880" s="15" t="s">
        <v>22260</v>
      </c>
      <c r="I880" s="15" t="s">
        <v>22261</v>
      </c>
      <c r="J880" s="15" t="s">
        <v>20658</v>
      </c>
      <c r="K880" s="15">
        <v>5634</v>
      </c>
      <c r="L880" s="15" t="s">
        <v>19099</v>
      </c>
    </row>
    <row r="881" spans="1:12" x14ac:dyDescent="0.25">
      <c r="A881" s="2" t="s">
        <v>3291</v>
      </c>
      <c r="B881" s="8" t="s">
        <v>16283</v>
      </c>
      <c r="C881" s="2" t="s">
        <v>3291</v>
      </c>
      <c r="D881" s="2" t="s">
        <v>3292</v>
      </c>
      <c r="E881" s="4" t="s">
        <v>22262</v>
      </c>
      <c r="G881" s="15" t="s">
        <v>22263</v>
      </c>
      <c r="H881" s="15" t="s">
        <v>22264</v>
      </c>
      <c r="I881" s="15" t="s">
        <v>22265</v>
      </c>
      <c r="J881" s="15" t="s">
        <v>22266</v>
      </c>
      <c r="K881" s="15">
        <v>33917</v>
      </c>
      <c r="L881" s="15" t="s">
        <v>19099</v>
      </c>
    </row>
    <row r="882" spans="1:12" x14ac:dyDescent="0.25">
      <c r="A882" s="2" t="s">
        <v>3294</v>
      </c>
      <c r="B882" s="8" t="s">
        <v>16284</v>
      </c>
      <c r="C882" s="2" t="s">
        <v>3294</v>
      </c>
      <c r="D882" s="2" t="s">
        <v>3295</v>
      </c>
      <c r="E882" s="4" t="s">
        <v>22267</v>
      </c>
      <c r="G882" s="15" t="s">
        <v>22268</v>
      </c>
      <c r="H882" s="15" t="s">
        <v>22269</v>
      </c>
      <c r="I882" s="15" t="s">
        <v>22270</v>
      </c>
      <c r="J882" s="15" t="s">
        <v>22266</v>
      </c>
      <c r="K882" s="15">
        <v>8755</v>
      </c>
      <c r="L882" s="15" t="s">
        <v>19099</v>
      </c>
    </row>
    <row r="883" spans="1:12" ht="30" customHeight="1" x14ac:dyDescent="0.25">
      <c r="A883" s="2" t="s">
        <v>3297</v>
      </c>
      <c r="B883" s="8" t="s">
        <v>16285</v>
      </c>
      <c r="C883" s="2" t="s">
        <v>3297</v>
      </c>
      <c r="D883" s="2" t="s">
        <v>3298</v>
      </c>
      <c r="E883" s="4" t="s">
        <v>22271</v>
      </c>
    </row>
    <row r="884" spans="1:12" x14ac:dyDescent="0.25">
      <c r="A884" s="2" t="s">
        <v>3300</v>
      </c>
      <c r="B884" s="8" t="s">
        <v>16286</v>
      </c>
      <c r="C884" s="2" t="s">
        <v>3300</v>
      </c>
      <c r="D884" s="2" t="s">
        <v>3301</v>
      </c>
      <c r="E884" s="4" t="s">
        <v>22272</v>
      </c>
      <c r="G884" s="15" t="s">
        <v>22273</v>
      </c>
      <c r="H884" s="15" t="s">
        <v>22274</v>
      </c>
      <c r="I884" s="15" t="s">
        <v>22275</v>
      </c>
      <c r="J884" s="15" t="s">
        <v>22276</v>
      </c>
      <c r="K884" s="15">
        <v>8182</v>
      </c>
      <c r="L884" s="15" t="s">
        <v>19099</v>
      </c>
    </row>
    <row r="885" spans="1:12" x14ac:dyDescent="0.25">
      <c r="A885" s="2" t="s">
        <v>3303</v>
      </c>
      <c r="B885" s="8" t="s">
        <v>16287</v>
      </c>
      <c r="C885" s="2" t="s">
        <v>3303</v>
      </c>
      <c r="D885" s="2" t="s">
        <v>3304</v>
      </c>
      <c r="E885" s="4" t="s">
        <v>22277</v>
      </c>
      <c r="G885" s="15" t="s">
        <v>22278</v>
      </c>
      <c r="H885" s="15" t="s">
        <v>22279</v>
      </c>
      <c r="I885" s="15" t="s">
        <v>22280</v>
      </c>
      <c r="J885" s="15" t="s">
        <v>22281</v>
      </c>
      <c r="K885" s="15">
        <v>8430</v>
      </c>
      <c r="L885" s="15" t="s">
        <v>19099</v>
      </c>
    </row>
    <row r="886" spans="1:12" x14ac:dyDescent="0.25">
      <c r="A886" s="2" t="s">
        <v>3306</v>
      </c>
      <c r="B886" s="8" t="s">
        <v>16288</v>
      </c>
      <c r="C886" s="2" t="s">
        <v>3306</v>
      </c>
      <c r="D886" s="2" t="s">
        <v>3307</v>
      </c>
      <c r="E886" s="4" t="s">
        <v>22282</v>
      </c>
      <c r="G886" s="15" t="s">
        <v>22282</v>
      </c>
      <c r="H886" s="15" t="s">
        <v>22283</v>
      </c>
      <c r="I886" s="15" t="s">
        <v>22284</v>
      </c>
      <c r="J886" s="15" t="s">
        <v>22285</v>
      </c>
      <c r="K886" s="15">
        <v>3893</v>
      </c>
      <c r="L886" s="15" t="s">
        <v>19099</v>
      </c>
    </row>
    <row r="887" spans="1:12" x14ac:dyDescent="0.25">
      <c r="A887" s="2" t="s">
        <v>3309</v>
      </c>
      <c r="B887" s="8" t="s">
        <v>16289</v>
      </c>
      <c r="C887" s="2" t="s">
        <v>3309</v>
      </c>
      <c r="D887" s="2" t="s">
        <v>3310</v>
      </c>
      <c r="E887" s="4" t="s">
        <v>22286</v>
      </c>
      <c r="G887" s="15" t="s">
        <v>22287</v>
      </c>
      <c r="H887" s="15" t="s">
        <v>22288</v>
      </c>
      <c r="I887" s="15" t="s">
        <v>22289</v>
      </c>
      <c r="J887" s="15" t="s">
        <v>22290</v>
      </c>
      <c r="K887" s="15">
        <v>8778</v>
      </c>
      <c r="L887" s="15" t="s">
        <v>19099</v>
      </c>
    </row>
    <row r="888" spans="1:12" x14ac:dyDescent="0.25">
      <c r="A888" s="2" t="s">
        <v>3312</v>
      </c>
      <c r="B888" s="8" t="s">
        <v>16290</v>
      </c>
      <c r="C888" s="2" t="s">
        <v>3312</v>
      </c>
      <c r="D888" s="2" t="s">
        <v>3313</v>
      </c>
      <c r="E888" s="4" t="s">
        <v>22291</v>
      </c>
      <c r="G888" s="15" t="s">
        <v>22292</v>
      </c>
      <c r="H888" s="15" t="s">
        <v>22293</v>
      </c>
      <c r="I888" s="15" t="s">
        <v>22294</v>
      </c>
      <c r="J888" s="15" t="s">
        <v>22295</v>
      </c>
      <c r="K888" s="15">
        <v>8152</v>
      </c>
      <c r="L888" s="15" t="s">
        <v>19099</v>
      </c>
    </row>
    <row r="889" spans="1:12" x14ac:dyDescent="0.25">
      <c r="A889" s="2" t="s">
        <v>3315</v>
      </c>
      <c r="B889" s="8" t="s">
        <v>16291</v>
      </c>
      <c r="C889" s="2" t="s">
        <v>3315</v>
      </c>
      <c r="D889" s="2" t="s">
        <v>3316</v>
      </c>
      <c r="E889" s="4" t="s">
        <v>22296</v>
      </c>
      <c r="G889" s="15" t="s">
        <v>22297</v>
      </c>
      <c r="H889" s="15" t="s">
        <v>22298</v>
      </c>
      <c r="I889" s="15" t="s">
        <v>22299</v>
      </c>
      <c r="J889" s="15" t="s">
        <v>19</v>
      </c>
      <c r="K889" s="15">
        <v>105026</v>
      </c>
      <c r="L889" s="15" t="s">
        <v>19099</v>
      </c>
    </row>
    <row r="890" spans="1:12" x14ac:dyDescent="0.25">
      <c r="A890" s="2" t="s">
        <v>3318</v>
      </c>
      <c r="B890" s="8" t="s">
        <v>16292</v>
      </c>
      <c r="C890" s="2" t="s">
        <v>3318</v>
      </c>
      <c r="D890" s="2" t="s">
        <v>3319</v>
      </c>
      <c r="E890" s="4" t="s">
        <v>22300</v>
      </c>
      <c r="G890" s="15" t="s">
        <v>22301</v>
      </c>
      <c r="H890" s="15" t="s">
        <v>22302</v>
      </c>
      <c r="I890" s="15" t="s">
        <v>22303</v>
      </c>
      <c r="J890" s="15" t="s">
        <v>22304</v>
      </c>
      <c r="K890" s="15">
        <v>161559</v>
      </c>
      <c r="L890" s="15" t="s">
        <v>19099</v>
      </c>
    </row>
    <row r="891" spans="1:12" x14ac:dyDescent="0.25">
      <c r="A891" s="2" t="s">
        <v>3321</v>
      </c>
      <c r="B891" s="8" t="s">
        <v>16293</v>
      </c>
      <c r="C891" s="2" t="s">
        <v>3321</v>
      </c>
      <c r="D891" s="2" t="s">
        <v>3322</v>
      </c>
      <c r="E891" s="4" t="s">
        <v>22305</v>
      </c>
      <c r="G891" s="15" t="s">
        <v>22305</v>
      </c>
      <c r="H891" s="15" t="s">
        <v>22306</v>
      </c>
      <c r="I891" s="15" t="s">
        <v>22307</v>
      </c>
      <c r="J891" s="15" t="s">
        <v>22308</v>
      </c>
      <c r="K891" s="15">
        <v>12530</v>
      </c>
      <c r="L891" s="15" t="s">
        <v>19099</v>
      </c>
    </row>
    <row r="892" spans="1:12" x14ac:dyDescent="0.25">
      <c r="A892" s="2" t="s">
        <v>3324</v>
      </c>
      <c r="B892" s="8" t="s">
        <v>16294</v>
      </c>
      <c r="C892" s="2" t="s">
        <v>3324</v>
      </c>
      <c r="D892" s="2" t="s">
        <v>3325</v>
      </c>
      <c r="E892" s="4" t="s">
        <v>22309</v>
      </c>
      <c r="G892" s="15" t="s">
        <v>22297</v>
      </c>
      <c r="H892" s="15" t="s">
        <v>22310</v>
      </c>
      <c r="I892" s="15" t="s">
        <v>22311</v>
      </c>
      <c r="J892" s="15" t="s">
        <v>19</v>
      </c>
      <c r="K892" s="15">
        <v>26873</v>
      </c>
      <c r="L892" s="15" t="s">
        <v>19099</v>
      </c>
    </row>
    <row r="893" spans="1:12" ht="30" customHeight="1" x14ac:dyDescent="0.25">
      <c r="A893" s="2" t="s">
        <v>3327</v>
      </c>
      <c r="B893" s="8" t="s">
        <v>16295</v>
      </c>
      <c r="C893" s="2" t="s">
        <v>3327</v>
      </c>
      <c r="D893" s="2" t="s">
        <v>3328</v>
      </c>
      <c r="E893" s="4" t="s">
        <v>22312</v>
      </c>
      <c r="G893" s="15" t="s">
        <v>22313</v>
      </c>
      <c r="H893" s="15" t="s">
        <v>22314</v>
      </c>
      <c r="I893" s="15" t="s">
        <v>22315</v>
      </c>
      <c r="J893" s="15" t="s">
        <v>22316</v>
      </c>
      <c r="K893" s="15">
        <v>6437490</v>
      </c>
      <c r="L893" s="15" t="s">
        <v>19099</v>
      </c>
    </row>
    <row r="894" spans="1:12" x14ac:dyDescent="0.25">
      <c r="A894" s="2" t="s">
        <v>3330</v>
      </c>
      <c r="B894" s="8" t="s">
        <v>16296</v>
      </c>
      <c r="C894" s="2" t="s">
        <v>3330</v>
      </c>
      <c r="D894" s="2" t="s">
        <v>3331</v>
      </c>
      <c r="E894" s="4" t="s">
        <v>22317</v>
      </c>
      <c r="G894" s="15" t="s">
        <v>22317</v>
      </c>
      <c r="H894" s="15" t="s">
        <v>22318</v>
      </c>
      <c r="I894" s="15" t="s">
        <v>22319</v>
      </c>
      <c r="J894" s="15" t="s">
        <v>22320</v>
      </c>
      <c r="K894" s="15">
        <v>11005</v>
      </c>
      <c r="L894" s="15" t="s">
        <v>19099</v>
      </c>
    </row>
    <row r="895" spans="1:12" x14ac:dyDescent="0.25">
      <c r="A895" s="2" t="s">
        <v>3333</v>
      </c>
      <c r="B895" s="8" t="s">
        <v>16297</v>
      </c>
      <c r="C895" s="2" t="s">
        <v>3333</v>
      </c>
      <c r="D895" s="2" t="s">
        <v>3334</v>
      </c>
      <c r="E895" s="4" t="s">
        <v>22321</v>
      </c>
      <c r="G895" s="15" t="s">
        <v>22322</v>
      </c>
      <c r="H895" s="15" t="s">
        <v>22323</v>
      </c>
      <c r="I895" s="15" t="s">
        <v>22324</v>
      </c>
      <c r="J895" s="15" t="s">
        <v>22325</v>
      </c>
      <c r="K895" s="15">
        <v>20708</v>
      </c>
      <c r="L895" s="15" t="s">
        <v>19099</v>
      </c>
    </row>
    <row r="896" spans="1:12" x14ac:dyDescent="0.25">
      <c r="A896" s="2" t="s">
        <v>3336</v>
      </c>
      <c r="B896" s="8" t="s">
        <v>16298</v>
      </c>
      <c r="C896" s="2" t="s">
        <v>3336</v>
      </c>
      <c r="D896" s="2" t="s">
        <v>3337</v>
      </c>
      <c r="E896" s="4" t="s">
        <v>3337</v>
      </c>
      <c r="G896" s="15" t="s">
        <v>3337</v>
      </c>
      <c r="H896" s="15" t="s">
        <v>22326</v>
      </c>
      <c r="I896" s="15" t="s">
        <v>22327</v>
      </c>
      <c r="J896" s="15" t="s">
        <v>22328</v>
      </c>
      <c r="K896" s="15">
        <v>17697</v>
      </c>
      <c r="L896" s="15" t="s">
        <v>19099</v>
      </c>
    </row>
    <row r="897" spans="1:12" x14ac:dyDescent="0.25">
      <c r="A897" s="2" t="s">
        <v>3339</v>
      </c>
      <c r="B897" s="8" t="s">
        <v>16299</v>
      </c>
      <c r="C897" s="2" t="s">
        <v>3339</v>
      </c>
      <c r="D897" s="2" t="s">
        <v>3340</v>
      </c>
      <c r="E897" s="4" t="s">
        <v>22329</v>
      </c>
      <c r="G897" s="15" t="s">
        <v>22329</v>
      </c>
      <c r="H897" s="15" t="s">
        <v>22330</v>
      </c>
      <c r="I897" s="15" t="s">
        <v>22331</v>
      </c>
      <c r="J897" s="15" t="s">
        <v>22332</v>
      </c>
      <c r="K897" s="15">
        <v>13849</v>
      </c>
      <c r="L897" s="15" t="s">
        <v>19099</v>
      </c>
    </row>
    <row r="898" spans="1:12" x14ac:dyDescent="0.25">
      <c r="A898" s="2" t="s">
        <v>3342</v>
      </c>
      <c r="B898" s="8" t="s">
        <v>16300</v>
      </c>
      <c r="C898" s="2" t="s">
        <v>3342</v>
      </c>
      <c r="D898" s="2" t="s">
        <v>3343</v>
      </c>
      <c r="E898" s="4" t="s">
        <v>22333</v>
      </c>
      <c r="G898" s="15" t="s">
        <v>22333</v>
      </c>
      <c r="H898" s="15" t="s">
        <v>22334</v>
      </c>
      <c r="I898" s="15" t="s">
        <v>22335</v>
      </c>
      <c r="J898" s="15" t="s">
        <v>22336</v>
      </c>
      <c r="K898" s="15">
        <v>985</v>
      </c>
      <c r="L898" s="15" t="s">
        <v>19099</v>
      </c>
    </row>
    <row r="899" spans="1:12" x14ac:dyDescent="0.25">
      <c r="A899" s="2" t="s">
        <v>3345</v>
      </c>
      <c r="B899" s="8" t="s">
        <v>16301</v>
      </c>
      <c r="C899" s="2" t="s">
        <v>3345</v>
      </c>
      <c r="D899" s="2" t="s">
        <v>3346</v>
      </c>
      <c r="E899" s="4" t="s">
        <v>22337</v>
      </c>
      <c r="G899" s="15" t="s">
        <v>22338</v>
      </c>
      <c r="H899" s="15" t="s">
        <v>22339</v>
      </c>
      <c r="I899" s="15" t="s">
        <v>22340</v>
      </c>
      <c r="J899" s="15" t="s">
        <v>22341</v>
      </c>
      <c r="K899" s="15">
        <v>8154</v>
      </c>
      <c r="L899" s="15" t="s">
        <v>19099</v>
      </c>
    </row>
    <row r="900" spans="1:12" x14ac:dyDescent="0.25">
      <c r="A900" s="2" t="s">
        <v>3348</v>
      </c>
      <c r="B900" s="8" t="s">
        <v>16302</v>
      </c>
      <c r="C900" s="2" t="s">
        <v>3348</v>
      </c>
      <c r="D900" s="2" t="s">
        <v>3349</v>
      </c>
      <c r="E900" s="4" t="s">
        <v>22342</v>
      </c>
      <c r="G900" s="15" t="s">
        <v>22342</v>
      </c>
      <c r="H900" s="15" t="s">
        <v>22343</v>
      </c>
      <c r="I900" s="15" t="s">
        <v>22344</v>
      </c>
      <c r="J900" s="15" t="s">
        <v>22345</v>
      </c>
      <c r="K900" s="15">
        <v>10465</v>
      </c>
      <c r="L900" s="15" t="s">
        <v>19099</v>
      </c>
    </row>
    <row r="901" spans="1:12" x14ac:dyDescent="0.25">
      <c r="A901" s="2" t="s">
        <v>3351</v>
      </c>
      <c r="B901" s="8" t="s">
        <v>16303</v>
      </c>
      <c r="C901" s="2" t="s">
        <v>3351</v>
      </c>
      <c r="D901" s="2" t="s">
        <v>3352</v>
      </c>
      <c r="E901" s="4" t="s">
        <v>3352</v>
      </c>
      <c r="G901" s="15" t="s">
        <v>3352</v>
      </c>
      <c r="H901" s="15" t="s">
        <v>22346</v>
      </c>
      <c r="I901" s="15" t="s">
        <v>22347</v>
      </c>
      <c r="J901" s="15" t="s">
        <v>21730</v>
      </c>
      <c r="K901" s="15">
        <v>12533</v>
      </c>
      <c r="L901" s="15" t="s">
        <v>19099</v>
      </c>
    </row>
    <row r="902" spans="1:12" x14ac:dyDescent="0.25">
      <c r="A902" s="2" t="s">
        <v>3354</v>
      </c>
      <c r="B902" s="8" t="s">
        <v>16304</v>
      </c>
      <c r="C902" s="2" t="s">
        <v>3354</v>
      </c>
      <c r="D902" s="2" t="s">
        <v>3355</v>
      </c>
      <c r="E902" s="4" t="s">
        <v>22348</v>
      </c>
      <c r="G902" s="15" t="s">
        <v>22348</v>
      </c>
      <c r="H902" s="15" t="s">
        <v>22349</v>
      </c>
      <c r="I902" s="15" t="s">
        <v>22350</v>
      </c>
      <c r="J902" s="15" t="s">
        <v>22351</v>
      </c>
      <c r="K902" s="15">
        <v>5281</v>
      </c>
      <c r="L902" s="15" t="s">
        <v>19099</v>
      </c>
    </row>
    <row r="903" spans="1:12" x14ac:dyDescent="0.25">
      <c r="A903" s="2" t="s">
        <v>3357</v>
      </c>
      <c r="B903" s="8" t="s">
        <v>16306</v>
      </c>
      <c r="C903" s="2" t="s">
        <v>3357</v>
      </c>
      <c r="D903" s="2" t="s">
        <v>3358</v>
      </c>
      <c r="E903" s="4" t="s">
        <v>3358</v>
      </c>
      <c r="G903" s="15" t="s">
        <v>22352</v>
      </c>
      <c r="H903" s="15" t="s">
        <v>22353</v>
      </c>
      <c r="I903" s="15" t="s">
        <v>22354</v>
      </c>
      <c r="J903" s="15" t="s">
        <v>22355</v>
      </c>
      <c r="K903" s="15">
        <v>712</v>
      </c>
      <c r="L903" s="15" t="s">
        <v>19099</v>
      </c>
    </row>
    <row r="904" spans="1:12" x14ac:dyDescent="0.25">
      <c r="A904" s="2" t="s">
        <v>3360</v>
      </c>
      <c r="B904" s="8" t="s">
        <v>16307</v>
      </c>
      <c r="C904" s="2" t="s">
        <v>3360</v>
      </c>
      <c r="D904" s="2" t="s">
        <v>3361</v>
      </c>
      <c r="E904" s="4" t="s">
        <v>22356</v>
      </c>
      <c r="G904" s="15" t="s">
        <v>22356</v>
      </c>
      <c r="H904" s="15" t="s">
        <v>22357</v>
      </c>
      <c r="I904" s="15" t="s">
        <v>22358</v>
      </c>
      <c r="J904" s="15" t="s">
        <v>22359</v>
      </c>
      <c r="K904" s="15">
        <v>878</v>
      </c>
      <c r="L904" s="15" t="s">
        <v>19099</v>
      </c>
    </row>
    <row r="905" spans="1:12" x14ac:dyDescent="0.25">
      <c r="A905" s="2" t="s">
        <v>3363</v>
      </c>
      <c r="B905" s="8" t="s">
        <v>16308</v>
      </c>
      <c r="C905" s="2" t="s">
        <v>3363</v>
      </c>
      <c r="D905" s="2" t="s">
        <v>3364</v>
      </c>
      <c r="E905" s="4" t="s">
        <v>22360</v>
      </c>
      <c r="G905" s="15" t="s">
        <v>22360</v>
      </c>
      <c r="H905" s="15" t="s">
        <v>22361</v>
      </c>
      <c r="I905" s="15" t="s">
        <v>22362</v>
      </c>
      <c r="J905" s="15" t="s">
        <v>22363</v>
      </c>
      <c r="K905" s="15">
        <v>284</v>
      </c>
      <c r="L905" s="15" t="s">
        <v>19099</v>
      </c>
    </row>
    <row r="906" spans="1:12" x14ac:dyDescent="0.25">
      <c r="A906" s="2" t="s">
        <v>3366</v>
      </c>
      <c r="B906" s="8" t="s">
        <v>16309</v>
      </c>
      <c r="C906" s="2" t="s">
        <v>3366</v>
      </c>
      <c r="D906" s="2" t="s">
        <v>3367</v>
      </c>
      <c r="E906" s="4" t="s">
        <v>3367</v>
      </c>
      <c r="G906" s="15" t="s">
        <v>3367</v>
      </c>
      <c r="H906" s="15" t="s">
        <v>22364</v>
      </c>
      <c r="I906" s="15" t="s">
        <v>22365</v>
      </c>
      <c r="J906" s="15" t="s">
        <v>22366</v>
      </c>
      <c r="K906" s="15">
        <v>887</v>
      </c>
      <c r="L906" s="15" t="s">
        <v>19099</v>
      </c>
    </row>
    <row r="907" spans="1:12" x14ac:dyDescent="0.25">
      <c r="A907" s="2" t="s">
        <v>3369</v>
      </c>
      <c r="B907" s="8" t="s">
        <v>16310</v>
      </c>
      <c r="C907" s="2" t="s">
        <v>3369</v>
      </c>
      <c r="D907" s="2" t="s">
        <v>3370</v>
      </c>
      <c r="E907" s="4" t="s">
        <v>22367</v>
      </c>
      <c r="G907" s="15" t="s">
        <v>22368</v>
      </c>
      <c r="H907" s="15" t="s">
        <v>22369</v>
      </c>
      <c r="I907" s="15" t="s">
        <v>22370</v>
      </c>
      <c r="J907" s="15" t="s">
        <v>22371</v>
      </c>
      <c r="K907" s="15">
        <v>13543</v>
      </c>
      <c r="L907" s="15" t="s">
        <v>19099</v>
      </c>
    </row>
    <row r="908" spans="1:12" x14ac:dyDescent="0.25">
      <c r="A908" s="2" t="s">
        <v>3372</v>
      </c>
      <c r="B908" s="8" t="s">
        <v>16311</v>
      </c>
      <c r="C908" s="2" t="s">
        <v>3372</v>
      </c>
      <c r="D908" s="2" t="s">
        <v>3373</v>
      </c>
      <c r="E908" s="4" t="s">
        <v>22372</v>
      </c>
      <c r="G908" s="15" t="s">
        <v>22373</v>
      </c>
      <c r="H908" s="15" t="s">
        <v>22374</v>
      </c>
      <c r="I908" s="15" t="s">
        <v>22375</v>
      </c>
      <c r="J908" s="15" t="s">
        <v>22376</v>
      </c>
      <c r="K908" s="15">
        <v>12521357</v>
      </c>
      <c r="L908" s="15" t="s">
        <v>19099</v>
      </c>
    </row>
    <row r="909" spans="1:12" x14ac:dyDescent="0.25">
      <c r="A909" s="2" t="s">
        <v>3375</v>
      </c>
      <c r="B909" s="8" t="s">
        <v>16312</v>
      </c>
      <c r="C909" s="2" t="s">
        <v>3375</v>
      </c>
      <c r="D909" s="2" t="s">
        <v>3376</v>
      </c>
      <c r="E909" s="4" t="s">
        <v>22377</v>
      </c>
      <c r="G909" s="15" t="s">
        <v>22378</v>
      </c>
      <c r="H909" s="15" t="s">
        <v>22379</v>
      </c>
      <c r="I909" s="15" t="s">
        <v>22380</v>
      </c>
      <c r="J909" s="15" t="s">
        <v>22381</v>
      </c>
      <c r="K909" s="15">
        <v>3033863</v>
      </c>
      <c r="L909" s="15" t="s">
        <v>19995</v>
      </c>
    </row>
    <row r="910" spans="1:12" x14ac:dyDescent="0.25">
      <c r="A910" s="2" t="s">
        <v>3378</v>
      </c>
      <c r="B910" s="8" t="s">
        <v>16313</v>
      </c>
      <c r="C910" s="2" t="s">
        <v>3378</v>
      </c>
      <c r="D910" s="2" t="s">
        <v>3379</v>
      </c>
      <c r="E910" s="4" t="s">
        <v>22382</v>
      </c>
      <c r="G910" s="15" t="s">
        <v>22383</v>
      </c>
      <c r="H910" s="15" t="s">
        <v>22384</v>
      </c>
      <c r="I910" s="15" t="s">
        <v>22385</v>
      </c>
      <c r="J910" s="15" t="s">
        <v>22386</v>
      </c>
      <c r="K910" s="15">
        <v>4115</v>
      </c>
      <c r="L910" s="15" t="s">
        <v>19099</v>
      </c>
    </row>
    <row r="911" spans="1:12" x14ac:dyDescent="0.25">
      <c r="A911" s="2" t="s">
        <v>3381</v>
      </c>
      <c r="B911" s="8" t="s">
        <v>16314</v>
      </c>
      <c r="C911" s="2" t="s">
        <v>3381</v>
      </c>
      <c r="D911" s="2" t="s">
        <v>3382</v>
      </c>
      <c r="E911" s="4" t="s">
        <v>22387</v>
      </c>
      <c r="G911" s="15" t="s">
        <v>22388</v>
      </c>
      <c r="H911" s="15" t="s">
        <v>22389</v>
      </c>
      <c r="I911" s="15" t="s">
        <v>22390</v>
      </c>
      <c r="J911" s="15" t="s">
        <v>22391</v>
      </c>
      <c r="K911" s="15">
        <v>12251</v>
      </c>
      <c r="L911" s="15" t="s">
        <v>19099</v>
      </c>
    </row>
    <row r="912" spans="1:12" x14ac:dyDescent="0.25">
      <c r="A912" s="2" t="s">
        <v>3384</v>
      </c>
      <c r="B912" s="8" t="s">
        <v>16315</v>
      </c>
      <c r="C912" s="2" t="s">
        <v>3384</v>
      </c>
      <c r="D912" s="2" t="s">
        <v>3385</v>
      </c>
      <c r="E912" s="4" t="s">
        <v>3385</v>
      </c>
      <c r="G912" s="15" t="s">
        <v>22392</v>
      </c>
      <c r="H912" s="15" t="s">
        <v>22393</v>
      </c>
      <c r="I912" s="15" t="s">
        <v>22394</v>
      </c>
      <c r="J912" s="15" t="s">
        <v>22395</v>
      </c>
      <c r="K912" s="15">
        <v>105010</v>
      </c>
      <c r="L912" s="15" t="s">
        <v>19099</v>
      </c>
    </row>
    <row r="913" spans="1:12" x14ac:dyDescent="0.25">
      <c r="A913" s="2" t="s">
        <v>3387</v>
      </c>
      <c r="B913" s="8" t="s">
        <v>16316</v>
      </c>
      <c r="C913" s="2" t="s">
        <v>3387</v>
      </c>
      <c r="D913" s="2" t="s">
        <v>3388</v>
      </c>
      <c r="E913" s="4" t="s">
        <v>22396</v>
      </c>
      <c r="G913" s="15" t="s">
        <v>22397</v>
      </c>
      <c r="H913" s="15" t="s">
        <v>22398</v>
      </c>
      <c r="I913" s="15" t="s">
        <v>22399</v>
      </c>
      <c r="J913" s="15" t="s">
        <v>22345</v>
      </c>
      <c r="K913" s="15">
        <v>21205</v>
      </c>
      <c r="L913" s="15" t="s">
        <v>19099</v>
      </c>
    </row>
    <row r="914" spans="1:12" x14ac:dyDescent="0.25">
      <c r="A914" s="2" t="s">
        <v>3390</v>
      </c>
      <c r="B914" s="8" t="s">
        <v>16317</v>
      </c>
      <c r="C914" s="2" t="s">
        <v>3390</v>
      </c>
      <c r="D914" s="2" t="s">
        <v>3391</v>
      </c>
      <c r="E914" s="4" t="s">
        <v>22400</v>
      </c>
      <c r="G914" s="15" t="s">
        <v>22401</v>
      </c>
      <c r="H914" s="15" t="s">
        <v>22402</v>
      </c>
      <c r="I914" s="15" t="s">
        <v>22403</v>
      </c>
      <c r="J914" s="15" t="s">
        <v>22404</v>
      </c>
      <c r="K914" s="15">
        <v>19833595</v>
      </c>
      <c r="L914" s="15" t="s">
        <v>19099</v>
      </c>
    </row>
    <row r="915" spans="1:12" x14ac:dyDescent="0.25">
      <c r="A915" s="2" t="s">
        <v>3393</v>
      </c>
      <c r="B915" s="8" t="s">
        <v>16318</v>
      </c>
      <c r="C915" s="2" t="s">
        <v>3393</v>
      </c>
      <c r="D915" s="2" t="s">
        <v>3394</v>
      </c>
      <c r="E915" s="4" t="s">
        <v>22405</v>
      </c>
      <c r="G915" s="15" t="s">
        <v>22406</v>
      </c>
      <c r="H915" s="15" t="s">
        <v>22407</v>
      </c>
      <c r="I915" s="15" t="s">
        <v>22408</v>
      </c>
      <c r="J915" s="15" t="s">
        <v>22409</v>
      </c>
      <c r="K915" s="15">
        <v>44630380</v>
      </c>
      <c r="L915" s="15" t="s">
        <v>19995</v>
      </c>
    </row>
    <row r="916" spans="1:12" x14ac:dyDescent="0.25">
      <c r="A916" s="2" t="s">
        <v>3396</v>
      </c>
      <c r="B916" s="8" t="s">
        <v>16319</v>
      </c>
      <c r="C916" s="2" t="s">
        <v>3396</v>
      </c>
      <c r="D916" s="2" t="s">
        <v>3397</v>
      </c>
      <c r="E916" s="4" t="s">
        <v>22410</v>
      </c>
      <c r="G916" s="15" t="s">
        <v>22411</v>
      </c>
      <c r="H916" s="15" t="s">
        <v>22412</v>
      </c>
      <c r="I916" s="15" t="s">
        <v>22413</v>
      </c>
      <c r="J916" s="15" t="s">
        <v>22414</v>
      </c>
      <c r="K916" s="15">
        <v>295655</v>
      </c>
      <c r="L916" s="15" t="s">
        <v>19099</v>
      </c>
    </row>
    <row r="917" spans="1:12" x14ac:dyDescent="0.25">
      <c r="A917" s="2" t="s">
        <v>3399</v>
      </c>
      <c r="B917" s="8" t="s">
        <v>16320</v>
      </c>
      <c r="C917" s="2" t="s">
        <v>3399</v>
      </c>
      <c r="D917" s="2" t="s">
        <v>3400</v>
      </c>
      <c r="E917" s="4" t="s">
        <v>3400</v>
      </c>
      <c r="G917" s="15" t="s">
        <v>22415</v>
      </c>
      <c r="H917" s="15" t="s">
        <v>22416</v>
      </c>
      <c r="I917" s="15" t="s">
        <v>22417</v>
      </c>
      <c r="J917" s="15" t="s">
        <v>22418</v>
      </c>
      <c r="K917" s="15">
        <v>6364545</v>
      </c>
      <c r="L917" s="15" t="s">
        <v>19099</v>
      </c>
    </row>
    <row r="918" spans="1:12" x14ac:dyDescent="0.25">
      <c r="A918" s="2" t="s">
        <v>3402</v>
      </c>
      <c r="B918" s="8" t="s">
        <v>16321</v>
      </c>
      <c r="C918" s="2" t="s">
        <v>3402</v>
      </c>
      <c r="D918" s="2" t="s">
        <v>3403</v>
      </c>
      <c r="E918" s="4" t="s">
        <v>22419</v>
      </c>
      <c r="G918" s="15" t="s">
        <v>14031</v>
      </c>
      <c r="H918" s="15" t="s">
        <v>22420</v>
      </c>
      <c r="I918" s="15" t="s">
        <v>22421</v>
      </c>
      <c r="J918" s="15" t="s">
        <v>20058</v>
      </c>
      <c r="K918" s="15">
        <v>7515</v>
      </c>
      <c r="L918" s="15" t="s">
        <v>19099</v>
      </c>
    </row>
    <row r="919" spans="1:12" x14ac:dyDescent="0.25">
      <c r="A919" s="2" t="s">
        <v>3405</v>
      </c>
      <c r="B919" s="8" t="s">
        <v>16322</v>
      </c>
      <c r="C919" s="2" t="s">
        <v>3405</v>
      </c>
      <c r="D919" s="2" t="s">
        <v>3406</v>
      </c>
      <c r="E919" s="4" t="s">
        <v>22422</v>
      </c>
      <c r="G919" s="15" t="s">
        <v>22423</v>
      </c>
      <c r="H919" s="15" t="s">
        <v>22424</v>
      </c>
      <c r="I919" s="15" t="s">
        <v>22425</v>
      </c>
      <c r="J919" s="15" t="s">
        <v>22426</v>
      </c>
      <c r="K919" s="15">
        <v>16422</v>
      </c>
      <c r="L919" s="15" t="s">
        <v>19099</v>
      </c>
    </row>
    <row r="920" spans="1:12" x14ac:dyDescent="0.25">
      <c r="A920" s="2" t="s">
        <v>3408</v>
      </c>
      <c r="B920" s="8" t="s">
        <v>16323</v>
      </c>
      <c r="C920" s="2" t="s">
        <v>3408</v>
      </c>
      <c r="D920" s="2" t="s">
        <v>3409</v>
      </c>
      <c r="E920" s="4" t="s">
        <v>3409</v>
      </c>
      <c r="G920" s="15" t="s">
        <v>22427</v>
      </c>
      <c r="H920" s="15" t="s">
        <v>22428</v>
      </c>
      <c r="I920" s="15" t="s">
        <v>22429</v>
      </c>
      <c r="J920" s="15" t="s">
        <v>22430</v>
      </c>
      <c r="K920" s="15">
        <v>25418</v>
      </c>
      <c r="L920" s="15" t="s">
        <v>19099</v>
      </c>
    </row>
    <row r="921" spans="1:12" x14ac:dyDescent="0.25">
      <c r="A921" s="2" t="s">
        <v>3411</v>
      </c>
      <c r="B921" s="8" t="s">
        <v>16324</v>
      </c>
      <c r="C921" s="2" t="s">
        <v>3411</v>
      </c>
      <c r="D921" s="2" t="s">
        <v>3412</v>
      </c>
      <c r="E921" s="4" t="s">
        <v>3412</v>
      </c>
      <c r="G921" s="15" t="s">
        <v>22431</v>
      </c>
      <c r="H921" s="15" t="s">
        <v>22432</v>
      </c>
      <c r="I921" s="15" t="s">
        <v>22433</v>
      </c>
      <c r="J921" s="15" t="s">
        <v>19833</v>
      </c>
      <c r="K921" s="15">
        <v>7728</v>
      </c>
      <c r="L921" s="15" t="s">
        <v>19099</v>
      </c>
    </row>
    <row r="922" spans="1:12" x14ac:dyDescent="0.25">
      <c r="A922" s="2" t="s">
        <v>3414</v>
      </c>
      <c r="B922" s="8" t="s">
        <v>16325</v>
      </c>
      <c r="C922" s="2" t="s">
        <v>3414</v>
      </c>
      <c r="D922" s="2" t="s">
        <v>3415</v>
      </c>
      <c r="E922" s="4" t="s">
        <v>22434</v>
      </c>
      <c r="G922" s="15" t="s">
        <v>22435</v>
      </c>
      <c r="H922" s="15" t="s">
        <v>22436</v>
      </c>
      <c r="I922" s="15" t="s">
        <v>22437</v>
      </c>
      <c r="J922" s="15" t="s">
        <v>19462</v>
      </c>
      <c r="K922" s="15">
        <v>11124</v>
      </c>
      <c r="L922" s="15" t="s">
        <v>19099</v>
      </c>
    </row>
    <row r="923" spans="1:12" x14ac:dyDescent="0.25">
      <c r="A923" s="2" t="s">
        <v>3417</v>
      </c>
      <c r="B923" s="8" t="s">
        <v>16326</v>
      </c>
      <c r="C923" s="2" t="s">
        <v>3417</v>
      </c>
      <c r="D923" s="2" t="s">
        <v>3418</v>
      </c>
      <c r="E923" s="4" t="s">
        <v>22438</v>
      </c>
      <c r="G923" s="15" t="s">
        <v>22439</v>
      </c>
      <c r="H923" s="15" t="s">
        <v>22440</v>
      </c>
      <c r="I923" s="15" t="s">
        <v>22441</v>
      </c>
      <c r="J923" s="15" t="s">
        <v>22442</v>
      </c>
      <c r="K923" s="15">
        <v>12180</v>
      </c>
      <c r="L923" s="15" t="s">
        <v>19099</v>
      </c>
    </row>
    <row r="924" spans="1:12" x14ac:dyDescent="0.25">
      <c r="A924" s="2" t="s">
        <v>3420</v>
      </c>
      <c r="B924" s="8" t="s">
        <v>16327</v>
      </c>
      <c r="C924" s="2" t="s">
        <v>3420</v>
      </c>
      <c r="D924" s="2" t="s">
        <v>3421</v>
      </c>
      <c r="E924" s="4" t="s">
        <v>22443</v>
      </c>
      <c r="G924" s="15" t="s">
        <v>22444</v>
      </c>
      <c r="H924" s="15" t="s">
        <v>22445</v>
      </c>
      <c r="I924" s="15" t="s">
        <v>22446</v>
      </c>
      <c r="J924" s="15" t="s">
        <v>20593</v>
      </c>
      <c r="K924" s="15">
        <v>7824</v>
      </c>
      <c r="L924" s="15" t="s">
        <v>19099</v>
      </c>
    </row>
    <row r="925" spans="1:12" x14ac:dyDescent="0.25">
      <c r="A925" s="2" t="s">
        <v>3423</v>
      </c>
      <c r="B925" s="8" t="s">
        <v>16328</v>
      </c>
      <c r="C925" s="2" t="s">
        <v>3423</v>
      </c>
      <c r="D925" s="2" t="s">
        <v>3424</v>
      </c>
      <c r="E925" s="4" t="s">
        <v>22447</v>
      </c>
      <c r="G925" s="15" t="s">
        <v>22448</v>
      </c>
      <c r="H925" s="15" t="s">
        <v>22449</v>
      </c>
      <c r="I925" s="15" t="s">
        <v>22450</v>
      </c>
      <c r="J925" s="15" t="s">
        <v>22451</v>
      </c>
      <c r="K925" s="15">
        <v>6586</v>
      </c>
      <c r="L925" s="15" t="s">
        <v>19099</v>
      </c>
    </row>
    <row r="926" spans="1:12" x14ac:dyDescent="0.25">
      <c r="A926" s="2" t="s">
        <v>3426</v>
      </c>
      <c r="B926" s="8" t="s">
        <v>16329</v>
      </c>
      <c r="C926" s="2" t="s">
        <v>3426</v>
      </c>
      <c r="D926" s="2" t="s">
        <v>3427</v>
      </c>
      <c r="E926" s="4" t="s">
        <v>22452</v>
      </c>
      <c r="G926" s="15" t="s">
        <v>22453</v>
      </c>
      <c r="H926" s="15" t="s">
        <v>22454</v>
      </c>
      <c r="I926" s="15" t="s">
        <v>22455</v>
      </c>
      <c r="J926" s="15" t="s">
        <v>22456</v>
      </c>
      <c r="K926" s="15">
        <v>21803</v>
      </c>
      <c r="L926" s="15" t="s">
        <v>19099</v>
      </c>
    </row>
    <row r="927" spans="1:12" x14ac:dyDescent="0.25">
      <c r="A927" s="2" t="s">
        <v>3429</v>
      </c>
      <c r="B927" s="8" t="s">
        <v>16330</v>
      </c>
      <c r="C927" s="2" t="s">
        <v>3429</v>
      </c>
      <c r="D927" s="2" t="s">
        <v>3430</v>
      </c>
      <c r="E927" s="4" t="s">
        <v>22457</v>
      </c>
      <c r="G927" s="15" t="s">
        <v>22458</v>
      </c>
      <c r="H927" s="15" t="s">
        <v>22459</v>
      </c>
      <c r="I927" s="15" t="s">
        <v>22460</v>
      </c>
      <c r="J927" s="15" t="s">
        <v>22461</v>
      </c>
      <c r="K927" s="15">
        <v>19526</v>
      </c>
      <c r="L927" s="15" t="s">
        <v>19099</v>
      </c>
    </row>
    <row r="928" spans="1:12" x14ac:dyDescent="0.25">
      <c r="A928" s="2" t="s">
        <v>3432</v>
      </c>
      <c r="B928" s="8" t="s">
        <v>16331</v>
      </c>
      <c r="C928" s="2" t="s">
        <v>3432</v>
      </c>
      <c r="D928" s="2" t="s">
        <v>3433</v>
      </c>
      <c r="E928" s="4" t="s">
        <v>22462</v>
      </c>
      <c r="G928" s="15" t="s">
        <v>22463</v>
      </c>
      <c r="H928" s="15" t="s">
        <v>22464</v>
      </c>
      <c r="I928" s="15" t="s">
        <v>22465</v>
      </c>
      <c r="J928" s="15" t="s">
        <v>22466</v>
      </c>
      <c r="K928" s="15">
        <v>102861</v>
      </c>
      <c r="L928" s="15" t="s">
        <v>19099</v>
      </c>
    </row>
    <row r="929" spans="1:12" x14ac:dyDescent="0.25">
      <c r="A929" s="2" t="s">
        <v>3435</v>
      </c>
      <c r="B929" s="8" t="s">
        <v>16332</v>
      </c>
      <c r="C929" s="2" t="s">
        <v>3435</v>
      </c>
      <c r="D929" s="2" t="s">
        <v>3436</v>
      </c>
      <c r="E929" s="4" t="s">
        <v>22467</v>
      </c>
      <c r="G929" s="15" t="s">
        <v>22468</v>
      </c>
      <c r="H929" s="15" t="s">
        <v>22469</v>
      </c>
      <c r="I929" s="15" t="s">
        <v>22470</v>
      </c>
      <c r="J929" s="15" t="s">
        <v>22471</v>
      </c>
      <c r="K929" s="15">
        <v>18369</v>
      </c>
      <c r="L929" s="15" t="s">
        <v>19099</v>
      </c>
    </row>
    <row r="930" spans="1:12" x14ac:dyDescent="0.25">
      <c r="A930" s="2" t="s">
        <v>3438</v>
      </c>
      <c r="B930" s="8" t="s">
        <v>16333</v>
      </c>
      <c r="C930" s="2" t="s">
        <v>3438</v>
      </c>
      <c r="D930" s="2" t="s">
        <v>3439</v>
      </c>
      <c r="E930" s="4" t="s">
        <v>22472</v>
      </c>
      <c r="G930" s="15" t="s">
        <v>22473</v>
      </c>
      <c r="H930" s="15" t="s">
        <v>22474</v>
      </c>
      <c r="I930" s="15" t="s">
        <v>22475</v>
      </c>
      <c r="J930" s="15" t="s">
        <v>22476</v>
      </c>
      <c r="K930" s="15">
        <v>6860</v>
      </c>
      <c r="L930" s="15" t="s">
        <v>19099</v>
      </c>
    </row>
    <row r="931" spans="1:12" x14ac:dyDescent="0.25">
      <c r="A931" s="2" t="s">
        <v>3441</v>
      </c>
      <c r="B931" s="8" t="s">
        <v>16334</v>
      </c>
      <c r="C931" s="2" t="s">
        <v>3441</v>
      </c>
      <c r="D931" s="2" t="s">
        <v>3442</v>
      </c>
      <c r="E931" s="4" t="s">
        <v>22477</v>
      </c>
      <c r="G931" s="15" t="s">
        <v>22478</v>
      </c>
      <c r="H931" s="15" t="s">
        <v>22479</v>
      </c>
      <c r="I931" s="15" t="s">
        <v>22480</v>
      </c>
      <c r="J931" s="15" t="s">
        <v>22481</v>
      </c>
      <c r="K931" s="15">
        <v>16683944</v>
      </c>
      <c r="L931" s="15" t="s">
        <v>19099</v>
      </c>
    </row>
    <row r="932" spans="1:12" x14ac:dyDescent="0.25">
      <c r="A932" s="2" t="s">
        <v>3444</v>
      </c>
      <c r="B932" s="8" t="s">
        <v>16335</v>
      </c>
      <c r="C932" s="2" t="s">
        <v>3444</v>
      </c>
      <c r="D932" s="2" t="s">
        <v>3445</v>
      </c>
      <c r="E932" s="4" t="s">
        <v>22482</v>
      </c>
      <c r="G932" s="15" t="s">
        <v>22483</v>
      </c>
      <c r="H932" s="15" t="s">
        <v>22484</v>
      </c>
      <c r="I932" s="15" t="s">
        <v>22485</v>
      </c>
      <c r="J932" s="15" t="s">
        <v>22486</v>
      </c>
      <c r="K932" s="15">
        <v>20678</v>
      </c>
      <c r="L932" s="15" t="s">
        <v>19099</v>
      </c>
    </row>
    <row r="933" spans="1:12" x14ac:dyDescent="0.25">
      <c r="A933" s="2" t="s">
        <v>3447</v>
      </c>
      <c r="B933" s="8" t="s">
        <v>16336</v>
      </c>
      <c r="C933" s="2" t="s">
        <v>3447</v>
      </c>
      <c r="D933" s="2" t="s">
        <v>3448</v>
      </c>
      <c r="E933" s="4" t="s">
        <v>22487</v>
      </c>
      <c r="G933" s="15" t="s">
        <v>22488</v>
      </c>
      <c r="H933" s="15" t="s">
        <v>22489</v>
      </c>
      <c r="I933" s="15" t="s">
        <v>22490</v>
      </c>
      <c r="J933" s="15" t="s">
        <v>22491</v>
      </c>
      <c r="K933" s="15">
        <v>12699</v>
      </c>
      <c r="L933" s="15" t="s">
        <v>19099</v>
      </c>
    </row>
    <row r="934" spans="1:12" x14ac:dyDescent="0.25">
      <c r="A934" s="2" t="s">
        <v>3450</v>
      </c>
      <c r="B934" s="8" t="s">
        <v>16337</v>
      </c>
      <c r="C934" s="2" t="s">
        <v>3450</v>
      </c>
      <c r="D934" s="2" t="s">
        <v>3451</v>
      </c>
      <c r="E934" s="4" t="s">
        <v>22492</v>
      </c>
      <c r="G934" s="15" t="s">
        <v>19683</v>
      </c>
      <c r="H934" s="15" t="s">
        <v>19684</v>
      </c>
      <c r="I934" s="15" t="s">
        <v>19685</v>
      </c>
      <c r="J934" s="15" t="s">
        <v>19686</v>
      </c>
      <c r="K934" s="15">
        <v>7002</v>
      </c>
      <c r="L934" s="15" t="s">
        <v>19099</v>
      </c>
    </row>
    <row r="935" spans="1:12" x14ac:dyDescent="0.25">
      <c r="A935" s="2" t="s">
        <v>3453</v>
      </c>
      <c r="B935" s="8" t="s">
        <v>16338</v>
      </c>
      <c r="C935" s="2" t="s">
        <v>3453</v>
      </c>
      <c r="D935" s="2" t="s">
        <v>3454</v>
      </c>
      <c r="E935" s="4" t="s">
        <v>22493</v>
      </c>
      <c r="G935" s="15" t="s">
        <v>22494</v>
      </c>
      <c r="H935" s="15" t="s">
        <v>22495</v>
      </c>
      <c r="I935" s="15" t="s">
        <v>22496</v>
      </c>
      <c r="J935" s="15" t="s">
        <v>22497</v>
      </c>
      <c r="K935" s="15">
        <v>4618</v>
      </c>
      <c r="L935" s="15" t="s">
        <v>19099</v>
      </c>
    </row>
    <row r="936" spans="1:12" x14ac:dyDescent="0.25">
      <c r="A936" s="2" t="s">
        <v>3456</v>
      </c>
      <c r="B936" s="8" t="s">
        <v>16339</v>
      </c>
      <c r="C936" s="2" t="s">
        <v>3456</v>
      </c>
      <c r="D936" s="2" t="s">
        <v>3457</v>
      </c>
      <c r="E936" s="4" t="s">
        <v>3457</v>
      </c>
      <c r="G936" s="15" t="s">
        <v>22498</v>
      </c>
      <c r="H936" s="15" t="s">
        <v>22499</v>
      </c>
      <c r="I936" s="15" t="s">
        <v>22500</v>
      </c>
      <c r="J936" s="15" t="s">
        <v>22501</v>
      </c>
      <c r="K936" s="15">
        <v>627458</v>
      </c>
      <c r="L936" s="15" t="s">
        <v>19099</v>
      </c>
    </row>
    <row r="937" spans="1:12" x14ac:dyDescent="0.25">
      <c r="A937" s="2" t="s">
        <v>3459</v>
      </c>
      <c r="B937" s="8" t="s">
        <v>16340</v>
      </c>
      <c r="C937" s="2" t="s">
        <v>3459</v>
      </c>
      <c r="D937" s="2" t="s">
        <v>3460</v>
      </c>
      <c r="E937" s="4" t="s">
        <v>22502</v>
      </c>
      <c r="G937" s="15" t="s">
        <v>22503</v>
      </c>
      <c r="H937" s="15" t="s">
        <v>22504</v>
      </c>
      <c r="I937" s="15" t="s">
        <v>22505</v>
      </c>
      <c r="J937" s="15" t="s">
        <v>22506</v>
      </c>
      <c r="K937" s="15">
        <v>5319306</v>
      </c>
      <c r="L937" s="15" t="s">
        <v>19099</v>
      </c>
    </row>
    <row r="938" spans="1:12" x14ac:dyDescent="0.25">
      <c r="A938" s="2" t="s">
        <v>3462</v>
      </c>
      <c r="B938" s="8" t="s">
        <v>16341</v>
      </c>
      <c r="C938" s="2" t="s">
        <v>3462</v>
      </c>
      <c r="D938" s="2" t="s">
        <v>3463</v>
      </c>
      <c r="E938" s="4" t="s">
        <v>22507</v>
      </c>
      <c r="G938" s="15" t="s">
        <v>22508</v>
      </c>
      <c r="H938" s="15" t="s">
        <v>22509</v>
      </c>
      <c r="I938" s="15" t="s">
        <v>22510</v>
      </c>
      <c r="J938" s="15" t="s">
        <v>22511</v>
      </c>
      <c r="K938" s="15">
        <v>31368</v>
      </c>
      <c r="L938" s="15" t="s">
        <v>19099</v>
      </c>
    </row>
    <row r="939" spans="1:12" x14ac:dyDescent="0.25">
      <c r="A939" s="2" t="s">
        <v>3465</v>
      </c>
      <c r="B939" s="8" t="s">
        <v>16342</v>
      </c>
      <c r="C939" s="2" t="s">
        <v>3465</v>
      </c>
      <c r="D939" s="2" t="s">
        <v>3466</v>
      </c>
      <c r="E939" s="4" t="s">
        <v>22512</v>
      </c>
      <c r="G939" s="15" t="s">
        <v>22513</v>
      </c>
      <c r="H939" s="15" t="s">
        <v>22514</v>
      </c>
      <c r="I939" s="15" t="s">
        <v>22515</v>
      </c>
      <c r="J939" s="15" t="s">
        <v>20048</v>
      </c>
      <c r="K939" s="15">
        <v>7294</v>
      </c>
      <c r="L939" s="15" t="s">
        <v>19099</v>
      </c>
    </row>
    <row r="940" spans="1:12" x14ac:dyDescent="0.25">
      <c r="A940" s="2" t="s">
        <v>3468</v>
      </c>
      <c r="B940" s="8" t="s">
        <v>16343</v>
      </c>
      <c r="C940" s="2" t="s">
        <v>3468</v>
      </c>
      <c r="D940" s="2" t="s">
        <v>3469</v>
      </c>
      <c r="E940" s="4" t="s">
        <v>22516</v>
      </c>
      <c r="G940" s="15" t="s">
        <v>22516</v>
      </c>
      <c r="H940" s="15" t="s">
        <v>22517</v>
      </c>
      <c r="I940" s="15" t="s">
        <v>22518</v>
      </c>
      <c r="J940" s="15" t="s">
        <v>22519</v>
      </c>
      <c r="K940" s="15">
        <v>6584</v>
      </c>
      <c r="L940" s="15" t="s">
        <v>19099</v>
      </c>
    </row>
    <row r="941" spans="1:12" x14ac:dyDescent="0.25">
      <c r="A941" s="2" t="s">
        <v>3471</v>
      </c>
      <c r="B941" s="8" t="s">
        <v>16344</v>
      </c>
      <c r="C941" s="2" t="s">
        <v>3471</v>
      </c>
      <c r="D941" s="2" t="s">
        <v>3472</v>
      </c>
      <c r="E941" s="4" t="s">
        <v>3472</v>
      </c>
      <c r="G941" s="15" t="s">
        <v>22520</v>
      </c>
      <c r="H941" s="15" t="s">
        <v>22521</v>
      </c>
      <c r="I941" s="15" t="s">
        <v>22522</v>
      </c>
      <c r="J941" s="15" t="s">
        <v>22523</v>
      </c>
      <c r="K941" s="15">
        <v>2268</v>
      </c>
      <c r="L941" s="15" t="s">
        <v>19099</v>
      </c>
    </row>
    <row r="942" spans="1:12" x14ac:dyDescent="0.25">
      <c r="A942" s="2" t="s">
        <v>3474</v>
      </c>
      <c r="B942" s="8" t="s">
        <v>16345</v>
      </c>
      <c r="C942" s="2" t="s">
        <v>3474</v>
      </c>
      <c r="D942" s="2" t="s">
        <v>3475</v>
      </c>
      <c r="E942" s="4" t="s">
        <v>22524</v>
      </c>
      <c r="G942" s="15" t="s">
        <v>22524</v>
      </c>
      <c r="H942" s="15" t="s">
        <v>22525</v>
      </c>
      <c r="I942" s="15" t="s">
        <v>22526</v>
      </c>
      <c r="J942" s="15" t="s">
        <v>22527</v>
      </c>
      <c r="K942" s="15">
        <v>11722</v>
      </c>
      <c r="L942" s="15" t="s">
        <v>19099</v>
      </c>
    </row>
    <row r="943" spans="1:12" x14ac:dyDescent="0.25">
      <c r="A943" s="2" t="s">
        <v>3477</v>
      </c>
      <c r="B943" s="8" t="s">
        <v>16346</v>
      </c>
      <c r="C943" s="2" t="s">
        <v>3477</v>
      </c>
      <c r="D943" s="2" t="s">
        <v>3478</v>
      </c>
      <c r="E943" s="4" t="s">
        <v>22528</v>
      </c>
      <c r="G943" s="15" t="s">
        <v>22528</v>
      </c>
      <c r="H943" s="15" t="s">
        <v>22529</v>
      </c>
      <c r="I943" s="15" t="s">
        <v>22530</v>
      </c>
      <c r="J943" s="15" t="s">
        <v>21418</v>
      </c>
      <c r="K943" s="15">
        <v>7296</v>
      </c>
      <c r="L943" s="15" t="s">
        <v>19099</v>
      </c>
    </row>
    <row r="944" spans="1:12" x14ac:dyDescent="0.25">
      <c r="A944" s="2" t="s">
        <v>3480</v>
      </c>
      <c r="B944" s="8" t="s">
        <v>16347</v>
      </c>
      <c r="C944" s="2" t="s">
        <v>3480</v>
      </c>
      <c r="D944" s="2" t="s">
        <v>3481</v>
      </c>
      <c r="E944" s="4" t="s">
        <v>22531</v>
      </c>
      <c r="G944" s="15" t="s">
        <v>22532</v>
      </c>
      <c r="H944" s="15" t="s">
        <v>22533</v>
      </c>
      <c r="I944" s="15" t="s">
        <v>22534</v>
      </c>
      <c r="J944" s="15" t="s">
        <v>22535</v>
      </c>
      <c r="K944" s="15">
        <v>12746</v>
      </c>
      <c r="L944" s="15" t="s">
        <v>19099</v>
      </c>
    </row>
    <row r="945" spans="1:12" x14ac:dyDescent="0.25">
      <c r="A945" s="2" t="s">
        <v>3483</v>
      </c>
      <c r="B945" s="8" t="s">
        <v>16348</v>
      </c>
      <c r="C945" s="2" t="s">
        <v>3483</v>
      </c>
      <c r="D945" s="2" t="s">
        <v>3484</v>
      </c>
      <c r="E945" s="4" t="s">
        <v>22536</v>
      </c>
      <c r="G945" s="15" t="s">
        <v>22536</v>
      </c>
      <c r="H945" s="15" t="s">
        <v>22537</v>
      </c>
      <c r="I945" s="15" t="s">
        <v>22538</v>
      </c>
      <c r="J945" s="15" t="s">
        <v>19764</v>
      </c>
      <c r="K945" s="15">
        <v>7962</v>
      </c>
      <c r="L945" s="15" t="s">
        <v>19099</v>
      </c>
    </row>
    <row r="946" spans="1:12" x14ac:dyDescent="0.25">
      <c r="A946" s="2" t="s">
        <v>3486</v>
      </c>
      <c r="B946" s="8" t="s">
        <v>16349</v>
      </c>
      <c r="C946" s="2" t="s">
        <v>3486</v>
      </c>
      <c r="D946" s="2" t="s">
        <v>3487</v>
      </c>
      <c r="E946" s="4" t="s">
        <v>22539</v>
      </c>
      <c r="G946" s="15" t="s">
        <v>22540</v>
      </c>
      <c r="H946" s="15" t="s">
        <v>22541</v>
      </c>
      <c r="I946" s="15" t="s">
        <v>22542</v>
      </c>
      <c r="J946" s="15" t="s">
        <v>22543</v>
      </c>
      <c r="K946" s="15">
        <v>594330</v>
      </c>
      <c r="L946" s="15" t="s">
        <v>19099</v>
      </c>
    </row>
    <row r="947" spans="1:12" x14ac:dyDescent="0.25">
      <c r="A947" s="2" t="s">
        <v>3489</v>
      </c>
      <c r="B947" s="8" t="s">
        <v>16350</v>
      </c>
      <c r="C947" s="2" t="s">
        <v>3489</v>
      </c>
      <c r="D947" s="2" t="s">
        <v>3490</v>
      </c>
      <c r="E947" s="4" t="s">
        <v>22544</v>
      </c>
      <c r="G947" s="15" t="s">
        <v>22545</v>
      </c>
      <c r="H947" s="15" t="s">
        <v>22546</v>
      </c>
      <c r="I947" s="15" t="s">
        <v>22547</v>
      </c>
      <c r="J947" s="15" t="s">
        <v>22548</v>
      </c>
      <c r="K947" s="15">
        <v>22772</v>
      </c>
      <c r="L947" s="15" t="s">
        <v>19099</v>
      </c>
    </row>
    <row r="948" spans="1:12" x14ac:dyDescent="0.25">
      <c r="A948" s="2" t="s">
        <v>3492</v>
      </c>
      <c r="B948" s="8" t="s">
        <v>16351</v>
      </c>
      <c r="C948" s="2" t="s">
        <v>3492</v>
      </c>
      <c r="D948" s="2" t="s">
        <v>3493</v>
      </c>
      <c r="E948" s="4" t="s">
        <v>22549</v>
      </c>
      <c r="G948" s="15" t="s">
        <v>22549</v>
      </c>
      <c r="H948" s="15" t="s">
        <v>22550</v>
      </c>
      <c r="I948" s="15" t="s">
        <v>22551</v>
      </c>
      <c r="J948" s="15" t="s">
        <v>22552</v>
      </c>
      <c r="K948" s="15">
        <v>7865</v>
      </c>
      <c r="L948" s="15" t="s">
        <v>19099</v>
      </c>
    </row>
    <row r="949" spans="1:12" x14ac:dyDescent="0.25">
      <c r="A949" s="2" t="s">
        <v>3495</v>
      </c>
      <c r="B949" s="8" t="s">
        <v>16352</v>
      </c>
      <c r="C949" s="2" t="s">
        <v>3495</v>
      </c>
      <c r="D949" s="2" t="s">
        <v>3496</v>
      </c>
      <c r="E949" s="4" t="s">
        <v>22553</v>
      </c>
      <c r="G949" s="15" t="s">
        <v>22554</v>
      </c>
      <c r="H949" s="15" t="s">
        <v>22555</v>
      </c>
      <c r="I949" s="15" t="s">
        <v>22556</v>
      </c>
      <c r="J949" s="15" t="s">
        <v>22557</v>
      </c>
      <c r="K949" s="15">
        <v>40521</v>
      </c>
      <c r="L949" s="15" t="s">
        <v>19099</v>
      </c>
    </row>
    <row r="950" spans="1:12" x14ac:dyDescent="0.25">
      <c r="A950" s="2" t="s">
        <v>3498</v>
      </c>
      <c r="B950" s="8" t="s">
        <v>16353</v>
      </c>
      <c r="C950" s="2" t="s">
        <v>3498</v>
      </c>
      <c r="D950" s="2" t="s">
        <v>3499</v>
      </c>
      <c r="E950" s="4" t="s">
        <v>3499</v>
      </c>
      <c r="G950" s="15" t="s">
        <v>3499</v>
      </c>
      <c r="H950" s="15" t="s">
        <v>22558</v>
      </c>
      <c r="I950" s="15" t="s">
        <v>22559</v>
      </c>
      <c r="J950" s="15" t="s">
        <v>22560</v>
      </c>
      <c r="K950" s="15">
        <v>6061</v>
      </c>
      <c r="L950" s="15" t="s">
        <v>19099</v>
      </c>
    </row>
    <row r="951" spans="1:12" x14ac:dyDescent="0.25">
      <c r="A951" s="2" t="s">
        <v>3501</v>
      </c>
      <c r="B951" s="8" t="s">
        <v>16354</v>
      </c>
      <c r="C951" s="2" t="s">
        <v>3501</v>
      </c>
      <c r="D951" s="2" t="s">
        <v>3502</v>
      </c>
      <c r="E951" s="4" t="s">
        <v>22561</v>
      </c>
      <c r="G951" s="15" t="s">
        <v>22562</v>
      </c>
      <c r="H951" s="15" t="s">
        <v>22563</v>
      </c>
      <c r="I951" s="15" t="s">
        <v>22564</v>
      </c>
      <c r="J951" s="15" t="s">
        <v>22565</v>
      </c>
      <c r="K951" s="15">
        <v>12228</v>
      </c>
      <c r="L951" s="15" t="s">
        <v>19099</v>
      </c>
    </row>
    <row r="952" spans="1:12" x14ac:dyDescent="0.25">
      <c r="A952" s="2" t="s">
        <v>3504</v>
      </c>
      <c r="B952" s="8" t="s">
        <v>16355</v>
      </c>
      <c r="C952" s="2" t="s">
        <v>3504</v>
      </c>
      <c r="D952" s="2" t="s">
        <v>3505</v>
      </c>
      <c r="E952" s="4" t="s">
        <v>22566</v>
      </c>
      <c r="G952" s="15" t="s">
        <v>22567</v>
      </c>
      <c r="H952" s="15" t="s">
        <v>22568</v>
      </c>
      <c r="I952" s="15" t="s">
        <v>22569</v>
      </c>
      <c r="J952" s="15" t="s">
        <v>22570</v>
      </c>
      <c r="K952" s="15">
        <v>33781</v>
      </c>
      <c r="L952" s="15" t="s">
        <v>19099</v>
      </c>
    </row>
    <row r="953" spans="1:12" x14ac:dyDescent="0.25">
      <c r="A953" s="2" t="s">
        <v>3507</v>
      </c>
      <c r="B953" s="8" t="s">
        <v>16356</v>
      </c>
      <c r="C953" s="2" t="s">
        <v>3507</v>
      </c>
      <c r="D953" s="2" t="s">
        <v>3508</v>
      </c>
      <c r="E953" s="4" t="s">
        <v>22571</v>
      </c>
      <c r="G953" s="15" t="s">
        <v>22572</v>
      </c>
      <c r="H953" s="15" t="s">
        <v>22573</v>
      </c>
      <c r="I953" s="15" t="s">
        <v>22574</v>
      </c>
      <c r="J953" s="15" t="s">
        <v>22575</v>
      </c>
      <c r="K953" s="15">
        <v>11167</v>
      </c>
      <c r="L953" s="15" t="s">
        <v>19099</v>
      </c>
    </row>
    <row r="954" spans="1:12" x14ac:dyDescent="0.25">
      <c r="A954" s="2" t="s">
        <v>3510</v>
      </c>
      <c r="B954" s="8" t="s">
        <v>16357</v>
      </c>
      <c r="C954" s="2" t="s">
        <v>3510</v>
      </c>
      <c r="D954" s="2" t="s">
        <v>3511</v>
      </c>
      <c r="E954" s="4" t="s">
        <v>22576</v>
      </c>
      <c r="G954" s="15" t="s">
        <v>22577</v>
      </c>
      <c r="H954" s="15" t="s">
        <v>22578</v>
      </c>
      <c r="I954" s="15" t="s">
        <v>22579</v>
      </c>
      <c r="J954" s="15" t="s">
        <v>22580</v>
      </c>
      <c r="K954" s="15">
        <v>52999</v>
      </c>
      <c r="L954" s="15" t="s">
        <v>19099</v>
      </c>
    </row>
    <row r="955" spans="1:12" x14ac:dyDescent="0.25">
      <c r="A955" s="2" t="s">
        <v>3513</v>
      </c>
      <c r="B955" s="8" t="s">
        <v>16358</v>
      </c>
      <c r="C955" s="2" t="s">
        <v>3513</v>
      </c>
      <c r="D955" s="2" t="s">
        <v>3514</v>
      </c>
      <c r="E955" s="4" t="s">
        <v>22581</v>
      </c>
      <c r="G955" s="15" t="s">
        <v>22582</v>
      </c>
      <c r="H955" s="15" t="s">
        <v>22583</v>
      </c>
      <c r="I955" s="15" t="s">
        <v>22584</v>
      </c>
      <c r="J955" s="15" t="s">
        <v>22585</v>
      </c>
      <c r="K955" s="15">
        <v>6658</v>
      </c>
      <c r="L955" s="15" t="s">
        <v>19099</v>
      </c>
    </row>
    <row r="956" spans="1:12" x14ac:dyDescent="0.25">
      <c r="A956" s="2" t="s">
        <v>3516</v>
      </c>
      <c r="B956" s="8" t="s">
        <v>16359</v>
      </c>
      <c r="C956" s="2" t="s">
        <v>3516</v>
      </c>
      <c r="D956" s="2" t="s">
        <v>3517</v>
      </c>
      <c r="E956" s="4" t="s">
        <v>22586</v>
      </c>
      <c r="G956" s="15" t="s">
        <v>22587</v>
      </c>
      <c r="H956" s="15" t="s">
        <v>22588</v>
      </c>
      <c r="I956" s="15" t="s">
        <v>22589</v>
      </c>
      <c r="J956" s="15" t="s">
        <v>22590</v>
      </c>
      <c r="K956" s="15">
        <v>66550</v>
      </c>
      <c r="L956" s="15" t="s">
        <v>19099</v>
      </c>
    </row>
    <row r="957" spans="1:12" x14ac:dyDescent="0.25">
      <c r="A957" s="2" t="s">
        <v>3519</v>
      </c>
      <c r="B957" s="8" t="s">
        <v>16360</v>
      </c>
      <c r="C957" s="2" t="s">
        <v>3519</v>
      </c>
      <c r="D957" s="2" t="s">
        <v>3520</v>
      </c>
      <c r="E957" s="4" t="s">
        <v>22591</v>
      </c>
      <c r="G957" s="15" t="s">
        <v>22592</v>
      </c>
      <c r="H957" s="15" t="s">
        <v>22593</v>
      </c>
      <c r="I957" s="15" t="s">
        <v>22594</v>
      </c>
      <c r="J957" s="15" t="s">
        <v>22595</v>
      </c>
      <c r="K957" s="15">
        <v>34526</v>
      </c>
      <c r="L957" s="15" t="s">
        <v>19099</v>
      </c>
    </row>
    <row r="958" spans="1:12" x14ac:dyDescent="0.25">
      <c r="A958" s="2" t="s">
        <v>3522</v>
      </c>
      <c r="B958" s="8" t="s">
        <v>16361</v>
      </c>
      <c r="C958" s="2" t="s">
        <v>3522</v>
      </c>
      <c r="D958" s="2" t="s">
        <v>3523</v>
      </c>
      <c r="E958" s="4" t="s">
        <v>22596</v>
      </c>
      <c r="G958" s="15" t="s">
        <v>22597</v>
      </c>
      <c r="H958" s="15" t="s">
        <v>22598</v>
      </c>
      <c r="I958" s="15" t="s">
        <v>22599</v>
      </c>
      <c r="J958" s="15" t="s">
        <v>22600</v>
      </c>
      <c r="K958" s="15">
        <v>4130</v>
      </c>
      <c r="L958" s="15" t="s">
        <v>19099</v>
      </c>
    </row>
    <row r="959" spans="1:12" x14ac:dyDescent="0.25">
      <c r="A959" s="2" t="s">
        <v>3525</v>
      </c>
      <c r="B959" s="8" t="s">
        <v>16363</v>
      </c>
      <c r="C959" s="2" t="s">
        <v>3525</v>
      </c>
      <c r="D959" s="2" t="s">
        <v>3526</v>
      </c>
      <c r="E959" s="4" t="s">
        <v>22601</v>
      </c>
      <c r="G959" s="15" t="s">
        <v>22602</v>
      </c>
      <c r="H959" s="15" t="s">
        <v>22603</v>
      </c>
      <c r="I959" s="15" t="s">
        <v>22604</v>
      </c>
      <c r="J959" s="15" t="s">
        <v>22605</v>
      </c>
      <c r="K959" s="15">
        <v>16898</v>
      </c>
      <c r="L959" s="15" t="s">
        <v>19099</v>
      </c>
    </row>
    <row r="960" spans="1:12" x14ac:dyDescent="0.25">
      <c r="A960" s="2" t="s">
        <v>3528</v>
      </c>
      <c r="B960" s="8" t="s">
        <v>16364</v>
      </c>
      <c r="C960" s="2" t="s">
        <v>3528</v>
      </c>
      <c r="D960" s="2" t="s">
        <v>3529</v>
      </c>
      <c r="E960" s="4" t="s">
        <v>22606</v>
      </c>
      <c r="G960" s="15" t="s">
        <v>22606</v>
      </c>
      <c r="H960" s="15" t="s">
        <v>22607</v>
      </c>
      <c r="I960" s="15" t="s">
        <v>22608</v>
      </c>
      <c r="J960" s="15" t="s">
        <v>19866</v>
      </c>
      <c r="K960" s="15">
        <v>8215</v>
      </c>
      <c r="L960" s="15" t="s">
        <v>19099</v>
      </c>
    </row>
    <row r="961" spans="1:12" x14ac:dyDescent="0.25">
      <c r="A961" s="2" t="s">
        <v>3531</v>
      </c>
      <c r="B961" s="8" t="s">
        <v>16365</v>
      </c>
      <c r="C961" s="2" t="s">
        <v>3531</v>
      </c>
      <c r="D961" s="2" t="s">
        <v>3532</v>
      </c>
      <c r="E961" s="4" t="s">
        <v>22609</v>
      </c>
      <c r="G961" s="15" t="s">
        <v>22609</v>
      </c>
      <c r="H961" s="15" t="s">
        <v>22610</v>
      </c>
      <c r="I961" s="15" t="s">
        <v>22611</v>
      </c>
      <c r="J961" s="15" t="s">
        <v>22612</v>
      </c>
      <c r="K961" s="15">
        <v>17085</v>
      </c>
      <c r="L961" s="15" t="s">
        <v>19099</v>
      </c>
    </row>
    <row r="962" spans="1:12" x14ac:dyDescent="0.25">
      <c r="A962" s="2" t="s">
        <v>3534</v>
      </c>
      <c r="B962" s="8" t="s">
        <v>16366</v>
      </c>
      <c r="C962" s="2" t="s">
        <v>3534</v>
      </c>
      <c r="D962" s="2" t="s">
        <v>3535</v>
      </c>
      <c r="E962" s="4" t="s">
        <v>22613</v>
      </c>
      <c r="G962" s="15" t="s">
        <v>22613</v>
      </c>
      <c r="H962" s="15" t="s">
        <v>22614</v>
      </c>
      <c r="I962" s="15" t="s">
        <v>22615</v>
      </c>
      <c r="J962" s="15" t="s">
        <v>22616</v>
      </c>
      <c r="K962" s="15">
        <v>11197</v>
      </c>
      <c r="L962" s="15" t="s">
        <v>19099</v>
      </c>
    </row>
    <row r="963" spans="1:12" x14ac:dyDescent="0.25">
      <c r="A963" s="2" t="s">
        <v>3537</v>
      </c>
      <c r="B963" s="8" t="s">
        <v>16367</v>
      </c>
      <c r="C963" s="2" t="s">
        <v>3537</v>
      </c>
      <c r="D963" s="2" t="s">
        <v>3538</v>
      </c>
      <c r="E963" s="4" t="s">
        <v>14410</v>
      </c>
      <c r="G963" s="15" t="s">
        <v>14410</v>
      </c>
      <c r="H963" s="15" t="s">
        <v>22617</v>
      </c>
      <c r="I963" s="15" t="s">
        <v>22618</v>
      </c>
      <c r="J963" s="15" t="s">
        <v>22619</v>
      </c>
      <c r="K963" s="15">
        <v>12408</v>
      </c>
      <c r="L963" s="15" t="s">
        <v>19099</v>
      </c>
    </row>
    <row r="964" spans="1:12" x14ac:dyDescent="0.25">
      <c r="A964" s="2" t="s">
        <v>3540</v>
      </c>
      <c r="B964" s="8" t="s">
        <v>16368</v>
      </c>
      <c r="C964" s="2" t="s">
        <v>3540</v>
      </c>
      <c r="D964" s="2" t="s">
        <v>3541</v>
      </c>
      <c r="E964" s="4" t="s">
        <v>3541</v>
      </c>
      <c r="G964" s="15" t="s">
        <v>3541</v>
      </c>
      <c r="H964" s="15" t="s">
        <v>22620</v>
      </c>
      <c r="I964" s="15" t="s">
        <v>22621</v>
      </c>
      <c r="J964" s="15" t="s">
        <v>22622</v>
      </c>
      <c r="K964" s="15">
        <v>702</v>
      </c>
      <c r="L964" s="15" t="s">
        <v>19099</v>
      </c>
    </row>
    <row r="965" spans="1:12" x14ac:dyDescent="0.25">
      <c r="A965" s="2" t="s">
        <v>3543</v>
      </c>
      <c r="B965" s="8" t="s">
        <v>16369</v>
      </c>
      <c r="C965" s="2" t="s">
        <v>3543</v>
      </c>
      <c r="D965" s="2" t="s">
        <v>3544</v>
      </c>
      <c r="E965" s="4" t="s">
        <v>22623</v>
      </c>
      <c r="G965" s="15" t="s">
        <v>22623</v>
      </c>
      <c r="H965" s="15" t="s">
        <v>22624</v>
      </c>
      <c r="I965" s="15" t="s">
        <v>22625</v>
      </c>
      <c r="J965" s="15" t="s">
        <v>22626</v>
      </c>
      <c r="K965" s="15">
        <v>6324</v>
      </c>
      <c r="L965" s="15" t="s">
        <v>19099</v>
      </c>
    </row>
    <row r="966" spans="1:12" x14ac:dyDescent="0.25">
      <c r="A966" s="2" t="s">
        <v>3546</v>
      </c>
      <c r="B966" s="8" t="s">
        <v>16370</v>
      </c>
      <c r="C966" s="2" t="s">
        <v>3546</v>
      </c>
      <c r="D966" s="2" t="s">
        <v>3547</v>
      </c>
      <c r="E966" s="4" t="s">
        <v>3547</v>
      </c>
      <c r="G966" s="15" t="s">
        <v>22627</v>
      </c>
      <c r="H966" s="15" t="s">
        <v>22628</v>
      </c>
      <c r="I966" s="15" t="s">
        <v>22629</v>
      </c>
      <c r="J966" s="15" t="s">
        <v>22630</v>
      </c>
      <c r="K966" s="15">
        <v>177</v>
      </c>
      <c r="L966" s="15" t="s">
        <v>19099</v>
      </c>
    </row>
    <row r="967" spans="1:12" x14ac:dyDescent="0.25">
      <c r="A967" s="2" t="s">
        <v>3549</v>
      </c>
      <c r="B967" s="8" t="s">
        <v>16371</v>
      </c>
      <c r="C967" s="2" t="s">
        <v>3549</v>
      </c>
      <c r="D967" s="2" t="s">
        <v>3550</v>
      </c>
      <c r="E967" s="4" t="s">
        <v>22631</v>
      </c>
      <c r="G967" s="15" t="s">
        <v>22631</v>
      </c>
      <c r="H967" s="15" t="s">
        <v>22632</v>
      </c>
      <c r="I967" s="15" t="s">
        <v>22633</v>
      </c>
      <c r="J967" s="15" t="s">
        <v>22634</v>
      </c>
      <c r="K967" s="15">
        <v>6343</v>
      </c>
      <c r="L967" s="15" t="s">
        <v>19099</v>
      </c>
    </row>
    <row r="968" spans="1:12" x14ac:dyDescent="0.25">
      <c r="A968" s="2" t="s">
        <v>3552</v>
      </c>
      <c r="B968" s="8" t="s">
        <v>16372</v>
      </c>
      <c r="C968" s="2" t="s">
        <v>3552</v>
      </c>
      <c r="D968" s="2" t="s">
        <v>3553</v>
      </c>
      <c r="E968" s="4" t="s">
        <v>22635</v>
      </c>
      <c r="G968" s="15" t="s">
        <v>22636</v>
      </c>
      <c r="H968" s="15" t="s">
        <v>22637</v>
      </c>
      <c r="I968" s="15" t="s">
        <v>22638</v>
      </c>
      <c r="J968" s="15" t="s">
        <v>22639</v>
      </c>
      <c r="K968" s="15">
        <v>6325</v>
      </c>
      <c r="L968" s="15" t="s">
        <v>19099</v>
      </c>
    </row>
    <row r="969" spans="1:12" x14ac:dyDescent="0.25">
      <c r="A969" s="2" t="s">
        <v>3555</v>
      </c>
      <c r="B969" s="8" t="s">
        <v>16373</v>
      </c>
      <c r="C969" s="2" t="s">
        <v>3555</v>
      </c>
      <c r="D969" s="2" t="s">
        <v>3556</v>
      </c>
      <c r="E969" s="4" t="s">
        <v>22640</v>
      </c>
      <c r="G969" s="15" t="s">
        <v>22641</v>
      </c>
      <c r="H969" s="15" t="s">
        <v>22642</v>
      </c>
      <c r="I969" s="15" t="s">
        <v>22643</v>
      </c>
      <c r="J969" s="15" t="s">
        <v>22381</v>
      </c>
      <c r="K969" s="15">
        <v>8095</v>
      </c>
      <c r="L969" s="15" t="s">
        <v>19099</v>
      </c>
    </row>
    <row r="970" spans="1:12" x14ac:dyDescent="0.25">
      <c r="A970" s="2" t="s">
        <v>3558</v>
      </c>
      <c r="B970" s="8" t="s">
        <v>16374</v>
      </c>
      <c r="C970" s="2" t="s">
        <v>3558</v>
      </c>
      <c r="D970" s="2" t="s">
        <v>3559</v>
      </c>
      <c r="E970" s="4" t="s">
        <v>3559</v>
      </c>
      <c r="G970" s="15" t="s">
        <v>22644</v>
      </c>
      <c r="H970" s="15" t="s">
        <v>22645</v>
      </c>
      <c r="I970" s="15" t="s">
        <v>22646</v>
      </c>
      <c r="J970" s="15" t="s">
        <v>22647</v>
      </c>
      <c r="K970" s="15">
        <v>3623881</v>
      </c>
      <c r="L970" s="15" t="s">
        <v>19099</v>
      </c>
    </row>
    <row r="971" spans="1:12" x14ac:dyDescent="0.25">
      <c r="A971" s="2" t="s">
        <v>3561</v>
      </c>
      <c r="B971" s="8" t="s">
        <v>16375</v>
      </c>
      <c r="C971" s="2" t="s">
        <v>3561</v>
      </c>
      <c r="D971" s="2" t="s">
        <v>3562</v>
      </c>
      <c r="E971" s="4" t="s">
        <v>22648</v>
      </c>
      <c r="G971" s="15" t="s">
        <v>22649</v>
      </c>
      <c r="H971" s="15" t="s">
        <v>22650</v>
      </c>
      <c r="I971" s="15" t="s">
        <v>22651</v>
      </c>
      <c r="J971" s="15" t="s">
        <v>22652</v>
      </c>
      <c r="K971" s="15">
        <v>14110</v>
      </c>
      <c r="L971" s="15" t="s">
        <v>19099</v>
      </c>
    </row>
    <row r="972" spans="1:12" x14ac:dyDescent="0.25">
      <c r="A972" s="2" t="s">
        <v>3564</v>
      </c>
      <c r="B972" s="8" t="s">
        <v>16376</v>
      </c>
      <c r="C972" s="2" t="s">
        <v>3564</v>
      </c>
      <c r="D972" s="2" t="s">
        <v>3565</v>
      </c>
      <c r="E972" s="4" t="s">
        <v>22653</v>
      </c>
      <c r="G972" s="15" t="s">
        <v>22654</v>
      </c>
      <c r="H972" s="15" t="s">
        <v>22655</v>
      </c>
      <c r="I972" s="15" t="s">
        <v>22656</v>
      </c>
      <c r="J972" s="15" t="s">
        <v>22657</v>
      </c>
      <c r="K972" s="15">
        <v>572437</v>
      </c>
      <c r="L972" s="15" t="s">
        <v>19099</v>
      </c>
    </row>
    <row r="973" spans="1:12" x14ac:dyDescent="0.25">
      <c r="A973" s="2" t="s">
        <v>3567</v>
      </c>
      <c r="B973" s="8" t="s">
        <v>16377</v>
      </c>
      <c r="C973" s="2" t="s">
        <v>3567</v>
      </c>
      <c r="D973" s="2" t="s">
        <v>3568</v>
      </c>
      <c r="E973" s="4" t="s">
        <v>22658</v>
      </c>
      <c r="G973" s="15" t="s">
        <v>22659</v>
      </c>
      <c r="H973" s="15" t="s">
        <v>22660</v>
      </c>
      <c r="I973" s="15" t="s">
        <v>22661</v>
      </c>
      <c r="J973" s="15" t="s">
        <v>22662</v>
      </c>
      <c r="K973" s="15">
        <v>10522</v>
      </c>
      <c r="L973" s="15" t="s">
        <v>19099</v>
      </c>
    </row>
    <row r="974" spans="1:12" x14ac:dyDescent="0.25">
      <c r="A974" s="2" t="s">
        <v>3570</v>
      </c>
      <c r="B974" s="8" t="s">
        <v>16378</v>
      </c>
      <c r="C974" s="2" t="s">
        <v>3570</v>
      </c>
      <c r="D974" s="2" t="s">
        <v>3571</v>
      </c>
      <c r="E974" s="4" t="s">
        <v>3571</v>
      </c>
      <c r="G974" s="15" t="s">
        <v>22663</v>
      </c>
      <c r="H974" s="15" t="s">
        <v>22664</v>
      </c>
      <c r="I974" s="15" t="s">
        <v>22665</v>
      </c>
      <c r="J974" s="15" t="s">
        <v>22666</v>
      </c>
      <c r="K974" s="15">
        <v>6341</v>
      </c>
      <c r="L974" s="15" t="s">
        <v>19099</v>
      </c>
    </row>
    <row r="975" spans="1:12" x14ac:dyDescent="0.25">
      <c r="A975" s="2" t="s">
        <v>3573</v>
      </c>
      <c r="B975" s="8" t="s">
        <v>16379</v>
      </c>
      <c r="C975" s="2" t="s">
        <v>3573</v>
      </c>
      <c r="D975" s="2" t="s">
        <v>3574</v>
      </c>
      <c r="E975" s="4" t="s">
        <v>22667</v>
      </c>
      <c r="G975" s="15" t="s">
        <v>14192</v>
      </c>
      <c r="H975" s="15" t="s">
        <v>22668</v>
      </c>
      <c r="I975" s="15" t="s">
        <v>22669</v>
      </c>
      <c r="J975" s="15" t="s">
        <v>19833</v>
      </c>
      <c r="K975" s="15">
        <v>7670</v>
      </c>
      <c r="L975" s="15" t="s">
        <v>19099</v>
      </c>
    </row>
    <row r="976" spans="1:12" x14ac:dyDescent="0.25">
      <c r="A976" s="2" t="s">
        <v>3576</v>
      </c>
      <c r="B976" s="8" t="s">
        <v>16380</v>
      </c>
      <c r="C976" s="2" t="s">
        <v>3576</v>
      </c>
      <c r="D976" s="2" t="s">
        <v>3577</v>
      </c>
      <c r="E976" s="4" t="s">
        <v>22670</v>
      </c>
      <c r="G976" s="15" t="s">
        <v>22670</v>
      </c>
      <c r="H976" s="15" t="s">
        <v>22671</v>
      </c>
      <c r="I976" s="15" t="s">
        <v>22672</v>
      </c>
      <c r="J976" s="15" t="s">
        <v>19364</v>
      </c>
      <c r="K976" s="15">
        <v>7500</v>
      </c>
      <c r="L976" s="15" t="s">
        <v>19099</v>
      </c>
    </row>
    <row r="977" spans="1:12" x14ac:dyDescent="0.25">
      <c r="A977" s="2" t="s">
        <v>3579</v>
      </c>
      <c r="B977" s="8" t="s">
        <v>16381</v>
      </c>
      <c r="C977" s="2" t="s">
        <v>3579</v>
      </c>
      <c r="D977" s="2" t="s">
        <v>3580</v>
      </c>
      <c r="E977" s="4" t="s">
        <v>22673</v>
      </c>
      <c r="G977" s="15" t="s">
        <v>22674</v>
      </c>
      <c r="H977" s="15" t="s">
        <v>22675</v>
      </c>
      <c r="I977" s="15" t="s">
        <v>22676</v>
      </c>
      <c r="J977" s="15" t="s">
        <v>22677</v>
      </c>
      <c r="K977" s="15">
        <v>20965</v>
      </c>
      <c r="L977" s="15" t="s">
        <v>19099</v>
      </c>
    </row>
    <row r="978" spans="1:12" x14ac:dyDescent="0.25">
      <c r="A978" s="2" t="s">
        <v>3582</v>
      </c>
      <c r="B978" s="8" t="s">
        <v>16382</v>
      </c>
      <c r="C978" s="2" t="s">
        <v>3582</v>
      </c>
      <c r="D978" s="2" t="s">
        <v>3583</v>
      </c>
      <c r="E978" s="4" t="s">
        <v>22678</v>
      </c>
      <c r="G978" s="15" t="s">
        <v>22679</v>
      </c>
      <c r="H978" s="15" t="s">
        <v>22680</v>
      </c>
      <c r="I978" s="15" t="s">
        <v>22681</v>
      </c>
      <c r="J978" s="15" t="s">
        <v>19894</v>
      </c>
      <c r="K978" s="15">
        <v>7211</v>
      </c>
      <c r="L978" s="15" t="s">
        <v>19099</v>
      </c>
    </row>
    <row r="979" spans="1:12" x14ac:dyDescent="0.25">
      <c r="A979" s="2" t="s">
        <v>3585</v>
      </c>
      <c r="B979" s="8" t="s">
        <v>16383</v>
      </c>
      <c r="C979" s="2" t="s">
        <v>3585</v>
      </c>
      <c r="D979" s="2" t="s">
        <v>3586</v>
      </c>
      <c r="E979" s="4" t="s">
        <v>22682</v>
      </c>
      <c r="G979" s="15" t="s">
        <v>22683</v>
      </c>
      <c r="H979" s="15" t="s">
        <v>22684</v>
      </c>
      <c r="I979" s="15" t="s">
        <v>22685</v>
      </c>
      <c r="J979" s="15" t="s">
        <v>22686</v>
      </c>
      <c r="K979" s="15">
        <v>10928</v>
      </c>
      <c r="L979" s="15" t="s">
        <v>19099</v>
      </c>
    </row>
    <row r="980" spans="1:12" x14ac:dyDescent="0.25">
      <c r="A980" s="2" t="s">
        <v>3588</v>
      </c>
      <c r="B980" s="8" t="s">
        <v>16384</v>
      </c>
      <c r="C980" s="2" t="s">
        <v>3588</v>
      </c>
      <c r="D980" s="2" t="s">
        <v>3589</v>
      </c>
      <c r="E980" s="4" t="s">
        <v>22687</v>
      </c>
      <c r="G980" s="15" t="s">
        <v>22688</v>
      </c>
      <c r="H980" s="15" t="s">
        <v>22689</v>
      </c>
      <c r="I980" s="15" t="s">
        <v>22690</v>
      </c>
      <c r="J980" s="15" t="s">
        <v>22691</v>
      </c>
      <c r="K980" s="15">
        <v>2730</v>
      </c>
      <c r="L980" s="15" t="s">
        <v>19099</v>
      </c>
    </row>
    <row r="981" spans="1:12" x14ac:dyDescent="0.25">
      <c r="A981" s="2" t="s">
        <v>3591</v>
      </c>
      <c r="B981" s="8" t="s">
        <v>16385</v>
      </c>
      <c r="C981" s="2" t="s">
        <v>3591</v>
      </c>
      <c r="D981" s="2" t="s">
        <v>3592</v>
      </c>
      <c r="E981" s="4" t="s">
        <v>22692</v>
      </c>
      <c r="G981" s="15" t="s">
        <v>22693</v>
      </c>
      <c r="H981" s="15" t="s">
        <v>22694</v>
      </c>
      <c r="I981" s="15" t="s">
        <v>22695</v>
      </c>
      <c r="J981" s="15" t="s">
        <v>22696</v>
      </c>
      <c r="K981" s="15">
        <v>66943</v>
      </c>
      <c r="L981" s="15" t="s">
        <v>19099</v>
      </c>
    </row>
    <row r="982" spans="1:12" x14ac:dyDescent="0.25">
      <c r="A982" s="2" t="s">
        <v>3594</v>
      </c>
      <c r="B982" s="8" t="s">
        <v>16386</v>
      </c>
      <c r="C982" s="2" t="s">
        <v>3594</v>
      </c>
      <c r="D982" s="2" t="s">
        <v>3595</v>
      </c>
      <c r="E982" s="4" t="s">
        <v>22697</v>
      </c>
      <c r="G982" s="15" t="s">
        <v>20663</v>
      </c>
      <c r="H982" s="15" t="s">
        <v>20664</v>
      </c>
      <c r="I982" s="15" t="s">
        <v>20665</v>
      </c>
      <c r="J982" s="15" t="s">
        <v>19245</v>
      </c>
      <c r="K982" s="15">
        <v>11903</v>
      </c>
      <c r="L982" s="15" t="s">
        <v>19099</v>
      </c>
    </row>
    <row r="983" spans="1:12" x14ac:dyDescent="0.25">
      <c r="A983" s="2" t="s">
        <v>3597</v>
      </c>
      <c r="B983" s="8" t="s">
        <v>16387</v>
      </c>
      <c r="C983" s="2" t="s">
        <v>3597</v>
      </c>
      <c r="D983" s="2" t="s">
        <v>3598</v>
      </c>
      <c r="E983" s="4" t="s">
        <v>22698</v>
      </c>
      <c r="G983" s="15" t="s">
        <v>22699</v>
      </c>
      <c r="H983" s="15" t="s">
        <v>22700</v>
      </c>
      <c r="I983" s="15" t="s">
        <v>22701</v>
      </c>
      <c r="J983" s="15" t="s">
        <v>22585</v>
      </c>
      <c r="K983" s="15">
        <v>8821</v>
      </c>
      <c r="L983" s="15" t="s">
        <v>19099</v>
      </c>
    </row>
    <row r="984" spans="1:12" x14ac:dyDescent="0.25">
      <c r="A984" s="2" t="s">
        <v>3600</v>
      </c>
      <c r="B984" s="8" t="s">
        <v>16388</v>
      </c>
      <c r="C984" s="2" t="s">
        <v>3600</v>
      </c>
      <c r="D984" s="2" t="s">
        <v>3601</v>
      </c>
      <c r="E984" s="4" t="s">
        <v>22702</v>
      </c>
      <c r="G984" s="15" t="s">
        <v>22702</v>
      </c>
      <c r="H984" s="15" t="s">
        <v>22703</v>
      </c>
      <c r="I984" s="15" t="s">
        <v>22704</v>
      </c>
      <c r="J984" s="15" t="s">
        <v>19462</v>
      </c>
      <c r="K984" s="15">
        <v>8857</v>
      </c>
      <c r="L984" s="15" t="s">
        <v>19099</v>
      </c>
    </row>
    <row r="985" spans="1:12" x14ac:dyDescent="0.25">
      <c r="A985" s="2" t="s">
        <v>3603</v>
      </c>
      <c r="B985" s="8" t="s">
        <v>16389</v>
      </c>
      <c r="C985" s="2" t="s">
        <v>3603</v>
      </c>
      <c r="D985" s="2" t="s">
        <v>3604</v>
      </c>
      <c r="E985" s="4" t="s">
        <v>3604</v>
      </c>
      <c r="G985" s="15" t="s">
        <v>22705</v>
      </c>
      <c r="H985" s="15" t="s">
        <v>22706</v>
      </c>
      <c r="I985" s="15" t="s">
        <v>22707</v>
      </c>
      <c r="J985" s="15" t="s">
        <v>22708</v>
      </c>
      <c r="K985" s="15">
        <v>17531</v>
      </c>
      <c r="L985" s="15" t="s">
        <v>19099</v>
      </c>
    </row>
    <row r="986" spans="1:12" x14ac:dyDescent="0.25">
      <c r="A986" s="2" t="s">
        <v>3606</v>
      </c>
      <c r="B986" s="8" t="s">
        <v>16390</v>
      </c>
      <c r="C986" s="2" t="s">
        <v>3606</v>
      </c>
      <c r="D986" s="2" t="s">
        <v>3607</v>
      </c>
      <c r="E986" s="4" t="s">
        <v>22709</v>
      </c>
      <c r="G986" s="15" t="s">
        <v>22710</v>
      </c>
      <c r="H986" s="15" t="s">
        <v>22711</v>
      </c>
      <c r="I986" s="15" t="s">
        <v>22712</v>
      </c>
      <c r="J986" s="15" t="s">
        <v>21182</v>
      </c>
      <c r="K986" s="15">
        <v>7762</v>
      </c>
      <c r="L986" s="15" t="s">
        <v>19099</v>
      </c>
    </row>
    <row r="987" spans="1:12" x14ac:dyDescent="0.25">
      <c r="A987" s="2" t="s">
        <v>3609</v>
      </c>
      <c r="B987" s="8" t="s">
        <v>16391</v>
      </c>
      <c r="C987" s="2" t="s">
        <v>3609</v>
      </c>
      <c r="D987" s="2" t="s">
        <v>3610</v>
      </c>
      <c r="E987" s="4" t="s">
        <v>22713</v>
      </c>
      <c r="G987" s="15" t="s">
        <v>22714</v>
      </c>
      <c r="H987" s="15" t="s">
        <v>22715</v>
      </c>
      <c r="I987" s="15" t="s">
        <v>22716</v>
      </c>
      <c r="J987" s="15" t="s">
        <v>19179</v>
      </c>
      <c r="K987" s="15">
        <v>3301</v>
      </c>
      <c r="L987" s="15" t="s">
        <v>19099</v>
      </c>
    </row>
    <row r="988" spans="1:12" x14ac:dyDescent="0.25">
      <c r="A988" s="2" t="s">
        <v>3612</v>
      </c>
      <c r="B988" s="8" t="s">
        <v>16392</v>
      </c>
      <c r="C988" s="2" t="s">
        <v>3612</v>
      </c>
      <c r="D988" s="2" t="s">
        <v>3613</v>
      </c>
      <c r="E988" s="4" t="s">
        <v>22717</v>
      </c>
      <c r="G988" s="15" t="s">
        <v>22718</v>
      </c>
      <c r="H988" s="15" t="s">
        <v>22719</v>
      </c>
      <c r="I988" s="15" t="s">
        <v>22720</v>
      </c>
      <c r="J988" s="15" t="s">
        <v>22630</v>
      </c>
      <c r="K988" s="15">
        <v>6354</v>
      </c>
      <c r="L988" s="15" t="s">
        <v>19099</v>
      </c>
    </row>
    <row r="989" spans="1:12" x14ac:dyDescent="0.25">
      <c r="A989" s="2" t="s">
        <v>3615</v>
      </c>
      <c r="B989" s="8" t="s">
        <v>16393</v>
      </c>
      <c r="C989" s="2" t="s">
        <v>3615</v>
      </c>
      <c r="D989" s="2" t="s">
        <v>3616</v>
      </c>
      <c r="E989" s="4" t="s">
        <v>22721</v>
      </c>
      <c r="G989" s="15" t="s">
        <v>22722</v>
      </c>
      <c r="H989" s="15" t="s">
        <v>22723</v>
      </c>
      <c r="I989" s="15" t="s">
        <v>22724</v>
      </c>
      <c r="J989" s="15" t="s">
        <v>22725</v>
      </c>
      <c r="K989" s="15">
        <v>3000605</v>
      </c>
      <c r="L989" s="15" t="s">
        <v>19099</v>
      </c>
    </row>
    <row r="990" spans="1:12" x14ac:dyDescent="0.25">
      <c r="A990" s="2" t="s">
        <v>3618</v>
      </c>
      <c r="B990" s="8" t="s">
        <v>16394</v>
      </c>
      <c r="C990" s="2" t="s">
        <v>3618</v>
      </c>
      <c r="D990" s="2" t="s">
        <v>3619</v>
      </c>
      <c r="E990" s="4" t="s">
        <v>22726</v>
      </c>
      <c r="G990" s="15" t="s">
        <v>22727</v>
      </c>
      <c r="H990" s="15" t="s">
        <v>22728</v>
      </c>
      <c r="I990" s="15" t="s">
        <v>22729</v>
      </c>
      <c r="J990" s="15" t="s">
        <v>22730</v>
      </c>
      <c r="K990" s="15">
        <v>40818</v>
      </c>
      <c r="L990" s="15" t="s">
        <v>19099</v>
      </c>
    </row>
    <row r="991" spans="1:12" x14ac:dyDescent="0.25">
      <c r="A991" s="2" t="s">
        <v>3621</v>
      </c>
      <c r="B991" s="8" t="s">
        <v>16395</v>
      </c>
      <c r="C991" s="2" t="s">
        <v>3621</v>
      </c>
      <c r="D991" s="2" t="s">
        <v>3622</v>
      </c>
      <c r="E991" s="4" t="s">
        <v>22731</v>
      </c>
      <c r="G991" s="15" t="s">
        <v>22732</v>
      </c>
      <c r="H991" s="15" t="s">
        <v>22733</v>
      </c>
      <c r="I991" s="15" t="s">
        <v>22734</v>
      </c>
      <c r="J991" s="15" t="s">
        <v>22735</v>
      </c>
      <c r="K991" s="15">
        <v>9033</v>
      </c>
      <c r="L991" s="15" t="s">
        <v>19099</v>
      </c>
    </row>
    <row r="992" spans="1:12" x14ac:dyDescent="0.25">
      <c r="A992" s="2" t="s">
        <v>3624</v>
      </c>
      <c r="B992" s="8" t="s">
        <v>16396</v>
      </c>
      <c r="C992" s="2" t="s">
        <v>3624</v>
      </c>
      <c r="D992" s="2" t="s">
        <v>3625</v>
      </c>
      <c r="E992" s="4" t="s">
        <v>22736</v>
      </c>
      <c r="G992" s="15" t="s">
        <v>22737</v>
      </c>
      <c r="H992" s="15" t="s">
        <v>22738</v>
      </c>
      <c r="I992" s="15" t="s">
        <v>22739</v>
      </c>
      <c r="J992" s="15" t="s">
        <v>22740</v>
      </c>
      <c r="K992" s="15">
        <v>2723650</v>
      </c>
      <c r="L992" s="15" t="s">
        <v>19099</v>
      </c>
    </row>
    <row r="993" spans="1:12" x14ac:dyDescent="0.25">
      <c r="A993" s="2" t="s">
        <v>3627</v>
      </c>
      <c r="B993" s="8" t="s">
        <v>16397</v>
      </c>
      <c r="C993" s="2" t="s">
        <v>3627</v>
      </c>
      <c r="D993" s="2" t="s">
        <v>3628</v>
      </c>
      <c r="E993" s="4" t="s">
        <v>22741</v>
      </c>
      <c r="G993" s="15" t="s">
        <v>22742</v>
      </c>
      <c r="H993" s="15" t="s">
        <v>22743</v>
      </c>
      <c r="I993" s="15" t="s">
        <v>22744</v>
      </c>
      <c r="J993" s="15" t="s">
        <v>20928</v>
      </c>
      <c r="K993" s="15">
        <v>7343</v>
      </c>
      <c r="L993" s="15" t="s">
        <v>19099</v>
      </c>
    </row>
    <row r="994" spans="1:12" x14ac:dyDescent="0.25">
      <c r="A994" s="2" t="s">
        <v>3630</v>
      </c>
      <c r="B994" s="8" t="s">
        <v>16398</v>
      </c>
      <c r="C994" s="2" t="s">
        <v>3630</v>
      </c>
      <c r="D994" s="2" t="s">
        <v>3631</v>
      </c>
      <c r="E994" s="4" t="s">
        <v>22745</v>
      </c>
      <c r="G994" s="15" t="s">
        <v>22746</v>
      </c>
      <c r="H994" s="15" t="s">
        <v>22747</v>
      </c>
      <c r="I994" s="15" t="s">
        <v>22748</v>
      </c>
      <c r="J994" s="15" t="s">
        <v>22749</v>
      </c>
      <c r="K994" s="15">
        <v>31957</v>
      </c>
      <c r="L994" s="15" t="s">
        <v>19099</v>
      </c>
    </row>
    <row r="995" spans="1:12" x14ac:dyDescent="0.25">
      <c r="A995" s="2" t="s">
        <v>3633</v>
      </c>
      <c r="B995" s="8" t="s">
        <v>16399</v>
      </c>
      <c r="C995" s="2" t="s">
        <v>3633</v>
      </c>
      <c r="D995" s="2" t="s">
        <v>3634</v>
      </c>
      <c r="E995" s="4" t="s">
        <v>22750</v>
      </c>
      <c r="G995" s="15" t="s">
        <v>22751</v>
      </c>
      <c r="H995" s="15" t="s">
        <v>22752</v>
      </c>
      <c r="I995" s="15" t="s">
        <v>22753</v>
      </c>
      <c r="J995" s="15" t="s">
        <v>22754</v>
      </c>
      <c r="K995" s="15">
        <v>991</v>
      </c>
      <c r="L995" s="15" t="s">
        <v>19099</v>
      </c>
    </row>
    <row r="996" spans="1:12" x14ac:dyDescent="0.25">
      <c r="A996" s="2" t="s">
        <v>3636</v>
      </c>
      <c r="B996" s="8" t="s">
        <v>16400</v>
      </c>
      <c r="C996" s="2" t="s">
        <v>3636</v>
      </c>
      <c r="D996" s="2" t="s">
        <v>3637</v>
      </c>
      <c r="E996" s="4" t="s">
        <v>3637</v>
      </c>
      <c r="G996" s="15" t="s">
        <v>3637</v>
      </c>
      <c r="H996" s="15" t="s">
        <v>22755</v>
      </c>
      <c r="I996" s="15" t="s">
        <v>22756</v>
      </c>
      <c r="J996" s="15" t="s">
        <v>22757</v>
      </c>
      <c r="K996" s="15">
        <v>527</v>
      </c>
      <c r="L996" s="15" t="s">
        <v>19099</v>
      </c>
    </row>
    <row r="997" spans="1:12" x14ac:dyDescent="0.25">
      <c r="A997" s="2" t="s">
        <v>3639</v>
      </c>
      <c r="B997" s="8" t="s">
        <v>16401</v>
      </c>
      <c r="C997" s="2" t="s">
        <v>3639</v>
      </c>
      <c r="D997" s="2" t="s">
        <v>3640</v>
      </c>
      <c r="E997" s="4" t="s">
        <v>22758</v>
      </c>
      <c r="G997" s="15" t="s">
        <v>22759</v>
      </c>
      <c r="H997" s="15" t="s">
        <v>22760</v>
      </c>
      <c r="I997" s="15" t="s">
        <v>22761</v>
      </c>
      <c r="J997" s="15" t="s">
        <v>22762</v>
      </c>
      <c r="K997" s="15">
        <v>14264</v>
      </c>
      <c r="L997" s="15" t="s">
        <v>19099</v>
      </c>
    </row>
    <row r="998" spans="1:12" x14ac:dyDescent="0.25">
      <c r="A998" s="2" t="s">
        <v>3642</v>
      </c>
      <c r="B998" s="8" t="s">
        <v>16402</v>
      </c>
      <c r="C998" s="2" t="s">
        <v>3642</v>
      </c>
      <c r="D998" s="2" t="s">
        <v>3643</v>
      </c>
      <c r="E998" s="4" t="s">
        <v>3643</v>
      </c>
      <c r="G998" s="15" t="s">
        <v>22763</v>
      </c>
      <c r="H998" s="15" t="s">
        <v>22764</v>
      </c>
      <c r="I998" s="15" t="s">
        <v>22765</v>
      </c>
      <c r="J998" s="15" t="s">
        <v>20688</v>
      </c>
      <c r="K998" s="15">
        <v>1031</v>
      </c>
      <c r="L998" s="15" t="s">
        <v>19099</v>
      </c>
    </row>
    <row r="999" spans="1:12" x14ac:dyDescent="0.25">
      <c r="A999" s="2" t="s">
        <v>3645</v>
      </c>
      <c r="B999" s="8" t="s">
        <v>16403</v>
      </c>
      <c r="C999" s="2" t="s">
        <v>3645</v>
      </c>
      <c r="D999" s="2" t="s">
        <v>3646</v>
      </c>
      <c r="E999" s="4" t="s">
        <v>22766</v>
      </c>
      <c r="G999" s="15" t="s">
        <v>22766</v>
      </c>
      <c r="H999" s="15" t="s">
        <v>22767</v>
      </c>
      <c r="I999" s="15" t="s">
        <v>22768</v>
      </c>
      <c r="J999" s="15" t="s">
        <v>22442</v>
      </c>
      <c r="K999" s="15">
        <v>7997</v>
      </c>
      <c r="L999" s="15" t="s">
        <v>19099</v>
      </c>
    </row>
    <row r="1000" spans="1:12" x14ac:dyDescent="0.25">
      <c r="A1000" s="2" t="s">
        <v>3648</v>
      </c>
      <c r="B1000" s="8" t="s">
        <v>16404</v>
      </c>
      <c r="C1000" s="2" t="s">
        <v>3648</v>
      </c>
      <c r="D1000" s="2" t="s">
        <v>3649</v>
      </c>
      <c r="E1000" s="4" t="s">
        <v>22769</v>
      </c>
      <c r="G1000" s="15" t="s">
        <v>22770</v>
      </c>
      <c r="H1000" s="15" t="s">
        <v>22771</v>
      </c>
      <c r="I1000" s="15" t="s">
        <v>22772</v>
      </c>
      <c r="J1000" s="15" t="s">
        <v>22757</v>
      </c>
      <c r="K1000" s="15">
        <v>6378</v>
      </c>
      <c r="L1000" s="15" t="s">
        <v>19099</v>
      </c>
    </row>
    <row r="1001" spans="1:12" x14ac:dyDescent="0.25">
      <c r="A1001" s="2" t="s">
        <v>3651</v>
      </c>
      <c r="B1001" s="8" t="s">
        <v>16405</v>
      </c>
      <c r="C1001" s="2" t="s">
        <v>3651</v>
      </c>
      <c r="D1001" s="2" t="s">
        <v>3652</v>
      </c>
      <c r="E1001" s="4" t="s">
        <v>22773</v>
      </c>
      <c r="G1001" s="15" t="s">
        <v>22774</v>
      </c>
      <c r="H1001" s="15" t="s">
        <v>22775</v>
      </c>
      <c r="I1001" s="15" t="s">
        <v>22776</v>
      </c>
      <c r="J1001" s="15" t="s">
        <v>21146</v>
      </c>
      <c r="K1001" s="15">
        <v>6377</v>
      </c>
      <c r="L1001" s="15" t="s">
        <v>19099</v>
      </c>
    </row>
    <row r="1002" spans="1:12" x14ac:dyDescent="0.25">
      <c r="A1002" s="2" t="s">
        <v>3654</v>
      </c>
      <c r="B1002" s="8" t="s">
        <v>16406</v>
      </c>
      <c r="C1002" s="2" t="s">
        <v>3654</v>
      </c>
      <c r="D1002" s="2" t="s">
        <v>3655</v>
      </c>
      <c r="E1002" s="4" t="s">
        <v>3655</v>
      </c>
      <c r="G1002" s="15" t="s">
        <v>22777</v>
      </c>
      <c r="H1002" s="15" t="s">
        <v>22778</v>
      </c>
      <c r="I1002" s="15" t="s">
        <v>22779</v>
      </c>
      <c r="J1002" s="15" t="s">
        <v>22780</v>
      </c>
      <c r="K1002" s="15">
        <v>66110</v>
      </c>
      <c r="L1002" s="15" t="s">
        <v>19099</v>
      </c>
    </row>
    <row r="1003" spans="1:12" x14ac:dyDescent="0.25">
      <c r="A1003" s="2" t="s">
        <v>3657</v>
      </c>
      <c r="B1003" s="8" t="s">
        <v>16407</v>
      </c>
      <c r="C1003" s="2" t="s">
        <v>3657</v>
      </c>
      <c r="D1003" s="2" t="s">
        <v>3658</v>
      </c>
      <c r="E1003" s="4" t="s">
        <v>22781</v>
      </c>
      <c r="G1003" s="15" t="s">
        <v>22782</v>
      </c>
      <c r="H1003" s="15" t="s">
        <v>22783</v>
      </c>
      <c r="I1003" s="15" t="s">
        <v>22784</v>
      </c>
      <c r="J1003" s="15" t="s">
        <v>22785</v>
      </c>
      <c r="K1003" s="15">
        <v>24752</v>
      </c>
      <c r="L1003" s="15" t="s">
        <v>19099</v>
      </c>
    </row>
    <row r="1004" spans="1:12" x14ac:dyDescent="0.25">
      <c r="A1004" s="2" t="s">
        <v>3660</v>
      </c>
      <c r="B1004" s="8" t="s">
        <v>16408</v>
      </c>
      <c r="C1004" s="2" t="s">
        <v>3660</v>
      </c>
      <c r="D1004" s="2" t="s">
        <v>3661</v>
      </c>
      <c r="E1004" s="4" t="s">
        <v>22786</v>
      </c>
      <c r="G1004" s="15" t="s">
        <v>22786</v>
      </c>
      <c r="H1004" s="15" t="s">
        <v>22787</v>
      </c>
      <c r="I1004" s="15" t="s">
        <v>22788</v>
      </c>
      <c r="J1004" s="15" t="s">
        <v>22789</v>
      </c>
      <c r="K1004" s="15">
        <v>7843</v>
      </c>
      <c r="L1004" s="15" t="s">
        <v>19099</v>
      </c>
    </row>
    <row r="1005" spans="1:12" x14ac:dyDescent="0.25">
      <c r="A1005" s="2" t="s">
        <v>3663</v>
      </c>
      <c r="B1005" s="8" t="s">
        <v>16409</v>
      </c>
      <c r="C1005" s="2" t="s">
        <v>3663</v>
      </c>
      <c r="D1005" s="2" t="s">
        <v>3664</v>
      </c>
      <c r="E1005" s="4" t="s">
        <v>3664</v>
      </c>
      <c r="G1005" s="15" t="s">
        <v>3664</v>
      </c>
      <c r="H1005" s="15" t="s">
        <v>22790</v>
      </c>
      <c r="I1005" s="15" t="s">
        <v>22791</v>
      </c>
      <c r="J1005" s="15" t="s">
        <v>19295</v>
      </c>
      <c r="K1005" s="15">
        <v>261</v>
      </c>
      <c r="L1005" s="15" t="s">
        <v>19099</v>
      </c>
    </row>
    <row r="1006" spans="1:12" x14ac:dyDescent="0.25">
      <c r="A1006" s="2" t="s">
        <v>3666</v>
      </c>
      <c r="B1006" s="8" t="s">
        <v>16410</v>
      </c>
      <c r="C1006" s="2" t="s">
        <v>3666</v>
      </c>
      <c r="D1006" s="2" t="s">
        <v>3667</v>
      </c>
      <c r="E1006" s="4" t="s">
        <v>3667</v>
      </c>
      <c r="G1006" s="15" t="s">
        <v>22792</v>
      </c>
      <c r="H1006" s="15" t="s">
        <v>22793</v>
      </c>
      <c r="I1006" s="15" t="s">
        <v>22794</v>
      </c>
      <c r="J1006" s="15" t="s">
        <v>20579</v>
      </c>
      <c r="K1006" s="15">
        <v>263</v>
      </c>
      <c r="L1006" s="15" t="s">
        <v>19099</v>
      </c>
    </row>
    <row r="1007" spans="1:12" x14ac:dyDescent="0.25">
      <c r="A1007" s="2" t="s">
        <v>3669</v>
      </c>
      <c r="B1007" s="8" t="s">
        <v>16411</v>
      </c>
      <c r="C1007" s="2" t="s">
        <v>3669</v>
      </c>
      <c r="D1007" s="2" t="s">
        <v>3670</v>
      </c>
      <c r="E1007" s="4" t="s">
        <v>22795</v>
      </c>
      <c r="G1007" s="15" t="s">
        <v>22795</v>
      </c>
      <c r="H1007" s="15" t="s">
        <v>22796</v>
      </c>
      <c r="I1007" s="15" t="s">
        <v>22797</v>
      </c>
      <c r="J1007" s="15" t="s">
        <v>19219</v>
      </c>
      <c r="K1007" s="15">
        <v>7705</v>
      </c>
      <c r="L1007" s="15" t="s">
        <v>19099</v>
      </c>
    </row>
    <row r="1008" spans="1:12" x14ac:dyDescent="0.25">
      <c r="A1008" s="2" t="s">
        <v>3672</v>
      </c>
      <c r="B1008" s="8" t="s">
        <v>16412</v>
      </c>
      <c r="C1008" s="2" t="s">
        <v>3672</v>
      </c>
      <c r="D1008" s="2" t="s">
        <v>3673</v>
      </c>
      <c r="E1008" s="4" t="s">
        <v>22798</v>
      </c>
      <c r="G1008" s="15" t="s">
        <v>22799</v>
      </c>
      <c r="H1008" s="15" t="s">
        <v>22800</v>
      </c>
      <c r="I1008" s="15" t="s">
        <v>22801</v>
      </c>
      <c r="J1008" s="15" t="s">
        <v>22802</v>
      </c>
      <c r="K1008" s="15">
        <v>19241</v>
      </c>
      <c r="L1008" s="15" t="s">
        <v>19099</v>
      </c>
    </row>
    <row r="1009" spans="1:12" x14ac:dyDescent="0.25">
      <c r="A1009" s="2" t="s">
        <v>3675</v>
      </c>
      <c r="B1009" s="8" t="s">
        <v>16413</v>
      </c>
      <c r="C1009" s="2" t="s">
        <v>3675</v>
      </c>
      <c r="D1009" s="2" t="s">
        <v>3676</v>
      </c>
      <c r="E1009" s="4" t="s">
        <v>22803</v>
      </c>
      <c r="G1009" s="15" t="s">
        <v>22804</v>
      </c>
      <c r="H1009" s="15" t="s">
        <v>22805</v>
      </c>
      <c r="I1009" s="15" t="s">
        <v>22806</v>
      </c>
      <c r="J1009" s="15" t="s">
        <v>22807</v>
      </c>
      <c r="K1009" s="15">
        <v>6642</v>
      </c>
      <c r="L1009" s="15" t="s">
        <v>19099</v>
      </c>
    </row>
    <row r="1010" spans="1:12" x14ac:dyDescent="0.25">
      <c r="A1010" s="2" t="s">
        <v>3678</v>
      </c>
      <c r="B1010" s="8" t="s">
        <v>16414</v>
      </c>
      <c r="C1010" s="2" t="s">
        <v>3678</v>
      </c>
      <c r="D1010" s="2" t="s">
        <v>3679</v>
      </c>
      <c r="E1010" s="4" t="s">
        <v>22808</v>
      </c>
      <c r="G1010" s="15" t="s">
        <v>22808</v>
      </c>
      <c r="H1010" s="15" t="s">
        <v>22809</v>
      </c>
      <c r="I1010" s="15" t="s">
        <v>22810</v>
      </c>
      <c r="J1010" s="15" t="s">
        <v>22811</v>
      </c>
      <c r="K1010" s="15">
        <v>8090</v>
      </c>
      <c r="L1010" s="15" t="s">
        <v>19099</v>
      </c>
    </row>
    <row r="1011" spans="1:12" x14ac:dyDescent="0.25">
      <c r="A1011" s="2" t="s">
        <v>3681</v>
      </c>
      <c r="B1011" s="8" t="s">
        <v>16415</v>
      </c>
      <c r="C1011" s="2" t="s">
        <v>3681</v>
      </c>
      <c r="D1011" s="2" t="s">
        <v>3682</v>
      </c>
      <c r="E1011" s="4" t="s">
        <v>22812</v>
      </c>
      <c r="G1011" s="15" t="s">
        <v>22813</v>
      </c>
      <c r="H1011" s="15" t="s">
        <v>22814</v>
      </c>
      <c r="I1011" s="15" t="s">
        <v>22815</v>
      </c>
      <c r="J1011" s="15" t="s">
        <v>22816</v>
      </c>
      <c r="K1011" s="15">
        <v>8846</v>
      </c>
      <c r="L1011" s="15" t="s">
        <v>19099</v>
      </c>
    </row>
    <row r="1012" spans="1:12" x14ac:dyDescent="0.25">
      <c r="A1012" s="2" t="s">
        <v>3684</v>
      </c>
      <c r="B1012" s="8" t="s">
        <v>16416</v>
      </c>
      <c r="C1012" s="2" t="s">
        <v>3684</v>
      </c>
      <c r="D1012" s="2" t="s">
        <v>3685</v>
      </c>
      <c r="E1012" s="4" t="s">
        <v>22817</v>
      </c>
      <c r="G1012" s="15" t="s">
        <v>22817</v>
      </c>
      <c r="H1012" s="15" t="s">
        <v>22818</v>
      </c>
      <c r="I1012" s="15" t="s">
        <v>22819</v>
      </c>
      <c r="J1012" s="15" t="s">
        <v>21182</v>
      </c>
      <c r="K1012" s="15">
        <v>31272</v>
      </c>
      <c r="L1012" s="15" t="s">
        <v>19099</v>
      </c>
    </row>
    <row r="1013" spans="1:12" x14ac:dyDescent="0.25">
      <c r="A1013" s="2" t="s">
        <v>3687</v>
      </c>
      <c r="B1013" s="8" t="s">
        <v>16417</v>
      </c>
      <c r="C1013" s="2" t="s">
        <v>3687</v>
      </c>
      <c r="D1013" s="2" t="s">
        <v>3688</v>
      </c>
      <c r="E1013" s="4" t="s">
        <v>22820</v>
      </c>
      <c r="G1013" s="15" t="s">
        <v>22821</v>
      </c>
      <c r="H1013" s="15" t="s">
        <v>22822</v>
      </c>
      <c r="I1013" s="15" t="s">
        <v>22823</v>
      </c>
      <c r="J1013" s="15" t="s">
        <v>22824</v>
      </c>
      <c r="K1013" s="15">
        <v>16181</v>
      </c>
      <c r="L1013" s="15" t="s">
        <v>19099</v>
      </c>
    </row>
    <row r="1014" spans="1:12" x14ac:dyDescent="0.25">
      <c r="A1014" s="2" t="s">
        <v>3690</v>
      </c>
      <c r="B1014" s="8" t="s">
        <v>16418</v>
      </c>
      <c r="C1014" s="2" t="s">
        <v>3690</v>
      </c>
      <c r="D1014" s="2" t="s">
        <v>3691</v>
      </c>
      <c r="E1014" s="4" t="s">
        <v>22825</v>
      </c>
      <c r="G1014" s="15" t="s">
        <v>22826</v>
      </c>
      <c r="H1014" s="15" t="s">
        <v>22827</v>
      </c>
      <c r="I1014" s="15" t="s">
        <v>22828</v>
      </c>
      <c r="J1014" s="15" t="s">
        <v>22829</v>
      </c>
      <c r="K1014" s="15">
        <v>7354</v>
      </c>
      <c r="L1014" s="15" t="s">
        <v>19099</v>
      </c>
    </row>
    <row r="1015" spans="1:12" x14ac:dyDescent="0.25">
      <c r="A1015" s="2" t="s">
        <v>3693</v>
      </c>
      <c r="B1015" s="8" t="s">
        <v>16419</v>
      </c>
      <c r="C1015" s="2" t="s">
        <v>3693</v>
      </c>
      <c r="D1015" s="2" t="s">
        <v>3694</v>
      </c>
      <c r="E1015" s="4" t="s">
        <v>22830</v>
      </c>
      <c r="G1015" s="15" t="s">
        <v>22830</v>
      </c>
      <c r="H1015" s="15" t="s">
        <v>22831</v>
      </c>
      <c r="I1015" s="15" t="s">
        <v>22832</v>
      </c>
      <c r="J1015" s="15" t="s">
        <v>20583</v>
      </c>
      <c r="K1015" s="15">
        <v>8003</v>
      </c>
      <c r="L1015" s="15" t="s">
        <v>19099</v>
      </c>
    </row>
    <row r="1016" spans="1:12" x14ac:dyDescent="0.25">
      <c r="A1016" s="2" t="s">
        <v>3696</v>
      </c>
      <c r="B1016" s="8" t="s">
        <v>16420</v>
      </c>
      <c r="C1016" s="2" t="s">
        <v>3696</v>
      </c>
      <c r="D1016" s="2" t="s">
        <v>3697</v>
      </c>
      <c r="E1016" s="4" t="s">
        <v>3697</v>
      </c>
      <c r="G1016" s="15" t="s">
        <v>13879</v>
      </c>
      <c r="H1016" s="15" t="s">
        <v>22833</v>
      </c>
      <c r="I1016" s="15" t="s">
        <v>22834</v>
      </c>
      <c r="J1016" s="15" t="s">
        <v>20729</v>
      </c>
      <c r="K1016" s="15">
        <v>8063</v>
      </c>
      <c r="L1016" s="15" t="s">
        <v>19099</v>
      </c>
    </row>
    <row r="1017" spans="1:12" x14ac:dyDescent="0.25">
      <c r="A1017" s="2" t="s">
        <v>3699</v>
      </c>
      <c r="B1017" s="8" t="s">
        <v>16421</v>
      </c>
      <c r="C1017" s="2" t="s">
        <v>3699</v>
      </c>
      <c r="D1017" s="2" t="s">
        <v>3700</v>
      </c>
      <c r="E1017" s="4" t="s">
        <v>3700</v>
      </c>
      <c r="G1017" s="15" t="s">
        <v>22835</v>
      </c>
      <c r="H1017" s="15" t="s">
        <v>22836</v>
      </c>
      <c r="I1017" s="15" t="s">
        <v>22837</v>
      </c>
      <c r="J1017" s="15" t="s">
        <v>19669</v>
      </c>
      <c r="K1017" s="15">
        <v>6276</v>
      </c>
      <c r="L1017" s="15" t="s">
        <v>19099</v>
      </c>
    </row>
    <row r="1018" spans="1:12" x14ac:dyDescent="0.25">
      <c r="A1018" s="2" t="s">
        <v>3702</v>
      </c>
      <c r="B1018" s="8" t="s">
        <v>16422</v>
      </c>
      <c r="C1018" s="2" t="s">
        <v>3702</v>
      </c>
      <c r="D1018" s="2" t="s">
        <v>3703</v>
      </c>
      <c r="E1018" s="4" t="s">
        <v>22838</v>
      </c>
      <c r="G1018" s="15" t="s">
        <v>22838</v>
      </c>
      <c r="H1018" s="15" t="s">
        <v>22839</v>
      </c>
      <c r="I1018" s="15" t="s">
        <v>22840</v>
      </c>
      <c r="J1018" s="15" t="s">
        <v>3702</v>
      </c>
      <c r="K1018" s="15">
        <v>10008</v>
      </c>
      <c r="L1018" s="15" t="s">
        <v>19099</v>
      </c>
    </row>
    <row r="1019" spans="1:12" x14ac:dyDescent="0.25">
      <c r="A1019" s="2" t="s">
        <v>3705</v>
      </c>
      <c r="B1019" s="8" t="s">
        <v>16423</v>
      </c>
      <c r="C1019" s="2" t="s">
        <v>3705</v>
      </c>
      <c r="D1019" s="2" t="s">
        <v>3706</v>
      </c>
      <c r="E1019" s="4" t="s">
        <v>22841</v>
      </c>
      <c r="G1019" s="15" t="s">
        <v>22841</v>
      </c>
      <c r="H1019" s="15" t="s">
        <v>22842</v>
      </c>
      <c r="I1019" s="15" t="s">
        <v>22843</v>
      </c>
      <c r="J1019" s="15" t="s">
        <v>20052</v>
      </c>
      <c r="K1019" s="15">
        <v>8058</v>
      </c>
      <c r="L1019" s="15" t="s">
        <v>19099</v>
      </c>
    </row>
    <row r="1020" spans="1:12" x14ac:dyDescent="0.25">
      <c r="A1020" s="2" t="s">
        <v>3708</v>
      </c>
      <c r="B1020" s="8" t="s">
        <v>16424</v>
      </c>
      <c r="C1020" s="2" t="s">
        <v>3708</v>
      </c>
      <c r="D1020" s="2" t="s">
        <v>3709</v>
      </c>
      <c r="E1020" s="4" t="s">
        <v>3709</v>
      </c>
      <c r="G1020" s="15" t="s">
        <v>3709</v>
      </c>
      <c r="H1020" s="15" t="s">
        <v>22844</v>
      </c>
      <c r="I1020" s="15" t="s">
        <v>22845</v>
      </c>
      <c r="J1020" s="15" t="s">
        <v>20737</v>
      </c>
      <c r="K1020" s="15">
        <v>6184</v>
      </c>
      <c r="L1020" s="15" t="s">
        <v>19099</v>
      </c>
    </row>
    <row r="1021" spans="1:12" x14ac:dyDescent="0.25">
      <c r="A1021" s="2" t="s">
        <v>3711</v>
      </c>
      <c r="B1021" s="8" t="s">
        <v>16425</v>
      </c>
      <c r="C1021" s="2" t="s">
        <v>3711</v>
      </c>
      <c r="D1021" s="2" t="s">
        <v>3712</v>
      </c>
      <c r="E1021" s="4" t="s">
        <v>22846</v>
      </c>
      <c r="G1021" s="15" t="s">
        <v>22846</v>
      </c>
      <c r="H1021" s="15" t="s">
        <v>22847</v>
      </c>
      <c r="I1021" s="15" t="s">
        <v>22848</v>
      </c>
      <c r="J1021" s="15" t="s">
        <v>21182</v>
      </c>
      <c r="K1021" s="15">
        <v>8892</v>
      </c>
      <c r="L1021" s="15" t="s">
        <v>19099</v>
      </c>
    </row>
    <row r="1022" spans="1:12" x14ac:dyDescent="0.25">
      <c r="A1022" s="2" t="s">
        <v>3714</v>
      </c>
      <c r="B1022" s="8" t="s">
        <v>16426</v>
      </c>
      <c r="C1022" s="2" t="s">
        <v>3714</v>
      </c>
      <c r="D1022" s="2" t="s">
        <v>3715</v>
      </c>
      <c r="E1022" s="4" t="s">
        <v>22849</v>
      </c>
      <c r="G1022" s="15" t="s">
        <v>22849</v>
      </c>
      <c r="H1022" s="15" t="s">
        <v>22850</v>
      </c>
      <c r="I1022" s="15" t="s">
        <v>22851</v>
      </c>
      <c r="J1022" s="15" t="s">
        <v>19472</v>
      </c>
      <c r="K1022" s="15">
        <v>14109</v>
      </c>
      <c r="L1022" s="15" t="s">
        <v>19099</v>
      </c>
    </row>
    <row r="1023" spans="1:12" x14ac:dyDescent="0.25">
      <c r="A1023" s="2" t="s">
        <v>3717</v>
      </c>
      <c r="B1023" s="8" t="s">
        <v>16427</v>
      </c>
      <c r="C1023" s="2" t="s">
        <v>3717</v>
      </c>
      <c r="D1023" s="2" t="s">
        <v>3718</v>
      </c>
      <c r="E1023" s="4" t="s">
        <v>22852</v>
      </c>
      <c r="G1023" s="15" t="s">
        <v>22853</v>
      </c>
      <c r="H1023" s="15" t="s">
        <v>22854</v>
      </c>
      <c r="I1023" s="15" t="s">
        <v>22855</v>
      </c>
      <c r="J1023" s="15" t="s">
        <v>19321</v>
      </c>
      <c r="K1023" s="15">
        <v>7870</v>
      </c>
      <c r="L1023" s="15" t="s">
        <v>19099</v>
      </c>
    </row>
    <row r="1024" spans="1:12" x14ac:dyDescent="0.25">
      <c r="A1024" s="2" t="s">
        <v>3720</v>
      </c>
      <c r="B1024" s="8" t="s">
        <v>16428</v>
      </c>
      <c r="C1024" s="2" t="s">
        <v>3720</v>
      </c>
      <c r="D1024" s="2" t="s">
        <v>3721</v>
      </c>
      <c r="E1024" s="4" t="s">
        <v>22856</v>
      </c>
      <c r="G1024" s="15" t="s">
        <v>22856</v>
      </c>
      <c r="H1024" s="15" t="s">
        <v>22857</v>
      </c>
      <c r="I1024" s="15" t="s">
        <v>22858</v>
      </c>
      <c r="J1024" s="15" t="s">
        <v>20216</v>
      </c>
      <c r="K1024" s="15">
        <v>8900</v>
      </c>
      <c r="L1024" s="15" t="s">
        <v>19099</v>
      </c>
    </row>
    <row r="1025" spans="1:12" x14ac:dyDescent="0.25">
      <c r="A1025" s="2" t="s">
        <v>3723</v>
      </c>
      <c r="B1025" s="8" t="s">
        <v>16429</v>
      </c>
      <c r="C1025" s="2" t="s">
        <v>3723</v>
      </c>
      <c r="D1025" s="2" t="s">
        <v>3724</v>
      </c>
      <c r="E1025" s="4" t="s">
        <v>22859</v>
      </c>
      <c r="G1025" s="15" t="s">
        <v>22859</v>
      </c>
      <c r="H1025" s="15" t="s">
        <v>22860</v>
      </c>
      <c r="I1025" s="15" t="s">
        <v>22861</v>
      </c>
      <c r="J1025" s="15" t="s">
        <v>20593</v>
      </c>
      <c r="K1025" s="15">
        <v>8094</v>
      </c>
      <c r="L1025" s="15" t="s">
        <v>19099</v>
      </c>
    </row>
    <row r="1026" spans="1:12" x14ac:dyDescent="0.25">
      <c r="A1026" s="2" t="s">
        <v>3726</v>
      </c>
      <c r="B1026" s="8" t="s">
        <v>16430</v>
      </c>
      <c r="C1026" s="2" t="s">
        <v>3726</v>
      </c>
      <c r="D1026" s="2" t="s">
        <v>3727</v>
      </c>
      <c r="E1026" s="4" t="s">
        <v>22862</v>
      </c>
      <c r="G1026" s="15" t="s">
        <v>22863</v>
      </c>
      <c r="H1026" s="15" t="s">
        <v>22864</v>
      </c>
      <c r="I1026" s="15" t="s">
        <v>22865</v>
      </c>
      <c r="J1026" s="15" t="s">
        <v>20640</v>
      </c>
      <c r="K1026" s="15">
        <v>7826</v>
      </c>
      <c r="L1026" s="15" t="s">
        <v>19099</v>
      </c>
    </row>
    <row r="1027" spans="1:12" x14ac:dyDescent="0.25">
      <c r="A1027" s="2" t="s">
        <v>3729</v>
      </c>
      <c r="B1027" s="8" t="s">
        <v>16431</v>
      </c>
      <c r="C1027" s="2" t="s">
        <v>3729</v>
      </c>
      <c r="D1027" s="2" t="s">
        <v>3730</v>
      </c>
      <c r="E1027" s="4" t="s">
        <v>22866</v>
      </c>
      <c r="G1027" s="15" t="s">
        <v>22866</v>
      </c>
      <c r="H1027" s="15" t="s">
        <v>22867</v>
      </c>
      <c r="I1027" s="15" t="s">
        <v>22868</v>
      </c>
      <c r="J1027" s="15" t="s">
        <v>22869</v>
      </c>
      <c r="K1027" s="15">
        <v>14115</v>
      </c>
      <c r="L1027" s="15" t="s">
        <v>19099</v>
      </c>
    </row>
    <row r="1028" spans="1:12" x14ac:dyDescent="0.25">
      <c r="A1028" s="2" t="s">
        <v>3732</v>
      </c>
      <c r="B1028" s="8" t="s">
        <v>16432</v>
      </c>
      <c r="C1028" s="2" t="s">
        <v>3732</v>
      </c>
      <c r="D1028" s="2" t="s">
        <v>3733</v>
      </c>
      <c r="E1028" s="4" t="s">
        <v>22870</v>
      </c>
      <c r="G1028" s="15" t="s">
        <v>22871</v>
      </c>
      <c r="H1028" s="15" t="s">
        <v>22872</v>
      </c>
      <c r="I1028" s="15" t="s">
        <v>22873</v>
      </c>
      <c r="J1028" s="15" t="s">
        <v>22874</v>
      </c>
      <c r="K1028" s="15">
        <v>13762</v>
      </c>
      <c r="L1028" s="15" t="s">
        <v>19099</v>
      </c>
    </row>
    <row r="1029" spans="1:12" x14ac:dyDescent="0.25">
      <c r="A1029" s="2" t="s">
        <v>3735</v>
      </c>
      <c r="B1029" s="8" t="s">
        <v>16433</v>
      </c>
      <c r="C1029" s="2" t="s">
        <v>3735</v>
      </c>
      <c r="D1029" s="2" t="s">
        <v>3736</v>
      </c>
      <c r="E1029" s="4" t="s">
        <v>22875</v>
      </c>
      <c r="G1029" s="15" t="s">
        <v>22875</v>
      </c>
      <c r="H1029" s="15" t="s">
        <v>22876</v>
      </c>
      <c r="I1029" s="15" t="s">
        <v>22877</v>
      </c>
      <c r="J1029" s="15" t="s">
        <v>19917</v>
      </c>
      <c r="K1029" s="15">
        <v>356</v>
      </c>
      <c r="L1029" s="15" t="s">
        <v>19099</v>
      </c>
    </row>
    <row r="1030" spans="1:12" x14ac:dyDescent="0.25">
      <c r="A1030" s="2" t="s">
        <v>3738</v>
      </c>
      <c r="B1030" s="8" t="s">
        <v>16434</v>
      </c>
      <c r="C1030" s="2" t="s">
        <v>3738</v>
      </c>
      <c r="D1030" s="2" t="s">
        <v>3739</v>
      </c>
      <c r="E1030" s="4" t="s">
        <v>3739</v>
      </c>
      <c r="G1030" s="15" t="s">
        <v>3739</v>
      </c>
      <c r="H1030" s="15" t="s">
        <v>22878</v>
      </c>
      <c r="I1030" s="15" t="s">
        <v>22879</v>
      </c>
      <c r="J1030" s="15" t="s">
        <v>19922</v>
      </c>
      <c r="K1030" s="15">
        <v>454</v>
      </c>
      <c r="L1030" s="15" t="s">
        <v>19099</v>
      </c>
    </row>
    <row r="1031" spans="1:12" x14ac:dyDescent="0.25">
      <c r="A1031" s="2" t="s">
        <v>3741</v>
      </c>
      <c r="B1031" s="8" t="s">
        <v>16435</v>
      </c>
      <c r="C1031" s="2" t="s">
        <v>3741</v>
      </c>
      <c r="D1031" s="2" t="s">
        <v>3742</v>
      </c>
      <c r="E1031" s="4" t="s">
        <v>22880</v>
      </c>
      <c r="G1031" s="15" t="s">
        <v>22880</v>
      </c>
      <c r="H1031" s="15" t="s">
        <v>22881</v>
      </c>
      <c r="I1031" s="15" t="s">
        <v>22882</v>
      </c>
      <c r="J1031" s="15" t="s">
        <v>20640</v>
      </c>
      <c r="K1031" s="15">
        <v>379</v>
      </c>
      <c r="L1031" s="15" t="s">
        <v>19099</v>
      </c>
    </row>
    <row r="1032" spans="1:12" x14ac:dyDescent="0.25">
      <c r="A1032" s="2" t="s">
        <v>3744</v>
      </c>
      <c r="B1032" s="8" t="s">
        <v>16436</v>
      </c>
      <c r="C1032" s="2" t="s">
        <v>3744</v>
      </c>
      <c r="D1032" s="2" t="s">
        <v>3745</v>
      </c>
      <c r="E1032" s="4" t="s">
        <v>22883</v>
      </c>
      <c r="G1032" s="15" t="s">
        <v>22884</v>
      </c>
      <c r="H1032" s="15" t="s">
        <v>22885</v>
      </c>
      <c r="I1032" s="15" t="s">
        <v>22886</v>
      </c>
      <c r="J1032" s="15" t="s">
        <v>22887</v>
      </c>
      <c r="K1032" s="15">
        <v>8227</v>
      </c>
      <c r="L1032" s="15" t="s">
        <v>19099</v>
      </c>
    </row>
    <row r="1033" spans="1:12" x14ac:dyDescent="0.25">
      <c r="A1033" s="2" t="s">
        <v>3747</v>
      </c>
      <c r="B1033" s="9" t="s">
        <v>3749</v>
      </c>
      <c r="C1033" s="2" t="s">
        <v>3747</v>
      </c>
      <c r="D1033" s="2" t="s">
        <v>3748</v>
      </c>
      <c r="E1033" s="4" t="s">
        <v>22888</v>
      </c>
    </row>
    <row r="1034" spans="1:12" x14ac:dyDescent="0.25">
      <c r="A1034" s="2" t="s">
        <v>3750</v>
      </c>
      <c r="B1034" s="9" t="s">
        <v>3752</v>
      </c>
      <c r="C1034" s="2" t="s">
        <v>3750</v>
      </c>
      <c r="D1034" s="2" t="s">
        <v>3751</v>
      </c>
      <c r="E1034" s="4" t="s">
        <v>22889</v>
      </c>
    </row>
    <row r="1035" spans="1:12" x14ac:dyDescent="0.25">
      <c r="A1035" s="2" t="s">
        <v>3753</v>
      </c>
      <c r="B1035" s="8" t="s">
        <v>16439</v>
      </c>
      <c r="C1035" s="2" t="s">
        <v>3753</v>
      </c>
      <c r="D1035" s="2" t="s">
        <v>3754</v>
      </c>
      <c r="E1035" s="4" t="s">
        <v>22890</v>
      </c>
      <c r="G1035" s="15" t="s">
        <v>22890</v>
      </c>
      <c r="H1035" s="15" t="s">
        <v>22891</v>
      </c>
      <c r="I1035" s="15" t="s">
        <v>22892</v>
      </c>
      <c r="J1035" s="15" t="s">
        <v>22893</v>
      </c>
      <c r="K1035" s="15">
        <v>8141</v>
      </c>
      <c r="L1035" s="15" t="s">
        <v>19099</v>
      </c>
    </row>
    <row r="1036" spans="1:12" x14ac:dyDescent="0.25">
      <c r="A1036" s="2" t="s">
        <v>3756</v>
      </c>
      <c r="B1036" s="8" t="s">
        <v>16440</v>
      </c>
      <c r="C1036" s="2" t="s">
        <v>3756</v>
      </c>
      <c r="D1036" s="2" t="s">
        <v>3757</v>
      </c>
      <c r="E1036" s="4" t="s">
        <v>3757</v>
      </c>
      <c r="G1036" s="15" t="s">
        <v>3757</v>
      </c>
      <c r="H1036" s="15" t="s">
        <v>22894</v>
      </c>
      <c r="I1036" s="15" t="s">
        <v>22895</v>
      </c>
      <c r="J1036" s="15" t="s">
        <v>20386</v>
      </c>
      <c r="K1036" s="15">
        <v>31289</v>
      </c>
      <c r="L1036" s="15" t="s">
        <v>19099</v>
      </c>
    </row>
    <row r="1037" spans="1:12" x14ac:dyDescent="0.25">
      <c r="A1037" s="2" t="s">
        <v>3759</v>
      </c>
      <c r="B1037" s="8" t="s">
        <v>16441</v>
      </c>
      <c r="C1037" s="2" t="s">
        <v>3759</v>
      </c>
      <c r="D1037" s="2" t="s">
        <v>3760</v>
      </c>
      <c r="E1037" s="4" t="s">
        <v>22896</v>
      </c>
      <c r="G1037" s="15" t="s">
        <v>22896</v>
      </c>
      <c r="H1037" s="15" t="s">
        <v>22897</v>
      </c>
      <c r="I1037" s="15" t="s">
        <v>22898</v>
      </c>
      <c r="J1037" s="15" t="s">
        <v>22899</v>
      </c>
      <c r="K1037" s="15">
        <v>8158</v>
      </c>
      <c r="L1037" s="15" t="s">
        <v>19099</v>
      </c>
    </row>
    <row r="1038" spans="1:12" x14ac:dyDescent="0.25">
      <c r="A1038" s="2" t="s">
        <v>3762</v>
      </c>
      <c r="B1038" s="8" t="s">
        <v>16442</v>
      </c>
      <c r="C1038" s="2" t="s">
        <v>3762</v>
      </c>
      <c r="D1038" s="2" t="s">
        <v>3763</v>
      </c>
      <c r="E1038" s="4" t="s">
        <v>22900</v>
      </c>
    </row>
    <row r="1039" spans="1:12" x14ac:dyDescent="0.25">
      <c r="A1039" s="2" t="s">
        <v>3765</v>
      </c>
      <c r="B1039" s="8" t="s">
        <v>16180</v>
      </c>
      <c r="C1039" s="2" t="s">
        <v>3765</v>
      </c>
      <c r="D1039" s="2" t="s">
        <v>3766</v>
      </c>
      <c r="E1039" s="4" t="s">
        <v>22901</v>
      </c>
    </row>
    <row r="1040" spans="1:12" x14ac:dyDescent="0.25">
      <c r="A1040" s="2" t="s">
        <v>3767</v>
      </c>
      <c r="B1040" s="8" t="s">
        <v>16180</v>
      </c>
      <c r="C1040" s="2" t="s">
        <v>3767</v>
      </c>
      <c r="D1040" s="2" t="s">
        <v>3768</v>
      </c>
      <c r="E1040" s="4" t="s">
        <v>22902</v>
      </c>
    </row>
    <row r="1041" spans="1:12" x14ac:dyDescent="0.25">
      <c r="A1041" s="2" t="s">
        <v>3769</v>
      </c>
      <c r="B1041" s="8" t="s">
        <v>16180</v>
      </c>
      <c r="C1041" s="2" t="s">
        <v>3769</v>
      </c>
      <c r="D1041" s="2" t="s">
        <v>3770</v>
      </c>
      <c r="E1041" s="4" t="s">
        <v>22903</v>
      </c>
    </row>
    <row r="1042" spans="1:12" x14ac:dyDescent="0.25">
      <c r="A1042" s="2" t="s">
        <v>3771</v>
      </c>
      <c r="B1042" s="8" t="s">
        <v>16443</v>
      </c>
      <c r="C1042" s="2" t="s">
        <v>3771</v>
      </c>
      <c r="D1042" s="2" t="s">
        <v>3772</v>
      </c>
      <c r="E1042" s="4" t="s">
        <v>22904</v>
      </c>
      <c r="G1042" s="15" t="s">
        <v>22905</v>
      </c>
      <c r="H1042" s="15" t="s">
        <v>22906</v>
      </c>
      <c r="I1042" s="15" t="s">
        <v>22907</v>
      </c>
      <c r="J1042" s="15" t="s">
        <v>22908</v>
      </c>
      <c r="K1042" s="15">
        <v>798751</v>
      </c>
      <c r="L1042" s="15" t="s">
        <v>19099</v>
      </c>
    </row>
    <row r="1043" spans="1:12" x14ac:dyDescent="0.25">
      <c r="A1043" s="2" t="s">
        <v>3774</v>
      </c>
      <c r="B1043" s="8" t="s">
        <v>16444</v>
      </c>
      <c r="C1043" s="2" t="s">
        <v>3774</v>
      </c>
      <c r="D1043" s="2" t="s">
        <v>3775</v>
      </c>
      <c r="E1043" s="4" t="s">
        <v>22909</v>
      </c>
      <c r="G1043" s="15" t="s">
        <v>22910</v>
      </c>
      <c r="H1043" s="15" t="s">
        <v>22911</v>
      </c>
      <c r="I1043" s="15" t="s">
        <v>22912</v>
      </c>
      <c r="J1043" s="15" t="s">
        <v>22913</v>
      </c>
      <c r="K1043" s="15">
        <v>6389</v>
      </c>
      <c r="L1043" s="15" t="s">
        <v>19099</v>
      </c>
    </row>
    <row r="1044" spans="1:12" x14ac:dyDescent="0.25">
      <c r="A1044" s="2" t="s">
        <v>3777</v>
      </c>
      <c r="B1044" s="8" t="s">
        <v>16445</v>
      </c>
      <c r="C1044" s="2" t="s">
        <v>3777</v>
      </c>
      <c r="D1044" s="2" t="s">
        <v>3778</v>
      </c>
      <c r="E1044" s="4" t="s">
        <v>22914</v>
      </c>
      <c r="G1044" s="15" t="s">
        <v>22915</v>
      </c>
      <c r="H1044" s="15" t="s">
        <v>22916</v>
      </c>
      <c r="I1044" s="15" t="s">
        <v>22917</v>
      </c>
      <c r="J1044" s="15" t="s">
        <v>22918</v>
      </c>
      <c r="K1044" s="15">
        <v>6594</v>
      </c>
      <c r="L1044" s="15" t="s">
        <v>19099</v>
      </c>
    </row>
    <row r="1045" spans="1:12" x14ac:dyDescent="0.25">
      <c r="A1045" s="2" t="s">
        <v>3780</v>
      </c>
      <c r="B1045" s="8" t="s">
        <v>16446</v>
      </c>
      <c r="C1045" s="2" t="s">
        <v>3780</v>
      </c>
      <c r="D1045" s="2" t="s">
        <v>3781</v>
      </c>
      <c r="E1045" s="4" t="s">
        <v>22919</v>
      </c>
      <c r="G1045" s="15" t="s">
        <v>22920</v>
      </c>
      <c r="H1045" s="15" t="s">
        <v>22921</v>
      </c>
      <c r="I1045" s="15" t="s">
        <v>22922</v>
      </c>
      <c r="J1045" s="15" t="s">
        <v>22923</v>
      </c>
      <c r="K1045" s="15">
        <v>6427</v>
      </c>
      <c r="L1045" s="15" t="s">
        <v>19099</v>
      </c>
    </row>
    <row r="1046" spans="1:12" x14ac:dyDescent="0.25">
      <c r="A1046" s="2" t="s">
        <v>3783</v>
      </c>
      <c r="B1046" s="8" t="s">
        <v>16447</v>
      </c>
      <c r="C1046" s="2" t="s">
        <v>3783</v>
      </c>
      <c r="D1046" s="2" t="s">
        <v>3784</v>
      </c>
      <c r="E1046" s="4" t="s">
        <v>22924</v>
      </c>
      <c r="G1046" s="15" t="s">
        <v>22925</v>
      </c>
      <c r="H1046" s="15" t="s">
        <v>22926</v>
      </c>
      <c r="I1046" s="15" t="s">
        <v>22927</v>
      </c>
      <c r="J1046" s="15" t="s">
        <v>22928</v>
      </c>
      <c r="K1046" s="15">
        <v>6428</v>
      </c>
      <c r="L1046" s="15" t="s">
        <v>19099</v>
      </c>
    </row>
    <row r="1047" spans="1:12" x14ac:dyDescent="0.25">
      <c r="A1047" s="2" t="s">
        <v>3786</v>
      </c>
      <c r="B1047" s="8" t="s">
        <v>16448</v>
      </c>
      <c r="C1047" s="2" t="s">
        <v>3786</v>
      </c>
      <c r="D1047" s="2" t="s">
        <v>3787</v>
      </c>
      <c r="E1047" s="4" t="s">
        <v>22929</v>
      </c>
      <c r="G1047" s="15" t="s">
        <v>22930</v>
      </c>
      <c r="H1047" s="15" t="s">
        <v>22931</v>
      </c>
      <c r="I1047" s="15" t="s">
        <v>22932</v>
      </c>
      <c r="J1047" s="15" t="s">
        <v>22933</v>
      </c>
      <c r="K1047" s="15">
        <v>6429</v>
      </c>
      <c r="L1047" s="15" t="s">
        <v>19099</v>
      </c>
    </row>
    <row r="1048" spans="1:12" x14ac:dyDescent="0.25">
      <c r="A1048" s="2" t="s">
        <v>3789</v>
      </c>
      <c r="B1048" s="8" t="s">
        <v>16449</v>
      </c>
      <c r="C1048" s="2" t="s">
        <v>3789</v>
      </c>
      <c r="D1048" s="2" t="s">
        <v>3790</v>
      </c>
      <c r="E1048" s="4" t="s">
        <v>22934</v>
      </c>
      <c r="G1048" s="15" t="s">
        <v>22935</v>
      </c>
      <c r="H1048" s="15" t="s">
        <v>22936</v>
      </c>
      <c r="I1048" s="15" t="s">
        <v>22937</v>
      </c>
      <c r="J1048" s="15" t="s">
        <v>22938</v>
      </c>
      <c r="K1048" s="15">
        <v>6430</v>
      </c>
      <c r="L1048" s="15" t="s">
        <v>19099</v>
      </c>
    </row>
    <row r="1049" spans="1:12" x14ac:dyDescent="0.25">
      <c r="A1049" s="2" t="s">
        <v>3792</v>
      </c>
      <c r="B1049" s="8" t="s">
        <v>16450</v>
      </c>
      <c r="C1049" s="2" t="s">
        <v>3792</v>
      </c>
      <c r="D1049" s="2" t="s">
        <v>3793</v>
      </c>
      <c r="E1049" s="4" t="s">
        <v>22939</v>
      </c>
      <c r="G1049" s="15" t="s">
        <v>22940</v>
      </c>
      <c r="H1049" s="15" t="s">
        <v>22941</v>
      </c>
      <c r="I1049" s="15" t="s">
        <v>22942</v>
      </c>
      <c r="J1049" s="15" t="s">
        <v>22943</v>
      </c>
      <c r="K1049" s="15">
        <v>6391</v>
      </c>
      <c r="L1049" s="15" t="s">
        <v>19099</v>
      </c>
    </row>
    <row r="1050" spans="1:12" x14ac:dyDescent="0.25">
      <c r="A1050" s="2" t="s">
        <v>3795</v>
      </c>
      <c r="B1050" s="8" t="s">
        <v>16451</v>
      </c>
      <c r="C1050" s="2" t="s">
        <v>3795</v>
      </c>
      <c r="D1050" s="2" t="s">
        <v>3796</v>
      </c>
      <c r="E1050" s="4" t="s">
        <v>22944</v>
      </c>
      <c r="G1050" s="15" t="s">
        <v>22945</v>
      </c>
      <c r="H1050" s="15" t="s">
        <v>22946</v>
      </c>
      <c r="I1050" s="15" t="s">
        <v>22947</v>
      </c>
      <c r="J1050" s="15" t="s">
        <v>22948</v>
      </c>
      <c r="K1050" s="15">
        <v>6392</v>
      </c>
      <c r="L1050" s="15" t="s">
        <v>19099</v>
      </c>
    </row>
    <row r="1051" spans="1:12" x14ac:dyDescent="0.25">
      <c r="A1051" s="2" t="s">
        <v>3798</v>
      </c>
      <c r="B1051" s="8" t="s">
        <v>16180</v>
      </c>
      <c r="C1051" s="2" t="s">
        <v>3798</v>
      </c>
      <c r="D1051" s="2" t="s">
        <v>3799</v>
      </c>
      <c r="E1051" s="4" t="s">
        <v>22949</v>
      </c>
    </row>
    <row r="1052" spans="1:12" x14ac:dyDescent="0.25">
      <c r="A1052" s="2" t="s">
        <v>3800</v>
      </c>
      <c r="B1052" s="8" t="s">
        <v>16452</v>
      </c>
      <c r="C1052" s="2" t="s">
        <v>3800</v>
      </c>
      <c r="D1052" s="2" t="s">
        <v>3801</v>
      </c>
      <c r="E1052" s="4" t="s">
        <v>22950</v>
      </c>
      <c r="G1052" s="15" t="s">
        <v>22951</v>
      </c>
      <c r="H1052" s="15" t="s">
        <v>22952</v>
      </c>
      <c r="I1052" s="15" t="s">
        <v>22953</v>
      </c>
      <c r="J1052" s="15" t="s">
        <v>22954</v>
      </c>
      <c r="K1052" s="15">
        <v>12085802</v>
      </c>
      <c r="L1052" s="15" t="s">
        <v>19099</v>
      </c>
    </row>
    <row r="1053" spans="1:12" x14ac:dyDescent="0.25">
      <c r="A1053" s="2" t="s">
        <v>3803</v>
      </c>
      <c r="B1053" s="8" t="s">
        <v>16180</v>
      </c>
      <c r="C1053" s="2" t="s">
        <v>3803</v>
      </c>
      <c r="D1053" s="2" t="s">
        <v>3804</v>
      </c>
      <c r="E1053" s="4" t="s">
        <v>22955</v>
      </c>
    </row>
    <row r="1054" spans="1:12" x14ac:dyDescent="0.25">
      <c r="A1054" s="2" t="s">
        <v>3805</v>
      </c>
      <c r="B1054" s="8" t="s">
        <v>16453</v>
      </c>
      <c r="C1054" s="2" t="s">
        <v>3805</v>
      </c>
      <c r="D1054" s="2" t="s">
        <v>3806</v>
      </c>
      <c r="E1054" s="4" t="s">
        <v>22956</v>
      </c>
      <c r="G1054" s="15" t="s">
        <v>22957</v>
      </c>
      <c r="H1054" s="15" t="s">
        <v>22958</v>
      </c>
      <c r="I1054" s="15" t="s">
        <v>22959</v>
      </c>
      <c r="J1054" s="15" t="s">
        <v>22960</v>
      </c>
      <c r="K1054" s="15">
        <v>11593175</v>
      </c>
      <c r="L1054" s="15" t="s">
        <v>19099</v>
      </c>
    </row>
    <row r="1055" spans="1:12" x14ac:dyDescent="0.25">
      <c r="A1055" s="2" t="s">
        <v>3808</v>
      </c>
      <c r="B1055" s="8" t="s">
        <v>16454</v>
      </c>
      <c r="C1055" s="2" t="s">
        <v>3808</v>
      </c>
      <c r="D1055" s="2" t="s">
        <v>3809</v>
      </c>
      <c r="E1055" s="4" t="s">
        <v>22961</v>
      </c>
      <c r="G1055" s="15" t="s">
        <v>22962</v>
      </c>
      <c r="H1055" s="15" t="s">
        <v>22963</v>
      </c>
      <c r="I1055" s="15" t="s">
        <v>22964</v>
      </c>
      <c r="J1055" s="15" t="s">
        <v>22965</v>
      </c>
      <c r="K1055" s="15">
        <v>24748</v>
      </c>
      <c r="L1055" s="15" t="s">
        <v>19099</v>
      </c>
    </row>
    <row r="1056" spans="1:12" x14ac:dyDescent="0.25">
      <c r="A1056" s="2" t="s">
        <v>3811</v>
      </c>
      <c r="B1056" s="8" t="s">
        <v>16455</v>
      </c>
      <c r="C1056" s="2" t="s">
        <v>3811</v>
      </c>
      <c r="D1056" s="2" t="s">
        <v>3812</v>
      </c>
      <c r="E1056" s="4" t="s">
        <v>22966</v>
      </c>
      <c r="G1056" s="15" t="s">
        <v>22966</v>
      </c>
      <c r="H1056" s="15" t="s">
        <v>22967</v>
      </c>
      <c r="I1056" s="15" t="s">
        <v>22968</v>
      </c>
      <c r="J1056" s="15" t="s">
        <v>22969</v>
      </c>
      <c r="K1056" s="15">
        <v>281</v>
      </c>
      <c r="L1056" s="15" t="s">
        <v>19099</v>
      </c>
    </row>
    <row r="1057" spans="1:12" x14ac:dyDescent="0.25">
      <c r="A1057" s="2" t="s">
        <v>3814</v>
      </c>
      <c r="B1057" s="8" t="s">
        <v>16456</v>
      </c>
      <c r="C1057" s="2" t="s">
        <v>3814</v>
      </c>
      <c r="D1057" s="2" t="s">
        <v>632</v>
      </c>
      <c r="E1057" s="4" t="s">
        <v>632</v>
      </c>
      <c r="G1057" s="15" t="s">
        <v>632</v>
      </c>
      <c r="H1057" s="15" t="s">
        <v>22970</v>
      </c>
      <c r="I1057" s="15" t="s">
        <v>22971</v>
      </c>
      <c r="J1057" s="15" t="s">
        <v>22972</v>
      </c>
      <c r="K1057" s="15">
        <v>5975</v>
      </c>
      <c r="L1057" s="15" t="s">
        <v>19099</v>
      </c>
    </row>
    <row r="1058" spans="1:12" x14ac:dyDescent="0.25">
      <c r="A1058" s="2" t="s">
        <v>3816</v>
      </c>
      <c r="B1058" s="8" t="s">
        <v>16457</v>
      </c>
      <c r="C1058" s="2" t="s">
        <v>3816</v>
      </c>
      <c r="D1058" s="2" t="s">
        <v>3817</v>
      </c>
      <c r="E1058" s="4" t="s">
        <v>3817</v>
      </c>
      <c r="G1058" s="15" t="s">
        <v>22973</v>
      </c>
      <c r="H1058" s="15" t="s">
        <v>22974</v>
      </c>
      <c r="I1058" s="15" t="s">
        <v>22975</v>
      </c>
      <c r="J1058" s="15" t="s">
        <v>22976</v>
      </c>
      <c r="K1058" s="15">
        <v>30773</v>
      </c>
      <c r="L1058" s="15" t="s">
        <v>19099</v>
      </c>
    </row>
    <row r="1059" spans="1:12" x14ac:dyDescent="0.25">
      <c r="A1059" s="2" t="s">
        <v>3819</v>
      </c>
      <c r="B1059" s="8" t="s">
        <v>16180</v>
      </c>
      <c r="C1059" s="2" t="s">
        <v>3819</v>
      </c>
      <c r="D1059" s="2" t="s">
        <v>3820</v>
      </c>
      <c r="E1059" s="4" t="s">
        <v>22977</v>
      </c>
    </row>
    <row r="1060" spans="1:12" x14ac:dyDescent="0.25">
      <c r="A1060" s="2" t="s">
        <v>3821</v>
      </c>
      <c r="B1060" s="8" t="s">
        <v>16458</v>
      </c>
      <c r="C1060" s="2" t="s">
        <v>3821</v>
      </c>
      <c r="D1060" s="2" t="s">
        <v>3822</v>
      </c>
      <c r="E1060" s="4" t="s">
        <v>22978</v>
      </c>
      <c r="G1060" s="15" t="s">
        <v>22979</v>
      </c>
      <c r="H1060" s="15" t="s">
        <v>22980</v>
      </c>
      <c r="I1060" s="15" t="s">
        <v>22981</v>
      </c>
      <c r="J1060" s="15" t="s">
        <v>22982</v>
      </c>
      <c r="K1060" s="15">
        <v>7954</v>
      </c>
      <c r="L1060" s="15" t="s">
        <v>19099</v>
      </c>
    </row>
    <row r="1061" spans="1:12" x14ac:dyDescent="0.25">
      <c r="A1061" s="2" t="s">
        <v>3824</v>
      </c>
      <c r="B1061" s="8" t="s">
        <v>16459</v>
      </c>
      <c r="C1061" s="2" t="s">
        <v>3824</v>
      </c>
      <c r="D1061" s="2" t="s">
        <v>3825</v>
      </c>
      <c r="E1061" s="4" t="s">
        <v>22983</v>
      </c>
      <c r="G1061" s="15" t="s">
        <v>22984</v>
      </c>
      <c r="H1061" s="15" t="s">
        <v>22985</v>
      </c>
      <c r="I1061" s="15" t="s">
        <v>22986</v>
      </c>
      <c r="J1061" s="15" t="s">
        <v>22987</v>
      </c>
      <c r="K1061" s="15">
        <v>7956</v>
      </c>
      <c r="L1061" s="15" t="s">
        <v>19099</v>
      </c>
    </row>
    <row r="1062" spans="1:12" x14ac:dyDescent="0.25">
      <c r="A1062" s="2" t="s">
        <v>3827</v>
      </c>
      <c r="B1062" s="8" t="s">
        <v>16180</v>
      </c>
      <c r="C1062" s="2" t="s">
        <v>3827</v>
      </c>
      <c r="D1062" s="2" t="s">
        <v>3828</v>
      </c>
      <c r="E1062" s="4" t="s">
        <v>22988</v>
      </c>
      <c r="G1062" s="15" t="s">
        <v>22989</v>
      </c>
      <c r="H1062" s="15" t="s">
        <v>22990</v>
      </c>
      <c r="I1062" s="15" t="s">
        <v>22991</v>
      </c>
      <c r="J1062" s="15" t="s">
        <v>22992</v>
      </c>
      <c r="K1062" s="15">
        <v>768</v>
      </c>
      <c r="L1062" s="15" t="s">
        <v>19995</v>
      </c>
    </row>
    <row r="1063" spans="1:12" x14ac:dyDescent="0.25">
      <c r="A1063" s="2" t="s">
        <v>3829</v>
      </c>
      <c r="B1063" s="8" t="s">
        <v>16180</v>
      </c>
      <c r="C1063" s="2" t="s">
        <v>3829</v>
      </c>
      <c r="D1063" s="2" t="s">
        <v>3830</v>
      </c>
      <c r="E1063" s="4" t="s">
        <v>22993</v>
      </c>
    </row>
    <row r="1064" spans="1:12" x14ac:dyDescent="0.25">
      <c r="A1064" s="2" t="s">
        <v>3831</v>
      </c>
      <c r="B1064" s="8" t="s">
        <v>16180</v>
      </c>
      <c r="C1064" s="2" t="s">
        <v>3831</v>
      </c>
      <c r="D1064" s="2" t="s">
        <v>3832</v>
      </c>
      <c r="E1064" s="4" t="s">
        <v>22994</v>
      </c>
    </row>
    <row r="1065" spans="1:12" x14ac:dyDescent="0.25">
      <c r="A1065" s="2" t="s">
        <v>3833</v>
      </c>
      <c r="B1065" s="8" t="s">
        <v>16462</v>
      </c>
      <c r="C1065" s="2" t="s">
        <v>3833</v>
      </c>
      <c r="D1065" s="2" t="s">
        <v>3834</v>
      </c>
      <c r="E1065" s="4" t="s">
        <v>22995</v>
      </c>
      <c r="H1065" s="15" t="s">
        <v>22996</v>
      </c>
      <c r="I1065" s="15" t="s">
        <v>22997</v>
      </c>
      <c r="J1065" s="15" t="s">
        <v>3833</v>
      </c>
      <c r="K1065" s="15">
        <v>6348</v>
      </c>
      <c r="L1065" s="15" t="s">
        <v>19099</v>
      </c>
    </row>
    <row r="1066" spans="1:12" x14ac:dyDescent="0.25">
      <c r="A1066" s="2" t="s">
        <v>3836</v>
      </c>
      <c r="B1066" s="8" t="s">
        <v>16463</v>
      </c>
      <c r="C1066" s="2" t="s">
        <v>3836</v>
      </c>
      <c r="D1066" s="2" t="s">
        <v>3837</v>
      </c>
      <c r="E1066" s="4" t="s">
        <v>22998</v>
      </c>
      <c r="G1066" s="15" t="s">
        <v>22999</v>
      </c>
      <c r="H1066" s="15" t="s">
        <v>23000</v>
      </c>
      <c r="I1066" s="15" t="s">
        <v>23001</v>
      </c>
      <c r="J1066" s="15" t="s">
        <v>23002</v>
      </c>
      <c r="K1066" s="15">
        <v>5974</v>
      </c>
      <c r="L1066" s="15" t="s">
        <v>19099</v>
      </c>
    </row>
    <row r="1067" spans="1:12" x14ac:dyDescent="0.25">
      <c r="A1067" s="2" t="s">
        <v>3839</v>
      </c>
      <c r="B1067" s="8" t="s">
        <v>16180</v>
      </c>
      <c r="C1067" s="2" t="s">
        <v>3839</v>
      </c>
      <c r="D1067" s="2" t="s">
        <v>3840</v>
      </c>
      <c r="E1067" s="4" t="s">
        <v>3840</v>
      </c>
    </row>
    <row r="1068" spans="1:12" x14ac:dyDescent="0.25">
      <c r="A1068" s="2" t="s">
        <v>3841</v>
      </c>
      <c r="B1068" s="8" t="s">
        <v>16180</v>
      </c>
      <c r="C1068" s="2" t="s">
        <v>3841</v>
      </c>
      <c r="D1068" s="2" t="s">
        <v>3842</v>
      </c>
      <c r="E1068" s="4" t="s">
        <v>23003</v>
      </c>
    </row>
    <row r="1069" spans="1:12" x14ac:dyDescent="0.25">
      <c r="A1069" s="2" t="s">
        <v>3843</v>
      </c>
      <c r="B1069" s="8" t="s">
        <v>16180</v>
      </c>
      <c r="C1069" s="2" t="s">
        <v>3843</v>
      </c>
      <c r="D1069" s="2" t="s">
        <v>3844</v>
      </c>
      <c r="E1069" s="4" t="s">
        <v>23004</v>
      </c>
    </row>
    <row r="1070" spans="1:12" x14ac:dyDescent="0.25">
      <c r="A1070" s="2" t="s">
        <v>3845</v>
      </c>
      <c r="B1070" s="8" t="s">
        <v>16180</v>
      </c>
      <c r="C1070" s="2" t="s">
        <v>3845</v>
      </c>
      <c r="D1070" s="2" t="s">
        <v>3846</v>
      </c>
      <c r="E1070" s="4" t="s">
        <v>3846</v>
      </c>
    </row>
    <row r="1071" spans="1:12" x14ac:dyDescent="0.25">
      <c r="A1071" s="2" t="s">
        <v>3847</v>
      </c>
      <c r="B1071" s="8" t="s">
        <v>16180</v>
      </c>
      <c r="C1071" s="2" t="s">
        <v>3847</v>
      </c>
      <c r="D1071" s="2" t="s">
        <v>3848</v>
      </c>
      <c r="E1071" s="4" t="s">
        <v>23005</v>
      </c>
    </row>
    <row r="1072" spans="1:12" x14ac:dyDescent="0.25">
      <c r="A1072" s="2" t="s">
        <v>3849</v>
      </c>
      <c r="B1072" s="8" t="s">
        <v>16180</v>
      </c>
      <c r="C1072" s="2" t="s">
        <v>3849</v>
      </c>
      <c r="D1072" s="2" t="s">
        <v>3850</v>
      </c>
      <c r="E1072" s="4" t="s">
        <v>23006</v>
      </c>
    </row>
    <row r="1073" spans="1:12" x14ac:dyDescent="0.25">
      <c r="A1073" s="2" t="s">
        <v>3851</v>
      </c>
      <c r="B1073" s="8" t="s">
        <v>16180</v>
      </c>
      <c r="C1073" s="2" t="s">
        <v>3851</v>
      </c>
      <c r="D1073" s="2" t="s">
        <v>3852</v>
      </c>
      <c r="E1073" s="4" t="s">
        <v>23007</v>
      </c>
    </row>
    <row r="1074" spans="1:12" x14ac:dyDescent="0.25">
      <c r="A1074" s="2" t="s">
        <v>3853</v>
      </c>
      <c r="B1074" s="8" t="s">
        <v>16180</v>
      </c>
      <c r="C1074" s="2" t="s">
        <v>3853</v>
      </c>
      <c r="D1074" s="2" t="s">
        <v>3854</v>
      </c>
      <c r="E1074" s="4" t="s">
        <v>23008</v>
      </c>
    </row>
    <row r="1075" spans="1:12" x14ac:dyDescent="0.25">
      <c r="A1075" s="2" t="s">
        <v>3855</v>
      </c>
      <c r="B1075" s="8" t="s">
        <v>16465</v>
      </c>
      <c r="C1075" s="2" t="s">
        <v>3855</v>
      </c>
      <c r="D1075" s="2" t="s">
        <v>3856</v>
      </c>
      <c r="E1075" s="4" t="s">
        <v>3856</v>
      </c>
      <c r="G1075" s="15" t="s">
        <v>23009</v>
      </c>
      <c r="H1075" s="15" t="s">
        <v>23010</v>
      </c>
      <c r="I1075" s="15" t="s">
        <v>23011</v>
      </c>
      <c r="J1075" s="15" t="s">
        <v>262</v>
      </c>
      <c r="K1075" s="15">
        <v>6335803</v>
      </c>
      <c r="L1075" s="15" t="s">
        <v>19099</v>
      </c>
    </row>
    <row r="1076" spans="1:12" x14ac:dyDescent="0.25">
      <c r="A1076" s="2" t="s">
        <v>3858</v>
      </c>
      <c r="B1076" s="8" t="s">
        <v>16466</v>
      </c>
      <c r="C1076" s="2" t="s">
        <v>3858</v>
      </c>
      <c r="D1076" s="2" t="s">
        <v>3859</v>
      </c>
      <c r="E1076" s="4" t="s">
        <v>23012</v>
      </c>
      <c r="G1076" s="15" t="s">
        <v>23013</v>
      </c>
      <c r="H1076" s="15" t="s">
        <v>23014</v>
      </c>
      <c r="I1076" s="15" t="s">
        <v>23015</v>
      </c>
      <c r="J1076" s="15" t="s">
        <v>23016</v>
      </c>
      <c r="K1076" s="15">
        <v>10112</v>
      </c>
      <c r="L1076" s="15" t="s">
        <v>19099</v>
      </c>
    </row>
    <row r="1077" spans="1:12" x14ac:dyDescent="0.25">
      <c r="A1077" s="2" t="s">
        <v>3861</v>
      </c>
      <c r="B1077" s="8" t="s">
        <v>16467</v>
      </c>
      <c r="C1077" s="2" t="s">
        <v>3861</v>
      </c>
      <c r="D1077" s="2" t="s">
        <v>3862</v>
      </c>
      <c r="E1077" s="4" t="s">
        <v>23017</v>
      </c>
      <c r="G1077" s="15" t="s">
        <v>23018</v>
      </c>
      <c r="H1077" s="15" t="s">
        <v>23019</v>
      </c>
      <c r="I1077" s="15" t="s">
        <v>23020</v>
      </c>
      <c r="J1077" s="15" t="s">
        <v>3861</v>
      </c>
      <c r="K1077" s="15">
        <v>5284359</v>
      </c>
      <c r="L1077" s="15" t="s">
        <v>19099</v>
      </c>
    </row>
    <row r="1078" spans="1:12" x14ac:dyDescent="0.25">
      <c r="A1078" s="2" t="s">
        <v>3864</v>
      </c>
      <c r="B1078" s="8" t="s">
        <v>16468</v>
      </c>
      <c r="C1078" s="2" t="s">
        <v>3864</v>
      </c>
      <c r="D1078" s="2" t="s">
        <v>3865</v>
      </c>
      <c r="E1078" s="4" t="s">
        <v>23021</v>
      </c>
      <c r="G1078" s="15" t="s">
        <v>23022</v>
      </c>
      <c r="H1078" s="15" t="s">
        <v>23023</v>
      </c>
      <c r="I1078" s="15" t="s">
        <v>23024</v>
      </c>
      <c r="J1078" s="15" t="s">
        <v>3864</v>
      </c>
      <c r="K1078" s="15">
        <v>14778</v>
      </c>
      <c r="L1078" s="15" t="s">
        <v>19995</v>
      </c>
    </row>
    <row r="1079" spans="1:12" x14ac:dyDescent="0.25">
      <c r="A1079" s="2" t="s">
        <v>3867</v>
      </c>
      <c r="B1079" s="8" t="s">
        <v>16469</v>
      </c>
      <c r="C1079" s="2" t="s">
        <v>3867</v>
      </c>
      <c r="D1079" s="2" t="s">
        <v>3868</v>
      </c>
      <c r="E1079" s="4" t="s">
        <v>23025</v>
      </c>
      <c r="G1079" s="15" t="s">
        <v>23026</v>
      </c>
      <c r="H1079" s="15" t="s">
        <v>23027</v>
      </c>
      <c r="I1079" s="15" t="s">
        <v>23028</v>
      </c>
      <c r="J1079" s="15" t="s">
        <v>23029</v>
      </c>
      <c r="K1079" s="15">
        <v>6093208</v>
      </c>
      <c r="L1079" s="15" t="s">
        <v>19099</v>
      </c>
    </row>
    <row r="1080" spans="1:12" x14ac:dyDescent="0.25">
      <c r="A1080" s="2" t="s">
        <v>3870</v>
      </c>
      <c r="B1080" s="8" t="s">
        <v>16470</v>
      </c>
      <c r="C1080" s="2" t="s">
        <v>3870</v>
      </c>
      <c r="D1080" s="2" t="s">
        <v>3871</v>
      </c>
      <c r="E1080" s="4" t="s">
        <v>23030</v>
      </c>
      <c r="G1080" s="15" t="s">
        <v>23031</v>
      </c>
      <c r="H1080" s="15" t="s">
        <v>23032</v>
      </c>
      <c r="I1080" s="15" t="s">
        <v>23033</v>
      </c>
      <c r="J1080" s="15" t="s">
        <v>23034</v>
      </c>
      <c r="K1080" s="15">
        <v>24497</v>
      </c>
      <c r="L1080" s="15" t="s">
        <v>19099</v>
      </c>
    </row>
    <row r="1081" spans="1:12" x14ac:dyDescent="0.25">
      <c r="A1081" s="2" t="s">
        <v>3873</v>
      </c>
      <c r="B1081" s="8" t="s">
        <v>16471</v>
      </c>
      <c r="C1081" s="2" t="s">
        <v>3873</v>
      </c>
      <c r="D1081" s="2" t="s">
        <v>3874</v>
      </c>
      <c r="E1081" s="4" t="s">
        <v>23035</v>
      </c>
    </row>
    <row r="1082" spans="1:12" x14ac:dyDescent="0.25">
      <c r="A1082" s="2" t="s">
        <v>3876</v>
      </c>
      <c r="B1082" s="8" t="s">
        <v>16473</v>
      </c>
      <c r="C1082" s="2" t="s">
        <v>3876</v>
      </c>
      <c r="D1082" s="2" t="s">
        <v>3877</v>
      </c>
      <c r="E1082" s="4" t="s">
        <v>3877</v>
      </c>
      <c r="G1082" s="15" t="s">
        <v>23036</v>
      </c>
      <c r="H1082" s="15" t="s">
        <v>23037</v>
      </c>
      <c r="I1082" s="15" t="s">
        <v>23038</v>
      </c>
      <c r="J1082" s="15" t="s">
        <v>374</v>
      </c>
      <c r="K1082" s="15">
        <v>104782</v>
      </c>
      <c r="L1082" s="15" t="s">
        <v>19099</v>
      </c>
    </row>
    <row r="1083" spans="1:12" x14ac:dyDescent="0.25">
      <c r="A1083" s="2" t="s">
        <v>3879</v>
      </c>
      <c r="B1083" s="8" t="s">
        <v>16475</v>
      </c>
      <c r="C1083" s="2" t="s">
        <v>3879</v>
      </c>
      <c r="D1083" s="2" t="s">
        <v>3880</v>
      </c>
      <c r="E1083" s="4" t="s">
        <v>3880</v>
      </c>
      <c r="G1083" s="15" t="s">
        <v>23039</v>
      </c>
      <c r="H1083" s="15" t="s">
        <v>23040</v>
      </c>
      <c r="I1083" s="15" t="s">
        <v>23041</v>
      </c>
      <c r="J1083" s="15" t="s">
        <v>414</v>
      </c>
      <c r="K1083" s="15">
        <v>166969</v>
      </c>
      <c r="L1083" s="15" t="s">
        <v>19099</v>
      </c>
    </row>
    <row r="1084" spans="1:12" x14ac:dyDescent="0.25">
      <c r="A1084" s="2" t="s">
        <v>3882</v>
      </c>
      <c r="B1084" s="8" t="s">
        <v>16476</v>
      </c>
      <c r="C1084" s="2" t="s">
        <v>3882</v>
      </c>
      <c r="D1084" s="2" t="s">
        <v>3883</v>
      </c>
      <c r="E1084" s="4" t="s">
        <v>3883</v>
      </c>
      <c r="G1084" s="15" t="s">
        <v>23042</v>
      </c>
      <c r="H1084" s="15" t="s">
        <v>23043</v>
      </c>
      <c r="I1084" s="15" t="s">
        <v>23044</v>
      </c>
      <c r="J1084" s="15" t="s">
        <v>414</v>
      </c>
      <c r="K1084" s="15">
        <v>104814</v>
      </c>
      <c r="L1084" s="15" t="s">
        <v>19099</v>
      </c>
    </row>
    <row r="1085" spans="1:12" x14ac:dyDescent="0.25">
      <c r="A1085" s="2" t="s">
        <v>3885</v>
      </c>
      <c r="B1085" s="8" t="s">
        <v>16477</v>
      </c>
      <c r="C1085" s="2" t="s">
        <v>3885</v>
      </c>
      <c r="D1085" s="2" t="s">
        <v>3886</v>
      </c>
      <c r="E1085" s="4" t="s">
        <v>3886</v>
      </c>
      <c r="G1085" s="15" t="s">
        <v>23045</v>
      </c>
      <c r="H1085" s="15" t="s">
        <v>23046</v>
      </c>
      <c r="I1085" s="15" t="s">
        <v>23047</v>
      </c>
      <c r="J1085" s="15" t="s">
        <v>414</v>
      </c>
      <c r="K1085" s="15">
        <v>26874</v>
      </c>
      <c r="L1085" s="15" t="s">
        <v>19099</v>
      </c>
    </row>
    <row r="1086" spans="1:12" x14ac:dyDescent="0.25">
      <c r="A1086" s="2" t="s">
        <v>3888</v>
      </c>
      <c r="B1086" s="8" t="s">
        <v>16478</v>
      </c>
      <c r="C1086" s="2" t="s">
        <v>3888</v>
      </c>
      <c r="D1086" s="2" t="s">
        <v>3889</v>
      </c>
      <c r="E1086" s="4" t="s">
        <v>23048</v>
      </c>
      <c r="G1086" s="15" t="s">
        <v>23049</v>
      </c>
      <c r="H1086" s="15" t="s">
        <v>23050</v>
      </c>
      <c r="I1086" s="15" t="s">
        <v>23051</v>
      </c>
      <c r="J1086" s="15" t="s">
        <v>3888</v>
      </c>
      <c r="K1086" s="15">
        <v>73963</v>
      </c>
      <c r="L1086" s="15" t="s">
        <v>19099</v>
      </c>
    </row>
    <row r="1087" spans="1:12" x14ac:dyDescent="0.25">
      <c r="A1087" s="2" t="s">
        <v>3891</v>
      </c>
      <c r="B1087" s="8" t="s">
        <v>16480</v>
      </c>
      <c r="C1087" s="2" t="s">
        <v>3891</v>
      </c>
      <c r="D1087" s="2" t="s">
        <v>3892</v>
      </c>
      <c r="E1087" s="4" t="s">
        <v>3892</v>
      </c>
      <c r="G1087" s="15" t="s">
        <v>23052</v>
      </c>
      <c r="H1087" s="15" t="s">
        <v>23053</v>
      </c>
      <c r="I1087" s="15" t="s">
        <v>23054</v>
      </c>
      <c r="J1087" s="15" t="s">
        <v>574</v>
      </c>
      <c r="K1087" s="15">
        <v>105176</v>
      </c>
      <c r="L1087" s="15" t="s">
        <v>19099</v>
      </c>
    </row>
    <row r="1088" spans="1:12" x14ac:dyDescent="0.25">
      <c r="A1088" s="2" t="s">
        <v>3894</v>
      </c>
      <c r="B1088" s="8" t="s">
        <v>16481</v>
      </c>
      <c r="C1088" s="2" t="s">
        <v>3894</v>
      </c>
      <c r="D1088" s="2" t="s">
        <v>3895</v>
      </c>
      <c r="E1088" s="4" t="s">
        <v>3895</v>
      </c>
      <c r="G1088" s="15" t="s">
        <v>576</v>
      </c>
      <c r="H1088" s="15" t="s">
        <v>23055</v>
      </c>
      <c r="I1088" s="15" t="s">
        <v>23056</v>
      </c>
      <c r="J1088" s="15" t="s">
        <v>574</v>
      </c>
      <c r="K1088" s="15">
        <v>23997</v>
      </c>
      <c r="L1088" s="15" t="s">
        <v>19099</v>
      </c>
    </row>
    <row r="1089" spans="1:12" x14ac:dyDescent="0.25">
      <c r="A1089" s="2" t="s">
        <v>3897</v>
      </c>
      <c r="B1089" s="8" t="s">
        <v>16482</v>
      </c>
      <c r="C1089" s="2" t="s">
        <v>3897</v>
      </c>
      <c r="D1089" s="2" t="s">
        <v>3898</v>
      </c>
      <c r="E1089" s="4" t="s">
        <v>23057</v>
      </c>
      <c r="G1089" s="15" t="s">
        <v>23057</v>
      </c>
      <c r="H1089" s="15" t="s">
        <v>23058</v>
      </c>
      <c r="I1089" s="15" t="s">
        <v>23059</v>
      </c>
      <c r="J1089" s="15" t="s">
        <v>22085</v>
      </c>
      <c r="K1089" s="15">
        <v>9171</v>
      </c>
      <c r="L1089" s="15" t="s">
        <v>19099</v>
      </c>
    </row>
    <row r="1090" spans="1:12" x14ac:dyDescent="0.25">
      <c r="A1090" s="2" t="s">
        <v>3900</v>
      </c>
      <c r="B1090" s="8" t="s">
        <v>16180</v>
      </c>
      <c r="C1090" s="2" t="s">
        <v>3900</v>
      </c>
      <c r="D1090" s="2" t="s">
        <v>3901</v>
      </c>
      <c r="E1090" s="4" t="s">
        <v>23060</v>
      </c>
    </row>
    <row r="1091" spans="1:12" x14ac:dyDescent="0.25">
      <c r="A1091" s="2" t="s">
        <v>3902</v>
      </c>
      <c r="B1091" s="8" t="s">
        <v>16484</v>
      </c>
      <c r="C1091" s="2" t="s">
        <v>3902</v>
      </c>
      <c r="D1091" s="2" t="s">
        <v>3903</v>
      </c>
      <c r="E1091" s="4" t="s">
        <v>23061</v>
      </c>
      <c r="G1091" s="15" t="s">
        <v>23062</v>
      </c>
      <c r="H1091" s="15" t="s">
        <v>23063</v>
      </c>
      <c r="I1091" s="15" t="s">
        <v>23064</v>
      </c>
      <c r="J1091" s="15" t="s">
        <v>3902</v>
      </c>
      <c r="K1091" s="15">
        <v>24526</v>
      </c>
      <c r="L1091" s="15" t="s">
        <v>19099</v>
      </c>
    </row>
    <row r="1092" spans="1:12" x14ac:dyDescent="0.25">
      <c r="A1092" s="2" t="s">
        <v>3905</v>
      </c>
      <c r="B1092" s="8" t="s">
        <v>16485</v>
      </c>
      <c r="C1092" s="2" t="s">
        <v>3905</v>
      </c>
      <c r="D1092" s="2" t="s">
        <v>3906</v>
      </c>
      <c r="E1092" s="4" t="s">
        <v>23065</v>
      </c>
      <c r="G1092" s="15" t="s">
        <v>23066</v>
      </c>
      <c r="H1092" s="15" t="s">
        <v>23067</v>
      </c>
      <c r="I1092" s="15" t="s">
        <v>23068</v>
      </c>
      <c r="J1092" s="15" t="s">
        <v>23069</v>
      </c>
      <c r="K1092" s="15">
        <v>3641960</v>
      </c>
      <c r="L1092" s="15" t="s">
        <v>19099</v>
      </c>
    </row>
    <row r="1093" spans="1:12" x14ac:dyDescent="0.25">
      <c r="A1093" s="2" t="s">
        <v>3908</v>
      </c>
      <c r="B1093" s="8" t="s">
        <v>16486</v>
      </c>
      <c r="C1093" s="2" t="s">
        <v>3908</v>
      </c>
      <c r="D1093" s="2" t="s">
        <v>3909</v>
      </c>
      <c r="E1093" s="4" t="s">
        <v>23070</v>
      </c>
      <c r="G1093" s="15" t="s">
        <v>23070</v>
      </c>
      <c r="H1093" s="15" t="s">
        <v>23071</v>
      </c>
      <c r="I1093" s="15" t="s">
        <v>23072</v>
      </c>
      <c r="J1093" s="15" t="s">
        <v>23073</v>
      </c>
      <c r="K1093" s="15">
        <v>7964</v>
      </c>
      <c r="L1093" s="15" t="s">
        <v>19099</v>
      </c>
    </row>
    <row r="1094" spans="1:12" x14ac:dyDescent="0.25">
      <c r="A1094" s="2" t="s">
        <v>3911</v>
      </c>
      <c r="B1094" s="8" t="s">
        <v>16487</v>
      </c>
      <c r="C1094" s="2" t="s">
        <v>3911</v>
      </c>
      <c r="D1094" s="2" t="s">
        <v>3912</v>
      </c>
      <c r="E1094" s="4" t="s">
        <v>23074</v>
      </c>
      <c r="G1094" s="15" t="s">
        <v>23074</v>
      </c>
      <c r="H1094" s="15" t="s">
        <v>23075</v>
      </c>
      <c r="I1094" s="15" t="s">
        <v>23076</v>
      </c>
      <c r="J1094" s="15" t="s">
        <v>23077</v>
      </c>
      <c r="K1094" s="15">
        <v>6327</v>
      </c>
      <c r="L1094" s="15" t="s">
        <v>19099</v>
      </c>
    </row>
    <row r="1095" spans="1:12" x14ac:dyDescent="0.25">
      <c r="A1095" s="2" t="s">
        <v>3914</v>
      </c>
      <c r="B1095" s="8" t="s">
        <v>16488</v>
      </c>
      <c r="C1095" s="2" t="s">
        <v>3914</v>
      </c>
      <c r="D1095" s="2" t="s">
        <v>3915</v>
      </c>
      <c r="E1095" s="4" t="s">
        <v>23078</v>
      </c>
      <c r="G1095" s="15" t="s">
        <v>23078</v>
      </c>
      <c r="H1095" s="15" t="s">
        <v>23079</v>
      </c>
      <c r="I1095" s="15" t="s">
        <v>23080</v>
      </c>
      <c r="J1095" s="15" t="s">
        <v>23081</v>
      </c>
      <c r="K1095" s="15">
        <v>6337</v>
      </c>
      <c r="L1095" s="15" t="s">
        <v>19099</v>
      </c>
    </row>
    <row r="1096" spans="1:12" x14ac:dyDescent="0.25">
      <c r="A1096" s="2" t="s">
        <v>3917</v>
      </c>
      <c r="B1096" s="8" t="s">
        <v>16490</v>
      </c>
      <c r="C1096" s="2" t="s">
        <v>3917</v>
      </c>
      <c r="D1096" s="2" t="s">
        <v>3918</v>
      </c>
      <c r="E1096" s="4" t="s">
        <v>23082</v>
      </c>
      <c r="G1096" s="15" t="s">
        <v>23083</v>
      </c>
      <c r="H1096" s="15" t="s">
        <v>23084</v>
      </c>
      <c r="I1096" s="15" t="s">
        <v>23085</v>
      </c>
      <c r="J1096" s="15" t="s">
        <v>23086</v>
      </c>
      <c r="K1096" s="15">
        <v>22094</v>
      </c>
      <c r="L1096" s="15" t="s">
        <v>19099</v>
      </c>
    </row>
    <row r="1097" spans="1:12" x14ac:dyDescent="0.25">
      <c r="A1097" s="2" t="s">
        <v>3920</v>
      </c>
      <c r="B1097" s="8" t="s">
        <v>16491</v>
      </c>
      <c r="C1097" s="2" t="s">
        <v>3920</v>
      </c>
      <c r="D1097" s="2" t="s">
        <v>3921</v>
      </c>
      <c r="E1097" s="4" t="s">
        <v>23087</v>
      </c>
      <c r="G1097" s="15" t="s">
        <v>23088</v>
      </c>
      <c r="H1097" s="15" t="s">
        <v>23089</v>
      </c>
      <c r="I1097" s="15" t="s">
        <v>23090</v>
      </c>
      <c r="J1097" s="15" t="s">
        <v>20815</v>
      </c>
      <c r="K1097" s="15">
        <v>7864</v>
      </c>
      <c r="L1097" s="15" t="s">
        <v>19099</v>
      </c>
    </row>
    <row r="1098" spans="1:12" x14ac:dyDescent="0.25">
      <c r="A1098" s="2" t="s">
        <v>3923</v>
      </c>
      <c r="B1098" s="8" t="s">
        <v>16492</v>
      </c>
      <c r="C1098" s="2" t="s">
        <v>3923</v>
      </c>
      <c r="D1098" s="2" t="s">
        <v>3924</v>
      </c>
      <c r="E1098" s="4" t="s">
        <v>23091</v>
      </c>
      <c r="H1098" s="15" t="s">
        <v>23092</v>
      </c>
      <c r="I1098" s="15" t="s">
        <v>23093</v>
      </c>
      <c r="J1098" s="15" t="s">
        <v>3935</v>
      </c>
      <c r="K1098" s="15">
        <v>24870</v>
      </c>
      <c r="L1098" s="15" t="s">
        <v>19099</v>
      </c>
    </row>
    <row r="1099" spans="1:12" x14ac:dyDescent="0.25">
      <c r="A1099" s="2" t="s">
        <v>3926</v>
      </c>
      <c r="B1099" s="8" t="s">
        <v>16493</v>
      </c>
      <c r="C1099" s="2" t="s">
        <v>3926</v>
      </c>
      <c r="D1099" s="2" t="s">
        <v>3927</v>
      </c>
      <c r="E1099" s="4" t="s">
        <v>23094</v>
      </c>
      <c r="G1099" s="15" t="s">
        <v>23095</v>
      </c>
      <c r="H1099" s="15" t="s">
        <v>23096</v>
      </c>
      <c r="I1099" s="15" t="s">
        <v>23097</v>
      </c>
      <c r="J1099" s="15" t="s">
        <v>23098</v>
      </c>
      <c r="K1099" s="15">
        <v>9708</v>
      </c>
      <c r="L1099" s="15" t="s">
        <v>19099</v>
      </c>
    </row>
    <row r="1100" spans="1:12" x14ac:dyDescent="0.25">
      <c r="A1100" s="2" t="s">
        <v>3929</v>
      </c>
      <c r="B1100" s="8" t="s">
        <v>16494</v>
      </c>
      <c r="C1100" s="2" t="s">
        <v>3929</v>
      </c>
      <c r="D1100" s="2" t="s">
        <v>3930</v>
      </c>
      <c r="E1100" s="4" t="s">
        <v>23099</v>
      </c>
      <c r="G1100" s="15" t="s">
        <v>23100</v>
      </c>
      <c r="H1100" s="15" t="s">
        <v>23101</v>
      </c>
      <c r="I1100" s="15" t="s">
        <v>23102</v>
      </c>
      <c r="J1100" s="15" t="s">
        <v>22451</v>
      </c>
      <c r="K1100" s="15">
        <v>300</v>
      </c>
      <c r="L1100" s="15" t="s">
        <v>19099</v>
      </c>
    </row>
    <row r="1101" spans="1:12" x14ac:dyDescent="0.25">
      <c r="A1101" s="2" t="s">
        <v>3932</v>
      </c>
      <c r="B1101" s="8" t="s">
        <v>16495</v>
      </c>
      <c r="C1101" s="2" t="s">
        <v>3932</v>
      </c>
      <c r="D1101" s="2" t="s">
        <v>3933</v>
      </c>
      <c r="E1101" s="4" t="s">
        <v>23103</v>
      </c>
      <c r="G1101" s="15" t="s">
        <v>19792</v>
      </c>
      <c r="H1101" s="15" t="s">
        <v>19793</v>
      </c>
      <c r="I1101" s="15" t="s">
        <v>19794</v>
      </c>
      <c r="J1101" s="15" t="s">
        <v>19795</v>
      </c>
      <c r="K1101" s="15">
        <v>6945</v>
      </c>
      <c r="L1101" s="15" t="s">
        <v>19099</v>
      </c>
    </row>
    <row r="1102" spans="1:12" x14ac:dyDescent="0.25">
      <c r="A1102" s="2" t="s">
        <v>3935</v>
      </c>
      <c r="B1102" s="8" t="s">
        <v>16496</v>
      </c>
      <c r="C1102" s="2" t="s">
        <v>3935</v>
      </c>
      <c r="D1102" s="2" t="s">
        <v>3936</v>
      </c>
      <c r="E1102" s="4" t="s">
        <v>23104</v>
      </c>
      <c r="G1102" s="15" t="s">
        <v>23104</v>
      </c>
      <c r="H1102" s="15" t="s">
        <v>23105</v>
      </c>
      <c r="I1102" s="15" t="s">
        <v>23106</v>
      </c>
      <c r="J1102" s="15" t="s">
        <v>23107</v>
      </c>
      <c r="K1102" s="15">
        <v>197148</v>
      </c>
      <c r="L1102" s="15" t="s">
        <v>19099</v>
      </c>
    </row>
    <row r="1103" spans="1:12" x14ac:dyDescent="0.25">
      <c r="A1103" s="2" t="s">
        <v>3938</v>
      </c>
      <c r="B1103" s="8" t="s">
        <v>16497</v>
      </c>
      <c r="C1103" s="2" t="s">
        <v>3938</v>
      </c>
      <c r="D1103" s="2" t="s">
        <v>3939</v>
      </c>
      <c r="E1103" s="4" t="s">
        <v>23108</v>
      </c>
      <c r="G1103" s="15" t="s">
        <v>23108</v>
      </c>
      <c r="H1103" s="15" t="s">
        <v>23109</v>
      </c>
      <c r="I1103" s="15" t="s">
        <v>23110</v>
      </c>
      <c r="J1103" s="15" t="s">
        <v>23111</v>
      </c>
      <c r="K1103" s="15">
        <v>104770</v>
      </c>
      <c r="L1103" s="15" t="s">
        <v>19099</v>
      </c>
    </row>
    <row r="1104" spans="1:12" x14ac:dyDescent="0.25">
      <c r="A1104" s="2" t="s">
        <v>3941</v>
      </c>
      <c r="B1104" s="8" t="s">
        <v>16498</v>
      </c>
      <c r="C1104" s="2" t="s">
        <v>3941</v>
      </c>
      <c r="D1104" s="2" t="s">
        <v>3942</v>
      </c>
      <c r="E1104" s="4" t="s">
        <v>23112</v>
      </c>
      <c r="G1104" s="15" t="s">
        <v>23113</v>
      </c>
      <c r="H1104" s="15" t="s">
        <v>23114</v>
      </c>
      <c r="I1104" s="15" t="s">
        <v>23115</v>
      </c>
      <c r="J1104" s="15" t="s">
        <v>20084</v>
      </c>
      <c r="K1104" s="15">
        <v>74685</v>
      </c>
      <c r="L1104" s="15" t="s">
        <v>19099</v>
      </c>
    </row>
    <row r="1105" spans="1:12" x14ac:dyDescent="0.25">
      <c r="A1105" s="2" t="s">
        <v>3944</v>
      </c>
      <c r="B1105" s="8" t="s">
        <v>16499</v>
      </c>
      <c r="C1105" s="2" t="s">
        <v>3944</v>
      </c>
      <c r="D1105" s="2" t="s">
        <v>3945</v>
      </c>
      <c r="E1105" s="4" t="s">
        <v>23116</v>
      </c>
      <c r="G1105" s="15" t="s">
        <v>23117</v>
      </c>
      <c r="H1105" s="15" t="s">
        <v>23118</v>
      </c>
      <c r="I1105" s="15" t="s">
        <v>23119</v>
      </c>
      <c r="J1105" s="15" t="s">
        <v>23120</v>
      </c>
      <c r="K1105" s="15">
        <v>54682468</v>
      </c>
      <c r="L1105" s="15" t="s">
        <v>19099</v>
      </c>
    </row>
    <row r="1106" spans="1:12" x14ac:dyDescent="0.25">
      <c r="A1106" s="2" t="s">
        <v>3947</v>
      </c>
      <c r="B1106" s="8" t="s">
        <v>16500</v>
      </c>
      <c r="C1106" s="2" t="s">
        <v>3947</v>
      </c>
      <c r="D1106" s="2" t="s">
        <v>3948</v>
      </c>
      <c r="E1106" s="4" t="s">
        <v>23121</v>
      </c>
      <c r="G1106" s="15" t="s">
        <v>23122</v>
      </c>
      <c r="H1106" s="15" t="s">
        <v>23123</v>
      </c>
      <c r="I1106" s="15" t="s">
        <v>23124</v>
      </c>
      <c r="J1106" s="15" t="s">
        <v>23125</v>
      </c>
      <c r="K1106" s="15">
        <v>54675777</v>
      </c>
      <c r="L1106" s="15" t="s">
        <v>19099</v>
      </c>
    </row>
    <row r="1107" spans="1:12" x14ac:dyDescent="0.25">
      <c r="A1107" s="2" t="s">
        <v>3950</v>
      </c>
      <c r="B1107" s="8" t="s">
        <v>16501</v>
      </c>
      <c r="C1107" s="2" t="s">
        <v>3950</v>
      </c>
      <c r="D1107" s="2" t="s">
        <v>3951</v>
      </c>
      <c r="E1107" s="4" t="s">
        <v>23126</v>
      </c>
      <c r="G1107" s="15" t="s">
        <v>23127</v>
      </c>
      <c r="H1107" s="15" t="s">
        <v>23128</v>
      </c>
      <c r="I1107" s="15" t="s">
        <v>23129</v>
      </c>
      <c r="J1107" s="15" t="s">
        <v>23130</v>
      </c>
      <c r="K1107" s="15">
        <v>15462</v>
      </c>
      <c r="L1107" s="15" t="s">
        <v>19099</v>
      </c>
    </row>
    <row r="1108" spans="1:12" x14ac:dyDescent="0.25">
      <c r="A1108" s="2" t="s">
        <v>3953</v>
      </c>
      <c r="B1108" s="8" t="s">
        <v>16502</v>
      </c>
      <c r="C1108" s="2" t="s">
        <v>3953</v>
      </c>
      <c r="D1108" s="2" t="s">
        <v>3954</v>
      </c>
      <c r="E1108" s="4" t="s">
        <v>23131</v>
      </c>
      <c r="H1108" s="15" t="s">
        <v>23132</v>
      </c>
      <c r="I1108" s="15" t="s">
        <v>23133</v>
      </c>
      <c r="J1108" s="15" t="s">
        <v>3938</v>
      </c>
      <c r="K1108" s="15">
        <v>139646</v>
      </c>
      <c r="L1108" s="15" t="s">
        <v>19099</v>
      </c>
    </row>
    <row r="1109" spans="1:12" x14ac:dyDescent="0.25">
      <c r="A1109" s="2" t="s">
        <v>3956</v>
      </c>
      <c r="B1109" s="8" t="s">
        <v>16503</v>
      </c>
      <c r="C1109" s="2" t="s">
        <v>3956</v>
      </c>
      <c r="D1109" s="2" t="s">
        <v>3957</v>
      </c>
      <c r="E1109" s="4" t="s">
        <v>23134</v>
      </c>
      <c r="G1109" s="15" t="s">
        <v>23135</v>
      </c>
      <c r="H1109" s="15" t="s">
        <v>23136</v>
      </c>
      <c r="I1109" s="15" t="s">
        <v>23137</v>
      </c>
      <c r="J1109" s="15" t="s">
        <v>23138</v>
      </c>
      <c r="K1109" s="15">
        <v>33</v>
      </c>
      <c r="L1109" s="15" t="s">
        <v>19099</v>
      </c>
    </row>
    <row r="1110" spans="1:12" x14ac:dyDescent="0.25">
      <c r="A1110" s="2" t="s">
        <v>3959</v>
      </c>
      <c r="B1110" s="8" t="s">
        <v>16504</v>
      </c>
      <c r="C1110" s="2" t="s">
        <v>3959</v>
      </c>
      <c r="D1110" s="2" t="s">
        <v>3960</v>
      </c>
      <c r="E1110" s="4" t="s">
        <v>23139</v>
      </c>
      <c r="G1110" s="15" t="s">
        <v>23140</v>
      </c>
      <c r="H1110" s="15" t="s">
        <v>23141</v>
      </c>
      <c r="I1110" s="15" t="s">
        <v>23142</v>
      </c>
      <c r="J1110" s="15" t="s">
        <v>20759</v>
      </c>
      <c r="K1110" s="15">
        <v>6571</v>
      </c>
      <c r="L1110" s="15" t="s">
        <v>19099</v>
      </c>
    </row>
    <row r="1111" spans="1:12" x14ac:dyDescent="0.25">
      <c r="A1111" s="2" t="s">
        <v>3962</v>
      </c>
      <c r="B1111" s="8" t="s">
        <v>16505</v>
      </c>
      <c r="C1111" s="2" t="s">
        <v>3962</v>
      </c>
      <c r="D1111" s="2" t="s">
        <v>3963</v>
      </c>
      <c r="E1111" s="4" t="s">
        <v>23143</v>
      </c>
      <c r="G1111" s="15" t="s">
        <v>23144</v>
      </c>
      <c r="H1111" s="15" t="s">
        <v>23145</v>
      </c>
      <c r="I1111" s="15" t="s">
        <v>23146</v>
      </c>
      <c r="J1111" s="15" t="s">
        <v>23147</v>
      </c>
      <c r="K1111" s="15">
        <v>5959</v>
      </c>
      <c r="L1111" s="15" t="s">
        <v>19099</v>
      </c>
    </row>
    <row r="1112" spans="1:12" x14ac:dyDescent="0.25">
      <c r="A1112" s="2" t="s">
        <v>3965</v>
      </c>
      <c r="B1112" s="8" t="s">
        <v>16506</v>
      </c>
      <c r="C1112" s="2" t="s">
        <v>3965</v>
      </c>
      <c r="D1112" s="2" t="s">
        <v>3966</v>
      </c>
      <c r="E1112" s="4" t="s">
        <v>23148</v>
      </c>
      <c r="G1112" s="15" t="s">
        <v>23149</v>
      </c>
      <c r="H1112" s="15" t="s">
        <v>23150</v>
      </c>
      <c r="I1112" s="15" t="s">
        <v>23151</v>
      </c>
      <c r="J1112" s="15" t="s">
        <v>23152</v>
      </c>
      <c r="K1112" s="15">
        <v>2707</v>
      </c>
      <c r="L1112" s="15" t="s">
        <v>19099</v>
      </c>
    </row>
    <row r="1113" spans="1:12" x14ac:dyDescent="0.25">
      <c r="A1113" s="2" t="s">
        <v>3968</v>
      </c>
      <c r="B1113" s="8" t="s">
        <v>16507</v>
      </c>
      <c r="C1113" s="2" t="s">
        <v>3968</v>
      </c>
      <c r="D1113" s="2" t="s">
        <v>3969</v>
      </c>
      <c r="E1113" s="4" t="s">
        <v>23153</v>
      </c>
      <c r="G1113" s="15" t="s">
        <v>23154</v>
      </c>
      <c r="H1113" s="15" t="s">
        <v>23155</v>
      </c>
      <c r="I1113" s="15" t="s">
        <v>23156</v>
      </c>
      <c r="J1113" s="15" t="s">
        <v>23157</v>
      </c>
      <c r="K1113" s="15">
        <v>16073</v>
      </c>
      <c r="L1113" s="15" t="s">
        <v>19099</v>
      </c>
    </row>
    <row r="1114" spans="1:12" x14ac:dyDescent="0.25">
      <c r="A1114" s="2" t="s">
        <v>3971</v>
      </c>
      <c r="B1114" s="8" t="s">
        <v>16508</v>
      </c>
      <c r="C1114" s="2" t="s">
        <v>3971</v>
      </c>
      <c r="D1114" s="2" t="s">
        <v>3972</v>
      </c>
      <c r="E1114" s="4" t="s">
        <v>23158</v>
      </c>
      <c r="G1114" s="15" t="s">
        <v>23159</v>
      </c>
      <c r="H1114" s="15" t="s">
        <v>23160</v>
      </c>
      <c r="I1114" s="15" t="s">
        <v>23161</v>
      </c>
      <c r="J1114" s="15" t="s">
        <v>23162</v>
      </c>
      <c r="K1114" s="15">
        <v>25912</v>
      </c>
      <c r="L1114" s="15" t="s">
        <v>19099</v>
      </c>
    </row>
    <row r="1115" spans="1:12" x14ac:dyDescent="0.25">
      <c r="A1115" s="2" t="s">
        <v>3974</v>
      </c>
      <c r="B1115" s="8" t="s">
        <v>16509</v>
      </c>
      <c r="C1115" s="2" t="s">
        <v>3974</v>
      </c>
      <c r="D1115" s="2" t="s">
        <v>3975</v>
      </c>
      <c r="E1115" s="4" t="s">
        <v>23163</v>
      </c>
      <c r="G1115" s="15" t="s">
        <v>23164</v>
      </c>
      <c r="H1115" s="15" t="s">
        <v>23165</v>
      </c>
      <c r="I1115" s="15" t="s">
        <v>23166</v>
      </c>
      <c r="J1115" s="15" t="s">
        <v>23167</v>
      </c>
      <c r="K1115" s="15">
        <v>7639</v>
      </c>
      <c r="L1115" s="15" t="s">
        <v>19099</v>
      </c>
    </row>
    <row r="1116" spans="1:12" x14ac:dyDescent="0.25">
      <c r="A1116" s="2" t="s">
        <v>3977</v>
      </c>
      <c r="B1116" s="8" t="s">
        <v>16510</v>
      </c>
      <c r="C1116" s="2" t="s">
        <v>3977</v>
      </c>
      <c r="D1116" s="2" t="s">
        <v>3978</v>
      </c>
      <c r="E1116" s="4" t="s">
        <v>23168</v>
      </c>
      <c r="G1116" s="15" t="s">
        <v>23168</v>
      </c>
      <c r="H1116" s="15" t="s">
        <v>23169</v>
      </c>
      <c r="I1116" s="15" t="s">
        <v>23170</v>
      </c>
      <c r="J1116" s="15" t="s">
        <v>23171</v>
      </c>
      <c r="K1116" s="15">
        <v>10952</v>
      </c>
      <c r="L1116" s="15" t="s">
        <v>19099</v>
      </c>
    </row>
    <row r="1117" spans="1:12" x14ac:dyDescent="0.25">
      <c r="A1117" s="2" t="s">
        <v>3980</v>
      </c>
      <c r="B1117" s="8" t="s">
        <v>16511</v>
      </c>
      <c r="C1117" s="2" t="s">
        <v>3980</v>
      </c>
      <c r="D1117" s="2" t="s">
        <v>3981</v>
      </c>
      <c r="E1117" s="4" t="s">
        <v>23172</v>
      </c>
      <c r="G1117" s="15" t="s">
        <v>23173</v>
      </c>
      <c r="H1117" s="15" t="s">
        <v>23174</v>
      </c>
      <c r="I1117" s="15" t="s">
        <v>23175</v>
      </c>
      <c r="J1117" s="15" t="s">
        <v>23176</v>
      </c>
      <c r="K1117" s="15">
        <v>5993</v>
      </c>
      <c r="L1117" s="15" t="s">
        <v>19099</v>
      </c>
    </row>
    <row r="1118" spans="1:12" x14ac:dyDescent="0.25">
      <c r="A1118" s="2" t="s">
        <v>3983</v>
      </c>
      <c r="B1118" s="8" t="s">
        <v>16512</v>
      </c>
      <c r="C1118" s="2" t="s">
        <v>3983</v>
      </c>
      <c r="D1118" s="2" t="s">
        <v>3984</v>
      </c>
      <c r="E1118" s="4" t="s">
        <v>23177</v>
      </c>
      <c r="G1118" s="15" t="s">
        <v>23178</v>
      </c>
      <c r="H1118" s="15" t="s">
        <v>23179</v>
      </c>
      <c r="I1118" s="15" t="s">
        <v>23180</v>
      </c>
      <c r="J1118" s="15" t="s">
        <v>23181</v>
      </c>
      <c r="K1118" s="15">
        <v>91778</v>
      </c>
      <c r="L1118" s="15" t="s">
        <v>19099</v>
      </c>
    </row>
    <row r="1119" spans="1:12" x14ac:dyDescent="0.25">
      <c r="A1119" s="2" t="s">
        <v>3986</v>
      </c>
      <c r="B1119" s="8" t="s">
        <v>16513</v>
      </c>
      <c r="C1119" s="2" t="s">
        <v>3986</v>
      </c>
      <c r="D1119" s="2" t="s">
        <v>3987</v>
      </c>
      <c r="E1119" s="4" t="s">
        <v>23182</v>
      </c>
      <c r="G1119" s="15" t="s">
        <v>23183</v>
      </c>
      <c r="H1119" s="15" t="s">
        <v>23184</v>
      </c>
      <c r="I1119" s="15" t="s">
        <v>23185</v>
      </c>
      <c r="J1119" s="15" t="s">
        <v>23186</v>
      </c>
      <c r="K1119" s="15">
        <v>91708</v>
      </c>
      <c r="L1119" s="15" t="s">
        <v>19099</v>
      </c>
    </row>
    <row r="1120" spans="1:12" x14ac:dyDescent="0.25">
      <c r="A1120" s="2" t="s">
        <v>3989</v>
      </c>
      <c r="B1120" s="8" t="s">
        <v>16514</v>
      </c>
      <c r="C1120" s="2" t="s">
        <v>3989</v>
      </c>
      <c r="D1120" s="2" t="s">
        <v>3990</v>
      </c>
      <c r="E1120" s="4" t="s">
        <v>23187</v>
      </c>
      <c r="G1120" s="15" t="s">
        <v>23188</v>
      </c>
      <c r="H1120" s="15" t="s">
        <v>23189</v>
      </c>
      <c r="I1120" s="15" t="s">
        <v>23190</v>
      </c>
      <c r="J1120" s="15" t="s">
        <v>23191</v>
      </c>
      <c r="K1120" s="15">
        <v>8425</v>
      </c>
      <c r="L1120" s="15" t="s">
        <v>19099</v>
      </c>
    </row>
    <row r="1121" spans="1:12" x14ac:dyDescent="0.25">
      <c r="A1121" s="2" t="s">
        <v>3992</v>
      </c>
      <c r="B1121" s="8" t="s">
        <v>16515</v>
      </c>
      <c r="C1121" s="2" t="s">
        <v>3992</v>
      </c>
      <c r="D1121" s="2" t="s">
        <v>3993</v>
      </c>
      <c r="E1121" s="4" t="s">
        <v>23192</v>
      </c>
      <c r="G1121" s="15" t="s">
        <v>23193</v>
      </c>
      <c r="H1121" s="15" t="s">
        <v>23194</v>
      </c>
      <c r="I1121" s="15" t="s">
        <v>23195</v>
      </c>
      <c r="J1121" s="15" t="s">
        <v>23196</v>
      </c>
      <c r="K1121" s="15">
        <v>6635</v>
      </c>
      <c r="L1121" s="15" t="s">
        <v>19099</v>
      </c>
    </row>
    <row r="1122" spans="1:12" x14ac:dyDescent="0.25">
      <c r="A1122" s="2" t="s">
        <v>3995</v>
      </c>
      <c r="B1122" s="8" t="s">
        <v>16516</v>
      </c>
      <c r="C1122" s="2" t="s">
        <v>3995</v>
      </c>
      <c r="D1122" s="2" t="s">
        <v>3996</v>
      </c>
      <c r="E1122" s="4" t="s">
        <v>23197</v>
      </c>
      <c r="G1122" s="15" t="s">
        <v>23198</v>
      </c>
      <c r="H1122" s="15" t="s">
        <v>23199</v>
      </c>
      <c r="I1122" s="15" t="s">
        <v>23200</v>
      </c>
      <c r="J1122" s="15" t="s">
        <v>23201</v>
      </c>
      <c r="K1122" s="15">
        <v>10107</v>
      </c>
      <c r="L1122" s="15" t="s">
        <v>19099</v>
      </c>
    </row>
    <row r="1123" spans="1:12" x14ac:dyDescent="0.25">
      <c r="A1123" s="2" t="s">
        <v>3998</v>
      </c>
      <c r="B1123" s="8" t="s">
        <v>16517</v>
      </c>
      <c r="C1123" s="2" t="s">
        <v>3998</v>
      </c>
      <c r="D1123" s="2" t="s">
        <v>3999</v>
      </c>
      <c r="E1123" s="4" t="s">
        <v>3999</v>
      </c>
      <c r="G1123" s="15" t="s">
        <v>23202</v>
      </c>
      <c r="H1123" s="15" t="s">
        <v>23203</v>
      </c>
      <c r="I1123" s="15" t="s">
        <v>23204</v>
      </c>
      <c r="J1123" s="15" t="s">
        <v>23205</v>
      </c>
      <c r="K1123" s="15">
        <v>15546</v>
      </c>
      <c r="L1123" s="15" t="s">
        <v>19099</v>
      </c>
    </row>
    <row r="1124" spans="1:12" x14ac:dyDescent="0.25">
      <c r="A1124" s="2" t="s">
        <v>4001</v>
      </c>
      <c r="B1124" s="8" t="s">
        <v>16518</v>
      </c>
      <c r="C1124" s="2" t="s">
        <v>4001</v>
      </c>
      <c r="D1124" s="2" t="s">
        <v>4002</v>
      </c>
      <c r="E1124" s="4" t="s">
        <v>23206</v>
      </c>
      <c r="G1124" s="15" t="s">
        <v>23207</v>
      </c>
      <c r="H1124" s="15" t="s">
        <v>23208</v>
      </c>
      <c r="I1124" s="15" t="s">
        <v>23209</v>
      </c>
      <c r="J1124" s="15" t="s">
        <v>23210</v>
      </c>
      <c r="K1124" s="15">
        <v>32739</v>
      </c>
      <c r="L1124" s="15" t="s">
        <v>19099</v>
      </c>
    </row>
    <row r="1125" spans="1:12" x14ac:dyDescent="0.25">
      <c r="A1125" s="2" t="s">
        <v>4004</v>
      </c>
      <c r="B1125" s="8" t="s">
        <v>16519</v>
      </c>
      <c r="C1125" s="2" t="s">
        <v>4004</v>
      </c>
      <c r="D1125" s="2" t="s">
        <v>4005</v>
      </c>
      <c r="E1125" s="4" t="s">
        <v>23211</v>
      </c>
      <c r="G1125" s="15" t="s">
        <v>23212</v>
      </c>
      <c r="H1125" s="15" t="s">
        <v>23213</v>
      </c>
      <c r="I1125" s="15" t="s">
        <v>23214</v>
      </c>
      <c r="J1125" s="15" t="s">
        <v>23215</v>
      </c>
      <c r="K1125" s="15">
        <v>13836</v>
      </c>
      <c r="L1125" s="15" t="s">
        <v>19099</v>
      </c>
    </row>
    <row r="1126" spans="1:12" x14ac:dyDescent="0.25">
      <c r="A1126" s="2" t="s">
        <v>4007</v>
      </c>
      <c r="B1126" s="8" t="s">
        <v>16520</v>
      </c>
      <c r="C1126" s="2" t="s">
        <v>4007</v>
      </c>
      <c r="D1126" s="2" t="s">
        <v>4008</v>
      </c>
      <c r="E1126" s="4" t="s">
        <v>23216</v>
      </c>
      <c r="G1126" s="15" t="s">
        <v>23217</v>
      </c>
      <c r="H1126" s="15" t="s">
        <v>23218</v>
      </c>
      <c r="I1126" s="15" t="s">
        <v>23219</v>
      </c>
      <c r="J1126" s="15" t="s">
        <v>23220</v>
      </c>
      <c r="K1126" s="15">
        <v>16115</v>
      </c>
      <c r="L1126" s="15" t="s">
        <v>19099</v>
      </c>
    </row>
    <row r="1127" spans="1:12" x14ac:dyDescent="0.25">
      <c r="A1127" s="2" t="s">
        <v>4010</v>
      </c>
      <c r="B1127" s="8" t="s">
        <v>16521</v>
      </c>
      <c r="C1127" s="2" t="s">
        <v>4010</v>
      </c>
      <c r="D1127" s="2" t="s">
        <v>4011</v>
      </c>
      <c r="E1127" s="4" t="s">
        <v>23221</v>
      </c>
      <c r="G1127" s="15" t="s">
        <v>23222</v>
      </c>
      <c r="H1127" s="15" t="s">
        <v>23223</v>
      </c>
      <c r="I1127" s="15" t="s">
        <v>23224</v>
      </c>
      <c r="J1127" s="15" t="s">
        <v>23225</v>
      </c>
      <c r="K1127" s="15">
        <v>6423</v>
      </c>
      <c r="L1127" s="15" t="s">
        <v>19099</v>
      </c>
    </row>
    <row r="1128" spans="1:12" x14ac:dyDescent="0.25">
      <c r="A1128" s="2" t="s">
        <v>4013</v>
      </c>
      <c r="B1128" s="8" t="s">
        <v>16522</v>
      </c>
      <c r="C1128" s="2" t="s">
        <v>4013</v>
      </c>
      <c r="D1128" s="2" t="s">
        <v>4014</v>
      </c>
      <c r="E1128" s="4" t="s">
        <v>23226</v>
      </c>
      <c r="G1128" s="15" t="s">
        <v>23227</v>
      </c>
      <c r="H1128" s="15" t="s">
        <v>23228</v>
      </c>
      <c r="I1128" s="15" t="s">
        <v>23229</v>
      </c>
      <c r="J1128" s="15" t="s">
        <v>23230</v>
      </c>
      <c r="K1128" s="15">
        <v>2728</v>
      </c>
      <c r="L1128" s="15" t="s">
        <v>19099</v>
      </c>
    </row>
    <row r="1129" spans="1:12" x14ac:dyDescent="0.25">
      <c r="A1129" s="2" t="s">
        <v>4016</v>
      </c>
      <c r="B1129" s="8" t="s">
        <v>16523</v>
      </c>
      <c r="C1129" s="2" t="s">
        <v>4016</v>
      </c>
      <c r="D1129" s="2" t="s">
        <v>4017</v>
      </c>
      <c r="E1129" s="4" t="s">
        <v>23231</v>
      </c>
      <c r="G1129" s="15" t="s">
        <v>23232</v>
      </c>
      <c r="H1129" s="15" t="s">
        <v>23233</v>
      </c>
      <c r="I1129" s="15" t="s">
        <v>23234</v>
      </c>
      <c r="J1129" s="15" t="s">
        <v>23235</v>
      </c>
      <c r="K1129" s="15">
        <v>2726</v>
      </c>
      <c r="L1129" s="15" t="s">
        <v>19099</v>
      </c>
    </row>
    <row r="1130" spans="1:12" x14ac:dyDescent="0.25">
      <c r="A1130" s="2" t="s">
        <v>4019</v>
      </c>
      <c r="B1130" s="8" t="s">
        <v>16524</v>
      </c>
      <c r="C1130" s="2" t="s">
        <v>4019</v>
      </c>
      <c r="D1130" s="2" t="s">
        <v>4020</v>
      </c>
      <c r="E1130" s="4" t="s">
        <v>23236</v>
      </c>
      <c r="G1130" s="15" t="s">
        <v>23237</v>
      </c>
      <c r="H1130" s="15" t="s">
        <v>23238</v>
      </c>
      <c r="I1130" s="15" t="s">
        <v>23239</v>
      </c>
      <c r="J1130" s="15" t="s">
        <v>23240</v>
      </c>
      <c r="K1130" s="15">
        <v>31369</v>
      </c>
      <c r="L1130" s="15" t="s">
        <v>19099</v>
      </c>
    </row>
    <row r="1131" spans="1:12" x14ac:dyDescent="0.25">
      <c r="A1131" s="2" t="s">
        <v>4022</v>
      </c>
      <c r="B1131" s="8" t="s">
        <v>16525</v>
      </c>
      <c r="C1131" s="2" t="s">
        <v>4022</v>
      </c>
      <c r="D1131" s="2" t="s">
        <v>4023</v>
      </c>
      <c r="E1131" s="4" t="s">
        <v>23241</v>
      </c>
      <c r="G1131" s="15" t="s">
        <v>23242</v>
      </c>
      <c r="H1131" s="15" t="s">
        <v>23243</v>
      </c>
      <c r="I1131" s="15" t="s">
        <v>23244</v>
      </c>
      <c r="J1131" s="15" t="s">
        <v>23245</v>
      </c>
      <c r="K1131" s="15">
        <v>667467</v>
      </c>
      <c r="L1131" s="15" t="s">
        <v>19099</v>
      </c>
    </row>
    <row r="1132" spans="1:12" x14ac:dyDescent="0.25">
      <c r="A1132" s="2" t="s">
        <v>4025</v>
      </c>
      <c r="B1132" s="8" t="s">
        <v>16526</v>
      </c>
      <c r="C1132" s="2" t="s">
        <v>4025</v>
      </c>
      <c r="D1132" s="2" t="s">
        <v>4026</v>
      </c>
      <c r="E1132" s="4" t="s">
        <v>23246</v>
      </c>
      <c r="G1132" s="15" t="s">
        <v>23247</v>
      </c>
      <c r="H1132" s="15" t="s">
        <v>23248</v>
      </c>
      <c r="I1132" s="15" t="s">
        <v>23249</v>
      </c>
      <c r="J1132" s="15" t="s">
        <v>23250</v>
      </c>
      <c r="K1132" s="15">
        <v>64927</v>
      </c>
      <c r="L1132" s="15" t="s">
        <v>19099</v>
      </c>
    </row>
    <row r="1133" spans="1:12" x14ac:dyDescent="0.25">
      <c r="A1133" s="2" t="s">
        <v>4028</v>
      </c>
      <c r="B1133" s="8" t="s">
        <v>16527</v>
      </c>
      <c r="C1133" s="2" t="s">
        <v>4028</v>
      </c>
      <c r="D1133" s="2" t="s">
        <v>4029</v>
      </c>
      <c r="E1133" s="4" t="s">
        <v>23251</v>
      </c>
      <c r="G1133" s="15" t="s">
        <v>23252</v>
      </c>
      <c r="H1133" s="15" t="s">
        <v>23253</v>
      </c>
      <c r="I1133" s="15" t="s">
        <v>23254</v>
      </c>
      <c r="J1133" s="15" t="s">
        <v>23255</v>
      </c>
      <c r="K1133" s="15">
        <v>47491</v>
      </c>
      <c r="L1133" s="15" t="s">
        <v>19099</v>
      </c>
    </row>
    <row r="1134" spans="1:12" x14ac:dyDescent="0.25">
      <c r="A1134" s="2" t="s">
        <v>4031</v>
      </c>
      <c r="B1134" s="8" t="s">
        <v>16528</v>
      </c>
      <c r="C1134" s="2" t="s">
        <v>4031</v>
      </c>
      <c r="D1134" s="2" t="s">
        <v>4032</v>
      </c>
      <c r="E1134" s="4" t="s">
        <v>23256</v>
      </c>
      <c r="G1134" s="15" t="s">
        <v>23257</v>
      </c>
      <c r="H1134" s="15" t="s">
        <v>23258</v>
      </c>
      <c r="I1134" s="15" t="s">
        <v>23259</v>
      </c>
      <c r="J1134" s="15" t="s">
        <v>23260</v>
      </c>
      <c r="K1134" s="15">
        <v>2734819</v>
      </c>
      <c r="L1134" s="15" t="s">
        <v>19099</v>
      </c>
    </row>
    <row r="1135" spans="1:12" x14ac:dyDescent="0.25">
      <c r="A1135" s="2" t="s">
        <v>4034</v>
      </c>
      <c r="B1135" s="8" t="s">
        <v>16529</v>
      </c>
      <c r="C1135" s="2" t="s">
        <v>4034</v>
      </c>
      <c r="D1135" s="2" t="s">
        <v>4035</v>
      </c>
      <c r="E1135" s="4" t="s">
        <v>23261</v>
      </c>
      <c r="G1135" s="15" t="s">
        <v>23262</v>
      </c>
      <c r="H1135" s="15" t="s">
        <v>23263</v>
      </c>
      <c r="I1135" s="15" t="s">
        <v>23264</v>
      </c>
      <c r="J1135" s="15" t="s">
        <v>23265</v>
      </c>
      <c r="K1135" s="15">
        <v>15910</v>
      </c>
      <c r="L1135" s="15" t="s">
        <v>19099</v>
      </c>
    </row>
    <row r="1136" spans="1:12" x14ac:dyDescent="0.25">
      <c r="A1136" s="2" t="s">
        <v>4037</v>
      </c>
      <c r="B1136" s="8" t="s">
        <v>16530</v>
      </c>
      <c r="C1136" s="2" t="s">
        <v>4037</v>
      </c>
      <c r="D1136" s="2" t="s">
        <v>4038</v>
      </c>
      <c r="E1136" s="4" t="s">
        <v>23266</v>
      </c>
      <c r="G1136" s="15" t="s">
        <v>23267</v>
      </c>
      <c r="H1136" s="15" t="s">
        <v>23268</v>
      </c>
      <c r="I1136" s="15" t="s">
        <v>23269</v>
      </c>
      <c r="J1136" s="15" t="s">
        <v>23270</v>
      </c>
      <c r="K1136" s="15">
        <v>27375</v>
      </c>
      <c r="L1136" s="15" t="s">
        <v>19099</v>
      </c>
    </row>
    <row r="1137" spans="1:12" x14ac:dyDescent="0.25">
      <c r="A1137" s="2" t="s">
        <v>4040</v>
      </c>
      <c r="B1137" s="8" t="s">
        <v>16531</v>
      </c>
      <c r="C1137" s="2" t="s">
        <v>4040</v>
      </c>
      <c r="D1137" s="2" t="s">
        <v>4041</v>
      </c>
      <c r="E1137" s="4" t="s">
        <v>23271</v>
      </c>
      <c r="G1137" s="15" t="s">
        <v>23272</v>
      </c>
      <c r="H1137" s="15" t="s">
        <v>23273</v>
      </c>
      <c r="I1137" s="15" t="s">
        <v>23274</v>
      </c>
      <c r="J1137" s="15" t="s">
        <v>23275</v>
      </c>
      <c r="K1137" s="15">
        <v>30859</v>
      </c>
      <c r="L1137" s="15" t="s">
        <v>19099</v>
      </c>
    </row>
    <row r="1138" spans="1:12" x14ac:dyDescent="0.25">
      <c r="A1138" s="2" t="s">
        <v>4043</v>
      </c>
      <c r="B1138" s="8" t="s">
        <v>16532</v>
      </c>
      <c r="C1138" s="2" t="s">
        <v>4043</v>
      </c>
      <c r="D1138" s="2" t="s">
        <v>4044</v>
      </c>
      <c r="E1138" s="4" t="s">
        <v>23276</v>
      </c>
      <c r="G1138" s="15" t="s">
        <v>23277</v>
      </c>
      <c r="H1138" s="15" t="s">
        <v>23278</v>
      </c>
      <c r="I1138" s="15" t="s">
        <v>23279</v>
      </c>
      <c r="J1138" s="15" t="s">
        <v>23275</v>
      </c>
      <c r="K1138" s="15">
        <v>566468</v>
      </c>
      <c r="L1138" s="15" t="s">
        <v>19099</v>
      </c>
    </row>
    <row r="1139" spans="1:12" x14ac:dyDescent="0.25">
      <c r="A1139" s="2" t="s">
        <v>4046</v>
      </c>
      <c r="B1139" s="8" t="s">
        <v>16534</v>
      </c>
      <c r="C1139" s="2" t="s">
        <v>4046</v>
      </c>
      <c r="D1139" s="2" t="s">
        <v>4047</v>
      </c>
      <c r="E1139" s="4" t="s">
        <v>4047</v>
      </c>
      <c r="G1139" s="15" t="s">
        <v>23280</v>
      </c>
      <c r="H1139" s="15" t="s">
        <v>23281</v>
      </c>
      <c r="I1139" s="15" t="s">
        <v>23282</v>
      </c>
      <c r="J1139" s="15" t="s">
        <v>566</v>
      </c>
      <c r="K1139" s="15">
        <v>105155</v>
      </c>
      <c r="L1139" s="15" t="s">
        <v>19099</v>
      </c>
    </row>
    <row r="1140" spans="1:12" x14ac:dyDescent="0.25">
      <c r="A1140" s="2" t="s">
        <v>4049</v>
      </c>
      <c r="B1140" s="8" t="s">
        <v>16535</v>
      </c>
      <c r="C1140" s="2" t="s">
        <v>4049</v>
      </c>
      <c r="D1140" s="2" t="s">
        <v>4050</v>
      </c>
      <c r="E1140" s="4" t="s">
        <v>4050</v>
      </c>
      <c r="G1140" s="15" t="s">
        <v>23283</v>
      </c>
      <c r="H1140" s="15" t="s">
        <v>23284</v>
      </c>
      <c r="I1140" s="15" t="s">
        <v>23285</v>
      </c>
      <c r="J1140" s="15" t="s">
        <v>566</v>
      </c>
      <c r="K1140" s="15">
        <v>167319</v>
      </c>
      <c r="L1140" s="15" t="s">
        <v>19099</v>
      </c>
    </row>
    <row r="1141" spans="1:12" x14ac:dyDescent="0.25">
      <c r="A1141" s="2" t="s">
        <v>4052</v>
      </c>
      <c r="B1141" s="8" t="s">
        <v>16536</v>
      </c>
      <c r="C1141" s="2" t="s">
        <v>4052</v>
      </c>
      <c r="D1141" s="2" t="s">
        <v>4053</v>
      </c>
      <c r="E1141" s="4" t="s">
        <v>4053</v>
      </c>
      <c r="G1141" s="15" t="s">
        <v>23286</v>
      </c>
      <c r="H1141" s="15" t="s">
        <v>23287</v>
      </c>
      <c r="I1141" s="15" t="s">
        <v>23288</v>
      </c>
      <c r="J1141" s="15" t="s">
        <v>566</v>
      </c>
      <c r="K1141" s="15">
        <v>167403</v>
      </c>
      <c r="L1141" s="15" t="s">
        <v>19099</v>
      </c>
    </row>
    <row r="1142" spans="1:12" x14ac:dyDescent="0.25">
      <c r="A1142" s="2" t="s">
        <v>4055</v>
      </c>
      <c r="B1142" s="8" t="s">
        <v>16539</v>
      </c>
      <c r="C1142" s="2" t="s">
        <v>4055</v>
      </c>
      <c r="D1142" s="2" t="s">
        <v>4056</v>
      </c>
      <c r="E1142" s="4" t="s">
        <v>23289</v>
      </c>
      <c r="G1142" s="15" t="s">
        <v>23290</v>
      </c>
      <c r="H1142" s="15" t="s">
        <v>23291</v>
      </c>
      <c r="I1142" s="15" t="s">
        <v>23292</v>
      </c>
      <c r="J1142" s="15" t="s">
        <v>290</v>
      </c>
      <c r="K1142" s="15">
        <v>166998</v>
      </c>
      <c r="L1142" s="15" t="s">
        <v>19099</v>
      </c>
    </row>
    <row r="1143" spans="1:12" x14ac:dyDescent="0.25">
      <c r="A1143" s="2" t="s">
        <v>4058</v>
      </c>
      <c r="B1143" s="8" t="s">
        <v>16540</v>
      </c>
      <c r="C1143" s="2" t="s">
        <v>4058</v>
      </c>
      <c r="D1143" s="2" t="s">
        <v>4059</v>
      </c>
      <c r="E1143" s="4" t="s">
        <v>23293</v>
      </c>
      <c r="G1143" s="15" t="s">
        <v>23294</v>
      </c>
      <c r="H1143" s="15" t="s">
        <v>23295</v>
      </c>
      <c r="I1143" s="15" t="s">
        <v>23296</v>
      </c>
      <c r="J1143" s="15" t="s">
        <v>290</v>
      </c>
      <c r="K1143" s="15">
        <v>104851</v>
      </c>
      <c r="L1143" s="15" t="s">
        <v>19099</v>
      </c>
    </row>
    <row r="1144" spans="1:12" x14ac:dyDescent="0.25">
      <c r="A1144" s="2" t="s">
        <v>4061</v>
      </c>
      <c r="B1144" s="8" t="s">
        <v>16541</v>
      </c>
      <c r="C1144" s="2" t="s">
        <v>4061</v>
      </c>
      <c r="D1144" s="2" t="s">
        <v>4062</v>
      </c>
      <c r="E1144" s="4" t="s">
        <v>23297</v>
      </c>
      <c r="G1144" s="15" t="s">
        <v>23298</v>
      </c>
      <c r="H1144" s="15" t="s">
        <v>23299</v>
      </c>
      <c r="I1144" s="15" t="s">
        <v>23300</v>
      </c>
      <c r="J1144" s="15" t="s">
        <v>290</v>
      </c>
      <c r="K1144" s="15">
        <v>104844</v>
      </c>
      <c r="L1144" s="15" t="s">
        <v>19099</v>
      </c>
    </row>
    <row r="1145" spans="1:12" x14ac:dyDescent="0.25">
      <c r="A1145" s="2" t="s">
        <v>4064</v>
      </c>
      <c r="B1145" s="8" t="s">
        <v>16542</v>
      </c>
      <c r="C1145" s="2" t="s">
        <v>4064</v>
      </c>
      <c r="D1145" s="2" t="s">
        <v>4065</v>
      </c>
      <c r="E1145" s="4" t="s">
        <v>23301</v>
      </c>
      <c r="G1145" s="15" t="s">
        <v>23302</v>
      </c>
      <c r="H1145" s="15" t="s">
        <v>23303</v>
      </c>
      <c r="I1145" s="15" t="s">
        <v>23304</v>
      </c>
      <c r="J1145" s="15" t="s">
        <v>290</v>
      </c>
      <c r="K1145" s="15">
        <v>61492</v>
      </c>
      <c r="L1145" s="15" t="s">
        <v>19099</v>
      </c>
    </row>
    <row r="1146" spans="1:12" x14ac:dyDescent="0.25">
      <c r="A1146" s="2" t="s">
        <v>4067</v>
      </c>
      <c r="B1146" s="8" t="s">
        <v>16544</v>
      </c>
      <c r="C1146" s="2" t="s">
        <v>4067</v>
      </c>
      <c r="D1146" s="2" t="s">
        <v>4068</v>
      </c>
      <c r="E1146" s="4" t="s">
        <v>23305</v>
      </c>
      <c r="G1146" s="15" t="s">
        <v>23306</v>
      </c>
      <c r="H1146" s="15" t="s">
        <v>23307</v>
      </c>
      <c r="I1146" s="15" t="s">
        <v>23308</v>
      </c>
      <c r="J1146" s="15" t="s">
        <v>278</v>
      </c>
      <c r="K1146" s="15">
        <v>104786</v>
      </c>
      <c r="L1146" s="15" t="s">
        <v>19099</v>
      </c>
    </row>
    <row r="1147" spans="1:12" x14ac:dyDescent="0.25">
      <c r="A1147" s="2" t="s">
        <v>4070</v>
      </c>
      <c r="B1147" s="8" t="s">
        <v>16545</v>
      </c>
      <c r="C1147" s="2" t="s">
        <v>4070</v>
      </c>
      <c r="D1147" s="2" t="s">
        <v>4071</v>
      </c>
      <c r="E1147" s="4" t="s">
        <v>23309</v>
      </c>
      <c r="G1147" s="15" t="s">
        <v>23310</v>
      </c>
      <c r="H1147" s="15" t="s">
        <v>23311</v>
      </c>
      <c r="I1147" s="15" t="s">
        <v>23312</v>
      </c>
      <c r="J1147" s="15" t="s">
        <v>23313</v>
      </c>
      <c r="K1147" s="15">
        <v>27668</v>
      </c>
      <c r="L1147" s="15" t="s">
        <v>19099</v>
      </c>
    </row>
    <row r="1148" spans="1:12" x14ac:dyDescent="0.25">
      <c r="A1148" s="2" t="s">
        <v>4073</v>
      </c>
      <c r="B1148" s="8" t="s">
        <v>16546</v>
      </c>
      <c r="C1148" s="2" t="s">
        <v>4073</v>
      </c>
      <c r="D1148" s="2" t="s">
        <v>4074</v>
      </c>
      <c r="E1148" s="4" t="s">
        <v>23314</v>
      </c>
      <c r="G1148" s="15" t="s">
        <v>23315</v>
      </c>
      <c r="H1148" s="15" t="s">
        <v>23316</v>
      </c>
      <c r="I1148" s="15" t="s">
        <v>23317</v>
      </c>
      <c r="J1148" s="15" t="s">
        <v>23318</v>
      </c>
      <c r="K1148" s="15">
        <v>29131</v>
      </c>
      <c r="L1148" s="15" t="s">
        <v>19099</v>
      </c>
    </row>
    <row r="1149" spans="1:12" x14ac:dyDescent="0.25">
      <c r="A1149" s="2" t="s">
        <v>4076</v>
      </c>
      <c r="B1149" s="8" t="s">
        <v>16548</v>
      </c>
      <c r="C1149" s="2" t="s">
        <v>4076</v>
      </c>
      <c r="D1149" s="2" t="s">
        <v>4077</v>
      </c>
      <c r="E1149" s="4" t="s">
        <v>4077</v>
      </c>
      <c r="G1149" s="15" t="s">
        <v>23319</v>
      </c>
      <c r="H1149" s="15" t="s">
        <v>23320</v>
      </c>
      <c r="I1149" s="15" t="s">
        <v>23321</v>
      </c>
      <c r="J1149" s="15" t="s">
        <v>402</v>
      </c>
      <c r="K1149" s="15">
        <v>6337088</v>
      </c>
      <c r="L1149" s="15" t="s">
        <v>19099</v>
      </c>
    </row>
    <row r="1150" spans="1:12" x14ac:dyDescent="0.25">
      <c r="A1150" s="2" t="s">
        <v>4079</v>
      </c>
      <c r="B1150" s="8" t="s">
        <v>16549</v>
      </c>
      <c r="C1150" s="2" t="s">
        <v>4079</v>
      </c>
      <c r="D1150" s="2" t="s">
        <v>4080</v>
      </c>
      <c r="E1150" s="4" t="s">
        <v>4080</v>
      </c>
      <c r="G1150" s="15" t="s">
        <v>13171</v>
      </c>
      <c r="H1150" s="15" t="s">
        <v>23322</v>
      </c>
      <c r="I1150" s="15" t="s">
        <v>23323</v>
      </c>
      <c r="J1150" s="15" t="s">
        <v>402</v>
      </c>
      <c r="K1150" s="15">
        <v>6335485</v>
      </c>
      <c r="L1150" s="15" t="s">
        <v>19099</v>
      </c>
    </row>
    <row r="1151" spans="1:12" x14ac:dyDescent="0.25">
      <c r="A1151" s="2" t="s">
        <v>4082</v>
      </c>
      <c r="B1151" s="8" t="s">
        <v>16550</v>
      </c>
      <c r="C1151" s="2" t="s">
        <v>4082</v>
      </c>
      <c r="D1151" s="2" t="s">
        <v>4083</v>
      </c>
      <c r="E1151" s="4" t="s">
        <v>4083</v>
      </c>
      <c r="G1151" s="15" t="s">
        <v>23324</v>
      </c>
      <c r="H1151" s="15" t="s">
        <v>23325</v>
      </c>
      <c r="I1151" s="15" t="s">
        <v>23326</v>
      </c>
      <c r="J1151" s="15" t="s">
        <v>402</v>
      </c>
      <c r="K1151" s="15">
        <v>6335316</v>
      </c>
      <c r="L1151" s="15" t="s">
        <v>19099</v>
      </c>
    </row>
    <row r="1152" spans="1:12" x14ac:dyDescent="0.25">
      <c r="A1152" s="2" t="s">
        <v>4085</v>
      </c>
      <c r="B1152" s="8" t="s">
        <v>16551</v>
      </c>
      <c r="C1152" s="2" t="s">
        <v>4085</v>
      </c>
      <c r="D1152" s="2" t="s">
        <v>4086</v>
      </c>
      <c r="E1152" s="4" t="s">
        <v>4086</v>
      </c>
      <c r="G1152" s="15" t="s">
        <v>13172</v>
      </c>
      <c r="H1152" s="15" t="s">
        <v>23327</v>
      </c>
      <c r="I1152" s="15" t="s">
        <v>23328</v>
      </c>
      <c r="J1152" s="15" t="s">
        <v>402</v>
      </c>
      <c r="K1152" s="15">
        <v>5486527</v>
      </c>
      <c r="L1152" s="15" t="s">
        <v>19099</v>
      </c>
    </row>
    <row r="1153" spans="1:12" x14ac:dyDescent="0.25">
      <c r="A1153" s="2" t="s">
        <v>4088</v>
      </c>
      <c r="B1153" s="8" t="s">
        <v>16553</v>
      </c>
      <c r="C1153" s="2" t="s">
        <v>4088</v>
      </c>
      <c r="D1153" s="2" t="s">
        <v>4089</v>
      </c>
      <c r="E1153" s="4" t="s">
        <v>23329</v>
      </c>
      <c r="G1153" s="15" t="s">
        <v>23330</v>
      </c>
      <c r="H1153" s="15" t="s">
        <v>23331</v>
      </c>
      <c r="I1153" s="15" t="s">
        <v>23332</v>
      </c>
      <c r="J1153" s="15" t="s">
        <v>4088</v>
      </c>
      <c r="K1153" s="15">
        <v>14829</v>
      </c>
      <c r="L1153" s="15" t="s">
        <v>19995</v>
      </c>
    </row>
    <row r="1154" spans="1:12" x14ac:dyDescent="0.25">
      <c r="A1154" s="2" t="s">
        <v>4091</v>
      </c>
      <c r="B1154" s="8" t="s">
        <v>16554</v>
      </c>
      <c r="C1154" s="2" t="s">
        <v>4091</v>
      </c>
      <c r="D1154" s="2" t="s">
        <v>4092</v>
      </c>
      <c r="E1154" s="4" t="s">
        <v>23333</v>
      </c>
      <c r="G1154" s="15" t="s">
        <v>23334</v>
      </c>
      <c r="H1154" s="15" t="s">
        <v>23335</v>
      </c>
      <c r="I1154" s="15" t="s">
        <v>23336</v>
      </c>
      <c r="J1154" s="15" t="s">
        <v>23337</v>
      </c>
      <c r="K1154" s="15">
        <v>24462</v>
      </c>
      <c r="L1154" s="15" t="s">
        <v>19099</v>
      </c>
    </row>
    <row r="1155" spans="1:12" x14ac:dyDescent="0.25">
      <c r="A1155" s="2" t="s">
        <v>4094</v>
      </c>
      <c r="B1155" s="8" t="s">
        <v>16555</v>
      </c>
      <c r="C1155" s="2" t="s">
        <v>4094</v>
      </c>
      <c r="D1155" s="2" t="s">
        <v>4095</v>
      </c>
      <c r="E1155" s="4" t="s">
        <v>23338</v>
      </c>
      <c r="G1155" s="15" t="s">
        <v>23338</v>
      </c>
      <c r="H1155" s="15" t="s">
        <v>23339</v>
      </c>
      <c r="I1155" s="15" t="s">
        <v>23340</v>
      </c>
      <c r="J1155" s="15" t="s">
        <v>23341</v>
      </c>
      <c r="K1155" s="15">
        <v>540</v>
      </c>
      <c r="L1155" s="15" t="s">
        <v>19099</v>
      </c>
    </row>
    <row r="1156" spans="1:12" x14ac:dyDescent="0.25">
      <c r="A1156" s="2" t="s">
        <v>4097</v>
      </c>
      <c r="B1156" s="8" t="s">
        <v>16180</v>
      </c>
      <c r="C1156" s="2" t="s">
        <v>4097</v>
      </c>
      <c r="D1156" s="2" t="s">
        <v>4098</v>
      </c>
      <c r="E1156" s="4" t="s">
        <v>23342</v>
      </c>
    </row>
    <row r="1157" spans="1:12" x14ac:dyDescent="0.25">
      <c r="A1157" s="2" t="s">
        <v>4099</v>
      </c>
      <c r="B1157" s="8" t="s">
        <v>16556</v>
      </c>
      <c r="C1157" s="2" t="s">
        <v>4099</v>
      </c>
      <c r="D1157" s="2" t="s">
        <v>4100</v>
      </c>
      <c r="E1157" s="4" t="s">
        <v>23343</v>
      </c>
      <c r="G1157" s="15" t="s">
        <v>23344</v>
      </c>
      <c r="H1157" s="15" t="s">
        <v>23345</v>
      </c>
      <c r="I1157" s="15" t="s">
        <v>23346</v>
      </c>
      <c r="J1157" s="15" t="s">
        <v>23347</v>
      </c>
      <c r="K1157" s="15">
        <v>24602</v>
      </c>
      <c r="L1157" s="15" t="s">
        <v>19099</v>
      </c>
    </row>
    <row r="1158" spans="1:12" x14ac:dyDescent="0.25">
      <c r="A1158" s="2" t="s">
        <v>4102</v>
      </c>
      <c r="B1158" s="8" t="s">
        <v>16557</v>
      </c>
      <c r="C1158" s="2" t="s">
        <v>4102</v>
      </c>
      <c r="D1158" s="2" t="s">
        <v>4103</v>
      </c>
      <c r="E1158" s="4" t="s">
        <v>23348</v>
      </c>
      <c r="G1158" s="15" t="s">
        <v>23349</v>
      </c>
      <c r="H1158" s="15" t="s">
        <v>23350</v>
      </c>
      <c r="I1158" s="15" t="s">
        <v>23351</v>
      </c>
      <c r="J1158" s="15" t="s">
        <v>23352</v>
      </c>
      <c r="K1158" s="15">
        <v>9126</v>
      </c>
      <c r="L1158" s="15" t="s">
        <v>19099</v>
      </c>
    </row>
    <row r="1159" spans="1:12" x14ac:dyDescent="0.25">
      <c r="A1159" s="2" t="s">
        <v>4105</v>
      </c>
      <c r="B1159" s="8" t="s">
        <v>16558</v>
      </c>
      <c r="C1159" s="2" t="s">
        <v>4105</v>
      </c>
      <c r="D1159" s="2" t="s">
        <v>4106</v>
      </c>
      <c r="E1159" s="4" t="s">
        <v>23353</v>
      </c>
      <c r="G1159" s="15" t="s">
        <v>23354</v>
      </c>
      <c r="H1159" s="15" t="s">
        <v>23355</v>
      </c>
      <c r="I1159" s="15" t="s">
        <v>23356</v>
      </c>
      <c r="J1159" s="15" t="s">
        <v>23357</v>
      </c>
      <c r="K1159" s="15">
        <v>5889</v>
      </c>
      <c r="L1159" s="15" t="s">
        <v>19099</v>
      </c>
    </row>
    <row r="1160" spans="1:12" x14ac:dyDescent="0.25">
      <c r="A1160" s="2" t="s">
        <v>4108</v>
      </c>
      <c r="B1160" s="8" t="s">
        <v>16559</v>
      </c>
      <c r="C1160" s="2" t="s">
        <v>4108</v>
      </c>
      <c r="D1160" s="2" t="s">
        <v>4109</v>
      </c>
      <c r="E1160" s="4" t="s">
        <v>23358</v>
      </c>
      <c r="G1160" s="15" t="s">
        <v>23359</v>
      </c>
      <c r="H1160" s="15" t="s">
        <v>23360</v>
      </c>
      <c r="I1160" s="15" t="s">
        <v>23361</v>
      </c>
      <c r="J1160" s="15" t="s">
        <v>23352</v>
      </c>
      <c r="K1160" s="15">
        <v>9108</v>
      </c>
      <c r="L1160" s="15" t="s">
        <v>19099</v>
      </c>
    </row>
    <row r="1161" spans="1:12" x14ac:dyDescent="0.25">
      <c r="A1161" s="2" t="s">
        <v>4111</v>
      </c>
      <c r="B1161" s="8" t="s">
        <v>16560</v>
      </c>
      <c r="C1161" s="2" t="s">
        <v>4111</v>
      </c>
      <c r="D1161" s="2" t="s">
        <v>4112</v>
      </c>
      <c r="E1161" s="4" t="s">
        <v>23362</v>
      </c>
      <c r="G1161" s="15" t="s">
        <v>23363</v>
      </c>
      <c r="H1161" s="15" t="s">
        <v>23364</v>
      </c>
      <c r="I1161" s="15" t="s">
        <v>23365</v>
      </c>
      <c r="J1161" s="15" t="s">
        <v>23352</v>
      </c>
      <c r="K1161" s="15">
        <v>9119</v>
      </c>
      <c r="L1161" s="15" t="s">
        <v>19099</v>
      </c>
    </row>
    <row r="1162" spans="1:12" x14ac:dyDescent="0.25">
      <c r="A1162" s="2" t="s">
        <v>4114</v>
      </c>
      <c r="B1162" s="8" t="s">
        <v>16561</v>
      </c>
      <c r="C1162" s="2" t="s">
        <v>4114</v>
      </c>
      <c r="D1162" s="2" t="s">
        <v>4115</v>
      </c>
      <c r="E1162" s="4" t="s">
        <v>23366</v>
      </c>
      <c r="G1162" s="15" t="s">
        <v>23367</v>
      </c>
      <c r="H1162" s="15" t="s">
        <v>23368</v>
      </c>
      <c r="I1162" s="15" t="s">
        <v>23369</v>
      </c>
      <c r="J1162" s="15" t="s">
        <v>23357</v>
      </c>
      <c r="K1162" s="15">
        <v>9176</v>
      </c>
      <c r="L1162" s="15" t="s">
        <v>19099</v>
      </c>
    </row>
    <row r="1163" spans="1:12" x14ac:dyDescent="0.25">
      <c r="A1163" s="2" t="s">
        <v>4117</v>
      </c>
      <c r="B1163" s="8" t="s">
        <v>16562</v>
      </c>
      <c r="C1163" s="2" t="s">
        <v>4117</v>
      </c>
      <c r="D1163" s="2" t="s">
        <v>4118</v>
      </c>
      <c r="E1163" s="4" t="s">
        <v>23370</v>
      </c>
      <c r="G1163" s="15" t="s">
        <v>23371</v>
      </c>
      <c r="H1163" s="15" t="s">
        <v>23372</v>
      </c>
      <c r="I1163" s="15" t="s">
        <v>23373</v>
      </c>
      <c r="J1163" s="15" t="s">
        <v>23352</v>
      </c>
      <c r="K1163" s="15">
        <v>9106</v>
      </c>
      <c r="L1163" s="15" t="s">
        <v>19099</v>
      </c>
    </row>
    <row r="1164" spans="1:12" x14ac:dyDescent="0.25">
      <c r="A1164" s="2" t="s">
        <v>4120</v>
      </c>
      <c r="B1164" s="8" t="s">
        <v>16563</v>
      </c>
      <c r="C1164" s="2" t="s">
        <v>4120</v>
      </c>
      <c r="D1164" s="2" t="s">
        <v>4121</v>
      </c>
      <c r="E1164" s="4" t="s">
        <v>23374</v>
      </c>
      <c r="G1164" s="15" t="s">
        <v>23374</v>
      </c>
      <c r="H1164" s="15" t="s">
        <v>23375</v>
      </c>
      <c r="I1164" s="15" t="s">
        <v>23376</v>
      </c>
      <c r="J1164" s="15" t="s">
        <v>23377</v>
      </c>
      <c r="K1164" s="15">
        <v>3024</v>
      </c>
      <c r="L1164" s="15" t="s">
        <v>19099</v>
      </c>
    </row>
    <row r="1165" spans="1:12" x14ac:dyDescent="0.25">
      <c r="A1165" s="2" t="s">
        <v>4123</v>
      </c>
      <c r="B1165" s="8" t="s">
        <v>16564</v>
      </c>
      <c r="C1165" s="2" t="s">
        <v>4123</v>
      </c>
      <c r="D1165" s="2" t="s">
        <v>4124</v>
      </c>
      <c r="E1165" s="4" t="s">
        <v>23378</v>
      </c>
      <c r="G1165" s="15" t="s">
        <v>23379</v>
      </c>
      <c r="H1165" s="15" t="s">
        <v>23380</v>
      </c>
      <c r="I1165" s="15" t="s">
        <v>23381</v>
      </c>
      <c r="J1165" s="15" t="s">
        <v>23382</v>
      </c>
      <c r="K1165" s="15">
        <v>31296</v>
      </c>
      <c r="L1165" s="15" t="s">
        <v>19099</v>
      </c>
    </row>
    <row r="1166" spans="1:12" x14ac:dyDescent="0.25">
      <c r="A1166" s="2" t="s">
        <v>4126</v>
      </c>
      <c r="B1166" s="8" t="s">
        <v>16565</v>
      </c>
      <c r="C1166" s="2" t="s">
        <v>4126</v>
      </c>
      <c r="D1166" s="2" t="s">
        <v>4127</v>
      </c>
      <c r="E1166" s="4" t="s">
        <v>23383</v>
      </c>
      <c r="G1166" s="15" t="s">
        <v>23384</v>
      </c>
      <c r="H1166" s="15" t="s">
        <v>23385</v>
      </c>
      <c r="I1166" s="15" t="s">
        <v>23386</v>
      </c>
      <c r="J1166" s="15" t="s">
        <v>23387</v>
      </c>
      <c r="K1166" s="15">
        <v>115266</v>
      </c>
      <c r="L1166" s="15" t="s">
        <v>19099</v>
      </c>
    </row>
    <row r="1167" spans="1:12" x14ac:dyDescent="0.25">
      <c r="A1167" s="2" t="s">
        <v>4129</v>
      </c>
      <c r="B1167" s="8" t="s">
        <v>16566</v>
      </c>
      <c r="C1167" s="2" t="s">
        <v>4129</v>
      </c>
      <c r="D1167" s="2" t="s">
        <v>4130</v>
      </c>
      <c r="E1167" s="4" t="s">
        <v>23388</v>
      </c>
      <c r="G1167" s="15" t="s">
        <v>23389</v>
      </c>
      <c r="H1167" s="15" t="s">
        <v>23390</v>
      </c>
      <c r="I1167" s="15" t="s">
        <v>23391</v>
      </c>
      <c r="J1167" s="15" t="s">
        <v>23392</v>
      </c>
      <c r="K1167" s="15">
        <v>12433</v>
      </c>
      <c r="L1167" s="15" t="s">
        <v>19099</v>
      </c>
    </row>
    <row r="1168" spans="1:12" x14ac:dyDescent="0.25">
      <c r="A1168" s="2" t="s">
        <v>4132</v>
      </c>
      <c r="B1168" s="8" t="s">
        <v>16567</v>
      </c>
      <c r="C1168" s="2" t="s">
        <v>4132</v>
      </c>
      <c r="D1168" s="2" t="s">
        <v>4133</v>
      </c>
      <c r="E1168" s="4" t="s">
        <v>23393</v>
      </c>
      <c r="G1168" s="15" t="s">
        <v>23394</v>
      </c>
      <c r="H1168" s="15" t="s">
        <v>23395</v>
      </c>
      <c r="I1168" s="15" t="s">
        <v>23396</v>
      </c>
      <c r="J1168" s="15" t="s">
        <v>23397</v>
      </c>
      <c r="K1168" s="15">
        <v>5748789</v>
      </c>
      <c r="L1168" s="15" t="s">
        <v>19099</v>
      </c>
    </row>
    <row r="1169" spans="1:12" x14ac:dyDescent="0.25">
      <c r="A1169" s="2" t="s">
        <v>4135</v>
      </c>
      <c r="B1169" s="8" t="s">
        <v>16568</v>
      </c>
      <c r="C1169" s="2" t="s">
        <v>4135</v>
      </c>
      <c r="D1169" s="2" t="s">
        <v>4136</v>
      </c>
      <c r="E1169" s="4" t="s">
        <v>23398</v>
      </c>
      <c r="G1169" s="15" t="s">
        <v>23398</v>
      </c>
      <c r="H1169" s="15" t="s">
        <v>23399</v>
      </c>
      <c r="I1169" s="15" t="s">
        <v>23400</v>
      </c>
      <c r="J1169" s="15" t="s">
        <v>19285</v>
      </c>
      <c r="K1169" s="15">
        <v>8020</v>
      </c>
      <c r="L1169" s="15" t="s">
        <v>19099</v>
      </c>
    </row>
    <row r="1170" spans="1:12" x14ac:dyDescent="0.25">
      <c r="A1170" s="2" t="s">
        <v>4138</v>
      </c>
      <c r="B1170" s="8" t="s">
        <v>16569</v>
      </c>
      <c r="C1170" s="2" t="s">
        <v>4138</v>
      </c>
      <c r="D1170" s="2" t="s">
        <v>4139</v>
      </c>
      <c r="E1170" s="4" t="s">
        <v>4139</v>
      </c>
      <c r="G1170" s="15" t="s">
        <v>23401</v>
      </c>
      <c r="H1170" s="15" t="s">
        <v>23402</v>
      </c>
      <c r="I1170" s="15" t="s">
        <v>23403</v>
      </c>
      <c r="J1170" s="15" t="s">
        <v>22666</v>
      </c>
      <c r="K1170" s="15">
        <v>674</v>
      </c>
      <c r="L1170" s="15" t="s">
        <v>19099</v>
      </c>
    </row>
    <row r="1171" spans="1:12" x14ac:dyDescent="0.25">
      <c r="A1171" s="2" t="s">
        <v>4141</v>
      </c>
      <c r="B1171" s="8" t="s">
        <v>16570</v>
      </c>
      <c r="C1171" s="2" t="s">
        <v>4141</v>
      </c>
      <c r="D1171" s="2" t="s">
        <v>4142</v>
      </c>
      <c r="E1171" s="4" t="s">
        <v>4142</v>
      </c>
      <c r="G1171" s="15" t="s">
        <v>23404</v>
      </c>
      <c r="H1171" s="15" t="s">
        <v>23405</v>
      </c>
      <c r="I1171" s="15" t="s">
        <v>23406</v>
      </c>
      <c r="J1171" s="15" t="s">
        <v>23407</v>
      </c>
      <c r="K1171" s="15">
        <v>16811</v>
      </c>
      <c r="L1171" s="15" t="s">
        <v>19099</v>
      </c>
    </row>
    <row r="1172" spans="1:12" x14ac:dyDescent="0.25">
      <c r="A1172" s="2" t="s">
        <v>4144</v>
      </c>
      <c r="B1172" s="8" t="s">
        <v>16571</v>
      </c>
      <c r="C1172" s="2" t="s">
        <v>4144</v>
      </c>
      <c r="D1172" s="2" t="s">
        <v>4145</v>
      </c>
      <c r="E1172" s="4" t="s">
        <v>23408</v>
      </c>
      <c r="G1172" s="15" t="s">
        <v>23409</v>
      </c>
      <c r="H1172" s="15" t="s">
        <v>23410</v>
      </c>
      <c r="I1172" s="15" t="s">
        <v>23411</v>
      </c>
      <c r="J1172" s="15" t="s">
        <v>23412</v>
      </c>
      <c r="K1172" s="15">
        <v>10473</v>
      </c>
      <c r="L1172" s="15" t="s">
        <v>19099</v>
      </c>
    </row>
    <row r="1173" spans="1:12" x14ac:dyDescent="0.25">
      <c r="A1173" s="2" t="s">
        <v>4147</v>
      </c>
      <c r="B1173" s="8" t="s">
        <v>16572</v>
      </c>
      <c r="C1173" s="2" t="s">
        <v>4147</v>
      </c>
      <c r="D1173" s="2" t="s">
        <v>4148</v>
      </c>
      <c r="E1173" s="4" t="s">
        <v>23413</v>
      </c>
      <c r="G1173" s="15" t="s">
        <v>23414</v>
      </c>
      <c r="H1173" s="15" t="s">
        <v>23415</v>
      </c>
      <c r="I1173" s="15" t="s">
        <v>23416</v>
      </c>
      <c r="J1173" s="15" t="s">
        <v>23417</v>
      </c>
      <c r="K1173" s="15">
        <v>2513</v>
      </c>
      <c r="L1173" s="15" t="s">
        <v>19099</v>
      </c>
    </row>
    <row r="1174" spans="1:12" x14ac:dyDescent="0.25">
      <c r="A1174" s="2" t="s">
        <v>4150</v>
      </c>
      <c r="B1174" s="8" t="s">
        <v>16573</v>
      </c>
      <c r="C1174" s="2" t="s">
        <v>4150</v>
      </c>
      <c r="D1174" s="2" t="s">
        <v>4151</v>
      </c>
      <c r="E1174" s="4" t="s">
        <v>23418</v>
      </c>
      <c r="G1174" s="15" t="s">
        <v>23419</v>
      </c>
      <c r="H1174" s="15" t="s">
        <v>23420</v>
      </c>
      <c r="I1174" s="15" t="s">
        <v>23421</v>
      </c>
      <c r="J1174" s="15" t="s">
        <v>20052</v>
      </c>
      <c r="K1174" s="15">
        <v>6403</v>
      </c>
      <c r="L1174" s="15" t="s">
        <v>19099</v>
      </c>
    </row>
    <row r="1175" spans="1:12" x14ac:dyDescent="0.25">
      <c r="A1175" s="2" t="s">
        <v>4153</v>
      </c>
      <c r="B1175" s="8" t="s">
        <v>16574</v>
      </c>
      <c r="C1175" s="2" t="s">
        <v>4153</v>
      </c>
      <c r="D1175" s="2" t="s">
        <v>4154</v>
      </c>
      <c r="E1175" s="4" t="s">
        <v>23422</v>
      </c>
      <c r="G1175" s="15" t="s">
        <v>23423</v>
      </c>
      <c r="H1175" s="15" t="s">
        <v>23424</v>
      </c>
      <c r="I1175" s="15" t="s">
        <v>23425</v>
      </c>
      <c r="J1175" s="15" t="s">
        <v>23426</v>
      </c>
      <c r="K1175" s="15">
        <v>17304</v>
      </c>
      <c r="L1175" s="15" t="s">
        <v>19099</v>
      </c>
    </row>
    <row r="1176" spans="1:12" x14ac:dyDescent="0.25">
      <c r="A1176" s="2" t="s">
        <v>4156</v>
      </c>
      <c r="B1176" s="8" t="s">
        <v>16575</v>
      </c>
      <c r="C1176" s="2" t="s">
        <v>4156</v>
      </c>
      <c r="D1176" s="2" t="s">
        <v>4157</v>
      </c>
      <c r="E1176" s="4" t="s">
        <v>23427</v>
      </c>
      <c r="G1176" s="15" t="s">
        <v>23428</v>
      </c>
      <c r="H1176" s="15" t="s">
        <v>23429</v>
      </c>
      <c r="I1176" s="15" t="s">
        <v>23430</v>
      </c>
      <c r="J1176" s="15" t="s">
        <v>23431</v>
      </c>
      <c r="K1176" s="15">
        <v>66027</v>
      </c>
      <c r="L1176" s="15" t="s">
        <v>19099</v>
      </c>
    </row>
    <row r="1177" spans="1:12" x14ac:dyDescent="0.25">
      <c r="A1177" s="2" t="s">
        <v>4159</v>
      </c>
      <c r="B1177" s="8" t="s">
        <v>16576</v>
      </c>
      <c r="C1177" s="2" t="s">
        <v>4159</v>
      </c>
      <c r="D1177" s="2" t="s">
        <v>4160</v>
      </c>
      <c r="E1177" s="4" t="s">
        <v>23432</v>
      </c>
      <c r="G1177" s="15" t="s">
        <v>23433</v>
      </c>
      <c r="H1177" s="15" t="s">
        <v>23434</v>
      </c>
      <c r="I1177" s="15" t="s">
        <v>23435</v>
      </c>
      <c r="J1177" s="15" t="s">
        <v>23436</v>
      </c>
      <c r="K1177" s="15">
        <v>12232</v>
      </c>
      <c r="L1177" s="15" t="s">
        <v>19099</v>
      </c>
    </row>
    <row r="1178" spans="1:12" x14ac:dyDescent="0.25">
      <c r="A1178" s="2" t="s">
        <v>4162</v>
      </c>
      <c r="B1178" s="8" t="s">
        <v>16577</v>
      </c>
      <c r="C1178" s="2" t="s">
        <v>4162</v>
      </c>
      <c r="D1178" s="2" t="s">
        <v>4163</v>
      </c>
      <c r="E1178" s="4" t="s">
        <v>23437</v>
      </c>
      <c r="G1178" s="15" t="s">
        <v>23438</v>
      </c>
      <c r="H1178" s="15" t="s">
        <v>23439</v>
      </c>
      <c r="I1178" s="15" t="s">
        <v>23440</v>
      </c>
      <c r="J1178" s="15" t="s">
        <v>23441</v>
      </c>
      <c r="K1178" s="15">
        <v>6599</v>
      </c>
      <c r="L1178" s="15" t="s">
        <v>19099</v>
      </c>
    </row>
    <row r="1179" spans="1:12" x14ac:dyDescent="0.25">
      <c r="A1179" s="2" t="s">
        <v>4165</v>
      </c>
      <c r="B1179" s="8" t="s">
        <v>16578</v>
      </c>
      <c r="C1179" s="2" t="s">
        <v>4165</v>
      </c>
      <c r="D1179" s="2" t="s">
        <v>4166</v>
      </c>
      <c r="E1179" s="4" t="s">
        <v>23442</v>
      </c>
      <c r="G1179" s="15" t="s">
        <v>23443</v>
      </c>
      <c r="H1179" s="15" t="s">
        <v>23444</v>
      </c>
      <c r="I1179" s="15" t="s">
        <v>23445</v>
      </c>
      <c r="J1179" s="15" t="s">
        <v>22622</v>
      </c>
      <c r="K1179" s="15">
        <v>8254</v>
      </c>
      <c r="L1179" s="15" t="s">
        <v>19099</v>
      </c>
    </row>
    <row r="1180" spans="1:12" x14ac:dyDescent="0.25">
      <c r="A1180" s="2" t="s">
        <v>4168</v>
      </c>
      <c r="B1180" s="8" t="s">
        <v>16579</v>
      </c>
      <c r="C1180" s="2" t="s">
        <v>4168</v>
      </c>
      <c r="D1180" s="2" t="s">
        <v>4169</v>
      </c>
      <c r="E1180" s="4" t="s">
        <v>23446</v>
      </c>
      <c r="G1180" s="15" t="s">
        <v>23447</v>
      </c>
      <c r="H1180" s="15" t="s">
        <v>23448</v>
      </c>
      <c r="I1180" s="15" t="s">
        <v>23449</v>
      </c>
      <c r="J1180" s="15" t="s">
        <v>23450</v>
      </c>
      <c r="K1180" s="15">
        <v>8554</v>
      </c>
      <c r="L1180" s="15" t="s">
        <v>19099</v>
      </c>
    </row>
    <row r="1181" spans="1:12" x14ac:dyDescent="0.25">
      <c r="A1181" s="2" t="s">
        <v>4171</v>
      </c>
      <c r="B1181" s="8" t="s">
        <v>16580</v>
      </c>
      <c r="C1181" s="2" t="s">
        <v>4171</v>
      </c>
      <c r="D1181" s="2" t="s">
        <v>4172</v>
      </c>
      <c r="E1181" s="4" t="s">
        <v>23451</v>
      </c>
      <c r="G1181" s="15" t="s">
        <v>23452</v>
      </c>
      <c r="H1181" s="15" t="s">
        <v>23453</v>
      </c>
      <c r="I1181" s="15" t="s">
        <v>23454</v>
      </c>
      <c r="J1181" s="15" t="s">
        <v>23455</v>
      </c>
      <c r="K1181" s="15">
        <v>6124</v>
      </c>
      <c r="L1181" s="15" t="s">
        <v>19099</v>
      </c>
    </row>
    <row r="1182" spans="1:12" x14ac:dyDescent="0.25">
      <c r="A1182" s="2" t="s">
        <v>4174</v>
      </c>
      <c r="B1182" s="8" t="s">
        <v>16581</v>
      </c>
      <c r="C1182" s="2" t="s">
        <v>4174</v>
      </c>
      <c r="D1182" s="2" t="s">
        <v>4175</v>
      </c>
      <c r="E1182" s="4" t="s">
        <v>23456</v>
      </c>
      <c r="G1182" s="15" t="s">
        <v>23457</v>
      </c>
      <c r="H1182" s="15" t="s">
        <v>23458</v>
      </c>
      <c r="I1182" s="15" t="s">
        <v>23459</v>
      </c>
      <c r="J1182" s="15" t="s">
        <v>22634</v>
      </c>
      <c r="K1182" s="15">
        <v>1068</v>
      </c>
      <c r="L1182" s="15" t="s">
        <v>19099</v>
      </c>
    </row>
    <row r="1183" spans="1:12" x14ac:dyDescent="0.25">
      <c r="A1183" s="2" t="s">
        <v>4177</v>
      </c>
      <c r="B1183" s="8" t="s">
        <v>16582</v>
      </c>
      <c r="C1183" s="2" t="s">
        <v>4177</v>
      </c>
      <c r="D1183" s="2" t="s">
        <v>4178</v>
      </c>
      <c r="E1183" s="4" t="s">
        <v>23460</v>
      </c>
      <c r="G1183" s="15" t="s">
        <v>23461</v>
      </c>
      <c r="H1183" s="15" t="s">
        <v>23462</v>
      </c>
      <c r="I1183" s="15" t="s">
        <v>23463</v>
      </c>
      <c r="J1183" s="15" t="s">
        <v>23464</v>
      </c>
      <c r="K1183" s="15">
        <v>679</v>
      </c>
      <c r="L1183" s="15" t="s">
        <v>19099</v>
      </c>
    </row>
    <row r="1184" spans="1:12" x14ac:dyDescent="0.25">
      <c r="A1184" s="2" t="s">
        <v>4180</v>
      </c>
      <c r="B1184" s="8" t="s">
        <v>16583</v>
      </c>
      <c r="C1184" s="2" t="s">
        <v>4180</v>
      </c>
      <c r="D1184" s="2" t="s">
        <v>4181</v>
      </c>
      <c r="E1184" s="4" t="s">
        <v>23465</v>
      </c>
      <c r="G1184" s="15" t="s">
        <v>23465</v>
      </c>
      <c r="H1184" s="15" t="s">
        <v>23466</v>
      </c>
      <c r="I1184" s="15" t="s">
        <v>23467</v>
      </c>
      <c r="J1184" s="15" t="s">
        <v>23468</v>
      </c>
      <c r="K1184" s="15">
        <v>6497</v>
      </c>
      <c r="L1184" s="15" t="s">
        <v>19099</v>
      </c>
    </row>
    <row r="1185" spans="1:12" x14ac:dyDescent="0.25">
      <c r="A1185" s="2" t="s">
        <v>4183</v>
      </c>
      <c r="B1185" s="8" t="s">
        <v>16584</v>
      </c>
      <c r="C1185" s="2" t="s">
        <v>4183</v>
      </c>
      <c r="D1185" s="2" t="s">
        <v>4184</v>
      </c>
      <c r="E1185" s="4" t="s">
        <v>23469</v>
      </c>
      <c r="G1185" s="15" t="s">
        <v>23470</v>
      </c>
      <c r="H1185" s="15" t="s">
        <v>23471</v>
      </c>
      <c r="I1185" s="15" t="s">
        <v>23472</v>
      </c>
      <c r="J1185" s="15" t="s">
        <v>23473</v>
      </c>
      <c r="K1185" s="15">
        <v>79828</v>
      </c>
      <c r="L1185" s="15" t="s">
        <v>19099</v>
      </c>
    </row>
    <row r="1186" spans="1:12" x14ac:dyDescent="0.25">
      <c r="A1186" s="2" t="s">
        <v>4186</v>
      </c>
      <c r="B1186" s="8" t="s">
        <v>16585</v>
      </c>
      <c r="C1186" s="2" t="s">
        <v>4186</v>
      </c>
      <c r="D1186" s="2" t="s">
        <v>4187</v>
      </c>
      <c r="E1186" s="4" t="s">
        <v>23474</v>
      </c>
      <c r="G1186" s="15" t="s">
        <v>23475</v>
      </c>
      <c r="H1186" s="15" t="s">
        <v>23476</v>
      </c>
      <c r="I1186" s="15" t="s">
        <v>23477</v>
      </c>
      <c r="J1186" s="15" t="s">
        <v>23478</v>
      </c>
      <c r="K1186" s="15">
        <v>19310</v>
      </c>
      <c r="L1186" s="15" t="s">
        <v>19099</v>
      </c>
    </row>
    <row r="1187" spans="1:12" x14ac:dyDescent="0.25">
      <c r="A1187" s="2" t="s">
        <v>4189</v>
      </c>
      <c r="B1187" s="8" t="s">
        <v>16586</v>
      </c>
      <c r="C1187" s="2" t="s">
        <v>4189</v>
      </c>
      <c r="D1187" s="2" t="s">
        <v>4190</v>
      </c>
      <c r="E1187" s="4" t="s">
        <v>4190</v>
      </c>
      <c r="G1187" s="15" t="s">
        <v>23479</v>
      </c>
      <c r="H1187" s="15" t="s">
        <v>23480</v>
      </c>
      <c r="I1187" s="15" t="s">
        <v>23481</v>
      </c>
      <c r="J1187" s="15" t="s">
        <v>23482</v>
      </c>
      <c r="K1187" s="15">
        <v>31374</v>
      </c>
      <c r="L1187" s="15" t="s">
        <v>19099</v>
      </c>
    </row>
    <row r="1188" spans="1:12" x14ac:dyDescent="0.25">
      <c r="A1188" s="2" t="s">
        <v>4192</v>
      </c>
      <c r="B1188" s="8" t="s">
        <v>16587</v>
      </c>
      <c r="C1188" s="2" t="s">
        <v>4192</v>
      </c>
      <c r="D1188" s="2" t="s">
        <v>4193</v>
      </c>
      <c r="E1188" s="4" t="s">
        <v>4193</v>
      </c>
      <c r="G1188" s="15" t="s">
        <v>23483</v>
      </c>
      <c r="H1188" s="15" t="s">
        <v>23484</v>
      </c>
      <c r="I1188" s="15" t="s">
        <v>23485</v>
      </c>
      <c r="J1188" s="15" t="s">
        <v>19998</v>
      </c>
      <c r="K1188" s="15">
        <v>7681</v>
      </c>
      <c r="L1188" s="15" t="s">
        <v>19099</v>
      </c>
    </row>
    <row r="1189" spans="1:12" x14ac:dyDescent="0.25">
      <c r="A1189" s="2" t="s">
        <v>4195</v>
      </c>
      <c r="B1189" s="8" t="s">
        <v>16588</v>
      </c>
      <c r="C1189" s="2" t="s">
        <v>4195</v>
      </c>
      <c r="D1189" s="2" t="s">
        <v>4196</v>
      </c>
      <c r="E1189" s="4" t="s">
        <v>4196</v>
      </c>
      <c r="G1189" s="15" t="s">
        <v>23486</v>
      </c>
      <c r="H1189" s="15" t="s">
        <v>23487</v>
      </c>
      <c r="I1189" s="15" t="s">
        <v>23488</v>
      </c>
      <c r="J1189" s="15" t="s">
        <v>23489</v>
      </c>
      <c r="K1189" s="15">
        <v>6598</v>
      </c>
      <c r="L1189" s="15" t="s">
        <v>19099</v>
      </c>
    </row>
    <row r="1190" spans="1:12" x14ac:dyDescent="0.25">
      <c r="A1190" s="2" t="s">
        <v>4198</v>
      </c>
      <c r="B1190" s="8" t="s">
        <v>16589</v>
      </c>
      <c r="C1190" s="2" t="s">
        <v>4198</v>
      </c>
      <c r="D1190" s="2" t="s">
        <v>4199</v>
      </c>
      <c r="E1190" s="4" t="s">
        <v>4199</v>
      </c>
      <c r="G1190" s="15" t="s">
        <v>23490</v>
      </c>
      <c r="H1190" s="15" t="s">
        <v>23491</v>
      </c>
      <c r="I1190" s="15" t="s">
        <v>23492</v>
      </c>
      <c r="J1190" s="15" t="s">
        <v>23493</v>
      </c>
      <c r="K1190" s="15">
        <v>6228</v>
      </c>
      <c r="L1190" s="15" t="s">
        <v>19099</v>
      </c>
    </row>
    <row r="1191" spans="1:12" x14ac:dyDescent="0.25">
      <c r="A1191" s="2" t="s">
        <v>4201</v>
      </c>
      <c r="B1191" s="8" t="s">
        <v>16590</v>
      </c>
      <c r="C1191" s="2" t="s">
        <v>4201</v>
      </c>
      <c r="D1191" s="2" t="s">
        <v>4202</v>
      </c>
      <c r="E1191" s="4" t="s">
        <v>23494</v>
      </c>
      <c r="G1191" s="15" t="s">
        <v>23495</v>
      </c>
      <c r="H1191" s="15" t="s">
        <v>23496</v>
      </c>
      <c r="I1191" s="15" t="s">
        <v>23497</v>
      </c>
      <c r="J1191" s="15" t="s">
        <v>23498</v>
      </c>
      <c r="K1191" s="15">
        <v>134472</v>
      </c>
      <c r="L1191" s="15" t="s">
        <v>19099</v>
      </c>
    </row>
    <row r="1192" spans="1:12" x14ac:dyDescent="0.25">
      <c r="A1192" s="2" t="s">
        <v>4204</v>
      </c>
      <c r="B1192" s="8" t="s">
        <v>16591</v>
      </c>
      <c r="C1192" s="2" t="s">
        <v>4204</v>
      </c>
      <c r="D1192" s="2" t="s">
        <v>4205</v>
      </c>
      <c r="E1192" s="4" t="s">
        <v>4205</v>
      </c>
      <c r="G1192" s="15" t="s">
        <v>23499</v>
      </c>
      <c r="H1192" s="15" t="s">
        <v>23500</v>
      </c>
      <c r="I1192" s="15" t="s">
        <v>23501</v>
      </c>
      <c r="J1192" s="15" t="s">
        <v>23502</v>
      </c>
      <c r="K1192" s="15">
        <v>8113</v>
      </c>
      <c r="L1192" s="15" t="s">
        <v>19099</v>
      </c>
    </row>
    <row r="1193" spans="1:12" x14ac:dyDescent="0.25">
      <c r="A1193" s="2" t="s">
        <v>4207</v>
      </c>
      <c r="B1193" s="8" t="s">
        <v>16592</v>
      </c>
      <c r="C1193" s="2" t="s">
        <v>4207</v>
      </c>
      <c r="D1193" s="2" t="s">
        <v>4208</v>
      </c>
      <c r="E1193" s="4" t="s">
        <v>4208</v>
      </c>
      <c r="G1193" s="15" t="s">
        <v>23503</v>
      </c>
      <c r="H1193" s="15" t="s">
        <v>23504</v>
      </c>
      <c r="I1193" s="15" t="s">
        <v>23505</v>
      </c>
      <c r="J1193" s="15" t="s">
        <v>19634</v>
      </c>
      <c r="K1193" s="15">
        <v>8021</v>
      </c>
      <c r="L1193" s="15" t="s">
        <v>19099</v>
      </c>
    </row>
    <row r="1194" spans="1:12" x14ac:dyDescent="0.25">
      <c r="A1194" s="2" t="s">
        <v>4210</v>
      </c>
      <c r="B1194" s="8" t="s">
        <v>16593</v>
      </c>
      <c r="C1194" s="2" t="s">
        <v>4210</v>
      </c>
      <c r="D1194" s="2" t="s">
        <v>4211</v>
      </c>
      <c r="E1194" s="4" t="s">
        <v>4211</v>
      </c>
      <c r="G1194" s="15" t="s">
        <v>23506</v>
      </c>
      <c r="H1194" s="15" t="s">
        <v>23507</v>
      </c>
      <c r="I1194" s="15" t="s">
        <v>23508</v>
      </c>
      <c r="J1194" s="15" t="s">
        <v>19639</v>
      </c>
      <c r="K1194" s="15">
        <v>20513</v>
      </c>
      <c r="L1194" s="15" t="s">
        <v>19099</v>
      </c>
    </row>
    <row r="1195" spans="1:12" x14ac:dyDescent="0.25">
      <c r="A1195" s="2" t="s">
        <v>4213</v>
      </c>
      <c r="B1195" s="8" t="s">
        <v>16594</v>
      </c>
      <c r="C1195" s="2" t="s">
        <v>4213</v>
      </c>
      <c r="D1195" s="2" t="s">
        <v>4214</v>
      </c>
      <c r="E1195" s="4" t="s">
        <v>23509</v>
      </c>
      <c r="G1195" s="15" t="s">
        <v>23510</v>
      </c>
      <c r="H1195" s="15" t="s">
        <v>23511</v>
      </c>
      <c r="I1195" s="15" t="s">
        <v>23512</v>
      </c>
      <c r="J1195" s="15" t="s">
        <v>20579</v>
      </c>
      <c r="K1195" s="15">
        <v>3283</v>
      </c>
      <c r="L1195" s="15" t="s">
        <v>19099</v>
      </c>
    </row>
    <row r="1196" spans="1:12" x14ac:dyDescent="0.25">
      <c r="A1196" s="2" t="s">
        <v>4216</v>
      </c>
      <c r="B1196" s="8" t="s">
        <v>16595</v>
      </c>
      <c r="C1196" s="2" t="s">
        <v>4216</v>
      </c>
      <c r="D1196" s="2" t="s">
        <v>4217</v>
      </c>
      <c r="E1196" s="4" t="s">
        <v>23513</v>
      </c>
      <c r="G1196" s="15" t="s">
        <v>23514</v>
      </c>
      <c r="H1196" s="15" t="s">
        <v>23515</v>
      </c>
      <c r="I1196" s="15" t="s">
        <v>23516</v>
      </c>
      <c r="J1196" s="15" t="s">
        <v>23517</v>
      </c>
      <c r="K1196" s="15">
        <v>6781</v>
      </c>
      <c r="L1196" s="15" t="s">
        <v>19099</v>
      </c>
    </row>
    <row r="1197" spans="1:12" x14ac:dyDescent="0.25">
      <c r="A1197" s="2" t="s">
        <v>4219</v>
      </c>
      <c r="B1197" s="8" t="s">
        <v>16596</v>
      </c>
      <c r="C1197" s="2" t="s">
        <v>4219</v>
      </c>
      <c r="D1197" s="2" t="s">
        <v>4220</v>
      </c>
      <c r="E1197" s="4" t="s">
        <v>23518</v>
      </c>
      <c r="G1197" s="15" t="s">
        <v>23519</v>
      </c>
      <c r="H1197" s="15" t="s">
        <v>23520</v>
      </c>
      <c r="I1197" s="15" t="s">
        <v>23521</v>
      </c>
      <c r="J1197" s="15" t="s">
        <v>23522</v>
      </c>
      <c r="K1197" s="15">
        <v>5921</v>
      </c>
      <c r="L1197" s="15" t="s">
        <v>19099</v>
      </c>
    </row>
    <row r="1198" spans="1:12" x14ac:dyDescent="0.25">
      <c r="A1198" s="2" t="s">
        <v>4222</v>
      </c>
      <c r="B1198" s="8" t="s">
        <v>16597</v>
      </c>
      <c r="C1198" s="2" t="s">
        <v>4222</v>
      </c>
      <c r="D1198" s="2" t="s">
        <v>4223</v>
      </c>
      <c r="E1198" s="4" t="s">
        <v>23523</v>
      </c>
      <c r="G1198" s="15" t="s">
        <v>23523</v>
      </c>
      <c r="H1198" s="15" t="s">
        <v>23524</v>
      </c>
      <c r="I1198" s="15" t="s">
        <v>23525</v>
      </c>
      <c r="J1198" s="15" t="s">
        <v>23526</v>
      </c>
      <c r="K1198" s="15">
        <v>6163</v>
      </c>
      <c r="L1198" s="15" t="s">
        <v>19099</v>
      </c>
    </row>
    <row r="1199" spans="1:12" x14ac:dyDescent="0.25">
      <c r="A1199" s="2" t="s">
        <v>4225</v>
      </c>
      <c r="B1199" s="8" t="s">
        <v>16598</v>
      </c>
      <c r="C1199" s="2" t="s">
        <v>4225</v>
      </c>
      <c r="D1199" s="2" t="s">
        <v>4226</v>
      </c>
      <c r="E1199" s="4" t="s">
        <v>23527</v>
      </c>
      <c r="G1199" s="15" t="s">
        <v>23528</v>
      </c>
      <c r="H1199" s="15" t="s">
        <v>23529</v>
      </c>
      <c r="I1199" s="15" t="s">
        <v>23530</v>
      </c>
      <c r="J1199" s="15" t="s">
        <v>23531</v>
      </c>
      <c r="K1199" s="15">
        <v>4837</v>
      </c>
      <c r="L1199" s="15" t="s">
        <v>19099</v>
      </c>
    </row>
    <row r="1200" spans="1:12" x14ac:dyDescent="0.25">
      <c r="A1200" s="2" t="s">
        <v>4228</v>
      </c>
      <c r="B1200" s="8" t="s">
        <v>16599</v>
      </c>
      <c r="C1200" s="2" t="s">
        <v>4228</v>
      </c>
      <c r="D1200" s="2" t="s">
        <v>4229</v>
      </c>
      <c r="E1200" s="4" t="s">
        <v>23532</v>
      </c>
      <c r="G1200" s="15" t="s">
        <v>23533</v>
      </c>
      <c r="H1200" s="15" t="s">
        <v>23534</v>
      </c>
      <c r="I1200" s="15" t="s">
        <v>23535</v>
      </c>
      <c r="J1200" s="15" t="s">
        <v>23536</v>
      </c>
      <c r="K1200" s="15">
        <v>8111</v>
      </c>
      <c r="L1200" s="15" t="s">
        <v>19099</v>
      </c>
    </row>
    <row r="1201" spans="1:12" x14ac:dyDescent="0.25">
      <c r="A1201" s="2" t="s">
        <v>4231</v>
      </c>
      <c r="B1201" s="8" t="s">
        <v>16600</v>
      </c>
      <c r="C1201" s="2" t="s">
        <v>4231</v>
      </c>
      <c r="D1201" s="2" t="s">
        <v>4232</v>
      </c>
      <c r="E1201" s="4" t="s">
        <v>23537</v>
      </c>
      <c r="G1201" s="15" t="s">
        <v>23538</v>
      </c>
      <c r="H1201" s="15" t="s">
        <v>23539</v>
      </c>
      <c r="I1201" s="15" t="s">
        <v>23540</v>
      </c>
      <c r="J1201" s="15" t="s">
        <v>23541</v>
      </c>
      <c r="K1201" s="15">
        <v>61198</v>
      </c>
      <c r="L1201" s="15" t="s">
        <v>19099</v>
      </c>
    </row>
    <row r="1202" spans="1:12" x14ac:dyDescent="0.25">
      <c r="A1202" s="2" t="s">
        <v>4234</v>
      </c>
      <c r="B1202" s="8" t="s">
        <v>16601</v>
      </c>
      <c r="C1202" s="2" t="s">
        <v>4234</v>
      </c>
      <c r="D1202" s="2" t="s">
        <v>4235</v>
      </c>
      <c r="E1202" s="4" t="s">
        <v>23542</v>
      </c>
      <c r="G1202" s="15" t="s">
        <v>23543</v>
      </c>
      <c r="H1202" s="15" t="s">
        <v>23544</v>
      </c>
      <c r="I1202" s="15" t="s">
        <v>23545</v>
      </c>
      <c r="J1202" s="15" t="s">
        <v>23546</v>
      </c>
      <c r="K1202" s="15">
        <v>8117</v>
      </c>
      <c r="L1202" s="15" t="s">
        <v>19099</v>
      </c>
    </row>
    <row r="1203" spans="1:12" x14ac:dyDescent="0.25">
      <c r="A1203" s="2" t="s">
        <v>4237</v>
      </c>
      <c r="B1203" s="8" t="s">
        <v>16602</v>
      </c>
      <c r="C1203" s="2" t="s">
        <v>4237</v>
      </c>
      <c r="D1203" s="2" t="s">
        <v>4238</v>
      </c>
      <c r="E1203" s="4" t="s">
        <v>4238</v>
      </c>
      <c r="G1203" s="15" t="s">
        <v>23547</v>
      </c>
      <c r="H1203" s="15" t="s">
        <v>23548</v>
      </c>
      <c r="I1203" s="15" t="s">
        <v>23549</v>
      </c>
      <c r="J1203" s="15" t="s">
        <v>23550</v>
      </c>
      <c r="K1203" s="15">
        <v>448537</v>
      </c>
      <c r="L1203" s="15" t="s">
        <v>19099</v>
      </c>
    </row>
    <row r="1204" spans="1:12" x14ac:dyDescent="0.25">
      <c r="A1204" s="2" t="s">
        <v>4240</v>
      </c>
      <c r="B1204" s="8" t="s">
        <v>16603</v>
      </c>
      <c r="C1204" s="2" t="s">
        <v>4240</v>
      </c>
      <c r="D1204" s="2" t="s">
        <v>4241</v>
      </c>
      <c r="E1204" s="4" t="s">
        <v>23551</v>
      </c>
    </row>
    <row r="1205" spans="1:12" x14ac:dyDescent="0.25">
      <c r="A1205" s="2" t="s">
        <v>4243</v>
      </c>
      <c r="B1205" s="8" t="s">
        <v>16604</v>
      </c>
      <c r="C1205" s="2" t="s">
        <v>4243</v>
      </c>
      <c r="D1205" s="2" t="s">
        <v>4244</v>
      </c>
      <c r="E1205" s="4" t="s">
        <v>4244</v>
      </c>
      <c r="G1205" s="15" t="s">
        <v>23552</v>
      </c>
      <c r="H1205" s="15" t="s">
        <v>23553</v>
      </c>
      <c r="I1205" s="15" t="s">
        <v>23554</v>
      </c>
      <c r="J1205" s="15" t="s">
        <v>23555</v>
      </c>
      <c r="K1205" s="15">
        <v>8902</v>
      </c>
      <c r="L1205" s="15" t="s">
        <v>19099</v>
      </c>
    </row>
    <row r="1206" spans="1:12" x14ac:dyDescent="0.25">
      <c r="A1206" s="2" t="s">
        <v>4246</v>
      </c>
      <c r="B1206" s="8" t="s">
        <v>16605</v>
      </c>
      <c r="C1206" s="2" t="s">
        <v>4246</v>
      </c>
      <c r="D1206" s="2" t="s">
        <v>4247</v>
      </c>
      <c r="E1206" s="4" t="s">
        <v>23556</v>
      </c>
      <c r="G1206" s="15" t="s">
        <v>23557</v>
      </c>
      <c r="H1206" s="15" t="s">
        <v>23558</v>
      </c>
      <c r="I1206" s="15" t="s">
        <v>23559</v>
      </c>
      <c r="J1206" s="15" t="s">
        <v>23560</v>
      </c>
      <c r="K1206" s="15">
        <v>8559</v>
      </c>
      <c r="L1206" s="15" t="s">
        <v>19099</v>
      </c>
    </row>
    <row r="1207" spans="1:12" x14ac:dyDescent="0.25">
      <c r="A1207" s="2" t="s">
        <v>4249</v>
      </c>
      <c r="B1207" s="8" t="s">
        <v>16606</v>
      </c>
      <c r="C1207" s="2" t="s">
        <v>4249</v>
      </c>
      <c r="D1207" s="2" t="s">
        <v>4250</v>
      </c>
      <c r="E1207" s="4" t="s">
        <v>23561</v>
      </c>
      <c r="G1207" s="15" t="s">
        <v>23562</v>
      </c>
      <c r="H1207" s="15" t="s">
        <v>23563</v>
      </c>
      <c r="I1207" s="15" t="s">
        <v>23564</v>
      </c>
      <c r="J1207" s="15" t="s">
        <v>23565</v>
      </c>
      <c r="K1207" s="15">
        <v>12130</v>
      </c>
      <c r="L1207" s="15" t="s">
        <v>19099</v>
      </c>
    </row>
    <row r="1208" spans="1:12" x14ac:dyDescent="0.25">
      <c r="A1208" s="2" t="s">
        <v>4252</v>
      </c>
      <c r="B1208" s="8" t="s">
        <v>16607</v>
      </c>
      <c r="C1208" s="2" t="s">
        <v>4252</v>
      </c>
      <c r="D1208" s="2" t="s">
        <v>4253</v>
      </c>
      <c r="E1208" s="4" t="s">
        <v>23566</v>
      </c>
    </row>
    <row r="1209" spans="1:12" x14ac:dyDescent="0.25">
      <c r="A1209" s="2" t="s">
        <v>4255</v>
      </c>
      <c r="B1209" s="8" t="s">
        <v>16608</v>
      </c>
      <c r="C1209" s="2" t="s">
        <v>4255</v>
      </c>
      <c r="D1209" s="2" t="s">
        <v>4256</v>
      </c>
      <c r="E1209" s="4" t="s">
        <v>23567</v>
      </c>
      <c r="G1209" s="15" t="s">
        <v>23568</v>
      </c>
      <c r="H1209" s="15" t="s">
        <v>23569</v>
      </c>
      <c r="I1209" s="15" t="s">
        <v>23570</v>
      </c>
      <c r="J1209" s="15" t="s">
        <v>23571</v>
      </c>
      <c r="K1209" s="15">
        <v>8693</v>
      </c>
      <c r="L1209" s="15" t="s">
        <v>19099</v>
      </c>
    </row>
    <row r="1210" spans="1:12" x14ac:dyDescent="0.25">
      <c r="A1210" s="2" t="s">
        <v>4258</v>
      </c>
      <c r="B1210" s="8" t="s">
        <v>16609</v>
      </c>
      <c r="C1210" s="2" t="s">
        <v>4258</v>
      </c>
      <c r="D1210" s="2" t="s">
        <v>4259</v>
      </c>
      <c r="E1210" s="4" t="s">
        <v>23572</v>
      </c>
      <c r="G1210" s="15" t="s">
        <v>23572</v>
      </c>
      <c r="H1210" s="15" t="s">
        <v>23573</v>
      </c>
      <c r="I1210" s="15" t="s">
        <v>23574</v>
      </c>
      <c r="J1210" s="15" t="s">
        <v>23575</v>
      </c>
      <c r="K1210" s="15">
        <v>187696</v>
      </c>
      <c r="L1210" s="15" t="s">
        <v>19099</v>
      </c>
    </row>
    <row r="1211" spans="1:12" x14ac:dyDescent="0.25">
      <c r="A1211" s="2" t="s">
        <v>4261</v>
      </c>
      <c r="B1211" s="8" t="s">
        <v>16610</v>
      </c>
      <c r="C1211" s="2" t="s">
        <v>4261</v>
      </c>
      <c r="D1211" s="2" t="s">
        <v>4262</v>
      </c>
      <c r="E1211" s="4" t="s">
        <v>4262</v>
      </c>
      <c r="G1211" s="15" t="s">
        <v>23576</v>
      </c>
      <c r="H1211" s="15" t="s">
        <v>23577</v>
      </c>
      <c r="I1211" s="15" t="s">
        <v>23578</v>
      </c>
      <c r="J1211" s="15" t="s">
        <v>19639</v>
      </c>
      <c r="K1211" s="15">
        <v>8148</v>
      </c>
      <c r="L1211" s="15" t="s">
        <v>19099</v>
      </c>
    </row>
    <row r="1212" spans="1:12" x14ac:dyDescent="0.25">
      <c r="A1212" s="2" t="s">
        <v>4264</v>
      </c>
      <c r="B1212" s="8" t="s">
        <v>16611</v>
      </c>
      <c r="C1212" s="2" t="s">
        <v>4264</v>
      </c>
      <c r="D1212" s="2" t="s">
        <v>4265</v>
      </c>
      <c r="E1212" s="4" t="s">
        <v>23579</v>
      </c>
      <c r="G1212" s="15" t="s">
        <v>23580</v>
      </c>
      <c r="H1212" s="15" t="s">
        <v>23581</v>
      </c>
      <c r="I1212" s="15" t="s">
        <v>23582</v>
      </c>
      <c r="J1212" s="15" t="s">
        <v>23583</v>
      </c>
      <c r="K1212" s="15">
        <v>3026</v>
      </c>
      <c r="L1212" s="15" t="s">
        <v>19099</v>
      </c>
    </row>
    <row r="1213" spans="1:12" x14ac:dyDescent="0.25">
      <c r="A1213" s="2" t="s">
        <v>4267</v>
      </c>
      <c r="B1213" s="8" t="s">
        <v>16612</v>
      </c>
      <c r="C1213" s="2" t="s">
        <v>4267</v>
      </c>
      <c r="D1213" s="2" t="s">
        <v>4268</v>
      </c>
      <c r="E1213" s="4" t="s">
        <v>23584</v>
      </c>
      <c r="G1213" s="15" t="s">
        <v>23585</v>
      </c>
      <c r="H1213" s="15" t="s">
        <v>23586</v>
      </c>
      <c r="I1213" s="15" t="s">
        <v>23587</v>
      </c>
      <c r="J1213" s="15" t="s">
        <v>23588</v>
      </c>
      <c r="K1213" s="15">
        <v>13542</v>
      </c>
      <c r="L1213" s="15" t="s">
        <v>19099</v>
      </c>
    </row>
    <row r="1214" spans="1:12" x14ac:dyDescent="0.25">
      <c r="A1214" s="2" t="s">
        <v>4270</v>
      </c>
      <c r="B1214" s="8" t="s">
        <v>16613</v>
      </c>
      <c r="C1214" s="2" t="s">
        <v>4270</v>
      </c>
      <c r="D1214" s="2" t="s">
        <v>4271</v>
      </c>
      <c r="E1214" s="4" t="s">
        <v>23589</v>
      </c>
      <c r="G1214" s="15" t="s">
        <v>23590</v>
      </c>
      <c r="H1214" s="15" t="s">
        <v>23591</v>
      </c>
      <c r="I1214" s="15" t="s">
        <v>23592</v>
      </c>
      <c r="J1214" s="15" t="s">
        <v>23593</v>
      </c>
      <c r="K1214" s="15">
        <v>26713</v>
      </c>
      <c r="L1214" s="15" t="s">
        <v>19099</v>
      </c>
    </row>
    <row r="1215" spans="1:12" x14ac:dyDescent="0.25">
      <c r="A1215" s="2" t="s">
        <v>4273</v>
      </c>
      <c r="B1215" s="8" t="s">
        <v>16614</v>
      </c>
      <c r="C1215" s="2" t="s">
        <v>4273</v>
      </c>
      <c r="D1215" s="2" t="s">
        <v>4274</v>
      </c>
      <c r="E1215" s="4" t="s">
        <v>23594</v>
      </c>
      <c r="G1215" s="15" t="s">
        <v>23595</v>
      </c>
      <c r="H1215" s="15" t="s">
        <v>23596</v>
      </c>
      <c r="I1215" s="15" t="s">
        <v>23597</v>
      </c>
      <c r="J1215" s="15" t="s">
        <v>23598</v>
      </c>
      <c r="K1215" s="15">
        <v>8561</v>
      </c>
      <c r="L1215" s="15" t="s">
        <v>19099</v>
      </c>
    </row>
    <row r="1216" spans="1:12" x14ac:dyDescent="0.25">
      <c r="A1216" s="2" t="s">
        <v>4276</v>
      </c>
      <c r="B1216" s="8" t="s">
        <v>16615</v>
      </c>
      <c r="C1216" s="2" t="s">
        <v>4276</v>
      </c>
      <c r="D1216" s="2" t="s">
        <v>4277</v>
      </c>
      <c r="E1216" s="4" t="s">
        <v>23599</v>
      </c>
      <c r="G1216" s="15" t="s">
        <v>23600</v>
      </c>
      <c r="H1216" s="15" t="s">
        <v>23601</v>
      </c>
      <c r="I1216" s="15" t="s">
        <v>23602</v>
      </c>
      <c r="J1216" s="15" t="s">
        <v>23603</v>
      </c>
      <c r="K1216" s="15">
        <v>6786</v>
      </c>
      <c r="L1216" s="15" t="s">
        <v>19099</v>
      </c>
    </row>
    <row r="1217" spans="1:12" x14ac:dyDescent="0.25">
      <c r="A1217" s="2" t="s">
        <v>4279</v>
      </c>
      <c r="B1217" s="8" t="s">
        <v>16616</v>
      </c>
      <c r="C1217" s="2" t="s">
        <v>4279</v>
      </c>
      <c r="D1217" s="2" t="s">
        <v>4280</v>
      </c>
      <c r="E1217" s="4" t="s">
        <v>23604</v>
      </c>
      <c r="G1217" s="15" t="s">
        <v>23605</v>
      </c>
      <c r="H1217" s="15" t="s">
        <v>23606</v>
      </c>
      <c r="I1217" s="15" t="s">
        <v>23607</v>
      </c>
      <c r="J1217" s="15" t="s">
        <v>23608</v>
      </c>
      <c r="K1217" s="15">
        <v>19284</v>
      </c>
      <c r="L1217" s="15" t="s">
        <v>19099</v>
      </c>
    </row>
    <row r="1218" spans="1:12" x14ac:dyDescent="0.25">
      <c r="A1218" s="2" t="s">
        <v>4282</v>
      </c>
      <c r="B1218" s="8" t="s">
        <v>16617</v>
      </c>
      <c r="C1218" s="2" t="s">
        <v>4282</v>
      </c>
      <c r="D1218" s="2" t="s">
        <v>4283</v>
      </c>
      <c r="E1218" s="4" t="s">
        <v>23609</v>
      </c>
    </row>
    <row r="1219" spans="1:12" x14ac:dyDescent="0.25">
      <c r="A1219" s="2" t="s">
        <v>4285</v>
      </c>
      <c r="B1219" s="8" t="s">
        <v>16618</v>
      </c>
      <c r="C1219" s="2" t="s">
        <v>4285</v>
      </c>
      <c r="D1219" s="2" t="s">
        <v>4286</v>
      </c>
      <c r="E1219" s="4" t="s">
        <v>23610</v>
      </c>
      <c r="G1219" s="15" t="s">
        <v>23611</v>
      </c>
      <c r="H1219" s="15" t="s">
        <v>23612</v>
      </c>
      <c r="I1219" s="15" t="s">
        <v>23613</v>
      </c>
      <c r="J1219" s="15" t="s">
        <v>23614</v>
      </c>
      <c r="K1219" s="15">
        <v>8346</v>
      </c>
      <c r="L1219" s="15" t="s">
        <v>19099</v>
      </c>
    </row>
    <row r="1220" spans="1:12" x14ac:dyDescent="0.25">
      <c r="A1220" s="2" t="s">
        <v>4288</v>
      </c>
      <c r="B1220" s="8" t="s">
        <v>16619</v>
      </c>
      <c r="C1220" s="2" t="s">
        <v>4288</v>
      </c>
      <c r="D1220" s="2" t="s">
        <v>4289</v>
      </c>
      <c r="E1220" s="4" t="s">
        <v>23615</v>
      </c>
      <c r="G1220" s="15" t="s">
        <v>23616</v>
      </c>
      <c r="H1220" s="15" t="s">
        <v>23617</v>
      </c>
      <c r="I1220" s="15" t="s">
        <v>23618</v>
      </c>
      <c r="J1220" s="15" t="s">
        <v>23619</v>
      </c>
      <c r="K1220" s="15">
        <v>27681</v>
      </c>
      <c r="L1220" s="15" t="s">
        <v>19099</v>
      </c>
    </row>
    <row r="1221" spans="1:12" x14ac:dyDescent="0.25">
      <c r="A1221" s="2" t="s">
        <v>4291</v>
      </c>
      <c r="B1221" s="8" t="s">
        <v>16620</v>
      </c>
      <c r="C1221" s="2" t="s">
        <v>4291</v>
      </c>
      <c r="D1221" s="2" t="s">
        <v>4292</v>
      </c>
      <c r="E1221" s="4" t="s">
        <v>23620</v>
      </c>
      <c r="G1221" s="15" t="s">
        <v>23621</v>
      </c>
      <c r="H1221" s="15" t="s">
        <v>23622</v>
      </c>
      <c r="I1221" s="15" t="s">
        <v>23623</v>
      </c>
      <c r="J1221" s="15" t="s">
        <v>23624</v>
      </c>
      <c r="K1221" s="15">
        <v>6787</v>
      </c>
      <c r="L1221" s="15" t="s">
        <v>19099</v>
      </c>
    </row>
    <row r="1222" spans="1:12" x14ac:dyDescent="0.25">
      <c r="A1222" s="2" t="s">
        <v>4294</v>
      </c>
      <c r="B1222" s="8" t="s">
        <v>16621</v>
      </c>
      <c r="C1222" s="2" t="s">
        <v>4294</v>
      </c>
      <c r="D1222" s="2" t="s">
        <v>4295</v>
      </c>
      <c r="E1222" s="4" t="s">
        <v>23625</v>
      </c>
      <c r="G1222" s="15" t="s">
        <v>23626</v>
      </c>
      <c r="H1222" s="15" t="s">
        <v>23627</v>
      </c>
      <c r="I1222" s="15" t="s">
        <v>23628</v>
      </c>
      <c r="J1222" s="15" t="s">
        <v>23629</v>
      </c>
      <c r="K1222" s="15">
        <v>6359</v>
      </c>
      <c r="L1222" s="15" t="s">
        <v>19099</v>
      </c>
    </row>
    <row r="1223" spans="1:12" x14ac:dyDescent="0.25">
      <c r="A1223" s="2" t="s">
        <v>4297</v>
      </c>
      <c r="B1223" s="8" t="s">
        <v>16622</v>
      </c>
      <c r="C1223" s="2" t="s">
        <v>4297</v>
      </c>
      <c r="D1223" s="2" t="s">
        <v>4298</v>
      </c>
      <c r="E1223" s="4" t="s">
        <v>23630</v>
      </c>
      <c r="G1223" s="15" t="s">
        <v>23630</v>
      </c>
      <c r="H1223" s="15" t="s">
        <v>23631</v>
      </c>
      <c r="I1223" s="15" t="s">
        <v>23632</v>
      </c>
      <c r="J1223" s="15" t="s">
        <v>23633</v>
      </c>
      <c r="K1223" s="15">
        <v>6344</v>
      </c>
      <c r="L1223" s="15" t="s">
        <v>19099</v>
      </c>
    </row>
    <row r="1224" spans="1:12" x14ac:dyDescent="0.25">
      <c r="A1224" s="2" t="s">
        <v>4300</v>
      </c>
      <c r="B1224" s="8" t="s">
        <v>16623</v>
      </c>
      <c r="C1224" s="2" t="s">
        <v>4300</v>
      </c>
      <c r="D1224" s="2" t="s">
        <v>4301</v>
      </c>
      <c r="E1224" s="4" t="s">
        <v>23634</v>
      </c>
      <c r="G1224" s="15" t="s">
        <v>23635</v>
      </c>
      <c r="H1224" s="15" t="s">
        <v>23636</v>
      </c>
      <c r="I1224" s="15" t="s">
        <v>23637</v>
      </c>
      <c r="J1224" s="15" t="s">
        <v>19432</v>
      </c>
      <c r="K1224" s="15">
        <v>44412</v>
      </c>
      <c r="L1224" s="15" t="s">
        <v>19995</v>
      </c>
    </row>
    <row r="1225" spans="1:12" x14ac:dyDescent="0.25">
      <c r="A1225" s="2" t="s">
        <v>4303</v>
      </c>
      <c r="B1225" s="8" t="s">
        <v>16624</v>
      </c>
      <c r="C1225" s="2" t="s">
        <v>4303</v>
      </c>
      <c r="D1225" s="2" t="s">
        <v>4304</v>
      </c>
      <c r="E1225" s="4" t="s">
        <v>23638</v>
      </c>
      <c r="G1225" s="15" t="s">
        <v>23639</v>
      </c>
      <c r="H1225" s="15" t="s">
        <v>23640</v>
      </c>
      <c r="I1225" s="15" t="s">
        <v>23641</v>
      </c>
      <c r="J1225" s="15" t="s">
        <v>23642</v>
      </c>
      <c r="K1225" s="15">
        <v>7944</v>
      </c>
      <c r="L1225" s="15" t="s">
        <v>19099</v>
      </c>
    </row>
    <row r="1226" spans="1:12" x14ac:dyDescent="0.25">
      <c r="A1226" s="2" t="s">
        <v>4306</v>
      </c>
      <c r="B1226" s="8" t="s">
        <v>16625</v>
      </c>
      <c r="C1226" s="2" t="s">
        <v>4306</v>
      </c>
      <c r="D1226" s="2" t="s">
        <v>4307</v>
      </c>
      <c r="E1226" s="4" t="s">
        <v>23643</v>
      </c>
      <c r="G1226" s="15" t="s">
        <v>23644</v>
      </c>
      <c r="H1226" s="15" t="s">
        <v>23645</v>
      </c>
      <c r="I1226" s="15" t="s">
        <v>23646</v>
      </c>
      <c r="J1226" s="15" t="s">
        <v>23647</v>
      </c>
      <c r="K1226" s="15">
        <v>6597</v>
      </c>
      <c r="L1226" s="15" t="s">
        <v>19099</v>
      </c>
    </row>
    <row r="1227" spans="1:12" x14ac:dyDescent="0.25">
      <c r="A1227" s="2" t="s">
        <v>4309</v>
      </c>
      <c r="B1227" s="8" t="s">
        <v>16626</v>
      </c>
      <c r="C1227" s="2" t="s">
        <v>4309</v>
      </c>
      <c r="D1227" s="2" t="s">
        <v>4310</v>
      </c>
      <c r="E1227" s="4" t="s">
        <v>23648</v>
      </c>
      <c r="G1227" s="15" t="s">
        <v>23649</v>
      </c>
      <c r="H1227" s="15" t="s">
        <v>23650</v>
      </c>
      <c r="I1227" s="15" t="s">
        <v>23651</v>
      </c>
      <c r="J1227" s="15" t="s">
        <v>19959</v>
      </c>
      <c r="K1227" s="15">
        <v>3033870</v>
      </c>
      <c r="L1227" s="15" t="s">
        <v>19099</v>
      </c>
    </row>
    <row r="1228" spans="1:12" x14ac:dyDescent="0.25">
      <c r="A1228" s="2" t="s">
        <v>4312</v>
      </c>
      <c r="B1228" s="8" t="s">
        <v>16627</v>
      </c>
      <c r="C1228" s="2" t="s">
        <v>4312</v>
      </c>
      <c r="D1228" s="2" t="s">
        <v>4313</v>
      </c>
      <c r="E1228" s="4" t="s">
        <v>23652</v>
      </c>
      <c r="G1228" s="15" t="s">
        <v>23653</v>
      </c>
      <c r="H1228" s="15" t="s">
        <v>23654</v>
      </c>
      <c r="I1228" s="15" t="s">
        <v>23655</v>
      </c>
      <c r="J1228" s="15" t="s">
        <v>23656</v>
      </c>
      <c r="K1228" s="15">
        <v>3037</v>
      </c>
      <c r="L1228" s="15" t="s">
        <v>19099</v>
      </c>
    </row>
    <row r="1229" spans="1:12" x14ac:dyDescent="0.25">
      <c r="A1229" s="2" t="s">
        <v>4315</v>
      </c>
      <c r="B1229" s="8" t="s">
        <v>16628</v>
      </c>
      <c r="C1229" s="2" t="s">
        <v>4315</v>
      </c>
      <c r="D1229" s="2" t="s">
        <v>4316</v>
      </c>
      <c r="E1229" s="4" t="s">
        <v>23657</v>
      </c>
      <c r="G1229" s="15" t="s">
        <v>23658</v>
      </c>
      <c r="H1229" s="15" t="s">
        <v>23659</v>
      </c>
      <c r="I1229" s="15" t="s">
        <v>23660</v>
      </c>
      <c r="J1229" s="15" t="s">
        <v>20299</v>
      </c>
      <c r="K1229" s="15">
        <v>119435</v>
      </c>
      <c r="L1229" s="15" t="s">
        <v>19099</v>
      </c>
    </row>
    <row r="1230" spans="1:12" x14ac:dyDescent="0.25">
      <c r="A1230" s="2" t="s">
        <v>4318</v>
      </c>
      <c r="B1230" s="8" t="s">
        <v>16629</v>
      </c>
      <c r="C1230" s="2" t="s">
        <v>4318</v>
      </c>
      <c r="D1230" s="2" t="s">
        <v>4319</v>
      </c>
      <c r="E1230" s="4" t="s">
        <v>23661</v>
      </c>
      <c r="G1230" s="15" t="s">
        <v>23662</v>
      </c>
      <c r="H1230" s="15" t="s">
        <v>23663</v>
      </c>
      <c r="I1230" s="15" t="s">
        <v>23664</v>
      </c>
      <c r="J1230" s="15" t="s">
        <v>23665</v>
      </c>
      <c r="K1230" s="15">
        <v>3039</v>
      </c>
      <c r="L1230" s="15" t="s">
        <v>19099</v>
      </c>
    </row>
    <row r="1231" spans="1:12" x14ac:dyDescent="0.25">
      <c r="A1231" s="2" t="s">
        <v>4321</v>
      </c>
      <c r="B1231" s="8" t="s">
        <v>16630</v>
      </c>
      <c r="C1231" s="2" t="s">
        <v>4321</v>
      </c>
      <c r="D1231" s="2" t="s">
        <v>4322</v>
      </c>
      <c r="E1231" s="4" t="s">
        <v>23666</v>
      </c>
      <c r="G1231" s="15" t="s">
        <v>23667</v>
      </c>
      <c r="H1231" s="15" t="s">
        <v>23668</v>
      </c>
      <c r="I1231" s="15" t="s">
        <v>23669</v>
      </c>
      <c r="J1231" s="15" t="s">
        <v>23670</v>
      </c>
      <c r="K1231" s="15">
        <v>23705</v>
      </c>
      <c r="L1231" s="15" t="s">
        <v>19099</v>
      </c>
    </row>
    <row r="1232" spans="1:12" x14ac:dyDescent="0.25">
      <c r="A1232" s="2" t="s">
        <v>4324</v>
      </c>
      <c r="B1232" s="8" t="s">
        <v>16631</v>
      </c>
      <c r="C1232" s="2" t="s">
        <v>4324</v>
      </c>
      <c r="D1232" s="2" t="s">
        <v>4325</v>
      </c>
      <c r="E1232" s="4" t="s">
        <v>23671</v>
      </c>
      <c r="G1232" s="15" t="s">
        <v>23672</v>
      </c>
      <c r="H1232" s="15" t="s">
        <v>23673</v>
      </c>
      <c r="I1232" s="15" t="s">
        <v>23674</v>
      </c>
      <c r="J1232" s="15" t="s">
        <v>23675</v>
      </c>
      <c r="K1232" s="15">
        <v>8753</v>
      </c>
      <c r="L1232" s="15" t="s">
        <v>19099</v>
      </c>
    </row>
    <row r="1233" spans="1:12" x14ac:dyDescent="0.25">
      <c r="A1233" s="2" t="s">
        <v>4327</v>
      </c>
      <c r="B1233" s="8" t="s">
        <v>16632</v>
      </c>
      <c r="C1233" s="2" t="s">
        <v>4327</v>
      </c>
      <c r="D1233" s="2" t="s">
        <v>4328</v>
      </c>
      <c r="E1233" s="4" t="s">
        <v>23676</v>
      </c>
      <c r="G1233" s="15" t="s">
        <v>23677</v>
      </c>
      <c r="H1233" s="15" t="s">
        <v>23678</v>
      </c>
      <c r="I1233" s="15" t="s">
        <v>23679</v>
      </c>
      <c r="J1233" s="15" t="s">
        <v>23680</v>
      </c>
      <c r="K1233" s="15">
        <v>16957</v>
      </c>
      <c r="L1233" s="15" t="s">
        <v>19099</v>
      </c>
    </row>
    <row r="1234" spans="1:12" x14ac:dyDescent="0.25">
      <c r="A1234" s="2" t="s">
        <v>4330</v>
      </c>
      <c r="B1234" s="8" t="s">
        <v>16633</v>
      </c>
      <c r="C1234" s="2" t="s">
        <v>4330</v>
      </c>
      <c r="D1234" s="2" t="s">
        <v>4331</v>
      </c>
      <c r="E1234" s="4" t="s">
        <v>23681</v>
      </c>
      <c r="G1234" s="15" t="s">
        <v>23682</v>
      </c>
      <c r="H1234" s="15" t="s">
        <v>23683</v>
      </c>
      <c r="I1234" s="15" t="s">
        <v>23684</v>
      </c>
      <c r="J1234" s="15" t="s">
        <v>23685</v>
      </c>
      <c r="K1234" s="15">
        <v>23558</v>
      </c>
      <c r="L1234" s="15" t="s">
        <v>19099</v>
      </c>
    </row>
    <row r="1235" spans="1:12" x14ac:dyDescent="0.25">
      <c r="A1235" s="2" t="s">
        <v>4333</v>
      </c>
      <c r="B1235" s="8" t="s">
        <v>16634</v>
      </c>
      <c r="C1235" s="2" t="s">
        <v>4333</v>
      </c>
      <c r="D1235" s="2" t="s">
        <v>4334</v>
      </c>
      <c r="E1235" s="4" t="s">
        <v>23686</v>
      </c>
      <c r="G1235" s="15" t="s">
        <v>23687</v>
      </c>
      <c r="H1235" s="15" t="s">
        <v>23688</v>
      </c>
      <c r="I1235" s="15" t="s">
        <v>23689</v>
      </c>
      <c r="J1235" s="15" t="s">
        <v>23690</v>
      </c>
      <c r="K1235" s="15">
        <v>98478</v>
      </c>
      <c r="L1235" s="15" t="s">
        <v>19099</v>
      </c>
    </row>
    <row r="1236" spans="1:12" x14ac:dyDescent="0.25">
      <c r="A1236" s="2" t="s">
        <v>4336</v>
      </c>
      <c r="B1236" s="8" t="s">
        <v>16180</v>
      </c>
      <c r="C1236" s="2" t="s">
        <v>4336</v>
      </c>
      <c r="D1236" s="2" t="s">
        <v>4337</v>
      </c>
      <c r="E1236" s="4" t="s">
        <v>23691</v>
      </c>
    </row>
    <row r="1237" spans="1:12" x14ac:dyDescent="0.25">
      <c r="A1237" s="2" t="s">
        <v>4338</v>
      </c>
      <c r="B1237" s="8" t="s">
        <v>16635</v>
      </c>
      <c r="C1237" s="2" t="s">
        <v>4338</v>
      </c>
      <c r="D1237" s="2" t="s">
        <v>4339</v>
      </c>
      <c r="E1237" s="4" t="s">
        <v>23692</v>
      </c>
      <c r="G1237" s="15" t="s">
        <v>23693</v>
      </c>
      <c r="H1237" s="15" t="s">
        <v>23694</v>
      </c>
      <c r="I1237" s="15" t="s">
        <v>23695</v>
      </c>
      <c r="J1237" s="15" t="s">
        <v>23696</v>
      </c>
      <c r="K1237" s="15">
        <v>533728</v>
      </c>
      <c r="L1237" s="15" t="s">
        <v>19099</v>
      </c>
    </row>
    <row r="1238" spans="1:12" x14ac:dyDescent="0.25">
      <c r="A1238" s="2" t="s">
        <v>4341</v>
      </c>
      <c r="B1238" s="8" t="s">
        <v>16180</v>
      </c>
      <c r="C1238" s="2" t="s">
        <v>4341</v>
      </c>
      <c r="D1238" s="2" t="s">
        <v>4342</v>
      </c>
      <c r="E1238" s="4" t="s">
        <v>23697</v>
      </c>
    </row>
    <row r="1239" spans="1:12" x14ac:dyDescent="0.25">
      <c r="A1239" s="2" t="s">
        <v>4343</v>
      </c>
      <c r="B1239" s="8" t="s">
        <v>16636</v>
      </c>
      <c r="C1239" s="2" t="s">
        <v>4343</v>
      </c>
      <c r="D1239" s="2" t="s">
        <v>4344</v>
      </c>
      <c r="E1239" s="4" t="s">
        <v>23698</v>
      </c>
      <c r="G1239" s="15" t="s">
        <v>23699</v>
      </c>
      <c r="H1239" s="15" t="s">
        <v>23700</v>
      </c>
      <c r="I1239" s="15" t="s">
        <v>23701</v>
      </c>
      <c r="J1239" s="15" t="s">
        <v>23702</v>
      </c>
      <c r="K1239" s="15">
        <v>4284</v>
      </c>
      <c r="L1239" s="15" t="s">
        <v>19099</v>
      </c>
    </row>
    <row r="1240" spans="1:12" x14ac:dyDescent="0.25">
      <c r="A1240" s="2" t="s">
        <v>4346</v>
      </c>
      <c r="B1240" s="8" t="s">
        <v>16637</v>
      </c>
      <c r="C1240" s="2" t="s">
        <v>4346</v>
      </c>
      <c r="D1240" s="2" t="s">
        <v>4347</v>
      </c>
      <c r="E1240" s="4" t="s">
        <v>23703</v>
      </c>
      <c r="G1240" s="15" t="s">
        <v>23704</v>
      </c>
      <c r="H1240" s="15" t="s">
        <v>23705</v>
      </c>
      <c r="I1240" s="15" t="s">
        <v>23706</v>
      </c>
      <c r="J1240" s="15" t="s">
        <v>23614</v>
      </c>
      <c r="K1240" s="15">
        <v>8343</v>
      </c>
      <c r="L1240" s="15" t="s">
        <v>19099</v>
      </c>
    </row>
    <row r="1241" spans="1:12" x14ac:dyDescent="0.25">
      <c r="A1241" s="2" t="s">
        <v>4349</v>
      </c>
      <c r="B1241" s="8" t="s">
        <v>16180</v>
      </c>
      <c r="C1241" s="2" t="s">
        <v>4349</v>
      </c>
      <c r="D1241" s="2" t="s">
        <v>4350</v>
      </c>
      <c r="E1241" s="4" t="s">
        <v>23707</v>
      </c>
    </row>
    <row r="1242" spans="1:12" x14ac:dyDescent="0.25">
      <c r="A1242" s="2" t="s">
        <v>4351</v>
      </c>
      <c r="B1242" s="8" t="s">
        <v>16180</v>
      </c>
      <c r="C1242" s="2" t="s">
        <v>4351</v>
      </c>
      <c r="D1242" s="2" t="s">
        <v>4352</v>
      </c>
      <c r="E1242" s="4" t="s">
        <v>23708</v>
      </c>
    </row>
    <row r="1243" spans="1:12" x14ac:dyDescent="0.25">
      <c r="A1243" s="2" t="s">
        <v>4353</v>
      </c>
      <c r="B1243" s="8" t="s">
        <v>16180</v>
      </c>
      <c r="C1243" s="2" t="s">
        <v>4353</v>
      </c>
      <c r="D1243" s="2" t="s">
        <v>4354</v>
      </c>
      <c r="E1243" s="4" t="s">
        <v>23709</v>
      </c>
    </row>
    <row r="1244" spans="1:12" x14ac:dyDescent="0.25">
      <c r="A1244" s="2" t="s">
        <v>4355</v>
      </c>
      <c r="B1244" s="8" t="s">
        <v>16180</v>
      </c>
      <c r="C1244" s="2" t="s">
        <v>4355</v>
      </c>
      <c r="D1244" s="2" t="s">
        <v>4356</v>
      </c>
      <c r="E1244" s="4" t="s">
        <v>23710</v>
      </c>
    </row>
    <row r="1245" spans="1:12" x14ac:dyDescent="0.25">
      <c r="A1245" s="2" t="s">
        <v>4357</v>
      </c>
      <c r="B1245" s="8" t="s">
        <v>16638</v>
      </c>
      <c r="C1245" s="2" t="s">
        <v>4357</v>
      </c>
      <c r="D1245" s="2" t="s">
        <v>4358</v>
      </c>
      <c r="E1245" s="4" t="s">
        <v>23711</v>
      </c>
      <c r="G1245" s="15" t="s">
        <v>23712</v>
      </c>
      <c r="H1245" s="15" t="s">
        <v>23713</v>
      </c>
      <c r="I1245" s="15" t="s">
        <v>23714</v>
      </c>
      <c r="J1245" s="15" t="s">
        <v>21388</v>
      </c>
      <c r="K1245" s="15">
        <v>11487</v>
      </c>
      <c r="L1245" s="15" t="s">
        <v>19099</v>
      </c>
    </row>
    <row r="1246" spans="1:12" x14ac:dyDescent="0.25">
      <c r="A1246" s="2" t="s">
        <v>4360</v>
      </c>
      <c r="B1246" s="8" t="s">
        <v>16639</v>
      </c>
      <c r="C1246" s="2" t="s">
        <v>4360</v>
      </c>
      <c r="D1246" s="2" t="s">
        <v>4361</v>
      </c>
      <c r="E1246" s="4" t="s">
        <v>23715</v>
      </c>
      <c r="G1246" s="15" t="s">
        <v>23716</v>
      </c>
      <c r="H1246" s="15" t="s">
        <v>23717</v>
      </c>
      <c r="I1246" s="15" t="s">
        <v>23718</v>
      </c>
      <c r="J1246" s="15" t="s">
        <v>21607</v>
      </c>
      <c r="K1246" s="15">
        <v>6838</v>
      </c>
      <c r="L1246" s="15" t="s">
        <v>19099</v>
      </c>
    </row>
    <row r="1247" spans="1:12" x14ac:dyDescent="0.25">
      <c r="A1247" s="2" t="s">
        <v>4363</v>
      </c>
      <c r="B1247" s="8" t="s">
        <v>16180</v>
      </c>
      <c r="C1247" s="2" t="s">
        <v>4363</v>
      </c>
      <c r="D1247" s="2" t="s">
        <v>4364</v>
      </c>
      <c r="E1247" s="4" t="s">
        <v>23719</v>
      </c>
    </row>
    <row r="1248" spans="1:12" x14ac:dyDescent="0.25">
      <c r="A1248" s="2" t="s">
        <v>4365</v>
      </c>
      <c r="B1248" s="8" t="s">
        <v>16640</v>
      </c>
      <c r="C1248" s="2" t="s">
        <v>4365</v>
      </c>
      <c r="D1248" s="2" t="s">
        <v>4366</v>
      </c>
      <c r="E1248" s="4" t="s">
        <v>4366</v>
      </c>
      <c r="G1248" s="15" t="s">
        <v>23720</v>
      </c>
      <c r="H1248" s="15" t="s">
        <v>23721</v>
      </c>
      <c r="I1248" s="15" t="s">
        <v>23722</v>
      </c>
      <c r="J1248" s="15" t="s">
        <v>23517</v>
      </c>
      <c r="K1248" s="15">
        <v>7586</v>
      </c>
      <c r="L1248" s="15" t="s">
        <v>19099</v>
      </c>
    </row>
    <row r="1249" spans="1:12" x14ac:dyDescent="0.25">
      <c r="A1249" s="2" t="s">
        <v>4368</v>
      </c>
      <c r="B1249" s="8" t="s">
        <v>16641</v>
      </c>
      <c r="C1249" s="2" t="s">
        <v>4368</v>
      </c>
      <c r="D1249" s="2" t="s">
        <v>4369</v>
      </c>
      <c r="E1249" s="4" t="s">
        <v>4369</v>
      </c>
      <c r="G1249" s="15" t="s">
        <v>23723</v>
      </c>
      <c r="H1249" s="15" t="s">
        <v>23724</v>
      </c>
      <c r="I1249" s="15" t="s">
        <v>23725</v>
      </c>
      <c r="J1249" s="15" t="s">
        <v>23726</v>
      </c>
      <c r="K1249" s="15">
        <v>10635</v>
      </c>
      <c r="L1249" s="15" t="s">
        <v>19099</v>
      </c>
    </row>
    <row r="1250" spans="1:12" ht="30" customHeight="1" x14ac:dyDescent="0.25">
      <c r="A1250" s="2" t="s">
        <v>4371</v>
      </c>
      <c r="B1250" s="8" t="s">
        <v>16642</v>
      </c>
      <c r="C1250" s="2" t="s">
        <v>4371</v>
      </c>
      <c r="D1250" s="2" t="s">
        <v>4372</v>
      </c>
      <c r="E1250" s="4" t="s">
        <v>23727</v>
      </c>
    </row>
    <row r="1251" spans="1:12" x14ac:dyDescent="0.25">
      <c r="A1251" s="2" t="s">
        <v>4374</v>
      </c>
      <c r="B1251" s="8" t="s">
        <v>16643</v>
      </c>
      <c r="C1251" s="2" t="s">
        <v>4374</v>
      </c>
      <c r="D1251" s="2" t="s">
        <v>4375</v>
      </c>
      <c r="E1251" s="4" t="s">
        <v>4375</v>
      </c>
      <c r="G1251" s="15" t="s">
        <v>23728</v>
      </c>
      <c r="H1251" s="15" t="s">
        <v>23729</v>
      </c>
      <c r="I1251" s="15" t="s">
        <v>23730</v>
      </c>
      <c r="J1251" s="15" t="s">
        <v>23731</v>
      </c>
      <c r="K1251" s="15">
        <v>6665</v>
      </c>
      <c r="L1251" s="15" t="s">
        <v>19099</v>
      </c>
    </row>
    <row r="1252" spans="1:12" x14ac:dyDescent="0.25">
      <c r="A1252" s="2" t="s">
        <v>4377</v>
      </c>
      <c r="B1252" s="8" t="s">
        <v>16644</v>
      </c>
      <c r="C1252" s="2" t="s">
        <v>4377</v>
      </c>
      <c r="D1252" s="2" t="s">
        <v>4378</v>
      </c>
      <c r="E1252" s="4" t="s">
        <v>4378</v>
      </c>
      <c r="G1252" s="15" t="s">
        <v>23732</v>
      </c>
      <c r="H1252" s="15" t="s">
        <v>23733</v>
      </c>
      <c r="I1252" s="15" t="s">
        <v>23734</v>
      </c>
      <c r="J1252" s="15" t="s">
        <v>22404</v>
      </c>
      <c r="K1252" s="15">
        <v>29096</v>
      </c>
      <c r="L1252" s="15" t="s">
        <v>19099</v>
      </c>
    </row>
    <row r="1253" spans="1:12" x14ac:dyDescent="0.25">
      <c r="A1253" s="2" t="s">
        <v>4380</v>
      </c>
      <c r="B1253" s="8" t="s">
        <v>16645</v>
      </c>
      <c r="C1253" s="2" t="s">
        <v>4380</v>
      </c>
      <c r="D1253" s="2" t="s">
        <v>4381</v>
      </c>
      <c r="E1253" s="4" t="s">
        <v>4381</v>
      </c>
      <c r="G1253" s="15" t="s">
        <v>23735</v>
      </c>
      <c r="H1253" s="15" t="s">
        <v>23736</v>
      </c>
      <c r="I1253" s="15" t="s">
        <v>23737</v>
      </c>
      <c r="J1253" s="15" t="s">
        <v>23738</v>
      </c>
      <c r="K1253" s="15">
        <v>7197</v>
      </c>
      <c r="L1253" s="15" t="s">
        <v>19099</v>
      </c>
    </row>
    <row r="1254" spans="1:12" x14ac:dyDescent="0.25">
      <c r="A1254" s="2" t="s">
        <v>4383</v>
      </c>
      <c r="B1254" s="8" t="s">
        <v>16180</v>
      </c>
      <c r="C1254" s="2" t="s">
        <v>4383</v>
      </c>
      <c r="D1254" s="2" t="s">
        <v>4384</v>
      </c>
      <c r="E1254" s="4" t="s">
        <v>23739</v>
      </c>
    </row>
    <row r="1255" spans="1:12" x14ac:dyDescent="0.25">
      <c r="A1255" s="2" t="s">
        <v>4385</v>
      </c>
      <c r="B1255" s="8" t="s">
        <v>16180</v>
      </c>
      <c r="C1255" s="2" t="s">
        <v>4385</v>
      </c>
      <c r="D1255" s="2" t="s">
        <v>4386</v>
      </c>
      <c r="E1255" s="4" t="s">
        <v>23740</v>
      </c>
    </row>
    <row r="1256" spans="1:12" x14ac:dyDescent="0.25">
      <c r="A1256" s="2" t="s">
        <v>4387</v>
      </c>
      <c r="B1256" s="8" t="s">
        <v>16180</v>
      </c>
      <c r="C1256" s="2" t="s">
        <v>4387</v>
      </c>
      <c r="D1256" s="2" t="s">
        <v>4388</v>
      </c>
      <c r="E1256" s="4" t="s">
        <v>23741</v>
      </c>
      <c r="G1256" s="15" t="s">
        <v>23742</v>
      </c>
      <c r="H1256" s="15" t="s">
        <v>23743</v>
      </c>
      <c r="I1256" s="15" t="s">
        <v>23744</v>
      </c>
      <c r="J1256" s="15" t="s">
        <v>23745</v>
      </c>
      <c r="K1256" s="15">
        <v>655</v>
      </c>
      <c r="L1256" s="15" t="s">
        <v>19995</v>
      </c>
    </row>
    <row r="1257" spans="1:12" x14ac:dyDescent="0.25">
      <c r="A1257" s="2" t="s">
        <v>4389</v>
      </c>
      <c r="B1257" s="8" t="s">
        <v>16180</v>
      </c>
      <c r="C1257" s="2" t="s">
        <v>4389</v>
      </c>
      <c r="D1257" s="2" t="s">
        <v>4390</v>
      </c>
      <c r="E1257" s="4" t="s">
        <v>23746</v>
      </c>
    </row>
    <row r="1258" spans="1:12" x14ac:dyDescent="0.25">
      <c r="A1258" s="2" t="s">
        <v>4391</v>
      </c>
      <c r="B1258" s="8" t="s">
        <v>16646</v>
      </c>
      <c r="C1258" s="2" t="s">
        <v>4391</v>
      </c>
      <c r="D1258" s="2" t="s">
        <v>4392</v>
      </c>
      <c r="E1258" s="4" t="s">
        <v>23747</v>
      </c>
      <c r="G1258" s="15" t="s">
        <v>23748</v>
      </c>
      <c r="H1258" s="15" t="s">
        <v>23749</v>
      </c>
      <c r="I1258" s="15" t="s">
        <v>23750</v>
      </c>
      <c r="J1258" s="15" t="s">
        <v>23751</v>
      </c>
      <c r="K1258" s="15">
        <v>62431</v>
      </c>
      <c r="L1258" s="15" t="s">
        <v>19099</v>
      </c>
    </row>
    <row r="1259" spans="1:12" x14ac:dyDescent="0.25">
      <c r="A1259" s="2" t="s">
        <v>4394</v>
      </c>
      <c r="B1259" s="8" t="s">
        <v>16647</v>
      </c>
      <c r="C1259" s="2" t="s">
        <v>4394</v>
      </c>
      <c r="D1259" s="2" t="s">
        <v>4395</v>
      </c>
      <c r="E1259" s="4" t="s">
        <v>4395</v>
      </c>
      <c r="G1259" s="15" t="s">
        <v>23752</v>
      </c>
      <c r="H1259" s="15" t="s">
        <v>23753</v>
      </c>
      <c r="I1259" s="15" t="s">
        <v>23754</v>
      </c>
      <c r="J1259" s="15" t="s">
        <v>23755</v>
      </c>
      <c r="K1259" s="15">
        <v>738302</v>
      </c>
      <c r="L1259" s="15" t="s">
        <v>19099</v>
      </c>
    </row>
    <row r="1260" spans="1:12" x14ac:dyDescent="0.25">
      <c r="A1260" s="2" t="s">
        <v>4397</v>
      </c>
      <c r="B1260" s="8" t="s">
        <v>16648</v>
      </c>
      <c r="C1260" s="2" t="s">
        <v>4397</v>
      </c>
      <c r="D1260" s="2" t="s">
        <v>4398</v>
      </c>
      <c r="E1260" s="4" t="s">
        <v>4398</v>
      </c>
      <c r="G1260" s="15" t="s">
        <v>23756</v>
      </c>
      <c r="H1260" s="15" t="s">
        <v>23757</v>
      </c>
      <c r="I1260" s="15" t="s">
        <v>23758</v>
      </c>
      <c r="J1260" s="15" t="s">
        <v>23759</v>
      </c>
      <c r="K1260" s="15">
        <v>10800</v>
      </c>
      <c r="L1260" s="15" t="s">
        <v>19099</v>
      </c>
    </row>
    <row r="1261" spans="1:12" x14ac:dyDescent="0.25">
      <c r="A1261" s="2" t="s">
        <v>4400</v>
      </c>
      <c r="B1261" s="8" t="s">
        <v>16649</v>
      </c>
      <c r="C1261" s="2" t="s">
        <v>4400</v>
      </c>
      <c r="D1261" s="2" t="s">
        <v>4401</v>
      </c>
      <c r="E1261" s="4" t="s">
        <v>23760</v>
      </c>
      <c r="G1261" s="15" t="s">
        <v>23761</v>
      </c>
      <c r="H1261" s="15" t="s">
        <v>23762</v>
      </c>
      <c r="I1261" s="15" t="s">
        <v>23763</v>
      </c>
      <c r="J1261" s="15" t="s">
        <v>23764</v>
      </c>
      <c r="K1261" s="15">
        <v>61088</v>
      </c>
      <c r="L1261" s="15" t="s">
        <v>19099</v>
      </c>
    </row>
    <row r="1262" spans="1:12" x14ac:dyDescent="0.25">
      <c r="A1262" s="2" t="s">
        <v>4403</v>
      </c>
      <c r="B1262" s="8" t="s">
        <v>16650</v>
      </c>
      <c r="C1262" s="2" t="s">
        <v>4403</v>
      </c>
      <c r="D1262" s="2" t="s">
        <v>4404</v>
      </c>
      <c r="E1262" s="4" t="s">
        <v>23765</v>
      </c>
      <c r="G1262" s="15" t="s">
        <v>23766</v>
      </c>
      <c r="H1262" s="15" t="s">
        <v>23767</v>
      </c>
      <c r="I1262" s="15" t="s">
        <v>23768</v>
      </c>
      <c r="J1262" s="15" t="s">
        <v>23769</v>
      </c>
      <c r="K1262" s="15">
        <v>7879</v>
      </c>
      <c r="L1262" s="15" t="s">
        <v>19099</v>
      </c>
    </row>
    <row r="1263" spans="1:12" x14ac:dyDescent="0.25">
      <c r="A1263" s="2" t="s">
        <v>4406</v>
      </c>
      <c r="B1263" s="8" t="s">
        <v>16651</v>
      </c>
      <c r="C1263" s="2" t="s">
        <v>4406</v>
      </c>
      <c r="D1263" s="2" t="s">
        <v>4407</v>
      </c>
      <c r="E1263" s="4" t="s">
        <v>23770</v>
      </c>
      <c r="G1263" s="15" t="s">
        <v>23771</v>
      </c>
      <c r="H1263" s="15" t="s">
        <v>23772</v>
      </c>
      <c r="I1263" s="15" t="s">
        <v>23773</v>
      </c>
      <c r="J1263" s="15" t="s">
        <v>23774</v>
      </c>
      <c r="K1263" s="15">
        <v>62581</v>
      </c>
      <c r="L1263" s="15" t="s">
        <v>19099</v>
      </c>
    </row>
    <row r="1264" spans="1:12" ht="30" customHeight="1" x14ac:dyDescent="0.25">
      <c r="A1264" s="2" t="s">
        <v>4409</v>
      </c>
      <c r="B1264" s="8" t="s">
        <v>16652</v>
      </c>
      <c r="C1264" s="2" t="s">
        <v>4409</v>
      </c>
      <c r="D1264" s="2" t="s">
        <v>4410</v>
      </c>
      <c r="E1264" s="4" t="s">
        <v>23775</v>
      </c>
      <c r="G1264" s="15" t="s">
        <v>23776</v>
      </c>
      <c r="H1264" s="15" t="s">
        <v>23777</v>
      </c>
      <c r="I1264" s="15" t="s">
        <v>23778</v>
      </c>
      <c r="J1264" s="15" t="s">
        <v>23779</v>
      </c>
      <c r="K1264" s="15">
        <v>52915299</v>
      </c>
      <c r="L1264" s="15" t="s">
        <v>19099</v>
      </c>
    </row>
    <row r="1265" spans="1:12" x14ac:dyDescent="0.25">
      <c r="A1265" s="2" t="s">
        <v>4412</v>
      </c>
      <c r="B1265" s="8" t="s">
        <v>16180</v>
      </c>
      <c r="C1265" s="2" t="s">
        <v>4412</v>
      </c>
      <c r="D1265" s="2" t="s">
        <v>4413</v>
      </c>
      <c r="E1265" s="4" t="s">
        <v>23780</v>
      </c>
    </row>
    <row r="1266" spans="1:12" x14ac:dyDescent="0.25">
      <c r="A1266" s="2" t="s">
        <v>4414</v>
      </c>
      <c r="B1266" s="8" t="s">
        <v>16180</v>
      </c>
      <c r="C1266" s="2" t="s">
        <v>4414</v>
      </c>
      <c r="D1266" s="2" t="s">
        <v>4415</v>
      </c>
      <c r="E1266" s="4" t="s">
        <v>23781</v>
      </c>
    </row>
    <row r="1267" spans="1:12" x14ac:dyDescent="0.25">
      <c r="A1267" s="2" t="s">
        <v>4416</v>
      </c>
      <c r="B1267" s="8" t="s">
        <v>16180</v>
      </c>
      <c r="C1267" s="2" t="s">
        <v>4416</v>
      </c>
      <c r="D1267" s="2" t="s">
        <v>4417</v>
      </c>
      <c r="E1267" s="4" t="s">
        <v>23782</v>
      </c>
    </row>
    <row r="1268" spans="1:12" x14ac:dyDescent="0.25">
      <c r="A1268" s="2" t="s">
        <v>4418</v>
      </c>
      <c r="B1268" s="8" t="s">
        <v>16653</v>
      </c>
      <c r="C1268" s="2" t="s">
        <v>4418</v>
      </c>
      <c r="D1268" s="2" t="s">
        <v>4419</v>
      </c>
      <c r="E1268" s="4" t="s">
        <v>4419</v>
      </c>
      <c r="G1268" s="15" t="s">
        <v>23783</v>
      </c>
      <c r="H1268" s="15" t="s">
        <v>23784</v>
      </c>
      <c r="I1268" s="15" t="s">
        <v>23785</v>
      </c>
      <c r="J1268" s="15" t="s">
        <v>23786</v>
      </c>
      <c r="K1268" s="15">
        <v>23421</v>
      </c>
      <c r="L1268" s="15" t="s">
        <v>19099</v>
      </c>
    </row>
    <row r="1269" spans="1:12" x14ac:dyDescent="0.25">
      <c r="A1269" s="2" t="s">
        <v>4421</v>
      </c>
      <c r="B1269" s="8" t="s">
        <v>16654</v>
      </c>
      <c r="C1269" s="2" t="s">
        <v>4421</v>
      </c>
      <c r="D1269" s="2" t="s">
        <v>4422</v>
      </c>
      <c r="E1269" s="4" t="s">
        <v>23787</v>
      </c>
      <c r="G1269" s="15" t="s">
        <v>23788</v>
      </c>
      <c r="H1269" s="15" t="s">
        <v>23789</v>
      </c>
      <c r="I1269" s="15" t="s">
        <v>23790</v>
      </c>
      <c r="J1269" s="15" t="s">
        <v>23791</v>
      </c>
      <c r="K1269" s="15">
        <v>19657</v>
      </c>
      <c r="L1269" s="15" t="s">
        <v>19099</v>
      </c>
    </row>
    <row r="1270" spans="1:12" x14ac:dyDescent="0.25">
      <c r="A1270" s="2" t="s">
        <v>4424</v>
      </c>
      <c r="B1270" s="8" t="s">
        <v>16655</v>
      </c>
      <c r="C1270" s="2" t="s">
        <v>4424</v>
      </c>
      <c r="D1270" s="2" t="s">
        <v>4425</v>
      </c>
      <c r="E1270" s="4" t="s">
        <v>4425</v>
      </c>
      <c r="G1270" s="15" t="s">
        <v>23792</v>
      </c>
      <c r="H1270" s="15" t="s">
        <v>23793</v>
      </c>
      <c r="I1270" s="15" t="s">
        <v>23794</v>
      </c>
      <c r="J1270" s="15" t="s">
        <v>23795</v>
      </c>
      <c r="K1270" s="15">
        <v>6531</v>
      </c>
      <c r="L1270" s="15" t="s">
        <v>19099</v>
      </c>
    </row>
    <row r="1271" spans="1:12" x14ac:dyDescent="0.25">
      <c r="A1271" s="2" t="s">
        <v>4427</v>
      </c>
      <c r="B1271" s="8" t="s">
        <v>16656</v>
      </c>
      <c r="C1271" s="2" t="s">
        <v>4427</v>
      </c>
      <c r="D1271" s="2" t="s">
        <v>4428</v>
      </c>
      <c r="E1271" s="4" t="s">
        <v>4428</v>
      </c>
      <c r="G1271" s="15" t="s">
        <v>23796</v>
      </c>
      <c r="H1271" s="15" t="s">
        <v>23797</v>
      </c>
      <c r="I1271" s="15" t="s">
        <v>23798</v>
      </c>
      <c r="J1271" s="15" t="s">
        <v>20308</v>
      </c>
      <c r="K1271" s="15">
        <v>92292</v>
      </c>
      <c r="L1271" s="15" t="s">
        <v>19099</v>
      </c>
    </row>
    <row r="1272" spans="1:12" x14ac:dyDescent="0.25">
      <c r="A1272" s="2" t="s">
        <v>4430</v>
      </c>
      <c r="B1272" s="8" t="s">
        <v>16180</v>
      </c>
      <c r="C1272" s="2" t="s">
        <v>4430</v>
      </c>
      <c r="D1272" s="2" t="s">
        <v>4431</v>
      </c>
      <c r="E1272" s="4" t="s">
        <v>23799</v>
      </c>
    </row>
    <row r="1273" spans="1:12" x14ac:dyDescent="0.25">
      <c r="A1273" s="2" t="s">
        <v>4432</v>
      </c>
      <c r="B1273" s="8" t="s">
        <v>16180</v>
      </c>
      <c r="C1273" s="2" t="s">
        <v>4432</v>
      </c>
      <c r="D1273" s="2" t="s">
        <v>4433</v>
      </c>
      <c r="E1273" s="4" t="s">
        <v>23800</v>
      </c>
    </row>
    <row r="1274" spans="1:12" x14ac:dyDescent="0.25">
      <c r="A1274" s="2" t="s">
        <v>4434</v>
      </c>
      <c r="B1274" s="8" t="s">
        <v>16180</v>
      </c>
      <c r="C1274" s="2" t="s">
        <v>4434</v>
      </c>
      <c r="D1274" s="2" t="s">
        <v>4435</v>
      </c>
      <c r="E1274" s="4" t="s">
        <v>23801</v>
      </c>
    </row>
    <row r="1275" spans="1:12" x14ac:dyDescent="0.25">
      <c r="A1275" s="2" t="s">
        <v>4436</v>
      </c>
      <c r="B1275" s="8" t="s">
        <v>16180</v>
      </c>
      <c r="C1275" s="2" t="s">
        <v>4436</v>
      </c>
      <c r="D1275" s="2" t="s">
        <v>4437</v>
      </c>
      <c r="E1275" s="4" t="s">
        <v>23802</v>
      </c>
    </row>
    <row r="1276" spans="1:12" x14ac:dyDescent="0.25">
      <c r="A1276" s="2" t="s">
        <v>4438</v>
      </c>
      <c r="B1276" s="8" t="s">
        <v>16180</v>
      </c>
      <c r="C1276" s="2" t="s">
        <v>4438</v>
      </c>
      <c r="D1276" s="2" t="s">
        <v>4439</v>
      </c>
      <c r="E1276" s="4" t="s">
        <v>23803</v>
      </c>
    </row>
    <row r="1277" spans="1:12" x14ac:dyDescent="0.25">
      <c r="A1277" s="2" t="s">
        <v>4440</v>
      </c>
      <c r="B1277" s="8" t="s">
        <v>16180</v>
      </c>
      <c r="C1277" s="2" t="s">
        <v>4440</v>
      </c>
      <c r="D1277" s="2" t="s">
        <v>4441</v>
      </c>
      <c r="E1277" s="4" t="s">
        <v>23804</v>
      </c>
    </row>
    <row r="1278" spans="1:12" x14ac:dyDescent="0.25">
      <c r="A1278" s="2" t="s">
        <v>4442</v>
      </c>
      <c r="B1278" s="8" t="s">
        <v>16180</v>
      </c>
      <c r="C1278" s="2" t="s">
        <v>4442</v>
      </c>
      <c r="D1278" s="2" t="s">
        <v>4443</v>
      </c>
      <c r="E1278" s="4" t="s">
        <v>23805</v>
      </c>
    </row>
    <row r="1279" spans="1:12" x14ac:dyDescent="0.25">
      <c r="A1279" s="2" t="s">
        <v>4444</v>
      </c>
      <c r="B1279" s="8" t="s">
        <v>16180</v>
      </c>
      <c r="C1279" s="2" t="s">
        <v>4444</v>
      </c>
      <c r="D1279" s="2" t="s">
        <v>4445</v>
      </c>
      <c r="E1279" s="4" t="s">
        <v>23806</v>
      </c>
    </row>
    <row r="1280" spans="1:12" x14ac:dyDescent="0.25">
      <c r="A1280" s="2" t="s">
        <v>4446</v>
      </c>
      <c r="B1280" s="8" t="s">
        <v>16180</v>
      </c>
      <c r="C1280" s="2" t="s">
        <v>4446</v>
      </c>
      <c r="D1280" s="2" t="s">
        <v>4447</v>
      </c>
      <c r="E1280" s="4" t="s">
        <v>23807</v>
      </c>
    </row>
    <row r="1281" spans="1:12" x14ac:dyDescent="0.25">
      <c r="A1281" s="2" t="s">
        <v>4448</v>
      </c>
      <c r="B1281" s="8" t="s">
        <v>16180</v>
      </c>
      <c r="C1281" s="2" t="s">
        <v>4448</v>
      </c>
      <c r="D1281" s="2" t="s">
        <v>4449</v>
      </c>
      <c r="E1281" s="4" t="s">
        <v>23808</v>
      </c>
    </row>
    <row r="1282" spans="1:12" x14ac:dyDescent="0.25">
      <c r="A1282" s="2" t="s">
        <v>4450</v>
      </c>
      <c r="B1282" s="8" t="s">
        <v>16657</v>
      </c>
      <c r="C1282" s="2" t="s">
        <v>4450</v>
      </c>
      <c r="D1282" s="2" t="s">
        <v>4451</v>
      </c>
      <c r="E1282" s="4" t="s">
        <v>23809</v>
      </c>
      <c r="G1282" s="15" t="s">
        <v>23810</v>
      </c>
      <c r="H1282" s="15" t="s">
        <v>23811</v>
      </c>
      <c r="I1282" s="15" t="s">
        <v>23812</v>
      </c>
      <c r="J1282" s="15" t="s">
        <v>23813</v>
      </c>
      <c r="K1282" s="15">
        <v>3053</v>
      </c>
      <c r="L1282" s="15" t="s">
        <v>19099</v>
      </c>
    </row>
    <row r="1283" spans="1:12" ht="30" customHeight="1" x14ac:dyDescent="0.25">
      <c r="A1283" s="2" t="s">
        <v>4453</v>
      </c>
      <c r="B1283" s="8" t="s">
        <v>16658</v>
      </c>
      <c r="C1283" s="2" t="s">
        <v>4453</v>
      </c>
      <c r="D1283" s="2" t="s">
        <v>4454</v>
      </c>
      <c r="E1283" s="4" t="s">
        <v>23814</v>
      </c>
      <c r="G1283" s="15" t="s">
        <v>23815</v>
      </c>
      <c r="H1283" s="15" t="s">
        <v>23816</v>
      </c>
      <c r="I1283" s="15" t="s">
        <v>23817</v>
      </c>
      <c r="J1283" s="15" t="s">
        <v>23818</v>
      </c>
      <c r="K1283" s="15">
        <v>85128</v>
      </c>
      <c r="L1283" s="15" t="s">
        <v>19099</v>
      </c>
    </row>
    <row r="1284" spans="1:12" x14ac:dyDescent="0.25">
      <c r="A1284" s="2" t="s">
        <v>4456</v>
      </c>
      <c r="B1284" s="8" t="s">
        <v>16180</v>
      </c>
      <c r="C1284" s="2" t="s">
        <v>4456</v>
      </c>
      <c r="D1284" s="2" t="s">
        <v>4457</v>
      </c>
      <c r="E1284" s="4" t="s">
        <v>23819</v>
      </c>
    </row>
    <row r="1285" spans="1:12" x14ac:dyDescent="0.25">
      <c r="A1285" s="2" t="s">
        <v>4458</v>
      </c>
      <c r="B1285" s="8" t="s">
        <v>16659</v>
      </c>
      <c r="C1285" s="2" t="s">
        <v>4458</v>
      </c>
      <c r="D1285" s="2" t="s">
        <v>4459</v>
      </c>
      <c r="E1285" s="4" t="s">
        <v>23820</v>
      </c>
      <c r="G1285" s="15" t="s">
        <v>23821</v>
      </c>
      <c r="H1285" s="15" t="s">
        <v>23822</v>
      </c>
      <c r="I1285" s="15" t="s">
        <v>23823</v>
      </c>
      <c r="J1285" s="15" t="s">
        <v>23824</v>
      </c>
      <c r="K1285" s="15">
        <v>11043496</v>
      </c>
      <c r="L1285" s="15" t="s">
        <v>19099</v>
      </c>
    </row>
    <row r="1286" spans="1:12" x14ac:dyDescent="0.25">
      <c r="A1286" s="2" t="s">
        <v>4461</v>
      </c>
      <c r="B1286" s="8" t="s">
        <v>16660</v>
      </c>
      <c r="C1286" s="2" t="s">
        <v>4461</v>
      </c>
      <c r="D1286" s="2" t="s">
        <v>4462</v>
      </c>
      <c r="E1286" s="4" t="s">
        <v>4462</v>
      </c>
      <c r="G1286" s="15" t="s">
        <v>23825</v>
      </c>
      <c r="H1286" s="15" t="s">
        <v>23826</v>
      </c>
      <c r="I1286" s="15" t="s">
        <v>23827</v>
      </c>
      <c r="J1286" s="15" t="s">
        <v>23828</v>
      </c>
      <c r="K1286" s="15">
        <v>25146</v>
      </c>
      <c r="L1286" s="15" t="s">
        <v>19099</v>
      </c>
    </row>
    <row r="1287" spans="1:12" x14ac:dyDescent="0.25">
      <c r="A1287" s="2" t="s">
        <v>4464</v>
      </c>
      <c r="B1287" s="8" t="s">
        <v>16661</v>
      </c>
      <c r="C1287" s="2" t="s">
        <v>4464</v>
      </c>
      <c r="D1287" s="2" t="s">
        <v>4465</v>
      </c>
      <c r="E1287" s="4" t="s">
        <v>23829</v>
      </c>
      <c r="G1287" s="15" t="s">
        <v>23830</v>
      </c>
      <c r="H1287" s="15" t="s">
        <v>23831</v>
      </c>
      <c r="I1287" s="15" t="s">
        <v>23832</v>
      </c>
      <c r="J1287" s="15" t="s">
        <v>23833</v>
      </c>
      <c r="K1287" s="15">
        <v>5284376</v>
      </c>
      <c r="L1287" s="15" t="s">
        <v>19099</v>
      </c>
    </row>
    <row r="1288" spans="1:12" x14ac:dyDescent="0.25">
      <c r="A1288" s="2" t="s">
        <v>4467</v>
      </c>
      <c r="B1288" s="8" t="s">
        <v>16662</v>
      </c>
      <c r="C1288" s="2" t="s">
        <v>4467</v>
      </c>
      <c r="D1288" s="2" t="s">
        <v>4468</v>
      </c>
      <c r="E1288" s="4" t="s">
        <v>23834</v>
      </c>
      <c r="G1288" s="15" t="s">
        <v>23834</v>
      </c>
      <c r="H1288" s="15" t="s">
        <v>23835</v>
      </c>
      <c r="I1288" s="15" t="s">
        <v>23836</v>
      </c>
      <c r="J1288" s="15" t="s">
        <v>23837</v>
      </c>
      <c r="K1288" s="15">
        <v>9550</v>
      </c>
      <c r="L1288" s="15" t="s">
        <v>19099</v>
      </c>
    </row>
    <row r="1289" spans="1:12" x14ac:dyDescent="0.25">
      <c r="A1289" s="2" t="s">
        <v>4470</v>
      </c>
      <c r="B1289" s="8" t="s">
        <v>16663</v>
      </c>
      <c r="C1289" s="2" t="s">
        <v>4470</v>
      </c>
      <c r="D1289" s="2" t="s">
        <v>4471</v>
      </c>
      <c r="E1289" s="4" t="s">
        <v>23838</v>
      </c>
      <c r="G1289" s="15" t="s">
        <v>23839</v>
      </c>
      <c r="H1289" s="15" t="s">
        <v>23840</v>
      </c>
      <c r="I1289" s="15" t="s">
        <v>23841</v>
      </c>
      <c r="J1289" s="15" t="s">
        <v>23842</v>
      </c>
      <c r="K1289" s="15">
        <v>11954297</v>
      </c>
      <c r="L1289" s="15" t="s">
        <v>19099</v>
      </c>
    </row>
    <row r="1290" spans="1:12" x14ac:dyDescent="0.25">
      <c r="A1290" s="2" t="s">
        <v>4473</v>
      </c>
      <c r="B1290" s="8" t="s">
        <v>16664</v>
      </c>
      <c r="C1290" s="2" t="s">
        <v>4473</v>
      </c>
      <c r="D1290" s="2" t="s">
        <v>4474</v>
      </c>
      <c r="E1290" s="4" t="s">
        <v>4474</v>
      </c>
      <c r="G1290" s="15" t="s">
        <v>23843</v>
      </c>
      <c r="H1290" s="15" t="s">
        <v>23844</v>
      </c>
      <c r="I1290" s="15" t="s">
        <v>23845</v>
      </c>
      <c r="J1290" s="15" t="s">
        <v>23846</v>
      </c>
      <c r="K1290" s="15">
        <v>3017</v>
      </c>
      <c r="L1290" s="15" t="s">
        <v>19099</v>
      </c>
    </row>
    <row r="1291" spans="1:12" x14ac:dyDescent="0.25">
      <c r="A1291" s="2" t="s">
        <v>4476</v>
      </c>
      <c r="B1291" s="8" t="s">
        <v>16666</v>
      </c>
      <c r="C1291" s="2" t="s">
        <v>4476</v>
      </c>
      <c r="D1291" s="2" t="s">
        <v>4477</v>
      </c>
      <c r="E1291" s="4" t="s">
        <v>4477</v>
      </c>
      <c r="G1291" s="15" t="s">
        <v>23847</v>
      </c>
      <c r="H1291" s="15" t="s">
        <v>23848</v>
      </c>
      <c r="I1291" s="15" t="s">
        <v>23849</v>
      </c>
      <c r="J1291" s="15" t="s">
        <v>23850</v>
      </c>
      <c r="K1291" s="15">
        <v>7656</v>
      </c>
      <c r="L1291" s="15" t="s">
        <v>19099</v>
      </c>
    </row>
    <row r="1292" spans="1:12" x14ac:dyDescent="0.25">
      <c r="A1292" s="2" t="s">
        <v>4479</v>
      </c>
      <c r="B1292" s="8" t="s">
        <v>16667</v>
      </c>
      <c r="C1292" s="2" t="s">
        <v>4479</v>
      </c>
      <c r="D1292" s="2" t="s">
        <v>4480</v>
      </c>
      <c r="E1292" s="4" t="s">
        <v>23851</v>
      </c>
      <c r="G1292" s="15" t="s">
        <v>23852</v>
      </c>
      <c r="H1292" s="15" t="s">
        <v>23853</v>
      </c>
      <c r="I1292" s="15" t="s">
        <v>23854</v>
      </c>
      <c r="J1292" s="15" t="s">
        <v>23855</v>
      </c>
      <c r="K1292" s="15">
        <v>9183</v>
      </c>
      <c r="L1292" s="15" t="s">
        <v>19099</v>
      </c>
    </row>
    <row r="1293" spans="1:12" x14ac:dyDescent="0.25">
      <c r="A1293" s="2" t="s">
        <v>4482</v>
      </c>
      <c r="B1293" s="8" t="s">
        <v>16668</v>
      </c>
      <c r="C1293" s="2" t="s">
        <v>4482</v>
      </c>
      <c r="D1293" s="2" t="s">
        <v>4483</v>
      </c>
      <c r="E1293" s="4" t="s">
        <v>23856</v>
      </c>
      <c r="G1293" s="15" t="s">
        <v>23857</v>
      </c>
      <c r="H1293" s="15" t="s">
        <v>23858</v>
      </c>
      <c r="I1293" s="15" t="s">
        <v>23859</v>
      </c>
      <c r="J1293" s="15" t="s">
        <v>23855</v>
      </c>
      <c r="K1293" s="15">
        <v>9177</v>
      </c>
      <c r="L1293" s="15" t="s">
        <v>19099</v>
      </c>
    </row>
    <row r="1294" spans="1:12" x14ac:dyDescent="0.25">
      <c r="A1294" s="2" t="s">
        <v>4485</v>
      </c>
      <c r="B1294" s="8" t="s">
        <v>16669</v>
      </c>
      <c r="C1294" s="2" t="s">
        <v>4485</v>
      </c>
      <c r="D1294" s="2" t="s">
        <v>4486</v>
      </c>
      <c r="E1294" s="4" t="s">
        <v>23860</v>
      </c>
      <c r="G1294" s="15" t="s">
        <v>23861</v>
      </c>
      <c r="H1294" s="15" t="s">
        <v>23862</v>
      </c>
      <c r="I1294" s="15" t="s">
        <v>23863</v>
      </c>
      <c r="J1294" s="15" t="s">
        <v>23864</v>
      </c>
      <c r="K1294" s="15">
        <v>220773</v>
      </c>
      <c r="L1294" s="15" t="s">
        <v>19099</v>
      </c>
    </row>
    <row r="1295" spans="1:12" x14ac:dyDescent="0.25">
      <c r="A1295" s="2" t="s">
        <v>4488</v>
      </c>
      <c r="B1295" s="8" t="s">
        <v>16670</v>
      </c>
      <c r="C1295" s="2" t="s">
        <v>4488</v>
      </c>
      <c r="D1295" s="2" t="s">
        <v>4489</v>
      </c>
      <c r="E1295" s="4" t="s">
        <v>4489</v>
      </c>
      <c r="G1295" s="15" t="s">
        <v>4489</v>
      </c>
      <c r="H1295" s="15" t="s">
        <v>23865</v>
      </c>
      <c r="I1295" s="15" t="s">
        <v>23866</v>
      </c>
      <c r="J1295" s="15" t="s">
        <v>23867</v>
      </c>
      <c r="K1295" s="15">
        <v>568</v>
      </c>
      <c r="L1295" s="15" t="s">
        <v>19099</v>
      </c>
    </row>
    <row r="1296" spans="1:12" x14ac:dyDescent="0.25">
      <c r="A1296" s="2" t="s">
        <v>4491</v>
      </c>
      <c r="B1296" s="8" t="s">
        <v>16671</v>
      </c>
      <c r="C1296" s="2" t="s">
        <v>4491</v>
      </c>
      <c r="D1296" s="2" t="s">
        <v>4492</v>
      </c>
      <c r="E1296" s="4" t="s">
        <v>23868</v>
      </c>
      <c r="G1296" s="15" t="s">
        <v>23869</v>
      </c>
      <c r="H1296" s="15" t="s">
        <v>23870</v>
      </c>
      <c r="I1296" s="15" t="s">
        <v>23871</v>
      </c>
      <c r="J1296" s="15" t="s">
        <v>20294</v>
      </c>
      <c r="K1296" s="15">
        <v>23680611</v>
      </c>
      <c r="L1296" s="15" t="s">
        <v>19099</v>
      </c>
    </row>
    <row r="1297" spans="1:12" x14ac:dyDescent="0.25">
      <c r="A1297" s="2" t="s">
        <v>4494</v>
      </c>
      <c r="B1297" s="8" t="s">
        <v>16672</v>
      </c>
      <c r="C1297" s="2" t="s">
        <v>4494</v>
      </c>
      <c r="D1297" s="2" t="s">
        <v>4495</v>
      </c>
      <c r="E1297" s="4" t="s">
        <v>4495</v>
      </c>
      <c r="G1297" s="15" t="s">
        <v>23872</v>
      </c>
      <c r="H1297" s="15" t="s">
        <v>23873</v>
      </c>
      <c r="I1297" s="15" t="s">
        <v>23874</v>
      </c>
      <c r="J1297" s="15" t="s">
        <v>20173</v>
      </c>
      <c r="K1297" s="15">
        <v>3030</v>
      </c>
      <c r="L1297" s="15" t="s">
        <v>19099</v>
      </c>
    </row>
    <row r="1298" spans="1:12" x14ac:dyDescent="0.25">
      <c r="A1298" s="2" t="s">
        <v>4497</v>
      </c>
      <c r="B1298" s="8" t="s">
        <v>16673</v>
      </c>
      <c r="C1298" s="2" t="s">
        <v>4497</v>
      </c>
      <c r="D1298" s="2" t="s">
        <v>4498</v>
      </c>
      <c r="E1298" s="4" t="s">
        <v>4498</v>
      </c>
      <c r="G1298" s="15" t="s">
        <v>23875</v>
      </c>
      <c r="H1298" s="15" t="s">
        <v>23876</v>
      </c>
      <c r="I1298" s="15" t="s">
        <v>23877</v>
      </c>
      <c r="J1298" s="15" t="s">
        <v>23878</v>
      </c>
      <c r="K1298" s="15">
        <v>3031</v>
      </c>
      <c r="L1298" s="15" t="s">
        <v>19099</v>
      </c>
    </row>
    <row r="1299" spans="1:12" x14ac:dyDescent="0.25">
      <c r="A1299" s="2" t="s">
        <v>4500</v>
      </c>
      <c r="B1299" s="8" t="s">
        <v>16674</v>
      </c>
      <c r="C1299" s="2" t="s">
        <v>4500</v>
      </c>
      <c r="D1299" s="2" t="s">
        <v>4501</v>
      </c>
      <c r="E1299" s="4" t="s">
        <v>23879</v>
      </c>
      <c r="G1299" s="15" t="s">
        <v>23880</v>
      </c>
      <c r="H1299" s="15" t="s">
        <v>23881</v>
      </c>
      <c r="I1299" s="15" t="s">
        <v>23882</v>
      </c>
      <c r="J1299" s="15" t="s">
        <v>23883</v>
      </c>
      <c r="K1299" s="15">
        <v>53309</v>
      </c>
      <c r="L1299" s="15" t="s">
        <v>19099</v>
      </c>
    </row>
    <row r="1300" spans="1:12" x14ac:dyDescent="0.25">
      <c r="A1300" s="2" t="s">
        <v>4503</v>
      </c>
      <c r="B1300" s="8" t="s">
        <v>16675</v>
      </c>
      <c r="C1300" s="2" t="s">
        <v>4503</v>
      </c>
      <c r="D1300" s="2" t="s">
        <v>4504</v>
      </c>
      <c r="E1300" s="4" t="s">
        <v>23884</v>
      </c>
      <c r="G1300" s="15" t="s">
        <v>23885</v>
      </c>
      <c r="H1300" s="15" t="s">
        <v>23886</v>
      </c>
      <c r="I1300" s="15" t="s">
        <v>23887</v>
      </c>
      <c r="J1300" s="15" t="s">
        <v>23888</v>
      </c>
      <c r="K1300" s="15">
        <v>6777</v>
      </c>
      <c r="L1300" s="15" t="s">
        <v>19099</v>
      </c>
    </row>
    <row r="1301" spans="1:12" x14ac:dyDescent="0.25">
      <c r="A1301" s="2" t="s">
        <v>4506</v>
      </c>
      <c r="B1301" s="8" t="s">
        <v>16180</v>
      </c>
      <c r="C1301" s="2" t="s">
        <v>4506</v>
      </c>
      <c r="D1301" s="2" t="s">
        <v>4507</v>
      </c>
      <c r="E1301" s="4" t="s">
        <v>23889</v>
      </c>
    </row>
    <row r="1302" spans="1:12" x14ac:dyDescent="0.25">
      <c r="A1302" s="2" t="s">
        <v>4508</v>
      </c>
      <c r="B1302" s="8" t="s">
        <v>16676</v>
      </c>
      <c r="C1302" s="2" t="s">
        <v>4508</v>
      </c>
      <c r="D1302" s="2" t="s">
        <v>4509</v>
      </c>
      <c r="E1302" s="4" t="s">
        <v>23890</v>
      </c>
      <c r="G1302" s="15" t="s">
        <v>23891</v>
      </c>
      <c r="H1302" s="15" t="s">
        <v>23892</v>
      </c>
      <c r="I1302" s="15" t="s">
        <v>23893</v>
      </c>
      <c r="J1302" s="15" t="s">
        <v>19229</v>
      </c>
      <c r="K1302" s="15">
        <v>6492</v>
      </c>
      <c r="L1302" s="15" t="s">
        <v>19099</v>
      </c>
    </row>
    <row r="1303" spans="1:12" x14ac:dyDescent="0.25">
      <c r="A1303" s="2" t="s">
        <v>4511</v>
      </c>
      <c r="B1303" s="8" t="s">
        <v>16677</v>
      </c>
      <c r="C1303" s="2" t="s">
        <v>4511</v>
      </c>
      <c r="D1303" s="2" t="s">
        <v>4512</v>
      </c>
      <c r="E1303" s="4" t="s">
        <v>4512</v>
      </c>
      <c r="G1303" s="15" t="s">
        <v>23894</v>
      </c>
      <c r="H1303" s="15" t="s">
        <v>23895</v>
      </c>
      <c r="I1303" s="15" t="s">
        <v>23896</v>
      </c>
      <c r="J1303" s="15" t="s">
        <v>23897</v>
      </c>
      <c r="K1303" s="15">
        <v>3042</v>
      </c>
      <c r="L1303" s="15" t="s">
        <v>19099</v>
      </c>
    </row>
    <row r="1304" spans="1:12" x14ac:dyDescent="0.25">
      <c r="A1304" s="2" t="s">
        <v>4514</v>
      </c>
      <c r="B1304" s="8" t="s">
        <v>16678</v>
      </c>
      <c r="C1304" s="2" t="s">
        <v>4514</v>
      </c>
      <c r="D1304" s="2" t="s">
        <v>4515</v>
      </c>
      <c r="E1304" s="4" t="s">
        <v>4515</v>
      </c>
      <c r="G1304" s="15" t="s">
        <v>23898</v>
      </c>
      <c r="H1304" s="15" t="s">
        <v>23899</v>
      </c>
      <c r="I1304" s="15" t="s">
        <v>23900</v>
      </c>
      <c r="J1304" s="15" t="s">
        <v>23901</v>
      </c>
      <c r="K1304" s="15">
        <v>39985</v>
      </c>
      <c r="L1304" s="15" t="s">
        <v>19099</v>
      </c>
    </row>
    <row r="1305" spans="1:12" x14ac:dyDescent="0.25">
      <c r="A1305" s="2" t="s">
        <v>4517</v>
      </c>
      <c r="B1305" s="8" t="s">
        <v>16679</v>
      </c>
      <c r="C1305" s="2" t="s">
        <v>4517</v>
      </c>
      <c r="D1305" s="2" t="s">
        <v>4518</v>
      </c>
      <c r="E1305" s="4" t="s">
        <v>4518</v>
      </c>
      <c r="G1305" s="15" t="s">
        <v>23902</v>
      </c>
      <c r="H1305" s="15" t="s">
        <v>23903</v>
      </c>
      <c r="I1305" s="15" t="s">
        <v>23904</v>
      </c>
      <c r="J1305" s="15" t="s">
        <v>23905</v>
      </c>
      <c r="K1305" s="15">
        <v>14145</v>
      </c>
      <c r="L1305" s="15" t="s">
        <v>19099</v>
      </c>
    </row>
    <row r="1306" spans="1:12" x14ac:dyDescent="0.25">
      <c r="A1306" s="2" t="s">
        <v>4520</v>
      </c>
      <c r="B1306" s="8" t="s">
        <v>16680</v>
      </c>
      <c r="C1306" s="2" t="s">
        <v>4520</v>
      </c>
      <c r="D1306" s="2" t="s">
        <v>4521</v>
      </c>
      <c r="E1306" s="4" t="s">
        <v>4521</v>
      </c>
      <c r="G1306" s="15" t="s">
        <v>23906</v>
      </c>
      <c r="H1306" s="15" t="s">
        <v>23907</v>
      </c>
      <c r="I1306" s="15" t="s">
        <v>23908</v>
      </c>
      <c r="J1306" s="15" t="s">
        <v>23909</v>
      </c>
      <c r="K1306" s="15">
        <v>8268</v>
      </c>
      <c r="L1306" s="15" t="s">
        <v>19099</v>
      </c>
    </row>
    <row r="1307" spans="1:12" x14ac:dyDescent="0.25">
      <c r="A1307" s="2" t="s">
        <v>4523</v>
      </c>
      <c r="B1307" s="8" t="s">
        <v>16681</v>
      </c>
      <c r="C1307" s="2" t="s">
        <v>4523</v>
      </c>
      <c r="D1307" s="2" t="s">
        <v>4524</v>
      </c>
      <c r="E1307" s="4" t="s">
        <v>4524</v>
      </c>
      <c r="G1307" s="15" t="s">
        <v>23910</v>
      </c>
      <c r="H1307" s="15" t="s">
        <v>23911</v>
      </c>
      <c r="I1307" s="15" t="s">
        <v>23912</v>
      </c>
      <c r="J1307" s="15" t="s">
        <v>23913</v>
      </c>
      <c r="K1307" s="15">
        <v>38687</v>
      </c>
      <c r="L1307" s="15" t="s">
        <v>19099</v>
      </c>
    </row>
    <row r="1308" spans="1:12" x14ac:dyDescent="0.25">
      <c r="A1308" s="2" t="s">
        <v>4526</v>
      </c>
      <c r="B1308" s="8" t="s">
        <v>16682</v>
      </c>
      <c r="C1308" s="2" t="s">
        <v>4526</v>
      </c>
      <c r="D1308" s="2" t="s">
        <v>4527</v>
      </c>
      <c r="E1308" s="4" t="s">
        <v>4527</v>
      </c>
      <c r="G1308" s="15" t="s">
        <v>23914</v>
      </c>
      <c r="H1308" s="15" t="s">
        <v>23915</v>
      </c>
      <c r="I1308" s="15" t="s">
        <v>23916</v>
      </c>
      <c r="J1308" s="15" t="s">
        <v>23917</v>
      </c>
      <c r="K1308" s="15">
        <v>7328</v>
      </c>
      <c r="L1308" s="15" t="s">
        <v>19099</v>
      </c>
    </row>
    <row r="1309" spans="1:12" x14ac:dyDescent="0.25">
      <c r="A1309" s="2" t="s">
        <v>4529</v>
      </c>
      <c r="B1309" s="8" t="s">
        <v>16683</v>
      </c>
      <c r="C1309" s="2" t="s">
        <v>4529</v>
      </c>
      <c r="D1309" s="2" t="s">
        <v>4530</v>
      </c>
      <c r="E1309" s="4" t="s">
        <v>4530</v>
      </c>
      <c r="G1309" s="15" t="s">
        <v>23918</v>
      </c>
      <c r="H1309" s="15" t="s">
        <v>23919</v>
      </c>
      <c r="I1309" s="15" t="s">
        <v>23920</v>
      </c>
      <c r="J1309" s="15" t="s">
        <v>23921</v>
      </c>
      <c r="K1309" s="15">
        <v>3033</v>
      </c>
      <c r="L1309" s="15" t="s">
        <v>19099</v>
      </c>
    </row>
    <row r="1310" spans="1:12" x14ac:dyDescent="0.25">
      <c r="A1310" s="2" t="s">
        <v>4532</v>
      </c>
      <c r="B1310" s="8" t="s">
        <v>16684</v>
      </c>
      <c r="C1310" s="2" t="s">
        <v>4532</v>
      </c>
      <c r="D1310" s="2" t="s">
        <v>4533</v>
      </c>
      <c r="E1310" s="4" t="s">
        <v>23922</v>
      </c>
      <c r="G1310" s="15" t="s">
        <v>23923</v>
      </c>
      <c r="H1310" s="15" t="s">
        <v>23924</v>
      </c>
      <c r="I1310" s="15" t="s">
        <v>23925</v>
      </c>
      <c r="J1310" s="15" t="s">
        <v>23926</v>
      </c>
      <c r="K1310" s="15">
        <v>18381</v>
      </c>
      <c r="L1310" s="15" t="s">
        <v>19099</v>
      </c>
    </row>
    <row r="1311" spans="1:12" x14ac:dyDescent="0.25">
      <c r="A1311" s="2" t="s">
        <v>4535</v>
      </c>
      <c r="B1311" s="8" t="s">
        <v>16685</v>
      </c>
      <c r="C1311" s="2" t="s">
        <v>4535</v>
      </c>
      <c r="D1311" s="2" t="s">
        <v>4536</v>
      </c>
      <c r="E1311" s="4" t="s">
        <v>23927</v>
      </c>
      <c r="G1311" s="15" t="s">
        <v>23928</v>
      </c>
      <c r="H1311" s="15" t="s">
        <v>23929</v>
      </c>
      <c r="I1311" s="15" t="s">
        <v>23930</v>
      </c>
      <c r="J1311" s="15" t="s">
        <v>23931</v>
      </c>
      <c r="K1311" s="15">
        <v>5371560</v>
      </c>
      <c r="L1311" s="15" t="s">
        <v>19099</v>
      </c>
    </row>
    <row r="1312" spans="1:12" x14ac:dyDescent="0.25">
      <c r="A1312" s="2" t="s">
        <v>4538</v>
      </c>
      <c r="B1312" s="8" t="s">
        <v>16686</v>
      </c>
      <c r="C1312" s="2" t="s">
        <v>4538</v>
      </c>
      <c r="D1312" s="2" t="s">
        <v>4539</v>
      </c>
      <c r="E1312" s="4" t="s">
        <v>23932</v>
      </c>
      <c r="G1312" s="15" t="s">
        <v>23933</v>
      </c>
      <c r="H1312" s="15" t="s">
        <v>23934</v>
      </c>
      <c r="I1312" s="15" t="s">
        <v>23935</v>
      </c>
      <c r="J1312" s="15" t="s">
        <v>23936</v>
      </c>
      <c r="K1312" s="15">
        <v>16686</v>
      </c>
      <c r="L1312" s="15" t="s">
        <v>19099</v>
      </c>
    </row>
    <row r="1313" spans="1:12" x14ac:dyDescent="0.25">
      <c r="A1313" s="2" t="s">
        <v>4541</v>
      </c>
      <c r="B1313" s="8" t="s">
        <v>16687</v>
      </c>
      <c r="C1313" s="2" t="s">
        <v>4541</v>
      </c>
      <c r="D1313" s="2" t="s">
        <v>4542</v>
      </c>
      <c r="E1313" s="4" t="s">
        <v>23937</v>
      </c>
      <c r="G1313" s="15" t="s">
        <v>23938</v>
      </c>
      <c r="H1313" s="15" t="s">
        <v>23939</v>
      </c>
      <c r="I1313" s="15" t="s">
        <v>23940</v>
      </c>
      <c r="J1313" s="15" t="s">
        <v>20048</v>
      </c>
      <c r="K1313" s="15">
        <v>11254</v>
      </c>
      <c r="L1313" s="15" t="s">
        <v>19099</v>
      </c>
    </row>
    <row r="1314" spans="1:12" x14ac:dyDescent="0.25">
      <c r="A1314" s="2" t="s">
        <v>4544</v>
      </c>
      <c r="B1314" s="8" t="s">
        <v>16688</v>
      </c>
      <c r="C1314" s="2" t="s">
        <v>4544</v>
      </c>
      <c r="D1314" s="2" t="s">
        <v>4545</v>
      </c>
      <c r="E1314" s="4" t="s">
        <v>4545</v>
      </c>
      <c r="G1314" s="15" t="s">
        <v>23941</v>
      </c>
      <c r="H1314" s="15" t="s">
        <v>23942</v>
      </c>
      <c r="I1314" s="15" t="s">
        <v>23943</v>
      </c>
      <c r="J1314" s="15" t="s">
        <v>23944</v>
      </c>
      <c r="K1314" s="15">
        <v>91742</v>
      </c>
      <c r="L1314" s="15" t="s">
        <v>19099</v>
      </c>
    </row>
    <row r="1315" spans="1:12" x14ac:dyDescent="0.25">
      <c r="A1315" s="2" t="s">
        <v>4547</v>
      </c>
      <c r="B1315" s="8" t="s">
        <v>16689</v>
      </c>
      <c r="C1315" s="2" t="s">
        <v>4547</v>
      </c>
      <c r="D1315" s="2" t="s">
        <v>4548</v>
      </c>
      <c r="E1315" s="4" t="s">
        <v>4548</v>
      </c>
      <c r="G1315" s="15" t="s">
        <v>23945</v>
      </c>
      <c r="H1315" s="15" t="s">
        <v>23946</v>
      </c>
      <c r="I1315" s="15" t="s">
        <v>23947</v>
      </c>
      <c r="J1315" s="15" t="s">
        <v>23948</v>
      </c>
      <c r="K1315" s="15">
        <v>38090</v>
      </c>
      <c r="L1315" s="15" t="s">
        <v>19099</v>
      </c>
    </row>
    <row r="1316" spans="1:12" x14ac:dyDescent="0.25">
      <c r="A1316" s="2" t="s">
        <v>4550</v>
      </c>
      <c r="B1316" s="8" t="s">
        <v>16690</v>
      </c>
      <c r="C1316" s="2" t="s">
        <v>4550</v>
      </c>
      <c r="D1316" s="2" t="s">
        <v>4551</v>
      </c>
      <c r="E1316" s="4" t="s">
        <v>4551</v>
      </c>
      <c r="G1316" s="15" t="s">
        <v>23949</v>
      </c>
      <c r="H1316" s="15" t="s">
        <v>23950</v>
      </c>
      <c r="I1316" s="15" t="s">
        <v>23951</v>
      </c>
      <c r="J1316" s="15" t="s">
        <v>23952</v>
      </c>
      <c r="K1316" s="15">
        <v>91627</v>
      </c>
      <c r="L1316" s="15" t="s">
        <v>19099</v>
      </c>
    </row>
    <row r="1317" spans="1:12" x14ac:dyDescent="0.25">
      <c r="A1317" s="2" t="s">
        <v>4553</v>
      </c>
      <c r="B1317" s="8" t="s">
        <v>16691</v>
      </c>
      <c r="C1317" s="2" t="s">
        <v>4553</v>
      </c>
      <c r="D1317" s="2" t="s">
        <v>4554</v>
      </c>
      <c r="E1317" s="4" t="s">
        <v>23953</v>
      </c>
      <c r="G1317" s="15" t="s">
        <v>23954</v>
      </c>
      <c r="H1317" s="15" t="s">
        <v>23955</v>
      </c>
      <c r="I1317" s="15" t="s">
        <v>23956</v>
      </c>
      <c r="J1317" s="15" t="s">
        <v>23957</v>
      </c>
      <c r="K1317" s="15">
        <v>13728</v>
      </c>
      <c r="L1317" s="15" t="s">
        <v>19099</v>
      </c>
    </row>
    <row r="1318" spans="1:12" x14ac:dyDescent="0.25">
      <c r="A1318" s="2" t="s">
        <v>4556</v>
      </c>
      <c r="B1318" s="8" t="s">
        <v>16692</v>
      </c>
      <c r="C1318" s="2" t="s">
        <v>4556</v>
      </c>
      <c r="D1318" s="2" t="s">
        <v>4557</v>
      </c>
      <c r="E1318" s="4" t="s">
        <v>4557</v>
      </c>
      <c r="G1318" s="15" t="s">
        <v>23958</v>
      </c>
      <c r="H1318" s="15" t="s">
        <v>23959</v>
      </c>
      <c r="I1318" s="15" t="s">
        <v>23960</v>
      </c>
      <c r="J1318" s="15" t="s">
        <v>23961</v>
      </c>
      <c r="K1318" s="15">
        <v>37123</v>
      </c>
      <c r="L1318" s="15" t="s">
        <v>19099</v>
      </c>
    </row>
    <row r="1319" spans="1:12" x14ac:dyDescent="0.25">
      <c r="A1319" s="2" t="s">
        <v>4559</v>
      </c>
      <c r="B1319" s="8" t="s">
        <v>16693</v>
      </c>
      <c r="C1319" s="2" t="s">
        <v>4559</v>
      </c>
      <c r="D1319" s="2" t="s">
        <v>4560</v>
      </c>
      <c r="E1319" s="4" t="s">
        <v>4560</v>
      </c>
      <c r="G1319" s="15" t="s">
        <v>23962</v>
      </c>
      <c r="H1319" s="15" t="s">
        <v>23963</v>
      </c>
      <c r="I1319" s="15" t="s">
        <v>23964</v>
      </c>
      <c r="J1319" s="15" t="s">
        <v>23965</v>
      </c>
      <c r="K1319" s="15">
        <v>91735</v>
      </c>
      <c r="L1319" s="15" t="s">
        <v>19099</v>
      </c>
    </row>
    <row r="1320" spans="1:12" x14ac:dyDescent="0.25">
      <c r="A1320" s="2" t="s">
        <v>4562</v>
      </c>
      <c r="B1320" s="8" t="s">
        <v>16694</v>
      </c>
      <c r="C1320" s="2" t="s">
        <v>4562</v>
      </c>
      <c r="D1320" s="2" t="s">
        <v>4563</v>
      </c>
      <c r="E1320" s="4" t="s">
        <v>23966</v>
      </c>
      <c r="G1320" s="15" t="s">
        <v>23967</v>
      </c>
      <c r="H1320" s="15" t="s">
        <v>23968</v>
      </c>
      <c r="I1320" s="15" t="s">
        <v>23969</v>
      </c>
      <c r="J1320" s="15" t="s">
        <v>23970</v>
      </c>
      <c r="K1320" s="15">
        <v>3100</v>
      </c>
      <c r="L1320" s="15" t="s">
        <v>19099</v>
      </c>
    </row>
    <row r="1321" spans="1:12" x14ac:dyDescent="0.25">
      <c r="A1321" s="2" t="s">
        <v>4565</v>
      </c>
      <c r="B1321" s="8" t="s">
        <v>16695</v>
      </c>
      <c r="C1321" s="2" t="s">
        <v>4565</v>
      </c>
      <c r="D1321" s="2" t="s">
        <v>4566</v>
      </c>
      <c r="E1321" s="4" t="s">
        <v>4566</v>
      </c>
      <c r="G1321" s="15" t="s">
        <v>23971</v>
      </c>
      <c r="H1321" s="15" t="s">
        <v>23972</v>
      </c>
      <c r="I1321" s="15" t="s">
        <v>23973</v>
      </c>
      <c r="J1321" s="15" t="s">
        <v>23974</v>
      </c>
      <c r="K1321" s="15">
        <v>54676884</v>
      </c>
      <c r="L1321" s="15" t="s">
        <v>19099</v>
      </c>
    </row>
    <row r="1322" spans="1:12" x14ac:dyDescent="0.25">
      <c r="A1322" s="2" t="s">
        <v>4568</v>
      </c>
      <c r="B1322" s="8" t="s">
        <v>16696</v>
      </c>
      <c r="C1322" s="2" t="s">
        <v>4568</v>
      </c>
      <c r="D1322" s="2" t="s">
        <v>4569</v>
      </c>
      <c r="E1322" s="4" t="s">
        <v>23975</v>
      </c>
      <c r="G1322" s="15" t="s">
        <v>23976</v>
      </c>
      <c r="H1322" s="15" t="s">
        <v>23977</v>
      </c>
      <c r="I1322" s="15" t="s">
        <v>23978</v>
      </c>
      <c r="J1322" s="15" t="s">
        <v>23979</v>
      </c>
      <c r="K1322" s="15">
        <v>86173</v>
      </c>
      <c r="L1322" s="15" t="s">
        <v>19099</v>
      </c>
    </row>
    <row r="1323" spans="1:12" x14ac:dyDescent="0.25">
      <c r="A1323" s="2" t="s">
        <v>4571</v>
      </c>
      <c r="B1323" s="8" t="s">
        <v>16697</v>
      </c>
      <c r="C1323" s="2" t="s">
        <v>4571</v>
      </c>
      <c r="D1323" s="2" t="s">
        <v>4572</v>
      </c>
      <c r="E1323" s="4" t="s">
        <v>4572</v>
      </c>
      <c r="G1323" s="15" t="s">
        <v>23980</v>
      </c>
      <c r="H1323" s="15" t="s">
        <v>23981</v>
      </c>
      <c r="I1323" s="15" t="s">
        <v>23982</v>
      </c>
      <c r="J1323" s="15" t="s">
        <v>23983</v>
      </c>
      <c r="K1323" s="15">
        <v>26576</v>
      </c>
      <c r="L1323" s="15" t="s">
        <v>19099</v>
      </c>
    </row>
    <row r="1324" spans="1:12" x14ac:dyDescent="0.25">
      <c r="A1324" s="2" t="s">
        <v>4574</v>
      </c>
      <c r="B1324" s="8" t="s">
        <v>16698</v>
      </c>
      <c r="C1324" s="2" t="s">
        <v>4574</v>
      </c>
      <c r="D1324" s="2" t="s">
        <v>4575</v>
      </c>
      <c r="E1324" s="4" t="s">
        <v>23984</v>
      </c>
      <c r="G1324" s="15" t="s">
        <v>23985</v>
      </c>
      <c r="H1324" s="15" t="s">
        <v>23986</v>
      </c>
      <c r="I1324" s="15" t="s">
        <v>23987</v>
      </c>
      <c r="J1324" s="15" t="s">
        <v>23988</v>
      </c>
      <c r="K1324" s="15">
        <v>91771</v>
      </c>
      <c r="L1324" s="15" t="s">
        <v>19099</v>
      </c>
    </row>
    <row r="1325" spans="1:12" x14ac:dyDescent="0.25">
      <c r="A1325" s="2" t="s">
        <v>4577</v>
      </c>
      <c r="B1325" s="8" t="s">
        <v>16699</v>
      </c>
      <c r="C1325" s="2" t="s">
        <v>4577</v>
      </c>
      <c r="D1325" s="2" t="s">
        <v>4578</v>
      </c>
      <c r="E1325" s="4" t="s">
        <v>4578</v>
      </c>
      <c r="G1325" s="15" t="s">
        <v>23989</v>
      </c>
      <c r="H1325" s="15" t="s">
        <v>23990</v>
      </c>
      <c r="I1325" s="15" t="s">
        <v>23991</v>
      </c>
      <c r="J1325" s="15" t="s">
        <v>23992</v>
      </c>
      <c r="K1325" s="15">
        <v>3034380</v>
      </c>
      <c r="L1325" s="15" t="s">
        <v>19099</v>
      </c>
    </row>
    <row r="1326" spans="1:12" x14ac:dyDescent="0.25">
      <c r="A1326" s="2" t="s">
        <v>4580</v>
      </c>
      <c r="B1326" s="8" t="s">
        <v>16700</v>
      </c>
      <c r="C1326" s="2" t="s">
        <v>4580</v>
      </c>
      <c r="D1326" s="2" t="s">
        <v>4581</v>
      </c>
      <c r="E1326" s="4" t="s">
        <v>23993</v>
      </c>
      <c r="G1326" s="15" t="s">
        <v>23994</v>
      </c>
      <c r="H1326" s="15" t="s">
        <v>23995</v>
      </c>
      <c r="I1326" s="15" t="s">
        <v>23996</v>
      </c>
      <c r="J1326" s="15" t="s">
        <v>23997</v>
      </c>
      <c r="K1326" s="15">
        <v>31386</v>
      </c>
      <c r="L1326" s="15" t="s">
        <v>19099</v>
      </c>
    </row>
    <row r="1327" spans="1:12" x14ac:dyDescent="0.25">
      <c r="A1327" s="2" t="s">
        <v>4583</v>
      </c>
      <c r="B1327" s="8" t="s">
        <v>16701</v>
      </c>
      <c r="C1327" s="2" t="s">
        <v>4583</v>
      </c>
      <c r="D1327" s="2" t="s">
        <v>4584</v>
      </c>
      <c r="E1327" s="4" t="s">
        <v>4584</v>
      </c>
      <c r="G1327" s="15" t="s">
        <v>23998</v>
      </c>
      <c r="H1327" s="15" t="s">
        <v>23999</v>
      </c>
      <c r="I1327" s="15" t="s">
        <v>24000</v>
      </c>
      <c r="J1327" s="15" t="s">
        <v>24001</v>
      </c>
      <c r="K1327" s="15">
        <v>39425</v>
      </c>
      <c r="L1327" s="15" t="s">
        <v>19099</v>
      </c>
    </row>
    <row r="1328" spans="1:12" x14ac:dyDescent="0.25">
      <c r="A1328" s="2" t="s">
        <v>4586</v>
      </c>
      <c r="B1328" s="8" t="s">
        <v>16702</v>
      </c>
      <c r="C1328" s="2" t="s">
        <v>4586</v>
      </c>
      <c r="D1328" s="2" t="s">
        <v>4587</v>
      </c>
      <c r="E1328" s="4" t="s">
        <v>24002</v>
      </c>
      <c r="G1328" s="15" t="s">
        <v>24003</v>
      </c>
      <c r="H1328" s="15" t="s">
        <v>24004</v>
      </c>
      <c r="I1328" s="15" t="s">
        <v>24005</v>
      </c>
      <c r="J1328" s="15" t="s">
        <v>24006</v>
      </c>
      <c r="K1328" s="15">
        <v>39424</v>
      </c>
      <c r="L1328" s="15" t="s">
        <v>19099</v>
      </c>
    </row>
    <row r="1329" spans="1:12" ht="30" customHeight="1" x14ac:dyDescent="0.25">
      <c r="A1329" s="2" t="s">
        <v>4589</v>
      </c>
      <c r="B1329" s="8" t="s">
        <v>16703</v>
      </c>
      <c r="C1329" s="2" t="s">
        <v>4589</v>
      </c>
      <c r="D1329" s="2" t="s">
        <v>4590</v>
      </c>
      <c r="E1329" s="4" t="s">
        <v>24007</v>
      </c>
    </row>
    <row r="1330" spans="1:12" ht="30" customHeight="1" x14ac:dyDescent="0.25">
      <c r="A1330" s="2" t="s">
        <v>4592</v>
      </c>
      <c r="B1330" s="8" t="s">
        <v>16704</v>
      </c>
      <c r="C1330" s="2" t="s">
        <v>4592</v>
      </c>
      <c r="D1330" s="2" t="s">
        <v>4593</v>
      </c>
      <c r="E1330" s="4" t="s">
        <v>24008</v>
      </c>
    </row>
    <row r="1331" spans="1:12" x14ac:dyDescent="0.25">
      <c r="A1331" s="2" t="s">
        <v>4595</v>
      </c>
      <c r="B1331" s="8" t="s">
        <v>16705</v>
      </c>
      <c r="C1331" s="2" t="s">
        <v>4595</v>
      </c>
      <c r="D1331" s="2" t="s">
        <v>4596</v>
      </c>
      <c r="E1331" s="4" t="s">
        <v>24009</v>
      </c>
      <c r="G1331" s="15" t="s">
        <v>22239</v>
      </c>
      <c r="H1331" s="15" t="s">
        <v>22240</v>
      </c>
      <c r="I1331" s="15" t="s">
        <v>22241</v>
      </c>
      <c r="J1331" s="15" t="s">
        <v>22242</v>
      </c>
      <c r="K1331" s="15">
        <v>33599</v>
      </c>
      <c r="L1331" s="15" t="s">
        <v>19099</v>
      </c>
    </row>
    <row r="1332" spans="1:12" x14ac:dyDescent="0.25">
      <c r="A1332" s="2" t="s">
        <v>4598</v>
      </c>
      <c r="B1332" s="8" t="s">
        <v>16706</v>
      </c>
      <c r="C1332" s="2" t="s">
        <v>4598</v>
      </c>
      <c r="D1332" s="2" t="s">
        <v>4599</v>
      </c>
      <c r="E1332" s="4" t="s">
        <v>24010</v>
      </c>
      <c r="G1332" s="15" t="s">
        <v>24011</v>
      </c>
      <c r="H1332" s="15" t="s">
        <v>24012</v>
      </c>
      <c r="I1332" s="15" t="s">
        <v>24013</v>
      </c>
      <c r="J1332" s="15" t="s">
        <v>24014</v>
      </c>
      <c r="K1332" s="15">
        <v>175686</v>
      </c>
      <c r="L1332" s="15" t="s">
        <v>19099</v>
      </c>
    </row>
    <row r="1333" spans="1:12" x14ac:dyDescent="0.25">
      <c r="A1333" s="2" t="s">
        <v>4601</v>
      </c>
      <c r="B1333" s="8" t="s">
        <v>16707</v>
      </c>
      <c r="C1333" s="2" t="s">
        <v>4601</v>
      </c>
      <c r="D1333" s="2" t="s">
        <v>4602</v>
      </c>
      <c r="E1333" s="4" t="s">
        <v>24015</v>
      </c>
      <c r="G1333" s="15" t="s">
        <v>22301</v>
      </c>
      <c r="H1333" s="15" t="s">
        <v>22302</v>
      </c>
      <c r="I1333" s="15" t="s">
        <v>22303</v>
      </c>
      <c r="J1333" s="15" t="s">
        <v>22304</v>
      </c>
      <c r="K1333" s="15">
        <v>161559</v>
      </c>
      <c r="L1333" s="15" t="s">
        <v>19099</v>
      </c>
    </row>
    <row r="1334" spans="1:12" x14ac:dyDescent="0.25">
      <c r="A1334" s="2" t="s">
        <v>4604</v>
      </c>
      <c r="B1334" s="8" t="s">
        <v>16708</v>
      </c>
      <c r="C1334" s="2" t="s">
        <v>4604</v>
      </c>
      <c r="D1334" s="2" t="s">
        <v>4605</v>
      </c>
      <c r="E1334" s="4" t="s">
        <v>4605</v>
      </c>
      <c r="G1334" s="15" t="s">
        <v>24016</v>
      </c>
      <c r="H1334" s="15" t="s">
        <v>24017</v>
      </c>
      <c r="I1334" s="15" t="s">
        <v>24018</v>
      </c>
      <c r="J1334" s="15" t="s">
        <v>23555</v>
      </c>
      <c r="K1334" s="15">
        <v>7912</v>
      </c>
      <c r="L1334" s="15" t="s">
        <v>19099</v>
      </c>
    </row>
    <row r="1335" spans="1:12" x14ac:dyDescent="0.25">
      <c r="A1335" s="2" t="s">
        <v>4607</v>
      </c>
      <c r="B1335" s="8" t="s">
        <v>16709</v>
      </c>
      <c r="C1335" s="2" t="s">
        <v>4607</v>
      </c>
      <c r="D1335" s="2" t="s">
        <v>4608</v>
      </c>
      <c r="E1335" s="4" t="s">
        <v>24019</v>
      </c>
      <c r="G1335" s="15" t="s">
        <v>24020</v>
      </c>
      <c r="H1335" s="15" t="s">
        <v>24021</v>
      </c>
      <c r="I1335" s="15" t="s">
        <v>24022</v>
      </c>
      <c r="J1335" s="15" t="s">
        <v>19088</v>
      </c>
      <c r="K1335" s="15">
        <v>7914</v>
      </c>
      <c r="L1335" s="15" t="s">
        <v>19099</v>
      </c>
    </row>
    <row r="1336" spans="1:12" x14ac:dyDescent="0.25">
      <c r="A1336" s="2" t="s">
        <v>4610</v>
      </c>
      <c r="B1336" s="8" t="s">
        <v>16710</v>
      </c>
      <c r="C1336" s="2" t="s">
        <v>4610</v>
      </c>
      <c r="D1336" s="2" t="s">
        <v>4611</v>
      </c>
      <c r="E1336" s="4" t="s">
        <v>24023</v>
      </c>
      <c r="G1336" s="15" t="s">
        <v>24024</v>
      </c>
      <c r="H1336" s="15" t="s">
        <v>24025</v>
      </c>
      <c r="I1336" s="15" t="s">
        <v>24026</v>
      </c>
      <c r="J1336" s="15" t="s">
        <v>23560</v>
      </c>
      <c r="K1336" s="15">
        <v>11799</v>
      </c>
      <c r="L1336" s="15" t="s">
        <v>19099</v>
      </c>
    </row>
    <row r="1337" spans="1:12" x14ac:dyDescent="0.25">
      <c r="A1337" s="2" t="s">
        <v>4613</v>
      </c>
      <c r="B1337" s="8" t="s">
        <v>16711</v>
      </c>
      <c r="C1337" s="2" t="s">
        <v>4613</v>
      </c>
      <c r="D1337" s="2" t="s">
        <v>4614</v>
      </c>
      <c r="E1337" s="4" t="s">
        <v>24027</v>
      </c>
      <c r="G1337" s="15" t="s">
        <v>24028</v>
      </c>
      <c r="H1337" s="15" t="s">
        <v>24029</v>
      </c>
      <c r="I1337" s="15" t="s">
        <v>24030</v>
      </c>
      <c r="J1337" s="15" t="s">
        <v>24031</v>
      </c>
      <c r="K1337" s="15">
        <v>520226</v>
      </c>
      <c r="L1337" s="15" t="s">
        <v>19099</v>
      </c>
    </row>
    <row r="1338" spans="1:12" x14ac:dyDescent="0.25">
      <c r="A1338" s="2" t="s">
        <v>4616</v>
      </c>
      <c r="B1338" s="8" t="s">
        <v>16712</v>
      </c>
      <c r="C1338" s="2" t="s">
        <v>4616</v>
      </c>
      <c r="D1338" s="2" t="s">
        <v>4617</v>
      </c>
      <c r="E1338" s="4" t="s">
        <v>24032</v>
      </c>
      <c r="G1338" s="15" t="s">
        <v>24033</v>
      </c>
      <c r="H1338" s="15" t="s">
        <v>24034</v>
      </c>
      <c r="I1338" s="15" t="s">
        <v>24035</v>
      </c>
      <c r="J1338" s="15" t="s">
        <v>23583</v>
      </c>
      <c r="K1338" s="15">
        <v>6782</v>
      </c>
      <c r="L1338" s="15" t="s">
        <v>19099</v>
      </c>
    </row>
    <row r="1339" spans="1:12" x14ac:dyDescent="0.25">
      <c r="A1339" s="2" t="s">
        <v>4619</v>
      </c>
      <c r="B1339" s="8" t="s">
        <v>16713</v>
      </c>
      <c r="C1339" s="2" t="s">
        <v>4619</v>
      </c>
      <c r="D1339" s="2" t="s">
        <v>4620</v>
      </c>
      <c r="E1339" s="4" t="s">
        <v>24036</v>
      </c>
      <c r="G1339" s="15" t="s">
        <v>24037</v>
      </c>
      <c r="H1339" s="15" t="s">
        <v>24038</v>
      </c>
      <c r="I1339" s="15" t="s">
        <v>24039</v>
      </c>
      <c r="J1339" s="15" t="s">
        <v>23614</v>
      </c>
      <c r="K1339" s="15">
        <v>33934</v>
      </c>
      <c r="L1339" s="15" t="s">
        <v>19099</v>
      </c>
    </row>
    <row r="1340" spans="1:12" x14ac:dyDescent="0.25">
      <c r="A1340" s="2" t="s">
        <v>4622</v>
      </c>
      <c r="B1340" s="8" t="s">
        <v>16714</v>
      </c>
      <c r="C1340" s="2" t="s">
        <v>4622</v>
      </c>
      <c r="D1340" s="2" t="s">
        <v>4623</v>
      </c>
      <c r="E1340" s="4" t="s">
        <v>24040</v>
      </c>
      <c r="G1340" s="15" t="s">
        <v>24041</v>
      </c>
      <c r="H1340" s="15" t="s">
        <v>24042</v>
      </c>
      <c r="I1340" s="15" t="s">
        <v>24043</v>
      </c>
      <c r="J1340" s="15" t="s">
        <v>23624</v>
      </c>
      <c r="K1340" s="15">
        <v>590836</v>
      </c>
      <c r="L1340" s="15" t="s">
        <v>19099</v>
      </c>
    </row>
    <row r="1341" spans="1:12" x14ac:dyDescent="0.25">
      <c r="A1341" s="2" t="s">
        <v>4625</v>
      </c>
      <c r="B1341" s="8" t="s">
        <v>16715</v>
      </c>
      <c r="C1341" s="2" t="s">
        <v>4625</v>
      </c>
      <c r="D1341" s="2" t="s">
        <v>4626</v>
      </c>
      <c r="E1341" s="4" t="s">
        <v>4626</v>
      </c>
      <c r="G1341" s="15" t="s">
        <v>24044</v>
      </c>
      <c r="H1341" s="15" t="s">
        <v>24045</v>
      </c>
      <c r="I1341" s="15" t="s">
        <v>24046</v>
      </c>
      <c r="J1341" s="15" t="s">
        <v>24047</v>
      </c>
      <c r="K1341" s="15">
        <v>65420</v>
      </c>
      <c r="L1341" s="15" t="s">
        <v>19099</v>
      </c>
    </row>
    <row r="1342" spans="1:12" x14ac:dyDescent="0.25">
      <c r="A1342" s="2" t="s">
        <v>4628</v>
      </c>
      <c r="B1342" s="8" t="s">
        <v>16716</v>
      </c>
      <c r="C1342" s="2" t="s">
        <v>4628</v>
      </c>
      <c r="D1342" s="2" t="s">
        <v>4629</v>
      </c>
      <c r="E1342" s="4" t="s">
        <v>24048</v>
      </c>
      <c r="G1342" s="15" t="s">
        <v>24049</v>
      </c>
      <c r="H1342" s="15" t="s">
        <v>24050</v>
      </c>
      <c r="I1342" s="15" t="s">
        <v>24051</v>
      </c>
      <c r="J1342" s="15" t="s">
        <v>24052</v>
      </c>
      <c r="K1342" s="15">
        <v>3090</v>
      </c>
      <c r="L1342" s="15" t="s">
        <v>19099</v>
      </c>
    </row>
    <row r="1343" spans="1:12" x14ac:dyDescent="0.25">
      <c r="A1343" s="2" t="s">
        <v>4631</v>
      </c>
      <c r="B1343" s="8" t="s">
        <v>16717</v>
      </c>
      <c r="C1343" s="2" t="s">
        <v>4631</v>
      </c>
      <c r="D1343" s="2" t="s">
        <v>4632</v>
      </c>
      <c r="E1343" s="4" t="s">
        <v>4632</v>
      </c>
      <c r="G1343" s="15" t="s">
        <v>24053</v>
      </c>
      <c r="H1343" s="15" t="s">
        <v>24054</v>
      </c>
      <c r="I1343" s="15" t="s">
        <v>24055</v>
      </c>
      <c r="J1343" s="15" t="s">
        <v>24056</v>
      </c>
      <c r="K1343" s="15">
        <v>91612</v>
      </c>
      <c r="L1343" s="15" t="s">
        <v>19099</v>
      </c>
    </row>
    <row r="1344" spans="1:12" x14ac:dyDescent="0.25">
      <c r="A1344" s="2" t="s">
        <v>4634</v>
      </c>
      <c r="B1344" s="8" t="s">
        <v>16718</v>
      </c>
      <c r="C1344" s="2" t="s">
        <v>4634</v>
      </c>
      <c r="D1344" s="2" t="s">
        <v>4635</v>
      </c>
      <c r="E1344" s="4" t="s">
        <v>24057</v>
      </c>
      <c r="G1344" s="15" t="s">
        <v>24058</v>
      </c>
      <c r="H1344" s="15" t="s">
        <v>24059</v>
      </c>
      <c r="I1344" s="15" t="s">
        <v>24060</v>
      </c>
      <c r="J1344" s="15" t="s">
        <v>24061</v>
      </c>
      <c r="K1344" s="15">
        <v>91744</v>
      </c>
      <c r="L1344" s="15" t="s">
        <v>19099</v>
      </c>
    </row>
    <row r="1345" spans="1:20" x14ac:dyDescent="0.25">
      <c r="A1345" s="2" t="s">
        <v>4637</v>
      </c>
      <c r="B1345" s="8" t="s">
        <v>16719</v>
      </c>
      <c r="C1345" s="2" t="s">
        <v>4637</v>
      </c>
      <c r="D1345" s="2" t="s">
        <v>4638</v>
      </c>
      <c r="E1345" s="4" t="s">
        <v>24062</v>
      </c>
      <c r="G1345" s="15" t="s">
        <v>24063</v>
      </c>
      <c r="H1345" s="15" t="s">
        <v>24064</v>
      </c>
      <c r="I1345" s="15" t="s">
        <v>24065</v>
      </c>
      <c r="J1345" s="15" t="s">
        <v>24066</v>
      </c>
      <c r="K1345" s="15">
        <v>39722</v>
      </c>
      <c r="L1345" s="15" t="s">
        <v>19099</v>
      </c>
    </row>
    <row r="1346" spans="1:20" x14ac:dyDescent="0.25">
      <c r="A1346" s="2" t="s">
        <v>4640</v>
      </c>
      <c r="B1346" s="8" t="s">
        <v>16720</v>
      </c>
      <c r="C1346" s="2" t="s">
        <v>4640</v>
      </c>
      <c r="D1346" s="2" t="s">
        <v>4641</v>
      </c>
      <c r="E1346" s="4" t="s">
        <v>24067</v>
      </c>
      <c r="G1346" s="15" t="s">
        <v>24068</v>
      </c>
      <c r="H1346" s="15" t="s">
        <v>24069</v>
      </c>
      <c r="I1346" s="15" t="s">
        <v>24070</v>
      </c>
      <c r="J1346" s="15" t="s">
        <v>24071</v>
      </c>
      <c r="K1346" s="15">
        <v>3082</v>
      </c>
      <c r="L1346" s="15" t="s">
        <v>19099</v>
      </c>
    </row>
    <row r="1347" spans="1:20" x14ac:dyDescent="0.25">
      <c r="A1347" s="2" t="s">
        <v>4643</v>
      </c>
      <c r="B1347" s="8" t="s">
        <v>16721</v>
      </c>
      <c r="C1347" s="2" t="s">
        <v>4643</v>
      </c>
      <c r="D1347" s="2" t="s">
        <v>4644</v>
      </c>
      <c r="E1347" s="4" t="s">
        <v>24072</v>
      </c>
      <c r="G1347" s="15" t="s">
        <v>24073</v>
      </c>
      <c r="H1347" s="15" t="s">
        <v>24074</v>
      </c>
      <c r="I1347" s="15" t="s">
        <v>24075</v>
      </c>
      <c r="J1347" s="15" t="s">
        <v>24076</v>
      </c>
      <c r="K1347" s="15">
        <v>5889665</v>
      </c>
      <c r="L1347" s="15" t="s">
        <v>19099</v>
      </c>
    </row>
    <row r="1348" spans="1:20" x14ac:dyDescent="0.25">
      <c r="A1348" s="2" t="s">
        <v>4646</v>
      </c>
      <c r="B1348" s="8" t="s">
        <v>16722</v>
      </c>
      <c r="C1348" s="2" t="s">
        <v>4646</v>
      </c>
      <c r="D1348" s="2" t="s">
        <v>4647</v>
      </c>
      <c r="E1348" s="4" t="s">
        <v>24077</v>
      </c>
      <c r="G1348" s="15" t="s">
        <v>24078</v>
      </c>
      <c r="H1348" s="15" t="s">
        <v>24079</v>
      </c>
      <c r="I1348" s="15" t="s">
        <v>24080</v>
      </c>
      <c r="J1348" s="15" t="s">
        <v>24081</v>
      </c>
      <c r="K1348" s="15">
        <v>6426850</v>
      </c>
      <c r="L1348" s="15" t="s">
        <v>19099</v>
      </c>
    </row>
    <row r="1349" spans="1:20" x14ac:dyDescent="0.25">
      <c r="A1349" s="2" t="s">
        <v>4649</v>
      </c>
      <c r="B1349" s="8" t="s">
        <v>16723</v>
      </c>
      <c r="C1349" s="2" t="s">
        <v>4649</v>
      </c>
      <c r="D1349" s="2" t="s">
        <v>4650</v>
      </c>
      <c r="E1349" s="4" t="s">
        <v>24082</v>
      </c>
      <c r="G1349" s="15" t="s">
        <v>24083</v>
      </c>
      <c r="H1349" s="15" t="s">
        <v>24084</v>
      </c>
      <c r="I1349" s="15" t="s">
        <v>24085</v>
      </c>
      <c r="J1349" s="15" t="s">
        <v>24086</v>
      </c>
      <c r="K1349" s="15">
        <v>86290064</v>
      </c>
      <c r="L1349" s="15" t="s">
        <v>19099</v>
      </c>
    </row>
    <row r="1350" spans="1:20" x14ac:dyDescent="0.25">
      <c r="A1350" s="2" t="s">
        <v>4652</v>
      </c>
      <c r="B1350" s="8" t="s">
        <v>16724</v>
      </c>
      <c r="C1350" s="2" t="s">
        <v>4652</v>
      </c>
      <c r="D1350" s="2" t="s">
        <v>4653</v>
      </c>
      <c r="E1350" s="4" t="s">
        <v>4653</v>
      </c>
      <c r="G1350" s="15" t="s">
        <v>24087</v>
      </c>
      <c r="H1350" s="15" t="s">
        <v>24088</v>
      </c>
      <c r="I1350" s="15" t="s">
        <v>24089</v>
      </c>
      <c r="J1350" s="15" t="s">
        <v>24061</v>
      </c>
      <c r="K1350" s="15">
        <v>13633097</v>
      </c>
      <c r="L1350" s="15" t="s">
        <v>19099</v>
      </c>
    </row>
    <row r="1351" spans="1:20" x14ac:dyDescent="0.25">
      <c r="A1351" s="2" t="s">
        <v>4655</v>
      </c>
      <c r="B1351" s="8" t="s">
        <v>16725</v>
      </c>
      <c r="C1351" s="2" t="s">
        <v>4655</v>
      </c>
      <c r="D1351" s="2" t="s">
        <v>4656</v>
      </c>
      <c r="E1351" s="4" t="s">
        <v>4656</v>
      </c>
      <c r="G1351" s="15" t="s">
        <v>24090</v>
      </c>
      <c r="H1351" s="15" t="s">
        <v>24091</v>
      </c>
      <c r="I1351" s="15" t="s">
        <v>24092</v>
      </c>
      <c r="J1351" s="15" t="s">
        <v>24093</v>
      </c>
      <c r="K1351" s="15">
        <v>41385</v>
      </c>
      <c r="L1351" s="15" t="s">
        <v>19099</v>
      </c>
    </row>
    <row r="1352" spans="1:20" x14ac:dyDescent="0.25">
      <c r="A1352" s="2" t="s">
        <v>4658</v>
      </c>
      <c r="B1352" s="8" t="s">
        <v>16726</v>
      </c>
      <c r="C1352" s="2" t="s">
        <v>4658</v>
      </c>
      <c r="D1352" s="2" t="s">
        <v>4659</v>
      </c>
      <c r="E1352" s="4" t="s">
        <v>4659</v>
      </c>
      <c r="G1352" s="15" t="s">
        <v>24094</v>
      </c>
      <c r="H1352" s="15" t="s">
        <v>24095</v>
      </c>
      <c r="I1352" s="15" t="s">
        <v>24096</v>
      </c>
      <c r="J1352" s="15" t="s">
        <v>24097</v>
      </c>
      <c r="K1352" s="15">
        <v>135424353</v>
      </c>
      <c r="L1352" s="15" t="s">
        <v>19099</v>
      </c>
    </row>
    <row r="1353" spans="1:20" x14ac:dyDescent="0.25">
      <c r="A1353" s="2" t="s">
        <v>4661</v>
      </c>
      <c r="B1353" s="8" t="s">
        <v>16727</v>
      </c>
      <c r="C1353" s="2" t="s">
        <v>4661</v>
      </c>
      <c r="D1353" s="2" t="s">
        <v>4662</v>
      </c>
      <c r="E1353" s="4" t="s">
        <v>15397</v>
      </c>
      <c r="G1353" s="15" t="s">
        <v>24098</v>
      </c>
      <c r="H1353" s="15" t="s">
        <v>24099</v>
      </c>
      <c r="I1353" s="15" t="s">
        <v>24100</v>
      </c>
      <c r="J1353" s="15" t="s">
        <v>24101</v>
      </c>
      <c r="K1353" s="15">
        <v>10936292</v>
      </c>
      <c r="L1353" s="15" t="s">
        <v>19099</v>
      </c>
    </row>
    <row r="1354" spans="1:20" x14ac:dyDescent="0.25">
      <c r="A1354" s="2" t="s">
        <v>4664</v>
      </c>
      <c r="B1354" s="8" t="s">
        <v>16728</v>
      </c>
      <c r="C1354" s="2" t="s">
        <v>4664</v>
      </c>
      <c r="D1354" s="2" t="s">
        <v>4665</v>
      </c>
      <c r="E1354" s="4" t="s">
        <v>4665</v>
      </c>
      <c r="G1354" s="15" t="s">
        <v>24102</v>
      </c>
      <c r="H1354" s="15" t="s">
        <v>24103</v>
      </c>
      <c r="I1354" s="15" t="s">
        <v>24104</v>
      </c>
      <c r="J1354" s="15" t="s">
        <v>24105</v>
      </c>
      <c r="K1354" s="15">
        <v>13783</v>
      </c>
      <c r="L1354" s="15" t="s">
        <v>19099</v>
      </c>
    </row>
    <row r="1355" spans="1:20" x14ac:dyDescent="0.25">
      <c r="A1355" s="2" t="s">
        <v>4667</v>
      </c>
      <c r="B1355" s="8" t="s">
        <v>16729</v>
      </c>
      <c r="C1355" s="2" t="s">
        <v>4667</v>
      </c>
      <c r="D1355" s="2" t="s">
        <v>4668</v>
      </c>
      <c r="E1355" s="4" t="s">
        <v>24106</v>
      </c>
      <c r="G1355" s="15" t="s">
        <v>24107</v>
      </c>
      <c r="H1355" s="15" t="s">
        <v>24108</v>
      </c>
      <c r="I1355" s="15" t="s">
        <v>24109</v>
      </c>
      <c r="J1355" s="15" t="s">
        <v>24110</v>
      </c>
      <c r="K1355" s="15">
        <v>6436605</v>
      </c>
      <c r="L1355" s="15" t="s">
        <v>19099</v>
      </c>
    </row>
    <row r="1356" spans="1:20" x14ac:dyDescent="0.25">
      <c r="A1356" s="2" t="s">
        <v>4670</v>
      </c>
      <c r="B1356" s="9" t="s">
        <v>4672</v>
      </c>
      <c r="C1356" s="2" t="s">
        <v>4670</v>
      </c>
      <c r="D1356" s="2" t="s">
        <v>4671</v>
      </c>
      <c r="E1356" s="4" t="s">
        <v>4671</v>
      </c>
      <c r="N1356" s="15" t="s">
        <v>21788</v>
      </c>
      <c r="O1356" s="15" t="s">
        <v>24111</v>
      </c>
      <c r="P1356" s="15" t="s">
        <v>24112</v>
      </c>
      <c r="Q1356" s="15" t="s">
        <v>24113</v>
      </c>
      <c r="R1356" s="15" t="s">
        <v>24114</v>
      </c>
      <c r="S1356" s="15">
        <v>21981</v>
      </c>
      <c r="T1356" s="15" t="s">
        <v>19089</v>
      </c>
    </row>
    <row r="1357" spans="1:20" x14ac:dyDescent="0.25">
      <c r="A1357" s="2" t="s">
        <v>4673</v>
      </c>
      <c r="B1357" s="8" t="s">
        <v>16731</v>
      </c>
      <c r="C1357" s="2" t="s">
        <v>4673</v>
      </c>
      <c r="D1357" s="2" t="s">
        <v>4674</v>
      </c>
      <c r="E1357" s="4" t="s">
        <v>24115</v>
      </c>
      <c r="G1357" s="15" t="s">
        <v>24116</v>
      </c>
      <c r="H1357" s="15" t="s">
        <v>24117</v>
      </c>
      <c r="I1357" s="15" t="s">
        <v>24118</v>
      </c>
      <c r="J1357" s="15" t="s">
        <v>24119</v>
      </c>
      <c r="K1357" s="15">
        <v>17776</v>
      </c>
      <c r="L1357" s="15" t="s">
        <v>19099</v>
      </c>
    </row>
    <row r="1358" spans="1:20" x14ac:dyDescent="0.25">
      <c r="A1358" s="2" t="s">
        <v>4676</v>
      </c>
      <c r="B1358" s="8" t="s">
        <v>16732</v>
      </c>
      <c r="C1358" s="2" t="s">
        <v>4676</v>
      </c>
      <c r="D1358" s="2" t="s">
        <v>4677</v>
      </c>
      <c r="E1358" s="4" t="s">
        <v>4677</v>
      </c>
      <c r="G1358" s="15" t="s">
        <v>24120</v>
      </c>
      <c r="H1358" s="15" t="s">
        <v>24121</v>
      </c>
      <c r="I1358" s="15" t="s">
        <v>24122</v>
      </c>
      <c r="J1358" s="15" t="s">
        <v>24123</v>
      </c>
      <c r="K1358" s="15">
        <v>6950</v>
      </c>
      <c r="L1358" s="15" t="s">
        <v>19099</v>
      </c>
    </row>
    <row r="1359" spans="1:20" x14ac:dyDescent="0.25">
      <c r="A1359" s="2" t="s">
        <v>4679</v>
      </c>
      <c r="B1359" s="8" t="s">
        <v>16733</v>
      </c>
      <c r="C1359" s="2" t="s">
        <v>4679</v>
      </c>
      <c r="D1359" s="2" t="s">
        <v>4680</v>
      </c>
      <c r="E1359" s="4" t="s">
        <v>4680</v>
      </c>
      <c r="G1359" s="15" t="s">
        <v>24124</v>
      </c>
      <c r="H1359" s="15" t="s">
        <v>24125</v>
      </c>
      <c r="I1359" s="15" t="s">
        <v>24126</v>
      </c>
      <c r="J1359" s="15" t="s">
        <v>24123</v>
      </c>
      <c r="K1359" s="15">
        <v>14994</v>
      </c>
      <c r="L1359" s="15" t="s">
        <v>19099</v>
      </c>
    </row>
    <row r="1360" spans="1:20" x14ac:dyDescent="0.25">
      <c r="A1360" s="2" t="s">
        <v>4682</v>
      </c>
      <c r="B1360" s="8" t="s">
        <v>16734</v>
      </c>
      <c r="C1360" s="2" t="s">
        <v>4682</v>
      </c>
      <c r="D1360" s="2" t="s">
        <v>4683</v>
      </c>
      <c r="E1360" s="4" t="s">
        <v>24127</v>
      </c>
      <c r="G1360" s="15" t="s">
        <v>24128</v>
      </c>
      <c r="H1360" s="15" t="s">
        <v>24129</v>
      </c>
      <c r="I1360" s="15" t="s">
        <v>24130</v>
      </c>
      <c r="J1360" s="15" t="s">
        <v>24131</v>
      </c>
      <c r="K1360" s="15">
        <v>601881</v>
      </c>
      <c r="L1360" s="15" t="s">
        <v>19099</v>
      </c>
    </row>
    <row r="1361" spans="1:12" x14ac:dyDescent="0.25">
      <c r="A1361" s="2" t="s">
        <v>4685</v>
      </c>
      <c r="B1361" s="8" t="s">
        <v>16735</v>
      </c>
      <c r="C1361" s="2" t="s">
        <v>4685</v>
      </c>
      <c r="D1361" s="2" t="s">
        <v>4686</v>
      </c>
      <c r="E1361" s="4" t="s">
        <v>24132</v>
      </c>
      <c r="G1361" s="15" t="s">
        <v>24133</v>
      </c>
      <c r="H1361" s="15" t="s">
        <v>24134</v>
      </c>
      <c r="I1361" s="15" t="s">
        <v>24135</v>
      </c>
      <c r="J1361" s="15" t="s">
        <v>24136</v>
      </c>
      <c r="K1361" s="15">
        <v>228289</v>
      </c>
      <c r="L1361" s="15" t="s">
        <v>19099</v>
      </c>
    </row>
    <row r="1362" spans="1:12" x14ac:dyDescent="0.25">
      <c r="A1362" s="2" t="s">
        <v>4688</v>
      </c>
      <c r="B1362" s="8" t="s">
        <v>16736</v>
      </c>
      <c r="C1362" s="2" t="s">
        <v>4688</v>
      </c>
      <c r="D1362" s="2" t="s">
        <v>4689</v>
      </c>
      <c r="E1362" s="4" t="s">
        <v>4689</v>
      </c>
      <c r="G1362" s="15" t="s">
        <v>24137</v>
      </c>
      <c r="H1362" s="15" t="s">
        <v>24138</v>
      </c>
      <c r="I1362" s="15" t="s">
        <v>24139</v>
      </c>
      <c r="J1362" s="15" t="s">
        <v>24140</v>
      </c>
      <c r="K1362" s="15">
        <v>8576</v>
      </c>
      <c r="L1362" s="15" t="s">
        <v>19099</v>
      </c>
    </row>
    <row r="1363" spans="1:12" x14ac:dyDescent="0.25">
      <c r="A1363" s="2" t="s">
        <v>4691</v>
      </c>
      <c r="B1363" s="8" t="s">
        <v>16737</v>
      </c>
      <c r="C1363" s="2" t="s">
        <v>4691</v>
      </c>
      <c r="D1363" s="2" t="s">
        <v>4692</v>
      </c>
      <c r="E1363" s="4" t="s">
        <v>24141</v>
      </c>
      <c r="G1363" s="15" t="s">
        <v>24142</v>
      </c>
      <c r="H1363" s="15" t="s">
        <v>24143</v>
      </c>
      <c r="I1363" s="15" t="s">
        <v>24144</v>
      </c>
      <c r="J1363" s="15" t="s">
        <v>24145</v>
      </c>
      <c r="K1363" s="15">
        <v>3108</v>
      </c>
      <c r="L1363" s="15" t="s">
        <v>19099</v>
      </c>
    </row>
    <row r="1364" spans="1:12" x14ac:dyDescent="0.25">
      <c r="A1364" s="2" t="s">
        <v>4694</v>
      </c>
      <c r="B1364" s="8" t="s">
        <v>16738</v>
      </c>
      <c r="C1364" s="2" t="s">
        <v>4694</v>
      </c>
      <c r="D1364" s="2" t="s">
        <v>4695</v>
      </c>
      <c r="E1364" s="4" t="s">
        <v>24146</v>
      </c>
      <c r="G1364" s="15" t="s">
        <v>24147</v>
      </c>
      <c r="H1364" s="15" t="s">
        <v>24148</v>
      </c>
      <c r="I1364" s="15" t="s">
        <v>24149</v>
      </c>
      <c r="J1364" s="15" t="s">
        <v>24150</v>
      </c>
      <c r="K1364" s="15">
        <v>6794</v>
      </c>
      <c r="L1364" s="15" t="s">
        <v>19099</v>
      </c>
    </row>
    <row r="1365" spans="1:12" x14ac:dyDescent="0.25">
      <c r="A1365" s="2" t="s">
        <v>4697</v>
      </c>
      <c r="B1365" s="8" t="s">
        <v>16739</v>
      </c>
      <c r="C1365" s="2" t="s">
        <v>4697</v>
      </c>
      <c r="D1365" s="2" t="s">
        <v>4698</v>
      </c>
      <c r="E1365" s="4" t="s">
        <v>24151</v>
      </c>
      <c r="G1365" s="15" t="s">
        <v>24152</v>
      </c>
      <c r="H1365" s="15" t="s">
        <v>24153</v>
      </c>
      <c r="I1365" s="15" t="s">
        <v>24154</v>
      </c>
      <c r="J1365" s="15" t="s">
        <v>24155</v>
      </c>
      <c r="K1365" s="15">
        <v>115268</v>
      </c>
      <c r="L1365" s="15" t="s">
        <v>19099</v>
      </c>
    </row>
    <row r="1366" spans="1:12" x14ac:dyDescent="0.25">
      <c r="A1366" s="2" t="s">
        <v>4700</v>
      </c>
      <c r="B1366" s="8" t="s">
        <v>16740</v>
      </c>
      <c r="C1366" s="2" t="s">
        <v>4700</v>
      </c>
      <c r="D1366" s="2" t="s">
        <v>4701</v>
      </c>
      <c r="E1366" s="4" t="s">
        <v>4701</v>
      </c>
      <c r="G1366" s="15" t="s">
        <v>24156</v>
      </c>
      <c r="H1366" s="15" t="s">
        <v>24157</v>
      </c>
      <c r="I1366" s="15" t="s">
        <v>24158</v>
      </c>
      <c r="J1366" s="15" t="s">
        <v>24159</v>
      </c>
      <c r="K1366" s="15">
        <v>6795</v>
      </c>
      <c r="L1366" s="15" t="s">
        <v>19099</v>
      </c>
    </row>
    <row r="1367" spans="1:12" x14ac:dyDescent="0.25">
      <c r="A1367" s="2" t="s">
        <v>4703</v>
      </c>
      <c r="B1367" s="8" t="s">
        <v>16742</v>
      </c>
      <c r="C1367" s="2" t="s">
        <v>4703</v>
      </c>
      <c r="D1367" s="2" t="s">
        <v>4704</v>
      </c>
      <c r="E1367" s="4" t="s">
        <v>24160</v>
      </c>
      <c r="G1367" s="15" t="s">
        <v>24161</v>
      </c>
      <c r="H1367" s="15" t="s">
        <v>24162</v>
      </c>
      <c r="I1367" s="15" t="s">
        <v>24163</v>
      </c>
      <c r="J1367" s="15" t="s">
        <v>24164</v>
      </c>
      <c r="K1367" s="15">
        <v>17242</v>
      </c>
      <c r="L1367" s="15" t="s">
        <v>19099</v>
      </c>
    </row>
    <row r="1368" spans="1:12" x14ac:dyDescent="0.25">
      <c r="A1368" s="2" t="s">
        <v>4706</v>
      </c>
      <c r="B1368" s="8" t="s">
        <v>16743</v>
      </c>
      <c r="C1368" s="2" t="s">
        <v>4706</v>
      </c>
      <c r="D1368" s="2" t="s">
        <v>4707</v>
      </c>
      <c r="E1368" s="4" t="s">
        <v>4707</v>
      </c>
      <c r="G1368" s="15" t="s">
        <v>24165</v>
      </c>
      <c r="H1368" s="15" t="s">
        <v>24166</v>
      </c>
      <c r="I1368" s="15" t="s">
        <v>24167</v>
      </c>
      <c r="J1368" s="15" t="s">
        <v>24168</v>
      </c>
      <c r="K1368" s="15">
        <v>3118</v>
      </c>
      <c r="L1368" s="15" t="s">
        <v>19099</v>
      </c>
    </row>
    <row r="1369" spans="1:12" x14ac:dyDescent="0.25">
      <c r="A1369" s="2" t="s">
        <v>4709</v>
      </c>
      <c r="B1369" s="8" t="s">
        <v>16744</v>
      </c>
      <c r="C1369" s="2" t="s">
        <v>4709</v>
      </c>
      <c r="D1369" s="2" t="s">
        <v>4710</v>
      </c>
      <c r="E1369" s="4" t="s">
        <v>24169</v>
      </c>
      <c r="G1369" s="15" t="s">
        <v>24170</v>
      </c>
      <c r="H1369" s="15" t="s">
        <v>24171</v>
      </c>
      <c r="I1369" s="15" t="s">
        <v>24172</v>
      </c>
      <c r="J1369" s="15" t="s">
        <v>24173</v>
      </c>
      <c r="K1369" s="15">
        <v>17241</v>
      </c>
      <c r="L1369" s="15" t="s">
        <v>19099</v>
      </c>
    </row>
    <row r="1370" spans="1:12" x14ac:dyDescent="0.25">
      <c r="A1370" s="2" t="s">
        <v>4712</v>
      </c>
      <c r="B1370" s="8" t="s">
        <v>16745</v>
      </c>
      <c r="C1370" s="2" t="s">
        <v>4712</v>
      </c>
      <c r="D1370" s="2" t="s">
        <v>4713</v>
      </c>
      <c r="E1370" s="4" t="s">
        <v>4713</v>
      </c>
      <c r="G1370" s="15" t="s">
        <v>24174</v>
      </c>
      <c r="H1370" s="15" t="s">
        <v>24175</v>
      </c>
      <c r="I1370" s="15" t="s">
        <v>24176</v>
      </c>
      <c r="J1370" s="15" t="s">
        <v>24177</v>
      </c>
      <c r="K1370" s="15">
        <v>18771</v>
      </c>
      <c r="L1370" s="15" t="s">
        <v>19099</v>
      </c>
    </row>
    <row r="1371" spans="1:12" x14ac:dyDescent="0.25">
      <c r="A1371" s="2" t="s">
        <v>4715</v>
      </c>
      <c r="B1371" s="8" t="s">
        <v>16746</v>
      </c>
      <c r="C1371" s="2" t="s">
        <v>4715</v>
      </c>
      <c r="D1371" s="2" t="s">
        <v>4716</v>
      </c>
      <c r="E1371" s="4" t="s">
        <v>24178</v>
      </c>
      <c r="G1371" s="15" t="s">
        <v>24179</v>
      </c>
      <c r="H1371" s="15" t="s">
        <v>24180</v>
      </c>
      <c r="I1371" s="15" t="s">
        <v>24181</v>
      </c>
      <c r="J1371" s="15" t="s">
        <v>24182</v>
      </c>
      <c r="K1371" s="15">
        <v>21207</v>
      </c>
      <c r="L1371" s="15" t="s">
        <v>19099</v>
      </c>
    </row>
    <row r="1372" spans="1:12" x14ac:dyDescent="0.25">
      <c r="A1372" s="2" t="s">
        <v>4718</v>
      </c>
      <c r="B1372" s="8" t="s">
        <v>16747</v>
      </c>
      <c r="C1372" s="2" t="s">
        <v>4718</v>
      </c>
      <c r="D1372" s="2" t="s">
        <v>4719</v>
      </c>
      <c r="E1372" s="4" t="s">
        <v>4719</v>
      </c>
      <c r="G1372" s="15" t="s">
        <v>24183</v>
      </c>
      <c r="H1372" s="15" t="s">
        <v>24184</v>
      </c>
      <c r="I1372" s="15" t="s">
        <v>24185</v>
      </c>
      <c r="J1372" s="15" t="s">
        <v>24186</v>
      </c>
      <c r="K1372" s="15">
        <v>2758725</v>
      </c>
      <c r="L1372" s="15" t="s">
        <v>19099</v>
      </c>
    </row>
    <row r="1373" spans="1:12" x14ac:dyDescent="0.25">
      <c r="A1373" s="2" t="s">
        <v>4721</v>
      </c>
      <c r="B1373" s="8" t="s">
        <v>16748</v>
      </c>
      <c r="C1373" s="2" t="s">
        <v>4721</v>
      </c>
      <c r="D1373" s="2" t="s">
        <v>4722</v>
      </c>
      <c r="E1373" s="4" t="s">
        <v>4722</v>
      </c>
      <c r="G1373" s="15" t="s">
        <v>24187</v>
      </c>
      <c r="H1373" s="15" t="s">
        <v>24188</v>
      </c>
      <c r="I1373" s="15" t="s">
        <v>24189</v>
      </c>
      <c r="J1373" s="15" t="s">
        <v>24190</v>
      </c>
      <c r="K1373" s="15">
        <v>3120</v>
      </c>
      <c r="L1373" s="15" t="s">
        <v>19099</v>
      </c>
    </row>
    <row r="1374" spans="1:12" x14ac:dyDescent="0.25">
      <c r="A1374" s="2" t="s">
        <v>4724</v>
      </c>
      <c r="B1374" s="8" t="s">
        <v>16180</v>
      </c>
      <c r="C1374" s="2" t="s">
        <v>4724</v>
      </c>
      <c r="D1374" s="2" t="s">
        <v>4725</v>
      </c>
      <c r="E1374" s="4" t="s">
        <v>24191</v>
      </c>
    </row>
    <row r="1375" spans="1:12" x14ac:dyDescent="0.25">
      <c r="A1375" s="2" t="s">
        <v>4726</v>
      </c>
      <c r="B1375" s="8" t="s">
        <v>16750</v>
      </c>
      <c r="C1375" s="2" t="s">
        <v>4726</v>
      </c>
      <c r="D1375" s="2" t="s">
        <v>4727</v>
      </c>
      <c r="E1375" s="4" t="s">
        <v>24192</v>
      </c>
      <c r="G1375" s="15" t="s">
        <v>24073</v>
      </c>
      <c r="H1375" s="15" t="s">
        <v>24074</v>
      </c>
      <c r="I1375" s="15" t="s">
        <v>24075</v>
      </c>
      <c r="J1375" s="15" t="s">
        <v>24076</v>
      </c>
      <c r="K1375" s="15">
        <v>5889665</v>
      </c>
      <c r="L1375" s="15" t="s">
        <v>19099</v>
      </c>
    </row>
    <row r="1376" spans="1:12" x14ac:dyDescent="0.25">
      <c r="A1376" s="2" t="s">
        <v>4729</v>
      </c>
      <c r="B1376" s="8" t="s">
        <v>16751</v>
      </c>
      <c r="C1376" s="2" t="s">
        <v>4729</v>
      </c>
      <c r="D1376" s="2" t="s">
        <v>4730</v>
      </c>
      <c r="E1376" s="4" t="s">
        <v>24193</v>
      </c>
      <c r="G1376" s="15" t="s">
        <v>24194</v>
      </c>
      <c r="H1376" s="15" t="s">
        <v>24195</v>
      </c>
      <c r="I1376" s="15" t="s">
        <v>24196</v>
      </c>
      <c r="J1376" s="15" t="s">
        <v>24197</v>
      </c>
      <c r="K1376" s="15">
        <v>104150</v>
      </c>
      <c r="L1376" s="15" t="s">
        <v>19099</v>
      </c>
    </row>
    <row r="1377" spans="1:12" x14ac:dyDescent="0.25">
      <c r="A1377" s="2" t="s">
        <v>4732</v>
      </c>
      <c r="B1377" s="8" t="s">
        <v>16180</v>
      </c>
      <c r="C1377" s="2" t="s">
        <v>4732</v>
      </c>
      <c r="D1377" s="2" t="s">
        <v>4733</v>
      </c>
      <c r="E1377" s="4" t="s">
        <v>24198</v>
      </c>
    </row>
    <row r="1378" spans="1:12" x14ac:dyDescent="0.25">
      <c r="A1378" s="2" t="s">
        <v>4734</v>
      </c>
      <c r="B1378" s="8" t="s">
        <v>16752</v>
      </c>
      <c r="C1378" s="2" t="s">
        <v>4734</v>
      </c>
      <c r="D1378" s="2" t="s">
        <v>4735</v>
      </c>
      <c r="E1378" s="4" t="s">
        <v>24199</v>
      </c>
      <c r="G1378" s="15" t="s">
        <v>24200</v>
      </c>
      <c r="H1378" s="15" t="s">
        <v>24201</v>
      </c>
      <c r="I1378" s="15" t="s">
        <v>24202</v>
      </c>
      <c r="J1378" s="15" t="s">
        <v>24203</v>
      </c>
      <c r="K1378" s="15">
        <v>6049</v>
      </c>
      <c r="L1378" s="15" t="s">
        <v>19099</v>
      </c>
    </row>
    <row r="1379" spans="1:12" ht="30" customHeight="1" x14ac:dyDescent="0.25">
      <c r="A1379" s="2" t="s">
        <v>4737</v>
      </c>
      <c r="B1379" s="8" t="s">
        <v>16753</v>
      </c>
      <c r="C1379" s="2" t="s">
        <v>4737</v>
      </c>
      <c r="D1379" s="2" t="s">
        <v>4738</v>
      </c>
      <c r="E1379" s="4" t="s">
        <v>24204</v>
      </c>
      <c r="G1379" s="15" t="s">
        <v>24205</v>
      </c>
      <c r="H1379" s="15" t="s">
        <v>24206</v>
      </c>
      <c r="I1379" s="15" t="s">
        <v>24207</v>
      </c>
      <c r="J1379" s="15" t="s">
        <v>24208</v>
      </c>
      <c r="K1379" s="15">
        <v>15025</v>
      </c>
      <c r="L1379" s="15" t="s">
        <v>19099</v>
      </c>
    </row>
    <row r="1380" spans="1:12" x14ac:dyDescent="0.25">
      <c r="A1380" s="2" t="s">
        <v>4740</v>
      </c>
      <c r="B1380" s="8" t="s">
        <v>16180</v>
      </c>
      <c r="C1380" s="2" t="s">
        <v>4740</v>
      </c>
      <c r="D1380" s="2" t="s">
        <v>4741</v>
      </c>
      <c r="E1380" s="4" t="s">
        <v>24209</v>
      </c>
    </row>
    <row r="1381" spans="1:12" x14ac:dyDescent="0.25">
      <c r="A1381" s="2" t="s">
        <v>4742</v>
      </c>
      <c r="B1381" s="8" t="s">
        <v>16180</v>
      </c>
      <c r="C1381" s="2" t="s">
        <v>4742</v>
      </c>
      <c r="D1381" s="2" t="s">
        <v>4743</v>
      </c>
      <c r="E1381" s="4" t="s">
        <v>24210</v>
      </c>
    </row>
    <row r="1382" spans="1:12" x14ac:dyDescent="0.25">
      <c r="A1382" s="2" t="s">
        <v>4744</v>
      </c>
      <c r="B1382" s="8" t="s">
        <v>16180</v>
      </c>
      <c r="C1382" s="2" t="s">
        <v>4744</v>
      </c>
      <c r="D1382" s="2" t="s">
        <v>4745</v>
      </c>
      <c r="E1382" s="4" t="s">
        <v>24211</v>
      </c>
    </row>
    <row r="1383" spans="1:12" x14ac:dyDescent="0.25">
      <c r="A1383" s="2" t="s">
        <v>4746</v>
      </c>
      <c r="B1383" s="8" t="s">
        <v>16180</v>
      </c>
      <c r="C1383" s="2" t="s">
        <v>4746</v>
      </c>
      <c r="D1383" s="2" t="s">
        <v>4747</v>
      </c>
      <c r="E1383" s="4" t="s">
        <v>24212</v>
      </c>
    </row>
    <row r="1384" spans="1:12" x14ac:dyDescent="0.25">
      <c r="A1384" s="2" t="s">
        <v>4748</v>
      </c>
      <c r="B1384" s="8" t="s">
        <v>16180</v>
      </c>
      <c r="C1384" s="2" t="s">
        <v>4748</v>
      </c>
      <c r="D1384" s="2" t="s">
        <v>4749</v>
      </c>
      <c r="E1384" s="4" t="s">
        <v>24213</v>
      </c>
    </row>
    <row r="1385" spans="1:12" x14ac:dyDescent="0.25">
      <c r="A1385" s="2" t="s">
        <v>4750</v>
      </c>
      <c r="B1385" s="8" t="s">
        <v>16754</v>
      </c>
      <c r="C1385" s="2" t="s">
        <v>4750</v>
      </c>
      <c r="D1385" s="2" t="s">
        <v>4751</v>
      </c>
      <c r="E1385" s="4" t="s">
        <v>24214</v>
      </c>
      <c r="G1385" s="15" t="s">
        <v>24215</v>
      </c>
      <c r="H1385" s="15" t="s">
        <v>24216</v>
      </c>
      <c r="I1385" s="15" t="s">
        <v>24217</v>
      </c>
      <c r="J1385" s="15" t="s">
        <v>24218</v>
      </c>
      <c r="K1385" s="15">
        <v>16421</v>
      </c>
      <c r="L1385" s="15" t="s">
        <v>19099</v>
      </c>
    </row>
    <row r="1386" spans="1:12" x14ac:dyDescent="0.25">
      <c r="A1386" s="2" t="s">
        <v>4753</v>
      </c>
      <c r="B1386" s="8" t="s">
        <v>16755</v>
      </c>
      <c r="C1386" s="2" t="s">
        <v>4753</v>
      </c>
      <c r="D1386" s="2" t="s">
        <v>4754</v>
      </c>
      <c r="E1386" s="4" t="s">
        <v>24219</v>
      </c>
      <c r="G1386" s="15" t="s">
        <v>24220</v>
      </c>
      <c r="H1386" s="15" t="s">
        <v>24221</v>
      </c>
      <c r="I1386" s="15" t="s">
        <v>24222</v>
      </c>
      <c r="J1386" s="15" t="s">
        <v>24223</v>
      </c>
      <c r="K1386" s="15">
        <v>12968</v>
      </c>
      <c r="L1386" s="15" t="s">
        <v>19099</v>
      </c>
    </row>
    <row r="1387" spans="1:12" x14ac:dyDescent="0.25">
      <c r="A1387" s="2" t="s">
        <v>4756</v>
      </c>
      <c r="B1387" s="8" t="s">
        <v>16180</v>
      </c>
      <c r="C1387" s="2" t="s">
        <v>4756</v>
      </c>
      <c r="D1387" s="2" t="s">
        <v>4757</v>
      </c>
      <c r="E1387" s="4" t="s">
        <v>24224</v>
      </c>
    </row>
    <row r="1388" spans="1:12" x14ac:dyDescent="0.25">
      <c r="A1388" s="2" t="s">
        <v>4758</v>
      </c>
      <c r="B1388" s="8" t="s">
        <v>16180</v>
      </c>
      <c r="C1388" s="2" t="s">
        <v>4758</v>
      </c>
      <c r="D1388" s="2" t="s">
        <v>4759</v>
      </c>
      <c r="E1388" s="4" t="s">
        <v>24225</v>
      </c>
    </row>
    <row r="1389" spans="1:12" x14ac:dyDescent="0.25">
      <c r="A1389" s="2" t="s">
        <v>4760</v>
      </c>
      <c r="B1389" s="8" t="s">
        <v>16756</v>
      </c>
      <c r="C1389" s="2" t="s">
        <v>4760</v>
      </c>
      <c r="D1389" s="2" t="s">
        <v>4761</v>
      </c>
      <c r="E1389" s="4" t="s">
        <v>4761</v>
      </c>
      <c r="G1389" s="15" t="s">
        <v>24226</v>
      </c>
      <c r="H1389" s="15" t="s">
        <v>24227</v>
      </c>
      <c r="I1389" s="15" t="s">
        <v>24228</v>
      </c>
      <c r="J1389" s="15" t="s">
        <v>24229</v>
      </c>
      <c r="K1389" s="15">
        <v>6438196</v>
      </c>
      <c r="L1389" s="15" t="s">
        <v>19099</v>
      </c>
    </row>
    <row r="1390" spans="1:12" x14ac:dyDescent="0.25">
      <c r="A1390" s="2" t="s">
        <v>4763</v>
      </c>
      <c r="B1390" s="8" t="s">
        <v>16180</v>
      </c>
      <c r="C1390" s="2" t="s">
        <v>4763</v>
      </c>
      <c r="D1390" s="2" t="s">
        <v>4764</v>
      </c>
      <c r="E1390" s="4" t="s">
        <v>4764</v>
      </c>
    </row>
    <row r="1391" spans="1:12" x14ac:dyDescent="0.25">
      <c r="A1391" s="2" t="s">
        <v>4765</v>
      </c>
      <c r="B1391" s="8" t="s">
        <v>16180</v>
      </c>
      <c r="C1391" s="2" t="s">
        <v>4765</v>
      </c>
      <c r="D1391" s="2" t="s">
        <v>4766</v>
      </c>
      <c r="E1391" s="4" t="s">
        <v>24230</v>
      </c>
    </row>
    <row r="1392" spans="1:12" x14ac:dyDescent="0.25">
      <c r="A1392" s="2" t="s">
        <v>4767</v>
      </c>
      <c r="B1392" s="8" t="s">
        <v>16180</v>
      </c>
      <c r="C1392" s="2" t="s">
        <v>4767</v>
      </c>
      <c r="D1392" s="2" t="s">
        <v>4768</v>
      </c>
      <c r="E1392" s="4" t="s">
        <v>24231</v>
      </c>
    </row>
    <row r="1393" spans="1:12" x14ac:dyDescent="0.25">
      <c r="A1393" s="2" t="s">
        <v>4769</v>
      </c>
      <c r="B1393" s="8" t="s">
        <v>16180</v>
      </c>
      <c r="C1393" s="2" t="s">
        <v>4769</v>
      </c>
      <c r="D1393" s="2" t="s">
        <v>4770</v>
      </c>
      <c r="E1393" s="4" t="s">
        <v>24232</v>
      </c>
    </row>
    <row r="1394" spans="1:12" x14ac:dyDescent="0.25">
      <c r="A1394" s="2" t="s">
        <v>4771</v>
      </c>
      <c r="B1394" s="8" t="s">
        <v>16180</v>
      </c>
      <c r="C1394" s="2" t="s">
        <v>4771</v>
      </c>
      <c r="D1394" s="2" t="s">
        <v>4772</v>
      </c>
      <c r="E1394" s="4" t="s">
        <v>24233</v>
      </c>
    </row>
    <row r="1395" spans="1:12" x14ac:dyDescent="0.25">
      <c r="A1395" s="2" t="s">
        <v>4773</v>
      </c>
      <c r="B1395" s="8" t="s">
        <v>16180</v>
      </c>
      <c r="C1395" s="2" t="s">
        <v>4773</v>
      </c>
      <c r="D1395" s="2" t="s">
        <v>4774</v>
      </c>
      <c r="E1395" s="4" t="s">
        <v>24234</v>
      </c>
    </row>
    <row r="1396" spans="1:12" x14ac:dyDescent="0.25">
      <c r="A1396" s="2" t="s">
        <v>4775</v>
      </c>
      <c r="B1396" s="8" t="s">
        <v>16180</v>
      </c>
      <c r="C1396" s="2" t="s">
        <v>4775</v>
      </c>
      <c r="D1396" s="2" t="s">
        <v>4776</v>
      </c>
      <c r="E1396" s="4" t="s">
        <v>24235</v>
      </c>
    </row>
    <row r="1397" spans="1:12" x14ac:dyDescent="0.25">
      <c r="A1397" s="2" t="s">
        <v>4777</v>
      </c>
      <c r="B1397" s="8" t="s">
        <v>16180</v>
      </c>
      <c r="C1397" s="2" t="s">
        <v>4777</v>
      </c>
      <c r="D1397" s="2" t="s">
        <v>4778</v>
      </c>
      <c r="E1397" s="4" t="s">
        <v>24236</v>
      </c>
    </row>
    <row r="1398" spans="1:12" x14ac:dyDescent="0.25">
      <c r="A1398" s="2" t="s">
        <v>4779</v>
      </c>
      <c r="B1398" s="8" t="s">
        <v>16759</v>
      </c>
      <c r="C1398" s="2" t="s">
        <v>4779</v>
      </c>
      <c r="D1398" s="2" t="s">
        <v>4780</v>
      </c>
      <c r="E1398" s="4" t="s">
        <v>4780</v>
      </c>
      <c r="G1398" s="15" t="s">
        <v>24237</v>
      </c>
      <c r="H1398" s="15" t="s">
        <v>24238</v>
      </c>
      <c r="I1398" s="15" t="s">
        <v>24239</v>
      </c>
      <c r="J1398" s="15" t="s">
        <v>578</v>
      </c>
      <c r="K1398" s="15">
        <v>167472</v>
      </c>
      <c r="L1398" s="15" t="s">
        <v>19099</v>
      </c>
    </row>
    <row r="1399" spans="1:12" x14ac:dyDescent="0.25">
      <c r="A1399" s="2" t="s">
        <v>4782</v>
      </c>
      <c r="B1399" s="8" t="s">
        <v>16760</v>
      </c>
      <c r="C1399" s="2" t="s">
        <v>4782</v>
      </c>
      <c r="D1399" s="2" t="s">
        <v>4783</v>
      </c>
      <c r="E1399" s="4" t="s">
        <v>24240</v>
      </c>
      <c r="G1399" s="15" t="s">
        <v>24241</v>
      </c>
      <c r="H1399" s="15" t="s">
        <v>24242</v>
      </c>
      <c r="I1399" s="15" t="s">
        <v>24243</v>
      </c>
      <c r="J1399" s="15" t="s">
        <v>24244</v>
      </c>
      <c r="K1399" s="15">
        <v>77797</v>
      </c>
      <c r="L1399" s="15" t="s">
        <v>19099</v>
      </c>
    </row>
    <row r="1400" spans="1:12" x14ac:dyDescent="0.25">
      <c r="A1400" s="2" t="s">
        <v>4785</v>
      </c>
      <c r="B1400" s="8" t="s">
        <v>16761</v>
      </c>
      <c r="C1400" s="2" t="s">
        <v>4785</v>
      </c>
      <c r="D1400" s="2" t="s">
        <v>4786</v>
      </c>
      <c r="E1400" s="4" t="s">
        <v>24245</v>
      </c>
      <c r="G1400" s="15" t="s">
        <v>24246</v>
      </c>
      <c r="H1400" s="15" t="s">
        <v>24247</v>
      </c>
      <c r="I1400" s="15" t="s">
        <v>24248</v>
      </c>
      <c r="J1400" s="15" t="s">
        <v>24249</v>
      </c>
      <c r="K1400" s="15">
        <v>18134</v>
      </c>
      <c r="L1400" s="15" t="s">
        <v>19099</v>
      </c>
    </row>
    <row r="1401" spans="1:12" x14ac:dyDescent="0.25">
      <c r="A1401" s="2" t="s">
        <v>4788</v>
      </c>
      <c r="B1401" s="8" t="s">
        <v>16763</v>
      </c>
      <c r="C1401" s="2" t="s">
        <v>4788</v>
      </c>
      <c r="D1401" s="2" t="s">
        <v>4789</v>
      </c>
      <c r="E1401" s="4" t="s">
        <v>4789</v>
      </c>
      <c r="G1401" s="15" t="s">
        <v>24250</v>
      </c>
      <c r="H1401" s="15" t="s">
        <v>24251</v>
      </c>
      <c r="I1401" s="15" t="s">
        <v>24252</v>
      </c>
      <c r="J1401" s="15" t="s">
        <v>434</v>
      </c>
      <c r="K1401" s="15">
        <v>104907</v>
      </c>
      <c r="L1401" s="15" t="s">
        <v>19099</v>
      </c>
    </row>
    <row r="1402" spans="1:12" x14ac:dyDescent="0.25">
      <c r="A1402" s="2" t="s">
        <v>4791</v>
      </c>
      <c r="B1402" s="8" t="s">
        <v>16764</v>
      </c>
      <c r="C1402" s="2" t="s">
        <v>4791</v>
      </c>
      <c r="D1402" s="2" t="s">
        <v>4792</v>
      </c>
      <c r="E1402" s="4" t="s">
        <v>4792</v>
      </c>
      <c r="G1402" s="15" t="s">
        <v>24253</v>
      </c>
      <c r="H1402" s="15" t="s">
        <v>24254</v>
      </c>
      <c r="I1402" s="15" t="s">
        <v>24255</v>
      </c>
      <c r="J1402" s="15" t="s">
        <v>434</v>
      </c>
      <c r="K1402" s="15">
        <v>105012</v>
      </c>
      <c r="L1402" s="15" t="s">
        <v>19099</v>
      </c>
    </row>
    <row r="1403" spans="1:12" x14ac:dyDescent="0.25">
      <c r="A1403" s="2" t="s">
        <v>4794</v>
      </c>
      <c r="B1403" s="8" t="s">
        <v>16765</v>
      </c>
      <c r="C1403" s="2" t="s">
        <v>4794</v>
      </c>
      <c r="D1403" s="2" t="s">
        <v>4795</v>
      </c>
      <c r="E1403" s="4" t="s">
        <v>4795</v>
      </c>
      <c r="G1403" s="15" t="s">
        <v>24256</v>
      </c>
      <c r="H1403" s="15" t="s">
        <v>24257</v>
      </c>
      <c r="I1403" s="15" t="s">
        <v>24258</v>
      </c>
      <c r="J1403" s="15" t="s">
        <v>434</v>
      </c>
      <c r="K1403" s="15">
        <v>105088</v>
      </c>
      <c r="L1403" s="15" t="s">
        <v>19099</v>
      </c>
    </row>
    <row r="1404" spans="1:12" x14ac:dyDescent="0.25">
      <c r="A1404" s="2" t="s">
        <v>4797</v>
      </c>
      <c r="B1404" s="8" t="s">
        <v>16767</v>
      </c>
      <c r="C1404" s="2" t="s">
        <v>4797</v>
      </c>
      <c r="D1404" s="2" t="s">
        <v>4798</v>
      </c>
      <c r="E1404" s="4" t="s">
        <v>24259</v>
      </c>
      <c r="G1404" s="15" t="s">
        <v>24260</v>
      </c>
      <c r="H1404" s="15" t="s">
        <v>24261</v>
      </c>
      <c r="I1404" s="15" t="s">
        <v>24262</v>
      </c>
      <c r="J1404" s="15" t="s">
        <v>4797</v>
      </c>
      <c r="K1404" s="15">
        <v>24524</v>
      </c>
      <c r="L1404" s="15" t="s">
        <v>19099</v>
      </c>
    </row>
    <row r="1405" spans="1:12" x14ac:dyDescent="0.25">
      <c r="A1405" s="2" t="s">
        <v>4800</v>
      </c>
      <c r="B1405" s="8" t="s">
        <v>16768</v>
      </c>
      <c r="C1405" s="2" t="s">
        <v>4800</v>
      </c>
      <c r="D1405" s="2" t="s">
        <v>4801</v>
      </c>
      <c r="E1405" s="4" t="s">
        <v>24263</v>
      </c>
      <c r="G1405" s="15" t="s">
        <v>24264</v>
      </c>
      <c r="H1405" s="15" t="s">
        <v>24265</v>
      </c>
      <c r="I1405" s="15" t="s">
        <v>24266</v>
      </c>
      <c r="J1405" s="15" t="s">
        <v>24267</v>
      </c>
      <c r="K1405" s="15">
        <v>94258</v>
      </c>
      <c r="L1405" s="15" t="s">
        <v>19099</v>
      </c>
    </row>
    <row r="1406" spans="1:12" x14ac:dyDescent="0.25">
      <c r="A1406" s="2" t="s">
        <v>4803</v>
      </c>
      <c r="B1406" s="8" t="s">
        <v>16180</v>
      </c>
      <c r="C1406" s="2" t="s">
        <v>4803</v>
      </c>
      <c r="D1406" s="2" t="s">
        <v>4804</v>
      </c>
      <c r="E1406" s="4" t="s">
        <v>4804</v>
      </c>
    </row>
    <row r="1407" spans="1:12" x14ac:dyDescent="0.25">
      <c r="A1407" s="2" t="s">
        <v>4805</v>
      </c>
      <c r="B1407" s="8" t="s">
        <v>16180</v>
      </c>
      <c r="C1407" s="2" t="s">
        <v>4805</v>
      </c>
      <c r="D1407" s="2" t="s">
        <v>4806</v>
      </c>
      <c r="E1407" s="4" t="s">
        <v>24268</v>
      </c>
      <c r="G1407" s="15" t="s">
        <v>24269</v>
      </c>
      <c r="H1407" s="15" t="s">
        <v>24270</v>
      </c>
      <c r="I1407" s="15" t="s">
        <v>24271</v>
      </c>
      <c r="J1407" s="15" t="s">
        <v>24272</v>
      </c>
      <c r="K1407" s="15">
        <v>135398712</v>
      </c>
      <c r="L1407" s="15" t="s">
        <v>19995</v>
      </c>
    </row>
    <row r="1408" spans="1:12" x14ac:dyDescent="0.25">
      <c r="A1408" s="2" t="s">
        <v>4807</v>
      </c>
      <c r="B1408" s="8" t="s">
        <v>16180</v>
      </c>
      <c r="C1408" s="2" t="s">
        <v>4807</v>
      </c>
      <c r="D1408" s="2" t="s">
        <v>4808</v>
      </c>
      <c r="E1408" s="4" t="s">
        <v>24273</v>
      </c>
      <c r="G1408" s="15" t="s">
        <v>24274</v>
      </c>
      <c r="H1408" s="15" t="s">
        <v>24275</v>
      </c>
      <c r="I1408" s="15" t="s">
        <v>24276</v>
      </c>
      <c r="J1408" s="15" t="s">
        <v>24277</v>
      </c>
      <c r="K1408" s="15">
        <v>135410870</v>
      </c>
      <c r="L1408" s="15" t="s">
        <v>19995</v>
      </c>
    </row>
    <row r="1409" spans="1:12" x14ac:dyDescent="0.25">
      <c r="A1409" s="2" t="s">
        <v>4809</v>
      </c>
      <c r="B1409" s="8" t="s">
        <v>16180</v>
      </c>
      <c r="C1409" s="2" t="s">
        <v>4809</v>
      </c>
      <c r="D1409" s="2" t="s">
        <v>4810</v>
      </c>
      <c r="E1409" s="4" t="s">
        <v>24278</v>
      </c>
    </row>
    <row r="1410" spans="1:12" x14ac:dyDescent="0.25">
      <c r="A1410" s="2" t="s">
        <v>4811</v>
      </c>
      <c r="B1410" s="8" t="s">
        <v>16180</v>
      </c>
      <c r="C1410" s="2" t="s">
        <v>4811</v>
      </c>
      <c r="D1410" s="2" t="s">
        <v>4812</v>
      </c>
      <c r="E1410" s="4" t="s">
        <v>24279</v>
      </c>
    </row>
    <row r="1411" spans="1:12" x14ac:dyDescent="0.25">
      <c r="A1411" s="2" t="s">
        <v>4813</v>
      </c>
      <c r="B1411" s="8" t="s">
        <v>16180</v>
      </c>
      <c r="C1411" s="2" t="s">
        <v>4813</v>
      </c>
      <c r="D1411" s="2" t="s">
        <v>4814</v>
      </c>
      <c r="E1411" s="4" t="s">
        <v>4814</v>
      </c>
    </row>
    <row r="1412" spans="1:12" x14ac:dyDescent="0.25">
      <c r="A1412" s="2" t="s">
        <v>4815</v>
      </c>
      <c r="B1412" s="8" t="s">
        <v>16180</v>
      </c>
      <c r="C1412" s="2" t="s">
        <v>4815</v>
      </c>
      <c r="D1412" s="2" t="s">
        <v>4816</v>
      </c>
      <c r="E1412" s="4" t="s">
        <v>4816</v>
      </c>
    </row>
    <row r="1413" spans="1:12" x14ac:dyDescent="0.25">
      <c r="A1413" s="2" t="s">
        <v>4817</v>
      </c>
      <c r="B1413" s="8" t="s">
        <v>16180</v>
      </c>
      <c r="C1413" s="2" t="s">
        <v>4817</v>
      </c>
      <c r="D1413" s="2" t="s">
        <v>4818</v>
      </c>
      <c r="E1413" s="4" t="s">
        <v>24280</v>
      </c>
    </row>
    <row r="1414" spans="1:12" x14ac:dyDescent="0.25">
      <c r="A1414" s="2" t="s">
        <v>4819</v>
      </c>
      <c r="B1414" s="8" t="s">
        <v>16180</v>
      </c>
      <c r="C1414" s="2" t="s">
        <v>4819</v>
      </c>
      <c r="D1414" s="2" t="s">
        <v>4820</v>
      </c>
      <c r="E1414" s="4" t="s">
        <v>24281</v>
      </c>
    </row>
    <row r="1415" spans="1:12" ht="30" customHeight="1" x14ac:dyDescent="0.25">
      <c r="A1415" s="2" t="s">
        <v>4821</v>
      </c>
      <c r="B1415" s="8" t="s">
        <v>16769</v>
      </c>
      <c r="C1415" s="2" t="s">
        <v>4821</v>
      </c>
      <c r="D1415" s="2" t="s">
        <v>4822</v>
      </c>
      <c r="E1415" s="4" t="s">
        <v>24282</v>
      </c>
      <c r="G1415" s="15" t="s">
        <v>24283</v>
      </c>
      <c r="H1415" s="15" t="s">
        <v>24284</v>
      </c>
      <c r="I1415" s="15" t="s">
        <v>24285</v>
      </c>
      <c r="J1415" s="15" t="s">
        <v>24286</v>
      </c>
      <c r="K1415" s="15">
        <v>51342034</v>
      </c>
      <c r="L1415" s="15" t="s">
        <v>19099</v>
      </c>
    </row>
    <row r="1416" spans="1:12" ht="30" customHeight="1" x14ac:dyDescent="0.25">
      <c r="A1416" s="2" t="s">
        <v>4824</v>
      </c>
      <c r="B1416" s="8" t="s">
        <v>16770</v>
      </c>
      <c r="C1416" s="2" t="s">
        <v>4824</v>
      </c>
      <c r="D1416" s="2" t="s">
        <v>4825</v>
      </c>
      <c r="E1416" s="4" t="s">
        <v>24287</v>
      </c>
      <c r="G1416" s="15" t="s">
        <v>24288</v>
      </c>
      <c r="H1416" s="15" t="s">
        <v>24289</v>
      </c>
      <c r="I1416" s="15" t="s">
        <v>24290</v>
      </c>
      <c r="J1416" s="15" t="s">
        <v>24291</v>
      </c>
      <c r="K1416" s="15">
        <v>114481</v>
      </c>
      <c r="L1416" s="15" t="s">
        <v>19099</v>
      </c>
    </row>
    <row r="1417" spans="1:12" ht="30" customHeight="1" x14ac:dyDescent="0.25">
      <c r="A1417" s="2" t="s">
        <v>4827</v>
      </c>
      <c r="B1417" s="8" t="s">
        <v>16180</v>
      </c>
      <c r="C1417" s="2" t="s">
        <v>4827</v>
      </c>
      <c r="D1417" s="2" t="s">
        <v>4828</v>
      </c>
      <c r="E1417" s="4" t="s">
        <v>24292</v>
      </c>
    </row>
    <row r="1418" spans="1:12" x14ac:dyDescent="0.25">
      <c r="A1418" s="2" t="s">
        <v>4829</v>
      </c>
      <c r="B1418" s="8" t="s">
        <v>16180</v>
      </c>
      <c r="C1418" s="2" t="s">
        <v>4829</v>
      </c>
      <c r="D1418" s="2" t="s">
        <v>4830</v>
      </c>
      <c r="E1418" s="4" t="s">
        <v>24293</v>
      </c>
    </row>
    <row r="1419" spans="1:12" x14ac:dyDescent="0.25">
      <c r="A1419" s="2" t="s">
        <v>4831</v>
      </c>
      <c r="B1419" s="8" t="s">
        <v>16180</v>
      </c>
      <c r="C1419" s="2" t="s">
        <v>4831</v>
      </c>
      <c r="D1419" s="2" t="s">
        <v>4832</v>
      </c>
      <c r="E1419" s="4" t="s">
        <v>24294</v>
      </c>
    </row>
    <row r="1420" spans="1:12" ht="30" customHeight="1" x14ac:dyDescent="0.25">
      <c r="A1420" s="2" t="s">
        <v>4833</v>
      </c>
      <c r="B1420" s="8" t="s">
        <v>16180</v>
      </c>
      <c r="C1420" s="2" t="s">
        <v>4833</v>
      </c>
      <c r="D1420" s="2" t="s">
        <v>4834</v>
      </c>
      <c r="E1420" s="4" t="s">
        <v>24295</v>
      </c>
    </row>
    <row r="1421" spans="1:12" ht="30" customHeight="1" x14ac:dyDescent="0.25">
      <c r="A1421" s="2" t="s">
        <v>4835</v>
      </c>
      <c r="B1421" s="8" t="s">
        <v>16180</v>
      </c>
      <c r="C1421" s="2" t="s">
        <v>4835</v>
      </c>
      <c r="D1421" s="2" t="s">
        <v>4836</v>
      </c>
      <c r="E1421" s="4" t="s">
        <v>24296</v>
      </c>
    </row>
    <row r="1422" spans="1:12" x14ac:dyDescent="0.25">
      <c r="A1422" s="2" t="s">
        <v>4837</v>
      </c>
      <c r="B1422" s="8" t="s">
        <v>16180</v>
      </c>
      <c r="C1422" s="2" t="s">
        <v>4837</v>
      </c>
      <c r="D1422" s="2" t="s">
        <v>4838</v>
      </c>
      <c r="E1422" s="4" t="s">
        <v>24297</v>
      </c>
    </row>
    <row r="1423" spans="1:12" x14ac:dyDescent="0.25">
      <c r="A1423" s="2" t="s">
        <v>4839</v>
      </c>
      <c r="B1423" s="8" t="s">
        <v>16180</v>
      </c>
      <c r="C1423" s="2" t="s">
        <v>4839</v>
      </c>
      <c r="D1423" s="2" t="s">
        <v>4840</v>
      </c>
      <c r="E1423" s="4" t="s">
        <v>24298</v>
      </c>
    </row>
    <row r="1424" spans="1:12" x14ac:dyDescent="0.25">
      <c r="A1424" s="2" t="s">
        <v>4841</v>
      </c>
      <c r="B1424" s="8" t="s">
        <v>16180</v>
      </c>
      <c r="C1424" s="2" t="s">
        <v>4841</v>
      </c>
      <c r="D1424" s="2" t="s">
        <v>4842</v>
      </c>
      <c r="E1424" s="4" t="s">
        <v>24299</v>
      </c>
    </row>
    <row r="1425" spans="1:5" x14ac:dyDescent="0.25">
      <c r="A1425" s="2" t="s">
        <v>4843</v>
      </c>
      <c r="B1425" s="8" t="s">
        <v>16180</v>
      </c>
      <c r="C1425" s="2" t="s">
        <v>4843</v>
      </c>
      <c r="D1425" s="2" t="s">
        <v>4844</v>
      </c>
      <c r="E1425" s="4" t="s">
        <v>24300</v>
      </c>
    </row>
    <row r="1426" spans="1:5" x14ac:dyDescent="0.25">
      <c r="A1426" s="2" t="s">
        <v>4845</v>
      </c>
      <c r="B1426" s="8" t="s">
        <v>16180</v>
      </c>
      <c r="C1426" s="2" t="s">
        <v>4845</v>
      </c>
      <c r="D1426" s="2" t="s">
        <v>4846</v>
      </c>
      <c r="E1426" s="4" t="s">
        <v>24301</v>
      </c>
    </row>
    <row r="1427" spans="1:5" x14ac:dyDescent="0.25">
      <c r="A1427" s="2" t="s">
        <v>4847</v>
      </c>
      <c r="B1427" s="8" t="s">
        <v>16180</v>
      </c>
      <c r="C1427" s="2" t="s">
        <v>4847</v>
      </c>
      <c r="D1427" s="2" t="s">
        <v>4848</v>
      </c>
      <c r="E1427" s="4" t="s">
        <v>24302</v>
      </c>
    </row>
    <row r="1428" spans="1:5" x14ac:dyDescent="0.25">
      <c r="A1428" s="2" t="s">
        <v>4849</v>
      </c>
      <c r="B1428" s="8" t="s">
        <v>16180</v>
      </c>
      <c r="C1428" s="2" t="s">
        <v>4849</v>
      </c>
      <c r="D1428" s="2" t="s">
        <v>4850</v>
      </c>
      <c r="E1428" s="4" t="s">
        <v>24303</v>
      </c>
    </row>
    <row r="1429" spans="1:5" x14ac:dyDescent="0.25">
      <c r="A1429" s="2" t="s">
        <v>4851</v>
      </c>
      <c r="B1429" s="8" t="s">
        <v>16180</v>
      </c>
      <c r="C1429" s="2" t="s">
        <v>4851</v>
      </c>
      <c r="D1429" s="2" t="s">
        <v>4852</v>
      </c>
      <c r="E1429" s="4" t="s">
        <v>24304</v>
      </c>
    </row>
    <row r="1430" spans="1:5" x14ac:dyDescent="0.25">
      <c r="A1430" s="2" t="s">
        <v>4853</v>
      </c>
      <c r="B1430" s="8" t="s">
        <v>16180</v>
      </c>
      <c r="C1430" s="2" t="s">
        <v>4853</v>
      </c>
      <c r="D1430" s="2" t="s">
        <v>4854</v>
      </c>
      <c r="E1430" s="4" t="s">
        <v>24305</v>
      </c>
    </row>
    <row r="1431" spans="1:5" ht="30" customHeight="1" x14ac:dyDescent="0.25">
      <c r="A1431" s="2" t="s">
        <v>4855</v>
      </c>
      <c r="B1431" s="8" t="s">
        <v>16180</v>
      </c>
      <c r="C1431" s="2" t="s">
        <v>4855</v>
      </c>
      <c r="D1431" s="2" t="s">
        <v>4856</v>
      </c>
      <c r="E1431" s="4" t="s">
        <v>24306</v>
      </c>
    </row>
    <row r="1432" spans="1:5" ht="30" customHeight="1" x14ac:dyDescent="0.25">
      <c r="A1432" s="2" t="s">
        <v>4857</v>
      </c>
      <c r="B1432" s="8" t="s">
        <v>16180</v>
      </c>
      <c r="C1432" s="2" t="s">
        <v>4857</v>
      </c>
      <c r="D1432" s="2" t="s">
        <v>4858</v>
      </c>
      <c r="E1432" s="4" t="s">
        <v>24307</v>
      </c>
    </row>
    <row r="1433" spans="1:5" ht="30" customHeight="1" x14ac:dyDescent="0.25">
      <c r="A1433" s="2" t="s">
        <v>4859</v>
      </c>
      <c r="B1433" s="8" t="s">
        <v>16180</v>
      </c>
      <c r="C1433" s="2" t="s">
        <v>4859</v>
      </c>
      <c r="D1433" s="2" t="s">
        <v>4860</v>
      </c>
      <c r="E1433" s="4" t="s">
        <v>24308</v>
      </c>
    </row>
    <row r="1434" spans="1:5" ht="30" customHeight="1" x14ac:dyDescent="0.25">
      <c r="A1434" s="2" t="s">
        <v>4861</v>
      </c>
      <c r="B1434" s="8" t="s">
        <v>16180</v>
      </c>
      <c r="C1434" s="2" t="s">
        <v>4861</v>
      </c>
      <c r="D1434" s="2" t="s">
        <v>4862</v>
      </c>
      <c r="E1434" s="4" t="s">
        <v>24309</v>
      </c>
    </row>
    <row r="1435" spans="1:5" x14ac:dyDescent="0.25">
      <c r="A1435" s="2" t="s">
        <v>4863</v>
      </c>
      <c r="B1435" s="8" t="s">
        <v>16180</v>
      </c>
      <c r="C1435" s="2" t="s">
        <v>4863</v>
      </c>
      <c r="D1435" s="2" t="s">
        <v>4864</v>
      </c>
      <c r="E1435" s="4" t="s">
        <v>24310</v>
      </c>
    </row>
    <row r="1436" spans="1:5" ht="30" customHeight="1" x14ac:dyDescent="0.25">
      <c r="A1436" s="2" t="s">
        <v>4865</v>
      </c>
      <c r="B1436" s="8" t="s">
        <v>16180</v>
      </c>
      <c r="C1436" s="2" t="s">
        <v>4865</v>
      </c>
      <c r="D1436" s="2" t="s">
        <v>4866</v>
      </c>
      <c r="E1436" s="4" t="s">
        <v>24311</v>
      </c>
    </row>
    <row r="1437" spans="1:5" ht="30" customHeight="1" x14ac:dyDescent="0.25">
      <c r="A1437" s="2" t="s">
        <v>4867</v>
      </c>
      <c r="B1437" s="8" t="s">
        <v>16180</v>
      </c>
      <c r="C1437" s="2" t="s">
        <v>4867</v>
      </c>
      <c r="D1437" s="2" t="s">
        <v>4868</v>
      </c>
      <c r="E1437" s="4" t="s">
        <v>24312</v>
      </c>
    </row>
    <row r="1438" spans="1:5" x14ac:dyDescent="0.25">
      <c r="A1438" s="2" t="s">
        <v>4869</v>
      </c>
      <c r="B1438" s="8" t="s">
        <v>16180</v>
      </c>
      <c r="C1438" s="2" t="s">
        <v>4869</v>
      </c>
      <c r="D1438" s="2" t="s">
        <v>4870</v>
      </c>
      <c r="E1438" s="4" t="s">
        <v>24313</v>
      </c>
    </row>
    <row r="1439" spans="1:5" x14ac:dyDescent="0.25">
      <c r="A1439" s="2" t="s">
        <v>4871</v>
      </c>
      <c r="B1439" s="8" t="s">
        <v>16180</v>
      </c>
      <c r="C1439" s="2" t="s">
        <v>4871</v>
      </c>
      <c r="D1439" s="2" t="s">
        <v>4872</v>
      </c>
      <c r="E1439" s="4" t="s">
        <v>24314</v>
      </c>
    </row>
    <row r="1440" spans="1:5" x14ac:dyDescent="0.25">
      <c r="A1440" s="2" t="s">
        <v>4873</v>
      </c>
      <c r="B1440" s="8" t="s">
        <v>16180</v>
      </c>
      <c r="C1440" s="2" t="s">
        <v>4873</v>
      </c>
      <c r="D1440" s="2" t="s">
        <v>4874</v>
      </c>
      <c r="E1440" s="4" t="s">
        <v>24315</v>
      </c>
    </row>
    <row r="1441" spans="1:5" x14ac:dyDescent="0.25">
      <c r="A1441" s="2" t="s">
        <v>4875</v>
      </c>
      <c r="B1441" s="8" t="s">
        <v>16180</v>
      </c>
      <c r="C1441" s="2" t="s">
        <v>4875</v>
      </c>
      <c r="D1441" s="2" t="s">
        <v>4876</v>
      </c>
      <c r="E1441" s="4" t="s">
        <v>24316</v>
      </c>
    </row>
    <row r="1442" spans="1:5" x14ac:dyDescent="0.25">
      <c r="A1442" s="2" t="s">
        <v>4877</v>
      </c>
      <c r="B1442" s="8" t="s">
        <v>16180</v>
      </c>
      <c r="C1442" s="2" t="s">
        <v>4877</v>
      </c>
      <c r="D1442" s="2" t="s">
        <v>4878</v>
      </c>
      <c r="E1442" s="4" t="s">
        <v>24317</v>
      </c>
    </row>
    <row r="1443" spans="1:5" x14ac:dyDescent="0.25">
      <c r="A1443" s="2" t="s">
        <v>4879</v>
      </c>
      <c r="B1443" s="8" t="s">
        <v>16180</v>
      </c>
      <c r="C1443" s="2" t="s">
        <v>4879</v>
      </c>
      <c r="D1443" s="2" t="s">
        <v>4880</v>
      </c>
      <c r="E1443" s="4" t="s">
        <v>24318</v>
      </c>
    </row>
    <row r="1444" spans="1:5" ht="30" customHeight="1" x14ac:dyDescent="0.25">
      <c r="A1444" s="2" t="s">
        <v>4881</v>
      </c>
      <c r="B1444" s="8" t="s">
        <v>16180</v>
      </c>
      <c r="C1444" s="2" t="s">
        <v>4881</v>
      </c>
      <c r="D1444" s="2" t="s">
        <v>4882</v>
      </c>
      <c r="E1444" s="4" t="s">
        <v>24319</v>
      </c>
    </row>
    <row r="1445" spans="1:5" ht="30" customHeight="1" x14ac:dyDescent="0.25">
      <c r="A1445" s="2" t="s">
        <v>4883</v>
      </c>
      <c r="B1445" s="8" t="s">
        <v>16180</v>
      </c>
      <c r="C1445" s="2" t="s">
        <v>4883</v>
      </c>
      <c r="D1445" s="2" t="s">
        <v>4884</v>
      </c>
      <c r="E1445" s="4" t="s">
        <v>24320</v>
      </c>
    </row>
    <row r="1446" spans="1:5" x14ac:dyDescent="0.25">
      <c r="A1446" s="2" t="s">
        <v>4885</v>
      </c>
      <c r="B1446" s="8" t="s">
        <v>16180</v>
      </c>
      <c r="C1446" s="2" t="s">
        <v>4885</v>
      </c>
      <c r="D1446" s="2" t="s">
        <v>4886</v>
      </c>
      <c r="E1446" s="4" t="s">
        <v>24321</v>
      </c>
    </row>
    <row r="1447" spans="1:5" ht="30" customHeight="1" x14ac:dyDescent="0.25">
      <c r="A1447" s="2" t="s">
        <v>4887</v>
      </c>
      <c r="B1447" s="8" t="s">
        <v>16180</v>
      </c>
      <c r="C1447" s="2" t="s">
        <v>4887</v>
      </c>
      <c r="D1447" s="2" t="s">
        <v>4888</v>
      </c>
      <c r="E1447" s="4" t="s">
        <v>24322</v>
      </c>
    </row>
    <row r="1448" spans="1:5" ht="30" customHeight="1" x14ac:dyDescent="0.25">
      <c r="A1448" s="2" t="s">
        <v>4889</v>
      </c>
      <c r="B1448" s="8" t="s">
        <v>16180</v>
      </c>
      <c r="C1448" s="2" t="s">
        <v>4889</v>
      </c>
      <c r="D1448" s="2" t="s">
        <v>4890</v>
      </c>
      <c r="E1448" s="4" t="s">
        <v>24323</v>
      </c>
    </row>
    <row r="1449" spans="1:5" ht="30" customHeight="1" x14ac:dyDescent="0.25">
      <c r="A1449" s="2" t="s">
        <v>4891</v>
      </c>
      <c r="B1449" s="8" t="s">
        <v>16180</v>
      </c>
      <c r="C1449" s="2" t="s">
        <v>4891</v>
      </c>
      <c r="D1449" s="2" t="s">
        <v>4892</v>
      </c>
      <c r="E1449" s="4" t="s">
        <v>24324</v>
      </c>
    </row>
    <row r="1450" spans="1:5" ht="30" customHeight="1" x14ac:dyDescent="0.25">
      <c r="A1450" s="2" t="s">
        <v>4893</v>
      </c>
      <c r="B1450" s="8" t="s">
        <v>16180</v>
      </c>
      <c r="C1450" s="2" t="s">
        <v>4893</v>
      </c>
      <c r="D1450" s="2" t="s">
        <v>4894</v>
      </c>
      <c r="E1450" s="4" t="s">
        <v>24325</v>
      </c>
    </row>
    <row r="1451" spans="1:5" x14ac:dyDescent="0.25">
      <c r="A1451" s="2" t="s">
        <v>4895</v>
      </c>
      <c r="B1451" s="8" t="s">
        <v>16180</v>
      </c>
      <c r="C1451" s="2" t="s">
        <v>4895</v>
      </c>
      <c r="D1451" s="2" t="s">
        <v>4896</v>
      </c>
      <c r="E1451" s="4" t="s">
        <v>24326</v>
      </c>
    </row>
    <row r="1452" spans="1:5" x14ac:dyDescent="0.25">
      <c r="A1452" s="2" t="s">
        <v>4897</v>
      </c>
      <c r="B1452" s="8" t="s">
        <v>16180</v>
      </c>
      <c r="C1452" s="2" t="s">
        <v>4897</v>
      </c>
      <c r="D1452" s="2" t="s">
        <v>4898</v>
      </c>
      <c r="E1452" s="4" t="s">
        <v>24327</v>
      </c>
    </row>
    <row r="1453" spans="1:5" x14ac:dyDescent="0.25">
      <c r="A1453" s="2" t="s">
        <v>4899</v>
      </c>
      <c r="B1453" s="8" t="s">
        <v>16180</v>
      </c>
      <c r="C1453" s="2" t="s">
        <v>4899</v>
      </c>
      <c r="D1453" s="2" t="s">
        <v>4900</v>
      </c>
      <c r="E1453" s="4" t="s">
        <v>24328</v>
      </c>
    </row>
    <row r="1454" spans="1:5" x14ac:dyDescent="0.25">
      <c r="A1454" s="2" t="s">
        <v>4901</v>
      </c>
      <c r="B1454" s="8" t="s">
        <v>16180</v>
      </c>
      <c r="C1454" s="2" t="s">
        <v>4901</v>
      </c>
      <c r="D1454" s="2" t="s">
        <v>4902</v>
      </c>
      <c r="E1454" s="4" t="s">
        <v>24329</v>
      </c>
    </row>
    <row r="1455" spans="1:5" ht="30" customHeight="1" x14ac:dyDescent="0.25">
      <c r="A1455" s="2" t="s">
        <v>4903</v>
      </c>
      <c r="B1455" s="8" t="s">
        <v>16180</v>
      </c>
      <c r="C1455" s="2" t="s">
        <v>4903</v>
      </c>
      <c r="D1455" s="2" t="s">
        <v>4904</v>
      </c>
      <c r="E1455" s="4" t="s">
        <v>24330</v>
      </c>
    </row>
    <row r="1456" spans="1:5" x14ac:dyDescent="0.25">
      <c r="A1456" s="2" t="s">
        <v>4905</v>
      </c>
      <c r="B1456" s="8" t="s">
        <v>16180</v>
      </c>
      <c r="C1456" s="2" t="s">
        <v>4905</v>
      </c>
      <c r="D1456" s="2" t="s">
        <v>4906</v>
      </c>
      <c r="E1456" s="4" t="s">
        <v>24331</v>
      </c>
    </row>
    <row r="1457" spans="1:5" x14ac:dyDescent="0.25">
      <c r="A1457" s="2" t="s">
        <v>4907</v>
      </c>
      <c r="B1457" s="8" t="s">
        <v>16180</v>
      </c>
      <c r="C1457" s="2" t="s">
        <v>4907</v>
      </c>
      <c r="D1457" s="2" t="s">
        <v>4908</v>
      </c>
      <c r="E1457" s="4" t="s">
        <v>24332</v>
      </c>
    </row>
    <row r="1458" spans="1:5" x14ac:dyDescent="0.25">
      <c r="A1458" s="2" t="s">
        <v>4909</v>
      </c>
      <c r="B1458" s="8" t="s">
        <v>16180</v>
      </c>
      <c r="C1458" s="2" t="s">
        <v>4909</v>
      </c>
      <c r="D1458" s="2" t="s">
        <v>4910</v>
      </c>
      <c r="E1458" s="4" t="s">
        <v>24333</v>
      </c>
    </row>
    <row r="1459" spans="1:5" ht="30" customHeight="1" x14ac:dyDescent="0.25">
      <c r="A1459" s="2" t="s">
        <v>4911</v>
      </c>
      <c r="B1459" s="8" t="s">
        <v>16180</v>
      </c>
      <c r="C1459" s="2" t="s">
        <v>4911</v>
      </c>
      <c r="D1459" s="2" t="s">
        <v>4912</v>
      </c>
      <c r="E1459" s="4" t="s">
        <v>24334</v>
      </c>
    </row>
    <row r="1460" spans="1:5" ht="30" customHeight="1" x14ac:dyDescent="0.25">
      <c r="A1460" s="2" t="s">
        <v>4913</v>
      </c>
      <c r="B1460" s="8" t="s">
        <v>16180</v>
      </c>
      <c r="C1460" s="2" t="s">
        <v>4913</v>
      </c>
      <c r="D1460" s="2" t="s">
        <v>4914</v>
      </c>
      <c r="E1460" s="4" t="s">
        <v>24335</v>
      </c>
    </row>
    <row r="1461" spans="1:5" x14ac:dyDescent="0.25">
      <c r="A1461" s="2" t="s">
        <v>4915</v>
      </c>
      <c r="B1461" s="8" t="s">
        <v>16180</v>
      </c>
      <c r="C1461" s="2" t="s">
        <v>4915</v>
      </c>
      <c r="D1461" s="2" t="s">
        <v>4916</v>
      </c>
      <c r="E1461" s="4" t="s">
        <v>24336</v>
      </c>
    </row>
    <row r="1462" spans="1:5" x14ac:dyDescent="0.25">
      <c r="A1462" s="2" t="s">
        <v>4917</v>
      </c>
      <c r="B1462" s="8" t="s">
        <v>16180</v>
      </c>
      <c r="C1462" s="2" t="s">
        <v>4917</v>
      </c>
      <c r="D1462" s="2" t="s">
        <v>4918</v>
      </c>
      <c r="E1462" s="4" t="s">
        <v>24337</v>
      </c>
    </row>
    <row r="1463" spans="1:5" x14ac:dyDescent="0.25">
      <c r="A1463" s="2" t="s">
        <v>4919</v>
      </c>
      <c r="B1463" s="8" t="s">
        <v>16180</v>
      </c>
      <c r="C1463" s="2" t="s">
        <v>4919</v>
      </c>
      <c r="D1463" s="2" t="s">
        <v>4920</v>
      </c>
      <c r="E1463" s="4" t="s">
        <v>24338</v>
      </c>
    </row>
    <row r="1464" spans="1:5" x14ac:dyDescent="0.25">
      <c r="A1464" s="2" t="s">
        <v>4921</v>
      </c>
      <c r="B1464" s="8" t="s">
        <v>16180</v>
      </c>
      <c r="C1464" s="2" t="s">
        <v>4921</v>
      </c>
      <c r="D1464" s="2" t="s">
        <v>4922</v>
      </c>
      <c r="E1464" s="4" t="s">
        <v>24339</v>
      </c>
    </row>
    <row r="1465" spans="1:5" x14ac:dyDescent="0.25">
      <c r="A1465" s="2" t="s">
        <v>4923</v>
      </c>
      <c r="B1465" s="8" t="s">
        <v>16180</v>
      </c>
      <c r="C1465" s="2" t="s">
        <v>4923</v>
      </c>
      <c r="D1465" s="2" t="s">
        <v>4924</v>
      </c>
      <c r="E1465" s="4" t="s">
        <v>24340</v>
      </c>
    </row>
    <row r="1466" spans="1:5" x14ac:dyDescent="0.25">
      <c r="A1466" s="2" t="s">
        <v>4925</v>
      </c>
      <c r="B1466" s="8" t="s">
        <v>16180</v>
      </c>
      <c r="C1466" s="2" t="s">
        <v>4925</v>
      </c>
      <c r="D1466" s="2" t="s">
        <v>4926</v>
      </c>
      <c r="E1466" s="4" t="s">
        <v>24341</v>
      </c>
    </row>
    <row r="1467" spans="1:5" ht="30" customHeight="1" x14ac:dyDescent="0.25">
      <c r="A1467" s="2" t="s">
        <v>4927</v>
      </c>
      <c r="B1467" s="8" t="s">
        <v>16180</v>
      </c>
      <c r="C1467" s="2" t="s">
        <v>4927</v>
      </c>
      <c r="D1467" s="2" t="s">
        <v>4928</v>
      </c>
      <c r="E1467" s="4" t="s">
        <v>24342</v>
      </c>
    </row>
    <row r="1468" spans="1:5" ht="30" customHeight="1" x14ac:dyDescent="0.25">
      <c r="A1468" s="2" t="s">
        <v>4929</v>
      </c>
      <c r="B1468" s="8" t="s">
        <v>16180</v>
      </c>
      <c r="C1468" s="2" t="s">
        <v>4929</v>
      </c>
      <c r="D1468" s="2" t="s">
        <v>4930</v>
      </c>
      <c r="E1468" s="4" t="s">
        <v>24343</v>
      </c>
    </row>
    <row r="1469" spans="1:5" x14ac:dyDescent="0.25">
      <c r="A1469" s="2" t="s">
        <v>4931</v>
      </c>
      <c r="B1469" s="8" t="s">
        <v>16180</v>
      </c>
      <c r="C1469" s="2" t="s">
        <v>4931</v>
      </c>
      <c r="D1469" s="2" t="s">
        <v>4932</v>
      </c>
      <c r="E1469" s="4" t="s">
        <v>24344</v>
      </c>
    </row>
    <row r="1470" spans="1:5" ht="30" customHeight="1" x14ac:dyDescent="0.25">
      <c r="A1470" s="2" t="s">
        <v>4933</v>
      </c>
      <c r="B1470" s="8" t="s">
        <v>16180</v>
      </c>
      <c r="C1470" s="2" t="s">
        <v>4933</v>
      </c>
      <c r="D1470" s="2" t="s">
        <v>4934</v>
      </c>
      <c r="E1470" s="4" t="s">
        <v>24345</v>
      </c>
    </row>
    <row r="1471" spans="1:5" x14ac:dyDescent="0.25">
      <c r="A1471" s="2" t="s">
        <v>4935</v>
      </c>
      <c r="B1471" s="8" t="s">
        <v>16180</v>
      </c>
      <c r="C1471" s="2" t="s">
        <v>4935</v>
      </c>
      <c r="D1471" s="2" t="s">
        <v>4936</v>
      </c>
      <c r="E1471" s="4" t="s">
        <v>24346</v>
      </c>
    </row>
    <row r="1472" spans="1:5" x14ac:dyDescent="0.25">
      <c r="A1472" s="2" t="s">
        <v>4937</v>
      </c>
      <c r="B1472" s="8" t="s">
        <v>16180</v>
      </c>
      <c r="C1472" s="2" t="s">
        <v>4937</v>
      </c>
      <c r="D1472" s="2" t="s">
        <v>4938</v>
      </c>
      <c r="E1472" s="4" t="s">
        <v>24347</v>
      </c>
    </row>
    <row r="1473" spans="1:12" x14ac:dyDescent="0.25">
      <c r="A1473" s="2" t="s">
        <v>4939</v>
      </c>
      <c r="B1473" s="8" t="s">
        <v>16180</v>
      </c>
      <c r="C1473" s="2" t="s">
        <v>4939</v>
      </c>
      <c r="D1473" s="2" t="s">
        <v>4940</v>
      </c>
      <c r="E1473" s="4" t="s">
        <v>24348</v>
      </c>
    </row>
    <row r="1474" spans="1:12" x14ac:dyDescent="0.25">
      <c r="A1474" s="2" t="s">
        <v>4941</v>
      </c>
      <c r="B1474" s="8" t="s">
        <v>16180</v>
      </c>
      <c r="C1474" s="2" t="s">
        <v>4941</v>
      </c>
      <c r="D1474" s="2" t="s">
        <v>4942</v>
      </c>
      <c r="E1474" s="4" t="s">
        <v>24349</v>
      </c>
    </row>
    <row r="1475" spans="1:12" x14ac:dyDescent="0.25">
      <c r="A1475" s="2" t="s">
        <v>4943</v>
      </c>
      <c r="B1475" s="8" t="s">
        <v>16180</v>
      </c>
      <c r="C1475" s="2" t="s">
        <v>4943</v>
      </c>
      <c r="D1475" s="2" t="s">
        <v>4944</v>
      </c>
      <c r="E1475" s="4" t="s">
        <v>24350</v>
      </c>
    </row>
    <row r="1476" spans="1:12" x14ac:dyDescent="0.25">
      <c r="A1476" s="2" t="s">
        <v>4945</v>
      </c>
      <c r="B1476" s="8" t="s">
        <v>16180</v>
      </c>
      <c r="C1476" s="2" t="s">
        <v>4945</v>
      </c>
      <c r="D1476" s="2" t="s">
        <v>4946</v>
      </c>
      <c r="E1476" s="4" t="s">
        <v>24351</v>
      </c>
    </row>
    <row r="1477" spans="1:12" x14ac:dyDescent="0.25">
      <c r="A1477" s="2" t="s">
        <v>4947</v>
      </c>
      <c r="B1477" s="8" t="s">
        <v>16180</v>
      </c>
      <c r="C1477" s="2" t="s">
        <v>4947</v>
      </c>
      <c r="D1477" s="2" t="s">
        <v>4948</v>
      </c>
      <c r="E1477" s="4" t="s">
        <v>24352</v>
      </c>
    </row>
    <row r="1478" spans="1:12" x14ac:dyDescent="0.25">
      <c r="A1478" s="2" t="s">
        <v>4949</v>
      </c>
      <c r="B1478" s="8" t="s">
        <v>16180</v>
      </c>
      <c r="C1478" s="2" t="s">
        <v>4949</v>
      </c>
      <c r="D1478" s="2" t="s">
        <v>4950</v>
      </c>
      <c r="E1478" s="4" t="s">
        <v>24353</v>
      </c>
    </row>
    <row r="1479" spans="1:12" ht="30" customHeight="1" x14ac:dyDescent="0.25">
      <c r="A1479" s="2" t="s">
        <v>4951</v>
      </c>
      <c r="B1479" s="8" t="s">
        <v>16180</v>
      </c>
      <c r="C1479" s="2" t="s">
        <v>4951</v>
      </c>
      <c r="D1479" s="2" t="s">
        <v>4952</v>
      </c>
      <c r="E1479" s="4" t="s">
        <v>24354</v>
      </c>
    </row>
    <row r="1480" spans="1:12" x14ac:dyDescent="0.25">
      <c r="A1480" s="2" t="s">
        <v>4953</v>
      </c>
      <c r="B1480" s="8" t="s">
        <v>16180</v>
      </c>
      <c r="C1480" s="2" t="s">
        <v>4953</v>
      </c>
      <c r="D1480" s="2" t="s">
        <v>4954</v>
      </c>
      <c r="E1480" s="4" t="s">
        <v>24355</v>
      </c>
    </row>
    <row r="1481" spans="1:12" x14ac:dyDescent="0.25">
      <c r="A1481" s="2" t="s">
        <v>4955</v>
      </c>
      <c r="B1481" s="8" t="s">
        <v>16180</v>
      </c>
      <c r="C1481" s="2" t="s">
        <v>4955</v>
      </c>
      <c r="D1481" s="2" t="s">
        <v>4956</v>
      </c>
      <c r="E1481" s="4" t="s">
        <v>24356</v>
      </c>
    </row>
    <row r="1482" spans="1:12" x14ac:dyDescent="0.25">
      <c r="A1482" s="2" t="s">
        <v>4957</v>
      </c>
      <c r="B1482" s="8" t="s">
        <v>16772</v>
      </c>
      <c r="C1482" s="2" t="s">
        <v>4957</v>
      </c>
      <c r="D1482" s="2" t="s">
        <v>4958</v>
      </c>
      <c r="E1482" s="4" t="s">
        <v>24357</v>
      </c>
      <c r="G1482" s="15" t="s">
        <v>24358</v>
      </c>
      <c r="H1482" s="15" t="s">
        <v>24359</v>
      </c>
      <c r="I1482" s="15" t="s">
        <v>24360</v>
      </c>
      <c r="J1482" s="15" t="s">
        <v>286</v>
      </c>
      <c r="K1482" s="15">
        <v>26815</v>
      </c>
      <c r="L1482" s="15" t="s">
        <v>19099</v>
      </c>
    </row>
    <row r="1483" spans="1:12" x14ac:dyDescent="0.25">
      <c r="A1483" s="2" t="s">
        <v>4960</v>
      </c>
      <c r="B1483" s="8" t="s">
        <v>16773</v>
      </c>
      <c r="C1483" s="2" t="s">
        <v>4960</v>
      </c>
      <c r="D1483" s="2" t="s">
        <v>4961</v>
      </c>
      <c r="E1483" s="4" t="s">
        <v>24361</v>
      </c>
      <c r="G1483" s="15" t="s">
        <v>24362</v>
      </c>
      <c r="H1483" s="15" t="s">
        <v>24363</v>
      </c>
      <c r="I1483" s="15" t="s">
        <v>24364</v>
      </c>
      <c r="J1483" s="15" t="s">
        <v>286</v>
      </c>
      <c r="K1483" s="15">
        <v>104784</v>
      </c>
      <c r="L1483" s="15" t="s">
        <v>19099</v>
      </c>
    </row>
    <row r="1484" spans="1:12" x14ac:dyDescent="0.25">
      <c r="A1484" s="2" t="s">
        <v>4963</v>
      </c>
      <c r="B1484" s="8" t="s">
        <v>16774</v>
      </c>
      <c r="C1484" s="2" t="s">
        <v>4963</v>
      </c>
      <c r="D1484" s="2" t="s">
        <v>4964</v>
      </c>
      <c r="E1484" s="4" t="s">
        <v>24365</v>
      </c>
      <c r="G1484" s="15" t="s">
        <v>24366</v>
      </c>
      <c r="H1484" s="15" t="s">
        <v>24367</v>
      </c>
      <c r="I1484" s="15" t="s">
        <v>24368</v>
      </c>
      <c r="J1484" s="15" t="s">
        <v>24369</v>
      </c>
      <c r="K1484" s="15">
        <v>24458</v>
      </c>
      <c r="L1484" s="15" t="s">
        <v>19995</v>
      </c>
    </row>
    <row r="1485" spans="1:12" x14ac:dyDescent="0.25">
      <c r="A1485" s="2" t="s">
        <v>4966</v>
      </c>
      <c r="B1485" s="8" t="s">
        <v>16775</v>
      </c>
      <c r="C1485" s="2" t="s">
        <v>4966</v>
      </c>
      <c r="D1485" s="2" t="s">
        <v>4967</v>
      </c>
      <c r="E1485" s="4" t="s">
        <v>24370</v>
      </c>
      <c r="G1485" s="15" t="s">
        <v>24371</v>
      </c>
      <c r="H1485" s="15" t="s">
        <v>24372</v>
      </c>
      <c r="I1485" s="15" t="s">
        <v>24373</v>
      </c>
      <c r="J1485" s="15" t="s">
        <v>24374</v>
      </c>
      <c r="K1485" s="15">
        <v>24380</v>
      </c>
      <c r="L1485" s="15" t="s">
        <v>19995</v>
      </c>
    </row>
    <row r="1486" spans="1:12" x14ac:dyDescent="0.25">
      <c r="A1486" s="2" t="s">
        <v>4969</v>
      </c>
      <c r="B1486" s="8" t="s">
        <v>16776</v>
      </c>
      <c r="C1486" s="2" t="s">
        <v>4969</v>
      </c>
      <c r="D1486" s="2" t="s">
        <v>4970</v>
      </c>
      <c r="E1486" s="4" t="s">
        <v>24375</v>
      </c>
      <c r="G1486" s="15" t="s">
        <v>24376</v>
      </c>
      <c r="H1486" s="15" t="s">
        <v>24377</v>
      </c>
      <c r="I1486" s="15" t="s">
        <v>24378</v>
      </c>
      <c r="J1486" s="15" t="s">
        <v>24379</v>
      </c>
      <c r="K1486" s="15">
        <v>27284</v>
      </c>
      <c r="L1486" s="15" t="s">
        <v>19099</v>
      </c>
    </row>
    <row r="1487" spans="1:12" x14ac:dyDescent="0.25">
      <c r="A1487" s="2" t="s">
        <v>4972</v>
      </c>
      <c r="B1487" s="9" t="s">
        <v>4974</v>
      </c>
      <c r="C1487" s="2" t="s">
        <v>4972</v>
      </c>
      <c r="D1487" s="2" t="s">
        <v>4973</v>
      </c>
      <c r="E1487" s="4" t="s">
        <v>24380</v>
      </c>
    </row>
    <row r="1488" spans="1:12" x14ac:dyDescent="0.25">
      <c r="A1488" s="2" t="s">
        <v>4975</v>
      </c>
      <c r="B1488" s="9" t="s">
        <v>4977</v>
      </c>
      <c r="C1488" s="2" t="s">
        <v>4975</v>
      </c>
      <c r="D1488" s="2" t="s">
        <v>4976</v>
      </c>
      <c r="E1488" s="4" t="s">
        <v>24381</v>
      </c>
      <c r="H1488" s="15" t="s">
        <v>24382</v>
      </c>
      <c r="I1488" s="15" t="s">
        <v>24383</v>
      </c>
      <c r="J1488" s="15" t="s">
        <v>24384</v>
      </c>
      <c r="K1488" s="15">
        <v>26040</v>
      </c>
      <c r="L1488" s="15" t="s">
        <v>19995</v>
      </c>
    </row>
    <row r="1489" spans="1:20" x14ac:dyDescent="0.25">
      <c r="A1489" s="2" t="s">
        <v>4978</v>
      </c>
      <c r="B1489" s="8" t="s">
        <v>16779</v>
      </c>
      <c r="C1489" s="2" t="s">
        <v>4978</v>
      </c>
      <c r="D1489" s="2" t="s">
        <v>4979</v>
      </c>
      <c r="E1489" s="4" t="s">
        <v>24385</v>
      </c>
      <c r="G1489" s="15" t="s">
        <v>24386</v>
      </c>
      <c r="H1489" s="15" t="s">
        <v>24387</v>
      </c>
      <c r="I1489" s="15" t="s">
        <v>24388</v>
      </c>
      <c r="J1489" s="15" t="s">
        <v>24389</v>
      </c>
      <c r="K1489" s="15">
        <v>24393</v>
      </c>
      <c r="L1489" s="15" t="s">
        <v>19099</v>
      </c>
    </row>
    <row r="1490" spans="1:20" x14ac:dyDescent="0.25">
      <c r="A1490" s="2" t="s">
        <v>4981</v>
      </c>
      <c r="B1490" s="8" t="s">
        <v>16780</v>
      </c>
      <c r="C1490" s="2" t="s">
        <v>4981</v>
      </c>
      <c r="D1490" s="2" t="s">
        <v>4982</v>
      </c>
      <c r="E1490" s="4" t="s">
        <v>24390</v>
      </c>
      <c r="G1490" s="15" t="s">
        <v>24390</v>
      </c>
      <c r="H1490" s="15" t="s">
        <v>24391</v>
      </c>
      <c r="I1490" s="15" t="s">
        <v>24392</v>
      </c>
      <c r="J1490" s="15" t="s">
        <v>21955</v>
      </c>
      <c r="K1490" s="15">
        <v>995</v>
      </c>
      <c r="L1490" s="15" t="s">
        <v>19099</v>
      </c>
    </row>
    <row r="1491" spans="1:20" x14ac:dyDescent="0.25">
      <c r="A1491" s="2" t="s">
        <v>4984</v>
      </c>
      <c r="B1491" s="8" t="s">
        <v>16782</v>
      </c>
      <c r="C1491" s="2" t="s">
        <v>4984</v>
      </c>
      <c r="D1491" s="2" t="s">
        <v>4985</v>
      </c>
      <c r="E1491" s="4" t="s">
        <v>24393</v>
      </c>
      <c r="G1491" s="15" t="s">
        <v>24394</v>
      </c>
      <c r="H1491" s="15" t="s">
        <v>24395</v>
      </c>
      <c r="I1491" s="15" t="s">
        <v>24396</v>
      </c>
      <c r="J1491" s="15" t="s">
        <v>24397</v>
      </c>
      <c r="K1491" s="15">
        <v>6853</v>
      </c>
      <c r="L1491" s="15" t="s">
        <v>19099</v>
      </c>
    </row>
    <row r="1492" spans="1:20" x14ac:dyDescent="0.25">
      <c r="A1492" s="2" t="s">
        <v>4987</v>
      </c>
      <c r="B1492" s="8" t="s">
        <v>16783</v>
      </c>
      <c r="C1492" s="2" t="s">
        <v>4987</v>
      </c>
      <c r="D1492" s="2" t="s">
        <v>4988</v>
      </c>
      <c r="E1492" s="4" t="s">
        <v>24398</v>
      </c>
      <c r="G1492" s="15" t="s">
        <v>24398</v>
      </c>
      <c r="H1492" s="15" t="s">
        <v>24399</v>
      </c>
      <c r="I1492" s="15" t="s">
        <v>24400</v>
      </c>
      <c r="J1492" s="15" t="s">
        <v>24401</v>
      </c>
      <c r="K1492" s="15">
        <v>9154</v>
      </c>
      <c r="L1492" s="15" t="s">
        <v>19099</v>
      </c>
    </row>
    <row r="1493" spans="1:20" x14ac:dyDescent="0.25">
      <c r="A1493" s="2" t="s">
        <v>4990</v>
      </c>
      <c r="B1493" s="8" t="s">
        <v>16785</v>
      </c>
      <c r="C1493" s="2" t="s">
        <v>4990</v>
      </c>
      <c r="D1493" s="2" t="s">
        <v>4991</v>
      </c>
      <c r="E1493" s="4" t="s">
        <v>24402</v>
      </c>
      <c r="G1493" s="15" t="s">
        <v>24402</v>
      </c>
      <c r="H1493" s="15" t="s">
        <v>24403</v>
      </c>
      <c r="I1493" s="15" t="s">
        <v>24404</v>
      </c>
      <c r="J1493" s="15" t="s">
        <v>24405</v>
      </c>
      <c r="K1493" s="15">
        <v>996</v>
      </c>
      <c r="L1493" s="15" t="s">
        <v>19099</v>
      </c>
    </row>
    <row r="1494" spans="1:20" x14ac:dyDescent="0.25">
      <c r="A1494" s="2" t="s">
        <v>4993</v>
      </c>
      <c r="B1494" s="8" t="s">
        <v>16180</v>
      </c>
      <c r="C1494" s="2" t="s">
        <v>4993</v>
      </c>
      <c r="D1494" s="2" t="s">
        <v>4994</v>
      </c>
      <c r="E1494" s="4" t="s">
        <v>24406</v>
      </c>
    </row>
    <row r="1495" spans="1:20" ht="30" customHeight="1" x14ac:dyDescent="0.25">
      <c r="A1495" s="2" t="s">
        <v>4995</v>
      </c>
      <c r="B1495" s="8" t="s">
        <v>16180</v>
      </c>
      <c r="C1495" s="2" t="s">
        <v>4995</v>
      </c>
      <c r="D1495" s="2" t="s">
        <v>4996</v>
      </c>
      <c r="E1495" s="4" t="s">
        <v>24407</v>
      </c>
      <c r="N1495" s="15" t="s">
        <v>21788</v>
      </c>
      <c r="O1495" s="15" t="s">
        <v>24408</v>
      </c>
      <c r="P1495" s="15" t="s">
        <v>24409</v>
      </c>
      <c r="Q1495" s="15" t="s">
        <v>24410</v>
      </c>
      <c r="R1495" s="15" t="s">
        <v>24411</v>
      </c>
      <c r="S1495" s="15">
        <v>4069131</v>
      </c>
      <c r="T1495" s="15" t="s">
        <v>19089</v>
      </c>
    </row>
    <row r="1496" spans="1:20" x14ac:dyDescent="0.25">
      <c r="A1496" s="2" t="s">
        <v>4997</v>
      </c>
      <c r="B1496" s="8" t="s">
        <v>16787</v>
      </c>
      <c r="C1496" s="2" t="s">
        <v>4997</v>
      </c>
      <c r="D1496" s="2" t="s">
        <v>4998</v>
      </c>
      <c r="E1496" s="4" t="s">
        <v>4998</v>
      </c>
      <c r="G1496" s="15" t="s">
        <v>24412</v>
      </c>
      <c r="H1496" s="15" t="s">
        <v>24413</v>
      </c>
      <c r="I1496" s="15" t="s">
        <v>24414</v>
      </c>
      <c r="J1496" s="15" t="s">
        <v>530</v>
      </c>
      <c r="K1496" s="15">
        <v>6337087</v>
      </c>
      <c r="L1496" s="15" t="s">
        <v>19099</v>
      </c>
    </row>
    <row r="1497" spans="1:20" x14ac:dyDescent="0.25">
      <c r="A1497" s="2" t="s">
        <v>5000</v>
      </c>
      <c r="B1497" s="8" t="s">
        <v>16788</v>
      </c>
      <c r="C1497" s="2" t="s">
        <v>5000</v>
      </c>
      <c r="D1497" s="2" t="s">
        <v>5001</v>
      </c>
      <c r="E1497" s="4" t="s">
        <v>24415</v>
      </c>
      <c r="G1497" s="15" t="s">
        <v>24416</v>
      </c>
      <c r="H1497" s="15" t="s">
        <v>24417</v>
      </c>
      <c r="I1497" s="15" t="s">
        <v>24418</v>
      </c>
      <c r="J1497" s="15" t="s">
        <v>24419</v>
      </c>
      <c r="K1497" s="15">
        <v>62340</v>
      </c>
      <c r="L1497" s="15" t="s">
        <v>19099</v>
      </c>
    </row>
    <row r="1498" spans="1:20" x14ac:dyDescent="0.25">
      <c r="A1498" s="2" t="s">
        <v>5003</v>
      </c>
      <c r="B1498" s="8" t="s">
        <v>16789</v>
      </c>
      <c r="C1498" s="2" t="s">
        <v>5003</v>
      </c>
      <c r="D1498" s="2" t="s">
        <v>5004</v>
      </c>
      <c r="E1498" s="4" t="s">
        <v>24420</v>
      </c>
      <c r="G1498" s="15" t="s">
        <v>24421</v>
      </c>
      <c r="H1498" s="15" t="s">
        <v>24422</v>
      </c>
      <c r="I1498" s="15" t="s">
        <v>24423</v>
      </c>
      <c r="J1498" s="15" t="s">
        <v>20862</v>
      </c>
      <c r="K1498" s="15">
        <v>7583</v>
      </c>
      <c r="L1498" s="15" t="s">
        <v>19099</v>
      </c>
    </row>
    <row r="1499" spans="1:20" x14ac:dyDescent="0.25">
      <c r="A1499" s="2" t="s">
        <v>5006</v>
      </c>
      <c r="B1499" s="8" t="s">
        <v>16790</v>
      </c>
      <c r="C1499" s="2" t="s">
        <v>5006</v>
      </c>
      <c r="D1499" s="2" t="s">
        <v>5007</v>
      </c>
      <c r="E1499" s="4" t="s">
        <v>24424</v>
      </c>
      <c r="G1499" s="15" t="s">
        <v>24425</v>
      </c>
      <c r="H1499" s="15" t="s">
        <v>24426</v>
      </c>
      <c r="I1499" s="15" t="s">
        <v>24427</v>
      </c>
      <c r="J1499" s="15" t="s">
        <v>20212</v>
      </c>
      <c r="K1499" s="15">
        <v>7678</v>
      </c>
      <c r="L1499" s="15" t="s">
        <v>19099</v>
      </c>
    </row>
    <row r="1500" spans="1:20" x14ac:dyDescent="0.25">
      <c r="A1500" s="2" t="s">
        <v>5009</v>
      </c>
      <c r="B1500" s="8" t="s">
        <v>16791</v>
      </c>
      <c r="C1500" s="2" t="s">
        <v>5009</v>
      </c>
      <c r="D1500" s="2" t="s">
        <v>5010</v>
      </c>
      <c r="E1500" s="4" t="s">
        <v>24428</v>
      </c>
      <c r="G1500" s="15" t="s">
        <v>24428</v>
      </c>
      <c r="H1500" s="15" t="s">
        <v>24429</v>
      </c>
      <c r="I1500" s="15" t="s">
        <v>24430</v>
      </c>
      <c r="J1500" s="15" t="s">
        <v>19300</v>
      </c>
      <c r="K1500" s="15">
        <v>7516</v>
      </c>
      <c r="L1500" s="15" t="s">
        <v>19099</v>
      </c>
    </row>
    <row r="1501" spans="1:20" x14ac:dyDescent="0.25">
      <c r="A1501" s="2" t="s">
        <v>5012</v>
      </c>
      <c r="B1501" s="8" t="s">
        <v>16180</v>
      </c>
      <c r="C1501" s="2" t="s">
        <v>5012</v>
      </c>
      <c r="D1501" s="2" t="s">
        <v>5013</v>
      </c>
      <c r="E1501" s="4" t="s">
        <v>24431</v>
      </c>
    </row>
    <row r="1502" spans="1:20" x14ac:dyDescent="0.25">
      <c r="A1502" s="2" t="s">
        <v>5014</v>
      </c>
      <c r="B1502" s="8" t="s">
        <v>16180</v>
      </c>
      <c r="C1502" s="2" t="s">
        <v>5014</v>
      </c>
      <c r="D1502" s="2" t="s">
        <v>5015</v>
      </c>
      <c r="E1502" s="4" t="s">
        <v>24432</v>
      </c>
    </row>
    <row r="1503" spans="1:20" x14ac:dyDescent="0.25">
      <c r="A1503" s="2" t="s">
        <v>5016</v>
      </c>
      <c r="B1503" s="8" t="s">
        <v>16180</v>
      </c>
      <c r="C1503" s="2" t="s">
        <v>5016</v>
      </c>
      <c r="D1503" s="2" t="s">
        <v>5017</v>
      </c>
      <c r="E1503" s="4" t="s">
        <v>24433</v>
      </c>
    </row>
    <row r="1504" spans="1:20" x14ac:dyDescent="0.25">
      <c r="A1504" s="2" t="s">
        <v>5018</v>
      </c>
      <c r="B1504" s="8" t="s">
        <v>16180</v>
      </c>
      <c r="C1504" s="2" t="s">
        <v>5018</v>
      </c>
      <c r="D1504" s="2" t="s">
        <v>5019</v>
      </c>
      <c r="E1504" s="4" t="s">
        <v>24434</v>
      </c>
    </row>
    <row r="1505" spans="1:20" x14ac:dyDescent="0.25">
      <c r="A1505" s="2" t="s">
        <v>5020</v>
      </c>
      <c r="B1505" s="8" t="s">
        <v>16180</v>
      </c>
      <c r="C1505" s="2" t="s">
        <v>5020</v>
      </c>
      <c r="D1505" s="2" t="s">
        <v>5021</v>
      </c>
      <c r="E1505" s="4" t="s">
        <v>24435</v>
      </c>
    </row>
    <row r="1506" spans="1:20" x14ac:dyDescent="0.25">
      <c r="A1506" s="2" t="s">
        <v>5022</v>
      </c>
      <c r="B1506" s="8" t="s">
        <v>16180</v>
      </c>
      <c r="C1506" s="2" t="s">
        <v>5022</v>
      </c>
      <c r="D1506" s="2" t="s">
        <v>5023</v>
      </c>
      <c r="E1506" s="4" t="s">
        <v>24436</v>
      </c>
    </row>
    <row r="1507" spans="1:20" x14ac:dyDescent="0.25">
      <c r="A1507" s="2" t="s">
        <v>5024</v>
      </c>
      <c r="B1507" s="8" t="s">
        <v>16180</v>
      </c>
      <c r="C1507" s="2" t="s">
        <v>5024</v>
      </c>
      <c r="D1507" s="2" t="s">
        <v>5025</v>
      </c>
      <c r="E1507" s="4" t="s">
        <v>24437</v>
      </c>
    </row>
    <row r="1508" spans="1:20" x14ac:dyDescent="0.25">
      <c r="A1508" s="2" t="s">
        <v>5026</v>
      </c>
      <c r="B1508" s="8" t="s">
        <v>16180</v>
      </c>
      <c r="C1508" s="2" t="s">
        <v>5026</v>
      </c>
      <c r="D1508" s="2" t="s">
        <v>5027</v>
      </c>
      <c r="E1508" s="4" t="s">
        <v>24438</v>
      </c>
    </row>
    <row r="1509" spans="1:20" x14ac:dyDescent="0.25">
      <c r="A1509" s="2" t="s">
        <v>5028</v>
      </c>
      <c r="B1509" s="8" t="s">
        <v>16180</v>
      </c>
      <c r="C1509" s="2" t="s">
        <v>5028</v>
      </c>
      <c r="D1509" s="2" t="s">
        <v>5029</v>
      </c>
      <c r="E1509" s="4" t="s">
        <v>24439</v>
      </c>
    </row>
    <row r="1510" spans="1:20" x14ac:dyDescent="0.25">
      <c r="A1510" s="2" t="s">
        <v>5030</v>
      </c>
      <c r="B1510" s="8" t="s">
        <v>16180</v>
      </c>
      <c r="C1510" s="2" t="s">
        <v>5030</v>
      </c>
      <c r="D1510" s="2" t="s">
        <v>5031</v>
      </c>
      <c r="E1510" s="4" t="s">
        <v>24440</v>
      </c>
    </row>
    <row r="1511" spans="1:20" x14ac:dyDescent="0.25">
      <c r="A1511" s="2" t="s">
        <v>5032</v>
      </c>
      <c r="B1511" s="8" t="s">
        <v>16180</v>
      </c>
      <c r="C1511" s="2" t="s">
        <v>5032</v>
      </c>
      <c r="D1511" s="2" t="s">
        <v>5033</v>
      </c>
      <c r="E1511" s="4" t="s">
        <v>24441</v>
      </c>
      <c r="N1511" s="15" t="s">
        <v>21788</v>
      </c>
      <c r="O1511" s="15" t="s">
        <v>24442</v>
      </c>
      <c r="P1511" s="15" t="s">
        <v>24443</v>
      </c>
      <c r="Q1511" s="15" t="s">
        <v>24444</v>
      </c>
      <c r="R1511" s="15" t="s">
        <v>24445</v>
      </c>
      <c r="S1511" s="15">
        <v>24801861</v>
      </c>
      <c r="T1511" s="15" t="s">
        <v>19089</v>
      </c>
    </row>
    <row r="1512" spans="1:20" x14ac:dyDescent="0.25">
      <c r="A1512" s="2" t="s">
        <v>5034</v>
      </c>
      <c r="B1512" s="8" t="s">
        <v>16180</v>
      </c>
      <c r="C1512" s="2" t="s">
        <v>5034</v>
      </c>
      <c r="D1512" s="2" t="s">
        <v>5035</v>
      </c>
      <c r="E1512" s="4" t="s">
        <v>24446</v>
      </c>
    </row>
    <row r="1513" spans="1:20" x14ac:dyDescent="0.25">
      <c r="A1513" s="2" t="s">
        <v>5036</v>
      </c>
      <c r="B1513" s="8" t="s">
        <v>16180</v>
      </c>
      <c r="C1513" s="2" t="s">
        <v>5036</v>
      </c>
      <c r="D1513" s="2" t="s">
        <v>5037</v>
      </c>
      <c r="E1513" s="4" t="s">
        <v>5037</v>
      </c>
    </row>
    <row r="1514" spans="1:20" x14ac:dyDescent="0.25">
      <c r="A1514" s="2" t="s">
        <v>5038</v>
      </c>
      <c r="B1514" s="8" t="s">
        <v>16180</v>
      </c>
      <c r="C1514" s="2" t="s">
        <v>5038</v>
      </c>
      <c r="D1514" s="2" t="s">
        <v>5039</v>
      </c>
      <c r="E1514" s="4" t="s">
        <v>24447</v>
      </c>
    </row>
    <row r="1515" spans="1:20" x14ac:dyDescent="0.25">
      <c r="A1515" s="2" t="s">
        <v>5040</v>
      </c>
      <c r="B1515" s="8" t="s">
        <v>16180</v>
      </c>
      <c r="C1515" s="2" t="s">
        <v>5040</v>
      </c>
      <c r="D1515" s="2" t="s">
        <v>5041</v>
      </c>
      <c r="E1515" s="4" t="s">
        <v>24448</v>
      </c>
      <c r="N1515" s="15" t="s">
        <v>21788</v>
      </c>
      <c r="O1515" s="15" t="s">
        <v>24449</v>
      </c>
      <c r="P1515" s="15" t="s">
        <v>24450</v>
      </c>
      <c r="Q1515" s="15" t="s">
        <v>24451</v>
      </c>
      <c r="R1515" s="15" t="s">
        <v>24452</v>
      </c>
      <c r="S1515" s="15">
        <v>135398635</v>
      </c>
      <c r="T1515" s="15" t="s">
        <v>19089</v>
      </c>
    </row>
    <row r="1516" spans="1:20" x14ac:dyDescent="0.25">
      <c r="A1516" s="2" t="s">
        <v>5042</v>
      </c>
      <c r="B1516" s="8" t="s">
        <v>16180</v>
      </c>
      <c r="C1516" s="2" t="s">
        <v>5042</v>
      </c>
      <c r="D1516" s="2" t="s">
        <v>5043</v>
      </c>
      <c r="E1516" s="4" t="s">
        <v>24453</v>
      </c>
    </row>
    <row r="1517" spans="1:20" x14ac:dyDescent="0.25">
      <c r="A1517" s="2" t="s">
        <v>5044</v>
      </c>
      <c r="B1517" s="8" t="s">
        <v>16180</v>
      </c>
      <c r="C1517" s="2" t="s">
        <v>5044</v>
      </c>
      <c r="D1517" s="2" t="s">
        <v>5045</v>
      </c>
      <c r="E1517" s="4" t="s">
        <v>24454</v>
      </c>
    </row>
    <row r="1518" spans="1:20" x14ac:dyDescent="0.25">
      <c r="A1518" s="2" t="s">
        <v>5046</v>
      </c>
      <c r="B1518" s="8" t="s">
        <v>16180</v>
      </c>
      <c r="C1518" s="2" t="s">
        <v>5046</v>
      </c>
      <c r="D1518" s="2" t="s">
        <v>5047</v>
      </c>
      <c r="E1518" s="4" t="s">
        <v>24455</v>
      </c>
    </row>
    <row r="1519" spans="1:20" x14ac:dyDescent="0.25">
      <c r="A1519" s="2" t="s">
        <v>5048</v>
      </c>
      <c r="B1519" s="8" t="s">
        <v>16180</v>
      </c>
      <c r="C1519" s="2" t="s">
        <v>5048</v>
      </c>
      <c r="D1519" s="2" t="s">
        <v>5049</v>
      </c>
      <c r="E1519" s="4" t="s">
        <v>24456</v>
      </c>
    </row>
    <row r="1520" spans="1:20" x14ac:dyDescent="0.25">
      <c r="A1520" s="2" t="s">
        <v>5050</v>
      </c>
      <c r="B1520" s="8" t="s">
        <v>16180</v>
      </c>
      <c r="C1520" s="2" t="s">
        <v>5050</v>
      </c>
      <c r="D1520" s="2" t="s">
        <v>5051</v>
      </c>
      <c r="E1520" s="4" t="s">
        <v>24457</v>
      </c>
    </row>
    <row r="1521" spans="1:20" x14ac:dyDescent="0.25">
      <c r="A1521" s="2" t="s">
        <v>5052</v>
      </c>
      <c r="B1521" s="8" t="s">
        <v>16180</v>
      </c>
      <c r="C1521" s="2" t="s">
        <v>5052</v>
      </c>
      <c r="D1521" s="2" t="s">
        <v>5053</v>
      </c>
      <c r="E1521" s="4" t="s">
        <v>24458</v>
      </c>
    </row>
    <row r="1522" spans="1:20" x14ac:dyDescent="0.25">
      <c r="A1522" s="2" t="s">
        <v>5054</v>
      </c>
      <c r="B1522" s="8" t="s">
        <v>16180</v>
      </c>
      <c r="C1522" s="2" t="s">
        <v>5054</v>
      </c>
      <c r="D1522" s="2" t="s">
        <v>5055</v>
      </c>
      <c r="E1522" s="4" t="s">
        <v>24459</v>
      </c>
      <c r="N1522" s="15" t="s">
        <v>21788</v>
      </c>
      <c r="O1522" s="15" t="s">
        <v>24460</v>
      </c>
      <c r="P1522" s="15" t="s">
        <v>24461</v>
      </c>
      <c r="Q1522" s="15" t="s">
        <v>24462</v>
      </c>
      <c r="R1522" s="15" t="s">
        <v>24463</v>
      </c>
      <c r="S1522" s="15">
        <v>132333</v>
      </c>
      <c r="T1522" s="15" t="s">
        <v>19089</v>
      </c>
    </row>
    <row r="1523" spans="1:20" x14ac:dyDescent="0.25">
      <c r="A1523" s="2" t="s">
        <v>5056</v>
      </c>
      <c r="B1523" s="8" t="s">
        <v>16180</v>
      </c>
      <c r="C1523" s="2" t="s">
        <v>5056</v>
      </c>
      <c r="D1523" s="2" t="s">
        <v>5057</v>
      </c>
      <c r="E1523" s="4" t="s">
        <v>24464</v>
      </c>
    </row>
    <row r="1524" spans="1:20" x14ac:dyDescent="0.25">
      <c r="A1524" s="2" t="s">
        <v>5058</v>
      </c>
      <c r="B1524" s="8" t="s">
        <v>16180</v>
      </c>
      <c r="C1524" s="2" t="s">
        <v>5058</v>
      </c>
      <c r="D1524" s="2" t="s">
        <v>5059</v>
      </c>
      <c r="E1524" s="4" t="s">
        <v>24465</v>
      </c>
    </row>
    <row r="1525" spans="1:20" x14ac:dyDescent="0.25">
      <c r="A1525" s="2" t="s">
        <v>5060</v>
      </c>
      <c r="B1525" s="8" t="s">
        <v>16180</v>
      </c>
      <c r="C1525" s="2" t="s">
        <v>5060</v>
      </c>
      <c r="D1525" s="2" t="s">
        <v>5061</v>
      </c>
      <c r="E1525" s="4" t="s">
        <v>24466</v>
      </c>
    </row>
    <row r="1526" spans="1:20" ht="30" customHeight="1" x14ac:dyDescent="0.25">
      <c r="A1526" s="2" t="s">
        <v>5062</v>
      </c>
      <c r="B1526" s="8" t="s">
        <v>16180</v>
      </c>
      <c r="C1526" s="2" t="s">
        <v>5062</v>
      </c>
      <c r="D1526" s="2" t="s">
        <v>5063</v>
      </c>
      <c r="E1526" s="4" t="s">
        <v>24467</v>
      </c>
    </row>
    <row r="1527" spans="1:20" x14ac:dyDescent="0.25">
      <c r="A1527" s="2" t="s">
        <v>5064</v>
      </c>
      <c r="B1527" s="8" t="s">
        <v>16180</v>
      </c>
      <c r="C1527" s="2" t="s">
        <v>5064</v>
      </c>
      <c r="D1527" s="2" t="s">
        <v>5065</v>
      </c>
      <c r="E1527" s="4" t="s">
        <v>24468</v>
      </c>
    </row>
    <row r="1528" spans="1:20" ht="30" customHeight="1" x14ac:dyDescent="0.25">
      <c r="A1528" s="2" t="s">
        <v>5066</v>
      </c>
      <c r="B1528" s="8" t="s">
        <v>16180</v>
      </c>
      <c r="C1528" s="2" t="s">
        <v>5066</v>
      </c>
      <c r="D1528" s="2" t="s">
        <v>5067</v>
      </c>
      <c r="E1528" s="4" t="s">
        <v>24469</v>
      </c>
    </row>
    <row r="1529" spans="1:20" x14ac:dyDescent="0.25">
      <c r="A1529" s="2" t="s">
        <v>5068</v>
      </c>
      <c r="B1529" s="8" t="s">
        <v>16180</v>
      </c>
      <c r="C1529" s="2" t="s">
        <v>5068</v>
      </c>
      <c r="D1529" s="2" t="s">
        <v>5069</v>
      </c>
      <c r="E1529" s="4" t="s">
        <v>24470</v>
      </c>
    </row>
    <row r="1530" spans="1:20" x14ac:dyDescent="0.25">
      <c r="A1530" s="2" t="s">
        <v>5070</v>
      </c>
      <c r="B1530" s="8" t="s">
        <v>16180</v>
      </c>
      <c r="C1530" s="2" t="s">
        <v>5070</v>
      </c>
      <c r="D1530" s="2" t="s">
        <v>5071</v>
      </c>
      <c r="E1530" s="4" t="s">
        <v>24471</v>
      </c>
    </row>
    <row r="1531" spans="1:20" x14ac:dyDescent="0.25">
      <c r="A1531" s="2" t="s">
        <v>5072</v>
      </c>
      <c r="B1531" s="8" t="s">
        <v>16180</v>
      </c>
      <c r="C1531" s="2" t="s">
        <v>5072</v>
      </c>
      <c r="D1531" s="2" t="s">
        <v>5073</v>
      </c>
      <c r="E1531" s="4" t="s">
        <v>24472</v>
      </c>
    </row>
    <row r="1532" spans="1:20" x14ac:dyDescent="0.25">
      <c r="A1532" s="2" t="s">
        <v>5074</v>
      </c>
      <c r="B1532" s="8" t="s">
        <v>16180</v>
      </c>
      <c r="C1532" s="2" t="s">
        <v>5074</v>
      </c>
      <c r="D1532" s="2" t="s">
        <v>5075</v>
      </c>
      <c r="E1532" s="4" t="s">
        <v>24473</v>
      </c>
    </row>
    <row r="1533" spans="1:20" x14ac:dyDescent="0.25">
      <c r="A1533" s="2" t="s">
        <v>5076</v>
      </c>
      <c r="B1533" s="8" t="s">
        <v>16180</v>
      </c>
      <c r="C1533" s="2" t="s">
        <v>5076</v>
      </c>
      <c r="D1533" s="2" t="s">
        <v>5077</v>
      </c>
      <c r="E1533" s="4" t="s">
        <v>24474</v>
      </c>
    </row>
    <row r="1534" spans="1:20" x14ac:dyDescent="0.25">
      <c r="A1534" s="2" t="s">
        <v>5078</v>
      </c>
      <c r="B1534" s="8" t="s">
        <v>16180</v>
      </c>
      <c r="C1534" s="2" t="s">
        <v>5078</v>
      </c>
      <c r="D1534" s="2" t="s">
        <v>5079</v>
      </c>
      <c r="E1534" s="4" t="s">
        <v>24475</v>
      </c>
    </row>
    <row r="1535" spans="1:20" x14ac:dyDescent="0.25">
      <c r="A1535" s="2" t="s">
        <v>5080</v>
      </c>
      <c r="B1535" s="8" t="s">
        <v>16180</v>
      </c>
      <c r="C1535" s="2" t="s">
        <v>5080</v>
      </c>
      <c r="D1535" s="2" t="s">
        <v>5081</v>
      </c>
      <c r="E1535" s="4" t="s">
        <v>24476</v>
      </c>
    </row>
    <row r="1536" spans="1:20" x14ac:dyDescent="0.25">
      <c r="A1536" s="2" t="s">
        <v>5082</v>
      </c>
      <c r="B1536" s="8" t="s">
        <v>16180</v>
      </c>
      <c r="C1536" s="2" t="s">
        <v>5082</v>
      </c>
      <c r="D1536" s="2" t="s">
        <v>5083</v>
      </c>
      <c r="E1536" s="4" t="s">
        <v>24477</v>
      </c>
    </row>
    <row r="1537" spans="1:12" x14ac:dyDescent="0.25">
      <c r="A1537" s="2" t="s">
        <v>5084</v>
      </c>
      <c r="B1537" s="8" t="s">
        <v>16794</v>
      </c>
      <c r="C1537" s="2" t="s">
        <v>5084</v>
      </c>
      <c r="D1537" s="2" t="s">
        <v>5085</v>
      </c>
      <c r="E1537" s="4" t="s">
        <v>5085</v>
      </c>
      <c r="G1537" s="15" t="s">
        <v>24478</v>
      </c>
      <c r="H1537" s="15" t="s">
        <v>24479</v>
      </c>
      <c r="I1537" s="15" t="s">
        <v>24480</v>
      </c>
      <c r="J1537" s="15" t="s">
        <v>438</v>
      </c>
      <c r="K1537" s="15">
        <v>161049</v>
      </c>
      <c r="L1537" s="15" t="s">
        <v>19099</v>
      </c>
    </row>
    <row r="1538" spans="1:12" x14ac:dyDescent="0.25">
      <c r="A1538" s="2" t="s">
        <v>5087</v>
      </c>
      <c r="B1538" s="8" t="s">
        <v>16797</v>
      </c>
      <c r="C1538" s="2" t="s">
        <v>5087</v>
      </c>
      <c r="D1538" s="2" t="s">
        <v>5088</v>
      </c>
      <c r="E1538" s="4" t="s">
        <v>24481</v>
      </c>
      <c r="G1538" s="15" t="s">
        <v>24482</v>
      </c>
      <c r="H1538" s="15" t="s">
        <v>24483</v>
      </c>
      <c r="I1538" s="15" t="s">
        <v>24484</v>
      </c>
      <c r="J1538" s="15" t="s">
        <v>24485</v>
      </c>
      <c r="K1538" s="15">
        <v>3016044</v>
      </c>
      <c r="L1538" s="15" t="s">
        <v>19099</v>
      </c>
    </row>
    <row r="1539" spans="1:12" x14ac:dyDescent="0.25">
      <c r="A1539" s="2" t="s">
        <v>5090</v>
      </c>
      <c r="B1539" s="8" t="s">
        <v>16798</v>
      </c>
      <c r="C1539" s="2" t="s">
        <v>5090</v>
      </c>
      <c r="D1539" s="2" t="s">
        <v>5091</v>
      </c>
      <c r="E1539" s="4" t="s">
        <v>24486</v>
      </c>
      <c r="G1539" s="15" t="s">
        <v>24487</v>
      </c>
      <c r="H1539" s="15" t="s">
        <v>24488</v>
      </c>
      <c r="I1539" s="15" t="s">
        <v>24489</v>
      </c>
      <c r="J1539" s="15" t="s">
        <v>24490</v>
      </c>
      <c r="K1539" s="15">
        <v>23136180</v>
      </c>
      <c r="L1539" s="15" t="s">
        <v>19099</v>
      </c>
    </row>
    <row r="1540" spans="1:12" x14ac:dyDescent="0.25">
      <c r="A1540" s="2" t="s">
        <v>5093</v>
      </c>
      <c r="B1540" s="8" t="s">
        <v>16799</v>
      </c>
      <c r="C1540" s="2" t="s">
        <v>5093</v>
      </c>
      <c r="D1540" s="2" t="s">
        <v>5094</v>
      </c>
      <c r="E1540" s="4" t="s">
        <v>24491</v>
      </c>
      <c r="G1540" s="15" t="s">
        <v>24492</v>
      </c>
      <c r="H1540" s="15" t="s">
        <v>24493</v>
      </c>
      <c r="I1540" s="15" t="s">
        <v>24494</v>
      </c>
      <c r="J1540" s="15" t="s">
        <v>24495</v>
      </c>
      <c r="K1540" s="15">
        <v>20734543</v>
      </c>
      <c r="L1540" s="15" t="s">
        <v>19099</v>
      </c>
    </row>
    <row r="1541" spans="1:12" x14ac:dyDescent="0.25">
      <c r="A1541" s="2" t="s">
        <v>5096</v>
      </c>
      <c r="B1541" s="8" t="s">
        <v>16800</v>
      </c>
      <c r="C1541" s="2" t="s">
        <v>5096</v>
      </c>
      <c r="D1541" s="2" t="s">
        <v>5097</v>
      </c>
      <c r="E1541" s="4" t="s">
        <v>24496</v>
      </c>
      <c r="G1541" s="15" t="s">
        <v>24497</v>
      </c>
      <c r="H1541" s="15" t="s">
        <v>24498</v>
      </c>
      <c r="I1541" s="15" t="s">
        <v>24499</v>
      </c>
      <c r="J1541" s="15" t="s">
        <v>24500</v>
      </c>
      <c r="K1541" s="15">
        <v>10994425</v>
      </c>
      <c r="L1541" s="15" t="s">
        <v>19099</v>
      </c>
    </row>
    <row r="1542" spans="1:12" x14ac:dyDescent="0.25">
      <c r="A1542" s="2" t="s">
        <v>5099</v>
      </c>
      <c r="B1542" s="8" t="s">
        <v>16801</v>
      </c>
      <c r="C1542" s="2" t="s">
        <v>5099</v>
      </c>
      <c r="D1542" s="2" t="s">
        <v>5100</v>
      </c>
      <c r="E1542" s="4" t="s">
        <v>24501</v>
      </c>
      <c r="G1542" s="15" t="s">
        <v>24502</v>
      </c>
      <c r="H1542" s="15" t="s">
        <v>24503</v>
      </c>
      <c r="I1542" s="15" t="s">
        <v>24504</v>
      </c>
      <c r="J1542" s="15" t="s">
        <v>24505</v>
      </c>
      <c r="K1542" s="15">
        <v>2782413</v>
      </c>
      <c r="L1542" s="15" t="s">
        <v>19099</v>
      </c>
    </row>
    <row r="1543" spans="1:12" ht="30" customHeight="1" x14ac:dyDescent="0.25">
      <c r="A1543" s="2" t="s">
        <v>5102</v>
      </c>
      <c r="B1543" s="8" t="s">
        <v>16180</v>
      </c>
      <c r="C1543" s="2" t="s">
        <v>5102</v>
      </c>
      <c r="D1543" s="2" t="s">
        <v>5103</v>
      </c>
      <c r="E1543" s="4" t="s">
        <v>24506</v>
      </c>
    </row>
    <row r="1544" spans="1:12" ht="30" customHeight="1" x14ac:dyDescent="0.25">
      <c r="A1544" s="2" t="s">
        <v>5104</v>
      </c>
      <c r="B1544" s="8" t="s">
        <v>16180</v>
      </c>
      <c r="C1544" s="2" t="s">
        <v>5104</v>
      </c>
      <c r="D1544" s="2" t="s">
        <v>5105</v>
      </c>
      <c r="E1544" s="4" t="s">
        <v>24507</v>
      </c>
    </row>
    <row r="1545" spans="1:12" ht="30" customHeight="1" x14ac:dyDescent="0.25">
      <c r="A1545" s="2" t="s">
        <v>5106</v>
      </c>
      <c r="B1545" s="8" t="s">
        <v>16180</v>
      </c>
      <c r="C1545" s="2" t="s">
        <v>5106</v>
      </c>
      <c r="D1545" s="2" t="s">
        <v>5107</v>
      </c>
      <c r="E1545" s="4" t="s">
        <v>24508</v>
      </c>
    </row>
    <row r="1546" spans="1:12" x14ac:dyDescent="0.25">
      <c r="A1546" s="2" t="s">
        <v>5108</v>
      </c>
      <c r="B1546" s="8" t="s">
        <v>16802</v>
      </c>
      <c r="C1546" s="2" t="s">
        <v>5108</v>
      </c>
      <c r="D1546" s="2" t="s">
        <v>5109</v>
      </c>
      <c r="E1546" s="4" t="s">
        <v>24509</v>
      </c>
      <c r="G1546" s="15" t="s">
        <v>24509</v>
      </c>
      <c r="H1546" s="15" t="s">
        <v>24510</v>
      </c>
      <c r="I1546" s="15" t="s">
        <v>24511</v>
      </c>
      <c r="J1546" s="15" t="s">
        <v>5108</v>
      </c>
      <c r="K1546" s="15">
        <v>784</v>
      </c>
      <c r="L1546" s="15" t="s">
        <v>19099</v>
      </c>
    </row>
    <row r="1547" spans="1:12" x14ac:dyDescent="0.25">
      <c r="A1547" s="2" t="s">
        <v>5111</v>
      </c>
      <c r="B1547" s="8" t="s">
        <v>16804</v>
      </c>
      <c r="C1547" s="2" t="s">
        <v>5111</v>
      </c>
      <c r="D1547" s="2" t="s">
        <v>5112</v>
      </c>
      <c r="E1547" s="4" t="s">
        <v>24512</v>
      </c>
      <c r="G1547" s="15" t="s">
        <v>24513</v>
      </c>
      <c r="H1547" s="15" t="s">
        <v>24514</v>
      </c>
      <c r="I1547" s="15" t="s">
        <v>24515</v>
      </c>
      <c r="J1547" s="15" t="s">
        <v>24516</v>
      </c>
      <c r="K1547" s="15">
        <v>1118</v>
      </c>
      <c r="L1547" s="15" t="s">
        <v>19099</v>
      </c>
    </row>
    <row r="1548" spans="1:12" x14ac:dyDescent="0.25">
      <c r="A1548" s="2" t="s">
        <v>5114</v>
      </c>
      <c r="B1548" s="8" t="s">
        <v>16805</v>
      </c>
      <c r="C1548" s="2" t="s">
        <v>5114</v>
      </c>
      <c r="D1548" s="2" t="s">
        <v>5115</v>
      </c>
      <c r="E1548" s="4" t="s">
        <v>5115</v>
      </c>
      <c r="H1548" s="15" t="s">
        <v>24517</v>
      </c>
      <c r="I1548" s="15" t="s">
        <v>24518</v>
      </c>
      <c r="J1548" s="15" t="s">
        <v>24519</v>
      </c>
      <c r="K1548" s="15">
        <v>24824</v>
      </c>
      <c r="L1548" s="15" t="s">
        <v>19099</v>
      </c>
    </row>
    <row r="1549" spans="1:12" x14ac:dyDescent="0.25">
      <c r="A1549" s="2" t="s">
        <v>5117</v>
      </c>
      <c r="B1549" s="8" t="s">
        <v>16806</v>
      </c>
      <c r="C1549" s="2" t="s">
        <v>5117</v>
      </c>
      <c r="D1549" s="2" t="s">
        <v>5118</v>
      </c>
      <c r="E1549" s="4" t="s">
        <v>24520</v>
      </c>
      <c r="G1549" s="15" t="s">
        <v>24520</v>
      </c>
      <c r="H1549" s="15" t="s">
        <v>24521</v>
      </c>
      <c r="I1549" s="15" t="s">
        <v>24522</v>
      </c>
      <c r="J1549" s="15" t="s">
        <v>24523</v>
      </c>
      <c r="K1549" s="15">
        <v>1004</v>
      </c>
      <c r="L1549" s="15" t="s">
        <v>19099</v>
      </c>
    </row>
    <row r="1550" spans="1:12" x14ac:dyDescent="0.25">
      <c r="A1550" s="2" t="s">
        <v>5120</v>
      </c>
      <c r="B1550" s="8" t="s">
        <v>16180</v>
      </c>
      <c r="C1550" s="2" t="s">
        <v>5120</v>
      </c>
      <c r="D1550" s="2" t="s">
        <v>5121</v>
      </c>
      <c r="E1550" s="4" t="s">
        <v>24524</v>
      </c>
    </row>
    <row r="1551" spans="1:12" x14ac:dyDescent="0.25">
      <c r="A1551" s="2" t="s">
        <v>5122</v>
      </c>
      <c r="B1551" s="8" t="s">
        <v>16807</v>
      </c>
      <c r="C1551" s="2" t="s">
        <v>5122</v>
      </c>
      <c r="D1551" s="2" t="s">
        <v>5123</v>
      </c>
      <c r="E1551" s="4" t="s">
        <v>24525</v>
      </c>
      <c r="G1551" s="15" t="s">
        <v>24525</v>
      </c>
      <c r="H1551" s="15" t="s">
        <v>24526</v>
      </c>
      <c r="I1551" s="15" t="s">
        <v>24527</v>
      </c>
      <c r="J1551" s="15" t="s">
        <v>22552</v>
      </c>
      <c r="K1551" s="15">
        <v>176</v>
      </c>
      <c r="L1551" s="15" t="s">
        <v>19099</v>
      </c>
    </row>
    <row r="1552" spans="1:12" ht="30" customHeight="1" x14ac:dyDescent="0.25">
      <c r="A1552" s="2" t="s">
        <v>5125</v>
      </c>
      <c r="B1552" s="8" t="s">
        <v>16808</v>
      </c>
      <c r="C1552" s="2" t="s">
        <v>5125</v>
      </c>
      <c r="D1552" s="2" t="s">
        <v>5126</v>
      </c>
      <c r="E1552" s="4" t="s">
        <v>24528</v>
      </c>
      <c r="G1552" s="15" t="s">
        <v>24529</v>
      </c>
      <c r="H1552" s="15" t="s">
        <v>24530</v>
      </c>
      <c r="I1552" s="15" t="s">
        <v>24531</v>
      </c>
      <c r="J1552" s="15" t="s">
        <v>24532</v>
      </c>
      <c r="K1552" s="15">
        <v>15724678</v>
      </c>
      <c r="L1552" s="15" t="s">
        <v>19099</v>
      </c>
    </row>
    <row r="1553" spans="1:12" x14ac:dyDescent="0.25">
      <c r="A1553" s="2" t="s">
        <v>5128</v>
      </c>
      <c r="B1553" s="8" t="s">
        <v>16809</v>
      </c>
      <c r="C1553" s="2" t="s">
        <v>5128</v>
      </c>
      <c r="D1553" s="2" t="s">
        <v>5129</v>
      </c>
      <c r="E1553" s="4" t="s">
        <v>24533</v>
      </c>
      <c r="G1553" s="15" t="s">
        <v>24534</v>
      </c>
      <c r="H1553" s="15" t="s">
        <v>24535</v>
      </c>
      <c r="I1553" s="15" t="s">
        <v>24536</v>
      </c>
      <c r="J1553" s="15" t="s">
        <v>24537</v>
      </c>
      <c r="K1553" s="15">
        <v>8370</v>
      </c>
      <c r="L1553" s="15" t="s">
        <v>19099</v>
      </c>
    </row>
    <row r="1554" spans="1:12" x14ac:dyDescent="0.25">
      <c r="A1554" s="2" t="s">
        <v>5131</v>
      </c>
      <c r="B1554" s="8" t="s">
        <v>16810</v>
      </c>
      <c r="C1554" s="2" t="s">
        <v>5131</v>
      </c>
      <c r="D1554" s="2" t="s">
        <v>5132</v>
      </c>
      <c r="E1554" s="4" t="s">
        <v>24538</v>
      </c>
      <c r="G1554" s="15" t="s">
        <v>24539</v>
      </c>
      <c r="H1554" s="15" t="s">
        <v>24540</v>
      </c>
      <c r="I1554" s="15" t="s">
        <v>24541</v>
      </c>
      <c r="J1554" s="15" t="s">
        <v>24542</v>
      </c>
      <c r="K1554" s="15">
        <v>6478</v>
      </c>
      <c r="L1554" s="15" t="s">
        <v>19099</v>
      </c>
    </row>
    <row r="1555" spans="1:12" x14ac:dyDescent="0.25">
      <c r="A1555" s="2" t="s">
        <v>5134</v>
      </c>
      <c r="B1555" s="8" t="s">
        <v>16811</v>
      </c>
      <c r="C1555" s="2" t="s">
        <v>5134</v>
      </c>
      <c r="D1555" s="2" t="s">
        <v>5135</v>
      </c>
      <c r="E1555" s="4" t="s">
        <v>24543</v>
      </c>
      <c r="G1555" s="15" t="s">
        <v>24544</v>
      </c>
      <c r="H1555" s="15" t="s">
        <v>24545</v>
      </c>
      <c r="I1555" s="15" t="s">
        <v>24546</v>
      </c>
      <c r="J1555" s="15" t="s">
        <v>24547</v>
      </c>
      <c r="K1555" s="15">
        <v>61105</v>
      </c>
      <c r="L1555" s="15" t="s">
        <v>19099</v>
      </c>
    </row>
    <row r="1556" spans="1:12" x14ac:dyDescent="0.25">
      <c r="A1556" s="2" t="s">
        <v>5137</v>
      </c>
      <c r="B1556" s="8" t="s">
        <v>16812</v>
      </c>
      <c r="C1556" s="2" t="s">
        <v>5137</v>
      </c>
      <c r="D1556" s="2" t="s">
        <v>5138</v>
      </c>
      <c r="E1556" s="4" t="s">
        <v>24548</v>
      </c>
      <c r="G1556" s="15" t="s">
        <v>24548</v>
      </c>
      <c r="H1556" s="15" t="s">
        <v>24549</v>
      </c>
      <c r="I1556" s="15" t="s">
        <v>24550</v>
      </c>
      <c r="J1556" s="15" t="s">
        <v>24547</v>
      </c>
      <c r="K1556" s="15">
        <v>61104</v>
      </c>
      <c r="L1556" s="15" t="s">
        <v>19099</v>
      </c>
    </row>
    <row r="1557" spans="1:12" x14ac:dyDescent="0.25">
      <c r="A1557" s="2" t="s">
        <v>5140</v>
      </c>
      <c r="B1557" s="8" t="s">
        <v>16813</v>
      </c>
      <c r="C1557" s="2" t="s">
        <v>5140</v>
      </c>
      <c r="D1557" s="2" t="s">
        <v>5141</v>
      </c>
      <c r="E1557" s="4" t="s">
        <v>24551</v>
      </c>
      <c r="G1557" s="15" t="s">
        <v>24552</v>
      </c>
      <c r="H1557" s="15" t="s">
        <v>24553</v>
      </c>
      <c r="I1557" s="15" t="s">
        <v>24554</v>
      </c>
      <c r="J1557" s="15" t="s">
        <v>24555</v>
      </c>
      <c r="K1557" s="15">
        <v>9385</v>
      </c>
      <c r="L1557" s="15" t="s">
        <v>19099</v>
      </c>
    </row>
    <row r="1558" spans="1:12" x14ac:dyDescent="0.25">
      <c r="A1558" s="2" t="s">
        <v>5143</v>
      </c>
      <c r="B1558" s="8" t="s">
        <v>16814</v>
      </c>
      <c r="C1558" s="2" t="s">
        <v>5143</v>
      </c>
      <c r="D1558" s="2" t="s">
        <v>5144</v>
      </c>
      <c r="E1558" s="4" t="s">
        <v>24556</v>
      </c>
      <c r="G1558" s="15" t="s">
        <v>24557</v>
      </c>
      <c r="H1558" s="15" t="s">
        <v>24558</v>
      </c>
      <c r="I1558" s="15" t="s">
        <v>24559</v>
      </c>
      <c r="J1558" s="15" t="s">
        <v>24555</v>
      </c>
      <c r="K1558" s="15">
        <v>9631</v>
      </c>
      <c r="L1558" s="15" t="s">
        <v>19099</v>
      </c>
    </row>
    <row r="1559" spans="1:12" x14ac:dyDescent="0.25">
      <c r="A1559" s="2" t="s">
        <v>5146</v>
      </c>
      <c r="B1559" s="8" t="s">
        <v>16815</v>
      </c>
      <c r="C1559" s="2" t="s">
        <v>5146</v>
      </c>
      <c r="D1559" s="2" t="s">
        <v>5147</v>
      </c>
      <c r="E1559" s="4" t="s">
        <v>24560</v>
      </c>
      <c r="G1559" s="15" t="s">
        <v>24561</v>
      </c>
      <c r="H1559" s="15" t="s">
        <v>24562</v>
      </c>
      <c r="I1559" s="15" t="s">
        <v>24563</v>
      </c>
      <c r="J1559" s="15" t="s">
        <v>24555</v>
      </c>
      <c r="K1559" s="15">
        <v>13132</v>
      </c>
      <c r="L1559" s="15" t="s">
        <v>19099</v>
      </c>
    </row>
    <row r="1560" spans="1:12" x14ac:dyDescent="0.25">
      <c r="A1560" s="2" t="s">
        <v>5149</v>
      </c>
      <c r="B1560" s="8" t="s">
        <v>16816</v>
      </c>
      <c r="C1560" s="2" t="s">
        <v>5149</v>
      </c>
      <c r="D1560" s="2" t="s">
        <v>5150</v>
      </c>
      <c r="E1560" s="4" t="s">
        <v>24564</v>
      </c>
      <c r="G1560" s="15" t="s">
        <v>24565</v>
      </c>
      <c r="H1560" s="15" t="s">
        <v>24566</v>
      </c>
      <c r="I1560" s="15" t="s">
        <v>24567</v>
      </c>
      <c r="J1560" s="15" t="s">
        <v>24568</v>
      </c>
      <c r="K1560" s="15">
        <v>17822</v>
      </c>
      <c r="L1560" s="15" t="s">
        <v>19099</v>
      </c>
    </row>
    <row r="1561" spans="1:12" x14ac:dyDescent="0.25">
      <c r="A1561" s="2" t="s">
        <v>5152</v>
      </c>
      <c r="B1561" s="8" t="s">
        <v>16817</v>
      </c>
      <c r="C1561" s="2" t="s">
        <v>5152</v>
      </c>
      <c r="D1561" s="2" t="s">
        <v>5153</v>
      </c>
      <c r="E1561" s="4" t="s">
        <v>24569</v>
      </c>
      <c r="G1561" s="15" t="s">
        <v>24570</v>
      </c>
      <c r="H1561" s="15" t="s">
        <v>24571</v>
      </c>
      <c r="I1561" s="15" t="s">
        <v>24572</v>
      </c>
      <c r="J1561" s="15" t="s">
        <v>24568</v>
      </c>
      <c r="K1561" s="15">
        <v>9632</v>
      </c>
      <c r="L1561" s="15" t="s">
        <v>19099</v>
      </c>
    </row>
    <row r="1562" spans="1:12" x14ac:dyDescent="0.25">
      <c r="A1562" s="2" t="s">
        <v>5155</v>
      </c>
      <c r="B1562" s="8" t="s">
        <v>16818</v>
      </c>
      <c r="C1562" s="2" t="s">
        <v>5155</v>
      </c>
      <c r="D1562" s="2" t="s">
        <v>5156</v>
      </c>
      <c r="E1562" s="4" t="s">
        <v>24573</v>
      </c>
      <c r="G1562" s="15" t="s">
        <v>24574</v>
      </c>
      <c r="H1562" s="15" t="s">
        <v>24575</v>
      </c>
      <c r="I1562" s="15" t="s">
        <v>24576</v>
      </c>
      <c r="J1562" s="15" t="s">
        <v>24577</v>
      </c>
      <c r="K1562" s="15">
        <v>9666</v>
      </c>
      <c r="L1562" s="15" t="s">
        <v>19099</v>
      </c>
    </row>
    <row r="1563" spans="1:12" x14ac:dyDescent="0.25">
      <c r="A1563" s="2" t="s">
        <v>5158</v>
      </c>
      <c r="B1563" s="8" t="s">
        <v>16819</v>
      </c>
      <c r="C1563" s="2" t="s">
        <v>5158</v>
      </c>
      <c r="D1563" s="2" t="s">
        <v>5159</v>
      </c>
      <c r="E1563" s="4" t="s">
        <v>24578</v>
      </c>
      <c r="G1563" s="15" t="s">
        <v>24578</v>
      </c>
      <c r="H1563" s="15" t="s">
        <v>24579</v>
      </c>
      <c r="I1563" s="15" t="s">
        <v>24580</v>
      </c>
      <c r="J1563" s="15" t="s">
        <v>24581</v>
      </c>
      <c r="K1563" s="15">
        <v>33241</v>
      </c>
      <c r="L1563" s="15" t="s">
        <v>19099</v>
      </c>
    </row>
    <row r="1564" spans="1:12" x14ac:dyDescent="0.25">
      <c r="A1564" s="2" t="s">
        <v>5161</v>
      </c>
      <c r="B1564" s="8" t="s">
        <v>16820</v>
      </c>
      <c r="C1564" s="2" t="s">
        <v>5161</v>
      </c>
      <c r="D1564" s="2" t="s">
        <v>5162</v>
      </c>
      <c r="E1564" s="4" t="s">
        <v>24582</v>
      </c>
      <c r="G1564" s="15" t="s">
        <v>24582</v>
      </c>
      <c r="H1564" s="15" t="s">
        <v>24583</v>
      </c>
      <c r="I1564" s="15" t="s">
        <v>24584</v>
      </c>
      <c r="J1564" s="15" t="s">
        <v>24581</v>
      </c>
      <c r="K1564" s="15">
        <v>15442</v>
      </c>
      <c r="L1564" s="15" t="s">
        <v>19099</v>
      </c>
    </row>
    <row r="1565" spans="1:12" x14ac:dyDescent="0.25">
      <c r="A1565" s="2" t="s">
        <v>5164</v>
      </c>
      <c r="B1565" s="8" t="s">
        <v>16821</v>
      </c>
      <c r="C1565" s="2" t="s">
        <v>5164</v>
      </c>
      <c r="D1565" s="2" t="s">
        <v>5165</v>
      </c>
      <c r="E1565" s="4" t="s">
        <v>24585</v>
      </c>
      <c r="G1565" s="15" t="s">
        <v>24586</v>
      </c>
      <c r="H1565" s="15" t="s">
        <v>24587</v>
      </c>
      <c r="I1565" s="15" t="s">
        <v>24588</v>
      </c>
      <c r="J1565" s="15" t="s">
        <v>24589</v>
      </c>
      <c r="K1565" s="15">
        <v>6408</v>
      </c>
      <c r="L1565" s="15" t="s">
        <v>19099</v>
      </c>
    </row>
    <row r="1566" spans="1:12" x14ac:dyDescent="0.25">
      <c r="A1566" s="2" t="s">
        <v>5167</v>
      </c>
      <c r="B1566" s="8" t="s">
        <v>16822</v>
      </c>
      <c r="C1566" s="2" t="s">
        <v>5167</v>
      </c>
      <c r="D1566" s="2" t="s">
        <v>5168</v>
      </c>
      <c r="E1566" s="4" t="s">
        <v>24590</v>
      </c>
      <c r="G1566" s="15" t="s">
        <v>24590</v>
      </c>
      <c r="H1566" s="15" t="s">
        <v>24591</v>
      </c>
      <c r="I1566" s="15" t="s">
        <v>24592</v>
      </c>
      <c r="J1566" s="15" t="s">
        <v>24593</v>
      </c>
      <c r="K1566" s="15">
        <v>15586</v>
      </c>
      <c r="L1566" s="15" t="s">
        <v>19099</v>
      </c>
    </row>
    <row r="1567" spans="1:12" x14ac:dyDescent="0.25">
      <c r="A1567" s="2" t="s">
        <v>5170</v>
      </c>
      <c r="B1567" s="8" t="s">
        <v>16823</v>
      </c>
      <c r="C1567" s="2" t="s">
        <v>5170</v>
      </c>
      <c r="D1567" s="2" t="s">
        <v>5171</v>
      </c>
      <c r="E1567" s="4" t="s">
        <v>24594</v>
      </c>
      <c r="G1567" s="15" t="s">
        <v>24594</v>
      </c>
      <c r="H1567" s="15" t="s">
        <v>24595</v>
      </c>
      <c r="I1567" s="15" t="s">
        <v>24596</v>
      </c>
      <c r="J1567" s="15" t="s">
        <v>24597</v>
      </c>
      <c r="K1567" s="15">
        <v>6388</v>
      </c>
      <c r="L1567" s="15" t="s">
        <v>19099</v>
      </c>
    </row>
    <row r="1568" spans="1:12" x14ac:dyDescent="0.25">
      <c r="A1568" s="2" t="s">
        <v>5173</v>
      </c>
      <c r="B1568" s="8" t="s">
        <v>16824</v>
      </c>
      <c r="C1568" s="2" t="s">
        <v>5173</v>
      </c>
      <c r="D1568" s="2" t="s">
        <v>5174</v>
      </c>
      <c r="E1568" s="4" t="s">
        <v>24598</v>
      </c>
      <c r="G1568" s="15" t="s">
        <v>24599</v>
      </c>
      <c r="H1568" s="15" t="s">
        <v>24600</v>
      </c>
      <c r="I1568" s="15" t="s">
        <v>24601</v>
      </c>
      <c r="J1568" s="15" t="s">
        <v>24602</v>
      </c>
      <c r="K1568" s="15">
        <v>6370</v>
      </c>
      <c r="L1568" s="15" t="s">
        <v>19099</v>
      </c>
    </row>
    <row r="1569" spans="1:12" x14ac:dyDescent="0.25">
      <c r="A1569" s="2" t="s">
        <v>5176</v>
      </c>
      <c r="B1569" s="8" t="s">
        <v>16825</v>
      </c>
      <c r="C1569" s="2" t="s">
        <v>5176</v>
      </c>
      <c r="D1569" s="2" t="s">
        <v>5177</v>
      </c>
      <c r="E1569" s="4" t="s">
        <v>24603</v>
      </c>
      <c r="G1569" s="15" t="s">
        <v>24604</v>
      </c>
      <c r="H1569" s="15" t="s">
        <v>24605</v>
      </c>
      <c r="I1569" s="15" t="s">
        <v>24606</v>
      </c>
      <c r="J1569" s="15" t="s">
        <v>24607</v>
      </c>
      <c r="K1569" s="15">
        <v>6372</v>
      </c>
      <c r="L1569" s="15" t="s">
        <v>19099</v>
      </c>
    </row>
    <row r="1570" spans="1:12" x14ac:dyDescent="0.25">
      <c r="A1570" s="2" t="s">
        <v>5179</v>
      </c>
      <c r="B1570" s="8" t="s">
        <v>16826</v>
      </c>
      <c r="C1570" s="2" t="s">
        <v>5179</v>
      </c>
      <c r="D1570" s="2" t="s">
        <v>5180</v>
      </c>
      <c r="E1570" s="4" t="s">
        <v>24608</v>
      </c>
      <c r="G1570" s="15" t="s">
        <v>24609</v>
      </c>
      <c r="H1570" s="15" t="s">
        <v>24610</v>
      </c>
      <c r="I1570" s="15" t="s">
        <v>24611</v>
      </c>
      <c r="J1570" s="15" t="s">
        <v>24612</v>
      </c>
      <c r="K1570" s="15">
        <v>61112</v>
      </c>
      <c r="L1570" s="15" t="s">
        <v>19099</v>
      </c>
    </row>
    <row r="1571" spans="1:12" x14ac:dyDescent="0.25">
      <c r="A1571" s="2" t="s">
        <v>5182</v>
      </c>
      <c r="B1571" s="8" t="s">
        <v>16827</v>
      </c>
      <c r="C1571" s="2" t="s">
        <v>5182</v>
      </c>
      <c r="D1571" s="2" t="s">
        <v>5183</v>
      </c>
      <c r="E1571" s="4" t="s">
        <v>24613</v>
      </c>
      <c r="G1571" s="15" t="s">
        <v>24614</v>
      </c>
      <c r="H1571" s="15" t="s">
        <v>24615</v>
      </c>
      <c r="I1571" s="15" t="s">
        <v>24616</v>
      </c>
      <c r="J1571" s="15" t="s">
        <v>24612</v>
      </c>
      <c r="K1571" s="15">
        <v>62315</v>
      </c>
      <c r="L1571" s="15" t="s">
        <v>19099</v>
      </c>
    </row>
    <row r="1572" spans="1:12" x14ac:dyDescent="0.25">
      <c r="A1572" s="2" t="s">
        <v>5185</v>
      </c>
      <c r="B1572" s="8" t="s">
        <v>16828</v>
      </c>
      <c r="C1572" s="2" t="s">
        <v>5185</v>
      </c>
      <c r="D1572" s="2" t="s">
        <v>5186</v>
      </c>
      <c r="E1572" s="4" t="s">
        <v>24617</v>
      </c>
      <c r="G1572" s="15" t="s">
        <v>24618</v>
      </c>
      <c r="H1572" s="15" t="s">
        <v>24619</v>
      </c>
      <c r="I1572" s="15" t="s">
        <v>24620</v>
      </c>
      <c r="J1572" s="15" t="s">
        <v>24612</v>
      </c>
      <c r="K1572" s="15">
        <v>61111</v>
      </c>
      <c r="L1572" s="15" t="s">
        <v>19099</v>
      </c>
    </row>
    <row r="1573" spans="1:12" x14ac:dyDescent="0.25">
      <c r="A1573" s="2" t="s">
        <v>5188</v>
      </c>
      <c r="B1573" s="8" t="s">
        <v>16829</v>
      </c>
      <c r="C1573" s="2" t="s">
        <v>5188</v>
      </c>
      <c r="D1573" s="2" t="s">
        <v>5189</v>
      </c>
      <c r="E1573" s="4" t="s">
        <v>24621</v>
      </c>
      <c r="G1573" s="15" t="s">
        <v>24622</v>
      </c>
      <c r="H1573" s="15" t="s">
        <v>24623</v>
      </c>
      <c r="I1573" s="15" t="s">
        <v>24624</v>
      </c>
      <c r="J1573" s="15" t="s">
        <v>24612</v>
      </c>
      <c r="K1573" s="15">
        <v>61110</v>
      </c>
      <c r="L1573" s="15" t="s">
        <v>19099</v>
      </c>
    </row>
    <row r="1574" spans="1:12" x14ac:dyDescent="0.25">
      <c r="A1574" s="2" t="s">
        <v>5191</v>
      </c>
      <c r="B1574" s="8" t="s">
        <v>16830</v>
      </c>
      <c r="C1574" s="2" t="s">
        <v>5191</v>
      </c>
      <c r="D1574" s="2" t="s">
        <v>5192</v>
      </c>
      <c r="E1574" s="4" t="s">
        <v>24625</v>
      </c>
      <c r="G1574" s="15" t="s">
        <v>24609</v>
      </c>
      <c r="H1574" s="15" t="s">
        <v>24610</v>
      </c>
      <c r="I1574" s="15" t="s">
        <v>24611</v>
      </c>
      <c r="J1574" s="15" t="s">
        <v>24612</v>
      </c>
      <c r="K1574" s="15">
        <v>61112</v>
      </c>
      <c r="L1574" s="15" t="s">
        <v>19099</v>
      </c>
    </row>
    <row r="1575" spans="1:12" x14ac:dyDescent="0.25">
      <c r="A1575" s="2" t="s">
        <v>5194</v>
      </c>
      <c r="B1575" s="8" t="s">
        <v>16831</v>
      </c>
      <c r="C1575" s="2" t="s">
        <v>5194</v>
      </c>
      <c r="D1575" s="2" t="s">
        <v>5195</v>
      </c>
      <c r="E1575" s="4" t="s">
        <v>24626</v>
      </c>
      <c r="G1575" s="15" t="s">
        <v>24627</v>
      </c>
      <c r="H1575" s="15" t="s">
        <v>24628</v>
      </c>
      <c r="I1575" s="15" t="s">
        <v>24629</v>
      </c>
      <c r="J1575" s="15" t="s">
        <v>24612</v>
      </c>
      <c r="K1575" s="15">
        <v>62353</v>
      </c>
      <c r="L1575" s="15" t="s">
        <v>19099</v>
      </c>
    </row>
    <row r="1576" spans="1:12" x14ac:dyDescent="0.25">
      <c r="A1576" s="2" t="s">
        <v>5197</v>
      </c>
      <c r="B1576" s="8" t="s">
        <v>16832</v>
      </c>
      <c r="C1576" s="2" t="s">
        <v>5197</v>
      </c>
      <c r="D1576" s="2" t="s">
        <v>5198</v>
      </c>
      <c r="E1576" s="4" t="s">
        <v>24630</v>
      </c>
      <c r="G1576" s="15" t="s">
        <v>24631</v>
      </c>
      <c r="H1576" s="15" t="s">
        <v>24632</v>
      </c>
      <c r="I1576" s="15" t="s">
        <v>24633</v>
      </c>
      <c r="J1576" s="15" t="s">
        <v>24612</v>
      </c>
      <c r="K1576" s="15">
        <v>61627</v>
      </c>
      <c r="L1576" s="15" t="s">
        <v>19099</v>
      </c>
    </row>
    <row r="1577" spans="1:12" x14ac:dyDescent="0.25">
      <c r="A1577" s="2" t="s">
        <v>5200</v>
      </c>
      <c r="B1577" s="8" t="s">
        <v>16833</v>
      </c>
      <c r="C1577" s="2" t="s">
        <v>5200</v>
      </c>
      <c r="D1577" s="2" t="s">
        <v>5201</v>
      </c>
      <c r="E1577" s="4" t="s">
        <v>24634</v>
      </c>
      <c r="G1577" s="15" t="s">
        <v>24635</v>
      </c>
      <c r="H1577" s="15" t="s">
        <v>24636</v>
      </c>
      <c r="I1577" s="15" t="s">
        <v>24637</v>
      </c>
      <c r="J1577" s="15" t="s">
        <v>24612</v>
      </c>
      <c r="K1577" s="15">
        <v>61115</v>
      </c>
      <c r="L1577" s="15" t="s">
        <v>19099</v>
      </c>
    </row>
    <row r="1578" spans="1:12" x14ac:dyDescent="0.25">
      <c r="A1578" s="2" t="s">
        <v>5203</v>
      </c>
      <c r="B1578" s="8" t="s">
        <v>16834</v>
      </c>
      <c r="C1578" s="2" t="s">
        <v>5203</v>
      </c>
      <c r="D1578" s="2" t="s">
        <v>5204</v>
      </c>
      <c r="E1578" s="4" t="s">
        <v>24638</v>
      </c>
      <c r="G1578" s="15" t="s">
        <v>24639</v>
      </c>
      <c r="H1578" s="15" t="s">
        <v>24640</v>
      </c>
      <c r="I1578" s="15" t="s">
        <v>24641</v>
      </c>
      <c r="J1578" s="15" t="s">
        <v>24612</v>
      </c>
      <c r="K1578" s="15">
        <v>62318</v>
      </c>
      <c r="L1578" s="15" t="s">
        <v>19099</v>
      </c>
    </row>
    <row r="1579" spans="1:12" x14ac:dyDescent="0.25">
      <c r="A1579" s="2" t="s">
        <v>5206</v>
      </c>
      <c r="B1579" s="8" t="s">
        <v>16835</v>
      </c>
      <c r="C1579" s="2" t="s">
        <v>5206</v>
      </c>
      <c r="D1579" s="2" t="s">
        <v>5207</v>
      </c>
      <c r="E1579" s="4" t="s">
        <v>24642</v>
      </c>
      <c r="G1579" s="15" t="s">
        <v>24643</v>
      </c>
      <c r="H1579" s="15" t="s">
        <v>24644</v>
      </c>
      <c r="I1579" s="15" t="s">
        <v>24645</v>
      </c>
      <c r="J1579" s="15" t="s">
        <v>24612</v>
      </c>
      <c r="K1579" s="15">
        <v>62310</v>
      </c>
      <c r="L1579" s="15" t="s">
        <v>19099</v>
      </c>
    </row>
    <row r="1580" spans="1:12" x14ac:dyDescent="0.25">
      <c r="A1580" s="2" t="s">
        <v>5209</v>
      </c>
      <c r="B1580" s="8" t="s">
        <v>16836</v>
      </c>
      <c r="C1580" s="2" t="s">
        <v>5209</v>
      </c>
      <c r="D1580" s="2" t="s">
        <v>5210</v>
      </c>
      <c r="E1580" s="4" t="s">
        <v>24646</v>
      </c>
      <c r="G1580" s="15" t="s">
        <v>24647</v>
      </c>
      <c r="H1580" s="15" t="s">
        <v>24648</v>
      </c>
      <c r="I1580" s="15" t="s">
        <v>24649</v>
      </c>
      <c r="J1580" s="15" t="s">
        <v>24650</v>
      </c>
      <c r="K1580" s="15">
        <v>10000</v>
      </c>
      <c r="L1580" s="15" t="s">
        <v>19099</v>
      </c>
    </row>
    <row r="1581" spans="1:12" x14ac:dyDescent="0.25">
      <c r="A1581" s="2" t="s">
        <v>5212</v>
      </c>
      <c r="B1581" s="8" t="s">
        <v>16837</v>
      </c>
      <c r="C1581" s="2" t="s">
        <v>5212</v>
      </c>
      <c r="D1581" s="2" t="s">
        <v>5213</v>
      </c>
      <c r="E1581" s="4" t="s">
        <v>24651</v>
      </c>
      <c r="G1581" s="15" t="s">
        <v>22989</v>
      </c>
      <c r="H1581" s="15" t="s">
        <v>22990</v>
      </c>
      <c r="I1581" s="15" t="s">
        <v>22991</v>
      </c>
      <c r="J1581" s="15" t="s">
        <v>22992</v>
      </c>
      <c r="K1581" s="15">
        <v>768</v>
      </c>
      <c r="L1581" s="15" t="s">
        <v>19099</v>
      </c>
    </row>
    <row r="1582" spans="1:12" x14ac:dyDescent="0.25">
      <c r="A1582" s="2" t="s">
        <v>5215</v>
      </c>
      <c r="B1582" s="8" t="s">
        <v>16839</v>
      </c>
      <c r="C1582" s="2" t="s">
        <v>5215</v>
      </c>
      <c r="D1582" s="2" t="s">
        <v>5216</v>
      </c>
      <c r="E1582" s="4" t="s">
        <v>24652</v>
      </c>
      <c r="G1582" s="15" t="s">
        <v>24653</v>
      </c>
      <c r="H1582" s="15" t="s">
        <v>24654</v>
      </c>
      <c r="I1582" s="15" t="s">
        <v>24655</v>
      </c>
      <c r="J1582" s="15" t="s">
        <v>24656</v>
      </c>
      <c r="K1582" s="15">
        <v>313</v>
      </c>
      <c r="L1582" s="15" t="s">
        <v>19099</v>
      </c>
    </row>
    <row r="1583" spans="1:12" x14ac:dyDescent="0.25">
      <c r="A1583" s="2" t="s">
        <v>5218</v>
      </c>
      <c r="B1583" s="8" t="s">
        <v>16840</v>
      </c>
      <c r="C1583" s="2" t="s">
        <v>5218</v>
      </c>
      <c r="D1583" s="2" t="s">
        <v>5219</v>
      </c>
      <c r="E1583" s="4" t="s">
        <v>24657</v>
      </c>
      <c r="G1583" s="15" t="s">
        <v>24658</v>
      </c>
      <c r="H1583" s="15" t="s">
        <v>24659</v>
      </c>
      <c r="I1583" s="15" t="s">
        <v>24660</v>
      </c>
      <c r="J1583" s="15" t="s">
        <v>24661</v>
      </c>
      <c r="K1583" s="15">
        <v>3639</v>
      </c>
      <c r="L1583" s="15" t="s">
        <v>19099</v>
      </c>
    </row>
    <row r="1584" spans="1:12" x14ac:dyDescent="0.25">
      <c r="A1584" s="2" t="s">
        <v>5221</v>
      </c>
      <c r="B1584" s="8" t="s">
        <v>16180</v>
      </c>
      <c r="C1584" s="2" t="s">
        <v>5221</v>
      </c>
      <c r="D1584" s="2" t="s">
        <v>5222</v>
      </c>
      <c r="E1584" s="4" t="s">
        <v>24662</v>
      </c>
    </row>
    <row r="1585" spans="1:20" x14ac:dyDescent="0.25">
      <c r="A1585" s="2" t="s">
        <v>5223</v>
      </c>
      <c r="B1585" s="8" t="s">
        <v>16841</v>
      </c>
      <c r="C1585" s="2" t="s">
        <v>5223</v>
      </c>
      <c r="D1585" s="2" t="s">
        <v>5224</v>
      </c>
      <c r="E1585" s="4" t="s">
        <v>24663</v>
      </c>
      <c r="G1585" s="15" t="s">
        <v>24664</v>
      </c>
      <c r="H1585" s="15" t="s">
        <v>24665</v>
      </c>
      <c r="I1585" s="15" t="s">
        <v>24666</v>
      </c>
      <c r="J1585" s="15" t="s">
        <v>24667</v>
      </c>
      <c r="K1585" s="15">
        <v>3305</v>
      </c>
      <c r="L1585" s="15" t="s">
        <v>19099</v>
      </c>
    </row>
    <row r="1586" spans="1:20" x14ac:dyDescent="0.25">
      <c r="A1586" s="2" t="s">
        <v>5226</v>
      </c>
      <c r="B1586" s="8" t="s">
        <v>16180</v>
      </c>
      <c r="C1586" s="2" t="s">
        <v>5226</v>
      </c>
      <c r="D1586" s="2" t="s">
        <v>5227</v>
      </c>
      <c r="E1586" s="4" t="s">
        <v>24668</v>
      </c>
    </row>
    <row r="1587" spans="1:20" x14ac:dyDescent="0.25">
      <c r="A1587" s="2" t="s">
        <v>5228</v>
      </c>
      <c r="B1587" s="8" t="s">
        <v>16180</v>
      </c>
      <c r="C1587" s="2" t="s">
        <v>5228</v>
      </c>
      <c r="D1587" s="2" t="s">
        <v>5229</v>
      </c>
      <c r="E1587" s="4" t="s">
        <v>24669</v>
      </c>
    </row>
    <row r="1588" spans="1:20" x14ac:dyDescent="0.25">
      <c r="A1588" s="2" t="s">
        <v>5230</v>
      </c>
      <c r="B1588" s="8" t="s">
        <v>16180</v>
      </c>
      <c r="C1588" s="2" t="s">
        <v>5230</v>
      </c>
      <c r="D1588" s="2" t="s">
        <v>5231</v>
      </c>
      <c r="E1588" s="4" t="s">
        <v>24670</v>
      </c>
    </row>
    <row r="1589" spans="1:20" x14ac:dyDescent="0.25">
      <c r="A1589" s="2" t="s">
        <v>5232</v>
      </c>
      <c r="B1589" s="8" t="s">
        <v>16180</v>
      </c>
      <c r="C1589" s="2" t="s">
        <v>5232</v>
      </c>
      <c r="D1589" s="2" t="s">
        <v>5233</v>
      </c>
      <c r="E1589" s="4" t="s">
        <v>24671</v>
      </c>
    </row>
    <row r="1590" spans="1:20" x14ac:dyDescent="0.25">
      <c r="A1590" s="2" t="s">
        <v>5234</v>
      </c>
      <c r="B1590" s="8" t="s">
        <v>16842</v>
      </c>
      <c r="C1590" s="2" t="s">
        <v>5234</v>
      </c>
      <c r="D1590" s="2" t="s">
        <v>5235</v>
      </c>
      <c r="E1590" s="4" t="s">
        <v>24672</v>
      </c>
      <c r="G1590" s="15" t="s">
        <v>24673</v>
      </c>
      <c r="H1590" s="15" t="s">
        <v>24674</v>
      </c>
      <c r="I1590" s="15" t="s">
        <v>24675</v>
      </c>
      <c r="J1590" s="15" t="s">
        <v>24676</v>
      </c>
      <c r="K1590" s="15">
        <v>8266</v>
      </c>
      <c r="L1590" s="15" t="s">
        <v>19099</v>
      </c>
    </row>
    <row r="1591" spans="1:20" x14ac:dyDescent="0.25">
      <c r="A1591" s="2" t="s">
        <v>5237</v>
      </c>
      <c r="B1591" s="8" t="s">
        <v>16843</v>
      </c>
      <c r="C1591" s="2" t="s">
        <v>5237</v>
      </c>
      <c r="D1591" s="2" t="s">
        <v>471</v>
      </c>
      <c r="E1591" s="4" t="s">
        <v>24677</v>
      </c>
      <c r="G1591" s="15" t="s">
        <v>24678</v>
      </c>
      <c r="H1591" s="15" t="s">
        <v>24679</v>
      </c>
      <c r="I1591" s="15" t="s">
        <v>24680</v>
      </c>
      <c r="J1591" s="15" t="s">
        <v>24681</v>
      </c>
      <c r="K1591" s="15">
        <v>14917</v>
      </c>
      <c r="L1591" s="15" t="s">
        <v>19099</v>
      </c>
    </row>
    <row r="1592" spans="1:20" x14ac:dyDescent="0.25">
      <c r="A1592" s="2" t="s">
        <v>5239</v>
      </c>
      <c r="B1592" s="8" t="s">
        <v>16844</v>
      </c>
      <c r="C1592" s="2" t="s">
        <v>5239</v>
      </c>
      <c r="D1592" s="2" t="s">
        <v>5240</v>
      </c>
      <c r="E1592" s="4" t="s">
        <v>24682</v>
      </c>
      <c r="G1592" s="15" t="s">
        <v>24683</v>
      </c>
      <c r="H1592" s="15" t="s">
        <v>24684</v>
      </c>
      <c r="I1592" s="15" t="s">
        <v>24685</v>
      </c>
      <c r="J1592" s="15" t="s">
        <v>24686</v>
      </c>
      <c r="K1592" s="15">
        <v>8302</v>
      </c>
      <c r="L1592" s="15" t="s">
        <v>19099</v>
      </c>
    </row>
    <row r="1593" spans="1:20" x14ac:dyDescent="0.25">
      <c r="A1593" s="2" t="s">
        <v>5242</v>
      </c>
      <c r="B1593" s="8" t="s">
        <v>16845</v>
      </c>
      <c r="C1593" s="2" t="s">
        <v>5242</v>
      </c>
      <c r="D1593" s="2" t="s">
        <v>5243</v>
      </c>
      <c r="E1593" s="4" t="s">
        <v>24687</v>
      </c>
      <c r="G1593" s="15" t="s">
        <v>24688</v>
      </c>
      <c r="H1593" s="15" t="s">
        <v>24689</v>
      </c>
      <c r="I1593" s="15" t="s">
        <v>24690</v>
      </c>
      <c r="J1593" s="15" t="s">
        <v>24691</v>
      </c>
      <c r="K1593" s="15">
        <v>6373</v>
      </c>
      <c r="L1593" s="15" t="s">
        <v>19099</v>
      </c>
    </row>
    <row r="1594" spans="1:20" x14ac:dyDescent="0.25">
      <c r="A1594" s="2" t="s">
        <v>5245</v>
      </c>
      <c r="B1594" s="8" t="s">
        <v>16180</v>
      </c>
      <c r="C1594" s="2" t="s">
        <v>5245</v>
      </c>
      <c r="D1594" s="2" t="s">
        <v>5246</v>
      </c>
      <c r="E1594" s="4" t="s">
        <v>24692</v>
      </c>
      <c r="N1594" s="15" t="s">
        <v>21788</v>
      </c>
      <c r="O1594" s="15" t="s">
        <v>24693</v>
      </c>
      <c r="P1594" s="15" t="s">
        <v>24694</v>
      </c>
      <c r="Q1594" s="15" t="s">
        <v>24695</v>
      </c>
      <c r="R1594" s="15" t="s">
        <v>24696</v>
      </c>
      <c r="S1594" s="15">
        <v>101638</v>
      </c>
      <c r="T1594" s="15" t="s">
        <v>19089</v>
      </c>
    </row>
    <row r="1595" spans="1:20" x14ac:dyDescent="0.25">
      <c r="A1595" s="2" t="s">
        <v>5247</v>
      </c>
      <c r="B1595" s="8" t="s">
        <v>16846</v>
      </c>
      <c r="C1595" s="2" t="s">
        <v>5247</v>
      </c>
      <c r="D1595" s="2" t="s">
        <v>5248</v>
      </c>
      <c r="E1595" s="4" t="s">
        <v>5248</v>
      </c>
      <c r="G1595" s="15" t="s">
        <v>24697</v>
      </c>
      <c r="H1595" s="15" t="s">
        <v>24698</v>
      </c>
      <c r="I1595" s="15" t="s">
        <v>24699</v>
      </c>
      <c r="J1595" s="15" t="s">
        <v>21830</v>
      </c>
      <c r="K1595" s="15">
        <v>91497</v>
      </c>
      <c r="L1595" s="15" t="s">
        <v>19099</v>
      </c>
    </row>
    <row r="1596" spans="1:20" x14ac:dyDescent="0.25">
      <c r="A1596" s="2" t="s">
        <v>5250</v>
      </c>
      <c r="B1596" s="8" t="s">
        <v>16180</v>
      </c>
      <c r="C1596" s="2" t="s">
        <v>5250</v>
      </c>
      <c r="D1596" s="2" t="s">
        <v>5251</v>
      </c>
      <c r="E1596" s="4" t="s">
        <v>24700</v>
      </c>
    </row>
    <row r="1597" spans="1:20" x14ac:dyDescent="0.25">
      <c r="A1597" s="2" t="s">
        <v>5252</v>
      </c>
      <c r="B1597" s="8" t="s">
        <v>16180</v>
      </c>
      <c r="C1597" s="2" t="s">
        <v>5252</v>
      </c>
      <c r="D1597" s="2" t="s">
        <v>5253</v>
      </c>
      <c r="E1597" s="4" t="s">
        <v>24701</v>
      </c>
    </row>
    <row r="1598" spans="1:20" x14ac:dyDescent="0.25">
      <c r="A1598" s="2" t="s">
        <v>5254</v>
      </c>
      <c r="B1598" s="8" t="s">
        <v>16180</v>
      </c>
      <c r="C1598" s="2" t="s">
        <v>5254</v>
      </c>
      <c r="D1598" s="2" t="s">
        <v>5255</v>
      </c>
      <c r="E1598" s="4" t="s">
        <v>24702</v>
      </c>
    </row>
    <row r="1599" spans="1:20" x14ac:dyDescent="0.25">
      <c r="A1599" s="2" t="s">
        <v>5256</v>
      </c>
      <c r="B1599" s="8" t="s">
        <v>16180</v>
      </c>
      <c r="C1599" s="2" t="s">
        <v>5256</v>
      </c>
      <c r="D1599" s="2" t="s">
        <v>5257</v>
      </c>
      <c r="E1599" s="4" t="s">
        <v>24703</v>
      </c>
    </row>
    <row r="1600" spans="1:20" x14ac:dyDescent="0.25">
      <c r="A1600" s="2" t="s">
        <v>5258</v>
      </c>
      <c r="B1600" s="8" t="s">
        <v>16180</v>
      </c>
      <c r="C1600" s="2" t="s">
        <v>5258</v>
      </c>
      <c r="D1600" s="2" t="s">
        <v>5259</v>
      </c>
      <c r="E1600" s="4" t="s">
        <v>24704</v>
      </c>
    </row>
    <row r="1601" spans="1:12" x14ac:dyDescent="0.25">
      <c r="A1601" s="2" t="s">
        <v>5260</v>
      </c>
      <c r="B1601" s="8" t="s">
        <v>16180</v>
      </c>
      <c r="C1601" s="2" t="s">
        <v>5260</v>
      </c>
      <c r="D1601" s="2" t="s">
        <v>5261</v>
      </c>
      <c r="E1601" s="4" t="s">
        <v>24705</v>
      </c>
    </row>
    <row r="1602" spans="1:12" x14ac:dyDescent="0.25">
      <c r="A1602" s="2" t="s">
        <v>5262</v>
      </c>
      <c r="B1602" s="8" t="s">
        <v>16847</v>
      </c>
      <c r="C1602" s="2" t="s">
        <v>5262</v>
      </c>
      <c r="D1602" s="2" t="s">
        <v>5263</v>
      </c>
      <c r="E1602" s="4" t="s">
        <v>24706</v>
      </c>
      <c r="G1602" s="15" t="s">
        <v>24706</v>
      </c>
      <c r="H1602" s="15" t="s">
        <v>24707</v>
      </c>
      <c r="I1602" s="15" t="s">
        <v>24708</v>
      </c>
      <c r="J1602" s="15" t="s">
        <v>5262</v>
      </c>
      <c r="K1602" s="15">
        <v>944</v>
      </c>
      <c r="L1602" s="15" t="s">
        <v>19099</v>
      </c>
    </row>
    <row r="1603" spans="1:12" x14ac:dyDescent="0.25">
      <c r="A1603" s="2" t="s">
        <v>5265</v>
      </c>
      <c r="B1603" s="8" t="s">
        <v>16848</v>
      </c>
      <c r="C1603" s="2" t="s">
        <v>5265</v>
      </c>
      <c r="D1603" s="2" t="s">
        <v>5266</v>
      </c>
      <c r="E1603" s="4" t="s">
        <v>24709</v>
      </c>
      <c r="G1603" s="15" t="s">
        <v>24709</v>
      </c>
      <c r="H1603" s="15" t="s">
        <v>24710</v>
      </c>
      <c r="I1603" s="15" t="s">
        <v>24711</v>
      </c>
      <c r="J1603" s="15" t="s">
        <v>24712</v>
      </c>
      <c r="K1603" s="15">
        <v>24341</v>
      </c>
      <c r="L1603" s="15" t="s">
        <v>19099</v>
      </c>
    </row>
    <row r="1604" spans="1:12" x14ac:dyDescent="0.25">
      <c r="A1604" s="2" t="s">
        <v>5268</v>
      </c>
      <c r="B1604" s="8" t="s">
        <v>16180</v>
      </c>
      <c r="C1604" s="2" t="s">
        <v>5268</v>
      </c>
      <c r="D1604" s="2" t="s">
        <v>5269</v>
      </c>
      <c r="E1604" s="4" t="s">
        <v>24713</v>
      </c>
    </row>
    <row r="1605" spans="1:12" x14ac:dyDescent="0.25">
      <c r="A1605" s="2" t="s">
        <v>5270</v>
      </c>
      <c r="B1605" s="8" t="s">
        <v>16180</v>
      </c>
      <c r="C1605" s="2" t="s">
        <v>5270</v>
      </c>
      <c r="D1605" s="2" t="s">
        <v>5271</v>
      </c>
      <c r="E1605" s="4" t="s">
        <v>24714</v>
      </c>
    </row>
    <row r="1606" spans="1:12" x14ac:dyDescent="0.25">
      <c r="A1606" s="2" t="s">
        <v>5272</v>
      </c>
      <c r="B1606" s="8" t="s">
        <v>16180</v>
      </c>
      <c r="C1606" s="2" t="s">
        <v>5272</v>
      </c>
      <c r="D1606" s="2" t="s">
        <v>5273</v>
      </c>
      <c r="E1606" s="4" t="s">
        <v>24715</v>
      </c>
    </row>
    <row r="1607" spans="1:12" x14ac:dyDescent="0.25">
      <c r="A1607" s="2" t="s">
        <v>5274</v>
      </c>
      <c r="B1607" s="8" t="s">
        <v>16180</v>
      </c>
      <c r="C1607" s="2" t="s">
        <v>5274</v>
      </c>
      <c r="D1607" s="2" t="s">
        <v>5275</v>
      </c>
      <c r="E1607" s="4" t="s">
        <v>24716</v>
      </c>
    </row>
    <row r="1608" spans="1:12" x14ac:dyDescent="0.25">
      <c r="A1608" s="2" t="s">
        <v>5276</v>
      </c>
      <c r="B1608" s="8" t="s">
        <v>16849</v>
      </c>
      <c r="C1608" s="2" t="s">
        <v>5276</v>
      </c>
      <c r="D1608" s="2" t="s">
        <v>5277</v>
      </c>
      <c r="E1608" s="4" t="s">
        <v>24717</v>
      </c>
      <c r="G1608" s="15" t="s">
        <v>24718</v>
      </c>
      <c r="H1608" s="15" t="s">
        <v>24719</v>
      </c>
      <c r="I1608" s="15" t="s">
        <v>24720</v>
      </c>
      <c r="J1608" s="15" t="s">
        <v>24721</v>
      </c>
      <c r="K1608" s="15">
        <v>15243</v>
      </c>
      <c r="L1608" s="15" t="s">
        <v>19099</v>
      </c>
    </row>
    <row r="1609" spans="1:12" x14ac:dyDescent="0.25">
      <c r="A1609" s="2" t="s">
        <v>5279</v>
      </c>
      <c r="B1609" s="8" t="s">
        <v>16180</v>
      </c>
      <c r="C1609" s="2" t="s">
        <v>5279</v>
      </c>
      <c r="D1609" s="2" t="s">
        <v>5280</v>
      </c>
      <c r="E1609" s="4" t="s">
        <v>24722</v>
      </c>
    </row>
    <row r="1610" spans="1:12" x14ac:dyDescent="0.25">
      <c r="A1610" s="2" t="s">
        <v>5281</v>
      </c>
      <c r="B1610" s="8" t="s">
        <v>16850</v>
      </c>
      <c r="C1610" s="2" t="s">
        <v>5281</v>
      </c>
      <c r="D1610" s="2" t="s">
        <v>5282</v>
      </c>
      <c r="E1610" s="4" t="s">
        <v>24723</v>
      </c>
      <c r="G1610" s="15" t="s">
        <v>24724</v>
      </c>
      <c r="H1610" s="15" t="s">
        <v>24725</v>
      </c>
      <c r="I1610" s="15" t="s">
        <v>24726</v>
      </c>
      <c r="J1610" s="15" t="s">
        <v>24727</v>
      </c>
      <c r="K1610" s="15">
        <v>34217</v>
      </c>
      <c r="L1610" s="15" t="s">
        <v>19099</v>
      </c>
    </row>
    <row r="1611" spans="1:12" x14ac:dyDescent="0.25">
      <c r="A1611" s="2" t="s">
        <v>5284</v>
      </c>
      <c r="B1611" s="8" t="s">
        <v>16180</v>
      </c>
      <c r="C1611" s="2" t="s">
        <v>5284</v>
      </c>
      <c r="D1611" s="2" t="s">
        <v>5285</v>
      </c>
      <c r="E1611" s="4" t="s">
        <v>24728</v>
      </c>
      <c r="G1611" s="15" t="s">
        <v>24729</v>
      </c>
      <c r="H1611" s="15" t="s">
        <v>24730</v>
      </c>
      <c r="I1611" s="15" t="s">
        <v>24731</v>
      </c>
      <c r="J1611" s="15" t="s">
        <v>24732</v>
      </c>
      <c r="K1611" s="15">
        <v>444075</v>
      </c>
      <c r="L1611" s="15" t="s">
        <v>19995</v>
      </c>
    </row>
    <row r="1612" spans="1:12" x14ac:dyDescent="0.25">
      <c r="A1612" s="2" t="s">
        <v>5286</v>
      </c>
      <c r="B1612" s="8" t="s">
        <v>16180</v>
      </c>
      <c r="C1612" s="2" t="s">
        <v>5286</v>
      </c>
      <c r="D1612" s="2" t="s">
        <v>5287</v>
      </c>
      <c r="E1612" s="4" t="s">
        <v>24733</v>
      </c>
      <c r="G1612" s="15" t="s">
        <v>24734</v>
      </c>
      <c r="H1612" s="15" t="s">
        <v>24735</v>
      </c>
      <c r="I1612" s="15" t="s">
        <v>24736</v>
      </c>
      <c r="J1612" s="15" t="s">
        <v>24737</v>
      </c>
      <c r="K1612" s="15">
        <v>90472028</v>
      </c>
      <c r="L1612" s="15" t="s">
        <v>19995</v>
      </c>
    </row>
    <row r="1613" spans="1:12" x14ac:dyDescent="0.25">
      <c r="A1613" s="2" t="s">
        <v>5288</v>
      </c>
      <c r="B1613" s="8" t="s">
        <v>16180</v>
      </c>
      <c r="C1613" s="2" t="s">
        <v>5288</v>
      </c>
      <c r="D1613" s="2" t="s">
        <v>5289</v>
      </c>
      <c r="E1613" s="4" t="s">
        <v>24738</v>
      </c>
    </row>
    <row r="1614" spans="1:12" x14ac:dyDescent="0.25">
      <c r="A1614" s="2" t="s">
        <v>5290</v>
      </c>
      <c r="B1614" s="8" t="s">
        <v>16852</v>
      </c>
      <c r="C1614" s="2" t="s">
        <v>5290</v>
      </c>
      <c r="D1614" s="2" t="s">
        <v>5291</v>
      </c>
      <c r="E1614" s="4" t="s">
        <v>5291</v>
      </c>
      <c r="G1614" s="15" t="s">
        <v>24739</v>
      </c>
      <c r="H1614" s="15" t="s">
        <v>24740</v>
      </c>
      <c r="I1614" s="15" t="s">
        <v>24741</v>
      </c>
      <c r="J1614" s="15" t="s">
        <v>194</v>
      </c>
      <c r="K1614" s="15">
        <v>6857639</v>
      </c>
      <c r="L1614" s="15" t="s">
        <v>19995</v>
      </c>
    </row>
    <row r="1615" spans="1:12" x14ac:dyDescent="0.25">
      <c r="A1615" s="2" t="s">
        <v>5293</v>
      </c>
      <c r="B1615" s="8" t="s">
        <v>16855</v>
      </c>
      <c r="C1615" s="2" t="s">
        <v>5293</v>
      </c>
      <c r="D1615" s="2" t="s">
        <v>5294</v>
      </c>
      <c r="E1615" s="4" t="s">
        <v>24742</v>
      </c>
      <c r="G1615" s="15" t="s">
        <v>24743</v>
      </c>
      <c r="H1615" s="15" t="s">
        <v>24744</v>
      </c>
      <c r="I1615" s="15" t="s">
        <v>24745</v>
      </c>
      <c r="J1615" s="15" t="s">
        <v>502</v>
      </c>
      <c r="K1615" s="15">
        <v>104771</v>
      </c>
      <c r="L1615" s="15" t="s">
        <v>19099</v>
      </c>
    </row>
    <row r="1616" spans="1:12" x14ac:dyDescent="0.25">
      <c r="A1616" s="2" t="s">
        <v>5296</v>
      </c>
      <c r="B1616" s="8" t="s">
        <v>16180</v>
      </c>
      <c r="C1616" s="2" t="s">
        <v>5296</v>
      </c>
      <c r="D1616" s="2" t="s">
        <v>5297</v>
      </c>
      <c r="E1616" s="4" t="s">
        <v>24746</v>
      </c>
    </row>
    <row r="1617" spans="1:12" x14ac:dyDescent="0.25">
      <c r="A1617" s="2" t="s">
        <v>5298</v>
      </c>
      <c r="B1617" s="8" t="s">
        <v>16180</v>
      </c>
      <c r="C1617" s="2" t="s">
        <v>5298</v>
      </c>
      <c r="D1617" s="2" t="s">
        <v>5299</v>
      </c>
      <c r="E1617" s="4" t="s">
        <v>24747</v>
      </c>
    </row>
    <row r="1618" spans="1:12" x14ac:dyDescent="0.25">
      <c r="A1618" s="2" t="s">
        <v>5300</v>
      </c>
      <c r="B1618" s="8" t="s">
        <v>16857</v>
      </c>
      <c r="C1618" s="2" t="s">
        <v>5300</v>
      </c>
      <c r="D1618" s="2" t="s">
        <v>5301</v>
      </c>
      <c r="E1618" s="4" t="s">
        <v>5301</v>
      </c>
      <c r="G1618" s="15" t="s">
        <v>24748</v>
      </c>
      <c r="H1618" s="15" t="s">
        <v>24749</v>
      </c>
      <c r="I1618" s="15" t="s">
        <v>24750</v>
      </c>
      <c r="J1618" s="15" t="s">
        <v>24751</v>
      </c>
      <c r="K1618" s="15">
        <v>3658</v>
      </c>
      <c r="L1618" s="15" t="s">
        <v>19099</v>
      </c>
    </row>
    <row r="1619" spans="1:12" x14ac:dyDescent="0.25">
      <c r="A1619" s="2" t="s">
        <v>5303</v>
      </c>
      <c r="B1619" s="8" t="s">
        <v>16858</v>
      </c>
      <c r="C1619" s="2" t="s">
        <v>5303</v>
      </c>
      <c r="D1619" s="2" t="s">
        <v>5304</v>
      </c>
      <c r="E1619" s="4" t="s">
        <v>24752</v>
      </c>
      <c r="G1619" s="15" t="s">
        <v>24753</v>
      </c>
      <c r="H1619" s="15" t="s">
        <v>24754</v>
      </c>
      <c r="I1619" s="15" t="s">
        <v>24755</v>
      </c>
      <c r="J1619" s="15" t="s">
        <v>24756</v>
      </c>
      <c r="K1619" s="15">
        <v>3589</v>
      </c>
      <c r="L1619" s="15" t="s">
        <v>19099</v>
      </c>
    </row>
    <row r="1620" spans="1:12" x14ac:dyDescent="0.25">
      <c r="A1620" s="2" t="s">
        <v>5306</v>
      </c>
      <c r="B1620" s="8" t="s">
        <v>16859</v>
      </c>
      <c r="C1620" s="2" t="s">
        <v>5306</v>
      </c>
      <c r="D1620" s="2" t="s">
        <v>5307</v>
      </c>
      <c r="E1620" s="4" t="s">
        <v>24757</v>
      </c>
      <c r="G1620" s="15" t="s">
        <v>24758</v>
      </c>
      <c r="H1620" s="15" t="s">
        <v>24759</v>
      </c>
      <c r="I1620" s="15" t="s">
        <v>24760</v>
      </c>
      <c r="J1620" s="15" t="s">
        <v>24761</v>
      </c>
      <c r="K1620" s="15">
        <v>107818</v>
      </c>
      <c r="L1620" s="15" t="s">
        <v>19099</v>
      </c>
    </row>
    <row r="1621" spans="1:12" x14ac:dyDescent="0.25">
      <c r="A1621" s="2" t="s">
        <v>5309</v>
      </c>
      <c r="B1621" s="8" t="s">
        <v>16860</v>
      </c>
      <c r="C1621" s="2" t="s">
        <v>5309</v>
      </c>
      <c r="D1621" s="2" t="s">
        <v>5310</v>
      </c>
      <c r="E1621" s="4" t="s">
        <v>24762</v>
      </c>
    </row>
    <row r="1622" spans="1:12" x14ac:dyDescent="0.25">
      <c r="A1622" s="2" t="s">
        <v>5312</v>
      </c>
      <c r="B1622" s="8" t="s">
        <v>16862</v>
      </c>
      <c r="C1622" s="2" t="s">
        <v>5312</v>
      </c>
      <c r="D1622" s="2" t="s">
        <v>5313</v>
      </c>
      <c r="E1622" s="4" t="s">
        <v>24763</v>
      </c>
      <c r="G1622" s="15" t="s">
        <v>24764</v>
      </c>
      <c r="H1622" s="15" t="s">
        <v>24765</v>
      </c>
      <c r="I1622" s="15" t="s">
        <v>24766</v>
      </c>
      <c r="J1622" s="15" t="s">
        <v>24767</v>
      </c>
      <c r="K1622" s="15">
        <v>154482</v>
      </c>
      <c r="L1622" s="15" t="s">
        <v>19995</v>
      </c>
    </row>
    <row r="1623" spans="1:12" x14ac:dyDescent="0.25">
      <c r="A1623" s="2" t="s">
        <v>5315</v>
      </c>
      <c r="B1623" s="8" t="s">
        <v>16863</v>
      </c>
      <c r="C1623" s="2" t="s">
        <v>5315</v>
      </c>
      <c r="D1623" s="2" t="s">
        <v>5316</v>
      </c>
      <c r="E1623" s="4" t="s">
        <v>24768</v>
      </c>
      <c r="G1623" s="15" t="s">
        <v>24769</v>
      </c>
      <c r="H1623" s="15" t="s">
        <v>24770</v>
      </c>
      <c r="I1623" s="15" t="s">
        <v>24771</v>
      </c>
      <c r="J1623" s="15" t="s">
        <v>24772</v>
      </c>
      <c r="K1623" s="15">
        <v>6905</v>
      </c>
      <c r="L1623" s="15" t="s">
        <v>19099</v>
      </c>
    </row>
    <row r="1624" spans="1:12" x14ac:dyDescent="0.25">
      <c r="A1624" s="2" t="s">
        <v>5318</v>
      </c>
      <c r="B1624" s="8" t="s">
        <v>16864</v>
      </c>
      <c r="C1624" s="2" t="s">
        <v>5318</v>
      </c>
      <c r="D1624" s="2" t="s">
        <v>5319</v>
      </c>
      <c r="E1624" s="4" t="s">
        <v>24773</v>
      </c>
    </row>
    <row r="1625" spans="1:12" x14ac:dyDescent="0.25">
      <c r="A1625" s="2" t="s">
        <v>5321</v>
      </c>
      <c r="B1625" s="8" t="s">
        <v>16865</v>
      </c>
      <c r="C1625" s="2" t="s">
        <v>5321</v>
      </c>
      <c r="D1625" s="2" t="s">
        <v>5322</v>
      </c>
      <c r="E1625" s="4" t="s">
        <v>24774</v>
      </c>
      <c r="G1625" s="15" t="s">
        <v>24775</v>
      </c>
      <c r="H1625" s="15" t="s">
        <v>24776</v>
      </c>
      <c r="I1625" s="15" t="s">
        <v>24777</v>
      </c>
      <c r="J1625" s="15" t="s">
        <v>24778</v>
      </c>
      <c r="K1625" s="15">
        <v>24764</v>
      </c>
      <c r="L1625" s="15" t="s">
        <v>19099</v>
      </c>
    </row>
    <row r="1626" spans="1:12" x14ac:dyDescent="0.25">
      <c r="A1626" s="2" t="s">
        <v>5324</v>
      </c>
      <c r="B1626" s="8" t="s">
        <v>16866</v>
      </c>
      <c r="C1626" s="2" t="s">
        <v>5324</v>
      </c>
      <c r="D1626" s="2" t="s">
        <v>5325</v>
      </c>
      <c r="E1626" s="4" t="s">
        <v>24779</v>
      </c>
      <c r="G1626" s="15" t="s">
        <v>24780</v>
      </c>
      <c r="H1626" s="15" t="s">
        <v>24781</v>
      </c>
      <c r="I1626" s="15" t="s">
        <v>24782</v>
      </c>
      <c r="J1626" s="15" t="s">
        <v>24783</v>
      </c>
      <c r="K1626" s="15">
        <v>12679</v>
      </c>
      <c r="L1626" s="15" t="s">
        <v>19099</v>
      </c>
    </row>
    <row r="1627" spans="1:12" x14ac:dyDescent="0.25">
      <c r="A1627" s="2" t="s">
        <v>5327</v>
      </c>
      <c r="B1627" s="8" t="s">
        <v>16867</v>
      </c>
      <c r="C1627" s="2" t="s">
        <v>5327</v>
      </c>
      <c r="D1627" s="2" t="s">
        <v>5328</v>
      </c>
      <c r="E1627" s="4" t="s">
        <v>24784</v>
      </c>
      <c r="G1627" s="15" t="s">
        <v>24785</v>
      </c>
      <c r="H1627" s="15" t="s">
        <v>24786</v>
      </c>
      <c r="I1627" s="15" t="s">
        <v>24787</v>
      </c>
      <c r="J1627" s="15" t="s">
        <v>24788</v>
      </c>
      <c r="K1627" s="15">
        <v>13192</v>
      </c>
      <c r="L1627" s="15" t="s">
        <v>19099</v>
      </c>
    </row>
    <row r="1628" spans="1:12" x14ac:dyDescent="0.25">
      <c r="A1628" s="2" t="s">
        <v>5330</v>
      </c>
      <c r="B1628" s="8" t="s">
        <v>16868</v>
      </c>
      <c r="C1628" s="2" t="s">
        <v>5330</v>
      </c>
      <c r="D1628" s="2" t="s">
        <v>5331</v>
      </c>
      <c r="E1628" s="4" t="s">
        <v>24789</v>
      </c>
      <c r="G1628" s="15" t="s">
        <v>24790</v>
      </c>
      <c r="H1628" s="15" t="s">
        <v>24791</v>
      </c>
      <c r="I1628" s="15" t="s">
        <v>24792</v>
      </c>
      <c r="J1628" s="15" t="s">
        <v>24793</v>
      </c>
      <c r="K1628" s="15">
        <v>4101</v>
      </c>
      <c r="L1628" s="15" t="s">
        <v>19099</v>
      </c>
    </row>
    <row r="1629" spans="1:12" x14ac:dyDescent="0.25">
      <c r="A1629" s="2" t="s">
        <v>5333</v>
      </c>
      <c r="B1629" s="8" t="s">
        <v>16869</v>
      </c>
      <c r="C1629" s="2" t="s">
        <v>5333</v>
      </c>
      <c r="D1629" s="2" t="s">
        <v>5334</v>
      </c>
      <c r="E1629" s="4" t="s">
        <v>24794</v>
      </c>
      <c r="G1629" s="15" t="s">
        <v>24795</v>
      </c>
      <c r="H1629" s="15" t="s">
        <v>24796</v>
      </c>
      <c r="I1629" s="15" t="s">
        <v>24797</v>
      </c>
      <c r="J1629" s="15" t="s">
        <v>24798</v>
      </c>
      <c r="K1629" s="15">
        <v>6214</v>
      </c>
      <c r="L1629" s="15" t="s">
        <v>19099</v>
      </c>
    </row>
    <row r="1630" spans="1:12" x14ac:dyDescent="0.25">
      <c r="A1630" s="2" t="s">
        <v>5336</v>
      </c>
      <c r="B1630" s="8" t="s">
        <v>16870</v>
      </c>
      <c r="C1630" s="2" t="s">
        <v>5336</v>
      </c>
      <c r="D1630" s="2" t="s">
        <v>5337</v>
      </c>
      <c r="E1630" s="4" t="s">
        <v>24799</v>
      </c>
      <c r="G1630" s="15" t="s">
        <v>24800</v>
      </c>
      <c r="H1630" s="15" t="s">
        <v>24801</v>
      </c>
      <c r="I1630" s="15" t="s">
        <v>24802</v>
      </c>
      <c r="J1630" s="15" t="s">
        <v>24803</v>
      </c>
      <c r="K1630" s="15">
        <v>108177</v>
      </c>
      <c r="L1630" s="15" t="s">
        <v>19995</v>
      </c>
    </row>
    <row r="1631" spans="1:12" x14ac:dyDescent="0.25">
      <c r="A1631" s="2" t="s">
        <v>5339</v>
      </c>
      <c r="B1631" s="8" t="s">
        <v>16871</v>
      </c>
      <c r="C1631" s="2" t="s">
        <v>5339</v>
      </c>
      <c r="D1631" s="2" t="s">
        <v>5340</v>
      </c>
      <c r="E1631" s="4" t="s">
        <v>24804</v>
      </c>
      <c r="G1631" s="15" t="s">
        <v>24805</v>
      </c>
      <c r="H1631" s="15" t="s">
        <v>24806</v>
      </c>
      <c r="I1631" s="15" t="s">
        <v>24807</v>
      </c>
      <c r="J1631" s="15" t="s">
        <v>24808</v>
      </c>
      <c r="K1631" s="15">
        <v>3036943</v>
      </c>
      <c r="L1631" s="15" t="s">
        <v>19099</v>
      </c>
    </row>
    <row r="1632" spans="1:12" x14ac:dyDescent="0.25">
      <c r="A1632" s="2" t="s">
        <v>5342</v>
      </c>
      <c r="B1632" s="8" t="s">
        <v>16872</v>
      </c>
      <c r="C1632" s="2" t="s">
        <v>5342</v>
      </c>
      <c r="D1632" s="2" t="s">
        <v>5343</v>
      </c>
      <c r="E1632" s="4" t="s">
        <v>24809</v>
      </c>
      <c r="G1632" s="15" t="s">
        <v>24810</v>
      </c>
      <c r="H1632" s="15" t="s">
        <v>24811</v>
      </c>
      <c r="I1632" s="15" t="s">
        <v>24812</v>
      </c>
      <c r="J1632" s="15" t="s">
        <v>24813</v>
      </c>
      <c r="K1632" s="15">
        <v>6901</v>
      </c>
      <c r="L1632" s="15" t="s">
        <v>19099</v>
      </c>
    </row>
    <row r="1633" spans="1:12" x14ac:dyDescent="0.25">
      <c r="A1633" s="2" t="s">
        <v>5345</v>
      </c>
      <c r="B1633" s="8" t="s">
        <v>16873</v>
      </c>
      <c r="C1633" s="2" t="s">
        <v>5345</v>
      </c>
      <c r="D1633" s="2" t="s">
        <v>5346</v>
      </c>
      <c r="E1633" s="4" t="s">
        <v>24814</v>
      </c>
      <c r="G1633" s="15" t="s">
        <v>24815</v>
      </c>
      <c r="H1633" s="15" t="s">
        <v>24816</v>
      </c>
      <c r="I1633" s="15" t="s">
        <v>24817</v>
      </c>
      <c r="J1633" s="15" t="s">
        <v>24818</v>
      </c>
      <c r="K1633" s="15">
        <v>3598</v>
      </c>
      <c r="L1633" s="15" t="s">
        <v>19099</v>
      </c>
    </row>
    <row r="1634" spans="1:12" x14ac:dyDescent="0.25">
      <c r="A1634" s="2" t="s">
        <v>5348</v>
      </c>
      <c r="B1634" s="8" t="s">
        <v>16874</v>
      </c>
      <c r="C1634" s="2" t="s">
        <v>5348</v>
      </c>
      <c r="D1634" s="2" t="s">
        <v>5349</v>
      </c>
      <c r="E1634" s="4" t="s">
        <v>24819</v>
      </c>
      <c r="G1634" s="15" t="s">
        <v>24820</v>
      </c>
      <c r="H1634" s="15" t="s">
        <v>24821</v>
      </c>
      <c r="I1634" s="15" t="s">
        <v>24822</v>
      </c>
      <c r="J1634" s="15" t="s">
        <v>24823</v>
      </c>
      <c r="K1634" s="15">
        <v>66461</v>
      </c>
      <c r="L1634" s="15" t="s">
        <v>19099</v>
      </c>
    </row>
    <row r="1635" spans="1:12" x14ac:dyDescent="0.25">
      <c r="A1635" s="2" t="s">
        <v>5351</v>
      </c>
      <c r="B1635" s="8" t="s">
        <v>16875</v>
      </c>
      <c r="C1635" s="2" t="s">
        <v>5351</v>
      </c>
      <c r="D1635" s="2" t="s">
        <v>5352</v>
      </c>
      <c r="E1635" s="4" t="s">
        <v>5352</v>
      </c>
      <c r="G1635" s="15" t="s">
        <v>24824</v>
      </c>
      <c r="H1635" s="15" t="s">
        <v>24825</v>
      </c>
      <c r="I1635" s="15" t="s">
        <v>24826</v>
      </c>
      <c r="J1635" s="15" t="s">
        <v>24827</v>
      </c>
      <c r="K1635" s="15">
        <v>91741</v>
      </c>
      <c r="L1635" s="15" t="s">
        <v>19099</v>
      </c>
    </row>
    <row r="1636" spans="1:12" x14ac:dyDescent="0.25">
      <c r="A1636" s="2" t="s">
        <v>5354</v>
      </c>
      <c r="B1636" s="8" t="s">
        <v>16876</v>
      </c>
      <c r="C1636" s="2" t="s">
        <v>5354</v>
      </c>
      <c r="D1636" s="2" t="s">
        <v>5355</v>
      </c>
      <c r="E1636" s="4" t="s">
        <v>24828</v>
      </c>
      <c r="G1636" s="15" t="s">
        <v>24829</v>
      </c>
      <c r="H1636" s="15" t="s">
        <v>24830</v>
      </c>
      <c r="I1636" s="15" t="s">
        <v>24831</v>
      </c>
      <c r="J1636" s="15" t="s">
        <v>24832</v>
      </c>
      <c r="K1636" s="15">
        <v>39965</v>
      </c>
      <c r="L1636" s="15" t="s">
        <v>19099</v>
      </c>
    </row>
    <row r="1637" spans="1:12" ht="30" customHeight="1" x14ac:dyDescent="0.25">
      <c r="A1637" s="2" t="s">
        <v>5357</v>
      </c>
      <c r="B1637" s="8" t="s">
        <v>16180</v>
      </c>
      <c r="C1637" s="2" t="s">
        <v>5357</v>
      </c>
      <c r="D1637" s="2" t="s">
        <v>5358</v>
      </c>
      <c r="E1637" s="4" t="s">
        <v>24833</v>
      </c>
    </row>
    <row r="1638" spans="1:12" x14ac:dyDescent="0.25">
      <c r="A1638" s="2" t="s">
        <v>5359</v>
      </c>
      <c r="B1638" s="8" t="s">
        <v>16878</v>
      </c>
      <c r="C1638" s="2" t="s">
        <v>5359</v>
      </c>
      <c r="D1638" s="2" t="s">
        <v>5360</v>
      </c>
      <c r="E1638" s="4" t="s">
        <v>24834</v>
      </c>
      <c r="G1638" s="15" t="s">
        <v>24835</v>
      </c>
      <c r="H1638" s="15" t="s">
        <v>24836</v>
      </c>
      <c r="I1638" s="15" t="s">
        <v>24837</v>
      </c>
      <c r="J1638" s="15" t="s">
        <v>24838</v>
      </c>
      <c r="K1638" s="15">
        <v>104800</v>
      </c>
      <c r="L1638" s="15" t="s">
        <v>19099</v>
      </c>
    </row>
    <row r="1639" spans="1:12" x14ac:dyDescent="0.25">
      <c r="A1639" s="2" t="s">
        <v>5362</v>
      </c>
      <c r="B1639" s="8" t="s">
        <v>16879</v>
      </c>
      <c r="C1639" s="2" t="s">
        <v>5362</v>
      </c>
      <c r="D1639" s="2" t="s">
        <v>5363</v>
      </c>
      <c r="E1639" s="4" t="s">
        <v>24839</v>
      </c>
      <c r="G1639" s="15" t="s">
        <v>24835</v>
      </c>
      <c r="H1639" s="15" t="s">
        <v>24840</v>
      </c>
      <c r="I1639" s="15" t="s">
        <v>24841</v>
      </c>
      <c r="J1639" s="15" t="s">
        <v>24838</v>
      </c>
      <c r="K1639" s="15">
        <v>161029</v>
      </c>
      <c r="L1639" s="15" t="s">
        <v>19099</v>
      </c>
    </row>
    <row r="1640" spans="1:12" x14ac:dyDescent="0.25">
      <c r="A1640" s="2" t="s">
        <v>5365</v>
      </c>
      <c r="B1640" s="8" t="s">
        <v>16880</v>
      </c>
      <c r="C1640" s="2" t="s">
        <v>5365</v>
      </c>
      <c r="D1640" s="2" t="s">
        <v>5366</v>
      </c>
      <c r="E1640" s="4" t="s">
        <v>24842</v>
      </c>
      <c r="G1640" s="15" t="s">
        <v>24835</v>
      </c>
      <c r="H1640" s="15" t="s">
        <v>24843</v>
      </c>
      <c r="I1640" s="15" t="s">
        <v>24844</v>
      </c>
      <c r="J1640" s="15" t="s">
        <v>24838</v>
      </c>
      <c r="K1640" s="15">
        <v>6433622</v>
      </c>
      <c r="L1640" s="15" t="s">
        <v>19099</v>
      </c>
    </row>
    <row r="1641" spans="1:12" x14ac:dyDescent="0.25">
      <c r="A1641" s="2" t="s">
        <v>5368</v>
      </c>
      <c r="B1641" s="8" t="s">
        <v>16881</v>
      </c>
      <c r="C1641" s="2" t="s">
        <v>5368</v>
      </c>
      <c r="D1641" s="2" t="s">
        <v>5369</v>
      </c>
      <c r="E1641" s="4" t="s">
        <v>24845</v>
      </c>
      <c r="H1641" s="15" t="s">
        <v>24846</v>
      </c>
      <c r="I1641" s="15" t="s">
        <v>24847</v>
      </c>
      <c r="J1641" s="15" t="s">
        <v>5371</v>
      </c>
      <c r="K1641" s="15">
        <v>24855</v>
      </c>
      <c r="L1641" s="15" t="s">
        <v>19995</v>
      </c>
    </row>
    <row r="1642" spans="1:12" x14ac:dyDescent="0.25">
      <c r="A1642" s="2" t="s">
        <v>5371</v>
      </c>
      <c r="B1642" s="8" t="s">
        <v>16882</v>
      </c>
      <c r="C1642" s="2" t="s">
        <v>5371</v>
      </c>
      <c r="D1642" s="2" t="s">
        <v>5372</v>
      </c>
      <c r="E1642" s="4" t="s">
        <v>5372</v>
      </c>
      <c r="G1642" s="15" t="s">
        <v>24848</v>
      </c>
      <c r="H1642" s="15" t="s">
        <v>24849</v>
      </c>
      <c r="I1642" s="15" t="s">
        <v>24850</v>
      </c>
      <c r="J1642" s="15" t="s">
        <v>5371</v>
      </c>
      <c r="K1642" s="15">
        <v>807</v>
      </c>
      <c r="L1642" s="15" t="s">
        <v>19099</v>
      </c>
    </row>
    <row r="1643" spans="1:12" x14ac:dyDescent="0.25">
      <c r="A1643" s="2" t="s">
        <v>5374</v>
      </c>
      <c r="B1643" s="8" t="s">
        <v>16883</v>
      </c>
      <c r="C1643" s="2" t="s">
        <v>5374</v>
      </c>
      <c r="D1643" s="2" t="s">
        <v>5375</v>
      </c>
      <c r="E1643" s="4" t="s">
        <v>24851</v>
      </c>
      <c r="G1643" s="15" t="s">
        <v>24851</v>
      </c>
      <c r="H1643" s="15" t="s">
        <v>24852</v>
      </c>
      <c r="I1643" s="15" t="s">
        <v>24853</v>
      </c>
      <c r="J1643" s="15" t="s">
        <v>24854</v>
      </c>
      <c r="K1643" s="15">
        <v>6328</v>
      </c>
      <c r="L1643" s="15" t="s">
        <v>19099</v>
      </c>
    </row>
    <row r="1644" spans="1:12" ht="30" customHeight="1" x14ac:dyDescent="0.25">
      <c r="A1644" s="2" t="s">
        <v>5377</v>
      </c>
      <c r="B1644" s="8" t="s">
        <v>16180</v>
      </c>
      <c r="C1644" s="2" t="s">
        <v>5377</v>
      </c>
      <c r="D1644" s="2" t="s">
        <v>5378</v>
      </c>
      <c r="E1644" s="4" t="s">
        <v>24855</v>
      </c>
    </row>
    <row r="1645" spans="1:12" x14ac:dyDescent="0.25">
      <c r="A1645" s="2" t="s">
        <v>5379</v>
      </c>
      <c r="B1645" s="8" t="s">
        <v>16180</v>
      </c>
      <c r="C1645" s="2" t="s">
        <v>5379</v>
      </c>
      <c r="D1645" s="2" t="s">
        <v>5380</v>
      </c>
      <c r="E1645" s="4" t="s">
        <v>24856</v>
      </c>
    </row>
    <row r="1646" spans="1:12" x14ac:dyDescent="0.25">
      <c r="A1646" s="2" t="s">
        <v>5381</v>
      </c>
      <c r="B1646" s="8" t="s">
        <v>16180</v>
      </c>
      <c r="C1646" s="2" t="s">
        <v>5381</v>
      </c>
      <c r="D1646" s="2" t="s">
        <v>5382</v>
      </c>
      <c r="E1646" s="4" t="s">
        <v>24857</v>
      </c>
      <c r="G1646" s="15" t="s">
        <v>24858</v>
      </c>
      <c r="H1646" s="15" t="s">
        <v>24859</v>
      </c>
      <c r="I1646" s="15" t="s">
        <v>24860</v>
      </c>
      <c r="J1646" s="15" t="s">
        <v>24861</v>
      </c>
      <c r="K1646" s="15">
        <v>14833</v>
      </c>
      <c r="L1646" s="15" t="s">
        <v>19995</v>
      </c>
    </row>
    <row r="1647" spans="1:12" x14ac:dyDescent="0.25">
      <c r="A1647" s="2" t="s">
        <v>5383</v>
      </c>
      <c r="B1647" s="8" t="s">
        <v>16180</v>
      </c>
      <c r="C1647" s="2" t="s">
        <v>5383</v>
      </c>
      <c r="D1647" s="2" t="s">
        <v>5384</v>
      </c>
      <c r="E1647" s="4" t="s">
        <v>24862</v>
      </c>
    </row>
    <row r="1648" spans="1:12" x14ac:dyDescent="0.25">
      <c r="A1648" s="2" t="s">
        <v>5385</v>
      </c>
      <c r="B1648" s="8" t="s">
        <v>16180</v>
      </c>
      <c r="C1648" s="2" t="s">
        <v>5385</v>
      </c>
      <c r="D1648" s="2" t="s">
        <v>5386</v>
      </c>
      <c r="E1648" s="4" t="s">
        <v>24863</v>
      </c>
    </row>
    <row r="1649" spans="1:20" x14ac:dyDescent="0.25">
      <c r="A1649" s="2" t="s">
        <v>5387</v>
      </c>
      <c r="B1649" s="8" t="s">
        <v>16180</v>
      </c>
      <c r="C1649" s="2" t="s">
        <v>5387</v>
      </c>
      <c r="D1649" s="2" t="s">
        <v>5388</v>
      </c>
      <c r="E1649" s="4" t="s">
        <v>24864</v>
      </c>
    </row>
    <row r="1650" spans="1:20" x14ac:dyDescent="0.25">
      <c r="A1650" s="2" t="s">
        <v>5389</v>
      </c>
      <c r="B1650" s="8" t="s">
        <v>16180</v>
      </c>
      <c r="C1650" s="2" t="s">
        <v>5389</v>
      </c>
      <c r="D1650" s="2" t="s">
        <v>5390</v>
      </c>
      <c r="E1650" s="4" t="s">
        <v>24865</v>
      </c>
    </row>
    <row r="1651" spans="1:20" x14ac:dyDescent="0.25">
      <c r="A1651" s="2" t="s">
        <v>5391</v>
      </c>
      <c r="B1651" s="8" t="s">
        <v>16180</v>
      </c>
      <c r="C1651" s="2" t="s">
        <v>5391</v>
      </c>
      <c r="D1651" s="2" t="s">
        <v>5392</v>
      </c>
      <c r="E1651" s="4" t="s">
        <v>24866</v>
      </c>
    </row>
    <row r="1652" spans="1:20" x14ac:dyDescent="0.25">
      <c r="A1652" s="2" t="s">
        <v>5393</v>
      </c>
      <c r="B1652" s="8" t="s">
        <v>16180</v>
      </c>
      <c r="C1652" s="2" t="s">
        <v>5393</v>
      </c>
      <c r="D1652" s="2" t="s">
        <v>5394</v>
      </c>
      <c r="E1652" s="4" t="s">
        <v>24867</v>
      </c>
    </row>
    <row r="1653" spans="1:20" x14ac:dyDescent="0.25">
      <c r="A1653" s="2" t="s">
        <v>5395</v>
      </c>
      <c r="B1653" s="8" t="s">
        <v>16180</v>
      </c>
      <c r="C1653" s="2" t="s">
        <v>5395</v>
      </c>
      <c r="D1653" s="2" t="s">
        <v>5396</v>
      </c>
      <c r="E1653" s="4" t="s">
        <v>24868</v>
      </c>
    </row>
    <row r="1654" spans="1:20" x14ac:dyDescent="0.25">
      <c r="A1654" s="2" t="s">
        <v>5397</v>
      </c>
      <c r="B1654" s="8" t="s">
        <v>16180</v>
      </c>
      <c r="C1654" s="2" t="s">
        <v>5397</v>
      </c>
      <c r="D1654" s="2" t="s">
        <v>5398</v>
      </c>
      <c r="E1654" s="4" t="s">
        <v>24869</v>
      </c>
    </row>
    <row r="1655" spans="1:20" x14ac:dyDescent="0.25">
      <c r="A1655" s="2" t="s">
        <v>5399</v>
      </c>
      <c r="B1655" s="8" t="s">
        <v>16180</v>
      </c>
      <c r="C1655" s="2" t="s">
        <v>5399</v>
      </c>
      <c r="D1655" s="2" t="s">
        <v>5400</v>
      </c>
      <c r="E1655" s="4" t="s">
        <v>24870</v>
      </c>
    </row>
    <row r="1656" spans="1:20" x14ac:dyDescent="0.25">
      <c r="A1656" s="2" t="s">
        <v>5401</v>
      </c>
      <c r="B1656" s="8" t="s">
        <v>16180</v>
      </c>
      <c r="C1656" s="2" t="s">
        <v>5401</v>
      </c>
      <c r="D1656" s="2" t="s">
        <v>5402</v>
      </c>
      <c r="E1656" s="4" t="s">
        <v>24871</v>
      </c>
    </row>
    <row r="1657" spans="1:20" x14ac:dyDescent="0.25">
      <c r="A1657" s="2" t="s">
        <v>5403</v>
      </c>
      <c r="B1657" s="8" t="s">
        <v>16180</v>
      </c>
      <c r="C1657" s="2" t="s">
        <v>5403</v>
      </c>
      <c r="D1657" s="2" t="s">
        <v>5404</v>
      </c>
      <c r="E1657" s="4" t="s">
        <v>24872</v>
      </c>
    </row>
    <row r="1658" spans="1:20" x14ac:dyDescent="0.25">
      <c r="A1658" s="2" t="s">
        <v>5405</v>
      </c>
      <c r="B1658" s="8" t="s">
        <v>16180</v>
      </c>
      <c r="C1658" s="2" t="s">
        <v>5405</v>
      </c>
      <c r="D1658" s="2" t="s">
        <v>5406</v>
      </c>
      <c r="E1658" s="4" t="s">
        <v>24873</v>
      </c>
    </row>
    <row r="1659" spans="1:20" x14ac:dyDescent="0.25">
      <c r="A1659" s="2" t="s">
        <v>5407</v>
      </c>
      <c r="B1659" s="8" t="s">
        <v>16180</v>
      </c>
      <c r="C1659" s="2" t="s">
        <v>5407</v>
      </c>
      <c r="D1659" s="2" t="s">
        <v>5408</v>
      </c>
      <c r="E1659" s="4" t="s">
        <v>24874</v>
      </c>
    </row>
    <row r="1660" spans="1:20" x14ac:dyDescent="0.25">
      <c r="A1660" s="2" t="s">
        <v>5409</v>
      </c>
      <c r="B1660" s="8" t="s">
        <v>16180</v>
      </c>
      <c r="C1660" s="2" t="s">
        <v>5409</v>
      </c>
      <c r="D1660" s="2" t="s">
        <v>5410</v>
      </c>
      <c r="E1660" s="4" t="s">
        <v>24875</v>
      </c>
    </row>
    <row r="1661" spans="1:20" x14ac:dyDescent="0.25">
      <c r="A1661" s="2" t="s">
        <v>5411</v>
      </c>
      <c r="B1661" s="8" t="s">
        <v>16180</v>
      </c>
      <c r="C1661" s="2" t="s">
        <v>5411</v>
      </c>
      <c r="D1661" s="2" t="s">
        <v>5412</v>
      </c>
      <c r="E1661" s="4" t="s">
        <v>24876</v>
      </c>
    </row>
    <row r="1662" spans="1:20" x14ac:dyDescent="0.25">
      <c r="A1662" s="2" t="s">
        <v>5413</v>
      </c>
      <c r="B1662" s="8" t="s">
        <v>16884</v>
      </c>
      <c r="C1662" s="2" t="s">
        <v>5413</v>
      </c>
      <c r="D1662" s="2" t="s">
        <v>5414</v>
      </c>
      <c r="E1662" s="4" t="s">
        <v>24877</v>
      </c>
      <c r="N1662" s="15" t="s">
        <v>21788</v>
      </c>
      <c r="O1662" s="15" t="s">
        <v>24878</v>
      </c>
      <c r="P1662" s="15" t="s">
        <v>24879</v>
      </c>
      <c r="Q1662" s="15" t="s">
        <v>24880</v>
      </c>
      <c r="R1662" s="15" t="s">
        <v>24881</v>
      </c>
      <c r="S1662" s="15">
        <v>18221847</v>
      </c>
      <c r="T1662" s="15" t="s">
        <v>19089</v>
      </c>
    </row>
    <row r="1663" spans="1:20" x14ac:dyDescent="0.25">
      <c r="A1663" s="2" t="s">
        <v>5416</v>
      </c>
      <c r="B1663" s="8" t="s">
        <v>16886</v>
      </c>
      <c r="C1663" s="2" t="s">
        <v>5416</v>
      </c>
      <c r="D1663" s="2" t="s">
        <v>5417</v>
      </c>
      <c r="E1663" s="4" t="s">
        <v>5417</v>
      </c>
      <c r="G1663" s="15" t="s">
        <v>24882</v>
      </c>
      <c r="H1663" s="15" t="s">
        <v>24883</v>
      </c>
      <c r="I1663" s="15" t="s">
        <v>24884</v>
      </c>
      <c r="J1663" s="15" t="s">
        <v>378</v>
      </c>
      <c r="K1663" s="15">
        <v>5462099</v>
      </c>
      <c r="L1663" s="15" t="s">
        <v>19099</v>
      </c>
    </row>
    <row r="1664" spans="1:20" x14ac:dyDescent="0.25">
      <c r="A1664" s="2" t="s">
        <v>5419</v>
      </c>
      <c r="B1664" s="8" t="s">
        <v>16887</v>
      </c>
      <c r="C1664" s="2" t="s">
        <v>5419</v>
      </c>
      <c r="D1664" s="2" t="s">
        <v>5420</v>
      </c>
      <c r="E1664" s="4" t="s">
        <v>24885</v>
      </c>
    </row>
    <row r="1665" spans="1:12" x14ac:dyDescent="0.25">
      <c r="A1665" s="2" t="s">
        <v>5422</v>
      </c>
      <c r="B1665" s="8" t="s">
        <v>16888</v>
      </c>
      <c r="C1665" s="2" t="s">
        <v>5422</v>
      </c>
      <c r="D1665" s="2" t="s">
        <v>5423</v>
      </c>
      <c r="E1665" s="4" t="s">
        <v>24886</v>
      </c>
      <c r="G1665" s="15" t="s">
        <v>24887</v>
      </c>
      <c r="H1665" s="15" t="s">
        <v>24888</v>
      </c>
      <c r="I1665" s="15" t="s">
        <v>24889</v>
      </c>
      <c r="J1665" s="15" t="s">
        <v>22134</v>
      </c>
      <c r="K1665" s="15">
        <v>9131</v>
      </c>
      <c r="L1665" s="15" t="s">
        <v>19099</v>
      </c>
    </row>
    <row r="1666" spans="1:12" x14ac:dyDescent="0.25">
      <c r="A1666" s="2" t="s">
        <v>5425</v>
      </c>
      <c r="B1666" s="8" t="s">
        <v>16889</v>
      </c>
      <c r="C1666" s="2" t="s">
        <v>5425</v>
      </c>
      <c r="D1666" s="2" t="s">
        <v>5426</v>
      </c>
      <c r="E1666" s="4" t="s">
        <v>24890</v>
      </c>
      <c r="G1666" s="15" t="s">
        <v>24891</v>
      </c>
      <c r="H1666" s="15" t="s">
        <v>24892</v>
      </c>
      <c r="I1666" s="15" t="s">
        <v>24893</v>
      </c>
      <c r="J1666" s="15" t="s">
        <v>24894</v>
      </c>
      <c r="K1666" s="15">
        <v>62097</v>
      </c>
      <c r="L1666" s="15" t="s">
        <v>19099</v>
      </c>
    </row>
    <row r="1667" spans="1:12" x14ac:dyDescent="0.25">
      <c r="A1667" s="2" t="s">
        <v>5428</v>
      </c>
      <c r="B1667" s="8" t="s">
        <v>16891</v>
      </c>
      <c r="C1667" s="2" t="s">
        <v>5428</v>
      </c>
      <c r="D1667" s="2" t="s">
        <v>5429</v>
      </c>
      <c r="E1667" s="4" t="s">
        <v>5429</v>
      </c>
      <c r="G1667" s="15" t="s">
        <v>24895</v>
      </c>
      <c r="H1667" s="15" t="s">
        <v>24896</v>
      </c>
      <c r="I1667" s="15" t="s">
        <v>24897</v>
      </c>
      <c r="J1667" s="15" t="s">
        <v>490</v>
      </c>
      <c r="K1667" s="15">
        <v>167220</v>
      </c>
      <c r="L1667" s="15" t="s">
        <v>19099</v>
      </c>
    </row>
    <row r="1668" spans="1:12" x14ac:dyDescent="0.25">
      <c r="A1668" s="2" t="s">
        <v>5431</v>
      </c>
      <c r="B1668" s="8" t="s">
        <v>16892</v>
      </c>
      <c r="C1668" s="2" t="s">
        <v>5431</v>
      </c>
      <c r="D1668" s="2" t="s">
        <v>5432</v>
      </c>
      <c r="E1668" s="4" t="s">
        <v>5432</v>
      </c>
      <c r="G1668" s="15" t="s">
        <v>24898</v>
      </c>
      <c r="H1668" s="15" t="s">
        <v>24899</v>
      </c>
      <c r="I1668" s="15" t="s">
        <v>24900</v>
      </c>
      <c r="J1668" s="15" t="s">
        <v>490</v>
      </c>
      <c r="K1668" s="15">
        <v>66373</v>
      </c>
      <c r="L1668" s="15" t="s">
        <v>19099</v>
      </c>
    </row>
    <row r="1669" spans="1:12" x14ac:dyDescent="0.25">
      <c r="A1669" s="2" t="s">
        <v>5434</v>
      </c>
      <c r="B1669" s="8" t="s">
        <v>16893</v>
      </c>
      <c r="C1669" s="2" t="s">
        <v>5434</v>
      </c>
      <c r="D1669" s="2" t="s">
        <v>5435</v>
      </c>
      <c r="E1669" s="4" t="s">
        <v>5435</v>
      </c>
      <c r="G1669" s="15" t="s">
        <v>24901</v>
      </c>
      <c r="H1669" s="15" t="s">
        <v>24902</v>
      </c>
      <c r="I1669" s="15" t="s">
        <v>24903</v>
      </c>
      <c r="J1669" s="15" t="s">
        <v>24904</v>
      </c>
      <c r="K1669" s="15">
        <v>11027582</v>
      </c>
      <c r="L1669" s="15" t="s">
        <v>19099</v>
      </c>
    </row>
    <row r="1670" spans="1:12" x14ac:dyDescent="0.25">
      <c r="A1670" s="2" t="s">
        <v>5437</v>
      </c>
      <c r="B1670" s="8" t="s">
        <v>16894</v>
      </c>
      <c r="C1670" s="2" t="s">
        <v>5437</v>
      </c>
      <c r="D1670" s="2" t="s">
        <v>5438</v>
      </c>
      <c r="E1670" s="4" t="s">
        <v>15369</v>
      </c>
      <c r="G1670" s="15" t="s">
        <v>24901</v>
      </c>
      <c r="H1670" s="15" t="s">
        <v>24902</v>
      </c>
      <c r="I1670" s="15" t="s">
        <v>24903</v>
      </c>
      <c r="J1670" s="15" t="s">
        <v>24904</v>
      </c>
      <c r="K1670" s="15">
        <v>11027582</v>
      </c>
      <c r="L1670" s="15" t="s">
        <v>19099</v>
      </c>
    </row>
    <row r="1671" spans="1:12" x14ac:dyDescent="0.25">
      <c r="A1671" s="2" t="s">
        <v>5440</v>
      </c>
      <c r="B1671" s="8" t="s">
        <v>16895</v>
      </c>
      <c r="C1671" s="2" t="s">
        <v>5440</v>
      </c>
      <c r="D1671" s="2" t="s">
        <v>5441</v>
      </c>
      <c r="E1671" s="4" t="s">
        <v>24905</v>
      </c>
      <c r="G1671" s="15" t="s">
        <v>24906</v>
      </c>
      <c r="H1671" s="15" t="s">
        <v>24907</v>
      </c>
      <c r="I1671" s="15" t="s">
        <v>24908</v>
      </c>
      <c r="J1671" s="15" t="s">
        <v>24909</v>
      </c>
      <c r="K1671" s="15">
        <v>16760189</v>
      </c>
      <c r="L1671" s="15" t="s">
        <v>19099</v>
      </c>
    </row>
    <row r="1672" spans="1:12" x14ac:dyDescent="0.25">
      <c r="A1672" s="2" t="s">
        <v>5443</v>
      </c>
      <c r="B1672" s="8" t="s">
        <v>16897</v>
      </c>
      <c r="C1672" s="2" t="s">
        <v>5443</v>
      </c>
      <c r="D1672" s="2" t="s">
        <v>5444</v>
      </c>
      <c r="E1672" s="4" t="s">
        <v>24910</v>
      </c>
      <c r="G1672" s="15" t="s">
        <v>24911</v>
      </c>
      <c r="H1672" s="15" t="s">
        <v>24912</v>
      </c>
      <c r="I1672" s="15" t="s">
        <v>24913</v>
      </c>
      <c r="J1672" s="15" t="s">
        <v>258</v>
      </c>
      <c r="K1672" s="15">
        <v>6328542</v>
      </c>
      <c r="L1672" s="15" t="s">
        <v>19099</v>
      </c>
    </row>
    <row r="1673" spans="1:12" x14ac:dyDescent="0.25">
      <c r="A1673" s="2" t="s">
        <v>5446</v>
      </c>
      <c r="B1673" s="8" t="s">
        <v>16898</v>
      </c>
      <c r="C1673" s="2" t="s">
        <v>5446</v>
      </c>
      <c r="D1673" s="2" t="s">
        <v>5447</v>
      </c>
      <c r="E1673" s="4" t="s">
        <v>24914</v>
      </c>
      <c r="G1673" s="15" t="s">
        <v>24915</v>
      </c>
      <c r="H1673" s="15" t="s">
        <v>24916</v>
      </c>
      <c r="I1673" s="15" t="s">
        <v>24917</v>
      </c>
      <c r="J1673" s="15" t="s">
        <v>24918</v>
      </c>
      <c r="K1673" s="15">
        <v>23673461</v>
      </c>
      <c r="L1673" s="15" t="s">
        <v>19099</v>
      </c>
    </row>
    <row r="1674" spans="1:12" x14ac:dyDescent="0.25">
      <c r="A1674" s="2" t="s">
        <v>5449</v>
      </c>
      <c r="B1674" s="8" t="s">
        <v>16899</v>
      </c>
      <c r="C1674" s="2" t="s">
        <v>5449</v>
      </c>
      <c r="D1674" s="2" t="s">
        <v>5450</v>
      </c>
      <c r="E1674" s="4" t="s">
        <v>24919</v>
      </c>
      <c r="G1674" s="15" t="s">
        <v>24920</v>
      </c>
      <c r="H1674" s="15" t="s">
        <v>24921</v>
      </c>
      <c r="I1674" s="15" t="s">
        <v>24922</v>
      </c>
      <c r="J1674" s="15" t="s">
        <v>24923</v>
      </c>
      <c r="K1674" s="15">
        <v>4873</v>
      </c>
      <c r="L1674" s="15" t="s">
        <v>19099</v>
      </c>
    </row>
    <row r="1675" spans="1:12" x14ac:dyDescent="0.25">
      <c r="A1675" s="2" t="s">
        <v>5452</v>
      </c>
      <c r="B1675" s="8" t="s">
        <v>16900</v>
      </c>
      <c r="C1675" s="2" t="s">
        <v>5452</v>
      </c>
      <c r="D1675" s="2" t="s">
        <v>5453</v>
      </c>
      <c r="E1675" s="4" t="s">
        <v>24924</v>
      </c>
      <c r="G1675" s="15" t="s">
        <v>24925</v>
      </c>
      <c r="H1675" s="15" t="s">
        <v>24926</v>
      </c>
      <c r="I1675" s="15" t="s">
        <v>24927</v>
      </c>
      <c r="J1675" s="15" t="s">
        <v>24928</v>
      </c>
      <c r="K1675" s="15">
        <v>23662387</v>
      </c>
      <c r="L1675" s="15" t="s">
        <v>19099</v>
      </c>
    </row>
    <row r="1676" spans="1:12" x14ac:dyDescent="0.25">
      <c r="A1676" s="2" t="s">
        <v>5455</v>
      </c>
      <c r="B1676" s="8" t="s">
        <v>16180</v>
      </c>
      <c r="C1676" s="2" t="s">
        <v>5455</v>
      </c>
      <c r="D1676" s="2" t="s">
        <v>5456</v>
      </c>
      <c r="E1676" s="4" t="s">
        <v>24929</v>
      </c>
    </row>
    <row r="1677" spans="1:12" x14ac:dyDescent="0.25">
      <c r="A1677" s="2" t="s">
        <v>5457</v>
      </c>
      <c r="B1677" s="8" t="s">
        <v>16180</v>
      </c>
      <c r="C1677" s="2" t="s">
        <v>5457</v>
      </c>
      <c r="D1677" s="2" t="s">
        <v>5458</v>
      </c>
      <c r="E1677" s="4" t="s">
        <v>24930</v>
      </c>
    </row>
    <row r="1678" spans="1:12" x14ac:dyDescent="0.25">
      <c r="A1678" s="2" t="s">
        <v>5459</v>
      </c>
      <c r="B1678" s="8" t="s">
        <v>16180</v>
      </c>
      <c r="C1678" s="2" t="s">
        <v>5459</v>
      </c>
      <c r="D1678" s="2" t="s">
        <v>5460</v>
      </c>
      <c r="E1678" s="4" t="s">
        <v>24931</v>
      </c>
    </row>
    <row r="1679" spans="1:12" x14ac:dyDescent="0.25">
      <c r="A1679" s="2" t="s">
        <v>5461</v>
      </c>
      <c r="B1679" s="8" t="s">
        <v>16180</v>
      </c>
      <c r="C1679" s="2" t="s">
        <v>5461</v>
      </c>
      <c r="D1679" s="2" t="s">
        <v>5462</v>
      </c>
      <c r="E1679" s="4" t="s">
        <v>24932</v>
      </c>
    </row>
    <row r="1680" spans="1:12" x14ac:dyDescent="0.25">
      <c r="A1680" s="2" t="s">
        <v>5463</v>
      </c>
      <c r="B1680" s="8" t="s">
        <v>16180</v>
      </c>
      <c r="C1680" s="2" t="s">
        <v>5463</v>
      </c>
      <c r="D1680" s="2" t="s">
        <v>5464</v>
      </c>
      <c r="E1680" s="4" t="s">
        <v>24933</v>
      </c>
    </row>
    <row r="1681" spans="1:12" x14ac:dyDescent="0.25">
      <c r="A1681" s="2" t="s">
        <v>5465</v>
      </c>
      <c r="B1681" s="8" t="s">
        <v>16180</v>
      </c>
      <c r="C1681" s="2" t="s">
        <v>5465</v>
      </c>
      <c r="D1681" s="2" t="s">
        <v>5466</v>
      </c>
      <c r="E1681" s="4" t="s">
        <v>24934</v>
      </c>
    </row>
    <row r="1682" spans="1:12" x14ac:dyDescent="0.25">
      <c r="A1682" s="2" t="s">
        <v>5467</v>
      </c>
      <c r="B1682" s="8" t="s">
        <v>16902</v>
      </c>
      <c r="C1682" s="2" t="s">
        <v>5467</v>
      </c>
      <c r="D1682" s="2" t="s">
        <v>5468</v>
      </c>
      <c r="E1682" s="4" t="s">
        <v>24935</v>
      </c>
      <c r="G1682" s="15" t="s">
        <v>24936</v>
      </c>
      <c r="H1682" s="15" t="s">
        <v>24937</v>
      </c>
      <c r="I1682" s="15" t="s">
        <v>24938</v>
      </c>
      <c r="J1682" s="15" t="s">
        <v>24939</v>
      </c>
      <c r="K1682" s="15">
        <v>23690432</v>
      </c>
      <c r="L1682" s="15" t="s">
        <v>19099</v>
      </c>
    </row>
    <row r="1683" spans="1:12" x14ac:dyDescent="0.25">
      <c r="A1683" s="2" t="s">
        <v>5470</v>
      </c>
      <c r="B1683" s="8" t="s">
        <v>16903</v>
      </c>
      <c r="C1683" s="2" t="s">
        <v>5470</v>
      </c>
      <c r="D1683" s="2" t="s">
        <v>5471</v>
      </c>
      <c r="E1683" s="4" t="s">
        <v>24940</v>
      </c>
      <c r="G1683" s="15" t="s">
        <v>24941</v>
      </c>
      <c r="H1683" s="15" t="s">
        <v>24942</v>
      </c>
      <c r="I1683" s="15" t="s">
        <v>24943</v>
      </c>
      <c r="J1683" s="15" t="s">
        <v>24944</v>
      </c>
      <c r="K1683" s="15">
        <v>14797</v>
      </c>
      <c r="L1683" s="15" t="s">
        <v>19099</v>
      </c>
    </row>
    <row r="1684" spans="1:12" x14ac:dyDescent="0.25">
      <c r="A1684" s="2" t="s">
        <v>5473</v>
      </c>
      <c r="B1684" s="8" t="s">
        <v>16180</v>
      </c>
      <c r="C1684" s="2" t="s">
        <v>5473</v>
      </c>
      <c r="D1684" s="2" t="s">
        <v>5474</v>
      </c>
      <c r="E1684" s="4" t="s">
        <v>24945</v>
      </c>
    </row>
    <row r="1685" spans="1:12" x14ac:dyDescent="0.25">
      <c r="A1685" s="2" t="s">
        <v>5475</v>
      </c>
      <c r="B1685" s="8" t="s">
        <v>16180</v>
      </c>
      <c r="C1685" s="2" t="s">
        <v>5475</v>
      </c>
      <c r="D1685" s="2" t="s">
        <v>5476</v>
      </c>
      <c r="E1685" s="4" t="s">
        <v>24946</v>
      </c>
    </row>
    <row r="1686" spans="1:12" x14ac:dyDescent="0.25">
      <c r="A1686" s="2" t="s">
        <v>5477</v>
      </c>
      <c r="B1686" s="8" t="s">
        <v>16180</v>
      </c>
      <c r="C1686" s="2" t="s">
        <v>5477</v>
      </c>
      <c r="D1686" s="2" t="s">
        <v>5478</v>
      </c>
      <c r="E1686" s="4" t="s">
        <v>24947</v>
      </c>
    </row>
    <row r="1687" spans="1:12" x14ac:dyDescent="0.25">
      <c r="A1687" s="2" t="s">
        <v>5479</v>
      </c>
      <c r="B1687" s="8" t="s">
        <v>16180</v>
      </c>
      <c r="C1687" s="2" t="s">
        <v>5479</v>
      </c>
      <c r="D1687" s="2" t="s">
        <v>5480</v>
      </c>
      <c r="E1687" s="4" t="s">
        <v>24948</v>
      </c>
    </row>
    <row r="1688" spans="1:12" x14ac:dyDescent="0.25">
      <c r="A1688" s="2" t="s">
        <v>5481</v>
      </c>
      <c r="B1688" s="8" t="s">
        <v>16180</v>
      </c>
      <c r="C1688" s="2" t="s">
        <v>5481</v>
      </c>
      <c r="D1688" s="2" t="s">
        <v>5482</v>
      </c>
      <c r="E1688" s="4" t="s">
        <v>24949</v>
      </c>
    </row>
    <row r="1689" spans="1:12" x14ac:dyDescent="0.25">
      <c r="A1689" s="2" t="s">
        <v>5483</v>
      </c>
      <c r="B1689" s="8" t="s">
        <v>16180</v>
      </c>
      <c r="C1689" s="2" t="s">
        <v>5483</v>
      </c>
      <c r="D1689" s="2" t="s">
        <v>5484</v>
      </c>
      <c r="E1689" s="4" t="s">
        <v>24950</v>
      </c>
    </row>
    <row r="1690" spans="1:12" x14ac:dyDescent="0.25">
      <c r="A1690" s="2" t="s">
        <v>5485</v>
      </c>
      <c r="B1690" s="8" t="s">
        <v>16180</v>
      </c>
      <c r="C1690" s="2" t="s">
        <v>5485</v>
      </c>
      <c r="D1690" s="2" t="s">
        <v>5486</v>
      </c>
      <c r="E1690" s="4" t="s">
        <v>24951</v>
      </c>
    </row>
    <row r="1691" spans="1:12" x14ac:dyDescent="0.25">
      <c r="A1691" s="2" t="s">
        <v>5487</v>
      </c>
      <c r="B1691" s="8" t="s">
        <v>16180</v>
      </c>
      <c r="C1691" s="2" t="s">
        <v>5487</v>
      </c>
      <c r="D1691" s="2" t="s">
        <v>5488</v>
      </c>
      <c r="E1691" s="4" t="s">
        <v>24952</v>
      </c>
    </row>
    <row r="1692" spans="1:12" x14ac:dyDescent="0.25">
      <c r="A1692" s="2" t="s">
        <v>5489</v>
      </c>
      <c r="B1692" s="8" t="s">
        <v>16180</v>
      </c>
      <c r="C1692" s="2" t="s">
        <v>5489</v>
      </c>
      <c r="D1692" s="2" t="s">
        <v>5490</v>
      </c>
      <c r="E1692" s="4" t="s">
        <v>24953</v>
      </c>
    </row>
    <row r="1693" spans="1:12" x14ac:dyDescent="0.25">
      <c r="A1693" s="2" t="s">
        <v>5491</v>
      </c>
      <c r="B1693" s="8" t="s">
        <v>16180</v>
      </c>
      <c r="C1693" s="2" t="s">
        <v>5491</v>
      </c>
      <c r="D1693" s="2" t="s">
        <v>5492</v>
      </c>
      <c r="E1693" s="4" t="s">
        <v>24954</v>
      </c>
    </row>
    <row r="1694" spans="1:12" x14ac:dyDescent="0.25">
      <c r="A1694" s="2" t="s">
        <v>5493</v>
      </c>
      <c r="B1694" s="8" t="s">
        <v>16180</v>
      </c>
      <c r="C1694" s="2" t="s">
        <v>5493</v>
      </c>
      <c r="D1694" s="2" t="s">
        <v>5494</v>
      </c>
      <c r="E1694" s="4" t="s">
        <v>24955</v>
      </c>
    </row>
    <row r="1695" spans="1:12" x14ac:dyDescent="0.25">
      <c r="A1695" s="2" t="s">
        <v>5495</v>
      </c>
      <c r="B1695" s="8" t="s">
        <v>16180</v>
      </c>
      <c r="C1695" s="2" t="s">
        <v>5495</v>
      </c>
      <c r="D1695" s="2" t="s">
        <v>5496</v>
      </c>
      <c r="E1695" s="4" t="s">
        <v>24956</v>
      </c>
    </row>
    <row r="1696" spans="1:12" x14ac:dyDescent="0.25">
      <c r="A1696" s="2" t="s">
        <v>5497</v>
      </c>
      <c r="B1696" s="8" t="s">
        <v>16180</v>
      </c>
      <c r="C1696" s="2" t="s">
        <v>5497</v>
      </c>
      <c r="D1696" s="2" t="s">
        <v>5498</v>
      </c>
      <c r="E1696" s="4" t="s">
        <v>24957</v>
      </c>
    </row>
    <row r="1697" spans="1:12" x14ac:dyDescent="0.25">
      <c r="A1697" s="2" t="s">
        <v>5499</v>
      </c>
      <c r="B1697" s="8" t="s">
        <v>16180</v>
      </c>
      <c r="C1697" s="2" t="s">
        <v>5499</v>
      </c>
      <c r="D1697" s="2" t="s">
        <v>5500</v>
      </c>
      <c r="E1697" s="4" t="s">
        <v>24958</v>
      </c>
    </row>
    <row r="1698" spans="1:12" x14ac:dyDescent="0.25">
      <c r="A1698" s="2" t="s">
        <v>5501</v>
      </c>
      <c r="B1698" s="8" t="s">
        <v>16180</v>
      </c>
      <c r="C1698" s="2" t="s">
        <v>5501</v>
      </c>
      <c r="D1698" s="2" t="s">
        <v>5502</v>
      </c>
      <c r="E1698" s="4" t="s">
        <v>24959</v>
      </c>
    </row>
    <row r="1699" spans="1:12" x14ac:dyDescent="0.25">
      <c r="A1699" s="2" t="s">
        <v>5503</v>
      </c>
      <c r="B1699" s="8" t="s">
        <v>16180</v>
      </c>
      <c r="C1699" s="2" t="s">
        <v>5503</v>
      </c>
      <c r="D1699" s="2" t="s">
        <v>5504</v>
      </c>
      <c r="E1699" s="4" t="s">
        <v>24960</v>
      </c>
    </row>
    <row r="1700" spans="1:12" x14ac:dyDescent="0.25">
      <c r="A1700" s="2" t="s">
        <v>5505</v>
      </c>
      <c r="B1700" s="8" t="s">
        <v>16180</v>
      </c>
      <c r="C1700" s="2" t="s">
        <v>5505</v>
      </c>
      <c r="D1700" s="2" t="s">
        <v>5506</v>
      </c>
      <c r="E1700" s="4" t="s">
        <v>24961</v>
      </c>
    </row>
    <row r="1701" spans="1:12" x14ac:dyDescent="0.25">
      <c r="A1701" s="2" t="s">
        <v>5507</v>
      </c>
      <c r="B1701" s="8" t="s">
        <v>16180</v>
      </c>
      <c r="C1701" s="2" t="s">
        <v>5507</v>
      </c>
      <c r="D1701" s="2" t="s">
        <v>5508</v>
      </c>
      <c r="E1701" s="4" t="s">
        <v>24962</v>
      </c>
    </row>
    <row r="1702" spans="1:12" x14ac:dyDescent="0.25">
      <c r="A1702" s="2" t="s">
        <v>5509</v>
      </c>
      <c r="B1702" s="8" t="s">
        <v>16904</v>
      </c>
      <c r="C1702" s="2" t="s">
        <v>5509</v>
      </c>
      <c r="D1702" s="2" t="s">
        <v>5510</v>
      </c>
      <c r="E1702" s="4" t="s">
        <v>24963</v>
      </c>
      <c r="G1702" s="15" t="s">
        <v>24964</v>
      </c>
      <c r="H1702" s="15" t="s">
        <v>24965</v>
      </c>
      <c r="I1702" s="15" t="s">
        <v>24966</v>
      </c>
      <c r="J1702" s="15" t="s">
        <v>24967</v>
      </c>
      <c r="K1702" s="15">
        <v>23665571</v>
      </c>
      <c r="L1702" s="15" t="s">
        <v>19099</v>
      </c>
    </row>
    <row r="1703" spans="1:12" x14ac:dyDescent="0.25">
      <c r="A1703" s="2" t="s">
        <v>5512</v>
      </c>
      <c r="B1703" s="8" t="s">
        <v>16180</v>
      </c>
      <c r="C1703" s="2" t="s">
        <v>5512</v>
      </c>
      <c r="D1703" s="2" t="s">
        <v>5513</v>
      </c>
      <c r="E1703" s="4" t="s">
        <v>24968</v>
      </c>
    </row>
    <row r="1704" spans="1:12" x14ac:dyDescent="0.25">
      <c r="A1704" s="2" t="s">
        <v>5514</v>
      </c>
      <c r="B1704" s="8" t="s">
        <v>16180</v>
      </c>
      <c r="C1704" s="2" t="s">
        <v>5514</v>
      </c>
      <c r="D1704" s="2" t="s">
        <v>5515</v>
      </c>
      <c r="E1704" s="4" t="s">
        <v>24969</v>
      </c>
    </row>
    <row r="1705" spans="1:12" x14ac:dyDescent="0.25">
      <c r="A1705" s="2" t="s">
        <v>5516</v>
      </c>
      <c r="B1705" s="8" t="s">
        <v>16180</v>
      </c>
      <c r="C1705" s="2" t="s">
        <v>5516</v>
      </c>
      <c r="D1705" s="2" t="s">
        <v>5517</v>
      </c>
      <c r="E1705" s="4" t="s">
        <v>24970</v>
      </c>
    </row>
    <row r="1706" spans="1:12" x14ac:dyDescent="0.25">
      <c r="A1706" s="2" t="s">
        <v>5518</v>
      </c>
      <c r="B1706" s="8" t="s">
        <v>16180</v>
      </c>
      <c r="C1706" s="2" t="s">
        <v>5518</v>
      </c>
      <c r="D1706" s="2" t="s">
        <v>5519</v>
      </c>
      <c r="E1706" s="4" t="s">
        <v>24971</v>
      </c>
    </row>
    <row r="1707" spans="1:12" x14ac:dyDescent="0.25">
      <c r="A1707" s="2" t="s">
        <v>5520</v>
      </c>
      <c r="B1707" s="8" t="s">
        <v>16180</v>
      </c>
      <c r="C1707" s="2" t="s">
        <v>5520</v>
      </c>
      <c r="D1707" s="2" t="s">
        <v>5521</v>
      </c>
      <c r="E1707" s="4" t="s">
        <v>24972</v>
      </c>
      <c r="G1707" s="15" t="s">
        <v>24973</v>
      </c>
      <c r="H1707" s="15" t="s">
        <v>24974</v>
      </c>
      <c r="I1707" s="15" t="s">
        <v>24975</v>
      </c>
      <c r="J1707" s="15" t="s">
        <v>20928</v>
      </c>
      <c r="K1707" s="15">
        <v>7838</v>
      </c>
      <c r="L1707" s="15" t="s">
        <v>19995</v>
      </c>
    </row>
    <row r="1708" spans="1:12" x14ac:dyDescent="0.25">
      <c r="A1708" s="2" t="s">
        <v>5522</v>
      </c>
      <c r="B1708" s="8" t="s">
        <v>16180</v>
      </c>
      <c r="C1708" s="2" t="s">
        <v>5522</v>
      </c>
      <c r="D1708" s="2" t="s">
        <v>5523</v>
      </c>
      <c r="E1708" s="4" t="s">
        <v>5523</v>
      </c>
    </row>
    <row r="1709" spans="1:12" x14ac:dyDescent="0.25">
      <c r="A1709" s="2" t="s">
        <v>5524</v>
      </c>
      <c r="B1709" s="8" t="s">
        <v>16180</v>
      </c>
      <c r="C1709" s="2" t="s">
        <v>5524</v>
      </c>
      <c r="D1709" s="2" t="s">
        <v>5525</v>
      </c>
      <c r="E1709" s="4" t="s">
        <v>5525</v>
      </c>
    </row>
    <row r="1710" spans="1:12" x14ac:dyDescent="0.25">
      <c r="A1710" s="2" t="s">
        <v>5526</v>
      </c>
      <c r="B1710" s="8" t="s">
        <v>16180</v>
      </c>
      <c r="C1710" s="2" t="s">
        <v>5526</v>
      </c>
      <c r="D1710" s="2" t="s">
        <v>5527</v>
      </c>
      <c r="E1710" s="4" t="s">
        <v>5527</v>
      </c>
    </row>
    <row r="1711" spans="1:12" x14ac:dyDescent="0.25">
      <c r="A1711" s="2" t="s">
        <v>5528</v>
      </c>
      <c r="B1711" s="8" t="s">
        <v>16180</v>
      </c>
      <c r="C1711" s="2" t="s">
        <v>5528</v>
      </c>
      <c r="D1711" s="2" t="s">
        <v>5529</v>
      </c>
      <c r="E1711" s="4" t="s">
        <v>24976</v>
      </c>
    </row>
    <row r="1712" spans="1:12" x14ac:dyDescent="0.25">
      <c r="A1712" s="2" t="s">
        <v>5530</v>
      </c>
      <c r="B1712" s="8" t="s">
        <v>16180</v>
      </c>
      <c r="C1712" s="2" t="s">
        <v>5530</v>
      </c>
      <c r="D1712" s="2" t="s">
        <v>5531</v>
      </c>
      <c r="E1712" s="4" t="s">
        <v>24977</v>
      </c>
    </row>
    <row r="1713" spans="1:12" x14ac:dyDescent="0.25">
      <c r="A1713" s="2" t="s">
        <v>5532</v>
      </c>
      <c r="B1713" s="8" t="s">
        <v>16180</v>
      </c>
      <c r="C1713" s="2" t="s">
        <v>5532</v>
      </c>
      <c r="D1713" s="2" t="s">
        <v>5533</v>
      </c>
      <c r="E1713" s="4" t="s">
        <v>24978</v>
      </c>
    </row>
    <row r="1714" spans="1:12" x14ac:dyDescent="0.25">
      <c r="A1714" s="2" t="s">
        <v>5534</v>
      </c>
      <c r="B1714" s="8" t="s">
        <v>16180</v>
      </c>
      <c r="C1714" s="2" t="s">
        <v>5534</v>
      </c>
      <c r="D1714" s="2" t="s">
        <v>5535</v>
      </c>
      <c r="E1714" s="4" t="s">
        <v>24979</v>
      </c>
    </row>
    <row r="1715" spans="1:12" x14ac:dyDescent="0.25">
      <c r="A1715" s="2" t="s">
        <v>5536</v>
      </c>
      <c r="B1715" s="8" t="s">
        <v>16180</v>
      </c>
      <c r="C1715" s="2" t="s">
        <v>5536</v>
      </c>
      <c r="D1715" s="2" t="s">
        <v>5537</v>
      </c>
      <c r="E1715" s="4" t="s">
        <v>24980</v>
      </c>
    </row>
    <row r="1716" spans="1:12" x14ac:dyDescent="0.25">
      <c r="A1716" s="2" t="s">
        <v>5538</v>
      </c>
      <c r="B1716" s="8" t="s">
        <v>16180</v>
      </c>
      <c r="C1716" s="2" t="s">
        <v>5538</v>
      </c>
      <c r="D1716" s="2" t="s">
        <v>5539</v>
      </c>
      <c r="E1716" s="4" t="s">
        <v>24981</v>
      </c>
    </row>
    <row r="1717" spans="1:12" x14ac:dyDescent="0.25">
      <c r="A1717" s="2" t="s">
        <v>5540</v>
      </c>
      <c r="B1717" s="8" t="s">
        <v>16180</v>
      </c>
      <c r="C1717" s="2" t="s">
        <v>5540</v>
      </c>
      <c r="D1717" s="2" t="s">
        <v>5541</v>
      </c>
      <c r="E1717" s="4" t="s">
        <v>24982</v>
      </c>
    </row>
    <row r="1718" spans="1:12" x14ac:dyDescent="0.25">
      <c r="A1718" s="2" t="s">
        <v>5542</v>
      </c>
      <c r="B1718" s="8" t="s">
        <v>16180</v>
      </c>
      <c r="C1718" s="2" t="s">
        <v>5542</v>
      </c>
      <c r="D1718" s="2" t="s">
        <v>5543</v>
      </c>
      <c r="E1718" s="4" t="s">
        <v>24671</v>
      </c>
    </row>
    <row r="1719" spans="1:12" x14ac:dyDescent="0.25">
      <c r="A1719" s="2" t="s">
        <v>5544</v>
      </c>
      <c r="B1719" s="8" t="s">
        <v>16180</v>
      </c>
      <c r="C1719" s="2" t="s">
        <v>5544</v>
      </c>
      <c r="D1719" s="2" t="s">
        <v>5545</v>
      </c>
      <c r="E1719" s="4" t="s">
        <v>24983</v>
      </c>
    </row>
    <row r="1720" spans="1:12" x14ac:dyDescent="0.25">
      <c r="A1720" s="2" t="s">
        <v>5546</v>
      </c>
      <c r="B1720" s="8" t="s">
        <v>16180</v>
      </c>
      <c r="C1720" s="2" t="s">
        <v>5546</v>
      </c>
      <c r="D1720" s="2" t="s">
        <v>5547</v>
      </c>
      <c r="E1720" s="4" t="s">
        <v>24984</v>
      </c>
    </row>
    <row r="1721" spans="1:12" x14ac:dyDescent="0.25">
      <c r="A1721" s="2" t="s">
        <v>5548</v>
      </c>
      <c r="B1721" s="8" t="s">
        <v>16180</v>
      </c>
      <c r="C1721" s="2" t="s">
        <v>5548</v>
      </c>
      <c r="D1721" s="2" t="s">
        <v>5549</v>
      </c>
      <c r="E1721" s="4" t="s">
        <v>24985</v>
      </c>
    </row>
    <row r="1722" spans="1:12" x14ac:dyDescent="0.25">
      <c r="A1722" s="2" t="s">
        <v>5550</v>
      </c>
      <c r="B1722" s="8" t="s">
        <v>16180</v>
      </c>
      <c r="C1722" s="2" t="s">
        <v>5550</v>
      </c>
      <c r="D1722" s="2" t="s">
        <v>5551</v>
      </c>
      <c r="E1722" s="4" t="s">
        <v>24986</v>
      </c>
    </row>
    <row r="1723" spans="1:12" x14ac:dyDescent="0.25">
      <c r="A1723" s="2" t="s">
        <v>5552</v>
      </c>
      <c r="B1723" s="8" t="s">
        <v>16180</v>
      </c>
      <c r="C1723" s="2" t="s">
        <v>5552</v>
      </c>
      <c r="D1723" s="2" t="s">
        <v>5553</v>
      </c>
      <c r="E1723" s="4" t="s">
        <v>24987</v>
      </c>
    </row>
    <row r="1724" spans="1:12" x14ac:dyDescent="0.25">
      <c r="A1724" s="2" t="s">
        <v>5554</v>
      </c>
      <c r="B1724" s="8" t="s">
        <v>16906</v>
      </c>
      <c r="C1724" s="2" t="s">
        <v>5554</v>
      </c>
      <c r="D1724" s="2" t="s">
        <v>5555</v>
      </c>
      <c r="E1724" s="4" t="s">
        <v>24988</v>
      </c>
      <c r="G1724" s="15" t="s">
        <v>24989</v>
      </c>
      <c r="H1724" s="15" t="s">
        <v>24990</v>
      </c>
      <c r="I1724" s="15" t="s">
        <v>24991</v>
      </c>
      <c r="J1724" s="15" t="s">
        <v>24992</v>
      </c>
      <c r="K1724" s="15">
        <v>67815</v>
      </c>
      <c r="L1724" s="15" t="s">
        <v>19099</v>
      </c>
    </row>
    <row r="1725" spans="1:12" x14ac:dyDescent="0.25">
      <c r="A1725" s="2" t="s">
        <v>5557</v>
      </c>
      <c r="B1725" s="8" t="s">
        <v>16907</v>
      </c>
      <c r="C1725" s="2" t="s">
        <v>5557</v>
      </c>
      <c r="D1725" s="2" t="s">
        <v>5558</v>
      </c>
      <c r="E1725" s="4" t="s">
        <v>24993</v>
      </c>
      <c r="G1725" s="15" t="s">
        <v>24994</v>
      </c>
      <c r="H1725" s="15" t="s">
        <v>24995</v>
      </c>
      <c r="I1725" s="15" t="s">
        <v>24996</v>
      </c>
      <c r="J1725" s="15" t="s">
        <v>24997</v>
      </c>
      <c r="K1725" s="15">
        <v>67636</v>
      </c>
      <c r="L1725" s="15" t="s">
        <v>19099</v>
      </c>
    </row>
    <row r="1726" spans="1:12" x14ac:dyDescent="0.25">
      <c r="A1726" s="2" t="s">
        <v>5560</v>
      </c>
      <c r="B1726" s="8" t="s">
        <v>16908</v>
      </c>
      <c r="C1726" s="2" t="s">
        <v>5560</v>
      </c>
      <c r="D1726" s="2" t="s">
        <v>5561</v>
      </c>
      <c r="E1726" s="4" t="s">
        <v>24998</v>
      </c>
      <c r="G1726" s="15" t="s">
        <v>24999</v>
      </c>
      <c r="H1726" s="15" t="s">
        <v>25000</v>
      </c>
      <c r="I1726" s="15" t="s">
        <v>25001</v>
      </c>
      <c r="J1726" s="15" t="s">
        <v>25002</v>
      </c>
      <c r="K1726" s="15">
        <v>67820</v>
      </c>
      <c r="L1726" s="15" t="s">
        <v>19099</v>
      </c>
    </row>
    <row r="1727" spans="1:12" x14ac:dyDescent="0.25">
      <c r="A1727" s="2" t="s">
        <v>5563</v>
      </c>
      <c r="B1727" s="8" t="s">
        <v>16909</v>
      </c>
      <c r="C1727" s="2" t="s">
        <v>5563</v>
      </c>
      <c r="D1727" s="2" t="s">
        <v>5564</v>
      </c>
      <c r="E1727" s="4" t="s">
        <v>25003</v>
      </c>
      <c r="G1727" s="15" t="s">
        <v>25004</v>
      </c>
      <c r="H1727" s="15" t="s">
        <v>25005</v>
      </c>
      <c r="I1727" s="15" t="s">
        <v>25006</v>
      </c>
      <c r="J1727" s="15" t="s">
        <v>25007</v>
      </c>
      <c r="K1727" s="15">
        <v>67734</v>
      </c>
      <c r="L1727" s="15" t="s">
        <v>19099</v>
      </c>
    </row>
    <row r="1728" spans="1:12" x14ac:dyDescent="0.25">
      <c r="A1728" s="2" t="s">
        <v>5566</v>
      </c>
      <c r="B1728" s="8" t="s">
        <v>16911</v>
      </c>
      <c r="C1728" s="2" t="s">
        <v>5566</v>
      </c>
      <c r="D1728" s="2" t="s">
        <v>5567</v>
      </c>
      <c r="E1728" s="4" t="s">
        <v>25008</v>
      </c>
      <c r="G1728" s="15" t="s">
        <v>25009</v>
      </c>
      <c r="H1728" s="15" t="s">
        <v>25010</v>
      </c>
      <c r="I1728" s="15" t="s">
        <v>25011</v>
      </c>
      <c r="J1728" s="15" t="s">
        <v>410</v>
      </c>
      <c r="K1728" s="15">
        <v>104882</v>
      </c>
      <c r="L1728" s="15" t="s">
        <v>19099</v>
      </c>
    </row>
    <row r="1729" spans="1:12" x14ac:dyDescent="0.25">
      <c r="A1729" s="2" t="s">
        <v>5569</v>
      </c>
      <c r="B1729" s="8" t="s">
        <v>16913</v>
      </c>
      <c r="C1729" s="2" t="s">
        <v>5569</v>
      </c>
      <c r="D1729" s="2" t="s">
        <v>5570</v>
      </c>
      <c r="E1729" s="4" t="s">
        <v>25012</v>
      </c>
      <c r="G1729" s="15" t="s">
        <v>25013</v>
      </c>
      <c r="H1729" s="15" t="s">
        <v>25014</v>
      </c>
      <c r="I1729" s="15" t="s">
        <v>25015</v>
      </c>
      <c r="J1729" s="15" t="s">
        <v>25016</v>
      </c>
      <c r="K1729" s="15">
        <v>11125</v>
      </c>
      <c r="L1729" s="15" t="s">
        <v>19099</v>
      </c>
    </row>
    <row r="1730" spans="1:12" x14ac:dyDescent="0.25">
      <c r="A1730" s="2" t="s">
        <v>5572</v>
      </c>
      <c r="B1730" s="8" t="s">
        <v>16916</v>
      </c>
      <c r="C1730" s="2" t="s">
        <v>5572</v>
      </c>
      <c r="D1730" s="2" t="s">
        <v>5573</v>
      </c>
      <c r="E1730" s="4" t="s">
        <v>5573</v>
      </c>
      <c r="G1730" s="15" t="s">
        <v>25017</v>
      </c>
      <c r="H1730" s="15" t="s">
        <v>25018</v>
      </c>
      <c r="I1730" s="15" t="s">
        <v>25019</v>
      </c>
      <c r="J1730" s="15" t="s">
        <v>465</v>
      </c>
      <c r="K1730" s="15">
        <v>177429</v>
      </c>
      <c r="L1730" s="15" t="s">
        <v>19099</v>
      </c>
    </row>
    <row r="1731" spans="1:12" x14ac:dyDescent="0.25">
      <c r="A1731" s="2" t="s">
        <v>5575</v>
      </c>
      <c r="B1731" s="8" t="s">
        <v>16917</v>
      </c>
      <c r="C1731" s="2" t="s">
        <v>5575</v>
      </c>
      <c r="D1731" s="2" t="s">
        <v>5576</v>
      </c>
      <c r="E1731" s="4" t="s">
        <v>5576</v>
      </c>
      <c r="G1731" s="15" t="s">
        <v>25020</v>
      </c>
      <c r="H1731" s="15" t="s">
        <v>25021</v>
      </c>
      <c r="I1731" s="15" t="s">
        <v>25022</v>
      </c>
      <c r="J1731" s="15" t="s">
        <v>465</v>
      </c>
      <c r="K1731" s="15">
        <v>161046</v>
      </c>
      <c r="L1731" s="15" t="s">
        <v>19099</v>
      </c>
    </row>
    <row r="1732" spans="1:12" x14ac:dyDescent="0.25">
      <c r="A1732" s="2" t="s">
        <v>5578</v>
      </c>
      <c r="B1732" s="8" t="s">
        <v>16918</v>
      </c>
      <c r="C1732" s="2" t="s">
        <v>5578</v>
      </c>
      <c r="D1732" s="2" t="s">
        <v>5579</v>
      </c>
      <c r="E1732" s="4" t="s">
        <v>25023</v>
      </c>
    </row>
    <row r="1733" spans="1:12" x14ac:dyDescent="0.25">
      <c r="A1733" s="2" t="s">
        <v>5581</v>
      </c>
      <c r="B1733" s="8" t="s">
        <v>16920</v>
      </c>
      <c r="C1733" s="2" t="s">
        <v>5581</v>
      </c>
      <c r="D1733" s="2" t="s">
        <v>5582</v>
      </c>
      <c r="E1733" s="4" t="s">
        <v>25024</v>
      </c>
      <c r="G1733" s="15" t="s">
        <v>25025</v>
      </c>
      <c r="H1733" s="15" t="s">
        <v>25026</v>
      </c>
      <c r="I1733" s="15" t="s">
        <v>25027</v>
      </c>
      <c r="J1733" s="15" t="s">
        <v>25028</v>
      </c>
      <c r="K1733" s="15">
        <v>20342</v>
      </c>
      <c r="L1733" s="15" t="s">
        <v>19099</v>
      </c>
    </row>
    <row r="1734" spans="1:12" x14ac:dyDescent="0.25">
      <c r="A1734" s="2" t="s">
        <v>5584</v>
      </c>
      <c r="B1734" s="8" t="s">
        <v>16180</v>
      </c>
      <c r="C1734" s="2" t="s">
        <v>5584</v>
      </c>
      <c r="D1734" s="2" t="s">
        <v>5585</v>
      </c>
      <c r="E1734" s="4" t="s">
        <v>25029</v>
      </c>
    </row>
    <row r="1735" spans="1:12" x14ac:dyDescent="0.25">
      <c r="A1735" s="2" t="s">
        <v>5586</v>
      </c>
      <c r="B1735" s="8" t="s">
        <v>16180</v>
      </c>
      <c r="C1735" s="2" t="s">
        <v>5586</v>
      </c>
      <c r="D1735" s="2" t="s">
        <v>5587</v>
      </c>
      <c r="E1735" s="4" t="s">
        <v>25030</v>
      </c>
    </row>
    <row r="1736" spans="1:12" x14ac:dyDescent="0.25">
      <c r="A1736" s="2" t="s">
        <v>5588</v>
      </c>
      <c r="B1736" s="8" t="s">
        <v>16180</v>
      </c>
      <c r="C1736" s="2" t="s">
        <v>5588</v>
      </c>
      <c r="D1736" s="2" t="s">
        <v>5589</v>
      </c>
      <c r="E1736" s="4" t="s">
        <v>5589</v>
      </c>
    </row>
    <row r="1737" spans="1:12" x14ac:dyDescent="0.25">
      <c r="A1737" s="2" t="s">
        <v>5590</v>
      </c>
      <c r="B1737" s="8" t="s">
        <v>16180</v>
      </c>
      <c r="C1737" s="2" t="s">
        <v>5590</v>
      </c>
      <c r="D1737" s="2" t="s">
        <v>5591</v>
      </c>
      <c r="E1737" s="4" t="s">
        <v>25031</v>
      </c>
    </row>
    <row r="1738" spans="1:12" x14ac:dyDescent="0.25">
      <c r="A1738" s="2" t="s">
        <v>5592</v>
      </c>
      <c r="B1738" s="8" t="s">
        <v>16180</v>
      </c>
      <c r="C1738" s="2" t="s">
        <v>5592</v>
      </c>
      <c r="D1738" s="2" t="s">
        <v>5593</v>
      </c>
      <c r="E1738" s="4" t="s">
        <v>25032</v>
      </c>
    </row>
    <row r="1739" spans="1:12" x14ac:dyDescent="0.25">
      <c r="A1739" s="2" t="s">
        <v>5594</v>
      </c>
      <c r="B1739" s="8" t="s">
        <v>16180</v>
      </c>
      <c r="C1739" s="2" t="s">
        <v>5594</v>
      </c>
      <c r="D1739" s="2" t="s">
        <v>5595</v>
      </c>
      <c r="E1739" s="4" t="s">
        <v>25033</v>
      </c>
    </row>
    <row r="1740" spans="1:12" x14ac:dyDescent="0.25">
      <c r="A1740" s="2" t="s">
        <v>5596</v>
      </c>
      <c r="B1740" s="8" t="s">
        <v>16180</v>
      </c>
      <c r="C1740" s="2" t="s">
        <v>5596</v>
      </c>
      <c r="D1740" s="2" t="s">
        <v>5597</v>
      </c>
      <c r="E1740" s="4" t="s">
        <v>25034</v>
      </c>
    </row>
    <row r="1741" spans="1:12" ht="30" customHeight="1" x14ac:dyDescent="0.25">
      <c r="A1741" s="2" t="s">
        <v>5598</v>
      </c>
      <c r="B1741" s="8" t="s">
        <v>16180</v>
      </c>
      <c r="C1741" s="2" t="s">
        <v>5598</v>
      </c>
      <c r="D1741" s="2" t="s">
        <v>5599</v>
      </c>
      <c r="E1741" s="4" t="s">
        <v>25035</v>
      </c>
    </row>
    <row r="1742" spans="1:12" x14ac:dyDescent="0.25">
      <c r="A1742" s="2" t="s">
        <v>5600</v>
      </c>
      <c r="B1742" s="8" t="s">
        <v>16180</v>
      </c>
      <c r="C1742" s="2" t="s">
        <v>5600</v>
      </c>
      <c r="D1742" s="2" t="s">
        <v>5601</v>
      </c>
      <c r="E1742" s="4" t="s">
        <v>25036</v>
      </c>
    </row>
    <row r="1743" spans="1:12" x14ac:dyDescent="0.25">
      <c r="A1743" s="2" t="s">
        <v>5602</v>
      </c>
      <c r="B1743" s="8" t="s">
        <v>16180</v>
      </c>
      <c r="C1743" s="2" t="s">
        <v>5602</v>
      </c>
      <c r="D1743" s="2" t="s">
        <v>5603</v>
      </c>
      <c r="E1743" s="4" t="s">
        <v>25037</v>
      </c>
    </row>
    <row r="1744" spans="1:12" x14ac:dyDescent="0.25">
      <c r="A1744" s="2" t="s">
        <v>5604</v>
      </c>
      <c r="B1744" s="8" t="s">
        <v>16180</v>
      </c>
      <c r="C1744" s="2" t="s">
        <v>5604</v>
      </c>
      <c r="D1744" s="2" t="s">
        <v>5605</v>
      </c>
      <c r="E1744" s="4" t="s">
        <v>25038</v>
      </c>
    </row>
    <row r="1745" spans="1:5" ht="30" customHeight="1" x14ac:dyDescent="0.25">
      <c r="A1745" s="2" t="s">
        <v>5606</v>
      </c>
      <c r="B1745" s="8" t="s">
        <v>16180</v>
      </c>
      <c r="C1745" s="2" t="s">
        <v>5606</v>
      </c>
      <c r="D1745" s="2" t="s">
        <v>5607</v>
      </c>
      <c r="E1745" s="4" t="s">
        <v>25039</v>
      </c>
    </row>
    <row r="1746" spans="1:5" x14ac:dyDescent="0.25">
      <c r="A1746" s="2" t="s">
        <v>5608</v>
      </c>
      <c r="B1746" s="8" t="s">
        <v>16180</v>
      </c>
      <c r="C1746" s="2" t="s">
        <v>5608</v>
      </c>
      <c r="D1746" s="2" t="s">
        <v>5609</v>
      </c>
      <c r="E1746" s="4" t="s">
        <v>25040</v>
      </c>
    </row>
    <row r="1747" spans="1:5" x14ac:dyDescent="0.25">
      <c r="A1747" s="2" t="s">
        <v>5610</v>
      </c>
      <c r="B1747" s="8" t="s">
        <v>16180</v>
      </c>
      <c r="C1747" s="2" t="s">
        <v>5610</v>
      </c>
      <c r="D1747" s="2" t="s">
        <v>5611</v>
      </c>
      <c r="E1747" s="4" t="s">
        <v>25041</v>
      </c>
    </row>
    <row r="1748" spans="1:5" x14ac:dyDescent="0.25">
      <c r="A1748" s="2" t="s">
        <v>5612</v>
      </c>
      <c r="B1748" s="8" t="s">
        <v>16180</v>
      </c>
      <c r="C1748" s="2" t="s">
        <v>5612</v>
      </c>
      <c r="D1748" s="2" t="s">
        <v>5613</v>
      </c>
      <c r="E1748" s="4" t="s">
        <v>25042</v>
      </c>
    </row>
    <row r="1749" spans="1:5" x14ac:dyDescent="0.25">
      <c r="A1749" s="2" t="s">
        <v>5614</v>
      </c>
      <c r="B1749" s="8" t="s">
        <v>16180</v>
      </c>
      <c r="C1749" s="2" t="s">
        <v>5614</v>
      </c>
      <c r="D1749" s="2" t="s">
        <v>5615</v>
      </c>
      <c r="E1749" s="4" t="s">
        <v>25043</v>
      </c>
    </row>
    <row r="1750" spans="1:5" x14ac:dyDescent="0.25">
      <c r="A1750" s="2" t="s">
        <v>5616</v>
      </c>
      <c r="B1750" s="8" t="s">
        <v>16180</v>
      </c>
      <c r="C1750" s="2" t="s">
        <v>5616</v>
      </c>
      <c r="D1750" s="2" t="s">
        <v>5617</v>
      </c>
      <c r="E1750" s="4" t="s">
        <v>25044</v>
      </c>
    </row>
    <row r="1751" spans="1:5" ht="30" customHeight="1" x14ac:dyDescent="0.25">
      <c r="A1751" s="2" t="s">
        <v>5618</v>
      </c>
      <c r="B1751" s="8" t="s">
        <v>16180</v>
      </c>
      <c r="C1751" s="2" t="s">
        <v>5618</v>
      </c>
      <c r="D1751" s="2" t="s">
        <v>5619</v>
      </c>
      <c r="E1751" s="4" t="s">
        <v>25045</v>
      </c>
    </row>
    <row r="1752" spans="1:5" x14ac:dyDescent="0.25">
      <c r="A1752" s="2" t="s">
        <v>5620</v>
      </c>
      <c r="B1752" s="8" t="s">
        <v>16180</v>
      </c>
      <c r="C1752" s="2" t="s">
        <v>5620</v>
      </c>
      <c r="D1752" s="2" t="s">
        <v>5621</v>
      </c>
      <c r="E1752" s="4" t="s">
        <v>25046</v>
      </c>
    </row>
    <row r="1753" spans="1:5" x14ac:dyDescent="0.25">
      <c r="A1753" s="2" t="s">
        <v>5622</v>
      </c>
      <c r="B1753" s="8" t="s">
        <v>16180</v>
      </c>
      <c r="C1753" s="2" t="s">
        <v>5622</v>
      </c>
      <c r="D1753" s="2" t="s">
        <v>5623</v>
      </c>
      <c r="E1753" s="4" t="s">
        <v>25047</v>
      </c>
    </row>
    <row r="1754" spans="1:5" x14ac:dyDescent="0.25">
      <c r="A1754" s="2" t="s">
        <v>5624</v>
      </c>
      <c r="B1754" s="8" t="s">
        <v>16180</v>
      </c>
      <c r="C1754" s="2" t="s">
        <v>5624</v>
      </c>
      <c r="D1754" s="2" t="s">
        <v>5625</v>
      </c>
      <c r="E1754" s="4" t="s">
        <v>25048</v>
      </c>
    </row>
    <row r="1755" spans="1:5" ht="30" customHeight="1" x14ac:dyDescent="0.25">
      <c r="A1755" s="2" t="s">
        <v>5626</v>
      </c>
      <c r="B1755" s="8" t="s">
        <v>16180</v>
      </c>
      <c r="C1755" s="2" t="s">
        <v>5626</v>
      </c>
      <c r="D1755" s="2" t="s">
        <v>5627</v>
      </c>
      <c r="E1755" s="4" t="s">
        <v>25049</v>
      </c>
    </row>
    <row r="1756" spans="1:5" x14ac:dyDescent="0.25">
      <c r="A1756" s="2" t="s">
        <v>5628</v>
      </c>
      <c r="B1756" s="8" t="s">
        <v>16180</v>
      </c>
      <c r="C1756" s="2" t="s">
        <v>5628</v>
      </c>
      <c r="D1756" s="2" t="s">
        <v>5629</v>
      </c>
      <c r="E1756" s="4" t="s">
        <v>25050</v>
      </c>
    </row>
    <row r="1757" spans="1:5" x14ac:dyDescent="0.25">
      <c r="A1757" s="2" t="s">
        <v>5630</v>
      </c>
      <c r="B1757" s="8" t="s">
        <v>16180</v>
      </c>
      <c r="C1757" s="2" t="s">
        <v>5630</v>
      </c>
      <c r="D1757" s="2" t="s">
        <v>5631</v>
      </c>
      <c r="E1757" s="4" t="s">
        <v>25051</v>
      </c>
    </row>
    <row r="1758" spans="1:5" ht="30" customHeight="1" x14ac:dyDescent="0.25">
      <c r="A1758" s="2" t="s">
        <v>5632</v>
      </c>
      <c r="B1758" s="8" t="s">
        <v>16180</v>
      </c>
      <c r="C1758" s="2" t="s">
        <v>5632</v>
      </c>
      <c r="D1758" s="2" t="s">
        <v>5633</v>
      </c>
      <c r="E1758" s="4" t="s">
        <v>25052</v>
      </c>
    </row>
    <row r="1759" spans="1:5" x14ac:dyDescent="0.25">
      <c r="A1759" s="2" t="s">
        <v>5634</v>
      </c>
      <c r="B1759" s="8" t="s">
        <v>16180</v>
      </c>
      <c r="C1759" s="2" t="s">
        <v>5634</v>
      </c>
      <c r="D1759" s="2" t="s">
        <v>5635</v>
      </c>
      <c r="E1759" s="4" t="s">
        <v>25053</v>
      </c>
    </row>
    <row r="1760" spans="1:5" x14ac:dyDescent="0.25">
      <c r="A1760" s="2" t="s">
        <v>5636</v>
      </c>
      <c r="B1760" s="8" t="s">
        <v>16180</v>
      </c>
      <c r="C1760" s="2" t="s">
        <v>5636</v>
      </c>
      <c r="D1760" s="2" t="s">
        <v>5637</v>
      </c>
      <c r="E1760" s="4" t="s">
        <v>25054</v>
      </c>
    </row>
    <row r="1761" spans="1:12" x14ac:dyDescent="0.25">
      <c r="A1761" s="2" t="s">
        <v>5638</v>
      </c>
      <c r="B1761" s="8" t="s">
        <v>16180</v>
      </c>
      <c r="C1761" s="2" t="s">
        <v>5638</v>
      </c>
      <c r="D1761" s="2" t="s">
        <v>5639</v>
      </c>
      <c r="E1761" s="4" t="s">
        <v>25055</v>
      </c>
    </row>
    <row r="1762" spans="1:12" x14ac:dyDescent="0.25">
      <c r="A1762" s="2" t="s">
        <v>5640</v>
      </c>
      <c r="B1762" s="8" t="s">
        <v>16180</v>
      </c>
      <c r="C1762" s="2" t="s">
        <v>5640</v>
      </c>
      <c r="D1762" s="2" t="s">
        <v>5641</v>
      </c>
      <c r="E1762" s="4" t="s">
        <v>25056</v>
      </c>
    </row>
    <row r="1763" spans="1:12" x14ac:dyDescent="0.25">
      <c r="A1763" s="2" t="s">
        <v>5642</v>
      </c>
      <c r="B1763" s="8" t="s">
        <v>16180</v>
      </c>
      <c r="C1763" s="2" t="s">
        <v>5642</v>
      </c>
      <c r="D1763" s="2" t="s">
        <v>5643</v>
      </c>
      <c r="E1763" s="4" t="s">
        <v>25057</v>
      </c>
    </row>
    <row r="1764" spans="1:12" x14ac:dyDescent="0.25">
      <c r="A1764" s="2" t="s">
        <v>5644</v>
      </c>
      <c r="B1764" s="8" t="s">
        <v>16180</v>
      </c>
      <c r="C1764" s="2" t="s">
        <v>5644</v>
      </c>
      <c r="D1764" s="2" t="s">
        <v>5645</v>
      </c>
      <c r="E1764" s="4" t="s">
        <v>25058</v>
      </c>
    </row>
    <row r="1765" spans="1:12" x14ac:dyDescent="0.25">
      <c r="A1765" s="2" t="s">
        <v>5646</v>
      </c>
      <c r="B1765" s="8" t="s">
        <v>16180</v>
      </c>
      <c r="C1765" s="2" t="s">
        <v>5646</v>
      </c>
      <c r="D1765" s="2" t="s">
        <v>5647</v>
      </c>
      <c r="E1765" s="4" t="s">
        <v>25059</v>
      </c>
    </row>
    <row r="1766" spans="1:12" x14ac:dyDescent="0.25">
      <c r="A1766" s="2" t="s">
        <v>5648</v>
      </c>
      <c r="B1766" s="8" t="s">
        <v>16180</v>
      </c>
      <c r="C1766" s="2" t="s">
        <v>5648</v>
      </c>
      <c r="D1766" s="2" t="s">
        <v>5649</v>
      </c>
      <c r="E1766" s="4" t="s">
        <v>25060</v>
      </c>
    </row>
    <row r="1767" spans="1:12" x14ac:dyDescent="0.25">
      <c r="A1767" s="2" t="s">
        <v>5650</v>
      </c>
      <c r="B1767" s="8" t="s">
        <v>16180</v>
      </c>
      <c r="C1767" s="2" t="s">
        <v>5650</v>
      </c>
      <c r="D1767" s="2" t="s">
        <v>5651</v>
      </c>
      <c r="E1767" s="4" t="s">
        <v>25061</v>
      </c>
    </row>
    <row r="1768" spans="1:12" x14ac:dyDescent="0.25">
      <c r="A1768" s="2" t="s">
        <v>5652</v>
      </c>
      <c r="B1768" s="8" t="s">
        <v>16180</v>
      </c>
      <c r="C1768" s="2" t="s">
        <v>5652</v>
      </c>
      <c r="D1768" s="2" t="s">
        <v>5653</v>
      </c>
      <c r="E1768" s="4" t="s">
        <v>25062</v>
      </c>
    </row>
    <row r="1769" spans="1:12" x14ac:dyDescent="0.25">
      <c r="A1769" s="2" t="s">
        <v>5654</v>
      </c>
      <c r="B1769" s="8" t="s">
        <v>16180</v>
      </c>
      <c r="C1769" s="2" t="s">
        <v>5654</v>
      </c>
      <c r="D1769" s="2" t="s">
        <v>5655</v>
      </c>
      <c r="E1769" s="4" t="s">
        <v>25063</v>
      </c>
    </row>
    <row r="1770" spans="1:12" x14ac:dyDescent="0.25">
      <c r="A1770" s="2" t="s">
        <v>5656</v>
      </c>
      <c r="B1770" s="8" t="s">
        <v>16180</v>
      </c>
      <c r="C1770" s="2" t="s">
        <v>5656</v>
      </c>
      <c r="D1770" s="2" t="s">
        <v>5657</v>
      </c>
      <c r="E1770" s="4" t="s">
        <v>25064</v>
      </c>
    </row>
    <row r="1771" spans="1:12" x14ac:dyDescent="0.25">
      <c r="A1771" s="2" t="s">
        <v>5658</v>
      </c>
      <c r="B1771" s="8" t="s">
        <v>16180</v>
      </c>
      <c r="C1771" s="2" t="s">
        <v>5658</v>
      </c>
      <c r="D1771" s="2" t="s">
        <v>5659</v>
      </c>
      <c r="E1771" s="4" t="s">
        <v>25065</v>
      </c>
    </row>
    <row r="1772" spans="1:12" x14ac:dyDescent="0.25">
      <c r="A1772" s="2" t="s">
        <v>5660</v>
      </c>
      <c r="B1772" s="8" t="s">
        <v>16180</v>
      </c>
      <c r="C1772" s="2" t="s">
        <v>5660</v>
      </c>
      <c r="D1772" s="2" t="s">
        <v>5661</v>
      </c>
      <c r="E1772" s="4" t="s">
        <v>25066</v>
      </c>
    </row>
    <row r="1773" spans="1:12" x14ac:dyDescent="0.25">
      <c r="A1773" s="2" t="s">
        <v>5662</v>
      </c>
      <c r="B1773" s="8" t="s">
        <v>16921</v>
      </c>
      <c r="C1773" s="2" t="s">
        <v>5662</v>
      </c>
      <c r="D1773" s="2" t="s">
        <v>5663</v>
      </c>
      <c r="E1773" s="4" t="s">
        <v>5663</v>
      </c>
      <c r="G1773" s="15" t="s">
        <v>25067</v>
      </c>
      <c r="H1773" s="15" t="s">
        <v>25068</v>
      </c>
      <c r="I1773" s="15" t="s">
        <v>25069</v>
      </c>
      <c r="J1773" s="15" t="s">
        <v>25070</v>
      </c>
      <c r="K1773" s="15">
        <v>6437382</v>
      </c>
      <c r="L1773" s="15" t="s">
        <v>19099</v>
      </c>
    </row>
    <row r="1774" spans="1:12" x14ac:dyDescent="0.25">
      <c r="A1774" s="2" t="s">
        <v>5665</v>
      </c>
      <c r="B1774" s="8" t="s">
        <v>16922</v>
      </c>
      <c r="C1774" s="2" t="s">
        <v>5665</v>
      </c>
      <c r="D1774" s="2" t="s">
        <v>5666</v>
      </c>
      <c r="E1774" s="4" t="s">
        <v>25071</v>
      </c>
      <c r="G1774" s="15" t="s">
        <v>25072</v>
      </c>
      <c r="H1774" s="15" t="s">
        <v>25073</v>
      </c>
      <c r="I1774" s="15" t="s">
        <v>25074</v>
      </c>
      <c r="J1774" s="15" t="s">
        <v>25075</v>
      </c>
      <c r="K1774" s="15">
        <v>16760563</v>
      </c>
      <c r="L1774" s="15" t="s">
        <v>19099</v>
      </c>
    </row>
    <row r="1775" spans="1:12" x14ac:dyDescent="0.25">
      <c r="A1775" s="2" t="s">
        <v>5668</v>
      </c>
      <c r="B1775" s="8" t="s">
        <v>16923</v>
      </c>
      <c r="C1775" s="2" t="s">
        <v>5668</v>
      </c>
      <c r="D1775" s="2" t="s">
        <v>5669</v>
      </c>
      <c r="E1775" s="4" t="s">
        <v>25076</v>
      </c>
      <c r="G1775" s="15" t="s">
        <v>25077</v>
      </c>
      <c r="H1775" s="15" t="s">
        <v>25078</v>
      </c>
      <c r="I1775" s="15" t="s">
        <v>25079</v>
      </c>
      <c r="J1775" s="15" t="s">
        <v>25080</v>
      </c>
      <c r="K1775" s="15">
        <v>445434</v>
      </c>
      <c r="L1775" s="15" t="s">
        <v>19099</v>
      </c>
    </row>
    <row r="1776" spans="1:12" x14ac:dyDescent="0.25">
      <c r="A1776" s="2" t="s">
        <v>5671</v>
      </c>
      <c r="B1776" s="8" t="s">
        <v>16924</v>
      </c>
      <c r="C1776" s="2" t="s">
        <v>5671</v>
      </c>
      <c r="D1776" s="2" t="s">
        <v>5672</v>
      </c>
      <c r="E1776" s="4" t="s">
        <v>25081</v>
      </c>
      <c r="G1776" s="15" t="s">
        <v>25082</v>
      </c>
      <c r="H1776" s="15" t="s">
        <v>25083</v>
      </c>
      <c r="I1776" s="15" t="s">
        <v>25084</v>
      </c>
      <c r="J1776" s="15" t="s">
        <v>25085</v>
      </c>
      <c r="K1776" s="15">
        <v>16760564</v>
      </c>
      <c r="L1776" s="15" t="s">
        <v>19099</v>
      </c>
    </row>
    <row r="1777" spans="1:12" x14ac:dyDescent="0.25">
      <c r="A1777" s="2" t="s">
        <v>5674</v>
      </c>
      <c r="B1777" s="8" t="s">
        <v>16925</v>
      </c>
      <c r="C1777" s="2" t="s">
        <v>5674</v>
      </c>
      <c r="D1777" s="2" t="s">
        <v>5675</v>
      </c>
      <c r="E1777" s="4" t="s">
        <v>25086</v>
      </c>
      <c r="G1777" s="15" t="s">
        <v>25087</v>
      </c>
      <c r="H1777" s="15" t="s">
        <v>25088</v>
      </c>
      <c r="I1777" s="15" t="s">
        <v>25089</v>
      </c>
      <c r="J1777" s="15" t="s">
        <v>25090</v>
      </c>
      <c r="K1777" s="15">
        <v>6440826</v>
      </c>
      <c r="L1777" s="15" t="s">
        <v>19099</v>
      </c>
    </row>
    <row r="1778" spans="1:12" x14ac:dyDescent="0.25">
      <c r="A1778" s="2" t="s">
        <v>5677</v>
      </c>
      <c r="B1778" s="8" t="s">
        <v>16926</v>
      </c>
      <c r="C1778" s="2" t="s">
        <v>5677</v>
      </c>
      <c r="D1778" s="2" t="s">
        <v>5678</v>
      </c>
      <c r="E1778" s="4" t="s">
        <v>25091</v>
      </c>
      <c r="G1778" s="15" t="s">
        <v>25092</v>
      </c>
      <c r="H1778" s="15" t="s">
        <v>25093</v>
      </c>
      <c r="I1778" s="15" t="s">
        <v>25094</v>
      </c>
      <c r="J1778" s="15" t="s">
        <v>25095</v>
      </c>
      <c r="K1778" s="15">
        <v>6438357</v>
      </c>
      <c r="L1778" s="15" t="s">
        <v>19099</v>
      </c>
    </row>
    <row r="1779" spans="1:12" x14ac:dyDescent="0.25">
      <c r="A1779" s="2" t="s">
        <v>5680</v>
      </c>
      <c r="B1779" s="8" t="s">
        <v>16927</v>
      </c>
      <c r="C1779" s="2" t="s">
        <v>5680</v>
      </c>
      <c r="D1779" s="2" t="s">
        <v>5681</v>
      </c>
      <c r="E1779" s="4" t="s">
        <v>25096</v>
      </c>
      <c r="G1779" s="15" t="s">
        <v>25097</v>
      </c>
      <c r="H1779" s="15" t="s">
        <v>25098</v>
      </c>
      <c r="I1779" s="15" t="s">
        <v>25099</v>
      </c>
      <c r="J1779" s="15" t="s">
        <v>25100</v>
      </c>
      <c r="K1779" s="15">
        <v>6437088</v>
      </c>
      <c r="L1779" s="15" t="s">
        <v>19099</v>
      </c>
    </row>
    <row r="1780" spans="1:12" x14ac:dyDescent="0.25">
      <c r="A1780" s="2" t="s">
        <v>5683</v>
      </c>
      <c r="B1780" s="8" t="s">
        <v>16928</v>
      </c>
      <c r="C1780" s="2" t="s">
        <v>5683</v>
      </c>
      <c r="D1780" s="2" t="s">
        <v>5684</v>
      </c>
      <c r="E1780" s="4" t="s">
        <v>5684</v>
      </c>
      <c r="G1780" s="15" t="s">
        <v>25101</v>
      </c>
      <c r="H1780" s="15" t="s">
        <v>25102</v>
      </c>
      <c r="I1780" s="15" t="s">
        <v>25103</v>
      </c>
      <c r="J1780" s="15" t="s">
        <v>25104</v>
      </c>
      <c r="K1780" s="15">
        <v>6329</v>
      </c>
      <c r="L1780" s="15" t="s">
        <v>19099</v>
      </c>
    </row>
    <row r="1781" spans="1:12" x14ac:dyDescent="0.25">
      <c r="A1781" s="2" t="s">
        <v>5686</v>
      </c>
      <c r="B1781" s="8" t="s">
        <v>16929</v>
      </c>
      <c r="C1781" s="2" t="s">
        <v>5686</v>
      </c>
      <c r="D1781" s="2" t="s">
        <v>5687</v>
      </c>
      <c r="E1781" s="4" t="s">
        <v>25105</v>
      </c>
      <c r="G1781" s="15" t="s">
        <v>25106</v>
      </c>
      <c r="H1781" s="15" t="s">
        <v>25107</v>
      </c>
      <c r="I1781" s="15" t="s">
        <v>25108</v>
      </c>
      <c r="J1781" s="15" t="s">
        <v>25109</v>
      </c>
      <c r="K1781" s="15">
        <v>8948</v>
      </c>
      <c r="L1781" s="15" t="s">
        <v>19099</v>
      </c>
    </row>
    <row r="1782" spans="1:12" x14ac:dyDescent="0.25">
      <c r="A1782" s="2" t="s">
        <v>5689</v>
      </c>
      <c r="B1782" s="8" t="s">
        <v>16930</v>
      </c>
      <c r="C1782" s="2" t="s">
        <v>5689</v>
      </c>
      <c r="D1782" s="2" t="s">
        <v>5690</v>
      </c>
      <c r="E1782" s="4" t="s">
        <v>5690</v>
      </c>
      <c r="G1782" s="15" t="s">
        <v>25110</v>
      </c>
      <c r="H1782" s="15" t="s">
        <v>25111</v>
      </c>
      <c r="I1782" s="15" t="s">
        <v>25112</v>
      </c>
      <c r="J1782" s="15" t="s">
        <v>25113</v>
      </c>
      <c r="K1782" s="15">
        <v>700</v>
      </c>
      <c r="L1782" s="15" t="s">
        <v>19099</v>
      </c>
    </row>
    <row r="1783" spans="1:12" x14ac:dyDescent="0.25">
      <c r="A1783" s="2" t="s">
        <v>5692</v>
      </c>
      <c r="B1783" s="8" t="s">
        <v>16180</v>
      </c>
      <c r="C1783" s="2" t="s">
        <v>5692</v>
      </c>
      <c r="D1783" s="2" t="s">
        <v>5693</v>
      </c>
      <c r="E1783" s="4" t="s">
        <v>25114</v>
      </c>
    </row>
    <row r="1784" spans="1:12" x14ac:dyDescent="0.25">
      <c r="A1784" s="2" t="s">
        <v>5694</v>
      </c>
      <c r="B1784" s="8" t="s">
        <v>16931</v>
      </c>
      <c r="C1784" s="2" t="s">
        <v>5694</v>
      </c>
      <c r="D1784" s="2" t="s">
        <v>5695</v>
      </c>
      <c r="E1784" s="4" t="s">
        <v>25115</v>
      </c>
      <c r="G1784" s="15" t="s">
        <v>25116</v>
      </c>
      <c r="H1784" s="15" t="s">
        <v>25117</v>
      </c>
      <c r="I1784" s="15" t="s">
        <v>25118</v>
      </c>
      <c r="J1784" s="15" t="s">
        <v>25119</v>
      </c>
      <c r="K1784" s="15">
        <v>185342</v>
      </c>
      <c r="L1784" s="15" t="s">
        <v>19099</v>
      </c>
    </row>
    <row r="1785" spans="1:12" x14ac:dyDescent="0.25">
      <c r="A1785" s="2" t="s">
        <v>5697</v>
      </c>
      <c r="B1785" s="8" t="s">
        <v>16932</v>
      </c>
      <c r="C1785" s="2" t="s">
        <v>5697</v>
      </c>
      <c r="D1785" s="2" t="s">
        <v>5698</v>
      </c>
      <c r="E1785" s="4" t="s">
        <v>25120</v>
      </c>
      <c r="G1785" s="15" t="s">
        <v>25121</v>
      </c>
      <c r="H1785" s="15" t="s">
        <v>25122</v>
      </c>
      <c r="I1785" s="15" t="s">
        <v>25123</v>
      </c>
      <c r="J1785" s="15" t="s">
        <v>25124</v>
      </c>
      <c r="K1785" s="15">
        <v>159909</v>
      </c>
      <c r="L1785" s="15" t="s">
        <v>19995</v>
      </c>
    </row>
    <row r="1786" spans="1:12" x14ac:dyDescent="0.25">
      <c r="A1786" s="2" t="s">
        <v>5700</v>
      </c>
      <c r="B1786" s="8" t="s">
        <v>16933</v>
      </c>
      <c r="C1786" s="2" t="s">
        <v>5700</v>
      </c>
      <c r="D1786" s="2" t="s">
        <v>5701</v>
      </c>
      <c r="E1786" s="4" t="s">
        <v>25125</v>
      </c>
      <c r="G1786" s="15" t="s">
        <v>25126</v>
      </c>
      <c r="H1786" s="15" t="s">
        <v>25127</v>
      </c>
      <c r="I1786" s="15" t="s">
        <v>25128</v>
      </c>
      <c r="J1786" s="15" t="s">
        <v>25129</v>
      </c>
      <c r="K1786" s="15">
        <v>7204</v>
      </c>
      <c r="L1786" s="15" t="s">
        <v>19099</v>
      </c>
    </row>
    <row r="1787" spans="1:12" x14ac:dyDescent="0.25">
      <c r="A1787" s="2" t="s">
        <v>5703</v>
      </c>
      <c r="B1787" s="8" t="s">
        <v>16934</v>
      </c>
      <c r="C1787" s="2" t="s">
        <v>5703</v>
      </c>
      <c r="D1787" s="2" t="s">
        <v>5704</v>
      </c>
      <c r="E1787" s="4" t="s">
        <v>25130</v>
      </c>
      <c r="G1787" s="15" t="s">
        <v>25131</v>
      </c>
      <c r="H1787" s="15" t="s">
        <v>25132</v>
      </c>
      <c r="I1787" s="15" t="s">
        <v>25133</v>
      </c>
      <c r="J1787" s="15" t="s">
        <v>25134</v>
      </c>
      <c r="K1787" s="15">
        <v>2724048</v>
      </c>
      <c r="L1787" s="15" t="s">
        <v>19099</v>
      </c>
    </row>
    <row r="1788" spans="1:12" x14ac:dyDescent="0.25">
      <c r="A1788" s="2" t="s">
        <v>5706</v>
      </c>
      <c r="B1788" s="8" t="s">
        <v>16935</v>
      </c>
      <c r="C1788" s="2" t="s">
        <v>5706</v>
      </c>
      <c r="D1788" s="2" t="s">
        <v>5707</v>
      </c>
      <c r="E1788" s="4" t="s">
        <v>25135</v>
      </c>
      <c r="G1788" s="15" t="s">
        <v>25136</v>
      </c>
      <c r="H1788" s="15" t="s">
        <v>25137</v>
      </c>
      <c r="I1788" s="15" t="s">
        <v>25138</v>
      </c>
      <c r="J1788" s="15" t="s">
        <v>25139</v>
      </c>
      <c r="K1788" s="15">
        <v>7207</v>
      </c>
      <c r="L1788" s="15" t="s">
        <v>19099</v>
      </c>
    </row>
    <row r="1789" spans="1:12" x14ac:dyDescent="0.25">
      <c r="A1789" s="2" t="s">
        <v>5709</v>
      </c>
      <c r="B1789" s="8" t="s">
        <v>16937</v>
      </c>
      <c r="C1789" s="2" t="s">
        <v>5709</v>
      </c>
      <c r="D1789" s="2" t="s">
        <v>5710</v>
      </c>
      <c r="E1789" s="4" t="s">
        <v>25140</v>
      </c>
      <c r="G1789" s="15" t="s">
        <v>25141</v>
      </c>
      <c r="H1789" s="15" t="s">
        <v>25142</v>
      </c>
      <c r="I1789" s="15" t="s">
        <v>25143</v>
      </c>
      <c r="J1789" s="15" t="s">
        <v>25144</v>
      </c>
      <c r="K1789" s="15">
        <v>7290</v>
      </c>
      <c r="L1789" s="15" t="s">
        <v>19099</v>
      </c>
    </row>
    <row r="1790" spans="1:12" x14ac:dyDescent="0.25">
      <c r="A1790" s="2" t="s">
        <v>5712</v>
      </c>
      <c r="B1790" s="8" t="s">
        <v>16180</v>
      </c>
      <c r="C1790" s="2" t="s">
        <v>5712</v>
      </c>
      <c r="D1790" s="2" t="s">
        <v>5713</v>
      </c>
      <c r="E1790" s="4" t="s">
        <v>5713</v>
      </c>
    </row>
    <row r="1791" spans="1:12" x14ac:dyDescent="0.25">
      <c r="A1791" s="2" t="s">
        <v>5714</v>
      </c>
      <c r="B1791" s="8" t="s">
        <v>16938</v>
      </c>
      <c r="C1791" s="2" t="s">
        <v>5714</v>
      </c>
      <c r="D1791" s="2" t="s">
        <v>5715</v>
      </c>
      <c r="E1791" s="4" t="s">
        <v>25145</v>
      </c>
      <c r="G1791" s="15" t="s">
        <v>25146</v>
      </c>
      <c r="H1791" s="15" t="s">
        <v>25147</v>
      </c>
      <c r="I1791" s="15" t="s">
        <v>25148</v>
      </c>
      <c r="J1791" s="15" t="s">
        <v>23583</v>
      </c>
      <c r="K1791" s="15">
        <v>20393</v>
      </c>
      <c r="L1791" s="15" t="s">
        <v>19099</v>
      </c>
    </row>
    <row r="1792" spans="1:12" x14ac:dyDescent="0.25">
      <c r="A1792" s="2" t="s">
        <v>5717</v>
      </c>
      <c r="B1792" s="8" t="s">
        <v>16180</v>
      </c>
      <c r="C1792" s="2" t="s">
        <v>5717</v>
      </c>
      <c r="D1792" s="2" t="s">
        <v>5718</v>
      </c>
      <c r="E1792" s="4" t="s">
        <v>25149</v>
      </c>
    </row>
    <row r="1793" spans="1:12" x14ac:dyDescent="0.25">
      <c r="A1793" s="2" t="s">
        <v>5719</v>
      </c>
      <c r="B1793" s="8" t="s">
        <v>16180</v>
      </c>
      <c r="C1793" s="2" t="s">
        <v>5719</v>
      </c>
      <c r="D1793" s="2" t="s">
        <v>5720</v>
      </c>
      <c r="E1793" s="4" t="s">
        <v>25150</v>
      </c>
    </row>
    <row r="1794" spans="1:12" x14ac:dyDescent="0.25">
      <c r="A1794" s="2" t="s">
        <v>5721</v>
      </c>
      <c r="B1794" s="8" t="s">
        <v>16180</v>
      </c>
      <c r="C1794" s="2" t="s">
        <v>5721</v>
      </c>
      <c r="D1794" s="2" t="s">
        <v>5722</v>
      </c>
      <c r="E1794" s="4" t="s">
        <v>25151</v>
      </c>
    </row>
    <row r="1795" spans="1:12" x14ac:dyDescent="0.25">
      <c r="A1795" s="2" t="s">
        <v>5723</v>
      </c>
      <c r="B1795" s="8" t="s">
        <v>16180</v>
      </c>
      <c r="C1795" s="2" t="s">
        <v>5723</v>
      </c>
      <c r="D1795" s="2" t="s">
        <v>5724</v>
      </c>
      <c r="E1795" s="4" t="s">
        <v>25152</v>
      </c>
    </row>
    <row r="1796" spans="1:12" x14ac:dyDescent="0.25">
      <c r="A1796" s="2" t="s">
        <v>5725</v>
      </c>
      <c r="B1796" s="8" t="s">
        <v>16180</v>
      </c>
      <c r="C1796" s="2" t="s">
        <v>5725</v>
      </c>
      <c r="D1796" s="2" t="s">
        <v>5726</v>
      </c>
      <c r="E1796" s="4" t="s">
        <v>25153</v>
      </c>
    </row>
    <row r="1797" spans="1:12" x14ac:dyDescent="0.25">
      <c r="A1797" s="2" t="s">
        <v>5727</v>
      </c>
      <c r="B1797" s="8" t="s">
        <v>16180</v>
      </c>
      <c r="C1797" s="2" t="s">
        <v>5727</v>
      </c>
      <c r="D1797" s="2" t="s">
        <v>5728</v>
      </c>
      <c r="E1797" s="4" t="s">
        <v>25154</v>
      </c>
    </row>
    <row r="1798" spans="1:12" x14ac:dyDescent="0.25">
      <c r="A1798" s="2" t="s">
        <v>5729</v>
      </c>
      <c r="B1798" s="8" t="s">
        <v>16939</v>
      </c>
      <c r="C1798" s="2" t="s">
        <v>5729</v>
      </c>
      <c r="D1798" s="2" t="s">
        <v>5730</v>
      </c>
      <c r="E1798" s="4" t="s">
        <v>25155</v>
      </c>
      <c r="G1798" s="15" t="s">
        <v>25156</v>
      </c>
      <c r="H1798" s="15" t="s">
        <v>25157</v>
      </c>
      <c r="I1798" s="15" t="s">
        <v>25158</v>
      </c>
      <c r="J1798" s="15" t="s">
        <v>25159</v>
      </c>
      <c r="K1798" s="15">
        <v>26181</v>
      </c>
      <c r="L1798" s="15" t="s">
        <v>19099</v>
      </c>
    </row>
    <row r="1799" spans="1:12" ht="30" customHeight="1" x14ac:dyDescent="0.25">
      <c r="A1799" s="2" t="s">
        <v>5732</v>
      </c>
      <c r="B1799" s="8" t="s">
        <v>16180</v>
      </c>
      <c r="C1799" s="2" t="s">
        <v>5732</v>
      </c>
      <c r="D1799" s="2" t="s">
        <v>5733</v>
      </c>
      <c r="E1799" s="4" t="s">
        <v>25160</v>
      </c>
    </row>
    <row r="1800" spans="1:12" x14ac:dyDescent="0.25">
      <c r="A1800" s="2" t="s">
        <v>5734</v>
      </c>
      <c r="B1800" s="8" t="s">
        <v>16180</v>
      </c>
      <c r="C1800" s="2" t="s">
        <v>5734</v>
      </c>
      <c r="D1800" s="2" t="s">
        <v>5735</v>
      </c>
      <c r="E1800" s="4" t="s">
        <v>25161</v>
      </c>
    </row>
    <row r="1801" spans="1:12" x14ac:dyDescent="0.25">
      <c r="A1801" s="2" t="s">
        <v>5736</v>
      </c>
      <c r="B1801" s="8" t="s">
        <v>16180</v>
      </c>
      <c r="C1801" s="2" t="s">
        <v>5736</v>
      </c>
      <c r="D1801" s="2" t="s">
        <v>5737</v>
      </c>
      <c r="E1801" s="4" t="s">
        <v>5737</v>
      </c>
    </row>
    <row r="1802" spans="1:12" x14ac:dyDescent="0.25">
      <c r="A1802" s="2" t="s">
        <v>5738</v>
      </c>
      <c r="B1802" s="8" t="s">
        <v>16180</v>
      </c>
      <c r="C1802" s="2" t="s">
        <v>5738</v>
      </c>
      <c r="D1802" s="2" t="s">
        <v>5739</v>
      </c>
      <c r="E1802" s="4" t="s">
        <v>5739</v>
      </c>
    </row>
    <row r="1803" spans="1:12" x14ac:dyDescent="0.25">
      <c r="A1803" s="2" t="s">
        <v>5740</v>
      </c>
      <c r="B1803" s="8" t="s">
        <v>16180</v>
      </c>
      <c r="C1803" s="2" t="s">
        <v>5740</v>
      </c>
      <c r="D1803" s="2" t="s">
        <v>5741</v>
      </c>
      <c r="E1803" s="4" t="s">
        <v>25162</v>
      </c>
    </row>
    <row r="1804" spans="1:12" x14ac:dyDescent="0.25">
      <c r="A1804" s="2" t="s">
        <v>5742</v>
      </c>
      <c r="B1804" s="8" t="s">
        <v>16180</v>
      </c>
      <c r="C1804" s="2" t="s">
        <v>5742</v>
      </c>
      <c r="D1804" s="2" t="s">
        <v>5743</v>
      </c>
      <c r="E1804" s="4" t="s">
        <v>25163</v>
      </c>
    </row>
    <row r="1805" spans="1:12" x14ac:dyDescent="0.25">
      <c r="A1805" s="2" t="s">
        <v>5744</v>
      </c>
      <c r="B1805" s="8" t="s">
        <v>16180</v>
      </c>
      <c r="C1805" s="2" t="s">
        <v>5744</v>
      </c>
      <c r="D1805" s="2" t="s">
        <v>5745</v>
      </c>
      <c r="E1805" s="4" t="s">
        <v>25164</v>
      </c>
    </row>
    <row r="1806" spans="1:12" x14ac:dyDescent="0.25">
      <c r="A1806" s="2" t="s">
        <v>5746</v>
      </c>
      <c r="B1806" s="8" t="s">
        <v>16180</v>
      </c>
      <c r="C1806" s="2" t="s">
        <v>5746</v>
      </c>
      <c r="D1806" s="2" t="s">
        <v>5747</v>
      </c>
      <c r="E1806" s="4" t="s">
        <v>25165</v>
      </c>
    </row>
    <row r="1807" spans="1:12" x14ac:dyDescent="0.25">
      <c r="A1807" s="2" t="s">
        <v>5748</v>
      </c>
      <c r="B1807" s="8" t="s">
        <v>16180</v>
      </c>
      <c r="C1807" s="2" t="s">
        <v>5748</v>
      </c>
      <c r="D1807" s="2" t="s">
        <v>5749</v>
      </c>
      <c r="E1807" s="4" t="s">
        <v>25166</v>
      </c>
    </row>
    <row r="1808" spans="1:12" x14ac:dyDescent="0.25">
      <c r="A1808" s="2" t="s">
        <v>5750</v>
      </c>
      <c r="B1808" s="8" t="s">
        <v>16180</v>
      </c>
      <c r="C1808" s="2" t="s">
        <v>5750</v>
      </c>
      <c r="D1808" s="2" t="s">
        <v>5751</v>
      </c>
      <c r="E1808" s="4" t="s">
        <v>25167</v>
      </c>
    </row>
    <row r="1809" spans="1:20" x14ac:dyDescent="0.25">
      <c r="A1809" s="2" t="s">
        <v>5752</v>
      </c>
      <c r="B1809" s="8" t="s">
        <v>16180</v>
      </c>
      <c r="C1809" s="2" t="s">
        <v>5752</v>
      </c>
      <c r="D1809" s="2" t="s">
        <v>5753</v>
      </c>
      <c r="E1809" s="4" t="s">
        <v>25168</v>
      </c>
    </row>
    <row r="1810" spans="1:20" x14ac:dyDescent="0.25">
      <c r="A1810" s="2" t="s">
        <v>5754</v>
      </c>
      <c r="B1810" s="8" t="s">
        <v>16180</v>
      </c>
      <c r="C1810" s="2" t="s">
        <v>5754</v>
      </c>
      <c r="D1810" s="2" t="s">
        <v>5755</v>
      </c>
      <c r="E1810" s="4" t="s">
        <v>25169</v>
      </c>
    </row>
    <row r="1811" spans="1:20" x14ac:dyDescent="0.25">
      <c r="A1811" s="2" t="s">
        <v>5756</v>
      </c>
      <c r="B1811" s="8" t="s">
        <v>16180</v>
      </c>
      <c r="C1811" s="2" t="s">
        <v>5756</v>
      </c>
      <c r="D1811" s="2" t="s">
        <v>5757</v>
      </c>
      <c r="E1811" s="4" t="s">
        <v>25170</v>
      </c>
    </row>
    <row r="1812" spans="1:20" x14ac:dyDescent="0.25">
      <c r="A1812" s="2" t="s">
        <v>5758</v>
      </c>
      <c r="B1812" s="8" t="s">
        <v>16180</v>
      </c>
      <c r="C1812" s="2" t="s">
        <v>5758</v>
      </c>
      <c r="D1812" s="2" t="s">
        <v>5759</v>
      </c>
      <c r="E1812" s="4" t="s">
        <v>25171</v>
      </c>
    </row>
    <row r="1813" spans="1:20" x14ac:dyDescent="0.25">
      <c r="A1813" s="2" t="s">
        <v>5760</v>
      </c>
      <c r="B1813" s="8" t="s">
        <v>16940</v>
      </c>
      <c r="C1813" s="2" t="s">
        <v>5760</v>
      </c>
      <c r="D1813" s="2" t="s">
        <v>5761</v>
      </c>
      <c r="E1813" s="4" t="s">
        <v>25172</v>
      </c>
      <c r="G1813" s="15" t="s">
        <v>25173</v>
      </c>
      <c r="H1813" s="15" t="s">
        <v>25174</v>
      </c>
      <c r="I1813" s="15" t="s">
        <v>25175</v>
      </c>
      <c r="J1813" s="15" t="s">
        <v>25176</v>
      </c>
      <c r="K1813" s="15">
        <v>5371562</v>
      </c>
      <c r="L1813" s="15" t="s">
        <v>19099</v>
      </c>
    </row>
    <row r="1814" spans="1:20" x14ac:dyDescent="0.25">
      <c r="A1814" s="2" t="s">
        <v>5763</v>
      </c>
      <c r="B1814" s="8" t="s">
        <v>16942</v>
      </c>
      <c r="C1814" s="2" t="s">
        <v>5763</v>
      </c>
      <c r="D1814" s="2" t="s">
        <v>5764</v>
      </c>
      <c r="E1814" s="4" t="s">
        <v>25177</v>
      </c>
      <c r="N1814" s="15" t="s">
        <v>21788</v>
      </c>
      <c r="O1814" s="15" t="s">
        <v>25178</v>
      </c>
      <c r="P1814" s="15" t="s">
        <v>25179</v>
      </c>
      <c r="Q1814" s="15" t="s">
        <v>25180</v>
      </c>
      <c r="R1814" s="15" t="s">
        <v>25181</v>
      </c>
      <c r="S1814" s="15">
        <v>22286935</v>
      </c>
      <c r="T1814" s="15" t="s">
        <v>19089</v>
      </c>
    </row>
    <row r="1815" spans="1:20" x14ac:dyDescent="0.25">
      <c r="A1815" s="2" t="s">
        <v>5766</v>
      </c>
      <c r="B1815" s="8" t="s">
        <v>16943</v>
      </c>
      <c r="C1815" s="2" t="s">
        <v>5766</v>
      </c>
      <c r="D1815" s="2" t="s">
        <v>5767</v>
      </c>
      <c r="E1815" s="4" t="s">
        <v>25182</v>
      </c>
      <c r="G1815" s="15" t="s">
        <v>25183</v>
      </c>
      <c r="H1815" s="15" t="s">
        <v>25184</v>
      </c>
      <c r="I1815" s="15" t="s">
        <v>25185</v>
      </c>
      <c r="J1815" s="15" t="s">
        <v>25186</v>
      </c>
      <c r="K1815" s="15">
        <v>3034468</v>
      </c>
      <c r="L1815" s="15" t="s">
        <v>19099</v>
      </c>
    </row>
    <row r="1816" spans="1:20" x14ac:dyDescent="0.25">
      <c r="A1816" s="2" t="s">
        <v>5769</v>
      </c>
      <c r="B1816" s="8" t="s">
        <v>16945</v>
      </c>
      <c r="C1816" s="2" t="s">
        <v>5769</v>
      </c>
      <c r="D1816" s="2" t="s">
        <v>5770</v>
      </c>
      <c r="E1816" s="4" t="s">
        <v>25187</v>
      </c>
      <c r="G1816" s="15" t="s">
        <v>25188</v>
      </c>
      <c r="H1816" s="15" t="s">
        <v>25189</v>
      </c>
      <c r="I1816" s="15" t="s">
        <v>25190</v>
      </c>
      <c r="J1816" s="15" t="s">
        <v>25191</v>
      </c>
      <c r="K1816" s="15">
        <v>5360315</v>
      </c>
      <c r="L1816" s="15" t="s">
        <v>19099</v>
      </c>
    </row>
    <row r="1817" spans="1:20" x14ac:dyDescent="0.25">
      <c r="A1817" s="2" t="s">
        <v>5772</v>
      </c>
      <c r="B1817" s="8" t="s">
        <v>16946</v>
      </c>
      <c r="C1817" s="2" t="s">
        <v>5772</v>
      </c>
      <c r="D1817" s="2" t="s">
        <v>5773</v>
      </c>
      <c r="E1817" s="4" t="s">
        <v>25192</v>
      </c>
      <c r="G1817" s="15" t="s">
        <v>25193</v>
      </c>
      <c r="H1817" s="15" t="s">
        <v>25194</v>
      </c>
      <c r="I1817" s="15" t="s">
        <v>25195</v>
      </c>
      <c r="J1817" s="15" t="s">
        <v>5772</v>
      </c>
      <c r="K1817" s="15">
        <v>14792</v>
      </c>
      <c r="L1817" s="15" t="s">
        <v>19995</v>
      </c>
    </row>
    <row r="1818" spans="1:20" x14ac:dyDescent="0.25">
      <c r="A1818" s="2" t="s">
        <v>5775</v>
      </c>
      <c r="B1818" s="8" t="s">
        <v>16947</v>
      </c>
      <c r="C1818" s="2" t="s">
        <v>5775</v>
      </c>
      <c r="D1818" s="2" t="s">
        <v>5776</v>
      </c>
      <c r="E1818" s="4" t="s">
        <v>25196</v>
      </c>
      <c r="G1818" s="15" t="s">
        <v>25197</v>
      </c>
      <c r="H1818" s="15" t="s">
        <v>25198</v>
      </c>
      <c r="I1818" s="15" t="s">
        <v>25199</v>
      </c>
      <c r="J1818" s="15" t="s">
        <v>25200</v>
      </c>
      <c r="K1818" s="15">
        <v>73981</v>
      </c>
      <c r="L1818" s="15" t="s">
        <v>19995</v>
      </c>
    </row>
    <row r="1819" spans="1:20" x14ac:dyDescent="0.25">
      <c r="A1819" s="2" t="s">
        <v>5778</v>
      </c>
      <c r="B1819" s="8" t="s">
        <v>16948</v>
      </c>
      <c r="C1819" s="2" t="s">
        <v>5778</v>
      </c>
      <c r="D1819" s="2" t="s">
        <v>5779</v>
      </c>
      <c r="E1819" s="4" t="s">
        <v>25201</v>
      </c>
      <c r="G1819" s="15" t="s">
        <v>25202</v>
      </c>
      <c r="H1819" s="15" t="s">
        <v>25203</v>
      </c>
      <c r="I1819" s="15" t="s">
        <v>25204</v>
      </c>
      <c r="J1819" s="15" t="s">
        <v>25205</v>
      </c>
      <c r="K1819" s="15">
        <v>61546</v>
      </c>
      <c r="L1819" s="15" t="s">
        <v>19099</v>
      </c>
    </row>
    <row r="1820" spans="1:20" x14ac:dyDescent="0.25">
      <c r="A1820" s="2" t="s">
        <v>5781</v>
      </c>
      <c r="B1820" s="8" t="s">
        <v>16949</v>
      </c>
      <c r="C1820" s="2" t="s">
        <v>5781</v>
      </c>
      <c r="D1820" s="2" t="s">
        <v>5782</v>
      </c>
      <c r="E1820" s="4" t="s">
        <v>5782</v>
      </c>
      <c r="G1820" s="15" t="s">
        <v>25206</v>
      </c>
      <c r="H1820" s="15" t="s">
        <v>25207</v>
      </c>
      <c r="I1820" s="15" t="s">
        <v>25208</v>
      </c>
      <c r="J1820" s="15" t="s">
        <v>25209</v>
      </c>
      <c r="K1820" s="15">
        <v>15629</v>
      </c>
      <c r="L1820" s="15" t="s">
        <v>19099</v>
      </c>
    </row>
    <row r="1821" spans="1:20" x14ac:dyDescent="0.25">
      <c r="A1821" s="2" t="s">
        <v>5784</v>
      </c>
      <c r="B1821" s="8" t="s">
        <v>16951</v>
      </c>
      <c r="C1821" s="2" t="s">
        <v>5784</v>
      </c>
      <c r="D1821" s="2" t="s">
        <v>5785</v>
      </c>
      <c r="E1821" s="4" t="s">
        <v>25210</v>
      </c>
      <c r="G1821" s="15" t="s">
        <v>25211</v>
      </c>
      <c r="H1821" s="15" t="s">
        <v>25212</v>
      </c>
      <c r="I1821" s="15" t="s">
        <v>25213</v>
      </c>
      <c r="J1821" s="15" t="s">
        <v>282</v>
      </c>
      <c r="K1821" s="15">
        <v>115131</v>
      </c>
      <c r="L1821" s="15" t="s">
        <v>19099</v>
      </c>
    </row>
    <row r="1822" spans="1:20" x14ac:dyDescent="0.25">
      <c r="A1822" s="2" t="s">
        <v>5787</v>
      </c>
      <c r="B1822" s="8" t="s">
        <v>16952</v>
      </c>
      <c r="C1822" s="2" t="s">
        <v>5787</v>
      </c>
      <c r="D1822" s="2" t="s">
        <v>5788</v>
      </c>
      <c r="E1822" s="4" t="s">
        <v>25214</v>
      </c>
      <c r="G1822" s="15" t="s">
        <v>25215</v>
      </c>
      <c r="H1822" s="15" t="s">
        <v>25216</v>
      </c>
      <c r="I1822" s="15" t="s">
        <v>25217</v>
      </c>
      <c r="J1822" s="15" t="s">
        <v>282</v>
      </c>
      <c r="K1822" s="15">
        <v>104743</v>
      </c>
      <c r="L1822" s="15" t="s">
        <v>19099</v>
      </c>
    </row>
    <row r="1823" spans="1:20" x14ac:dyDescent="0.25">
      <c r="A1823" s="2" t="s">
        <v>5790</v>
      </c>
      <c r="B1823" s="8" t="s">
        <v>16954</v>
      </c>
      <c r="C1823" s="2" t="s">
        <v>5790</v>
      </c>
      <c r="D1823" s="2" t="s">
        <v>5791</v>
      </c>
      <c r="E1823" s="4" t="s">
        <v>25218</v>
      </c>
      <c r="G1823" s="15" t="s">
        <v>25219</v>
      </c>
      <c r="H1823" s="15" t="s">
        <v>25220</v>
      </c>
      <c r="I1823" s="15" t="s">
        <v>25221</v>
      </c>
      <c r="J1823" s="15" t="s">
        <v>350</v>
      </c>
      <c r="K1823" s="15">
        <v>104976</v>
      </c>
      <c r="L1823" s="15" t="s">
        <v>19099</v>
      </c>
    </row>
    <row r="1824" spans="1:20" x14ac:dyDescent="0.25">
      <c r="A1824" s="2" t="s">
        <v>5793</v>
      </c>
      <c r="B1824" s="8" t="s">
        <v>16955</v>
      </c>
      <c r="C1824" s="2" t="s">
        <v>5793</v>
      </c>
      <c r="D1824" s="2" t="s">
        <v>5794</v>
      </c>
      <c r="E1824" s="4" t="s">
        <v>25222</v>
      </c>
      <c r="G1824" s="15" t="s">
        <v>25223</v>
      </c>
      <c r="H1824" s="15" t="s">
        <v>25224</v>
      </c>
      <c r="I1824" s="15" t="s">
        <v>25225</v>
      </c>
      <c r="J1824" s="15" t="s">
        <v>25226</v>
      </c>
      <c r="K1824" s="15">
        <v>14802</v>
      </c>
      <c r="L1824" s="15" t="s">
        <v>19099</v>
      </c>
    </row>
    <row r="1825" spans="1:20" x14ac:dyDescent="0.25">
      <c r="A1825" s="2" t="s">
        <v>5796</v>
      </c>
      <c r="B1825" s="8" t="s">
        <v>16957</v>
      </c>
      <c r="C1825" s="2" t="s">
        <v>5796</v>
      </c>
      <c r="D1825" s="2" t="s">
        <v>5797</v>
      </c>
      <c r="E1825" s="4" t="s">
        <v>25227</v>
      </c>
      <c r="G1825" s="15" t="s">
        <v>25228</v>
      </c>
      <c r="H1825" s="15" t="s">
        <v>25229</v>
      </c>
      <c r="I1825" s="15" t="s">
        <v>25230</v>
      </c>
      <c r="J1825" s="15" t="s">
        <v>25231</v>
      </c>
      <c r="K1825" s="15">
        <v>22286931</v>
      </c>
      <c r="L1825" s="15" t="s">
        <v>19099</v>
      </c>
    </row>
    <row r="1826" spans="1:20" x14ac:dyDescent="0.25">
      <c r="A1826" s="2" t="s">
        <v>5799</v>
      </c>
      <c r="B1826" s="8" t="s">
        <v>16958</v>
      </c>
      <c r="C1826" s="2" t="s">
        <v>5799</v>
      </c>
      <c r="D1826" s="2" t="s">
        <v>5800</v>
      </c>
      <c r="E1826" s="4" t="s">
        <v>25232</v>
      </c>
      <c r="G1826" s="15" t="s">
        <v>25233</v>
      </c>
      <c r="H1826" s="15" t="s">
        <v>25234</v>
      </c>
      <c r="I1826" s="15" t="s">
        <v>25235</v>
      </c>
      <c r="J1826" s="15" t="s">
        <v>19639</v>
      </c>
      <c r="K1826" s="15">
        <v>12277</v>
      </c>
      <c r="L1826" s="15" t="s">
        <v>19099</v>
      </c>
    </row>
    <row r="1827" spans="1:20" x14ac:dyDescent="0.25">
      <c r="A1827" s="2" t="s">
        <v>5802</v>
      </c>
      <c r="B1827" s="8" t="s">
        <v>16959</v>
      </c>
      <c r="C1827" s="2" t="s">
        <v>5802</v>
      </c>
      <c r="D1827" s="2" t="s">
        <v>5803</v>
      </c>
      <c r="E1827" s="4" t="s">
        <v>25236</v>
      </c>
      <c r="G1827" s="15" t="s">
        <v>25237</v>
      </c>
      <c r="H1827" s="15" t="s">
        <v>25238</v>
      </c>
      <c r="I1827" s="15" t="s">
        <v>25239</v>
      </c>
      <c r="J1827" s="15" t="s">
        <v>5802</v>
      </c>
      <c r="K1827" s="15">
        <v>947</v>
      </c>
      <c r="L1827" s="15" t="s">
        <v>19099</v>
      </c>
    </row>
    <row r="1828" spans="1:20" x14ac:dyDescent="0.25">
      <c r="A1828" s="2" t="s">
        <v>5805</v>
      </c>
      <c r="B1828" s="8" t="s">
        <v>16960</v>
      </c>
      <c r="C1828" s="2" t="s">
        <v>5805</v>
      </c>
      <c r="D1828" s="2" t="s">
        <v>5806</v>
      </c>
      <c r="E1828" s="4" t="s">
        <v>25240</v>
      </c>
      <c r="G1828" s="15" t="s">
        <v>5806</v>
      </c>
      <c r="H1828" s="15" t="s">
        <v>25241</v>
      </c>
      <c r="I1828" s="15" t="s">
        <v>25242</v>
      </c>
      <c r="J1828" s="15" t="s">
        <v>19833</v>
      </c>
      <c r="K1828" s="15">
        <v>69137</v>
      </c>
      <c r="L1828" s="15" t="s">
        <v>19099</v>
      </c>
    </row>
    <row r="1829" spans="1:20" x14ac:dyDescent="0.25">
      <c r="A1829" s="2" t="s">
        <v>5808</v>
      </c>
      <c r="B1829" s="8" t="s">
        <v>16961</v>
      </c>
      <c r="C1829" s="2" t="s">
        <v>5808</v>
      </c>
      <c r="D1829" s="2" t="s">
        <v>5809</v>
      </c>
      <c r="E1829" s="4" t="s">
        <v>25243</v>
      </c>
      <c r="G1829" s="15" t="s">
        <v>25244</v>
      </c>
      <c r="H1829" s="15" t="s">
        <v>25245</v>
      </c>
      <c r="I1829" s="15" t="s">
        <v>25246</v>
      </c>
      <c r="J1829" s="15" t="s">
        <v>5808</v>
      </c>
      <c r="K1829" s="15">
        <v>948</v>
      </c>
      <c r="L1829" s="15" t="s">
        <v>19099</v>
      </c>
    </row>
    <row r="1830" spans="1:20" x14ac:dyDescent="0.25">
      <c r="A1830" s="2" t="s">
        <v>5811</v>
      </c>
      <c r="B1830" s="8" t="s">
        <v>16962</v>
      </c>
      <c r="C1830" s="2" t="s">
        <v>5811</v>
      </c>
      <c r="D1830" s="2" t="s">
        <v>5812</v>
      </c>
      <c r="E1830" s="4" t="s">
        <v>25247</v>
      </c>
      <c r="G1830" s="15" t="s">
        <v>25248</v>
      </c>
      <c r="H1830" s="15" t="s">
        <v>25249</v>
      </c>
      <c r="I1830" s="15" t="s">
        <v>25250</v>
      </c>
      <c r="J1830" s="15" t="s">
        <v>25251</v>
      </c>
      <c r="K1830" s="15">
        <v>75407</v>
      </c>
      <c r="L1830" s="15" t="s">
        <v>19099</v>
      </c>
    </row>
    <row r="1831" spans="1:20" x14ac:dyDescent="0.25">
      <c r="A1831" s="2" t="s">
        <v>5814</v>
      </c>
      <c r="B1831" s="8" t="s">
        <v>16963</v>
      </c>
      <c r="C1831" s="2" t="s">
        <v>5814</v>
      </c>
      <c r="D1831" s="2" t="s">
        <v>5815</v>
      </c>
      <c r="E1831" s="4" t="s">
        <v>25252</v>
      </c>
      <c r="G1831" s="15" t="s">
        <v>5815</v>
      </c>
      <c r="H1831" s="15" t="s">
        <v>25253</v>
      </c>
      <c r="I1831" s="15" t="s">
        <v>25254</v>
      </c>
      <c r="J1831" s="15" t="s">
        <v>19833</v>
      </c>
      <c r="K1831" s="15">
        <v>69675</v>
      </c>
      <c r="L1831" s="15" t="s">
        <v>19099</v>
      </c>
    </row>
    <row r="1832" spans="1:20" x14ac:dyDescent="0.25">
      <c r="A1832" s="2" t="s">
        <v>5817</v>
      </c>
      <c r="B1832" s="8" t="s">
        <v>16964</v>
      </c>
      <c r="C1832" s="2" t="s">
        <v>5817</v>
      </c>
      <c r="D1832" s="2" t="s">
        <v>5818</v>
      </c>
      <c r="E1832" s="4" t="s">
        <v>25255</v>
      </c>
      <c r="G1832" s="15" t="s">
        <v>5818</v>
      </c>
      <c r="H1832" s="15" t="s">
        <v>25256</v>
      </c>
      <c r="I1832" s="15" t="s">
        <v>25257</v>
      </c>
      <c r="J1832" s="15" t="s">
        <v>19833</v>
      </c>
      <c r="K1832" s="15">
        <v>12165</v>
      </c>
      <c r="L1832" s="15" t="s">
        <v>19099</v>
      </c>
    </row>
    <row r="1833" spans="1:20" x14ac:dyDescent="0.25">
      <c r="A1833" s="2" t="s">
        <v>5820</v>
      </c>
      <c r="B1833" s="8" t="s">
        <v>16965</v>
      </c>
      <c r="C1833" s="2" t="s">
        <v>5820</v>
      </c>
      <c r="D1833" s="2" t="s">
        <v>5821</v>
      </c>
      <c r="E1833" s="4" t="s">
        <v>25258</v>
      </c>
      <c r="G1833" s="15" t="s">
        <v>25259</v>
      </c>
      <c r="H1833" s="15" t="s">
        <v>25260</v>
      </c>
      <c r="I1833" s="15" t="s">
        <v>25261</v>
      </c>
      <c r="J1833" s="15" t="s">
        <v>25262</v>
      </c>
      <c r="K1833" s="15">
        <v>109968</v>
      </c>
      <c r="L1833" s="15" t="s">
        <v>19099</v>
      </c>
    </row>
    <row r="1834" spans="1:20" x14ac:dyDescent="0.25">
      <c r="A1834" s="2" t="s">
        <v>5823</v>
      </c>
      <c r="B1834" s="8" t="s">
        <v>16966</v>
      </c>
      <c r="C1834" s="2" t="s">
        <v>5823</v>
      </c>
      <c r="D1834" s="2" t="s">
        <v>5824</v>
      </c>
      <c r="E1834" s="4" t="s">
        <v>25263</v>
      </c>
      <c r="G1834" s="15" t="s">
        <v>25263</v>
      </c>
      <c r="H1834" s="15" t="s">
        <v>25264</v>
      </c>
      <c r="I1834" s="15" t="s">
        <v>25265</v>
      </c>
      <c r="J1834" s="15" t="s">
        <v>23493</v>
      </c>
      <c r="K1834" s="15">
        <v>6582</v>
      </c>
      <c r="L1834" s="15" t="s">
        <v>19099</v>
      </c>
    </row>
    <row r="1835" spans="1:20" x14ac:dyDescent="0.25">
      <c r="A1835" s="2" t="s">
        <v>5826</v>
      </c>
      <c r="B1835" s="8" t="s">
        <v>16967</v>
      </c>
      <c r="C1835" s="2" t="s">
        <v>5826</v>
      </c>
      <c r="D1835" s="2" t="s">
        <v>5827</v>
      </c>
      <c r="E1835" s="4" t="s">
        <v>25266</v>
      </c>
      <c r="G1835" s="15" t="s">
        <v>25266</v>
      </c>
      <c r="H1835" s="15" t="s">
        <v>25267</v>
      </c>
      <c r="I1835" s="15" t="s">
        <v>25268</v>
      </c>
      <c r="J1835" s="15" t="s">
        <v>22652</v>
      </c>
      <c r="K1835" s="15">
        <v>6637</v>
      </c>
      <c r="L1835" s="15" t="s">
        <v>19099</v>
      </c>
    </row>
    <row r="1836" spans="1:20" x14ac:dyDescent="0.25">
      <c r="A1836" s="2" t="s">
        <v>5829</v>
      </c>
      <c r="B1836" s="8" t="s">
        <v>16968</v>
      </c>
      <c r="C1836" s="2" t="s">
        <v>5829</v>
      </c>
      <c r="D1836" s="2" t="s">
        <v>5830</v>
      </c>
      <c r="E1836" s="4" t="s">
        <v>25269</v>
      </c>
      <c r="G1836" s="15" t="s">
        <v>25270</v>
      </c>
      <c r="H1836" s="15" t="s">
        <v>25271</v>
      </c>
      <c r="I1836" s="15" t="s">
        <v>25272</v>
      </c>
      <c r="J1836" s="15" t="s">
        <v>25273</v>
      </c>
      <c r="K1836" s="15">
        <v>88399</v>
      </c>
      <c r="L1836" s="15" t="s">
        <v>19099</v>
      </c>
    </row>
    <row r="1837" spans="1:20" ht="30" customHeight="1" x14ac:dyDescent="0.25">
      <c r="A1837" s="2" t="s">
        <v>5832</v>
      </c>
      <c r="B1837" s="8" t="s">
        <v>16180</v>
      </c>
      <c r="C1837" s="2" t="s">
        <v>5832</v>
      </c>
      <c r="D1837" s="2" t="s">
        <v>5833</v>
      </c>
      <c r="E1837" s="4" t="s">
        <v>25274</v>
      </c>
      <c r="N1837" s="15" t="s">
        <v>21788</v>
      </c>
      <c r="O1837" s="15" t="s">
        <v>25275</v>
      </c>
      <c r="P1837" s="15" t="s">
        <v>25276</v>
      </c>
      <c r="Q1837" s="15" t="s">
        <v>25277</v>
      </c>
      <c r="R1837" s="15" t="s">
        <v>25278</v>
      </c>
      <c r="S1837" s="15">
        <v>5288998</v>
      </c>
      <c r="T1837" s="15" t="s">
        <v>19089</v>
      </c>
    </row>
    <row r="1838" spans="1:20" x14ac:dyDescent="0.25">
      <c r="A1838" s="2" t="s">
        <v>5834</v>
      </c>
      <c r="B1838" s="8" t="s">
        <v>16180</v>
      </c>
      <c r="C1838" s="2" t="s">
        <v>5834</v>
      </c>
      <c r="D1838" s="2" t="s">
        <v>5835</v>
      </c>
      <c r="E1838" s="4" t="s">
        <v>25279</v>
      </c>
    </row>
    <row r="1839" spans="1:20" x14ac:dyDescent="0.25">
      <c r="A1839" s="2" t="s">
        <v>5836</v>
      </c>
      <c r="B1839" s="8" t="s">
        <v>16180</v>
      </c>
      <c r="C1839" s="2" t="s">
        <v>5836</v>
      </c>
      <c r="D1839" s="2" t="s">
        <v>5837</v>
      </c>
      <c r="E1839" s="4" t="s">
        <v>25280</v>
      </c>
    </row>
    <row r="1840" spans="1:20" x14ac:dyDescent="0.25">
      <c r="A1840" s="2" t="s">
        <v>5838</v>
      </c>
      <c r="B1840" s="8" t="s">
        <v>16180</v>
      </c>
      <c r="C1840" s="2" t="s">
        <v>5838</v>
      </c>
      <c r="D1840" s="2" t="s">
        <v>5839</v>
      </c>
      <c r="E1840" s="4" t="s">
        <v>25281</v>
      </c>
    </row>
    <row r="1841" spans="1:20" x14ac:dyDescent="0.25">
      <c r="A1841" s="2" t="s">
        <v>5840</v>
      </c>
      <c r="B1841" s="8" t="s">
        <v>16180</v>
      </c>
      <c r="C1841" s="2" t="s">
        <v>5840</v>
      </c>
      <c r="D1841" s="2" t="s">
        <v>5841</v>
      </c>
      <c r="E1841" s="4" t="s">
        <v>25282</v>
      </c>
    </row>
    <row r="1842" spans="1:20" x14ac:dyDescent="0.25">
      <c r="A1842" s="2" t="s">
        <v>5842</v>
      </c>
      <c r="B1842" s="8" t="s">
        <v>16180</v>
      </c>
      <c r="C1842" s="2" t="s">
        <v>5842</v>
      </c>
      <c r="D1842" s="2" t="s">
        <v>5843</v>
      </c>
      <c r="E1842" s="4" t="s">
        <v>25283</v>
      </c>
    </row>
    <row r="1843" spans="1:20" x14ac:dyDescent="0.25">
      <c r="A1843" s="2" t="s">
        <v>5844</v>
      </c>
      <c r="B1843" s="8" t="s">
        <v>16969</v>
      </c>
      <c r="C1843" s="2" t="s">
        <v>5844</v>
      </c>
      <c r="D1843" s="2" t="s">
        <v>5845</v>
      </c>
      <c r="E1843" s="4" t="s">
        <v>25284</v>
      </c>
      <c r="G1843" s="15" t="s">
        <v>25284</v>
      </c>
      <c r="H1843" s="15" t="s">
        <v>25285</v>
      </c>
      <c r="I1843" s="15" t="s">
        <v>25286</v>
      </c>
      <c r="J1843" s="15" t="s">
        <v>25287</v>
      </c>
      <c r="K1843" s="15">
        <v>7671</v>
      </c>
      <c r="L1843" s="15" t="s">
        <v>19099</v>
      </c>
    </row>
    <row r="1844" spans="1:20" x14ac:dyDescent="0.25">
      <c r="A1844" s="2" t="s">
        <v>5847</v>
      </c>
      <c r="B1844" s="8" t="s">
        <v>16180</v>
      </c>
      <c r="C1844" s="2" t="s">
        <v>5847</v>
      </c>
      <c r="D1844" s="2" t="s">
        <v>5848</v>
      </c>
      <c r="E1844" s="4" t="s">
        <v>25288</v>
      </c>
      <c r="N1844" s="15" t="s">
        <v>21788</v>
      </c>
      <c r="O1844" s="15" t="s">
        <v>25289</v>
      </c>
      <c r="P1844" s="15" t="s">
        <v>25290</v>
      </c>
      <c r="Q1844" s="15" t="s">
        <v>25291</v>
      </c>
      <c r="R1844" s="15" t="s">
        <v>25292</v>
      </c>
      <c r="S1844" s="15">
        <v>4510</v>
      </c>
      <c r="T1844" s="15" t="s">
        <v>19089</v>
      </c>
    </row>
    <row r="1845" spans="1:20" x14ac:dyDescent="0.25">
      <c r="A1845" s="2" t="s">
        <v>5849</v>
      </c>
      <c r="B1845" s="8" t="s">
        <v>16970</v>
      </c>
      <c r="C1845" s="2" t="s">
        <v>5849</v>
      </c>
      <c r="D1845" s="2" t="s">
        <v>5850</v>
      </c>
      <c r="E1845" s="4" t="s">
        <v>25293</v>
      </c>
      <c r="G1845" s="15" t="s">
        <v>25294</v>
      </c>
      <c r="H1845" s="15" t="s">
        <v>25295</v>
      </c>
      <c r="I1845" s="15" t="s">
        <v>25296</v>
      </c>
      <c r="J1845" s="15" t="s">
        <v>25297</v>
      </c>
      <c r="K1845" s="15">
        <v>222</v>
      </c>
      <c r="L1845" s="15" t="s">
        <v>19099</v>
      </c>
    </row>
    <row r="1846" spans="1:20" x14ac:dyDescent="0.25">
      <c r="A1846" s="2" t="s">
        <v>5852</v>
      </c>
      <c r="B1846" s="8" t="s">
        <v>16972</v>
      </c>
      <c r="C1846" s="2" t="s">
        <v>5852</v>
      </c>
      <c r="D1846" s="2" t="s">
        <v>5853</v>
      </c>
      <c r="E1846" s="4" t="s">
        <v>25298</v>
      </c>
      <c r="G1846" s="15" t="s">
        <v>25299</v>
      </c>
      <c r="H1846" s="15" t="s">
        <v>25300</v>
      </c>
      <c r="I1846" s="15" t="s">
        <v>25301</v>
      </c>
      <c r="J1846" s="15" t="s">
        <v>25302</v>
      </c>
      <c r="K1846" s="15">
        <v>25517</v>
      </c>
      <c r="L1846" s="15" t="s">
        <v>19099</v>
      </c>
    </row>
    <row r="1847" spans="1:20" x14ac:dyDescent="0.25">
      <c r="A1847" s="2" t="s">
        <v>5855</v>
      </c>
      <c r="B1847" s="8" t="s">
        <v>16973</v>
      </c>
      <c r="C1847" s="2" t="s">
        <v>5855</v>
      </c>
      <c r="D1847" s="2" t="s">
        <v>5856</v>
      </c>
      <c r="E1847" s="4" t="s">
        <v>25303</v>
      </c>
      <c r="G1847" s="15" t="s">
        <v>25304</v>
      </c>
      <c r="H1847" s="15" t="s">
        <v>25305</v>
      </c>
      <c r="I1847" s="15" t="s">
        <v>25306</v>
      </c>
      <c r="J1847" s="15" t="s">
        <v>25307</v>
      </c>
      <c r="K1847" s="15">
        <v>24639</v>
      </c>
      <c r="L1847" s="15" t="s">
        <v>19099</v>
      </c>
    </row>
    <row r="1848" spans="1:20" x14ac:dyDescent="0.25">
      <c r="A1848" s="2" t="s">
        <v>5858</v>
      </c>
      <c r="B1848" s="8" t="s">
        <v>16974</v>
      </c>
      <c r="C1848" s="2" t="s">
        <v>5858</v>
      </c>
      <c r="D1848" s="2" t="s">
        <v>5859</v>
      </c>
      <c r="E1848" s="4" t="s">
        <v>25308</v>
      </c>
      <c r="G1848" s="15" t="s">
        <v>25309</v>
      </c>
      <c r="H1848" s="15" t="s">
        <v>25310</v>
      </c>
      <c r="I1848" s="15" t="s">
        <v>25311</v>
      </c>
      <c r="J1848" s="15" t="s">
        <v>25312</v>
      </c>
      <c r="K1848" s="15">
        <v>14923</v>
      </c>
      <c r="L1848" s="15" t="s">
        <v>19099</v>
      </c>
    </row>
    <row r="1849" spans="1:20" x14ac:dyDescent="0.25">
      <c r="A1849" s="2" t="s">
        <v>5861</v>
      </c>
      <c r="B1849" s="8" t="s">
        <v>16180</v>
      </c>
      <c r="C1849" s="2" t="s">
        <v>5861</v>
      </c>
      <c r="D1849" s="2" t="s">
        <v>5862</v>
      </c>
      <c r="E1849" s="4" t="s">
        <v>25313</v>
      </c>
    </row>
    <row r="1850" spans="1:20" x14ac:dyDescent="0.25">
      <c r="A1850" s="2" t="s">
        <v>5863</v>
      </c>
      <c r="B1850" s="8" t="s">
        <v>16180</v>
      </c>
      <c r="C1850" s="2" t="s">
        <v>5863</v>
      </c>
      <c r="D1850" s="2" t="s">
        <v>5864</v>
      </c>
      <c r="E1850" s="4" t="s">
        <v>25314</v>
      </c>
    </row>
    <row r="1851" spans="1:20" x14ac:dyDescent="0.25">
      <c r="A1851" s="2" t="s">
        <v>5865</v>
      </c>
      <c r="B1851" s="8" t="s">
        <v>16180</v>
      </c>
      <c r="C1851" s="2" t="s">
        <v>5865</v>
      </c>
      <c r="D1851" s="2" t="s">
        <v>5866</v>
      </c>
      <c r="E1851" s="4" t="s">
        <v>25315</v>
      </c>
    </row>
    <row r="1852" spans="1:20" x14ac:dyDescent="0.25">
      <c r="A1852" s="2" t="s">
        <v>5867</v>
      </c>
      <c r="B1852" s="8" t="s">
        <v>16180</v>
      </c>
      <c r="C1852" s="2" t="s">
        <v>5867</v>
      </c>
      <c r="D1852" s="2" t="s">
        <v>5868</v>
      </c>
      <c r="E1852" s="4" t="s">
        <v>25316</v>
      </c>
    </row>
    <row r="1853" spans="1:20" x14ac:dyDescent="0.25">
      <c r="A1853" s="2" t="s">
        <v>5869</v>
      </c>
      <c r="B1853" s="8" t="s">
        <v>16975</v>
      </c>
      <c r="C1853" s="2" t="s">
        <v>5869</v>
      </c>
      <c r="D1853" s="2" t="s">
        <v>5870</v>
      </c>
      <c r="E1853" s="4" t="s">
        <v>25317</v>
      </c>
      <c r="G1853" s="15" t="s">
        <v>5870</v>
      </c>
      <c r="H1853" s="15" t="s">
        <v>25318</v>
      </c>
      <c r="I1853" s="15" t="s">
        <v>25319</v>
      </c>
      <c r="J1853" s="15" t="s">
        <v>19998</v>
      </c>
      <c r="K1853" s="15">
        <v>11869</v>
      </c>
      <c r="L1853" s="15" t="s">
        <v>19099</v>
      </c>
    </row>
    <row r="1854" spans="1:20" x14ac:dyDescent="0.25">
      <c r="A1854" s="2" t="s">
        <v>5872</v>
      </c>
      <c r="B1854" s="8" t="s">
        <v>16976</v>
      </c>
      <c r="C1854" s="2" t="s">
        <v>5872</v>
      </c>
      <c r="D1854" s="2" t="s">
        <v>5873</v>
      </c>
      <c r="E1854" s="4" t="s">
        <v>25320</v>
      </c>
      <c r="G1854" s="15" t="s">
        <v>5873</v>
      </c>
      <c r="H1854" s="15" t="s">
        <v>25321</v>
      </c>
      <c r="I1854" s="15" t="s">
        <v>25322</v>
      </c>
      <c r="J1854" s="15" t="s">
        <v>19998</v>
      </c>
      <c r="K1854" s="15">
        <v>8488</v>
      </c>
      <c r="L1854" s="15" t="s">
        <v>19099</v>
      </c>
    </row>
    <row r="1855" spans="1:20" x14ac:dyDescent="0.25">
      <c r="A1855" s="2" t="s">
        <v>5875</v>
      </c>
      <c r="B1855" s="8" t="s">
        <v>16977</v>
      </c>
      <c r="C1855" s="2" t="s">
        <v>5875</v>
      </c>
      <c r="D1855" s="2" t="s">
        <v>5876</v>
      </c>
      <c r="E1855" s="4" t="s">
        <v>25323</v>
      </c>
      <c r="G1855" s="15" t="s">
        <v>5876</v>
      </c>
      <c r="H1855" s="15" t="s">
        <v>25324</v>
      </c>
      <c r="I1855" s="15" t="s">
        <v>25325</v>
      </c>
      <c r="J1855" s="15" t="s">
        <v>19998</v>
      </c>
      <c r="K1855" s="15">
        <v>7471</v>
      </c>
      <c r="L1855" s="15" t="s">
        <v>19099</v>
      </c>
    </row>
    <row r="1856" spans="1:20" x14ac:dyDescent="0.25">
      <c r="A1856" s="2" t="s">
        <v>5878</v>
      </c>
      <c r="B1856" s="8" t="s">
        <v>16978</v>
      </c>
      <c r="C1856" s="2" t="s">
        <v>5878</v>
      </c>
      <c r="D1856" s="2" t="s">
        <v>5879</v>
      </c>
      <c r="E1856" s="4" t="s">
        <v>25326</v>
      </c>
      <c r="G1856" s="15" t="s">
        <v>25327</v>
      </c>
      <c r="H1856" s="15" t="s">
        <v>25328</v>
      </c>
      <c r="I1856" s="15" t="s">
        <v>25329</v>
      </c>
      <c r="J1856" s="15" t="s">
        <v>25330</v>
      </c>
      <c r="K1856" s="15">
        <v>8168</v>
      </c>
      <c r="L1856" s="15" t="s">
        <v>19099</v>
      </c>
    </row>
    <row r="1857" spans="1:12" x14ac:dyDescent="0.25">
      <c r="A1857" s="2" t="s">
        <v>5881</v>
      </c>
      <c r="B1857" s="8" t="s">
        <v>16979</v>
      </c>
      <c r="C1857" s="2" t="s">
        <v>5881</v>
      </c>
      <c r="D1857" s="2" t="s">
        <v>5882</v>
      </c>
      <c r="E1857" s="4" t="s">
        <v>25331</v>
      </c>
      <c r="G1857" s="15" t="s">
        <v>5882</v>
      </c>
      <c r="H1857" s="15" t="s">
        <v>25332</v>
      </c>
      <c r="I1857" s="15" t="s">
        <v>25333</v>
      </c>
      <c r="J1857" s="15" t="s">
        <v>19833</v>
      </c>
      <c r="K1857" s="15">
        <v>949</v>
      </c>
      <c r="L1857" s="15" t="s">
        <v>19099</v>
      </c>
    </row>
    <row r="1858" spans="1:12" x14ac:dyDescent="0.25">
      <c r="A1858" s="2" t="s">
        <v>5884</v>
      </c>
      <c r="B1858" s="8" t="s">
        <v>16980</v>
      </c>
      <c r="C1858" s="2" t="s">
        <v>5884</v>
      </c>
      <c r="D1858" s="2" t="s">
        <v>5885</v>
      </c>
      <c r="E1858" s="4" t="s">
        <v>25334</v>
      </c>
      <c r="G1858" s="15" t="s">
        <v>5885</v>
      </c>
      <c r="H1858" s="15" t="s">
        <v>25335</v>
      </c>
      <c r="I1858" s="15" t="s">
        <v>25336</v>
      </c>
      <c r="J1858" s="15" t="s">
        <v>20396</v>
      </c>
      <c r="K1858" s="15">
        <v>7061</v>
      </c>
      <c r="L1858" s="15" t="s">
        <v>19099</v>
      </c>
    </row>
    <row r="1859" spans="1:12" x14ac:dyDescent="0.25">
      <c r="A1859" s="2" t="s">
        <v>5887</v>
      </c>
      <c r="B1859" s="8" t="s">
        <v>16981</v>
      </c>
      <c r="C1859" s="2" t="s">
        <v>5887</v>
      </c>
      <c r="D1859" s="2" t="s">
        <v>5888</v>
      </c>
      <c r="E1859" s="4" t="s">
        <v>25337</v>
      </c>
      <c r="G1859" s="15" t="s">
        <v>5888</v>
      </c>
      <c r="H1859" s="15" t="s">
        <v>25338</v>
      </c>
      <c r="I1859" s="15" t="s">
        <v>25339</v>
      </c>
      <c r="J1859" s="15" t="s">
        <v>25340</v>
      </c>
      <c r="K1859" s="15">
        <v>12975</v>
      </c>
      <c r="L1859" s="15" t="s">
        <v>19099</v>
      </c>
    </row>
    <row r="1860" spans="1:12" x14ac:dyDescent="0.25">
      <c r="A1860" s="2" t="s">
        <v>5890</v>
      </c>
      <c r="B1860" s="8" t="s">
        <v>16982</v>
      </c>
      <c r="C1860" s="2" t="s">
        <v>5890</v>
      </c>
      <c r="D1860" s="2" t="s">
        <v>5891</v>
      </c>
      <c r="E1860" s="4" t="s">
        <v>25341</v>
      </c>
      <c r="G1860" s="15" t="s">
        <v>25342</v>
      </c>
      <c r="H1860" s="15" t="s">
        <v>25343</v>
      </c>
      <c r="I1860" s="15" t="s">
        <v>25344</v>
      </c>
      <c r="J1860" s="15" t="s">
        <v>25345</v>
      </c>
      <c r="K1860" s="15">
        <v>37829</v>
      </c>
      <c r="L1860" s="15" t="s">
        <v>19099</v>
      </c>
    </row>
    <row r="1861" spans="1:12" x14ac:dyDescent="0.25">
      <c r="A1861" s="2" t="s">
        <v>5893</v>
      </c>
      <c r="B1861" s="8" t="s">
        <v>16983</v>
      </c>
      <c r="C1861" s="2" t="s">
        <v>5893</v>
      </c>
      <c r="D1861" s="2" t="s">
        <v>5894</v>
      </c>
      <c r="E1861" s="4" t="s">
        <v>25346</v>
      </c>
      <c r="G1861" s="15" t="s">
        <v>25347</v>
      </c>
      <c r="H1861" s="15" t="s">
        <v>25348</v>
      </c>
      <c r="I1861" s="15" t="s">
        <v>25349</v>
      </c>
      <c r="J1861" s="15" t="s">
        <v>25350</v>
      </c>
      <c r="K1861" s="15">
        <v>6046</v>
      </c>
      <c r="L1861" s="15" t="s">
        <v>19099</v>
      </c>
    </row>
    <row r="1862" spans="1:12" x14ac:dyDescent="0.25">
      <c r="A1862" s="2" t="s">
        <v>5896</v>
      </c>
      <c r="B1862" s="8" t="s">
        <v>16984</v>
      </c>
      <c r="C1862" s="2" t="s">
        <v>5896</v>
      </c>
      <c r="D1862" s="2" t="s">
        <v>5897</v>
      </c>
      <c r="E1862" s="4" t="s">
        <v>25351</v>
      </c>
      <c r="G1862" s="15" t="s">
        <v>25352</v>
      </c>
      <c r="H1862" s="15" t="s">
        <v>25353</v>
      </c>
      <c r="I1862" s="15" t="s">
        <v>25354</v>
      </c>
      <c r="J1862" s="15" t="s">
        <v>19639</v>
      </c>
      <c r="K1862" s="15">
        <v>8085</v>
      </c>
      <c r="L1862" s="15" t="s">
        <v>19099</v>
      </c>
    </row>
    <row r="1863" spans="1:12" ht="30" customHeight="1" x14ac:dyDescent="0.25">
      <c r="A1863" s="2" t="s">
        <v>5899</v>
      </c>
      <c r="B1863" s="8" t="s">
        <v>16985</v>
      </c>
      <c r="C1863" s="2" t="s">
        <v>5899</v>
      </c>
      <c r="D1863" s="2" t="s">
        <v>5900</v>
      </c>
      <c r="E1863" s="4" t="s">
        <v>25355</v>
      </c>
      <c r="G1863" s="15" t="s">
        <v>25356</v>
      </c>
      <c r="H1863" s="15" t="s">
        <v>25357</v>
      </c>
      <c r="I1863" s="15" t="s">
        <v>25358</v>
      </c>
      <c r="J1863" s="15" t="s">
        <v>25359</v>
      </c>
      <c r="K1863" s="15">
        <v>108344</v>
      </c>
      <c r="L1863" s="15" t="s">
        <v>19099</v>
      </c>
    </row>
    <row r="1864" spans="1:12" x14ac:dyDescent="0.25">
      <c r="A1864" s="2" t="s">
        <v>5902</v>
      </c>
      <c r="B1864" s="8" t="s">
        <v>16987</v>
      </c>
      <c r="C1864" s="2" t="s">
        <v>5902</v>
      </c>
      <c r="D1864" s="2" t="s">
        <v>5903</v>
      </c>
      <c r="E1864" s="4" t="s">
        <v>25360</v>
      </c>
      <c r="G1864" s="15" t="s">
        <v>25360</v>
      </c>
      <c r="H1864" s="15" t="s">
        <v>25361</v>
      </c>
      <c r="I1864" s="15" t="s">
        <v>25362</v>
      </c>
      <c r="J1864" s="15" t="s">
        <v>25363</v>
      </c>
      <c r="K1864" s="15">
        <v>7416</v>
      </c>
      <c r="L1864" s="15" t="s">
        <v>19099</v>
      </c>
    </row>
    <row r="1865" spans="1:12" x14ac:dyDescent="0.25">
      <c r="A1865" s="2" t="s">
        <v>5905</v>
      </c>
      <c r="B1865" s="8" t="s">
        <v>16988</v>
      </c>
      <c r="C1865" s="2" t="s">
        <v>5905</v>
      </c>
      <c r="D1865" s="2" t="s">
        <v>5906</v>
      </c>
      <c r="E1865" s="4" t="s">
        <v>5906</v>
      </c>
      <c r="G1865" s="15" t="s">
        <v>25364</v>
      </c>
      <c r="H1865" s="15" t="s">
        <v>25365</v>
      </c>
      <c r="I1865" s="15" t="s">
        <v>25366</v>
      </c>
      <c r="J1865" s="15" t="s">
        <v>25367</v>
      </c>
      <c r="K1865" s="15">
        <v>44263835</v>
      </c>
      <c r="L1865" s="15" t="s">
        <v>19099</v>
      </c>
    </row>
    <row r="1866" spans="1:12" x14ac:dyDescent="0.25">
      <c r="A1866" s="2" t="s">
        <v>5908</v>
      </c>
      <c r="B1866" s="8" t="s">
        <v>16989</v>
      </c>
      <c r="C1866" s="2" t="s">
        <v>5908</v>
      </c>
      <c r="D1866" s="2" t="s">
        <v>5909</v>
      </c>
      <c r="E1866" s="4" t="s">
        <v>5909</v>
      </c>
      <c r="G1866" s="15" t="s">
        <v>25368</v>
      </c>
      <c r="H1866" s="15" t="s">
        <v>25369</v>
      </c>
      <c r="I1866" s="15" t="s">
        <v>25370</v>
      </c>
      <c r="J1866" s="15" t="s">
        <v>25371</v>
      </c>
      <c r="K1866" s="15">
        <v>15787</v>
      </c>
      <c r="L1866" s="15" t="s">
        <v>19099</v>
      </c>
    </row>
    <row r="1867" spans="1:12" x14ac:dyDescent="0.25">
      <c r="A1867" s="2" t="s">
        <v>5911</v>
      </c>
      <c r="B1867" s="8" t="s">
        <v>16990</v>
      </c>
      <c r="C1867" s="2" t="s">
        <v>5911</v>
      </c>
      <c r="D1867" s="2" t="s">
        <v>5912</v>
      </c>
      <c r="E1867" s="4" t="s">
        <v>25372</v>
      </c>
      <c r="G1867" s="15" t="s">
        <v>25289</v>
      </c>
      <c r="H1867" s="15" t="s">
        <v>25290</v>
      </c>
      <c r="I1867" s="15" t="s">
        <v>25291</v>
      </c>
      <c r="J1867" s="15" t="s">
        <v>25292</v>
      </c>
      <c r="K1867" s="15">
        <v>4510</v>
      </c>
      <c r="L1867" s="15" t="s">
        <v>19099</v>
      </c>
    </row>
    <row r="1868" spans="1:12" x14ac:dyDescent="0.25">
      <c r="A1868" s="2" t="s">
        <v>5914</v>
      </c>
      <c r="B1868" s="8" t="s">
        <v>16180</v>
      </c>
      <c r="C1868" s="2" t="s">
        <v>5914</v>
      </c>
      <c r="D1868" s="2" t="s">
        <v>5915</v>
      </c>
      <c r="E1868" s="4" t="s">
        <v>25373</v>
      </c>
    </row>
    <row r="1869" spans="1:12" x14ac:dyDescent="0.25">
      <c r="A1869" s="2" t="s">
        <v>5916</v>
      </c>
      <c r="B1869" s="8" t="s">
        <v>16180</v>
      </c>
      <c r="C1869" s="2" t="s">
        <v>5916</v>
      </c>
      <c r="D1869" s="2" t="s">
        <v>5917</v>
      </c>
      <c r="E1869" s="4" t="s">
        <v>25374</v>
      </c>
    </row>
    <row r="1870" spans="1:12" x14ac:dyDescent="0.25">
      <c r="A1870" s="2" t="s">
        <v>5918</v>
      </c>
      <c r="B1870" s="8" t="s">
        <v>16992</v>
      </c>
      <c r="C1870" s="2" t="s">
        <v>5918</v>
      </c>
      <c r="D1870" s="2" t="s">
        <v>5919</v>
      </c>
      <c r="E1870" s="4" t="s">
        <v>5919</v>
      </c>
      <c r="G1870" s="15" t="s">
        <v>25375</v>
      </c>
      <c r="H1870" s="15" t="s">
        <v>25376</v>
      </c>
      <c r="I1870" s="15" t="s">
        <v>25377</v>
      </c>
      <c r="J1870" s="15" t="s">
        <v>25378</v>
      </c>
      <c r="K1870" s="15">
        <v>12613538</v>
      </c>
      <c r="L1870" s="15" t="s">
        <v>19099</v>
      </c>
    </row>
    <row r="1871" spans="1:12" x14ac:dyDescent="0.25">
      <c r="A1871" s="2" t="s">
        <v>5921</v>
      </c>
      <c r="B1871" s="8" t="s">
        <v>16993</v>
      </c>
      <c r="C1871" s="2" t="s">
        <v>5921</v>
      </c>
      <c r="D1871" s="2" t="s">
        <v>5922</v>
      </c>
      <c r="E1871" s="4" t="s">
        <v>5922</v>
      </c>
      <c r="G1871" s="15" t="s">
        <v>25379</v>
      </c>
      <c r="H1871" s="15" t="s">
        <v>25380</v>
      </c>
      <c r="I1871" s="15" t="s">
        <v>25381</v>
      </c>
      <c r="J1871" s="15" t="s">
        <v>25382</v>
      </c>
      <c r="K1871" s="15">
        <v>7526</v>
      </c>
      <c r="L1871" s="15" t="s">
        <v>19099</v>
      </c>
    </row>
    <row r="1872" spans="1:12" x14ac:dyDescent="0.25">
      <c r="A1872" s="2" t="s">
        <v>5924</v>
      </c>
      <c r="B1872" s="8" t="s">
        <v>16994</v>
      </c>
      <c r="C1872" s="2" t="s">
        <v>5924</v>
      </c>
      <c r="D1872" s="2" t="s">
        <v>5925</v>
      </c>
      <c r="E1872" s="4" t="s">
        <v>5925</v>
      </c>
      <c r="G1872" s="15" t="s">
        <v>25383</v>
      </c>
      <c r="H1872" s="15" t="s">
        <v>25384</v>
      </c>
      <c r="I1872" s="15" t="s">
        <v>25385</v>
      </c>
      <c r="J1872" s="15" t="s">
        <v>25386</v>
      </c>
      <c r="K1872" s="15">
        <v>13591</v>
      </c>
      <c r="L1872" s="15" t="s">
        <v>19099</v>
      </c>
    </row>
    <row r="1873" spans="1:12" x14ac:dyDescent="0.25">
      <c r="A1873" s="2" t="s">
        <v>5927</v>
      </c>
      <c r="B1873" s="8" t="s">
        <v>16180</v>
      </c>
      <c r="C1873" s="2" t="s">
        <v>5927</v>
      </c>
      <c r="D1873" s="2" t="s">
        <v>5928</v>
      </c>
      <c r="E1873" s="4" t="s">
        <v>25387</v>
      </c>
      <c r="G1873" s="15" t="s">
        <v>25388</v>
      </c>
      <c r="H1873" s="15" t="s">
        <v>25389</v>
      </c>
      <c r="I1873" s="15" t="s">
        <v>25390</v>
      </c>
      <c r="J1873" s="15" t="s">
        <v>25391</v>
      </c>
      <c r="K1873" s="15">
        <v>787</v>
      </c>
      <c r="L1873" s="15" t="s">
        <v>19995</v>
      </c>
    </row>
    <row r="1874" spans="1:12" x14ac:dyDescent="0.25">
      <c r="A1874" s="2" t="s">
        <v>5929</v>
      </c>
      <c r="B1874" s="8" t="s">
        <v>16180</v>
      </c>
      <c r="C1874" s="2" t="s">
        <v>5929</v>
      </c>
      <c r="D1874" s="2" t="s">
        <v>5930</v>
      </c>
      <c r="E1874" s="4" t="s">
        <v>25392</v>
      </c>
    </row>
    <row r="1875" spans="1:12" x14ac:dyDescent="0.25">
      <c r="A1875" s="2" t="s">
        <v>5931</v>
      </c>
      <c r="B1875" s="8" t="s">
        <v>16995</v>
      </c>
      <c r="C1875" s="2" t="s">
        <v>5931</v>
      </c>
      <c r="D1875" s="2" t="s">
        <v>5932</v>
      </c>
      <c r="E1875" s="4" t="s">
        <v>25393</v>
      </c>
      <c r="G1875" s="15" t="s">
        <v>19901</v>
      </c>
      <c r="H1875" s="15" t="s">
        <v>19902</v>
      </c>
      <c r="I1875" s="15" t="s">
        <v>19903</v>
      </c>
      <c r="J1875" s="15" t="s">
        <v>19904</v>
      </c>
      <c r="K1875" s="15">
        <v>24773</v>
      </c>
      <c r="L1875" s="15" t="s">
        <v>19099</v>
      </c>
    </row>
    <row r="1876" spans="1:12" x14ac:dyDescent="0.25">
      <c r="A1876" s="2" t="s">
        <v>5934</v>
      </c>
      <c r="B1876" s="8" t="s">
        <v>16996</v>
      </c>
      <c r="C1876" s="2" t="s">
        <v>5934</v>
      </c>
      <c r="D1876" s="2" t="s">
        <v>5935</v>
      </c>
      <c r="E1876" s="4" t="s">
        <v>25394</v>
      </c>
      <c r="G1876" s="15" t="s">
        <v>25395</v>
      </c>
      <c r="H1876" s="15" t="s">
        <v>25396</v>
      </c>
      <c r="I1876" s="15" t="s">
        <v>25397</v>
      </c>
      <c r="J1876" s="15" t="s">
        <v>19904</v>
      </c>
      <c r="K1876" s="15">
        <v>3032832</v>
      </c>
      <c r="L1876" s="15" t="s">
        <v>19099</v>
      </c>
    </row>
    <row r="1877" spans="1:12" x14ac:dyDescent="0.25">
      <c r="A1877" s="2" t="s">
        <v>5937</v>
      </c>
      <c r="B1877" s="8" t="s">
        <v>16997</v>
      </c>
      <c r="C1877" s="2" t="s">
        <v>5937</v>
      </c>
      <c r="D1877" s="2" t="s">
        <v>5938</v>
      </c>
      <c r="E1877" s="4" t="s">
        <v>25398</v>
      </c>
      <c r="G1877" s="15" t="s">
        <v>25399</v>
      </c>
      <c r="H1877" s="15" t="s">
        <v>25400</v>
      </c>
      <c r="I1877" s="15" t="s">
        <v>25401</v>
      </c>
      <c r="J1877" s="15" t="s">
        <v>25402</v>
      </c>
      <c r="K1877" s="15">
        <v>176451</v>
      </c>
      <c r="L1877" s="15" t="s">
        <v>19099</v>
      </c>
    </row>
    <row r="1878" spans="1:12" x14ac:dyDescent="0.25">
      <c r="A1878" s="2" t="s">
        <v>5940</v>
      </c>
      <c r="B1878" s="8" t="s">
        <v>16998</v>
      </c>
      <c r="C1878" s="2" t="s">
        <v>5940</v>
      </c>
      <c r="D1878" s="2" t="s">
        <v>5941</v>
      </c>
      <c r="E1878" s="4" t="s">
        <v>25403</v>
      </c>
      <c r="G1878" s="15" t="s">
        <v>25404</v>
      </c>
      <c r="H1878" s="15" t="s">
        <v>25405</v>
      </c>
      <c r="I1878" s="15" t="s">
        <v>25406</v>
      </c>
      <c r="J1878" s="15" t="s">
        <v>25407</v>
      </c>
      <c r="K1878" s="15">
        <v>176452</v>
      </c>
      <c r="L1878" s="15" t="s">
        <v>19099</v>
      </c>
    </row>
    <row r="1879" spans="1:12" x14ac:dyDescent="0.25">
      <c r="A1879" s="2" t="s">
        <v>5943</v>
      </c>
      <c r="B1879" s="8" t="s">
        <v>16999</v>
      </c>
      <c r="C1879" s="2" t="s">
        <v>5943</v>
      </c>
      <c r="D1879" s="2" t="s">
        <v>5944</v>
      </c>
      <c r="E1879" s="4" t="s">
        <v>25408</v>
      </c>
      <c r="G1879" s="15" t="s">
        <v>25409</v>
      </c>
      <c r="H1879" s="15" t="s">
        <v>25410</v>
      </c>
      <c r="I1879" s="15" t="s">
        <v>25411</v>
      </c>
      <c r="J1879" s="15" t="s">
        <v>25412</v>
      </c>
      <c r="K1879" s="15">
        <v>168503</v>
      </c>
      <c r="L1879" s="15" t="s">
        <v>19099</v>
      </c>
    </row>
    <row r="1880" spans="1:12" x14ac:dyDescent="0.25">
      <c r="A1880" s="2" t="s">
        <v>5946</v>
      </c>
      <c r="B1880" s="8" t="s">
        <v>17000</v>
      </c>
      <c r="C1880" s="2" t="s">
        <v>5946</v>
      </c>
      <c r="D1880" s="2" t="s">
        <v>5947</v>
      </c>
      <c r="E1880" s="4" t="s">
        <v>25413</v>
      </c>
      <c r="G1880" s="15" t="s">
        <v>25414</v>
      </c>
      <c r="H1880" s="15" t="s">
        <v>25415</v>
      </c>
      <c r="I1880" s="15" t="s">
        <v>25416</v>
      </c>
      <c r="J1880" s="15" t="s">
        <v>25417</v>
      </c>
      <c r="K1880" s="15">
        <v>168665</v>
      </c>
      <c r="L1880" s="15" t="s">
        <v>19099</v>
      </c>
    </row>
    <row r="1881" spans="1:12" x14ac:dyDescent="0.25">
      <c r="A1881" s="2" t="s">
        <v>5949</v>
      </c>
      <c r="B1881" s="8" t="s">
        <v>17001</v>
      </c>
      <c r="C1881" s="2" t="s">
        <v>5949</v>
      </c>
      <c r="D1881" s="2" t="s">
        <v>5950</v>
      </c>
      <c r="E1881" s="4" t="s">
        <v>25418</v>
      </c>
      <c r="G1881" s="15" t="s">
        <v>25419</v>
      </c>
      <c r="H1881" s="15" t="s">
        <v>25420</v>
      </c>
      <c r="I1881" s="15" t="s">
        <v>25421</v>
      </c>
      <c r="J1881" s="15" t="s">
        <v>25422</v>
      </c>
      <c r="K1881" s="15">
        <v>72384</v>
      </c>
      <c r="L1881" s="15" t="s">
        <v>19099</v>
      </c>
    </row>
    <row r="1882" spans="1:12" x14ac:dyDescent="0.25">
      <c r="A1882" s="2" t="s">
        <v>5952</v>
      </c>
      <c r="B1882" s="8" t="s">
        <v>17002</v>
      </c>
      <c r="C1882" s="2" t="s">
        <v>5952</v>
      </c>
      <c r="D1882" s="2" t="s">
        <v>5953</v>
      </c>
      <c r="E1882" s="4" t="s">
        <v>25423</v>
      </c>
      <c r="G1882" s="15" t="s">
        <v>25424</v>
      </c>
      <c r="H1882" s="15" t="s">
        <v>25425</v>
      </c>
      <c r="I1882" s="15" t="s">
        <v>25426</v>
      </c>
      <c r="J1882" s="15" t="s">
        <v>25427</v>
      </c>
      <c r="K1882" s="15">
        <v>8758</v>
      </c>
      <c r="L1882" s="15" t="s">
        <v>19099</v>
      </c>
    </row>
    <row r="1883" spans="1:12" x14ac:dyDescent="0.25">
      <c r="A1883" s="2" t="s">
        <v>5955</v>
      </c>
      <c r="B1883" s="8" t="s">
        <v>17003</v>
      </c>
      <c r="C1883" s="2" t="s">
        <v>5955</v>
      </c>
      <c r="D1883" s="2" t="s">
        <v>5956</v>
      </c>
      <c r="E1883" s="4" t="s">
        <v>25428</v>
      </c>
      <c r="H1883" s="15" t="s">
        <v>25429</v>
      </c>
      <c r="I1883" s="15" t="s">
        <v>25430</v>
      </c>
      <c r="J1883" s="15" t="s">
        <v>25431</v>
      </c>
      <c r="K1883" s="15">
        <v>61437</v>
      </c>
      <c r="L1883" s="15" t="s">
        <v>19099</v>
      </c>
    </row>
    <row r="1884" spans="1:12" x14ac:dyDescent="0.25">
      <c r="A1884" s="2" t="s">
        <v>5958</v>
      </c>
      <c r="B1884" s="8" t="s">
        <v>16180</v>
      </c>
      <c r="C1884" s="2" t="s">
        <v>5958</v>
      </c>
      <c r="D1884" s="2" t="s">
        <v>5959</v>
      </c>
      <c r="E1884" s="4" t="s">
        <v>25432</v>
      </c>
    </row>
    <row r="1885" spans="1:12" x14ac:dyDescent="0.25">
      <c r="A1885" s="2" t="s">
        <v>5960</v>
      </c>
      <c r="B1885" s="8" t="s">
        <v>16180</v>
      </c>
      <c r="C1885" s="2" t="s">
        <v>5960</v>
      </c>
      <c r="D1885" s="2" t="s">
        <v>5961</v>
      </c>
      <c r="E1885" s="4" t="s">
        <v>25433</v>
      </c>
    </row>
    <row r="1886" spans="1:12" x14ac:dyDescent="0.25">
      <c r="A1886" s="2" t="s">
        <v>5962</v>
      </c>
      <c r="B1886" s="8" t="s">
        <v>16180</v>
      </c>
      <c r="C1886" s="2" t="s">
        <v>5962</v>
      </c>
      <c r="D1886" s="2" t="s">
        <v>5963</v>
      </c>
      <c r="E1886" s="4" t="s">
        <v>25434</v>
      </c>
    </row>
    <row r="1887" spans="1:12" x14ac:dyDescent="0.25">
      <c r="A1887" s="2" t="s">
        <v>5964</v>
      </c>
      <c r="B1887" s="8" t="s">
        <v>17005</v>
      </c>
      <c r="C1887" s="2" t="s">
        <v>5964</v>
      </c>
      <c r="D1887" s="2" t="s">
        <v>5965</v>
      </c>
      <c r="E1887" s="4" t="s">
        <v>25435</v>
      </c>
      <c r="G1887" s="15" t="s">
        <v>25436</v>
      </c>
      <c r="H1887" s="15" t="s">
        <v>25437</v>
      </c>
      <c r="I1887" s="15" t="s">
        <v>25438</v>
      </c>
      <c r="J1887" s="15" t="s">
        <v>227</v>
      </c>
      <c r="K1887" s="15">
        <v>6328543</v>
      </c>
      <c r="L1887" s="15" t="s">
        <v>19099</v>
      </c>
    </row>
    <row r="1888" spans="1:12" x14ac:dyDescent="0.25">
      <c r="A1888" s="2" t="s">
        <v>5967</v>
      </c>
      <c r="B1888" s="8" t="s">
        <v>17006</v>
      </c>
      <c r="C1888" s="2" t="s">
        <v>5967</v>
      </c>
      <c r="D1888" s="2" t="s">
        <v>5968</v>
      </c>
      <c r="E1888" s="4" t="s">
        <v>25439</v>
      </c>
      <c r="G1888" s="15" t="s">
        <v>25440</v>
      </c>
      <c r="H1888" s="15" t="s">
        <v>25441</v>
      </c>
      <c r="I1888" s="15" t="s">
        <v>25442</v>
      </c>
      <c r="J1888" s="15" t="s">
        <v>25443</v>
      </c>
      <c r="K1888" s="15">
        <v>10219853</v>
      </c>
      <c r="L1888" s="15" t="s">
        <v>19099</v>
      </c>
    </row>
    <row r="1889" spans="1:12" x14ac:dyDescent="0.25">
      <c r="A1889" s="2" t="s">
        <v>5970</v>
      </c>
      <c r="B1889" s="8" t="s">
        <v>17007</v>
      </c>
      <c r="C1889" s="2" t="s">
        <v>5970</v>
      </c>
      <c r="D1889" s="2" t="s">
        <v>5971</v>
      </c>
      <c r="E1889" s="4" t="s">
        <v>25444</v>
      </c>
      <c r="G1889" s="15" t="s">
        <v>25445</v>
      </c>
      <c r="H1889" s="15" t="s">
        <v>25446</v>
      </c>
      <c r="I1889" s="15" t="s">
        <v>25447</v>
      </c>
      <c r="J1889" s="15" t="s">
        <v>25448</v>
      </c>
      <c r="K1889" s="15">
        <v>90479350</v>
      </c>
      <c r="L1889" s="15" t="s">
        <v>19099</v>
      </c>
    </row>
    <row r="1890" spans="1:12" x14ac:dyDescent="0.25">
      <c r="A1890" s="2" t="s">
        <v>5973</v>
      </c>
      <c r="B1890" s="8" t="s">
        <v>17008</v>
      </c>
      <c r="C1890" s="2" t="s">
        <v>5973</v>
      </c>
      <c r="D1890" s="2" t="s">
        <v>5974</v>
      </c>
      <c r="E1890" s="4" t="s">
        <v>25449</v>
      </c>
      <c r="G1890" s="15" t="s">
        <v>25450</v>
      </c>
      <c r="H1890" s="15" t="s">
        <v>25451</v>
      </c>
      <c r="I1890" s="15" t="s">
        <v>25452</v>
      </c>
      <c r="J1890" s="15" t="s">
        <v>25453</v>
      </c>
      <c r="K1890" s="15">
        <v>10340</v>
      </c>
      <c r="L1890" s="15" t="s">
        <v>19099</v>
      </c>
    </row>
    <row r="1891" spans="1:12" x14ac:dyDescent="0.25">
      <c r="A1891" s="2" t="s">
        <v>5976</v>
      </c>
      <c r="B1891" s="8" t="s">
        <v>17009</v>
      </c>
      <c r="C1891" s="2" t="s">
        <v>5976</v>
      </c>
      <c r="D1891" s="2" t="s">
        <v>5977</v>
      </c>
      <c r="E1891" s="4" t="s">
        <v>25454</v>
      </c>
      <c r="G1891" s="15" t="s">
        <v>25455</v>
      </c>
      <c r="H1891" s="15" t="s">
        <v>25456</v>
      </c>
      <c r="I1891" s="15" t="s">
        <v>25457</v>
      </c>
      <c r="J1891" s="15" t="s">
        <v>25458</v>
      </c>
      <c r="K1891" s="15">
        <v>23668195</v>
      </c>
      <c r="L1891" s="15" t="s">
        <v>19099</v>
      </c>
    </row>
    <row r="1892" spans="1:12" x14ac:dyDescent="0.25">
      <c r="A1892" s="2" t="s">
        <v>5979</v>
      </c>
      <c r="B1892" s="8" t="s">
        <v>17010</v>
      </c>
      <c r="C1892" s="2" t="s">
        <v>5979</v>
      </c>
      <c r="D1892" s="2" t="s">
        <v>5980</v>
      </c>
      <c r="E1892" s="4" t="s">
        <v>25459</v>
      </c>
      <c r="G1892" s="15" t="s">
        <v>25460</v>
      </c>
      <c r="H1892" s="15" t="s">
        <v>25461</v>
      </c>
      <c r="I1892" s="15" t="s">
        <v>25462</v>
      </c>
      <c r="J1892" s="15" t="s">
        <v>25463</v>
      </c>
      <c r="K1892" s="15">
        <v>23662403</v>
      </c>
      <c r="L1892" s="15" t="s">
        <v>19995</v>
      </c>
    </row>
    <row r="1893" spans="1:12" x14ac:dyDescent="0.25">
      <c r="A1893" s="2" t="s">
        <v>5982</v>
      </c>
      <c r="B1893" s="8" t="s">
        <v>17011</v>
      </c>
      <c r="C1893" s="2" t="s">
        <v>5982</v>
      </c>
      <c r="D1893" s="2" t="s">
        <v>5983</v>
      </c>
      <c r="E1893" s="4" t="s">
        <v>25464</v>
      </c>
      <c r="G1893" s="15" t="s">
        <v>25465</v>
      </c>
      <c r="H1893" s="15" t="s">
        <v>25466</v>
      </c>
      <c r="I1893" s="15" t="s">
        <v>25467</v>
      </c>
      <c r="J1893" s="15" t="s">
        <v>25468</v>
      </c>
      <c r="K1893" s="15">
        <v>21889068</v>
      </c>
      <c r="L1893" s="15" t="s">
        <v>19099</v>
      </c>
    </row>
    <row r="1894" spans="1:12" x14ac:dyDescent="0.25">
      <c r="A1894" s="2" t="s">
        <v>5985</v>
      </c>
      <c r="B1894" s="8" t="s">
        <v>17012</v>
      </c>
      <c r="C1894" s="2" t="s">
        <v>5985</v>
      </c>
      <c r="D1894" s="2" t="s">
        <v>5986</v>
      </c>
      <c r="E1894" s="4" t="s">
        <v>25469</v>
      </c>
      <c r="G1894" s="15" t="s">
        <v>25470</v>
      </c>
      <c r="H1894" s="15" t="s">
        <v>25471</v>
      </c>
      <c r="I1894" s="15" t="s">
        <v>25472</v>
      </c>
      <c r="J1894" s="15" t="s">
        <v>25473</v>
      </c>
      <c r="K1894" s="15">
        <v>8929</v>
      </c>
      <c r="L1894" s="15" t="s">
        <v>19099</v>
      </c>
    </row>
    <row r="1895" spans="1:12" x14ac:dyDescent="0.25">
      <c r="A1895" s="2" t="s">
        <v>5988</v>
      </c>
      <c r="B1895" s="8" t="s">
        <v>17013</v>
      </c>
      <c r="C1895" s="2" t="s">
        <v>5988</v>
      </c>
      <c r="D1895" s="2" t="s">
        <v>5989</v>
      </c>
      <c r="E1895" s="4" t="s">
        <v>25474</v>
      </c>
      <c r="G1895" s="15" t="s">
        <v>25475</v>
      </c>
      <c r="H1895" s="15" t="s">
        <v>25476</v>
      </c>
      <c r="I1895" s="15" t="s">
        <v>25477</v>
      </c>
      <c r="J1895" s="15" t="s">
        <v>25478</v>
      </c>
      <c r="K1895" s="15">
        <v>5234</v>
      </c>
      <c r="L1895" s="15" t="s">
        <v>19099</v>
      </c>
    </row>
    <row r="1896" spans="1:12" x14ac:dyDescent="0.25">
      <c r="A1896" s="2" t="s">
        <v>5991</v>
      </c>
      <c r="B1896" s="8" t="s">
        <v>17014</v>
      </c>
      <c r="C1896" s="2" t="s">
        <v>5991</v>
      </c>
      <c r="D1896" s="2" t="s">
        <v>5992</v>
      </c>
      <c r="E1896" s="4" t="s">
        <v>25479</v>
      </c>
      <c r="G1896" s="15" t="s">
        <v>25480</v>
      </c>
      <c r="H1896" s="15" t="s">
        <v>25481</v>
      </c>
      <c r="I1896" s="15" t="s">
        <v>25482</v>
      </c>
      <c r="J1896" s="15" t="s">
        <v>25483</v>
      </c>
      <c r="K1896" s="15">
        <v>516902</v>
      </c>
      <c r="L1896" s="15" t="s">
        <v>19099</v>
      </c>
    </row>
    <row r="1897" spans="1:12" x14ac:dyDescent="0.25">
      <c r="A1897" s="2" t="s">
        <v>5994</v>
      </c>
      <c r="B1897" s="8" t="s">
        <v>17015</v>
      </c>
      <c r="C1897" s="2" t="s">
        <v>5994</v>
      </c>
      <c r="D1897" s="2" t="s">
        <v>5995</v>
      </c>
      <c r="E1897" s="4" t="s">
        <v>25484</v>
      </c>
      <c r="G1897" s="15" t="s">
        <v>25485</v>
      </c>
      <c r="H1897" s="15" t="s">
        <v>25486</v>
      </c>
      <c r="I1897" s="15" t="s">
        <v>25487</v>
      </c>
      <c r="J1897" s="15" t="s">
        <v>25488</v>
      </c>
      <c r="K1897" s="15">
        <v>23700086</v>
      </c>
      <c r="L1897" s="15" t="s">
        <v>19099</v>
      </c>
    </row>
    <row r="1898" spans="1:12" x14ac:dyDescent="0.25">
      <c r="A1898" s="2" t="s">
        <v>5997</v>
      </c>
      <c r="B1898" s="8" t="s">
        <v>17016</v>
      </c>
      <c r="C1898" s="2" t="s">
        <v>5997</v>
      </c>
      <c r="D1898" s="2" t="s">
        <v>5998</v>
      </c>
      <c r="E1898" s="4" t="s">
        <v>25489</v>
      </c>
      <c r="G1898" s="15" t="s">
        <v>25490</v>
      </c>
      <c r="H1898" s="15" t="s">
        <v>25491</v>
      </c>
      <c r="I1898" s="15" t="s">
        <v>25492</v>
      </c>
      <c r="J1898" s="15" t="s">
        <v>25493</v>
      </c>
      <c r="K1898" s="15">
        <v>560256</v>
      </c>
      <c r="L1898" s="15" t="s">
        <v>19099</v>
      </c>
    </row>
    <row r="1899" spans="1:12" x14ac:dyDescent="0.25">
      <c r="A1899" s="2" t="s">
        <v>6000</v>
      </c>
      <c r="B1899" s="8" t="s">
        <v>17017</v>
      </c>
      <c r="C1899" s="2" t="s">
        <v>6000</v>
      </c>
      <c r="D1899" s="2" t="s">
        <v>6001</v>
      </c>
      <c r="E1899" s="4" t="s">
        <v>25494</v>
      </c>
      <c r="G1899" s="15" t="s">
        <v>25495</v>
      </c>
      <c r="H1899" s="15" t="s">
        <v>25496</v>
      </c>
      <c r="I1899" s="15" t="s">
        <v>25497</v>
      </c>
      <c r="J1899" s="15" t="s">
        <v>25498</v>
      </c>
      <c r="K1899" s="15">
        <v>23672064</v>
      </c>
      <c r="L1899" s="15" t="s">
        <v>19099</v>
      </c>
    </row>
    <row r="1900" spans="1:12" x14ac:dyDescent="0.25">
      <c r="A1900" s="2" t="s">
        <v>6003</v>
      </c>
      <c r="B1900" s="8" t="s">
        <v>17018</v>
      </c>
      <c r="C1900" s="2" t="s">
        <v>6003</v>
      </c>
      <c r="D1900" s="2" t="s">
        <v>6004</v>
      </c>
      <c r="E1900" s="4" t="s">
        <v>25499</v>
      </c>
      <c r="G1900" s="15" t="s">
        <v>25500</v>
      </c>
      <c r="H1900" s="15" t="s">
        <v>25501</v>
      </c>
      <c r="I1900" s="15" t="s">
        <v>25502</v>
      </c>
      <c r="J1900" s="15" t="s">
        <v>25503</v>
      </c>
      <c r="K1900" s="15">
        <v>16212360</v>
      </c>
      <c r="L1900" s="15" t="s">
        <v>19099</v>
      </c>
    </row>
    <row r="1901" spans="1:12" x14ac:dyDescent="0.25">
      <c r="A1901" s="2" t="s">
        <v>6006</v>
      </c>
      <c r="B1901" s="8" t="s">
        <v>17019</v>
      </c>
      <c r="C1901" s="2" t="s">
        <v>6006</v>
      </c>
      <c r="D1901" s="2" t="s">
        <v>6007</v>
      </c>
      <c r="E1901" s="4" t="s">
        <v>25504</v>
      </c>
      <c r="G1901" s="15" t="s">
        <v>25505</v>
      </c>
      <c r="H1901" s="15" t="s">
        <v>25506</v>
      </c>
      <c r="I1901" s="15" t="s">
        <v>25507</v>
      </c>
      <c r="J1901" s="15" t="s">
        <v>25508</v>
      </c>
      <c r="K1901" s="15">
        <v>23665763</v>
      </c>
      <c r="L1901" s="15" t="s">
        <v>19099</v>
      </c>
    </row>
    <row r="1902" spans="1:12" x14ac:dyDescent="0.25">
      <c r="A1902" s="2" t="s">
        <v>6009</v>
      </c>
      <c r="B1902" s="8" t="s">
        <v>17020</v>
      </c>
      <c r="C1902" s="2" t="s">
        <v>6009</v>
      </c>
      <c r="D1902" s="2" t="s">
        <v>6010</v>
      </c>
      <c r="E1902" s="4" t="s">
        <v>25509</v>
      </c>
      <c r="G1902" s="15" t="s">
        <v>25510</v>
      </c>
      <c r="H1902" s="15" t="s">
        <v>25511</v>
      </c>
      <c r="I1902" s="15" t="s">
        <v>25512</v>
      </c>
      <c r="J1902" s="15" t="s">
        <v>25513</v>
      </c>
      <c r="K1902" s="15">
        <v>5238</v>
      </c>
      <c r="L1902" s="15" t="s">
        <v>19099</v>
      </c>
    </row>
    <row r="1903" spans="1:12" x14ac:dyDescent="0.25">
      <c r="A1903" s="2" t="s">
        <v>6012</v>
      </c>
      <c r="B1903" s="8" t="s">
        <v>17021</v>
      </c>
      <c r="C1903" s="2" t="s">
        <v>6012</v>
      </c>
      <c r="D1903" s="2" t="s">
        <v>6013</v>
      </c>
      <c r="E1903" s="4" t="s">
        <v>25514</v>
      </c>
      <c r="G1903" s="15" t="s">
        <v>25515</v>
      </c>
      <c r="H1903" s="15" t="s">
        <v>25516</v>
      </c>
      <c r="I1903" s="15" t="s">
        <v>25517</v>
      </c>
      <c r="J1903" s="15" t="s">
        <v>25518</v>
      </c>
      <c r="K1903" s="15">
        <v>3423265</v>
      </c>
      <c r="L1903" s="15" t="s">
        <v>19099</v>
      </c>
    </row>
    <row r="1904" spans="1:12" x14ac:dyDescent="0.25">
      <c r="A1904" s="2" t="s">
        <v>6015</v>
      </c>
      <c r="B1904" s="8" t="s">
        <v>17022</v>
      </c>
      <c r="C1904" s="2" t="s">
        <v>6015</v>
      </c>
      <c r="D1904" s="2" t="s">
        <v>6016</v>
      </c>
      <c r="E1904" s="4" t="s">
        <v>25519</v>
      </c>
      <c r="G1904" s="15" t="s">
        <v>25520</v>
      </c>
      <c r="H1904" s="15" t="s">
        <v>25521</v>
      </c>
      <c r="I1904" s="15" t="s">
        <v>25522</v>
      </c>
      <c r="J1904" s="15" t="s">
        <v>25523</v>
      </c>
      <c r="K1904" s="15">
        <v>23673458</v>
      </c>
      <c r="L1904" s="15" t="s">
        <v>19099</v>
      </c>
    </row>
    <row r="1905" spans="1:12" x14ac:dyDescent="0.25">
      <c r="A1905" s="2" t="s">
        <v>6018</v>
      </c>
      <c r="B1905" s="8" t="s">
        <v>17023</v>
      </c>
      <c r="C1905" s="2" t="s">
        <v>6018</v>
      </c>
      <c r="D1905" s="2" t="s">
        <v>6019</v>
      </c>
      <c r="E1905" s="4" t="s">
        <v>25524</v>
      </c>
      <c r="G1905" s="15" t="s">
        <v>25525</v>
      </c>
      <c r="H1905" s="15" t="s">
        <v>25526</v>
      </c>
      <c r="I1905" s="15" t="s">
        <v>25527</v>
      </c>
      <c r="J1905" s="15" t="s">
        <v>25528</v>
      </c>
      <c r="K1905" s="15">
        <v>23668193</v>
      </c>
      <c r="L1905" s="15" t="s">
        <v>19099</v>
      </c>
    </row>
    <row r="1906" spans="1:12" x14ac:dyDescent="0.25">
      <c r="A1906" s="2" t="s">
        <v>6021</v>
      </c>
      <c r="B1906" s="8" t="s">
        <v>17024</v>
      </c>
      <c r="C1906" s="2" t="s">
        <v>6021</v>
      </c>
      <c r="D1906" s="2" t="s">
        <v>6022</v>
      </c>
      <c r="E1906" s="4" t="s">
        <v>25529</v>
      </c>
      <c r="G1906" s="15" t="s">
        <v>25530</v>
      </c>
      <c r="H1906" s="15" t="s">
        <v>25531</v>
      </c>
      <c r="I1906" s="15" t="s">
        <v>25532</v>
      </c>
      <c r="J1906" s="15" t="s">
        <v>25533</v>
      </c>
      <c r="K1906" s="15">
        <v>23665760</v>
      </c>
      <c r="L1906" s="15" t="s">
        <v>19099</v>
      </c>
    </row>
    <row r="1907" spans="1:12" x14ac:dyDescent="0.25">
      <c r="A1907" s="2" t="s">
        <v>6024</v>
      </c>
      <c r="B1907" s="8" t="s">
        <v>17025</v>
      </c>
      <c r="C1907" s="2" t="s">
        <v>6024</v>
      </c>
      <c r="D1907" s="2" t="s">
        <v>6025</v>
      </c>
      <c r="E1907" s="4" t="s">
        <v>25534</v>
      </c>
      <c r="G1907" s="15" t="s">
        <v>25535</v>
      </c>
      <c r="H1907" s="15" t="s">
        <v>25536</v>
      </c>
      <c r="I1907" s="15" t="s">
        <v>25537</v>
      </c>
      <c r="J1907" s="15" t="s">
        <v>25538</v>
      </c>
      <c r="K1907" s="15">
        <v>14798</v>
      </c>
      <c r="L1907" s="15" t="s">
        <v>19099</v>
      </c>
    </row>
    <row r="1908" spans="1:12" x14ac:dyDescent="0.25">
      <c r="A1908" s="2" t="s">
        <v>6027</v>
      </c>
      <c r="B1908" s="8" t="s">
        <v>17026</v>
      </c>
      <c r="C1908" s="2" t="s">
        <v>6027</v>
      </c>
      <c r="D1908" s="2" t="s">
        <v>6028</v>
      </c>
      <c r="E1908" s="4" t="s">
        <v>25539</v>
      </c>
      <c r="G1908" s="15" t="s">
        <v>25540</v>
      </c>
      <c r="H1908" s="15" t="s">
        <v>25541</v>
      </c>
      <c r="I1908" s="15" t="s">
        <v>25542</v>
      </c>
      <c r="J1908" s="15" t="s">
        <v>25543</v>
      </c>
      <c r="K1908" s="15">
        <v>23663539</v>
      </c>
      <c r="L1908" s="15" t="s">
        <v>19099</v>
      </c>
    </row>
    <row r="1909" spans="1:12" x14ac:dyDescent="0.25">
      <c r="A1909" s="2" t="s">
        <v>6030</v>
      </c>
      <c r="B1909" s="8" t="s">
        <v>17027</v>
      </c>
      <c r="C1909" s="2" t="s">
        <v>6030</v>
      </c>
      <c r="D1909" s="2" t="s">
        <v>6031</v>
      </c>
      <c r="E1909" s="4" t="s">
        <v>25544</v>
      </c>
      <c r="G1909" s="15" t="s">
        <v>25545</v>
      </c>
      <c r="H1909" s="15" t="s">
        <v>25546</v>
      </c>
      <c r="I1909" s="15" t="s">
        <v>25547</v>
      </c>
      <c r="J1909" s="15" t="s">
        <v>25548</v>
      </c>
      <c r="K1909" s="15">
        <v>24436</v>
      </c>
      <c r="L1909" s="15" t="s">
        <v>19099</v>
      </c>
    </row>
    <row r="1910" spans="1:12" x14ac:dyDescent="0.25">
      <c r="A1910" s="2" t="s">
        <v>6033</v>
      </c>
      <c r="B1910" s="8" t="s">
        <v>17028</v>
      </c>
      <c r="C1910" s="2" t="s">
        <v>6033</v>
      </c>
      <c r="D1910" s="2" t="s">
        <v>6034</v>
      </c>
      <c r="E1910" s="4" t="s">
        <v>25549</v>
      </c>
      <c r="G1910" s="15" t="s">
        <v>25550</v>
      </c>
      <c r="H1910" s="15" t="s">
        <v>25551</v>
      </c>
      <c r="I1910" s="15" t="s">
        <v>25552</v>
      </c>
      <c r="J1910" s="15" t="s">
        <v>25553</v>
      </c>
      <c r="K1910" s="15">
        <v>23266</v>
      </c>
      <c r="L1910" s="15" t="s">
        <v>19099</v>
      </c>
    </row>
    <row r="1911" spans="1:12" x14ac:dyDescent="0.25">
      <c r="A1911" s="2" t="s">
        <v>6036</v>
      </c>
      <c r="B1911" s="8" t="s">
        <v>17029</v>
      </c>
      <c r="C1911" s="2" t="s">
        <v>6036</v>
      </c>
      <c r="D1911" s="2" t="s">
        <v>6037</v>
      </c>
      <c r="E1911" s="4" t="s">
        <v>25554</v>
      </c>
      <c r="G1911" s="15" t="s">
        <v>25555</v>
      </c>
      <c r="H1911" s="15" t="s">
        <v>25556</v>
      </c>
      <c r="I1911" s="15" t="s">
        <v>25557</v>
      </c>
      <c r="J1911" s="15" t="s">
        <v>25558</v>
      </c>
      <c r="K1911" s="15">
        <v>24455</v>
      </c>
      <c r="L1911" s="15" t="s">
        <v>19995</v>
      </c>
    </row>
    <row r="1912" spans="1:12" x14ac:dyDescent="0.25">
      <c r="A1912" s="2" t="s">
        <v>6039</v>
      </c>
      <c r="B1912" s="8" t="s">
        <v>17030</v>
      </c>
      <c r="C1912" s="2" t="s">
        <v>6039</v>
      </c>
      <c r="D1912" s="2" t="s">
        <v>6040</v>
      </c>
      <c r="E1912" s="4" t="s">
        <v>25559</v>
      </c>
      <c r="G1912" s="15" t="s">
        <v>25560</v>
      </c>
      <c r="H1912" s="15" t="s">
        <v>25561</v>
      </c>
      <c r="I1912" s="15" t="s">
        <v>25562</v>
      </c>
      <c r="J1912" s="15" t="s">
        <v>25563</v>
      </c>
      <c r="K1912" s="15">
        <v>14766</v>
      </c>
      <c r="L1912" s="15" t="s">
        <v>19995</v>
      </c>
    </row>
    <row r="1913" spans="1:12" x14ac:dyDescent="0.25">
      <c r="A1913" s="2" t="s">
        <v>6042</v>
      </c>
      <c r="B1913" s="8" t="s">
        <v>17031</v>
      </c>
      <c r="C1913" s="2" t="s">
        <v>6042</v>
      </c>
      <c r="D1913" s="2" t="s">
        <v>6043</v>
      </c>
      <c r="E1913" s="4" t="s">
        <v>25564</v>
      </c>
      <c r="G1913" s="15" t="s">
        <v>25565</v>
      </c>
      <c r="H1913" s="15" t="s">
        <v>25566</v>
      </c>
      <c r="I1913" s="15" t="s">
        <v>25567</v>
      </c>
      <c r="J1913" s="15" t="s">
        <v>25568</v>
      </c>
      <c r="K1913" s="15">
        <v>33557</v>
      </c>
      <c r="L1913" s="15" t="s">
        <v>19099</v>
      </c>
    </row>
    <row r="1914" spans="1:12" x14ac:dyDescent="0.25">
      <c r="A1914" s="2" t="s">
        <v>6045</v>
      </c>
      <c r="B1914" s="8" t="s">
        <v>17032</v>
      </c>
      <c r="C1914" s="2" t="s">
        <v>6045</v>
      </c>
      <c r="D1914" s="2" t="s">
        <v>6046</v>
      </c>
      <c r="E1914" s="4" t="s">
        <v>25569</v>
      </c>
      <c r="G1914" s="15" t="s">
        <v>25570</v>
      </c>
      <c r="H1914" s="15" t="s">
        <v>25571</v>
      </c>
      <c r="I1914" s="15" t="s">
        <v>25572</v>
      </c>
      <c r="J1914" s="15" t="s">
        <v>25573</v>
      </c>
      <c r="K1914" s="15">
        <v>23665706</v>
      </c>
      <c r="L1914" s="15" t="s">
        <v>19099</v>
      </c>
    </row>
    <row r="1915" spans="1:12" x14ac:dyDescent="0.25">
      <c r="A1915" s="2" t="s">
        <v>6048</v>
      </c>
      <c r="B1915" s="8" t="s">
        <v>17033</v>
      </c>
      <c r="C1915" s="2" t="s">
        <v>6048</v>
      </c>
      <c r="D1915" s="2" t="s">
        <v>6049</v>
      </c>
      <c r="E1915" s="4" t="s">
        <v>25574</v>
      </c>
      <c r="G1915" s="15" t="s">
        <v>25575</v>
      </c>
      <c r="H1915" s="15" t="s">
        <v>25576</v>
      </c>
      <c r="I1915" s="15" t="s">
        <v>25577</v>
      </c>
      <c r="J1915" s="15" t="s">
        <v>25578</v>
      </c>
      <c r="K1915" s="15">
        <v>65743</v>
      </c>
      <c r="L1915" s="15" t="s">
        <v>19099</v>
      </c>
    </row>
    <row r="1916" spans="1:12" x14ac:dyDescent="0.25">
      <c r="A1916" s="2" t="s">
        <v>6051</v>
      </c>
      <c r="B1916" s="8" t="s">
        <v>17034</v>
      </c>
      <c r="C1916" s="2" t="s">
        <v>6051</v>
      </c>
      <c r="D1916" s="2" t="s">
        <v>6052</v>
      </c>
      <c r="E1916" s="4" t="s">
        <v>25579</v>
      </c>
      <c r="G1916" s="15" t="s">
        <v>25579</v>
      </c>
      <c r="H1916" s="15" t="s">
        <v>25580</v>
      </c>
      <c r="I1916" s="15" t="s">
        <v>25581</v>
      </c>
      <c r="J1916" s="15" t="s">
        <v>25582</v>
      </c>
      <c r="K1916" s="15">
        <v>931</v>
      </c>
      <c r="L1916" s="15" t="s">
        <v>19099</v>
      </c>
    </row>
    <row r="1917" spans="1:12" x14ac:dyDescent="0.25">
      <c r="A1917" s="2" t="s">
        <v>6054</v>
      </c>
      <c r="B1917" s="8" t="s">
        <v>17035</v>
      </c>
      <c r="C1917" s="2" t="s">
        <v>6054</v>
      </c>
      <c r="D1917" s="2" t="s">
        <v>6055</v>
      </c>
      <c r="E1917" s="4" t="s">
        <v>25583</v>
      </c>
      <c r="G1917" s="15" t="s">
        <v>25584</v>
      </c>
      <c r="H1917" s="15" t="s">
        <v>25585</v>
      </c>
      <c r="I1917" s="15" t="s">
        <v>25586</v>
      </c>
      <c r="J1917" s="15" t="s">
        <v>25587</v>
      </c>
      <c r="K1917" s="15">
        <v>25113562</v>
      </c>
      <c r="L1917" s="15" t="s">
        <v>19099</v>
      </c>
    </row>
    <row r="1918" spans="1:12" x14ac:dyDescent="0.25">
      <c r="A1918" s="2" t="s">
        <v>6057</v>
      </c>
      <c r="B1918" s="8" t="s">
        <v>17036</v>
      </c>
      <c r="C1918" s="2" t="s">
        <v>6057</v>
      </c>
      <c r="D1918" s="2" t="s">
        <v>6058</v>
      </c>
      <c r="E1918" s="4" t="s">
        <v>6058</v>
      </c>
      <c r="G1918" s="15" t="s">
        <v>25588</v>
      </c>
      <c r="H1918" s="15" t="s">
        <v>25589</v>
      </c>
      <c r="I1918" s="15" t="s">
        <v>25590</v>
      </c>
      <c r="J1918" s="15" t="s">
        <v>25591</v>
      </c>
      <c r="K1918" s="15">
        <v>8060</v>
      </c>
      <c r="L1918" s="15" t="s">
        <v>19099</v>
      </c>
    </row>
    <row r="1919" spans="1:12" x14ac:dyDescent="0.25">
      <c r="A1919" s="2" t="s">
        <v>6060</v>
      </c>
      <c r="B1919" s="8" t="s">
        <v>17037</v>
      </c>
      <c r="C1919" s="2" t="s">
        <v>6060</v>
      </c>
      <c r="D1919" s="2" t="s">
        <v>6061</v>
      </c>
      <c r="E1919" s="4" t="s">
        <v>25592</v>
      </c>
      <c r="G1919" s="15" t="s">
        <v>25593</v>
      </c>
      <c r="H1919" s="15" t="s">
        <v>25594</v>
      </c>
      <c r="I1919" s="15" t="s">
        <v>25595</v>
      </c>
      <c r="J1919" s="15" t="s">
        <v>25596</v>
      </c>
      <c r="K1919" s="15">
        <v>16684434</v>
      </c>
      <c r="L1919" s="15" t="s">
        <v>19099</v>
      </c>
    </row>
    <row r="1920" spans="1:12" x14ac:dyDescent="0.25">
      <c r="A1920" s="2" t="s">
        <v>6063</v>
      </c>
      <c r="B1920" s="8" t="s">
        <v>16180</v>
      </c>
      <c r="C1920" s="2" t="s">
        <v>6063</v>
      </c>
      <c r="D1920" s="2" t="s">
        <v>6064</v>
      </c>
      <c r="E1920" s="4" t="s">
        <v>25597</v>
      </c>
    </row>
    <row r="1921" spans="1:12" x14ac:dyDescent="0.25">
      <c r="A1921" s="2" t="s">
        <v>6065</v>
      </c>
      <c r="B1921" s="8" t="s">
        <v>17038</v>
      </c>
      <c r="C1921" s="2" t="s">
        <v>6065</v>
      </c>
      <c r="D1921" s="2" t="s">
        <v>6066</v>
      </c>
      <c r="E1921" s="4" t="s">
        <v>25598</v>
      </c>
      <c r="G1921" s="15" t="s">
        <v>25599</v>
      </c>
      <c r="H1921" s="15" t="s">
        <v>25600</v>
      </c>
      <c r="I1921" s="15" t="s">
        <v>25601</v>
      </c>
      <c r="J1921" s="15" t="s">
        <v>25602</v>
      </c>
      <c r="K1921" s="15">
        <v>23675735</v>
      </c>
      <c r="L1921" s="15" t="s">
        <v>19099</v>
      </c>
    </row>
    <row r="1922" spans="1:12" x14ac:dyDescent="0.25">
      <c r="A1922" s="2" t="s">
        <v>6068</v>
      </c>
      <c r="B1922" s="8" t="s">
        <v>17039</v>
      </c>
      <c r="C1922" s="2" t="s">
        <v>6068</v>
      </c>
      <c r="D1922" s="2" t="s">
        <v>6069</v>
      </c>
      <c r="E1922" s="4" t="s">
        <v>25603</v>
      </c>
      <c r="G1922" s="15" t="s">
        <v>25604</v>
      </c>
      <c r="H1922" s="15" t="s">
        <v>25605</v>
      </c>
      <c r="I1922" s="15" t="s">
        <v>25606</v>
      </c>
      <c r="J1922" s="15" t="s">
        <v>25607</v>
      </c>
      <c r="K1922" s="15">
        <v>516871</v>
      </c>
      <c r="L1922" s="15" t="s">
        <v>19099</v>
      </c>
    </row>
    <row r="1923" spans="1:12" x14ac:dyDescent="0.25">
      <c r="A1923" s="2" t="s">
        <v>6071</v>
      </c>
      <c r="B1923" s="8" t="s">
        <v>17040</v>
      </c>
      <c r="C1923" s="2" t="s">
        <v>6071</v>
      </c>
      <c r="D1923" s="2" t="s">
        <v>6072</v>
      </c>
      <c r="E1923" s="4" t="s">
        <v>25608</v>
      </c>
      <c r="G1923" s="15" t="s">
        <v>25609</v>
      </c>
      <c r="H1923" s="15" t="s">
        <v>25610</v>
      </c>
      <c r="I1923" s="15" t="s">
        <v>25611</v>
      </c>
      <c r="J1923" s="15" t="s">
        <v>25612</v>
      </c>
      <c r="K1923" s="15">
        <v>61475</v>
      </c>
      <c r="L1923" s="15" t="s">
        <v>19099</v>
      </c>
    </row>
    <row r="1924" spans="1:12" x14ac:dyDescent="0.25">
      <c r="A1924" s="2" t="s">
        <v>6074</v>
      </c>
      <c r="B1924" s="8" t="s">
        <v>17042</v>
      </c>
      <c r="C1924" s="2" t="s">
        <v>6074</v>
      </c>
      <c r="D1924" s="2" t="s">
        <v>6075</v>
      </c>
      <c r="E1924" s="4" t="s">
        <v>25613</v>
      </c>
    </row>
    <row r="1925" spans="1:12" x14ac:dyDescent="0.25">
      <c r="A1925" s="2" t="s">
        <v>6077</v>
      </c>
      <c r="B1925" s="8" t="s">
        <v>17043</v>
      </c>
      <c r="C1925" s="2" t="s">
        <v>6077</v>
      </c>
      <c r="D1925" s="2" t="s">
        <v>6078</v>
      </c>
      <c r="E1925" s="4" t="s">
        <v>6078</v>
      </c>
      <c r="G1925" s="15" t="s">
        <v>25614</v>
      </c>
      <c r="H1925" s="15" t="s">
        <v>25615</v>
      </c>
      <c r="I1925" s="15" t="s">
        <v>25616</v>
      </c>
      <c r="J1925" s="15" t="s">
        <v>346</v>
      </c>
      <c r="K1925" s="15">
        <v>115134</v>
      </c>
      <c r="L1925" s="15" t="s">
        <v>19099</v>
      </c>
    </row>
    <row r="1926" spans="1:12" x14ac:dyDescent="0.25">
      <c r="A1926" s="2" t="s">
        <v>6080</v>
      </c>
      <c r="B1926" s="8" t="s">
        <v>17044</v>
      </c>
      <c r="C1926" s="2" t="s">
        <v>6080</v>
      </c>
      <c r="D1926" s="2" t="s">
        <v>6081</v>
      </c>
      <c r="E1926" s="4" t="s">
        <v>6081</v>
      </c>
      <c r="G1926" s="15" t="s">
        <v>6081</v>
      </c>
      <c r="H1926" s="15" t="s">
        <v>25617</v>
      </c>
      <c r="I1926" s="15" t="s">
        <v>25618</v>
      </c>
      <c r="J1926" s="15" t="s">
        <v>25619</v>
      </c>
      <c r="K1926" s="15">
        <v>21583</v>
      </c>
      <c r="L1926" s="15" t="s">
        <v>19099</v>
      </c>
    </row>
    <row r="1927" spans="1:12" x14ac:dyDescent="0.25">
      <c r="A1927" s="2" t="s">
        <v>6083</v>
      </c>
      <c r="B1927" s="8" t="s">
        <v>17045</v>
      </c>
      <c r="C1927" s="2" t="s">
        <v>6083</v>
      </c>
      <c r="D1927" s="2" t="s">
        <v>6084</v>
      </c>
      <c r="E1927" s="4" t="s">
        <v>6084</v>
      </c>
      <c r="G1927" s="15" t="s">
        <v>25620</v>
      </c>
      <c r="H1927" s="15" t="s">
        <v>25621</v>
      </c>
      <c r="I1927" s="15" t="s">
        <v>25622</v>
      </c>
      <c r="J1927" s="15" t="s">
        <v>25623</v>
      </c>
      <c r="K1927" s="15">
        <v>591790</v>
      </c>
      <c r="L1927" s="15" t="s">
        <v>19099</v>
      </c>
    </row>
    <row r="1928" spans="1:12" x14ac:dyDescent="0.25">
      <c r="A1928" s="2" t="s">
        <v>6086</v>
      </c>
      <c r="B1928" s="8" t="s">
        <v>17046</v>
      </c>
      <c r="C1928" s="2" t="s">
        <v>6086</v>
      </c>
      <c r="D1928" s="2" t="s">
        <v>6087</v>
      </c>
      <c r="E1928" s="4" t="s">
        <v>25624</v>
      </c>
      <c r="G1928" s="15" t="s">
        <v>6087</v>
      </c>
      <c r="H1928" s="15" t="s">
        <v>25625</v>
      </c>
      <c r="I1928" s="15" t="s">
        <v>25626</v>
      </c>
      <c r="J1928" s="15" t="s">
        <v>25627</v>
      </c>
      <c r="K1928" s="15">
        <v>14301</v>
      </c>
      <c r="L1928" s="15" t="s">
        <v>19099</v>
      </c>
    </row>
    <row r="1929" spans="1:12" x14ac:dyDescent="0.25">
      <c r="A1929" s="2" t="s">
        <v>6089</v>
      </c>
      <c r="B1929" s="8" t="s">
        <v>17048</v>
      </c>
      <c r="C1929" s="2" t="s">
        <v>6089</v>
      </c>
      <c r="D1929" s="2" t="s">
        <v>6090</v>
      </c>
      <c r="E1929" s="4" t="s">
        <v>6090</v>
      </c>
      <c r="G1929" s="15" t="s">
        <v>25628</v>
      </c>
      <c r="H1929" s="15" t="s">
        <v>25629</v>
      </c>
      <c r="I1929" s="15" t="s">
        <v>25630</v>
      </c>
      <c r="J1929" s="15" t="s">
        <v>422</v>
      </c>
      <c r="K1929" s="15">
        <v>114848</v>
      </c>
      <c r="L1929" s="15" t="s">
        <v>19099</v>
      </c>
    </row>
    <row r="1930" spans="1:12" x14ac:dyDescent="0.25">
      <c r="A1930" s="2" t="s">
        <v>6092</v>
      </c>
      <c r="B1930" s="8" t="s">
        <v>17051</v>
      </c>
      <c r="C1930" s="2" t="s">
        <v>6092</v>
      </c>
      <c r="D1930" s="2" t="s">
        <v>6093</v>
      </c>
      <c r="E1930" s="4" t="s">
        <v>25631</v>
      </c>
      <c r="G1930" s="15" t="s">
        <v>25632</v>
      </c>
      <c r="H1930" s="15" t="s">
        <v>25633</v>
      </c>
      <c r="I1930" s="15" t="s">
        <v>25634</v>
      </c>
      <c r="J1930" s="15" t="s">
        <v>25635</v>
      </c>
      <c r="K1930" s="15">
        <v>413826</v>
      </c>
      <c r="L1930" s="15" t="s">
        <v>19099</v>
      </c>
    </row>
    <row r="1931" spans="1:12" x14ac:dyDescent="0.25">
      <c r="A1931" s="2" t="s">
        <v>6095</v>
      </c>
      <c r="B1931" s="8" t="s">
        <v>17052</v>
      </c>
      <c r="C1931" s="2" t="s">
        <v>6095</v>
      </c>
      <c r="D1931" s="2" t="s">
        <v>6096</v>
      </c>
      <c r="E1931" s="4" t="s">
        <v>25636</v>
      </c>
      <c r="G1931" s="15" t="s">
        <v>25637</v>
      </c>
      <c r="H1931" s="15" t="s">
        <v>25638</v>
      </c>
      <c r="I1931" s="15" t="s">
        <v>25639</v>
      </c>
      <c r="J1931" s="15" t="s">
        <v>25640</v>
      </c>
      <c r="K1931" s="15">
        <v>24586</v>
      </c>
      <c r="L1931" s="15" t="s">
        <v>19099</v>
      </c>
    </row>
    <row r="1932" spans="1:12" x14ac:dyDescent="0.25">
      <c r="A1932" s="2" t="s">
        <v>6098</v>
      </c>
      <c r="B1932" s="8" t="s">
        <v>16180</v>
      </c>
      <c r="C1932" s="2" t="s">
        <v>6098</v>
      </c>
      <c r="D1932" s="2" t="s">
        <v>6099</v>
      </c>
      <c r="E1932" s="4" t="s">
        <v>25641</v>
      </c>
    </row>
    <row r="1933" spans="1:12" x14ac:dyDescent="0.25">
      <c r="A1933" s="2" t="s">
        <v>6100</v>
      </c>
      <c r="B1933" s="8" t="s">
        <v>17055</v>
      </c>
      <c r="C1933" s="2" t="s">
        <v>6100</v>
      </c>
      <c r="D1933" s="2" t="s">
        <v>6101</v>
      </c>
      <c r="E1933" s="4" t="s">
        <v>6101</v>
      </c>
      <c r="G1933" s="15" t="s">
        <v>25642</v>
      </c>
      <c r="H1933" s="15" t="s">
        <v>25643</v>
      </c>
      <c r="I1933" s="15" t="s">
        <v>25644</v>
      </c>
      <c r="J1933" s="15" t="s">
        <v>554</v>
      </c>
      <c r="K1933" s="15">
        <v>104783</v>
      </c>
      <c r="L1933" s="15" t="s">
        <v>19099</v>
      </c>
    </row>
    <row r="1934" spans="1:12" x14ac:dyDescent="0.25">
      <c r="A1934" s="2" t="s">
        <v>6103</v>
      </c>
      <c r="B1934" s="8" t="s">
        <v>17056</v>
      </c>
      <c r="C1934" s="2" t="s">
        <v>6103</v>
      </c>
      <c r="D1934" s="2" t="s">
        <v>6104</v>
      </c>
      <c r="E1934" s="4" t="s">
        <v>6104</v>
      </c>
      <c r="G1934" s="15" t="s">
        <v>25645</v>
      </c>
      <c r="H1934" s="15" t="s">
        <v>25646</v>
      </c>
      <c r="I1934" s="15" t="s">
        <v>25647</v>
      </c>
      <c r="J1934" s="15" t="s">
        <v>554</v>
      </c>
      <c r="K1934" s="15">
        <v>167422</v>
      </c>
      <c r="L1934" s="15" t="s">
        <v>19099</v>
      </c>
    </row>
    <row r="1935" spans="1:12" x14ac:dyDescent="0.25">
      <c r="A1935" s="2" t="s">
        <v>6106</v>
      </c>
      <c r="B1935" s="8" t="s">
        <v>17057</v>
      </c>
      <c r="C1935" s="2" t="s">
        <v>6106</v>
      </c>
      <c r="D1935" s="2" t="s">
        <v>6107</v>
      </c>
      <c r="E1935" s="4" t="s">
        <v>6107</v>
      </c>
      <c r="G1935" s="15" t="s">
        <v>25648</v>
      </c>
      <c r="H1935" s="15" t="s">
        <v>25649</v>
      </c>
      <c r="I1935" s="15" t="s">
        <v>25650</v>
      </c>
      <c r="J1935" s="15" t="s">
        <v>554</v>
      </c>
      <c r="K1935" s="15">
        <v>104958</v>
      </c>
      <c r="L1935" s="15" t="s">
        <v>19099</v>
      </c>
    </row>
    <row r="1936" spans="1:12" x14ac:dyDescent="0.25">
      <c r="A1936" s="2" t="s">
        <v>6109</v>
      </c>
      <c r="B1936" s="8" t="s">
        <v>16180</v>
      </c>
      <c r="C1936" s="2" t="s">
        <v>6109</v>
      </c>
      <c r="D1936" s="2" t="s">
        <v>6110</v>
      </c>
      <c r="E1936" s="4" t="s">
        <v>25651</v>
      </c>
    </row>
    <row r="1937" spans="1:20" x14ac:dyDescent="0.25">
      <c r="A1937" s="2" t="s">
        <v>6111</v>
      </c>
      <c r="B1937" s="8" t="s">
        <v>17058</v>
      </c>
      <c r="C1937" s="2" t="s">
        <v>6111</v>
      </c>
      <c r="D1937" s="2" t="s">
        <v>6112</v>
      </c>
      <c r="E1937" s="4" t="s">
        <v>25652</v>
      </c>
      <c r="G1937" s="15" t="s">
        <v>25653</v>
      </c>
      <c r="H1937" s="15" t="s">
        <v>25654</v>
      </c>
      <c r="I1937" s="15" t="s">
        <v>25655</v>
      </c>
      <c r="J1937" s="15" t="s">
        <v>23347</v>
      </c>
      <c r="K1937" s="15">
        <v>105142</v>
      </c>
      <c r="L1937" s="15" t="s">
        <v>19099</v>
      </c>
    </row>
    <row r="1938" spans="1:20" x14ac:dyDescent="0.25">
      <c r="A1938" s="2" t="s">
        <v>6114</v>
      </c>
      <c r="B1938" s="8" t="s">
        <v>16180</v>
      </c>
      <c r="C1938" s="2" t="s">
        <v>6114</v>
      </c>
      <c r="D1938" s="2" t="s">
        <v>6115</v>
      </c>
      <c r="E1938" s="4" t="s">
        <v>25656</v>
      </c>
    </row>
    <row r="1939" spans="1:20" x14ac:dyDescent="0.25">
      <c r="A1939" s="2" t="s">
        <v>6116</v>
      </c>
      <c r="B1939" s="8" t="s">
        <v>16180</v>
      </c>
      <c r="C1939" s="2" t="s">
        <v>6116</v>
      </c>
      <c r="D1939" s="2" t="s">
        <v>6117</v>
      </c>
      <c r="E1939" s="4" t="s">
        <v>25657</v>
      </c>
    </row>
    <row r="1940" spans="1:20" x14ac:dyDescent="0.25">
      <c r="A1940" s="2" t="s">
        <v>6118</v>
      </c>
      <c r="B1940" s="8" t="s">
        <v>16180</v>
      </c>
      <c r="C1940" s="2" t="s">
        <v>6118</v>
      </c>
      <c r="D1940" s="2" t="s">
        <v>6119</v>
      </c>
      <c r="E1940" s="4" t="s">
        <v>25658</v>
      </c>
    </row>
    <row r="1941" spans="1:20" x14ac:dyDescent="0.25">
      <c r="A1941" s="2" t="s">
        <v>6120</v>
      </c>
      <c r="B1941" s="8" t="s">
        <v>16180</v>
      </c>
      <c r="C1941" s="2" t="s">
        <v>6120</v>
      </c>
      <c r="D1941" s="2" t="s">
        <v>6121</v>
      </c>
      <c r="E1941" s="4" t="s">
        <v>25659</v>
      </c>
    </row>
    <row r="1942" spans="1:20" x14ac:dyDescent="0.25">
      <c r="A1942" s="2" t="s">
        <v>6122</v>
      </c>
      <c r="B1942" s="8" t="s">
        <v>16180</v>
      </c>
      <c r="C1942" s="2" t="s">
        <v>6122</v>
      </c>
      <c r="D1942" s="2" t="s">
        <v>6123</v>
      </c>
      <c r="E1942" s="4" t="s">
        <v>25660</v>
      </c>
    </row>
    <row r="1943" spans="1:20" x14ac:dyDescent="0.25">
      <c r="A1943" s="2" t="s">
        <v>6124</v>
      </c>
      <c r="B1943" s="8" t="s">
        <v>16180</v>
      </c>
      <c r="C1943" s="2" t="s">
        <v>6124</v>
      </c>
      <c r="D1943" s="2" t="s">
        <v>6125</v>
      </c>
      <c r="E1943" s="4" t="s">
        <v>25661</v>
      </c>
    </row>
    <row r="1944" spans="1:20" x14ac:dyDescent="0.25">
      <c r="A1944" s="2" t="s">
        <v>6126</v>
      </c>
      <c r="B1944" s="8" t="s">
        <v>16180</v>
      </c>
      <c r="C1944" s="2" t="s">
        <v>6126</v>
      </c>
      <c r="D1944" s="2" t="s">
        <v>6127</v>
      </c>
      <c r="E1944" s="4" t="s">
        <v>25662</v>
      </c>
    </row>
    <row r="1945" spans="1:20" x14ac:dyDescent="0.25">
      <c r="A1945" s="2" t="s">
        <v>6128</v>
      </c>
      <c r="B1945" s="8" t="s">
        <v>16180</v>
      </c>
      <c r="C1945" s="2" t="s">
        <v>6128</v>
      </c>
      <c r="D1945" s="2" t="s">
        <v>6129</v>
      </c>
      <c r="E1945" s="4" t="s">
        <v>25663</v>
      </c>
    </row>
    <row r="1946" spans="1:20" x14ac:dyDescent="0.25">
      <c r="A1946" s="2" t="s">
        <v>6130</v>
      </c>
      <c r="B1946" s="8" t="s">
        <v>16180</v>
      </c>
      <c r="C1946" s="2" t="s">
        <v>6130</v>
      </c>
      <c r="D1946" s="2" t="s">
        <v>6131</v>
      </c>
      <c r="E1946" s="4" t="s">
        <v>25664</v>
      </c>
    </row>
    <row r="1947" spans="1:20" x14ac:dyDescent="0.25">
      <c r="A1947" s="2" t="s">
        <v>6132</v>
      </c>
      <c r="B1947" s="8" t="s">
        <v>16180</v>
      </c>
      <c r="C1947" s="2" t="s">
        <v>6132</v>
      </c>
      <c r="D1947" s="2" t="s">
        <v>6133</v>
      </c>
      <c r="E1947" s="4" t="s">
        <v>25665</v>
      </c>
    </row>
    <row r="1948" spans="1:20" x14ac:dyDescent="0.25">
      <c r="A1948" s="2" t="s">
        <v>6134</v>
      </c>
      <c r="B1948" s="8" t="s">
        <v>16180</v>
      </c>
      <c r="C1948" s="2" t="s">
        <v>6134</v>
      </c>
      <c r="D1948" s="2" t="s">
        <v>6135</v>
      </c>
      <c r="E1948" s="4" t="s">
        <v>25666</v>
      </c>
    </row>
    <row r="1949" spans="1:20" x14ac:dyDescent="0.25">
      <c r="A1949" s="2" t="s">
        <v>6136</v>
      </c>
      <c r="B1949" s="8" t="s">
        <v>16180</v>
      </c>
      <c r="C1949" s="2" t="s">
        <v>6136</v>
      </c>
      <c r="D1949" s="2" t="s">
        <v>6137</v>
      </c>
      <c r="E1949" s="4" t="s">
        <v>25667</v>
      </c>
    </row>
    <row r="1950" spans="1:20" x14ac:dyDescent="0.25">
      <c r="A1950" s="2" t="s">
        <v>6138</v>
      </c>
      <c r="B1950" s="8" t="s">
        <v>16180</v>
      </c>
      <c r="C1950" s="2" t="s">
        <v>6138</v>
      </c>
      <c r="D1950" s="2" t="s">
        <v>6139</v>
      </c>
      <c r="E1950" s="4" t="s">
        <v>25668</v>
      </c>
    </row>
    <row r="1951" spans="1:20" x14ac:dyDescent="0.25">
      <c r="A1951" s="2" t="s">
        <v>6140</v>
      </c>
      <c r="B1951" s="8" t="s">
        <v>16180</v>
      </c>
      <c r="C1951" s="2" t="s">
        <v>6140</v>
      </c>
      <c r="D1951" s="2" t="s">
        <v>6141</v>
      </c>
      <c r="E1951" s="4" t="s">
        <v>25669</v>
      </c>
    </row>
    <row r="1952" spans="1:20" x14ac:dyDescent="0.25">
      <c r="A1952" s="2" t="s">
        <v>6142</v>
      </c>
      <c r="B1952" s="8" t="s">
        <v>16180</v>
      </c>
      <c r="C1952" s="2" t="s">
        <v>6142</v>
      </c>
      <c r="D1952" s="2" t="s">
        <v>6143</v>
      </c>
      <c r="E1952" s="4" t="s">
        <v>25670</v>
      </c>
      <c r="N1952" s="15" t="s">
        <v>21788</v>
      </c>
      <c r="O1952" s="15" t="s">
        <v>488</v>
      </c>
      <c r="P1952" s="15" t="s">
        <v>25671</v>
      </c>
      <c r="Q1952" s="15" t="s">
        <v>25672</v>
      </c>
      <c r="R1952" s="15" t="s">
        <v>486</v>
      </c>
      <c r="S1952" s="15">
        <v>23937</v>
      </c>
      <c r="T1952" s="15" t="s">
        <v>19089</v>
      </c>
    </row>
    <row r="1953" spans="1:5" x14ac:dyDescent="0.25">
      <c r="A1953" s="2" t="s">
        <v>6144</v>
      </c>
      <c r="B1953" s="8" t="s">
        <v>16180</v>
      </c>
      <c r="C1953" s="2" t="s">
        <v>6144</v>
      </c>
      <c r="D1953" s="2" t="s">
        <v>6145</v>
      </c>
      <c r="E1953" s="4" t="s">
        <v>6145</v>
      </c>
    </row>
    <row r="1954" spans="1:5" ht="30" customHeight="1" x14ac:dyDescent="0.25">
      <c r="A1954" s="2" t="s">
        <v>6146</v>
      </c>
      <c r="B1954" s="8" t="s">
        <v>16180</v>
      </c>
      <c r="C1954" s="2" t="s">
        <v>6146</v>
      </c>
      <c r="D1954" s="2" t="s">
        <v>6147</v>
      </c>
      <c r="E1954" s="4" t="s">
        <v>25673</v>
      </c>
    </row>
    <row r="1955" spans="1:5" x14ac:dyDescent="0.25">
      <c r="A1955" s="2" t="s">
        <v>6148</v>
      </c>
      <c r="B1955" s="8" t="s">
        <v>16180</v>
      </c>
      <c r="C1955" s="2" t="s">
        <v>6148</v>
      </c>
      <c r="D1955" s="2" t="s">
        <v>6149</v>
      </c>
      <c r="E1955" s="4" t="s">
        <v>25674</v>
      </c>
    </row>
    <row r="1956" spans="1:5" x14ac:dyDescent="0.25">
      <c r="A1956" s="2" t="s">
        <v>6150</v>
      </c>
      <c r="B1956" s="8" t="s">
        <v>16180</v>
      </c>
      <c r="C1956" s="2" t="s">
        <v>6150</v>
      </c>
      <c r="D1956" s="2" t="s">
        <v>6151</v>
      </c>
      <c r="E1956" s="4" t="s">
        <v>25675</v>
      </c>
    </row>
    <row r="1957" spans="1:5" x14ac:dyDescent="0.25">
      <c r="A1957" s="2" t="s">
        <v>6152</v>
      </c>
      <c r="B1957" s="8" t="s">
        <v>16180</v>
      </c>
      <c r="C1957" s="2" t="s">
        <v>6152</v>
      </c>
      <c r="D1957" s="2" t="s">
        <v>6153</v>
      </c>
      <c r="E1957" s="4" t="s">
        <v>25676</v>
      </c>
    </row>
    <row r="1958" spans="1:5" x14ac:dyDescent="0.25">
      <c r="A1958" s="2" t="s">
        <v>6154</v>
      </c>
      <c r="B1958" s="8" t="s">
        <v>16180</v>
      </c>
      <c r="C1958" s="2" t="s">
        <v>6154</v>
      </c>
      <c r="D1958" s="2" t="s">
        <v>6155</v>
      </c>
      <c r="E1958" s="4" t="s">
        <v>25677</v>
      </c>
    </row>
    <row r="1959" spans="1:5" x14ac:dyDescent="0.25">
      <c r="A1959" s="2" t="s">
        <v>6156</v>
      </c>
      <c r="B1959" s="8" t="s">
        <v>16180</v>
      </c>
      <c r="C1959" s="2" t="s">
        <v>6156</v>
      </c>
      <c r="D1959" s="2" t="s">
        <v>6157</v>
      </c>
      <c r="E1959" s="4" t="s">
        <v>25678</v>
      </c>
    </row>
    <row r="1960" spans="1:5" x14ac:dyDescent="0.25">
      <c r="A1960" s="2" t="s">
        <v>6158</v>
      </c>
      <c r="B1960" s="8" t="s">
        <v>16180</v>
      </c>
      <c r="C1960" s="2" t="s">
        <v>6158</v>
      </c>
      <c r="D1960" s="2" t="s">
        <v>6159</v>
      </c>
      <c r="E1960" s="4" t="s">
        <v>25679</v>
      </c>
    </row>
    <row r="1961" spans="1:5" x14ac:dyDescent="0.25">
      <c r="A1961" s="2" t="s">
        <v>6160</v>
      </c>
      <c r="B1961" s="8" t="s">
        <v>16180</v>
      </c>
      <c r="C1961" s="2" t="s">
        <v>6160</v>
      </c>
      <c r="D1961" s="2" t="s">
        <v>6161</v>
      </c>
      <c r="E1961" s="4" t="s">
        <v>25680</v>
      </c>
    </row>
    <row r="1962" spans="1:5" x14ac:dyDescent="0.25">
      <c r="A1962" s="2" t="s">
        <v>6162</v>
      </c>
      <c r="B1962" s="8" t="s">
        <v>16180</v>
      </c>
      <c r="C1962" s="2" t="s">
        <v>6162</v>
      </c>
      <c r="D1962" s="2" t="s">
        <v>6163</v>
      </c>
      <c r="E1962" s="4" t="s">
        <v>25681</v>
      </c>
    </row>
    <row r="1963" spans="1:5" x14ac:dyDescent="0.25">
      <c r="A1963" s="2" t="s">
        <v>6164</v>
      </c>
      <c r="B1963" s="8" t="s">
        <v>16180</v>
      </c>
      <c r="C1963" s="2" t="s">
        <v>6164</v>
      </c>
      <c r="D1963" s="2" t="s">
        <v>6165</v>
      </c>
      <c r="E1963" s="4" t="s">
        <v>25682</v>
      </c>
    </row>
    <row r="1964" spans="1:5" x14ac:dyDescent="0.25">
      <c r="A1964" s="2" t="s">
        <v>6166</v>
      </c>
      <c r="B1964" s="8" t="s">
        <v>16180</v>
      </c>
      <c r="C1964" s="2" t="s">
        <v>6166</v>
      </c>
      <c r="D1964" s="2" t="s">
        <v>6167</v>
      </c>
      <c r="E1964" s="4" t="s">
        <v>25683</v>
      </c>
    </row>
    <row r="1965" spans="1:5" x14ac:dyDescent="0.25">
      <c r="A1965" s="2" t="s">
        <v>6168</v>
      </c>
      <c r="B1965" s="8" t="s">
        <v>16180</v>
      </c>
      <c r="C1965" s="2" t="s">
        <v>6168</v>
      </c>
      <c r="D1965" s="2" t="s">
        <v>6169</v>
      </c>
      <c r="E1965" s="4" t="s">
        <v>25684</v>
      </c>
    </row>
    <row r="1966" spans="1:5" x14ac:dyDescent="0.25">
      <c r="A1966" s="2" t="s">
        <v>6170</v>
      </c>
      <c r="B1966" s="8" t="s">
        <v>16180</v>
      </c>
      <c r="C1966" s="2" t="s">
        <v>6170</v>
      </c>
      <c r="D1966" s="2" t="s">
        <v>6171</v>
      </c>
      <c r="E1966" s="4" t="s">
        <v>25685</v>
      </c>
    </row>
    <row r="1967" spans="1:5" x14ac:dyDescent="0.25">
      <c r="A1967" s="2" t="s">
        <v>6172</v>
      </c>
      <c r="B1967" s="8" t="s">
        <v>16180</v>
      </c>
      <c r="C1967" s="2" t="s">
        <v>6172</v>
      </c>
      <c r="D1967" s="2" t="s">
        <v>6173</v>
      </c>
      <c r="E1967" s="4" t="s">
        <v>25686</v>
      </c>
    </row>
    <row r="1968" spans="1:5" x14ac:dyDescent="0.25">
      <c r="A1968" s="2" t="s">
        <v>6174</v>
      </c>
      <c r="B1968" s="8" t="s">
        <v>16180</v>
      </c>
      <c r="C1968" s="2" t="s">
        <v>6174</v>
      </c>
      <c r="D1968" s="2" t="s">
        <v>6175</v>
      </c>
      <c r="E1968" s="4" t="s">
        <v>25687</v>
      </c>
    </row>
    <row r="1969" spans="1:12" x14ac:dyDescent="0.25">
      <c r="A1969" s="2" t="s">
        <v>6176</v>
      </c>
      <c r="B1969" s="8" t="s">
        <v>16180</v>
      </c>
      <c r="C1969" s="2" t="s">
        <v>6176</v>
      </c>
      <c r="D1969" s="2" t="s">
        <v>6177</v>
      </c>
      <c r="E1969" s="4" t="s">
        <v>25688</v>
      </c>
    </row>
    <row r="1970" spans="1:12" x14ac:dyDescent="0.25">
      <c r="A1970" s="2" t="s">
        <v>6178</v>
      </c>
      <c r="B1970" s="8" t="s">
        <v>16180</v>
      </c>
      <c r="C1970" s="2" t="s">
        <v>6178</v>
      </c>
      <c r="D1970" s="2" t="s">
        <v>6179</v>
      </c>
      <c r="E1970" s="4" t="s">
        <v>25689</v>
      </c>
    </row>
    <row r="1971" spans="1:12" x14ac:dyDescent="0.25">
      <c r="A1971" s="2" t="s">
        <v>6180</v>
      </c>
      <c r="B1971" s="8" t="s">
        <v>16180</v>
      </c>
      <c r="C1971" s="2" t="s">
        <v>6180</v>
      </c>
      <c r="D1971" s="2" t="s">
        <v>6181</v>
      </c>
      <c r="E1971" s="4" t="s">
        <v>25690</v>
      </c>
    </row>
    <row r="1972" spans="1:12" x14ac:dyDescent="0.25">
      <c r="A1972" s="2" t="s">
        <v>6182</v>
      </c>
      <c r="B1972" s="8" t="s">
        <v>16180</v>
      </c>
      <c r="C1972" s="2" t="s">
        <v>6182</v>
      </c>
      <c r="D1972" s="2" t="s">
        <v>6183</v>
      </c>
      <c r="E1972" s="4" t="s">
        <v>25691</v>
      </c>
    </row>
    <row r="1973" spans="1:12" x14ac:dyDescent="0.25">
      <c r="A1973" s="2" t="s">
        <v>6184</v>
      </c>
      <c r="B1973" s="8" t="s">
        <v>16180</v>
      </c>
      <c r="C1973" s="2" t="s">
        <v>6184</v>
      </c>
      <c r="D1973" s="2" t="s">
        <v>6185</v>
      </c>
      <c r="E1973" s="4" t="s">
        <v>6185</v>
      </c>
      <c r="G1973" s="15" t="s">
        <v>25692</v>
      </c>
      <c r="H1973" s="15" t="s">
        <v>25693</v>
      </c>
      <c r="I1973" s="15" t="s">
        <v>25694</v>
      </c>
      <c r="J1973" s="15" t="s">
        <v>25695</v>
      </c>
      <c r="K1973" s="15">
        <v>92863</v>
      </c>
      <c r="L1973" s="15" t="s">
        <v>19995</v>
      </c>
    </row>
    <row r="1974" spans="1:12" x14ac:dyDescent="0.25">
      <c r="A1974" s="2" t="s">
        <v>6186</v>
      </c>
      <c r="B1974" s="8" t="s">
        <v>16180</v>
      </c>
      <c r="C1974" s="2" t="s">
        <v>6186</v>
      </c>
      <c r="D1974" s="2" t="s">
        <v>6187</v>
      </c>
      <c r="E1974" s="4" t="s">
        <v>25696</v>
      </c>
    </row>
    <row r="1975" spans="1:12" x14ac:dyDescent="0.25">
      <c r="A1975" s="2" t="s">
        <v>6188</v>
      </c>
      <c r="B1975" s="8" t="s">
        <v>16180</v>
      </c>
      <c r="C1975" s="2" t="s">
        <v>6188</v>
      </c>
      <c r="D1975" s="2" t="s">
        <v>6189</v>
      </c>
      <c r="E1975" s="4" t="s">
        <v>25697</v>
      </c>
    </row>
    <row r="1976" spans="1:12" x14ac:dyDescent="0.25">
      <c r="A1976" s="2" t="s">
        <v>6190</v>
      </c>
      <c r="B1976" s="8" t="s">
        <v>16180</v>
      </c>
      <c r="C1976" s="2" t="s">
        <v>6190</v>
      </c>
      <c r="D1976" s="2" t="s">
        <v>6191</v>
      </c>
      <c r="E1976" s="4" t="s">
        <v>25698</v>
      </c>
    </row>
    <row r="1977" spans="1:12" x14ac:dyDescent="0.25">
      <c r="A1977" s="2" t="s">
        <v>6192</v>
      </c>
      <c r="B1977" s="8" t="s">
        <v>16180</v>
      </c>
      <c r="C1977" s="2" t="s">
        <v>6192</v>
      </c>
      <c r="D1977" s="2" t="s">
        <v>6193</v>
      </c>
      <c r="E1977" s="4" t="s">
        <v>25699</v>
      </c>
    </row>
    <row r="1978" spans="1:12" x14ac:dyDescent="0.25">
      <c r="A1978" s="2" t="s">
        <v>6194</v>
      </c>
      <c r="B1978" s="8" t="s">
        <v>16180</v>
      </c>
      <c r="C1978" s="2" t="s">
        <v>6194</v>
      </c>
      <c r="D1978" s="2" t="s">
        <v>6195</v>
      </c>
      <c r="E1978" s="4" t="s">
        <v>25700</v>
      </c>
    </row>
    <row r="1979" spans="1:12" x14ac:dyDescent="0.25">
      <c r="A1979" s="2" t="s">
        <v>6196</v>
      </c>
      <c r="B1979" s="8" t="s">
        <v>16180</v>
      </c>
      <c r="C1979" s="2" t="s">
        <v>6196</v>
      </c>
      <c r="D1979" s="2" t="s">
        <v>6197</v>
      </c>
      <c r="E1979" s="4" t="s">
        <v>25701</v>
      </c>
    </row>
    <row r="1980" spans="1:12" x14ac:dyDescent="0.25">
      <c r="A1980" s="2" t="s">
        <v>6198</v>
      </c>
      <c r="B1980" s="8" t="s">
        <v>16180</v>
      </c>
      <c r="C1980" s="2" t="s">
        <v>6198</v>
      </c>
      <c r="D1980" s="2" t="s">
        <v>6199</v>
      </c>
      <c r="E1980" s="4" t="s">
        <v>25702</v>
      </c>
    </row>
    <row r="1981" spans="1:12" x14ac:dyDescent="0.25">
      <c r="A1981" s="2" t="s">
        <v>6200</v>
      </c>
      <c r="B1981" s="8" t="s">
        <v>16180</v>
      </c>
      <c r="C1981" s="2" t="s">
        <v>6200</v>
      </c>
      <c r="D1981" s="2" t="s">
        <v>6201</v>
      </c>
      <c r="E1981" s="4" t="s">
        <v>25703</v>
      </c>
    </row>
    <row r="1982" spans="1:12" x14ac:dyDescent="0.25">
      <c r="A1982" s="2" t="s">
        <v>6202</v>
      </c>
      <c r="B1982" s="8" t="s">
        <v>16180</v>
      </c>
      <c r="C1982" s="2" t="s">
        <v>6202</v>
      </c>
      <c r="D1982" s="2" t="s">
        <v>6203</v>
      </c>
      <c r="E1982" s="4" t="s">
        <v>25704</v>
      </c>
    </row>
    <row r="1983" spans="1:12" x14ac:dyDescent="0.25">
      <c r="A1983" s="2" t="s">
        <v>6204</v>
      </c>
      <c r="B1983" s="8" t="s">
        <v>16180</v>
      </c>
      <c r="C1983" s="2" t="s">
        <v>6204</v>
      </c>
      <c r="D1983" s="2" t="s">
        <v>6205</v>
      </c>
      <c r="E1983" s="4" t="s">
        <v>25705</v>
      </c>
    </row>
    <row r="1984" spans="1:12" x14ac:dyDescent="0.25">
      <c r="A1984" s="2" t="s">
        <v>6206</v>
      </c>
      <c r="B1984" s="8" t="s">
        <v>16180</v>
      </c>
      <c r="C1984" s="2" t="s">
        <v>6206</v>
      </c>
      <c r="D1984" s="2" t="s">
        <v>6207</v>
      </c>
      <c r="E1984" s="4" t="s">
        <v>25706</v>
      </c>
    </row>
    <row r="1985" spans="1:5" x14ac:dyDescent="0.25">
      <c r="A1985" s="2" t="s">
        <v>6208</v>
      </c>
      <c r="B1985" s="8" t="s">
        <v>16180</v>
      </c>
      <c r="C1985" s="2" t="s">
        <v>6208</v>
      </c>
      <c r="D1985" s="2" t="s">
        <v>6209</v>
      </c>
      <c r="E1985" s="4" t="s">
        <v>25707</v>
      </c>
    </row>
    <row r="1986" spans="1:5" x14ac:dyDescent="0.25">
      <c r="A1986" s="2" t="s">
        <v>6210</v>
      </c>
      <c r="B1986" s="8" t="s">
        <v>16180</v>
      </c>
      <c r="C1986" s="2" t="s">
        <v>6210</v>
      </c>
      <c r="D1986" s="2" t="s">
        <v>6211</v>
      </c>
      <c r="E1986" s="4" t="s">
        <v>25708</v>
      </c>
    </row>
    <row r="1987" spans="1:5" x14ac:dyDescent="0.25">
      <c r="A1987" s="2" t="s">
        <v>6212</v>
      </c>
      <c r="B1987" s="8" t="s">
        <v>16180</v>
      </c>
      <c r="C1987" s="2" t="s">
        <v>6212</v>
      </c>
      <c r="D1987" s="2" t="s">
        <v>6213</v>
      </c>
      <c r="E1987" s="4" t="s">
        <v>25709</v>
      </c>
    </row>
    <row r="1988" spans="1:5" x14ac:dyDescent="0.25">
      <c r="A1988" s="2" t="s">
        <v>6214</v>
      </c>
      <c r="B1988" s="8" t="s">
        <v>16180</v>
      </c>
      <c r="C1988" s="2" t="s">
        <v>6214</v>
      </c>
      <c r="D1988" s="2" t="s">
        <v>6215</v>
      </c>
      <c r="E1988" s="4" t="s">
        <v>25710</v>
      </c>
    </row>
    <row r="1989" spans="1:5" x14ac:dyDescent="0.25">
      <c r="A1989" s="2" t="s">
        <v>6216</v>
      </c>
      <c r="B1989" s="8" t="s">
        <v>16180</v>
      </c>
      <c r="C1989" s="2" t="s">
        <v>6216</v>
      </c>
      <c r="D1989" s="2" t="s">
        <v>6217</v>
      </c>
      <c r="E1989" s="4" t="s">
        <v>25711</v>
      </c>
    </row>
    <row r="1990" spans="1:5" x14ac:dyDescent="0.25">
      <c r="A1990" s="2" t="s">
        <v>6218</v>
      </c>
      <c r="B1990" s="8" t="s">
        <v>16180</v>
      </c>
      <c r="C1990" s="2" t="s">
        <v>6218</v>
      </c>
      <c r="D1990" s="2" t="s">
        <v>6219</v>
      </c>
      <c r="E1990" s="4" t="s">
        <v>25712</v>
      </c>
    </row>
    <row r="1991" spans="1:5" x14ac:dyDescent="0.25">
      <c r="A1991" s="2" t="s">
        <v>6220</v>
      </c>
      <c r="B1991" s="8" t="s">
        <v>16180</v>
      </c>
      <c r="C1991" s="2" t="s">
        <v>6220</v>
      </c>
      <c r="D1991" s="2" t="s">
        <v>6221</v>
      </c>
      <c r="E1991" s="4" t="s">
        <v>25713</v>
      </c>
    </row>
    <row r="1992" spans="1:5" x14ac:dyDescent="0.25">
      <c r="A1992" s="2" t="s">
        <v>6222</v>
      </c>
      <c r="B1992" s="8" t="s">
        <v>16180</v>
      </c>
      <c r="C1992" s="2" t="s">
        <v>6222</v>
      </c>
      <c r="D1992" s="2" t="s">
        <v>6223</v>
      </c>
      <c r="E1992" s="4" t="s">
        <v>25714</v>
      </c>
    </row>
    <row r="1993" spans="1:5" x14ac:dyDescent="0.25">
      <c r="A1993" s="2" t="s">
        <v>6224</v>
      </c>
      <c r="B1993" s="8" t="s">
        <v>16180</v>
      </c>
      <c r="C1993" s="2" t="s">
        <v>6224</v>
      </c>
      <c r="D1993" s="2" t="s">
        <v>6225</v>
      </c>
      <c r="E1993" s="4" t="s">
        <v>25715</v>
      </c>
    </row>
    <row r="1994" spans="1:5" x14ac:dyDescent="0.25">
      <c r="A1994" s="2" t="s">
        <v>6226</v>
      </c>
      <c r="B1994" s="8" t="s">
        <v>16180</v>
      </c>
      <c r="C1994" s="2" t="s">
        <v>6226</v>
      </c>
      <c r="D1994" s="2" t="s">
        <v>6227</v>
      </c>
      <c r="E1994" s="4" t="s">
        <v>25716</v>
      </c>
    </row>
    <row r="1995" spans="1:5" x14ac:dyDescent="0.25">
      <c r="A1995" s="2" t="s">
        <v>6228</v>
      </c>
      <c r="B1995" s="8" t="s">
        <v>16180</v>
      </c>
      <c r="C1995" s="2" t="s">
        <v>6228</v>
      </c>
      <c r="D1995" s="2" t="s">
        <v>6229</v>
      </c>
      <c r="E1995" s="4" t="s">
        <v>25717</v>
      </c>
    </row>
    <row r="1996" spans="1:5" x14ac:dyDescent="0.25">
      <c r="A1996" s="2" t="s">
        <v>6230</v>
      </c>
      <c r="B1996" s="8" t="s">
        <v>16180</v>
      </c>
      <c r="C1996" s="2" t="s">
        <v>6230</v>
      </c>
      <c r="D1996" s="2" t="s">
        <v>6231</v>
      </c>
      <c r="E1996" s="4" t="s">
        <v>25718</v>
      </c>
    </row>
    <row r="1997" spans="1:5" x14ac:dyDescent="0.25">
      <c r="A1997" s="2" t="s">
        <v>6232</v>
      </c>
      <c r="B1997" s="8" t="s">
        <v>16180</v>
      </c>
      <c r="C1997" s="2" t="s">
        <v>6232</v>
      </c>
      <c r="D1997" s="2" t="s">
        <v>6233</v>
      </c>
      <c r="E1997" s="4" t="s">
        <v>25719</v>
      </c>
    </row>
    <row r="1998" spans="1:5" x14ac:dyDescent="0.25">
      <c r="A1998" s="2" t="s">
        <v>6234</v>
      </c>
      <c r="B1998" s="8" t="s">
        <v>16180</v>
      </c>
      <c r="C1998" s="2" t="s">
        <v>6234</v>
      </c>
      <c r="D1998" s="2" t="s">
        <v>6235</v>
      </c>
      <c r="E1998" s="4" t="s">
        <v>25720</v>
      </c>
    </row>
    <row r="1999" spans="1:5" x14ac:dyDescent="0.25">
      <c r="A1999" s="2" t="s">
        <v>6236</v>
      </c>
      <c r="B1999" s="8" t="s">
        <v>16180</v>
      </c>
      <c r="C1999" s="2" t="s">
        <v>6236</v>
      </c>
      <c r="D1999" s="2" t="s">
        <v>6237</v>
      </c>
      <c r="E1999" s="4" t="s">
        <v>25721</v>
      </c>
    </row>
    <row r="2000" spans="1:5" x14ac:dyDescent="0.25">
      <c r="A2000" s="2" t="s">
        <v>6238</v>
      </c>
      <c r="B2000" s="8" t="s">
        <v>16180</v>
      </c>
      <c r="C2000" s="2" t="s">
        <v>6238</v>
      </c>
      <c r="D2000" s="2" t="s">
        <v>6239</v>
      </c>
      <c r="E2000" s="4" t="s">
        <v>25722</v>
      </c>
    </row>
    <row r="2001" spans="1:5" x14ac:dyDescent="0.25">
      <c r="A2001" s="2" t="s">
        <v>6240</v>
      </c>
      <c r="B2001" s="8" t="s">
        <v>16180</v>
      </c>
      <c r="C2001" s="2" t="s">
        <v>6240</v>
      </c>
      <c r="D2001" s="2" t="s">
        <v>6241</v>
      </c>
      <c r="E2001" s="4" t="s">
        <v>25723</v>
      </c>
    </row>
    <row r="2002" spans="1:5" x14ac:dyDescent="0.25">
      <c r="A2002" s="2" t="s">
        <v>6242</v>
      </c>
      <c r="B2002" s="8" t="s">
        <v>16180</v>
      </c>
      <c r="C2002" s="2" t="s">
        <v>6242</v>
      </c>
      <c r="D2002" s="2" t="s">
        <v>6243</v>
      </c>
      <c r="E2002" s="4" t="s">
        <v>25724</v>
      </c>
    </row>
    <row r="2003" spans="1:5" x14ac:dyDescent="0.25">
      <c r="A2003" s="2" t="s">
        <v>6244</v>
      </c>
      <c r="B2003" s="8" t="s">
        <v>16180</v>
      </c>
      <c r="C2003" s="2" t="s">
        <v>6244</v>
      </c>
      <c r="D2003" s="2" t="s">
        <v>6245</v>
      </c>
      <c r="E2003" s="4" t="s">
        <v>25725</v>
      </c>
    </row>
    <row r="2004" spans="1:5" x14ac:dyDescent="0.25">
      <c r="A2004" s="2" t="s">
        <v>6246</v>
      </c>
      <c r="B2004" s="8" t="s">
        <v>16180</v>
      </c>
      <c r="C2004" s="2" t="s">
        <v>6246</v>
      </c>
      <c r="D2004" s="2" t="s">
        <v>6247</v>
      </c>
      <c r="E2004" s="4" t="s">
        <v>25726</v>
      </c>
    </row>
    <row r="2005" spans="1:5" x14ac:dyDescent="0.25">
      <c r="A2005" s="2" t="s">
        <v>6248</v>
      </c>
      <c r="B2005" s="8" t="s">
        <v>16180</v>
      </c>
      <c r="C2005" s="2" t="s">
        <v>6248</v>
      </c>
      <c r="D2005" s="2" t="s">
        <v>6249</v>
      </c>
      <c r="E2005" s="4" t="s">
        <v>25727</v>
      </c>
    </row>
    <row r="2006" spans="1:5" x14ac:dyDescent="0.25">
      <c r="A2006" s="2" t="s">
        <v>6250</v>
      </c>
      <c r="B2006" s="8" t="s">
        <v>16180</v>
      </c>
      <c r="C2006" s="2" t="s">
        <v>6250</v>
      </c>
      <c r="D2006" s="2" t="s">
        <v>6251</v>
      </c>
      <c r="E2006" s="4" t="s">
        <v>25728</v>
      </c>
    </row>
    <row r="2007" spans="1:5" x14ac:dyDescent="0.25">
      <c r="A2007" s="2" t="s">
        <v>6252</v>
      </c>
      <c r="B2007" s="8" t="s">
        <v>16180</v>
      </c>
      <c r="C2007" s="2" t="s">
        <v>6252</v>
      </c>
      <c r="D2007" s="2" t="s">
        <v>6253</v>
      </c>
      <c r="E2007" s="4" t="s">
        <v>25729</v>
      </c>
    </row>
    <row r="2008" spans="1:5" x14ac:dyDescent="0.25">
      <c r="A2008" s="2" t="s">
        <v>6254</v>
      </c>
      <c r="B2008" s="8" t="s">
        <v>16180</v>
      </c>
      <c r="C2008" s="2" t="s">
        <v>6254</v>
      </c>
      <c r="D2008" s="2" t="s">
        <v>6255</v>
      </c>
      <c r="E2008" s="4" t="s">
        <v>25730</v>
      </c>
    </row>
    <row r="2009" spans="1:5" x14ac:dyDescent="0.25">
      <c r="A2009" s="2" t="s">
        <v>6256</v>
      </c>
      <c r="B2009" s="8" t="s">
        <v>16180</v>
      </c>
      <c r="C2009" s="2" t="s">
        <v>6256</v>
      </c>
      <c r="D2009" s="2" t="s">
        <v>6257</v>
      </c>
      <c r="E2009" s="4" t="s">
        <v>25731</v>
      </c>
    </row>
    <row r="2010" spans="1:5" x14ac:dyDescent="0.25">
      <c r="A2010" s="2" t="s">
        <v>6258</v>
      </c>
      <c r="B2010" s="8" t="s">
        <v>16180</v>
      </c>
      <c r="C2010" s="2" t="s">
        <v>6258</v>
      </c>
      <c r="D2010" s="2" t="s">
        <v>6259</v>
      </c>
      <c r="E2010" s="4" t="s">
        <v>25732</v>
      </c>
    </row>
    <row r="2011" spans="1:5" x14ac:dyDescent="0.25">
      <c r="A2011" s="2" t="s">
        <v>6260</v>
      </c>
      <c r="B2011" s="8" t="s">
        <v>16180</v>
      </c>
      <c r="C2011" s="2" t="s">
        <v>6260</v>
      </c>
      <c r="D2011" s="2" t="s">
        <v>6261</v>
      </c>
      <c r="E2011" s="4" t="s">
        <v>25733</v>
      </c>
    </row>
    <row r="2012" spans="1:5" x14ac:dyDescent="0.25">
      <c r="A2012" s="2" t="s">
        <v>6262</v>
      </c>
      <c r="B2012" s="8" t="s">
        <v>16180</v>
      </c>
      <c r="C2012" s="2" t="s">
        <v>6262</v>
      </c>
      <c r="D2012" s="2" t="s">
        <v>6263</v>
      </c>
      <c r="E2012" s="4" t="s">
        <v>25734</v>
      </c>
    </row>
    <row r="2013" spans="1:5" x14ac:dyDescent="0.25">
      <c r="A2013" s="2" t="s">
        <v>6264</v>
      </c>
      <c r="B2013" s="8" t="s">
        <v>16180</v>
      </c>
      <c r="C2013" s="2" t="s">
        <v>6264</v>
      </c>
      <c r="D2013" s="2" t="s">
        <v>6265</v>
      </c>
      <c r="E2013" s="4" t="s">
        <v>25735</v>
      </c>
    </row>
    <row r="2014" spans="1:5" x14ac:dyDescent="0.25">
      <c r="A2014" s="2" t="s">
        <v>6266</v>
      </c>
      <c r="B2014" s="8" t="s">
        <v>16180</v>
      </c>
      <c r="C2014" s="2" t="s">
        <v>6266</v>
      </c>
      <c r="D2014" s="2" t="s">
        <v>6267</v>
      </c>
      <c r="E2014" s="4" t="s">
        <v>25736</v>
      </c>
    </row>
    <row r="2015" spans="1:5" x14ac:dyDescent="0.25">
      <c r="A2015" s="2" t="s">
        <v>6268</v>
      </c>
      <c r="B2015" s="8" t="s">
        <v>16180</v>
      </c>
      <c r="C2015" s="2" t="s">
        <v>6268</v>
      </c>
      <c r="D2015" s="2" t="s">
        <v>6269</v>
      </c>
      <c r="E2015" s="4" t="s">
        <v>25737</v>
      </c>
    </row>
    <row r="2016" spans="1:5" ht="30" customHeight="1" x14ac:dyDescent="0.25">
      <c r="A2016" s="2" t="s">
        <v>6270</v>
      </c>
      <c r="B2016" s="8" t="s">
        <v>16180</v>
      </c>
      <c r="C2016" s="2" t="s">
        <v>6270</v>
      </c>
      <c r="D2016" s="2" t="s">
        <v>6271</v>
      </c>
      <c r="E2016" s="4" t="s">
        <v>25738</v>
      </c>
    </row>
    <row r="2017" spans="1:5" x14ac:dyDescent="0.25">
      <c r="A2017" s="2" t="s">
        <v>6272</v>
      </c>
      <c r="B2017" s="8" t="s">
        <v>16180</v>
      </c>
      <c r="C2017" s="2" t="s">
        <v>6272</v>
      </c>
      <c r="D2017" s="2" t="s">
        <v>6273</v>
      </c>
      <c r="E2017" s="4" t="s">
        <v>25739</v>
      </c>
    </row>
    <row r="2018" spans="1:5" x14ac:dyDescent="0.25">
      <c r="A2018" s="2" t="s">
        <v>6274</v>
      </c>
      <c r="B2018" s="8" t="s">
        <v>16180</v>
      </c>
      <c r="C2018" s="2" t="s">
        <v>6274</v>
      </c>
      <c r="D2018" s="2" t="s">
        <v>6275</v>
      </c>
      <c r="E2018" s="4" t="s">
        <v>25740</v>
      </c>
    </row>
    <row r="2019" spans="1:5" x14ac:dyDescent="0.25">
      <c r="A2019" s="2" t="s">
        <v>6276</v>
      </c>
      <c r="B2019" s="8" t="s">
        <v>16180</v>
      </c>
      <c r="C2019" s="2" t="s">
        <v>6276</v>
      </c>
      <c r="D2019" s="2" t="s">
        <v>6277</v>
      </c>
      <c r="E2019" s="4" t="s">
        <v>25741</v>
      </c>
    </row>
    <row r="2020" spans="1:5" x14ac:dyDescent="0.25">
      <c r="A2020" s="2" t="s">
        <v>6278</v>
      </c>
      <c r="B2020" s="8" t="s">
        <v>16180</v>
      </c>
      <c r="C2020" s="2" t="s">
        <v>6278</v>
      </c>
      <c r="D2020" s="2" t="s">
        <v>6279</v>
      </c>
      <c r="E2020" s="4" t="s">
        <v>25742</v>
      </c>
    </row>
    <row r="2021" spans="1:5" x14ac:dyDescent="0.25">
      <c r="A2021" s="2" t="s">
        <v>6280</v>
      </c>
      <c r="B2021" s="8" t="s">
        <v>16180</v>
      </c>
      <c r="C2021" s="2" t="s">
        <v>6280</v>
      </c>
      <c r="D2021" s="2" t="s">
        <v>6281</v>
      </c>
      <c r="E2021" s="4" t="s">
        <v>25743</v>
      </c>
    </row>
    <row r="2022" spans="1:5" x14ac:dyDescent="0.25">
      <c r="A2022" s="2" t="s">
        <v>6282</v>
      </c>
      <c r="B2022" s="8" t="s">
        <v>16180</v>
      </c>
      <c r="C2022" s="2" t="s">
        <v>6282</v>
      </c>
      <c r="D2022" s="2" t="s">
        <v>6283</v>
      </c>
      <c r="E2022" s="4" t="s">
        <v>25744</v>
      </c>
    </row>
    <row r="2023" spans="1:5" x14ac:dyDescent="0.25">
      <c r="A2023" s="2" t="s">
        <v>6284</v>
      </c>
      <c r="B2023" s="8" t="s">
        <v>16180</v>
      </c>
      <c r="C2023" s="2" t="s">
        <v>6284</v>
      </c>
      <c r="D2023" s="2" t="s">
        <v>6285</v>
      </c>
      <c r="E2023" s="4" t="s">
        <v>25745</v>
      </c>
    </row>
    <row r="2024" spans="1:5" x14ac:dyDescent="0.25">
      <c r="A2024" s="2" t="s">
        <v>6286</v>
      </c>
      <c r="B2024" s="8" t="s">
        <v>16180</v>
      </c>
      <c r="C2024" s="2" t="s">
        <v>6286</v>
      </c>
      <c r="D2024" s="2" t="s">
        <v>6287</v>
      </c>
      <c r="E2024" s="4" t="s">
        <v>25746</v>
      </c>
    </row>
    <row r="2025" spans="1:5" x14ac:dyDescent="0.25">
      <c r="A2025" s="2" t="s">
        <v>6288</v>
      </c>
      <c r="B2025" s="8" t="s">
        <v>16180</v>
      </c>
      <c r="C2025" s="2" t="s">
        <v>6288</v>
      </c>
      <c r="D2025" s="2" t="s">
        <v>6289</v>
      </c>
      <c r="E2025" s="4" t="s">
        <v>25747</v>
      </c>
    </row>
    <row r="2026" spans="1:5" x14ac:dyDescent="0.25">
      <c r="A2026" s="2" t="s">
        <v>6290</v>
      </c>
      <c r="B2026" s="8" t="s">
        <v>16180</v>
      </c>
      <c r="C2026" s="2" t="s">
        <v>6290</v>
      </c>
      <c r="D2026" s="2" t="s">
        <v>6291</v>
      </c>
      <c r="E2026" s="4" t="s">
        <v>25748</v>
      </c>
    </row>
    <row r="2027" spans="1:5" x14ac:dyDescent="0.25">
      <c r="A2027" s="2" t="s">
        <v>6292</v>
      </c>
      <c r="B2027" s="8" t="s">
        <v>16180</v>
      </c>
      <c r="C2027" s="2" t="s">
        <v>6292</v>
      </c>
      <c r="D2027" s="2" t="s">
        <v>6293</v>
      </c>
      <c r="E2027" s="4" t="s">
        <v>25749</v>
      </c>
    </row>
    <row r="2028" spans="1:5" x14ac:dyDescent="0.25">
      <c r="A2028" s="2" t="s">
        <v>6294</v>
      </c>
      <c r="B2028" s="8" t="s">
        <v>16180</v>
      </c>
      <c r="C2028" s="2" t="s">
        <v>6294</v>
      </c>
      <c r="D2028" s="2" t="s">
        <v>6295</v>
      </c>
      <c r="E2028" s="4" t="s">
        <v>25750</v>
      </c>
    </row>
    <row r="2029" spans="1:5" x14ac:dyDescent="0.25">
      <c r="A2029" s="2" t="s">
        <v>6296</v>
      </c>
      <c r="B2029" s="8" t="s">
        <v>16180</v>
      </c>
      <c r="C2029" s="2" t="s">
        <v>6296</v>
      </c>
      <c r="D2029" s="2" t="s">
        <v>6297</v>
      </c>
      <c r="E2029" s="4" t="s">
        <v>25751</v>
      </c>
    </row>
    <row r="2030" spans="1:5" x14ac:dyDescent="0.25">
      <c r="A2030" s="2" t="s">
        <v>6298</v>
      </c>
      <c r="B2030" s="8" t="s">
        <v>16180</v>
      </c>
      <c r="C2030" s="2" t="s">
        <v>6298</v>
      </c>
      <c r="D2030" s="2" t="s">
        <v>6299</v>
      </c>
      <c r="E2030" s="4" t="s">
        <v>25752</v>
      </c>
    </row>
    <row r="2031" spans="1:5" x14ac:dyDescent="0.25">
      <c r="A2031" s="2" t="s">
        <v>6300</v>
      </c>
      <c r="B2031" s="8" t="s">
        <v>16180</v>
      </c>
      <c r="C2031" s="2" t="s">
        <v>6300</v>
      </c>
      <c r="D2031" s="2" t="s">
        <v>6301</v>
      </c>
      <c r="E2031" s="4" t="s">
        <v>25753</v>
      </c>
    </row>
    <row r="2032" spans="1:5" x14ac:dyDescent="0.25">
      <c r="A2032" s="2" t="s">
        <v>6302</v>
      </c>
      <c r="B2032" s="8" t="s">
        <v>16180</v>
      </c>
      <c r="C2032" s="2" t="s">
        <v>6302</v>
      </c>
      <c r="D2032" s="2" t="s">
        <v>6303</v>
      </c>
      <c r="E2032" s="4" t="s">
        <v>25754</v>
      </c>
    </row>
    <row r="2033" spans="1:5" x14ac:dyDescent="0.25">
      <c r="A2033" s="2" t="s">
        <v>6304</v>
      </c>
      <c r="B2033" s="8" t="s">
        <v>16180</v>
      </c>
      <c r="C2033" s="2" t="s">
        <v>6304</v>
      </c>
      <c r="D2033" s="2" t="s">
        <v>6305</v>
      </c>
      <c r="E2033" s="4" t="s">
        <v>25755</v>
      </c>
    </row>
    <row r="2034" spans="1:5" x14ac:dyDescent="0.25">
      <c r="A2034" s="2" t="s">
        <v>6306</v>
      </c>
      <c r="B2034" s="8" t="s">
        <v>16180</v>
      </c>
      <c r="C2034" s="2" t="s">
        <v>6306</v>
      </c>
      <c r="D2034" s="2" t="s">
        <v>6307</v>
      </c>
      <c r="E2034" s="4" t="s">
        <v>25756</v>
      </c>
    </row>
    <row r="2035" spans="1:5" x14ac:dyDescent="0.25">
      <c r="A2035" s="2" t="s">
        <v>6308</v>
      </c>
      <c r="B2035" s="8" t="s">
        <v>16180</v>
      </c>
      <c r="C2035" s="2" t="s">
        <v>6308</v>
      </c>
      <c r="D2035" s="2" t="s">
        <v>6309</v>
      </c>
      <c r="E2035" s="4" t="s">
        <v>25757</v>
      </c>
    </row>
    <row r="2036" spans="1:5" x14ac:dyDescent="0.25">
      <c r="A2036" s="2" t="s">
        <v>6310</v>
      </c>
      <c r="B2036" s="8" t="s">
        <v>16180</v>
      </c>
      <c r="C2036" s="2" t="s">
        <v>6310</v>
      </c>
      <c r="D2036" s="2" t="s">
        <v>6311</v>
      </c>
      <c r="E2036" s="4" t="s">
        <v>25758</v>
      </c>
    </row>
    <row r="2037" spans="1:5" x14ac:dyDescent="0.25">
      <c r="A2037" s="2" t="s">
        <v>6312</v>
      </c>
      <c r="B2037" s="8" t="s">
        <v>16180</v>
      </c>
      <c r="C2037" s="2" t="s">
        <v>6312</v>
      </c>
      <c r="D2037" s="2" t="s">
        <v>6313</v>
      </c>
      <c r="E2037" s="4" t="s">
        <v>25759</v>
      </c>
    </row>
    <row r="2038" spans="1:5" x14ac:dyDescent="0.25">
      <c r="A2038" s="2" t="s">
        <v>6314</v>
      </c>
      <c r="B2038" s="8" t="s">
        <v>16180</v>
      </c>
      <c r="C2038" s="2" t="s">
        <v>6314</v>
      </c>
      <c r="D2038" s="2" t="s">
        <v>6315</v>
      </c>
      <c r="E2038" s="4" t="s">
        <v>25760</v>
      </c>
    </row>
    <row r="2039" spans="1:5" x14ac:dyDescent="0.25">
      <c r="A2039" s="2" t="s">
        <v>6316</v>
      </c>
      <c r="B2039" s="8" t="s">
        <v>16180</v>
      </c>
      <c r="C2039" s="2" t="s">
        <v>6316</v>
      </c>
      <c r="D2039" s="2" t="s">
        <v>6317</v>
      </c>
      <c r="E2039" s="4" t="s">
        <v>25761</v>
      </c>
    </row>
    <row r="2040" spans="1:5" x14ac:dyDescent="0.25">
      <c r="A2040" s="2" t="s">
        <v>6318</v>
      </c>
      <c r="B2040" s="8" t="s">
        <v>16180</v>
      </c>
      <c r="C2040" s="2" t="s">
        <v>6318</v>
      </c>
      <c r="D2040" s="2" t="s">
        <v>6319</v>
      </c>
      <c r="E2040" s="4" t="s">
        <v>25762</v>
      </c>
    </row>
    <row r="2041" spans="1:5" x14ac:dyDescent="0.25">
      <c r="A2041" s="2" t="s">
        <v>6320</v>
      </c>
      <c r="B2041" s="8" t="s">
        <v>16180</v>
      </c>
      <c r="C2041" s="2" t="s">
        <v>6320</v>
      </c>
      <c r="D2041" s="2" t="s">
        <v>6321</v>
      </c>
      <c r="E2041" s="4" t="s">
        <v>25763</v>
      </c>
    </row>
    <row r="2042" spans="1:5" x14ac:dyDescent="0.25">
      <c r="A2042" s="2" t="s">
        <v>6322</v>
      </c>
      <c r="B2042" s="8" t="s">
        <v>16180</v>
      </c>
      <c r="C2042" s="2" t="s">
        <v>6322</v>
      </c>
      <c r="D2042" s="2" t="s">
        <v>6323</v>
      </c>
      <c r="E2042" s="4" t="s">
        <v>25764</v>
      </c>
    </row>
    <row r="2043" spans="1:5" x14ac:dyDescent="0.25">
      <c r="A2043" s="2" t="s">
        <v>6324</v>
      </c>
      <c r="B2043" s="8" t="s">
        <v>16180</v>
      </c>
      <c r="C2043" s="2" t="s">
        <v>6324</v>
      </c>
      <c r="D2043" s="2" t="s">
        <v>6325</v>
      </c>
      <c r="E2043" s="4" t="s">
        <v>25765</v>
      </c>
    </row>
    <row r="2044" spans="1:5" x14ac:dyDescent="0.25">
      <c r="A2044" s="2" t="s">
        <v>6326</v>
      </c>
      <c r="B2044" s="8" t="s">
        <v>16180</v>
      </c>
      <c r="C2044" s="2" t="s">
        <v>6326</v>
      </c>
      <c r="D2044" s="2" t="s">
        <v>6327</v>
      </c>
      <c r="E2044" s="4" t="s">
        <v>25766</v>
      </c>
    </row>
    <row r="2045" spans="1:5" x14ac:dyDescent="0.25">
      <c r="A2045" s="2" t="s">
        <v>6328</v>
      </c>
      <c r="B2045" s="8" t="s">
        <v>16180</v>
      </c>
      <c r="C2045" s="2" t="s">
        <v>6328</v>
      </c>
      <c r="D2045" s="2" t="s">
        <v>6329</v>
      </c>
      <c r="E2045" s="4" t="s">
        <v>25767</v>
      </c>
    </row>
    <row r="2046" spans="1:5" x14ac:dyDescent="0.25">
      <c r="A2046" s="2" t="s">
        <v>6330</v>
      </c>
      <c r="B2046" s="8" t="s">
        <v>16180</v>
      </c>
      <c r="C2046" s="2" t="s">
        <v>6330</v>
      </c>
      <c r="D2046" s="2" t="s">
        <v>6331</v>
      </c>
      <c r="E2046" s="4" t="s">
        <v>25768</v>
      </c>
    </row>
    <row r="2047" spans="1:5" x14ac:dyDescent="0.25">
      <c r="A2047" s="2" t="s">
        <v>6332</v>
      </c>
      <c r="B2047" s="8" t="s">
        <v>16180</v>
      </c>
      <c r="C2047" s="2" t="s">
        <v>6332</v>
      </c>
      <c r="D2047" s="2" t="s">
        <v>6333</v>
      </c>
      <c r="E2047" s="4" t="s">
        <v>25769</v>
      </c>
    </row>
    <row r="2048" spans="1:5" x14ac:dyDescent="0.25">
      <c r="A2048" s="2" t="s">
        <v>6334</v>
      </c>
      <c r="B2048" s="8" t="s">
        <v>16180</v>
      </c>
      <c r="C2048" s="2" t="s">
        <v>6334</v>
      </c>
      <c r="D2048" s="2" t="s">
        <v>6335</v>
      </c>
      <c r="E2048" s="4" t="s">
        <v>25770</v>
      </c>
    </row>
    <row r="2049" spans="1:5" x14ac:dyDescent="0.25">
      <c r="A2049" s="2" t="s">
        <v>6336</v>
      </c>
      <c r="B2049" s="8" t="s">
        <v>16180</v>
      </c>
      <c r="C2049" s="2" t="s">
        <v>6336</v>
      </c>
      <c r="D2049" s="2" t="s">
        <v>6337</v>
      </c>
      <c r="E2049" s="4" t="s">
        <v>25771</v>
      </c>
    </row>
    <row r="2050" spans="1:5" x14ac:dyDescent="0.25">
      <c r="A2050" s="2" t="s">
        <v>6338</v>
      </c>
      <c r="B2050" s="8" t="s">
        <v>16180</v>
      </c>
      <c r="C2050" s="2" t="s">
        <v>6338</v>
      </c>
      <c r="D2050" s="2" t="s">
        <v>6339</v>
      </c>
      <c r="E2050" s="4" t="s">
        <v>25772</v>
      </c>
    </row>
    <row r="2051" spans="1:5" x14ac:dyDescent="0.25">
      <c r="A2051" s="2" t="s">
        <v>6340</v>
      </c>
      <c r="B2051" s="8" t="s">
        <v>16180</v>
      </c>
      <c r="C2051" s="2" t="s">
        <v>6340</v>
      </c>
      <c r="D2051" s="2" t="s">
        <v>6341</v>
      </c>
      <c r="E2051" s="4" t="s">
        <v>25773</v>
      </c>
    </row>
    <row r="2052" spans="1:5" x14ac:dyDescent="0.25">
      <c r="A2052" s="2" t="s">
        <v>6342</v>
      </c>
      <c r="B2052" s="8" t="s">
        <v>16180</v>
      </c>
      <c r="C2052" s="2" t="s">
        <v>6342</v>
      </c>
      <c r="D2052" s="2" t="s">
        <v>6343</v>
      </c>
      <c r="E2052" s="4" t="s">
        <v>25774</v>
      </c>
    </row>
    <row r="2053" spans="1:5" x14ac:dyDescent="0.25">
      <c r="A2053" s="2" t="s">
        <v>6344</v>
      </c>
      <c r="B2053" s="8" t="s">
        <v>16180</v>
      </c>
      <c r="C2053" s="2" t="s">
        <v>6344</v>
      </c>
      <c r="D2053" s="2" t="s">
        <v>6345</v>
      </c>
      <c r="E2053" s="4" t="s">
        <v>25775</v>
      </c>
    </row>
    <row r="2054" spans="1:5" x14ac:dyDescent="0.25">
      <c r="A2054" s="2" t="s">
        <v>6346</v>
      </c>
      <c r="B2054" s="8" t="s">
        <v>16180</v>
      </c>
      <c r="C2054" s="2" t="s">
        <v>6346</v>
      </c>
      <c r="D2054" s="2" t="s">
        <v>6347</v>
      </c>
      <c r="E2054" s="4" t="s">
        <v>25776</v>
      </c>
    </row>
    <row r="2055" spans="1:5" x14ac:dyDescent="0.25">
      <c r="A2055" s="2" t="s">
        <v>6348</v>
      </c>
      <c r="B2055" s="8" t="s">
        <v>16180</v>
      </c>
      <c r="C2055" s="2" t="s">
        <v>6348</v>
      </c>
      <c r="D2055" s="2" t="s">
        <v>6349</v>
      </c>
      <c r="E2055" s="4" t="s">
        <v>25777</v>
      </c>
    </row>
    <row r="2056" spans="1:5" x14ac:dyDescent="0.25">
      <c r="A2056" s="2" t="s">
        <v>6350</v>
      </c>
      <c r="B2056" s="8" t="s">
        <v>16180</v>
      </c>
      <c r="C2056" s="2" t="s">
        <v>6350</v>
      </c>
      <c r="D2056" s="2" t="s">
        <v>6351</v>
      </c>
      <c r="E2056" s="4" t="s">
        <v>25778</v>
      </c>
    </row>
    <row r="2057" spans="1:5" x14ac:dyDescent="0.25">
      <c r="A2057" s="2" t="s">
        <v>6352</v>
      </c>
      <c r="B2057" s="8" t="s">
        <v>16180</v>
      </c>
      <c r="C2057" s="2" t="s">
        <v>6352</v>
      </c>
      <c r="D2057" s="2" t="s">
        <v>6353</v>
      </c>
      <c r="E2057" s="4" t="s">
        <v>25779</v>
      </c>
    </row>
    <row r="2058" spans="1:5" x14ac:dyDescent="0.25">
      <c r="A2058" s="2" t="s">
        <v>6354</v>
      </c>
      <c r="B2058" s="8" t="s">
        <v>16180</v>
      </c>
      <c r="C2058" s="2" t="s">
        <v>6354</v>
      </c>
      <c r="D2058" s="2" t="s">
        <v>6355</v>
      </c>
      <c r="E2058" s="4" t="s">
        <v>25780</v>
      </c>
    </row>
    <row r="2059" spans="1:5" x14ac:dyDescent="0.25">
      <c r="A2059" s="2" t="s">
        <v>6356</v>
      </c>
      <c r="B2059" s="8" t="s">
        <v>16180</v>
      </c>
      <c r="C2059" s="2" t="s">
        <v>6356</v>
      </c>
      <c r="D2059" s="2" t="s">
        <v>6357</v>
      </c>
      <c r="E2059" s="4" t="s">
        <v>25781</v>
      </c>
    </row>
    <row r="2060" spans="1:5" x14ac:dyDescent="0.25">
      <c r="A2060" s="2" t="s">
        <v>6358</v>
      </c>
      <c r="B2060" s="8" t="s">
        <v>16180</v>
      </c>
      <c r="C2060" s="2" t="s">
        <v>6358</v>
      </c>
      <c r="D2060" s="2" t="s">
        <v>6359</v>
      </c>
      <c r="E2060" s="4" t="s">
        <v>25782</v>
      </c>
    </row>
    <row r="2061" spans="1:5" x14ac:dyDescent="0.25">
      <c r="A2061" s="2" t="s">
        <v>6360</v>
      </c>
      <c r="B2061" s="8" t="s">
        <v>16180</v>
      </c>
      <c r="C2061" s="2" t="s">
        <v>6360</v>
      </c>
      <c r="D2061" s="2" t="s">
        <v>6361</v>
      </c>
      <c r="E2061" s="4" t="s">
        <v>25783</v>
      </c>
    </row>
    <row r="2062" spans="1:5" x14ac:dyDescent="0.25">
      <c r="A2062" s="2" t="s">
        <v>6362</v>
      </c>
      <c r="B2062" s="8" t="s">
        <v>16180</v>
      </c>
      <c r="C2062" s="2" t="s">
        <v>6362</v>
      </c>
      <c r="D2062" s="2" t="s">
        <v>6363</v>
      </c>
      <c r="E2062" s="4" t="s">
        <v>25784</v>
      </c>
    </row>
    <row r="2063" spans="1:5" x14ac:dyDescent="0.25">
      <c r="A2063" s="2" t="s">
        <v>6364</v>
      </c>
      <c r="B2063" s="8" t="s">
        <v>16180</v>
      </c>
      <c r="C2063" s="2" t="s">
        <v>6364</v>
      </c>
      <c r="D2063" s="2" t="s">
        <v>6365</v>
      </c>
      <c r="E2063" s="4" t="s">
        <v>25785</v>
      </c>
    </row>
    <row r="2064" spans="1:5" x14ac:dyDescent="0.25">
      <c r="A2064" s="2" t="s">
        <v>6366</v>
      </c>
      <c r="B2064" s="8" t="s">
        <v>16180</v>
      </c>
      <c r="C2064" s="2" t="s">
        <v>6366</v>
      </c>
      <c r="D2064" s="2" t="s">
        <v>6367</v>
      </c>
      <c r="E2064" s="4" t="s">
        <v>25786</v>
      </c>
    </row>
    <row r="2065" spans="1:5" x14ac:dyDescent="0.25">
      <c r="A2065" s="2" t="s">
        <v>6368</v>
      </c>
      <c r="B2065" s="8" t="s">
        <v>16180</v>
      </c>
      <c r="C2065" s="2" t="s">
        <v>6368</v>
      </c>
      <c r="D2065" s="2" t="s">
        <v>6369</v>
      </c>
      <c r="E2065" s="4" t="s">
        <v>25787</v>
      </c>
    </row>
    <row r="2066" spans="1:5" x14ac:dyDescent="0.25">
      <c r="A2066" s="2" t="s">
        <v>6370</v>
      </c>
      <c r="B2066" s="8" t="s">
        <v>16180</v>
      </c>
      <c r="C2066" s="2" t="s">
        <v>6370</v>
      </c>
      <c r="D2066" s="2" t="s">
        <v>6371</v>
      </c>
      <c r="E2066" s="4" t="s">
        <v>25788</v>
      </c>
    </row>
    <row r="2067" spans="1:5" x14ac:dyDescent="0.25">
      <c r="A2067" s="2" t="s">
        <v>6372</v>
      </c>
      <c r="B2067" s="8" t="s">
        <v>16180</v>
      </c>
      <c r="C2067" s="2" t="s">
        <v>6372</v>
      </c>
      <c r="D2067" s="2" t="s">
        <v>6373</v>
      </c>
      <c r="E2067" s="4" t="s">
        <v>25789</v>
      </c>
    </row>
    <row r="2068" spans="1:5" x14ac:dyDescent="0.25">
      <c r="A2068" s="2" t="s">
        <v>6374</v>
      </c>
      <c r="B2068" s="8" t="s">
        <v>16180</v>
      </c>
      <c r="C2068" s="2" t="s">
        <v>6374</v>
      </c>
      <c r="D2068" s="2" t="s">
        <v>6375</v>
      </c>
      <c r="E2068" s="4" t="s">
        <v>25790</v>
      </c>
    </row>
    <row r="2069" spans="1:5" x14ac:dyDescent="0.25">
      <c r="A2069" s="2" t="s">
        <v>6376</v>
      </c>
      <c r="B2069" s="8" t="s">
        <v>16180</v>
      </c>
      <c r="C2069" s="2" t="s">
        <v>6376</v>
      </c>
      <c r="D2069" s="2" t="s">
        <v>6377</v>
      </c>
      <c r="E2069" s="4" t="s">
        <v>25791</v>
      </c>
    </row>
    <row r="2070" spans="1:5" x14ac:dyDescent="0.25">
      <c r="A2070" s="2" t="s">
        <v>6378</v>
      </c>
      <c r="B2070" s="8" t="s">
        <v>16180</v>
      </c>
      <c r="C2070" s="2" t="s">
        <v>6378</v>
      </c>
      <c r="D2070" s="2" t="s">
        <v>6379</v>
      </c>
      <c r="E2070" s="4" t="s">
        <v>25792</v>
      </c>
    </row>
    <row r="2071" spans="1:5" x14ac:dyDescent="0.25">
      <c r="A2071" s="2" t="s">
        <v>6380</v>
      </c>
      <c r="B2071" s="8" t="s">
        <v>16180</v>
      </c>
      <c r="C2071" s="2" t="s">
        <v>6380</v>
      </c>
      <c r="D2071" s="2" t="s">
        <v>6381</v>
      </c>
      <c r="E2071" s="4" t="s">
        <v>25793</v>
      </c>
    </row>
    <row r="2072" spans="1:5" x14ac:dyDescent="0.25">
      <c r="A2072" s="2" t="s">
        <v>6382</v>
      </c>
      <c r="B2072" s="8" t="s">
        <v>16180</v>
      </c>
      <c r="C2072" s="2" t="s">
        <v>6382</v>
      </c>
      <c r="D2072" s="2" t="s">
        <v>6383</v>
      </c>
      <c r="E2072" s="4" t="s">
        <v>25794</v>
      </c>
    </row>
    <row r="2073" spans="1:5" x14ac:dyDescent="0.25">
      <c r="A2073" s="2" t="s">
        <v>6384</v>
      </c>
      <c r="B2073" s="8" t="s">
        <v>16180</v>
      </c>
      <c r="C2073" s="2" t="s">
        <v>6384</v>
      </c>
      <c r="D2073" s="2" t="s">
        <v>6385</v>
      </c>
      <c r="E2073" s="4" t="s">
        <v>25795</v>
      </c>
    </row>
    <row r="2074" spans="1:5" x14ac:dyDescent="0.25">
      <c r="A2074" s="2" t="s">
        <v>6386</v>
      </c>
      <c r="B2074" s="8" t="s">
        <v>16180</v>
      </c>
      <c r="C2074" s="2" t="s">
        <v>6386</v>
      </c>
      <c r="D2074" s="2" t="s">
        <v>6387</v>
      </c>
      <c r="E2074" s="4" t="s">
        <v>25796</v>
      </c>
    </row>
    <row r="2075" spans="1:5" x14ac:dyDescent="0.25">
      <c r="A2075" s="2" t="s">
        <v>6388</v>
      </c>
      <c r="B2075" s="8" t="s">
        <v>16180</v>
      </c>
      <c r="C2075" s="2" t="s">
        <v>6388</v>
      </c>
      <c r="D2075" s="2" t="s">
        <v>6389</v>
      </c>
      <c r="E2075" s="4" t="s">
        <v>25797</v>
      </c>
    </row>
    <row r="2076" spans="1:5" x14ac:dyDescent="0.25">
      <c r="A2076" s="2" t="s">
        <v>6390</v>
      </c>
      <c r="B2076" s="8" t="s">
        <v>16180</v>
      </c>
      <c r="C2076" s="2" t="s">
        <v>6390</v>
      </c>
      <c r="D2076" s="2" t="s">
        <v>6391</v>
      </c>
      <c r="E2076" s="4" t="s">
        <v>25798</v>
      </c>
    </row>
    <row r="2077" spans="1:5" x14ac:dyDescent="0.25">
      <c r="A2077" s="2" t="s">
        <v>6392</v>
      </c>
      <c r="B2077" s="8" t="s">
        <v>16180</v>
      </c>
      <c r="C2077" s="2" t="s">
        <v>6392</v>
      </c>
      <c r="D2077" s="2" t="s">
        <v>6393</v>
      </c>
      <c r="E2077" s="4" t="s">
        <v>25799</v>
      </c>
    </row>
    <row r="2078" spans="1:5" x14ac:dyDescent="0.25">
      <c r="A2078" s="2" t="s">
        <v>6394</v>
      </c>
      <c r="B2078" s="8" t="s">
        <v>16180</v>
      </c>
      <c r="C2078" s="2" t="s">
        <v>6394</v>
      </c>
      <c r="D2078" s="2" t="s">
        <v>6395</v>
      </c>
      <c r="E2078" s="4" t="s">
        <v>25800</v>
      </c>
    </row>
    <row r="2079" spans="1:5" x14ac:dyDescent="0.25">
      <c r="A2079" s="2" t="s">
        <v>6396</v>
      </c>
      <c r="B2079" s="8" t="s">
        <v>16180</v>
      </c>
      <c r="C2079" s="2" t="s">
        <v>6396</v>
      </c>
      <c r="D2079" s="2" t="s">
        <v>6397</v>
      </c>
      <c r="E2079" s="4" t="s">
        <v>25801</v>
      </c>
    </row>
    <row r="2080" spans="1:5" x14ac:dyDescent="0.25">
      <c r="A2080" s="2" t="s">
        <v>6398</v>
      </c>
      <c r="B2080" s="8" t="s">
        <v>16180</v>
      </c>
      <c r="C2080" s="2" t="s">
        <v>6398</v>
      </c>
      <c r="D2080" s="2" t="s">
        <v>6399</v>
      </c>
      <c r="E2080" s="4" t="s">
        <v>25802</v>
      </c>
    </row>
    <row r="2081" spans="1:14" x14ac:dyDescent="0.25">
      <c r="A2081" s="2" t="s">
        <v>6400</v>
      </c>
      <c r="B2081" s="8" t="s">
        <v>16180</v>
      </c>
      <c r="C2081" s="2" t="s">
        <v>6400</v>
      </c>
      <c r="D2081" s="2" t="s">
        <v>6401</v>
      </c>
      <c r="E2081" s="4" t="s">
        <v>25803</v>
      </c>
    </row>
    <row r="2082" spans="1:14" x14ac:dyDescent="0.25">
      <c r="A2082" s="2" t="s">
        <v>6402</v>
      </c>
      <c r="B2082" s="8" t="s">
        <v>16180</v>
      </c>
      <c r="C2082" s="2" t="s">
        <v>6402</v>
      </c>
      <c r="D2082" s="2" t="s">
        <v>6403</v>
      </c>
      <c r="E2082" s="4" t="s">
        <v>25804</v>
      </c>
    </row>
    <row r="2083" spans="1:14" x14ac:dyDescent="0.25">
      <c r="A2083" s="2" t="s">
        <v>6405</v>
      </c>
      <c r="B2083" s="8" t="s">
        <v>16180</v>
      </c>
      <c r="C2083" s="2" t="s">
        <v>6405</v>
      </c>
      <c r="D2083" s="2" t="s">
        <v>6406</v>
      </c>
      <c r="E2083" s="23" t="s">
        <v>25805</v>
      </c>
      <c r="N2083" t="s">
        <v>25806</v>
      </c>
    </row>
    <row r="2084" spans="1:14" x14ac:dyDescent="0.25">
      <c r="A2084" s="2" t="s">
        <v>6407</v>
      </c>
      <c r="B2084" s="8" t="s">
        <v>17060</v>
      </c>
      <c r="C2084" s="2" t="s">
        <v>6407</v>
      </c>
      <c r="D2084" s="2" t="s">
        <v>6408</v>
      </c>
      <c r="E2084" s="4" t="s">
        <v>6408</v>
      </c>
      <c r="G2084" s="15" t="s">
        <v>25807</v>
      </c>
      <c r="H2084" s="15" t="s">
        <v>25808</v>
      </c>
      <c r="I2084" s="15" t="s">
        <v>25809</v>
      </c>
      <c r="J2084" s="15" t="s">
        <v>25810</v>
      </c>
      <c r="K2084" s="15">
        <v>108242</v>
      </c>
      <c r="L2084" s="15" t="s">
        <v>19099</v>
      </c>
    </row>
    <row r="2085" spans="1:14" x14ac:dyDescent="0.25">
      <c r="A2085" s="2" t="s">
        <v>6410</v>
      </c>
      <c r="B2085" s="8" t="s">
        <v>16180</v>
      </c>
      <c r="C2085" s="2" t="s">
        <v>6410</v>
      </c>
      <c r="D2085" s="2" t="s">
        <v>6411</v>
      </c>
      <c r="E2085" s="4" t="s">
        <v>25811</v>
      </c>
    </row>
    <row r="2086" spans="1:14" x14ac:dyDescent="0.25">
      <c r="A2086" s="2" t="s">
        <v>6412</v>
      </c>
      <c r="B2086" s="8" t="s">
        <v>16180</v>
      </c>
      <c r="C2086" s="2" t="s">
        <v>6412</v>
      </c>
      <c r="D2086" s="2" t="s">
        <v>6413</v>
      </c>
      <c r="E2086" s="4" t="s">
        <v>25812</v>
      </c>
    </row>
    <row r="2087" spans="1:14" x14ac:dyDescent="0.25">
      <c r="A2087" s="2" t="s">
        <v>6414</v>
      </c>
      <c r="B2087" s="8" t="s">
        <v>16180</v>
      </c>
      <c r="C2087" s="2" t="s">
        <v>6414</v>
      </c>
      <c r="D2087" s="2" t="s">
        <v>6415</v>
      </c>
      <c r="E2087" s="4" t="s">
        <v>25813</v>
      </c>
    </row>
    <row r="2088" spans="1:14" x14ac:dyDescent="0.25">
      <c r="A2088" s="2" t="s">
        <v>6416</v>
      </c>
      <c r="B2088" s="8" t="s">
        <v>16180</v>
      </c>
      <c r="C2088" s="2" t="s">
        <v>6416</v>
      </c>
      <c r="D2088" s="2" t="s">
        <v>6417</v>
      </c>
      <c r="E2088" s="4" t="s">
        <v>25814</v>
      </c>
    </row>
    <row r="2089" spans="1:14" x14ac:dyDescent="0.25">
      <c r="A2089" s="2" t="s">
        <v>6418</v>
      </c>
      <c r="B2089" s="8" t="s">
        <v>16180</v>
      </c>
      <c r="C2089" s="2" t="s">
        <v>6418</v>
      </c>
      <c r="D2089" s="2" t="s">
        <v>6419</v>
      </c>
      <c r="E2089" s="4" t="s">
        <v>25815</v>
      </c>
    </row>
    <row r="2090" spans="1:14" x14ac:dyDescent="0.25">
      <c r="A2090" s="2" t="s">
        <v>6420</v>
      </c>
      <c r="B2090" s="8" t="s">
        <v>16180</v>
      </c>
      <c r="C2090" s="2" t="s">
        <v>6420</v>
      </c>
      <c r="D2090" s="2" t="s">
        <v>6421</v>
      </c>
      <c r="E2090" s="4" t="s">
        <v>25816</v>
      </c>
    </row>
    <row r="2091" spans="1:14" x14ac:dyDescent="0.25">
      <c r="A2091" s="2" t="s">
        <v>6422</v>
      </c>
      <c r="B2091" s="8" t="s">
        <v>16180</v>
      </c>
      <c r="C2091" s="2" t="s">
        <v>6422</v>
      </c>
      <c r="D2091" s="2" t="s">
        <v>6423</v>
      </c>
      <c r="E2091" s="4" t="s">
        <v>25817</v>
      </c>
    </row>
    <row r="2092" spans="1:14" x14ac:dyDescent="0.25">
      <c r="A2092" s="2" t="s">
        <v>6424</v>
      </c>
      <c r="B2092" s="8" t="s">
        <v>17061</v>
      </c>
      <c r="C2092" s="2" t="s">
        <v>6424</v>
      </c>
      <c r="D2092" s="2" t="s">
        <v>6425</v>
      </c>
      <c r="E2092" s="4" t="s">
        <v>6425</v>
      </c>
      <c r="G2092" s="15" t="s">
        <v>6425</v>
      </c>
      <c r="H2092" s="15" t="s">
        <v>25818</v>
      </c>
      <c r="I2092" s="15" t="s">
        <v>25819</v>
      </c>
      <c r="J2092" s="15" t="s">
        <v>25820</v>
      </c>
      <c r="K2092" s="15">
        <v>10113</v>
      </c>
      <c r="L2092" s="15" t="s">
        <v>19099</v>
      </c>
    </row>
    <row r="2093" spans="1:14" x14ac:dyDescent="0.25">
      <c r="A2093" s="2" t="s">
        <v>6427</v>
      </c>
      <c r="B2093" s="8" t="s">
        <v>17062</v>
      </c>
      <c r="C2093" s="2" t="s">
        <v>6427</v>
      </c>
      <c r="D2093" s="2" t="s">
        <v>6428</v>
      </c>
      <c r="E2093" s="4" t="s">
        <v>6428</v>
      </c>
      <c r="G2093" s="15" t="s">
        <v>25821</v>
      </c>
      <c r="H2093" s="15" t="s">
        <v>25822</v>
      </c>
      <c r="I2093" s="15" t="s">
        <v>25823</v>
      </c>
      <c r="J2093" s="15" t="s">
        <v>25824</v>
      </c>
      <c r="K2093" s="15">
        <v>29732</v>
      </c>
      <c r="L2093" s="15" t="s">
        <v>19099</v>
      </c>
    </row>
    <row r="2094" spans="1:14" x14ac:dyDescent="0.25">
      <c r="A2094" s="2" t="s">
        <v>6430</v>
      </c>
      <c r="B2094" s="8" t="s">
        <v>17063</v>
      </c>
      <c r="C2094" s="2" t="s">
        <v>6430</v>
      </c>
      <c r="D2094" s="2" t="s">
        <v>6431</v>
      </c>
      <c r="E2094" s="4" t="s">
        <v>6431</v>
      </c>
      <c r="G2094" s="15" t="s">
        <v>25825</v>
      </c>
      <c r="H2094" s="15" t="s">
        <v>25826</v>
      </c>
      <c r="I2094" s="15" t="s">
        <v>25827</v>
      </c>
      <c r="J2094" s="15" t="s">
        <v>25828</v>
      </c>
      <c r="K2094" s="15">
        <v>53735</v>
      </c>
      <c r="L2094" s="15" t="s">
        <v>19099</v>
      </c>
    </row>
    <row r="2095" spans="1:14" x14ac:dyDescent="0.25">
      <c r="A2095" s="2" t="s">
        <v>6433</v>
      </c>
      <c r="B2095" s="8" t="s">
        <v>17064</v>
      </c>
      <c r="C2095" s="2" t="s">
        <v>6433</v>
      </c>
      <c r="D2095" s="2" t="s">
        <v>6434</v>
      </c>
      <c r="E2095" s="4" t="s">
        <v>25829</v>
      </c>
      <c r="G2095" s="15" t="s">
        <v>25830</v>
      </c>
      <c r="H2095" s="15" t="s">
        <v>25831</v>
      </c>
      <c r="I2095" s="15" t="s">
        <v>25832</v>
      </c>
      <c r="J2095" s="15" t="s">
        <v>25833</v>
      </c>
      <c r="K2095" s="15">
        <v>6196</v>
      </c>
      <c r="L2095" s="15" t="s">
        <v>19099</v>
      </c>
    </row>
    <row r="2096" spans="1:14" x14ac:dyDescent="0.25">
      <c r="A2096" s="2" t="s">
        <v>6436</v>
      </c>
      <c r="B2096" s="8" t="s">
        <v>17065</v>
      </c>
      <c r="C2096" s="2" t="s">
        <v>6436</v>
      </c>
      <c r="D2096" s="2" t="s">
        <v>6437</v>
      </c>
      <c r="E2096" s="4" t="s">
        <v>6437</v>
      </c>
      <c r="G2096" s="15" t="s">
        <v>25834</v>
      </c>
      <c r="H2096" s="15" t="s">
        <v>25835</v>
      </c>
      <c r="I2096" s="15" t="s">
        <v>25836</v>
      </c>
      <c r="J2096" s="15" t="s">
        <v>25837</v>
      </c>
      <c r="K2096" s="15">
        <v>6399255</v>
      </c>
      <c r="L2096" s="15" t="s">
        <v>19099</v>
      </c>
    </row>
    <row r="2097" spans="1:12" x14ac:dyDescent="0.25">
      <c r="A2097" s="2" t="s">
        <v>6439</v>
      </c>
      <c r="B2097" s="8" t="s">
        <v>17066</v>
      </c>
      <c r="C2097" s="2" t="s">
        <v>6439</v>
      </c>
      <c r="D2097" s="2" t="s">
        <v>6440</v>
      </c>
      <c r="E2097" s="4" t="s">
        <v>6440</v>
      </c>
      <c r="G2097" s="15" t="s">
        <v>25838</v>
      </c>
      <c r="H2097" s="15" t="s">
        <v>25839</v>
      </c>
      <c r="I2097" s="15" t="s">
        <v>25840</v>
      </c>
      <c r="J2097" s="15" t="s">
        <v>25841</v>
      </c>
      <c r="K2097" s="15">
        <v>9595287</v>
      </c>
      <c r="L2097" s="15" t="s">
        <v>19099</v>
      </c>
    </row>
    <row r="2098" spans="1:12" x14ac:dyDescent="0.25">
      <c r="A2098" s="2" t="s">
        <v>6442</v>
      </c>
      <c r="B2098" s="8" t="s">
        <v>17067</v>
      </c>
      <c r="C2098" s="2" t="s">
        <v>6442</v>
      </c>
      <c r="D2098" s="2" t="s">
        <v>6443</v>
      </c>
      <c r="E2098" s="4" t="s">
        <v>6443</v>
      </c>
      <c r="G2098" s="15" t="s">
        <v>25842</v>
      </c>
      <c r="H2098" s="15" t="s">
        <v>25843</v>
      </c>
      <c r="I2098" s="15" t="s">
        <v>25844</v>
      </c>
      <c r="J2098" s="15" t="s">
        <v>25845</v>
      </c>
      <c r="K2098" s="15">
        <v>86443</v>
      </c>
      <c r="L2098" s="15" t="s">
        <v>19099</v>
      </c>
    </row>
    <row r="2099" spans="1:12" x14ac:dyDescent="0.25">
      <c r="A2099" s="2" t="s">
        <v>6445</v>
      </c>
      <c r="B2099" s="8" t="s">
        <v>17068</v>
      </c>
      <c r="C2099" s="2" t="s">
        <v>6445</v>
      </c>
      <c r="D2099" s="2" t="s">
        <v>6446</v>
      </c>
      <c r="E2099" s="4" t="s">
        <v>6446</v>
      </c>
      <c r="G2099" s="15" t="s">
        <v>25846</v>
      </c>
      <c r="H2099" s="15" t="s">
        <v>25847</v>
      </c>
      <c r="I2099" s="15" t="s">
        <v>25848</v>
      </c>
      <c r="J2099" s="15" t="s">
        <v>25849</v>
      </c>
      <c r="K2099" s="15">
        <v>56945145</v>
      </c>
      <c r="L2099" s="15" t="s">
        <v>19099</v>
      </c>
    </row>
    <row r="2100" spans="1:12" x14ac:dyDescent="0.25">
      <c r="A2100" s="2" t="s">
        <v>6448</v>
      </c>
      <c r="B2100" s="8" t="s">
        <v>17069</v>
      </c>
      <c r="C2100" s="2" t="s">
        <v>6448</v>
      </c>
      <c r="D2100" s="2" t="s">
        <v>6449</v>
      </c>
      <c r="E2100" s="4" t="s">
        <v>25850</v>
      </c>
      <c r="H2100" s="15" t="s">
        <v>25851</v>
      </c>
      <c r="I2100" s="15" t="s">
        <v>25852</v>
      </c>
      <c r="J2100" s="15" t="s">
        <v>25853</v>
      </c>
      <c r="K2100" s="15">
        <v>6328651</v>
      </c>
      <c r="L2100" s="15" t="s">
        <v>19099</v>
      </c>
    </row>
    <row r="2101" spans="1:12" x14ac:dyDescent="0.25">
      <c r="A2101" s="2" t="s">
        <v>6451</v>
      </c>
      <c r="B2101" s="8" t="s">
        <v>17070</v>
      </c>
      <c r="C2101" s="2" t="s">
        <v>6451</v>
      </c>
      <c r="D2101" s="2" t="s">
        <v>6452</v>
      </c>
      <c r="E2101" s="4" t="s">
        <v>25854</v>
      </c>
      <c r="G2101" s="15" t="s">
        <v>25855</v>
      </c>
      <c r="H2101" s="15" t="s">
        <v>25856</v>
      </c>
      <c r="I2101" s="15" t="s">
        <v>25857</v>
      </c>
      <c r="J2101" s="15" t="s">
        <v>25858</v>
      </c>
      <c r="K2101" s="15">
        <v>11169</v>
      </c>
      <c r="L2101" s="15" t="s">
        <v>19099</v>
      </c>
    </row>
    <row r="2102" spans="1:12" x14ac:dyDescent="0.25">
      <c r="A2102" s="2" t="s">
        <v>6454</v>
      </c>
      <c r="B2102" s="8" t="s">
        <v>17071</v>
      </c>
      <c r="C2102" s="2" t="s">
        <v>6454</v>
      </c>
      <c r="D2102" s="2" t="s">
        <v>6455</v>
      </c>
      <c r="E2102" s="4" t="s">
        <v>25859</v>
      </c>
      <c r="G2102" s="15" t="s">
        <v>25860</v>
      </c>
      <c r="H2102" s="15" t="s">
        <v>25861</v>
      </c>
      <c r="I2102" s="15" t="s">
        <v>25862</v>
      </c>
      <c r="J2102" s="15" t="s">
        <v>25863</v>
      </c>
      <c r="K2102" s="15">
        <v>16692</v>
      </c>
      <c r="L2102" s="15" t="s">
        <v>19099</v>
      </c>
    </row>
    <row r="2103" spans="1:12" x14ac:dyDescent="0.25">
      <c r="A2103" s="2" t="s">
        <v>6457</v>
      </c>
      <c r="B2103" s="8" t="s">
        <v>17072</v>
      </c>
      <c r="C2103" s="2" t="s">
        <v>6457</v>
      </c>
      <c r="D2103" s="2" t="s">
        <v>6458</v>
      </c>
      <c r="E2103" s="4" t="s">
        <v>25864</v>
      </c>
      <c r="G2103" s="15" t="s">
        <v>25865</v>
      </c>
      <c r="H2103" s="15" t="s">
        <v>25866</v>
      </c>
      <c r="I2103" s="15" t="s">
        <v>25867</v>
      </c>
      <c r="J2103" s="15" t="s">
        <v>25868</v>
      </c>
      <c r="K2103" s="15">
        <v>34466</v>
      </c>
      <c r="L2103" s="15" t="s">
        <v>19099</v>
      </c>
    </row>
    <row r="2104" spans="1:12" x14ac:dyDescent="0.25">
      <c r="A2104" s="2" t="s">
        <v>6460</v>
      </c>
      <c r="B2104" s="8" t="s">
        <v>17073</v>
      </c>
      <c r="C2104" s="2" t="s">
        <v>6460</v>
      </c>
      <c r="D2104" s="2" t="s">
        <v>6461</v>
      </c>
      <c r="E2104" s="4" t="s">
        <v>25869</v>
      </c>
      <c r="G2104" s="15" t="s">
        <v>25870</v>
      </c>
      <c r="H2104" s="15" t="s">
        <v>25871</v>
      </c>
      <c r="I2104" s="15" t="s">
        <v>25872</v>
      </c>
      <c r="J2104" s="15" t="s">
        <v>25873</v>
      </c>
      <c r="K2104" s="15">
        <v>4628</v>
      </c>
      <c r="L2104" s="15" t="s">
        <v>19099</v>
      </c>
    </row>
    <row r="2105" spans="1:12" x14ac:dyDescent="0.25">
      <c r="A2105" s="2" t="s">
        <v>6463</v>
      </c>
      <c r="B2105" s="8" t="s">
        <v>17075</v>
      </c>
      <c r="C2105" s="2" t="s">
        <v>6463</v>
      </c>
      <c r="D2105" s="2" t="s">
        <v>6464</v>
      </c>
      <c r="E2105" s="4" t="s">
        <v>6464</v>
      </c>
      <c r="G2105" s="15" t="s">
        <v>25874</v>
      </c>
      <c r="H2105" s="15" t="s">
        <v>25875</v>
      </c>
      <c r="I2105" s="15" t="s">
        <v>25876</v>
      </c>
      <c r="J2105" s="15" t="s">
        <v>486</v>
      </c>
      <c r="K2105" s="15">
        <v>167423</v>
      </c>
      <c r="L2105" s="15" t="s">
        <v>19099</v>
      </c>
    </row>
    <row r="2106" spans="1:12" x14ac:dyDescent="0.25">
      <c r="A2106" s="2" t="s">
        <v>6466</v>
      </c>
      <c r="B2106" s="8" t="s">
        <v>17076</v>
      </c>
      <c r="C2106" s="2" t="s">
        <v>6466</v>
      </c>
      <c r="D2106" s="2" t="s">
        <v>6467</v>
      </c>
      <c r="E2106" s="4" t="s">
        <v>6467</v>
      </c>
      <c r="G2106" s="15" t="s">
        <v>25877</v>
      </c>
      <c r="H2106" s="15" t="s">
        <v>25878</v>
      </c>
      <c r="I2106" s="15" t="s">
        <v>25879</v>
      </c>
      <c r="J2106" s="15" t="s">
        <v>25880</v>
      </c>
      <c r="K2106" s="15">
        <v>30318</v>
      </c>
      <c r="L2106" s="15" t="s">
        <v>19099</v>
      </c>
    </row>
    <row r="2107" spans="1:12" x14ac:dyDescent="0.25">
      <c r="A2107" s="2" t="s">
        <v>6469</v>
      </c>
      <c r="B2107" s="8" t="s">
        <v>17077</v>
      </c>
      <c r="C2107" s="2" t="s">
        <v>6469</v>
      </c>
      <c r="D2107" s="2" t="s">
        <v>6470</v>
      </c>
      <c r="E2107" s="4" t="s">
        <v>25881</v>
      </c>
      <c r="G2107" s="15" t="s">
        <v>25882</v>
      </c>
      <c r="H2107" s="15" t="s">
        <v>25883</v>
      </c>
      <c r="I2107" s="15" t="s">
        <v>25884</v>
      </c>
      <c r="J2107" s="15" t="s">
        <v>25885</v>
      </c>
      <c r="K2107" s="15">
        <v>33772</v>
      </c>
      <c r="L2107" s="15" t="s">
        <v>19099</v>
      </c>
    </row>
    <row r="2108" spans="1:12" x14ac:dyDescent="0.25">
      <c r="A2108" s="2" t="s">
        <v>6472</v>
      </c>
      <c r="B2108" s="8" t="s">
        <v>17078</v>
      </c>
      <c r="C2108" s="2" t="s">
        <v>6472</v>
      </c>
      <c r="D2108" s="2" t="s">
        <v>6473</v>
      </c>
      <c r="E2108" s="4" t="s">
        <v>6473</v>
      </c>
      <c r="G2108" s="15" t="s">
        <v>25886</v>
      </c>
      <c r="H2108" s="15" t="s">
        <v>25887</v>
      </c>
      <c r="I2108" s="15" t="s">
        <v>25888</v>
      </c>
      <c r="J2108" s="15" t="s">
        <v>25889</v>
      </c>
      <c r="K2108" s="15">
        <v>39327</v>
      </c>
      <c r="L2108" s="15" t="s">
        <v>19099</v>
      </c>
    </row>
    <row r="2109" spans="1:12" x14ac:dyDescent="0.25">
      <c r="A2109" s="2" t="s">
        <v>6475</v>
      </c>
      <c r="B2109" s="8" t="s">
        <v>17079</v>
      </c>
      <c r="C2109" s="2" t="s">
        <v>6475</v>
      </c>
      <c r="D2109" s="2" t="s">
        <v>6476</v>
      </c>
      <c r="E2109" s="4" t="s">
        <v>6476</v>
      </c>
      <c r="G2109" s="15" t="s">
        <v>25890</v>
      </c>
      <c r="H2109" s="15" t="s">
        <v>25891</v>
      </c>
      <c r="I2109" s="15" t="s">
        <v>25892</v>
      </c>
      <c r="J2109" s="15" t="s">
        <v>25893</v>
      </c>
      <c r="K2109" s="15">
        <v>54680782</v>
      </c>
      <c r="L2109" s="15" t="s">
        <v>19099</v>
      </c>
    </row>
    <row r="2110" spans="1:12" x14ac:dyDescent="0.25">
      <c r="A2110" s="2" t="s">
        <v>6478</v>
      </c>
      <c r="B2110" s="8" t="s">
        <v>17080</v>
      </c>
      <c r="C2110" s="2" t="s">
        <v>6478</v>
      </c>
      <c r="D2110" s="2" t="s">
        <v>6479</v>
      </c>
      <c r="E2110" s="4" t="s">
        <v>6479</v>
      </c>
      <c r="G2110" s="15" t="s">
        <v>25894</v>
      </c>
      <c r="H2110" s="15" t="s">
        <v>25895</v>
      </c>
      <c r="I2110" s="15" t="s">
        <v>25896</v>
      </c>
      <c r="J2110" s="15" t="s">
        <v>25897</v>
      </c>
      <c r="K2110" s="15">
        <v>54680691</v>
      </c>
      <c r="L2110" s="15" t="s">
        <v>19099</v>
      </c>
    </row>
    <row r="2111" spans="1:12" x14ac:dyDescent="0.25">
      <c r="A2111" s="2" t="s">
        <v>6481</v>
      </c>
      <c r="B2111" s="8" t="s">
        <v>17081</v>
      </c>
      <c r="C2111" s="2" t="s">
        <v>6481</v>
      </c>
      <c r="D2111" s="2" t="s">
        <v>6482</v>
      </c>
      <c r="E2111" s="4" t="s">
        <v>6482</v>
      </c>
      <c r="G2111" s="15" t="s">
        <v>25898</v>
      </c>
      <c r="H2111" s="15" t="s">
        <v>25899</v>
      </c>
      <c r="I2111" s="15" t="s">
        <v>25900</v>
      </c>
      <c r="J2111" s="15" t="s">
        <v>25901</v>
      </c>
      <c r="K2111" s="15">
        <v>21330</v>
      </c>
      <c r="L2111" s="15" t="s">
        <v>19099</v>
      </c>
    </row>
    <row r="2112" spans="1:12" x14ac:dyDescent="0.25">
      <c r="A2112" s="2" t="s">
        <v>6484</v>
      </c>
      <c r="B2112" s="8" t="s">
        <v>17082</v>
      </c>
      <c r="C2112" s="2" t="s">
        <v>6484</v>
      </c>
      <c r="D2112" s="2" t="s">
        <v>6485</v>
      </c>
      <c r="E2112" s="4" t="s">
        <v>6485</v>
      </c>
      <c r="G2112" s="15" t="s">
        <v>25902</v>
      </c>
      <c r="H2112" s="15" t="s">
        <v>25903</v>
      </c>
      <c r="I2112" s="15" t="s">
        <v>25904</v>
      </c>
      <c r="J2112" s="15" t="s">
        <v>25905</v>
      </c>
      <c r="K2112" s="15">
        <v>16779</v>
      </c>
      <c r="L2112" s="15" t="s">
        <v>19099</v>
      </c>
    </row>
    <row r="2113" spans="1:12" x14ac:dyDescent="0.25">
      <c r="A2113" s="2" t="s">
        <v>6487</v>
      </c>
      <c r="B2113" s="8" t="s">
        <v>17083</v>
      </c>
      <c r="C2113" s="2" t="s">
        <v>6487</v>
      </c>
      <c r="D2113" s="2" t="s">
        <v>6488</v>
      </c>
      <c r="E2113" s="4" t="s">
        <v>6488</v>
      </c>
      <c r="G2113" s="15" t="s">
        <v>25906</v>
      </c>
      <c r="H2113" s="15" t="s">
        <v>25907</v>
      </c>
      <c r="I2113" s="15" t="s">
        <v>25908</v>
      </c>
      <c r="J2113" s="15" t="s">
        <v>25909</v>
      </c>
      <c r="K2113" s="15">
        <v>4636</v>
      </c>
      <c r="L2113" s="15" t="s">
        <v>19099</v>
      </c>
    </row>
    <row r="2114" spans="1:12" x14ac:dyDescent="0.25">
      <c r="A2114" s="2" t="s">
        <v>6490</v>
      </c>
      <c r="B2114" s="8" t="s">
        <v>17084</v>
      </c>
      <c r="C2114" s="2" t="s">
        <v>6490</v>
      </c>
      <c r="D2114" s="2" t="s">
        <v>6491</v>
      </c>
      <c r="E2114" s="4" t="s">
        <v>6491</v>
      </c>
      <c r="G2114" s="15" t="s">
        <v>25910</v>
      </c>
      <c r="H2114" s="15" t="s">
        <v>25911</v>
      </c>
      <c r="I2114" s="15" t="s">
        <v>25912</v>
      </c>
      <c r="J2114" s="15" t="s">
        <v>25913</v>
      </c>
      <c r="K2114" s="15">
        <v>135398752</v>
      </c>
      <c r="L2114" s="15" t="s">
        <v>19099</v>
      </c>
    </row>
    <row r="2115" spans="1:12" x14ac:dyDescent="0.25">
      <c r="A2115" s="2" t="s">
        <v>6493</v>
      </c>
      <c r="B2115" s="8" t="s">
        <v>17085</v>
      </c>
      <c r="C2115" s="2" t="s">
        <v>6493</v>
      </c>
      <c r="D2115" s="2" t="s">
        <v>6494</v>
      </c>
      <c r="E2115" s="4" t="s">
        <v>25914</v>
      </c>
      <c r="G2115" s="15" t="s">
        <v>25915</v>
      </c>
      <c r="H2115" s="15" t="s">
        <v>25916</v>
      </c>
      <c r="I2115" s="15" t="s">
        <v>25917</v>
      </c>
      <c r="J2115" s="15" t="s">
        <v>93</v>
      </c>
      <c r="K2115" s="15">
        <v>5462309</v>
      </c>
      <c r="L2115" s="15" t="s">
        <v>19099</v>
      </c>
    </row>
    <row r="2116" spans="1:12" x14ac:dyDescent="0.25">
      <c r="A2116" s="2" t="s">
        <v>6496</v>
      </c>
      <c r="B2116" s="8" t="s">
        <v>17086</v>
      </c>
      <c r="C2116" s="2" t="s">
        <v>6496</v>
      </c>
      <c r="D2116" s="2" t="s">
        <v>6497</v>
      </c>
      <c r="E2116" s="4" t="s">
        <v>25918</v>
      </c>
      <c r="G2116" s="15" t="s">
        <v>25919</v>
      </c>
      <c r="H2116" s="15" t="s">
        <v>25920</v>
      </c>
      <c r="I2116" s="15" t="s">
        <v>25921</v>
      </c>
      <c r="J2116" s="15" t="s">
        <v>25922</v>
      </c>
      <c r="K2116" s="15">
        <v>49996</v>
      </c>
      <c r="L2116" s="15" t="s">
        <v>19099</v>
      </c>
    </row>
    <row r="2117" spans="1:12" x14ac:dyDescent="0.25">
      <c r="A2117" s="2" t="s">
        <v>6499</v>
      </c>
      <c r="B2117" s="8" t="s">
        <v>17087</v>
      </c>
      <c r="C2117" s="2" t="s">
        <v>6499</v>
      </c>
      <c r="D2117" s="2" t="s">
        <v>6500</v>
      </c>
      <c r="E2117" s="4" t="s">
        <v>25923</v>
      </c>
      <c r="G2117" s="15" t="s">
        <v>25924</v>
      </c>
      <c r="H2117" s="15" t="s">
        <v>25925</v>
      </c>
      <c r="I2117" s="15" t="s">
        <v>25926</v>
      </c>
      <c r="J2117" s="15" t="s">
        <v>25927</v>
      </c>
      <c r="K2117" s="15">
        <v>7110</v>
      </c>
      <c r="L2117" s="15" t="s">
        <v>19099</v>
      </c>
    </row>
    <row r="2118" spans="1:12" x14ac:dyDescent="0.25">
      <c r="A2118" s="2" t="s">
        <v>6502</v>
      </c>
      <c r="B2118" s="8" t="s">
        <v>17088</v>
      </c>
      <c r="C2118" s="2" t="s">
        <v>6502</v>
      </c>
      <c r="D2118" s="2" t="s">
        <v>6503</v>
      </c>
      <c r="E2118" s="4" t="s">
        <v>25928</v>
      </c>
      <c r="G2118" s="15" t="s">
        <v>25929</v>
      </c>
      <c r="H2118" s="15" t="s">
        <v>25930</v>
      </c>
      <c r="I2118" s="15" t="s">
        <v>25931</v>
      </c>
      <c r="J2118" s="15" t="s">
        <v>24767</v>
      </c>
      <c r="K2118" s="15">
        <v>104942</v>
      </c>
      <c r="L2118" s="15" t="s">
        <v>19099</v>
      </c>
    </row>
    <row r="2119" spans="1:12" x14ac:dyDescent="0.25">
      <c r="A2119" s="2" t="s">
        <v>6505</v>
      </c>
      <c r="B2119" s="8" t="s">
        <v>17089</v>
      </c>
      <c r="C2119" s="2" t="s">
        <v>6505</v>
      </c>
      <c r="D2119" s="2" t="s">
        <v>6506</v>
      </c>
      <c r="E2119" s="4" t="s">
        <v>25932</v>
      </c>
      <c r="G2119" s="15" t="s">
        <v>25933</v>
      </c>
      <c r="H2119" s="15" t="s">
        <v>25934</v>
      </c>
      <c r="I2119" s="15" t="s">
        <v>25935</v>
      </c>
      <c r="J2119" s="15" t="s">
        <v>25936</v>
      </c>
      <c r="K2119" s="15">
        <v>26164</v>
      </c>
      <c r="L2119" s="15" t="s">
        <v>19099</v>
      </c>
    </row>
    <row r="2120" spans="1:12" x14ac:dyDescent="0.25">
      <c r="A2120" s="2" t="s">
        <v>6508</v>
      </c>
      <c r="B2120" s="8" t="s">
        <v>17090</v>
      </c>
      <c r="C2120" s="2" t="s">
        <v>6508</v>
      </c>
      <c r="D2120" s="2" t="s">
        <v>6509</v>
      </c>
      <c r="E2120" s="4" t="s">
        <v>25937</v>
      </c>
      <c r="G2120" s="15" t="s">
        <v>25938</v>
      </c>
      <c r="H2120" s="15" t="s">
        <v>25939</v>
      </c>
      <c r="I2120" s="15" t="s">
        <v>25940</v>
      </c>
      <c r="J2120" s="15" t="s">
        <v>25941</v>
      </c>
      <c r="K2120" s="15">
        <v>591320</v>
      </c>
      <c r="L2120" s="15" t="s">
        <v>19099</v>
      </c>
    </row>
    <row r="2121" spans="1:12" x14ac:dyDescent="0.25">
      <c r="A2121" s="2" t="s">
        <v>6511</v>
      </c>
      <c r="B2121" s="8" t="s">
        <v>17091</v>
      </c>
      <c r="C2121" s="2" t="s">
        <v>6511</v>
      </c>
      <c r="D2121" s="2" t="s">
        <v>6512</v>
      </c>
      <c r="E2121" s="4" t="s">
        <v>25942</v>
      </c>
      <c r="G2121" s="15" t="s">
        <v>25943</v>
      </c>
      <c r="H2121" s="15" t="s">
        <v>25944</v>
      </c>
      <c r="I2121" s="15" t="s">
        <v>25945</v>
      </c>
      <c r="J2121" s="15" t="s">
        <v>25941</v>
      </c>
      <c r="K2121" s="15">
        <v>591322</v>
      </c>
      <c r="L2121" s="15" t="s">
        <v>19099</v>
      </c>
    </row>
    <row r="2122" spans="1:12" x14ac:dyDescent="0.25">
      <c r="A2122" s="2" t="s">
        <v>6514</v>
      </c>
      <c r="B2122" s="8" t="s">
        <v>17092</v>
      </c>
      <c r="C2122" s="2" t="s">
        <v>6514</v>
      </c>
      <c r="D2122" s="2" t="s">
        <v>6515</v>
      </c>
      <c r="E2122" s="4" t="s">
        <v>25946</v>
      </c>
      <c r="G2122" s="15" t="s">
        <v>25947</v>
      </c>
      <c r="H2122" s="15" t="s">
        <v>25948</v>
      </c>
      <c r="I2122" s="15" t="s">
        <v>25949</v>
      </c>
      <c r="J2122" s="15" t="s">
        <v>25950</v>
      </c>
      <c r="K2122" s="15">
        <v>154083</v>
      </c>
      <c r="L2122" s="15" t="s">
        <v>19099</v>
      </c>
    </row>
    <row r="2123" spans="1:12" x14ac:dyDescent="0.25">
      <c r="A2123" s="2" t="s">
        <v>6517</v>
      </c>
      <c r="B2123" s="8" t="s">
        <v>17093</v>
      </c>
      <c r="C2123" s="2" t="s">
        <v>6517</v>
      </c>
      <c r="D2123" s="2" t="s">
        <v>6518</v>
      </c>
      <c r="E2123" s="4" t="s">
        <v>25951</v>
      </c>
      <c r="G2123" s="15" t="s">
        <v>25952</v>
      </c>
      <c r="H2123" s="15" t="s">
        <v>25953</v>
      </c>
      <c r="I2123" s="15" t="s">
        <v>25954</v>
      </c>
      <c r="J2123" s="15" t="s">
        <v>25922</v>
      </c>
      <c r="K2123" s="15">
        <v>154485</v>
      </c>
      <c r="L2123" s="15" t="s">
        <v>19099</v>
      </c>
    </row>
    <row r="2124" spans="1:12" x14ac:dyDescent="0.25">
      <c r="A2124" s="2" t="s">
        <v>6520</v>
      </c>
      <c r="B2124" s="8" t="s">
        <v>17094</v>
      </c>
      <c r="C2124" s="2" t="s">
        <v>6520</v>
      </c>
      <c r="D2124" s="2" t="s">
        <v>6521</v>
      </c>
      <c r="E2124" s="4" t="s">
        <v>25955</v>
      </c>
      <c r="G2124" s="15" t="s">
        <v>25956</v>
      </c>
      <c r="H2124" s="15" t="s">
        <v>25957</v>
      </c>
      <c r="I2124" s="15" t="s">
        <v>25958</v>
      </c>
      <c r="J2124" s="15" t="s">
        <v>25959</v>
      </c>
      <c r="K2124" s="15">
        <v>15254861</v>
      </c>
      <c r="L2124" s="15" t="s">
        <v>19099</v>
      </c>
    </row>
    <row r="2125" spans="1:12" x14ac:dyDescent="0.25">
      <c r="A2125" s="2" t="s">
        <v>6523</v>
      </c>
      <c r="B2125" s="8" t="s">
        <v>17095</v>
      </c>
      <c r="C2125" s="2" t="s">
        <v>6523</v>
      </c>
      <c r="D2125" s="2" t="s">
        <v>6524</v>
      </c>
      <c r="E2125" s="4" t="s">
        <v>25960</v>
      </c>
      <c r="G2125" s="15" t="s">
        <v>25961</v>
      </c>
      <c r="H2125" s="15" t="s">
        <v>25962</v>
      </c>
      <c r="I2125" s="15" t="s">
        <v>25963</v>
      </c>
      <c r="J2125" s="15" t="s">
        <v>25959</v>
      </c>
      <c r="K2125" s="15">
        <v>155166</v>
      </c>
      <c r="L2125" s="15" t="s">
        <v>19099</v>
      </c>
    </row>
    <row r="2126" spans="1:12" x14ac:dyDescent="0.25">
      <c r="A2126" s="2" t="s">
        <v>6526</v>
      </c>
      <c r="B2126" s="8" t="s">
        <v>17096</v>
      </c>
      <c r="C2126" s="2" t="s">
        <v>6526</v>
      </c>
      <c r="D2126" s="2" t="s">
        <v>6527</v>
      </c>
      <c r="E2126" s="4" t="s">
        <v>25964</v>
      </c>
      <c r="G2126" s="15" t="s">
        <v>25965</v>
      </c>
      <c r="H2126" s="15" t="s">
        <v>25966</v>
      </c>
      <c r="I2126" s="15" t="s">
        <v>25967</v>
      </c>
      <c r="J2126" s="15" t="s">
        <v>25959</v>
      </c>
      <c r="K2126" s="15">
        <v>15509898</v>
      </c>
      <c r="L2126" s="15" t="s">
        <v>19099</v>
      </c>
    </row>
    <row r="2127" spans="1:12" x14ac:dyDescent="0.25">
      <c r="A2127" s="2" t="s">
        <v>6529</v>
      </c>
      <c r="B2127" s="8" t="s">
        <v>17097</v>
      </c>
      <c r="C2127" s="2" t="s">
        <v>6529</v>
      </c>
      <c r="D2127" s="2" t="s">
        <v>6530</v>
      </c>
      <c r="E2127" s="4" t="s">
        <v>25968</v>
      </c>
      <c r="G2127" s="15" t="s">
        <v>25969</v>
      </c>
      <c r="H2127" s="15" t="s">
        <v>25970</v>
      </c>
      <c r="I2127" s="15" t="s">
        <v>25971</v>
      </c>
      <c r="J2127" s="15" t="s">
        <v>25972</v>
      </c>
      <c r="K2127" s="15">
        <v>14274807</v>
      </c>
      <c r="L2127" s="15" t="s">
        <v>19099</v>
      </c>
    </row>
    <row r="2128" spans="1:12" x14ac:dyDescent="0.25">
      <c r="A2128" s="2" t="s">
        <v>6532</v>
      </c>
      <c r="B2128" s="8" t="s">
        <v>17098</v>
      </c>
      <c r="C2128" s="2" t="s">
        <v>6532</v>
      </c>
      <c r="D2128" s="2" t="s">
        <v>6533</v>
      </c>
      <c r="E2128" s="4" t="s">
        <v>25973</v>
      </c>
      <c r="G2128" s="15" t="s">
        <v>25974</v>
      </c>
      <c r="H2128" s="15" t="s">
        <v>25975</v>
      </c>
      <c r="I2128" s="15" t="s">
        <v>25976</v>
      </c>
      <c r="J2128" s="15" t="s">
        <v>25977</v>
      </c>
      <c r="K2128" s="15">
        <v>15509899</v>
      </c>
      <c r="L2128" s="15" t="s">
        <v>19099</v>
      </c>
    </row>
    <row r="2129" spans="1:12" x14ac:dyDescent="0.25">
      <c r="A2129" s="2" t="s">
        <v>6535</v>
      </c>
      <c r="B2129" s="8" t="s">
        <v>17099</v>
      </c>
      <c r="C2129" s="2" t="s">
        <v>6535</v>
      </c>
      <c r="D2129" s="2" t="s">
        <v>6536</v>
      </c>
      <c r="E2129" s="4" t="s">
        <v>25978</v>
      </c>
      <c r="G2129" s="15" t="s">
        <v>25979</v>
      </c>
      <c r="H2129" s="15" t="s">
        <v>25980</v>
      </c>
      <c r="I2129" s="15" t="s">
        <v>25981</v>
      </c>
      <c r="J2129" s="15" t="s">
        <v>25977</v>
      </c>
      <c r="K2129" s="15">
        <v>12110099</v>
      </c>
      <c r="L2129" s="15" t="s">
        <v>19099</v>
      </c>
    </row>
    <row r="2130" spans="1:12" x14ac:dyDescent="0.25">
      <c r="A2130" s="2" t="s">
        <v>6538</v>
      </c>
      <c r="B2130" s="8" t="s">
        <v>17100</v>
      </c>
      <c r="C2130" s="2" t="s">
        <v>6538</v>
      </c>
      <c r="D2130" s="2" t="s">
        <v>6539</v>
      </c>
      <c r="E2130" s="4" t="s">
        <v>25982</v>
      </c>
      <c r="G2130" s="15" t="s">
        <v>25983</v>
      </c>
      <c r="H2130" s="15" t="s">
        <v>25984</v>
      </c>
      <c r="I2130" s="15" t="s">
        <v>25985</v>
      </c>
      <c r="J2130" s="15" t="s">
        <v>25986</v>
      </c>
      <c r="K2130" s="15">
        <v>14410</v>
      </c>
      <c r="L2130" s="15" t="s">
        <v>19099</v>
      </c>
    </row>
    <row r="2131" spans="1:12" x14ac:dyDescent="0.25">
      <c r="A2131" s="2" t="s">
        <v>6541</v>
      </c>
      <c r="B2131" s="8" t="s">
        <v>17101</v>
      </c>
      <c r="C2131" s="2" t="s">
        <v>6541</v>
      </c>
      <c r="D2131" s="2" t="s">
        <v>6542</v>
      </c>
      <c r="E2131" s="4" t="s">
        <v>25987</v>
      </c>
      <c r="G2131" s="15" t="s">
        <v>25988</v>
      </c>
      <c r="H2131" s="15" t="s">
        <v>25989</v>
      </c>
      <c r="I2131" s="15" t="s">
        <v>25990</v>
      </c>
      <c r="J2131" s="15" t="s">
        <v>25972</v>
      </c>
      <c r="K2131" s="15">
        <v>12110098</v>
      </c>
      <c r="L2131" s="15" t="s">
        <v>19099</v>
      </c>
    </row>
    <row r="2132" spans="1:12" x14ac:dyDescent="0.25">
      <c r="A2132" s="2" t="s">
        <v>6544</v>
      </c>
      <c r="B2132" s="8" t="s">
        <v>17102</v>
      </c>
      <c r="C2132" s="2" t="s">
        <v>6544</v>
      </c>
      <c r="D2132" s="2" t="s">
        <v>6545</v>
      </c>
      <c r="E2132" s="4" t="s">
        <v>25991</v>
      </c>
      <c r="G2132" s="15" t="s">
        <v>25992</v>
      </c>
      <c r="H2132" s="15" t="s">
        <v>25993</v>
      </c>
      <c r="I2132" s="15" t="s">
        <v>25994</v>
      </c>
      <c r="J2132" s="15" t="s">
        <v>25995</v>
      </c>
      <c r="K2132" s="15">
        <v>95170</v>
      </c>
      <c r="L2132" s="15" t="s">
        <v>19099</v>
      </c>
    </row>
    <row r="2133" spans="1:12" x14ac:dyDescent="0.25">
      <c r="A2133" s="2" t="s">
        <v>6547</v>
      </c>
      <c r="B2133" s="8" t="s">
        <v>17103</v>
      </c>
      <c r="C2133" s="2" t="s">
        <v>6547</v>
      </c>
      <c r="D2133" s="2" t="s">
        <v>6548</v>
      </c>
      <c r="E2133" s="4" t="s">
        <v>25996</v>
      </c>
      <c r="G2133" s="15" t="s">
        <v>25997</v>
      </c>
      <c r="H2133" s="15" t="s">
        <v>25998</v>
      </c>
      <c r="I2133" s="15" t="s">
        <v>25999</v>
      </c>
      <c r="J2133" s="15" t="s">
        <v>25995</v>
      </c>
      <c r="K2133" s="15">
        <v>15509892</v>
      </c>
      <c r="L2133" s="15" t="s">
        <v>19099</v>
      </c>
    </row>
    <row r="2134" spans="1:12" x14ac:dyDescent="0.25">
      <c r="A2134" s="2" t="s">
        <v>6550</v>
      </c>
      <c r="B2134" s="8" t="s">
        <v>17104</v>
      </c>
      <c r="C2134" s="2" t="s">
        <v>6550</v>
      </c>
      <c r="D2134" s="2" t="s">
        <v>6551</v>
      </c>
      <c r="E2134" s="4" t="s">
        <v>26000</v>
      </c>
      <c r="G2134" s="15" t="s">
        <v>26001</v>
      </c>
      <c r="H2134" s="15" t="s">
        <v>26002</v>
      </c>
      <c r="I2134" s="15" t="s">
        <v>26003</v>
      </c>
      <c r="J2134" s="15" t="s">
        <v>25941</v>
      </c>
      <c r="K2134" s="15">
        <v>154509</v>
      </c>
      <c r="L2134" s="15" t="s">
        <v>19099</v>
      </c>
    </row>
    <row r="2135" spans="1:12" x14ac:dyDescent="0.25">
      <c r="A2135" s="2" t="s">
        <v>6553</v>
      </c>
      <c r="B2135" s="8" t="s">
        <v>17105</v>
      </c>
      <c r="C2135" s="2" t="s">
        <v>6553</v>
      </c>
      <c r="D2135" s="2" t="s">
        <v>6554</v>
      </c>
      <c r="E2135" s="4" t="s">
        <v>26004</v>
      </c>
      <c r="G2135" s="15" t="s">
        <v>26005</v>
      </c>
      <c r="H2135" s="15" t="s">
        <v>26006</v>
      </c>
      <c r="I2135" s="15" t="s">
        <v>26007</v>
      </c>
      <c r="J2135" s="15" t="s">
        <v>25995</v>
      </c>
      <c r="K2135" s="15">
        <v>15509893</v>
      </c>
      <c r="L2135" s="15" t="s">
        <v>19099</v>
      </c>
    </row>
    <row r="2136" spans="1:12" x14ac:dyDescent="0.25">
      <c r="A2136" s="2" t="s">
        <v>6556</v>
      </c>
      <c r="B2136" s="8" t="s">
        <v>17106</v>
      </c>
      <c r="C2136" s="2" t="s">
        <v>6556</v>
      </c>
      <c r="D2136" s="2" t="s">
        <v>6557</v>
      </c>
      <c r="E2136" s="4" t="s">
        <v>26008</v>
      </c>
      <c r="G2136" s="15" t="s">
        <v>26009</v>
      </c>
      <c r="H2136" s="15" t="s">
        <v>26010</v>
      </c>
      <c r="I2136" s="15" t="s">
        <v>26011</v>
      </c>
      <c r="J2136" s="15" t="s">
        <v>25995</v>
      </c>
      <c r="K2136" s="15">
        <v>15509894</v>
      </c>
      <c r="L2136" s="15" t="s">
        <v>19099</v>
      </c>
    </row>
    <row r="2137" spans="1:12" x14ac:dyDescent="0.25">
      <c r="A2137" s="2" t="s">
        <v>6559</v>
      </c>
      <c r="B2137" s="8" t="s">
        <v>17107</v>
      </c>
      <c r="C2137" s="2" t="s">
        <v>6559</v>
      </c>
      <c r="D2137" s="2" t="s">
        <v>6560</v>
      </c>
      <c r="E2137" s="4" t="s">
        <v>26012</v>
      </c>
      <c r="G2137" s="15" t="s">
        <v>26013</v>
      </c>
      <c r="H2137" s="15" t="s">
        <v>26014</v>
      </c>
      <c r="I2137" s="15" t="s">
        <v>26015</v>
      </c>
      <c r="J2137" s="15" t="s">
        <v>25995</v>
      </c>
      <c r="K2137" s="15">
        <v>15509895</v>
      </c>
      <c r="L2137" s="15" t="s">
        <v>19099</v>
      </c>
    </row>
    <row r="2138" spans="1:12" x14ac:dyDescent="0.25">
      <c r="A2138" s="2" t="s">
        <v>6562</v>
      </c>
      <c r="B2138" s="8" t="s">
        <v>17108</v>
      </c>
      <c r="C2138" s="2" t="s">
        <v>6562</v>
      </c>
      <c r="D2138" s="2" t="s">
        <v>6563</v>
      </c>
      <c r="E2138" s="4" t="s">
        <v>26016</v>
      </c>
      <c r="G2138" s="15" t="s">
        <v>26017</v>
      </c>
      <c r="H2138" s="15" t="s">
        <v>26018</v>
      </c>
      <c r="I2138" s="15" t="s">
        <v>26019</v>
      </c>
      <c r="J2138" s="15" t="s">
        <v>25941</v>
      </c>
      <c r="K2138" s="15">
        <v>107953</v>
      </c>
      <c r="L2138" s="15" t="s">
        <v>19099</v>
      </c>
    </row>
    <row r="2139" spans="1:12" x14ac:dyDescent="0.25">
      <c r="A2139" s="2" t="s">
        <v>6565</v>
      </c>
      <c r="B2139" s="8" t="s">
        <v>17109</v>
      </c>
      <c r="C2139" s="2" t="s">
        <v>6565</v>
      </c>
      <c r="D2139" s="2" t="s">
        <v>6566</v>
      </c>
      <c r="E2139" s="4" t="s">
        <v>26020</v>
      </c>
      <c r="G2139" s="15" t="s">
        <v>26021</v>
      </c>
      <c r="H2139" s="15" t="s">
        <v>26022</v>
      </c>
      <c r="I2139" s="15" t="s">
        <v>26023</v>
      </c>
      <c r="J2139" s="15" t="s">
        <v>25950</v>
      </c>
      <c r="K2139" s="15">
        <v>177368</v>
      </c>
      <c r="L2139" s="15" t="s">
        <v>19099</v>
      </c>
    </row>
    <row r="2140" spans="1:12" x14ac:dyDescent="0.25">
      <c r="A2140" s="2" t="s">
        <v>6568</v>
      </c>
      <c r="B2140" s="8" t="s">
        <v>17110</v>
      </c>
      <c r="C2140" s="2" t="s">
        <v>6568</v>
      </c>
      <c r="D2140" s="2" t="s">
        <v>6569</v>
      </c>
      <c r="E2140" s="4" t="s">
        <v>26024</v>
      </c>
      <c r="G2140" s="15" t="s">
        <v>26025</v>
      </c>
      <c r="H2140" s="15" t="s">
        <v>26026</v>
      </c>
      <c r="I2140" s="15" t="s">
        <v>26027</v>
      </c>
      <c r="J2140" s="15" t="s">
        <v>25950</v>
      </c>
      <c r="K2140" s="15">
        <v>36159</v>
      </c>
      <c r="L2140" s="15" t="s">
        <v>19099</v>
      </c>
    </row>
    <row r="2141" spans="1:12" x14ac:dyDescent="0.25">
      <c r="A2141" s="2" t="s">
        <v>6571</v>
      </c>
      <c r="B2141" s="8" t="s">
        <v>17111</v>
      </c>
      <c r="C2141" s="2" t="s">
        <v>6571</v>
      </c>
      <c r="D2141" s="2" t="s">
        <v>6572</v>
      </c>
      <c r="E2141" s="4" t="s">
        <v>6572</v>
      </c>
      <c r="G2141" s="15" t="s">
        <v>26028</v>
      </c>
      <c r="H2141" s="15" t="s">
        <v>26029</v>
      </c>
      <c r="I2141" s="15" t="s">
        <v>26030</v>
      </c>
      <c r="J2141" s="15" t="s">
        <v>26031</v>
      </c>
      <c r="K2141" s="15">
        <v>61021</v>
      </c>
      <c r="L2141" s="15" t="s">
        <v>19099</v>
      </c>
    </row>
    <row r="2142" spans="1:12" x14ac:dyDescent="0.25">
      <c r="A2142" s="2" t="s">
        <v>6574</v>
      </c>
      <c r="B2142" s="8" t="s">
        <v>17112</v>
      </c>
      <c r="C2142" s="2" t="s">
        <v>6574</v>
      </c>
      <c r="D2142" s="2" t="s">
        <v>6575</v>
      </c>
      <c r="E2142" s="4" t="s">
        <v>26032</v>
      </c>
      <c r="G2142" s="15" t="s">
        <v>26033</v>
      </c>
      <c r="H2142" s="15" t="s">
        <v>26034</v>
      </c>
      <c r="I2142" s="15" t="s">
        <v>26035</v>
      </c>
      <c r="J2142" s="15" t="s">
        <v>26036</v>
      </c>
      <c r="K2142" s="15">
        <v>249266</v>
      </c>
      <c r="L2142" s="15" t="s">
        <v>19099</v>
      </c>
    </row>
    <row r="2143" spans="1:12" x14ac:dyDescent="0.25">
      <c r="A2143" s="2" t="s">
        <v>6577</v>
      </c>
      <c r="B2143" s="8" t="s">
        <v>17113</v>
      </c>
      <c r="C2143" s="2" t="s">
        <v>6577</v>
      </c>
      <c r="D2143" s="2" t="s">
        <v>6578</v>
      </c>
      <c r="E2143" s="4" t="s">
        <v>26037</v>
      </c>
      <c r="G2143" s="15" t="s">
        <v>26038</v>
      </c>
      <c r="H2143" s="15" t="s">
        <v>26039</v>
      </c>
      <c r="I2143" s="15" t="s">
        <v>26040</v>
      </c>
      <c r="J2143" s="15" t="s">
        <v>26041</v>
      </c>
      <c r="K2143" s="15">
        <v>36342</v>
      </c>
      <c r="L2143" s="15" t="s">
        <v>19099</v>
      </c>
    </row>
    <row r="2144" spans="1:12" x14ac:dyDescent="0.25">
      <c r="A2144" s="2" t="s">
        <v>6580</v>
      </c>
      <c r="B2144" s="8" t="s">
        <v>17114</v>
      </c>
      <c r="C2144" s="2" t="s">
        <v>6580</v>
      </c>
      <c r="D2144" s="2" t="s">
        <v>6581</v>
      </c>
      <c r="E2144" s="4" t="s">
        <v>26042</v>
      </c>
      <c r="G2144" s="15" t="s">
        <v>26043</v>
      </c>
      <c r="H2144" s="15" t="s">
        <v>26044</v>
      </c>
      <c r="I2144" s="15" t="s">
        <v>26045</v>
      </c>
      <c r="J2144" s="15" t="s">
        <v>26046</v>
      </c>
      <c r="K2144" s="15">
        <v>37807</v>
      </c>
      <c r="L2144" s="15" t="s">
        <v>19099</v>
      </c>
    </row>
    <row r="2145" spans="1:12" x14ac:dyDescent="0.25">
      <c r="A2145" s="2" t="s">
        <v>6583</v>
      </c>
      <c r="B2145" s="8" t="s">
        <v>17115</v>
      </c>
      <c r="C2145" s="2" t="s">
        <v>6583</v>
      </c>
      <c r="D2145" s="2" t="s">
        <v>6584</v>
      </c>
      <c r="E2145" s="4" t="s">
        <v>26047</v>
      </c>
      <c r="G2145" s="15" t="s">
        <v>26048</v>
      </c>
      <c r="H2145" s="15" t="s">
        <v>26049</v>
      </c>
      <c r="I2145" s="15" t="s">
        <v>26050</v>
      </c>
      <c r="J2145" s="15" t="s">
        <v>26046</v>
      </c>
      <c r="K2145" s="15">
        <v>91662</v>
      </c>
      <c r="L2145" s="15" t="s">
        <v>19099</v>
      </c>
    </row>
    <row r="2146" spans="1:12" x14ac:dyDescent="0.25">
      <c r="A2146" s="2" t="s">
        <v>6586</v>
      </c>
      <c r="B2146" s="8" t="s">
        <v>17116</v>
      </c>
      <c r="C2146" s="2" t="s">
        <v>6586</v>
      </c>
      <c r="D2146" s="2" t="s">
        <v>6587</v>
      </c>
      <c r="E2146" s="4" t="s">
        <v>26051</v>
      </c>
      <c r="G2146" s="15" t="s">
        <v>26052</v>
      </c>
      <c r="H2146" s="15" t="s">
        <v>26053</v>
      </c>
      <c r="I2146" s="15" t="s">
        <v>26054</v>
      </c>
      <c r="J2146" s="15" t="s">
        <v>26046</v>
      </c>
      <c r="K2146" s="15">
        <v>36188</v>
      </c>
      <c r="L2146" s="15" t="s">
        <v>19099</v>
      </c>
    </row>
    <row r="2147" spans="1:12" x14ac:dyDescent="0.25">
      <c r="A2147" s="2" t="s">
        <v>6589</v>
      </c>
      <c r="B2147" s="8" t="s">
        <v>17117</v>
      </c>
      <c r="C2147" s="2" t="s">
        <v>6589</v>
      </c>
      <c r="D2147" s="2" t="s">
        <v>6590</v>
      </c>
      <c r="E2147" s="4" t="s">
        <v>26055</v>
      </c>
      <c r="G2147" s="15" t="s">
        <v>26056</v>
      </c>
      <c r="H2147" s="15" t="s">
        <v>26057</v>
      </c>
      <c r="I2147" s="15" t="s">
        <v>26058</v>
      </c>
      <c r="J2147" s="15" t="s">
        <v>26046</v>
      </c>
      <c r="K2147" s="15">
        <v>51075</v>
      </c>
      <c r="L2147" s="15" t="s">
        <v>19099</v>
      </c>
    </row>
    <row r="2148" spans="1:12" x14ac:dyDescent="0.25">
      <c r="A2148" s="2" t="s">
        <v>6592</v>
      </c>
      <c r="B2148" s="8" t="s">
        <v>17118</v>
      </c>
      <c r="C2148" s="2" t="s">
        <v>6592</v>
      </c>
      <c r="D2148" s="2" t="s">
        <v>6593</v>
      </c>
      <c r="E2148" s="4" t="s">
        <v>26059</v>
      </c>
      <c r="G2148" s="15" t="s">
        <v>26060</v>
      </c>
      <c r="H2148" s="15" t="s">
        <v>26061</v>
      </c>
      <c r="I2148" s="15" t="s">
        <v>26062</v>
      </c>
      <c r="J2148" s="15" t="s">
        <v>26046</v>
      </c>
      <c r="K2148" s="15">
        <v>38015</v>
      </c>
      <c r="L2148" s="15" t="s">
        <v>19099</v>
      </c>
    </row>
    <row r="2149" spans="1:12" x14ac:dyDescent="0.25">
      <c r="A2149" s="2" t="s">
        <v>6595</v>
      </c>
      <c r="B2149" s="8" t="s">
        <v>17119</v>
      </c>
      <c r="C2149" s="2" t="s">
        <v>6595</v>
      </c>
      <c r="D2149" s="2" t="s">
        <v>6596</v>
      </c>
      <c r="E2149" s="4" t="s">
        <v>26063</v>
      </c>
      <c r="G2149" s="15" t="s">
        <v>26064</v>
      </c>
      <c r="H2149" s="15" t="s">
        <v>26065</v>
      </c>
      <c r="I2149" s="15" t="s">
        <v>26066</v>
      </c>
      <c r="J2149" s="15" t="s">
        <v>26046</v>
      </c>
      <c r="K2149" s="15">
        <v>53036</v>
      </c>
      <c r="L2149" s="15" t="s">
        <v>19099</v>
      </c>
    </row>
    <row r="2150" spans="1:12" x14ac:dyDescent="0.25">
      <c r="A2150" s="2" t="s">
        <v>6598</v>
      </c>
      <c r="B2150" s="8" t="s">
        <v>17120</v>
      </c>
      <c r="C2150" s="2" t="s">
        <v>6598</v>
      </c>
      <c r="D2150" s="2" t="s">
        <v>6599</v>
      </c>
      <c r="E2150" s="4" t="s">
        <v>26067</v>
      </c>
      <c r="G2150" s="15" t="s">
        <v>26068</v>
      </c>
      <c r="H2150" s="15" t="s">
        <v>26069</v>
      </c>
      <c r="I2150" s="15" t="s">
        <v>26070</v>
      </c>
      <c r="J2150" s="15" t="s">
        <v>26046</v>
      </c>
      <c r="K2150" s="15">
        <v>35823</v>
      </c>
      <c r="L2150" s="15" t="s">
        <v>19099</v>
      </c>
    </row>
    <row r="2151" spans="1:12" x14ac:dyDescent="0.25">
      <c r="A2151" s="2" t="s">
        <v>6601</v>
      </c>
      <c r="B2151" s="8" t="s">
        <v>17121</v>
      </c>
      <c r="C2151" s="2" t="s">
        <v>6601</v>
      </c>
      <c r="D2151" s="2" t="s">
        <v>6602</v>
      </c>
      <c r="E2151" s="4" t="s">
        <v>26071</v>
      </c>
      <c r="G2151" s="15" t="s">
        <v>26072</v>
      </c>
      <c r="H2151" s="15" t="s">
        <v>26073</v>
      </c>
      <c r="I2151" s="15" t="s">
        <v>26074</v>
      </c>
      <c r="J2151" s="15" t="s">
        <v>26046</v>
      </c>
      <c r="K2151" s="15">
        <v>47650</v>
      </c>
      <c r="L2151" s="15" t="s">
        <v>19099</v>
      </c>
    </row>
    <row r="2152" spans="1:12" x14ac:dyDescent="0.25">
      <c r="A2152" s="2" t="s">
        <v>6604</v>
      </c>
      <c r="B2152" s="8" t="s">
        <v>17122</v>
      </c>
      <c r="C2152" s="2" t="s">
        <v>6604</v>
      </c>
      <c r="D2152" s="2" t="s">
        <v>6605</v>
      </c>
      <c r="E2152" s="4" t="s">
        <v>26075</v>
      </c>
      <c r="G2152" s="15" t="s">
        <v>26076</v>
      </c>
      <c r="H2152" s="15" t="s">
        <v>26077</v>
      </c>
      <c r="I2152" s="15" t="s">
        <v>26078</v>
      </c>
      <c r="J2152" s="15" t="s">
        <v>26046</v>
      </c>
      <c r="K2152" s="15">
        <v>63090</v>
      </c>
      <c r="L2152" s="15" t="s">
        <v>19099</v>
      </c>
    </row>
    <row r="2153" spans="1:12" x14ac:dyDescent="0.25">
      <c r="A2153" s="2" t="s">
        <v>6607</v>
      </c>
      <c r="B2153" s="8" t="s">
        <v>17123</v>
      </c>
      <c r="C2153" s="2" t="s">
        <v>6607</v>
      </c>
      <c r="D2153" s="2" t="s">
        <v>6608</v>
      </c>
      <c r="E2153" s="4" t="s">
        <v>26079</v>
      </c>
      <c r="G2153" s="15" t="s">
        <v>26080</v>
      </c>
      <c r="H2153" s="15" t="s">
        <v>26081</v>
      </c>
      <c r="I2153" s="15" t="s">
        <v>26082</v>
      </c>
      <c r="J2153" s="15" t="s">
        <v>26083</v>
      </c>
      <c r="K2153" s="15">
        <v>38018</v>
      </c>
      <c r="L2153" s="15" t="s">
        <v>19099</v>
      </c>
    </row>
    <row r="2154" spans="1:12" x14ac:dyDescent="0.25">
      <c r="A2154" s="2" t="s">
        <v>6610</v>
      </c>
      <c r="B2154" s="8" t="s">
        <v>17124</v>
      </c>
      <c r="C2154" s="2" t="s">
        <v>6610</v>
      </c>
      <c r="D2154" s="2" t="s">
        <v>6611</v>
      </c>
      <c r="E2154" s="4" t="s">
        <v>26084</v>
      </c>
      <c r="G2154" s="15" t="s">
        <v>26085</v>
      </c>
      <c r="H2154" s="15" t="s">
        <v>26086</v>
      </c>
      <c r="I2154" s="15" t="s">
        <v>26087</v>
      </c>
      <c r="J2154" s="15" t="s">
        <v>26083</v>
      </c>
      <c r="K2154" s="15">
        <v>40473</v>
      </c>
      <c r="L2154" s="15" t="s">
        <v>19099</v>
      </c>
    </row>
    <row r="2155" spans="1:12" x14ac:dyDescent="0.25">
      <c r="A2155" s="2" t="s">
        <v>6613</v>
      </c>
      <c r="B2155" s="8" t="s">
        <v>17125</v>
      </c>
      <c r="C2155" s="2" t="s">
        <v>6613</v>
      </c>
      <c r="D2155" s="2" t="s">
        <v>6614</v>
      </c>
      <c r="E2155" s="4" t="s">
        <v>26088</v>
      </c>
      <c r="G2155" s="15" t="s">
        <v>26089</v>
      </c>
      <c r="H2155" s="15" t="s">
        <v>26090</v>
      </c>
      <c r="I2155" s="15" t="s">
        <v>26091</v>
      </c>
      <c r="J2155" s="15" t="s">
        <v>26083</v>
      </c>
      <c r="K2155" s="15">
        <v>38017</v>
      </c>
      <c r="L2155" s="15" t="s">
        <v>19099</v>
      </c>
    </row>
    <row r="2156" spans="1:12" x14ac:dyDescent="0.25">
      <c r="A2156" s="2" t="s">
        <v>6616</v>
      </c>
      <c r="B2156" s="8" t="s">
        <v>17126</v>
      </c>
      <c r="C2156" s="2" t="s">
        <v>6616</v>
      </c>
      <c r="D2156" s="2" t="s">
        <v>6617</v>
      </c>
      <c r="E2156" s="4" t="s">
        <v>26092</v>
      </c>
      <c r="G2156" s="15" t="s">
        <v>26093</v>
      </c>
      <c r="H2156" s="15" t="s">
        <v>26094</v>
      </c>
      <c r="I2156" s="15" t="s">
        <v>26095</v>
      </c>
      <c r="J2156" s="15" t="s">
        <v>26083</v>
      </c>
      <c r="K2156" s="15">
        <v>37250</v>
      </c>
      <c r="L2156" s="15" t="s">
        <v>19099</v>
      </c>
    </row>
    <row r="2157" spans="1:12" x14ac:dyDescent="0.25">
      <c r="A2157" s="2" t="s">
        <v>6619</v>
      </c>
      <c r="B2157" s="8" t="s">
        <v>17127</v>
      </c>
      <c r="C2157" s="2" t="s">
        <v>6619</v>
      </c>
      <c r="D2157" s="2" t="s">
        <v>6620</v>
      </c>
      <c r="E2157" s="4" t="s">
        <v>26096</v>
      </c>
      <c r="G2157" s="15" t="s">
        <v>26097</v>
      </c>
      <c r="H2157" s="15" t="s">
        <v>26098</v>
      </c>
      <c r="I2157" s="15" t="s">
        <v>26099</v>
      </c>
      <c r="J2157" s="15" t="s">
        <v>26083</v>
      </c>
      <c r="K2157" s="15">
        <v>37035</v>
      </c>
      <c r="L2157" s="15" t="s">
        <v>19099</v>
      </c>
    </row>
    <row r="2158" spans="1:12" x14ac:dyDescent="0.25">
      <c r="A2158" s="2" t="s">
        <v>6622</v>
      </c>
      <c r="B2158" s="8" t="s">
        <v>17128</v>
      </c>
      <c r="C2158" s="2" t="s">
        <v>6622</v>
      </c>
      <c r="D2158" s="2" t="s">
        <v>6623</v>
      </c>
      <c r="E2158" s="4" t="s">
        <v>26100</v>
      </c>
      <c r="G2158" s="15" t="s">
        <v>26101</v>
      </c>
      <c r="H2158" s="15" t="s">
        <v>26102</v>
      </c>
      <c r="I2158" s="15" t="s">
        <v>26103</v>
      </c>
      <c r="J2158" s="15" t="s">
        <v>26041</v>
      </c>
      <c r="K2158" s="15">
        <v>36981</v>
      </c>
      <c r="L2158" s="15" t="s">
        <v>19099</v>
      </c>
    </row>
    <row r="2159" spans="1:12" x14ac:dyDescent="0.25">
      <c r="A2159" s="2" t="s">
        <v>6625</v>
      </c>
      <c r="B2159" s="8" t="s">
        <v>17129</v>
      </c>
      <c r="C2159" s="2" t="s">
        <v>6625</v>
      </c>
      <c r="D2159" s="2" t="s">
        <v>6626</v>
      </c>
      <c r="E2159" s="4" t="s">
        <v>26104</v>
      </c>
      <c r="G2159" s="15" t="s">
        <v>26105</v>
      </c>
      <c r="H2159" s="15" t="s">
        <v>26106</v>
      </c>
      <c r="I2159" s="15" t="s">
        <v>26107</v>
      </c>
      <c r="J2159" s="15" t="s">
        <v>26083</v>
      </c>
      <c r="K2159" s="15">
        <v>40234</v>
      </c>
      <c r="L2159" s="15" t="s">
        <v>19099</v>
      </c>
    </row>
    <row r="2160" spans="1:12" x14ac:dyDescent="0.25">
      <c r="A2160" s="2" t="s">
        <v>6628</v>
      </c>
      <c r="B2160" s="8" t="s">
        <v>17130</v>
      </c>
      <c r="C2160" s="2" t="s">
        <v>6628</v>
      </c>
      <c r="D2160" s="2" t="s">
        <v>6629</v>
      </c>
      <c r="E2160" s="4" t="s">
        <v>26108</v>
      </c>
      <c r="G2160" s="15" t="s">
        <v>26109</v>
      </c>
      <c r="H2160" s="15" t="s">
        <v>26110</v>
      </c>
      <c r="I2160" s="15" t="s">
        <v>26111</v>
      </c>
      <c r="J2160" s="15" t="s">
        <v>26083</v>
      </c>
      <c r="K2160" s="15">
        <v>93442</v>
      </c>
      <c r="L2160" s="15" t="s">
        <v>19099</v>
      </c>
    </row>
    <row r="2161" spans="1:12" x14ac:dyDescent="0.25">
      <c r="A2161" s="2" t="s">
        <v>6631</v>
      </c>
      <c r="B2161" s="8" t="s">
        <v>17131</v>
      </c>
      <c r="C2161" s="2" t="s">
        <v>6631</v>
      </c>
      <c r="D2161" s="2" t="s">
        <v>6632</v>
      </c>
      <c r="E2161" s="4" t="s">
        <v>26112</v>
      </c>
      <c r="G2161" s="15" t="s">
        <v>26113</v>
      </c>
      <c r="H2161" s="15" t="s">
        <v>26114</v>
      </c>
      <c r="I2161" s="15" t="s">
        <v>26115</v>
      </c>
      <c r="J2161" s="15" t="s">
        <v>26083</v>
      </c>
      <c r="K2161" s="15">
        <v>38016</v>
      </c>
      <c r="L2161" s="15" t="s">
        <v>19099</v>
      </c>
    </row>
    <row r="2162" spans="1:12" x14ac:dyDescent="0.25">
      <c r="A2162" s="2" t="s">
        <v>6634</v>
      </c>
      <c r="B2162" s="8" t="s">
        <v>17132</v>
      </c>
      <c r="C2162" s="2" t="s">
        <v>6634</v>
      </c>
      <c r="D2162" s="2" t="s">
        <v>6635</v>
      </c>
      <c r="E2162" s="4" t="s">
        <v>26116</v>
      </c>
      <c r="G2162" s="15" t="s">
        <v>26117</v>
      </c>
      <c r="H2162" s="15" t="s">
        <v>26118</v>
      </c>
      <c r="I2162" s="15" t="s">
        <v>26119</v>
      </c>
      <c r="J2162" s="15" t="s">
        <v>26083</v>
      </c>
      <c r="K2162" s="15">
        <v>40471</v>
      </c>
      <c r="L2162" s="15" t="s">
        <v>19099</v>
      </c>
    </row>
    <row r="2163" spans="1:12" x14ac:dyDescent="0.25">
      <c r="A2163" s="2" t="s">
        <v>6637</v>
      </c>
      <c r="B2163" s="8" t="s">
        <v>17133</v>
      </c>
      <c r="C2163" s="2" t="s">
        <v>6637</v>
      </c>
      <c r="D2163" s="2" t="s">
        <v>6638</v>
      </c>
      <c r="E2163" s="4" t="s">
        <v>26120</v>
      </c>
      <c r="G2163" s="15" t="s">
        <v>26121</v>
      </c>
      <c r="H2163" s="15" t="s">
        <v>26122</v>
      </c>
      <c r="I2163" s="15" t="s">
        <v>26123</v>
      </c>
      <c r="J2163" s="15" t="s">
        <v>26083</v>
      </c>
      <c r="K2163" s="15">
        <v>37034</v>
      </c>
      <c r="L2163" s="15" t="s">
        <v>19099</v>
      </c>
    </row>
    <row r="2164" spans="1:12" x14ac:dyDescent="0.25">
      <c r="A2164" s="2" t="s">
        <v>6640</v>
      </c>
      <c r="B2164" s="8" t="s">
        <v>17134</v>
      </c>
      <c r="C2164" s="2" t="s">
        <v>6640</v>
      </c>
      <c r="D2164" s="2" t="s">
        <v>6641</v>
      </c>
      <c r="E2164" s="4" t="s">
        <v>26124</v>
      </c>
      <c r="G2164" s="15" t="s">
        <v>26125</v>
      </c>
      <c r="H2164" s="15" t="s">
        <v>26126</v>
      </c>
      <c r="I2164" s="15" t="s">
        <v>26127</v>
      </c>
      <c r="J2164" s="15" t="s">
        <v>26083</v>
      </c>
      <c r="K2164" s="15">
        <v>36647</v>
      </c>
      <c r="L2164" s="15" t="s">
        <v>19099</v>
      </c>
    </row>
    <row r="2165" spans="1:12" x14ac:dyDescent="0.25">
      <c r="A2165" s="2" t="s">
        <v>6643</v>
      </c>
      <c r="B2165" s="8" t="s">
        <v>17135</v>
      </c>
      <c r="C2165" s="2" t="s">
        <v>6643</v>
      </c>
      <c r="D2165" s="2" t="s">
        <v>6644</v>
      </c>
      <c r="E2165" s="4" t="s">
        <v>26128</v>
      </c>
      <c r="G2165" s="15" t="s">
        <v>26129</v>
      </c>
      <c r="H2165" s="15" t="s">
        <v>26130</v>
      </c>
      <c r="I2165" s="15" t="s">
        <v>26131</v>
      </c>
      <c r="J2165" s="15" t="s">
        <v>26083</v>
      </c>
      <c r="K2165" s="15">
        <v>38019</v>
      </c>
      <c r="L2165" s="15" t="s">
        <v>19099</v>
      </c>
    </row>
    <row r="2166" spans="1:12" x14ac:dyDescent="0.25">
      <c r="A2166" s="2" t="s">
        <v>6646</v>
      </c>
      <c r="B2166" s="8" t="s">
        <v>17136</v>
      </c>
      <c r="C2166" s="2" t="s">
        <v>6646</v>
      </c>
      <c r="D2166" s="2" t="s">
        <v>6647</v>
      </c>
      <c r="E2166" s="4" t="s">
        <v>26132</v>
      </c>
      <c r="G2166" s="15" t="s">
        <v>26133</v>
      </c>
      <c r="H2166" s="15" t="s">
        <v>26134</v>
      </c>
      <c r="I2166" s="15" t="s">
        <v>26135</v>
      </c>
      <c r="J2166" s="15" t="s">
        <v>26083</v>
      </c>
      <c r="K2166" s="15">
        <v>50891</v>
      </c>
      <c r="L2166" s="15" t="s">
        <v>19099</v>
      </c>
    </row>
    <row r="2167" spans="1:12" x14ac:dyDescent="0.25">
      <c r="A2167" s="2" t="s">
        <v>6649</v>
      </c>
      <c r="B2167" s="8" t="s">
        <v>17137</v>
      </c>
      <c r="C2167" s="2" t="s">
        <v>6649</v>
      </c>
      <c r="D2167" s="2" t="s">
        <v>6650</v>
      </c>
      <c r="E2167" s="4" t="s">
        <v>26136</v>
      </c>
      <c r="G2167" s="15" t="s">
        <v>26137</v>
      </c>
      <c r="H2167" s="15" t="s">
        <v>26138</v>
      </c>
      <c r="I2167" s="15" t="s">
        <v>26139</v>
      </c>
      <c r="J2167" s="15" t="s">
        <v>26083</v>
      </c>
      <c r="K2167" s="15">
        <v>63072</v>
      </c>
      <c r="L2167" s="15" t="s">
        <v>19099</v>
      </c>
    </row>
    <row r="2168" spans="1:12" x14ac:dyDescent="0.25">
      <c r="A2168" s="2" t="s">
        <v>6652</v>
      </c>
      <c r="B2168" s="8" t="s">
        <v>17138</v>
      </c>
      <c r="C2168" s="2" t="s">
        <v>6652</v>
      </c>
      <c r="D2168" s="2" t="s">
        <v>6653</v>
      </c>
      <c r="E2168" s="4" t="s">
        <v>26140</v>
      </c>
      <c r="G2168" s="15" t="s">
        <v>26141</v>
      </c>
      <c r="H2168" s="15" t="s">
        <v>26142</v>
      </c>
      <c r="I2168" s="15" t="s">
        <v>26143</v>
      </c>
      <c r="J2168" s="15" t="s">
        <v>26083</v>
      </c>
      <c r="K2168" s="15">
        <v>632312</v>
      </c>
      <c r="L2168" s="15" t="s">
        <v>19099</v>
      </c>
    </row>
    <row r="2169" spans="1:12" x14ac:dyDescent="0.25">
      <c r="A2169" s="2" t="s">
        <v>6655</v>
      </c>
      <c r="B2169" s="8" t="s">
        <v>17139</v>
      </c>
      <c r="C2169" s="2" t="s">
        <v>6655</v>
      </c>
      <c r="D2169" s="2" t="s">
        <v>6656</v>
      </c>
      <c r="E2169" s="4" t="s">
        <v>26144</v>
      </c>
      <c r="G2169" s="15" t="s">
        <v>26145</v>
      </c>
      <c r="H2169" s="15" t="s">
        <v>26146</v>
      </c>
      <c r="I2169" s="15" t="s">
        <v>26147</v>
      </c>
      <c r="J2169" s="15" t="s">
        <v>26083</v>
      </c>
      <c r="K2169" s="15">
        <v>63077</v>
      </c>
      <c r="L2169" s="15" t="s">
        <v>19099</v>
      </c>
    </row>
    <row r="2170" spans="1:12" x14ac:dyDescent="0.25">
      <c r="A2170" s="2" t="s">
        <v>6658</v>
      </c>
      <c r="B2170" s="8" t="s">
        <v>17140</v>
      </c>
      <c r="C2170" s="2" t="s">
        <v>6658</v>
      </c>
      <c r="D2170" s="2" t="s">
        <v>6659</v>
      </c>
      <c r="E2170" s="4" t="s">
        <v>26148</v>
      </c>
      <c r="G2170" s="15" t="s">
        <v>26149</v>
      </c>
      <c r="H2170" s="15" t="s">
        <v>26150</v>
      </c>
      <c r="I2170" s="15" t="s">
        <v>26151</v>
      </c>
      <c r="J2170" s="15" t="s">
        <v>26083</v>
      </c>
      <c r="K2170" s="15">
        <v>40479</v>
      </c>
      <c r="L2170" s="15" t="s">
        <v>19099</v>
      </c>
    </row>
    <row r="2171" spans="1:12" x14ac:dyDescent="0.25">
      <c r="A2171" s="2" t="s">
        <v>6661</v>
      </c>
      <c r="B2171" s="8" t="s">
        <v>17141</v>
      </c>
      <c r="C2171" s="2" t="s">
        <v>6661</v>
      </c>
      <c r="D2171" s="2" t="s">
        <v>6662</v>
      </c>
      <c r="E2171" s="4" t="s">
        <v>26152</v>
      </c>
      <c r="G2171" s="15" t="s">
        <v>26153</v>
      </c>
      <c r="H2171" s="15" t="s">
        <v>26154</v>
      </c>
      <c r="I2171" s="15" t="s">
        <v>26155</v>
      </c>
      <c r="J2171" s="15" t="s">
        <v>26083</v>
      </c>
      <c r="K2171" s="15">
        <v>36231</v>
      </c>
      <c r="L2171" s="15" t="s">
        <v>19099</v>
      </c>
    </row>
    <row r="2172" spans="1:12" x14ac:dyDescent="0.25">
      <c r="A2172" s="2" t="s">
        <v>6664</v>
      </c>
      <c r="B2172" s="8" t="s">
        <v>17142</v>
      </c>
      <c r="C2172" s="2" t="s">
        <v>6664</v>
      </c>
      <c r="D2172" s="2" t="s">
        <v>6665</v>
      </c>
      <c r="E2172" s="4" t="s">
        <v>26156</v>
      </c>
      <c r="G2172" s="15" t="s">
        <v>26157</v>
      </c>
      <c r="H2172" s="15" t="s">
        <v>26158</v>
      </c>
      <c r="I2172" s="15" t="s">
        <v>26159</v>
      </c>
      <c r="J2172" s="15" t="s">
        <v>26160</v>
      </c>
      <c r="K2172" s="15">
        <v>37804</v>
      </c>
      <c r="L2172" s="15" t="s">
        <v>19099</v>
      </c>
    </row>
    <row r="2173" spans="1:12" x14ac:dyDescent="0.25">
      <c r="A2173" s="2" t="s">
        <v>6667</v>
      </c>
      <c r="B2173" s="8" t="s">
        <v>17143</v>
      </c>
      <c r="C2173" s="2" t="s">
        <v>6667</v>
      </c>
      <c r="D2173" s="2" t="s">
        <v>6668</v>
      </c>
      <c r="E2173" s="4" t="s">
        <v>26161</v>
      </c>
      <c r="G2173" s="15" t="s">
        <v>26162</v>
      </c>
      <c r="H2173" s="15" t="s">
        <v>26163</v>
      </c>
      <c r="I2173" s="15" t="s">
        <v>26164</v>
      </c>
      <c r="J2173" s="15" t="s">
        <v>26165</v>
      </c>
      <c r="K2173" s="15">
        <v>37037</v>
      </c>
      <c r="L2173" s="15" t="s">
        <v>19099</v>
      </c>
    </row>
    <row r="2174" spans="1:12" x14ac:dyDescent="0.25">
      <c r="A2174" s="2" t="s">
        <v>6670</v>
      </c>
      <c r="B2174" s="8" t="s">
        <v>17144</v>
      </c>
      <c r="C2174" s="2" t="s">
        <v>6670</v>
      </c>
      <c r="D2174" s="2" t="s">
        <v>6671</v>
      </c>
      <c r="E2174" s="4" t="s">
        <v>26166</v>
      </c>
      <c r="G2174" s="15" t="s">
        <v>26167</v>
      </c>
      <c r="H2174" s="15" t="s">
        <v>26168</v>
      </c>
      <c r="I2174" s="15" t="s">
        <v>26169</v>
      </c>
      <c r="J2174" s="15" t="s">
        <v>26165</v>
      </c>
      <c r="K2174" s="15">
        <v>40478</v>
      </c>
      <c r="L2174" s="15" t="s">
        <v>19099</v>
      </c>
    </row>
    <row r="2175" spans="1:12" x14ac:dyDescent="0.25">
      <c r="A2175" s="2" t="s">
        <v>6673</v>
      </c>
      <c r="B2175" s="8" t="s">
        <v>17145</v>
      </c>
      <c r="C2175" s="2" t="s">
        <v>6673</v>
      </c>
      <c r="D2175" s="2" t="s">
        <v>6674</v>
      </c>
      <c r="E2175" s="4" t="s">
        <v>26170</v>
      </c>
      <c r="G2175" s="15" t="s">
        <v>26171</v>
      </c>
      <c r="H2175" s="15" t="s">
        <v>26172</v>
      </c>
      <c r="I2175" s="15" t="s">
        <v>26173</v>
      </c>
      <c r="J2175" s="15" t="s">
        <v>26165</v>
      </c>
      <c r="K2175" s="15">
        <v>40481</v>
      </c>
      <c r="L2175" s="15" t="s">
        <v>19099</v>
      </c>
    </row>
    <row r="2176" spans="1:12" x14ac:dyDescent="0.25">
      <c r="A2176" s="2" t="s">
        <v>6676</v>
      </c>
      <c r="B2176" s="8" t="s">
        <v>17146</v>
      </c>
      <c r="C2176" s="2" t="s">
        <v>6676</v>
      </c>
      <c r="D2176" s="2" t="s">
        <v>6677</v>
      </c>
      <c r="E2176" s="4" t="s">
        <v>26174</v>
      </c>
      <c r="G2176" s="15" t="s">
        <v>26175</v>
      </c>
      <c r="H2176" s="15" t="s">
        <v>26176</v>
      </c>
      <c r="I2176" s="15" t="s">
        <v>26177</v>
      </c>
      <c r="J2176" s="15" t="s">
        <v>26165</v>
      </c>
      <c r="K2176" s="15">
        <v>38025</v>
      </c>
      <c r="L2176" s="15" t="s">
        <v>19099</v>
      </c>
    </row>
    <row r="2177" spans="1:12" x14ac:dyDescent="0.25">
      <c r="A2177" s="2" t="s">
        <v>6679</v>
      </c>
      <c r="B2177" s="8" t="s">
        <v>17147</v>
      </c>
      <c r="C2177" s="2" t="s">
        <v>6679</v>
      </c>
      <c r="D2177" s="2" t="s">
        <v>6680</v>
      </c>
      <c r="E2177" s="4" t="s">
        <v>26178</v>
      </c>
      <c r="G2177" s="15" t="s">
        <v>26179</v>
      </c>
      <c r="H2177" s="15" t="s">
        <v>26180</v>
      </c>
      <c r="I2177" s="15" t="s">
        <v>26181</v>
      </c>
      <c r="J2177" s="15" t="s">
        <v>26165</v>
      </c>
      <c r="K2177" s="15">
        <v>91633</v>
      </c>
      <c r="L2177" s="15" t="s">
        <v>19099</v>
      </c>
    </row>
    <row r="2178" spans="1:12" x14ac:dyDescent="0.25">
      <c r="A2178" s="2" t="s">
        <v>6682</v>
      </c>
      <c r="B2178" s="8" t="s">
        <v>17148</v>
      </c>
      <c r="C2178" s="2" t="s">
        <v>6682</v>
      </c>
      <c r="D2178" s="2" t="s">
        <v>6683</v>
      </c>
      <c r="E2178" s="4" t="s">
        <v>26182</v>
      </c>
      <c r="G2178" s="15" t="s">
        <v>26183</v>
      </c>
      <c r="H2178" s="15" t="s">
        <v>26184</v>
      </c>
      <c r="I2178" s="15" t="s">
        <v>26185</v>
      </c>
      <c r="J2178" s="15" t="s">
        <v>26165</v>
      </c>
      <c r="K2178" s="15">
        <v>63097</v>
      </c>
      <c r="L2178" s="15" t="s">
        <v>19099</v>
      </c>
    </row>
    <row r="2179" spans="1:12" x14ac:dyDescent="0.25">
      <c r="A2179" s="2" t="s">
        <v>6685</v>
      </c>
      <c r="B2179" s="8" t="s">
        <v>17149</v>
      </c>
      <c r="C2179" s="2" t="s">
        <v>6685</v>
      </c>
      <c r="D2179" s="2" t="s">
        <v>6686</v>
      </c>
      <c r="E2179" s="4" t="s">
        <v>26186</v>
      </c>
      <c r="G2179" s="15" t="s">
        <v>26187</v>
      </c>
      <c r="H2179" s="15" t="s">
        <v>26188</v>
      </c>
      <c r="I2179" s="15" t="s">
        <v>26189</v>
      </c>
      <c r="J2179" s="15" t="s">
        <v>26165</v>
      </c>
      <c r="K2179" s="15">
        <v>40477</v>
      </c>
      <c r="L2179" s="15" t="s">
        <v>19099</v>
      </c>
    </row>
    <row r="2180" spans="1:12" x14ac:dyDescent="0.25">
      <c r="A2180" s="2" t="s">
        <v>6688</v>
      </c>
      <c r="B2180" s="8" t="s">
        <v>17150</v>
      </c>
      <c r="C2180" s="2" t="s">
        <v>6688</v>
      </c>
      <c r="D2180" s="2" t="s">
        <v>6689</v>
      </c>
      <c r="E2180" s="4" t="s">
        <v>26190</v>
      </c>
      <c r="G2180" s="15" t="s">
        <v>26191</v>
      </c>
      <c r="H2180" s="15" t="s">
        <v>26192</v>
      </c>
      <c r="I2180" s="15" t="s">
        <v>26193</v>
      </c>
      <c r="J2180" s="15" t="s">
        <v>26165</v>
      </c>
      <c r="K2180" s="15">
        <v>40474</v>
      </c>
      <c r="L2180" s="15" t="s">
        <v>19099</v>
      </c>
    </row>
    <row r="2181" spans="1:12" x14ac:dyDescent="0.25">
      <c r="A2181" s="2" t="s">
        <v>6691</v>
      </c>
      <c r="B2181" s="8" t="s">
        <v>17151</v>
      </c>
      <c r="C2181" s="2" t="s">
        <v>6691</v>
      </c>
      <c r="D2181" s="2" t="s">
        <v>6692</v>
      </c>
      <c r="E2181" s="4" t="s">
        <v>26194</v>
      </c>
      <c r="G2181" s="15" t="s">
        <v>26195</v>
      </c>
      <c r="H2181" s="15" t="s">
        <v>26196</v>
      </c>
      <c r="I2181" s="15" t="s">
        <v>26197</v>
      </c>
      <c r="J2181" s="15" t="s">
        <v>26160</v>
      </c>
      <c r="K2181" s="15">
        <v>37803</v>
      </c>
      <c r="L2181" s="15" t="s">
        <v>19099</v>
      </c>
    </row>
    <row r="2182" spans="1:12" x14ac:dyDescent="0.25">
      <c r="A2182" s="2" t="s">
        <v>6694</v>
      </c>
      <c r="B2182" s="8" t="s">
        <v>17152</v>
      </c>
      <c r="C2182" s="2" t="s">
        <v>6694</v>
      </c>
      <c r="D2182" s="2" t="s">
        <v>6695</v>
      </c>
      <c r="E2182" s="4" t="s">
        <v>26198</v>
      </c>
      <c r="G2182" s="15" t="s">
        <v>26199</v>
      </c>
      <c r="H2182" s="15" t="s">
        <v>26200</v>
      </c>
      <c r="I2182" s="15" t="s">
        <v>26201</v>
      </c>
      <c r="J2182" s="15" t="s">
        <v>26165</v>
      </c>
      <c r="K2182" s="15">
        <v>37036</v>
      </c>
      <c r="L2182" s="15" t="s">
        <v>19099</v>
      </c>
    </row>
    <row r="2183" spans="1:12" x14ac:dyDescent="0.25">
      <c r="A2183" s="2" t="s">
        <v>6697</v>
      </c>
      <c r="B2183" s="8" t="s">
        <v>17153</v>
      </c>
      <c r="C2183" s="2" t="s">
        <v>6697</v>
      </c>
      <c r="D2183" s="2" t="s">
        <v>6698</v>
      </c>
      <c r="E2183" s="4" t="s">
        <v>26202</v>
      </c>
      <c r="G2183" s="15" t="s">
        <v>26203</v>
      </c>
      <c r="H2183" s="15" t="s">
        <v>26204</v>
      </c>
      <c r="I2183" s="15" t="s">
        <v>26205</v>
      </c>
      <c r="J2183" s="15" t="s">
        <v>26165</v>
      </c>
      <c r="K2183" s="15">
        <v>40476</v>
      </c>
      <c r="L2183" s="15" t="s">
        <v>19099</v>
      </c>
    </row>
    <row r="2184" spans="1:12" x14ac:dyDescent="0.25">
      <c r="A2184" s="2" t="s">
        <v>6700</v>
      </c>
      <c r="B2184" s="8" t="s">
        <v>17154</v>
      </c>
      <c r="C2184" s="2" t="s">
        <v>6700</v>
      </c>
      <c r="D2184" s="2" t="s">
        <v>6701</v>
      </c>
      <c r="E2184" s="4" t="s">
        <v>26206</v>
      </c>
      <c r="G2184" s="15" t="s">
        <v>26207</v>
      </c>
      <c r="H2184" s="15" t="s">
        <v>26208</v>
      </c>
      <c r="I2184" s="15" t="s">
        <v>26209</v>
      </c>
      <c r="J2184" s="15" t="s">
        <v>26165</v>
      </c>
      <c r="K2184" s="15">
        <v>40500</v>
      </c>
      <c r="L2184" s="15" t="s">
        <v>19099</v>
      </c>
    </row>
    <row r="2185" spans="1:12" x14ac:dyDescent="0.25">
      <c r="A2185" s="2" t="s">
        <v>6703</v>
      </c>
      <c r="B2185" s="8" t="s">
        <v>17155</v>
      </c>
      <c r="C2185" s="2" t="s">
        <v>6703</v>
      </c>
      <c r="D2185" s="2" t="s">
        <v>6704</v>
      </c>
      <c r="E2185" s="4" t="s">
        <v>26210</v>
      </c>
      <c r="G2185" s="15" t="s">
        <v>26211</v>
      </c>
      <c r="H2185" s="15" t="s">
        <v>26212</v>
      </c>
      <c r="I2185" s="15" t="s">
        <v>26213</v>
      </c>
      <c r="J2185" s="15" t="s">
        <v>26165</v>
      </c>
      <c r="K2185" s="15">
        <v>40475</v>
      </c>
      <c r="L2185" s="15" t="s">
        <v>19099</v>
      </c>
    </row>
    <row r="2186" spans="1:12" x14ac:dyDescent="0.25">
      <c r="A2186" s="2" t="s">
        <v>6706</v>
      </c>
      <c r="B2186" s="8" t="s">
        <v>17156</v>
      </c>
      <c r="C2186" s="2" t="s">
        <v>6706</v>
      </c>
      <c r="D2186" s="2" t="s">
        <v>6707</v>
      </c>
      <c r="E2186" s="4" t="s">
        <v>26214</v>
      </c>
      <c r="G2186" s="15" t="s">
        <v>26215</v>
      </c>
      <c r="H2186" s="15" t="s">
        <v>26216</v>
      </c>
      <c r="I2186" s="15" t="s">
        <v>26217</v>
      </c>
      <c r="J2186" s="15" t="s">
        <v>26165</v>
      </c>
      <c r="K2186" s="15">
        <v>38306</v>
      </c>
      <c r="L2186" s="15" t="s">
        <v>19099</v>
      </c>
    </row>
    <row r="2187" spans="1:12" x14ac:dyDescent="0.25">
      <c r="A2187" s="2" t="s">
        <v>6709</v>
      </c>
      <c r="B2187" s="8" t="s">
        <v>17157</v>
      </c>
      <c r="C2187" s="2" t="s">
        <v>6709</v>
      </c>
      <c r="D2187" s="2" t="s">
        <v>6710</v>
      </c>
      <c r="E2187" s="4" t="s">
        <v>26218</v>
      </c>
      <c r="G2187" s="15" t="s">
        <v>26219</v>
      </c>
      <c r="H2187" s="15" t="s">
        <v>26220</v>
      </c>
      <c r="I2187" s="15" t="s">
        <v>26221</v>
      </c>
      <c r="J2187" s="15" t="s">
        <v>26165</v>
      </c>
      <c r="K2187" s="15">
        <v>38857</v>
      </c>
      <c r="L2187" s="15" t="s">
        <v>19099</v>
      </c>
    </row>
    <row r="2188" spans="1:12" x14ac:dyDescent="0.25">
      <c r="A2188" s="2" t="s">
        <v>6712</v>
      </c>
      <c r="B2188" s="8" t="s">
        <v>17158</v>
      </c>
      <c r="C2188" s="2" t="s">
        <v>6712</v>
      </c>
      <c r="D2188" s="2" t="s">
        <v>6713</v>
      </c>
      <c r="E2188" s="4" t="s">
        <v>26222</v>
      </c>
      <c r="G2188" s="15" t="s">
        <v>26223</v>
      </c>
      <c r="H2188" s="15" t="s">
        <v>26224</v>
      </c>
      <c r="I2188" s="15" t="s">
        <v>26225</v>
      </c>
      <c r="J2188" s="15" t="s">
        <v>26226</v>
      </c>
      <c r="K2188" s="15">
        <v>37251</v>
      </c>
      <c r="L2188" s="15" t="s">
        <v>19099</v>
      </c>
    </row>
    <row r="2189" spans="1:12" x14ac:dyDescent="0.25">
      <c r="A2189" s="2" t="s">
        <v>6715</v>
      </c>
      <c r="B2189" s="8" t="s">
        <v>17159</v>
      </c>
      <c r="C2189" s="2" t="s">
        <v>6715</v>
      </c>
      <c r="D2189" s="2" t="s">
        <v>6716</v>
      </c>
      <c r="E2189" s="4" t="s">
        <v>26227</v>
      </c>
      <c r="G2189" s="15" t="s">
        <v>26228</v>
      </c>
      <c r="H2189" s="15" t="s">
        <v>26229</v>
      </c>
      <c r="I2189" s="15" t="s">
        <v>26230</v>
      </c>
      <c r="J2189" s="15" t="s">
        <v>26226</v>
      </c>
      <c r="K2189" s="15">
        <v>40485</v>
      </c>
      <c r="L2189" s="15" t="s">
        <v>19099</v>
      </c>
    </row>
    <row r="2190" spans="1:12" x14ac:dyDescent="0.25">
      <c r="A2190" s="2" t="s">
        <v>6718</v>
      </c>
      <c r="B2190" s="8" t="s">
        <v>17160</v>
      </c>
      <c r="C2190" s="2" t="s">
        <v>6718</v>
      </c>
      <c r="D2190" s="2" t="s">
        <v>6719</v>
      </c>
      <c r="E2190" s="4" t="s">
        <v>26231</v>
      </c>
      <c r="G2190" s="15" t="s">
        <v>26232</v>
      </c>
      <c r="H2190" s="15" t="s">
        <v>26233</v>
      </c>
      <c r="I2190" s="15" t="s">
        <v>26234</v>
      </c>
      <c r="J2190" s="15" t="s">
        <v>26226</v>
      </c>
      <c r="K2190" s="15">
        <v>39253</v>
      </c>
      <c r="L2190" s="15" t="s">
        <v>19099</v>
      </c>
    </row>
    <row r="2191" spans="1:12" x14ac:dyDescent="0.25">
      <c r="A2191" s="2" t="s">
        <v>6721</v>
      </c>
      <c r="B2191" s="8" t="s">
        <v>17161</v>
      </c>
      <c r="C2191" s="2" t="s">
        <v>6721</v>
      </c>
      <c r="D2191" s="2" t="s">
        <v>6722</v>
      </c>
      <c r="E2191" s="4" t="s">
        <v>26235</v>
      </c>
      <c r="G2191" s="15" t="s">
        <v>26236</v>
      </c>
      <c r="H2191" s="15" t="s">
        <v>26237</v>
      </c>
      <c r="I2191" s="15" t="s">
        <v>26238</v>
      </c>
      <c r="J2191" s="15" t="s">
        <v>26226</v>
      </c>
      <c r="K2191" s="15">
        <v>40480</v>
      </c>
      <c r="L2191" s="15" t="s">
        <v>19099</v>
      </c>
    </row>
    <row r="2192" spans="1:12" x14ac:dyDescent="0.25">
      <c r="A2192" s="2" t="s">
        <v>6724</v>
      </c>
      <c r="B2192" s="8" t="s">
        <v>17162</v>
      </c>
      <c r="C2192" s="2" t="s">
        <v>6724</v>
      </c>
      <c r="D2192" s="2" t="s">
        <v>6725</v>
      </c>
      <c r="E2192" s="4" t="s">
        <v>26239</v>
      </c>
      <c r="G2192" s="15" t="s">
        <v>26240</v>
      </c>
      <c r="H2192" s="15" t="s">
        <v>26241</v>
      </c>
      <c r="I2192" s="15" t="s">
        <v>26242</v>
      </c>
      <c r="J2192" s="15" t="s">
        <v>26036</v>
      </c>
      <c r="K2192" s="15">
        <v>16322</v>
      </c>
      <c r="L2192" s="15" t="s">
        <v>19099</v>
      </c>
    </row>
    <row r="2193" spans="1:12" x14ac:dyDescent="0.25">
      <c r="A2193" s="2" t="s">
        <v>6727</v>
      </c>
      <c r="B2193" s="8" t="s">
        <v>17163</v>
      </c>
      <c r="C2193" s="2" t="s">
        <v>6727</v>
      </c>
      <c r="D2193" s="2" t="s">
        <v>6728</v>
      </c>
      <c r="E2193" s="4" t="s">
        <v>26243</v>
      </c>
      <c r="G2193" s="15" t="s">
        <v>26244</v>
      </c>
      <c r="H2193" s="15" t="s">
        <v>26245</v>
      </c>
      <c r="I2193" s="15" t="s">
        <v>26246</v>
      </c>
      <c r="J2193" s="15" t="s">
        <v>26160</v>
      </c>
      <c r="K2193" s="15">
        <v>38034</v>
      </c>
      <c r="L2193" s="15" t="s">
        <v>19099</v>
      </c>
    </row>
    <row r="2194" spans="1:12" x14ac:dyDescent="0.25">
      <c r="A2194" s="2" t="s">
        <v>6730</v>
      </c>
      <c r="B2194" s="8" t="s">
        <v>17164</v>
      </c>
      <c r="C2194" s="2" t="s">
        <v>6730</v>
      </c>
      <c r="D2194" s="2" t="s">
        <v>6731</v>
      </c>
      <c r="E2194" s="4" t="s">
        <v>26247</v>
      </c>
      <c r="G2194" s="15" t="s">
        <v>26248</v>
      </c>
      <c r="H2194" s="15" t="s">
        <v>26249</v>
      </c>
      <c r="I2194" s="15" t="s">
        <v>26250</v>
      </c>
      <c r="J2194" s="15" t="s">
        <v>26226</v>
      </c>
      <c r="K2194" s="15">
        <v>38410</v>
      </c>
      <c r="L2194" s="15" t="s">
        <v>19099</v>
      </c>
    </row>
    <row r="2195" spans="1:12" x14ac:dyDescent="0.25">
      <c r="A2195" s="2" t="s">
        <v>6733</v>
      </c>
      <c r="B2195" s="8" t="s">
        <v>17165</v>
      </c>
      <c r="C2195" s="2" t="s">
        <v>6733</v>
      </c>
      <c r="D2195" s="2" t="s">
        <v>6734</v>
      </c>
      <c r="E2195" s="4" t="s">
        <v>26251</v>
      </c>
      <c r="G2195" s="15" t="s">
        <v>26252</v>
      </c>
      <c r="H2195" s="15" t="s">
        <v>26253</v>
      </c>
      <c r="I2195" s="15" t="s">
        <v>26254</v>
      </c>
      <c r="J2195" s="15" t="s">
        <v>26226</v>
      </c>
      <c r="K2195" s="15">
        <v>16495</v>
      </c>
      <c r="L2195" s="15" t="s">
        <v>19099</v>
      </c>
    </row>
    <row r="2196" spans="1:12" x14ac:dyDescent="0.25">
      <c r="A2196" s="2" t="s">
        <v>6736</v>
      </c>
      <c r="B2196" s="8" t="s">
        <v>17166</v>
      </c>
      <c r="C2196" s="2" t="s">
        <v>6736</v>
      </c>
      <c r="D2196" s="2" t="s">
        <v>6737</v>
      </c>
      <c r="E2196" s="4" t="s">
        <v>26255</v>
      </c>
      <c r="G2196" s="15" t="s">
        <v>26256</v>
      </c>
      <c r="H2196" s="15" t="s">
        <v>26257</v>
      </c>
      <c r="I2196" s="15" t="s">
        <v>26258</v>
      </c>
      <c r="J2196" s="15" t="s">
        <v>26226</v>
      </c>
      <c r="K2196" s="15">
        <v>91721</v>
      </c>
      <c r="L2196" s="15" t="s">
        <v>19099</v>
      </c>
    </row>
    <row r="2197" spans="1:12" x14ac:dyDescent="0.25">
      <c r="A2197" s="2" t="s">
        <v>6739</v>
      </c>
      <c r="B2197" s="8" t="s">
        <v>17167</v>
      </c>
      <c r="C2197" s="2" t="s">
        <v>6739</v>
      </c>
      <c r="D2197" s="2" t="s">
        <v>6740</v>
      </c>
      <c r="E2197" s="4" t="s">
        <v>26259</v>
      </c>
      <c r="G2197" s="15" t="s">
        <v>26260</v>
      </c>
      <c r="H2197" s="15" t="s">
        <v>26261</v>
      </c>
      <c r="I2197" s="15" t="s">
        <v>26262</v>
      </c>
      <c r="J2197" s="15" t="s">
        <v>26263</v>
      </c>
      <c r="K2197" s="15">
        <v>38411</v>
      </c>
      <c r="L2197" s="15" t="s">
        <v>19099</v>
      </c>
    </row>
    <row r="2198" spans="1:12" x14ac:dyDescent="0.25">
      <c r="A2198" s="2" t="s">
        <v>6742</v>
      </c>
      <c r="B2198" s="8" t="s">
        <v>17168</v>
      </c>
      <c r="C2198" s="2" t="s">
        <v>6742</v>
      </c>
      <c r="D2198" s="2" t="s">
        <v>6743</v>
      </c>
      <c r="E2198" s="4" t="s">
        <v>26264</v>
      </c>
      <c r="G2198" s="15" t="s">
        <v>26265</v>
      </c>
      <c r="H2198" s="15" t="s">
        <v>26266</v>
      </c>
      <c r="I2198" s="15" t="s">
        <v>26267</v>
      </c>
      <c r="J2198" s="15" t="s">
        <v>26263</v>
      </c>
      <c r="K2198" s="15">
        <v>91648</v>
      </c>
      <c r="L2198" s="15" t="s">
        <v>19099</v>
      </c>
    </row>
    <row r="2199" spans="1:12" x14ac:dyDescent="0.25">
      <c r="A2199" s="2" t="s">
        <v>6745</v>
      </c>
      <c r="B2199" s="8" t="s">
        <v>17169</v>
      </c>
      <c r="C2199" s="2" t="s">
        <v>6745</v>
      </c>
      <c r="D2199" s="2" t="s">
        <v>6746</v>
      </c>
      <c r="E2199" s="4" t="s">
        <v>26268</v>
      </c>
      <c r="G2199" s="15" t="s">
        <v>26269</v>
      </c>
      <c r="H2199" s="15" t="s">
        <v>26270</v>
      </c>
      <c r="I2199" s="15" t="s">
        <v>26271</v>
      </c>
      <c r="J2199" s="15" t="s">
        <v>26272</v>
      </c>
      <c r="K2199" s="15">
        <v>16318</v>
      </c>
      <c r="L2199" s="15" t="s">
        <v>19099</v>
      </c>
    </row>
    <row r="2200" spans="1:12" x14ac:dyDescent="0.25">
      <c r="A2200" s="2" t="s">
        <v>6748</v>
      </c>
      <c r="B2200" s="8" t="s">
        <v>17170</v>
      </c>
      <c r="C2200" s="2" t="s">
        <v>6748</v>
      </c>
      <c r="D2200" s="2" t="s">
        <v>6749</v>
      </c>
      <c r="E2200" s="4" t="s">
        <v>26273</v>
      </c>
      <c r="G2200" s="15" t="s">
        <v>26274</v>
      </c>
      <c r="H2200" s="15" t="s">
        <v>26275</v>
      </c>
      <c r="I2200" s="15" t="s">
        <v>26276</v>
      </c>
      <c r="J2200" s="15" t="s">
        <v>26160</v>
      </c>
      <c r="K2200" s="15">
        <v>41541</v>
      </c>
      <c r="L2200" s="15" t="s">
        <v>19099</v>
      </c>
    </row>
    <row r="2201" spans="1:12" x14ac:dyDescent="0.25">
      <c r="A2201" s="2" t="s">
        <v>6751</v>
      </c>
      <c r="B2201" s="8" t="s">
        <v>17171</v>
      </c>
      <c r="C2201" s="2" t="s">
        <v>6751</v>
      </c>
      <c r="D2201" s="2" t="s">
        <v>6752</v>
      </c>
      <c r="E2201" s="4" t="s">
        <v>26277</v>
      </c>
      <c r="G2201" s="15" t="s">
        <v>26278</v>
      </c>
      <c r="H2201" s="15" t="s">
        <v>26279</v>
      </c>
      <c r="I2201" s="15" t="s">
        <v>26280</v>
      </c>
      <c r="J2201" s="15" t="s">
        <v>26160</v>
      </c>
      <c r="K2201" s="15">
        <v>23448</v>
      </c>
      <c r="L2201" s="15" t="s">
        <v>19099</v>
      </c>
    </row>
    <row r="2202" spans="1:12" x14ac:dyDescent="0.25">
      <c r="A2202" s="2" t="s">
        <v>6754</v>
      </c>
      <c r="B2202" s="8" t="s">
        <v>17172</v>
      </c>
      <c r="C2202" s="2" t="s">
        <v>6754</v>
      </c>
      <c r="D2202" s="2" t="s">
        <v>6755</v>
      </c>
      <c r="E2202" s="4" t="s">
        <v>26281</v>
      </c>
      <c r="G2202" s="15" t="s">
        <v>26282</v>
      </c>
      <c r="H2202" s="15" t="s">
        <v>26283</v>
      </c>
      <c r="I2202" s="15" t="s">
        <v>26284</v>
      </c>
      <c r="J2202" s="15" t="s">
        <v>26036</v>
      </c>
      <c r="K2202" s="15">
        <v>16323</v>
      </c>
      <c r="L2202" s="15" t="s">
        <v>19099</v>
      </c>
    </row>
    <row r="2203" spans="1:12" x14ac:dyDescent="0.25">
      <c r="A2203" s="2" t="s">
        <v>6757</v>
      </c>
      <c r="B2203" s="8" t="s">
        <v>17173</v>
      </c>
      <c r="C2203" s="2" t="s">
        <v>6757</v>
      </c>
      <c r="D2203" s="2" t="s">
        <v>6758</v>
      </c>
      <c r="E2203" s="4" t="s">
        <v>26285</v>
      </c>
      <c r="G2203" s="15" t="s">
        <v>26286</v>
      </c>
      <c r="H2203" s="15" t="s">
        <v>26287</v>
      </c>
      <c r="I2203" s="15" t="s">
        <v>26288</v>
      </c>
      <c r="J2203" s="15" t="s">
        <v>26160</v>
      </c>
      <c r="K2203" s="15">
        <v>37247</v>
      </c>
      <c r="L2203" s="15" t="s">
        <v>19099</v>
      </c>
    </row>
    <row r="2204" spans="1:12" x14ac:dyDescent="0.25">
      <c r="A2204" s="2" t="s">
        <v>6760</v>
      </c>
      <c r="B2204" s="8" t="s">
        <v>17174</v>
      </c>
      <c r="C2204" s="2" t="s">
        <v>6760</v>
      </c>
      <c r="D2204" s="2" t="s">
        <v>6761</v>
      </c>
      <c r="E2204" s="4" t="s">
        <v>26289</v>
      </c>
      <c r="G2204" s="15" t="s">
        <v>26290</v>
      </c>
      <c r="H2204" s="15" t="s">
        <v>26291</v>
      </c>
      <c r="I2204" s="15" t="s">
        <v>26292</v>
      </c>
      <c r="J2204" s="15" t="s">
        <v>26160</v>
      </c>
      <c r="K2204" s="15">
        <v>27960</v>
      </c>
      <c r="L2204" s="15" t="s">
        <v>19099</v>
      </c>
    </row>
    <row r="2205" spans="1:12" x14ac:dyDescent="0.25">
      <c r="A2205" s="2" t="s">
        <v>6763</v>
      </c>
      <c r="B2205" s="8" t="s">
        <v>17175</v>
      </c>
      <c r="C2205" s="2" t="s">
        <v>6763</v>
      </c>
      <c r="D2205" s="2" t="s">
        <v>6764</v>
      </c>
      <c r="E2205" s="4" t="s">
        <v>26293</v>
      </c>
      <c r="G2205" s="15" t="s">
        <v>26294</v>
      </c>
      <c r="H2205" s="15" t="s">
        <v>26295</v>
      </c>
      <c r="I2205" s="15" t="s">
        <v>26296</v>
      </c>
      <c r="J2205" s="15" t="s">
        <v>26297</v>
      </c>
      <c r="K2205" s="15">
        <v>38875</v>
      </c>
      <c r="L2205" s="15" t="s">
        <v>19099</v>
      </c>
    </row>
    <row r="2206" spans="1:12" x14ac:dyDescent="0.25">
      <c r="A2206" s="2" t="s">
        <v>6766</v>
      </c>
      <c r="B2206" s="8" t="s">
        <v>17176</v>
      </c>
      <c r="C2206" s="2" t="s">
        <v>6766</v>
      </c>
      <c r="D2206" s="2" t="s">
        <v>6767</v>
      </c>
      <c r="E2206" s="4" t="s">
        <v>26298</v>
      </c>
      <c r="G2206" s="15" t="s">
        <v>26299</v>
      </c>
      <c r="H2206" s="15" t="s">
        <v>26300</v>
      </c>
      <c r="I2206" s="15" t="s">
        <v>26301</v>
      </c>
      <c r="J2206" s="15" t="s">
        <v>26297</v>
      </c>
      <c r="K2206" s="15">
        <v>17097</v>
      </c>
      <c r="L2206" s="15" t="s">
        <v>19099</v>
      </c>
    </row>
    <row r="2207" spans="1:12" x14ac:dyDescent="0.25">
      <c r="A2207" s="2" t="s">
        <v>6769</v>
      </c>
      <c r="B2207" s="8" t="s">
        <v>17177</v>
      </c>
      <c r="C2207" s="2" t="s">
        <v>6769</v>
      </c>
      <c r="D2207" s="2" t="s">
        <v>6770</v>
      </c>
      <c r="E2207" s="4" t="s">
        <v>26302</v>
      </c>
      <c r="G2207" s="15" t="s">
        <v>26303</v>
      </c>
      <c r="H2207" s="15" t="s">
        <v>26304</v>
      </c>
      <c r="I2207" s="15" t="s">
        <v>26305</v>
      </c>
      <c r="J2207" s="15" t="s">
        <v>26297</v>
      </c>
      <c r="K2207" s="15">
        <v>38876</v>
      </c>
      <c r="L2207" s="15" t="s">
        <v>19099</v>
      </c>
    </row>
    <row r="2208" spans="1:12" x14ac:dyDescent="0.25">
      <c r="A2208" s="2" t="s">
        <v>6772</v>
      </c>
      <c r="B2208" s="8" t="s">
        <v>17178</v>
      </c>
      <c r="C2208" s="2" t="s">
        <v>6772</v>
      </c>
      <c r="D2208" s="2" t="s">
        <v>6773</v>
      </c>
      <c r="E2208" s="4" t="s">
        <v>26306</v>
      </c>
      <c r="G2208" s="15" t="s">
        <v>26307</v>
      </c>
      <c r="H2208" s="15" t="s">
        <v>26308</v>
      </c>
      <c r="I2208" s="15" t="s">
        <v>26309</v>
      </c>
      <c r="J2208" s="15" t="s">
        <v>26297</v>
      </c>
      <c r="K2208" s="15">
        <v>44163</v>
      </c>
      <c r="L2208" s="15" t="s">
        <v>19099</v>
      </c>
    </row>
    <row r="2209" spans="1:12" x14ac:dyDescent="0.25">
      <c r="A2209" s="2" t="s">
        <v>6775</v>
      </c>
      <c r="B2209" s="8" t="s">
        <v>17179</v>
      </c>
      <c r="C2209" s="2" t="s">
        <v>6775</v>
      </c>
      <c r="D2209" s="2" t="s">
        <v>6776</v>
      </c>
      <c r="E2209" s="4" t="s">
        <v>26310</v>
      </c>
      <c r="G2209" s="15" t="s">
        <v>26311</v>
      </c>
      <c r="H2209" s="15" t="s">
        <v>26312</v>
      </c>
      <c r="I2209" s="15" t="s">
        <v>26313</v>
      </c>
      <c r="J2209" s="15" t="s">
        <v>26297</v>
      </c>
      <c r="K2209" s="15">
        <v>37248</v>
      </c>
      <c r="L2209" s="15" t="s">
        <v>19099</v>
      </c>
    </row>
    <row r="2210" spans="1:12" x14ac:dyDescent="0.25">
      <c r="A2210" s="2" t="s">
        <v>6778</v>
      </c>
      <c r="B2210" s="8" t="s">
        <v>17180</v>
      </c>
      <c r="C2210" s="2" t="s">
        <v>6778</v>
      </c>
      <c r="D2210" s="2" t="s">
        <v>6779</v>
      </c>
      <c r="E2210" s="4" t="s">
        <v>26314</v>
      </c>
      <c r="G2210" s="15" t="s">
        <v>26315</v>
      </c>
      <c r="H2210" s="15" t="s">
        <v>26316</v>
      </c>
      <c r="I2210" s="15" t="s">
        <v>26317</v>
      </c>
      <c r="J2210" s="15" t="s">
        <v>26297</v>
      </c>
      <c r="K2210" s="15">
        <v>63102</v>
      </c>
      <c r="L2210" s="15" t="s">
        <v>19099</v>
      </c>
    </row>
    <row r="2211" spans="1:12" x14ac:dyDescent="0.25">
      <c r="A2211" s="2" t="s">
        <v>6781</v>
      </c>
      <c r="B2211" s="8" t="s">
        <v>17181</v>
      </c>
      <c r="C2211" s="2" t="s">
        <v>6781</v>
      </c>
      <c r="D2211" s="2" t="s">
        <v>6782</v>
      </c>
      <c r="E2211" s="4" t="s">
        <v>26318</v>
      </c>
      <c r="G2211" s="15" t="s">
        <v>26319</v>
      </c>
      <c r="H2211" s="15" t="s">
        <v>26320</v>
      </c>
      <c r="I2211" s="15" t="s">
        <v>26321</v>
      </c>
      <c r="J2211" s="15" t="s">
        <v>26297</v>
      </c>
      <c r="K2211" s="15">
        <v>38879</v>
      </c>
      <c r="L2211" s="15" t="s">
        <v>19099</v>
      </c>
    </row>
    <row r="2212" spans="1:12" x14ac:dyDescent="0.25">
      <c r="A2212" s="2" t="s">
        <v>6784</v>
      </c>
      <c r="B2212" s="8" t="s">
        <v>17182</v>
      </c>
      <c r="C2212" s="2" t="s">
        <v>6784</v>
      </c>
      <c r="D2212" s="2" t="s">
        <v>6785</v>
      </c>
      <c r="E2212" s="4" t="s">
        <v>26322</v>
      </c>
      <c r="G2212" s="15" t="s">
        <v>26323</v>
      </c>
      <c r="H2212" s="15" t="s">
        <v>26324</v>
      </c>
      <c r="I2212" s="15" t="s">
        <v>26325</v>
      </c>
      <c r="J2212" s="15" t="s">
        <v>26297</v>
      </c>
      <c r="K2212" s="15">
        <v>63110</v>
      </c>
      <c r="L2212" s="15" t="s">
        <v>19099</v>
      </c>
    </row>
    <row r="2213" spans="1:12" x14ac:dyDescent="0.25">
      <c r="A2213" s="2" t="s">
        <v>6787</v>
      </c>
      <c r="B2213" s="8" t="s">
        <v>17183</v>
      </c>
      <c r="C2213" s="2" t="s">
        <v>6787</v>
      </c>
      <c r="D2213" s="2" t="s">
        <v>6788</v>
      </c>
      <c r="E2213" s="4" t="s">
        <v>26326</v>
      </c>
      <c r="G2213" s="15" t="s">
        <v>26327</v>
      </c>
      <c r="H2213" s="15" t="s">
        <v>26328</v>
      </c>
      <c r="I2213" s="15" t="s">
        <v>26329</v>
      </c>
      <c r="J2213" s="15" t="s">
        <v>26297</v>
      </c>
      <c r="K2213" s="15">
        <v>36185</v>
      </c>
      <c r="L2213" s="15" t="s">
        <v>19099</v>
      </c>
    </row>
    <row r="2214" spans="1:12" x14ac:dyDescent="0.25">
      <c r="A2214" s="2" t="s">
        <v>6790</v>
      </c>
      <c r="B2214" s="8" t="s">
        <v>17184</v>
      </c>
      <c r="C2214" s="2" t="s">
        <v>6790</v>
      </c>
      <c r="D2214" s="2" t="s">
        <v>6791</v>
      </c>
      <c r="E2214" s="4" t="s">
        <v>26330</v>
      </c>
      <c r="G2214" s="15" t="s">
        <v>26331</v>
      </c>
      <c r="H2214" s="15" t="s">
        <v>26332</v>
      </c>
      <c r="I2214" s="15" t="s">
        <v>26333</v>
      </c>
      <c r="J2214" s="15" t="s">
        <v>26297</v>
      </c>
      <c r="K2214" s="15">
        <v>36186</v>
      </c>
      <c r="L2214" s="15" t="s">
        <v>19099</v>
      </c>
    </row>
    <row r="2215" spans="1:12" x14ac:dyDescent="0.25">
      <c r="A2215" s="2" t="s">
        <v>6793</v>
      </c>
      <c r="B2215" s="8" t="s">
        <v>17185</v>
      </c>
      <c r="C2215" s="2" t="s">
        <v>6793</v>
      </c>
      <c r="D2215" s="2" t="s">
        <v>6794</v>
      </c>
      <c r="E2215" s="4" t="s">
        <v>26334</v>
      </c>
      <c r="G2215" s="15" t="s">
        <v>26335</v>
      </c>
      <c r="H2215" s="15" t="s">
        <v>26336</v>
      </c>
      <c r="I2215" s="15" t="s">
        <v>26337</v>
      </c>
      <c r="J2215" s="15" t="s">
        <v>26297</v>
      </c>
      <c r="K2215" s="15">
        <v>38878</v>
      </c>
      <c r="L2215" s="15" t="s">
        <v>19099</v>
      </c>
    </row>
    <row r="2216" spans="1:12" x14ac:dyDescent="0.25">
      <c r="A2216" s="2" t="s">
        <v>6796</v>
      </c>
      <c r="B2216" s="8" t="s">
        <v>17186</v>
      </c>
      <c r="C2216" s="2" t="s">
        <v>6796</v>
      </c>
      <c r="D2216" s="2" t="s">
        <v>6797</v>
      </c>
      <c r="E2216" s="4" t="s">
        <v>26338</v>
      </c>
      <c r="G2216" s="15" t="s">
        <v>26339</v>
      </c>
      <c r="H2216" s="15" t="s">
        <v>26340</v>
      </c>
      <c r="I2216" s="15" t="s">
        <v>26341</v>
      </c>
      <c r="J2216" s="15" t="s">
        <v>26297</v>
      </c>
      <c r="K2216" s="15">
        <v>36218</v>
      </c>
      <c r="L2216" s="15" t="s">
        <v>19099</v>
      </c>
    </row>
    <row r="2217" spans="1:12" x14ac:dyDescent="0.25">
      <c r="A2217" s="2" t="s">
        <v>6799</v>
      </c>
      <c r="B2217" s="8" t="s">
        <v>17187</v>
      </c>
      <c r="C2217" s="2" t="s">
        <v>6799</v>
      </c>
      <c r="D2217" s="2" t="s">
        <v>6800</v>
      </c>
      <c r="E2217" s="4" t="s">
        <v>26342</v>
      </c>
      <c r="G2217" s="15" t="s">
        <v>26343</v>
      </c>
      <c r="H2217" s="15" t="s">
        <v>26344</v>
      </c>
      <c r="I2217" s="15" t="s">
        <v>26345</v>
      </c>
      <c r="J2217" s="15" t="s">
        <v>26297</v>
      </c>
      <c r="K2217" s="15">
        <v>36187</v>
      </c>
      <c r="L2217" s="15" t="s">
        <v>19099</v>
      </c>
    </row>
    <row r="2218" spans="1:12" x14ac:dyDescent="0.25">
      <c r="A2218" s="2" t="s">
        <v>6802</v>
      </c>
      <c r="B2218" s="8" t="s">
        <v>17188</v>
      </c>
      <c r="C2218" s="2" t="s">
        <v>6802</v>
      </c>
      <c r="D2218" s="2" t="s">
        <v>6803</v>
      </c>
      <c r="E2218" s="4" t="s">
        <v>26346</v>
      </c>
      <c r="G2218" s="15" t="s">
        <v>26347</v>
      </c>
      <c r="H2218" s="15" t="s">
        <v>26348</v>
      </c>
      <c r="I2218" s="15" t="s">
        <v>26349</v>
      </c>
      <c r="J2218" s="15" t="s">
        <v>26297</v>
      </c>
      <c r="K2218" s="15">
        <v>63101</v>
      </c>
      <c r="L2218" s="15" t="s">
        <v>19099</v>
      </c>
    </row>
    <row r="2219" spans="1:12" x14ac:dyDescent="0.25">
      <c r="A2219" s="2" t="s">
        <v>6805</v>
      </c>
      <c r="B2219" s="8" t="s">
        <v>17189</v>
      </c>
      <c r="C2219" s="2" t="s">
        <v>6805</v>
      </c>
      <c r="D2219" s="2" t="s">
        <v>6806</v>
      </c>
      <c r="E2219" s="4" t="s">
        <v>26350</v>
      </c>
      <c r="G2219" s="15" t="s">
        <v>26351</v>
      </c>
      <c r="H2219" s="15" t="s">
        <v>26352</v>
      </c>
      <c r="I2219" s="15" t="s">
        <v>26353</v>
      </c>
      <c r="J2219" s="15" t="s">
        <v>26297</v>
      </c>
      <c r="K2219" s="15">
        <v>51043</v>
      </c>
      <c r="L2219" s="15" t="s">
        <v>19099</v>
      </c>
    </row>
    <row r="2220" spans="1:12" x14ac:dyDescent="0.25">
      <c r="A2220" s="2" t="s">
        <v>6808</v>
      </c>
      <c r="B2220" s="8" t="s">
        <v>17190</v>
      </c>
      <c r="C2220" s="2" t="s">
        <v>6808</v>
      </c>
      <c r="D2220" s="2" t="s">
        <v>6809</v>
      </c>
      <c r="E2220" s="4" t="s">
        <v>26354</v>
      </c>
      <c r="G2220" s="15" t="s">
        <v>26355</v>
      </c>
      <c r="H2220" s="15" t="s">
        <v>26356</v>
      </c>
      <c r="I2220" s="15" t="s">
        <v>26357</v>
      </c>
      <c r="J2220" s="15" t="s">
        <v>26046</v>
      </c>
      <c r="K2220" s="15">
        <v>47651</v>
      </c>
      <c r="L2220" s="15" t="s">
        <v>19099</v>
      </c>
    </row>
    <row r="2221" spans="1:12" x14ac:dyDescent="0.25">
      <c r="A2221" s="2" t="s">
        <v>6811</v>
      </c>
      <c r="B2221" s="8" t="s">
        <v>17191</v>
      </c>
      <c r="C2221" s="2" t="s">
        <v>6811</v>
      </c>
      <c r="D2221" s="2" t="s">
        <v>6812</v>
      </c>
      <c r="E2221" s="4" t="s">
        <v>26358</v>
      </c>
      <c r="G2221" s="15" t="s">
        <v>26359</v>
      </c>
      <c r="H2221" s="15" t="s">
        <v>26360</v>
      </c>
      <c r="I2221" s="15" t="s">
        <v>26361</v>
      </c>
      <c r="J2221" s="15" t="s">
        <v>26046</v>
      </c>
      <c r="K2221" s="15">
        <v>38014</v>
      </c>
      <c r="L2221" s="15" t="s">
        <v>19099</v>
      </c>
    </row>
    <row r="2222" spans="1:12" x14ac:dyDescent="0.25">
      <c r="A2222" s="2" t="s">
        <v>6814</v>
      </c>
      <c r="B2222" s="8" t="s">
        <v>17192</v>
      </c>
      <c r="C2222" s="2" t="s">
        <v>6814</v>
      </c>
      <c r="D2222" s="2" t="s">
        <v>6815</v>
      </c>
      <c r="E2222" s="4" t="s">
        <v>26362</v>
      </c>
      <c r="G2222" s="15" t="s">
        <v>26363</v>
      </c>
      <c r="H2222" s="15" t="s">
        <v>26364</v>
      </c>
      <c r="I2222" s="15" t="s">
        <v>26365</v>
      </c>
      <c r="J2222" s="15" t="s">
        <v>26046</v>
      </c>
      <c r="K2222" s="15">
        <v>40469</v>
      </c>
      <c r="L2222" s="15" t="s">
        <v>19099</v>
      </c>
    </row>
    <row r="2223" spans="1:12" x14ac:dyDescent="0.25">
      <c r="A2223" s="2" t="s">
        <v>6817</v>
      </c>
      <c r="B2223" s="8" t="s">
        <v>17193</v>
      </c>
      <c r="C2223" s="2" t="s">
        <v>6817</v>
      </c>
      <c r="D2223" s="2" t="s">
        <v>6818</v>
      </c>
      <c r="E2223" s="4" t="s">
        <v>26366</v>
      </c>
      <c r="G2223" s="15" t="s">
        <v>26367</v>
      </c>
      <c r="H2223" s="15" t="s">
        <v>26368</v>
      </c>
      <c r="I2223" s="15" t="s">
        <v>26369</v>
      </c>
      <c r="J2223" s="15" t="s">
        <v>26046</v>
      </c>
      <c r="K2223" s="15">
        <v>38012</v>
      </c>
      <c r="L2223" s="15" t="s">
        <v>19099</v>
      </c>
    </row>
    <row r="2224" spans="1:12" x14ac:dyDescent="0.25">
      <c r="A2224" s="2" t="s">
        <v>6820</v>
      </c>
      <c r="B2224" s="8" t="s">
        <v>17194</v>
      </c>
      <c r="C2224" s="2" t="s">
        <v>6820</v>
      </c>
      <c r="D2224" s="2" t="s">
        <v>6821</v>
      </c>
      <c r="E2224" s="4" t="s">
        <v>26370</v>
      </c>
      <c r="G2224" s="15" t="s">
        <v>26371</v>
      </c>
      <c r="H2224" s="15" t="s">
        <v>26372</v>
      </c>
      <c r="I2224" s="15" t="s">
        <v>26373</v>
      </c>
      <c r="J2224" s="15" t="s">
        <v>26046</v>
      </c>
      <c r="K2224" s="15">
        <v>38881</v>
      </c>
      <c r="L2224" s="15" t="s">
        <v>19099</v>
      </c>
    </row>
    <row r="2225" spans="1:12" x14ac:dyDescent="0.25">
      <c r="A2225" s="2" t="s">
        <v>6823</v>
      </c>
      <c r="B2225" s="8" t="s">
        <v>17195</v>
      </c>
      <c r="C2225" s="2" t="s">
        <v>6823</v>
      </c>
      <c r="D2225" s="2" t="s">
        <v>6824</v>
      </c>
      <c r="E2225" s="4" t="s">
        <v>26374</v>
      </c>
      <c r="G2225" s="15" t="s">
        <v>26375</v>
      </c>
      <c r="H2225" s="15" t="s">
        <v>26376</v>
      </c>
      <c r="I2225" s="15" t="s">
        <v>26377</v>
      </c>
      <c r="J2225" s="15" t="s">
        <v>26046</v>
      </c>
      <c r="K2225" s="15">
        <v>38013</v>
      </c>
      <c r="L2225" s="15" t="s">
        <v>19099</v>
      </c>
    </row>
    <row r="2226" spans="1:12" x14ac:dyDescent="0.25">
      <c r="A2226" s="2" t="s">
        <v>6826</v>
      </c>
      <c r="B2226" s="8" t="s">
        <v>17196</v>
      </c>
      <c r="C2226" s="2" t="s">
        <v>6826</v>
      </c>
      <c r="D2226" s="2" t="s">
        <v>6827</v>
      </c>
      <c r="E2226" s="4" t="s">
        <v>26378</v>
      </c>
      <c r="G2226" s="15" t="s">
        <v>26379</v>
      </c>
      <c r="H2226" s="15" t="s">
        <v>26380</v>
      </c>
      <c r="I2226" s="15" t="s">
        <v>26381</v>
      </c>
      <c r="J2226" s="15" t="s">
        <v>26382</v>
      </c>
      <c r="K2226" s="15">
        <v>15625</v>
      </c>
      <c r="L2226" s="15" t="s">
        <v>19099</v>
      </c>
    </row>
    <row r="2227" spans="1:12" x14ac:dyDescent="0.25">
      <c r="A2227" s="2" t="s">
        <v>6829</v>
      </c>
      <c r="B2227" s="8" t="s">
        <v>17197</v>
      </c>
      <c r="C2227" s="2" t="s">
        <v>6829</v>
      </c>
      <c r="D2227" s="2" t="s">
        <v>6830</v>
      </c>
      <c r="E2227" s="4" t="s">
        <v>26383</v>
      </c>
      <c r="G2227" s="15" t="s">
        <v>26384</v>
      </c>
      <c r="H2227" s="15" t="s">
        <v>26385</v>
      </c>
      <c r="I2227" s="15" t="s">
        <v>26386</v>
      </c>
      <c r="J2227" s="15" t="s">
        <v>26387</v>
      </c>
      <c r="K2227" s="15">
        <v>38439</v>
      </c>
      <c r="L2227" s="15" t="s">
        <v>19099</v>
      </c>
    </row>
    <row r="2228" spans="1:12" x14ac:dyDescent="0.25">
      <c r="A2228" s="2" t="s">
        <v>6832</v>
      </c>
      <c r="B2228" s="8" t="s">
        <v>17198</v>
      </c>
      <c r="C2228" s="2" t="s">
        <v>6832</v>
      </c>
      <c r="D2228" s="2" t="s">
        <v>6833</v>
      </c>
      <c r="E2228" s="4" t="s">
        <v>26388</v>
      </c>
      <c r="G2228" s="15" t="s">
        <v>26389</v>
      </c>
      <c r="H2228" s="15" t="s">
        <v>26390</v>
      </c>
      <c r="I2228" s="15" t="s">
        <v>26391</v>
      </c>
      <c r="J2228" s="15" t="s">
        <v>26392</v>
      </c>
      <c r="K2228" s="15">
        <v>38251</v>
      </c>
      <c r="L2228" s="15" t="s">
        <v>19099</v>
      </c>
    </row>
    <row r="2229" spans="1:12" x14ac:dyDescent="0.25">
      <c r="A2229" s="2" t="s">
        <v>6835</v>
      </c>
      <c r="B2229" s="8" t="s">
        <v>17199</v>
      </c>
      <c r="C2229" s="2" t="s">
        <v>6835</v>
      </c>
      <c r="D2229" s="2" t="s">
        <v>6836</v>
      </c>
      <c r="E2229" s="4" t="s">
        <v>26393</v>
      </c>
      <c r="G2229" s="15" t="s">
        <v>26394</v>
      </c>
      <c r="H2229" s="15" t="s">
        <v>26395</v>
      </c>
      <c r="I2229" s="15" t="s">
        <v>26396</v>
      </c>
      <c r="J2229" s="15" t="s">
        <v>26392</v>
      </c>
      <c r="K2229" s="15">
        <v>42540</v>
      </c>
      <c r="L2229" s="15" t="s">
        <v>19099</v>
      </c>
    </row>
    <row r="2230" spans="1:12" x14ac:dyDescent="0.25">
      <c r="A2230" s="2" t="s">
        <v>6838</v>
      </c>
      <c r="B2230" s="8" t="s">
        <v>17200</v>
      </c>
      <c r="C2230" s="2" t="s">
        <v>6838</v>
      </c>
      <c r="D2230" s="2" t="s">
        <v>6839</v>
      </c>
      <c r="E2230" s="4" t="s">
        <v>26397</v>
      </c>
      <c r="G2230" s="15" t="s">
        <v>26398</v>
      </c>
      <c r="H2230" s="15" t="s">
        <v>26399</v>
      </c>
      <c r="I2230" s="15" t="s">
        <v>26400</v>
      </c>
      <c r="J2230" s="15" t="s">
        <v>26392</v>
      </c>
      <c r="K2230" s="15">
        <v>29575</v>
      </c>
      <c r="L2230" s="15" t="s">
        <v>19099</v>
      </c>
    </row>
    <row r="2231" spans="1:12" x14ac:dyDescent="0.25">
      <c r="A2231" s="2" t="s">
        <v>6841</v>
      </c>
      <c r="B2231" s="8" t="s">
        <v>17201</v>
      </c>
      <c r="C2231" s="2" t="s">
        <v>6841</v>
      </c>
      <c r="D2231" s="2" t="s">
        <v>6842</v>
      </c>
      <c r="E2231" s="4" t="s">
        <v>26401</v>
      </c>
      <c r="G2231" s="15" t="s">
        <v>26402</v>
      </c>
      <c r="H2231" s="15" t="s">
        <v>26403</v>
      </c>
      <c r="I2231" s="15" t="s">
        <v>26404</v>
      </c>
      <c r="J2231" s="15" t="s">
        <v>26405</v>
      </c>
      <c r="K2231" s="15">
        <v>37270</v>
      </c>
      <c r="L2231" s="15" t="s">
        <v>19099</v>
      </c>
    </row>
    <row r="2232" spans="1:12" x14ac:dyDescent="0.25">
      <c r="A2232" s="2" t="s">
        <v>6844</v>
      </c>
      <c r="B2232" s="8" t="s">
        <v>17202</v>
      </c>
      <c r="C2232" s="2" t="s">
        <v>6844</v>
      </c>
      <c r="D2232" s="2" t="s">
        <v>6845</v>
      </c>
      <c r="E2232" s="4" t="s">
        <v>26406</v>
      </c>
      <c r="G2232" s="15" t="s">
        <v>26407</v>
      </c>
      <c r="H2232" s="15" t="s">
        <v>26408</v>
      </c>
      <c r="I2232" s="15" t="s">
        <v>26409</v>
      </c>
      <c r="J2232" s="15" t="s">
        <v>26410</v>
      </c>
      <c r="K2232" s="15">
        <v>18636</v>
      </c>
      <c r="L2232" s="15" t="s">
        <v>19099</v>
      </c>
    </row>
    <row r="2233" spans="1:12" x14ac:dyDescent="0.25">
      <c r="A2233" s="2" t="s">
        <v>6847</v>
      </c>
      <c r="B2233" s="8" t="s">
        <v>17203</v>
      </c>
      <c r="C2233" s="2" t="s">
        <v>6847</v>
      </c>
      <c r="D2233" s="2" t="s">
        <v>6848</v>
      </c>
      <c r="E2233" s="4" t="s">
        <v>26411</v>
      </c>
      <c r="G2233" s="15" t="s">
        <v>26412</v>
      </c>
      <c r="H2233" s="15" t="s">
        <v>26413</v>
      </c>
      <c r="I2233" s="15" t="s">
        <v>26414</v>
      </c>
      <c r="J2233" s="15" t="s">
        <v>26415</v>
      </c>
      <c r="K2233" s="15">
        <v>527711</v>
      </c>
      <c r="L2233" s="15" t="s">
        <v>19099</v>
      </c>
    </row>
    <row r="2234" spans="1:12" x14ac:dyDescent="0.25">
      <c r="A2234" s="2" t="s">
        <v>6850</v>
      </c>
      <c r="B2234" s="8" t="s">
        <v>17204</v>
      </c>
      <c r="C2234" s="2" t="s">
        <v>6850</v>
      </c>
      <c r="D2234" s="2" t="s">
        <v>6851</v>
      </c>
      <c r="E2234" s="4" t="s">
        <v>26416</v>
      </c>
      <c r="G2234" s="15" t="s">
        <v>26417</v>
      </c>
      <c r="H2234" s="15" t="s">
        <v>26418</v>
      </c>
      <c r="I2234" s="15" t="s">
        <v>26419</v>
      </c>
      <c r="J2234" s="15" t="s">
        <v>26415</v>
      </c>
      <c r="K2234" s="15">
        <v>42128</v>
      </c>
      <c r="L2234" s="15" t="s">
        <v>19099</v>
      </c>
    </row>
    <row r="2235" spans="1:12" x14ac:dyDescent="0.25">
      <c r="A2235" s="2" t="s">
        <v>6853</v>
      </c>
      <c r="B2235" s="8" t="s">
        <v>17205</v>
      </c>
      <c r="C2235" s="2" t="s">
        <v>6853</v>
      </c>
      <c r="D2235" s="2" t="s">
        <v>6854</v>
      </c>
      <c r="E2235" s="4" t="s">
        <v>26420</v>
      </c>
      <c r="G2235" s="15" t="s">
        <v>26421</v>
      </c>
      <c r="H2235" s="15" t="s">
        <v>26422</v>
      </c>
      <c r="I2235" s="15" t="s">
        <v>26423</v>
      </c>
      <c r="J2235" s="15" t="s">
        <v>26424</v>
      </c>
      <c r="K2235" s="15">
        <v>51130</v>
      </c>
      <c r="L2235" s="15" t="s">
        <v>19099</v>
      </c>
    </row>
    <row r="2236" spans="1:12" x14ac:dyDescent="0.25">
      <c r="A2236" s="2" t="s">
        <v>6856</v>
      </c>
      <c r="B2236" s="8" t="s">
        <v>17206</v>
      </c>
      <c r="C2236" s="2" t="s">
        <v>6856</v>
      </c>
      <c r="D2236" s="2" t="s">
        <v>6857</v>
      </c>
      <c r="E2236" s="4" t="s">
        <v>26425</v>
      </c>
      <c r="G2236" s="15" t="s">
        <v>26426</v>
      </c>
      <c r="H2236" s="15" t="s">
        <v>26427</v>
      </c>
      <c r="I2236" s="15" t="s">
        <v>26428</v>
      </c>
      <c r="J2236" s="15" t="s">
        <v>26424</v>
      </c>
      <c r="K2236" s="15">
        <v>56262</v>
      </c>
      <c r="L2236" s="15" t="s">
        <v>19099</v>
      </c>
    </row>
    <row r="2237" spans="1:12" x14ac:dyDescent="0.25">
      <c r="A2237" s="2" t="s">
        <v>6859</v>
      </c>
      <c r="B2237" s="8" t="s">
        <v>17207</v>
      </c>
      <c r="C2237" s="2" t="s">
        <v>6859</v>
      </c>
      <c r="D2237" s="2" t="s">
        <v>6860</v>
      </c>
      <c r="E2237" s="4" t="s">
        <v>26429</v>
      </c>
      <c r="G2237" s="15" t="s">
        <v>26430</v>
      </c>
      <c r="H2237" s="15" t="s">
        <v>26431</v>
      </c>
      <c r="I2237" s="15" t="s">
        <v>26432</v>
      </c>
      <c r="J2237" s="15" t="s">
        <v>26424</v>
      </c>
      <c r="K2237" s="15">
        <v>42140</v>
      </c>
      <c r="L2237" s="15" t="s">
        <v>19099</v>
      </c>
    </row>
    <row r="2238" spans="1:12" x14ac:dyDescent="0.25">
      <c r="A2238" s="2" t="s">
        <v>6862</v>
      </c>
      <c r="B2238" s="8" t="s">
        <v>17208</v>
      </c>
      <c r="C2238" s="2" t="s">
        <v>6862</v>
      </c>
      <c r="D2238" s="2" t="s">
        <v>6863</v>
      </c>
      <c r="E2238" s="4" t="s">
        <v>26433</v>
      </c>
      <c r="G2238" s="15" t="s">
        <v>26434</v>
      </c>
      <c r="H2238" s="15" t="s">
        <v>26435</v>
      </c>
      <c r="I2238" s="15" t="s">
        <v>26436</v>
      </c>
      <c r="J2238" s="15" t="s">
        <v>26424</v>
      </c>
      <c r="K2238" s="15">
        <v>51720</v>
      </c>
      <c r="L2238" s="15" t="s">
        <v>19099</v>
      </c>
    </row>
    <row r="2239" spans="1:12" x14ac:dyDescent="0.25">
      <c r="A2239" s="2" t="s">
        <v>6865</v>
      </c>
      <c r="B2239" s="8" t="s">
        <v>17209</v>
      </c>
      <c r="C2239" s="2" t="s">
        <v>6865</v>
      </c>
      <c r="D2239" s="2" t="s">
        <v>6866</v>
      </c>
      <c r="E2239" s="4" t="s">
        <v>26437</v>
      </c>
      <c r="G2239" s="15" t="s">
        <v>26438</v>
      </c>
      <c r="H2239" s="15" t="s">
        <v>26439</v>
      </c>
      <c r="I2239" s="15" t="s">
        <v>26440</v>
      </c>
      <c r="J2239" s="15" t="s">
        <v>26424</v>
      </c>
      <c r="K2239" s="15">
        <v>43495</v>
      </c>
      <c r="L2239" s="15" t="s">
        <v>19099</v>
      </c>
    </row>
    <row r="2240" spans="1:12" x14ac:dyDescent="0.25">
      <c r="A2240" s="2" t="s">
        <v>6868</v>
      </c>
      <c r="B2240" s="8" t="s">
        <v>17210</v>
      </c>
      <c r="C2240" s="2" t="s">
        <v>6868</v>
      </c>
      <c r="D2240" s="2" t="s">
        <v>6869</v>
      </c>
      <c r="E2240" s="4" t="s">
        <v>26441</v>
      </c>
      <c r="G2240" s="15" t="s">
        <v>26442</v>
      </c>
      <c r="H2240" s="15" t="s">
        <v>26443</v>
      </c>
      <c r="I2240" s="15" t="s">
        <v>26444</v>
      </c>
      <c r="J2240" s="15" t="s">
        <v>26445</v>
      </c>
      <c r="K2240" s="15">
        <v>38199</v>
      </c>
      <c r="L2240" s="15" t="s">
        <v>19099</v>
      </c>
    </row>
    <row r="2241" spans="1:12" x14ac:dyDescent="0.25">
      <c r="A2241" s="2" t="s">
        <v>6871</v>
      </c>
      <c r="B2241" s="8" t="s">
        <v>17211</v>
      </c>
      <c r="C2241" s="2" t="s">
        <v>6871</v>
      </c>
      <c r="D2241" s="2" t="s">
        <v>6872</v>
      </c>
      <c r="E2241" s="4" t="s">
        <v>26446</v>
      </c>
      <c r="G2241" s="15" t="s">
        <v>26447</v>
      </c>
      <c r="H2241" s="15" t="s">
        <v>26448</v>
      </c>
      <c r="I2241" s="15" t="s">
        <v>26449</v>
      </c>
      <c r="J2241" s="15" t="s">
        <v>26445</v>
      </c>
      <c r="K2241" s="15">
        <v>41510</v>
      </c>
      <c r="L2241" s="15" t="s">
        <v>19099</v>
      </c>
    </row>
    <row r="2242" spans="1:12" x14ac:dyDescent="0.25">
      <c r="A2242" s="2" t="s">
        <v>6874</v>
      </c>
      <c r="B2242" s="8" t="s">
        <v>17212</v>
      </c>
      <c r="C2242" s="2" t="s">
        <v>6874</v>
      </c>
      <c r="D2242" s="2" t="s">
        <v>6875</v>
      </c>
      <c r="E2242" s="4" t="s">
        <v>26450</v>
      </c>
      <c r="G2242" s="15" t="s">
        <v>26451</v>
      </c>
      <c r="H2242" s="15" t="s">
        <v>26452</v>
      </c>
      <c r="I2242" s="15" t="s">
        <v>26453</v>
      </c>
      <c r="J2242" s="15" t="s">
        <v>26454</v>
      </c>
      <c r="K2242" s="15">
        <v>38200</v>
      </c>
      <c r="L2242" s="15" t="s">
        <v>19099</v>
      </c>
    </row>
    <row r="2243" spans="1:12" x14ac:dyDescent="0.25">
      <c r="A2243" s="2" t="s">
        <v>6877</v>
      </c>
      <c r="B2243" s="8" t="s">
        <v>17213</v>
      </c>
      <c r="C2243" s="2" t="s">
        <v>6877</v>
      </c>
      <c r="D2243" s="2" t="s">
        <v>6878</v>
      </c>
      <c r="E2243" s="4" t="s">
        <v>26455</v>
      </c>
      <c r="G2243" s="15" t="s">
        <v>26456</v>
      </c>
      <c r="H2243" s="15" t="s">
        <v>26457</v>
      </c>
      <c r="I2243" s="15" t="s">
        <v>26458</v>
      </c>
      <c r="J2243" s="15" t="s">
        <v>26459</v>
      </c>
      <c r="K2243" s="15">
        <v>39929</v>
      </c>
      <c r="L2243" s="15" t="s">
        <v>19099</v>
      </c>
    </row>
    <row r="2244" spans="1:12" x14ac:dyDescent="0.25">
      <c r="A2244" s="2" t="s">
        <v>6880</v>
      </c>
      <c r="B2244" s="8" t="s">
        <v>17214</v>
      </c>
      <c r="C2244" s="2" t="s">
        <v>6880</v>
      </c>
      <c r="D2244" s="2" t="s">
        <v>6881</v>
      </c>
      <c r="E2244" s="4" t="s">
        <v>26460</v>
      </c>
      <c r="G2244" s="15" t="s">
        <v>26461</v>
      </c>
      <c r="H2244" s="15" t="s">
        <v>26462</v>
      </c>
      <c r="I2244" s="15" t="s">
        <v>26463</v>
      </c>
      <c r="J2244" s="15" t="s">
        <v>26415</v>
      </c>
      <c r="K2244" s="15">
        <v>49923</v>
      </c>
      <c r="L2244" s="15" t="s">
        <v>19099</v>
      </c>
    </row>
    <row r="2245" spans="1:12" x14ac:dyDescent="0.25">
      <c r="A2245" s="2" t="s">
        <v>6883</v>
      </c>
      <c r="B2245" s="8" t="s">
        <v>17215</v>
      </c>
      <c r="C2245" s="2" t="s">
        <v>6883</v>
      </c>
      <c r="D2245" s="2" t="s">
        <v>6884</v>
      </c>
      <c r="E2245" s="4" t="s">
        <v>26464</v>
      </c>
      <c r="G2245" s="15" t="s">
        <v>26465</v>
      </c>
      <c r="H2245" s="15" t="s">
        <v>26466</v>
      </c>
      <c r="I2245" s="15" t="s">
        <v>26467</v>
      </c>
      <c r="J2245" s="15" t="s">
        <v>26415</v>
      </c>
      <c r="K2245" s="15">
        <v>42138</v>
      </c>
      <c r="L2245" s="15" t="s">
        <v>19099</v>
      </c>
    </row>
    <row r="2246" spans="1:12" x14ac:dyDescent="0.25">
      <c r="A2246" s="2" t="s">
        <v>6886</v>
      </c>
      <c r="B2246" s="8" t="s">
        <v>17216</v>
      </c>
      <c r="C2246" s="2" t="s">
        <v>6886</v>
      </c>
      <c r="D2246" s="2" t="s">
        <v>6887</v>
      </c>
      <c r="E2246" s="4" t="s">
        <v>26468</v>
      </c>
      <c r="G2246" s="15" t="s">
        <v>26469</v>
      </c>
      <c r="H2246" s="15" t="s">
        <v>26470</v>
      </c>
      <c r="I2246" s="15" t="s">
        <v>26471</v>
      </c>
      <c r="J2246" s="15" t="s">
        <v>26472</v>
      </c>
      <c r="K2246" s="15">
        <v>15766</v>
      </c>
      <c r="L2246" s="15" t="s">
        <v>19099</v>
      </c>
    </row>
    <row r="2247" spans="1:12" x14ac:dyDescent="0.25">
      <c r="A2247" s="2" t="s">
        <v>6889</v>
      </c>
      <c r="B2247" s="8" t="s">
        <v>16180</v>
      </c>
      <c r="C2247" s="2" t="s">
        <v>6889</v>
      </c>
      <c r="D2247" s="2" t="s">
        <v>6890</v>
      </c>
      <c r="E2247" s="4" t="s">
        <v>26473</v>
      </c>
    </row>
    <row r="2248" spans="1:12" x14ac:dyDescent="0.25">
      <c r="A2248" s="2" t="s">
        <v>6891</v>
      </c>
      <c r="B2248" s="8" t="s">
        <v>16180</v>
      </c>
      <c r="C2248" s="2" t="s">
        <v>6891</v>
      </c>
      <c r="D2248" s="2" t="s">
        <v>6892</v>
      </c>
      <c r="E2248" s="4" t="s">
        <v>26474</v>
      </c>
    </row>
    <row r="2249" spans="1:12" x14ac:dyDescent="0.25">
      <c r="A2249" s="2" t="s">
        <v>6893</v>
      </c>
      <c r="B2249" s="8" t="s">
        <v>17217</v>
      </c>
      <c r="C2249" s="2" t="s">
        <v>6893</v>
      </c>
      <c r="D2249" s="2" t="s">
        <v>6894</v>
      </c>
      <c r="E2249" s="4" t="s">
        <v>26475</v>
      </c>
      <c r="G2249" s="15" t="s">
        <v>26476</v>
      </c>
      <c r="H2249" s="15" t="s">
        <v>26477</v>
      </c>
      <c r="I2249" s="15" t="s">
        <v>26478</v>
      </c>
      <c r="J2249" s="15" t="s">
        <v>26479</v>
      </c>
      <c r="K2249" s="15">
        <v>67733</v>
      </c>
      <c r="L2249" s="15" t="s">
        <v>19099</v>
      </c>
    </row>
    <row r="2250" spans="1:12" x14ac:dyDescent="0.25">
      <c r="A2250" s="2" t="s">
        <v>6896</v>
      </c>
      <c r="B2250" s="8" t="s">
        <v>17218</v>
      </c>
      <c r="C2250" s="2" t="s">
        <v>6896</v>
      </c>
      <c r="D2250" s="2" t="s">
        <v>6897</v>
      </c>
      <c r="E2250" s="4" t="s">
        <v>26480</v>
      </c>
      <c r="G2250" s="15" t="s">
        <v>26481</v>
      </c>
      <c r="H2250" s="15" t="s">
        <v>26482</v>
      </c>
      <c r="I2250" s="15" t="s">
        <v>26483</v>
      </c>
      <c r="J2250" s="15" t="s">
        <v>26484</v>
      </c>
      <c r="K2250" s="15">
        <v>2776093</v>
      </c>
      <c r="L2250" s="15" t="s">
        <v>19099</v>
      </c>
    </row>
    <row r="2251" spans="1:12" x14ac:dyDescent="0.25">
      <c r="A2251" s="2" t="s">
        <v>6899</v>
      </c>
      <c r="B2251" s="8" t="s">
        <v>17219</v>
      </c>
      <c r="C2251" s="2" t="s">
        <v>6899</v>
      </c>
      <c r="D2251" s="2" t="s">
        <v>6900</v>
      </c>
      <c r="E2251" s="4" t="s">
        <v>26485</v>
      </c>
      <c r="G2251" s="15" t="s">
        <v>26486</v>
      </c>
      <c r="H2251" s="15" t="s">
        <v>26487</v>
      </c>
      <c r="I2251" s="15" t="s">
        <v>26488</v>
      </c>
      <c r="J2251" s="15" t="s">
        <v>26489</v>
      </c>
      <c r="K2251" s="15">
        <v>9777</v>
      </c>
      <c r="L2251" s="15" t="s">
        <v>19099</v>
      </c>
    </row>
    <row r="2252" spans="1:12" x14ac:dyDescent="0.25">
      <c r="A2252" s="2" t="s">
        <v>6902</v>
      </c>
      <c r="B2252" s="8" t="s">
        <v>17220</v>
      </c>
      <c r="C2252" s="2" t="s">
        <v>6902</v>
      </c>
      <c r="D2252" s="2" t="s">
        <v>6903</v>
      </c>
      <c r="E2252" s="4" t="s">
        <v>26490</v>
      </c>
      <c r="G2252" s="15" t="s">
        <v>26491</v>
      </c>
      <c r="H2252" s="15" t="s">
        <v>26492</v>
      </c>
      <c r="I2252" s="15" t="s">
        <v>26493</v>
      </c>
      <c r="J2252" s="15" t="s">
        <v>26494</v>
      </c>
      <c r="K2252" s="15">
        <v>106027</v>
      </c>
      <c r="L2252" s="15" t="s">
        <v>19099</v>
      </c>
    </row>
    <row r="2253" spans="1:12" x14ac:dyDescent="0.25">
      <c r="A2253" s="2" t="s">
        <v>6905</v>
      </c>
      <c r="B2253" s="8" t="s">
        <v>17221</v>
      </c>
      <c r="C2253" s="2" t="s">
        <v>6905</v>
      </c>
      <c r="D2253" s="2" t="s">
        <v>6906</v>
      </c>
      <c r="E2253" s="4" t="s">
        <v>26495</v>
      </c>
      <c r="G2253" s="15" t="s">
        <v>26496</v>
      </c>
      <c r="H2253" s="15" t="s">
        <v>26497</v>
      </c>
      <c r="I2253" s="15" t="s">
        <v>26498</v>
      </c>
      <c r="J2253" s="15" t="s">
        <v>26499</v>
      </c>
      <c r="K2253" s="15">
        <v>167547</v>
      </c>
      <c r="L2253" s="15" t="s">
        <v>19099</v>
      </c>
    </row>
    <row r="2254" spans="1:12" x14ac:dyDescent="0.25">
      <c r="A2254" s="2" t="s">
        <v>6908</v>
      </c>
      <c r="B2254" s="8" t="s">
        <v>17222</v>
      </c>
      <c r="C2254" s="2" t="s">
        <v>6908</v>
      </c>
      <c r="D2254" s="2" t="s">
        <v>6909</v>
      </c>
      <c r="E2254" s="4" t="s">
        <v>26500</v>
      </c>
      <c r="G2254" s="15" t="s">
        <v>26501</v>
      </c>
      <c r="H2254" s="15" t="s">
        <v>26502</v>
      </c>
      <c r="I2254" s="15" t="s">
        <v>26503</v>
      </c>
      <c r="J2254" s="15" t="s">
        <v>26504</v>
      </c>
      <c r="K2254" s="15">
        <v>10958205</v>
      </c>
      <c r="L2254" s="15" t="s">
        <v>19099</v>
      </c>
    </row>
    <row r="2255" spans="1:12" x14ac:dyDescent="0.25">
      <c r="A2255" s="2" t="s">
        <v>6911</v>
      </c>
      <c r="B2255" s="8" t="s">
        <v>17223</v>
      </c>
      <c r="C2255" s="2" t="s">
        <v>6911</v>
      </c>
      <c r="D2255" s="2" t="s">
        <v>6912</v>
      </c>
      <c r="E2255" s="4" t="s">
        <v>26505</v>
      </c>
      <c r="G2255" s="15" t="s">
        <v>26506</v>
      </c>
      <c r="H2255" s="15" t="s">
        <v>26507</v>
      </c>
      <c r="I2255" s="15" t="s">
        <v>26508</v>
      </c>
      <c r="J2255" s="15" t="s">
        <v>26509</v>
      </c>
      <c r="K2255" s="15">
        <v>75922</v>
      </c>
      <c r="L2255" s="15" t="s">
        <v>19099</v>
      </c>
    </row>
    <row r="2256" spans="1:12" x14ac:dyDescent="0.25">
      <c r="A2256" s="2" t="s">
        <v>6914</v>
      </c>
      <c r="B2256" s="8" t="s">
        <v>17224</v>
      </c>
      <c r="C2256" s="2" t="s">
        <v>6914</v>
      </c>
      <c r="D2256" s="2" t="s">
        <v>6915</v>
      </c>
      <c r="E2256" s="4" t="s">
        <v>26510</v>
      </c>
      <c r="G2256" s="15" t="s">
        <v>26511</v>
      </c>
      <c r="H2256" s="15" t="s">
        <v>26512</v>
      </c>
      <c r="I2256" s="15" t="s">
        <v>26513</v>
      </c>
      <c r="J2256" s="15" t="s">
        <v>26514</v>
      </c>
      <c r="K2256" s="15">
        <v>86998</v>
      </c>
      <c r="L2256" s="15" t="s">
        <v>19099</v>
      </c>
    </row>
    <row r="2257" spans="1:12" x14ac:dyDescent="0.25">
      <c r="A2257" s="2" t="s">
        <v>6917</v>
      </c>
      <c r="B2257" s="8" t="s">
        <v>17225</v>
      </c>
      <c r="C2257" s="2" t="s">
        <v>6917</v>
      </c>
      <c r="D2257" s="2" t="s">
        <v>6918</v>
      </c>
      <c r="E2257" s="4" t="s">
        <v>26515</v>
      </c>
      <c r="G2257" s="15" t="s">
        <v>26516</v>
      </c>
      <c r="H2257" s="15" t="s">
        <v>26517</v>
      </c>
      <c r="I2257" s="15" t="s">
        <v>26518</v>
      </c>
      <c r="J2257" s="15" t="s">
        <v>26484</v>
      </c>
      <c r="K2257" s="15">
        <v>9555</v>
      </c>
      <c r="L2257" s="15" t="s">
        <v>19099</v>
      </c>
    </row>
    <row r="2258" spans="1:12" x14ac:dyDescent="0.25">
      <c r="A2258" s="2" t="s">
        <v>6920</v>
      </c>
      <c r="B2258" s="8" t="s">
        <v>17226</v>
      </c>
      <c r="C2258" s="2" t="s">
        <v>6920</v>
      </c>
      <c r="D2258" s="2" t="s">
        <v>6921</v>
      </c>
      <c r="E2258" s="4" t="s">
        <v>26515</v>
      </c>
      <c r="G2258" s="15" t="s">
        <v>26519</v>
      </c>
      <c r="H2258" s="15" t="s">
        <v>26520</v>
      </c>
      <c r="I2258" s="15" t="s">
        <v>26521</v>
      </c>
      <c r="J2258" s="15" t="s">
        <v>26522</v>
      </c>
      <c r="K2258" s="15">
        <v>67545</v>
      </c>
      <c r="L2258" s="15" t="s">
        <v>19099</v>
      </c>
    </row>
    <row r="2259" spans="1:12" x14ac:dyDescent="0.25">
      <c r="A2259" s="2" t="s">
        <v>6923</v>
      </c>
      <c r="B2259" s="8" t="s">
        <v>17227</v>
      </c>
      <c r="C2259" s="2" t="s">
        <v>6923</v>
      </c>
      <c r="D2259" s="2" t="s">
        <v>6924</v>
      </c>
      <c r="E2259" s="4" t="s">
        <v>26523</v>
      </c>
      <c r="G2259" s="15" t="s">
        <v>26524</v>
      </c>
      <c r="H2259" s="15" t="s">
        <v>26525</v>
      </c>
      <c r="I2259" s="15" t="s">
        <v>26526</v>
      </c>
      <c r="J2259" s="15" t="s">
        <v>26527</v>
      </c>
      <c r="K2259" s="15">
        <v>67818</v>
      </c>
      <c r="L2259" s="15" t="s">
        <v>19099</v>
      </c>
    </row>
    <row r="2260" spans="1:12" x14ac:dyDescent="0.25">
      <c r="A2260" s="2" t="s">
        <v>6926</v>
      </c>
      <c r="B2260" s="8" t="s">
        <v>17228</v>
      </c>
      <c r="C2260" s="2" t="s">
        <v>6926</v>
      </c>
      <c r="D2260" s="2" t="s">
        <v>6927</v>
      </c>
      <c r="E2260" s="4" t="s">
        <v>26528</v>
      </c>
      <c r="G2260" s="15" t="s">
        <v>26529</v>
      </c>
      <c r="H2260" s="15" t="s">
        <v>26530</v>
      </c>
      <c r="I2260" s="15" t="s">
        <v>26531</v>
      </c>
      <c r="J2260" s="15" t="s">
        <v>26532</v>
      </c>
      <c r="K2260" s="15">
        <v>67542</v>
      </c>
      <c r="L2260" s="15" t="s">
        <v>19099</v>
      </c>
    </row>
    <row r="2261" spans="1:12" x14ac:dyDescent="0.25">
      <c r="A2261" s="2" t="s">
        <v>6929</v>
      </c>
      <c r="B2261" s="8" t="s">
        <v>17229</v>
      </c>
      <c r="C2261" s="2" t="s">
        <v>6929</v>
      </c>
      <c r="D2261" s="2" t="s">
        <v>6930</v>
      </c>
      <c r="E2261" s="4" t="s">
        <v>26533</v>
      </c>
      <c r="G2261" s="15" t="s">
        <v>26534</v>
      </c>
      <c r="H2261" s="15" t="s">
        <v>26535</v>
      </c>
      <c r="I2261" s="15" t="s">
        <v>26536</v>
      </c>
      <c r="J2261" s="15" t="s">
        <v>26537</v>
      </c>
      <c r="K2261" s="15">
        <v>67821</v>
      </c>
      <c r="L2261" s="15" t="s">
        <v>19099</v>
      </c>
    </row>
    <row r="2262" spans="1:12" x14ac:dyDescent="0.25">
      <c r="A2262" s="2" t="s">
        <v>6932</v>
      </c>
      <c r="B2262" s="8" t="s">
        <v>17230</v>
      </c>
      <c r="C2262" s="2" t="s">
        <v>6932</v>
      </c>
      <c r="D2262" s="2" t="s">
        <v>6933</v>
      </c>
      <c r="E2262" s="4" t="s">
        <v>26538</v>
      </c>
      <c r="G2262" s="15" t="s">
        <v>26539</v>
      </c>
      <c r="H2262" s="15" t="s">
        <v>26540</v>
      </c>
      <c r="I2262" s="15" t="s">
        <v>26541</v>
      </c>
      <c r="J2262" s="15" t="s">
        <v>26542</v>
      </c>
      <c r="K2262" s="15">
        <v>9554</v>
      </c>
      <c r="L2262" s="15" t="s">
        <v>19099</v>
      </c>
    </row>
    <row r="2263" spans="1:12" x14ac:dyDescent="0.25">
      <c r="A2263" s="2" t="s">
        <v>6935</v>
      </c>
      <c r="B2263" s="8" t="s">
        <v>17231</v>
      </c>
      <c r="C2263" s="2" t="s">
        <v>6935</v>
      </c>
      <c r="D2263" s="2" t="s">
        <v>6936</v>
      </c>
      <c r="E2263" s="4" t="s">
        <v>26543</v>
      </c>
      <c r="G2263" s="15" t="s">
        <v>26544</v>
      </c>
      <c r="H2263" s="15" t="s">
        <v>26545</v>
      </c>
      <c r="I2263" s="15" t="s">
        <v>26546</v>
      </c>
      <c r="J2263" s="15" t="s">
        <v>26547</v>
      </c>
      <c r="K2263" s="15">
        <v>71079</v>
      </c>
      <c r="L2263" s="15" t="s">
        <v>19099</v>
      </c>
    </row>
    <row r="2264" spans="1:12" x14ac:dyDescent="0.25">
      <c r="A2264" s="2" t="s">
        <v>6938</v>
      </c>
      <c r="B2264" s="8" t="s">
        <v>17232</v>
      </c>
      <c r="C2264" s="2" t="s">
        <v>6938</v>
      </c>
      <c r="D2264" s="2" t="s">
        <v>6939</v>
      </c>
      <c r="E2264" s="4" t="s">
        <v>26548</v>
      </c>
      <c r="G2264" s="15" t="s">
        <v>26549</v>
      </c>
      <c r="H2264" s="15" t="s">
        <v>26550</v>
      </c>
      <c r="I2264" s="15" t="s">
        <v>26551</v>
      </c>
      <c r="J2264" s="15" t="s">
        <v>26552</v>
      </c>
      <c r="K2264" s="15">
        <v>4253803</v>
      </c>
      <c r="L2264" s="15" t="s">
        <v>19099</v>
      </c>
    </row>
    <row r="2265" spans="1:12" x14ac:dyDescent="0.25">
      <c r="A2265" s="2" t="s">
        <v>6941</v>
      </c>
      <c r="B2265" s="8" t="s">
        <v>17233</v>
      </c>
      <c r="C2265" s="2" t="s">
        <v>6941</v>
      </c>
      <c r="D2265" s="2" t="s">
        <v>6942</v>
      </c>
      <c r="E2265" s="4" t="s">
        <v>26553</v>
      </c>
      <c r="G2265" s="15" t="s">
        <v>26554</v>
      </c>
      <c r="H2265" s="15" t="s">
        <v>26555</v>
      </c>
      <c r="I2265" s="15" t="s">
        <v>26556</v>
      </c>
      <c r="J2265" s="15" t="s">
        <v>26557</v>
      </c>
      <c r="K2265" s="15">
        <v>2776282</v>
      </c>
      <c r="L2265" s="15" t="s">
        <v>19099</v>
      </c>
    </row>
    <row r="2266" spans="1:12" x14ac:dyDescent="0.25">
      <c r="A2266" s="2" t="s">
        <v>6944</v>
      </c>
      <c r="B2266" s="8" t="s">
        <v>17234</v>
      </c>
      <c r="C2266" s="2" t="s">
        <v>6944</v>
      </c>
      <c r="D2266" s="2" t="s">
        <v>6945</v>
      </c>
      <c r="E2266" s="4" t="s">
        <v>26558</v>
      </c>
      <c r="G2266" s="15" t="s">
        <v>26559</v>
      </c>
      <c r="H2266" s="15" t="s">
        <v>26560</v>
      </c>
      <c r="I2266" s="15" t="s">
        <v>26561</v>
      </c>
      <c r="J2266" s="15" t="s">
        <v>26562</v>
      </c>
      <c r="K2266" s="15">
        <v>23667657</v>
      </c>
      <c r="L2266" s="15" t="s">
        <v>19099</v>
      </c>
    </row>
    <row r="2267" spans="1:12" x14ac:dyDescent="0.25">
      <c r="A2267" s="2" t="s">
        <v>6947</v>
      </c>
      <c r="B2267" s="8" t="s">
        <v>17235</v>
      </c>
      <c r="C2267" s="2" t="s">
        <v>6947</v>
      </c>
      <c r="D2267" s="2" t="s">
        <v>6948</v>
      </c>
      <c r="E2267" s="4" t="s">
        <v>26563</v>
      </c>
      <c r="G2267" s="15" t="s">
        <v>26564</v>
      </c>
      <c r="H2267" s="15" t="s">
        <v>26565</v>
      </c>
      <c r="I2267" s="15" t="s">
        <v>26566</v>
      </c>
      <c r="J2267" s="15" t="s">
        <v>26567</v>
      </c>
      <c r="K2267" s="15">
        <v>74483</v>
      </c>
      <c r="L2267" s="15" t="s">
        <v>19099</v>
      </c>
    </row>
    <row r="2268" spans="1:12" x14ac:dyDescent="0.25">
      <c r="A2268" s="2" t="s">
        <v>6950</v>
      </c>
      <c r="B2268" s="8" t="s">
        <v>17236</v>
      </c>
      <c r="C2268" s="2" t="s">
        <v>6950</v>
      </c>
      <c r="D2268" s="2" t="s">
        <v>6951</v>
      </c>
      <c r="E2268" s="4" t="s">
        <v>26568</v>
      </c>
      <c r="G2268" s="15" t="s">
        <v>26569</v>
      </c>
      <c r="H2268" s="15" t="s">
        <v>26570</v>
      </c>
      <c r="I2268" s="15" t="s">
        <v>26571</v>
      </c>
      <c r="J2268" s="15" t="s">
        <v>26572</v>
      </c>
      <c r="K2268" s="15">
        <v>69785</v>
      </c>
      <c r="L2268" s="15" t="s">
        <v>19099</v>
      </c>
    </row>
    <row r="2269" spans="1:12" x14ac:dyDescent="0.25">
      <c r="A2269" s="2" t="s">
        <v>6953</v>
      </c>
      <c r="B2269" s="8" t="s">
        <v>17237</v>
      </c>
      <c r="C2269" s="2" t="s">
        <v>6953</v>
      </c>
      <c r="D2269" s="2" t="s">
        <v>6954</v>
      </c>
      <c r="E2269" s="4" t="s">
        <v>26573</v>
      </c>
      <c r="G2269" s="15" t="s">
        <v>26574</v>
      </c>
      <c r="H2269" s="15" t="s">
        <v>26575</v>
      </c>
      <c r="I2269" s="15" t="s">
        <v>26576</v>
      </c>
      <c r="J2269" s="15" t="s">
        <v>26577</v>
      </c>
      <c r="K2269" s="15">
        <v>9388</v>
      </c>
      <c r="L2269" s="15" t="s">
        <v>19099</v>
      </c>
    </row>
    <row r="2270" spans="1:12" x14ac:dyDescent="0.25">
      <c r="A2270" s="2" t="s">
        <v>6956</v>
      </c>
      <c r="B2270" s="8" t="s">
        <v>17238</v>
      </c>
      <c r="C2270" s="2" t="s">
        <v>6956</v>
      </c>
      <c r="D2270" s="2" t="s">
        <v>6957</v>
      </c>
      <c r="E2270" s="4" t="s">
        <v>26578</v>
      </c>
      <c r="G2270" s="15" t="s">
        <v>26579</v>
      </c>
      <c r="H2270" s="15" t="s">
        <v>26580</v>
      </c>
      <c r="I2270" s="15" t="s">
        <v>26581</v>
      </c>
      <c r="J2270" s="15" t="s">
        <v>26582</v>
      </c>
      <c r="K2270" s="15">
        <v>23669238</v>
      </c>
      <c r="L2270" s="15" t="s">
        <v>19099</v>
      </c>
    </row>
    <row r="2271" spans="1:12" x14ac:dyDescent="0.25">
      <c r="A2271" s="2" t="s">
        <v>6959</v>
      </c>
      <c r="B2271" s="8" t="s">
        <v>17239</v>
      </c>
      <c r="C2271" s="2" t="s">
        <v>6959</v>
      </c>
      <c r="D2271" s="2" t="s">
        <v>6960</v>
      </c>
      <c r="E2271" s="4" t="s">
        <v>26583</v>
      </c>
      <c r="G2271" s="15" t="s">
        <v>26584</v>
      </c>
      <c r="H2271" s="15" t="s">
        <v>26585</v>
      </c>
      <c r="I2271" s="15" t="s">
        <v>26586</v>
      </c>
      <c r="J2271" s="15" t="s">
        <v>26587</v>
      </c>
      <c r="K2271" s="15">
        <v>75921</v>
      </c>
      <c r="L2271" s="15" t="s">
        <v>19099</v>
      </c>
    </row>
    <row r="2272" spans="1:12" x14ac:dyDescent="0.25">
      <c r="A2272" s="2" t="s">
        <v>6962</v>
      </c>
      <c r="B2272" s="8" t="s">
        <v>17240</v>
      </c>
      <c r="C2272" s="2" t="s">
        <v>6962</v>
      </c>
      <c r="D2272" s="2" t="s">
        <v>6963</v>
      </c>
      <c r="E2272" s="4" t="s">
        <v>26588</v>
      </c>
      <c r="G2272" s="15" t="s">
        <v>26589</v>
      </c>
      <c r="H2272" s="15" t="s">
        <v>26590</v>
      </c>
      <c r="I2272" s="15" t="s">
        <v>26591</v>
      </c>
      <c r="J2272" s="15" t="s">
        <v>26592</v>
      </c>
      <c r="K2272" s="15">
        <v>3018355</v>
      </c>
      <c r="L2272" s="15" t="s">
        <v>19099</v>
      </c>
    </row>
    <row r="2273" spans="1:20" x14ac:dyDescent="0.25">
      <c r="A2273" s="2" t="s">
        <v>6965</v>
      </c>
      <c r="B2273" s="8" t="s">
        <v>17241</v>
      </c>
      <c r="C2273" s="2" t="s">
        <v>6965</v>
      </c>
      <c r="D2273" s="2" t="s">
        <v>6966</v>
      </c>
      <c r="E2273" s="4" t="s">
        <v>26593</v>
      </c>
      <c r="G2273" s="15" t="s">
        <v>26594</v>
      </c>
      <c r="H2273" s="15" t="s">
        <v>26595</v>
      </c>
      <c r="I2273" s="15" t="s">
        <v>26596</v>
      </c>
      <c r="J2273" s="15" t="s">
        <v>26597</v>
      </c>
      <c r="K2273" s="15">
        <v>67822</v>
      </c>
      <c r="L2273" s="15" t="s">
        <v>19099</v>
      </c>
    </row>
    <row r="2274" spans="1:20" x14ac:dyDescent="0.25">
      <c r="A2274" s="2" t="s">
        <v>6968</v>
      </c>
      <c r="B2274" s="8" t="s">
        <v>17242</v>
      </c>
      <c r="C2274" s="2" t="s">
        <v>6968</v>
      </c>
      <c r="D2274" s="2" t="s">
        <v>6969</v>
      </c>
      <c r="E2274" s="4" t="s">
        <v>26598</v>
      </c>
      <c r="G2274" s="15" t="s">
        <v>26599</v>
      </c>
      <c r="H2274" s="15" t="s">
        <v>26600</v>
      </c>
      <c r="I2274" s="15" t="s">
        <v>26601</v>
      </c>
      <c r="J2274" s="15" t="s">
        <v>26602</v>
      </c>
      <c r="K2274" s="15">
        <v>77222</v>
      </c>
      <c r="L2274" s="15" t="s">
        <v>19099</v>
      </c>
    </row>
    <row r="2275" spans="1:20" x14ac:dyDescent="0.25">
      <c r="A2275" s="2" t="s">
        <v>6971</v>
      </c>
      <c r="B2275" s="8" t="s">
        <v>17243</v>
      </c>
      <c r="C2275" s="2" t="s">
        <v>6971</v>
      </c>
      <c r="D2275" s="2" t="s">
        <v>6972</v>
      </c>
      <c r="E2275" s="4" t="s">
        <v>26603</v>
      </c>
      <c r="G2275" s="15" t="s">
        <v>26604</v>
      </c>
      <c r="H2275" s="15" t="s">
        <v>26605</v>
      </c>
      <c r="I2275" s="15" t="s">
        <v>26606</v>
      </c>
      <c r="J2275" s="15" t="s">
        <v>26607</v>
      </c>
      <c r="K2275" s="15">
        <v>171378</v>
      </c>
      <c r="L2275" s="15" t="s">
        <v>19099</v>
      </c>
    </row>
    <row r="2276" spans="1:20" x14ac:dyDescent="0.25">
      <c r="A2276" s="2" t="s">
        <v>6974</v>
      </c>
      <c r="B2276" s="8" t="s">
        <v>16180</v>
      </c>
      <c r="C2276" s="2" t="s">
        <v>6974</v>
      </c>
      <c r="D2276" s="2" t="s">
        <v>6975</v>
      </c>
      <c r="E2276" s="4" t="s">
        <v>26608</v>
      </c>
    </row>
    <row r="2277" spans="1:20" x14ac:dyDescent="0.25">
      <c r="A2277" s="2" t="s">
        <v>6976</v>
      </c>
      <c r="B2277" s="8" t="s">
        <v>17244</v>
      </c>
      <c r="C2277" s="2" t="s">
        <v>6976</v>
      </c>
      <c r="D2277" s="2" t="s">
        <v>6977</v>
      </c>
      <c r="E2277" s="4" t="s">
        <v>26609</v>
      </c>
      <c r="G2277" s="15" t="s">
        <v>26610</v>
      </c>
      <c r="H2277" s="15" t="s">
        <v>26611</v>
      </c>
      <c r="I2277" s="15" t="s">
        <v>26612</v>
      </c>
      <c r="J2277" s="15" t="s">
        <v>22381</v>
      </c>
      <c r="K2277" s="15">
        <v>7946</v>
      </c>
      <c r="L2277" s="15" t="s">
        <v>19099</v>
      </c>
    </row>
    <row r="2278" spans="1:20" x14ac:dyDescent="0.25">
      <c r="A2278" s="2" t="s">
        <v>6979</v>
      </c>
      <c r="B2278" s="8" t="s">
        <v>17245</v>
      </c>
      <c r="C2278" s="2" t="s">
        <v>6979</v>
      </c>
      <c r="D2278" s="2" t="s">
        <v>6980</v>
      </c>
      <c r="E2278" s="4" t="s">
        <v>26613</v>
      </c>
    </row>
    <row r="2279" spans="1:20" x14ac:dyDescent="0.25">
      <c r="A2279" s="2" t="s">
        <v>6982</v>
      </c>
      <c r="B2279" s="8" t="s">
        <v>16180</v>
      </c>
      <c r="C2279" s="2" t="s">
        <v>6982</v>
      </c>
      <c r="D2279" s="2" t="s">
        <v>6983</v>
      </c>
      <c r="E2279" s="4" t="s">
        <v>6983</v>
      </c>
    </row>
    <row r="2280" spans="1:20" x14ac:dyDescent="0.25">
      <c r="A2280" s="2" t="s">
        <v>6984</v>
      </c>
      <c r="B2280" s="8" t="s">
        <v>16180</v>
      </c>
      <c r="C2280" s="2" t="s">
        <v>6984</v>
      </c>
      <c r="D2280" s="2" t="s">
        <v>6985</v>
      </c>
      <c r="E2280" s="4" t="s">
        <v>26614</v>
      </c>
      <c r="N2280" s="15" t="s">
        <v>21788</v>
      </c>
      <c r="O2280" s="15" t="s">
        <v>26615</v>
      </c>
      <c r="P2280" s="15" t="s">
        <v>26616</v>
      </c>
      <c r="Q2280" s="15" t="s">
        <v>26617</v>
      </c>
      <c r="R2280" s="15" t="s">
        <v>26618</v>
      </c>
      <c r="S2280" s="15">
        <v>4760</v>
      </c>
      <c r="T2280" s="15" t="s">
        <v>19089</v>
      </c>
    </row>
    <row r="2281" spans="1:20" x14ac:dyDescent="0.25">
      <c r="A2281" s="2" t="s">
        <v>6986</v>
      </c>
      <c r="B2281" s="8" t="s">
        <v>16180</v>
      </c>
      <c r="C2281" s="2" t="s">
        <v>6986</v>
      </c>
      <c r="D2281" s="2" t="s">
        <v>6987</v>
      </c>
      <c r="E2281" s="4" t="s">
        <v>6987</v>
      </c>
    </row>
    <row r="2282" spans="1:20" x14ac:dyDescent="0.25">
      <c r="A2282" s="2" t="s">
        <v>6988</v>
      </c>
      <c r="B2282" s="8" t="s">
        <v>16180</v>
      </c>
      <c r="C2282" s="2" t="s">
        <v>6988</v>
      </c>
      <c r="D2282" s="2" t="s">
        <v>6989</v>
      </c>
      <c r="E2282" s="4" t="s">
        <v>26619</v>
      </c>
      <c r="N2282" s="15" t="s">
        <v>21788</v>
      </c>
      <c r="O2282" s="15" t="s">
        <v>26620</v>
      </c>
      <c r="P2282" s="15" t="s">
        <v>26621</v>
      </c>
      <c r="Q2282" s="15" t="s">
        <v>26622</v>
      </c>
      <c r="R2282" s="15" t="s">
        <v>26623</v>
      </c>
      <c r="S2282" s="15">
        <v>439400</v>
      </c>
      <c r="T2282" s="15" t="s">
        <v>19089</v>
      </c>
    </row>
    <row r="2283" spans="1:20" x14ac:dyDescent="0.25">
      <c r="A2283" s="2" t="s">
        <v>6990</v>
      </c>
      <c r="B2283" s="8" t="s">
        <v>16180</v>
      </c>
      <c r="C2283" s="2" t="s">
        <v>6990</v>
      </c>
      <c r="D2283" s="2" t="s">
        <v>6991</v>
      </c>
      <c r="E2283" s="4" t="s">
        <v>26624</v>
      </c>
    </row>
    <row r="2284" spans="1:20" x14ac:dyDescent="0.25">
      <c r="A2284" s="2" t="s">
        <v>6992</v>
      </c>
      <c r="B2284" s="8" t="s">
        <v>16180</v>
      </c>
      <c r="C2284" s="2" t="s">
        <v>6992</v>
      </c>
      <c r="D2284" s="2" t="s">
        <v>6993</v>
      </c>
      <c r="E2284" s="4" t="s">
        <v>26625</v>
      </c>
    </row>
    <row r="2285" spans="1:20" x14ac:dyDescent="0.25">
      <c r="A2285" s="2" t="s">
        <v>6994</v>
      </c>
      <c r="B2285" s="8" t="s">
        <v>16180</v>
      </c>
      <c r="C2285" s="2" t="s">
        <v>6994</v>
      </c>
      <c r="D2285" s="2" t="s">
        <v>6995</v>
      </c>
      <c r="E2285" s="4" t="s">
        <v>6995</v>
      </c>
    </row>
    <row r="2286" spans="1:20" x14ac:dyDescent="0.25">
      <c r="A2286" s="2" t="s">
        <v>6996</v>
      </c>
      <c r="B2286" s="8" t="s">
        <v>17247</v>
      </c>
      <c r="C2286" s="2" t="s">
        <v>6996</v>
      </c>
      <c r="D2286" s="2" t="s">
        <v>6997</v>
      </c>
      <c r="E2286" s="4" t="s">
        <v>26626</v>
      </c>
      <c r="G2286" s="15" t="s">
        <v>26627</v>
      </c>
      <c r="H2286" s="15" t="s">
        <v>26628</v>
      </c>
      <c r="I2286" s="15" t="s">
        <v>26629</v>
      </c>
      <c r="J2286" s="15" t="s">
        <v>19295</v>
      </c>
      <c r="K2286" s="15">
        <v>8028</v>
      </c>
      <c r="L2286" s="15" t="s">
        <v>19099</v>
      </c>
    </row>
    <row r="2287" spans="1:20" x14ac:dyDescent="0.25">
      <c r="A2287" s="2" t="s">
        <v>6999</v>
      </c>
      <c r="B2287" s="8" t="s">
        <v>16180</v>
      </c>
      <c r="C2287" s="2" t="s">
        <v>6999</v>
      </c>
      <c r="D2287" s="2" t="s">
        <v>7000</v>
      </c>
      <c r="E2287" s="4" t="s">
        <v>26630</v>
      </c>
    </row>
    <row r="2288" spans="1:20" x14ac:dyDescent="0.25">
      <c r="A2288" s="2" t="s">
        <v>7001</v>
      </c>
      <c r="B2288" s="8" t="s">
        <v>16180</v>
      </c>
      <c r="C2288" s="2" t="s">
        <v>7001</v>
      </c>
      <c r="D2288" s="2" t="s">
        <v>7002</v>
      </c>
      <c r="E2288" s="4" t="s">
        <v>26631</v>
      </c>
    </row>
    <row r="2289" spans="1:12" x14ac:dyDescent="0.25">
      <c r="A2289" s="2" t="s">
        <v>7003</v>
      </c>
      <c r="B2289" s="8" t="s">
        <v>16180</v>
      </c>
      <c r="C2289" s="2" t="s">
        <v>7003</v>
      </c>
      <c r="D2289" s="2" t="s">
        <v>7004</v>
      </c>
      <c r="E2289" s="4" t="s">
        <v>26632</v>
      </c>
    </row>
    <row r="2290" spans="1:12" x14ac:dyDescent="0.25">
      <c r="A2290" s="2" t="s">
        <v>7005</v>
      </c>
      <c r="B2290" s="8" t="s">
        <v>17249</v>
      </c>
      <c r="C2290" s="2" t="s">
        <v>7005</v>
      </c>
      <c r="D2290" s="2" t="s">
        <v>7006</v>
      </c>
      <c r="E2290" s="4" t="s">
        <v>7006</v>
      </c>
      <c r="G2290" s="15" t="s">
        <v>26633</v>
      </c>
      <c r="H2290" s="15" t="s">
        <v>26634</v>
      </c>
      <c r="I2290" s="15" t="s">
        <v>26635</v>
      </c>
      <c r="J2290" s="15" t="s">
        <v>546</v>
      </c>
      <c r="K2290" s="15">
        <v>177681</v>
      </c>
      <c r="L2290" s="15" t="s">
        <v>19099</v>
      </c>
    </row>
    <row r="2291" spans="1:12" x14ac:dyDescent="0.25">
      <c r="A2291" s="2" t="s">
        <v>7008</v>
      </c>
      <c r="B2291" s="8" t="s">
        <v>17250</v>
      </c>
      <c r="C2291" s="2" t="s">
        <v>7008</v>
      </c>
      <c r="D2291" s="2" t="s">
        <v>7009</v>
      </c>
      <c r="E2291" s="4" t="s">
        <v>7009</v>
      </c>
      <c r="G2291" s="15" t="s">
        <v>26636</v>
      </c>
      <c r="H2291" s="15" t="s">
        <v>26637</v>
      </c>
      <c r="I2291" s="15" t="s">
        <v>26638</v>
      </c>
      <c r="J2291" s="15" t="s">
        <v>546</v>
      </c>
      <c r="K2291" s="15">
        <v>105147</v>
      </c>
      <c r="L2291" s="15" t="s">
        <v>19099</v>
      </c>
    </row>
    <row r="2292" spans="1:12" x14ac:dyDescent="0.25">
      <c r="A2292" s="2" t="s">
        <v>7011</v>
      </c>
      <c r="B2292" s="8" t="s">
        <v>17251</v>
      </c>
      <c r="C2292" s="2" t="s">
        <v>7011</v>
      </c>
      <c r="D2292" s="2" t="s">
        <v>7012</v>
      </c>
      <c r="E2292" s="4" t="s">
        <v>7012</v>
      </c>
      <c r="G2292" s="15" t="s">
        <v>26639</v>
      </c>
      <c r="H2292" s="15" t="s">
        <v>26640</v>
      </c>
      <c r="I2292" s="15" t="s">
        <v>26641</v>
      </c>
      <c r="J2292" s="15" t="s">
        <v>546</v>
      </c>
      <c r="K2292" s="15">
        <v>115129</v>
      </c>
      <c r="L2292" s="15" t="s">
        <v>19099</v>
      </c>
    </row>
    <row r="2293" spans="1:12" x14ac:dyDescent="0.25">
      <c r="A2293" s="2" t="s">
        <v>7014</v>
      </c>
      <c r="B2293" s="8" t="s">
        <v>17253</v>
      </c>
      <c r="C2293" s="2" t="s">
        <v>7014</v>
      </c>
      <c r="D2293" s="2" t="s">
        <v>7015</v>
      </c>
      <c r="E2293" s="4" t="s">
        <v>26642</v>
      </c>
      <c r="G2293" s="15" t="s">
        <v>26643</v>
      </c>
      <c r="H2293" s="15" t="s">
        <v>26644</v>
      </c>
      <c r="I2293" s="15" t="s">
        <v>26645</v>
      </c>
      <c r="J2293" s="15" t="s">
        <v>510</v>
      </c>
      <c r="K2293" s="15">
        <v>6328175</v>
      </c>
      <c r="L2293" s="15" t="s">
        <v>19099</v>
      </c>
    </row>
    <row r="2294" spans="1:12" x14ac:dyDescent="0.25">
      <c r="A2294" s="2" t="s">
        <v>7017</v>
      </c>
      <c r="B2294" s="8" t="s">
        <v>17254</v>
      </c>
      <c r="C2294" s="2" t="s">
        <v>7017</v>
      </c>
      <c r="D2294" s="2" t="s">
        <v>7018</v>
      </c>
      <c r="E2294" s="4" t="s">
        <v>26646</v>
      </c>
      <c r="G2294" s="15" t="s">
        <v>26647</v>
      </c>
      <c r="H2294" s="15" t="s">
        <v>26648</v>
      </c>
      <c r="I2294" s="15" t="s">
        <v>26649</v>
      </c>
      <c r="J2294" s="15" t="s">
        <v>510</v>
      </c>
      <c r="K2294" s="15">
        <v>6337094</v>
      </c>
      <c r="L2294" s="15" t="s">
        <v>19099</v>
      </c>
    </row>
    <row r="2295" spans="1:12" x14ac:dyDescent="0.25">
      <c r="A2295" s="2" t="s">
        <v>7020</v>
      </c>
      <c r="B2295" s="8" t="s">
        <v>17255</v>
      </c>
      <c r="C2295" s="2" t="s">
        <v>7020</v>
      </c>
      <c r="D2295" s="2" t="s">
        <v>7021</v>
      </c>
      <c r="E2295" s="4" t="s">
        <v>26650</v>
      </c>
      <c r="G2295" s="15" t="s">
        <v>26651</v>
      </c>
      <c r="H2295" s="15" t="s">
        <v>26652</v>
      </c>
      <c r="I2295" s="15" t="s">
        <v>26653</v>
      </c>
      <c r="J2295" s="15" t="s">
        <v>510</v>
      </c>
      <c r="K2295" s="15">
        <v>6335491</v>
      </c>
      <c r="L2295" s="15" t="s">
        <v>19099</v>
      </c>
    </row>
    <row r="2296" spans="1:12" x14ac:dyDescent="0.25">
      <c r="A2296" s="2" t="s">
        <v>7023</v>
      </c>
      <c r="B2296" s="8" t="s">
        <v>17256</v>
      </c>
      <c r="C2296" s="2" t="s">
        <v>7023</v>
      </c>
      <c r="D2296" s="2" t="s">
        <v>7024</v>
      </c>
      <c r="E2296" s="4" t="s">
        <v>26654</v>
      </c>
      <c r="G2296" s="15" t="s">
        <v>26655</v>
      </c>
      <c r="H2296" s="15" t="s">
        <v>26656</v>
      </c>
      <c r="I2296" s="15" t="s">
        <v>26657</v>
      </c>
      <c r="J2296" s="15" t="s">
        <v>510</v>
      </c>
      <c r="K2296" s="15">
        <v>6328551</v>
      </c>
      <c r="L2296" s="15" t="s">
        <v>19099</v>
      </c>
    </row>
    <row r="2297" spans="1:12" x14ac:dyDescent="0.25">
      <c r="A2297" s="2" t="s">
        <v>7026</v>
      </c>
      <c r="B2297" s="8" t="s">
        <v>17258</v>
      </c>
      <c r="C2297" s="2" t="s">
        <v>7026</v>
      </c>
      <c r="D2297" s="2" t="s">
        <v>7027</v>
      </c>
      <c r="E2297" s="4" t="s">
        <v>7027</v>
      </c>
      <c r="G2297" s="15" t="s">
        <v>26658</v>
      </c>
      <c r="H2297" s="15" t="s">
        <v>26659</v>
      </c>
      <c r="I2297" s="15" t="s">
        <v>26660</v>
      </c>
      <c r="J2297" s="15" t="s">
        <v>366</v>
      </c>
      <c r="K2297" s="15">
        <v>9793711</v>
      </c>
      <c r="L2297" s="15" t="s">
        <v>19099</v>
      </c>
    </row>
    <row r="2298" spans="1:12" x14ac:dyDescent="0.25">
      <c r="A2298" s="2" t="s">
        <v>7029</v>
      </c>
      <c r="B2298" s="8" t="s">
        <v>17259</v>
      </c>
      <c r="C2298" s="2" t="s">
        <v>7029</v>
      </c>
      <c r="D2298" s="2" t="s">
        <v>7030</v>
      </c>
      <c r="E2298" s="4" t="s">
        <v>26661</v>
      </c>
      <c r="G2298" s="15" t="s">
        <v>26661</v>
      </c>
      <c r="H2298" s="15" t="s">
        <v>26662</v>
      </c>
      <c r="I2298" s="15" t="s">
        <v>26663</v>
      </c>
      <c r="J2298" s="15" t="s">
        <v>22090</v>
      </c>
      <c r="K2298" s="15">
        <v>9142</v>
      </c>
      <c r="L2298" s="15" t="s">
        <v>19099</v>
      </c>
    </row>
    <row r="2299" spans="1:12" x14ac:dyDescent="0.25">
      <c r="A2299" s="2" t="s">
        <v>7032</v>
      </c>
      <c r="B2299" s="8" t="s">
        <v>17260</v>
      </c>
      <c r="C2299" s="2" t="s">
        <v>7032</v>
      </c>
      <c r="D2299" s="2" t="s">
        <v>7033</v>
      </c>
      <c r="E2299" s="4" t="s">
        <v>26664</v>
      </c>
      <c r="G2299" s="15" t="s">
        <v>26665</v>
      </c>
      <c r="H2299" s="15" t="s">
        <v>26666</v>
      </c>
      <c r="I2299" s="15" t="s">
        <v>26667</v>
      </c>
      <c r="J2299" s="15" t="s">
        <v>26668</v>
      </c>
      <c r="K2299" s="15">
        <v>101059</v>
      </c>
      <c r="L2299" s="15" t="s">
        <v>19099</v>
      </c>
    </row>
    <row r="2300" spans="1:12" x14ac:dyDescent="0.25">
      <c r="A2300" s="2" t="s">
        <v>7035</v>
      </c>
      <c r="B2300" s="8" t="s">
        <v>17261</v>
      </c>
      <c r="C2300" s="2" t="s">
        <v>7035</v>
      </c>
      <c r="D2300" s="2" t="s">
        <v>7036</v>
      </c>
      <c r="E2300" s="4" t="s">
        <v>26669</v>
      </c>
      <c r="G2300" s="15" t="s">
        <v>26670</v>
      </c>
      <c r="H2300" s="15" t="s">
        <v>26671</v>
      </c>
      <c r="I2300" s="15" t="s">
        <v>26672</v>
      </c>
      <c r="J2300" s="15" t="s">
        <v>26673</v>
      </c>
      <c r="K2300" s="15">
        <v>19990</v>
      </c>
      <c r="L2300" s="15" t="s">
        <v>19099</v>
      </c>
    </row>
    <row r="2301" spans="1:12" x14ac:dyDescent="0.25">
      <c r="A2301" s="2" t="s">
        <v>7038</v>
      </c>
      <c r="B2301" s="8" t="s">
        <v>17262</v>
      </c>
      <c r="C2301" s="2" t="s">
        <v>7038</v>
      </c>
      <c r="D2301" s="2" t="s">
        <v>7039</v>
      </c>
      <c r="E2301" s="4" t="s">
        <v>26674</v>
      </c>
      <c r="G2301" s="15" t="s">
        <v>26675</v>
      </c>
      <c r="H2301" s="15" t="s">
        <v>26676</v>
      </c>
      <c r="I2301" s="15" t="s">
        <v>26677</v>
      </c>
      <c r="J2301" s="15" t="s">
        <v>26678</v>
      </c>
      <c r="K2301" s="15">
        <v>10693</v>
      </c>
      <c r="L2301" s="15" t="s">
        <v>19099</v>
      </c>
    </row>
    <row r="2302" spans="1:12" x14ac:dyDescent="0.25">
      <c r="A2302" s="2" t="s">
        <v>7041</v>
      </c>
      <c r="B2302" s="8" t="s">
        <v>17263</v>
      </c>
      <c r="C2302" s="2" t="s">
        <v>7041</v>
      </c>
      <c r="D2302" s="2" t="s">
        <v>7042</v>
      </c>
      <c r="E2302" s="4" t="s">
        <v>26679</v>
      </c>
      <c r="G2302" s="15" t="s">
        <v>26680</v>
      </c>
      <c r="H2302" s="15" t="s">
        <v>26681</v>
      </c>
      <c r="I2302" s="15" t="s">
        <v>26682</v>
      </c>
      <c r="J2302" s="15" t="s">
        <v>26683</v>
      </c>
      <c r="K2302" s="15">
        <v>11855</v>
      </c>
      <c r="L2302" s="15" t="s">
        <v>19099</v>
      </c>
    </row>
    <row r="2303" spans="1:12" x14ac:dyDescent="0.25">
      <c r="A2303" s="2" t="s">
        <v>7044</v>
      </c>
      <c r="B2303" s="8" t="s">
        <v>17264</v>
      </c>
      <c r="C2303" s="2" t="s">
        <v>7044</v>
      </c>
      <c r="D2303" s="2" t="s">
        <v>7045</v>
      </c>
      <c r="E2303" s="4" t="s">
        <v>26684</v>
      </c>
      <c r="G2303" s="15" t="s">
        <v>26685</v>
      </c>
      <c r="H2303" s="15" t="s">
        <v>26686</v>
      </c>
      <c r="I2303" s="15" t="s">
        <v>26687</v>
      </c>
      <c r="J2303" s="15" t="s">
        <v>26688</v>
      </c>
      <c r="K2303" s="15">
        <v>8620</v>
      </c>
      <c r="L2303" s="15" t="s">
        <v>19099</v>
      </c>
    </row>
    <row r="2304" spans="1:12" x14ac:dyDescent="0.25">
      <c r="A2304" s="2" t="s">
        <v>7047</v>
      </c>
      <c r="B2304" s="8" t="s">
        <v>17265</v>
      </c>
      <c r="C2304" s="2" t="s">
        <v>7047</v>
      </c>
      <c r="D2304" s="2" t="s">
        <v>7048</v>
      </c>
      <c r="E2304" s="4" t="s">
        <v>26689</v>
      </c>
      <c r="G2304" s="15" t="s">
        <v>26690</v>
      </c>
      <c r="H2304" s="15" t="s">
        <v>26691</v>
      </c>
      <c r="I2304" s="15" t="s">
        <v>26692</v>
      </c>
      <c r="J2304" s="15" t="s">
        <v>26693</v>
      </c>
      <c r="K2304" s="15">
        <v>6419</v>
      </c>
      <c r="L2304" s="15" t="s">
        <v>19099</v>
      </c>
    </row>
    <row r="2305" spans="1:12" x14ac:dyDescent="0.25">
      <c r="A2305" s="2" t="s">
        <v>7050</v>
      </c>
      <c r="B2305" s="8" t="s">
        <v>17266</v>
      </c>
      <c r="C2305" s="2" t="s">
        <v>7050</v>
      </c>
      <c r="D2305" s="2" t="s">
        <v>7051</v>
      </c>
      <c r="E2305" s="4" t="s">
        <v>26694</v>
      </c>
      <c r="G2305" s="15" t="s">
        <v>26695</v>
      </c>
      <c r="H2305" s="15" t="s">
        <v>26696</v>
      </c>
      <c r="I2305" s="15" t="s">
        <v>26697</v>
      </c>
      <c r="J2305" s="15" t="s">
        <v>26698</v>
      </c>
      <c r="K2305" s="15">
        <v>992</v>
      </c>
      <c r="L2305" s="15" t="s">
        <v>19099</v>
      </c>
    </row>
    <row r="2306" spans="1:12" x14ac:dyDescent="0.25">
      <c r="A2306" s="2" t="s">
        <v>7053</v>
      </c>
      <c r="B2306" s="8" t="s">
        <v>17268</v>
      </c>
      <c r="C2306" s="2" t="s">
        <v>7053</v>
      </c>
      <c r="D2306" s="2" t="s">
        <v>7054</v>
      </c>
      <c r="E2306" s="4" t="s">
        <v>26699</v>
      </c>
      <c r="G2306" s="15" t="s">
        <v>26700</v>
      </c>
      <c r="H2306" s="15" t="s">
        <v>26701</v>
      </c>
      <c r="I2306" s="15" t="s">
        <v>26702</v>
      </c>
      <c r="J2306" s="15" t="s">
        <v>26703</v>
      </c>
      <c r="K2306" s="15">
        <v>114760</v>
      </c>
      <c r="L2306" s="15" t="s">
        <v>19099</v>
      </c>
    </row>
    <row r="2307" spans="1:12" x14ac:dyDescent="0.25">
      <c r="A2307" s="2" t="s">
        <v>7056</v>
      </c>
      <c r="B2307" s="8" t="s">
        <v>17269</v>
      </c>
      <c r="C2307" s="2" t="s">
        <v>7056</v>
      </c>
      <c r="D2307" s="2" t="s">
        <v>7057</v>
      </c>
      <c r="E2307" s="4" t="s">
        <v>26704</v>
      </c>
      <c r="G2307" s="15" t="s">
        <v>26705</v>
      </c>
      <c r="H2307" s="15" t="s">
        <v>26706</v>
      </c>
      <c r="I2307" s="15" t="s">
        <v>26707</v>
      </c>
      <c r="J2307" s="15" t="s">
        <v>26708</v>
      </c>
      <c r="K2307" s="15">
        <v>15767</v>
      </c>
      <c r="L2307" s="15" t="s">
        <v>19099</v>
      </c>
    </row>
    <row r="2308" spans="1:12" x14ac:dyDescent="0.25">
      <c r="A2308" s="2" t="s">
        <v>7059</v>
      </c>
      <c r="B2308" s="8" t="s">
        <v>17270</v>
      </c>
      <c r="C2308" s="2" t="s">
        <v>7059</v>
      </c>
      <c r="D2308" s="2" t="s">
        <v>7060</v>
      </c>
      <c r="E2308" s="4" t="s">
        <v>26709</v>
      </c>
      <c r="G2308" s="15" t="s">
        <v>26710</v>
      </c>
      <c r="H2308" s="15" t="s">
        <v>26711</v>
      </c>
      <c r="I2308" s="15" t="s">
        <v>26712</v>
      </c>
      <c r="J2308" s="15" t="s">
        <v>26713</v>
      </c>
      <c r="K2308" s="15">
        <v>6518</v>
      </c>
      <c r="L2308" s="15" t="s">
        <v>19099</v>
      </c>
    </row>
    <row r="2309" spans="1:12" x14ac:dyDescent="0.25">
      <c r="A2309" s="2" t="s">
        <v>7062</v>
      </c>
      <c r="B2309" s="8" t="s">
        <v>17271</v>
      </c>
      <c r="C2309" s="2" t="s">
        <v>7062</v>
      </c>
      <c r="D2309" s="2" t="s">
        <v>7063</v>
      </c>
      <c r="E2309" s="4" t="s">
        <v>7063</v>
      </c>
      <c r="G2309" s="15" t="s">
        <v>26714</v>
      </c>
      <c r="H2309" s="15" t="s">
        <v>26715</v>
      </c>
      <c r="I2309" s="15" t="s">
        <v>26716</v>
      </c>
      <c r="J2309" s="15" t="s">
        <v>26717</v>
      </c>
      <c r="K2309" s="15">
        <v>70931</v>
      </c>
      <c r="L2309" s="15" t="s">
        <v>19099</v>
      </c>
    </row>
    <row r="2310" spans="1:12" x14ac:dyDescent="0.25">
      <c r="A2310" s="2" t="s">
        <v>7065</v>
      </c>
      <c r="B2310" s="8" t="s">
        <v>17272</v>
      </c>
      <c r="C2310" s="2" t="s">
        <v>7065</v>
      </c>
      <c r="D2310" s="2" t="s">
        <v>7066</v>
      </c>
      <c r="E2310" s="4" t="s">
        <v>26718</v>
      </c>
      <c r="G2310" s="15" t="s">
        <v>26719</v>
      </c>
      <c r="H2310" s="15" t="s">
        <v>26720</v>
      </c>
      <c r="I2310" s="15" t="s">
        <v>26721</v>
      </c>
      <c r="J2310" s="15" t="s">
        <v>26722</v>
      </c>
      <c r="K2310" s="15">
        <v>16826</v>
      </c>
      <c r="L2310" s="15" t="s">
        <v>19099</v>
      </c>
    </row>
    <row r="2311" spans="1:12" x14ac:dyDescent="0.25">
      <c r="A2311" s="2" t="s">
        <v>7068</v>
      </c>
      <c r="B2311" s="8" t="s">
        <v>17275</v>
      </c>
      <c r="C2311" s="2" t="s">
        <v>7068</v>
      </c>
      <c r="D2311" s="2" t="s">
        <v>7069</v>
      </c>
      <c r="E2311" s="4" t="s">
        <v>7069</v>
      </c>
      <c r="G2311" s="15" t="s">
        <v>13174</v>
      </c>
      <c r="H2311" s="15" t="s">
        <v>26723</v>
      </c>
      <c r="I2311" s="15" t="s">
        <v>26724</v>
      </c>
      <c r="J2311" s="15" t="s">
        <v>518</v>
      </c>
      <c r="K2311" s="15">
        <v>6328544</v>
      </c>
      <c r="L2311" s="15" t="s">
        <v>19099</v>
      </c>
    </row>
    <row r="2312" spans="1:12" x14ac:dyDescent="0.25">
      <c r="A2312" s="2" t="s">
        <v>7071</v>
      </c>
      <c r="B2312" s="8" t="s">
        <v>16180</v>
      </c>
      <c r="C2312" s="2" t="s">
        <v>7071</v>
      </c>
      <c r="D2312" s="2" t="s">
        <v>7072</v>
      </c>
      <c r="E2312" s="4" t="s">
        <v>26725</v>
      </c>
    </row>
    <row r="2313" spans="1:12" x14ac:dyDescent="0.25">
      <c r="A2313" s="2" t="s">
        <v>7073</v>
      </c>
      <c r="B2313" s="8" t="s">
        <v>16180</v>
      </c>
      <c r="C2313" s="2" t="s">
        <v>7073</v>
      </c>
      <c r="D2313" s="2" t="s">
        <v>7074</v>
      </c>
      <c r="E2313" s="4" t="s">
        <v>26726</v>
      </c>
    </row>
    <row r="2314" spans="1:12" x14ac:dyDescent="0.25">
      <c r="A2314" s="2" t="s">
        <v>7075</v>
      </c>
      <c r="B2314" s="8" t="s">
        <v>16180</v>
      </c>
      <c r="C2314" s="2" t="s">
        <v>7075</v>
      </c>
      <c r="D2314" s="2" t="s">
        <v>7076</v>
      </c>
      <c r="E2314" s="4" t="s">
        <v>26727</v>
      </c>
    </row>
    <row r="2315" spans="1:12" x14ac:dyDescent="0.25">
      <c r="A2315" s="2" t="s">
        <v>7077</v>
      </c>
      <c r="B2315" s="8" t="s">
        <v>16180</v>
      </c>
      <c r="C2315" s="2" t="s">
        <v>7077</v>
      </c>
      <c r="D2315" s="2" t="s">
        <v>7078</v>
      </c>
      <c r="E2315" s="4" t="s">
        <v>26728</v>
      </c>
    </row>
    <row r="2316" spans="1:12" x14ac:dyDescent="0.25">
      <c r="A2316" s="2" t="s">
        <v>7079</v>
      </c>
      <c r="B2316" s="8" t="s">
        <v>17279</v>
      </c>
      <c r="C2316" s="2" t="s">
        <v>7079</v>
      </c>
      <c r="D2316" s="2" t="s">
        <v>7080</v>
      </c>
      <c r="E2316" s="4" t="s">
        <v>7080</v>
      </c>
      <c r="G2316" s="15" t="s">
        <v>26729</v>
      </c>
      <c r="H2316" s="15" t="s">
        <v>26730</v>
      </c>
      <c r="I2316" s="15" t="s">
        <v>26731</v>
      </c>
      <c r="J2316" s="15" t="s">
        <v>558</v>
      </c>
      <c r="K2316" s="15">
        <v>105138</v>
      </c>
      <c r="L2316" s="15" t="s">
        <v>19099</v>
      </c>
    </row>
    <row r="2317" spans="1:12" x14ac:dyDescent="0.25">
      <c r="A2317" s="2" t="s">
        <v>7082</v>
      </c>
      <c r="B2317" s="8" t="s">
        <v>17280</v>
      </c>
      <c r="C2317" s="2" t="s">
        <v>7082</v>
      </c>
      <c r="D2317" s="2" t="s">
        <v>7083</v>
      </c>
      <c r="E2317" s="4" t="s">
        <v>7083</v>
      </c>
      <c r="G2317" s="15" t="s">
        <v>26732</v>
      </c>
      <c r="H2317" s="15" t="s">
        <v>26733</v>
      </c>
      <c r="I2317" s="15" t="s">
        <v>26734</v>
      </c>
      <c r="J2317" s="15" t="s">
        <v>558</v>
      </c>
      <c r="K2317" s="15">
        <v>61709</v>
      </c>
      <c r="L2317" s="15" t="s">
        <v>19099</v>
      </c>
    </row>
    <row r="2318" spans="1:12" x14ac:dyDescent="0.25">
      <c r="A2318" s="2" t="s">
        <v>7085</v>
      </c>
      <c r="B2318" s="8" t="s">
        <v>17281</v>
      </c>
      <c r="C2318" s="2" t="s">
        <v>7085</v>
      </c>
      <c r="D2318" s="2" t="s">
        <v>7086</v>
      </c>
      <c r="E2318" s="4" t="s">
        <v>7086</v>
      </c>
      <c r="G2318" s="15" t="s">
        <v>13182</v>
      </c>
      <c r="H2318" s="15" t="s">
        <v>26735</v>
      </c>
      <c r="I2318" s="15" t="s">
        <v>26736</v>
      </c>
      <c r="J2318" s="15" t="s">
        <v>558</v>
      </c>
      <c r="K2318" s="15">
        <v>61782</v>
      </c>
      <c r="L2318" s="15" t="s">
        <v>19099</v>
      </c>
    </row>
    <row r="2319" spans="1:12" x14ac:dyDescent="0.25">
      <c r="A2319" s="2" t="s">
        <v>7088</v>
      </c>
      <c r="B2319" s="8" t="s">
        <v>17282</v>
      </c>
      <c r="C2319" s="2" t="s">
        <v>7088</v>
      </c>
      <c r="D2319" s="2" t="s">
        <v>7089</v>
      </c>
      <c r="E2319" s="4" t="s">
        <v>7089</v>
      </c>
      <c r="G2319" s="15" t="s">
        <v>26737</v>
      </c>
      <c r="H2319" s="15" t="s">
        <v>26738</v>
      </c>
      <c r="I2319" s="15" t="s">
        <v>26739</v>
      </c>
      <c r="J2319" s="15" t="s">
        <v>558</v>
      </c>
      <c r="K2319" s="15">
        <v>104728</v>
      </c>
      <c r="L2319" s="15" t="s">
        <v>19099</v>
      </c>
    </row>
    <row r="2320" spans="1:12" x14ac:dyDescent="0.25">
      <c r="A2320" s="2" t="s">
        <v>7091</v>
      </c>
      <c r="B2320" s="8" t="s">
        <v>17283</v>
      </c>
      <c r="C2320" s="2" t="s">
        <v>7091</v>
      </c>
      <c r="D2320" s="2" t="s">
        <v>7092</v>
      </c>
      <c r="E2320" s="4" t="s">
        <v>26740</v>
      </c>
      <c r="G2320" s="15" t="s">
        <v>26740</v>
      </c>
      <c r="H2320" s="15" t="s">
        <v>26741</v>
      </c>
      <c r="I2320" s="15" t="s">
        <v>26742</v>
      </c>
      <c r="J2320" s="15" t="s">
        <v>24401</v>
      </c>
      <c r="K2320" s="15">
        <v>31423</v>
      </c>
      <c r="L2320" s="15" t="s">
        <v>19099</v>
      </c>
    </row>
    <row r="2321" spans="1:20" x14ac:dyDescent="0.25">
      <c r="A2321" s="2" t="s">
        <v>7094</v>
      </c>
      <c r="B2321" s="8" t="s">
        <v>16180</v>
      </c>
      <c r="C2321" s="2" t="s">
        <v>7094</v>
      </c>
      <c r="D2321" s="2" t="s">
        <v>7095</v>
      </c>
      <c r="E2321" s="4" t="s">
        <v>26743</v>
      </c>
    </row>
    <row r="2322" spans="1:20" ht="30" customHeight="1" x14ac:dyDescent="0.25">
      <c r="A2322" s="2" t="s">
        <v>7096</v>
      </c>
      <c r="B2322" s="8" t="s">
        <v>17284</v>
      </c>
      <c r="C2322" s="2" t="s">
        <v>7096</v>
      </c>
      <c r="D2322" s="2" t="s">
        <v>7097</v>
      </c>
      <c r="E2322" s="4" t="s">
        <v>26744</v>
      </c>
    </row>
    <row r="2323" spans="1:20" x14ac:dyDescent="0.25">
      <c r="A2323" s="2" t="s">
        <v>7099</v>
      </c>
      <c r="B2323" s="8" t="s">
        <v>16180</v>
      </c>
      <c r="C2323" s="2" t="s">
        <v>7099</v>
      </c>
      <c r="D2323" s="2" t="s">
        <v>7100</v>
      </c>
      <c r="E2323" s="4" t="s">
        <v>26745</v>
      </c>
      <c r="N2323" s="15" t="s">
        <v>21788</v>
      </c>
      <c r="O2323" s="15" t="s">
        <v>26746</v>
      </c>
      <c r="P2323" s="15" t="s">
        <v>26747</v>
      </c>
      <c r="Q2323" s="15" t="s">
        <v>26748</v>
      </c>
      <c r="R2323" s="15" t="s">
        <v>26749</v>
      </c>
      <c r="S2323" s="15">
        <v>21689256</v>
      </c>
      <c r="T2323" s="15" t="s">
        <v>19089</v>
      </c>
    </row>
    <row r="2324" spans="1:20" x14ac:dyDescent="0.25">
      <c r="A2324" s="2" t="s">
        <v>7101</v>
      </c>
      <c r="B2324" s="8" t="s">
        <v>17285</v>
      </c>
      <c r="C2324" s="2" t="s">
        <v>7101</v>
      </c>
      <c r="D2324" s="2" t="s">
        <v>7102</v>
      </c>
      <c r="E2324" s="4" t="s">
        <v>26750</v>
      </c>
      <c r="G2324" s="15" t="s">
        <v>26751</v>
      </c>
      <c r="H2324" s="15" t="s">
        <v>26752</v>
      </c>
      <c r="I2324" s="15" t="s">
        <v>26753</v>
      </c>
      <c r="J2324" s="15" t="s">
        <v>19828</v>
      </c>
      <c r="K2324" s="15">
        <v>637516</v>
      </c>
      <c r="L2324" s="15" t="s">
        <v>19099</v>
      </c>
    </row>
    <row r="2325" spans="1:20" x14ac:dyDescent="0.25">
      <c r="A2325" s="2" t="s">
        <v>7104</v>
      </c>
      <c r="B2325" s="8" t="s">
        <v>16180</v>
      </c>
      <c r="C2325" s="2" t="s">
        <v>7104</v>
      </c>
      <c r="D2325" s="2" t="s">
        <v>7105</v>
      </c>
      <c r="E2325" s="4" t="s">
        <v>7105</v>
      </c>
    </row>
    <row r="2326" spans="1:20" x14ac:dyDescent="0.25">
      <c r="A2326" s="2" t="s">
        <v>7106</v>
      </c>
      <c r="B2326" s="8" t="s">
        <v>17286</v>
      </c>
      <c r="C2326" s="2" t="s">
        <v>7106</v>
      </c>
      <c r="D2326" s="2" t="s">
        <v>7107</v>
      </c>
      <c r="E2326" s="4" t="s">
        <v>26754</v>
      </c>
      <c r="G2326" s="15" t="s">
        <v>26755</v>
      </c>
      <c r="H2326" s="15" t="s">
        <v>26756</v>
      </c>
      <c r="I2326" s="15" t="s">
        <v>26757</v>
      </c>
      <c r="J2326" s="15" t="s">
        <v>26758</v>
      </c>
      <c r="K2326" s="15">
        <v>8490</v>
      </c>
      <c r="L2326" s="15" t="s">
        <v>19099</v>
      </c>
    </row>
    <row r="2327" spans="1:20" x14ac:dyDescent="0.25">
      <c r="A2327" s="2" t="s">
        <v>7109</v>
      </c>
      <c r="B2327" s="8" t="s">
        <v>16180</v>
      </c>
      <c r="C2327" s="2" t="s">
        <v>7109</v>
      </c>
      <c r="D2327" s="2" t="s">
        <v>7110</v>
      </c>
      <c r="E2327" s="4" t="s">
        <v>26759</v>
      </c>
    </row>
    <row r="2328" spans="1:20" x14ac:dyDescent="0.25">
      <c r="A2328" s="2" t="s">
        <v>7111</v>
      </c>
      <c r="B2328" s="8" t="s">
        <v>16180</v>
      </c>
      <c r="C2328" s="2" t="s">
        <v>7111</v>
      </c>
      <c r="D2328" s="2" t="s">
        <v>7112</v>
      </c>
      <c r="E2328" s="4" t="s">
        <v>26760</v>
      </c>
    </row>
    <row r="2329" spans="1:20" x14ac:dyDescent="0.25">
      <c r="A2329" s="2" t="s">
        <v>7113</v>
      </c>
      <c r="B2329" s="8" t="s">
        <v>16180</v>
      </c>
      <c r="C2329" s="2" t="s">
        <v>7113</v>
      </c>
      <c r="D2329" s="2" t="s">
        <v>7114</v>
      </c>
      <c r="E2329" s="4" t="s">
        <v>26761</v>
      </c>
    </row>
    <row r="2330" spans="1:20" x14ac:dyDescent="0.25">
      <c r="A2330" s="2" t="s">
        <v>7115</v>
      </c>
      <c r="B2330" s="8" t="s">
        <v>16180</v>
      </c>
      <c r="C2330" s="2" t="s">
        <v>7115</v>
      </c>
      <c r="D2330" s="2" t="s">
        <v>7116</v>
      </c>
      <c r="E2330" s="4" t="s">
        <v>26762</v>
      </c>
    </row>
    <row r="2331" spans="1:20" x14ac:dyDescent="0.25">
      <c r="A2331" s="2" t="s">
        <v>7117</v>
      </c>
      <c r="B2331" s="8" t="s">
        <v>16180</v>
      </c>
      <c r="C2331" s="2" t="s">
        <v>7117</v>
      </c>
      <c r="D2331" s="2" t="s">
        <v>7118</v>
      </c>
      <c r="E2331" s="4" t="s">
        <v>7118</v>
      </c>
    </row>
    <row r="2332" spans="1:20" x14ac:dyDescent="0.25">
      <c r="A2332" s="2" t="s">
        <v>7119</v>
      </c>
      <c r="B2332" s="8" t="s">
        <v>16180</v>
      </c>
      <c r="C2332" s="2" t="s">
        <v>7119</v>
      </c>
      <c r="D2332" s="2" t="s">
        <v>7120</v>
      </c>
      <c r="E2332" s="4" t="s">
        <v>26763</v>
      </c>
    </row>
    <row r="2333" spans="1:20" x14ac:dyDescent="0.25">
      <c r="A2333" s="2" t="s">
        <v>7121</v>
      </c>
      <c r="B2333" s="8" t="s">
        <v>16180</v>
      </c>
      <c r="C2333" s="2" t="s">
        <v>7121</v>
      </c>
      <c r="D2333" s="2" t="s">
        <v>7122</v>
      </c>
      <c r="E2333" s="4" t="s">
        <v>26764</v>
      </c>
    </row>
    <row r="2334" spans="1:20" x14ac:dyDescent="0.25">
      <c r="A2334" s="2" t="s">
        <v>7123</v>
      </c>
      <c r="B2334" s="8" t="s">
        <v>16180</v>
      </c>
      <c r="C2334" s="2" t="s">
        <v>7123</v>
      </c>
      <c r="D2334" s="2" t="s">
        <v>7124</v>
      </c>
      <c r="E2334" s="4" t="s">
        <v>26765</v>
      </c>
    </row>
    <row r="2335" spans="1:20" x14ac:dyDescent="0.25">
      <c r="A2335" s="2" t="s">
        <v>7125</v>
      </c>
      <c r="B2335" s="8" t="s">
        <v>16180</v>
      </c>
      <c r="C2335" s="2" t="s">
        <v>7125</v>
      </c>
      <c r="D2335" s="2" t="s">
        <v>7126</v>
      </c>
      <c r="E2335" s="4" t="s">
        <v>26766</v>
      </c>
      <c r="N2335" s="15" t="s">
        <v>21788</v>
      </c>
      <c r="O2335" s="15" t="s">
        <v>26767</v>
      </c>
      <c r="P2335" s="15" t="s">
        <v>26768</v>
      </c>
      <c r="Q2335" s="15" t="s">
        <v>26769</v>
      </c>
      <c r="R2335" s="15" t="s">
        <v>26770</v>
      </c>
      <c r="S2335" s="15">
        <v>122108</v>
      </c>
      <c r="T2335" s="15" t="s">
        <v>19089</v>
      </c>
    </row>
    <row r="2336" spans="1:20" x14ac:dyDescent="0.25">
      <c r="A2336" s="2" t="s">
        <v>7127</v>
      </c>
      <c r="B2336" s="8" t="s">
        <v>17288</v>
      </c>
      <c r="C2336" s="2" t="s">
        <v>7127</v>
      </c>
      <c r="D2336" s="2" t="s">
        <v>7128</v>
      </c>
      <c r="E2336" s="4" t="s">
        <v>7128</v>
      </c>
      <c r="G2336" s="15" t="s">
        <v>26771</v>
      </c>
      <c r="H2336" s="15" t="s">
        <v>26772</v>
      </c>
      <c r="I2336" s="15" t="s">
        <v>26773</v>
      </c>
      <c r="J2336" s="15" t="s">
        <v>534</v>
      </c>
      <c r="K2336" s="15">
        <v>6335825</v>
      </c>
      <c r="L2336" s="15" t="s">
        <v>19099</v>
      </c>
    </row>
    <row r="2337" spans="1:20" x14ac:dyDescent="0.25">
      <c r="A2337" s="2" t="s">
        <v>7130</v>
      </c>
      <c r="B2337" s="8" t="s">
        <v>17289</v>
      </c>
      <c r="C2337" s="2" t="s">
        <v>7130</v>
      </c>
      <c r="D2337" s="2" t="s">
        <v>7131</v>
      </c>
      <c r="E2337" s="4" t="s">
        <v>7131</v>
      </c>
      <c r="G2337" s="15" t="s">
        <v>13175</v>
      </c>
      <c r="H2337" s="15" t="s">
        <v>26774</v>
      </c>
      <c r="I2337" s="15" t="s">
        <v>26775</v>
      </c>
      <c r="J2337" s="15" t="s">
        <v>534</v>
      </c>
      <c r="K2337" s="15">
        <v>6328538</v>
      </c>
      <c r="L2337" s="15" t="s">
        <v>19099</v>
      </c>
    </row>
    <row r="2338" spans="1:20" x14ac:dyDescent="0.25">
      <c r="A2338" s="2" t="s">
        <v>7133</v>
      </c>
      <c r="B2338" s="8" t="s">
        <v>17290</v>
      </c>
      <c r="C2338" s="2" t="s">
        <v>7133</v>
      </c>
      <c r="D2338" s="2" t="s">
        <v>7134</v>
      </c>
      <c r="E2338" s="4" t="s">
        <v>7134</v>
      </c>
      <c r="G2338" s="15" t="s">
        <v>26776</v>
      </c>
      <c r="H2338" s="15" t="s">
        <v>26777</v>
      </c>
      <c r="I2338" s="15" t="s">
        <v>26778</v>
      </c>
      <c r="J2338" s="15" t="s">
        <v>534</v>
      </c>
      <c r="K2338" s="15">
        <v>6336607</v>
      </c>
      <c r="L2338" s="15" t="s">
        <v>19099</v>
      </c>
    </row>
    <row r="2339" spans="1:20" x14ac:dyDescent="0.25">
      <c r="A2339" s="2" t="s">
        <v>7136</v>
      </c>
      <c r="B2339" s="8" t="s">
        <v>17291</v>
      </c>
      <c r="C2339" s="2" t="s">
        <v>7136</v>
      </c>
      <c r="D2339" s="2" t="s">
        <v>7137</v>
      </c>
      <c r="E2339" s="4" t="s">
        <v>7137</v>
      </c>
      <c r="G2339" s="15" t="s">
        <v>13176</v>
      </c>
      <c r="H2339" s="15" t="s">
        <v>26779</v>
      </c>
      <c r="I2339" s="15" t="s">
        <v>26780</v>
      </c>
      <c r="J2339" s="15" t="s">
        <v>534</v>
      </c>
      <c r="K2339" s="15">
        <v>9877911</v>
      </c>
      <c r="L2339" s="15" t="s">
        <v>19099</v>
      </c>
    </row>
    <row r="2340" spans="1:20" x14ac:dyDescent="0.25">
      <c r="A2340" s="2" t="s">
        <v>7139</v>
      </c>
      <c r="B2340" s="8" t="s">
        <v>17292</v>
      </c>
      <c r="C2340" s="2" t="s">
        <v>7139</v>
      </c>
      <c r="D2340" s="2" t="s">
        <v>7140</v>
      </c>
      <c r="E2340" s="4" t="s">
        <v>7140</v>
      </c>
      <c r="G2340" s="15" t="s">
        <v>13177</v>
      </c>
      <c r="H2340" s="15" t="s">
        <v>26781</v>
      </c>
      <c r="I2340" s="15" t="s">
        <v>26782</v>
      </c>
      <c r="J2340" s="15" t="s">
        <v>534</v>
      </c>
      <c r="K2340" s="15">
        <v>6328553</v>
      </c>
      <c r="L2340" s="15" t="s">
        <v>19099</v>
      </c>
    </row>
    <row r="2341" spans="1:20" x14ac:dyDescent="0.25">
      <c r="A2341" s="2" t="s">
        <v>7142</v>
      </c>
      <c r="B2341" s="8" t="s">
        <v>17294</v>
      </c>
      <c r="C2341" s="2" t="s">
        <v>7142</v>
      </c>
      <c r="D2341" s="2" t="s">
        <v>7143</v>
      </c>
      <c r="E2341" s="4" t="s">
        <v>7143</v>
      </c>
      <c r="G2341" s="15" t="s">
        <v>26783</v>
      </c>
      <c r="H2341" s="15" t="s">
        <v>26784</v>
      </c>
      <c r="I2341" s="15" t="s">
        <v>26785</v>
      </c>
      <c r="J2341" s="15" t="s">
        <v>330</v>
      </c>
      <c r="K2341" s="15">
        <v>6335499</v>
      </c>
      <c r="L2341" s="15" t="s">
        <v>19099</v>
      </c>
    </row>
    <row r="2342" spans="1:20" x14ac:dyDescent="0.25">
      <c r="A2342" s="2" t="s">
        <v>7145</v>
      </c>
      <c r="B2342" s="8" t="s">
        <v>17296</v>
      </c>
      <c r="C2342" s="2" t="s">
        <v>7145</v>
      </c>
      <c r="D2342" s="2" t="s">
        <v>7146</v>
      </c>
      <c r="E2342" s="4" t="s">
        <v>7146</v>
      </c>
      <c r="G2342" s="15" t="s">
        <v>26786</v>
      </c>
      <c r="H2342" s="15" t="s">
        <v>26787</v>
      </c>
      <c r="I2342" s="15" t="s">
        <v>26788</v>
      </c>
      <c r="J2342" s="15" t="s">
        <v>482</v>
      </c>
      <c r="K2342" s="15">
        <v>161105</v>
      </c>
      <c r="L2342" s="15" t="s">
        <v>19099</v>
      </c>
    </row>
    <row r="2343" spans="1:20" x14ac:dyDescent="0.25">
      <c r="A2343" s="2" t="s">
        <v>7148</v>
      </c>
      <c r="B2343" s="8" t="s">
        <v>17302</v>
      </c>
      <c r="C2343" s="2" t="s">
        <v>7148</v>
      </c>
      <c r="D2343" s="2" t="s">
        <v>7149</v>
      </c>
      <c r="E2343" s="4" t="s">
        <v>7149</v>
      </c>
      <c r="G2343" s="15" t="s">
        <v>26789</v>
      </c>
      <c r="H2343" s="15" t="s">
        <v>26790</v>
      </c>
      <c r="I2343" s="15" t="s">
        <v>26791</v>
      </c>
      <c r="J2343" s="15" t="s">
        <v>358</v>
      </c>
      <c r="K2343" s="15">
        <v>104749</v>
      </c>
      <c r="L2343" s="15" t="s">
        <v>19099</v>
      </c>
    </row>
    <row r="2344" spans="1:20" x14ac:dyDescent="0.25">
      <c r="A2344" s="2" t="s">
        <v>7151</v>
      </c>
      <c r="B2344" s="8" t="s">
        <v>17303</v>
      </c>
      <c r="C2344" s="2" t="s">
        <v>7151</v>
      </c>
      <c r="D2344" s="2" t="s">
        <v>7152</v>
      </c>
      <c r="E2344" s="4" t="s">
        <v>7152</v>
      </c>
      <c r="G2344" s="15" t="s">
        <v>26792</v>
      </c>
      <c r="H2344" s="15" t="s">
        <v>26793</v>
      </c>
      <c r="I2344" s="15" t="s">
        <v>26794</v>
      </c>
      <c r="J2344" s="15" t="s">
        <v>358</v>
      </c>
      <c r="K2344" s="15">
        <v>26359</v>
      </c>
      <c r="L2344" s="15" t="s">
        <v>19099</v>
      </c>
    </row>
    <row r="2345" spans="1:20" ht="30" customHeight="1" x14ac:dyDescent="0.25">
      <c r="A2345" s="2" t="s">
        <v>7154</v>
      </c>
      <c r="B2345" s="8" t="s">
        <v>16180</v>
      </c>
      <c r="C2345" s="2" t="s">
        <v>7154</v>
      </c>
      <c r="D2345" s="2" t="s">
        <v>7155</v>
      </c>
      <c r="E2345" s="4" t="s">
        <v>26795</v>
      </c>
    </row>
    <row r="2346" spans="1:20" x14ac:dyDescent="0.25">
      <c r="A2346" s="2" t="s">
        <v>7156</v>
      </c>
      <c r="B2346" s="8" t="s">
        <v>16180</v>
      </c>
      <c r="C2346" s="2" t="s">
        <v>7156</v>
      </c>
      <c r="D2346" s="2" t="s">
        <v>7157</v>
      </c>
      <c r="E2346" s="4" t="s">
        <v>26796</v>
      </c>
    </row>
    <row r="2347" spans="1:20" x14ac:dyDescent="0.25">
      <c r="A2347" s="2" t="s">
        <v>7158</v>
      </c>
      <c r="B2347" s="8" t="s">
        <v>16180</v>
      </c>
      <c r="C2347" s="2" t="s">
        <v>7158</v>
      </c>
      <c r="D2347" s="2" t="s">
        <v>7159</v>
      </c>
      <c r="E2347" s="4" t="s">
        <v>26797</v>
      </c>
      <c r="N2347" s="15" t="s">
        <v>21788</v>
      </c>
      <c r="O2347" s="15" t="s">
        <v>26798</v>
      </c>
      <c r="P2347" s="15" t="s">
        <v>26799</v>
      </c>
      <c r="Q2347" s="15" t="s">
        <v>26800</v>
      </c>
      <c r="R2347" s="15" t="s">
        <v>7158</v>
      </c>
      <c r="S2347" s="15">
        <v>139602</v>
      </c>
      <c r="T2347" s="15" t="s">
        <v>19089</v>
      </c>
    </row>
    <row r="2348" spans="1:20" x14ac:dyDescent="0.25">
      <c r="A2348" s="2" t="s">
        <v>7160</v>
      </c>
      <c r="B2348" s="8" t="s">
        <v>17305</v>
      </c>
      <c r="C2348" s="2" t="s">
        <v>7160</v>
      </c>
      <c r="D2348" s="2" t="s">
        <v>7161</v>
      </c>
      <c r="E2348" s="4" t="s">
        <v>26801</v>
      </c>
      <c r="G2348" s="15" t="s">
        <v>26802</v>
      </c>
      <c r="H2348" s="15" t="s">
        <v>26803</v>
      </c>
      <c r="I2348" s="15" t="s">
        <v>26804</v>
      </c>
      <c r="J2348" s="15" t="s">
        <v>245</v>
      </c>
      <c r="K2348" s="15">
        <v>5362487</v>
      </c>
      <c r="L2348" s="15" t="s">
        <v>19099</v>
      </c>
    </row>
    <row r="2349" spans="1:20" x14ac:dyDescent="0.25">
      <c r="A2349" s="2" t="s">
        <v>7163</v>
      </c>
      <c r="B2349" s="8" t="s">
        <v>16180</v>
      </c>
      <c r="C2349" s="2" t="s">
        <v>7163</v>
      </c>
      <c r="D2349" s="2" t="s">
        <v>7164</v>
      </c>
      <c r="E2349" s="4" t="s">
        <v>7164</v>
      </c>
    </row>
    <row r="2350" spans="1:20" x14ac:dyDescent="0.25">
      <c r="A2350" s="2" t="s">
        <v>7165</v>
      </c>
      <c r="B2350" s="8" t="s">
        <v>16180</v>
      </c>
      <c r="C2350" s="2" t="s">
        <v>7165</v>
      </c>
      <c r="D2350" s="2" t="s">
        <v>7166</v>
      </c>
      <c r="E2350" s="4" t="s">
        <v>26805</v>
      </c>
    </row>
    <row r="2351" spans="1:20" x14ac:dyDescent="0.25">
      <c r="A2351" s="2" t="s">
        <v>7167</v>
      </c>
      <c r="B2351" s="8" t="s">
        <v>16180</v>
      </c>
      <c r="C2351" s="2" t="s">
        <v>7167</v>
      </c>
      <c r="D2351" s="2" t="s">
        <v>7168</v>
      </c>
      <c r="E2351" s="4" t="s">
        <v>7168</v>
      </c>
    </row>
    <row r="2352" spans="1:20" x14ac:dyDescent="0.25">
      <c r="A2352" s="2" t="s">
        <v>7169</v>
      </c>
      <c r="B2352" s="8" t="s">
        <v>16180</v>
      </c>
      <c r="C2352" s="2" t="s">
        <v>7169</v>
      </c>
      <c r="D2352" s="2" t="s">
        <v>7170</v>
      </c>
      <c r="E2352" s="4" t="s">
        <v>26806</v>
      </c>
    </row>
    <row r="2353" spans="1:12" x14ac:dyDescent="0.25">
      <c r="A2353" s="2" t="s">
        <v>7171</v>
      </c>
      <c r="B2353" s="8" t="s">
        <v>16180</v>
      </c>
      <c r="C2353" s="2" t="s">
        <v>7171</v>
      </c>
      <c r="D2353" s="2" t="s">
        <v>7172</v>
      </c>
      <c r="E2353" s="4" t="s">
        <v>26807</v>
      </c>
    </row>
    <row r="2354" spans="1:12" x14ac:dyDescent="0.25">
      <c r="A2354" s="2" t="s">
        <v>7173</v>
      </c>
      <c r="B2354" s="8" t="s">
        <v>16180</v>
      </c>
      <c r="C2354" s="2" t="s">
        <v>7173</v>
      </c>
      <c r="D2354" s="2" t="s">
        <v>7174</v>
      </c>
      <c r="E2354" s="4" t="s">
        <v>26808</v>
      </c>
    </row>
    <row r="2355" spans="1:12" x14ac:dyDescent="0.25">
      <c r="A2355" s="2" t="s">
        <v>7175</v>
      </c>
      <c r="B2355" s="8" t="s">
        <v>16180</v>
      </c>
      <c r="C2355" s="2" t="s">
        <v>7175</v>
      </c>
      <c r="D2355" s="2" t="s">
        <v>7176</v>
      </c>
      <c r="E2355" s="4" t="s">
        <v>26809</v>
      </c>
    </row>
    <row r="2356" spans="1:12" x14ac:dyDescent="0.25">
      <c r="A2356" s="2" t="s">
        <v>7177</v>
      </c>
      <c r="B2356" s="8" t="s">
        <v>16180</v>
      </c>
      <c r="C2356" s="2" t="s">
        <v>7177</v>
      </c>
      <c r="D2356" s="2" t="s">
        <v>7178</v>
      </c>
      <c r="E2356" s="4" t="s">
        <v>26810</v>
      </c>
    </row>
    <row r="2357" spans="1:12" x14ac:dyDescent="0.25">
      <c r="A2357" s="2" t="s">
        <v>7179</v>
      </c>
      <c r="B2357" s="8" t="s">
        <v>16180</v>
      </c>
      <c r="C2357" s="2" t="s">
        <v>7179</v>
      </c>
      <c r="D2357" s="2" t="s">
        <v>7180</v>
      </c>
      <c r="E2357" s="4" t="s">
        <v>26811</v>
      </c>
    </row>
    <row r="2358" spans="1:12" x14ac:dyDescent="0.25">
      <c r="A2358" s="2" t="s">
        <v>7181</v>
      </c>
      <c r="B2358" s="8" t="s">
        <v>16180</v>
      </c>
      <c r="C2358" s="2" t="s">
        <v>7181</v>
      </c>
      <c r="D2358" s="2" t="s">
        <v>7182</v>
      </c>
      <c r="E2358" s="4" t="s">
        <v>26812</v>
      </c>
    </row>
    <row r="2359" spans="1:12" x14ac:dyDescent="0.25">
      <c r="A2359" s="2" t="s">
        <v>7183</v>
      </c>
      <c r="B2359" s="8" t="s">
        <v>16180</v>
      </c>
      <c r="C2359" s="2" t="s">
        <v>7183</v>
      </c>
      <c r="D2359" s="2" t="s">
        <v>7184</v>
      </c>
      <c r="E2359" s="4" t="s">
        <v>7184</v>
      </c>
    </row>
    <row r="2360" spans="1:12" x14ac:dyDescent="0.25">
      <c r="A2360" s="2" t="s">
        <v>7185</v>
      </c>
      <c r="B2360" s="8" t="s">
        <v>16180</v>
      </c>
      <c r="C2360" s="2" t="s">
        <v>7185</v>
      </c>
      <c r="D2360" s="2" t="s">
        <v>7186</v>
      </c>
      <c r="E2360" s="4" t="s">
        <v>26813</v>
      </c>
    </row>
    <row r="2361" spans="1:12" x14ac:dyDescent="0.25">
      <c r="A2361" s="2" t="s">
        <v>7187</v>
      </c>
      <c r="B2361" s="8" t="s">
        <v>16180</v>
      </c>
      <c r="C2361" s="2" t="s">
        <v>7187</v>
      </c>
      <c r="D2361" s="2" t="s">
        <v>7188</v>
      </c>
      <c r="E2361" s="4" t="s">
        <v>26814</v>
      </c>
    </row>
    <row r="2362" spans="1:12" x14ac:dyDescent="0.25">
      <c r="A2362" s="2" t="s">
        <v>7189</v>
      </c>
      <c r="B2362" s="8" t="s">
        <v>17306</v>
      </c>
      <c r="C2362" s="2" t="s">
        <v>7189</v>
      </c>
      <c r="D2362" s="2" t="s">
        <v>7190</v>
      </c>
      <c r="E2362" s="4" t="s">
        <v>26815</v>
      </c>
      <c r="G2362" s="15" t="s">
        <v>26816</v>
      </c>
      <c r="H2362" s="15" t="s">
        <v>26817</v>
      </c>
      <c r="I2362" s="15" t="s">
        <v>26818</v>
      </c>
      <c r="J2362" s="15" t="s">
        <v>26819</v>
      </c>
      <c r="K2362" s="15">
        <v>17358</v>
      </c>
      <c r="L2362" s="15" t="s">
        <v>19099</v>
      </c>
    </row>
    <row r="2363" spans="1:12" x14ac:dyDescent="0.25">
      <c r="A2363" s="2" t="s">
        <v>7192</v>
      </c>
      <c r="B2363" s="8" t="s">
        <v>16180</v>
      </c>
      <c r="C2363" s="2" t="s">
        <v>7192</v>
      </c>
      <c r="D2363" s="2" t="s">
        <v>7193</v>
      </c>
      <c r="E2363" s="4" t="s">
        <v>7193</v>
      </c>
    </row>
    <row r="2364" spans="1:12" x14ac:dyDescent="0.25">
      <c r="A2364" s="2" t="s">
        <v>7194</v>
      </c>
      <c r="B2364" s="8" t="s">
        <v>16180</v>
      </c>
      <c r="C2364" s="2" t="s">
        <v>7194</v>
      </c>
      <c r="D2364" s="2" t="s">
        <v>7195</v>
      </c>
      <c r="E2364" s="4" t="s">
        <v>26820</v>
      </c>
    </row>
    <row r="2365" spans="1:12" x14ac:dyDescent="0.25">
      <c r="A2365" s="2" t="s">
        <v>7196</v>
      </c>
      <c r="B2365" s="8" t="s">
        <v>16180</v>
      </c>
      <c r="C2365" s="2" t="s">
        <v>7196</v>
      </c>
      <c r="D2365" s="2" t="s">
        <v>7197</v>
      </c>
      <c r="E2365" s="4" t="s">
        <v>26821</v>
      </c>
    </row>
    <row r="2366" spans="1:12" x14ac:dyDescent="0.25">
      <c r="A2366" s="2" t="s">
        <v>7198</v>
      </c>
      <c r="B2366" s="8" t="s">
        <v>16180</v>
      </c>
      <c r="C2366" s="2" t="s">
        <v>7198</v>
      </c>
      <c r="D2366" s="2" t="s">
        <v>7199</v>
      </c>
      <c r="E2366" s="4" t="s">
        <v>26822</v>
      </c>
    </row>
    <row r="2367" spans="1:12" x14ac:dyDescent="0.25">
      <c r="A2367" s="2" t="s">
        <v>7200</v>
      </c>
      <c r="B2367" s="8" t="s">
        <v>16180</v>
      </c>
      <c r="C2367" s="2" t="s">
        <v>7200</v>
      </c>
      <c r="D2367" s="2" t="s">
        <v>7201</v>
      </c>
      <c r="E2367" s="4" t="s">
        <v>26823</v>
      </c>
    </row>
    <row r="2368" spans="1:12" x14ac:dyDescent="0.25">
      <c r="A2368" s="2" t="s">
        <v>7202</v>
      </c>
      <c r="B2368" s="8" t="s">
        <v>16180</v>
      </c>
      <c r="C2368" s="2" t="s">
        <v>7202</v>
      </c>
      <c r="D2368" s="2" t="s">
        <v>7203</v>
      </c>
      <c r="E2368" s="4" t="s">
        <v>26824</v>
      </c>
    </row>
    <row r="2369" spans="1:12" x14ac:dyDescent="0.25">
      <c r="A2369" s="2" t="s">
        <v>7204</v>
      </c>
      <c r="B2369" s="8" t="s">
        <v>16180</v>
      </c>
      <c r="C2369" s="2" t="s">
        <v>7204</v>
      </c>
      <c r="D2369" s="2" t="s">
        <v>7205</v>
      </c>
      <c r="E2369" s="4" t="s">
        <v>26825</v>
      </c>
    </row>
    <row r="2370" spans="1:12" x14ac:dyDescent="0.25">
      <c r="A2370" s="2" t="s">
        <v>7206</v>
      </c>
      <c r="B2370" s="8" t="s">
        <v>16180</v>
      </c>
      <c r="C2370" s="2" t="s">
        <v>7206</v>
      </c>
      <c r="D2370" s="2" t="s">
        <v>7207</v>
      </c>
      <c r="E2370" s="4" t="s">
        <v>26826</v>
      </c>
    </row>
    <row r="2371" spans="1:12" x14ac:dyDescent="0.25">
      <c r="A2371" s="2" t="s">
        <v>7208</v>
      </c>
      <c r="B2371" s="8" t="s">
        <v>16180</v>
      </c>
      <c r="C2371" s="2" t="s">
        <v>7208</v>
      </c>
      <c r="D2371" s="2" t="s">
        <v>7209</v>
      </c>
      <c r="E2371" s="4" t="s">
        <v>26827</v>
      </c>
    </row>
    <row r="2372" spans="1:12" x14ac:dyDescent="0.25">
      <c r="A2372" s="2" t="s">
        <v>7210</v>
      </c>
      <c r="B2372" s="8" t="s">
        <v>16180</v>
      </c>
      <c r="C2372" s="2" t="s">
        <v>7210</v>
      </c>
      <c r="D2372" s="2" t="s">
        <v>7211</v>
      </c>
      <c r="E2372" s="4" t="s">
        <v>26828</v>
      </c>
    </row>
    <row r="2373" spans="1:12" x14ac:dyDescent="0.25">
      <c r="A2373" s="2" t="s">
        <v>7212</v>
      </c>
      <c r="B2373" s="8" t="s">
        <v>17307</v>
      </c>
      <c r="C2373" s="2" t="s">
        <v>7212</v>
      </c>
      <c r="D2373" s="2" t="s">
        <v>7213</v>
      </c>
      <c r="E2373" s="4" t="s">
        <v>26829</v>
      </c>
      <c r="G2373" s="15" t="s">
        <v>26830</v>
      </c>
      <c r="H2373" s="15" t="s">
        <v>26831</v>
      </c>
      <c r="I2373" s="15" t="s">
        <v>26832</v>
      </c>
      <c r="J2373" s="15" t="s">
        <v>26833</v>
      </c>
      <c r="K2373" s="15">
        <v>1119</v>
      </c>
      <c r="L2373" s="15" t="s">
        <v>19099</v>
      </c>
    </row>
    <row r="2374" spans="1:12" x14ac:dyDescent="0.25">
      <c r="A2374" s="2" t="s">
        <v>7215</v>
      </c>
      <c r="B2374" s="8" t="s">
        <v>17308</v>
      </c>
      <c r="C2374" s="2" t="s">
        <v>7215</v>
      </c>
      <c r="D2374" s="2" t="s">
        <v>7216</v>
      </c>
      <c r="E2374" s="4" t="s">
        <v>26834</v>
      </c>
      <c r="G2374" s="15" t="s">
        <v>26834</v>
      </c>
      <c r="H2374" s="15" t="s">
        <v>26835</v>
      </c>
      <c r="I2374" s="15" t="s">
        <v>26836</v>
      </c>
      <c r="J2374" s="15" t="s">
        <v>26837</v>
      </c>
      <c r="K2374" s="15">
        <v>1099</v>
      </c>
      <c r="L2374" s="15" t="s">
        <v>19099</v>
      </c>
    </row>
    <row r="2375" spans="1:12" x14ac:dyDescent="0.25">
      <c r="A2375" s="2" t="s">
        <v>7218</v>
      </c>
      <c r="B2375" s="8" t="s">
        <v>16180</v>
      </c>
      <c r="C2375" s="2" t="s">
        <v>7218</v>
      </c>
      <c r="D2375" s="2" t="s">
        <v>7219</v>
      </c>
      <c r="E2375" s="4" t="s">
        <v>26838</v>
      </c>
    </row>
    <row r="2376" spans="1:12" x14ac:dyDescent="0.25">
      <c r="A2376" s="2" t="s">
        <v>7220</v>
      </c>
      <c r="B2376" s="8" t="s">
        <v>16180</v>
      </c>
      <c r="C2376" s="2" t="s">
        <v>7220</v>
      </c>
      <c r="D2376" s="2" t="s">
        <v>7221</v>
      </c>
      <c r="E2376" s="4" t="s">
        <v>26839</v>
      </c>
    </row>
    <row r="2377" spans="1:12" x14ac:dyDescent="0.25">
      <c r="A2377" s="2" t="s">
        <v>7222</v>
      </c>
      <c r="B2377" s="8" t="s">
        <v>16180</v>
      </c>
      <c r="C2377" s="2" t="s">
        <v>7222</v>
      </c>
      <c r="D2377" s="2" t="s">
        <v>7223</v>
      </c>
      <c r="E2377" s="4" t="s">
        <v>26840</v>
      </c>
    </row>
    <row r="2378" spans="1:12" x14ac:dyDescent="0.25">
      <c r="A2378" s="2" t="s">
        <v>7224</v>
      </c>
      <c r="B2378" s="8" t="s">
        <v>16180</v>
      </c>
      <c r="C2378" s="2" t="s">
        <v>7224</v>
      </c>
      <c r="D2378" s="2" t="s">
        <v>7225</v>
      </c>
      <c r="E2378" s="4" t="s">
        <v>26841</v>
      </c>
    </row>
    <row r="2379" spans="1:12" x14ac:dyDescent="0.25">
      <c r="A2379" s="2" t="s">
        <v>7226</v>
      </c>
      <c r="B2379" s="8" t="s">
        <v>16180</v>
      </c>
      <c r="C2379" s="2" t="s">
        <v>7226</v>
      </c>
      <c r="D2379" s="2" t="s">
        <v>7227</v>
      </c>
      <c r="E2379" s="4" t="s">
        <v>26842</v>
      </c>
    </row>
    <row r="2380" spans="1:12" x14ac:dyDescent="0.25">
      <c r="A2380" s="2" t="s">
        <v>7228</v>
      </c>
      <c r="B2380" s="8" t="s">
        <v>16180</v>
      </c>
      <c r="C2380" s="2" t="s">
        <v>7228</v>
      </c>
      <c r="D2380" s="2" t="s">
        <v>7229</v>
      </c>
      <c r="E2380" s="4" t="s">
        <v>26843</v>
      </c>
    </row>
    <row r="2381" spans="1:12" x14ac:dyDescent="0.25">
      <c r="A2381" s="2" t="s">
        <v>7230</v>
      </c>
      <c r="B2381" s="8" t="s">
        <v>16180</v>
      </c>
      <c r="C2381" s="2" t="s">
        <v>7230</v>
      </c>
      <c r="D2381" s="2" t="s">
        <v>7231</v>
      </c>
      <c r="E2381" s="4" t="s">
        <v>26844</v>
      </c>
    </row>
    <row r="2382" spans="1:12" x14ac:dyDescent="0.25">
      <c r="A2382" s="2" t="s">
        <v>7232</v>
      </c>
      <c r="B2382" s="8" t="s">
        <v>16180</v>
      </c>
      <c r="C2382" s="2" t="s">
        <v>7232</v>
      </c>
      <c r="D2382" s="2" t="s">
        <v>7233</v>
      </c>
      <c r="E2382" s="4" t="s">
        <v>26845</v>
      </c>
    </row>
    <row r="2383" spans="1:12" x14ac:dyDescent="0.25">
      <c r="A2383" s="2" t="s">
        <v>7234</v>
      </c>
      <c r="B2383" s="8" t="s">
        <v>16180</v>
      </c>
      <c r="C2383" s="2" t="s">
        <v>7234</v>
      </c>
      <c r="D2383" s="2" t="s">
        <v>7235</v>
      </c>
      <c r="E2383" s="4" t="s">
        <v>26846</v>
      </c>
    </row>
    <row r="2384" spans="1:12" x14ac:dyDescent="0.25">
      <c r="A2384" s="2" t="s">
        <v>7236</v>
      </c>
      <c r="B2384" s="8" t="s">
        <v>16180</v>
      </c>
      <c r="C2384" s="2" t="s">
        <v>7236</v>
      </c>
      <c r="D2384" s="2" t="s">
        <v>7237</v>
      </c>
      <c r="E2384" s="4" t="s">
        <v>26847</v>
      </c>
    </row>
    <row r="2385" spans="1:20" x14ac:dyDescent="0.25">
      <c r="A2385" s="2" t="s">
        <v>7238</v>
      </c>
      <c r="B2385" s="8" t="s">
        <v>16180</v>
      </c>
      <c r="C2385" s="2" t="s">
        <v>7238</v>
      </c>
      <c r="D2385" s="2" t="s">
        <v>7239</v>
      </c>
      <c r="E2385" s="4" t="s">
        <v>26848</v>
      </c>
    </row>
    <row r="2386" spans="1:20" x14ac:dyDescent="0.25">
      <c r="A2386" s="2" t="s">
        <v>7240</v>
      </c>
      <c r="B2386" s="8" t="s">
        <v>16180</v>
      </c>
      <c r="C2386" s="2" t="s">
        <v>7240</v>
      </c>
      <c r="D2386" s="2" t="s">
        <v>7241</v>
      </c>
      <c r="E2386" s="4" t="s">
        <v>26849</v>
      </c>
    </row>
    <row r="2387" spans="1:20" x14ac:dyDescent="0.25">
      <c r="A2387" s="2" t="s">
        <v>7242</v>
      </c>
      <c r="B2387" s="8" t="s">
        <v>16180</v>
      </c>
      <c r="C2387" s="2" t="s">
        <v>7242</v>
      </c>
      <c r="D2387" s="2" t="s">
        <v>7243</v>
      </c>
      <c r="E2387" s="4" t="s">
        <v>26850</v>
      </c>
    </row>
    <row r="2388" spans="1:20" ht="30" customHeight="1" x14ac:dyDescent="0.25">
      <c r="A2388" s="2" t="s">
        <v>7244</v>
      </c>
      <c r="B2388" s="8" t="s">
        <v>16180</v>
      </c>
      <c r="C2388" s="2" t="s">
        <v>7244</v>
      </c>
      <c r="D2388" s="2" t="s">
        <v>7245</v>
      </c>
      <c r="E2388" s="4" t="s">
        <v>26851</v>
      </c>
    </row>
    <row r="2389" spans="1:20" ht="30" customHeight="1" x14ac:dyDescent="0.25">
      <c r="A2389" s="2" t="s">
        <v>7246</v>
      </c>
      <c r="B2389" s="8" t="s">
        <v>16180</v>
      </c>
      <c r="C2389" s="2" t="s">
        <v>7246</v>
      </c>
      <c r="D2389" s="2" t="s">
        <v>7247</v>
      </c>
      <c r="E2389" s="4" t="s">
        <v>26852</v>
      </c>
    </row>
    <row r="2390" spans="1:20" x14ac:dyDescent="0.25">
      <c r="A2390" s="2" t="s">
        <v>7248</v>
      </c>
      <c r="B2390" s="8" t="s">
        <v>16180</v>
      </c>
      <c r="C2390" s="2" t="s">
        <v>7248</v>
      </c>
      <c r="D2390" s="2" t="s">
        <v>7249</v>
      </c>
      <c r="E2390" s="4" t="s">
        <v>26853</v>
      </c>
    </row>
    <row r="2391" spans="1:20" x14ac:dyDescent="0.25">
      <c r="A2391" s="2" t="s">
        <v>7250</v>
      </c>
      <c r="B2391" s="8" t="s">
        <v>16180</v>
      </c>
      <c r="C2391" s="2" t="s">
        <v>7250</v>
      </c>
      <c r="D2391" s="2" t="s">
        <v>7251</v>
      </c>
      <c r="E2391" s="4" t="s">
        <v>26854</v>
      </c>
    </row>
    <row r="2392" spans="1:20" x14ac:dyDescent="0.25">
      <c r="A2392" s="2" t="s">
        <v>7252</v>
      </c>
      <c r="B2392" s="8" t="s">
        <v>16180</v>
      </c>
      <c r="C2392" s="2" t="s">
        <v>7252</v>
      </c>
      <c r="D2392" s="2" t="s">
        <v>7253</v>
      </c>
      <c r="E2392" s="4" t="s">
        <v>7253</v>
      </c>
    </row>
    <row r="2393" spans="1:20" x14ac:dyDescent="0.25">
      <c r="A2393" s="2" t="s">
        <v>7254</v>
      </c>
      <c r="B2393" s="8" t="s">
        <v>16180</v>
      </c>
      <c r="C2393" s="2" t="s">
        <v>7254</v>
      </c>
      <c r="D2393" s="2" t="s">
        <v>7255</v>
      </c>
      <c r="E2393" s="4" t="s">
        <v>26855</v>
      </c>
    </row>
    <row r="2394" spans="1:20" x14ac:dyDescent="0.25">
      <c r="A2394" s="2" t="s">
        <v>7256</v>
      </c>
      <c r="B2394" s="8" t="s">
        <v>16180</v>
      </c>
      <c r="C2394" s="2" t="s">
        <v>7256</v>
      </c>
      <c r="D2394" s="2" t="s">
        <v>7257</v>
      </c>
      <c r="E2394" s="4" t="s">
        <v>26856</v>
      </c>
    </row>
    <row r="2395" spans="1:20" x14ac:dyDescent="0.25">
      <c r="A2395" s="2" t="s">
        <v>7258</v>
      </c>
      <c r="B2395" s="8" t="s">
        <v>16180</v>
      </c>
      <c r="C2395" s="2" t="s">
        <v>7258</v>
      </c>
      <c r="D2395" s="2" t="s">
        <v>7259</v>
      </c>
      <c r="E2395" s="4" t="s">
        <v>26857</v>
      </c>
    </row>
    <row r="2396" spans="1:20" x14ac:dyDescent="0.25">
      <c r="A2396" s="2" t="s">
        <v>7260</v>
      </c>
      <c r="B2396" s="8" t="s">
        <v>16180</v>
      </c>
      <c r="C2396" s="2" t="s">
        <v>7260</v>
      </c>
      <c r="D2396" s="2" t="s">
        <v>7261</v>
      </c>
      <c r="E2396" s="4" t="s">
        <v>26858</v>
      </c>
    </row>
    <row r="2397" spans="1:20" x14ac:dyDescent="0.25">
      <c r="A2397" s="2" t="s">
        <v>7262</v>
      </c>
      <c r="B2397" s="8" t="s">
        <v>16180</v>
      </c>
      <c r="C2397" s="2" t="s">
        <v>7262</v>
      </c>
      <c r="D2397" s="2" t="s">
        <v>7263</v>
      </c>
      <c r="E2397" s="4" t="s">
        <v>26859</v>
      </c>
      <c r="N2397" s="15" t="s">
        <v>21788</v>
      </c>
      <c r="O2397" s="15" t="s">
        <v>26860</v>
      </c>
      <c r="P2397" s="15" t="s">
        <v>26861</v>
      </c>
      <c r="Q2397" s="15" t="s">
        <v>26862</v>
      </c>
      <c r="R2397" s="15" t="s">
        <v>26863</v>
      </c>
      <c r="S2397" s="15">
        <v>2811</v>
      </c>
      <c r="T2397" s="15" t="s">
        <v>19089</v>
      </c>
    </row>
    <row r="2398" spans="1:20" x14ac:dyDescent="0.25">
      <c r="A2398" s="2" t="s">
        <v>7264</v>
      </c>
      <c r="B2398" s="8" t="s">
        <v>16180</v>
      </c>
      <c r="C2398" s="2" t="s">
        <v>7264</v>
      </c>
      <c r="D2398" s="2" t="s">
        <v>7265</v>
      </c>
      <c r="E2398" s="4" t="s">
        <v>26864</v>
      </c>
    </row>
    <row r="2399" spans="1:20" x14ac:dyDescent="0.25">
      <c r="A2399" s="2" t="s">
        <v>7266</v>
      </c>
      <c r="B2399" s="8" t="s">
        <v>16180</v>
      </c>
      <c r="C2399" s="2" t="s">
        <v>7266</v>
      </c>
      <c r="D2399" s="2" t="s">
        <v>7267</v>
      </c>
      <c r="E2399" s="4" t="s">
        <v>26865</v>
      </c>
    </row>
    <row r="2400" spans="1:20" x14ac:dyDescent="0.25">
      <c r="A2400" s="2" t="s">
        <v>7268</v>
      </c>
      <c r="B2400" s="8" t="s">
        <v>16180</v>
      </c>
      <c r="C2400" s="2" t="s">
        <v>7268</v>
      </c>
      <c r="D2400" s="2" t="s">
        <v>7269</v>
      </c>
      <c r="E2400" s="4" t="s">
        <v>26866</v>
      </c>
    </row>
    <row r="2401" spans="1:5" x14ac:dyDescent="0.25">
      <c r="A2401" s="2" t="s">
        <v>7270</v>
      </c>
      <c r="B2401" s="8" t="s">
        <v>16180</v>
      </c>
      <c r="C2401" s="2" t="s">
        <v>7270</v>
      </c>
      <c r="D2401" s="2" t="s">
        <v>7271</v>
      </c>
      <c r="E2401" s="4" t="s">
        <v>26867</v>
      </c>
    </row>
    <row r="2402" spans="1:5" x14ac:dyDescent="0.25">
      <c r="A2402" s="2" t="s">
        <v>7272</v>
      </c>
      <c r="B2402" s="8" t="s">
        <v>16180</v>
      </c>
      <c r="C2402" s="2" t="s">
        <v>7272</v>
      </c>
      <c r="D2402" s="2" t="s">
        <v>7273</v>
      </c>
      <c r="E2402" s="4" t="s">
        <v>26868</v>
      </c>
    </row>
    <row r="2403" spans="1:5" x14ac:dyDescent="0.25">
      <c r="A2403" s="2" t="s">
        <v>7274</v>
      </c>
      <c r="B2403" s="8" t="s">
        <v>16180</v>
      </c>
      <c r="C2403" s="2" t="s">
        <v>7274</v>
      </c>
      <c r="D2403" s="2" t="s">
        <v>7275</v>
      </c>
      <c r="E2403" s="4" t="s">
        <v>26869</v>
      </c>
    </row>
    <row r="2404" spans="1:5" x14ac:dyDescent="0.25">
      <c r="A2404" s="2" t="s">
        <v>7276</v>
      </c>
      <c r="B2404" s="8" t="s">
        <v>16180</v>
      </c>
      <c r="C2404" s="2" t="s">
        <v>7276</v>
      </c>
      <c r="D2404" s="2" t="s">
        <v>7277</v>
      </c>
      <c r="E2404" s="4" t="s">
        <v>26870</v>
      </c>
    </row>
    <row r="2405" spans="1:5" x14ac:dyDescent="0.25">
      <c r="A2405" s="2" t="s">
        <v>7278</v>
      </c>
      <c r="B2405" s="8" t="s">
        <v>16180</v>
      </c>
      <c r="C2405" s="2" t="s">
        <v>7278</v>
      </c>
      <c r="D2405" s="2" t="s">
        <v>7279</v>
      </c>
      <c r="E2405" s="4" t="s">
        <v>26871</v>
      </c>
    </row>
    <row r="2406" spans="1:5" x14ac:dyDescent="0.25">
      <c r="A2406" s="2" t="s">
        <v>7280</v>
      </c>
      <c r="B2406" s="8" t="s">
        <v>16180</v>
      </c>
      <c r="C2406" s="2" t="s">
        <v>7280</v>
      </c>
      <c r="D2406" s="2" t="s">
        <v>7281</v>
      </c>
      <c r="E2406" s="4" t="s">
        <v>26872</v>
      </c>
    </row>
    <row r="2407" spans="1:5" x14ac:dyDescent="0.25">
      <c r="A2407" s="2" t="s">
        <v>7282</v>
      </c>
      <c r="B2407" s="8" t="s">
        <v>16180</v>
      </c>
      <c r="C2407" s="2" t="s">
        <v>7282</v>
      </c>
      <c r="D2407" s="2" t="s">
        <v>7283</v>
      </c>
      <c r="E2407" s="4" t="s">
        <v>26873</v>
      </c>
    </row>
    <row r="2408" spans="1:5" x14ac:dyDescent="0.25">
      <c r="A2408" s="2" t="s">
        <v>7284</v>
      </c>
      <c r="B2408" s="8" t="s">
        <v>16180</v>
      </c>
      <c r="C2408" s="2" t="s">
        <v>7284</v>
      </c>
      <c r="D2408" s="2" t="s">
        <v>7285</v>
      </c>
      <c r="E2408" s="4" t="s">
        <v>26874</v>
      </c>
    </row>
    <row r="2409" spans="1:5" x14ac:dyDescent="0.25">
      <c r="A2409" s="2" t="s">
        <v>7286</v>
      </c>
      <c r="B2409" s="8" t="s">
        <v>16180</v>
      </c>
      <c r="C2409" s="2" t="s">
        <v>7286</v>
      </c>
      <c r="D2409" s="2" t="s">
        <v>7287</v>
      </c>
      <c r="E2409" s="4" t="s">
        <v>26875</v>
      </c>
    </row>
    <row r="2410" spans="1:5" x14ac:dyDescent="0.25">
      <c r="A2410" s="2" t="s">
        <v>7288</v>
      </c>
      <c r="B2410" s="8" t="s">
        <v>16180</v>
      </c>
      <c r="C2410" s="2" t="s">
        <v>7288</v>
      </c>
      <c r="D2410" s="2" t="s">
        <v>7289</v>
      </c>
      <c r="E2410" s="4" t="s">
        <v>26876</v>
      </c>
    </row>
    <row r="2411" spans="1:5" x14ac:dyDescent="0.25">
      <c r="A2411" s="2" t="s">
        <v>7290</v>
      </c>
      <c r="B2411" s="8" t="s">
        <v>16180</v>
      </c>
      <c r="C2411" s="2" t="s">
        <v>7290</v>
      </c>
      <c r="D2411" s="2" t="s">
        <v>7291</v>
      </c>
      <c r="E2411" s="4" t="s">
        <v>26743</v>
      </c>
    </row>
    <row r="2412" spans="1:5" x14ac:dyDescent="0.25">
      <c r="A2412" s="2" t="s">
        <v>7292</v>
      </c>
      <c r="B2412" s="8" t="s">
        <v>16180</v>
      </c>
      <c r="C2412" s="2" t="s">
        <v>7292</v>
      </c>
      <c r="D2412" s="2" t="s">
        <v>7293</v>
      </c>
      <c r="E2412" s="4" t="s">
        <v>26877</v>
      </c>
    </row>
    <row r="2413" spans="1:5" x14ac:dyDescent="0.25">
      <c r="A2413" s="2" t="s">
        <v>7294</v>
      </c>
      <c r="B2413" s="8" t="s">
        <v>16180</v>
      </c>
      <c r="C2413" s="2" t="s">
        <v>7294</v>
      </c>
      <c r="D2413" s="2" t="s">
        <v>7295</v>
      </c>
      <c r="E2413" s="4" t="s">
        <v>26878</v>
      </c>
    </row>
    <row r="2414" spans="1:5" x14ac:dyDescent="0.25">
      <c r="A2414" s="2" t="s">
        <v>7296</v>
      </c>
      <c r="B2414" s="8" t="s">
        <v>16180</v>
      </c>
      <c r="C2414" s="2" t="s">
        <v>7296</v>
      </c>
      <c r="D2414" s="2" t="s">
        <v>7297</v>
      </c>
      <c r="E2414" s="4" t="s">
        <v>26879</v>
      </c>
    </row>
    <row r="2415" spans="1:5" x14ac:dyDescent="0.25">
      <c r="A2415" s="2" t="s">
        <v>7298</v>
      </c>
      <c r="B2415" s="8" t="s">
        <v>16180</v>
      </c>
      <c r="C2415" s="2" t="s">
        <v>7298</v>
      </c>
      <c r="D2415" s="2" t="s">
        <v>7299</v>
      </c>
      <c r="E2415" s="4" t="s">
        <v>26880</v>
      </c>
    </row>
    <row r="2416" spans="1:5" x14ac:dyDescent="0.25">
      <c r="A2416" s="2" t="s">
        <v>7300</v>
      </c>
      <c r="B2416" s="8" t="s">
        <v>16180</v>
      </c>
      <c r="C2416" s="2" t="s">
        <v>7300</v>
      </c>
      <c r="D2416" s="2" t="s">
        <v>7301</v>
      </c>
      <c r="E2416" s="4" t="s">
        <v>26881</v>
      </c>
    </row>
    <row r="2417" spans="1:12" x14ac:dyDescent="0.25">
      <c r="A2417" s="2" t="s">
        <v>7302</v>
      </c>
      <c r="B2417" s="8" t="s">
        <v>17311</v>
      </c>
      <c r="C2417" s="2" t="s">
        <v>7302</v>
      </c>
      <c r="D2417" s="2" t="s">
        <v>7303</v>
      </c>
      <c r="E2417" s="4" t="s">
        <v>26882</v>
      </c>
      <c r="G2417" s="15" t="s">
        <v>26883</v>
      </c>
      <c r="H2417" s="15" t="s">
        <v>26884</v>
      </c>
      <c r="I2417" s="15" t="s">
        <v>26885</v>
      </c>
      <c r="J2417" s="15" t="s">
        <v>386</v>
      </c>
      <c r="K2417" s="15">
        <v>6335836</v>
      </c>
      <c r="L2417" s="15" t="s">
        <v>19099</v>
      </c>
    </row>
    <row r="2418" spans="1:12" x14ac:dyDescent="0.25">
      <c r="A2418" s="2" t="s">
        <v>7305</v>
      </c>
      <c r="B2418" s="8" t="s">
        <v>17312</v>
      </c>
      <c r="C2418" s="2" t="s">
        <v>7305</v>
      </c>
      <c r="D2418" s="2" t="s">
        <v>7306</v>
      </c>
      <c r="E2418" s="4" t="s">
        <v>26886</v>
      </c>
      <c r="G2418" s="15" t="s">
        <v>26887</v>
      </c>
      <c r="H2418" s="15" t="s">
        <v>26888</v>
      </c>
      <c r="I2418" s="15" t="s">
        <v>26889</v>
      </c>
      <c r="J2418" s="15" t="s">
        <v>386</v>
      </c>
      <c r="K2418" s="15">
        <v>6335510</v>
      </c>
      <c r="L2418" s="15" t="s">
        <v>19099</v>
      </c>
    </row>
    <row r="2419" spans="1:12" x14ac:dyDescent="0.25">
      <c r="A2419" s="2" t="s">
        <v>7308</v>
      </c>
      <c r="B2419" s="8" t="s">
        <v>17313</v>
      </c>
      <c r="C2419" s="2" t="s">
        <v>7308</v>
      </c>
      <c r="D2419" s="2" t="s">
        <v>7309</v>
      </c>
      <c r="E2419" s="4" t="s">
        <v>26890</v>
      </c>
      <c r="G2419" s="15" t="s">
        <v>26891</v>
      </c>
      <c r="H2419" s="15" t="s">
        <v>26892</v>
      </c>
      <c r="I2419" s="15" t="s">
        <v>26893</v>
      </c>
      <c r="J2419" s="15" t="s">
        <v>386</v>
      </c>
      <c r="K2419" s="15">
        <v>6335317</v>
      </c>
      <c r="L2419" s="15" t="s">
        <v>19099</v>
      </c>
    </row>
    <row r="2420" spans="1:12" x14ac:dyDescent="0.25">
      <c r="A2420" s="2" t="s">
        <v>7311</v>
      </c>
      <c r="B2420" s="8" t="s">
        <v>17314</v>
      </c>
      <c r="C2420" s="2" t="s">
        <v>7311</v>
      </c>
      <c r="D2420" s="2" t="s">
        <v>7312</v>
      </c>
      <c r="E2420" s="4" t="s">
        <v>26894</v>
      </c>
      <c r="G2420" s="15" t="s">
        <v>26895</v>
      </c>
      <c r="H2420" s="15" t="s">
        <v>26896</v>
      </c>
      <c r="I2420" s="15" t="s">
        <v>26897</v>
      </c>
      <c r="J2420" s="15" t="s">
        <v>386</v>
      </c>
      <c r="K2420" s="15">
        <v>6335314</v>
      </c>
      <c r="L2420" s="15" t="s">
        <v>19099</v>
      </c>
    </row>
    <row r="2421" spans="1:12" x14ac:dyDescent="0.25">
      <c r="A2421" s="2" t="s">
        <v>7314</v>
      </c>
      <c r="B2421" s="8" t="s">
        <v>17316</v>
      </c>
      <c r="C2421" s="2" t="s">
        <v>7314</v>
      </c>
      <c r="D2421" s="2" t="s">
        <v>7315</v>
      </c>
      <c r="E2421" s="4" t="s">
        <v>7315</v>
      </c>
      <c r="G2421" s="15" t="s">
        <v>26898</v>
      </c>
      <c r="H2421" s="15" t="s">
        <v>26899</v>
      </c>
      <c r="I2421" s="15" t="s">
        <v>26900</v>
      </c>
      <c r="J2421" s="15" t="s">
        <v>266</v>
      </c>
      <c r="K2421" s="15">
        <v>107673</v>
      </c>
      <c r="L2421" s="15" t="s">
        <v>19099</v>
      </c>
    </row>
    <row r="2422" spans="1:12" x14ac:dyDescent="0.25">
      <c r="A2422" s="2" t="s">
        <v>7317</v>
      </c>
      <c r="B2422" s="8" t="s">
        <v>17318</v>
      </c>
      <c r="C2422" s="2" t="s">
        <v>7317</v>
      </c>
      <c r="D2422" s="2" t="s">
        <v>7318</v>
      </c>
      <c r="E2422" s="4" t="s">
        <v>26901</v>
      </c>
      <c r="G2422" s="15" t="s">
        <v>26902</v>
      </c>
      <c r="H2422" s="15" t="s">
        <v>26903</v>
      </c>
      <c r="I2422" s="15" t="s">
        <v>26904</v>
      </c>
      <c r="J2422" s="15" t="s">
        <v>318</v>
      </c>
      <c r="K2422" s="15">
        <v>6328176</v>
      </c>
      <c r="L2422" s="15" t="s">
        <v>19099</v>
      </c>
    </row>
    <row r="2423" spans="1:12" x14ac:dyDescent="0.25">
      <c r="A2423" s="2" t="s">
        <v>7320</v>
      </c>
      <c r="B2423" s="8" t="s">
        <v>17319</v>
      </c>
      <c r="C2423" s="2" t="s">
        <v>7320</v>
      </c>
      <c r="D2423" s="2" t="s">
        <v>7321</v>
      </c>
      <c r="E2423" s="4" t="s">
        <v>26905</v>
      </c>
      <c r="G2423" s="15" t="s">
        <v>26905</v>
      </c>
      <c r="H2423" s="15" t="s">
        <v>26906</v>
      </c>
      <c r="I2423" s="15" t="s">
        <v>26907</v>
      </c>
      <c r="J2423" s="15" t="s">
        <v>26908</v>
      </c>
      <c r="K2423" s="15">
        <v>1090</v>
      </c>
      <c r="L2423" s="15" t="s">
        <v>19099</v>
      </c>
    </row>
    <row r="2424" spans="1:12" x14ac:dyDescent="0.25">
      <c r="A2424" s="2" t="s">
        <v>7323</v>
      </c>
      <c r="B2424" s="8" t="s">
        <v>17320</v>
      </c>
      <c r="C2424" s="2" t="s">
        <v>7323</v>
      </c>
      <c r="D2424" s="2" t="s">
        <v>7324</v>
      </c>
      <c r="E2424" s="4" t="s">
        <v>26909</v>
      </c>
      <c r="G2424" s="15" t="s">
        <v>26909</v>
      </c>
      <c r="H2424" s="15" t="s">
        <v>26910</v>
      </c>
      <c r="I2424" s="15" t="s">
        <v>26911</v>
      </c>
      <c r="J2424" s="15" t="s">
        <v>26912</v>
      </c>
      <c r="K2424" s="15">
        <v>26473</v>
      </c>
      <c r="L2424" s="15" t="s">
        <v>19099</v>
      </c>
    </row>
    <row r="2425" spans="1:12" x14ac:dyDescent="0.25">
      <c r="A2425" s="2" t="s">
        <v>7326</v>
      </c>
      <c r="B2425" s="8" t="s">
        <v>17325</v>
      </c>
      <c r="C2425" s="2" t="s">
        <v>7326</v>
      </c>
      <c r="D2425" s="2" t="s">
        <v>7327</v>
      </c>
      <c r="E2425" s="4" t="s">
        <v>26913</v>
      </c>
      <c r="G2425" s="15" t="s">
        <v>26914</v>
      </c>
      <c r="H2425" s="15" t="s">
        <v>26915</v>
      </c>
      <c r="I2425" s="15" t="s">
        <v>26916</v>
      </c>
      <c r="J2425" s="15" t="s">
        <v>26917</v>
      </c>
      <c r="K2425" s="15">
        <v>11140605</v>
      </c>
      <c r="L2425" s="15" t="s">
        <v>19099</v>
      </c>
    </row>
    <row r="2426" spans="1:12" x14ac:dyDescent="0.25">
      <c r="A2426" s="2" t="s">
        <v>7329</v>
      </c>
      <c r="B2426" s="8" t="s">
        <v>17327</v>
      </c>
      <c r="C2426" s="2" t="s">
        <v>7329</v>
      </c>
      <c r="D2426" s="2" t="s">
        <v>7330</v>
      </c>
      <c r="E2426" s="4" t="s">
        <v>7330</v>
      </c>
      <c r="G2426" s="15" t="s">
        <v>26918</v>
      </c>
      <c r="H2426" s="15" t="s">
        <v>26919</v>
      </c>
      <c r="I2426" s="15" t="s">
        <v>26920</v>
      </c>
      <c r="J2426" s="15" t="s">
        <v>382</v>
      </c>
      <c r="K2426" s="15">
        <v>6335514</v>
      </c>
      <c r="L2426" s="15" t="s">
        <v>19099</v>
      </c>
    </row>
    <row r="2427" spans="1:12" x14ac:dyDescent="0.25">
      <c r="A2427" s="2" t="s">
        <v>7332</v>
      </c>
      <c r="B2427" s="8" t="s">
        <v>17328</v>
      </c>
      <c r="C2427" s="2" t="s">
        <v>7332</v>
      </c>
      <c r="D2427" s="2" t="s">
        <v>7333</v>
      </c>
      <c r="E2427" s="4" t="s">
        <v>7333</v>
      </c>
      <c r="G2427" s="15" t="s">
        <v>26921</v>
      </c>
      <c r="H2427" s="15" t="s">
        <v>26922</v>
      </c>
      <c r="I2427" s="15" t="s">
        <v>26923</v>
      </c>
      <c r="J2427" s="15" t="s">
        <v>382</v>
      </c>
      <c r="K2427" s="15">
        <v>6336618</v>
      </c>
      <c r="L2427" s="15" t="s">
        <v>19099</v>
      </c>
    </row>
    <row r="2428" spans="1:12" x14ac:dyDescent="0.25">
      <c r="A2428" s="2" t="s">
        <v>7335</v>
      </c>
      <c r="B2428" s="8" t="s">
        <v>17330</v>
      </c>
      <c r="C2428" s="2" t="s">
        <v>7335</v>
      </c>
      <c r="D2428" s="2" t="s">
        <v>7336</v>
      </c>
      <c r="E2428" s="4" t="s">
        <v>7336</v>
      </c>
      <c r="G2428" s="15" t="s">
        <v>26924</v>
      </c>
      <c r="H2428" s="15" t="s">
        <v>26925</v>
      </c>
      <c r="I2428" s="15" t="s">
        <v>26926</v>
      </c>
      <c r="J2428" s="15" t="s">
        <v>334</v>
      </c>
      <c r="K2428" s="15">
        <v>5464271</v>
      </c>
      <c r="L2428" s="15" t="s">
        <v>19099</v>
      </c>
    </row>
    <row r="2429" spans="1:12" x14ac:dyDescent="0.25">
      <c r="A2429" s="2" t="s">
        <v>7338</v>
      </c>
      <c r="B2429" s="8" t="s">
        <v>17331</v>
      </c>
      <c r="C2429" s="2" t="s">
        <v>7338</v>
      </c>
      <c r="D2429" s="2" t="s">
        <v>7339</v>
      </c>
      <c r="E2429" s="4" t="s">
        <v>7339</v>
      </c>
      <c r="G2429" s="15" t="s">
        <v>13166</v>
      </c>
      <c r="H2429" s="15" t="s">
        <v>26927</v>
      </c>
      <c r="I2429" s="15" t="s">
        <v>26928</v>
      </c>
      <c r="J2429" s="15" t="s">
        <v>334</v>
      </c>
      <c r="K2429" s="15">
        <v>5388880</v>
      </c>
      <c r="L2429" s="15" t="s">
        <v>19099</v>
      </c>
    </row>
    <row r="2430" spans="1:12" x14ac:dyDescent="0.25">
      <c r="A2430" s="2" t="s">
        <v>7341</v>
      </c>
      <c r="B2430" s="8" t="s">
        <v>17332</v>
      </c>
      <c r="C2430" s="2" t="s">
        <v>7341</v>
      </c>
      <c r="D2430" s="2" t="s">
        <v>7342</v>
      </c>
      <c r="E2430" s="4" t="s">
        <v>7342</v>
      </c>
      <c r="G2430" s="15" t="s">
        <v>13167</v>
      </c>
      <c r="H2430" s="15" t="s">
        <v>26929</v>
      </c>
      <c r="I2430" s="15" t="s">
        <v>26930</v>
      </c>
      <c r="J2430" s="15" t="s">
        <v>334</v>
      </c>
      <c r="K2430" s="15">
        <v>5486204</v>
      </c>
      <c r="L2430" s="15" t="s">
        <v>19099</v>
      </c>
    </row>
    <row r="2431" spans="1:12" x14ac:dyDescent="0.25">
      <c r="A2431" s="2" t="s">
        <v>7344</v>
      </c>
      <c r="B2431" s="8" t="s">
        <v>16180</v>
      </c>
      <c r="C2431" s="2" t="s">
        <v>7344</v>
      </c>
      <c r="D2431" s="2" t="s">
        <v>7345</v>
      </c>
      <c r="E2431" s="4" t="s">
        <v>26931</v>
      </c>
    </row>
    <row r="2432" spans="1:12" x14ac:dyDescent="0.25">
      <c r="A2432" s="2" t="s">
        <v>7346</v>
      </c>
      <c r="B2432" s="8" t="s">
        <v>16180</v>
      </c>
      <c r="C2432" s="2" t="s">
        <v>7346</v>
      </c>
      <c r="D2432" s="2" t="s">
        <v>7347</v>
      </c>
      <c r="E2432" s="4" t="s">
        <v>26932</v>
      </c>
    </row>
    <row r="2433" spans="1:12" ht="30" customHeight="1" x14ac:dyDescent="0.25">
      <c r="A2433" s="2" t="s">
        <v>7348</v>
      </c>
      <c r="B2433" s="8" t="s">
        <v>16180</v>
      </c>
      <c r="C2433" s="2" t="s">
        <v>7348</v>
      </c>
      <c r="D2433" s="2" t="s">
        <v>7349</v>
      </c>
      <c r="E2433" s="4" t="s">
        <v>26933</v>
      </c>
    </row>
    <row r="2434" spans="1:12" x14ac:dyDescent="0.25">
      <c r="A2434" s="2" t="s">
        <v>7350</v>
      </c>
      <c r="B2434" s="8" t="s">
        <v>17333</v>
      </c>
      <c r="C2434" s="2" t="s">
        <v>7350</v>
      </c>
      <c r="D2434" s="2" t="s">
        <v>7351</v>
      </c>
      <c r="E2434" s="4" t="s">
        <v>26934</v>
      </c>
      <c r="G2434" s="15" t="s">
        <v>26935</v>
      </c>
      <c r="H2434" s="15" t="s">
        <v>26936</v>
      </c>
      <c r="I2434" s="15" t="s">
        <v>26937</v>
      </c>
      <c r="J2434" s="15" t="s">
        <v>26938</v>
      </c>
      <c r="K2434" s="15">
        <v>8295</v>
      </c>
      <c r="L2434" s="15" t="s">
        <v>19099</v>
      </c>
    </row>
    <row r="2435" spans="1:12" x14ac:dyDescent="0.25">
      <c r="A2435" s="2" t="s">
        <v>7353</v>
      </c>
      <c r="B2435" s="8" t="s">
        <v>17334</v>
      </c>
      <c r="C2435" s="2" t="s">
        <v>7353</v>
      </c>
      <c r="D2435" s="2" t="s">
        <v>7354</v>
      </c>
      <c r="E2435" s="4" t="s">
        <v>26939</v>
      </c>
      <c r="G2435" s="15" t="s">
        <v>26940</v>
      </c>
      <c r="H2435" s="15" t="s">
        <v>26941</v>
      </c>
      <c r="I2435" s="15" t="s">
        <v>26942</v>
      </c>
      <c r="J2435" s="15" t="s">
        <v>26943</v>
      </c>
      <c r="K2435" s="15">
        <v>6618</v>
      </c>
      <c r="L2435" s="15" t="s">
        <v>19099</v>
      </c>
    </row>
    <row r="2436" spans="1:12" x14ac:dyDescent="0.25">
      <c r="A2436" s="2" t="s">
        <v>7356</v>
      </c>
      <c r="B2436" s="8" t="s">
        <v>17335</v>
      </c>
      <c r="C2436" s="2" t="s">
        <v>7356</v>
      </c>
      <c r="D2436" s="2" t="s">
        <v>7357</v>
      </c>
      <c r="E2436" s="4" t="s">
        <v>26944</v>
      </c>
      <c r="G2436" s="15" t="s">
        <v>26945</v>
      </c>
      <c r="H2436" s="15" t="s">
        <v>26946</v>
      </c>
      <c r="I2436" s="15" t="s">
        <v>26947</v>
      </c>
      <c r="J2436" s="15" t="s">
        <v>26948</v>
      </c>
      <c r="K2436" s="15">
        <v>7031</v>
      </c>
      <c r="L2436" s="15" t="s">
        <v>19099</v>
      </c>
    </row>
    <row r="2437" spans="1:12" x14ac:dyDescent="0.25">
      <c r="A2437" s="2" t="s">
        <v>7359</v>
      </c>
      <c r="B2437" s="8" t="s">
        <v>17336</v>
      </c>
      <c r="C2437" s="2" t="s">
        <v>7359</v>
      </c>
      <c r="D2437" s="2" t="s">
        <v>7360</v>
      </c>
      <c r="E2437" s="4" t="s">
        <v>26949</v>
      </c>
      <c r="G2437" s="15" t="s">
        <v>26950</v>
      </c>
      <c r="H2437" s="15" t="s">
        <v>26951</v>
      </c>
      <c r="I2437" s="15" t="s">
        <v>26952</v>
      </c>
      <c r="J2437" s="15" t="s">
        <v>26953</v>
      </c>
      <c r="K2437" s="15">
        <v>79372</v>
      </c>
      <c r="L2437" s="15" t="s">
        <v>19099</v>
      </c>
    </row>
    <row r="2438" spans="1:12" x14ac:dyDescent="0.25">
      <c r="A2438" s="2" t="s">
        <v>7362</v>
      </c>
      <c r="B2438" s="8" t="s">
        <v>17337</v>
      </c>
      <c r="C2438" s="2" t="s">
        <v>7362</v>
      </c>
      <c r="D2438" s="2" t="s">
        <v>7363</v>
      </c>
      <c r="E2438" s="4" t="s">
        <v>26954</v>
      </c>
      <c r="G2438" s="15" t="s">
        <v>19216</v>
      </c>
      <c r="H2438" s="15" t="s">
        <v>19217</v>
      </c>
      <c r="I2438" s="15" t="s">
        <v>19218</v>
      </c>
      <c r="J2438" s="15" t="s">
        <v>19219</v>
      </c>
      <c r="K2438" s="15">
        <v>10263</v>
      </c>
      <c r="L2438" s="15" t="s">
        <v>19099</v>
      </c>
    </row>
    <row r="2439" spans="1:12" x14ac:dyDescent="0.25">
      <c r="A2439" s="2" t="s">
        <v>7365</v>
      </c>
      <c r="B2439" s="8" t="s">
        <v>17338</v>
      </c>
      <c r="C2439" s="2" t="s">
        <v>7365</v>
      </c>
      <c r="D2439" s="2" t="s">
        <v>7366</v>
      </c>
      <c r="E2439" s="4" t="s">
        <v>26955</v>
      </c>
      <c r="G2439" s="15" t="s">
        <v>26956</v>
      </c>
      <c r="H2439" s="15" t="s">
        <v>26957</v>
      </c>
      <c r="I2439" s="15" t="s">
        <v>26958</v>
      </c>
      <c r="J2439" s="15" t="s">
        <v>26959</v>
      </c>
      <c r="K2439" s="15">
        <v>6379</v>
      </c>
      <c r="L2439" s="15" t="s">
        <v>19099</v>
      </c>
    </row>
    <row r="2440" spans="1:12" x14ac:dyDescent="0.25">
      <c r="A2440" s="2" t="s">
        <v>7368</v>
      </c>
      <c r="B2440" s="8" t="s">
        <v>17339</v>
      </c>
      <c r="C2440" s="2" t="s">
        <v>7368</v>
      </c>
      <c r="D2440" s="2" t="s">
        <v>7369</v>
      </c>
      <c r="E2440" s="4" t="s">
        <v>26960</v>
      </c>
      <c r="G2440" s="15" t="s">
        <v>26961</v>
      </c>
      <c r="H2440" s="15" t="s">
        <v>26962</v>
      </c>
      <c r="I2440" s="15" t="s">
        <v>26963</v>
      </c>
      <c r="J2440" s="15" t="s">
        <v>26964</v>
      </c>
      <c r="K2440" s="15">
        <v>6511</v>
      </c>
      <c r="L2440" s="15" t="s">
        <v>19099</v>
      </c>
    </row>
    <row r="2441" spans="1:12" x14ac:dyDescent="0.25">
      <c r="A2441" s="2" t="s">
        <v>7371</v>
      </c>
      <c r="B2441" s="8" t="s">
        <v>17340</v>
      </c>
      <c r="C2441" s="2" t="s">
        <v>7371</v>
      </c>
      <c r="D2441" s="2" t="s">
        <v>7372</v>
      </c>
      <c r="E2441" s="4" t="s">
        <v>26965</v>
      </c>
      <c r="G2441" s="15" t="s">
        <v>26966</v>
      </c>
      <c r="H2441" s="15" t="s">
        <v>26967</v>
      </c>
      <c r="I2441" s="15" t="s">
        <v>26968</v>
      </c>
      <c r="J2441" s="15" t="s">
        <v>26969</v>
      </c>
      <c r="K2441" s="15">
        <v>8197</v>
      </c>
      <c r="L2441" s="15" t="s">
        <v>19099</v>
      </c>
    </row>
    <row r="2442" spans="1:12" x14ac:dyDescent="0.25">
      <c r="A2442" s="2" t="s">
        <v>7374</v>
      </c>
      <c r="B2442" s="8" t="s">
        <v>17341</v>
      </c>
      <c r="C2442" s="2" t="s">
        <v>7374</v>
      </c>
      <c r="D2442" s="2" t="s">
        <v>7375</v>
      </c>
      <c r="E2442" s="4" t="s">
        <v>26970</v>
      </c>
      <c r="G2442" s="15" t="s">
        <v>26971</v>
      </c>
      <c r="H2442" s="15" t="s">
        <v>26972</v>
      </c>
      <c r="I2442" s="15" t="s">
        <v>26973</v>
      </c>
      <c r="J2442" s="15" t="s">
        <v>26974</v>
      </c>
      <c r="K2442" s="15">
        <v>74745</v>
      </c>
      <c r="L2442" s="15" t="s">
        <v>19099</v>
      </c>
    </row>
    <row r="2443" spans="1:12" x14ac:dyDescent="0.25">
      <c r="A2443" s="2" t="s">
        <v>7377</v>
      </c>
      <c r="B2443" s="8" t="s">
        <v>17342</v>
      </c>
      <c r="C2443" s="2" t="s">
        <v>7377</v>
      </c>
      <c r="D2443" s="2" t="s">
        <v>7378</v>
      </c>
      <c r="E2443" s="4" t="s">
        <v>26975</v>
      </c>
      <c r="G2443" s="15" t="s">
        <v>26976</v>
      </c>
      <c r="H2443" s="15" t="s">
        <v>26977</v>
      </c>
      <c r="I2443" s="15" t="s">
        <v>26978</v>
      </c>
      <c r="J2443" s="15" t="s">
        <v>26979</v>
      </c>
      <c r="K2443" s="15">
        <v>70681</v>
      </c>
      <c r="L2443" s="15" t="s">
        <v>19099</v>
      </c>
    </row>
    <row r="2444" spans="1:12" x14ac:dyDescent="0.25">
      <c r="A2444" s="2" t="s">
        <v>7380</v>
      </c>
      <c r="B2444" s="8" t="s">
        <v>17343</v>
      </c>
      <c r="C2444" s="2" t="s">
        <v>7380</v>
      </c>
      <c r="D2444" s="2" t="s">
        <v>7381</v>
      </c>
      <c r="E2444" s="4" t="s">
        <v>7381</v>
      </c>
      <c r="G2444" s="15" t="s">
        <v>26980</v>
      </c>
      <c r="H2444" s="15" t="s">
        <v>26981</v>
      </c>
      <c r="I2444" s="15" t="s">
        <v>26982</v>
      </c>
      <c r="J2444" s="15" t="s">
        <v>26983</v>
      </c>
      <c r="K2444" s="15">
        <v>15098</v>
      </c>
      <c r="L2444" s="15" t="s">
        <v>19099</v>
      </c>
    </row>
    <row r="2445" spans="1:12" x14ac:dyDescent="0.25">
      <c r="A2445" s="2" t="s">
        <v>7383</v>
      </c>
      <c r="B2445" s="8" t="s">
        <v>17344</v>
      </c>
      <c r="C2445" s="2" t="s">
        <v>7383</v>
      </c>
      <c r="D2445" s="2" t="s">
        <v>7384</v>
      </c>
      <c r="E2445" s="4" t="s">
        <v>26984</v>
      </c>
      <c r="G2445" s="15" t="s">
        <v>19267</v>
      </c>
      <c r="H2445" s="15" t="s">
        <v>19268</v>
      </c>
      <c r="I2445" s="15" t="s">
        <v>19269</v>
      </c>
      <c r="J2445" s="15" t="s">
        <v>19224</v>
      </c>
      <c r="K2445" s="15">
        <v>7270</v>
      </c>
      <c r="L2445" s="15" t="s">
        <v>19099</v>
      </c>
    </row>
    <row r="2446" spans="1:12" x14ac:dyDescent="0.25">
      <c r="A2446" s="2" t="s">
        <v>7386</v>
      </c>
      <c r="B2446" s="8" t="s">
        <v>17345</v>
      </c>
      <c r="C2446" s="2" t="s">
        <v>7386</v>
      </c>
      <c r="D2446" s="2" t="s">
        <v>7387</v>
      </c>
      <c r="E2446" s="4" t="s">
        <v>26985</v>
      </c>
      <c r="G2446" s="15" t="s">
        <v>26986</v>
      </c>
      <c r="H2446" s="15" t="s">
        <v>26987</v>
      </c>
      <c r="I2446" s="15" t="s">
        <v>26988</v>
      </c>
      <c r="J2446" s="15" t="s">
        <v>26989</v>
      </c>
      <c r="K2446" s="15">
        <v>5943</v>
      </c>
      <c r="L2446" s="15" t="s">
        <v>19099</v>
      </c>
    </row>
    <row r="2447" spans="1:12" x14ac:dyDescent="0.25">
      <c r="A2447" s="2" t="s">
        <v>7389</v>
      </c>
      <c r="B2447" s="8" t="s">
        <v>17346</v>
      </c>
      <c r="C2447" s="2" t="s">
        <v>7389</v>
      </c>
      <c r="D2447" s="2" t="s">
        <v>7390</v>
      </c>
      <c r="E2447" s="4" t="s">
        <v>26990</v>
      </c>
      <c r="G2447" s="15" t="s">
        <v>19153</v>
      </c>
      <c r="H2447" s="15" t="s">
        <v>19154</v>
      </c>
      <c r="I2447" s="15" t="s">
        <v>19155</v>
      </c>
      <c r="J2447" s="15" t="s">
        <v>19142</v>
      </c>
      <c r="K2447" s="15">
        <v>6591</v>
      </c>
      <c r="L2447" s="15" t="s">
        <v>19099</v>
      </c>
    </row>
    <row r="2448" spans="1:12" x14ac:dyDescent="0.25">
      <c r="A2448" s="2" t="s">
        <v>7392</v>
      </c>
      <c r="B2448" s="8" t="s">
        <v>17347</v>
      </c>
      <c r="C2448" s="2" t="s">
        <v>7392</v>
      </c>
      <c r="D2448" s="2" t="s">
        <v>7393</v>
      </c>
      <c r="E2448" s="4" t="s">
        <v>26991</v>
      </c>
      <c r="G2448" s="15" t="s">
        <v>26992</v>
      </c>
      <c r="H2448" s="15" t="s">
        <v>26993</v>
      </c>
      <c r="I2448" s="15" t="s">
        <v>26994</v>
      </c>
      <c r="J2448" s="15" t="s">
        <v>26995</v>
      </c>
      <c r="K2448" s="15">
        <v>6420</v>
      </c>
      <c r="L2448" s="15" t="s">
        <v>19099</v>
      </c>
    </row>
    <row r="2449" spans="1:12" x14ac:dyDescent="0.25">
      <c r="A2449" s="2" t="s">
        <v>7395</v>
      </c>
      <c r="B2449" s="8" t="s">
        <v>17348</v>
      </c>
      <c r="C2449" s="2" t="s">
        <v>7395</v>
      </c>
      <c r="D2449" s="2" t="s">
        <v>7396</v>
      </c>
      <c r="E2449" s="4" t="s">
        <v>26996</v>
      </c>
      <c r="G2449" s="15" t="s">
        <v>26997</v>
      </c>
      <c r="H2449" s="15" t="s">
        <v>26998</v>
      </c>
      <c r="I2449" s="15" t="s">
        <v>26999</v>
      </c>
      <c r="J2449" s="15" t="s">
        <v>27000</v>
      </c>
      <c r="K2449" s="15">
        <v>31373</v>
      </c>
      <c r="L2449" s="15" t="s">
        <v>19099</v>
      </c>
    </row>
    <row r="2450" spans="1:12" x14ac:dyDescent="0.25">
      <c r="A2450" s="2" t="s">
        <v>7398</v>
      </c>
      <c r="B2450" s="8" t="s">
        <v>17349</v>
      </c>
      <c r="C2450" s="2" t="s">
        <v>7398</v>
      </c>
      <c r="D2450" s="2" t="s">
        <v>7399</v>
      </c>
      <c r="E2450" s="4" t="s">
        <v>27001</v>
      </c>
      <c r="G2450" s="15" t="s">
        <v>27002</v>
      </c>
      <c r="H2450" s="15" t="s">
        <v>27003</v>
      </c>
      <c r="I2450" s="15" t="s">
        <v>27004</v>
      </c>
      <c r="J2450" s="15" t="s">
        <v>27005</v>
      </c>
      <c r="K2450" s="15">
        <v>29910</v>
      </c>
      <c r="L2450" s="15" t="s">
        <v>19099</v>
      </c>
    </row>
    <row r="2451" spans="1:12" x14ac:dyDescent="0.25">
      <c r="A2451" s="2" t="s">
        <v>7401</v>
      </c>
      <c r="B2451" s="8" t="s">
        <v>17350</v>
      </c>
      <c r="C2451" s="2" t="s">
        <v>7401</v>
      </c>
      <c r="D2451" s="2" t="s">
        <v>7402</v>
      </c>
      <c r="E2451" s="4" t="s">
        <v>27006</v>
      </c>
      <c r="G2451" s="15" t="s">
        <v>27007</v>
      </c>
      <c r="H2451" s="15" t="s">
        <v>27008</v>
      </c>
      <c r="I2451" s="15" t="s">
        <v>27009</v>
      </c>
      <c r="J2451" s="15" t="s">
        <v>27010</v>
      </c>
      <c r="K2451" s="15">
        <v>5284462</v>
      </c>
      <c r="L2451" s="15" t="s">
        <v>19099</v>
      </c>
    </row>
    <row r="2452" spans="1:12" x14ac:dyDescent="0.25">
      <c r="A2452" s="2" t="s">
        <v>7404</v>
      </c>
      <c r="B2452" s="8" t="s">
        <v>17351</v>
      </c>
      <c r="C2452" s="2" t="s">
        <v>7404</v>
      </c>
      <c r="D2452" s="2" t="s">
        <v>7405</v>
      </c>
      <c r="E2452" s="4" t="s">
        <v>7405</v>
      </c>
      <c r="G2452" s="15" t="s">
        <v>27011</v>
      </c>
      <c r="H2452" s="15" t="s">
        <v>27012</v>
      </c>
      <c r="I2452" s="15" t="s">
        <v>27013</v>
      </c>
      <c r="J2452" s="15" t="s">
        <v>27014</v>
      </c>
      <c r="K2452" s="15">
        <v>8305</v>
      </c>
      <c r="L2452" s="15" t="s">
        <v>19099</v>
      </c>
    </row>
    <row r="2453" spans="1:12" x14ac:dyDescent="0.25">
      <c r="A2453" s="2" t="s">
        <v>7407</v>
      </c>
      <c r="B2453" s="8" t="s">
        <v>17352</v>
      </c>
      <c r="C2453" s="2" t="s">
        <v>7407</v>
      </c>
      <c r="D2453" s="2" t="s">
        <v>7408</v>
      </c>
      <c r="E2453" s="4" t="s">
        <v>27015</v>
      </c>
      <c r="G2453" s="15" t="s">
        <v>27016</v>
      </c>
      <c r="H2453" s="15" t="s">
        <v>27017</v>
      </c>
      <c r="I2453" s="15" t="s">
        <v>27018</v>
      </c>
      <c r="J2453" s="15" t="s">
        <v>27019</v>
      </c>
      <c r="K2453" s="15">
        <v>8301</v>
      </c>
      <c r="L2453" s="15" t="s">
        <v>19099</v>
      </c>
    </row>
    <row r="2454" spans="1:12" x14ac:dyDescent="0.25">
      <c r="A2454" s="2" t="s">
        <v>7410</v>
      </c>
      <c r="B2454" s="8" t="s">
        <v>17353</v>
      </c>
      <c r="C2454" s="2" t="s">
        <v>7410</v>
      </c>
      <c r="D2454" s="2" t="s">
        <v>7411</v>
      </c>
      <c r="E2454" s="4" t="s">
        <v>27020</v>
      </c>
      <c r="G2454" s="15" t="s">
        <v>27021</v>
      </c>
      <c r="H2454" s="15" t="s">
        <v>27022</v>
      </c>
      <c r="I2454" s="15" t="s">
        <v>27023</v>
      </c>
      <c r="J2454" s="15" t="s">
        <v>27024</v>
      </c>
      <c r="K2454" s="15">
        <v>92888</v>
      </c>
      <c r="L2454" s="15" t="s">
        <v>19099</v>
      </c>
    </row>
    <row r="2455" spans="1:12" x14ac:dyDescent="0.25">
      <c r="A2455" s="2" t="s">
        <v>7413</v>
      </c>
      <c r="B2455" s="8" t="s">
        <v>17354</v>
      </c>
      <c r="C2455" s="2" t="s">
        <v>7413</v>
      </c>
      <c r="D2455" s="2" t="s">
        <v>7414</v>
      </c>
      <c r="E2455" s="4" t="s">
        <v>27025</v>
      </c>
      <c r="G2455" s="15" t="s">
        <v>26627</v>
      </c>
      <c r="H2455" s="15" t="s">
        <v>26628</v>
      </c>
      <c r="I2455" s="15" t="s">
        <v>26629</v>
      </c>
      <c r="J2455" s="15" t="s">
        <v>19295</v>
      </c>
      <c r="K2455" s="15">
        <v>8028</v>
      </c>
      <c r="L2455" s="15" t="s">
        <v>19099</v>
      </c>
    </row>
    <row r="2456" spans="1:12" x14ac:dyDescent="0.25">
      <c r="A2456" s="2" t="s">
        <v>7416</v>
      </c>
      <c r="B2456" s="8" t="s">
        <v>17355</v>
      </c>
      <c r="C2456" s="2" t="s">
        <v>7416</v>
      </c>
      <c r="D2456" s="2" t="s">
        <v>7417</v>
      </c>
      <c r="E2456" s="4" t="s">
        <v>27026</v>
      </c>
      <c r="G2456" s="15" t="s">
        <v>27027</v>
      </c>
      <c r="H2456" s="15" t="s">
        <v>27028</v>
      </c>
      <c r="I2456" s="15" t="s">
        <v>27029</v>
      </c>
      <c r="J2456" s="15" t="s">
        <v>27030</v>
      </c>
      <c r="K2456" s="15">
        <v>31347</v>
      </c>
      <c r="L2456" s="15" t="s">
        <v>19099</v>
      </c>
    </row>
    <row r="2457" spans="1:12" x14ac:dyDescent="0.25">
      <c r="A2457" s="2" t="s">
        <v>7419</v>
      </c>
      <c r="B2457" s="8" t="s">
        <v>17356</v>
      </c>
      <c r="C2457" s="2" t="s">
        <v>7419</v>
      </c>
      <c r="D2457" s="2" t="s">
        <v>7420</v>
      </c>
      <c r="E2457" s="4" t="s">
        <v>27031</v>
      </c>
      <c r="G2457" s="15" t="s">
        <v>27032</v>
      </c>
      <c r="H2457" s="15" t="s">
        <v>27033</v>
      </c>
      <c r="I2457" s="15" t="s">
        <v>27034</v>
      </c>
      <c r="J2457" s="15" t="s">
        <v>27035</v>
      </c>
      <c r="K2457" s="15">
        <v>1127</v>
      </c>
      <c r="L2457" s="15" t="s">
        <v>19099</v>
      </c>
    </row>
    <row r="2458" spans="1:12" x14ac:dyDescent="0.25">
      <c r="A2458" s="2" t="s">
        <v>7422</v>
      </c>
      <c r="B2458" s="8" t="s">
        <v>17357</v>
      </c>
      <c r="C2458" s="2" t="s">
        <v>7422</v>
      </c>
      <c r="D2458" s="2" t="s">
        <v>7423</v>
      </c>
      <c r="E2458" s="4" t="s">
        <v>7423</v>
      </c>
      <c r="G2458" s="15" t="s">
        <v>27036</v>
      </c>
      <c r="H2458" s="15" t="s">
        <v>27037</v>
      </c>
      <c r="I2458" s="15" t="s">
        <v>27038</v>
      </c>
      <c r="J2458" s="15" t="s">
        <v>27039</v>
      </c>
      <c r="K2458" s="15">
        <v>54675776</v>
      </c>
      <c r="L2458" s="15" t="s">
        <v>19099</v>
      </c>
    </row>
    <row r="2459" spans="1:12" x14ac:dyDescent="0.25">
      <c r="A2459" s="2" t="s">
        <v>7425</v>
      </c>
      <c r="B2459" s="8" t="s">
        <v>17358</v>
      </c>
      <c r="C2459" s="2" t="s">
        <v>7425</v>
      </c>
      <c r="D2459" s="2" t="s">
        <v>7426</v>
      </c>
      <c r="E2459" s="4" t="s">
        <v>27040</v>
      </c>
      <c r="G2459" s="15" t="s">
        <v>27041</v>
      </c>
      <c r="H2459" s="15" t="s">
        <v>27042</v>
      </c>
      <c r="I2459" s="15" t="s">
        <v>27043</v>
      </c>
      <c r="J2459" s="15" t="s">
        <v>27044</v>
      </c>
      <c r="K2459" s="15">
        <v>80277</v>
      </c>
      <c r="L2459" s="15" t="s">
        <v>19099</v>
      </c>
    </row>
    <row r="2460" spans="1:12" x14ac:dyDescent="0.25">
      <c r="A2460" s="2" t="s">
        <v>7428</v>
      </c>
      <c r="B2460" s="8" t="s">
        <v>17359</v>
      </c>
      <c r="C2460" s="2" t="s">
        <v>7428</v>
      </c>
      <c r="D2460" s="2" t="s">
        <v>7429</v>
      </c>
      <c r="E2460" s="4" t="s">
        <v>7429</v>
      </c>
      <c r="G2460" s="15" t="s">
        <v>27045</v>
      </c>
      <c r="H2460" s="15" t="s">
        <v>27046</v>
      </c>
      <c r="I2460" s="15" t="s">
        <v>27047</v>
      </c>
      <c r="J2460" s="15" t="s">
        <v>27048</v>
      </c>
      <c r="K2460" s="15">
        <v>54704426</v>
      </c>
      <c r="L2460" s="15" t="s">
        <v>19099</v>
      </c>
    </row>
    <row r="2461" spans="1:12" x14ac:dyDescent="0.25">
      <c r="A2461" s="2" t="s">
        <v>7431</v>
      </c>
      <c r="B2461" s="8" t="s">
        <v>17360</v>
      </c>
      <c r="C2461" s="2" t="s">
        <v>7431</v>
      </c>
      <c r="D2461" s="2" t="s">
        <v>7432</v>
      </c>
      <c r="E2461" s="4" t="s">
        <v>27049</v>
      </c>
      <c r="G2461" s="15" t="s">
        <v>27050</v>
      </c>
      <c r="H2461" s="15" t="s">
        <v>27051</v>
      </c>
      <c r="I2461" s="15" t="s">
        <v>27052</v>
      </c>
      <c r="J2461" s="15" t="s">
        <v>27053</v>
      </c>
      <c r="K2461" s="15">
        <v>41478</v>
      </c>
      <c r="L2461" s="15" t="s">
        <v>19099</v>
      </c>
    </row>
    <row r="2462" spans="1:12" x14ac:dyDescent="0.25">
      <c r="A2462" s="2" t="s">
        <v>7434</v>
      </c>
      <c r="B2462" s="8" t="s">
        <v>17361</v>
      </c>
      <c r="C2462" s="2" t="s">
        <v>7434</v>
      </c>
      <c r="D2462" s="2" t="s">
        <v>7435</v>
      </c>
      <c r="E2462" s="4" t="s">
        <v>7435</v>
      </c>
      <c r="G2462" s="15" t="s">
        <v>27054</v>
      </c>
      <c r="H2462" s="15" t="s">
        <v>27055</v>
      </c>
      <c r="I2462" s="15" t="s">
        <v>27056</v>
      </c>
      <c r="J2462" s="15" t="s">
        <v>27057</v>
      </c>
      <c r="K2462" s="15">
        <v>83975</v>
      </c>
      <c r="L2462" s="15" t="s">
        <v>19099</v>
      </c>
    </row>
    <row r="2463" spans="1:12" x14ac:dyDescent="0.25">
      <c r="A2463" s="2" t="s">
        <v>7437</v>
      </c>
      <c r="B2463" s="8" t="s">
        <v>17362</v>
      </c>
      <c r="C2463" s="2" t="s">
        <v>7437</v>
      </c>
      <c r="D2463" s="2" t="s">
        <v>7438</v>
      </c>
      <c r="E2463" s="4" t="s">
        <v>7438</v>
      </c>
      <c r="G2463" s="15" t="s">
        <v>27058</v>
      </c>
      <c r="H2463" s="15" t="s">
        <v>27059</v>
      </c>
      <c r="I2463" s="15" t="s">
        <v>27060</v>
      </c>
      <c r="J2463" s="15" t="s">
        <v>27061</v>
      </c>
      <c r="K2463" s="15">
        <v>16685</v>
      </c>
      <c r="L2463" s="15" t="s">
        <v>19099</v>
      </c>
    </row>
    <row r="2464" spans="1:12" x14ac:dyDescent="0.25">
      <c r="A2464" s="2" t="s">
        <v>7440</v>
      </c>
      <c r="B2464" s="8" t="s">
        <v>17363</v>
      </c>
      <c r="C2464" s="2" t="s">
        <v>7440</v>
      </c>
      <c r="D2464" s="2" t="s">
        <v>7441</v>
      </c>
      <c r="E2464" s="4" t="s">
        <v>27062</v>
      </c>
      <c r="G2464" s="15" t="s">
        <v>27063</v>
      </c>
      <c r="H2464" s="15" t="s">
        <v>27064</v>
      </c>
      <c r="I2464" s="15" t="s">
        <v>27065</v>
      </c>
      <c r="J2464" s="15" t="s">
        <v>27066</v>
      </c>
      <c r="K2464" s="15">
        <v>66347</v>
      </c>
      <c r="L2464" s="15" t="s">
        <v>19099</v>
      </c>
    </row>
    <row r="2465" spans="1:12" x14ac:dyDescent="0.25">
      <c r="A2465" s="2" t="s">
        <v>7443</v>
      </c>
      <c r="B2465" s="8" t="s">
        <v>16180</v>
      </c>
      <c r="C2465" s="2" t="s">
        <v>7443</v>
      </c>
      <c r="D2465" s="2" t="s">
        <v>7444</v>
      </c>
      <c r="E2465" s="4" t="s">
        <v>27067</v>
      </c>
    </row>
    <row r="2466" spans="1:12" x14ac:dyDescent="0.25">
      <c r="A2466" s="2" t="s">
        <v>7445</v>
      </c>
      <c r="B2466" s="8" t="s">
        <v>16180</v>
      </c>
      <c r="C2466" s="2" t="s">
        <v>7445</v>
      </c>
      <c r="D2466" s="2" t="s">
        <v>7446</v>
      </c>
      <c r="E2466" s="4" t="s">
        <v>27068</v>
      </c>
    </row>
    <row r="2467" spans="1:12" x14ac:dyDescent="0.25">
      <c r="A2467" s="2" t="s">
        <v>7447</v>
      </c>
      <c r="B2467" s="8" t="s">
        <v>16180</v>
      </c>
      <c r="C2467" s="2" t="s">
        <v>7447</v>
      </c>
      <c r="D2467" s="2" t="s">
        <v>7448</v>
      </c>
      <c r="E2467" s="4" t="s">
        <v>27069</v>
      </c>
    </row>
    <row r="2468" spans="1:12" x14ac:dyDescent="0.25">
      <c r="A2468" s="2" t="s">
        <v>7449</v>
      </c>
      <c r="B2468" s="8" t="s">
        <v>17364</v>
      </c>
      <c r="C2468" s="2" t="s">
        <v>7449</v>
      </c>
      <c r="D2468" s="2" t="s">
        <v>7450</v>
      </c>
      <c r="E2468" s="4" t="s">
        <v>27070</v>
      </c>
      <c r="G2468" s="15" t="s">
        <v>27071</v>
      </c>
      <c r="H2468" s="15" t="s">
        <v>27072</v>
      </c>
      <c r="I2468" s="15" t="s">
        <v>27073</v>
      </c>
      <c r="J2468" s="15" t="s">
        <v>27074</v>
      </c>
      <c r="K2468" s="15">
        <v>37841</v>
      </c>
      <c r="L2468" s="15" t="s">
        <v>19099</v>
      </c>
    </row>
    <row r="2469" spans="1:12" x14ac:dyDescent="0.25">
      <c r="A2469" s="2" t="s">
        <v>7452</v>
      </c>
      <c r="B2469" s="8" t="s">
        <v>17365</v>
      </c>
      <c r="C2469" s="2" t="s">
        <v>7452</v>
      </c>
      <c r="D2469" s="2" t="s">
        <v>7453</v>
      </c>
      <c r="E2469" s="4" t="s">
        <v>27075</v>
      </c>
      <c r="G2469" s="15" t="s">
        <v>27076</v>
      </c>
      <c r="H2469" s="15" t="s">
        <v>27077</v>
      </c>
      <c r="I2469" s="15" t="s">
        <v>27078</v>
      </c>
      <c r="J2469" s="15" t="s">
        <v>27079</v>
      </c>
      <c r="K2469" s="15">
        <v>5558</v>
      </c>
      <c r="L2469" s="15" t="s">
        <v>19099</v>
      </c>
    </row>
    <row r="2470" spans="1:12" x14ac:dyDescent="0.25">
      <c r="A2470" s="2" t="s">
        <v>7455</v>
      </c>
      <c r="B2470" s="8" t="s">
        <v>17366</v>
      </c>
      <c r="C2470" s="2" t="s">
        <v>7455</v>
      </c>
      <c r="D2470" s="2" t="s">
        <v>7456</v>
      </c>
      <c r="E2470" s="4" t="s">
        <v>27080</v>
      </c>
      <c r="G2470" s="15" t="s">
        <v>27081</v>
      </c>
      <c r="H2470" s="15" t="s">
        <v>27082</v>
      </c>
      <c r="I2470" s="15" t="s">
        <v>27083</v>
      </c>
      <c r="J2470" s="15" t="s">
        <v>27084</v>
      </c>
      <c r="K2470" s="15">
        <v>6415</v>
      </c>
      <c r="L2470" s="15" t="s">
        <v>19099</v>
      </c>
    </row>
    <row r="2471" spans="1:12" x14ac:dyDescent="0.25">
      <c r="A2471" s="2" t="s">
        <v>7458</v>
      </c>
      <c r="B2471" s="8" t="s">
        <v>17367</v>
      </c>
      <c r="C2471" s="2" t="s">
        <v>7458</v>
      </c>
      <c r="D2471" s="2" t="s">
        <v>7459</v>
      </c>
      <c r="E2471" s="4" t="s">
        <v>7459</v>
      </c>
      <c r="G2471" s="15" t="s">
        <v>27085</v>
      </c>
      <c r="H2471" s="15" t="s">
        <v>27086</v>
      </c>
      <c r="I2471" s="15" t="s">
        <v>27087</v>
      </c>
      <c r="J2471" s="15" t="s">
        <v>19629</v>
      </c>
      <c r="K2471" s="15">
        <v>1146</v>
      </c>
      <c r="L2471" s="15" t="s">
        <v>19099</v>
      </c>
    </row>
    <row r="2472" spans="1:12" x14ac:dyDescent="0.25">
      <c r="A2472" s="2" t="s">
        <v>7461</v>
      </c>
      <c r="B2472" s="8" t="s">
        <v>17368</v>
      </c>
      <c r="C2472" s="2" t="s">
        <v>7461</v>
      </c>
      <c r="D2472" s="2" t="s">
        <v>7462</v>
      </c>
      <c r="E2472" s="4" t="s">
        <v>27088</v>
      </c>
      <c r="G2472" s="15" t="s">
        <v>27089</v>
      </c>
      <c r="H2472" s="15" t="s">
        <v>27090</v>
      </c>
      <c r="I2472" s="15" t="s">
        <v>27091</v>
      </c>
      <c r="J2472" s="15" t="s">
        <v>27092</v>
      </c>
      <c r="K2472" s="15">
        <v>10313079</v>
      </c>
      <c r="L2472" s="15" t="s">
        <v>19099</v>
      </c>
    </row>
    <row r="2473" spans="1:12" x14ac:dyDescent="0.25">
      <c r="A2473" s="2" t="s">
        <v>7464</v>
      </c>
      <c r="B2473" s="8" t="s">
        <v>17369</v>
      </c>
      <c r="C2473" s="2" t="s">
        <v>7464</v>
      </c>
      <c r="D2473" s="2" t="s">
        <v>7465</v>
      </c>
      <c r="E2473" s="4" t="s">
        <v>27093</v>
      </c>
      <c r="G2473" s="15" t="s">
        <v>27093</v>
      </c>
      <c r="H2473" s="15" t="s">
        <v>27094</v>
      </c>
      <c r="I2473" s="15" t="s">
        <v>27095</v>
      </c>
      <c r="J2473" s="15" t="s">
        <v>27096</v>
      </c>
      <c r="K2473" s="15">
        <v>10541</v>
      </c>
      <c r="L2473" s="15" t="s">
        <v>19099</v>
      </c>
    </row>
    <row r="2474" spans="1:12" x14ac:dyDescent="0.25">
      <c r="A2474" s="2" t="s">
        <v>7467</v>
      </c>
      <c r="B2474" s="8" t="s">
        <v>17370</v>
      </c>
      <c r="C2474" s="2" t="s">
        <v>7467</v>
      </c>
      <c r="D2474" s="2" t="s">
        <v>7468</v>
      </c>
      <c r="E2474" s="4" t="s">
        <v>27097</v>
      </c>
      <c r="G2474" s="15" t="s">
        <v>27098</v>
      </c>
      <c r="H2474" s="15" t="s">
        <v>27099</v>
      </c>
      <c r="I2474" s="15" t="s">
        <v>27100</v>
      </c>
      <c r="J2474" s="15" t="s">
        <v>19285</v>
      </c>
      <c r="K2474" s="15">
        <v>10442</v>
      </c>
      <c r="L2474" s="15" t="s">
        <v>19099</v>
      </c>
    </row>
    <row r="2475" spans="1:12" x14ac:dyDescent="0.25">
      <c r="A2475" s="2" t="s">
        <v>7470</v>
      </c>
      <c r="B2475" s="8" t="s">
        <v>17371</v>
      </c>
      <c r="C2475" s="2" t="s">
        <v>7470</v>
      </c>
      <c r="D2475" s="2" t="s">
        <v>7471</v>
      </c>
      <c r="E2475" s="4" t="s">
        <v>7471</v>
      </c>
      <c r="G2475" s="15" t="s">
        <v>27101</v>
      </c>
      <c r="H2475" s="15" t="s">
        <v>27102</v>
      </c>
      <c r="I2475" s="15" t="s">
        <v>27103</v>
      </c>
      <c r="J2475" s="15" t="s">
        <v>27104</v>
      </c>
      <c r="K2475" s="15">
        <v>43369</v>
      </c>
      <c r="L2475" s="15" t="s">
        <v>19099</v>
      </c>
    </row>
    <row r="2476" spans="1:12" x14ac:dyDescent="0.25">
      <c r="A2476" s="2" t="s">
        <v>7473</v>
      </c>
      <c r="B2476" s="8" t="s">
        <v>17372</v>
      </c>
      <c r="C2476" s="2" t="s">
        <v>7473</v>
      </c>
      <c r="D2476" s="2" t="s">
        <v>7474</v>
      </c>
      <c r="E2476" s="4" t="s">
        <v>27105</v>
      </c>
      <c r="G2476" s="15" t="s">
        <v>27106</v>
      </c>
      <c r="H2476" s="15" t="s">
        <v>27107</v>
      </c>
      <c r="I2476" s="15" t="s">
        <v>27108</v>
      </c>
      <c r="J2476" s="15" t="s">
        <v>27109</v>
      </c>
      <c r="K2476" s="15">
        <v>9038</v>
      </c>
      <c r="L2476" s="15" t="s">
        <v>19099</v>
      </c>
    </row>
    <row r="2477" spans="1:12" x14ac:dyDescent="0.25">
      <c r="A2477" s="2" t="s">
        <v>7476</v>
      </c>
      <c r="B2477" s="8" t="s">
        <v>17373</v>
      </c>
      <c r="C2477" s="2" t="s">
        <v>7476</v>
      </c>
      <c r="D2477" s="2" t="s">
        <v>7477</v>
      </c>
      <c r="E2477" s="4" t="s">
        <v>7477</v>
      </c>
      <c r="G2477" s="15" t="s">
        <v>27110</v>
      </c>
      <c r="H2477" s="15" t="s">
        <v>27111</v>
      </c>
      <c r="I2477" s="15" t="s">
        <v>27112</v>
      </c>
      <c r="J2477" s="15" t="s">
        <v>27113</v>
      </c>
      <c r="K2477" s="15">
        <v>7618</v>
      </c>
      <c r="L2477" s="15" t="s">
        <v>19099</v>
      </c>
    </row>
    <row r="2478" spans="1:12" x14ac:dyDescent="0.25">
      <c r="A2478" s="2" t="s">
        <v>7479</v>
      </c>
      <c r="B2478" s="8" t="s">
        <v>17374</v>
      </c>
      <c r="C2478" s="2" t="s">
        <v>7479</v>
      </c>
      <c r="D2478" s="2" t="s">
        <v>7480</v>
      </c>
      <c r="E2478" s="4" t="s">
        <v>7480</v>
      </c>
      <c r="G2478" s="15" t="s">
        <v>27114</v>
      </c>
      <c r="H2478" s="15" t="s">
        <v>27115</v>
      </c>
      <c r="I2478" s="15" t="s">
        <v>27116</v>
      </c>
      <c r="J2478" s="15" t="s">
        <v>23555</v>
      </c>
      <c r="K2478" s="15">
        <v>8471</v>
      </c>
      <c r="L2478" s="15" t="s">
        <v>19099</v>
      </c>
    </row>
    <row r="2479" spans="1:12" x14ac:dyDescent="0.25">
      <c r="A2479" s="2" t="s">
        <v>7482</v>
      </c>
      <c r="B2479" s="8" t="s">
        <v>17375</v>
      </c>
      <c r="C2479" s="2" t="s">
        <v>7482</v>
      </c>
      <c r="D2479" s="2" t="s">
        <v>7483</v>
      </c>
      <c r="E2479" s="4" t="s">
        <v>27117</v>
      </c>
      <c r="G2479" s="15" t="s">
        <v>27118</v>
      </c>
      <c r="H2479" s="15" t="s">
        <v>27119</v>
      </c>
      <c r="I2479" s="15" t="s">
        <v>27120</v>
      </c>
      <c r="J2479" s="15" t="s">
        <v>27121</v>
      </c>
      <c r="K2479" s="15">
        <v>42163</v>
      </c>
      <c r="L2479" s="15" t="s">
        <v>19099</v>
      </c>
    </row>
    <row r="2480" spans="1:12" x14ac:dyDescent="0.25">
      <c r="A2480" s="2" t="s">
        <v>7485</v>
      </c>
      <c r="B2480" s="8" t="s">
        <v>17376</v>
      </c>
      <c r="C2480" s="2" t="s">
        <v>7485</v>
      </c>
      <c r="D2480" s="2" t="s">
        <v>7486</v>
      </c>
      <c r="E2480" s="4" t="s">
        <v>27122</v>
      </c>
      <c r="G2480" s="15" t="s">
        <v>27122</v>
      </c>
      <c r="H2480" s="15" t="s">
        <v>27123</v>
      </c>
      <c r="I2480" s="15" t="s">
        <v>27124</v>
      </c>
      <c r="J2480" s="15" t="s">
        <v>27125</v>
      </c>
      <c r="K2480" s="15">
        <v>6535</v>
      </c>
      <c r="L2480" s="15" t="s">
        <v>19099</v>
      </c>
    </row>
    <row r="2481" spans="1:12" x14ac:dyDescent="0.25">
      <c r="A2481" s="2" t="s">
        <v>7488</v>
      </c>
      <c r="B2481" s="8" t="s">
        <v>17377</v>
      </c>
      <c r="C2481" s="2" t="s">
        <v>7488</v>
      </c>
      <c r="D2481" s="2" t="s">
        <v>7489</v>
      </c>
      <c r="E2481" s="4" t="s">
        <v>27126</v>
      </c>
      <c r="G2481" s="15" t="s">
        <v>27127</v>
      </c>
      <c r="H2481" s="15" t="s">
        <v>27128</v>
      </c>
      <c r="I2481" s="15" t="s">
        <v>27129</v>
      </c>
      <c r="J2481" s="15" t="s">
        <v>27130</v>
      </c>
      <c r="K2481" s="15">
        <v>6506</v>
      </c>
      <c r="L2481" s="15" t="s">
        <v>19099</v>
      </c>
    </row>
    <row r="2482" spans="1:12" x14ac:dyDescent="0.25">
      <c r="A2482" s="2" t="s">
        <v>7491</v>
      </c>
      <c r="B2482" s="8" t="s">
        <v>17378</v>
      </c>
      <c r="C2482" s="2" t="s">
        <v>7491</v>
      </c>
      <c r="D2482" s="2" t="s">
        <v>7492</v>
      </c>
      <c r="E2482" s="4" t="s">
        <v>27131</v>
      </c>
      <c r="G2482" s="15" t="s">
        <v>27132</v>
      </c>
      <c r="H2482" s="15" t="s">
        <v>27133</v>
      </c>
      <c r="I2482" s="15" t="s">
        <v>27134</v>
      </c>
      <c r="J2482" s="15" t="s">
        <v>27135</v>
      </c>
      <c r="K2482" s="15">
        <v>5565</v>
      </c>
      <c r="L2482" s="15" t="s">
        <v>19099</v>
      </c>
    </row>
    <row r="2483" spans="1:12" x14ac:dyDescent="0.25">
      <c r="A2483" s="2" t="s">
        <v>7494</v>
      </c>
      <c r="B2483" s="8" t="s">
        <v>17379</v>
      </c>
      <c r="C2483" s="2" t="s">
        <v>7494</v>
      </c>
      <c r="D2483" s="2" t="s">
        <v>7495</v>
      </c>
      <c r="E2483" s="4" t="s">
        <v>27136</v>
      </c>
      <c r="G2483" s="15" t="s">
        <v>27137</v>
      </c>
      <c r="H2483" s="15" t="s">
        <v>27138</v>
      </c>
      <c r="I2483" s="15" t="s">
        <v>27139</v>
      </c>
      <c r="J2483" s="15" t="s">
        <v>27140</v>
      </c>
      <c r="K2483" s="15">
        <v>8172</v>
      </c>
      <c r="L2483" s="15" t="s">
        <v>19099</v>
      </c>
    </row>
    <row r="2484" spans="1:12" x14ac:dyDescent="0.25">
      <c r="A2484" s="2" t="s">
        <v>7497</v>
      </c>
      <c r="B2484" s="8" t="s">
        <v>17380</v>
      </c>
      <c r="C2484" s="2" t="s">
        <v>7497</v>
      </c>
      <c r="D2484" s="2" t="s">
        <v>7498</v>
      </c>
      <c r="E2484" s="4" t="s">
        <v>7498</v>
      </c>
      <c r="G2484" s="15" t="s">
        <v>27141</v>
      </c>
      <c r="H2484" s="15" t="s">
        <v>27142</v>
      </c>
      <c r="I2484" s="15" t="s">
        <v>27143</v>
      </c>
      <c r="J2484" s="15" t="s">
        <v>27144</v>
      </c>
      <c r="K2484" s="15">
        <v>7616</v>
      </c>
      <c r="L2484" s="15" t="s">
        <v>19099</v>
      </c>
    </row>
    <row r="2485" spans="1:12" x14ac:dyDescent="0.25">
      <c r="A2485" s="2" t="s">
        <v>7500</v>
      </c>
      <c r="B2485" s="8" t="s">
        <v>17381</v>
      </c>
      <c r="C2485" s="2" t="s">
        <v>7500</v>
      </c>
      <c r="D2485" s="2" t="s">
        <v>7501</v>
      </c>
      <c r="E2485" s="4" t="s">
        <v>27145</v>
      </c>
      <c r="G2485" s="15" t="s">
        <v>27146</v>
      </c>
      <c r="H2485" s="15" t="s">
        <v>27147</v>
      </c>
      <c r="I2485" s="15" t="s">
        <v>27148</v>
      </c>
      <c r="J2485" s="15" t="s">
        <v>27149</v>
      </c>
      <c r="K2485" s="15">
        <v>32611</v>
      </c>
      <c r="L2485" s="15" t="s">
        <v>19099</v>
      </c>
    </row>
    <row r="2486" spans="1:12" x14ac:dyDescent="0.25">
      <c r="A2486" s="2" t="s">
        <v>7503</v>
      </c>
      <c r="B2486" s="8" t="s">
        <v>17382</v>
      </c>
      <c r="C2486" s="2" t="s">
        <v>7503</v>
      </c>
      <c r="D2486" s="2" t="s">
        <v>7504</v>
      </c>
      <c r="E2486" s="4" t="s">
        <v>7504</v>
      </c>
      <c r="G2486" s="15" t="s">
        <v>27150</v>
      </c>
      <c r="H2486" s="15" t="s">
        <v>27151</v>
      </c>
      <c r="I2486" s="15" t="s">
        <v>27152</v>
      </c>
      <c r="J2486" s="15" t="s">
        <v>27153</v>
      </c>
      <c r="K2486" s="15">
        <v>7622</v>
      </c>
      <c r="L2486" s="15" t="s">
        <v>19099</v>
      </c>
    </row>
    <row r="2487" spans="1:12" x14ac:dyDescent="0.25">
      <c r="A2487" s="2" t="s">
        <v>7506</v>
      </c>
      <c r="B2487" s="8" t="s">
        <v>17383</v>
      </c>
      <c r="C2487" s="2" t="s">
        <v>7506</v>
      </c>
      <c r="D2487" s="2" t="s">
        <v>7507</v>
      </c>
      <c r="E2487" s="4" t="s">
        <v>27154</v>
      </c>
      <c r="G2487" s="15" t="s">
        <v>27154</v>
      </c>
      <c r="H2487" s="15" t="s">
        <v>27155</v>
      </c>
      <c r="I2487" s="15" t="s">
        <v>27156</v>
      </c>
      <c r="J2487" s="15" t="s">
        <v>27157</v>
      </c>
      <c r="K2487" s="15">
        <v>31357</v>
      </c>
      <c r="L2487" s="15" t="s">
        <v>19099</v>
      </c>
    </row>
    <row r="2488" spans="1:12" x14ac:dyDescent="0.25">
      <c r="A2488" s="2" t="s">
        <v>7509</v>
      </c>
      <c r="B2488" s="8" t="s">
        <v>17384</v>
      </c>
      <c r="C2488" s="2" t="s">
        <v>7509</v>
      </c>
      <c r="D2488" s="2" t="s">
        <v>7510</v>
      </c>
      <c r="E2488" s="4" t="s">
        <v>27158</v>
      </c>
      <c r="G2488" s="15" t="s">
        <v>27159</v>
      </c>
      <c r="H2488" s="15" t="s">
        <v>27160</v>
      </c>
      <c r="I2488" s="15" t="s">
        <v>27161</v>
      </c>
      <c r="J2488" s="15" t="s">
        <v>27162</v>
      </c>
      <c r="K2488" s="15">
        <v>37499</v>
      </c>
      <c r="L2488" s="15" t="s">
        <v>19099</v>
      </c>
    </row>
    <row r="2489" spans="1:12" x14ac:dyDescent="0.25">
      <c r="A2489" s="2" t="s">
        <v>7512</v>
      </c>
      <c r="B2489" s="8" t="s">
        <v>17385</v>
      </c>
      <c r="C2489" s="2" t="s">
        <v>7512</v>
      </c>
      <c r="D2489" s="2" t="s">
        <v>7513</v>
      </c>
      <c r="E2489" s="4" t="s">
        <v>27163</v>
      </c>
      <c r="G2489" s="15" t="s">
        <v>27164</v>
      </c>
      <c r="H2489" s="15" t="s">
        <v>27165</v>
      </c>
      <c r="I2489" s="15" t="s">
        <v>27166</v>
      </c>
      <c r="J2489" s="15" t="s">
        <v>27167</v>
      </c>
      <c r="K2489" s="15">
        <v>16682741</v>
      </c>
      <c r="L2489" s="15" t="s">
        <v>19099</v>
      </c>
    </row>
    <row r="2490" spans="1:12" x14ac:dyDescent="0.25">
      <c r="A2490" s="2" t="s">
        <v>7515</v>
      </c>
      <c r="B2490" s="8" t="s">
        <v>17386</v>
      </c>
      <c r="C2490" s="2" t="s">
        <v>7515</v>
      </c>
      <c r="D2490" s="2" t="s">
        <v>7516</v>
      </c>
      <c r="E2490" s="4" t="s">
        <v>27168</v>
      </c>
      <c r="G2490" s="15" t="s">
        <v>27169</v>
      </c>
      <c r="H2490" s="15" t="s">
        <v>27170</v>
      </c>
      <c r="I2490" s="15" t="s">
        <v>27171</v>
      </c>
      <c r="J2490" s="15" t="s">
        <v>27172</v>
      </c>
      <c r="K2490" s="15">
        <v>5125</v>
      </c>
      <c r="L2490" s="15" t="s">
        <v>19099</v>
      </c>
    </row>
    <row r="2491" spans="1:12" x14ac:dyDescent="0.25">
      <c r="A2491" s="2" t="s">
        <v>7518</v>
      </c>
      <c r="B2491" s="8" t="s">
        <v>17387</v>
      </c>
      <c r="C2491" s="2" t="s">
        <v>7518</v>
      </c>
      <c r="D2491" s="2" t="s">
        <v>7519</v>
      </c>
      <c r="E2491" s="4" t="s">
        <v>27173</v>
      </c>
      <c r="G2491" s="15" t="s">
        <v>27174</v>
      </c>
      <c r="H2491" s="15" t="s">
        <v>27175</v>
      </c>
      <c r="I2491" s="15" t="s">
        <v>27176</v>
      </c>
      <c r="J2491" s="15" t="s">
        <v>27177</v>
      </c>
      <c r="K2491" s="15">
        <v>6505</v>
      </c>
      <c r="L2491" s="15" t="s">
        <v>19099</v>
      </c>
    </row>
    <row r="2492" spans="1:12" x14ac:dyDescent="0.25">
      <c r="A2492" s="2" t="s">
        <v>7521</v>
      </c>
      <c r="B2492" s="8" t="s">
        <v>17388</v>
      </c>
      <c r="C2492" s="2" t="s">
        <v>7521</v>
      </c>
      <c r="D2492" s="2" t="s">
        <v>7522</v>
      </c>
      <c r="E2492" s="4" t="s">
        <v>27178</v>
      </c>
      <c r="G2492" s="15" t="s">
        <v>27179</v>
      </c>
      <c r="H2492" s="15" t="s">
        <v>27180</v>
      </c>
      <c r="I2492" s="15" t="s">
        <v>27181</v>
      </c>
      <c r="J2492" s="15" t="s">
        <v>27182</v>
      </c>
      <c r="K2492" s="15">
        <v>90714</v>
      </c>
      <c r="L2492" s="15" t="s">
        <v>19099</v>
      </c>
    </row>
    <row r="2493" spans="1:12" x14ac:dyDescent="0.25">
      <c r="A2493" s="2" t="s">
        <v>7524</v>
      </c>
      <c r="B2493" s="8" t="s">
        <v>17389</v>
      </c>
      <c r="C2493" s="2" t="s">
        <v>7524</v>
      </c>
      <c r="D2493" s="2" t="s">
        <v>7525</v>
      </c>
      <c r="E2493" s="4" t="s">
        <v>27183</v>
      </c>
      <c r="H2493" s="15" t="s">
        <v>27184</v>
      </c>
      <c r="I2493" s="15" t="s">
        <v>27185</v>
      </c>
      <c r="J2493" s="15" t="s">
        <v>27186</v>
      </c>
      <c r="K2493" s="15">
        <v>5360423</v>
      </c>
      <c r="L2493" s="15" t="s">
        <v>19099</v>
      </c>
    </row>
    <row r="2494" spans="1:12" x14ac:dyDescent="0.25">
      <c r="A2494" s="2" t="s">
        <v>7527</v>
      </c>
      <c r="B2494" s="8" t="s">
        <v>17390</v>
      </c>
      <c r="C2494" s="2" t="s">
        <v>7527</v>
      </c>
      <c r="D2494" s="2" t="s">
        <v>7528</v>
      </c>
      <c r="E2494" s="4" t="s">
        <v>27187</v>
      </c>
      <c r="G2494" s="15" t="s">
        <v>27188</v>
      </c>
      <c r="H2494" s="15" t="s">
        <v>27189</v>
      </c>
      <c r="I2494" s="15" t="s">
        <v>27190</v>
      </c>
      <c r="J2494" s="15" t="s">
        <v>27191</v>
      </c>
      <c r="K2494" s="15">
        <v>30692</v>
      </c>
      <c r="L2494" s="15" t="s">
        <v>19099</v>
      </c>
    </row>
    <row r="2495" spans="1:12" x14ac:dyDescent="0.25">
      <c r="A2495" s="2" t="s">
        <v>7530</v>
      </c>
      <c r="B2495" s="8" t="s">
        <v>17391</v>
      </c>
      <c r="C2495" s="2" t="s">
        <v>7530</v>
      </c>
      <c r="D2495" s="2" t="s">
        <v>7531</v>
      </c>
      <c r="E2495" s="4" t="s">
        <v>27192</v>
      </c>
      <c r="G2495" s="15" t="s">
        <v>19246</v>
      </c>
      <c r="H2495" s="15" t="s">
        <v>19247</v>
      </c>
      <c r="I2495" s="15" t="s">
        <v>19248</v>
      </c>
      <c r="J2495" s="15" t="s">
        <v>19249</v>
      </c>
      <c r="K2495" s="15">
        <v>6895</v>
      </c>
      <c r="L2495" s="15" t="s">
        <v>19099</v>
      </c>
    </row>
    <row r="2496" spans="1:12" x14ac:dyDescent="0.25">
      <c r="A2496" s="2" t="s">
        <v>7533</v>
      </c>
      <c r="B2496" s="8" t="s">
        <v>17393</v>
      </c>
      <c r="C2496" s="2" t="s">
        <v>7533</v>
      </c>
      <c r="D2496" s="2" t="s">
        <v>7534</v>
      </c>
      <c r="E2496" s="4" t="s">
        <v>27193</v>
      </c>
      <c r="G2496" s="15" t="s">
        <v>19143</v>
      </c>
      <c r="H2496" s="15" t="s">
        <v>19144</v>
      </c>
      <c r="I2496" s="15" t="s">
        <v>19145</v>
      </c>
      <c r="J2496" s="15" t="s">
        <v>19146</v>
      </c>
      <c r="K2496" s="15">
        <v>6278</v>
      </c>
      <c r="L2496" s="15" t="s">
        <v>19099</v>
      </c>
    </row>
    <row r="2497" spans="1:12" x14ac:dyDescent="0.25">
      <c r="A2497" s="2" t="s">
        <v>7536</v>
      </c>
      <c r="B2497" s="8" t="s">
        <v>17394</v>
      </c>
      <c r="C2497" s="2" t="s">
        <v>7536</v>
      </c>
      <c r="D2497" s="2" t="s">
        <v>7537</v>
      </c>
      <c r="E2497" s="4" t="s">
        <v>27194</v>
      </c>
      <c r="G2497" s="15" t="s">
        <v>27195</v>
      </c>
      <c r="H2497" s="15" t="s">
        <v>27196</v>
      </c>
      <c r="I2497" s="15" t="s">
        <v>27197</v>
      </c>
      <c r="J2497" s="15" t="s">
        <v>27198</v>
      </c>
      <c r="K2497" s="15">
        <v>6407</v>
      </c>
      <c r="L2497" s="15" t="s">
        <v>19099</v>
      </c>
    </row>
    <row r="2498" spans="1:12" x14ac:dyDescent="0.25">
      <c r="A2498" s="2" t="s">
        <v>7539</v>
      </c>
      <c r="B2498" s="8" t="s">
        <v>17395</v>
      </c>
      <c r="C2498" s="2" t="s">
        <v>7539</v>
      </c>
      <c r="D2498" s="2" t="s">
        <v>7540</v>
      </c>
      <c r="E2498" s="4" t="s">
        <v>27199</v>
      </c>
      <c r="G2498" s="15" t="s">
        <v>27200</v>
      </c>
      <c r="H2498" s="15" t="s">
        <v>27201</v>
      </c>
      <c r="I2498" s="15" t="s">
        <v>27202</v>
      </c>
      <c r="J2498" s="15" t="s">
        <v>27203</v>
      </c>
      <c r="K2498" s="15">
        <v>6575</v>
      </c>
      <c r="L2498" s="15" t="s">
        <v>19099</v>
      </c>
    </row>
    <row r="2499" spans="1:12" x14ac:dyDescent="0.25">
      <c r="A2499" s="2" t="s">
        <v>7542</v>
      </c>
      <c r="B2499" s="8" t="s">
        <v>17396</v>
      </c>
      <c r="C2499" s="2" t="s">
        <v>7542</v>
      </c>
      <c r="D2499" s="2" t="s">
        <v>7543</v>
      </c>
      <c r="E2499" s="4" t="s">
        <v>27204</v>
      </c>
      <c r="G2499" s="15" t="s">
        <v>27205</v>
      </c>
      <c r="H2499" s="15" t="s">
        <v>27206</v>
      </c>
      <c r="I2499" s="15" t="s">
        <v>27207</v>
      </c>
      <c r="J2499" s="15" t="s">
        <v>19722</v>
      </c>
      <c r="K2499" s="15">
        <v>26176</v>
      </c>
      <c r="L2499" s="15" t="s">
        <v>19099</v>
      </c>
    </row>
    <row r="2500" spans="1:12" x14ac:dyDescent="0.25">
      <c r="A2500" s="2" t="s">
        <v>7545</v>
      </c>
      <c r="B2500" s="8" t="s">
        <v>17397</v>
      </c>
      <c r="C2500" s="2" t="s">
        <v>7545</v>
      </c>
      <c r="D2500" s="2" t="s">
        <v>7546</v>
      </c>
      <c r="E2500" s="4" t="s">
        <v>27208</v>
      </c>
      <c r="G2500" s="15" t="s">
        <v>27209</v>
      </c>
      <c r="H2500" s="15" t="s">
        <v>27210</v>
      </c>
      <c r="I2500" s="15" t="s">
        <v>27211</v>
      </c>
      <c r="J2500" s="15" t="s">
        <v>27212</v>
      </c>
      <c r="K2500" s="15">
        <v>6421</v>
      </c>
      <c r="L2500" s="15" t="s">
        <v>19099</v>
      </c>
    </row>
    <row r="2501" spans="1:12" x14ac:dyDescent="0.25">
      <c r="A2501" s="2" t="s">
        <v>7548</v>
      </c>
      <c r="B2501" s="8" t="s">
        <v>17398</v>
      </c>
      <c r="C2501" s="2" t="s">
        <v>7548</v>
      </c>
      <c r="D2501" s="2" t="s">
        <v>7549</v>
      </c>
      <c r="E2501" s="4" t="s">
        <v>27213</v>
      </c>
      <c r="G2501" s="15" t="s">
        <v>27214</v>
      </c>
      <c r="H2501" s="15" t="s">
        <v>27215</v>
      </c>
      <c r="I2501" s="15" t="s">
        <v>27216</v>
      </c>
      <c r="J2501" s="15" t="s">
        <v>27217</v>
      </c>
      <c r="K2501" s="15">
        <v>524223</v>
      </c>
      <c r="L2501" s="15" t="s">
        <v>19099</v>
      </c>
    </row>
    <row r="2502" spans="1:12" x14ac:dyDescent="0.25">
      <c r="A2502" s="2" t="s">
        <v>7551</v>
      </c>
      <c r="B2502" s="8" t="s">
        <v>17399</v>
      </c>
      <c r="C2502" s="2" t="s">
        <v>7551</v>
      </c>
      <c r="D2502" s="2" t="s">
        <v>7552</v>
      </c>
      <c r="E2502" s="4" t="s">
        <v>27218</v>
      </c>
      <c r="G2502" s="15" t="s">
        <v>27219</v>
      </c>
      <c r="H2502" s="15" t="s">
        <v>27220</v>
      </c>
      <c r="I2502" s="15" t="s">
        <v>27221</v>
      </c>
      <c r="J2502" s="15" t="s">
        <v>27222</v>
      </c>
      <c r="K2502" s="15">
        <v>5853</v>
      </c>
      <c r="L2502" s="15" t="s">
        <v>19099</v>
      </c>
    </row>
    <row r="2503" spans="1:12" x14ac:dyDescent="0.25">
      <c r="A2503" s="2" t="s">
        <v>7554</v>
      </c>
      <c r="B2503" s="8" t="s">
        <v>17400</v>
      </c>
      <c r="C2503" s="2" t="s">
        <v>7554</v>
      </c>
      <c r="D2503" s="2" t="s">
        <v>7555</v>
      </c>
      <c r="E2503" s="4" t="s">
        <v>27223</v>
      </c>
      <c r="G2503" s="15" t="s">
        <v>27224</v>
      </c>
      <c r="H2503" s="15" t="s">
        <v>27225</v>
      </c>
      <c r="I2503" s="15" t="s">
        <v>27226</v>
      </c>
      <c r="J2503" s="15" t="s">
        <v>27227</v>
      </c>
      <c r="K2503" s="15">
        <v>6909</v>
      </c>
      <c r="L2503" s="15" t="s">
        <v>19099</v>
      </c>
    </row>
    <row r="2504" spans="1:12" x14ac:dyDescent="0.25">
      <c r="A2504" s="2" t="s">
        <v>7557</v>
      </c>
      <c r="B2504" s="8" t="s">
        <v>17401</v>
      </c>
      <c r="C2504" s="2" t="s">
        <v>7557</v>
      </c>
      <c r="D2504" s="2" t="s">
        <v>7558</v>
      </c>
      <c r="E2504" s="4" t="s">
        <v>27228</v>
      </c>
      <c r="G2504" s="15" t="s">
        <v>27229</v>
      </c>
      <c r="H2504" s="15" t="s">
        <v>27230</v>
      </c>
      <c r="I2504" s="15" t="s">
        <v>27231</v>
      </c>
      <c r="J2504" s="15" t="s">
        <v>27232</v>
      </c>
      <c r="K2504" s="15">
        <v>9477</v>
      </c>
      <c r="L2504" s="15" t="s">
        <v>19099</v>
      </c>
    </row>
    <row r="2505" spans="1:12" x14ac:dyDescent="0.25">
      <c r="A2505" s="2" t="s">
        <v>7560</v>
      </c>
      <c r="B2505" s="8" t="s">
        <v>16180</v>
      </c>
      <c r="C2505" s="2" t="s">
        <v>7560</v>
      </c>
      <c r="D2505" s="2" t="s">
        <v>7561</v>
      </c>
      <c r="E2505" s="4" t="s">
        <v>27233</v>
      </c>
    </row>
    <row r="2506" spans="1:12" x14ac:dyDescent="0.25">
      <c r="A2506" s="2" t="s">
        <v>7562</v>
      </c>
      <c r="B2506" s="8" t="s">
        <v>16180</v>
      </c>
      <c r="C2506" s="2" t="s">
        <v>7562</v>
      </c>
      <c r="D2506" s="2" t="s">
        <v>7563</v>
      </c>
      <c r="E2506" s="4" t="s">
        <v>27234</v>
      </c>
    </row>
    <row r="2507" spans="1:12" x14ac:dyDescent="0.25">
      <c r="A2507" s="2" t="s">
        <v>7564</v>
      </c>
      <c r="B2507" s="8" t="s">
        <v>17402</v>
      </c>
      <c r="C2507" s="2" t="s">
        <v>7564</v>
      </c>
      <c r="D2507" s="2" t="s">
        <v>7565</v>
      </c>
      <c r="E2507" s="4" t="s">
        <v>27235</v>
      </c>
      <c r="G2507" s="15" t="s">
        <v>27236</v>
      </c>
      <c r="H2507" s="15" t="s">
        <v>27237</v>
      </c>
      <c r="I2507" s="15" t="s">
        <v>27238</v>
      </c>
      <c r="J2507" s="15" t="s">
        <v>27239</v>
      </c>
      <c r="K2507" s="15">
        <v>8925</v>
      </c>
      <c r="L2507" s="15" t="s">
        <v>19099</v>
      </c>
    </row>
    <row r="2508" spans="1:12" x14ac:dyDescent="0.25">
      <c r="A2508" s="2" t="s">
        <v>7567</v>
      </c>
      <c r="B2508" s="8" t="s">
        <v>16180</v>
      </c>
      <c r="C2508" s="2" t="s">
        <v>7567</v>
      </c>
      <c r="D2508" s="2" t="s">
        <v>7568</v>
      </c>
      <c r="E2508" s="4" t="s">
        <v>27240</v>
      </c>
    </row>
    <row r="2509" spans="1:12" x14ac:dyDescent="0.25">
      <c r="A2509" s="2" t="s">
        <v>7569</v>
      </c>
      <c r="B2509" s="8" t="s">
        <v>17403</v>
      </c>
      <c r="C2509" s="2" t="s">
        <v>7569</v>
      </c>
      <c r="D2509" s="2" t="s">
        <v>7570</v>
      </c>
      <c r="E2509" s="4" t="s">
        <v>27241</v>
      </c>
      <c r="G2509" s="15" t="s">
        <v>27242</v>
      </c>
      <c r="H2509" s="15" t="s">
        <v>27243</v>
      </c>
      <c r="I2509" s="15" t="s">
        <v>27244</v>
      </c>
      <c r="J2509" s="15" t="s">
        <v>27245</v>
      </c>
      <c r="K2509" s="15">
        <v>7873</v>
      </c>
      <c r="L2509" s="15" t="s">
        <v>19099</v>
      </c>
    </row>
    <row r="2510" spans="1:12" x14ac:dyDescent="0.25">
      <c r="A2510" s="2" t="s">
        <v>7572</v>
      </c>
      <c r="B2510" s="8" t="s">
        <v>17404</v>
      </c>
      <c r="C2510" s="2" t="s">
        <v>7572</v>
      </c>
      <c r="D2510" s="2" t="s">
        <v>7573</v>
      </c>
      <c r="E2510" s="4" t="s">
        <v>27246</v>
      </c>
      <c r="G2510" s="15" t="s">
        <v>27247</v>
      </c>
      <c r="H2510" s="15" t="s">
        <v>27248</v>
      </c>
      <c r="I2510" s="15" t="s">
        <v>27249</v>
      </c>
      <c r="J2510" s="15" t="s">
        <v>27250</v>
      </c>
      <c r="K2510" s="15">
        <v>6422</v>
      </c>
      <c r="L2510" s="15" t="s">
        <v>19099</v>
      </c>
    </row>
    <row r="2511" spans="1:12" x14ac:dyDescent="0.25">
      <c r="A2511" s="2" t="s">
        <v>7575</v>
      </c>
      <c r="B2511" s="8" t="s">
        <v>17405</v>
      </c>
      <c r="C2511" s="2" t="s">
        <v>7575</v>
      </c>
      <c r="D2511" s="2" t="s">
        <v>7576</v>
      </c>
      <c r="E2511" s="4" t="s">
        <v>27251</v>
      </c>
      <c r="G2511" s="15" t="s">
        <v>27252</v>
      </c>
      <c r="H2511" s="15" t="s">
        <v>27253</v>
      </c>
      <c r="I2511" s="15" t="s">
        <v>27254</v>
      </c>
      <c r="J2511" s="15" t="s">
        <v>27255</v>
      </c>
      <c r="K2511" s="15">
        <v>16843</v>
      </c>
      <c r="L2511" s="15" t="s">
        <v>19099</v>
      </c>
    </row>
    <row r="2512" spans="1:12" x14ac:dyDescent="0.25">
      <c r="A2512" s="2" t="s">
        <v>7578</v>
      </c>
      <c r="B2512" s="8" t="s">
        <v>17406</v>
      </c>
      <c r="C2512" s="2" t="s">
        <v>7578</v>
      </c>
      <c r="D2512" s="2" t="s">
        <v>7579</v>
      </c>
      <c r="E2512" s="4" t="s">
        <v>27256</v>
      </c>
      <c r="G2512" s="15" t="s">
        <v>27256</v>
      </c>
      <c r="H2512" s="15" t="s">
        <v>27257</v>
      </c>
      <c r="I2512" s="15" t="s">
        <v>27258</v>
      </c>
      <c r="J2512" s="15" t="s">
        <v>27259</v>
      </c>
      <c r="K2512" s="15">
        <v>8289</v>
      </c>
      <c r="L2512" s="15" t="s">
        <v>19099</v>
      </c>
    </row>
    <row r="2513" spans="1:12" x14ac:dyDescent="0.25">
      <c r="A2513" s="2" t="s">
        <v>7581</v>
      </c>
      <c r="B2513" s="8" t="s">
        <v>17407</v>
      </c>
      <c r="C2513" s="2" t="s">
        <v>7581</v>
      </c>
      <c r="D2513" s="2" t="s">
        <v>7582</v>
      </c>
      <c r="E2513" s="4" t="s">
        <v>27260</v>
      </c>
      <c r="G2513" s="15" t="s">
        <v>27261</v>
      </c>
      <c r="H2513" s="15" t="s">
        <v>27262</v>
      </c>
      <c r="I2513" s="15" t="s">
        <v>27263</v>
      </c>
      <c r="J2513" s="15" t="s">
        <v>27264</v>
      </c>
      <c r="K2513" s="15">
        <v>91481</v>
      </c>
      <c r="L2513" s="15" t="s">
        <v>19099</v>
      </c>
    </row>
    <row r="2514" spans="1:12" x14ac:dyDescent="0.25">
      <c r="A2514" s="2" t="s">
        <v>7584</v>
      </c>
      <c r="B2514" s="8" t="s">
        <v>17408</v>
      </c>
      <c r="C2514" s="2" t="s">
        <v>7584</v>
      </c>
      <c r="D2514" s="2" t="s">
        <v>7585</v>
      </c>
      <c r="E2514" s="4" t="s">
        <v>27265</v>
      </c>
      <c r="G2514" s="15" t="s">
        <v>27266</v>
      </c>
      <c r="H2514" s="15" t="s">
        <v>27267</v>
      </c>
      <c r="I2514" s="15" t="s">
        <v>27268</v>
      </c>
      <c r="J2514" s="15" t="s">
        <v>27269</v>
      </c>
      <c r="K2514" s="15">
        <v>19758</v>
      </c>
      <c r="L2514" s="15" t="s">
        <v>19099</v>
      </c>
    </row>
    <row r="2515" spans="1:12" x14ac:dyDescent="0.25">
      <c r="A2515" s="2" t="s">
        <v>7587</v>
      </c>
      <c r="B2515" s="8" t="s">
        <v>16180</v>
      </c>
      <c r="C2515" s="2" t="s">
        <v>7587</v>
      </c>
      <c r="D2515" s="2" t="s">
        <v>7588</v>
      </c>
      <c r="E2515" s="4" t="s">
        <v>7588</v>
      </c>
    </row>
    <row r="2516" spans="1:12" x14ac:dyDescent="0.25">
      <c r="A2516" s="2" t="s">
        <v>7589</v>
      </c>
      <c r="B2516" s="8" t="s">
        <v>16180</v>
      </c>
      <c r="C2516" s="2" t="s">
        <v>7589</v>
      </c>
      <c r="D2516" s="2" t="s">
        <v>7590</v>
      </c>
      <c r="E2516" s="4" t="s">
        <v>27270</v>
      </c>
    </row>
    <row r="2517" spans="1:12" x14ac:dyDescent="0.25">
      <c r="A2517" s="2" t="s">
        <v>7591</v>
      </c>
      <c r="B2517" s="8" t="s">
        <v>16180</v>
      </c>
      <c r="C2517" s="2" t="s">
        <v>7591</v>
      </c>
      <c r="D2517" s="2" t="s">
        <v>7592</v>
      </c>
      <c r="E2517" s="4" t="s">
        <v>27271</v>
      </c>
    </row>
    <row r="2518" spans="1:12" x14ac:dyDescent="0.25">
      <c r="A2518" s="2" t="s">
        <v>7593</v>
      </c>
      <c r="B2518" s="8" t="s">
        <v>17409</v>
      </c>
      <c r="C2518" s="2" t="s">
        <v>7593</v>
      </c>
      <c r="D2518" s="2" t="s">
        <v>7594</v>
      </c>
      <c r="E2518" s="4" t="s">
        <v>27272</v>
      </c>
      <c r="G2518" s="15" t="s">
        <v>27273</v>
      </c>
      <c r="H2518" s="15" t="s">
        <v>27274</v>
      </c>
      <c r="I2518" s="15" t="s">
        <v>27275</v>
      </c>
      <c r="J2518" s="15" t="s">
        <v>27276</v>
      </c>
      <c r="K2518" s="15">
        <v>7490</v>
      </c>
      <c r="L2518" s="15" t="s">
        <v>19099</v>
      </c>
    </row>
    <row r="2519" spans="1:12" x14ac:dyDescent="0.25">
      <c r="A2519" s="2" t="s">
        <v>7596</v>
      </c>
      <c r="B2519" s="8" t="s">
        <v>17410</v>
      </c>
      <c r="C2519" s="2" t="s">
        <v>7596</v>
      </c>
      <c r="D2519" s="2" t="s">
        <v>7597</v>
      </c>
      <c r="E2519" s="4" t="s">
        <v>27277</v>
      </c>
      <c r="G2519" s="15" t="s">
        <v>27278</v>
      </c>
      <c r="H2519" s="15" t="s">
        <v>27279</v>
      </c>
      <c r="I2519" s="15" t="s">
        <v>27280</v>
      </c>
      <c r="J2519" s="15" t="s">
        <v>27281</v>
      </c>
      <c r="K2519" s="15">
        <v>8376</v>
      </c>
      <c r="L2519" s="15" t="s">
        <v>19099</v>
      </c>
    </row>
    <row r="2520" spans="1:12" x14ac:dyDescent="0.25">
      <c r="A2520" s="2" t="s">
        <v>7599</v>
      </c>
      <c r="B2520" s="8" t="s">
        <v>16180</v>
      </c>
      <c r="C2520" s="2" t="s">
        <v>7599</v>
      </c>
      <c r="D2520" s="2" t="s">
        <v>7600</v>
      </c>
      <c r="E2520" s="4" t="s">
        <v>27282</v>
      </c>
      <c r="G2520" s="15" t="s">
        <v>27283</v>
      </c>
      <c r="H2520" s="15" t="s">
        <v>27284</v>
      </c>
      <c r="I2520" s="15" t="s">
        <v>27285</v>
      </c>
      <c r="J2520" s="15" t="s">
        <v>27286</v>
      </c>
      <c r="K2520" s="15">
        <v>5374464</v>
      </c>
      <c r="L2520" s="15" t="s">
        <v>19995</v>
      </c>
    </row>
    <row r="2521" spans="1:12" x14ac:dyDescent="0.25">
      <c r="A2521" s="2" t="s">
        <v>7601</v>
      </c>
      <c r="B2521" s="8" t="s">
        <v>16180</v>
      </c>
      <c r="C2521" s="2" t="s">
        <v>7601</v>
      </c>
      <c r="D2521" s="2" t="s">
        <v>7602</v>
      </c>
      <c r="E2521" s="4" t="s">
        <v>27287</v>
      </c>
    </row>
    <row r="2522" spans="1:12" x14ac:dyDescent="0.25">
      <c r="A2522" s="2" t="s">
        <v>7603</v>
      </c>
      <c r="B2522" s="8" t="s">
        <v>16180</v>
      </c>
      <c r="C2522" s="2" t="s">
        <v>7603</v>
      </c>
      <c r="D2522" s="2" t="s">
        <v>7604</v>
      </c>
      <c r="E2522" s="4" t="s">
        <v>27288</v>
      </c>
    </row>
    <row r="2523" spans="1:12" x14ac:dyDescent="0.25">
      <c r="A2523" s="2" t="s">
        <v>7605</v>
      </c>
      <c r="B2523" s="8" t="s">
        <v>16180</v>
      </c>
      <c r="C2523" s="2" t="s">
        <v>7605</v>
      </c>
      <c r="D2523" s="2" t="s">
        <v>7606</v>
      </c>
      <c r="E2523" s="4" t="s">
        <v>27289</v>
      </c>
    </row>
    <row r="2524" spans="1:12" x14ac:dyDescent="0.25">
      <c r="A2524" s="2" t="s">
        <v>7607</v>
      </c>
      <c r="B2524" s="8" t="s">
        <v>17411</v>
      </c>
      <c r="C2524" s="2" t="s">
        <v>7607</v>
      </c>
      <c r="D2524" s="2" t="s">
        <v>7608</v>
      </c>
      <c r="E2524" s="4" t="s">
        <v>27290</v>
      </c>
      <c r="G2524" s="15" t="s">
        <v>27291</v>
      </c>
      <c r="H2524" s="15" t="s">
        <v>27292</v>
      </c>
      <c r="I2524" s="15" t="s">
        <v>27293</v>
      </c>
      <c r="J2524" s="15" t="s">
        <v>22391</v>
      </c>
      <c r="K2524" s="15">
        <v>8081</v>
      </c>
      <c r="L2524" s="15" t="s">
        <v>19099</v>
      </c>
    </row>
    <row r="2525" spans="1:12" x14ac:dyDescent="0.25">
      <c r="A2525" s="2" t="s">
        <v>7610</v>
      </c>
      <c r="B2525" s="8" t="s">
        <v>17412</v>
      </c>
      <c r="C2525" s="2" t="s">
        <v>7610</v>
      </c>
      <c r="D2525" s="2" t="s">
        <v>7611</v>
      </c>
      <c r="E2525" s="4" t="s">
        <v>27294</v>
      </c>
      <c r="G2525" s="15" t="s">
        <v>27295</v>
      </c>
      <c r="H2525" s="15" t="s">
        <v>27296</v>
      </c>
      <c r="I2525" s="15" t="s">
        <v>27297</v>
      </c>
      <c r="J2525" s="15" t="s">
        <v>27298</v>
      </c>
      <c r="K2525" s="15">
        <v>13097</v>
      </c>
      <c r="L2525" s="15" t="s">
        <v>19099</v>
      </c>
    </row>
    <row r="2526" spans="1:12" x14ac:dyDescent="0.25">
      <c r="A2526" s="2" t="s">
        <v>7613</v>
      </c>
      <c r="B2526" s="8" t="s">
        <v>16180</v>
      </c>
      <c r="C2526" s="2" t="s">
        <v>7613</v>
      </c>
      <c r="D2526" s="2" t="s">
        <v>7614</v>
      </c>
      <c r="E2526" s="4" t="s">
        <v>27299</v>
      </c>
    </row>
    <row r="2527" spans="1:12" x14ac:dyDescent="0.25">
      <c r="A2527" s="2" t="s">
        <v>7615</v>
      </c>
      <c r="B2527" s="8" t="s">
        <v>16180</v>
      </c>
      <c r="C2527" s="2" t="s">
        <v>7615</v>
      </c>
      <c r="D2527" s="2" t="s">
        <v>7616</v>
      </c>
      <c r="E2527" s="4" t="s">
        <v>7616</v>
      </c>
    </row>
    <row r="2528" spans="1:12" x14ac:dyDescent="0.25">
      <c r="A2528" s="2" t="s">
        <v>7617</v>
      </c>
      <c r="B2528" s="8" t="s">
        <v>16180</v>
      </c>
      <c r="C2528" s="2" t="s">
        <v>7617</v>
      </c>
      <c r="D2528" s="2" t="s">
        <v>7618</v>
      </c>
      <c r="E2528" s="4" t="s">
        <v>7618</v>
      </c>
    </row>
    <row r="2529" spans="1:20" x14ac:dyDescent="0.25">
      <c r="A2529" s="2" t="s">
        <v>7619</v>
      </c>
      <c r="B2529" s="8" t="s">
        <v>16180</v>
      </c>
      <c r="C2529" s="2" t="s">
        <v>7619</v>
      </c>
      <c r="D2529" s="2" t="s">
        <v>7620</v>
      </c>
      <c r="E2529" s="4" t="s">
        <v>27300</v>
      </c>
    </row>
    <row r="2530" spans="1:20" x14ac:dyDescent="0.25">
      <c r="A2530" s="2" t="s">
        <v>7621</v>
      </c>
      <c r="B2530" s="8" t="s">
        <v>16180</v>
      </c>
      <c r="C2530" s="2" t="s">
        <v>7621</v>
      </c>
      <c r="D2530" s="2" t="s">
        <v>7622</v>
      </c>
      <c r="E2530" s="4" t="s">
        <v>27301</v>
      </c>
    </row>
    <row r="2531" spans="1:20" x14ac:dyDescent="0.25">
      <c r="A2531" s="2" t="s">
        <v>7623</v>
      </c>
      <c r="B2531" s="8" t="s">
        <v>16180</v>
      </c>
      <c r="C2531" s="2" t="s">
        <v>7623</v>
      </c>
      <c r="D2531" s="2" t="s">
        <v>7624</v>
      </c>
      <c r="E2531" s="4" t="s">
        <v>27302</v>
      </c>
    </row>
    <row r="2532" spans="1:20" x14ac:dyDescent="0.25">
      <c r="A2532" s="2" t="s">
        <v>7625</v>
      </c>
      <c r="B2532" s="9" t="s">
        <v>7627</v>
      </c>
      <c r="C2532" s="2" t="s">
        <v>7625</v>
      </c>
      <c r="D2532" s="2" t="s">
        <v>7626</v>
      </c>
      <c r="E2532" s="4" t="s">
        <v>27303</v>
      </c>
      <c r="N2532" s="15" t="s">
        <v>21788</v>
      </c>
      <c r="O2532" s="15" t="s">
        <v>27304</v>
      </c>
      <c r="P2532" s="15" t="s">
        <v>27305</v>
      </c>
      <c r="Q2532" s="15" t="s">
        <v>27306</v>
      </c>
      <c r="R2532" s="15" t="s">
        <v>27307</v>
      </c>
      <c r="S2532" s="15">
        <v>444732</v>
      </c>
      <c r="T2532" s="15" t="s">
        <v>19089</v>
      </c>
    </row>
    <row r="2533" spans="1:20" x14ac:dyDescent="0.25">
      <c r="A2533" s="2" t="s">
        <v>7628</v>
      </c>
      <c r="B2533" s="8" t="s">
        <v>16180</v>
      </c>
      <c r="C2533" s="2" t="s">
        <v>7628</v>
      </c>
      <c r="D2533" s="2" t="s">
        <v>7629</v>
      </c>
      <c r="E2533" s="4" t="s">
        <v>27308</v>
      </c>
      <c r="N2533" s="15" t="s">
        <v>21788</v>
      </c>
      <c r="O2533" s="15" t="s">
        <v>27309</v>
      </c>
      <c r="P2533" s="15" t="s">
        <v>27310</v>
      </c>
      <c r="Q2533" s="15" t="s">
        <v>27311</v>
      </c>
      <c r="R2533" s="15" t="s">
        <v>27312</v>
      </c>
      <c r="S2533" s="15">
        <v>46209426</v>
      </c>
      <c r="T2533" s="15" t="s">
        <v>19089</v>
      </c>
    </row>
    <row r="2534" spans="1:20" x14ac:dyDescent="0.25">
      <c r="A2534" s="2" t="s">
        <v>7630</v>
      </c>
      <c r="B2534" s="8" t="s">
        <v>16180</v>
      </c>
      <c r="C2534" s="2" t="s">
        <v>7630</v>
      </c>
      <c r="D2534" s="2" t="s">
        <v>7631</v>
      </c>
      <c r="E2534" s="4" t="s">
        <v>27313</v>
      </c>
    </row>
    <row r="2535" spans="1:20" x14ac:dyDescent="0.25">
      <c r="A2535" s="2" t="s">
        <v>7632</v>
      </c>
      <c r="B2535" s="8" t="s">
        <v>16180</v>
      </c>
      <c r="C2535" s="2" t="s">
        <v>7632</v>
      </c>
      <c r="D2535" s="2" t="s">
        <v>7633</v>
      </c>
      <c r="E2535" s="4" t="s">
        <v>27314</v>
      </c>
    </row>
    <row r="2536" spans="1:20" x14ac:dyDescent="0.25">
      <c r="A2536" s="2" t="s">
        <v>7634</v>
      </c>
      <c r="B2536" s="8" t="s">
        <v>17415</v>
      </c>
      <c r="C2536" s="2" t="s">
        <v>7634</v>
      </c>
      <c r="D2536" s="2" t="s">
        <v>7635</v>
      </c>
      <c r="E2536" s="4" t="s">
        <v>7635</v>
      </c>
      <c r="G2536" s="15" t="s">
        <v>27315</v>
      </c>
      <c r="H2536" s="15" t="s">
        <v>27316</v>
      </c>
      <c r="I2536" s="15" t="s">
        <v>27317</v>
      </c>
      <c r="J2536" s="15" t="s">
        <v>474</v>
      </c>
      <c r="K2536" s="15">
        <v>161013</v>
      </c>
      <c r="L2536" s="15" t="s">
        <v>19099</v>
      </c>
    </row>
    <row r="2537" spans="1:20" x14ac:dyDescent="0.25">
      <c r="A2537" s="2" t="s">
        <v>7637</v>
      </c>
      <c r="B2537" s="8" t="s">
        <v>17416</v>
      </c>
      <c r="C2537" s="2" t="s">
        <v>7637</v>
      </c>
      <c r="D2537" s="2" t="s">
        <v>7638</v>
      </c>
      <c r="E2537" s="4" t="s">
        <v>27318</v>
      </c>
      <c r="G2537" s="15" t="s">
        <v>27319</v>
      </c>
      <c r="H2537" s="15" t="s">
        <v>27320</v>
      </c>
      <c r="I2537" s="15" t="s">
        <v>27321</v>
      </c>
      <c r="J2537" s="15" t="s">
        <v>27322</v>
      </c>
      <c r="K2537" s="15">
        <v>21826</v>
      </c>
      <c r="L2537" s="15" t="s">
        <v>19099</v>
      </c>
    </row>
    <row r="2538" spans="1:20" x14ac:dyDescent="0.25">
      <c r="A2538" s="2" t="s">
        <v>7640</v>
      </c>
      <c r="B2538" s="8" t="s">
        <v>17417</v>
      </c>
      <c r="C2538" s="2" t="s">
        <v>7640</v>
      </c>
      <c r="D2538" s="2" t="s">
        <v>7641</v>
      </c>
      <c r="E2538" s="4" t="s">
        <v>7641</v>
      </c>
      <c r="G2538" s="15" t="s">
        <v>27323</v>
      </c>
      <c r="H2538" s="15" t="s">
        <v>27324</v>
      </c>
      <c r="I2538" s="15" t="s">
        <v>27325</v>
      </c>
      <c r="J2538" s="15" t="s">
        <v>27326</v>
      </c>
      <c r="K2538" s="15">
        <v>13220</v>
      </c>
      <c r="L2538" s="15" t="s">
        <v>19099</v>
      </c>
    </row>
    <row r="2539" spans="1:20" x14ac:dyDescent="0.25">
      <c r="A2539" s="2" t="s">
        <v>7643</v>
      </c>
      <c r="B2539" s="8" t="s">
        <v>17418</v>
      </c>
      <c r="C2539" s="2" t="s">
        <v>7643</v>
      </c>
      <c r="D2539" s="2" t="s">
        <v>7644</v>
      </c>
      <c r="E2539" s="4" t="s">
        <v>7644</v>
      </c>
      <c r="G2539" s="15" t="s">
        <v>27327</v>
      </c>
      <c r="H2539" s="15" t="s">
        <v>27328</v>
      </c>
      <c r="I2539" s="15" t="s">
        <v>27329</v>
      </c>
      <c r="J2539" s="15" t="s">
        <v>27330</v>
      </c>
      <c r="K2539" s="15">
        <v>39385</v>
      </c>
      <c r="L2539" s="15" t="s">
        <v>19099</v>
      </c>
    </row>
    <row r="2540" spans="1:20" x14ac:dyDescent="0.25">
      <c r="A2540" s="2" t="s">
        <v>7646</v>
      </c>
      <c r="B2540" s="8" t="s">
        <v>17419</v>
      </c>
      <c r="C2540" s="2" t="s">
        <v>7646</v>
      </c>
      <c r="D2540" s="2" t="s">
        <v>7647</v>
      </c>
      <c r="E2540" s="4" t="s">
        <v>7647</v>
      </c>
      <c r="G2540" s="15" t="s">
        <v>27331</v>
      </c>
      <c r="H2540" s="15" t="s">
        <v>27332</v>
      </c>
      <c r="I2540" s="15" t="s">
        <v>27333</v>
      </c>
      <c r="J2540" s="15" t="s">
        <v>27334</v>
      </c>
      <c r="K2540" s="15">
        <v>41368</v>
      </c>
      <c r="L2540" s="15" t="s">
        <v>19099</v>
      </c>
    </row>
    <row r="2541" spans="1:20" x14ac:dyDescent="0.25">
      <c r="A2541" s="2" t="s">
        <v>7649</v>
      </c>
      <c r="B2541" s="8" t="s">
        <v>17420</v>
      </c>
      <c r="C2541" s="2" t="s">
        <v>7649</v>
      </c>
      <c r="D2541" s="2" t="s">
        <v>7650</v>
      </c>
      <c r="E2541" s="4" t="s">
        <v>27335</v>
      </c>
      <c r="G2541" s="15" t="s">
        <v>27336</v>
      </c>
      <c r="H2541" s="15" t="s">
        <v>27337</v>
      </c>
      <c r="I2541" s="15" t="s">
        <v>27338</v>
      </c>
      <c r="J2541" s="15" t="s">
        <v>27339</v>
      </c>
      <c r="K2541" s="15">
        <v>5543</v>
      </c>
      <c r="L2541" s="15" t="s">
        <v>19099</v>
      </c>
    </row>
    <row r="2542" spans="1:20" x14ac:dyDescent="0.25">
      <c r="A2542" s="2" t="s">
        <v>7652</v>
      </c>
      <c r="B2542" s="8" t="s">
        <v>17421</v>
      </c>
      <c r="C2542" s="2" t="s">
        <v>7652</v>
      </c>
      <c r="D2542" s="2" t="s">
        <v>7653</v>
      </c>
      <c r="E2542" s="4" t="s">
        <v>7653</v>
      </c>
      <c r="G2542" s="15" t="s">
        <v>27340</v>
      </c>
      <c r="H2542" s="15" t="s">
        <v>27341</v>
      </c>
      <c r="I2542" s="15" t="s">
        <v>27342</v>
      </c>
      <c r="J2542" s="15" t="s">
        <v>27343</v>
      </c>
      <c r="K2542" s="15">
        <v>13943</v>
      </c>
      <c r="L2542" s="15" t="s">
        <v>19099</v>
      </c>
    </row>
    <row r="2543" spans="1:20" x14ac:dyDescent="0.25">
      <c r="A2543" s="2" t="s">
        <v>7655</v>
      </c>
      <c r="B2543" s="8" t="s">
        <v>17422</v>
      </c>
      <c r="C2543" s="2" t="s">
        <v>7655</v>
      </c>
      <c r="D2543" s="2" t="s">
        <v>7656</v>
      </c>
      <c r="E2543" s="4" t="s">
        <v>7656</v>
      </c>
      <c r="G2543" s="15" t="s">
        <v>27344</v>
      </c>
      <c r="H2543" s="15" t="s">
        <v>27345</v>
      </c>
      <c r="I2543" s="15" t="s">
        <v>27346</v>
      </c>
      <c r="J2543" s="15" t="s">
        <v>27347</v>
      </c>
      <c r="K2543" s="15">
        <v>6437842</v>
      </c>
      <c r="L2543" s="15" t="s">
        <v>19099</v>
      </c>
    </row>
    <row r="2544" spans="1:20" x14ac:dyDescent="0.25">
      <c r="A2544" s="2" t="s">
        <v>7658</v>
      </c>
      <c r="B2544" s="8" t="s">
        <v>17423</v>
      </c>
      <c r="C2544" s="2" t="s">
        <v>7658</v>
      </c>
      <c r="D2544" s="2" t="s">
        <v>7659</v>
      </c>
      <c r="E2544" s="4" t="s">
        <v>7659</v>
      </c>
      <c r="G2544" s="15" t="s">
        <v>27348</v>
      </c>
      <c r="H2544" s="15" t="s">
        <v>27349</v>
      </c>
      <c r="I2544" s="15" t="s">
        <v>27350</v>
      </c>
      <c r="J2544" s="15" t="s">
        <v>27351</v>
      </c>
      <c r="K2544" s="15">
        <v>73282</v>
      </c>
      <c r="L2544" s="15" t="s">
        <v>19099</v>
      </c>
    </row>
    <row r="2545" spans="1:12" x14ac:dyDescent="0.25">
      <c r="A2545" s="2" t="s">
        <v>7661</v>
      </c>
      <c r="B2545" s="8" t="s">
        <v>17424</v>
      </c>
      <c r="C2545" s="2" t="s">
        <v>7661</v>
      </c>
      <c r="D2545" s="2" t="s">
        <v>7662</v>
      </c>
      <c r="E2545" s="4" t="s">
        <v>7662</v>
      </c>
      <c r="G2545" s="15" t="s">
        <v>27352</v>
      </c>
      <c r="H2545" s="15" t="s">
        <v>27353</v>
      </c>
      <c r="I2545" s="15" t="s">
        <v>27354</v>
      </c>
      <c r="J2545" s="15" t="s">
        <v>27355</v>
      </c>
      <c r="K2545" s="15">
        <v>93422</v>
      </c>
      <c r="L2545" s="15" t="s">
        <v>19099</v>
      </c>
    </row>
    <row r="2546" spans="1:12" x14ac:dyDescent="0.25">
      <c r="A2546" s="2" t="s">
        <v>7664</v>
      </c>
      <c r="B2546" s="8" t="s">
        <v>17425</v>
      </c>
      <c r="C2546" s="2" t="s">
        <v>7664</v>
      </c>
      <c r="D2546" s="2" t="s">
        <v>7665</v>
      </c>
      <c r="E2546" s="4" t="s">
        <v>7665</v>
      </c>
      <c r="G2546" s="15" t="s">
        <v>27356</v>
      </c>
      <c r="H2546" s="15" t="s">
        <v>27357</v>
      </c>
      <c r="I2546" s="15" t="s">
        <v>27358</v>
      </c>
      <c r="J2546" s="15" t="s">
        <v>21621</v>
      </c>
      <c r="K2546" s="15">
        <v>6235</v>
      </c>
      <c r="L2546" s="15" t="s">
        <v>19099</v>
      </c>
    </row>
    <row r="2547" spans="1:12" x14ac:dyDescent="0.25">
      <c r="A2547" s="2" t="s">
        <v>7667</v>
      </c>
      <c r="B2547" s="8" t="s">
        <v>17426</v>
      </c>
      <c r="C2547" s="2" t="s">
        <v>7667</v>
      </c>
      <c r="D2547" s="2" t="s">
        <v>7668</v>
      </c>
      <c r="E2547" s="4" t="s">
        <v>27359</v>
      </c>
      <c r="G2547" s="15" t="s">
        <v>27360</v>
      </c>
      <c r="H2547" s="15" t="s">
        <v>27361</v>
      </c>
      <c r="I2547" s="15" t="s">
        <v>27362</v>
      </c>
      <c r="J2547" s="15" t="s">
        <v>27363</v>
      </c>
      <c r="K2547" s="15">
        <v>32184</v>
      </c>
      <c r="L2547" s="15" t="s">
        <v>19099</v>
      </c>
    </row>
    <row r="2548" spans="1:12" x14ac:dyDescent="0.25">
      <c r="A2548" s="2" t="s">
        <v>7670</v>
      </c>
      <c r="B2548" s="8" t="s">
        <v>17427</v>
      </c>
      <c r="C2548" s="2" t="s">
        <v>7670</v>
      </c>
      <c r="D2548" s="2" t="s">
        <v>7671</v>
      </c>
      <c r="E2548" s="4" t="s">
        <v>27364</v>
      </c>
      <c r="G2548" s="15" t="s">
        <v>27365</v>
      </c>
      <c r="H2548" s="15" t="s">
        <v>27366</v>
      </c>
      <c r="I2548" s="15" t="s">
        <v>27367</v>
      </c>
      <c r="J2548" s="15" t="s">
        <v>27368</v>
      </c>
      <c r="K2548" s="15">
        <v>86306</v>
      </c>
      <c r="L2548" s="15" t="s">
        <v>19099</v>
      </c>
    </row>
    <row r="2549" spans="1:12" x14ac:dyDescent="0.25">
      <c r="A2549" s="2" t="s">
        <v>7673</v>
      </c>
      <c r="B2549" s="8" t="s">
        <v>17429</v>
      </c>
      <c r="C2549" s="2" t="s">
        <v>7673</v>
      </c>
      <c r="D2549" s="2" t="s">
        <v>7674</v>
      </c>
      <c r="E2549" s="4" t="s">
        <v>7674</v>
      </c>
      <c r="G2549" s="15" t="s">
        <v>27369</v>
      </c>
      <c r="H2549" s="15" t="s">
        <v>27370</v>
      </c>
      <c r="I2549" s="15" t="s">
        <v>27371</v>
      </c>
      <c r="J2549" s="15" t="s">
        <v>442</v>
      </c>
      <c r="K2549" s="15">
        <v>161008</v>
      </c>
      <c r="L2549" s="15" t="s">
        <v>19099</v>
      </c>
    </row>
    <row r="2550" spans="1:12" x14ac:dyDescent="0.25">
      <c r="A2550" s="2" t="s">
        <v>7676</v>
      </c>
      <c r="B2550" s="8" t="s">
        <v>17430</v>
      </c>
      <c r="C2550" s="2" t="s">
        <v>7676</v>
      </c>
      <c r="D2550" s="2" t="s">
        <v>7677</v>
      </c>
      <c r="E2550" s="4" t="s">
        <v>7677</v>
      </c>
      <c r="G2550" s="15" t="s">
        <v>27372</v>
      </c>
      <c r="H2550" s="15" t="s">
        <v>27373</v>
      </c>
      <c r="I2550" s="15" t="s">
        <v>27374</v>
      </c>
      <c r="J2550" s="15" t="s">
        <v>27375</v>
      </c>
      <c r="K2550" s="15">
        <v>24321</v>
      </c>
      <c r="L2550" s="15" t="s">
        <v>19099</v>
      </c>
    </row>
    <row r="2551" spans="1:12" x14ac:dyDescent="0.25">
      <c r="A2551" s="2" t="s">
        <v>7679</v>
      </c>
      <c r="B2551" s="8" t="s">
        <v>17431</v>
      </c>
      <c r="C2551" s="2" t="s">
        <v>7679</v>
      </c>
      <c r="D2551" s="2" t="s">
        <v>7680</v>
      </c>
      <c r="E2551" s="4" t="s">
        <v>15461</v>
      </c>
      <c r="G2551" s="15" t="s">
        <v>27376</v>
      </c>
      <c r="H2551" s="15" t="s">
        <v>27377</v>
      </c>
      <c r="I2551" s="15" t="s">
        <v>27378</v>
      </c>
      <c r="J2551" s="15" t="s">
        <v>27379</v>
      </c>
      <c r="K2551" s="15">
        <v>153909</v>
      </c>
      <c r="L2551" s="15" t="s">
        <v>19099</v>
      </c>
    </row>
    <row r="2552" spans="1:12" x14ac:dyDescent="0.25">
      <c r="A2552" s="2" t="s">
        <v>7682</v>
      </c>
      <c r="B2552" s="8" t="s">
        <v>17433</v>
      </c>
      <c r="C2552" s="2" t="s">
        <v>7682</v>
      </c>
      <c r="D2552" s="2" t="s">
        <v>7683</v>
      </c>
      <c r="E2552" s="4" t="s">
        <v>7683</v>
      </c>
      <c r="G2552" s="15" t="s">
        <v>27380</v>
      </c>
      <c r="H2552" s="15" t="s">
        <v>27381</v>
      </c>
      <c r="I2552" s="15" t="s">
        <v>27382</v>
      </c>
      <c r="J2552" s="15" t="s">
        <v>354</v>
      </c>
      <c r="K2552" s="15">
        <v>167171</v>
      </c>
      <c r="L2552" s="15" t="s">
        <v>19099</v>
      </c>
    </row>
    <row r="2553" spans="1:12" x14ac:dyDescent="0.25">
      <c r="A2553" s="2" t="s">
        <v>7685</v>
      </c>
      <c r="B2553" s="8" t="s">
        <v>17434</v>
      </c>
      <c r="C2553" s="2" t="s">
        <v>7685</v>
      </c>
      <c r="D2553" s="2" t="s">
        <v>7686</v>
      </c>
      <c r="E2553" s="4" t="s">
        <v>7686</v>
      </c>
      <c r="G2553" s="15" t="s">
        <v>27383</v>
      </c>
      <c r="H2553" s="15" t="s">
        <v>27384</v>
      </c>
      <c r="I2553" s="15" t="s">
        <v>27385</v>
      </c>
      <c r="J2553" s="15" t="s">
        <v>354</v>
      </c>
      <c r="K2553" s="15">
        <v>161147</v>
      </c>
      <c r="L2553" s="15" t="s">
        <v>19099</v>
      </c>
    </row>
    <row r="2554" spans="1:12" x14ac:dyDescent="0.25">
      <c r="A2554" s="2" t="s">
        <v>7688</v>
      </c>
      <c r="B2554" s="8" t="s">
        <v>17435</v>
      </c>
      <c r="C2554" s="2" t="s">
        <v>7688</v>
      </c>
      <c r="D2554" s="2" t="s">
        <v>7689</v>
      </c>
      <c r="E2554" s="4" t="s">
        <v>27386</v>
      </c>
    </row>
    <row r="2555" spans="1:12" x14ac:dyDescent="0.25">
      <c r="A2555" s="2" t="s">
        <v>7691</v>
      </c>
      <c r="B2555" s="8" t="s">
        <v>17436</v>
      </c>
      <c r="C2555" s="2" t="s">
        <v>7691</v>
      </c>
      <c r="D2555" s="2" t="s">
        <v>7692</v>
      </c>
      <c r="E2555" s="4" t="s">
        <v>7692</v>
      </c>
      <c r="G2555" s="15" t="s">
        <v>27387</v>
      </c>
      <c r="H2555" s="15" t="s">
        <v>27388</v>
      </c>
      <c r="I2555" s="15" t="s">
        <v>27389</v>
      </c>
      <c r="J2555" s="15" t="s">
        <v>354</v>
      </c>
      <c r="K2555" s="15">
        <v>26476</v>
      </c>
      <c r="L2555" s="15" t="s">
        <v>19099</v>
      </c>
    </row>
    <row r="2556" spans="1:12" x14ac:dyDescent="0.25">
      <c r="A2556" s="2" t="s">
        <v>7694</v>
      </c>
      <c r="B2556" s="8" t="s">
        <v>17437</v>
      </c>
      <c r="C2556" s="2" t="s">
        <v>7694</v>
      </c>
      <c r="D2556" s="2" t="s">
        <v>7695</v>
      </c>
      <c r="E2556" s="4" t="s">
        <v>27390</v>
      </c>
    </row>
    <row r="2557" spans="1:12" x14ac:dyDescent="0.25">
      <c r="A2557" s="2" t="s">
        <v>7697</v>
      </c>
      <c r="B2557" s="8" t="s">
        <v>17438</v>
      </c>
      <c r="C2557" s="2" t="s">
        <v>7697</v>
      </c>
      <c r="D2557" s="2" t="s">
        <v>7698</v>
      </c>
      <c r="E2557" s="4" t="s">
        <v>27391</v>
      </c>
      <c r="G2557" s="15" t="s">
        <v>27392</v>
      </c>
      <c r="H2557" s="15" t="s">
        <v>27393</v>
      </c>
      <c r="I2557" s="15" t="s">
        <v>27394</v>
      </c>
      <c r="J2557" s="15" t="s">
        <v>27395</v>
      </c>
      <c r="K2557" s="15">
        <v>50248</v>
      </c>
      <c r="L2557" s="15" t="s">
        <v>19099</v>
      </c>
    </row>
    <row r="2558" spans="1:12" x14ac:dyDescent="0.25">
      <c r="A2558" s="2" t="s">
        <v>7700</v>
      </c>
      <c r="B2558" s="8" t="s">
        <v>16180</v>
      </c>
      <c r="C2558" s="2" t="s">
        <v>7700</v>
      </c>
      <c r="D2558" s="2" t="s">
        <v>7701</v>
      </c>
      <c r="E2558" s="4" t="s">
        <v>27396</v>
      </c>
    </row>
    <row r="2559" spans="1:12" x14ac:dyDescent="0.25">
      <c r="A2559" s="2" t="s">
        <v>7702</v>
      </c>
      <c r="B2559" s="8" t="s">
        <v>17439</v>
      </c>
      <c r="C2559" s="2" t="s">
        <v>7702</v>
      </c>
      <c r="D2559" s="2" t="s">
        <v>7703</v>
      </c>
      <c r="E2559" s="4" t="s">
        <v>7703</v>
      </c>
      <c r="G2559" s="15" t="s">
        <v>27397</v>
      </c>
      <c r="H2559" s="15" t="s">
        <v>27398</v>
      </c>
      <c r="I2559" s="15" t="s">
        <v>27399</v>
      </c>
      <c r="J2559" s="15" t="s">
        <v>27400</v>
      </c>
      <c r="K2559" s="15">
        <v>7547</v>
      </c>
      <c r="L2559" s="15" t="s">
        <v>19099</v>
      </c>
    </row>
    <row r="2560" spans="1:12" x14ac:dyDescent="0.25">
      <c r="A2560" s="2" t="s">
        <v>7705</v>
      </c>
      <c r="B2560" s="8" t="s">
        <v>17440</v>
      </c>
      <c r="C2560" s="2" t="s">
        <v>7705</v>
      </c>
      <c r="D2560" s="2" t="s">
        <v>7706</v>
      </c>
      <c r="E2560" s="4" t="s">
        <v>27401</v>
      </c>
      <c r="G2560" s="15" t="s">
        <v>27402</v>
      </c>
      <c r="H2560" s="15" t="s">
        <v>27403</v>
      </c>
      <c r="I2560" s="15" t="s">
        <v>27404</v>
      </c>
      <c r="J2560" s="15" t="s">
        <v>27405</v>
      </c>
      <c r="K2560" s="15">
        <v>39040</v>
      </c>
      <c r="L2560" s="15" t="s">
        <v>19099</v>
      </c>
    </row>
    <row r="2561" spans="1:12" x14ac:dyDescent="0.25">
      <c r="A2561" s="2" t="s">
        <v>7708</v>
      </c>
      <c r="B2561" s="8" t="s">
        <v>17441</v>
      </c>
      <c r="C2561" s="2" t="s">
        <v>7708</v>
      </c>
      <c r="D2561" s="2" t="s">
        <v>7709</v>
      </c>
      <c r="E2561" s="4" t="s">
        <v>7709</v>
      </c>
      <c r="G2561" s="15" t="s">
        <v>27406</v>
      </c>
      <c r="H2561" s="15" t="s">
        <v>27407</v>
      </c>
      <c r="I2561" s="15" t="s">
        <v>27408</v>
      </c>
      <c r="J2561" s="15" t="s">
        <v>27409</v>
      </c>
      <c r="K2561" s="15">
        <v>93289</v>
      </c>
      <c r="L2561" s="15" t="s">
        <v>19099</v>
      </c>
    </row>
    <row r="2562" spans="1:12" x14ac:dyDescent="0.25">
      <c r="A2562" s="2" t="s">
        <v>7711</v>
      </c>
      <c r="B2562" s="8" t="s">
        <v>17442</v>
      </c>
      <c r="C2562" s="2" t="s">
        <v>7711</v>
      </c>
      <c r="D2562" s="2" t="s">
        <v>7712</v>
      </c>
      <c r="E2562" s="4" t="s">
        <v>27410</v>
      </c>
      <c r="G2562" s="15" t="s">
        <v>27411</v>
      </c>
      <c r="H2562" s="15" t="s">
        <v>27412</v>
      </c>
      <c r="I2562" s="15" t="s">
        <v>27413</v>
      </c>
      <c r="J2562" s="15" t="s">
        <v>27414</v>
      </c>
      <c r="K2562" s="15">
        <v>47455</v>
      </c>
      <c r="L2562" s="15" t="s">
        <v>19099</v>
      </c>
    </row>
    <row r="2563" spans="1:12" x14ac:dyDescent="0.25">
      <c r="A2563" s="2" t="s">
        <v>7714</v>
      </c>
      <c r="B2563" s="8" t="s">
        <v>17443</v>
      </c>
      <c r="C2563" s="2" t="s">
        <v>7714</v>
      </c>
      <c r="D2563" s="2" t="s">
        <v>7715</v>
      </c>
      <c r="E2563" s="4" t="s">
        <v>7715</v>
      </c>
      <c r="G2563" s="15" t="s">
        <v>27415</v>
      </c>
      <c r="H2563" s="15" t="s">
        <v>27416</v>
      </c>
      <c r="I2563" s="15" t="s">
        <v>27417</v>
      </c>
      <c r="J2563" s="15" t="s">
        <v>27418</v>
      </c>
      <c r="K2563" s="15">
        <v>41428</v>
      </c>
      <c r="L2563" s="15" t="s">
        <v>19099</v>
      </c>
    </row>
    <row r="2564" spans="1:12" x14ac:dyDescent="0.25">
      <c r="A2564" s="2" t="s">
        <v>7717</v>
      </c>
      <c r="B2564" s="8" t="s">
        <v>17444</v>
      </c>
      <c r="C2564" s="2" t="s">
        <v>7717</v>
      </c>
      <c r="D2564" s="2" t="s">
        <v>7718</v>
      </c>
      <c r="E2564" s="4" t="s">
        <v>27419</v>
      </c>
      <c r="G2564" s="15" t="s">
        <v>27420</v>
      </c>
      <c r="H2564" s="15" t="s">
        <v>27421</v>
      </c>
      <c r="I2564" s="15" t="s">
        <v>27422</v>
      </c>
      <c r="J2564" s="15" t="s">
        <v>27423</v>
      </c>
      <c r="K2564" s="15">
        <v>6529</v>
      </c>
      <c r="L2564" s="15" t="s">
        <v>19995</v>
      </c>
    </row>
    <row r="2565" spans="1:12" x14ac:dyDescent="0.25">
      <c r="A2565" s="2" t="s">
        <v>7720</v>
      </c>
      <c r="B2565" s="8" t="s">
        <v>17445</v>
      </c>
      <c r="C2565" s="2" t="s">
        <v>7720</v>
      </c>
      <c r="D2565" s="2" t="s">
        <v>7721</v>
      </c>
      <c r="E2565" s="4" t="s">
        <v>7721</v>
      </c>
      <c r="G2565" s="15" t="s">
        <v>27424</v>
      </c>
      <c r="H2565" s="15" t="s">
        <v>27425</v>
      </c>
      <c r="I2565" s="15" t="s">
        <v>27426</v>
      </c>
      <c r="J2565" s="15" t="s">
        <v>27427</v>
      </c>
      <c r="K2565" s="15">
        <v>5564</v>
      </c>
      <c r="L2565" s="15" t="s">
        <v>19099</v>
      </c>
    </row>
    <row r="2566" spans="1:12" x14ac:dyDescent="0.25">
      <c r="A2566" s="2" t="s">
        <v>7723</v>
      </c>
      <c r="B2566" s="8" t="s">
        <v>17446</v>
      </c>
      <c r="C2566" s="2" t="s">
        <v>7723</v>
      </c>
      <c r="D2566" s="2" t="s">
        <v>7724</v>
      </c>
      <c r="E2566" s="4" t="s">
        <v>7724</v>
      </c>
      <c r="G2566" s="15" t="s">
        <v>27304</v>
      </c>
      <c r="H2566" s="15" t="s">
        <v>27305</v>
      </c>
      <c r="I2566" s="15" t="s">
        <v>27306</v>
      </c>
      <c r="J2566" s="15" t="s">
        <v>27307</v>
      </c>
      <c r="K2566" s="15">
        <v>444732</v>
      </c>
      <c r="L2566" s="15" t="s">
        <v>19099</v>
      </c>
    </row>
    <row r="2567" spans="1:12" x14ac:dyDescent="0.25">
      <c r="A2567" s="2" t="s">
        <v>7726</v>
      </c>
      <c r="B2567" s="8" t="s">
        <v>17447</v>
      </c>
      <c r="C2567" s="2" t="s">
        <v>7726</v>
      </c>
      <c r="D2567" s="2" t="s">
        <v>7727</v>
      </c>
      <c r="E2567" s="4" t="s">
        <v>27428</v>
      </c>
      <c r="G2567" s="15" t="s">
        <v>27429</v>
      </c>
      <c r="H2567" s="15" t="s">
        <v>27430</v>
      </c>
      <c r="I2567" s="15" t="s">
        <v>27431</v>
      </c>
      <c r="J2567" s="15" t="s">
        <v>27432</v>
      </c>
      <c r="K2567" s="15">
        <v>32518</v>
      </c>
      <c r="L2567" s="15" t="s">
        <v>19099</v>
      </c>
    </row>
    <row r="2568" spans="1:12" x14ac:dyDescent="0.25">
      <c r="A2568" s="2" t="s">
        <v>390</v>
      </c>
      <c r="B2568" s="8" t="s">
        <v>17448</v>
      </c>
      <c r="C2568" s="2" t="s">
        <v>390</v>
      </c>
      <c r="D2568" s="2" t="s">
        <v>7729</v>
      </c>
      <c r="E2568" s="4" t="s">
        <v>7729</v>
      </c>
      <c r="G2568" s="15" t="s">
        <v>7729</v>
      </c>
      <c r="H2568" s="15" t="s">
        <v>27433</v>
      </c>
      <c r="I2568" s="15" t="s">
        <v>27434</v>
      </c>
      <c r="J2568" s="15" t="s">
        <v>390</v>
      </c>
      <c r="K2568" s="15">
        <v>6327182</v>
      </c>
      <c r="L2568" s="15" t="s">
        <v>19099</v>
      </c>
    </row>
    <row r="2569" spans="1:12" x14ac:dyDescent="0.25">
      <c r="A2569" s="2" t="s">
        <v>7730</v>
      </c>
      <c r="B2569" s="8" t="s">
        <v>17449</v>
      </c>
      <c r="C2569" s="2" t="s">
        <v>7730</v>
      </c>
      <c r="D2569" s="2" t="s">
        <v>7731</v>
      </c>
      <c r="E2569" s="4" t="s">
        <v>27435</v>
      </c>
    </row>
    <row r="2570" spans="1:12" x14ac:dyDescent="0.25">
      <c r="A2570" s="2" t="s">
        <v>7733</v>
      </c>
      <c r="B2570" s="8" t="s">
        <v>17450</v>
      </c>
      <c r="C2570" s="2" t="s">
        <v>7733</v>
      </c>
      <c r="D2570" s="2" t="s">
        <v>7734</v>
      </c>
      <c r="E2570" s="4" t="s">
        <v>27436</v>
      </c>
    </row>
    <row r="2571" spans="1:12" x14ac:dyDescent="0.25">
      <c r="A2571" s="2" t="s">
        <v>7736</v>
      </c>
      <c r="B2571" s="8" t="s">
        <v>17451</v>
      </c>
      <c r="C2571" s="2" t="s">
        <v>7736</v>
      </c>
      <c r="D2571" s="2" t="s">
        <v>7737</v>
      </c>
      <c r="E2571" s="4" t="s">
        <v>27437</v>
      </c>
    </row>
    <row r="2572" spans="1:12" x14ac:dyDescent="0.25">
      <c r="A2572" s="2" t="s">
        <v>7739</v>
      </c>
      <c r="B2572" s="8" t="s">
        <v>17452</v>
      </c>
      <c r="C2572" s="2" t="s">
        <v>7739</v>
      </c>
      <c r="D2572" s="2" t="s">
        <v>7740</v>
      </c>
      <c r="E2572" s="4" t="s">
        <v>7740</v>
      </c>
      <c r="G2572" s="15" t="s">
        <v>27438</v>
      </c>
      <c r="H2572" s="15" t="s">
        <v>27439</v>
      </c>
      <c r="I2572" s="15" t="s">
        <v>27440</v>
      </c>
      <c r="J2572" s="15" t="s">
        <v>390</v>
      </c>
      <c r="K2572" s="15">
        <v>6336614</v>
      </c>
      <c r="L2572" s="15" t="s">
        <v>19099</v>
      </c>
    </row>
    <row r="2573" spans="1:12" x14ac:dyDescent="0.25">
      <c r="A2573" s="2" t="s">
        <v>7742</v>
      </c>
      <c r="B2573" s="8" t="s">
        <v>17453</v>
      </c>
      <c r="C2573" s="2" t="s">
        <v>7742</v>
      </c>
      <c r="D2573" s="2" t="s">
        <v>7743</v>
      </c>
      <c r="E2573" s="4" t="s">
        <v>7743</v>
      </c>
      <c r="G2573" s="15" t="s">
        <v>27441</v>
      </c>
      <c r="H2573" s="15" t="s">
        <v>27442</v>
      </c>
      <c r="I2573" s="15" t="s">
        <v>27443</v>
      </c>
      <c r="J2573" s="15" t="s">
        <v>390</v>
      </c>
      <c r="K2573" s="15">
        <v>6337091</v>
      </c>
      <c r="L2573" s="15" t="s">
        <v>19099</v>
      </c>
    </row>
    <row r="2574" spans="1:12" x14ac:dyDescent="0.25">
      <c r="A2574" s="2" t="s">
        <v>7745</v>
      </c>
      <c r="B2574" s="8" t="s">
        <v>17454</v>
      </c>
      <c r="C2574" s="2" t="s">
        <v>7745</v>
      </c>
      <c r="D2574" s="2" t="s">
        <v>7746</v>
      </c>
      <c r="E2574" s="4" t="s">
        <v>7746</v>
      </c>
      <c r="G2574" s="15" t="s">
        <v>27444</v>
      </c>
      <c r="H2574" s="15" t="s">
        <v>27445</v>
      </c>
      <c r="I2574" s="15" t="s">
        <v>27446</v>
      </c>
      <c r="J2574" s="15" t="s">
        <v>27447</v>
      </c>
      <c r="K2574" s="15">
        <v>15951</v>
      </c>
      <c r="L2574" s="15" t="s">
        <v>19099</v>
      </c>
    </row>
    <row r="2575" spans="1:12" x14ac:dyDescent="0.25">
      <c r="A2575" s="2" t="s">
        <v>7748</v>
      </c>
      <c r="B2575" s="8" t="s">
        <v>17455</v>
      </c>
      <c r="C2575" s="2" t="s">
        <v>7748</v>
      </c>
      <c r="D2575" s="2" t="s">
        <v>7749</v>
      </c>
      <c r="E2575" s="4" t="s">
        <v>27448</v>
      </c>
      <c r="G2575" s="15" t="s">
        <v>27449</v>
      </c>
      <c r="H2575" s="15" t="s">
        <v>27450</v>
      </c>
      <c r="I2575" s="15" t="s">
        <v>27451</v>
      </c>
      <c r="J2575" s="15" t="s">
        <v>27452</v>
      </c>
      <c r="K2575" s="15">
        <v>14993</v>
      </c>
      <c r="L2575" s="15" t="s">
        <v>19099</v>
      </c>
    </row>
    <row r="2576" spans="1:12" x14ac:dyDescent="0.25">
      <c r="A2576" s="2" t="s">
        <v>7751</v>
      </c>
      <c r="B2576" s="8" t="s">
        <v>17456</v>
      </c>
      <c r="C2576" s="2" t="s">
        <v>7751</v>
      </c>
      <c r="D2576" s="2" t="s">
        <v>7752</v>
      </c>
      <c r="E2576" s="4" t="s">
        <v>7752</v>
      </c>
      <c r="G2576" s="15" t="s">
        <v>27453</v>
      </c>
      <c r="H2576" s="15" t="s">
        <v>27454</v>
      </c>
      <c r="I2576" s="15" t="s">
        <v>27455</v>
      </c>
      <c r="J2576" s="15" t="s">
        <v>27456</v>
      </c>
      <c r="K2576" s="15">
        <v>47445</v>
      </c>
      <c r="L2576" s="15" t="s">
        <v>19099</v>
      </c>
    </row>
    <row r="2577" spans="1:20" x14ac:dyDescent="0.25">
      <c r="A2577" s="2" t="s">
        <v>7754</v>
      </c>
      <c r="B2577" s="8" t="s">
        <v>17457</v>
      </c>
      <c r="C2577" s="2" t="s">
        <v>7754</v>
      </c>
      <c r="D2577" s="2" t="s">
        <v>7755</v>
      </c>
      <c r="E2577" s="4" t="s">
        <v>27457</v>
      </c>
      <c r="G2577" s="15" t="s">
        <v>27458</v>
      </c>
      <c r="H2577" s="15" t="s">
        <v>27459</v>
      </c>
      <c r="I2577" s="15" t="s">
        <v>27460</v>
      </c>
      <c r="J2577" s="15" t="s">
        <v>27461</v>
      </c>
      <c r="K2577" s="15">
        <v>91699</v>
      </c>
      <c r="L2577" s="15" t="s">
        <v>19099</v>
      </c>
    </row>
    <row r="2578" spans="1:20" x14ac:dyDescent="0.25">
      <c r="A2578" s="2" t="s">
        <v>7757</v>
      </c>
      <c r="B2578" s="8" t="s">
        <v>17458</v>
      </c>
      <c r="C2578" s="2" t="s">
        <v>7757</v>
      </c>
      <c r="D2578" s="2" t="s">
        <v>7758</v>
      </c>
      <c r="E2578" s="4" t="s">
        <v>15299</v>
      </c>
      <c r="G2578" s="15" t="s">
        <v>27462</v>
      </c>
      <c r="H2578" s="15" t="s">
        <v>27463</v>
      </c>
      <c r="I2578" s="15" t="s">
        <v>27464</v>
      </c>
      <c r="J2578" s="15" t="s">
        <v>27465</v>
      </c>
      <c r="K2578" s="15">
        <v>5569</v>
      </c>
      <c r="L2578" s="15" t="s">
        <v>19099</v>
      </c>
    </row>
    <row r="2579" spans="1:20" x14ac:dyDescent="0.25">
      <c r="A2579" s="2" t="s">
        <v>7760</v>
      </c>
      <c r="B2579" s="8" t="s">
        <v>17459</v>
      </c>
      <c r="C2579" s="2" t="s">
        <v>7760</v>
      </c>
      <c r="D2579" s="2" t="s">
        <v>7761</v>
      </c>
      <c r="E2579" s="4" t="s">
        <v>7761</v>
      </c>
      <c r="G2579" s="15" t="s">
        <v>27466</v>
      </c>
      <c r="H2579" s="15" t="s">
        <v>27467</v>
      </c>
      <c r="I2579" s="15" t="s">
        <v>27468</v>
      </c>
      <c r="J2579" s="15" t="s">
        <v>27469</v>
      </c>
      <c r="K2579" s="15">
        <v>33565</v>
      </c>
      <c r="L2579" s="15" t="s">
        <v>19099</v>
      </c>
    </row>
    <row r="2580" spans="1:20" x14ac:dyDescent="0.25">
      <c r="A2580" s="2" t="s">
        <v>7763</v>
      </c>
      <c r="B2580" s="8" t="s">
        <v>17460</v>
      </c>
      <c r="C2580" s="2" t="s">
        <v>7763</v>
      </c>
      <c r="D2580" s="2" t="s">
        <v>7764</v>
      </c>
      <c r="E2580" s="4" t="s">
        <v>7764</v>
      </c>
      <c r="G2580" s="15" t="s">
        <v>27470</v>
      </c>
      <c r="H2580" s="15" t="s">
        <v>27471</v>
      </c>
      <c r="I2580" s="15" t="s">
        <v>27472</v>
      </c>
      <c r="J2580" s="15" t="s">
        <v>27473</v>
      </c>
      <c r="K2580" s="15">
        <v>92434</v>
      </c>
      <c r="L2580" s="15" t="s">
        <v>19099</v>
      </c>
    </row>
    <row r="2581" spans="1:20" x14ac:dyDescent="0.25">
      <c r="A2581" s="2" t="s">
        <v>7766</v>
      </c>
      <c r="B2581" s="8" t="s">
        <v>17461</v>
      </c>
      <c r="C2581" s="2" t="s">
        <v>7766</v>
      </c>
      <c r="D2581" s="2" t="s">
        <v>7767</v>
      </c>
      <c r="E2581" s="4" t="s">
        <v>7767</v>
      </c>
      <c r="G2581" s="15" t="s">
        <v>27474</v>
      </c>
      <c r="H2581" s="15" t="s">
        <v>27475</v>
      </c>
      <c r="I2581" s="15" t="s">
        <v>27476</v>
      </c>
      <c r="J2581" s="15" t="s">
        <v>27477</v>
      </c>
      <c r="K2581" s="15">
        <v>11664966</v>
      </c>
      <c r="L2581" s="15" t="s">
        <v>19099</v>
      </c>
    </row>
    <row r="2582" spans="1:20" x14ac:dyDescent="0.25">
      <c r="A2582" s="2" t="s">
        <v>7769</v>
      </c>
      <c r="B2582" s="8" t="s">
        <v>17462</v>
      </c>
      <c r="C2582" s="2" t="s">
        <v>7769</v>
      </c>
      <c r="D2582" s="2" t="s">
        <v>7770</v>
      </c>
      <c r="E2582" s="4" t="s">
        <v>27478</v>
      </c>
      <c r="G2582" s="15" t="s">
        <v>27479</v>
      </c>
      <c r="H2582" s="15" t="s">
        <v>27480</v>
      </c>
      <c r="I2582" s="15" t="s">
        <v>27481</v>
      </c>
      <c r="J2582" s="15" t="s">
        <v>27482</v>
      </c>
      <c r="K2582" s="15">
        <v>11776</v>
      </c>
      <c r="L2582" s="15" t="s">
        <v>19099</v>
      </c>
    </row>
    <row r="2583" spans="1:20" x14ac:dyDescent="0.25">
      <c r="A2583" s="2" t="s">
        <v>7772</v>
      </c>
      <c r="B2583" s="8" t="s">
        <v>16180</v>
      </c>
      <c r="C2583" s="2" t="s">
        <v>7772</v>
      </c>
      <c r="D2583" s="2" t="s">
        <v>7773</v>
      </c>
      <c r="E2583" s="4" t="s">
        <v>27483</v>
      </c>
      <c r="N2583" s="15" t="s">
        <v>21788</v>
      </c>
      <c r="O2583" s="15" t="s">
        <v>27484</v>
      </c>
      <c r="P2583" s="15" t="s">
        <v>27485</v>
      </c>
      <c r="Q2583" s="15" t="s">
        <v>27486</v>
      </c>
      <c r="R2583" s="15" t="s">
        <v>27487</v>
      </c>
      <c r="S2583" s="15">
        <v>12563346</v>
      </c>
      <c r="T2583" s="15" t="s">
        <v>19089</v>
      </c>
    </row>
    <row r="2584" spans="1:20" x14ac:dyDescent="0.25">
      <c r="A2584" s="2" t="s">
        <v>7774</v>
      </c>
      <c r="B2584" s="8" t="s">
        <v>16180</v>
      </c>
      <c r="C2584" s="2" t="s">
        <v>7774</v>
      </c>
      <c r="D2584" s="2" t="s">
        <v>7775</v>
      </c>
      <c r="E2584" s="4" t="s">
        <v>27488</v>
      </c>
    </row>
    <row r="2585" spans="1:20" x14ac:dyDescent="0.25">
      <c r="A2585" s="2" t="s">
        <v>7776</v>
      </c>
      <c r="B2585" s="8" t="s">
        <v>17464</v>
      </c>
      <c r="C2585" s="2" t="s">
        <v>7776</v>
      </c>
      <c r="D2585" s="2" t="s">
        <v>7777</v>
      </c>
      <c r="E2585" s="4" t="s">
        <v>7777</v>
      </c>
      <c r="G2585" s="15" t="s">
        <v>27489</v>
      </c>
      <c r="H2585" s="15" t="s">
        <v>27490</v>
      </c>
      <c r="I2585" s="15" t="s">
        <v>27491</v>
      </c>
      <c r="J2585" s="15" t="s">
        <v>542</v>
      </c>
      <c r="K2585" s="15">
        <v>61806</v>
      </c>
      <c r="L2585" s="15" t="s">
        <v>19099</v>
      </c>
    </row>
    <row r="2586" spans="1:20" x14ac:dyDescent="0.25">
      <c r="A2586" s="2" t="s">
        <v>7779</v>
      </c>
      <c r="B2586" s="8" t="s">
        <v>17465</v>
      </c>
      <c r="C2586" s="2" t="s">
        <v>7779</v>
      </c>
      <c r="D2586" s="2" t="s">
        <v>7780</v>
      </c>
      <c r="E2586" s="4" t="s">
        <v>7780</v>
      </c>
      <c r="G2586" s="15" t="s">
        <v>27492</v>
      </c>
      <c r="H2586" s="15" t="s">
        <v>27493</v>
      </c>
      <c r="I2586" s="15" t="s">
        <v>27494</v>
      </c>
      <c r="J2586" s="15" t="s">
        <v>542</v>
      </c>
      <c r="K2586" s="15">
        <v>61724</v>
      </c>
      <c r="L2586" s="15" t="s">
        <v>19099</v>
      </c>
    </row>
    <row r="2587" spans="1:20" x14ac:dyDescent="0.25">
      <c r="A2587" s="2" t="s">
        <v>7782</v>
      </c>
      <c r="B2587" s="8" t="s">
        <v>17466</v>
      </c>
      <c r="C2587" s="2" t="s">
        <v>7782</v>
      </c>
      <c r="D2587" s="2" t="s">
        <v>7783</v>
      </c>
      <c r="E2587" s="4" t="s">
        <v>7783</v>
      </c>
      <c r="G2587" s="15" t="s">
        <v>27495</v>
      </c>
      <c r="H2587" s="15" t="s">
        <v>27496</v>
      </c>
      <c r="I2587" s="15" t="s">
        <v>27497</v>
      </c>
      <c r="J2587" s="15" t="s">
        <v>542</v>
      </c>
      <c r="K2587" s="15">
        <v>167312</v>
      </c>
      <c r="L2587" s="15" t="s">
        <v>19099</v>
      </c>
    </row>
    <row r="2588" spans="1:20" x14ac:dyDescent="0.25">
      <c r="A2588" s="2" t="s">
        <v>7785</v>
      </c>
      <c r="B2588" s="8" t="s">
        <v>17467</v>
      </c>
      <c r="C2588" s="2" t="s">
        <v>7785</v>
      </c>
      <c r="D2588" s="2" t="s">
        <v>7786</v>
      </c>
      <c r="E2588" s="4" t="s">
        <v>7786</v>
      </c>
      <c r="G2588" s="15" t="s">
        <v>27498</v>
      </c>
      <c r="H2588" s="15" t="s">
        <v>27499</v>
      </c>
      <c r="I2588" s="15" t="s">
        <v>27500</v>
      </c>
      <c r="J2588" s="15" t="s">
        <v>542</v>
      </c>
      <c r="K2588" s="15">
        <v>61723</v>
      </c>
      <c r="L2588" s="15" t="s">
        <v>19099</v>
      </c>
    </row>
    <row r="2589" spans="1:20" x14ac:dyDescent="0.25">
      <c r="A2589" s="2" t="s">
        <v>7788</v>
      </c>
      <c r="B2589" s="8" t="s">
        <v>17468</v>
      </c>
      <c r="C2589" s="2" t="s">
        <v>7788</v>
      </c>
      <c r="D2589" s="2" t="s">
        <v>7789</v>
      </c>
      <c r="E2589" s="4" t="s">
        <v>7789</v>
      </c>
      <c r="G2589" s="15" t="s">
        <v>27501</v>
      </c>
      <c r="H2589" s="15" t="s">
        <v>27502</v>
      </c>
      <c r="I2589" s="15" t="s">
        <v>27503</v>
      </c>
      <c r="J2589" s="15" t="s">
        <v>542</v>
      </c>
      <c r="K2589" s="15">
        <v>167210</v>
      </c>
      <c r="L2589" s="15" t="s">
        <v>19099</v>
      </c>
    </row>
    <row r="2590" spans="1:20" x14ac:dyDescent="0.25">
      <c r="A2590" s="2" t="s">
        <v>7791</v>
      </c>
      <c r="B2590" s="8" t="s">
        <v>17463</v>
      </c>
      <c r="C2590" s="2" t="s">
        <v>7791</v>
      </c>
      <c r="D2590" s="2" t="s">
        <v>7792</v>
      </c>
      <c r="E2590" s="4" t="s">
        <v>7792</v>
      </c>
      <c r="G2590" s="15" t="s">
        <v>544</v>
      </c>
      <c r="H2590" s="15" t="s">
        <v>27504</v>
      </c>
      <c r="I2590" s="15" t="s">
        <v>27505</v>
      </c>
      <c r="J2590" s="15" t="s">
        <v>542</v>
      </c>
      <c r="K2590" s="15">
        <v>23960</v>
      </c>
      <c r="L2590" s="15" t="s">
        <v>19099</v>
      </c>
    </row>
    <row r="2591" spans="1:20" x14ac:dyDescent="0.25">
      <c r="A2591" s="2" t="s">
        <v>7793</v>
      </c>
      <c r="B2591" s="8" t="s">
        <v>17469</v>
      </c>
      <c r="C2591" s="2" t="s">
        <v>7793</v>
      </c>
      <c r="D2591" s="2" t="s">
        <v>7794</v>
      </c>
      <c r="E2591" s="4" t="s">
        <v>7794</v>
      </c>
      <c r="G2591" s="15" t="s">
        <v>27506</v>
      </c>
      <c r="H2591" s="15" t="s">
        <v>27507</v>
      </c>
      <c r="I2591" s="15" t="s">
        <v>27508</v>
      </c>
      <c r="J2591" s="15" t="s">
        <v>542</v>
      </c>
      <c r="K2591" s="15">
        <v>104875</v>
      </c>
      <c r="L2591" s="15" t="s">
        <v>19099</v>
      </c>
    </row>
    <row r="2592" spans="1:20" ht="30" customHeight="1" x14ac:dyDescent="0.25">
      <c r="A2592" s="2" t="s">
        <v>7796</v>
      </c>
      <c r="B2592" s="8" t="s">
        <v>16180</v>
      </c>
      <c r="C2592" s="2" t="s">
        <v>7796</v>
      </c>
      <c r="D2592" s="2" t="s">
        <v>7797</v>
      </c>
      <c r="E2592" s="4" t="s">
        <v>27509</v>
      </c>
      <c r="N2592" s="15" t="s">
        <v>21788</v>
      </c>
      <c r="O2592" s="15" t="s">
        <v>27510</v>
      </c>
      <c r="P2592" s="15" t="s">
        <v>27511</v>
      </c>
      <c r="Q2592" s="15" t="s">
        <v>27512</v>
      </c>
      <c r="R2592" s="15" t="s">
        <v>27513</v>
      </c>
      <c r="S2592" s="15">
        <v>3378216</v>
      </c>
      <c r="T2592" s="15" t="s">
        <v>19089</v>
      </c>
    </row>
    <row r="2593" spans="1:20" x14ac:dyDescent="0.25">
      <c r="A2593" s="2" t="s">
        <v>7798</v>
      </c>
      <c r="B2593" s="8" t="s">
        <v>17470</v>
      </c>
      <c r="C2593" s="2" t="s">
        <v>7798</v>
      </c>
      <c r="D2593" s="2" t="s">
        <v>7799</v>
      </c>
      <c r="E2593" s="4" t="s">
        <v>27514</v>
      </c>
      <c r="G2593" s="15" t="s">
        <v>27515</v>
      </c>
      <c r="H2593" s="15" t="s">
        <v>27516</v>
      </c>
      <c r="I2593" s="15" t="s">
        <v>27517</v>
      </c>
      <c r="J2593" s="15" t="s">
        <v>27518</v>
      </c>
      <c r="K2593" s="15">
        <v>14808</v>
      </c>
      <c r="L2593" s="15" t="s">
        <v>19099</v>
      </c>
    </row>
    <row r="2594" spans="1:20" x14ac:dyDescent="0.25">
      <c r="A2594" s="2" t="s">
        <v>7801</v>
      </c>
      <c r="B2594" s="8" t="s">
        <v>17471</v>
      </c>
      <c r="C2594" s="2" t="s">
        <v>7801</v>
      </c>
      <c r="D2594" s="2" t="s">
        <v>7802</v>
      </c>
      <c r="E2594" s="4" t="s">
        <v>27519</v>
      </c>
      <c r="G2594" s="15" t="s">
        <v>27520</v>
      </c>
      <c r="H2594" s="15" t="s">
        <v>27521</v>
      </c>
      <c r="I2594" s="15" t="s">
        <v>27522</v>
      </c>
      <c r="J2594" s="15" t="s">
        <v>27523</v>
      </c>
      <c r="K2594" s="15">
        <v>5572</v>
      </c>
      <c r="L2594" s="15" t="s">
        <v>19099</v>
      </c>
    </row>
    <row r="2595" spans="1:20" x14ac:dyDescent="0.25">
      <c r="A2595" s="2" t="s">
        <v>7804</v>
      </c>
      <c r="B2595" s="8" t="s">
        <v>17473</v>
      </c>
      <c r="C2595" s="2" t="s">
        <v>7804</v>
      </c>
      <c r="D2595" s="2" t="s">
        <v>7805</v>
      </c>
      <c r="E2595" s="4" t="s">
        <v>27524</v>
      </c>
      <c r="G2595" s="15" t="s">
        <v>27525</v>
      </c>
      <c r="H2595" s="15" t="s">
        <v>27526</v>
      </c>
      <c r="I2595" s="15" t="s">
        <v>27527</v>
      </c>
      <c r="J2595" s="15" t="s">
        <v>27157</v>
      </c>
      <c r="K2595" s="15">
        <v>31355</v>
      </c>
      <c r="L2595" s="15" t="s">
        <v>19099</v>
      </c>
    </row>
    <row r="2596" spans="1:20" x14ac:dyDescent="0.25">
      <c r="A2596" s="2" t="s">
        <v>7807</v>
      </c>
      <c r="B2596" s="8" t="s">
        <v>17474</v>
      </c>
      <c r="C2596" s="2" t="s">
        <v>7807</v>
      </c>
      <c r="D2596" s="2" t="s">
        <v>7808</v>
      </c>
      <c r="E2596" s="4" t="s">
        <v>27528</v>
      </c>
      <c r="G2596" s="15" t="s">
        <v>27529</v>
      </c>
      <c r="H2596" s="15" t="s">
        <v>27530</v>
      </c>
      <c r="I2596" s="15" t="s">
        <v>27531</v>
      </c>
      <c r="J2596" s="15" t="s">
        <v>27532</v>
      </c>
      <c r="K2596" s="15">
        <v>26042</v>
      </c>
      <c r="L2596" s="15" t="s">
        <v>19099</v>
      </c>
    </row>
    <row r="2597" spans="1:20" x14ac:dyDescent="0.25">
      <c r="A2597" s="2" t="s">
        <v>7810</v>
      </c>
      <c r="B2597" s="8" t="s">
        <v>17475</v>
      </c>
      <c r="C2597" s="2" t="s">
        <v>7810</v>
      </c>
      <c r="D2597" s="2" t="s">
        <v>7811</v>
      </c>
      <c r="E2597" s="4" t="s">
        <v>27533</v>
      </c>
      <c r="G2597" s="15" t="s">
        <v>27534</v>
      </c>
      <c r="H2597" s="15" t="s">
        <v>27535</v>
      </c>
      <c r="I2597" s="15" t="s">
        <v>27536</v>
      </c>
      <c r="J2597" s="15" t="s">
        <v>27537</v>
      </c>
      <c r="K2597" s="15">
        <v>160960</v>
      </c>
      <c r="L2597" s="15" t="s">
        <v>19099</v>
      </c>
    </row>
    <row r="2598" spans="1:20" x14ac:dyDescent="0.25">
      <c r="A2598" s="2" t="s">
        <v>7813</v>
      </c>
      <c r="B2598" s="8" t="s">
        <v>17477</v>
      </c>
      <c r="C2598" s="2" t="s">
        <v>7813</v>
      </c>
      <c r="D2598" s="2" t="s">
        <v>7814</v>
      </c>
      <c r="E2598" s="4" t="s">
        <v>7814</v>
      </c>
      <c r="G2598" s="15" t="s">
        <v>27538</v>
      </c>
      <c r="H2598" s="15" t="s">
        <v>27539</v>
      </c>
      <c r="I2598" s="15" t="s">
        <v>27540</v>
      </c>
      <c r="J2598" s="15" t="s">
        <v>506</v>
      </c>
      <c r="K2598" s="15">
        <v>5461982</v>
      </c>
      <c r="L2598" s="15" t="s">
        <v>19099</v>
      </c>
    </row>
    <row r="2599" spans="1:20" x14ac:dyDescent="0.25">
      <c r="A2599" s="2" t="s">
        <v>7816</v>
      </c>
      <c r="B2599" s="8" t="s">
        <v>17478</v>
      </c>
      <c r="C2599" s="2" t="s">
        <v>7816</v>
      </c>
      <c r="D2599" s="2" t="s">
        <v>7817</v>
      </c>
      <c r="E2599" s="4" t="s">
        <v>7817</v>
      </c>
      <c r="G2599" s="15" t="s">
        <v>27541</v>
      </c>
      <c r="H2599" s="15" t="s">
        <v>27542</v>
      </c>
      <c r="I2599" s="15" t="s">
        <v>27543</v>
      </c>
      <c r="J2599" s="15" t="s">
        <v>506</v>
      </c>
      <c r="K2599" s="15">
        <v>6337071</v>
      </c>
      <c r="L2599" s="15" t="s">
        <v>19099</v>
      </c>
    </row>
    <row r="2600" spans="1:20" x14ac:dyDescent="0.25">
      <c r="A2600" s="2" t="s">
        <v>7819</v>
      </c>
      <c r="B2600" s="8" t="s">
        <v>17479</v>
      </c>
      <c r="C2600" s="2" t="s">
        <v>7819</v>
      </c>
      <c r="D2600" s="2" t="s">
        <v>7820</v>
      </c>
      <c r="E2600" s="4" t="s">
        <v>7820</v>
      </c>
      <c r="G2600" s="15" t="s">
        <v>27544</v>
      </c>
      <c r="H2600" s="15" t="s">
        <v>27545</v>
      </c>
      <c r="I2600" s="15" t="s">
        <v>27546</v>
      </c>
      <c r="J2600" s="15" t="s">
        <v>506</v>
      </c>
      <c r="K2600" s="15">
        <v>6335611</v>
      </c>
      <c r="L2600" s="15" t="s">
        <v>19099</v>
      </c>
    </row>
    <row r="2601" spans="1:20" ht="30" customHeight="1" x14ac:dyDescent="0.25">
      <c r="A2601" s="2" t="s">
        <v>7822</v>
      </c>
      <c r="B2601" s="8" t="s">
        <v>16180</v>
      </c>
      <c r="C2601" s="2" t="s">
        <v>7822</v>
      </c>
      <c r="D2601" s="2" t="s">
        <v>7823</v>
      </c>
      <c r="E2601" s="4" t="s">
        <v>27547</v>
      </c>
    </row>
    <row r="2602" spans="1:20" ht="30" customHeight="1" x14ac:dyDescent="0.25">
      <c r="A2602" s="2" t="s">
        <v>7824</v>
      </c>
      <c r="B2602" s="8" t="s">
        <v>16180</v>
      </c>
      <c r="C2602" s="2" t="s">
        <v>7824</v>
      </c>
      <c r="D2602" s="2" t="s">
        <v>7825</v>
      </c>
      <c r="E2602" s="4" t="s">
        <v>27548</v>
      </c>
    </row>
    <row r="2603" spans="1:20" ht="30" customHeight="1" x14ac:dyDescent="0.25">
      <c r="A2603" s="2" t="s">
        <v>7826</v>
      </c>
      <c r="B2603" s="8" t="s">
        <v>16180</v>
      </c>
      <c r="C2603" s="2" t="s">
        <v>7826</v>
      </c>
      <c r="D2603" s="2" t="s">
        <v>7827</v>
      </c>
      <c r="E2603" s="4" t="s">
        <v>27549</v>
      </c>
      <c r="N2603" s="15" t="s">
        <v>21788</v>
      </c>
      <c r="O2603" s="15" t="s">
        <v>20155</v>
      </c>
      <c r="P2603" s="15" t="s">
        <v>20156</v>
      </c>
      <c r="Q2603" s="15" t="s">
        <v>20157</v>
      </c>
      <c r="R2603" s="15" t="s">
        <v>20158</v>
      </c>
      <c r="S2603" s="15">
        <v>12902</v>
      </c>
      <c r="T2603" s="15" t="s">
        <v>19089</v>
      </c>
    </row>
    <row r="2604" spans="1:20" x14ac:dyDescent="0.25">
      <c r="A2604" s="2" t="s">
        <v>7828</v>
      </c>
      <c r="B2604" s="8" t="s">
        <v>16180</v>
      </c>
      <c r="C2604" s="2" t="s">
        <v>7828</v>
      </c>
      <c r="D2604" s="2" t="s">
        <v>7829</v>
      </c>
      <c r="E2604" s="4" t="s">
        <v>27550</v>
      </c>
    </row>
    <row r="2605" spans="1:20" x14ac:dyDescent="0.25">
      <c r="A2605" s="2" t="s">
        <v>7830</v>
      </c>
      <c r="B2605" s="8" t="s">
        <v>17481</v>
      </c>
      <c r="C2605" s="2" t="s">
        <v>7830</v>
      </c>
      <c r="D2605" s="2" t="s">
        <v>7831</v>
      </c>
      <c r="E2605" s="4" t="s">
        <v>7831</v>
      </c>
      <c r="G2605" s="15" t="s">
        <v>27551</v>
      </c>
      <c r="H2605" s="15" t="s">
        <v>27552</v>
      </c>
      <c r="I2605" s="15" t="s">
        <v>27553</v>
      </c>
      <c r="J2605" s="15" t="s">
        <v>20029</v>
      </c>
      <c r="K2605" s="15">
        <v>17592</v>
      </c>
      <c r="L2605" s="15" t="s">
        <v>19099</v>
      </c>
    </row>
    <row r="2606" spans="1:20" x14ac:dyDescent="0.25">
      <c r="A2606" s="2" t="s">
        <v>7833</v>
      </c>
      <c r="B2606" s="8" t="s">
        <v>17482</v>
      </c>
      <c r="C2606" s="2" t="s">
        <v>7833</v>
      </c>
      <c r="D2606" s="2" t="s">
        <v>7834</v>
      </c>
      <c r="E2606" s="4" t="s">
        <v>7834</v>
      </c>
      <c r="G2606" s="15" t="s">
        <v>27554</v>
      </c>
      <c r="H2606" s="15" t="s">
        <v>27555</v>
      </c>
      <c r="I2606" s="15" t="s">
        <v>27556</v>
      </c>
      <c r="J2606" s="15" t="s">
        <v>27557</v>
      </c>
      <c r="K2606" s="15">
        <v>5578</v>
      </c>
      <c r="L2606" s="15" t="s">
        <v>19099</v>
      </c>
    </row>
    <row r="2607" spans="1:20" x14ac:dyDescent="0.25">
      <c r="A2607" s="2" t="s">
        <v>7836</v>
      </c>
      <c r="B2607" s="8" t="s">
        <v>17483</v>
      </c>
      <c r="C2607" s="2" t="s">
        <v>7836</v>
      </c>
      <c r="D2607" s="2" t="s">
        <v>7837</v>
      </c>
      <c r="E2607" s="4" t="s">
        <v>7837</v>
      </c>
      <c r="G2607" s="15" t="s">
        <v>27558</v>
      </c>
      <c r="H2607" s="15" t="s">
        <v>27559</v>
      </c>
      <c r="I2607" s="15" t="s">
        <v>27560</v>
      </c>
      <c r="J2607" s="15" t="s">
        <v>27561</v>
      </c>
      <c r="K2607" s="15">
        <v>14371531</v>
      </c>
      <c r="L2607" s="15" t="s">
        <v>19099</v>
      </c>
    </row>
    <row r="2608" spans="1:20" x14ac:dyDescent="0.25">
      <c r="A2608" s="2" t="s">
        <v>7839</v>
      </c>
      <c r="B2608" s="8" t="s">
        <v>17484</v>
      </c>
      <c r="C2608" s="2" t="s">
        <v>7839</v>
      </c>
      <c r="D2608" s="2" t="s">
        <v>7840</v>
      </c>
      <c r="E2608" s="4" t="s">
        <v>7840</v>
      </c>
      <c r="G2608" s="15" t="s">
        <v>27562</v>
      </c>
      <c r="H2608" s="15" t="s">
        <v>27563</v>
      </c>
      <c r="I2608" s="15" t="s">
        <v>27564</v>
      </c>
      <c r="J2608" s="15" t="s">
        <v>27565</v>
      </c>
      <c r="K2608" s="15">
        <v>92421</v>
      </c>
      <c r="L2608" s="15" t="s">
        <v>19099</v>
      </c>
    </row>
    <row r="2609" spans="1:20" x14ac:dyDescent="0.25">
      <c r="A2609" s="2" t="s">
        <v>7842</v>
      </c>
      <c r="B2609" s="8" t="s">
        <v>16180</v>
      </c>
      <c r="C2609" s="2" t="s">
        <v>7842</v>
      </c>
      <c r="D2609" s="2" t="s">
        <v>7843</v>
      </c>
      <c r="E2609" s="4" t="s">
        <v>27566</v>
      </c>
    </row>
    <row r="2610" spans="1:20" ht="30" customHeight="1" x14ac:dyDescent="0.25">
      <c r="A2610" s="2" t="s">
        <v>7844</v>
      </c>
      <c r="B2610" s="8" t="s">
        <v>16180</v>
      </c>
      <c r="C2610" s="2" t="s">
        <v>7844</v>
      </c>
      <c r="D2610" s="2" t="s">
        <v>7845</v>
      </c>
      <c r="E2610" s="4" t="s">
        <v>27567</v>
      </c>
    </row>
    <row r="2611" spans="1:20" ht="30" customHeight="1" x14ac:dyDescent="0.25">
      <c r="A2611" s="2" t="s">
        <v>7846</v>
      </c>
      <c r="B2611" s="8" t="s">
        <v>16180</v>
      </c>
      <c r="C2611" s="2" t="s">
        <v>7846</v>
      </c>
      <c r="D2611" s="2" t="s">
        <v>7847</v>
      </c>
      <c r="E2611" s="4" t="s">
        <v>27568</v>
      </c>
      <c r="N2611" s="15" t="s">
        <v>21788</v>
      </c>
      <c r="O2611" s="15" t="s">
        <v>27569</v>
      </c>
      <c r="P2611" s="15" t="s">
        <v>27570</v>
      </c>
      <c r="Q2611" s="15" t="s">
        <v>27571</v>
      </c>
      <c r="R2611" s="15" t="s">
        <v>27572</v>
      </c>
      <c r="S2611" s="15">
        <v>445503</v>
      </c>
      <c r="T2611" s="15" t="s">
        <v>19089</v>
      </c>
    </row>
    <row r="2612" spans="1:20" x14ac:dyDescent="0.25">
      <c r="A2612" s="2" t="s">
        <v>7848</v>
      </c>
      <c r="B2612" s="8" t="s">
        <v>16180</v>
      </c>
      <c r="C2612" s="2" t="s">
        <v>7848</v>
      </c>
      <c r="D2612" s="2" t="s">
        <v>7849</v>
      </c>
      <c r="E2612" s="4" t="s">
        <v>27573</v>
      </c>
      <c r="N2612" s="15" t="s">
        <v>21788</v>
      </c>
      <c r="O2612" s="15" t="s">
        <v>27574</v>
      </c>
      <c r="P2612" s="15" t="s">
        <v>27575</v>
      </c>
      <c r="Q2612" s="15" t="s">
        <v>27576</v>
      </c>
      <c r="R2612" s="15" t="s">
        <v>27577</v>
      </c>
      <c r="S2612" s="15">
        <v>84981</v>
      </c>
      <c r="T2612" s="15" t="s">
        <v>19089</v>
      </c>
    </row>
    <row r="2613" spans="1:20" ht="30" customHeight="1" x14ac:dyDescent="0.25">
      <c r="A2613" s="2" t="s">
        <v>7850</v>
      </c>
      <c r="B2613" s="8" t="s">
        <v>16180</v>
      </c>
      <c r="C2613" s="2" t="s">
        <v>7850</v>
      </c>
      <c r="D2613" s="2" t="s">
        <v>7851</v>
      </c>
      <c r="E2613" s="4" t="s">
        <v>27578</v>
      </c>
    </row>
    <row r="2614" spans="1:20" ht="30" customHeight="1" x14ac:dyDescent="0.25">
      <c r="A2614" s="2" t="s">
        <v>7852</v>
      </c>
      <c r="B2614" s="8" t="s">
        <v>16180</v>
      </c>
      <c r="C2614" s="2" t="s">
        <v>7852</v>
      </c>
      <c r="D2614" s="2" t="s">
        <v>7853</v>
      </c>
      <c r="E2614" s="4" t="s">
        <v>27579</v>
      </c>
    </row>
    <row r="2615" spans="1:20" x14ac:dyDescent="0.25">
      <c r="A2615" s="2" t="s">
        <v>7854</v>
      </c>
      <c r="B2615" s="8" t="s">
        <v>16180</v>
      </c>
      <c r="C2615" s="2" t="s">
        <v>7854</v>
      </c>
      <c r="D2615" s="2" t="s">
        <v>7855</v>
      </c>
      <c r="E2615" s="4" t="s">
        <v>27580</v>
      </c>
    </row>
    <row r="2616" spans="1:20" x14ac:dyDescent="0.25">
      <c r="A2616" s="2" t="s">
        <v>7856</v>
      </c>
      <c r="B2616" s="8" t="s">
        <v>16180</v>
      </c>
      <c r="C2616" s="2" t="s">
        <v>7856</v>
      </c>
      <c r="D2616" s="2" t="s">
        <v>7857</v>
      </c>
      <c r="E2616" s="4" t="s">
        <v>27581</v>
      </c>
    </row>
    <row r="2617" spans="1:20" x14ac:dyDescent="0.25">
      <c r="A2617" s="2" t="s">
        <v>7858</v>
      </c>
      <c r="B2617" s="8" t="s">
        <v>16180</v>
      </c>
      <c r="C2617" s="2" t="s">
        <v>7858</v>
      </c>
      <c r="D2617" s="2" t="s">
        <v>7859</v>
      </c>
      <c r="E2617" s="4" t="s">
        <v>27582</v>
      </c>
      <c r="N2617" s="15" t="s">
        <v>21788</v>
      </c>
      <c r="O2617" s="15" t="s">
        <v>27283</v>
      </c>
      <c r="P2617" s="15" t="s">
        <v>27284</v>
      </c>
      <c r="Q2617" s="15" t="s">
        <v>27285</v>
      </c>
      <c r="R2617" s="15" t="s">
        <v>27286</v>
      </c>
      <c r="S2617" s="15">
        <v>5374464</v>
      </c>
      <c r="T2617" s="15" t="s">
        <v>19089</v>
      </c>
    </row>
    <row r="2618" spans="1:20" ht="30" customHeight="1" x14ac:dyDescent="0.25">
      <c r="A2618" s="2" t="s">
        <v>7860</v>
      </c>
      <c r="B2618" s="8" t="s">
        <v>16180</v>
      </c>
      <c r="C2618" s="2" t="s">
        <v>7860</v>
      </c>
      <c r="D2618" s="2" t="s">
        <v>7861</v>
      </c>
      <c r="E2618" s="4" t="s">
        <v>27583</v>
      </c>
      <c r="N2618" s="15" t="s">
        <v>21788</v>
      </c>
      <c r="O2618" s="15" t="s">
        <v>27584</v>
      </c>
      <c r="P2618" s="15" t="s">
        <v>27585</v>
      </c>
      <c r="Q2618" s="15" t="s">
        <v>27586</v>
      </c>
      <c r="R2618" s="15" t="s">
        <v>27587</v>
      </c>
      <c r="S2618" s="15">
        <v>1131</v>
      </c>
      <c r="T2618" s="15" t="s">
        <v>19089</v>
      </c>
    </row>
    <row r="2619" spans="1:20" x14ac:dyDescent="0.25">
      <c r="A2619" s="2" t="s">
        <v>7862</v>
      </c>
      <c r="B2619" s="8" t="s">
        <v>17486</v>
      </c>
      <c r="C2619" s="2" t="s">
        <v>7862</v>
      </c>
      <c r="D2619" s="2" t="s">
        <v>7863</v>
      </c>
      <c r="E2619" s="4" t="s">
        <v>27588</v>
      </c>
      <c r="G2619" s="15" t="s">
        <v>27589</v>
      </c>
      <c r="H2619" s="15" t="s">
        <v>27590</v>
      </c>
      <c r="I2619" s="15" t="s">
        <v>27591</v>
      </c>
      <c r="J2619" s="15" t="s">
        <v>27592</v>
      </c>
      <c r="K2619" s="15">
        <v>6537961</v>
      </c>
      <c r="L2619" s="15" t="s">
        <v>19099</v>
      </c>
    </row>
    <row r="2620" spans="1:20" x14ac:dyDescent="0.25">
      <c r="A2620" s="2" t="s">
        <v>7865</v>
      </c>
      <c r="B2620" s="8" t="s">
        <v>17487</v>
      </c>
      <c r="C2620" s="2" t="s">
        <v>7865</v>
      </c>
      <c r="D2620" s="2" t="s">
        <v>7866</v>
      </c>
      <c r="E2620" s="4" t="s">
        <v>27593</v>
      </c>
      <c r="G2620" s="15" t="s">
        <v>27594</v>
      </c>
      <c r="H2620" s="15" t="s">
        <v>27595</v>
      </c>
      <c r="I2620" s="15" t="s">
        <v>27596</v>
      </c>
      <c r="J2620" s="15" t="s">
        <v>27597</v>
      </c>
      <c r="K2620" s="15">
        <v>142558</v>
      </c>
      <c r="L2620" s="15" t="s">
        <v>19099</v>
      </c>
    </row>
    <row r="2621" spans="1:20" x14ac:dyDescent="0.25">
      <c r="A2621" s="2" t="s">
        <v>7868</v>
      </c>
      <c r="B2621" s="8" t="s">
        <v>17489</v>
      </c>
      <c r="C2621" s="2" t="s">
        <v>7868</v>
      </c>
      <c r="D2621" s="2" t="s">
        <v>7869</v>
      </c>
      <c r="E2621" s="4" t="s">
        <v>7869</v>
      </c>
      <c r="G2621" s="15" t="s">
        <v>27598</v>
      </c>
      <c r="H2621" s="15" t="s">
        <v>27599</v>
      </c>
      <c r="I2621" s="15" t="s">
        <v>27600</v>
      </c>
      <c r="J2621" s="15" t="s">
        <v>550</v>
      </c>
      <c r="K2621" s="15">
        <v>177622</v>
      </c>
      <c r="L2621" s="15" t="s">
        <v>19099</v>
      </c>
    </row>
    <row r="2622" spans="1:20" x14ac:dyDescent="0.25">
      <c r="A2622" s="2" t="s">
        <v>7871</v>
      </c>
      <c r="B2622" s="8" t="s">
        <v>17490</v>
      </c>
      <c r="C2622" s="2" t="s">
        <v>7871</v>
      </c>
      <c r="D2622" s="2" t="s">
        <v>7872</v>
      </c>
      <c r="E2622" s="4" t="s">
        <v>7872</v>
      </c>
      <c r="G2622" s="15" t="s">
        <v>13180</v>
      </c>
      <c r="H2622" s="15" t="s">
        <v>27601</v>
      </c>
      <c r="I2622" s="15" t="s">
        <v>27602</v>
      </c>
      <c r="J2622" s="15" t="s">
        <v>550</v>
      </c>
      <c r="K2622" s="15">
        <v>61704</v>
      </c>
      <c r="L2622" s="15" t="s">
        <v>19099</v>
      </c>
    </row>
    <row r="2623" spans="1:20" x14ac:dyDescent="0.25">
      <c r="A2623" s="2" t="s">
        <v>7874</v>
      </c>
      <c r="B2623" s="8" t="s">
        <v>17491</v>
      </c>
      <c r="C2623" s="2" t="s">
        <v>7874</v>
      </c>
      <c r="D2623" s="2" t="s">
        <v>7875</v>
      </c>
      <c r="E2623" s="4" t="s">
        <v>7875</v>
      </c>
      <c r="G2623" s="15" t="s">
        <v>27603</v>
      </c>
      <c r="H2623" s="15" t="s">
        <v>27604</v>
      </c>
      <c r="I2623" s="15" t="s">
        <v>27605</v>
      </c>
      <c r="J2623" s="15" t="s">
        <v>550</v>
      </c>
      <c r="K2623" s="15">
        <v>61784</v>
      </c>
      <c r="L2623" s="15" t="s">
        <v>19099</v>
      </c>
    </row>
    <row r="2624" spans="1:20" x14ac:dyDescent="0.25">
      <c r="A2624" s="2" t="s">
        <v>7877</v>
      </c>
      <c r="B2624" s="8" t="s">
        <v>17492</v>
      </c>
      <c r="C2624" s="2" t="s">
        <v>7877</v>
      </c>
      <c r="D2624" s="2" t="s">
        <v>7878</v>
      </c>
      <c r="E2624" s="4" t="s">
        <v>7878</v>
      </c>
      <c r="G2624" s="15" t="s">
        <v>27606</v>
      </c>
      <c r="H2624" s="15" t="s">
        <v>27607</v>
      </c>
      <c r="I2624" s="15" t="s">
        <v>27608</v>
      </c>
      <c r="J2624" s="15" t="s">
        <v>550</v>
      </c>
      <c r="K2624" s="15">
        <v>167047</v>
      </c>
      <c r="L2624" s="15" t="s">
        <v>19099</v>
      </c>
    </row>
    <row r="2625" spans="1:12" x14ac:dyDescent="0.25">
      <c r="A2625" s="2" t="s">
        <v>7880</v>
      </c>
      <c r="B2625" s="8" t="s">
        <v>17488</v>
      </c>
      <c r="C2625" s="2" t="s">
        <v>7880</v>
      </c>
      <c r="D2625" s="2" t="s">
        <v>7881</v>
      </c>
      <c r="E2625" s="4" t="s">
        <v>7881</v>
      </c>
      <c r="G2625" s="15" t="s">
        <v>552</v>
      </c>
      <c r="H2625" s="15" t="s">
        <v>27609</v>
      </c>
      <c r="I2625" s="15" t="s">
        <v>27610</v>
      </c>
      <c r="J2625" s="15" t="s">
        <v>550</v>
      </c>
      <c r="K2625" s="15">
        <v>23989</v>
      </c>
      <c r="L2625" s="15" t="s">
        <v>19099</v>
      </c>
    </row>
    <row r="2626" spans="1:12" x14ac:dyDescent="0.25">
      <c r="A2626" s="2" t="s">
        <v>7882</v>
      </c>
      <c r="B2626" s="8" t="s">
        <v>16180</v>
      </c>
      <c r="C2626" s="2" t="s">
        <v>7882</v>
      </c>
      <c r="D2626" s="2" t="s">
        <v>7883</v>
      </c>
      <c r="E2626" s="4" t="s">
        <v>27611</v>
      </c>
    </row>
    <row r="2627" spans="1:12" x14ac:dyDescent="0.25">
      <c r="A2627" s="2" t="s">
        <v>7884</v>
      </c>
      <c r="B2627" s="8" t="s">
        <v>17494</v>
      </c>
      <c r="C2627" s="2" t="s">
        <v>7884</v>
      </c>
      <c r="D2627" s="2" t="s">
        <v>7885</v>
      </c>
      <c r="E2627" s="4" t="s">
        <v>7885</v>
      </c>
      <c r="G2627" s="15" t="s">
        <v>27612</v>
      </c>
      <c r="H2627" s="15" t="s">
        <v>27613</v>
      </c>
      <c r="I2627" s="15" t="s">
        <v>27614</v>
      </c>
      <c r="J2627" s="15" t="s">
        <v>274</v>
      </c>
      <c r="K2627" s="15">
        <v>161054</v>
      </c>
      <c r="L2627" s="15" t="s">
        <v>19099</v>
      </c>
    </row>
    <row r="2628" spans="1:12" x14ac:dyDescent="0.25">
      <c r="A2628" s="2" t="s">
        <v>7887</v>
      </c>
      <c r="B2628" s="8" t="s">
        <v>16180</v>
      </c>
      <c r="C2628" s="2" t="s">
        <v>7887</v>
      </c>
      <c r="D2628" s="2" t="s">
        <v>7888</v>
      </c>
      <c r="E2628" s="4" t="s">
        <v>27615</v>
      </c>
    </row>
    <row r="2629" spans="1:12" x14ac:dyDescent="0.25">
      <c r="A2629" s="2" t="s">
        <v>7889</v>
      </c>
      <c r="B2629" s="8" t="s">
        <v>16180</v>
      </c>
      <c r="C2629" s="2" t="s">
        <v>7889</v>
      </c>
      <c r="D2629" s="2" t="s">
        <v>7890</v>
      </c>
      <c r="E2629" s="4" t="s">
        <v>27616</v>
      </c>
    </row>
    <row r="2630" spans="1:12" x14ac:dyDescent="0.25">
      <c r="A2630" s="2" t="s">
        <v>7891</v>
      </c>
      <c r="B2630" s="8" t="s">
        <v>16180</v>
      </c>
      <c r="C2630" s="2" t="s">
        <v>7891</v>
      </c>
      <c r="D2630" s="2" t="s">
        <v>7892</v>
      </c>
      <c r="E2630" s="4" t="s">
        <v>27617</v>
      </c>
    </row>
    <row r="2631" spans="1:12" x14ac:dyDescent="0.25">
      <c r="A2631" s="2" t="s">
        <v>7893</v>
      </c>
      <c r="B2631" s="8" t="s">
        <v>16180</v>
      </c>
      <c r="C2631" s="2" t="s">
        <v>7893</v>
      </c>
      <c r="D2631" s="2" t="s">
        <v>7894</v>
      </c>
      <c r="E2631" s="4" t="s">
        <v>27618</v>
      </c>
    </row>
    <row r="2632" spans="1:12" x14ac:dyDescent="0.25">
      <c r="A2632" s="2" t="s">
        <v>7895</v>
      </c>
      <c r="B2632" s="8" t="s">
        <v>16180</v>
      </c>
      <c r="C2632" s="2" t="s">
        <v>7895</v>
      </c>
      <c r="D2632" s="2" t="s">
        <v>7896</v>
      </c>
      <c r="E2632" s="4" t="s">
        <v>27619</v>
      </c>
    </row>
    <row r="2633" spans="1:12" x14ac:dyDescent="0.25">
      <c r="A2633" s="2" t="s">
        <v>7897</v>
      </c>
      <c r="B2633" s="8" t="s">
        <v>16180</v>
      </c>
      <c r="C2633" s="2" t="s">
        <v>7897</v>
      </c>
      <c r="D2633" s="2" t="s">
        <v>7898</v>
      </c>
      <c r="E2633" s="4" t="s">
        <v>27620</v>
      </c>
    </row>
    <row r="2634" spans="1:12" x14ac:dyDescent="0.25">
      <c r="A2634" s="2" t="s">
        <v>7899</v>
      </c>
      <c r="B2634" s="8" t="s">
        <v>16180</v>
      </c>
      <c r="C2634" s="2" t="s">
        <v>7899</v>
      </c>
      <c r="D2634" s="2" t="s">
        <v>7900</v>
      </c>
      <c r="E2634" s="4" t="s">
        <v>27621</v>
      </c>
    </row>
    <row r="2635" spans="1:12" x14ac:dyDescent="0.25">
      <c r="A2635" s="2" t="s">
        <v>7901</v>
      </c>
      <c r="B2635" s="8" t="s">
        <v>16180</v>
      </c>
      <c r="C2635" s="2" t="s">
        <v>7901</v>
      </c>
      <c r="D2635" s="2" t="s">
        <v>7902</v>
      </c>
      <c r="E2635" s="4" t="s">
        <v>27622</v>
      </c>
    </row>
    <row r="2636" spans="1:12" x14ac:dyDescent="0.25">
      <c r="A2636" s="2" t="s">
        <v>7903</v>
      </c>
      <c r="B2636" s="8" t="s">
        <v>16180</v>
      </c>
      <c r="C2636" s="2" t="s">
        <v>7903</v>
      </c>
      <c r="D2636" s="2" t="s">
        <v>7904</v>
      </c>
      <c r="E2636" s="4" t="s">
        <v>27623</v>
      </c>
    </row>
    <row r="2637" spans="1:12" x14ac:dyDescent="0.25">
      <c r="A2637" s="2" t="s">
        <v>7905</v>
      </c>
      <c r="B2637" s="8" t="s">
        <v>16180</v>
      </c>
      <c r="C2637" s="2" t="s">
        <v>7905</v>
      </c>
      <c r="D2637" s="2" t="s">
        <v>7906</v>
      </c>
      <c r="E2637" s="4" t="s">
        <v>27624</v>
      </c>
    </row>
    <row r="2638" spans="1:12" x14ac:dyDescent="0.25">
      <c r="A2638" s="2" t="s">
        <v>7907</v>
      </c>
      <c r="B2638" s="8" t="s">
        <v>16180</v>
      </c>
      <c r="C2638" s="2" t="s">
        <v>7907</v>
      </c>
      <c r="D2638" s="2" t="s">
        <v>7908</v>
      </c>
      <c r="E2638" s="4" t="s">
        <v>27625</v>
      </c>
    </row>
    <row r="2639" spans="1:12" x14ac:dyDescent="0.25">
      <c r="A2639" s="2" t="s">
        <v>7909</v>
      </c>
      <c r="B2639" s="8" t="s">
        <v>16180</v>
      </c>
      <c r="C2639" s="2" t="s">
        <v>7909</v>
      </c>
      <c r="D2639" s="2" t="s">
        <v>7910</v>
      </c>
      <c r="E2639" s="4" t="s">
        <v>27626</v>
      </c>
    </row>
    <row r="2640" spans="1:12" x14ac:dyDescent="0.25">
      <c r="A2640" s="2" t="s">
        <v>7911</v>
      </c>
      <c r="B2640" s="8" t="s">
        <v>16180</v>
      </c>
      <c r="C2640" s="2" t="s">
        <v>7911</v>
      </c>
      <c r="D2640" s="2" t="s">
        <v>7912</v>
      </c>
      <c r="E2640" s="4" t="s">
        <v>27627</v>
      </c>
    </row>
    <row r="2641" spans="1:12" x14ac:dyDescent="0.25">
      <c r="A2641" s="2" t="s">
        <v>7913</v>
      </c>
      <c r="B2641" s="8" t="s">
        <v>16180</v>
      </c>
      <c r="C2641" s="2" t="s">
        <v>7913</v>
      </c>
      <c r="D2641" s="2" t="s">
        <v>7914</v>
      </c>
      <c r="E2641" s="4" t="s">
        <v>27628</v>
      </c>
    </row>
    <row r="2642" spans="1:12" x14ac:dyDescent="0.25">
      <c r="A2642" s="2" t="s">
        <v>7915</v>
      </c>
      <c r="B2642" s="8" t="s">
        <v>16180</v>
      </c>
      <c r="C2642" s="2" t="s">
        <v>7915</v>
      </c>
      <c r="D2642" s="2" t="s">
        <v>7916</v>
      </c>
      <c r="E2642" s="4" t="s">
        <v>27629</v>
      </c>
    </row>
    <row r="2643" spans="1:12" x14ac:dyDescent="0.25">
      <c r="A2643" s="2" t="s">
        <v>7917</v>
      </c>
      <c r="B2643" s="8" t="s">
        <v>16180</v>
      </c>
      <c r="C2643" s="2" t="s">
        <v>7917</v>
      </c>
      <c r="D2643" s="2" t="s">
        <v>7918</v>
      </c>
      <c r="E2643" s="4" t="s">
        <v>27630</v>
      </c>
    </row>
    <row r="2644" spans="1:12" x14ac:dyDescent="0.25">
      <c r="A2644" s="2" t="s">
        <v>7919</v>
      </c>
      <c r="B2644" s="8" t="s">
        <v>16180</v>
      </c>
      <c r="C2644" s="2" t="s">
        <v>7919</v>
      </c>
      <c r="D2644" s="2" t="s">
        <v>7920</v>
      </c>
      <c r="E2644" s="4" t="s">
        <v>27631</v>
      </c>
      <c r="G2644" s="15" t="s">
        <v>22333</v>
      </c>
      <c r="H2644" s="15" t="s">
        <v>22334</v>
      </c>
      <c r="I2644" s="15" t="s">
        <v>22335</v>
      </c>
      <c r="J2644" s="15" t="s">
        <v>22336</v>
      </c>
      <c r="K2644" s="15">
        <v>985</v>
      </c>
      <c r="L2644" s="15" t="s">
        <v>19995</v>
      </c>
    </row>
    <row r="2645" spans="1:12" x14ac:dyDescent="0.25">
      <c r="A2645" s="2" t="s">
        <v>7921</v>
      </c>
      <c r="B2645" s="8" t="s">
        <v>16180</v>
      </c>
      <c r="C2645" s="2" t="s">
        <v>7921</v>
      </c>
      <c r="D2645" s="2" t="s">
        <v>7922</v>
      </c>
      <c r="E2645" s="4" t="s">
        <v>27632</v>
      </c>
    </row>
    <row r="2646" spans="1:12" x14ac:dyDescent="0.25">
      <c r="A2646" s="2" t="s">
        <v>7923</v>
      </c>
      <c r="B2646" s="8" t="s">
        <v>16180</v>
      </c>
      <c r="C2646" s="2" t="s">
        <v>7923</v>
      </c>
      <c r="D2646" s="2" t="s">
        <v>7924</v>
      </c>
      <c r="E2646" s="4" t="s">
        <v>27633</v>
      </c>
    </row>
    <row r="2647" spans="1:12" x14ac:dyDescent="0.25">
      <c r="A2647" s="2" t="s">
        <v>7925</v>
      </c>
      <c r="B2647" s="8" t="s">
        <v>16180</v>
      </c>
      <c r="C2647" s="2" t="s">
        <v>7925</v>
      </c>
      <c r="D2647" s="2" t="s">
        <v>7926</v>
      </c>
      <c r="E2647" s="4" t="s">
        <v>27634</v>
      </c>
    </row>
    <row r="2648" spans="1:12" x14ac:dyDescent="0.25">
      <c r="A2648" s="2" t="s">
        <v>7927</v>
      </c>
      <c r="B2648" s="8" t="s">
        <v>16180</v>
      </c>
      <c r="C2648" s="2" t="s">
        <v>7927</v>
      </c>
      <c r="D2648" s="2" t="s">
        <v>7928</v>
      </c>
      <c r="E2648" s="4" t="s">
        <v>27635</v>
      </c>
    </row>
    <row r="2649" spans="1:12" x14ac:dyDescent="0.25">
      <c r="A2649" s="2" t="s">
        <v>7929</v>
      </c>
      <c r="B2649" s="8" t="s">
        <v>16180</v>
      </c>
      <c r="C2649" s="2" t="s">
        <v>7929</v>
      </c>
      <c r="D2649" s="2" t="s">
        <v>7930</v>
      </c>
      <c r="E2649" s="4" t="s">
        <v>27636</v>
      </c>
    </row>
    <row r="2650" spans="1:12" x14ac:dyDescent="0.25">
      <c r="A2650" s="2" t="s">
        <v>7931</v>
      </c>
      <c r="B2650" s="8" t="s">
        <v>16180</v>
      </c>
      <c r="C2650" s="2" t="s">
        <v>7931</v>
      </c>
      <c r="D2650" s="2" t="s">
        <v>7932</v>
      </c>
      <c r="E2650" s="4" t="s">
        <v>27637</v>
      </c>
    </row>
    <row r="2651" spans="1:12" x14ac:dyDescent="0.25">
      <c r="A2651" s="2" t="s">
        <v>7933</v>
      </c>
      <c r="B2651" s="8" t="s">
        <v>16180</v>
      </c>
      <c r="C2651" s="2" t="s">
        <v>7933</v>
      </c>
      <c r="D2651" s="2" t="s">
        <v>7934</v>
      </c>
      <c r="E2651" s="4" t="s">
        <v>27638</v>
      </c>
    </row>
    <row r="2652" spans="1:12" x14ac:dyDescent="0.25">
      <c r="A2652" s="2" t="s">
        <v>7935</v>
      </c>
      <c r="B2652" s="8" t="s">
        <v>16180</v>
      </c>
      <c r="C2652" s="2" t="s">
        <v>7935</v>
      </c>
      <c r="D2652" s="2" t="s">
        <v>7936</v>
      </c>
      <c r="E2652" s="4" t="s">
        <v>27639</v>
      </c>
    </row>
    <row r="2653" spans="1:12" x14ac:dyDescent="0.25">
      <c r="A2653" s="2" t="s">
        <v>7937</v>
      </c>
      <c r="B2653" s="8" t="s">
        <v>16180</v>
      </c>
      <c r="C2653" s="2" t="s">
        <v>7937</v>
      </c>
      <c r="D2653" s="2" t="s">
        <v>7938</v>
      </c>
      <c r="E2653" s="4" t="s">
        <v>27640</v>
      </c>
    </row>
    <row r="2654" spans="1:12" x14ac:dyDescent="0.25">
      <c r="A2654" s="2" t="s">
        <v>7939</v>
      </c>
      <c r="B2654" s="8" t="s">
        <v>16180</v>
      </c>
      <c r="C2654" s="2" t="s">
        <v>7939</v>
      </c>
      <c r="D2654" s="2" t="s">
        <v>7940</v>
      </c>
      <c r="E2654" s="4" t="s">
        <v>27641</v>
      </c>
    </row>
    <row r="2655" spans="1:12" x14ac:dyDescent="0.25">
      <c r="A2655" s="2" t="s">
        <v>7941</v>
      </c>
      <c r="B2655" s="8" t="s">
        <v>16180</v>
      </c>
      <c r="C2655" s="2" t="s">
        <v>7941</v>
      </c>
      <c r="D2655" s="2" t="s">
        <v>7942</v>
      </c>
      <c r="E2655" s="4" t="s">
        <v>27642</v>
      </c>
    </row>
    <row r="2656" spans="1:12" x14ac:dyDescent="0.25">
      <c r="A2656" s="2" t="s">
        <v>7943</v>
      </c>
      <c r="B2656" s="8" t="s">
        <v>16180</v>
      </c>
      <c r="C2656" s="2" t="s">
        <v>7943</v>
      </c>
      <c r="D2656" s="2" t="s">
        <v>7944</v>
      </c>
      <c r="E2656" s="4" t="s">
        <v>27643</v>
      </c>
    </row>
    <row r="2657" spans="1:5" x14ac:dyDescent="0.25">
      <c r="A2657" s="2" t="s">
        <v>7945</v>
      </c>
      <c r="B2657" s="8" t="s">
        <v>16180</v>
      </c>
      <c r="C2657" s="2" t="s">
        <v>7945</v>
      </c>
      <c r="D2657" s="2" t="s">
        <v>7946</v>
      </c>
      <c r="E2657" s="4" t="s">
        <v>27644</v>
      </c>
    </row>
    <row r="2658" spans="1:5" x14ac:dyDescent="0.25">
      <c r="A2658" s="2" t="s">
        <v>7947</v>
      </c>
      <c r="B2658" s="8" t="s">
        <v>16180</v>
      </c>
      <c r="C2658" s="2" t="s">
        <v>7947</v>
      </c>
      <c r="D2658" s="2" t="s">
        <v>7948</v>
      </c>
      <c r="E2658" s="4" t="s">
        <v>27645</v>
      </c>
    </row>
    <row r="2659" spans="1:5" x14ac:dyDescent="0.25">
      <c r="A2659" s="2" t="s">
        <v>7949</v>
      </c>
      <c r="B2659" s="8" t="s">
        <v>16180</v>
      </c>
      <c r="C2659" s="2" t="s">
        <v>7949</v>
      </c>
      <c r="D2659" s="2" t="s">
        <v>7950</v>
      </c>
      <c r="E2659" s="4" t="s">
        <v>27646</v>
      </c>
    </row>
    <row r="2660" spans="1:5" x14ac:dyDescent="0.25">
      <c r="A2660" s="2" t="s">
        <v>7951</v>
      </c>
      <c r="B2660" s="8" t="s">
        <v>16180</v>
      </c>
      <c r="C2660" s="2" t="s">
        <v>7951</v>
      </c>
      <c r="D2660" s="2" t="s">
        <v>7952</v>
      </c>
      <c r="E2660" s="4" t="s">
        <v>27647</v>
      </c>
    </row>
    <row r="2661" spans="1:5" x14ac:dyDescent="0.25">
      <c r="A2661" s="2" t="s">
        <v>7953</v>
      </c>
      <c r="B2661" s="8" t="s">
        <v>16180</v>
      </c>
      <c r="C2661" s="2" t="s">
        <v>7953</v>
      </c>
      <c r="D2661" s="2" t="s">
        <v>7954</v>
      </c>
      <c r="E2661" s="4" t="s">
        <v>27648</v>
      </c>
    </row>
    <row r="2662" spans="1:5" ht="30" customHeight="1" x14ac:dyDescent="0.25">
      <c r="A2662" s="2" t="s">
        <v>7955</v>
      </c>
      <c r="B2662" s="8" t="s">
        <v>16180</v>
      </c>
      <c r="C2662" s="2" t="s">
        <v>7955</v>
      </c>
      <c r="D2662" s="2" t="s">
        <v>7956</v>
      </c>
      <c r="E2662" s="4" t="s">
        <v>27649</v>
      </c>
    </row>
    <row r="2663" spans="1:5" x14ac:dyDescent="0.25">
      <c r="A2663" s="2" t="s">
        <v>7957</v>
      </c>
      <c r="B2663" s="8" t="s">
        <v>16180</v>
      </c>
      <c r="C2663" s="2" t="s">
        <v>7957</v>
      </c>
      <c r="D2663" s="2" t="s">
        <v>7958</v>
      </c>
      <c r="E2663" s="4" t="s">
        <v>27650</v>
      </c>
    </row>
    <row r="2664" spans="1:5" x14ac:dyDescent="0.25">
      <c r="A2664" s="2" t="s">
        <v>7959</v>
      </c>
      <c r="B2664" s="8" t="s">
        <v>16180</v>
      </c>
      <c r="C2664" s="2" t="s">
        <v>7959</v>
      </c>
      <c r="D2664" s="2" t="s">
        <v>7960</v>
      </c>
      <c r="E2664" s="4" t="s">
        <v>27651</v>
      </c>
    </row>
    <row r="2665" spans="1:5" x14ac:dyDescent="0.25">
      <c r="A2665" s="2" t="s">
        <v>7961</v>
      </c>
      <c r="B2665" s="8" t="s">
        <v>16180</v>
      </c>
      <c r="C2665" s="2" t="s">
        <v>7961</v>
      </c>
      <c r="D2665" s="2" t="s">
        <v>7962</v>
      </c>
      <c r="E2665" s="4" t="s">
        <v>27652</v>
      </c>
    </row>
    <row r="2666" spans="1:5" x14ac:dyDescent="0.25">
      <c r="A2666" s="2" t="s">
        <v>7963</v>
      </c>
      <c r="B2666" s="8" t="s">
        <v>16180</v>
      </c>
      <c r="C2666" s="2" t="s">
        <v>7963</v>
      </c>
      <c r="D2666" s="2" t="s">
        <v>7964</v>
      </c>
      <c r="E2666" s="4" t="s">
        <v>27653</v>
      </c>
    </row>
    <row r="2667" spans="1:5" x14ac:dyDescent="0.25">
      <c r="A2667" s="2" t="s">
        <v>7965</v>
      </c>
      <c r="B2667" s="8" t="s">
        <v>16180</v>
      </c>
      <c r="C2667" s="2" t="s">
        <v>7965</v>
      </c>
      <c r="D2667" s="2" t="s">
        <v>7966</v>
      </c>
      <c r="E2667" s="4" t="s">
        <v>27654</v>
      </c>
    </row>
    <row r="2668" spans="1:5" x14ac:dyDescent="0.25">
      <c r="A2668" s="2" t="s">
        <v>7967</v>
      </c>
      <c r="B2668" s="8" t="s">
        <v>16180</v>
      </c>
      <c r="C2668" s="2" t="s">
        <v>7967</v>
      </c>
      <c r="D2668" s="2" t="s">
        <v>7968</v>
      </c>
      <c r="E2668" s="4" t="s">
        <v>27655</v>
      </c>
    </row>
    <row r="2669" spans="1:5" x14ac:dyDescent="0.25">
      <c r="A2669" s="2" t="s">
        <v>7969</v>
      </c>
      <c r="B2669" s="8" t="s">
        <v>16180</v>
      </c>
      <c r="C2669" s="2" t="s">
        <v>7969</v>
      </c>
      <c r="D2669" s="2" t="s">
        <v>7970</v>
      </c>
      <c r="E2669" s="4" t="s">
        <v>27656</v>
      </c>
    </row>
    <row r="2670" spans="1:5" x14ac:dyDescent="0.25">
      <c r="A2670" s="2" t="s">
        <v>7971</v>
      </c>
      <c r="B2670" s="8" t="s">
        <v>16180</v>
      </c>
      <c r="C2670" s="2" t="s">
        <v>7971</v>
      </c>
      <c r="D2670" s="2" t="s">
        <v>7972</v>
      </c>
      <c r="E2670" s="4" t="s">
        <v>27657</v>
      </c>
    </row>
    <row r="2671" spans="1:5" x14ac:dyDescent="0.25">
      <c r="A2671" s="2" t="s">
        <v>7973</v>
      </c>
      <c r="B2671" s="8" t="s">
        <v>16180</v>
      </c>
      <c r="C2671" s="2" t="s">
        <v>7973</v>
      </c>
      <c r="D2671" s="2" t="s">
        <v>7974</v>
      </c>
      <c r="E2671" s="4" t="s">
        <v>27658</v>
      </c>
    </row>
    <row r="2672" spans="1:5" x14ac:dyDescent="0.25">
      <c r="A2672" s="2" t="s">
        <v>7975</v>
      </c>
      <c r="B2672" s="8" t="s">
        <v>16180</v>
      </c>
      <c r="C2672" s="2" t="s">
        <v>7975</v>
      </c>
      <c r="D2672" s="2" t="s">
        <v>7976</v>
      </c>
      <c r="E2672" s="4" t="s">
        <v>27659</v>
      </c>
    </row>
    <row r="2673" spans="1:12" x14ac:dyDescent="0.25">
      <c r="A2673" s="2" t="s">
        <v>7977</v>
      </c>
      <c r="B2673" s="8" t="s">
        <v>16180</v>
      </c>
      <c r="C2673" s="2" t="s">
        <v>7977</v>
      </c>
      <c r="D2673" s="2" t="s">
        <v>7978</v>
      </c>
      <c r="E2673" s="4" t="s">
        <v>27660</v>
      </c>
    </row>
    <row r="2674" spans="1:12" x14ac:dyDescent="0.25">
      <c r="A2674" s="2" t="s">
        <v>7979</v>
      </c>
      <c r="B2674" s="8" t="s">
        <v>16180</v>
      </c>
      <c r="C2674" s="2" t="s">
        <v>7979</v>
      </c>
      <c r="D2674" s="2" t="s">
        <v>7980</v>
      </c>
      <c r="E2674" s="4" t="s">
        <v>27661</v>
      </c>
    </row>
    <row r="2675" spans="1:12" x14ac:dyDescent="0.25">
      <c r="A2675" s="2" t="s">
        <v>7981</v>
      </c>
      <c r="B2675" s="8" t="s">
        <v>16180</v>
      </c>
      <c r="C2675" s="2" t="s">
        <v>7981</v>
      </c>
      <c r="D2675" s="2" t="s">
        <v>7982</v>
      </c>
      <c r="E2675" s="4" t="s">
        <v>27662</v>
      </c>
    </row>
    <row r="2676" spans="1:12" x14ac:dyDescent="0.25">
      <c r="A2676" s="2" t="s">
        <v>7983</v>
      </c>
      <c r="B2676" s="8" t="s">
        <v>16180</v>
      </c>
      <c r="C2676" s="2" t="s">
        <v>7983</v>
      </c>
      <c r="D2676" s="2" t="s">
        <v>7984</v>
      </c>
      <c r="E2676" s="4" t="s">
        <v>27663</v>
      </c>
    </row>
    <row r="2677" spans="1:12" x14ac:dyDescent="0.25">
      <c r="A2677" s="2" t="s">
        <v>7985</v>
      </c>
      <c r="B2677" s="8" t="s">
        <v>16180</v>
      </c>
      <c r="C2677" s="2" t="s">
        <v>7985</v>
      </c>
      <c r="D2677" s="2" t="s">
        <v>7986</v>
      </c>
      <c r="E2677" s="4" t="s">
        <v>27664</v>
      </c>
    </row>
    <row r="2678" spans="1:12" x14ac:dyDescent="0.25">
      <c r="A2678" s="2" t="s">
        <v>7987</v>
      </c>
      <c r="B2678" s="8" t="s">
        <v>16180</v>
      </c>
      <c r="C2678" s="2" t="s">
        <v>7987</v>
      </c>
      <c r="D2678" s="2" t="s">
        <v>7988</v>
      </c>
      <c r="E2678" s="4" t="s">
        <v>27665</v>
      </c>
    </row>
    <row r="2679" spans="1:12" x14ac:dyDescent="0.25">
      <c r="A2679" s="2" t="s">
        <v>7989</v>
      </c>
      <c r="B2679" s="8" t="s">
        <v>16180</v>
      </c>
      <c r="C2679" s="2" t="s">
        <v>7989</v>
      </c>
      <c r="D2679" s="2" t="s">
        <v>7990</v>
      </c>
      <c r="E2679" s="4" t="s">
        <v>27666</v>
      </c>
    </row>
    <row r="2680" spans="1:12" x14ac:dyDescent="0.25">
      <c r="A2680" s="2" t="s">
        <v>7991</v>
      </c>
      <c r="B2680" s="8" t="s">
        <v>16180</v>
      </c>
      <c r="C2680" s="2" t="s">
        <v>7991</v>
      </c>
      <c r="D2680" s="2" t="s">
        <v>7992</v>
      </c>
      <c r="E2680" s="4" t="s">
        <v>27667</v>
      </c>
    </row>
    <row r="2681" spans="1:12" x14ac:dyDescent="0.25">
      <c r="A2681" s="2" t="s">
        <v>7993</v>
      </c>
      <c r="B2681" s="8" t="s">
        <v>16180</v>
      </c>
      <c r="C2681" s="2" t="s">
        <v>7993</v>
      </c>
      <c r="D2681" s="2" t="s">
        <v>7994</v>
      </c>
      <c r="E2681" s="4" t="s">
        <v>7994</v>
      </c>
    </row>
    <row r="2682" spans="1:12" x14ac:dyDescent="0.25">
      <c r="A2682" s="2" t="s">
        <v>7995</v>
      </c>
      <c r="B2682" s="8" t="s">
        <v>16180</v>
      </c>
      <c r="C2682" s="2" t="s">
        <v>7995</v>
      </c>
      <c r="D2682" s="2" t="s">
        <v>7996</v>
      </c>
      <c r="E2682" s="4" t="s">
        <v>27668</v>
      </c>
    </row>
    <row r="2683" spans="1:12" x14ac:dyDescent="0.25">
      <c r="A2683" s="2" t="s">
        <v>7997</v>
      </c>
      <c r="B2683" s="8" t="s">
        <v>16180</v>
      </c>
      <c r="C2683" s="2" t="s">
        <v>7997</v>
      </c>
      <c r="D2683" s="2" t="s">
        <v>7998</v>
      </c>
      <c r="E2683" s="4" t="s">
        <v>27669</v>
      </c>
    </row>
    <row r="2684" spans="1:12" x14ac:dyDescent="0.25">
      <c r="A2684" s="2" t="s">
        <v>7999</v>
      </c>
      <c r="B2684" s="8" t="s">
        <v>16180</v>
      </c>
      <c r="C2684" s="2" t="s">
        <v>7999</v>
      </c>
      <c r="D2684" s="2" t="s">
        <v>8000</v>
      </c>
      <c r="E2684" s="4" t="s">
        <v>27670</v>
      </c>
    </row>
    <row r="2685" spans="1:12" x14ac:dyDescent="0.25">
      <c r="A2685" s="2" t="s">
        <v>8001</v>
      </c>
      <c r="B2685" s="8" t="s">
        <v>16180</v>
      </c>
      <c r="C2685" s="2" t="s">
        <v>8001</v>
      </c>
      <c r="D2685" s="2" t="s">
        <v>8002</v>
      </c>
      <c r="E2685" s="4" t="s">
        <v>27671</v>
      </c>
    </row>
    <row r="2686" spans="1:12" x14ac:dyDescent="0.25">
      <c r="A2686" s="2" t="s">
        <v>8003</v>
      </c>
      <c r="B2686" s="8" t="s">
        <v>16180</v>
      </c>
      <c r="C2686" s="2" t="s">
        <v>8003</v>
      </c>
      <c r="D2686" s="2" t="s">
        <v>8004</v>
      </c>
      <c r="E2686" s="4" t="s">
        <v>27672</v>
      </c>
    </row>
    <row r="2687" spans="1:12" x14ac:dyDescent="0.25">
      <c r="A2687" s="2" t="s">
        <v>8005</v>
      </c>
      <c r="B2687" s="8" t="s">
        <v>17496</v>
      </c>
      <c r="C2687" s="2" t="s">
        <v>8005</v>
      </c>
      <c r="D2687" s="2" t="s">
        <v>8006</v>
      </c>
      <c r="E2687" s="4" t="s">
        <v>27673</v>
      </c>
      <c r="G2687" s="15" t="s">
        <v>27674</v>
      </c>
      <c r="H2687" s="15" t="s">
        <v>27675</v>
      </c>
      <c r="I2687" s="15" t="s">
        <v>27676</v>
      </c>
      <c r="J2687" s="15" t="s">
        <v>478</v>
      </c>
      <c r="K2687" s="15">
        <v>161143</v>
      </c>
      <c r="L2687" s="15" t="s">
        <v>19099</v>
      </c>
    </row>
    <row r="2688" spans="1:12" x14ac:dyDescent="0.25">
      <c r="A2688" s="2" t="s">
        <v>8008</v>
      </c>
      <c r="B2688" s="8" t="s">
        <v>16180</v>
      </c>
      <c r="C2688" s="2" t="s">
        <v>8008</v>
      </c>
      <c r="D2688" s="2" t="s">
        <v>8009</v>
      </c>
      <c r="E2688" s="4" t="s">
        <v>27677</v>
      </c>
    </row>
    <row r="2689" spans="1:12" x14ac:dyDescent="0.25">
      <c r="A2689" s="2" t="s">
        <v>8010</v>
      </c>
      <c r="B2689" s="8" t="s">
        <v>16180</v>
      </c>
      <c r="C2689" s="2" t="s">
        <v>8010</v>
      </c>
      <c r="D2689" s="2" t="s">
        <v>8011</v>
      </c>
      <c r="E2689" s="4" t="s">
        <v>27678</v>
      </c>
    </row>
    <row r="2690" spans="1:12" x14ac:dyDescent="0.25">
      <c r="A2690" s="2" t="s">
        <v>8012</v>
      </c>
      <c r="B2690" s="8" t="s">
        <v>16180</v>
      </c>
      <c r="C2690" s="2" t="s">
        <v>8012</v>
      </c>
      <c r="D2690" s="2" t="s">
        <v>8013</v>
      </c>
      <c r="E2690" s="4" t="s">
        <v>27679</v>
      </c>
    </row>
    <row r="2691" spans="1:12" x14ac:dyDescent="0.25">
      <c r="A2691" s="2" t="s">
        <v>8014</v>
      </c>
      <c r="B2691" s="8" t="s">
        <v>16180</v>
      </c>
      <c r="C2691" s="2" t="s">
        <v>8014</v>
      </c>
      <c r="D2691" s="2" t="s">
        <v>8015</v>
      </c>
      <c r="E2691" s="4" t="s">
        <v>27680</v>
      </c>
    </row>
    <row r="2692" spans="1:12" x14ac:dyDescent="0.25">
      <c r="A2692" s="2" t="s">
        <v>8016</v>
      </c>
      <c r="B2692" s="8" t="s">
        <v>16180</v>
      </c>
      <c r="C2692" s="2" t="s">
        <v>8016</v>
      </c>
      <c r="D2692" s="2" t="s">
        <v>8017</v>
      </c>
      <c r="E2692" s="4" t="s">
        <v>27681</v>
      </c>
    </row>
    <row r="2693" spans="1:12" x14ac:dyDescent="0.25">
      <c r="A2693" s="2" t="s">
        <v>8018</v>
      </c>
      <c r="B2693" s="8" t="s">
        <v>16180</v>
      </c>
      <c r="C2693" s="2" t="s">
        <v>8018</v>
      </c>
      <c r="D2693" s="2" t="s">
        <v>8019</v>
      </c>
      <c r="E2693" s="4" t="s">
        <v>27682</v>
      </c>
    </row>
    <row r="2694" spans="1:12" x14ac:dyDescent="0.25">
      <c r="A2694" s="2" t="s">
        <v>8020</v>
      </c>
      <c r="B2694" s="8" t="s">
        <v>16180</v>
      </c>
      <c r="C2694" s="2" t="s">
        <v>8020</v>
      </c>
      <c r="D2694" s="2" t="s">
        <v>8021</v>
      </c>
      <c r="E2694" s="4" t="s">
        <v>27683</v>
      </c>
    </row>
    <row r="2695" spans="1:12" x14ac:dyDescent="0.25">
      <c r="A2695" s="2" t="s">
        <v>8022</v>
      </c>
      <c r="B2695" s="8" t="s">
        <v>16180</v>
      </c>
      <c r="C2695" s="2" t="s">
        <v>8022</v>
      </c>
      <c r="D2695" s="2" t="s">
        <v>8023</v>
      </c>
      <c r="E2695" s="4" t="s">
        <v>27684</v>
      </c>
    </row>
    <row r="2696" spans="1:12" x14ac:dyDescent="0.25">
      <c r="A2696" s="2" t="s">
        <v>8024</v>
      </c>
      <c r="B2696" s="8" t="s">
        <v>16180</v>
      </c>
      <c r="C2696" s="2" t="s">
        <v>8024</v>
      </c>
      <c r="D2696" s="2" t="s">
        <v>8025</v>
      </c>
      <c r="E2696" s="4" t="s">
        <v>27685</v>
      </c>
    </row>
    <row r="2697" spans="1:12" x14ac:dyDescent="0.25">
      <c r="A2697" s="2" t="s">
        <v>8026</v>
      </c>
      <c r="B2697" s="8" t="s">
        <v>16180</v>
      </c>
      <c r="C2697" s="2" t="s">
        <v>8026</v>
      </c>
      <c r="D2697" s="2" t="s">
        <v>8027</v>
      </c>
      <c r="E2697" s="4" t="s">
        <v>8027</v>
      </c>
      <c r="G2697" s="15" t="s">
        <v>25653</v>
      </c>
      <c r="H2697" s="15" t="s">
        <v>27686</v>
      </c>
      <c r="I2697" s="15" t="s">
        <v>27687</v>
      </c>
      <c r="J2697" s="15" t="s">
        <v>23347</v>
      </c>
      <c r="K2697" s="15">
        <v>962</v>
      </c>
      <c r="L2697" s="15" t="s">
        <v>19995</v>
      </c>
    </row>
    <row r="2698" spans="1:12" x14ac:dyDescent="0.25">
      <c r="A2698" s="2" t="s">
        <v>8028</v>
      </c>
      <c r="B2698" s="8" t="s">
        <v>16180</v>
      </c>
      <c r="C2698" s="2" t="s">
        <v>8028</v>
      </c>
      <c r="D2698" s="2" t="s">
        <v>8029</v>
      </c>
      <c r="E2698" s="4" t="s">
        <v>27688</v>
      </c>
    </row>
    <row r="2699" spans="1:12" x14ac:dyDescent="0.25">
      <c r="A2699" s="2" t="s">
        <v>8030</v>
      </c>
      <c r="B2699" s="8" t="s">
        <v>16180</v>
      </c>
      <c r="C2699" s="2" t="s">
        <v>8030</v>
      </c>
      <c r="D2699" s="2" t="s">
        <v>8031</v>
      </c>
      <c r="E2699" s="4" t="s">
        <v>27689</v>
      </c>
    </row>
    <row r="2700" spans="1:12" x14ac:dyDescent="0.25">
      <c r="A2700" s="2" t="s">
        <v>8032</v>
      </c>
      <c r="B2700" s="8" t="s">
        <v>16180</v>
      </c>
      <c r="C2700" s="2" t="s">
        <v>8032</v>
      </c>
      <c r="D2700" s="2" t="s">
        <v>8033</v>
      </c>
      <c r="E2700" s="4" t="s">
        <v>27690</v>
      </c>
    </row>
    <row r="2701" spans="1:12" x14ac:dyDescent="0.25">
      <c r="A2701" s="2" t="s">
        <v>8034</v>
      </c>
      <c r="B2701" s="8" t="s">
        <v>16180</v>
      </c>
      <c r="C2701" s="2" t="s">
        <v>8034</v>
      </c>
      <c r="D2701" s="2" t="s">
        <v>8035</v>
      </c>
      <c r="E2701" s="4" t="s">
        <v>27691</v>
      </c>
    </row>
    <row r="2702" spans="1:12" x14ac:dyDescent="0.25">
      <c r="A2702" s="2" t="s">
        <v>8036</v>
      </c>
      <c r="B2702" s="8" t="s">
        <v>16180</v>
      </c>
      <c r="C2702" s="2" t="s">
        <v>8036</v>
      </c>
      <c r="D2702" s="2" t="s">
        <v>8037</v>
      </c>
      <c r="E2702" s="4" t="s">
        <v>27692</v>
      </c>
    </row>
    <row r="2703" spans="1:12" x14ac:dyDescent="0.25">
      <c r="A2703" s="2" t="s">
        <v>8038</v>
      </c>
      <c r="B2703" s="8" t="s">
        <v>16180</v>
      </c>
      <c r="C2703" s="2" t="s">
        <v>8038</v>
      </c>
      <c r="D2703" s="2" t="s">
        <v>8039</v>
      </c>
      <c r="E2703" s="4" t="s">
        <v>27693</v>
      </c>
    </row>
    <row r="2704" spans="1:12" x14ac:dyDescent="0.25">
      <c r="A2704" s="2" t="s">
        <v>8040</v>
      </c>
      <c r="B2704" s="8" t="s">
        <v>16180</v>
      </c>
      <c r="C2704" s="2" t="s">
        <v>8040</v>
      </c>
      <c r="D2704" s="2" t="s">
        <v>8041</v>
      </c>
      <c r="E2704" s="4" t="s">
        <v>8041</v>
      </c>
    </row>
    <row r="2705" spans="1:12" x14ac:dyDescent="0.25">
      <c r="A2705" s="2" t="s">
        <v>8042</v>
      </c>
      <c r="B2705" s="8" t="s">
        <v>16180</v>
      </c>
      <c r="C2705" s="2" t="s">
        <v>8042</v>
      </c>
      <c r="D2705" s="2" t="s">
        <v>8043</v>
      </c>
      <c r="E2705" s="4" t="s">
        <v>8043</v>
      </c>
    </row>
    <row r="2706" spans="1:12" x14ac:dyDescent="0.25">
      <c r="A2706" s="2" t="s">
        <v>8044</v>
      </c>
      <c r="B2706" s="8" t="s">
        <v>17497</v>
      </c>
      <c r="C2706" s="2" t="s">
        <v>8044</v>
      </c>
      <c r="D2706" s="2" t="s">
        <v>8045</v>
      </c>
      <c r="E2706" s="4" t="s">
        <v>27694</v>
      </c>
      <c r="G2706" s="15" t="s">
        <v>27695</v>
      </c>
      <c r="H2706" s="15" t="s">
        <v>27696</v>
      </c>
      <c r="I2706" s="15" t="s">
        <v>27697</v>
      </c>
      <c r="J2706" s="15" t="s">
        <v>21061</v>
      </c>
      <c r="K2706" s="15">
        <v>17563</v>
      </c>
      <c r="L2706" s="15" t="s">
        <v>19099</v>
      </c>
    </row>
    <row r="2707" spans="1:12" x14ac:dyDescent="0.25">
      <c r="A2707" s="2" t="s">
        <v>8047</v>
      </c>
      <c r="B2707" s="8" t="s">
        <v>16180</v>
      </c>
      <c r="C2707" s="2" t="s">
        <v>8047</v>
      </c>
      <c r="D2707" s="2" t="s">
        <v>8048</v>
      </c>
      <c r="E2707" s="4" t="s">
        <v>27698</v>
      </c>
    </row>
    <row r="2708" spans="1:12" x14ac:dyDescent="0.25">
      <c r="A2708" s="2" t="s">
        <v>8049</v>
      </c>
      <c r="B2708" s="8" t="s">
        <v>17500</v>
      </c>
      <c r="C2708" s="2" t="s">
        <v>8049</v>
      </c>
      <c r="D2708" s="2" t="s">
        <v>8050</v>
      </c>
      <c r="E2708" s="4" t="s">
        <v>8050</v>
      </c>
      <c r="G2708" s="15" t="s">
        <v>27699</v>
      </c>
      <c r="H2708" s="15" t="s">
        <v>27700</v>
      </c>
      <c r="I2708" s="15" t="s">
        <v>27701</v>
      </c>
      <c r="J2708" s="15" t="s">
        <v>338</v>
      </c>
      <c r="K2708" s="15">
        <v>105173</v>
      </c>
      <c r="L2708" s="15" t="s">
        <v>19099</v>
      </c>
    </row>
    <row r="2709" spans="1:12" x14ac:dyDescent="0.25">
      <c r="A2709" s="2" t="s">
        <v>8052</v>
      </c>
      <c r="B2709" s="8" t="s">
        <v>17501</v>
      </c>
      <c r="C2709" s="2" t="s">
        <v>8052</v>
      </c>
      <c r="D2709" s="2" t="s">
        <v>8053</v>
      </c>
      <c r="E2709" s="4" t="s">
        <v>8053</v>
      </c>
      <c r="G2709" s="15" t="s">
        <v>27702</v>
      </c>
      <c r="H2709" s="15" t="s">
        <v>27703</v>
      </c>
      <c r="I2709" s="15" t="s">
        <v>27704</v>
      </c>
      <c r="J2709" s="15" t="s">
        <v>338</v>
      </c>
      <c r="K2709" s="15">
        <v>104964</v>
      </c>
      <c r="L2709" s="15" t="s">
        <v>19099</v>
      </c>
    </row>
    <row r="2710" spans="1:12" x14ac:dyDescent="0.25">
      <c r="A2710" s="2" t="s">
        <v>8055</v>
      </c>
      <c r="B2710" s="8" t="s">
        <v>16180</v>
      </c>
      <c r="C2710" s="2" t="s">
        <v>8055</v>
      </c>
      <c r="D2710" s="2" t="s">
        <v>8056</v>
      </c>
      <c r="E2710" s="4" t="s">
        <v>27705</v>
      </c>
    </row>
    <row r="2711" spans="1:12" x14ac:dyDescent="0.25">
      <c r="A2711" s="2" t="s">
        <v>8057</v>
      </c>
      <c r="B2711" s="8" t="s">
        <v>17503</v>
      </c>
      <c r="C2711" s="2" t="s">
        <v>8057</v>
      </c>
      <c r="D2711" s="2" t="s">
        <v>8058</v>
      </c>
      <c r="E2711" s="4" t="s">
        <v>8058</v>
      </c>
      <c r="G2711" s="15" t="s">
        <v>27706</v>
      </c>
      <c r="H2711" s="15" t="s">
        <v>27707</v>
      </c>
      <c r="I2711" s="15" t="s">
        <v>27708</v>
      </c>
      <c r="J2711" s="15" t="s">
        <v>461</v>
      </c>
      <c r="K2711" s="15">
        <v>161018</v>
      </c>
      <c r="L2711" s="15" t="s">
        <v>19099</v>
      </c>
    </row>
    <row r="2712" spans="1:12" x14ac:dyDescent="0.25">
      <c r="A2712" s="2" t="s">
        <v>8060</v>
      </c>
      <c r="B2712" s="8" t="s">
        <v>16180</v>
      </c>
      <c r="C2712" s="2" t="s">
        <v>8060</v>
      </c>
      <c r="D2712" s="2" t="s">
        <v>8061</v>
      </c>
      <c r="E2712" s="4" t="s">
        <v>27709</v>
      </c>
      <c r="G2712" s="15" t="s">
        <v>27710</v>
      </c>
      <c r="H2712" s="15" t="s">
        <v>27711</v>
      </c>
      <c r="I2712" s="15" t="s">
        <v>27712</v>
      </c>
      <c r="J2712" s="15" t="s">
        <v>27713</v>
      </c>
      <c r="K2712" s="15">
        <v>24261</v>
      </c>
      <c r="L2712" s="15" t="s">
        <v>19995</v>
      </c>
    </row>
    <row r="2713" spans="1:12" x14ac:dyDescent="0.25">
      <c r="A2713" s="2" t="s">
        <v>8062</v>
      </c>
      <c r="B2713" s="8" t="s">
        <v>16180</v>
      </c>
      <c r="C2713" s="2" t="s">
        <v>8062</v>
      </c>
      <c r="D2713" s="2" t="s">
        <v>8063</v>
      </c>
      <c r="E2713" s="4" t="s">
        <v>27714</v>
      </c>
    </row>
    <row r="2714" spans="1:12" x14ac:dyDescent="0.25">
      <c r="A2714" s="2" t="s">
        <v>8064</v>
      </c>
      <c r="B2714" s="8" t="s">
        <v>16180</v>
      </c>
      <c r="C2714" s="2" t="s">
        <v>8064</v>
      </c>
      <c r="D2714" s="2" t="s">
        <v>8065</v>
      </c>
      <c r="E2714" s="4" t="s">
        <v>27715</v>
      </c>
    </row>
    <row r="2715" spans="1:12" x14ac:dyDescent="0.25">
      <c r="A2715" s="2" t="s">
        <v>8066</v>
      </c>
      <c r="B2715" s="8" t="s">
        <v>16180</v>
      </c>
      <c r="C2715" s="2" t="s">
        <v>8066</v>
      </c>
      <c r="D2715" s="2" t="s">
        <v>8067</v>
      </c>
      <c r="E2715" s="4" t="s">
        <v>27716</v>
      </c>
    </row>
    <row r="2716" spans="1:12" x14ac:dyDescent="0.25">
      <c r="A2716" s="2" t="s">
        <v>8068</v>
      </c>
      <c r="B2716" s="8" t="s">
        <v>16180</v>
      </c>
      <c r="C2716" s="2" t="s">
        <v>8068</v>
      </c>
      <c r="D2716" s="2" t="s">
        <v>8069</v>
      </c>
      <c r="E2716" s="4" t="s">
        <v>8069</v>
      </c>
    </row>
    <row r="2717" spans="1:12" x14ac:dyDescent="0.25">
      <c r="A2717" s="2" t="s">
        <v>8070</v>
      </c>
      <c r="B2717" s="8" t="s">
        <v>16180</v>
      </c>
      <c r="C2717" s="2" t="s">
        <v>8070</v>
      </c>
      <c r="D2717" s="2" t="s">
        <v>8071</v>
      </c>
      <c r="E2717" s="4" t="s">
        <v>26805</v>
      </c>
    </row>
    <row r="2718" spans="1:12" x14ac:dyDescent="0.25">
      <c r="A2718" s="2" t="s">
        <v>8072</v>
      </c>
      <c r="B2718" s="8" t="s">
        <v>16180</v>
      </c>
      <c r="C2718" s="2" t="s">
        <v>8072</v>
      </c>
      <c r="D2718" s="2" t="s">
        <v>8073</v>
      </c>
      <c r="E2718" s="4" t="s">
        <v>27717</v>
      </c>
    </row>
    <row r="2719" spans="1:12" x14ac:dyDescent="0.25">
      <c r="A2719" s="2" t="s">
        <v>8074</v>
      </c>
      <c r="B2719" s="8" t="s">
        <v>16180</v>
      </c>
      <c r="C2719" s="2" t="s">
        <v>8074</v>
      </c>
      <c r="D2719" s="2" t="s">
        <v>8075</v>
      </c>
      <c r="E2719" s="4" t="s">
        <v>27718</v>
      </c>
    </row>
    <row r="2720" spans="1:12" x14ac:dyDescent="0.25">
      <c r="A2720" s="2" t="s">
        <v>8076</v>
      </c>
      <c r="B2720" s="8" t="s">
        <v>16180</v>
      </c>
      <c r="C2720" s="2" t="s">
        <v>8076</v>
      </c>
      <c r="D2720" s="2" t="s">
        <v>8077</v>
      </c>
      <c r="E2720" s="4" t="s">
        <v>27719</v>
      </c>
    </row>
    <row r="2721" spans="1:12" x14ac:dyDescent="0.25">
      <c r="A2721" s="2" t="s">
        <v>8078</v>
      </c>
      <c r="B2721" s="8" t="s">
        <v>17505</v>
      </c>
      <c r="C2721" s="2" t="s">
        <v>8078</v>
      </c>
      <c r="D2721" s="2" t="s">
        <v>8079</v>
      </c>
      <c r="E2721" s="4" t="s">
        <v>27720</v>
      </c>
      <c r="G2721" s="15" t="s">
        <v>27721</v>
      </c>
      <c r="H2721" s="15" t="s">
        <v>27722</v>
      </c>
      <c r="I2721" s="15" t="s">
        <v>27723</v>
      </c>
      <c r="J2721" s="15" t="s">
        <v>302</v>
      </c>
      <c r="K2721" s="15">
        <v>91574</v>
      </c>
      <c r="L2721" s="15" t="s">
        <v>19099</v>
      </c>
    </row>
    <row r="2722" spans="1:12" x14ac:dyDescent="0.25">
      <c r="A2722" s="2" t="s">
        <v>8081</v>
      </c>
      <c r="B2722" s="8" t="s">
        <v>17506</v>
      </c>
      <c r="C2722" s="2" t="s">
        <v>8081</v>
      </c>
      <c r="D2722" s="2" t="s">
        <v>8082</v>
      </c>
      <c r="E2722" s="4" t="s">
        <v>27724</v>
      </c>
      <c r="G2722" s="15" t="s">
        <v>27725</v>
      </c>
      <c r="H2722" s="15" t="s">
        <v>27726</v>
      </c>
      <c r="I2722" s="15" t="s">
        <v>27727</v>
      </c>
      <c r="J2722" s="15" t="s">
        <v>27728</v>
      </c>
      <c r="K2722" s="15">
        <v>5727</v>
      </c>
      <c r="L2722" s="15" t="s">
        <v>19099</v>
      </c>
    </row>
    <row r="2723" spans="1:12" x14ac:dyDescent="0.25">
      <c r="A2723" s="2" t="s">
        <v>8084</v>
      </c>
      <c r="B2723" s="8" t="s">
        <v>17507</v>
      </c>
      <c r="C2723" s="2" t="s">
        <v>8084</v>
      </c>
      <c r="D2723" s="2" t="s">
        <v>8085</v>
      </c>
      <c r="E2723" s="4" t="s">
        <v>27729</v>
      </c>
      <c r="G2723" s="15" t="s">
        <v>27730</v>
      </c>
      <c r="H2723" s="15" t="s">
        <v>27731</v>
      </c>
      <c r="I2723" s="15" t="s">
        <v>27732</v>
      </c>
      <c r="J2723" s="15" t="s">
        <v>27733</v>
      </c>
      <c r="K2723" s="15">
        <v>14806</v>
      </c>
      <c r="L2723" s="15" t="s">
        <v>19099</v>
      </c>
    </row>
    <row r="2724" spans="1:12" x14ac:dyDescent="0.25">
      <c r="A2724" s="2" t="s">
        <v>8087</v>
      </c>
      <c r="B2724" s="8" t="s">
        <v>17508</v>
      </c>
      <c r="C2724" s="2" t="s">
        <v>8087</v>
      </c>
      <c r="D2724" s="2" t="s">
        <v>8088</v>
      </c>
      <c r="E2724" s="4" t="s">
        <v>27734</v>
      </c>
      <c r="G2724" s="15" t="s">
        <v>27735</v>
      </c>
      <c r="H2724" s="15" t="s">
        <v>27736</v>
      </c>
      <c r="I2724" s="15" t="s">
        <v>27737</v>
      </c>
      <c r="J2724" s="15" t="s">
        <v>27738</v>
      </c>
      <c r="K2724" s="15">
        <v>26041</v>
      </c>
      <c r="L2724" s="15" t="s">
        <v>19099</v>
      </c>
    </row>
    <row r="2725" spans="1:12" x14ac:dyDescent="0.25">
      <c r="A2725" s="2" t="s">
        <v>8090</v>
      </c>
      <c r="B2725" s="8" t="s">
        <v>17510</v>
      </c>
      <c r="C2725" s="2" t="s">
        <v>8090</v>
      </c>
      <c r="D2725" s="2" t="s">
        <v>8091</v>
      </c>
      <c r="E2725" s="4" t="s">
        <v>8091</v>
      </c>
      <c r="G2725" s="15" t="s">
        <v>27739</v>
      </c>
      <c r="H2725" s="15" t="s">
        <v>27740</v>
      </c>
      <c r="I2725" s="15" t="s">
        <v>27741</v>
      </c>
      <c r="J2725" s="15" t="s">
        <v>342</v>
      </c>
      <c r="K2725" s="15">
        <v>91573</v>
      </c>
      <c r="L2725" s="15" t="s">
        <v>19099</v>
      </c>
    </row>
    <row r="2726" spans="1:12" x14ac:dyDescent="0.25">
      <c r="A2726" s="2" t="s">
        <v>8093</v>
      </c>
      <c r="B2726" s="8" t="s">
        <v>17511</v>
      </c>
      <c r="C2726" s="2" t="s">
        <v>8093</v>
      </c>
      <c r="D2726" s="2" t="s">
        <v>8094</v>
      </c>
      <c r="E2726" s="4" t="s">
        <v>27742</v>
      </c>
      <c r="G2726" s="15" t="s">
        <v>27743</v>
      </c>
      <c r="H2726" s="15" t="s">
        <v>27744</v>
      </c>
      <c r="I2726" s="15" t="s">
        <v>27745</v>
      </c>
      <c r="J2726" s="15" t="s">
        <v>20707</v>
      </c>
      <c r="K2726" s="15">
        <v>7407</v>
      </c>
      <c r="L2726" s="15" t="s">
        <v>19099</v>
      </c>
    </row>
    <row r="2727" spans="1:12" x14ac:dyDescent="0.25">
      <c r="A2727" s="2" t="s">
        <v>8096</v>
      </c>
      <c r="B2727" s="8" t="s">
        <v>17512</v>
      </c>
      <c r="C2727" s="2" t="s">
        <v>8096</v>
      </c>
      <c r="D2727" s="2" t="s">
        <v>8097</v>
      </c>
      <c r="E2727" s="4" t="s">
        <v>27746</v>
      </c>
      <c r="G2727" s="15" t="s">
        <v>27747</v>
      </c>
      <c r="H2727" s="15" t="s">
        <v>27748</v>
      </c>
      <c r="I2727" s="15" t="s">
        <v>27749</v>
      </c>
      <c r="J2727" s="15" t="s">
        <v>27750</v>
      </c>
      <c r="K2727" s="15">
        <v>1550884</v>
      </c>
      <c r="L2727" s="15" t="s">
        <v>19099</v>
      </c>
    </row>
    <row r="2728" spans="1:12" x14ac:dyDescent="0.25">
      <c r="A2728" s="2" t="s">
        <v>8099</v>
      </c>
      <c r="B2728" s="8" t="s">
        <v>17513</v>
      </c>
      <c r="C2728" s="2" t="s">
        <v>8099</v>
      </c>
      <c r="D2728" s="2" t="s">
        <v>8100</v>
      </c>
      <c r="E2728" s="4" t="s">
        <v>27751</v>
      </c>
      <c r="G2728" s="15" t="s">
        <v>27752</v>
      </c>
      <c r="H2728" s="15" t="s">
        <v>27753</v>
      </c>
      <c r="I2728" s="15" t="s">
        <v>27754</v>
      </c>
      <c r="J2728" s="15" t="s">
        <v>23201</v>
      </c>
      <c r="K2728" s="15">
        <v>5377784</v>
      </c>
      <c r="L2728" s="15" t="s">
        <v>19099</v>
      </c>
    </row>
    <row r="2729" spans="1:12" x14ac:dyDescent="0.25">
      <c r="A2729" s="2" t="s">
        <v>8102</v>
      </c>
      <c r="B2729" s="8" t="s">
        <v>17514</v>
      </c>
      <c r="C2729" s="2" t="s">
        <v>8102</v>
      </c>
      <c r="D2729" s="2" t="s">
        <v>8103</v>
      </c>
      <c r="E2729" s="4" t="s">
        <v>27755</v>
      </c>
      <c r="G2729" s="15" t="s">
        <v>27756</v>
      </c>
      <c r="H2729" s="15" t="s">
        <v>27757</v>
      </c>
      <c r="I2729" s="15" t="s">
        <v>27758</v>
      </c>
      <c r="J2729" s="15" t="s">
        <v>27759</v>
      </c>
      <c r="K2729" s="15">
        <v>7037</v>
      </c>
      <c r="L2729" s="15" t="s">
        <v>19099</v>
      </c>
    </row>
    <row r="2730" spans="1:12" x14ac:dyDescent="0.25">
      <c r="A2730" s="2" t="s">
        <v>8105</v>
      </c>
      <c r="B2730" s="8" t="s">
        <v>17515</v>
      </c>
      <c r="C2730" s="2" t="s">
        <v>8105</v>
      </c>
      <c r="D2730" s="2" t="s">
        <v>8106</v>
      </c>
      <c r="E2730" s="4" t="s">
        <v>27760</v>
      </c>
      <c r="G2730" s="15" t="s">
        <v>27761</v>
      </c>
      <c r="H2730" s="15" t="s">
        <v>27762</v>
      </c>
      <c r="I2730" s="15" t="s">
        <v>27763</v>
      </c>
      <c r="J2730" s="15" t="s">
        <v>24532</v>
      </c>
      <c r="K2730" s="15">
        <v>11763618</v>
      </c>
      <c r="L2730" s="15" t="s">
        <v>19099</v>
      </c>
    </row>
    <row r="2731" spans="1:12" x14ac:dyDescent="0.25">
      <c r="A2731" s="2" t="s">
        <v>8108</v>
      </c>
      <c r="B2731" s="8" t="s">
        <v>17516</v>
      </c>
      <c r="C2731" s="2" t="s">
        <v>8108</v>
      </c>
      <c r="D2731" s="2" t="s">
        <v>8109</v>
      </c>
      <c r="E2731" s="4" t="s">
        <v>27764</v>
      </c>
      <c r="G2731" s="15" t="s">
        <v>27765</v>
      </c>
      <c r="H2731" s="15" t="s">
        <v>27766</v>
      </c>
      <c r="I2731" s="15" t="s">
        <v>27767</v>
      </c>
      <c r="J2731" s="15" t="s">
        <v>27768</v>
      </c>
      <c r="K2731" s="15">
        <v>727</v>
      </c>
      <c r="L2731" s="15" t="s">
        <v>19099</v>
      </c>
    </row>
    <row r="2732" spans="1:12" x14ac:dyDescent="0.25">
      <c r="A2732" s="2" t="s">
        <v>8111</v>
      </c>
      <c r="B2732" s="8" t="s">
        <v>17517</v>
      </c>
      <c r="C2732" s="2" t="s">
        <v>8111</v>
      </c>
      <c r="D2732" s="2" t="s">
        <v>8112</v>
      </c>
      <c r="E2732" s="4" t="s">
        <v>27769</v>
      </c>
      <c r="G2732" s="15" t="s">
        <v>27770</v>
      </c>
      <c r="H2732" s="15" t="s">
        <v>27771</v>
      </c>
      <c r="I2732" s="15" t="s">
        <v>27772</v>
      </c>
      <c r="J2732" s="15" t="s">
        <v>27773</v>
      </c>
      <c r="K2732" s="15">
        <v>244</v>
      </c>
      <c r="L2732" s="15" t="s">
        <v>19099</v>
      </c>
    </row>
    <row r="2733" spans="1:12" x14ac:dyDescent="0.25">
      <c r="A2733" s="2" t="s">
        <v>8114</v>
      </c>
      <c r="B2733" s="8" t="s">
        <v>17518</v>
      </c>
      <c r="C2733" s="2" t="s">
        <v>8114</v>
      </c>
      <c r="D2733" s="2" t="s">
        <v>8115</v>
      </c>
      <c r="E2733" s="4" t="s">
        <v>27774</v>
      </c>
      <c r="G2733" s="15" t="s">
        <v>27775</v>
      </c>
      <c r="H2733" s="15" t="s">
        <v>27776</v>
      </c>
      <c r="I2733" s="15" t="s">
        <v>27777</v>
      </c>
      <c r="J2733" s="15" t="s">
        <v>27778</v>
      </c>
      <c r="K2733" s="15">
        <v>7411</v>
      </c>
      <c r="L2733" s="15" t="s">
        <v>19099</v>
      </c>
    </row>
    <row r="2734" spans="1:12" x14ac:dyDescent="0.25">
      <c r="A2734" s="2" t="s">
        <v>8117</v>
      </c>
      <c r="B2734" s="8" t="s">
        <v>17519</v>
      </c>
      <c r="C2734" s="2" t="s">
        <v>8117</v>
      </c>
      <c r="D2734" s="2" t="s">
        <v>8118</v>
      </c>
      <c r="E2734" s="4" t="s">
        <v>27779</v>
      </c>
      <c r="G2734" s="15" t="s">
        <v>27780</v>
      </c>
      <c r="H2734" s="15" t="s">
        <v>27781</v>
      </c>
      <c r="I2734" s="15" t="s">
        <v>27782</v>
      </c>
      <c r="J2734" s="15" t="s">
        <v>27783</v>
      </c>
      <c r="K2734" s="15">
        <v>6435890</v>
      </c>
      <c r="L2734" s="15" t="s">
        <v>19995</v>
      </c>
    </row>
    <row r="2735" spans="1:12" x14ac:dyDescent="0.25">
      <c r="A2735" s="2" t="s">
        <v>8120</v>
      </c>
      <c r="B2735" s="8" t="s">
        <v>17520</v>
      </c>
      <c r="C2735" s="2" t="s">
        <v>8120</v>
      </c>
      <c r="D2735" s="2" t="s">
        <v>8121</v>
      </c>
      <c r="E2735" s="4" t="s">
        <v>8121</v>
      </c>
      <c r="G2735" s="15" t="s">
        <v>27784</v>
      </c>
      <c r="H2735" s="15" t="s">
        <v>27785</v>
      </c>
      <c r="I2735" s="15" t="s">
        <v>27786</v>
      </c>
      <c r="J2735" s="15" t="s">
        <v>27787</v>
      </c>
      <c r="K2735" s="15">
        <v>6579</v>
      </c>
      <c r="L2735" s="15" t="s">
        <v>19099</v>
      </c>
    </row>
    <row r="2736" spans="1:12" x14ac:dyDescent="0.25">
      <c r="A2736" s="2" t="s">
        <v>8123</v>
      </c>
      <c r="B2736" s="8" t="s">
        <v>17521</v>
      </c>
      <c r="C2736" s="2" t="s">
        <v>8123</v>
      </c>
      <c r="D2736" s="2" t="s">
        <v>8124</v>
      </c>
      <c r="E2736" s="4" t="s">
        <v>27788</v>
      </c>
      <c r="G2736" s="15" t="s">
        <v>27789</v>
      </c>
      <c r="H2736" s="15" t="s">
        <v>27790</v>
      </c>
      <c r="I2736" s="15" t="s">
        <v>27791</v>
      </c>
      <c r="J2736" s="15" t="s">
        <v>27792</v>
      </c>
      <c r="K2736" s="15">
        <v>7847</v>
      </c>
      <c r="L2736" s="15" t="s">
        <v>19099</v>
      </c>
    </row>
    <row r="2737" spans="1:12" x14ac:dyDescent="0.25">
      <c r="A2737" s="2" t="s">
        <v>8126</v>
      </c>
      <c r="B2737" s="8" t="s">
        <v>17522</v>
      </c>
      <c r="C2737" s="2" t="s">
        <v>8126</v>
      </c>
      <c r="D2737" s="2" t="s">
        <v>8127</v>
      </c>
      <c r="E2737" s="4" t="s">
        <v>27793</v>
      </c>
      <c r="G2737" s="15" t="s">
        <v>27794</v>
      </c>
      <c r="H2737" s="15" t="s">
        <v>27795</v>
      </c>
      <c r="I2737" s="15" t="s">
        <v>27796</v>
      </c>
      <c r="J2737" s="15" t="s">
        <v>27797</v>
      </c>
      <c r="K2737" s="15">
        <v>44072</v>
      </c>
      <c r="L2737" s="15" t="s">
        <v>19099</v>
      </c>
    </row>
    <row r="2738" spans="1:12" x14ac:dyDescent="0.25">
      <c r="A2738" s="2" t="s">
        <v>8129</v>
      </c>
      <c r="B2738" s="8" t="s">
        <v>17523</v>
      </c>
      <c r="C2738" s="2" t="s">
        <v>8129</v>
      </c>
      <c r="D2738" s="2" t="s">
        <v>8130</v>
      </c>
      <c r="E2738" s="4" t="s">
        <v>8130</v>
      </c>
      <c r="G2738" s="15" t="s">
        <v>27798</v>
      </c>
      <c r="H2738" s="15" t="s">
        <v>27799</v>
      </c>
      <c r="I2738" s="15" t="s">
        <v>27800</v>
      </c>
      <c r="J2738" s="15" t="s">
        <v>27801</v>
      </c>
      <c r="K2738" s="15">
        <v>86412</v>
      </c>
      <c r="L2738" s="15" t="s">
        <v>19099</v>
      </c>
    </row>
    <row r="2739" spans="1:12" x14ac:dyDescent="0.25">
      <c r="A2739" s="2" t="s">
        <v>8132</v>
      </c>
      <c r="B2739" s="8" t="s">
        <v>17524</v>
      </c>
      <c r="C2739" s="2" t="s">
        <v>8132</v>
      </c>
      <c r="D2739" s="2" t="s">
        <v>8133</v>
      </c>
      <c r="E2739" s="4" t="s">
        <v>8133</v>
      </c>
      <c r="G2739" s="15" t="s">
        <v>8133</v>
      </c>
      <c r="H2739" s="15" t="s">
        <v>27802</v>
      </c>
      <c r="I2739" s="15" t="s">
        <v>27803</v>
      </c>
      <c r="J2739" s="15" t="s">
        <v>27804</v>
      </c>
      <c r="K2739" s="15">
        <v>9215</v>
      </c>
      <c r="L2739" s="15" t="s">
        <v>19099</v>
      </c>
    </row>
    <row r="2740" spans="1:12" x14ac:dyDescent="0.25">
      <c r="A2740" s="2" t="s">
        <v>8135</v>
      </c>
      <c r="B2740" s="8" t="s">
        <v>17525</v>
      </c>
      <c r="C2740" s="2" t="s">
        <v>8135</v>
      </c>
      <c r="D2740" s="2" t="s">
        <v>8136</v>
      </c>
      <c r="E2740" s="4" t="s">
        <v>27805</v>
      </c>
      <c r="G2740" s="15" t="s">
        <v>27806</v>
      </c>
      <c r="H2740" s="15" t="s">
        <v>27807</v>
      </c>
      <c r="I2740" s="15" t="s">
        <v>27808</v>
      </c>
      <c r="J2740" s="15" t="s">
        <v>27809</v>
      </c>
      <c r="K2740" s="15">
        <v>1982</v>
      </c>
      <c r="L2740" s="15" t="s">
        <v>19099</v>
      </c>
    </row>
    <row r="2741" spans="1:12" x14ac:dyDescent="0.25">
      <c r="A2741" s="2" t="s">
        <v>8138</v>
      </c>
      <c r="B2741" s="8" t="s">
        <v>17526</v>
      </c>
      <c r="C2741" s="2" t="s">
        <v>8138</v>
      </c>
      <c r="D2741" s="2" t="s">
        <v>8139</v>
      </c>
      <c r="E2741" s="4" t="s">
        <v>27810</v>
      </c>
      <c r="G2741" s="15" t="s">
        <v>27811</v>
      </c>
      <c r="H2741" s="15" t="s">
        <v>27812</v>
      </c>
      <c r="I2741" s="15" t="s">
        <v>27813</v>
      </c>
      <c r="J2741" s="15" t="s">
        <v>20849</v>
      </c>
      <c r="K2741" s="15">
        <v>447466</v>
      </c>
      <c r="L2741" s="15" t="s">
        <v>19099</v>
      </c>
    </row>
    <row r="2742" spans="1:12" x14ac:dyDescent="0.25">
      <c r="A2742" s="2" t="s">
        <v>8141</v>
      </c>
      <c r="B2742" s="8" t="s">
        <v>17527</v>
      </c>
      <c r="C2742" s="2" t="s">
        <v>8141</v>
      </c>
      <c r="D2742" s="2" t="s">
        <v>8142</v>
      </c>
      <c r="E2742" s="4" t="s">
        <v>27814</v>
      </c>
      <c r="G2742" s="15" t="s">
        <v>27815</v>
      </c>
      <c r="H2742" s="15" t="s">
        <v>27816</v>
      </c>
      <c r="I2742" s="15" t="s">
        <v>27817</v>
      </c>
      <c r="J2742" s="15" t="s">
        <v>27818</v>
      </c>
      <c r="K2742" s="15">
        <v>7855</v>
      </c>
      <c r="L2742" s="15" t="s">
        <v>19099</v>
      </c>
    </row>
    <row r="2743" spans="1:12" x14ac:dyDescent="0.25">
      <c r="A2743" s="2" t="s">
        <v>8144</v>
      </c>
      <c r="B2743" s="8" t="s">
        <v>17528</v>
      </c>
      <c r="C2743" s="2" t="s">
        <v>8144</v>
      </c>
      <c r="D2743" s="2" t="s">
        <v>8145</v>
      </c>
      <c r="E2743" s="4" t="s">
        <v>8145</v>
      </c>
      <c r="G2743" s="15" t="s">
        <v>27819</v>
      </c>
      <c r="H2743" s="15" t="s">
        <v>27820</v>
      </c>
      <c r="I2743" s="15" t="s">
        <v>27821</v>
      </c>
      <c r="J2743" s="15" t="s">
        <v>27822</v>
      </c>
      <c r="K2743" s="15">
        <v>6434889</v>
      </c>
      <c r="L2743" s="15" t="s">
        <v>19099</v>
      </c>
    </row>
    <row r="2744" spans="1:12" x14ac:dyDescent="0.25">
      <c r="A2744" s="2" t="s">
        <v>8147</v>
      </c>
      <c r="B2744" s="8" t="s">
        <v>17529</v>
      </c>
      <c r="C2744" s="2" t="s">
        <v>8147</v>
      </c>
      <c r="D2744" s="2" t="s">
        <v>8148</v>
      </c>
      <c r="E2744" s="4" t="s">
        <v>8148</v>
      </c>
      <c r="G2744" s="15" t="s">
        <v>27823</v>
      </c>
      <c r="H2744" s="15" t="s">
        <v>27824</v>
      </c>
      <c r="I2744" s="15" t="s">
        <v>27825</v>
      </c>
      <c r="J2744" s="15" t="s">
        <v>27826</v>
      </c>
      <c r="K2744" s="15">
        <v>92389</v>
      </c>
      <c r="L2744" s="15" t="s">
        <v>19099</v>
      </c>
    </row>
    <row r="2745" spans="1:12" x14ac:dyDescent="0.25">
      <c r="A2745" s="2" t="s">
        <v>8150</v>
      </c>
      <c r="B2745" s="8" t="s">
        <v>17530</v>
      </c>
      <c r="C2745" s="2" t="s">
        <v>8150</v>
      </c>
      <c r="D2745" s="2" t="s">
        <v>8151</v>
      </c>
      <c r="E2745" s="4" t="s">
        <v>8151</v>
      </c>
      <c r="G2745" s="15" t="s">
        <v>27827</v>
      </c>
      <c r="H2745" s="15" t="s">
        <v>27828</v>
      </c>
      <c r="I2745" s="15" t="s">
        <v>27829</v>
      </c>
      <c r="J2745" s="15" t="s">
        <v>27830</v>
      </c>
      <c r="K2745" s="15">
        <v>6242405</v>
      </c>
      <c r="L2745" s="15" t="s">
        <v>19099</v>
      </c>
    </row>
    <row r="2746" spans="1:12" x14ac:dyDescent="0.25">
      <c r="A2746" s="2" t="s">
        <v>8153</v>
      </c>
      <c r="B2746" s="8" t="s">
        <v>17531</v>
      </c>
      <c r="C2746" s="2" t="s">
        <v>8153</v>
      </c>
      <c r="D2746" s="2" t="s">
        <v>8154</v>
      </c>
      <c r="E2746" s="4" t="s">
        <v>27831</v>
      </c>
      <c r="G2746" s="15" t="s">
        <v>27832</v>
      </c>
      <c r="H2746" s="15" t="s">
        <v>27833</v>
      </c>
      <c r="I2746" s="15" t="s">
        <v>27834</v>
      </c>
      <c r="J2746" s="15" t="s">
        <v>27835</v>
      </c>
      <c r="K2746" s="15">
        <v>2912</v>
      </c>
      <c r="L2746" s="15" t="s">
        <v>19099</v>
      </c>
    </row>
    <row r="2747" spans="1:12" x14ac:dyDescent="0.25">
      <c r="A2747" s="2" t="s">
        <v>8156</v>
      </c>
      <c r="B2747" s="8" t="s">
        <v>17532</v>
      </c>
      <c r="C2747" s="2" t="s">
        <v>8156</v>
      </c>
      <c r="D2747" s="2" t="s">
        <v>8157</v>
      </c>
      <c r="E2747" s="4" t="s">
        <v>8157</v>
      </c>
      <c r="G2747" s="15" t="s">
        <v>27836</v>
      </c>
      <c r="H2747" s="15" t="s">
        <v>27837</v>
      </c>
      <c r="I2747" s="15" t="s">
        <v>27838</v>
      </c>
      <c r="J2747" s="15" t="s">
        <v>27839</v>
      </c>
      <c r="K2747" s="15">
        <v>93315</v>
      </c>
      <c r="L2747" s="15" t="s">
        <v>19099</v>
      </c>
    </row>
    <row r="2748" spans="1:12" x14ac:dyDescent="0.25">
      <c r="A2748" s="2" t="s">
        <v>8159</v>
      </c>
      <c r="B2748" s="8" t="s">
        <v>17533</v>
      </c>
      <c r="C2748" s="2" t="s">
        <v>8159</v>
      </c>
      <c r="D2748" s="2" t="s">
        <v>8160</v>
      </c>
      <c r="E2748" s="4" t="s">
        <v>27840</v>
      </c>
      <c r="G2748" s="15" t="s">
        <v>27841</v>
      </c>
      <c r="H2748" s="15" t="s">
        <v>27842</v>
      </c>
      <c r="I2748" s="15" t="s">
        <v>27843</v>
      </c>
      <c r="J2748" s="15" t="s">
        <v>27844</v>
      </c>
      <c r="K2748" s="15">
        <v>11074431</v>
      </c>
      <c r="L2748" s="15" t="s">
        <v>19099</v>
      </c>
    </row>
    <row r="2749" spans="1:12" x14ac:dyDescent="0.25">
      <c r="A2749" s="2" t="s">
        <v>8162</v>
      </c>
      <c r="B2749" s="8" t="s">
        <v>17534</v>
      </c>
      <c r="C2749" s="2" t="s">
        <v>8162</v>
      </c>
      <c r="D2749" s="2" t="s">
        <v>8163</v>
      </c>
      <c r="E2749" s="4" t="s">
        <v>27845</v>
      </c>
      <c r="G2749" s="15" t="s">
        <v>27845</v>
      </c>
      <c r="H2749" s="15" t="s">
        <v>27846</v>
      </c>
      <c r="I2749" s="15" t="s">
        <v>27847</v>
      </c>
      <c r="J2749" s="15" t="s">
        <v>27848</v>
      </c>
      <c r="K2749" s="15">
        <v>178</v>
      </c>
      <c r="L2749" s="15" t="s">
        <v>19099</v>
      </c>
    </row>
    <row r="2750" spans="1:12" x14ac:dyDescent="0.25">
      <c r="A2750" s="2" t="s">
        <v>8165</v>
      </c>
      <c r="B2750" s="8" t="s">
        <v>17535</v>
      </c>
      <c r="C2750" s="2" t="s">
        <v>8165</v>
      </c>
      <c r="D2750" s="2" t="s">
        <v>8166</v>
      </c>
      <c r="E2750" s="4" t="s">
        <v>27849</v>
      </c>
      <c r="G2750" s="15" t="s">
        <v>27850</v>
      </c>
      <c r="H2750" s="15" t="s">
        <v>27851</v>
      </c>
      <c r="I2750" s="15" t="s">
        <v>27852</v>
      </c>
      <c r="J2750" s="15" t="s">
        <v>27853</v>
      </c>
      <c r="K2750" s="15">
        <v>1988</v>
      </c>
      <c r="L2750" s="15" t="s">
        <v>19099</v>
      </c>
    </row>
    <row r="2751" spans="1:12" x14ac:dyDescent="0.25">
      <c r="A2751" s="2" t="s">
        <v>8168</v>
      </c>
      <c r="B2751" s="8" t="s">
        <v>17536</v>
      </c>
      <c r="C2751" s="2" t="s">
        <v>8168</v>
      </c>
      <c r="D2751" s="2" t="s">
        <v>8169</v>
      </c>
      <c r="E2751" s="4" t="s">
        <v>8169</v>
      </c>
      <c r="G2751" s="15" t="s">
        <v>27854</v>
      </c>
      <c r="H2751" s="15" t="s">
        <v>27855</v>
      </c>
      <c r="I2751" s="15" t="s">
        <v>27856</v>
      </c>
      <c r="J2751" s="15" t="s">
        <v>27857</v>
      </c>
      <c r="K2751" s="15">
        <v>12035</v>
      </c>
      <c r="L2751" s="15" t="s">
        <v>19099</v>
      </c>
    </row>
    <row r="2752" spans="1:12" x14ac:dyDescent="0.25">
      <c r="A2752" s="2" t="s">
        <v>8171</v>
      </c>
      <c r="B2752" s="8" t="s">
        <v>17537</v>
      </c>
      <c r="C2752" s="2" t="s">
        <v>8171</v>
      </c>
      <c r="D2752" s="2" t="s">
        <v>8172</v>
      </c>
      <c r="E2752" s="4" t="s">
        <v>27858</v>
      </c>
      <c r="G2752" s="15" t="s">
        <v>27859</v>
      </c>
      <c r="H2752" s="15" t="s">
        <v>27860</v>
      </c>
      <c r="I2752" s="15" t="s">
        <v>27861</v>
      </c>
      <c r="J2752" s="15" t="s">
        <v>19360</v>
      </c>
      <c r="K2752" s="15">
        <v>7410</v>
      </c>
      <c r="L2752" s="15" t="s">
        <v>19099</v>
      </c>
    </row>
    <row r="2753" spans="1:12" x14ac:dyDescent="0.25">
      <c r="A2753" s="2" t="s">
        <v>8174</v>
      </c>
      <c r="B2753" s="8" t="s">
        <v>17538</v>
      </c>
      <c r="C2753" s="2" t="s">
        <v>8174</v>
      </c>
      <c r="D2753" s="2" t="s">
        <v>8175</v>
      </c>
      <c r="E2753" s="4" t="s">
        <v>8175</v>
      </c>
      <c r="G2753" s="15" t="s">
        <v>27862</v>
      </c>
      <c r="H2753" s="15" t="s">
        <v>27863</v>
      </c>
      <c r="I2753" s="15" t="s">
        <v>27864</v>
      </c>
      <c r="J2753" s="15" t="s">
        <v>27865</v>
      </c>
      <c r="K2753" s="15">
        <v>213021</v>
      </c>
      <c r="L2753" s="15" t="s">
        <v>19099</v>
      </c>
    </row>
    <row r="2754" spans="1:12" x14ac:dyDescent="0.25">
      <c r="A2754" s="2" t="s">
        <v>8177</v>
      </c>
      <c r="B2754" s="8" t="s">
        <v>17539</v>
      </c>
      <c r="C2754" s="2" t="s">
        <v>8177</v>
      </c>
      <c r="D2754" s="2" t="s">
        <v>8178</v>
      </c>
      <c r="E2754" s="4" t="s">
        <v>27866</v>
      </c>
      <c r="G2754" s="15" t="s">
        <v>27867</v>
      </c>
      <c r="H2754" s="15" t="s">
        <v>27868</v>
      </c>
      <c r="I2754" s="15" t="s">
        <v>27869</v>
      </c>
      <c r="J2754" s="15" t="s">
        <v>22757</v>
      </c>
      <c r="K2754" s="15">
        <v>180</v>
      </c>
      <c r="L2754" s="15" t="s">
        <v>19099</v>
      </c>
    </row>
    <row r="2755" spans="1:12" x14ac:dyDescent="0.25">
      <c r="A2755" s="2" t="s">
        <v>8180</v>
      </c>
      <c r="B2755" s="8" t="s">
        <v>17540</v>
      </c>
      <c r="C2755" s="2" t="s">
        <v>8180</v>
      </c>
      <c r="D2755" s="2" t="s">
        <v>8181</v>
      </c>
      <c r="E2755" s="4" t="s">
        <v>27870</v>
      </c>
    </row>
    <row r="2756" spans="1:12" x14ac:dyDescent="0.25">
      <c r="A2756" s="2" t="s">
        <v>8183</v>
      </c>
      <c r="B2756" s="8" t="s">
        <v>17541</v>
      </c>
      <c r="C2756" s="2" t="s">
        <v>8183</v>
      </c>
      <c r="D2756" s="2" t="s">
        <v>8184</v>
      </c>
      <c r="E2756" s="4" t="s">
        <v>27871</v>
      </c>
      <c r="G2756" s="15" t="s">
        <v>27871</v>
      </c>
      <c r="H2756" s="15" t="s">
        <v>27872</v>
      </c>
      <c r="I2756" s="15" t="s">
        <v>27873</v>
      </c>
      <c r="J2756" s="15" t="s">
        <v>27874</v>
      </c>
      <c r="K2756" s="15">
        <v>6342</v>
      </c>
      <c r="L2756" s="15" t="s">
        <v>19099</v>
      </c>
    </row>
    <row r="2757" spans="1:12" x14ac:dyDescent="0.25">
      <c r="A2757" s="2" t="s">
        <v>8186</v>
      </c>
      <c r="B2757" s="8" t="s">
        <v>17542</v>
      </c>
      <c r="C2757" s="2" t="s">
        <v>8186</v>
      </c>
      <c r="D2757" s="2" t="s">
        <v>8187</v>
      </c>
      <c r="E2757" s="4" t="s">
        <v>27875</v>
      </c>
      <c r="G2757" s="15" t="s">
        <v>27876</v>
      </c>
      <c r="H2757" s="15" t="s">
        <v>27877</v>
      </c>
      <c r="I2757" s="15" t="s">
        <v>27878</v>
      </c>
      <c r="J2757" s="15" t="s">
        <v>27879</v>
      </c>
      <c r="K2757" s="15">
        <v>65280</v>
      </c>
      <c r="L2757" s="15" t="s">
        <v>19099</v>
      </c>
    </row>
    <row r="2758" spans="1:12" x14ac:dyDescent="0.25">
      <c r="A2758" s="2" t="s">
        <v>8189</v>
      </c>
      <c r="B2758" s="8" t="s">
        <v>17543</v>
      </c>
      <c r="C2758" s="2" t="s">
        <v>8189</v>
      </c>
      <c r="D2758" s="2" t="s">
        <v>8190</v>
      </c>
      <c r="E2758" s="4" t="s">
        <v>27880</v>
      </c>
      <c r="G2758" s="15" t="s">
        <v>27881</v>
      </c>
      <c r="H2758" s="15" t="s">
        <v>27882</v>
      </c>
      <c r="I2758" s="15" t="s">
        <v>27883</v>
      </c>
      <c r="J2758" s="15" t="s">
        <v>27884</v>
      </c>
      <c r="K2758" s="15">
        <v>12309460</v>
      </c>
      <c r="L2758" s="15" t="s">
        <v>19099</v>
      </c>
    </row>
    <row r="2759" spans="1:12" x14ac:dyDescent="0.25">
      <c r="A2759" s="2" t="s">
        <v>8192</v>
      </c>
      <c r="B2759" s="8" t="s">
        <v>17544</v>
      </c>
      <c r="C2759" s="2" t="s">
        <v>8192</v>
      </c>
      <c r="D2759" s="2" t="s">
        <v>8193</v>
      </c>
      <c r="E2759" s="4" t="s">
        <v>27885</v>
      </c>
      <c r="G2759" s="15" t="s">
        <v>27886</v>
      </c>
      <c r="H2759" s="15" t="s">
        <v>27887</v>
      </c>
      <c r="I2759" s="15" t="s">
        <v>27888</v>
      </c>
      <c r="J2759" s="15" t="s">
        <v>27889</v>
      </c>
      <c r="K2759" s="15">
        <v>107217</v>
      </c>
      <c r="L2759" s="15" t="s">
        <v>19099</v>
      </c>
    </row>
    <row r="2760" spans="1:12" x14ac:dyDescent="0.25">
      <c r="A2760" s="2" t="s">
        <v>8195</v>
      </c>
      <c r="B2760" s="8" t="s">
        <v>17545</v>
      </c>
      <c r="C2760" s="2" t="s">
        <v>8195</v>
      </c>
      <c r="D2760" s="2" t="s">
        <v>8196</v>
      </c>
      <c r="E2760" s="4" t="s">
        <v>27890</v>
      </c>
      <c r="G2760" s="15" t="s">
        <v>27891</v>
      </c>
      <c r="H2760" s="15" t="s">
        <v>27892</v>
      </c>
      <c r="I2760" s="15" t="s">
        <v>27893</v>
      </c>
      <c r="J2760" s="15" t="s">
        <v>20308</v>
      </c>
      <c r="K2760" s="15">
        <v>5372174</v>
      </c>
      <c r="L2760" s="15" t="s">
        <v>19099</v>
      </c>
    </row>
    <row r="2761" spans="1:12" x14ac:dyDescent="0.25">
      <c r="A2761" s="2" t="s">
        <v>8198</v>
      </c>
      <c r="B2761" s="8" t="s">
        <v>17546</v>
      </c>
      <c r="C2761" s="2" t="s">
        <v>8198</v>
      </c>
      <c r="D2761" s="2" t="s">
        <v>8199</v>
      </c>
      <c r="E2761" s="4" t="s">
        <v>27894</v>
      </c>
      <c r="G2761" s="15" t="s">
        <v>27895</v>
      </c>
      <c r="H2761" s="15" t="s">
        <v>27896</v>
      </c>
      <c r="I2761" s="15" t="s">
        <v>27897</v>
      </c>
      <c r="J2761" s="15" t="s">
        <v>27853</v>
      </c>
      <c r="K2761" s="15">
        <v>2078</v>
      </c>
      <c r="L2761" s="15" t="s">
        <v>19099</v>
      </c>
    </row>
    <row r="2762" spans="1:12" x14ac:dyDescent="0.25">
      <c r="A2762" s="2" t="s">
        <v>8201</v>
      </c>
      <c r="B2762" s="8" t="s">
        <v>17547</v>
      </c>
      <c r="C2762" s="2" t="s">
        <v>8201</v>
      </c>
      <c r="D2762" s="2" t="s">
        <v>8202</v>
      </c>
      <c r="E2762" s="4" t="s">
        <v>8202</v>
      </c>
      <c r="G2762" s="15" t="s">
        <v>27898</v>
      </c>
      <c r="H2762" s="15" t="s">
        <v>27899</v>
      </c>
      <c r="I2762" s="15" t="s">
        <v>27900</v>
      </c>
      <c r="J2762" s="15" t="s">
        <v>27901</v>
      </c>
      <c r="K2762" s="15">
        <v>9568700</v>
      </c>
      <c r="L2762" s="15" t="s">
        <v>19099</v>
      </c>
    </row>
    <row r="2763" spans="1:12" x14ac:dyDescent="0.25">
      <c r="A2763" s="2" t="s">
        <v>8204</v>
      </c>
      <c r="B2763" s="8" t="s">
        <v>17548</v>
      </c>
      <c r="C2763" s="2" t="s">
        <v>8204</v>
      </c>
      <c r="D2763" s="2" t="s">
        <v>8205</v>
      </c>
      <c r="E2763" s="4" t="s">
        <v>8205</v>
      </c>
      <c r="G2763" s="15" t="s">
        <v>27902</v>
      </c>
      <c r="H2763" s="15" t="s">
        <v>27903</v>
      </c>
      <c r="I2763" s="15" t="s">
        <v>27904</v>
      </c>
      <c r="J2763" s="15" t="s">
        <v>27905</v>
      </c>
      <c r="K2763" s="15">
        <v>9570071</v>
      </c>
      <c r="L2763" s="15" t="s">
        <v>19099</v>
      </c>
    </row>
    <row r="2764" spans="1:12" x14ac:dyDescent="0.25">
      <c r="A2764" s="2" t="s">
        <v>8207</v>
      </c>
      <c r="B2764" s="8" t="s">
        <v>17549</v>
      </c>
      <c r="C2764" s="2" t="s">
        <v>8207</v>
      </c>
      <c r="D2764" s="2" t="s">
        <v>8208</v>
      </c>
      <c r="E2764" s="4" t="s">
        <v>27906</v>
      </c>
      <c r="G2764" s="15" t="s">
        <v>27907</v>
      </c>
      <c r="H2764" s="15" t="s">
        <v>27908</v>
      </c>
      <c r="I2764" s="15" t="s">
        <v>27909</v>
      </c>
      <c r="J2764" s="15" t="s">
        <v>27910</v>
      </c>
      <c r="K2764" s="15">
        <v>9570093</v>
      </c>
      <c r="L2764" s="15" t="s">
        <v>19099</v>
      </c>
    </row>
    <row r="2765" spans="1:12" x14ac:dyDescent="0.25">
      <c r="A2765" s="2" t="s">
        <v>8210</v>
      </c>
      <c r="B2765" s="8" t="s">
        <v>17550</v>
      </c>
      <c r="C2765" s="2" t="s">
        <v>8210</v>
      </c>
      <c r="D2765" s="2" t="s">
        <v>8211</v>
      </c>
      <c r="E2765" s="4" t="s">
        <v>8211</v>
      </c>
      <c r="G2765" s="15" t="s">
        <v>27911</v>
      </c>
      <c r="H2765" s="15" t="s">
        <v>27912</v>
      </c>
      <c r="I2765" s="15" t="s">
        <v>27913</v>
      </c>
      <c r="J2765" s="15" t="s">
        <v>27914</v>
      </c>
      <c r="K2765" s="15">
        <v>12310947</v>
      </c>
      <c r="L2765" s="15" t="s">
        <v>19099</v>
      </c>
    </row>
    <row r="2766" spans="1:12" x14ac:dyDescent="0.25">
      <c r="A2766" s="2" t="s">
        <v>8213</v>
      </c>
      <c r="B2766" s="8" t="s">
        <v>17551</v>
      </c>
      <c r="C2766" s="2" t="s">
        <v>8213</v>
      </c>
      <c r="D2766" s="2" t="s">
        <v>8214</v>
      </c>
      <c r="E2766" s="4" t="s">
        <v>8214</v>
      </c>
      <c r="G2766" s="15" t="s">
        <v>27915</v>
      </c>
      <c r="H2766" s="15" t="s">
        <v>27916</v>
      </c>
      <c r="I2766" s="15" t="s">
        <v>27917</v>
      </c>
      <c r="J2766" s="15" t="s">
        <v>27918</v>
      </c>
      <c r="K2766" s="15">
        <v>2092</v>
      </c>
      <c r="L2766" s="15" t="s">
        <v>19099</v>
      </c>
    </row>
    <row r="2767" spans="1:12" x14ac:dyDescent="0.25">
      <c r="A2767" s="2" t="s">
        <v>8216</v>
      </c>
      <c r="B2767" s="8" t="s">
        <v>17552</v>
      </c>
      <c r="C2767" s="2" t="s">
        <v>8216</v>
      </c>
      <c r="D2767" s="2" t="s">
        <v>8217</v>
      </c>
      <c r="E2767" s="4" t="s">
        <v>27919</v>
      </c>
      <c r="G2767" s="15" t="s">
        <v>27920</v>
      </c>
      <c r="H2767" s="15" t="s">
        <v>27921</v>
      </c>
      <c r="I2767" s="15" t="s">
        <v>27922</v>
      </c>
      <c r="J2767" s="15" t="s">
        <v>19703</v>
      </c>
      <c r="K2767" s="15">
        <v>23194</v>
      </c>
      <c r="L2767" s="15" t="s">
        <v>19099</v>
      </c>
    </row>
    <row r="2768" spans="1:12" x14ac:dyDescent="0.25">
      <c r="A2768" s="2" t="s">
        <v>8219</v>
      </c>
      <c r="B2768" s="8" t="s">
        <v>17553</v>
      </c>
      <c r="C2768" s="2" t="s">
        <v>8219</v>
      </c>
      <c r="D2768" s="2" t="s">
        <v>8220</v>
      </c>
      <c r="E2768" s="4" t="s">
        <v>27923</v>
      </c>
      <c r="G2768" s="15" t="s">
        <v>27924</v>
      </c>
      <c r="H2768" s="15" t="s">
        <v>27925</v>
      </c>
      <c r="I2768" s="15" t="s">
        <v>27926</v>
      </c>
      <c r="J2768" s="15" t="s">
        <v>22757</v>
      </c>
      <c r="K2768" s="15">
        <v>7858</v>
      </c>
      <c r="L2768" s="15" t="s">
        <v>19099</v>
      </c>
    </row>
    <row r="2769" spans="1:12" x14ac:dyDescent="0.25">
      <c r="A2769" s="2" t="s">
        <v>8222</v>
      </c>
      <c r="B2769" s="8" t="s">
        <v>17554</v>
      </c>
      <c r="C2769" s="2" t="s">
        <v>8222</v>
      </c>
      <c r="D2769" s="2" t="s">
        <v>8223</v>
      </c>
      <c r="E2769" s="4" t="s">
        <v>8223</v>
      </c>
      <c r="G2769" s="15" t="s">
        <v>27927</v>
      </c>
      <c r="H2769" s="15" t="s">
        <v>27928</v>
      </c>
      <c r="I2769" s="15" t="s">
        <v>27929</v>
      </c>
      <c r="J2769" s="15" t="s">
        <v>27930</v>
      </c>
      <c r="K2769" s="15">
        <v>135401907</v>
      </c>
      <c r="L2769" s="15" t="s">
        <v>19099</v>
      </c>
    </row>
    <row r="2770" spans="1:12" x14ac:dyDescent="0.25">
      <c r="A2770" s="2" t="s">
        <v>8225</v>
      </c>
      <c r="B2770" s="8" t="s">
        <v>17555</v>
      </c>
      <c r="C2770" s="2" t="s">
        <v>8225</v>
      </c>
      <c r="D2770" s="2" t="s">
        <v>8226</v>
      </c>
      <c r="E2770" s="4" t="s">
        <v>8226</v>
      </c>
      <c r="G2770" s="15" t="s">
        <v>27931</v>
      </c>
      <c r="H2770" s="15" t="s">
        <v>27932</v>
      </c>
      <c r="I2770" s="15" t="s">
        <v>27933</v>
      </c>
      <c r="J2770" s="15" t="s">
        <v>27934</v>
      </c>
      <c r="K2770" s="15">
        <v>11442</v>
      </c>
      <c r="L2770" s="15" t="s">
        <v>19099</v>
      </c>
    </row>
    <row r="2771" spans="1:12" x14ac:dyDescent="0.25">
      <c r="A2771" s="2" t="s">
        <v>8228</v>
      </c>
      <c r="B2771" s="8" t="s">
        <v>17556</v>
      </c>
      <c r="C2771" s="2" t="s">
        <v>8228</v>
      </c>
      <c r="D2771" s="2" t="s">
        <v>8229</v>
      </c>
      <c r="E2771" s="4" t="s">
        <v>8229</v>
      </c>
      <c r="G2771" s="15" t="s">
        <v>27935</v>
      </c>
      <c r="H2771" s="15" t="s">
        <v>27936</v>
      </c>
      <c r="I2771" s="15" t="s">
        <v>27937</v>
      </c>
      <c r="J2771" s="15" t="s">
        <v>27938</v>
      </c>
      <c r="K2771" s="15">
        <v>135494822</v>
      </c>
      <c r="L2771" s="15" t="s">
        <v>19099</v>
      </c>
    </row>
    <row r="2772" spans="1:12" x14ac:dyDescent="0.25">
      <c r="A2772" s="2" t="s">
        <v>8231</v>
      </c>
      <c r="B2772" s="8" t="s">
        <v>17557</v>
      </c>
      <c r="C2772" s="2" t="s">
        <v>8231</v>
      </c>
      <c r="D2772" s="2" t="s">
        <v>8232</v>
      </c>
      <c r="E2772" s="4" t="s">
        <v>8232</v>
      </c>
      <c r="G2772" s="15" t="s">
        <v>27939</v>
      </c>
      <c r="H2772" s="15" t="s">
        <v>27940</v>
      </c>
      <c r="I2772" s="15" t="s">
        <v>27941</v>
      </c>
      <c r="J2772" s="15" t="s">
        <v>27942</v>
      </c>
      <c r="K2772" s="15">
        <v>9576091</v>
      </c>
      <c r="L2772" s="15" t="s">
        <v>19099</v>
      </c>
    </row>
    <row r="2773" spans="1:12" x14ac:dyDescent="0.25">
      <c r="A2773" s="2" t="s">
        <v>8234</v>
      </c>
      <c r="B2773" s="8" t="s">
        <v>17558</v>
      </c>
      <c r="C2773" s="2" t="s">
        <v>8234</v>
      </c>
      <c r="D2773" s="2" t="s">
        <v>8235</v>
      </c>
      <c r="E2773" s="4" t="s">
        <v>27943</v>
      </c>
      <c r="G2773" s="15" t="s">
        <v>27944</v>
      </c>
      <c r="H2773" s="15" t="s">
        <v>27945</v>
      </c>
      <c r="I2773" s="15" t="s">
        <v>27946</v>
      </c>
      <c r="J2773" s="15" t="s">
        <v>27947</v>
      </c>
      <c r="K2773" s="15">
        <v>5280934</v>
      </c>
      <c r="L2773" s="15" t="s">
        <v>19099</v>
      </c>
    </row>
    <row r="2774" spans="1:12" x14ac:dyDescent="0.25">
      <c r="A2774" s="2" t="s">
        <v>8237</v>
      </c>
      <c r="B2774" s="8" t="s">
        <v>17559</v>
      </c>
      <c r="C2774" s="2" t="s">
        <v>8237</v>
      </c>
      <c r="D2774" s="2" t="s">
        <v>8238</v>
      </c>
      <c r="E2774" s="4" t="s">
        <v>8238</v>
      </c>
      <c r="G2774" s="15" t="s">
        <v>27948</v>
      </c>
      <c r="H2774" s="15" t="s">
        <v>27949</v>
      </c>
      <c r="I2774" s="15" t="s">
        <v>27950</v>
      </c>
      <c r="J2774" s="15" t="s">
        <v>27951</v>
      </c>
      <c r="K2774" s="15">
        <v>2118</v>
      </c>
      <c r="L2774" s="15" t="s">
        <v>19099</v>
      </c>
    </row>
    <row r="2775" spans="1:12" x14ac:dyDescent="0.25">
      <c r="A2775" s="2" t="s">
        <v>8240</v>
      </c>
      <c r="B2775" s="8" t="s">
        <v>17560</v>
      </c>
      <c r="C2775" s="2" t="s">
        <v>8240</v>
      </c>
      <c r="D2775" s="2" t="s">
        <v>8241</v>
      </c>
      <c r="E2775" s="4" t="s">
        <v>27952</v>
      </c>
      <c r="G2775" s="15" t="s">
        <v>27953</v>
      </c>
      <c r="H2775" s="15" t="s">
        <v>27954</v>
      </c>
      <c r="I2775" s="15" t="s">
        <v>27955</v>
      </c>
      <c r="J2775" s="15" t="s">
        <v>20593</v>
      </c>
      <c r="K2775" s="15">
        <v>12348</v>
      </c>
      <c r="L2775" s="15" t="s">
        <v>19099</v>
      </c>
    </row>
    <row r="2776" spans="1:12" x14ac:dyDescent="0.25">
      <c r="A2776" s="2" t="s">
        <v>8243</v>
      </c>
      <c r="B2776" s="8" t="s">
        <v>17561</v>
      </c>
      <c r="C2776" s="2" t="s">
        <v>8243</v>
      </c>
      <c r="D2776" s="2" t="s">
        <v>8244</v>
      </c>
      <c r="E2776" s="4" t="s">
        <v>8244</v>
      </c>
      <c r="G2776" s="15" t="s">
        <v>27956</v>
      </c>
      <c r="H2776" s="15" t="s">
        <v>27957</v>
      </c>
      <c r="I2776" s="15" t="s">
        <v>27958</v>
      </c>
      <c r="J2776" s="15" t="s">
        <v>27959</v>
      </c>
      <c r="K2776" s="15">
        <v>443958</v>
      </c>
      <c r="L2776" s="15" t="s">
        <v>19099</v>
      </c>
    </row>
    <row r="2777" spans="1:12" x14ac:dyDescent="0.25">
      <c r="A2777" s="2" t="s">
        <v>8246</v>
      </c>
      <c r="B2777" s="8" t="s">
        <v>17562</v>
      </c>
      <c r="C2777" s="2" t="s">
        <v>8246</v>
      </c>
      <c r="D2777" s="2" t="s">
        <v>8247</v>
      </c>
      <c r="E2777" s="4" t="s">
        <v>27960</v>
      </c>
      <c r="G2777" s="15" t="s">
        <v>27961</v>
      </c>
      <c r="H2777" s="15" t="s">
        <v>27962</v>
      </c>
      <c r="I2777" s="15" t="s">
        <v>27963</v>
      </c>
      <c r="J2777" s="15" t="s">
        <v>27964</v>
      </c>
      <c r="K2777" s="15">
        <v>2140</v>
      </c>
      <c r="L2777" s="15" t="s">
        <v>19099</v>
      </c>
    </row>
    <row r="2778" spans="1:12" x14ac:dyDescent="0.25">
      <c r="A2778" s="2" t="s">
        <v>8249</v>
      </c>
      <c r="B2778" s="8" t="s">
        <v>17563</v>
      </c>
      <c r="C2778" s="2" t="s">
        <v>8249</v>
      </c>
      <c r="D2778" s="2" t="s">
        <v>8250</v>
      </c>
      <c r="E2778" s="4" t="s">
        <v>8250</v>
      </c>
      <c r="G2778" s="15" t="s">
        <v>27965</v>
      </c>
      <c r="H2778" s="15" t="s">
        <v>27966</v>
      </c>
      <c r="I2778" s="15" t="s">
        <v>27967</v>
      </c>
      <c r="J2778" s="15" t="s">
        <v>27968</v>
      </c>
      <c r="K2778" s="15">
        <v>91777</v>
      </c>
      <c r="L2778" s="15" t="s">
        <v>19099</v>
      </c>
    </row>
    <row r="2779" spans="1:12" x14ac:dyDescent="0.25">
      <c r="A2779" s="2" t="s">
        <v>8252</v>
      </c>
      <c r="B2779" s="8" t="s">
        <v>17564</v>
      </c>
      <c r="C2779" s="2" t="s">
        <v>8252</v>
      </c>
      <c r="D2779" s="2" t="s">
        <v>8253</v>
      </c>
      <c r="E2779" s="4" t="s">
        <v>27969</v>
      </c>
      <c r="G2779" s="15" t="s">
        <v>27970</v>
      </c>
      <c r="H2779" s="15" t="s">
        <v>27971</v>
      </c>
      <c r="I2779" s="15" t="s">
        <v>27972</v>
      </c>
      <c r="J2779" s="15" t="s">
        <v>19998</v>
      </c>
      <c r="K2779" s="15">
        <v>3007</v>
      </c>
      <c r="L2779" s="15" t="s">
        <v>19099</v>
      </c>
    </row>
    <row r="2780" spans="1:12" x14ac:dyDescent="0.25">
      <c r="A2780" s="2" t="s">
        <v>8255</v>
      </c>
      <c r="B2780" s="8" t="s">
        <v>17565</v>
      </c>
      <c r="C2780" s="2" t="s">
        <v>8255</v>
      </c>
      <c r="D2780" s="2" t="s">
        <v>8256</v>
      </c>
      <c r="E2780" s="4" t="s">
        <v>8256</v>
      </c>
      <c r="G2780" s="15" t="s">
        <v>27973</v>
      </c>
      <c r="H2780" s="15" t="s">
        <v>27974</v>
      </c>
      <c r="I2780" s="15" t="s">
        <v>27975</v>
      </c>
      <c r="J2780" s="15" t="s">
        <v>27976</v>
      </c>
      <c r="K2780" s="15">
        <v>2157</v>
      </c>
      <c r="L2780" s="15" t="s">
        <v>19099</v>
      </c>
    </row>
    <row r="2781" spans="1:12" x14ac:dyDescent="0.25">
      <c r="A2781" s="2" t="s">
        <v>8258</v>
      </c>
      <c r="B2781" s="8" t="s">
        <v>17566</v>
      </c>
      <c r="C2781" s="2" t="s">
        <v>8258</v>
      </c>
      <c r="D2781" s="2" t="s">
        <v>8259</v>
      </c>
      <c r="E2781" s="4" t="s">
        <v>27977</v>
      </c>
      <c r="G2781" s="15" t="s">
        <v>27978</v>
      </c>
      <c r="H2781" s="15" t="s">
        <v>27979</v>
      </c>
      <c r="I2781" s="15" t="s">
        <v>27980</v>
      </c>
      <c r="J2781" s="15" t="s">
        <v>27981</v>
      </c>
      <c r="K2781" s="15">
        <v>6249</v>
      </c>
      <c r="L2781" s="15" t="s">
        <v>19099</v>
      </c>
    </row>
    <row r="2782" spans="1:12" x14ac:dyDescent="0.25">
      <c r="A2782" s="2" t="s">
        <v>8261</v>
      </c>
      <c r="B2782" s="8" t="s">
        <v>17567</v>
      </c>
      <c r="C2782" s="2" t="s">
        <v>8261</v>
      </c>
      <c r="D2782" s="2" t="s">
        <v>8262</v>
      </c>
      <c r="E2782" s="4" t="s">
        <v>8262</v>
      </c>
      <c r="G2782" s="15" t="s">
        <v>27982</v>
      </c>
      <c r="H2782" s="15" t="s">
        <v>27983</v>
      </c>
      <c r="I2782" s="15" t="s">
        <v>27984</v>
      </c>
      <c r="J2782" s="15" t="s">
        <v>27985</v>
      </c>
      <c r="K2782" s="15">
        <v>10238657</v>
      </c>
      <c r="L2782" s="15" t="s">
        <v>19099</v>
      </c>
    </row>
    <row r="2783" spans="1:12" x14ac:dyDescent="0.25">
      <c r="A2783" s="2" t="s">
        <v>8264</v>
      </c>
      <c r="B2783" s="8" t="s">
        <v>17568</v>
      </c>
      <c r="C2783" s="2" t="s">
        <v>8264</v>
      </c>
      <c r="D2783" s="2" t="s">
        <v>8265</v>
      </c>
      <c r="E2783" s="4" t="s">
        <v>8265</v>
      </c>
      <c r="G2783" s="15" t="s">
        <v>27986</v>
      </c>
      <c r="H2783" s="15" t="s">
        <v>27987</v>
      </c>
      <c r="I2783" s="15" t="s">
        <v>27988</v>
      </c>
      <c r="J2783" s="15" t="s">
        <v>27989</v>
      </c>
      <c r="K2783" s="15">
        <v>2159</v>
      </c>
      <c r="L2783" s="15" t="s">
        <v>19099</v>
      </c>
    </row>
    <row r="2784" spans="1:12" x14ac:dyDescent="0.25">
      <c r="A2784" s="2" t="s">
        <v>8267</v>
      </c>
      <c r="B2784" s="8" t="s">
        <v>17569</v>
      </c>
      <c r="C2784" s="2" t="s">
        <v>8267</v>
      </c>
      <c r="D2784" s="2" t="s">
        <v>8268</v>
      </c>
      <c r="E2784" s="4" t="s">
        <v>27990</v>
      </c>
      <c r="G2784" s="15" t="s">
        <v>27991</v>
      </c>
      <c r="H2784" s="15" t="s">
        <v>27992</v>
      </c>
      <c r="I2784" s="15" t="s">
        <v>27993</v>
      </c>
      <c r="J2784" s="15" t="s">
        <v>27994</v>
      </c>
      <c r="K2784" s="15">
        <v>436050</v>
      </c>
      <c r="L2784" s="15" t="s">
        <v>19099</v>
      </c>
    </row>
    <row r="2785" spans="1:12" x14ac:dyDescent="0.25">
      <c r="A2785" s="2" t="s">
        <v>8270</v>
      </c>
      <c r="B2785" s="8" t="s">
        <v>17570</v>
      </c>
      <c r="C2785" s="2" t="s">
        <v>8270</v>
      </c>
      <c r="D2785" s="2" t="s">
        <v>8271</v>
      </c>
      <c r="E2785" s="4" t="s">
        <v>8271</v>
      </c>
      <c r="G2785" s="15" t="s">
        <v>27995</v>
      </c>
      <c r="H2785" s="15" t="s">
        <v>27996</v>
      </c>
      <c r="I2785" s="15" t="s">
        <v>27997</v>
      </c>
      <c r="J2785" s="15" t="s">
        <v>27998</v>
      </c>
      <c r="K2785" s="15">
        <v>1639</v>
      </c>
      <c r="L2785" s="15" t="s">
        <v>19099</v>
      </c>
    </row>
    <row r="2786" spans="1:12" x14ac:dyDescent="0.25">
      <c r="A2786" s="2" t="s">
        <v>8273</v>
      </c>
      <c r="B2786" s="8" t="s">
        <v>17571</v>
      </c>
      <c r="C2786" s="2" t="s">
        <v>8273</v>
      </c>
      <c r="D2786" s="2" t="s">
        <v>8274</v>
      </c>
      <c r="E2786" s="4" t="s">
        <v>8274</v>
      </c>
      <c r="G2786" s="15" t="s">
        <v>27999</v>
      </c>
      <c r="H2786" s="15" t="s">
        <v>28000</v>
      </c>
      <c r="I2786" s="15" t="s">
        <v>28001</v>
      </c>
      <c r="J2786" s="15" t="s">
        <v>28002</v>
      </c>
      <c r="K2786" s="15">
        <v>13263</v>
      </c>
      <c r="L2786" s="15" t="s">
        <v>19099</v>
      </c>
    </row>
    <row r="2787" spans="1:12" x14ac:dyDescent="0.25">
      <c r="A2787" s="2" t="s">
        <v>8276</v>
      </c>
      <c r="B2787" s="8" t="s">
        <v>17572</v>
      </c>
      <c r="C2787" s="2" t="s">
        <v>8276</v>
      </c>
      <c r="D2787" s="2" t="s">
        <v>8277</v>
      </c>
      <c r="E2787" s="4" t="s">
        <v>8277</v>
      </c>
      <c r="G2787" s="15" t="s">
        <v>28003</v>
      </c>
      <c r="H2787" s="15" t="s">
        <v>28004</v>
      </c>
      <c r="I2787" s="15" t="s">
        <v>28005</v>
      </c>
      <c r="J2787" s="15" t="s">
        <v>28006</v>
      </c>
      <c r="K2787" s="15">
        <v>15604010</v>
      </c>
      <c r="L2787" s="15" t="s">
        <v>19099</v>
      </c>
    </row>
    <row r="2788" spans="1:12" x14ac:dyDescent="0.25">
      <c r="A2788" s="2" t="s">
        <v>8279</v>
      </c>
      <c r="B2788" s="8" t="s">
        <v>17573</v>
      </c>
      <c r="C2788" s="2" t="s">
        <v>8279</v>
      </c>
      <c r="D2788" s="2" t="s">
        <v>8280</v>
      </c>
      <c r="E2788" s="4" t="s">
        <v>8280</v>
      </c>
      <c r="G2788" s="15" t="s">
        <v>28007</v>
      </c>
      <c r="H2788" s="15" t="s">
        <v>28008</v>
      </c>
      <c r="I2788" s="15" t="s">
        <v>28009</v>
      </c>
      <c r="J2788" s="15" t="s">
        <v>20675</v>
      </c>
      <c r="K2788" s="15">
        <v>2160</v>
      </c>
      <c r="L2788" s="15" t="s">
        <v>19099</v>
      </c>
    </row>
    <row r="2789" spans="1:12" x14ac:dyDescent="0.25">
      <c r="A2789" s="2" t="s">
        <v>8282</v>
      </c>
      <c r="B2789" s="8" t="s">
        <v>17574</v>
      </c>
      <c r="C2789" s="2" t="s">
        <v>8282</v>
      </c>
      <c r="D2789" s="2" t="s">
        <v>8283</v>
      </c>
      <c r="E2789" s="4" t="s">
        <v>8283</v>
      </c>
      <c r="G2789" s="15" t="s">
        <v>28010</v>
      </c>
      <c r="H2789" s="15" t="s">
        <v>28011</v>
      </c>
      <c r="I2789" s="15" t="s">
        <v>28012</v>
      </c>
      <c r="J2789" s="15" t="s">
        <v>28013</v>
      </c>
      <c r="K2789" s="15">
        <v>36324</v>
      </c>
      <c r="L2789" s="15" t="s">
        <v>19099</v>
      </c>
    </row>
    <row r="2790" spans="1:12" x14ac:dyDescent="0.25">
      <c r="A2790" s="2" t="s">
        <v>8285</v>
      </c>
      <c r="B2790" s="8" t="s">
        <v>17575</v>
      </c>
      <c r="C2790" s="2" t="s">
        <v>8285</v>
      </c>
      <c r="D2790" s="2" t="s">
        <v>8286</v>
      </c>
      <c r="E2790" s="4" t="s">
        <v>28014</v>
      </c>
      <c r="G2790" s="15" t="s">
        <v>28015</v>
      </c>
      <c r="H2790" s="15" t="s">
        <v>28016</v>
      </c>
      <c r="I2790" s="15" t="s">
        <v>28017</v>
      </c>
      <c r="J2790" s="15" t="s">
        <v>28018</v>
      </c>
      <c r="K2790" s="15">
        <v>33613</v>
      </c>
      <c r="L2790" s="15" t="s">
        <v>19099</v>
      </c>
    </row>
    <row r="2791" spans="1:12" x14ac:dyDescent="0.25">
      <c r="A2791" s="2" t="s">
        <v>8288</v>
      </c>
      <c r="B2791" s="8" t="s">
        <v>17576</v>
      </c>
      <c r="C2791" s="2" t="s">
        <v>8288</v>
      </c>
      <c r="D2791" s="2" t="s">
        <v>8289</v>
      </c>
      <c r="E2791" s="4" t="s">
        <v>28019</v>
      </c>
      <c r="G2791" s="15" t="s">
        <v>28020</v>
      </c>
      <c r="H2791" s="15" t="s">
        <v>28021</v>
      </c>
      <c r="I2791" s="15" t="s">
        <v>28022</v>
      </c>
      <c r="J2791" s="15" t="s">
        <v>28023</v>
      </c>
      <c r="K2791" s="15">
        <v>83949</v>
      </c>
      <c r="L2791" s="15" t="s">
        <v>19099</v>
      </c>
    </row>
    <row r="2792" spans="1:12" x14ac:dyDescent="0.25">
      <c r="A2792" s="2" t="s">
        <v>8291</v>
      </c>
      <c r="B2792" s="8" t="s">
        <v>17577</v>
      </c>
      <c r="C2792" s="2" t="s">
        <v>8291</v>
      </c>
      <c r="D2792" s="2" t="s">
        <v>8292</v>
      </c>
      <c r="E2792" s="4" t="s">
        <v>8292</v>
      </c>
      <c r="G2792" s="15" t="s">
        <v>28024</v>
      </c>
      <c r="H2792" s="15" t="s">
        <v>28025</v>
      </c>
      <c r="I2792" s="15" t="s">
        <v>28026</v>
      </c>
      <c r="J2792" s="15" t="s">
        <v>28027</v>
      </c>
      <c r="K2792" s="15">
        <v>25572</v>
      </c>
      <c r="L2792" s="15" t="s">
        <v>19099</v>
      </c>
    </row>
    <row r="2793" spans="1:12" x14ac:dyDescent="0.25">
      <c r="A2793" s="2" t="s">
        <v>8294</v>
      </c>
      <c r="B2793" s="8" t="s">
        <v>17578</v>
      </c>
      <c r="C2793" s="2" t="s">
        <v>8294</v>
      </c>
      <c r="D2793" s="2" t="s">
        <v>8295</v>
      </c>
      <c r="E2793" s="4" t="s">
        <v>8295</v>
      </c>
      <c r="G2793" s="15" t="s">
        <v>28028</v>
      </c>
      <c r="H2793" s="15" t="s">
        <v>28029</v>
      </c>
      <c r="I2793" s="15" t="s">
        <v>28030</v>
      </c>
      <c r="J2793" s="15" t="s">
        <v>28031</v>
      </c>
      <c r="K2793" s="15">
        <v>7541</v>
      </c>
      <c r="L2793" s="15" t="s">
        <v>19099</v>
      </c>
    </row>
    <row r="2794" spans="1:12" x14ac:dyDescent="0.25">
      <c r="A2794" s="2" t="s">
        <v>8297</v>
      </c>
      <c r="B2794" s="8" t="s">
        <v>17579</v>
      </c>
      <c r="C2794" s="2" t="s">
        <v>8297</v>
      </c>
      <c r="D2794" s="2" t="s">
        <v>8298</v>
      </c>
      <c r="E2794" s="4" t="s">
        <v>28032</v>
      </c>
      <c r="G2794" s="15" t="s">
        <v>28032</v>
      </c>
      <c r="H2794" s="15" t="s">
        <v>28033</v>
      </c>
      <c r="I2794" s="15" t="s">
        <v>28034</v>
      </c>
      <c r="J2794" s="15" t="s">
        <v>27773</v>
      </c>
      <c r="K2794" s="15">
        <v>7519</v>
      </c>
      <c r="L2794" s="15" t="s">
        <v>19099</v>
      </c>
    </row>
    <row r="2795" spans="1:12" x14ac:dyDescent="0.25">
      <c r="A2795" s="2" t="s">
        <v>8300</v>
      </c>
      <c r="B2795" s="8" t="s">
        <v>17580</v>
      </c>
      <c r="C2795" s="2" t="s">
        <v>8300</v>
      </c>
      <c r="D2795" s="2" t="s">
        <v>8301</v>
      </c>
      <c r="E2795" s="4" t="s">
        <v>28035</v>
      </c>
      <c r="G2795" s="15" t="s">
        <v>28036</v>
      </c>
      <c r="H2795" s="15" t="s">
        <v>28037</v>
      </c>
      <c r="I2795" s="15" t="s">
        <v>28038</v>
      </c>
      <c r="J2795" s="15" t="s">
        <v>28039</v>
      </c>
      <c r="K2795" s="15">
        <v>6780</v>
      </c>
      <c r="L2795" s="15" t="s">
        <v>19099</v>
      </c>
    </row>
    <row r="2796" spans="1:12" x14ac:dyDescent="0.25">
      <c r="A2796" s="2" t="s">
        <v>8303</v>
      </c>
      <c r="B2796" s="8" t="s">
        <v>17581</v>
      </c>
      <c r="C2796" s="2" t="s">
        <v>8303</v>
      </c>
      <c r="D2796" s="2" t="s">
        <v>8304</v>
      </c>
      <c r="E2796" s="4" t="s">
        <v>28040</v>
      </c>
    </row>
    <row r="2797" spans="1:12" x14ac:dyDescent="0.25">
      <c r="A2797" s="2" t="s">
        <v>8306</v>
      </c>
      <c r="B2797" s="8" t="s">
        <v>17582</v>
      </c>
      <c r="C2797" s="2" t="s">
        <v>8306</v>
      </c>
      <c r="D2797" s="2" t="s">
        <v>8307</v>
      </c>
      <c r="E2797" s="4" t="s">
        <v>28041</v>
      </c>
      <c r="G2797" s="15" t="s">
        <v>28042</v>
      </c>
      <c r="H2797" s="15" t="s">
        <v>28043</v>
      </c>
      <c r="I2797" s="15" t="s">
        <v>28044</v>
      </c>
      <c r="J2797" s="15" t="s">
        <v>28045</v>
      </c>
      <c r="K2797" s="15">
        <v>3034748</v>
      </c>
      <c r="L2797" s="15" t="s">
        <v>19099</v>
      </c>
    </row>
    <row r="2798" spans="1:12" x14ac:dyDescent="0.25">
      <c r="A2798" s="2" t="s">
        <v>8309</v>
      </c>
      <c r="B2798" s="8" t="s">
        <v>17583</v>
      </c>
      <c r="C2798" s="2" t="s">
        <v>8309</v>
      </c>
      <c r="D2798" s="2" t="s">
        <v>8310</v>
      </c>
      <c r="E2798" s="4" t="s">
        <v>28046</v>
      </c>
      <c r="G2798" s="15" t="s">
        <v>28047</v>
      </c>
      <c r="H2798" s="15" t="s">
        <v>28048</v>
      </c>
      <c r="I2798" s="15" t="s">
        <v>28049</v>
      </c>
      <c r="J2798" s="15" t="s">
        <v>28050</v>
      </c>
      <c r="K2798" s="15">
        <v>6654</v>
      </c>
      <c r="L2798" s="15" t="s">
        <v>19099</v>
      </c>
    </row>
    <row r="2799" spans="1:12" x14ac:dyDescent="0.25">
      <c r="A2799" s="2" t="s">
        <v>8312</v>
      </c>
      <c r="B2799" s="8" t="s">
        <v>17584</v>
      </c>
      <c r="C2799" s="2" t="s">
        <v>8312</v>
      </c>
      <c r="D2799" s="2" t="s">
        <v>8313</v>
      </c>
      <c r="E2799" s="4" t="s">
        <v>28051</v>
      </c>
      <c r="G2799" s="15" t="s">
        <v>28052</v>
      </c>
      <c r="H2799" s="15" t="s">
        <v>28053</v>
      </c>
      <c r="I2799" s="15" t="s">
        <v>28054</v>
      </c>
      <c r="J2799" s="15" t="s">
        <v>28055</v>
      </c>
      <c r="K2799" s="15">
        <v>444899</v>
      </c>
      <c r="L2799" s="15" t="s">
        <v>19099</v>
      </c>
    </row>
    <row r="2800" spans="1:12" x14ac:dyDescent="0.25">
      <c r="A2800" s="2" t="s">
        <v>8315</v>
      </c>
      <c r="B2800" s="8" t="s">
        <v>17585</v>
      </c>
      <c r="C2800" s="2" t="s">
        <v>8315</v>
      </c>
      <c r="D2800" s="2" t="s">
        <v>8316</v>
      </c>
      <c r="E2800" s="4" t="s">
        <v>28056</v>
      </c>
      <c r="G2800" s="15" t="s">
        <v>28057</v>
      </c>
      <c r="H2800" s="15" t="s">
        <v>28058</v>
      </c>
      <c r="I2800" s="15" t="s">
        <v>28059</v>
      </c>
      <c r="J2800" s="15" t="s">
        <v>22811</v>
      </c>
      <c r="K2800" s="15">
        <v>10467</v>
      </c>
      <c r="L2800" s="15" t="s">
        <v>19099</v>
      </c>
    </row>
    <row r="2801" spans="1:12" x14ac:dyDescent="0.25">
      <c r="A2801" s="2" t="s">
        <v>8318</v>
      </c>
      <c r="B2801" s="8" t="s">
        <v>17586</v>
      </c>
      <c r="C2801" s="2" t="s">
        <v>8318</v>
      </c>
      <c r="D2801" s="2" t="s">
        <v>8319</v>
      </c>
      <c r="E2801" s="4" t="s">
        <v>8319</v>
      </c>
      <c r="G2801" s="15" t="s">
        <v>28060</v>
      </c>
      <c r="H2801" s="15" t="s">
        <v>28061</v>
      </c>
      <c r="I2801" s="15" t="s">
        <v>28062</v>
      </c>
      <c r="J2801" s="15" t="s">
        <v>28063</v>
      </c>
      <c r="K2801" s="15">
        <v>8809</v>
      </c>
      <c r="L2801" s="15" t="s">
        <v>19099</v>
      </c>
    </row>
    <row r="2802" spans="1:12" x14ac:dyDescent="0.25">
      <c r="A2802" s="2" t="s">
        <v>8321</v>
      </c>
      <c r="B2802" s="8" t="s">
        <v>17587</v>
      </c>
      <c r="C2802" s="2" t="s">
        <v>8321</v>
      </c>
      <c r="D2802" s="2" t="s">
        <v>8322</v>
      </c>
      <c r="E2802" s="4" t="s">
        <v>28064</v>
      </c>
    </row>
    <row r="2803" spans="1:12" x14ac:dyDescent="0.25">
      <c r="A2803" s="2" t="s">
        <v>8324</v>
      </c>
      <c r="B2803" s="8" t="s">
        <v>17588</v>
      </c>
      <c r="C2803" s="2" t="s">
        <v>8324</v>
      </c>
      <c r="D2803" s="2" t="s">
        <v>8325</v>
      </c>
      <c r="E2803" s="4" t="s">
        <v>8325</v>
      </c>
      <c r="G2803" s="15" t="s">
        <v>28065</v>
      </c>
      <c r="H2803" s="15" t="s">
        <v>28066</v>
      </c>
      <c r="I2803" s="15" t="s">
        <v>28067</v>
      </c>
      <c r="J2803" s="15" t="s">
        <v>28068</v>
      </c>
      <c r="K2803" s="15">
        <v>18752</v>
      </c>
      <c r="L2803" s="15" t="s">
        <v>19099</v>
      </c>
    </row>
    <row r="2804" spans="1:12" x14ac:dyDescent="0.25">
      <c r="A2804" s="2" t="s">
        <v>8327</v>
      </c>
      <c r="B2804" s="8" t="s">
        <v>17589</v>
      </c>
      <c r="C2804" s="2" t="s">
        <v>8327</v>
      </c>
      <c r="D2804" s="2" t="s">
        <v>8328</v>
      </c>
      <c r="E2804" s="4" t="s">
        <v>28069</v>
      </c>
      <c r="G2804" s="15" t="s">
        <v>28070</v>
      </c>
      <c r="H2804" s="15" t="s">
        <v>28071</v>
      </c>
      <c r="I2804" s="15" t="s">
        <v>28072</v>
      </c>
      <c r="J2804" s="15" t="s">
        <v>28073</v>
      </c>
      <c r="K2804" s="15">
        <v>2244</v>
      </c>
      <c r="L2804" s="15" t="s">
        <v>19099</v>
      </c>
    </row>
    <row r="2805" spans="1:12" x14ac:dyDescent="0.25">
      <c r="A2805" s="2" t="s">
        <v>8330</v>
      </c>
      <c r="B2805" s="8" t="s">
        <v>17590</v>
      </c>
      <c r="C2805" s="2" t="s">
        <v>8330</v>
      </c>
      <c r="D2805" s="2" t="s">
        <v>8331</v>
      </c>
      <c r="E2805" s="4" t="s">
        <v>28074</v>
      </c>
      <c r="G2805" s="15" t="s">
        <v>28075</v>
      </c>
      <c r="H2805" s="15" t="s">
        <v>28076</v>
      </c>
      <c r="I2805" s="15" t="s">
        <v>28077</v>
      </c>
      <c r="J2805" s="15" t="s">
        <v>28078</v>
      </c>
      <c r="K2805" s="15">
        <v>134601</v>
      </c>
      <c r="L2805" s="15" t="s">
        <v>19099</v>
      </c>
    </row>
    <row r="2806" spans="1:12" x14ac:dyDescent="0.25">
      <c r="A2806" s="2" t="s">
        <v>8333</v>
      </c>
      <c r="B2806" s="8" t="s">
        <v>17591</v>
      </c>
      <c r="C2806" s="2" t="s">
        <v>8333</v>
      </c>
      <c r="D2806" s="2" t="s">
        <v>8334</v>
      </c>
      <c r="E2806" s="4" t="s">
        <v>28079</v>
      </c>
      <c r="G2806" s="15" t="s">
        <v>28080</v>
      </c>
      <c r="H2806" s="15" t="s">
        <v>28081</v>
      </c>
      <c r="I2806" s="15" t="s">
        <v>28082</v>
      </c>
      <c r="J2806" s="15" t="s">
        <v>19614</v>
      </c>
      <c r="K2806" s="15">
        <v>17100</v>
      </c>
      <c r="L2806" s="15" t="s">
        <v>19099</v>
      </c>
    </row>
    <row r="2807" spans="1:12" x14ac:dyDescent="0.25">
      <c r="A2807" s="2" t="s">
        <v>8336</v>
      </c>
      <c r="B2807" s="8" t="s">
        <v>17592</v>
      </c>
      <c r="C2807" s="2" t="s">
        <v>8336</v>
      </c>
      <c r="D2807" s="2" t="s">
        <v>8337</v>
      </c>
      <c r="E2807" s="4" t="s">
        <v>8337</v>
      </c>
      <c r="G2807" s="15" t="s">
        <v>28083</v>
      </c>
      <c r="H2807" s="15" t="s">
        <v>28084</v>
      </c>
      <c r="I2807" s="15" t="s">
        <v>28085</v>
      </c>
      <c r="J2807" s="15" t="s">
        <v>28086</v>
      </c>
      <c r="K2807" s="15">
        <v>2249</v>
      </c>
      <c r="L2807" s="15" t="s">
        <v>19099</v>
      </c>
    </row>
    <row r="2808" spans="1:12" x14ac:dyDescent="0.25">
      <c r="A2808" s="2" t="s">
        <v>8339</v>
      </c>
      <c r="B2808" s="8" t="s">
        <v>17593</v>
      </c>
      <c r="C2808" s="2" t="s">
        <v>8339</v>
      </c>
      <c r="D2808" s="2" t="s">
        <v>8340</v>
      </c>
      <c r="E2808" s="4" t="s">
        <v>8340</v>
      </c>
      <c r="G2808" s="15" t="s">
        <v>28087</v>
      </c>
      <c r="H2808" s="15" t="s">
        <v>28088</v>
      </c>
      <c r="I2808" s="15" t="s">
        <v>28089</v>
      </c>
      <c r="J2808" s="15" t="s">
        <v>28090</v>
      </c>
      <c r="K2808" s="15">
        <v>15359</v>
      </c>
      <c r="L2808" s="15" t="s">
        <v>19099</v>
      </c>
    </row>
    <row r="2809" spans="1:12" x14ac:dyDescent="0.25">
      <c r="A2809" s="2" t="s">
        <v>8342</v>
      </c>
      <c r="B2809" s="8" t="s">
        <v>17594</v>
      </c>
      <c r="C2809" s="2" t="s">
        <v>8342</v>
      </c>
      <c r="D2809" s="2" t="s">
        <v>8343</v>
      </c>
      <c r="E2809" s="4" t="s">
        <v>28091</v>
      </c>
      <c r="G2809" s="15" t="s">
        <v>28092</v>
      </c>
      <c r="H2809" s="15" t="s">
        <v>28093</v>
      </c>
      <c r="I2809" s="15" t="s">
        <v>28094</v>
      </c>
      <c r="J2809" s="15" t="s">
        <v>28095</v>
      </c>
      <c r="K2809" s="15">
        <v>60823</v>
      </c>
      <c r="L2809" s="15" t="s">
        <v>19099</v>
      </c>
    </row>
    <row r="2810" spans="1:12" x14ac:dyDescent="0.25">
      <c r="A2810" s="2" t="s">
        <v>8345</v>
      </c>
      <c r="B2810" s="8" t="s">
        <v>17595</v>
      </c>
      <c r="C2810" s="2" t="s">
        <v>8345</v>
      </c>
      <c r="D2810" s="2" t="s">
        <v>8346</v>
      </c>
      <c r="E2810" s="4" t="s">
        <v>8346</v>
      </c>
      <c r="G2810" s="15" t="s">
        <v>28096</v>
      </c>
      <c r="H2810" s="15" t="s">
        <v>28097</v>
      </c>
      <c r="I2810" s="15" t="s">
        <v>28098</v>
      </c>
      <c r="J2810" s="15" t="s">
        <v>28099</v>
      </c>
      <c r="K2810" s="15">
        <v>2256</v>
      </c>
      <c r="L2810" s="15" t="s">
        <v>19099</v>
      </c>
    </row>
    <row r="2811" spans="1:12" x14ac:dyDescent="0.25">
      <c r="A2811" s="2" t="s">
        <v>8348</v>
      </c>
      <c r="B2811" s="8" t="s">
        <v>17596</v>
      </c>
      <c r="C2811" s="2" t="s">
        <v>8348</v>
      </c>
      <c r="D2811" s="2" t="s">
        <v>8349</v>
      </c>
      <c r="E2811" s="4" t="s">
        <v>28100</v>
      </c>
      <c r="G2811" s="15" t="s">
        <v>28101</v>
      </c>
      <c r="H2811" s="15" t="s">
        <v>28102</v>
      </c>
      <c r="I2811" s="15" t="s">
        <v>28103</v>
      </c>
      <c r="J2811" s="15" t="s">
        <v>28104</v>
      </c>
      <c r="K2811" s="15">
        <v>2272</v>
      </c>
      <c r="L2811" s="15" t="s">
        <v>19099</v>
      </c>
    </row>
    <row r="2812" spans="1:12" x14ac:dyDescent="0.25">
      <c r="A2812" s="2" t="s">
        <v>8351</v>
      </c>
      <c r="B2812" s="8" t="s">
        <v>17597</v>
      </c>
      <c r="C2812" s="2" t="s">
        <v>8351</v>
      </c>
      <c r="D2812" s="2" t="s">
        <v>8352</v>
      </c>
      <c r="E2812" s="4" t="s">
        <v>28105</v>
      </c>
      <c r="G2812" s="15" t="s">
        <v>28106</v>
      </c>
      <c r="H2812" s="15" t="s">
        <v>28107</v>
      </c>
      <c r="I2812" s="15" t="s">
        <v>28108</v>
      </c>
      <c r="J2812" s="15" t="s">
        <v>28109</v>
      </c>
      <c r="K2812" s="15">
        <v>43233</v>
      </c>
      <c r="L2812" s="15" t="s">
        <v>19099</v>
      </c>
    </row>
    <row r="2813" spans="1:12" x14ac:dyDescent="0.25">
      <c r="A2813" s="2" t="s">
        <v>8354</v>
      </c>
      <c r="B2813" s="8" t="s">
        <v>17598</v>
      </c>
      <c r="C2813" s="2" t="s">
        <v>8354</v>
      </c>
      <c r="D2813" s="2" t="s">
        <v>8355</v>
      </c>
      <c r="E2813" s="4" t="s">
        <v>8355</v>
      </c>
      <c r="G2813" s="15" t="s">
        <v>25173</v>
      </c>
      <c r="H2813" s="15" t="s">
        <v>25174</v>
      </c>
      <c r="I2813" s="15" t="s">
        <v>25175</v>
      </c>
      <c r="J2813" s="15" t="s">
        <v>25176</v>
      </c>
      <c r="K2813" s="15">
        <v>5371562</v>
      </c>
      <c r="L2813" s="15" t="s">
        <v>19995</v>
      </c>
    </row>
    <row r="2814" spans="1:12" x14ac:dyDescent="0.25">
      <c r="A2814" s="2" t="s">
        <v>8357</v>
      </c>
      <c r="B2814" s="8" t="s">
        <v>17599</v>
      </c>
      <c r="C2814" s="2" t="s">
        <v>8357</v>
      </c>
      <c r="D2814" s="2" t="s">
        <v>8358</v>
      </c>
      <c r="E2814" s="4" t="s">
        <v>8358</v>
      </c>
      <c r="G2814" s="15" t="s">
        <v>28110</v>
      </c>
      <c r="H2814" s="15" t="s">
        <v>28111</v>
      </c>
      <c r="I2814" s="15" t="s">
        <v>28112</v>
      </c>
      <c r="J2814" s="15" t="s">
        <v>28113</v>
      </c>
      <c r="K2814" s="15">
        <v>5281303</v>
      </c>
      <c r="L2814" s="15" t="s">
        <v>19995</v>
      </c>
    </row>
    <row r="2815" spans="1:12" x14ac:dyDescent="0.25">
      <c r="A2815" s="2" t="s">
        <v>8360</v>
      </c>
      <c r="B2815" s="8" t="s">
        <v>17600</v>
      </c>
      <c r="C2815" s="2" t="s">
        <v>8360</v>
      </c>
      <c r="D2815" s="2" t="s">
        <v>8361</v>
      </c>
      <c r="E2815" s="4" t="s">
        <v>8361</v>
      </c>
      <c r="G2815" s="15" t="s">
        <v>28114</v>
      </c>
      <c r="H2815" s="15" t="s">
        <v>28115</v>
      </c>
      <c r="I2815" s="15" t="s">
        <v>28116</v>
      </c>
      <c r="J2815" s="15" t="s">
        <v>28117</v>
      </c>
      <c r="K2815" s="15">
        <v>2267</v>
      </c>
      <c r="L2815" s="15" t="s">
        <v>19099</v>
      </c>
    </row>
    <row r="2816" spans="1:12" x14ac:dyDescent="0.25">
      <c r="A2816" s="2" t="s">
        <v>8363</v>
      </c>
      <c r="B2816" s="8" t="s">
        <v>17601</v>
      </c>
      <c r="C2816" s="2" t="s">
        <v>8363</v>
      </c>
      <c r="D2816" s="2" t="s">
        <v>8364</v>
      </c>
      <c r="E2816" s="4" t="s">
        <v>28118</v>
      </c>
      <c r="G2816" s="15" t="s">
        <v>28119</v>
      </c>
      <c r="H2816" s="15" t="s">
        <v>28120</v>
      </c>
      <c r="I2816" s="15" t="s">
        <v>28121</v>
      </c>
      <c r="J2816" s="15" t="s">
        <v>28122</v>
      </c>
      <c r="K2816" s="15">
        <v>71482</v>
      </c>
      <c r="L2816" s="15" t="s">
        <v>19099</v>
      </c>
    </row>
    <row r="2817" spans="1:12" x14ac:dyDescent="0.25">
      <c r="A2817" s="2" t="s">
        <v>8366</v>
      </c>
      <c r="B2817" s="8" t="s">
        <v>17602</v>
      </c>
      <c r="C2817" s="2" t="s">
        <v>8366</v>
      </c>
      <c r="D2817" s="2" t="s">
        <v>8367</v>
      </c>
      <c r="E2817" s="4" t="s">
        <v>8367</v>
      </c>
      <c r="G2817" s="15" t="s">
        <v>28123</v>
      </c>
      <c r="H2817" s="15" t="s">
        <v>28124</v>
      </c>
      <c r="I2817" s="15" t="s">
        <v>28125</v>
      </c>
      <c r="J2817" s="15" t="s">
        <v>28126</v>
      </c>
      <c r="K2817" s="15">
        <v>3034285</v>
      </c>
      <c r="L2817" s="15" t="s">
        <v>19099</v>
      </c>
    </row>
    <row r="2818" spans="1:12" x14ac:dyDescent="0.25">
      <c r="A2818" s="2" t="s">
        <v>8369</v>
      </c>
      <c r="B2818" s="8" t="s">
        <v>17603</v>
      </c>
      <c r="C2818" s="2" t="s">
        <v>8369</v>
      </c>
      <c r="D2818" s="2" t="s">
        <v>8370</v>
      </c>
      <c r="E2818" s="4" t="s">
        <v>8370</v>
      </c>
      <c r="G2818" s="15" t="s">
        <v>28127</v>
      </c>
      <c r="H2818" s="15" t="s">
        <v>28128</v>
      </c>
      <c r="I2818" s="15" t="s">
        <v>28129</v>
      </c>
      <c r="J2818" s="15" t="s">
        <v>28130</v>
      </c>
      <c r="K2818" s="15">
        <v>3032472</v>
      </c>
      <c r="L2818" s="15" t="s">
        <v>19099</v>
      </c>
    </row>
    <row r="2819" spans="1:12" x14ac:dyDescent="0.25">
      <c r="A2819" s="2" t="s">
        <v>8372</v>
      </c>
      <c r="B2819" s="8" t="s">
        <v>17604</v>
      </c>
      <c r="C2819" s="2" t="s">
        <v>8372</v>
      </c>
      <c r="D2819" s="2" t="s">
        <v>8373</v>
      </c>
      <c r="E2819" s="4" t="s">
        <v>8373</v>
      </c>
      <c r="G2819" s="15" t="s">
        <v>28131</v>
      </c>
      <c r="H2819" s="15" t="s">
        <v>28132</v>
      </c>
      <c r="I2819" s="15" t="s">
        <v>28133</v>
      </c>
      <c r="J2819" s="15" t="s">
        <v>28134</v>
      </c>
      <c r="K2819" s="15">
        <v>86355</v>
      </c>
      <c r="L2819" s="15" t="s">
        <v>19099</v>
      </c>
    </row>
    <row r="2820" spans="1:12" x14ac:dyDescent="0.25">
      <c r="A2820" s="2" t="s">
        <v>8375</v>
      </c>
      <c r="B2820" s="8" t="s">
        <v>17605</v>
      </c>
      <c r="C2820" s="2" t="s">
        <v>8375</v>
      </c>
      <c r="D2820" s="2" t="s">
        <v>8376</v>
      </c>
      <c r="E2820" s="4" t="s">
        <v>28135</v>
      </c>
      <c r="G2820" s="15" t="s">
        <v>28136</v>
      </c>
      <c r="H2820" s="15" t="s">
        <v>28137</v>
      </c>
      <c r="I2820" s="15" t="s">
        <v>28138</v>
      </c>
      <c r="J2820" s="15" t="s">
        <v>28139</v>
      </c>
      <c r="K2820" s="15">
        <v>447043</v>
      </c>
      <c r="L2820" s="15" t="s">
        <v>19099</v>
      </c>
    </row>
    <row r="2821" spans="1:12" x14ac:dyDescent="0.25">
      <c r="A2821" s="2" t="s">
        <v>8378</v>
      </c>
      <c r="B2821" s="8" t="s">
        <v>17606</v>
      </c>
      <c r="C2821" s="2" t="s">
        <v>8378</v>
      </c>
      <c r="D2821" s="2" t="s">
        <v>8379</v>
      </c>
      <c r="E2821" s="4" t="s">
        <v>28140</v>
      </c>
      <c r="G2821" s="15" t="s">
        <v>28141</v>
      </c>
      <c r="H2821" s="15" t="s">
        <v>28142</v>
      </c>
      <c r="I2821" s="15" t="s">
        <v>28143</v>
      </c>
      <c r="J2821" s="15" t="s">
        <v>28144</v>
      </c>
      <c r="K2821" s="15">
        <v>6508331</v>
      </c>
      <c r="L2821" s="15" t="s">
        <v>19099</v>
      </c>
    </row>
    <row r="2822" spans="1:12" x14ac:dyDescent="0.25">
      <c r="A2822" s="2" t="s">
        <v>8381</v>
      </c>
      <c r="B2822" s="8" t="s">
        <v>17607</v>
      </c>
      <c r="C2822" s="2" t="s">
        <v>8381</v>
      </c>
      <c r="D2822" s="2" t="s">
        <v>8382</v>
      </c>
      <c r="E2822" s="4" t="s">
        <v>28145</v>
      </c>
      <c r="G2822" s="15" t="s">
        <v>28146</v>
      </c>
      <c r="H2822" s="15" t="s">
        <v>28147</v>
      </c>
      <c r="I2822" s="15" t="s">
        <v>28148</v>
      </c>
      <c r="J2822" s="15" t="s">
        <v>23201</v>
      </c>
      <c r="K2822" s="15">
        <v>5377791</v>
      </c>
      <c r="L2822" s="15" t="s">
        <v>19099</v>
      </c>
    </row>
    <row r="2823" spans="1:12" x14ac:dyDescent="0.25">
      <c r="A2823" s="2" t="s">
        <v>8384</v>
      </c>
      <c r="B2823" s="8" t="s">
        <v>17608</v>
      </c>
      <c r="C2823" s="2" t="s">
        <v>8384</v>
      </c>
      <c r="D2823" s="2" t="s">
        <v>8385</v>
      </c>
      <c r="E2823" s="4" t="s">
        <v>28149</v>
      </c>
      <c r="G2823" s="15" t="s">
        <v>28150</v>
      </c>
      <c r="H2823" s="15" t="s">
        <v>28151</v>
      </c>
      <c r="I2823" s="15" t="s">
        <v>28152</v>
      </c>
      <c r="J2823" s="15" t="s">
        <v>24532</v>
      </c>
      <c r="K2823" s="15">
        <v>13040187</v>
      </c>
      <c r="L2823" s="15" t="s">
        <v>19099</v>
      </c>
    </row>
    <row r="2824" spans="1:12" x14ac:dyDescent="0.25">
      <c r="A2824" s="2" t="s">
        <v>8387</v>
      </c>
      <c r="B2824" s="8" t="s">
        <v>17609</v>
      </c>
      <c r="C2824" s="2" t="s">
        <v>8387</v>
      </c>
      <c r="D2824" s="2" t="s">
        <v>8388</v>
      </c>
      <c r="E2824" s="4" t="s">
        <v>28153</v>
      </c>
      <c r="G2824" s="15" t="s">
        <v>27765</v>
      </c>
      <c r="H2824" s="15" t="s">
        <v>27766</v>
      </c>
      <c r="I2824" s="15" t="s">
        <v>27767</v>
      </c>
      <c r="J2824" s="15" t="s">
        <v>27768</v>
      </c>
      <c r="K2824" s="15">
        <v>727</v>
      </c>
      <c r="L2824" s="15" t="s">
        <v>19099</v>
      </c>
    </row>
    <row r="2825" spans="1:12" x14ac:dyDescent="0.25">
      <c r="A2825" s="2" t="s">
        <v>8390</v>
      </c>
      <c r="B2825" s="8" t="s">
        <v>17610</v>
      </c>
      <c r="C2825" s="2" t="s">
        <v>8390</v>
      </c>
      <c r="D2825" s="2" t="s">
        <v>8391</v>
      </c>
      <c r="E2825" s="4" t="s">
        <v>28154</v>
      </c>
    </row>
    <row r="2826" spans="1:12" x14ac:dyDescent="0.25">
      <c r="A2826" s="2" t="s">
        <v>8393</v>
      </c>
      <c r="B2826" s="8" t="s">
        <v>17611</v>
      </c>
      <c r="C2826" s="2" t="s">
        <v>8393</v>
      </c>
      <c r="D2826" s="2" t="s">
        <v>8394</v>
      </c>
      <c r="E2826" s="4" t="s">
        <v>8394</v>
      </c>
      <c r="G2826" s="15" t="s">
        <v>28155</v>
      </c>
      <c r="H2826" s="15" t="s">
        <v>28156</v>
      </c>
      <c r="I2826" s="15" t="s">
        <v>28157</v>
      </c>
      <c r="J2826" s="15" t="s">
        <v>28158</v>
      </c>
      <c r="K2826" s="15">
        <v>54710410</v>
      </c>
      <c r="L2826" s="15" t="s">
        <v>19099</v>
      </c>
    </row>
    <row r="2827" spans="1:12" x14ac:dyDescent="0.25">
      <c r="A2827" s="2" t="s">
        <v>8396</v>
      </c>
      <c r="B2827" s="8" t="s">
        <v>17612</v>
      </c>
      <c r="C2827" s="2" t="s">
        <v>8396</v>
      </c>
      <c r="D2827" s="2" t="s">
        <v>8397</v>
      </c>
      <c r="E2827" s="4" t="s">
        <v>8397</v>
      </c>
      <c r="G2827" s="15" t="s">
        <v>28159</v>
      </c>
      <c r="H2827" s="15" t="s">
        <v>28160</v>
      </c>
      <c r="I2827" s="15" t="s">
        <v>28161</v>
      </c>
      <c r="J2827" s="15" t="s">
        <v>28162</v>
      </c>
      <c r="K2827" s="15">
        <v>7551</v>
      </c>
      <c r="L2827" s="15" t="s">
        <v>19099</v>
      </c>
    </row>
    <row r="2828" spans="1:12" x14ac:dyDescent="0.25">
      <c r="A2828" s="2" t="s">
        <v>8399</v>
      </c>
      <c r="B2828" s="8" t="s">
        <v>17613</v>
      </c>
      <c r="C2828" s="2" t="s">
        <v>8399</v>
      </c>
      <c r="D2828" s="2" t="s">
        <v>8400</v>
      </c>
      <c r="E2828" s="4" t="s">
        <v>8400</v>
      </c>
      <c r="G2828" s="15" t="s">
        <v>27881</v>
      </c>
      <c r="H2828" s="15" t="s">
        <v>27882</v>
      </c>
      <c r="I2828" s="15" t="s">
        <v>27883</v>
      </c>
      <c r="J2828" s="15" t="s">
        <v>27884</v>
      </c>
      <c r="K2828" s="15">
        <v>12309460</v>
      </c>
      <c r="L2828" s="15" t="s">
        <v>19099</v>
      </c>
    </row>
    <row r="2829" spans="1:12" x14ac:dyDescent="0.25">
      <c r="A2829" s="2" t="s">
        <v>8402</v>
      </c>
      <c r="B2829" s="8" t="s">
        <v>17614</v>
      </c>
      <c r="C2829" s="2" t="s">
        <v>8402</v>
      </c>
      <c r="D2829" s="2" t="s">
        <v>8403</v>
      </c>
      <c r="E2829" s="4" t="s">
        <v>8403</v>
      </c>
      <c r="G2829" s="15" t="s">
        <v>28163</v>
      </c>
      <c r="H2829" s="15" t="s">
        <v>28164</v>
      </c>
      <c r="I2829" s="15" t="s">
        <v>28165</v>
      </c>
      <c r="J2829" s="15" t="s">
        <v>28166</v>
      </c>
      <c r="K2829" s="15">
        <v>6451159</v>
      </c>
      <c r="L2829" s="15" t="s">
        <v>19099</v>
      </c>
    </row>
    <row r="2830" spans="1:12" x14ac:dyDescent="0.25">
      <c r="A2830" s="2" t="s">
        <v>8405</v>
      </c>
      <c r="B2830" s="8" t="s">
        <v>17615</v>
      </c>
      <c r="C2830" s="2" t="s">
        <v>8405</v>
      </c>
      <c r="D2830" s="2" t="s">
        <v>8406</v>
      </c>
      <c r="E2830" s="4" t="s">
        <v>8406</v>
      </c>
      <c r="G2830" s="15" t="s">
        <v>28167</v>
      </c>
      <c r="H2830" s="15" t="s">
        <v>28168</v>
      </c>
      <c r="I2830" s="15" t="s">
        <v>28169</v>
      </c>
      <c r="J2830" s="15" t="s">
        <v>23786</v>
      </c>
      <c r="K2830" s="15">
        <v>2314</v>
      </c>
      <c r="L2830" s="15" t="s">
        <v>19099</v>
      </c>
    </row>
    <row r="2831" spans="1:12" x14ac:dyDescent="0.25">
      <c r="A2831" s="2" t="s">
        <v>8408</v>
      </c>
      <c r="B2831" s="8" t="s">
        <v>17616</v>
      </c>
      <c r="C2831" s="2" t="s">
        <v>8408</v>
      </c>
      <c r="D2831" s="2" t="s">
        <v>8409</v>
      </c>
      <c r="E2831" s="4" t="s">
        <v>8409</v>
      </c>
      <c r="G2831" s="15" t="s">
        <v>28170</v>
      </c>
      <c r="H2831" s="15" t="s">
        <v>28171</v>
      </c>
      <c r="I2831" s="15" t="s">
        <v>28172</v>
      </c>
      <c r="J2831" s="15" t="s">
        <v>27465</v>
      </c>
      <c r="K2831" s="15">
        <v>2319</v>
      </c>
      <c r="L2831" s="15" t="s">
        <v>19099</v>
      </c>
    </row>
    <row r="2832" spans="1:12" x14ac:dyDescent="0.25">
      <c r="A2832" s="2" t="s">
        <v>8411</v>
      </c>
      <c r="B2832" s="8" t="s">
        <v>17617</v>
      </c>
      <c r="C2832" s="2" t="s">
        <v>8411</v>
      </c>
      <c r="D2832" s="2" t="s">
        <v>8412</v>
      </c>
      <c r="E2832" s="4" t="s">
        <v>8412</v>
      </c>
      <c r="G2832" s="15" t="s">
        <v>28173</v>
      </c>
      <c r="H2832" s="15" t="s">
        <v>28174</v>
      </c>
      <c r="I2832" s="15" t="s">
        <v>28175</v>
      </c>
      <c r="J2832" s="15" t="s">
        <v>28176</v>
      </c>
      <c r="K2832" s="15">
        <v>54886</v>
      </c>
      <c r="L2832" s="15" t="s">
        <v>19099</v>
      </c>
    </row>
    <row r="2833" spans="1:12" x14ac:dyDescent="0.25">
      <c r="A2833" s="2" t="s">
        <v>8414</v>
      </c>
      <c r="B2833" s="8" t="s">
        <v>17618</v>
      </c>
      <c r="C2833" s="2" t="s">
        <v>8414</v>
      </c>
      <c r="D2833" s="2" t="s">
        <v>8415</v>
      </c>
      <c r="E2833" s="4" t="s">
        <v>8415</v>
      </c>
      <c r="G2833" s="15" t="s">
        <v>28177</v>
      </c>
      <c r="H2833" s="15" t="s">
        <v>28178</v>
      </c>
      <c r="I2833" s="15" t="s">
        <v>28179</v>
      </c>
      <c r="J2833" s="15" t="s">
        <v>28180</v>
      </c>
      <c r="K2833" s="15">
        <v>51369</v>
      </c>
      <c r="L2833" s="15" t="s">
        <v>19099</v>
      </c>
    </row>
    <row r="2834" spans="1:12" x14ac:dyDescent="0.25">
      <c r="A2834" s="2" t="s">
        <v>8417</v>
      </c>
      <c r="B2834" s="8" t="s">
        <v>17619</v>
      </c>
      <c r="C2834" s="2" t="s">
        <v>8417</v>
      </c>
      <c r="D2834" s="2" t="s">
        <v>8418</v>
      </c>
      <c r="E2834" s="4" t="s">
        <v>8418</v>
      </c>
      <c r="G2834" s="15" t="s">
        <v>28181</v>
      </c>
      <c r="H2834" s="15" t="s">
        <v>28182</v>
      </c>
      <c r="I2834" s="15" t="s">
        <v>28183</v>
      </c>
      <c r="J2834" s="15" t="s">
        <v>28180</v>
      </c>
      <c r="K2834" s="15">
        <v>176648</v>
      </c>
      <c r="L2834" s="15" t="s">
        <v>19099</v>
      </c>
    </row>
    <row r="2835" spans="1:12" x14ac:dyDescent="0.25">
      <c r="A2835" s="2" t="s">
        <v>8420</v>
      </c>
      <c r="B2835" s="8" t="s">
        <v>17620</v>
      </c>
      <c r="C2835" s="2" t="s">
        <v>8420</v>
      </c>
      <c r="D2835" s="2" t="s">
        <v>8421</v>
      </c>
      <c r="E2835" s="4" t="s">
        <v>8421</v>
      </c>
      <c r="G2835" s="15" t="s">
        <v>28184</v>
      </c>
      <c r="H2835" s="15" t="s">
        <v>28185</v>
      </c>
      <c r="I2835" s="15" t="s">
        <v>28186</v>
      </c>
      <c r="J2835" s="15" t="s">
        <v>27557</v>
      </c>
      <c r="K2835" s="15">
        <v>28780</v>
      </c>
      <c r="L2835" s="15" t="s">
        <v>19099</v>
      </c>
    </row>
    <row r="2836" spans="1:12" x14ac:dyDescent="0.25">
      <c r="A2836" s="2" t="s">
        <v>8423</v>
      </c>
      <c r="B2836" s="8" t="s">
        <v>17621</v>
      </c>
      <c r="C2836" s="2" t="s">
        <v>8423</v>
      </c>
      <c r="D2836" s="2" t="s">
        <v>8424</v>
      </c>
      <c r="E2836" s="4" t="s">
        <v>8424</v>
      </c>
      <c r="G2836" s="15" t="s">
        <v>28187</v>
      </c>
      <c r="H2836" s="15" t="s">
        <v>28188</v>
      </c>
      <c r="I2836" s="15" t="s">
        <v>28189</v>
      </c>
      <c r="J2836" s="15" t="s">
        <v>28190</v>
      </c>
      <c r="K2836" s="15">
        <v>27195</v>
      </c>
      <c r="L2836" s="15" t="s">
        <v>19099</v>
      </c>
    </row>
    <row r="2837" spans="1:12" x14ac:dyDescent="0.25">
      <c r="A2837" s="2" t="s">
        <v>8426</v>
      </c>
      <c r="B2837" s="8" t="s">
        <v>17622</v>
      </c>
      <c r="C2837" s="2" t="s">
        <v>8426</v>
      </c>
      <c r="D2837" s="2" t="s">
        <v>8427</v>
      </c>
      <c r="E2837" s="4" t="s">
        <v>8427</v>
      </c>
      <c r="G2837" s="15" t="s">
        <v>28191</v>
      </c>
      <c r="H2837" s="15" t="s">
        <v>28192</v>
      </c>
      <c r="I2837" s="15" t="s">
        <v>28193</v>
      </c>
      <c r="J2837" s="15" t="s">
        <v>28194</v>
      </c>
      <c r="K2837" s="15">
        <v>54960</v>
      </c>
      <c r="L2837" s="15" t="s">
        <v>19099</v>
      </c>
    </row>
    <row r="2838" spans="1:12" x14ac:dyDescent="0.25">
      <c r="A2838" s="2" t="s">
        <v>8429</v>
      </c>
      <c r="B2838" s="8" t="s">
        <v>17623</v>
      </c>
      <c r="C2838" s="2" t="s">
        <v>8429</v>
      </c>
      <c r="D2838" s="2" t="s">
        <v>8430</v>
      </c>
      <c r="E2838" s="4" t="s">
        <v>8430</v>
      </c>
      <c r="G2838" s="15" t="s">
        <v>28195</v>
      </c>
      <c r="H2838" s="15" t="s">
        <v>28196</v>
      </c>
      <c r="I2838" s="15" t="s">
        <v>28197</v>
      </c>
      <c r="J2838" s="15" t="s">
        <v>28198</v>
      </c>
      <c r="K2838" s="15">
        <v>53297381</v>
      </c>
      <c r="L2838" s="15" t="s">
        <v>19099</v>
      </c>
    </row>
    <row r="2839" spans="1:12" x14ac:dyDescent="0.25">
      <c r="A2839" s="2" t="s">
        <v>8432</v>
      </c>
      <c r="B2839" s="8" t="s">
        <v>17624</v>
      </c>
      <c r="C2839" s="2" t="s">
        <v>8432</v>
      </c>
      <c r="D2839" s="2" t="s">
        <v>8433</v>
      </c>
      <c r="E2839" s="4" t="s">
        <v>8433</v>
      </c>
      <c r="G2839" s="15" t="s">
        <v>28199</v>
      </c>
      <c r="H2839" s="15" t="s">
        <v>28200</v>
      </c>
      <c r="I2839" s="15" t="s">
        <v>28201</v>
      </c>
      <c r="J2839" s="15" t="s">
        <v>28202</v>
      </c>
      <c r="K2839" s="15">
        <v>20593234</v>
      </c>
      <c r="L2839" s="15" t="s">
        <v>19099</v>
      </c>
    </row>
    <row r="2840" spans="1:12" x14ac:dyDescent="0.25">
      <c r="A2840" s="2" t="s">
        <v>8435</v>
      </c>
      <c r="B2840" s="8" t="s">
        <v>17625</v>
      </c>
      <c r="C2840" s="2" t="s">
        <v>8435</v>
      </c>
      <c r="D2840" s="2" t="s">
        <v>8436</v>
      </c>
      <c r="E2840" s="4" t="s">
        <v>8436</v>
      </c>
      <c r="G2840" s="15" t="s">
        <v>28203</v>
      </c>
      <c r="H2840" s="15" t="s">
        <v>28204</v>
      </c>
      <c r="I2840" s="15" t="s">
        <v>28205</v>
      </c>
      <c r="J2840" s="15" t="s">
        <v>28206</v>
      </c>
      <c r="K2840" s="15">
        <v>2328</v>
      </c>
      <c r="L2840" s="15" t="s">
        <v>19099</v>
      </c>
    </row>
    <row r="2841" spans="1:12" x14ac:dyDescent="0.25">
      <c r="A2841" s="2" t="s">
        <v>8438</v>
      </c>
      <c r="B2841" s="8" t="s">
        <v>17626</v>
      </c>
      <c r="C2841" s="2" t="s">
        <v>8438</v>
      </c>
      <c r="D2841" s="2" t="s">
        <v>8439</v>
      </c>
      <c r="E2841" s="4" t="s">
        <v>28207</v>
      </c>
      <c r="G2841" s="15" t="s">
        <v>28208</v>
      </c>
      <c r="H2841" s="15" t="s">
        <v>28209</v>
      </c>
      <c r="I2841" s="15" t="s">
        <v>28210</v>
      </c>
      <c r="J2841" s="15" t="s">
        <v>28211</v>
      </c>
      <c r="K2841" s="15">
        <v>611316</v>
      </c>
      <c r="L2841" s="15" t="s">
        <v>19099</v>
      </c>
    </row>
    <row r="2842" spans="1:12" x14ac:dyDescent="0.25">
      <c r="A2842" s="2" t="s">
        <v>8441</v>
      </c>
      <c r="B2842" s="8" t="s">
        <v>17627</v>
      </c>
      <c r="C2842" s="2" t="s">
        <v>8441</v>
      </c>
      <c r="D2842" s="2" t="s">
        <v>8442</v>
      </c>
      <c r="E2842" s="4" t="s">
        <v>8442</v>
      </c>
      <c r="G2842" s="15" t="s">
        <v>8442</v>
      </c>
      <c r="H2842" s="15" t="s">
        <v>28212</v>
      </c>
      <c r="I2842" s="15" t="s">
        <v>28213</v>
      </c>
      <c r="J2842" s="15" t="s">
        <v>25287</v>
      </c>
      <c r="K2842" s="15">
        <v>2331</v>
      </c>
      <c r="L2842" s="15" t="s">
        <v>19099</v>
      </c>
    </row>
    <row r="2843" spans="1:12" x14ac:dyDescent="0.25">
      <c r="A2843" s="2" t="s">
        <v>8444</v>
      </c>
      <c r="B2843" s="8" t="s">
        <v>17628</v>
      </c>
      <c r="C2843" s="2" t="s">
        <v>8444</v>
      </c>
      <c r="D2843" s="2" t="s">
        <v>8445</v>
      </c>
      <c r="E2843" s="4" t="s">
        <v>8445</v>
      </c>
      <c r="G2843" s="15" t="s">
        <v>28214</v>
      </c>
      <c r="H2843" s="15" t="s">
        <v>28215</v>
      </c>
      <c r="I2843" s="15" t="s">
        <v>28216</v>
      </c>
      <c r="J2843" s="15" t="s">
        <v>20058</v>
      </c>
      <c r="K2843" s="15">
        <v>7504</v>
      </c>
      <c r="L2843" s="15" t="s">
        <v>19099</v>
      </c>
    </row>
    <row r="2844" spans="1:12" x14ac:dyDescent="0.25">
      <c r="A2844" s="2" t="s">
        <v>8447</v>
      </c>
      <c r="B2844" s="8" t="s">
        <v>17629</v>
      </c>
      <c r="C2844" s="2" t="s">
        <v>8447</v>
      </c>
      <c r="D2844" s="2" t="s">
        <v>8448</v>
      </c>
      <c r="E2844" s="4" t="s">
        <v>28217</v>
      </c>
      <c r="G2844" s="15" t="s">
        <v>28218</v>
      </c>
      <c r="H2844" s="15" t="s">
        <v>28219</v>
      </c>
      <c r="I2844" s="15" t="s">
        <v>28220</v>
      </c>
      <c r="J2844" s="15" t="s">
        <v>28221</v>
      </c>
      <c r="K2844" s="15">
        <v>2347</v>
      </c>
      <c r="L2844" s="15" t="s">
        <v>19099</v>
      </c>
    </row>
    <row r="2845" spans="1:12" x14ac:dyDescent="0.25">
      <c r="A2845" s="2" t="s">
        <v>8450</v>
      </c>
      <c r="B2845" s="8" t="s">
        <v>17630</v>
      </c>
      <c r="C2845" s="2" t="s">
        <v>8450</v>
      </c>
      <c r="D2845" s="2" t="s">
        <v>8451</v>
      </c>
      <c r="E2845" s="4" t="s">
        <v>28222</v>
      </c>
      <c r="G2845" s="15" t="s">
        <v>28223</v>
      </c>
      <c r="H2845" s="15" t="s">
        <v>28224</v>
      </c>
      <c r="I2845" s="15" t="s">
        <v>28225</v>
      </c>
      <c r="J2845" s="15" t="s">
        <v>20835</v>
      </c>
      <c r="K2845" s="15">
        <v>7503</v>
      </c>
      <c r="L2845" s="15" t="s">
        <v>19099</v>
      </c>
    </row>
    <row r="2846" spans="1:12" x14ac:dyDescent="0.25">
      <c r="A2846" s="2" t="s">
        <v>8453</v>
      </c>
      <c r="B2846" s="8" t="s">
        <v>17631</v>
      </c>
      <c r="C2846" s="2" t="s">
        <v>8453</v>
      </c>
      <c r="D2846" s="2" t="s">
        <v>8454</v>
      </c>
      <c r="E2846" s="4" t="s">
        <v>28226</v>
      </c>
      <c r="G2846" s="15" t="s">
        <v>22871</v>
      </c>
      <c r="H2846" s="15" t="s">
        <v>22872</v>
      </c>
      <c r="I2846" s="15" t="s">
        <v>22873</v>
      </c>
      <c r="J2846" s="15" t="s">
        <v>22874</v>
      </c>
      <c r="K2846" s="15">
        <v>13762</v>
      </c>
      <c r="L2846" s="15" t="s">
        <v>19099</v>
      </c>
    </row>
    <row r="2847" spans="1:12" x14ac:dyDescent="0.25">
      <c r="A2847" s="2" t="s">
        <v>8456</v>
      </c>
      <c r="B2847" s="8" t="s">
        <v>17632</v>
      </c>
      <c r="C2847" s="2" t="s">
        <v>8456</v>
      </c>
      <c r="D2847" s="2" t="s">
        <v>8457</v>
      </c>
      <c r="E2847" s="4" t="s">
        <v>28227</v>
      </c>
      <c r="G2847" s="15" t="s">
        <v>22268</v>
      </c>
      <c r="H2847" s="15" t="s">
        <v>22269</v>
      </c>
      <c r="I2847" s="15" t="s">
        <v>22270</v>
      </c>
      <c r="J2847" s="15" t="s">
        <v>22266</v>
      </c>
      <c r="K2847" s="15">
        <v>8755</v>
      </c>
      <c r="L2847" s="15" t="s">
        <v>19099</v>
      </c>
    </row>
    <row r="2848" spans="1:12" x14ac:dyDescent="0.25">
      <c r="A2848" s="2" t="s">
        <v>8459</v>
      </c>
      <c r="B2848" s="8" t="s">
        <v>17633</v>
      </c>
      <c r="C2848" s="2" t="s">
        <v>8459</v>
      </c>
      <c r="D2848" s="2" t="s">
        <v>8460</v>
      </c>
      <c r="E2848" s="4" t="s">
        <v>28228</v>
      </c>
      <c r="G2848" s="15" t="s">
        <v>28229</v>
      </c>
      <c r="H2848" s="15" t="s">
        <v>28230</v>
      </c>
      <c r="I2848" s="15" t="s">
        <v>28231</v>
      </c>
      <c r="J2848" s="15" t="s">
        <v>28232</v>
      </c>
      <c r="K2848" s="15">
        <v>31202</v>
      </c>
      <c r="L2848" s="15" t="s">
        <v>19099</v>
      </c>
    </row>
    <row r="2849" spans="1:12" x14ac:dyDescent="0.25">
      <c r="A2849" s="2" t="s">
        <v>8462</v>
      </c>
      <c r="B2849" s="8" t="s">
        <v>17634</v>
      </c>
      <c r="C2849" s="2" t="s">
        <v>8462</v>
      </c>
      <c r="D2849" s="2" t="s">
        <v>8463</v>
      </c>
      <c r="E2849" s="4" t="s">
        <v>28233</v>
      </c>
      <c r="G2849" s="15" t="s">
        <v>28234</v>
      </c>
      <c r="H2849" s="15" t="s">
        <v>28235</v>
      </c>
      <c r="I2849" s="15" t="s">
        <v>28236</v>
      </c>
      <c r="J2849" s="15" t="s">
        <v>28237</v>
      </c>
      <c r="K2849" s="15">
        <v>31204</v>
      </c>
      <c r="L2849" s="15" t="s">
        <v>19099</v>
      </c>
    </row>
    <row r="2850" spans="1:12" x14ac:dyDescent="0.25">
      <c r="A2850" s="2" t="s">
        <v>8465</v>
      </c>
      <c r="B2850" s="8" t="s">
        <v>17635</v>
      </c>
      <c r="C2850" s="2" t="s">
        <v>8465</v>
      </c>
      <c r="D2850" s="2" t="s">
        <v>8466</v>
      </c>
      <c r="E2850" s="4" t="s">
        <v>28238</v>
      </c>
      <c r="G2850" s="15" t="s">
        <v>28239</v>
      </c>
      <c r="H2850" s="15" t="s">
        <v>28240</v>
      </c>
      <c r="I2850" s="15" t="s">
        <v>28241</v>
      </c>
      <c r="J2850" s="15" t="s">
        <v>28242</v>
      </c>
      <c r="K2850" s="15">
        <v>13740</v>
      </c>
      <c r="L2850" s="15" t="s">
        <v>19099</v>
      </c>
    </row>
    <row r="2851" spans="1:12" x14ac:dyDescent="0.25">
      <c r="A2851" s="2" t="s">
        <v>8468</v>
      </c>
      <c r="B2851" s="8" t="s">
        <v>17636</v>
      </c>
      <c r="C2851" s="2" t="s">
        <v>8468</v>
      </c>
      <c r="D2851" s="2" t="s">
        <v>8469</v>
      </c>
      <c r="E2851" s="4" t="s">
        <v>8469</v>
      </c>
      <c r="G2851" s="15" t="s">
        <v>28243</v>
      </c>
      <c r="H2851" s="15" t="s">
        <v>28244</v>
      </c>
      <c r="I2851" s="15" t="s">
        <v>28245</v>
      </c>
      <c r="J2851" s="15" t="s">
        <v>28246</v>
      </c>
      <c r="K2851" s="15">
        <v>62389</v>
      </c>
      <c r="L2851" s="15" t="s">
        <v>19099</v>
      </c>
    </row>
    <row r="2852" spans="1:12" x14ac:dyDescent="0.25">
      <c r="A2852" s="2" t="s">
        <v>8471</v>
      </c>
      <c r="B2852" s="8" t="s">
        <v>17637</v>
      </c>
      <c r="C2852" s="2" t="s">
        <v>8471</v>
      </c>
      <c r="D2852" s="2" t="s">
        <v>8472</v>
      </c>
      <c r="E2852" s="4" t="s">
        <v>28247</v>
      </c>
      <c r="G2852" s="15" t="s">
        <v>28247</v>
      </c>
      <c r="H2852" s="15" t="s">
        <v>28248</v>
      </c>
      <c r="I2852" s="15" t="s">
        <v>28249</v>
      </c>
      <c r="J2852" s="15" t="s">
        <v>28250</v>
      </c>
      <c r="K2852" s="15">
        <v>2345</v>
      </c>
      <c r="L2852" s="15" t="s">
        <v>19099</v>
      </c>
    </row>
    <row r="2853" spans="1:12" x14ac:dyDescent="0.25">
      <c r="A2853" s="2" t="s">
        <v>8474</v>
      </c>
      <c r="B2853" s="8" t="s">
        <v>17638</v>
      </c>
      <c r="C2853" s="2" t="s">
        <v>8474</v>
      </c>
      <c r="D2853" s="2" t="s">
        <v>8475</v>
      </c>
      <c r="E2853" s="4" t="s">
        <v>8475</v>
      </c>
      <c r="G2853" s="15" t="s">
        <v>28251</v>
      </c>
      <c r="H2853" s="15" t="s">
        <v>28252</v>
      </c>
      <c r="I2853" s="15" t="s">
        <v>28253</v>
      </c>
      <c r="J2853" s="15" t="s">
        <v>28254</v>
      </c>
      <c r="K2853" s="15">
        <v>2337</v>
      </c>
      <c r="L2853" s="15" t="s">
        <v>19099</v>
      </c>
    </row>
    <row r="2854" spans="1:12" x14ac:dyDescent="0.25">
      <c r="A2854" s="2" t="s">
        <v>8477</v>
      </c>
      <c r="B2854" s="8" t="s">
        <v>17639</v>
      </c>
      <c r="C2854" s="2" t="s">
        <v>8477</v>
      </c>
      <c r="D2854" s="2" t="s">
        <v>8478</v>
      </c>
      <c r="E2854" s="4" t="s">
        <v>8478</v>
      </c>
      <c r="G2854" s="15" t="s">
        <v>28255</v>
      </c>
      <c r="H2854" s="15" t="s">
        <v>28256</v>
      </c>
      <c r="I2854" s="15" t="s">
        <v>28257</v>
      </c>
      <c r="J2854" s="15" t="s">
        <v>19346</v>
      </c>
      <c r="K2854" s="15">
        <v>7111</v>
      </c>
      <c r="L2854" s="15" t="s">
        <v>19099</v>
      </c>
    </row>
    <row r="2855" spans="1:12" x14ac:dyDescent="0.25">
      <c r="A2855" s="2" t="s">
        <v>8480</v>
      </c>
      <c r="B2855" s="8" t="s">
        <v>17640</v>
      </c>
      <c r="C2855" s="2" t="s">
        <v>8480</v>
      </c>
      <c r="D2855" s="2" t="s">
        <v>8481</v>
      </c>
      <c r="E2855" s="4" t="s">
        <v>28258</v>
      </c>
      <c r="G2855" s="15" t="s">
        <v>28258</v>
      </c>
      <c r="H2855" s="15" t="s">
        <v>28259</v>
      </c>
      <c r="I2855" s="15" t="s">
        <v>28260</v>
      </c>
      <c r="J2855" s="15" t="s">
        <v>28261</v>
      </c>
      <c r="K2855" s="15">
        <v>243</v>
      </c>
      <c r="L2855" s="15" t="s">
        <v>19099</v>
      </c>
    </row>
    <row r="2856" spans="1:12" x14ac:dyDescent="0.25">
      <c r="A2856" s="2" t="s">
        <v>8483</v>
      </c>
      <c r="B2856" s="8" t="s">
        <v>17641</v>
      </c>
      <c r="C2856" s="2" t="s">
        <v>8483</v>
      </c>
      <c r="D2856" s="2" t="s">
        <v>8484</v>
      </c>
      <c r="E2856" s="4" t="s">
        <v>28262</v>
      </c>
      <c r="G2856" s="15" t="s">
        <v>28263</v>
      </c>
      <c r="H2856" s="15" t="s">
        <v>28264</v>
      </c>
      <c r="I2856" s="15" t="s">
        <v>28265</v>
      </c>
      <c r="J2856" s="15" t="s">
        <v>28266</v>
      </c>
      <c r="K2856" s="15">
        <v>3102</v>
      </c>
      <c r="L2856" s="15" t="s">
        <v>19099</v>
      </c>
    </row>
    <row r="2857" spans="1:12" x14ac:dyDescent="0.25">
      <c r="A2857" s="2" t="s">
        <v>8486</v>
      </c>
      <c r="B2857" s="8" t="s">
        <v>17642</v>
      </c>
      <c r="C2857" s="2" t="s">
        <v>8486</v>
      </c>
      <c r="D2857" s="2" t="s">
        <v>8487</v>
      </c>
      <c r="E2857" s="4" t="s">
        <v>28267</v>
      </c>
      <c r="G2857" s="15" t="s">
        <v>28268</v>
      </c>
      <c r="H2857" s="15" t="s">
        <v>28269</v>
      </c>
      <c r="I2857" s="15" t="s">
        <v>28270</v>
      </c>
      <c r="J2857" s="15" t="s">
        <v>28271</v>
      </c>
      <c r="K2857" s="15">
        <v>31227</v>
      </c>
      <c r="L2857" s="15" t="s">
        <v>19099</v>
      </c>
    </row>
    <row r="2858" spans="1:12" x14ac:dyDescent="0.25">
      <c r="A2858" s="2" t="s">
        <v>8489</v>
      </c>
      <c r="B2858" s="8" t="s">
        <v>17643</v>
      </c>
      <c r="C2858" s="2" t="s">
        <v>8489</v>
      </c>
      <c r="D2858" s="2" t="s">
        <v>8490</v>
      </c>
      <c r="E2858" s="4" t="s">
        <v>8490</v>
      </c>
      <c r="G2858" s="15" t="s">
        <v>28272</v>
      </c>
      <c r="H2858" s="15" t="s">
        <v>28273</v>
      </c>
      <c r="I2858" s="15" t="s">
        <v>28274</v>
      </c>
      <c r="J2858" s="15" t="s">
        <v>28275</v>
      </c>
      <c r="K2858" s="15">
        <v>19662</v>
      </c>
      <c r="L2858" s="15" t="s">
        <v>19099</v>
      </c>
    </row>
    <row r="2859" spans="1:12" x14ac:dyDescent="0.25">
      <c r="A2859" s="2" t="s">
        <v>8492</v>
      </c>
      <c r="B2859" s="8" t="s">
        <v>17644</v>
      </c>
      <c r="C2859" s="2" t="s">
        <v>8492</v>
      </c>
      <c r="D2859" s="2" t="s">
        <v>8493</v>
      </c>
      <c r="E2859" s="4" t="s">
        <v>8493</v>
      </c>
      <c r="G2859" s="15" t="s">
        <v>28276</v>
      </c>
      <c r="H2859" s="15" t="s">
        <v>28277</v>
      </c>
      <c r="I2859" s="15" t="s">
        <v>28278</v>
      </c>
      <c r="J2859" s="15" t="s">
        <v>28279</v>
      </c>
      <c r="K2859" s="15">
        <v>3034351</v>
      </c>
      <c r="L2859" s="15" t="s">
        <v>19099</v>
      </c>
    </row>
    <row r="2860" spans="1:12" x14ac:dyDescent="0.25">
      <c r="A2860" s="2" t="s">
        <v>8495</v>
      </c>
      <c r="B2860" s="8" t="s">
        <v>17645</v>
      </c>
      <c r="C2860" s="2" t="s">
        <v>8495</v>
      </c>
      <c r="D2860" s="2" t="s">
        <v>8496</v>
      </c>
      <c r="E2860" s="4" t="s">
        <v>28280</v>
      </c>
      <c r="G2860" s="15" t="s">
        <v>28280</v>
      </c>
      <c r="H2860" s="15" t="s">
        <v>28281</v>
      </c>
      <c r="I2860" s="15" t="s">
        <v>28282</v>
      </c>
      <c r="J2860" s="15" t="s">
        <v>28283</v>
      </c>
      <c r="K2860" s="15">
        <v>7505</v>
      </c>
      <c r="L2860" s="15" t="s">
        <v>19099</v>
      </c>
    </row>
    <row r="2861" spans="1:12" x14ac:dyDescent="0.25">
      <c r="A2861" s="2" t="s">
        <v>8498</v>
      </c>
      <c r="B2861" s="8" t="s">
        <v>17646</v>
      </c>
      <c r="C2861" s="2" t="s">
        <v>8498</v>
      </c>
      <c r="D2861" s="2" t="s">
        <v>8499</v>
      </c>
      <c r="E2861" s="4" t="s">
        <v>28284</v>
      </c>
      <c r="G2861" s="15" t="s">
        <v>28285</v>
      </c>
      <c r="H2861" s="15" t="s">
        <v>28286</v>
      </c>
      <c r="I2861" s="15" t="s">
        <v>28287</v>
      </c>
      <c r="J2861" s="15" t="s">
        <v>28288</v>
      </c>
      <c r="K2861" s="15">
        <v>7222</v>
      </c>
      <c r="L2861" s="15" t="s">
        <v>19099</v>
      </c>
    </row>
    <row r="2862" spans="1:12" x14ac:dyDescent="0.25">
      <c r="A2862" s="2" t="s">
        <v>8501</v>
      </c>
      <c r="B2862" s="8" t="s">
        <v>17647</v>
      </c>
      <c r="C2862" s="2" t="s">
        <v>8501</v>
      </c>
      <c r="D2862" s="2" t="s">
        <v>8502</v>
      </c>
      <c r="E2862" s="4" t="s">
        <v>8502</v>
      </c>
      <c r="G2862" s="15" t="s">
        <v>28289</v>
      </c>
      <c r="H2862" s="15" t="s">
        <v>28290</v>
      </c>
      <c r="I2862" s="15" t="s">
        <v>28291</v>
      </c>
      <c r="J2862" s="15" t="s">
        <v>28292</v>
      </c>
      <c r="K2862" s="15">
        <v>16007</v>
      </c>
      <c r="L2862" s="15" t="s">
        <v>19099</v>
      </c>
    </row>
    <row r="2863" spans="1:12" x14ac:dyDescent="0.25">
      <c r="A2863" s="2" t="s">
        <v>8504</v>
      </c>
      <c r="B2863" s="8" t="s">
        <v>17648</v>
      </c>
      <c r="C2863" s="2" t="s">
        <v>8504</v>
      </c>
      <c r="D2863" s="2" t="s">
        <v>8505</v>
      </c>
      <c r="E2863" s="4" t="s">
        <v>8505</v>
      </c>
      <c r="G2863" s="15" t="s">
        <v>28293</v>
      </c>
      <c r="H2863" s="15" t="s">
        <v>28294</v>
      </c>
      <c r="I2863" s="15" t="s">
        <v>28295</v>
      </c>
      <c r="J2863" s="15" t="s">
        <v>28296</v>
      </c>
      <c r="K2863" s="15">
        <v>53491464</v>
      </c>
      <c r="L2863" s="15" t="s">
        <v>19099</v>
      </c>
    </row>
    <row r="2864" spans="1:12" x14ac:dyDescent="0.25">
      <c r="A2864" s="2" t="s">
        <v>8507</v>
      </c>
      <c r="B2864" s="8" t="s">
        <v>17649</v>
      </c>
      <c r="C2864" s="2" t="s">
        <v>8507</v>
      </c>
      <c r="D2864" s="2" t="s">
        <v>8508</v>
      </c>
      <c r="E2864" s="4" t="s">
        <v>28297</v>
      </c>
      <c r="G2864" s="15" t="s">
        <v>28298</v>
      </c>
      <c r="H2864" s="15" t="s">
        <v>28299</v>
      </c>
      <c r="I2864" s="15" t="s">
        <v>28300</v>
      </c>
      <c r="J2864" s="15" t="s">
        <v>28301</v>
      </c>
      <c r="K2864" s="15">
        <v>571084</v>
      </c>
      <c r="L2864" s="15" t="s">
        <v>19099</v>
      </c>
    </row>
    <row r="2865" spans="1:12" x14ac:dyDescent="0.25">
      <c r="A2865" s="2" t="s">
        <v>8510</v>
      </c>
      <c r="B2865" s="8" t="s">
        <v>17650</v>
      </c>
      <c r="C2865" s="2" t="s">
        <v>8510</v>
      </c>
      <c r="D2865" s="2" t="s">
        <v>8511</v>
      </c>
      <c r="E2865" s="4" t="s">
        <v>28302</v>
      </c>
      <c r="G2865" s="15" t="s">
        <v>28303</v>
      </c>
      <c r="H2865" s="15" t="s">
        <v>28304</v>
      </c>
      <c r="I2865" s="15" t="s">
        <v>28305</v>
      </c>
      <c r="J2865" s="15" t="s">
        <v>28306</v>
      </c>
      <c r="K2865" s="15">
        <v>29563</v>
      </c>
      <c r="L2865" s="15" t="s">
        <v>19099</v>
      </c>
    </row>
    <row r="2866" spans="1:12" x14ac:dyDescent="0.25">
      <c r="A2866" s="2" t="s">
        <v>8513</v>
      </c>
      <c r="B2866" s="8" t="s">
        <v>17651</v>
      </c>
      <c r="C2866" s="2" t="s">
        <v>8513</v>
      </c>
      <c r="D2866" s="2" t="s">
        <v>8514</v>
      </c>
      <c r="E2866" s="4" t="s">
        <v>28307</v>
      </c>
      <c r="G2866" s="15" t="s">
        <v>28307</v>
      </c>
      <c r="H2866" s="15" t="s">
        <v>28308</v>
      </c>
      <c r="I2866" s="15" t="s">
        <v>28309</v>
      </c>
      <c r="J2866" s="15" t="s">
        <v>28310</v>
      </c>
      <c r="K2866" s="15">
        <v>7412</v>
      </c>
      <c r="L2866" s="15" t="s">
        <v>19099</v>
      </c>
    </row>
    <row r="2867" spans="1:12" x14ac:dyDescent="0.25">
      <c r="A2867" s="2" t="s">
        <v>8516</v>
      </c>
      <c r="B2867" s="8" t="s">
        <v>17652</v>
      </c>
      <c r="C2867" s="2" t="s">
        <v>8516</v>
      </c>
      <c r="D2867" s="2" t="s">
        <v>8517</v>
      </c>
      <c r="E2867" s="4" t="s">
        <v>8517</v>
      </c>
      <c r="G2867" s="15" t="s">
        <v>28311</v>
      </c>
      <c r="H2867" s="15" t="s">
        <v>28312</v>
      </c>
      <c r="I2867" s="15" t="s">
        <v>28313</v>
      </c>
      <c r="J2867" s="15" t="s">
        <v>28314</v>
      </c>
      <c r="K2867" s="15">
        <v>448223</v>
      </c>
      <c r="L2867" s="15" t="s">
        <v>19099</v>
      </c>
    </row>
    <row r="2868" spans="1:12" x14ac:dyDescent="0.25">
      <c r="A2868" s="2" t="s">
        <v>8519</v>
      </c>
      <c r="B2868" s="8" t="s">
        <v>17653</v>
      </c>
      <c r="C2868" s="2" t="s">
        <v>8519</v>
      </c>
      <c r="D2868" s="2" t="s">
        <v>8520</v>
      </c>
      <c r="E2868" s="4" t="s">
        <v>28315</v>
      </c>
      <c r="G2868" s="15" t="s">
        <v>28316</v>
      </c>
      <c r="H2868" s="15" t="s">
        <v>28317</v>
      </c>
      <c r="I2868" s="15" t="s">
        <v>28318</v>
      </c>
      <c r="J2868" s="15" t="s">
        <v>28319</v>
      </c>
      <c r="K2868" s="15">
        <v>7187</v>
      </c>
      <c r="L2868" s="15" t="s">
        <v>19099</v>
      </c>
    </row>
    <row r="2869" spans="1:12" x14ac:dyDescent="0.25">
      <c r="A2869" s="2" t="s">
        <v>8522</v>
      </c>
      <c r="B2869" s="8" t="s">
        <v>17654</v>
      </c>
      <c r="C2869" s="2" t="s">
        <v>8522</v>
      </c>
      <c r="D2869" s="2" t="s">
        <v>8523</v>
      </c>
      <c r="E2869" s="4" t="s">
        <v>28320</v>
      </c>
      <c r="G2869" s="15" t="s">
        <v>28321</v>
      </c>
      <c r="H2869" s="15" t="s">
        <v>28322</v>
      </c>
      <c r="I2869" s="15" t="s">
        <v>28323</v>
      </c>
      <c r="J2869" s="15" t="s">
        <v>28324</v>
      </c>
      <c r="K2869" s="15">
        <v>90756</v>
      </c>
      <c r="L2869" s="15" t="s">
        <v>19099</v>
      </c>
    </row>
    <row r="2870" spans="1:12" x14ac:dyDescent="0.25">
      <c r="A2870" s="2" t="s">
        <v>8525</v>
      </c>
      <c r="B2870" s="8" t="s">
        <v>17655</v>
      </c>
      <c r="C2870" s="2" t="s">
        <v>8525</v>
      </c>
      <c r="D2870" s="2" t="s">
        <v>8526</v>
      </c>
      <c r="E2870" s="4" t="s">
        <v>8526</v>
      </c>
      <c r="G2870" s="15" t="s">
        <v>28325</v>
      </c>
      <c r="H2870" s="15" t="s">
        <v>28326</v>
      </c>
      <c r="I2870" s="15" t="s">
        <v>28327</v>
      </c>
      <c r="J2870" s="15" t="s">
        <v>28328</v>
      </c>
      <c r="K2870" s="15">
        <v>31068</v>
      </c>
      <c r="L2870" s="15" t="s">
        <v>19099</v>
      </c>
    </row>
    <row r="2871" spans="1:12" x14ac:dyDescent="0.25">
      <c r="A2871" s="2" t="s">
        <v>8528</v>
      </c>
      <c r="B2871" s="8" t="s">
        <v>17656</v>
      </c>
      <c r="C2871" s="2" t="s">
        <v>8528</v>
      </c>
      <c r="D2871" s="2" t="s">
        <v>8529</v>
      </c>
      <c r="E2871" s="4" t="s">
        <v>8529</v>
      </c>
      <c r="G2871" s="15" t="s">
        <v>28329</v>
      </c>
      <c r="H2871" s="15" t="s">
        <v>28330</v>
      </c>
      <c r="I2871" s="15" t="s">
        <v>28331</v>
      </c>
      <c r="J2871" s="15" t="s">
        <v>28332</v>
      </c>
      <c r="K2871" s="15">
        <v>2369</v>
      </c>
      <c r="L2871" s="15" t="s">
        <v>19099</v>
      </c>
    </row>
    <row r="2872" spans="1:12" x14ac:dyDescent="0.25">
      <c r="A2872" s="2" t="s">
        <v>8531</v>
      </c>
      <c r="B2872" s="8" t="s">
        <v>17657</v>
      </c>
      <c r="C2872" s="2" t="s">
        <v>8531</v>
      </c>
      <c r="D2872" s="2" t="s">
        <v>8532</v>
      </c>
      <c r="E2872" s="4" t="s">
        <v>28333</v>
      </c>
      <c r="G2872" s="15" t="s">
        <v>28334</v>
      </c>
      <c r="H2872" s="15" t="s">
        <v>28335</v>
      </c>
      <c r="I2872" s="15" t="s">
        <v>28336</v>
      </c>
      <c r="J2872" s="15" t="s">
        <v>28337</v>
      </c>
      <c r="K2872" s="15">
        <v>39042</v>
      </c>
      <c r="L2872" s="15" t="s">
        <v>19099</v>
      </c>
    </row>
    <row r="2873" spans="1:12" x14ac:dyDescent="0.25">
      <c r="A2873" s="2" t="s">
        <v>8534</v>
      </c>
      <c r="B2873" s="8" t="s">
        <v>17658</v>
      </c>
      <c r="C2873" s="2" t="s">
        <v>8534</v>
      </c>
      <c r="D2873" s="2" t="s">
        <v>8535</v>
      </c>
      <c r="E2873" s="4" t="s">
        <v>8535</v>
      </c>
      <c r="G2873" s="15" t="s">
        <v>28338</v>
      </c>
      <c r="H2873" s="15" t="s">
        <v>28339</v>
      </c>
      <c r="I2873" s="15" t="s">
        <v>28340</v>
      </c>
      <c r="J2873" s="15" t="s">
        <v>28341</v>
      </c>
      <c r="K2873" s="15">
        <v>39230</v>
      </c>
      <c r="L2873" s="15" t="s">
        <v>19099</v>
      </c>
    </row>
    <row r="2874" spans="1:12" x14ac:dyDescent="0.25">
      <c r="A2874" s="2" t="s">
        <v>8537</v>
      </c>
      <c r="B2874" s="8" t="s">
        <v>17659</v>
      </c>
      <c r="C2874" s="2" t="s">
        <v>8537</v>
      </c>
      <c r="D2874" s="2" t="s">
        <v>8538</v>
      </c>
      <c r="E2874" s="4" t="s">
        <v>28342</v>
      </c>
      <c r="G2874" s="15" t="s">
        <v>28343</v>
      </c>
      <c r="H2874" s="15" t="s">
        <v>28344</v>
      </c>
      <c r="I2874" s="15" t="s">
        <v>28345</v>
      </c>
      <c r="J2874" s="15" t="s">
        <v>21910</v>
      </c>
      <c r="K2874" s="15">
        <v>7095</v>
      </c>
      <c r="L2874" s="15" t="s">
        <v>19099</v>
      </c>
    </row>
    <row r="2875" spans="1:12" x14ac:dyDescent="0.25">
      <c r="A2875" s="2" t="s">
        <v>8540</v>
      </c>
      <c r="B2875" s="8" t="s">
        <v>17660</v>
      </c>
      <c r="C2875" s="2" t="s">
        <v>8540</v>
      </c>
      <c r="D2875" s="2" t="s">
        <v>8541</v>
      </c>
      <c r="E2875" s="4" t="s">
        <v>28346</v>
      </c>
      <c r="G2875" s="15" t="s">
        <v>28347</v>
      </c>
      <c r="H2875" s="15" t="s">
        <v>28348</v>
      </c>
      <c r="I2875" s="15" t="s">
        <v>28349</v>
      </c>
      <c r="J2875" s="15" t="s">
        <v>28350</v>
      </c>
      <c r="K2875" s="15">
        <v>176879</v>
      </c>
      <c r="L2875" s="15" t="s">
        <v>19099</v>
      </c>
    </row>
    <row r="2876" spans="1:12" x14ac:dyDescent="0.25">
      <c r="A2876" s="2" t="s">
        <v>8543</v>
      </c>
      <c r="B2876" s="8" t="s">
        <v>17661</v>
      </c>
      <c r="C2876" s="2" t="s">
        <v>8543</v>
      </c>
      <c r="D2876" s="2" t="s">
        <v>8544</v>
      </c>
      <c r="E2876" s="4" t="s">
        <v>8544</v>
      </c>
      <c r="G2876" s="15" t="s">
        <v>28351</v>
      </c>
      <c r="H2876" s="15" t="s">
        <v>28352</v>
      </c>
      <c r="I2876" s="15" t="s">
        <v>28353</v>
      </c>
      <c r="J2876" s="15" t="s">
        <v>28354</v>
      </c>
      <c r="K2876" s="15">
        <v>6442842</v>
      </c>
      <c r="L2876" s="15" t="s">
        <v>19099</v>
      </c>
    </row>
    <row r="2877" spans="1:12" x14ac:dyDescent="0.25">
      <c r="A2877" s="2" t="s">
        <v>8546</v>
      </c>
      <c r="B2877" s="8" t="s">
        <v>17662</v>
      </c>
      <c r="C2877" s="2" t="s">
        <v>8546</v>
      </c>
      <c r="D2877" s="2" t="s">
        <v>8547</v>
      </c>
      <c r="E2877" s="4" t="s">
        <v>8547</v>
      </c>
      <c r="G2877" s="15" t="s">
        <v>28355</v>
      </c>
      <c r="H2877" s="15" t="s">
        <v>28356</v>
      </c>
      <c r="I2877" s="15" t="s">
        <v>28357</v>
      </c>
      <c r="J2877" s="15" t="s">
        <v>28358</v>
      </c>
      <c r="K2877" s="15">
        <v>10234</v>
      </c>
      <c r="L2877" s="15" t="s">
        <v>19099</v>
      </c>
    </row>
    <row r="2878" spans="1:12" x14ac:dyDescent="0.25">
      <c r="A2878" s="2" t="s">
        <v>8549</v>
      </c>
      <c r="B2878" s="8" t="s">
        <v>17663</v>
      </c>
      <c r="C2878" s="2" t="s">
        <v>8549</v>
      </c>
      <c r="D2878" s="2" t="s">
        <v>8550</v>
      </c>
      <c r="E2878" s="4" t="s">
        <v>8550</v>
      </c>
      <c r="G2878" s="15" t="s">
        <v>28359</v>
      </c>
      <c r="H2878" s="15" t="s">
        <v>28360</v>
      </c>
      <c r="I2878" s="15" t="s">
        <v>28361</v>
      </c>
      <c r="J2878" s="15" t="s">
        <v>28362</v>
      </c>
      <c r="K2878" s="15">
        <v>162381</v>
      </c>
      <c r="L2878" s="15" t="s">
        <v>19099</v>
      </c>
    </row>
    <row r="2879" spans="1:12" x14ac:dyDescent="0.25">
      <c r="A2879" s="2" t="s">
        <v>8552</v>
      </c>
      <c r="B2879" s="8" t="s">
        <v>17664</v>
      </c>
      <c r="C2879" s="2" t="s">
        <v>8552</v>
      </c>
      <c r="D2879" s="2" t="s">
        <v>8553</v>
      </c>
      <c r="E2879" s="4" t="s">
        <v>8553</v>
      </c>
      <c r="G2879" s="15" t="s">
        <v>28363</v>
      </c>
      <c r="H2879" s="15" t="s">
        <v>28364</v>
      </c>
      <c r="I2879" s="15" t="s">
        <v>28365</v>
      </c>
      <c r="J2879" s="15" t="s">
        <v>28366</v>
      </c>
      <c r="K2879" s="15">
        <v>2381</v>
      </c>
      <c r="L2879" s="15" t="s">
        <v>19099</v>
      </c>
    </row>
    <row r="2880" spans="1:12" x14ac:dyDescent="0.25">
      <c r="A2880" s="2" t="s">
        <v>8555</v>
      </c>
      <c r="B2880" s="8" t="s">
        <v>17665</v>
      </c>
      <c r="C2880" s="2" t="s">
        <v>8555</v>
      </c>
      <c r="D2880" s="2" t="s">
        <v>8556</v>
      </c>
      <c r="E2880" s="4" t="s">
        <v>28367</v>
      </c>
      <c r="G2880" s="15" t="s">
        <v>28368</v>
      </c>
      <c r="H2880" s="15" t="s">
        <v>28369</v>
      </c>
      <c r="I2880" s="15" t="s">
        <v>28370</v>
      </c>
      <c r="J2880" s="15" t="s">
        <v>28371</v>
      </c>
      <c r="K2880" s="15">
        <v>8150</v>
      </c>
      <c r="L2880" s="15" t="s">
        <v>19099</v>
      </c>
    </row>
    <row r="2881" spans="1:12" x14ac:dyDescent="0.25">
      <c r="A2881" s="2" t="s">
        <v>8558</v>
      </c>
      <c r="B2881" s="8" t="s">
        <v>17666</v>
      </c>
      <c r="C2881" s="2" t="s">
        <v>8558</v>
      </c>
      <c r="D2881" s="2" t="s">
        <v>8559</v>
      </c>
      <c r="E2881" s="4" t="s">
        <v>28372</v>
      </c>
      <c r="G2881" s="15" t="s">
        <v>28373</v>
      </c>
      <c r="H2881" s="15" t="s">
        <v>28374</v>
      </c>
      <c r="I2881" s="15" t="s">
        <v>28375</v>
      </c>
      <c r="J2881" s="15" t="s">
        <v>28376</v>
      </c>
      <c r="K2881" s="15">
        <v>8147</v>
      </c>
      <c r="L2881" s="15" t="s">
        <v>19099</v>
      </c>
    </row>
    <row r="2882" spans="1:12" x14ac:dyDescent="0.25">
      <c r="A2882" s="2" t="s">
        <v>8561</v>
      </c>
      <c r="B2882" s="8" t="s">
        <v>17667</v>
      </c>
      <c r="C2882" s="2" t="s">
        <v>8561</v>
      </c>
      <c r="D2882" s="2" t="s">
        <v>8562</v>
      </c>
      <c r="E2882" s="4" t="s">
        <v>28377</v>
      </c>
      <c r="G2882" s="15" t="s">
        <v>28378</v>
      </c>
      <c r="H2882" s="15" t="s">
        <v>28379</v>
      </c>
      <c r="I2882" s="15" t="s">
        <v>28380</v>
      </c>
      <c r="J2882" s="15" t="s">
        <v>28381</v>
      </c>
      <c r="K2882" s="15">
        <v>31341</v>
      </c>
      <c r="L2882" s="15" t="s">
        <v>19099</v>
      </c>
    </row>
    <row r="2883" spans="1:12" x14ac:dyDescent="0.25">
      <c r="A2883" s="2" t="s">
        <v>8564</v>
      </c>
      <c r="B2883" s="8" t="s">
        <v>17668</v>
      </c>
      <c r="C2883" s="2" t="s">
        <v>8564</v>
      </c>
      <c r="D2883" s="2" t="s">
        <v>8565</v>
      </c>
      <c r="E2883" s="4" t="s">
        <v>28382</v>
      </c>
      <c r="G2883" s="15" t="s">
        <v>28383</v>
      </c>
      <c r="H2883" s="15" t="s">
        <v>28384</v>
      </c>
      <c r="I2883" s="15" t="s">
        <v>28385</v>
      </c>
      <c r="J2883" s="15" t="s">
        <v>28386</v>
      </c>
      <c r="K2883" s="15">
        <v>6623</v>
      </c>
      <c r="L2883" s="15" t="s">
        <v>19099</v>
      </c>
    </row>
    <row r="2884" spans="1:12" x14ac:dyDescent="0.25">
      <c r="A2884" s="2" t="s">
        <v>8567</v>
      </c>
      <c r="B2884" s="8" t="s">
        <v>17669</v>
      </c>
      <c r="C2884" s="2" t="s">
        <v>8567</v>
      </c>
      <c r="D2884" s="2" t="s">
        <v>8568</v>
      </c>
      <c r="E2884" s="4" t="s">
        <v>28387</v>
      </c>
      <c r="G2884" s="15" t="s">
        <v>28388</v>
      </c>
      <c r="H2884" s="15" t="s">
        <v>28389</v>
      </c>
      <c r="I2884" s="15" t="s">
        <v>28390</v>
      </c>
      <c r="J2884" s="15" t="s">
        <v>28391</v>
      </c>
      <c r="K2884" s="15">
        <v>75575</v>
      </c>
      <c r="L2884" s="15" t="s">
        <v>19099</v>
      </c>
    </row>
    <row r="2885" spans="1:12" x14ac:dyDescent="0.25">
      <c r="A2885" s="2" t="s">
        <v>8570</v>
      </c>
      <c r="B2885" s="8" t="s">
        <v>17670</v>
      </c>
      <c r="C2885" s="2" t="s">
        <v>8570</v>
      </c>
      <c r="D2885" s="2" t="s">
        <v>8571</v>
      </c>
      <c r="E2885" s="4" t="s">
        <v>28392</v>
      </c>
      <c r="G2885" s="15" t="s">
        <v>28393</v>
      </c>
      <c r="H2885" s="15" t="s">
        <v>28394</v>
      </c>
      <c r="I2885" s="15" t="s">
        <v>28395</v>
      </c>
      <c r="J2885" s="15" t="s">
        <v>28396</v>
      </c>
      <c r="K2885" s="15">
        <v>3022253</v>
      </c>
      <c r="L2885" s="15" t="s">
        <v>19099</v>
      </c>
    </row>
    <row r="2886" spans="1:12" x14ac:dyDescent="0.25">
      <c r="A2886" s="2" t="s">
        <v>8573</v>
      </c>
      <c r="B2886" s="8" t="s">
        <v>17671</v>
      </c>
      <c r="C2886" s="2" t="s">
        <v>8573</v>
      </c>
      <c r="D2886" s="2" t="s">
        <v>8574</v>
      </c>
      <c r="E2886" s="4" t="s">
        <v>28397</v>
      </c>
      <c r="G2886" s="15" t="s">
        <v>28398</v>
      </c>
      <c r="H2886" s="15" t="s">
        <v>28399</v>
      </c>
      <c r="I2886" s="15" t="s">
        <v>28400</v>
      </c>
      <c r="J2886" s="15" t="s">
        <v>28401</v>
      </c>
      <c r="K2886" s="15">
        <v>62478</v>
      </c>
      <c r="L2886" s="15" t="s">
        <v>19099</v>
      </c>
    </row>
    <row r="2887" spans="1:12" x14ac:dyDescent="0.25">
      <c r="A2887" s="2" t="s">
        <v>8576</v>
      </c>
      <c r="B2887" s="8" t="s">
        <v>17672</v>
      </c>
      <c r="C2887" s="2" t="s">
        <v>8576</v>
      </c>
      <c r="D2887" s="2" t="s">
        <v>8577</v>
      </c>
      <c r="E2887" s="4" t="s">
        <v>8577</v>
      </c>
      <c r="G2887" s="15" t="s">
        <v>28402</v>
      </c>
      <c r="H2887" s="15" t="s">
        <v>28403</v>
      </c>
      <c r="I2887" s="15" t="s">
        <v>28404</v>
      </c>
      <c r="J2887" s="15" t="s">
        <v>28405</v>
      </c>
      <c r="K2887" s="15">
        <v>2405</v>
      </c>
      <c r="L2887" s="15" t="s">
        <v>19099</v>
      </c>
    </row>
    <row r="2888" spans="1:12" x14ac:dyDescent="0.25">
      <c r="A2888" s="2" t="s">
        <v>8579</v>
      </c>
      <c r="B2888" s="8" t="s">
        <v>17673</v>
      </c>
      <c r="C2888" s="2" t="s">
        <v>8579</v>
      </c>
      <c r="D2888" s="2" t="s">
        <v>8580</v>
      </c>
      <c r="E2888" s="4" t="s">
        <v>8580</v>
      </c>
      <c r="G2888" s="15" t="s">
        <v>28406</v>
      </c>
      <c r="H2888" s="15" t="s">
        <v>28407</v>
      </c>
      <c r="I2888" s="15" t="s">
        <v>28408</v>
      </c>
      <c r="J2888" s="15" t="s">
        <v>28409</v>
      </c>
      <c r="K2888" s="15">
        <v>91656</v>
      </c>
      <c r="L2888" s="15" t="s">
        <v>19099</v>
      </c>
    </row>
    <row r="2889" spans="1:12" x14ac:dyDescent="0.25">
      <c r="A2889" s="2" t="s">
        <v>8582</v>
      </c>
      <c r="B2889" s="8" t="s">
        <v>17674</v>
      </c>
      <c r="C2889" s="2" t="s">
        <v>8582</v>
      </c>
      <c r="D2889" s="2" t="s">
        <v>8583</v>
      </c>
      <c r="E2889" s="4" t="s">
        <v>8583</v>
      </c>
      <c r="G2889" s="15" t="s">
        <v>28410</v>
      </c>
      <c r="H2889" s="15" t="s">
        <v>28411</v>
      </c>
      <c r="I2889" s="15" t="s">
        <v>28412</v>
      </c>
      <c r="J2889" s="15" t="s">
        <v>28413</v>
      </c>
      <c r="K2889" s="15">
        <v>11434448</v>
      </c>
      <c r="L2889" s="15" t="s">
        <v>19099</v>
      </c>
    </row>
    <row r="2890" spans="1:12" x14ac:dyDescent="0.25">
      <c r="A2890" s="2" t="s">
        <v>8585</v>
      </c>
      <c r="B2890" s="8" t="s">
        <v>17675</v>
      </c>
      <c r="C2890" s="2" t="s">
        <v>8585</v>
      </c>
      <c r="D2890" s="2" t="s">
        <v>8586</v>
      </c>
      <c r="E2890" s="4" t="s">
        <v>28414</v>
      </c>
      <c r="G2890" s="15" t="s">
        <v>28414</v>
      </c>
      <c r="H2890" s="15" t="s">
        <v>28415</v>
      </c>
      <c r="I2890" s="15" t="s">
        <v>28416</v>
      </c>
      <c r="J2890" s="15" t="s">
        <v>28417</v>
      </c>
      <c r="K2890" s="15">
        <v>7628</v>
      </c>
      <c r="L2890" s="15" t="s">
        <v>19099</v>
      </c>
    </row>
    <row r="2891" spans="1:12" x14ac:dyDescent="0.25">
      <c r="A2891" s="2" t="s">
        <v>8588</v>
      </c>
      <c r="B2891" s="8" t="s">
        <v>17676</v>
      </c>
      <c r="C2891" s="2" t="s">
        <v>8588</v>
      </c>
      <c r="D2891" s="2" t="s">
        <v>8589</v>
      </c>
      <c r="E2891" s="4" t="s">
        <v>28418</v>
      </c>
      <c r="G2891" s="15" t="s">
        <v>28419</v>
      </c>
      <c r="H2891" s="15" t="s">
        <v>28420</v>
      </c>
      <c r="I2891" s="15" t="s">
        <v>28421</v>
      </c>
      <c r="J2891" s="15" t="s">
        <v>28422</v>
      </c>
      <c r="K2891" s="15">
        <v>518472</v>
      </c>
      <c r="L2891" s="15" t="s">
        <v>19099</v>
      </c>
    </row>
    <row r="2892" spans="1:12" x14ac:dyDescent="0.25">
      <c r="A2892" s="2" t="s">
        <v>8591</v>
      </c>
      <c r="B2892" s="8" t="s">
        <v>17677</v>
      </c>
      <c r="C2892" s="2" t="s">
        <v>8591</v>
      </c>
      <c r="D2892" s="2" t="s">
        <v>8592</v>
      </c>
      <c r="E2892" s="4" t="s">
        <v>8592</v>
      </c>
      <c r="G2892" s="15" t="s">
        <v>28423</v>
      </c>
      <c r="H2892" s="15" t="s">
        <v>28424</v>
      </c>
      <c r="I2892" s="15" t="s">
        <v>28425</v>
      </c>
      <c r="J2892" s="15" t="s">
        <v>19614</v>
      </c>
      <c r="K2892" s="15">
        <v>64685</v>
      </c>
      <c r="L2892" s="15" t="s">
        <v>19099</v>
      </c>
    </row>
    <row r="2893" spans="1:12" x14ac:dyDescent="0.25">
      <c r="A2893" s="2" t="s">
        <v>8594</v>
      </c>
      <c r="B2893" s="8" t="s">
        <v>17678</v>
      </c>
      <c r="C2893" s="2" t="s">
        <v>8594</v>
      </c>
      <c r="D2893" s="2" t="s">
        <v>8595</v>
      </c>
      <c r="E2893" s="4" t="s">
        <v>8595</v>
      </c>
      <c r="G2893" s="15" t="s">
        <v>28426</v>
      </c>
      <c r="H2893" s="15" t="s">
        <v>28427</v>
      </c>
      <c r="I2893" s="15" t="s">
        <v>28428</v>
      </c>
      <c r="J2893" s="15" t="s">
        <v>28429</v>
      </c>
      <c r="K2893" s="15">
        <v>213013</v>
      </c>
      <c r="L2893" s="15" t="s">
        <v>19099</v>
      </c>
    </row>
    <row r="2894" spans="1:12" x14ac:dyDescent="0.25">
      <c r="A2894" s="2" t="s">
        <v>8597</v>
      </c>
      <c r="B2894" s="8" t="s">
        <v>17679</v>
      </c>
      <c r="C2894" s="2" t="s">
        <v>8597</v>
      </c>
      <c r="D2894" s="2" t="s">
        <v>8598</v>
      </c>
      <c r="E2894" s="4" t="s">
        <v>28430</v>
      </c>
      <c r="G2894" s="15" t="s">
        <v>28431</v>
      </c>
      <c r="H2894" s="15" t="s">
        <v>28432</v>
      </c>
      <c r="I2894" s="15" t="s">
        <v>28433</v>
      </c>
      <c r="J2894" s="15" t="s">
        <v>19462</v>
      </c>
      <c r="K2894" s="15">
        <v>264</v>
      </c>
      <c r="L2894" s="15" t="s">
        <v>19099</v>
      </c>
    </row>
    <row r="2895" spans="1:12" x14ac:dyDescent="0.25">
      <c r="A2895" s="2" t="s">
        <v>8600</v>
      </c>
      <c r="B2895" s="8" t="s">
        <v>17680</v>
      </c>
      <c r="C2895" s="2" t="s">
        <v>8600</v>
      </c>
      <c r="D2895" s="2" t="s">
        <v>8601</v>
      </c>
      <c r="E2895" s="4" t="s">
        <v>28434</v>
      </c>
      <c r="G2895" s="15" t="s">
        <v>28435</v>
      </c>
      <c r="H2895" s="15" t="s">
        <v>28436</v>
      </c>
      <c r="I2895" s="15" t="s">
        <v>28437</v>
      </c>
      <c r="J2895" s="15" t="s">
        <v>20684</v>
      </c>
      <c r="K2895" s="15">
        <v>2365</v>
      </c>
      <c r="L2895" s="15" t="s">
        <v>19099</v>
      </c>
    </row>
    <row r="2896" spans="1:12" x14ac:dyDescent="0.25">
      <c r="A2896" s="2" t="s">
        <v>8603</v>
      </c>
      <c r="B2896" s="8" t="s">
        <v>17681</v>
      </c>
      <c r="C2896" s="2" t="s">
        <v>8603</v>
      </c>
      <c r="D2896" s="2" t="s">
        <v>8604</v>
      </c>
      <c r="E2896" s="4" t="s">
        <v>8604</v>
      </c>
      <c r="G2896" s="15" t="s">
        <v>28438</v>
      </c>
      <c r="H2896" s="15" t="s">
        <v>28439</v>
      </c>
      <c r="I2896" s="15" t="s">
        <v>28440</v>
      </c>
      <c r="J2896" s="15" t="s">
        <v>28441</v>
      </c>
      <c r="K2896" s="15">
        <v>18870</v>
      </c>
      <c r="L2896" s="15" t="s">
        <v>19099</v>
      </c>
    </row>
    <row r="2897" spans="1:12" x14ac:dyDescent="0.25">
      <c r="A2897" s="2" t="s">
        <v>8606</v>
      </c>
      <c r="B2897" s="8" t="s">
        <v>17682</v>
      </c>
      <c r="C2897" s="2" t="s">
        <v>8606</v>
      </c>
      <c r="D2897" s="2" t="s">
        <v>8607</v>
      </c>
      <c r="E2897" s="4" t="s">
        <v>8607</v>
      </c>
      <c r="G2897" s="15" t="s">
        <v>28442</v>
      </c>
      <c r="H2897" s="15" t="s">
        <v>28443</v>
      </c>
      <c r="I2897" s="15" t="s">
        <v>28444</v>
      </c>
      <c r="J2897" s="15" t="s">
        <v>28445</v>
      </c>
      <c r="K2897" s="15">
        <v>54680676</v>
      </c>
      <c r="L2897" s="15" t="s">
        <v>19099</v>
      </c>
    </row>
    <row r="2898" spans="1:12" x14ac:dyDescent="0.25">
      <c r="A2898" s="2" t="s">
        <v>8609</v>
      </c>
      <c r="B2898" s="8" t="s">
        <v>17683</v>
      </c>
      <c r="C2898" s="2" t="s">
        <v>8609</v>
      </c>
      <c r="D2898" s="2" t="s">
        <v>8610</v>
      </c>
      <c r="E2898" s="4" t="s">
        <v>8610</v>
      </c>
      <c r="G2898" s="15" t="s">
        <v>28446</v>
      </c>
      <c r="H2898" s="15" t="s">
        <v>28447</v>
      </c>
      <c r="I2898" s="15" t="s">
        <v>28448</v>
      </c>
      <c r="J2898" s="15" t="s">
        <v>28449</v>
      </c>
      <c r="K2898" s="15">
        <v>9411</v>
      </c>
      <c r="L2898" s="15" t="s">
        <v>19099</v>
      </c>
    </row>
    <row r="2899" spans="1:12" x14ac:dyDescent="0.25">
      <c r="A2899" s="2" t="s">
        <v>8612</v>
      </c>
      <c r="B2899" s="8" t="s">
        <v>17684</v>
      </c>
      <c r="C2899" s="2" t="s">
        <v>8612</v>
      </c>
      <c r="D2899" s="2" t="s">
        <v>8613</v>
      </c>
      <c r="E2899" s="4" t="s">
        <v>28450</v>
      </c>
      <c r="G2899" s="15" t="s">
        <v>28451</v>
      </c>
      <c r="H2899" s="15" t="s">
        <v>28452</v>
      </c>
      <c r="I2899" s="15" t="s">
        <v>28453</v>
      </c>
      <c r="J2899" s="15" t="s">
        <v>28454</v>
      </c>
      <c r="K2899" s="15">
        <v>3444</v>
      </c>
      <c r="L2899" s="15" t="s">
        <v>19099</v>
      </c>
    </row>
    <row r="2900" spans="1:12" x14ac:dyDescent="0.25">
      <c r="A2900" s="2" t="s">
        <v>8615</v>
      </c>
      <c r="B2900" s="8" t="s">
        <v>17685</v>
      </c>
      <c r="C2900" s="2" t="s">
        <v>8615</v>
      </c>
      <c r="D2900" s="2" t="s">
        <v>8616</v>
      </c>
      <c r="E2900" s="4" t="s">
        <v>28455</v>
      </c>
      <c r="G2900" s="15" t="s">
        <v>28456</v>
      </c>
      <c r="H2900" s="15" t="s">
        <v>28457</v>
      </c>
      <c r="I2900" s="15" t="s">
        <v>28458</v>
      </c>
      <c r="J2900" s="15" t="s">
        <v>28459</v>
      </c>
      <c r="K2900" s="15">
        <v>54680085</v>
      </c>
      <c r="L2900" s="15" t="s">
        <v>19099</v>
      </c>
    </row>
    <row r="2901" spans="1:12" x14ac:dyDescent="0.25">
      <c r="A2901" s="2" t="s">
        <v>8618</v>
      </c>
      <c r="B2901" s="8" t="s">
        <v>17686</v>
      </c>
      <c r="C2901" s="2" t="s">
        <v>8618</v>
      </c>
      <c r="D2901" s="2" t="s">
        <v>8619</v>
      </c>
      <c r="E2901" s="4" t="s">
        <v>28460</v>
      </c>
      <c r="G2901" s="15" t="s">
        <v>28461</v>
      </c>
      <c r="H2901" s="15" t="s">
        <v>28462</v>
      </c>
      <c r="I2901" s="15" t="s">
        <v>28463</v>
      </c>
      <c r="J2901" s="15" t="s">
        <v>28464</v>
      </c>
      <c r="K2901" s="15">
        <v>62526</v>
      </c>
      <c r="L2901" s="15" t="s">
        <v>19099</v>
      </c>
    </row>
    <row r="2902" spans="1:12" x14ac:dyDescent="0.25">
      <c r="A2902" s="2" t="s">
        <v>8621</v>
      </c>
      <c r="B2902" s="8" t="s">
        <v>17687</v>
      </c>
      <c r="C2902" s="2" t="s">
        <v>8621</v>
      </c>
      <c r="D2902" s="2" t="s">
        <v>8622</v>
      </c>
      <c r="E2902" s="4" t="s">
        <v>8622</v>
      </c>
      <c r="G2902" s="15" t="s">
        <v>28465</v>
      </c>
      <c r="H2902" s="15" t="s">
        <v>28466</v>
      </c>
      <c r="I2902" s="15" t="s">
        <v>28467</v>
      </c>
      <c r="J2902" s="15" t="s">
        <v>28468</v>
      </c>
      <c r="K2902" s="15">
        <v>2450</v>
      </c>
      <c r="L2902" s="15" t="s">
        <v>19099</v>
      </c>
    </row>
    <row r="2903" spans="1:12" x14ac:dyDescent="0.25">
      <c r="A2903" s="2" t="s">
        <v>8624</v>
      </c>
      <c r="B2903" s="8" t="s">
        <v>17688</v>
      </c>
      <c r="C2903" s="2" t="s">
        <v>8624</v>
      </c>
      <c r="D2903" s="2" t="s">
        <v>8625</v>
      </c>
      <c r="E2903" s="4" t="s">
        <v>8625</v>
      </c>
      <c r="G2903" s="15" t="s">
        <v>28469</v>
      </c>
      <c r="H2903" s="15" t="s">
        <v>28470</v>
      </c>
      <c r="I2903" s="15" t="s">
        <v>28471</v>
      </c>
      <c r="J2903" s="15" t="s">
        <v>28472</v>
      </c>
      <c r="K2903" s="15">
        <v>442021</v>
      </c>
      <c r="L2903" s="15" t="s">
        <v>19099</v>
      </c>
    </row>
    <row r="2904" spans="1:12" x14ac:dyDescent="0.25">
      <c r="A2904" s="2" t="s">
        <v>8627</v>
      </c>
      <c r="B2904" s="8" t="s">
        <v>17689</v>
      </c>
      <c r="C2904" s="2" t="s">
        <v>8627</v>
      </c>
      <c r="D2904" s="2" t="s">
        <v>8628</v>
      </c>
      <c r="E2904" s="4" t="s">
        <v>8628</v>
      </c>
      <c r="G2904" s="15" t="s">
        <v>28473</v>
      </c>
      <c r="H2904" s="15" t="s">
        <v>28474</v>
      </c>
      <c r="I2904" s="15" t="s">
        <v>28475</v>
      </c>
      <c r="J2904" s="15" t="s">
        <v>28476</v>
      </c>
      <c r="K2904" s="15">
        <v>222284</v>
      </c>
      <c r="L2904" s="15" t="s">
        <v>19099</v>
      </c>
    </row>
    <row r="2905" spans="1:12" x14ac:dyDescent="0.25">
      <c r="A2905" s="2" t="s">
        <v>8630</v>
      </c>
      <c r="B2905" s="8" t="s">
        <v>17690</v>
      </c>
      <c r="C2905" s="2" t="s">
        <v>8630</v>
      </c>
      <c r="D2905" s="2" t="s">
        <v>8631</v>
      </c>
      <c r="E2905" s="4" t="s">
        <v>8631</v>
      </c>
      <c r="G2905" s="15" t="s">
        <v>28477</v>
      </c>
      <c r="H2905" s="15" t="s">
        <v>28478</v>
      </c>
      <c r="I2905" s="15" t="s">
        <v>28479</v>
      </c>
      <c r="J2905" s="15" t="s">
        <v>28480</v>
      </c>
      <c r="K2905" s="15">
        <v>39966</v>
      </c>
      <c r="L2905" s="15" t="s">
        <v>19099</v>
      </c>
    </row>
    <row r="2906" spans="1:12" x14ac:dyDescent="0.25">
      <c r="A2906" s="2" t="s">
        <v>8633</v>
      </c>
      <c r="B2906" s="8" t="s">
        <v>17691</v>
      </c>
      <c r="C2906" s="2" t="s">
        <v>8633</v>
      </c>
      <c r="D2906" s="2" t="s">
        <v>8634</v>
      </c>
      <c r="E2906" s="4" t="s">
        <v>8634</v>
      </c>
      <c r="G2906" s="15" t="s">
        <v>28481</v>
      </c>
      <c r="H2906" s="15" t="s">
        <v>28482</v>
      </c>
      <c r="I2906" s="15" t="s">
        <v>28483</v>
      </c>
      <c r="J2906" s="15" t="s">
        <v>28484</v>
      </c>
      <c r="K2906" s="15">
        <v>50367</v>
      </c>
      <c r="L2906" s="15" t="s">
        <v>19099</v>
      </c>
    </row>
    <row r="2907" spans="1:12" x14ac:dyDescent="0.25">
      <c r="A2907" s="2" t="s">
        <v>8636</v>
      </c>
      <c r="B2907" s="8" t="s">
        <v>17692</v>
      </c>
      <c r="C2907" s="2" t="s">
        <v>8636</v>
      </c>
      <c r="D2907" s="2" t="s">
        <v>8637</v>
      </c>
      <c r="E2907" s="4" t="s">
        <v>28485</v>
      </c>
      <c r="G2907" s="15" t="s">
        <v>28486</v>
      </c>
      <c r="H2907" s="15" t="s">
        <v>28487</v>
      </c>
      <c r="I2907" s="15" t="s">
        <v>28488</v>
      </c>
      <c r="J2907" s="15" t="s">
        <v>28489</v>
      </c>
      <c r="K2907" s="15">
        <v>644073</v>
      </c>
      <c r="L2907" s="15" t="s">
        <v>19099</v>
      </c>
    </row>
    <row r="2908" spans="1:12" x14ac:dyDescent="0.25">
      <c r="A2908" s="2" t="s">
        <v>8639</v>
      </c>
      <c r="B2908" s="8" t="s">
        <v>17693</v>
      </c>
      <c r="C2908" s="2" t="s">
        <v>8639</v>
      </c>
      <c r="D2908" s="2" t="s">
        <v>8640</v>
      </c>
      <c r="E2908" s="4" t="s">
        <v>8640</v>
      </c>
      <c r="G2908" s="15" t="s">
        <v>28490</v>
      </c>
      <c r="H2908" s="15" t="s">
        <v>28491</v>
      </c>
      <c r="I2908" s="15" t="s">
        <v>28492</v>
      </c>
      <c r="J2908" s="15" t="s">
        <v>26722</v>
      </c>
      <c r="K2908" s="15">
        <v>444</v>
      </c>
      <c r="L2908" s="15" t="s">
        <v>19099</v>
      </c>
    </row>
    <row r="2909" spans="1:12" x14ac:dyDescent="0.25">
      <c r="A2909" s="2" t="s">
        <v>8642</v>
      </c>
      <c r="B2909" s="8" t="s">
        <v>17694</v>
      </c>
      <c r="C2909" s="2" t="s">
        <v>8642</v>
      </c>
      <c r="D2909" s="2" t="s">
        <v>8643</v>
      </c>
      <c r="E2909" s="4" t="s">
        <v>28493</v>
      </c>
      <c r="G2909" s="15" t="s">
        <v>28494</v>
      </c>
      <c r="H2909" s="15" t="s">
        <v>28495</v>
      </c>
      <c r="I2909" s="15" t="s">
        <v>28496</v>
      </c>
      <c r="J2909" s="15" t="s">
        <v>28497</v>
      </c>
      <c r="K2909" s="15">
        <v>38884</v>
      </c>
      <c r="L2909" s="15" t="s">
        <v>19099</v>
      </c>
    </row>
    <row r="2910" spans="1:12" x14ac:dyDescent="0.25">
      <c r="A2910" s="2" t="s">
        <v>8645</v>
      </c>
      <c r="B2910" s="8" t="s">
        <v>17695</v>
      </c>
      <c r="C2910" s="2" t="s">
        <v>8645</v>
      </c>
      <c r="D2910" s="2" t="s">
        <v>8646</v>
      </c>
      <c r="E2910" s="4" t="s">
        <v>28498</v>
      </c>
      <c r="G2910" s="15" t="s">
        <v>28499</v>
      </c>
      <c r="H2910" s="15" t="s">
        <v>28500</v>
      </c>
      <c r="I2910" s="15" t="s">
        <v>28501</v>
      </c>
      <c r="J2910" s="15" t="s">
        <v>28502</v>
      </c>
      <c r="K2910" s="15">
        <v>31677</v>
      </c>
      <c r="L2910" s="15" t="s">
        <v>19099</v>
      </c>
    </row>
    <row r="2911" spans="1:12" x14ac:dyDescent="0.25">
      <c r="A2911" s="2" t="s">
        <v>8648</v>
      </c>
      <c r="B2911" s="8" t="s">
        <v>17696</v>
      </c>
      <c r="C2911" s="2" t="s">
        <v>8648</v>
      </c>
      <c r="D2911" s="2" t="s">
        <v>8649</v>
      </c>
      <c r="E2911" s="4" t="s">
        <v>8649</v>
      </c>
      <c r="G2911" s="15" t="s">
        <v>28503</v>
      </c>
      <c r="H2911" s="15" t="s">
        <v>28504</v>
      </c>
      <c r="I2911" s="15" t="s">
        <v>28505</v>
      </c>
      <c r="J2911" s="15" t="s">
        <v>27905</v>
      </c>
      <c r="K2911" s="15">
        <v>36879</v>
      </c>
      <c r="L2911" s="15" t="s">
        <v>19099</v>
      </c>
    </row>
    <row r="2912" spans="1:12" x14ac:dyDescent="0.25">
      <c r="A2912" s="2" t="s">
        <v>8651</v>
      </c>
      <c r="B2912" s="8" t="s">
        <v>17697</v>
      </c>
      <c r="C2912" s="2" t="s">
        <v>8651</v>
      </c>
      <c r="D2912" s="2" t="s">
        <v>8652</v>
      </c>
      <c r="E2912" s="4" t="s">
        <v>28506</v>
      </c>
      <c r="G2912" s="15" t="s">
        <v>28507</v>
      </c>
      <c r="H2912" s="15" t="s">
        <v>28508</v>
      </c>
      <c r="I2912" s="15" t="s">
        <v>28509</v>
      </c>
      <c r="J2912" s="15" t="s">
        <v>27901</v>
      </c>
      <c r="K2912" s="15">
        <v>9576739</v>
      </c>
      <c r="L2912" s="15" t="s">
        <v>19099</v>
      </c>
    </row>
    <row r="2913" spans="1:12" x14ac:dyDescent="0.25">
      <c r="A2913" s="2" t="s">
        <v>8654</v>
      </c>
      <c r="B2913" s="8" t="s">
        <v>17698</v>
      </c>
      <c r="C2913" s="2" t="s">
        <v>8654</v>
      </c>
      <c r="D2913" s="2" t="s">
        <v>8655</v>
      </c>
      <c r="E2913" s="4" t="s">
        <v>28510</v>
      </c>
      <c r="G2913" s="15" t="s">
        <v>28511</v>
      </c>
      <c r="H2913" s="15" t="s">
        <v>28512</v>
      </c>
      <c r="I2913" s="15" t="s">
        <v>28513</v>
      </c>
      <c r="J2913" s="15" t="s">
        <v>27910</v>
      </c>
      <c r="K2913" s="15">
        <v>9571009</v>
      </c>
      <c r="L2913" s="15" t="s">
        <v>19099</v>
      </c>
    </row>
    <row r="2914" spans="1:12" x14ac:dyDescent="0.25">
      <c r="A2914" s="2" t="s">
        <v>8657</v>
      </c>
      <c r="B2914" s="8" t="s">
        <v>17699</v>
      </c>
      <c r="C2914" s="2" t="s">
        <v>8657</v>
      </c>
      <c r="D2914" s="2" t="s">
        <v>8658</v>
      </c>
      <c r="E2914" s="4" t="s">
        <v>8658</v>
      </c>
      <c r="G2914" s="15" t="s">
        <v>28514</v>
      </c>
      <c r="H2914" s="15" t="s">
        <v>28515</v>
      </c>
      <c r="I2914" s="15" t="s">
        <v>28516</v>
      </c>
      <c r="J2914" s="15" t="s">
        <v>28517</v>
      </c>
      <c r="K2914" s="15">
        <v>36565</v>
      </c>
      <c r="L2914" s="15" t="s">
        <v>19099</v>
      </c>
    </row>
    <row r="2915" spans="1:12" x14ac:dyDescent="0.25">
      <c r="A2915" s="2" t="s">
        <v>8660</v>
      </c>
      <c r="B2915" s="8" t="s">
        <v>17700</v>
      </c>
      <c r="C2915" s="2" t="s">
        <v>8660</v>
      </c>
      <c r="D2915" s="2" t="s">
        <v>8661</v>
      </c>
      <c r="E2915" s="4" t="s">
        <v>8661</v>
      </c>
      <c r="G2915" s="15" t="s">
        <v>28518</v>
      </c>
      <c r="H2915" s="15" t="s">
        <v>28519</v>
      </c>
      <c r="I2915" s="15" t="s">
        <v>28520</v>
      </c>
      <c r="J2915" s="15" t="s">
        <v>28521</v>
      </c>
      <c r="K2915" s="15">
        <v>19587</v>
      </c>
      <c r="L2915" s="15" t="s">
        <v>19099</v>
      </c>
    </row>
    <row r="2916" spans="1:12" x14ac:dyDescent="0.25">
      <c r="A2916" s="2" t="s">
        <v>8663</v>
      </c>
      <c r="B2916" s="8" t="s">
        <v>17701</v>
      </c>
      <c r="C2916" s="2" t="s">
        <v>8663</v>
      </c>
      <c r="D2916" s="2" t="s">
        <v>8664</v>
      </c>
      <c r="E2916" s="4" t="s">
        <v>28522</v>
      </c>
      <c r="G2916" s="15" t="s">
        <v>28523</v>
      </c>
      <c r="H2916" s="15" t="s">
        <v>28524</v>
      </c>
      <c r="I2916" s="15" t="s">
        <v>28525</v>
      </c>
      <c r="J2916" s="15" t="s">
        <v>28526</v>
      </c>
      <c r="K2916" s="15">
        <v>5312435</v>
      </c>
      <c r="L2916" s="15" t="s">
        <v>19099</v>
      </c>
    </row>
    <row r="2917" spans="1:12" x14ac:dyDescent="0.25">
      <c r="A2917" s="2" t="s">
        <v>8666</v>
      </c>
      <c r="B2917" s="8" t="s">
        <v>17702</v>
      </c>
      <c r="C2917" s="2" t="s">
        <v>8666</v>
      </c>
      <c r="D2917" s="2" t="s">
        <v>8667</v>
      </c>
      <c r="E2917" s="4" t="s">
        <v>28527</v>
      </c>
      <c r="G2917" s="15" t="s">
        <v>28528</v>
      </c>
      <c r="H2917" s="15" t="s">
        <v>28529</v>
      </c>
      <c r="I2917" s="15" t="s">
        <v>28530</v>
      </c>
      <c r="J2917" s="15" t="s">
        <v>28531</v>
      </c>
      <c r="K2917" s="15">
        <v>5312529</v>
      </c>
      <c r="L2917" s="15" t="s">
        <v>19099</v>
      </c>
    </row>
    <row r="2918" spans="1:12" x14ac:dyDescent="0.25">
      <c r="A2918" s="2" t="s">
        <v>8669</v>
      </c>
      <c r="B2918" s="8" t="s">
        <v>17703</v>
      </c>
      <c r="C2918" s="2" t="s">
        <v>8669</v>
      </c>
      <c r="D2918" s="2" t="s">
        <v>8670</v>
      </c>
      <c r="E2918" s="4" t="s">
        <v>28532</v>
      </c>
      <c r="G2918" s="15" t="s">
        <v>28533</v>
      </c>
      <c r="H2918" s="15" t="s">
        <v>28534</v>
      </c>
      <c r="I2918" s="15" t="s">
        <v>28535</v>
      </c>
      <c r="J2918" s="15" t="s">
        <v>28536</v>
      </c>
      <c r="K2918" s="15">
        <v>6439848</v>
      </c>
      <c r="L2918" s="15" t="s">
        <v>19099</v>
      </c>
    </row>
    <row r="2919" spans="1:12" x14ac:dyDescent="0.25">
      <c r="A2919" s="2" t="s">
        <v>8672</v>
      </c>
      <c r="B2919" s="8" t="s">
        <v>17704</v>
      </c>
      <c r="C2919" s="2" t="s">
        <v>8672</v>
      </c>
      <c r="D2919" s="2" t="s">
        <v>8673</v>
      </c>
      <c r="E2919" s="4" t="s">
        <v>28537</v>
      </c>
      <c r="G2919" s="15" t="s">
        <v>28538</v>
      </c>
      <c r="H2919" s="15" t="s">
        <v>28539</v>
      </c>
      <c r="I2919" s="15" t="s">
        <v>28540</v>
      </c>
      <c r="J2919" s="15" t="s">
        <v>21775</v>
      </c>
      <c r="K2919" s="15">
        <v>5312414</v>
      </c>
      <c r="L2919" s="15" t="s">
        <v>19099</v>
      </c>
    </row>
    <row r="2920" spans="1:12" x14ac:dyDescent="0.25">
      <c r="A2920" s="2" t="s">
        <v>8675</v>
      </c>
      <c r="B2920" s="8" t="s">
        <v>17705</v>
      </c>
      <c r="C2920" s="2" t="s">
        <v>8675</v>
      </c>
      <c r="D2920" s="2" t="s">
        <v>8676</v>
      </c>
      <c r="E2920" s="4" t="s">
        <v>28541</v>
      </c>
      <c r="G2920" s="15" t="s">
        <v>28542</v>
      </c>
      <c r="H2920" s="15" t="s">
        <v>28543</v>
      </c>
      <c r="I2920" s="15" t="s">
        <v>28544</v>
      </c>
      <c r="J2920" s="15" t="s">
        <v>28545</v>
      </c>
      <c r="K2920" s="15">
        <v>5282768</v>
      </c>
      <c r="L2920" s="15" t="s">
        <v>19099</v>
      </c>
    </row>
    <row r="2921" spans="1:12" x14ac:dyDescent="0.25">
      <c r="A2921" s="2" t="s">
        <v>8678</v>
      </c>
      <c r="B2921" s="8" t="s">
        <v>17706</v>
      </c>
      <c r="C2921" s="2" t="s">
        <v>8678</v>
      </c>
      <c r="D2921" s="2" t="s">
        <v>8679</v>
      </c>
      <c r="E2921" s="4" t="s">
        <v>28546</v>
      </c>
      <c r="G2921" s="15" t="s">
        <v>28547</v>
      </c>
      <c r="H2921" s="15" t="s">
        <v>28548</v>
      </c>
      <c r="I2921" s="15" t="s">
        <v>28549</v>
      </c>
      <c r="J2921" s="15" t="s">
        <v>19188</v>
      </c>
      <c r="K2921" s="15">
        <v>643833</v>
      </c>
      <c r="L2921" s="15" t="s">
        <v>19099</v>
      </c>
    </row>
    <row r="2922" spans="1:12" x14ac:dyDescent="0.25">
      <c r="A2922" s="2" t="s">
        <v>8681</v>
      </c>
      <c r="B2922" s="8" t="s">
        <v>17707</v>
      </c>
      <c r="C2922" s="2" t="s">
        <v>8681</v>
      </c>
      <c r="D2922" s="2" t="s">
        <v>8682</v>
      </c>
      <c r="E2922" s="4" t="s">
        <v>28550</v>
      </c>
      <c r="G2922" s="15" t="s">
        <v>28551</v>
      </c>
      <c r="H2922" s="15" t="s">
        <v>28552</v>
      </c>
      <c r="I2922" s="15" t="s">
        <v>28553</v>
      </c>
      <c r="J2922" s="15" t="s">
        <v>19197</v>
      </c>
      <c r="K2922" s="15">
        <v>5463459</v>
      </c>
      <c r="L2922" s="15" t="s">
        <v>19099</v>
      </c>
    </row>
    <row r="2923" spans="1:12" x14ac:dyDescent="0.25">
      <c r="A2923" s="2" t="s">
        <v>8684</v>
      </c>
      <c r="B2923" s="8" t="s">
        <v>17708</v>
      </c>
      <c r="C2923" s="2" t="s">
        <v>8684</v>
      </c>
      <c r="D2923" s="2" t="s">
        <v>8685</v>
      </c>
      <c r="E2923" s="4" t="s">
        <v>28554</v>
      </c>
      <c r="G2923" s="15" t="s">
        <v>28555</v>
      </c>
      <c r="H2923" s="15" t="s">
        <v>28556</v>
      </c>
      <c r="I2923" s="15" t="s">
        <v>28557</v>
      </c>
      <c r="J2923" s="15" t="s">
        <v>28558</v>
      </c>
      <c r="K2923" s="15">
        <v>5282807</v>
      </c>
      <c r="L2923" s="15" t="s">
        <v>19099</v>
      </c>
    </row>
    <row r="2924" spans="1:12" x14ac:dyDescent="0.25">
      <c r="A2924" s="2" t="s">
        <v>8687</v>
      </c>
      <c r="B2924" s="8" t="s">
        <v>17709</v>
      </c>
      <c r="C2924" s="2" t="s">
        <v>8687</v>
      </c>
      <c r="D2924" s="2" t="s">
        <v>8688</v>
      </c>
      <c r="E2924" s="4" t="s">
        <v>28559</v>
      </c>
      <c r="G2924" s="15" t="s">
        <v>28560</v>
      </c>
      <c r="H2924" s="15" t="s">
        <v>28561</v>
      </c>
      <c r="I2924" s="15" t="s">
        <v>28562</v>
      </c>
      <c r="J2924" s="15" t="s">
        <v>19197</v>
      </c>
      <c r="K2924" s="15">
        <v>5280970</v>
      </c>
      <c r="L2924" s="15" t="s">
        <v>19099</v>
      </c>
    </row>
    <row r="2925" spans="1:12" x14ac:dyDescent="0.25">
      <c r="A2925" s="2" t="s">
        <v>8690</v>
      </c>
      <c r="B2925" s="8" t="s">
        <v>17710</v>
      </c>
      <c r="C2925" s="2" t="s">
        <v>8690</v>
      </c>
      <c r="D2925" s="2" t="s">
        <v>8691</v>
      </c>
      <c r="E2925" s="4" t="s">
        <v>28563</v>
      </c>
      <c r="G2925" s="15" t="s">
        <v>28564</v>
      </c>
      <c r="H2925" s="15" t="s">
        <v>28565</v>
      </c>
      <c r="I2925" s="15" t="s">
        <v>28566</v>
      </c>
      <c r="J2925" s="15" t="s">
        <v>28567</v>
      </c>
      <c r="K2925" s="15">
        <v>5281120</v>
      </c>
      <c r="L2925" s="15" t="s">
        <v>19099</v>
      </c>
    </row>
    <row r="2926" spans="1:12" x14ac:dyDescent="0.25">
      <c r="A2926" s="2" t="s">
        <v>8693</v>
      </c>
      <c r="B2926" s="8" t="s">
        <v>17711</v>
      </c>
      <c r="C2926" s="2" t="s">
        <v>8693</v>
      </c>
      <c r="D2926" s="2" t="s">
        <v>8694</v>
      </c>
      <c r="E2926" s="4" t="s">
        <v>8694</v>
      </c>
      <c r="G2926" s="15" t="s">
        <v>28568</v>
      </c>
      <c r="H2926" s="15" t="s">
        <v>28569</v>
      </c>
      <c r="I2926" s="15" t="s">
        <v>28570</v>
      </c>
      <c r="J2926" s="15" t="s">
        <v>20849</v>
      </c>
      <c r="K2926" s="15">
        <v>643950</v>
      </c>
      <c r="L2926" s="15" t="s">
        <v>19099</v>
      </c>
    </row>
    <row r="2927" spans="1:12" x14ac:dyDescent="0.25">
      <c r="A2927" s="2" t="s">
        <v>8696</v>
      </c>
      <c r="B2927" s="8" t="s">
        <v>17712</v>
      </c>
      <c r="C2927" s="2" t="s">
        <v>8696</v>
      </c>
      <c r="D2927" s="2" t="s">
        <v>8697</v>
      </c>
      <c r="E2927" s="4" t="s">
        <v>28571</v>
      </c>
      <c r="G2927" s="15" t="s">
        <v>28572</v>
      </c>
      <c r="H2927" s="15" t="s">
        <v>28573</v>
      </c>
      <c r="I2927" s="15" t="s">
        <v>28574</v>
      </c>
      <c r="J2927" s="15" t="s">
        <v>28531</v>
      </c>
      <c r="K2927" s="15">
        <v>5280581</v>
      </c>
      <c r="L2927" s="15" t="s">
        <v>19099</v>
      </c>
    </row>
    <row r="2928" spans="1:12" x14ac:dyDescent="0.25">
      <c r="A2928" s="2" t="s">
        <v>8699</v>
      </c>
      <c r="B2928" s="8" t="s">
        <v>17713</v>
      </c>
      <c r="C2928" s="2" t="s">
        <v>8699</v>
      </c>
      <c r="D2928" s="2" t="s">
        <v>8700</v>
      </c>
      <c r="E2928" s="4" t="s">
        <v>28575</v>
      </c>
      <c r="G2928" s="15" t="s">
        <v>28576</v>
      </c>
      <c r="H2928" s="15" t="s">
        <v>28577</v>
      </c>
      <c r="I2928" s="15" t="s">
        <v>28578</v>
      </c>
      <c r="J2928" s="15" t="s">
        <v>28579</v>
      </c>
      <c r="K2928" s="15">
        <v>11241932</v>
      </c>
      <c r="L2928" s="15" t="s">
        <v>19099</v>
      </c>
    </row>
    <row r="2929" spans="1:12" x14ac:dyDescent="0.25">
      <c r="A2929" s="2" t="s">
        <v>8702</v>
      </c>
      <c r="B2929" s="8" t="s">
        <v>17714</v>
      </c>
      <c r="C2929" s="2" t="s">
        <v>8702</v>
      </c>
      <c r="D2929" s="2" t="s">
        <v>8703</v>
      </c>
      <c r="E2929" s="4" t="s">
        <v>28580</v>
      </c>
      <c r="G2929" s="15" t="s">
        <v>28581</v>
      </c>
      <c r="H2929" s="15" t="s">
        <v>28582</v>
      </c>
      <c r="I2929" s="15" t="s">
        <v>28583</v>
      </c>
      <c r="J2929" s="15" t="s">
        <v>28584</v>
      </c>
      <c r="K2929" s="15">
        <v>446284</v>
      </c>
      <c r="L2929" s="15" t="s">
        <v>19099</v>
      </c>
    </row>
    <row r="2930" spans="1:12" x14ac:dyDescent="0.25">
      <c r="A2930" s="2" t="s">
        <v>8705</v>
      </c>
      <c r="B2930" s="8" t="s">
        <v>17715</v>
      </c>
      <c r="C2930" s="2" t="s">
        <v>8705</v>
      </c>
      <c r="D2930" s="2" t="s">
        <v>8706</v>
      </c>
      <c r="E2930" s="4" t="s">
        <v>28585</v>
      </c>
      <c r="G2930" s="15" t="s">
        <v>28586</v>
      </c>
      <c r="H2930" s="15" t="s">
        <v>28587</v>
      </c>
      <c r="I2930" s="15" t="s">
        <v>28588</v>
      </c>
      <c r="J2930" s="15" t="s">
        <v>28589</v>
      </c>
      <c r="K2930" s="15">
        <v>445580</v>
      </c>
      <c r="L2930" s="15" t="s">
        <v>19099</v>
      </c>
    </row>
    <row r="2931" spans="1:12" x14ac:dyDescent="0.25">
      <c r="A2931" s="2" t="s">
        <v>8708</v>
      </c>
      <c r="B2931" s="8" t="s">
        <v>17716</v>
      </c>
      <c r="C2931" s="2" t="s">
        <v>8708</v>
      </c>
      <c r="D2931" s="2" t="s">
        <v>8709</v>
      </c>
      <c r="E2931" s="4" t="s">
        <v>28590</v>
      </c>
      <c r="G2931" s="15" t="s">
        <v>28591</v>
      </c>
      <c r="H2931" s="15" t="s">
        <v>28592</v>
      </c>
      <c r="I2931" s="15" t="s">
        <v>28593</v>
      </c>
      <c r="J2931" s="15" t="s">
        <v>23176</v>
      </c>
      <c r="K2931" s="15">
        <v>1550472</v>
      </c>
      <c r="L2931" s="15" t="s">
        <v>19099</v>
      </c>
    </row>
    <row r="2932" spans="1:12" x14ac:dyDescent="0.25">
      <c r="A2932" s="2" t="s">
        <v>8711</v>
      </c>
      <c r="B2932" s="8" t="s">
        <v>17717</v>
      </c>
      <c r="C2932" s="2" t="s">
        <v>8711</v>
      </c>
      <c r="D2932" s="2" t="s">
        <v>8712</v>
      </c>
      <c r="E2932" s="4" t="s">
        <v>28594</v>
      </c>
      <c r="G2932" s="15" t="s">
        <v>28595</v>
      </c>
      <c r="H2932" s="15" t="s">
        <v>28596</v>
      </c>
      <c r="I2932" s="15" t="s">
        <v>28597</v>
      </c>
      <c r="J2932" s="15" t="s">
        <v>28598</v>
      </c>
      <c r="K2932" s="15">
        <v>71404795</v>
      </c>
      <c r="L2932" s="15" t="s">
        <v>19099</v>
      </c>
    </row>
    <row r="2933" spans="1:12" x14ac:dyDescent="0.25">
      <c r="A2933" s="2" t="s">
        <v>8714</v>
      </c>
      <c r="B2933" s="8" t="s">
        <v>17718</v>
      </c>
      <c r="C2933" s="2" t="s">
        <v>8714</v>
      </c>
      <c r="D2933" s="2" t="s">
        <v>8715</v>
      </c>
      <c r="E2933" s="4" t="s">
        <v>28599</v>
      </c>
      <c r="G2933" s="15" t="s">
        <v>28600</v>
      </c>
      <c r="H2933" s="15" t="s">
        <v>28601</v>
      </c>
      <c r="I2933" s="15" t="s">
        <v>28602</v>
      </c>
      <c r="J2933" s="15" t="s">
        <v>24532</v>
      </c>
      <c r="K2933" s="15">
        <v>11377211</v>
      </c>
      <c r="L2933" s="15" t="s">
        <v>19099</v>
      </c>
    </row>
    <row r="2934" spans="1:12" x14ac:dyDescent="0.25">
      <c r="A2934" s="2" t="s">
        <v>8717</v>
      </c>
      <c r="B2934" s="8" t="s">
        <v>17719</v>
      </c>
      <c r="C2934" s="2" t="s">
        <v>8717</v>
      </c>
      <c r="D2934" s="2" t="s">
        <v>8718</v>
      </c>
      <c r="E2934" s="4" t="s">
        <v>28603</v>
      </c>
      <c r="G2934" s="15" t="s">
        <v>27765</v>
      </c>
      <c r="H2934" s="15" t="s">
        <v>27766</v>
      </c>
      <c r="I2934" s="15" t="s">
        <v>27767</v>
      </c>
      <c r="J2934" s="15" t="s">
        <v>27768</v>
      </c>
      <c r="K2934" s="15">
        <v>727</v>
      </c>
      <c r="L2934" s="15" t="s">
        <v>19099</v>
      </c>
    </row>
    <row r="2935" spans="1:12" x14ac:dyDescent="0.25">
      <c r="A2935" s="2" t="s">
        <v>8720</v>
      </c>
      <c r="B2935" s="8" t="s">
        <v>17720</v>
      </c>
      <c r="C2935" s="2" t="s">
        <v>8720</v>
      </c>
      <c r="D2935" s="2" t="s">
        <v>8721</v>
      </c>
      <c r="E2935" s="4" t="s">
        <v>28604</v>
      </c>
      <c r="G2935" s="15" t="s">
        <v>28605</v>
      </c>
      <c r="H2935" s="15" t="s">
        <v>28606</v>
      </c>
      <c r="I2935" s="15" t="s">
        <v>28607</v>
      </c>
      <c r="J2935" s="15" t="s">
        <v>28608</v>
      </c>
      <c r="K2935" s="15">
        <v>15559699</v>
      </c>
      <c r="L2935" s="15" t="s">
        <v>19099</v>
      </c>
    </row>
    <row r="2936" spans="1:12" x14ac:dyDescent="0.25">
      <c r="A2936" s="2" t="s">
        <v>8723</v>
      </c>
      <c r="B2936" s="8" t="s">
        <v>17721</v>
      </c>
      <c r="C2936" s="2" t="s">
        <v>8723</v>
      </c>
      <c r="D2936" s="2" t="s">
        <v>8724</v>
      </c>
      <c r="E2936" s="4" t="s">
        <v>28609</v>
      </c>
      <c r="G2936" s="15" t="s">
        <v>28610</v>
      </c>
      <c r="H2936" s="15" t="s">
        <v>28611</v>
      </c>
      <c r="I2936" s="15" t="s">
        <v>28612</v>
      </c>
      <c r="J2936" s="15" t="s">
        <v>28613</v>
      </c>
      <c r="K2936" s="15">
        <v>12313421</v>
      </c>
      <c r="L2936" s="15" t="s">
        <v>19099</v>
      </c>
    </row>
    <row r="2937" spans="1:12" x14ac:dyDescent="0.25">
      <c r="A2937" s="2" t="s">
        <v>8726</v>
      </c>
      <c r="B2937" s="8" t="s">
        <v>17722</v>
      </c>
      <c r="C2937" s="2" t="s">
        <v>8726</v>
      </c>
      <c r="D2937" s="2" t="s">
        <v>8727</v>
      </c>
      <c r="E2937" s="4" t="s">
        <v>28614</v>
      </c>
      <c r="G2937" s="15" t="s">
        <v>27007</v>
      </c>
      <c r="H2937" s="15" t="s">
        <v>27008</v>
      </c>
      <c r="I2937" s="15" t="s">
        <v>27009</v>
      </c>
      <c r="J2937" s="15" t="s">
        <v>27010</v>
      </c>
      <c r="K2937" s="15">
        <v>5284462</v>
      </c>
      <c r="L2937" s="15" t="s">
        <v>19099</v>
      </c>
    </row>
    <row r="2938" spans="1:12" x14ac:dyDescent="0.25">
      <c r="A2938" s="2" t="s">
        <v>8729</v>
      </c>
      <c r="B2938" s="8" t="s">
        <v>17723</v>
      </c>
      <c r="C2938" s="2" t="s">
        <v>8729</v>
      </c>
      <c r="D2938" s="2" t="s">
        <v>8730</v>
      </c>
      <c r="E2938" s="4" t="s">
        <v>8730</v>
      </c>
      <c r="G2938" s="15" t="s">
        <v>28615</v>
      </c>
      <c r="H2938" s="15" t="s">
        <v>28616</v>
      </c>
      <c r="I2938" s="15" t="s">
        <v>28617</v>
      </c>
      <c r="J2938" s="15" t="s">
        <v>28618</v>
      </c>
      <c r="K2938" s="15">
        <v>91752</v>
      </c>
      <c r="L2938" s="15" t="s">
        <v>19099</v>
      </c>
    </row>
    <row r="2939" spans="1:12" x14ac:dyDescent="0.25">
      <c r="A2939" s="2" t="s">
        <v>8732</v>
      </c>
      <c r="B2939" s="8" t="s">
        <v>17724</v>
      </c>
      <c r="C2939" s="2" t="s">
        <v>8732</v>
      </c>
      <c r="D2939" s="2" t="s">
        <v>8733</v>
      </c>
      <c r="E2939" s="4" t="s">
        <v>8733</v>
      </c>
      <c r="G2939" s="15" t="s">
        <v>28619</v>
      </c>
      <c r="H2939" s="15" t="s">
        <v>28620</v>
      </c>
      <c r="I2939" s="15" t="s">
        <v>28621</v>
      </c>
      <c r="J2939" s="15" t="s">
        <v>28622</v>
      </c>
      <c r="K2939" s="15">
        <v>2519</v>
      </c>
      <c r="L2939" s="15" t="s">
        <v>19099</v>
      </c>
    </row>
    <row r="2940" spans="1:12" x14ac:dyDescent="0.25">
      <c r="A2940" s="2" t="s">
        <v>8735</v>
      </c>
      <c r="B2940" s="8" t="s">
        <v>17725</v>
      </c>
      <c r="C2940" s="2" t="s">
        <v>8735</v>
      </c>
      <c r="D2940" s="2" t="s">
        <v>8736</v>
      </c>
      <c r="E2940" s="4" t="s">
        <v>28623</v>
      </c>
      <c r="G2940" s="15" t="s">
        <v>23013</v>
      </c>
      <c r="H2940" s="15" t="s">
        <v>23014</v>
      </c>
      <c r="I2940" s="15" t="s">
        <v>23015</v>
      </c>
      <c r="J2940" s="15" t="s">
        <v>23016</v>
      </c>
      <c r="K2940" s="15">
        <v>10112</v>
      </c>
      <c r="L2940" s="15" t="s">
        <v>19099</v>
      </c>
    </row>
    <row r="2941" spans="1:12" x14ac:dyDescent="0.25">
      <c r="A2941" s="2" t="s">
        <v>8738</v>
      </c>
      <c r="B2941" s="8" t="s">
        <v>17726</v>
      </c>
      <c r="C2941" s="2" t="s">
        <v>8738</v>
      </c>
      <c r="D2941" s="2" t="s">
        <v>8739</v>
      </c>
      <c r="E2941" s="4" t="s">
        <v>28624</v>
      </c>
      <c r="G2941" s="15" t="s">
        <v>28625</v>
      </c>
      <c r="H2941" s="15" t="s">
        <v>28626</v>
      </c>
      <c r="I2941" s="15" t="s">
        <v>28627</v>
      </c>
      <c r="J2941" s="15" t="s">
        <v>28628</v>
      </c>
      <c r="K2941" s="15">
        <v>28481</v>
      </c>
      <c r="L2941" s="15" t="s">
        <v>19099</v>
      </c>
    </row>
    <row r="2942" spans="1:12" x14ac:dyDescent="0.25">
      <c r="A2942" s="2" t="s">
        <v>8741</v>
      </c>
      <c r="B2942" s="8" t="s">
        <v>17727</v>
      </c>
      <c r="C2942" s="2" t="s">
        <v>8741</v>
      </c>
      <c r="D2942" s="2" t="s">
        <v>8742</v>
      </c>
      <c r="E2942" s="4" t="s">
        <v>8742</v>
      </c>
      <c r="G2942" s="15" t="s">
        <v>28629</v>
      </c>
      <c r="H2942" s="15" t="s">
        <v>28630</v>
      </c>
      <c r="I2942" s="15" t="s">
        <v>28631</v>
      </c>
      <c r="J2942" s="15" t="s">
        <v>19889</v>
      </c>
      <c r="K2942" s="15">
        <v>2537</v>
      </c>
      <c r="L2942" s="15" t="s">
        <v>19099</v>
      </c>
    </row>
    <row r="2943" spans="1:12" x14ac:dyDescent="0.25">
      <c r="A2943" s="2" t="s">
        <v>8744</v>
      </c>
      <c r="B2943" s="8" t="s">
        <v>17728</v>
      </c>
      <c r="C2943" s="2" t="s">
        <v>8744</v>
      </c>
      <c r="D2943" s="2" t="s">
        <v>8745</v>
      </c>
      <c r="E2943" s="4" t="s">
        <v>8745</v>
      </c>
      <c r="G2943" s="15" t="s">
        <v>28632</v>
      </c>
      <c r="H2943" s="15" t="s">
        <v>28633</v>
      </c>
      <c r="I2943" s="15" t="s">
        <v>28634</v>
      </c>
      <c r="J2943" s="15" t="s">
        <v>28050</v>
      </c>
      <c r="K2943" s="15">
        <v>6616</v>
      </c>
      <c r="L2943" s="15" t="s">
        <v>19099</v>
      </c>
    </row>
    <row r="2944" spans="1:12" x14ac:dyDescent="0.25">
      <c r="A2944" s="2" t="s">
        <v>8747</v>
      </c>
      <c r="B2944" s="8" t="s">
        <v>17729</v>
      </c>
      <c r="C2944" s="2" t="s">
        <v>8747</v>
      </c>
      <c r="D2944" s="2" t="s">
        <v>8748</v>
      </c>
      <c r="E2944" s="4" t="s">
        <v>28635</v>
      </c>
      <c r="G2944" s="15" t="s">
        <v>28636</v>
      </c>
      <c r="H2944" s="15" t="s">
        <v>28637</v>
      </c>
      <c r="I2944" s="15" t="s">
        <v>28638</v>
      </c>
      <c r="J2944" s="15" t="s">
        <v>28639</v>
      </c>
      <c r="K2944" s="15">
        <v>65617</v>
      </c>
      <c r="L2944" s="15" t="s">
        <v>19099</v>
      </c>
    </row>
    <row r="2945" spans="1:12" x14ac:dyDescent="0.25">
      <c r="A2945" s="2" t="s">
        <v>8750</v>
      </c>
      <c r="B2945" s="8" t="s">
        <v>17730</v>
      </c>
      <c r="C2945" s="2" t="s">
        <v>8750</v>
      </c>
      <c r="D2945" s="2" t="s">
        <v>8751</v>
      </c>
      <c r="E2945" s="4" t="s">
        <v>8751</v>
      </c>
      <c r="G2945" s="15" t="s">
        <v>28640</v>
      </c>
      <c r="H2945" s="15" t="s">
        <v>28641</v>
      </c>
      <c r="I2945" s="15" t="s">
        <v>28642</v>
      </c>
      <c r="J2945" s="15" t="s">
        <v>28643</v>
      </c>
      <c r="K2945" s="15">
        <v>2541</v>
      </c>
      <c r="L2945" s="15" t="s">
        <v>19099</v>
      </c>
    </row>
    <row r="2946" spans="1:12" x14ac:dyDescent="0.25">
      <c r="A2946" s="2" t="s">
        <v>8753</v>
      </c>
      <c r="B2946" s="8" t="s">
        <v>17731</v>
      </c>
      <c r="C2946" s="2" t="s">
        <v>8753</v>
      </c>
      <c r="D2946" s="2" t="s">
        <v>8754</v>
      </c>
      <c r="E2946" s="4" t="s">
        <v>8754</v>
      </c>
      <c r="G2946" s="15" t="s">
        <v>28644</v>
      </c>
      <c r="H2946" s="15" t="s">
        <v>28645</v>
      </c>
      <c r="I2946" s="15" t="s">
        <v>28646</v>
      </c>
      <c r="J2946" s="15" t="s">
        <v>28647</v>
      </c>
      <c r="K2946" s="15">
        <v>60953</v>
      </c>
      <c r="L2946" s="15" t="s">
        <v>19099</v>
      </c>
    </row>
    <row r="2947" spans="1:12" x14ac:dyDescent="0.25">
      <c r="A2947" s="2" t="s">
        <v>8756</v>
      </c>
      <c r="B2947" s="8" t="s">
        <v>17732</v>
      </c>
      <c r="C2947" s="2" t="s">
        <v>8756</v>
      </c>
      <c r="D2947" s="2" t="s">
        <v>8757</v>
      </c>
      <c r="E2947" s="4" t="s">
        <v>8757</v>
      </c>
      <c r="G2947" s="15" t="s">
        <v>28648</v>
      </c>
      <c r="H2947" s="15" t="s">
        <v>28649</v>
      </c>
      <c r="I2947" s="15" t="s">
        <v>28650</v>
      </c>
      <c r="J2947" s="15" t="s">
        <v>28651</v>
      </c>
      <c r="K2947" s="15">
        <v>17038</v>
      </c>
      <c r="L2947" s="15" t="s">
        <v>19099</v>
      </c>
    </row>
    <row r="2948" spans="1:12" x14ac:dyDescent="0.25">
      <c r="A2948" s="2" t="s">
        <v>8759</v>
      </c>
      <c r="B2948" s="8" t="s">
        <v>17733</v>
      </c>
      <c r="C2948" s="2" t="s">
        <v>8759</v>
      </c>
      <c r="D2948" s="2" t="s">
        <v>8760</v>
      </c>
      <c r="E2948" s="4" t="s">
        <v>8760</v>
      </c>
      <c r="G2948" s="15" t="s">
        <v>28652</v>
      </c>
      <c r="H2948" s="15" t="s">
        <v>28653</v>
      </c>
      <c r="I2948" s="15" t="s">
        <v>28654</v>
      </c>
      <c r="J2948" s="15" t="s">
        <v>28655</v>
      </c>
      <c r="K2948" s="15">
        <v>8606</v>
      </c>
      <c r="L2948" s="15" t="s">
        <v>19099</v>
      </c>
    </row>
    <row r="2949" spans="1:12" x14ac:dyDescent="0.25">
      <c r="A2949" s="2" t="s">
        <v>8762</v>
      </c>
      <c r="B2949" s="8" t="s">
        <v>17734</v>
      </c>
      <c r="C2949" s="2" t="s">
        <v>8762</v>
      </c>
      <c r="D2949" s="2" t="s">
        <v>8763</v>
      </c>
      <c r="E2949" s="4" t="s">
        <v>8763</v>
      </c>
      <c r="G2949" s="15" t="s">
        <v>28656</v>
      </c>
      <c r="H2949" s="15" t="s">
        <v>28657</v>
      </c>
      <c r="I2949" s="15" t="s">
        <v>28658</v>
      </c>
      <c r="J2949" s="15" t="s">
        <v>28659</v>
      </c>
      <c r="K2949" s="15">
        <v>21307</v>
      </c>
      <c r="L2949" s="15" t="s">
        <v>19099</v>
      </c>
    </row>
    <row r="2950" spans="1:12" x14ac:dyDescent="0.25">
      <c r="A2950" s="2" t="s">
        <v>8765</v>
      </c>
      <c r="B2950" s="8" t="s">
        <v>17735</v>
      </c>
      <c r="C2950" s="2" t="s">
        <v>8765</v>
      </c>
      <c r="D2950" s="2" t="s">
        <v>8766</v>
      </c>
      <c r="E2950" s="4" t="s">
        <v>8766</v>
      </c>
      <c r="G2950" s="15" t="s">
        <v>28660</v>
      </c>
      <c r="H2950" s="15" t="s">
        <v>28661</v>
      </c>
      <c r="I2950" s="15" t="s">
        <v>28662</v>
      </c>
      <c r="J2950" s="15" t="s">
        <v>28663</v>
      </c>
      <c r="K2950" s="15">
        <v>135511839</v>
      </c>
      <c r="L2950" s="15" t="s">
        <v>19099</v>
      </c>
    </row>
    <row r="2951" spans="1:12" x14ac:dyDescent="0.25">
      <c r="A2951" s="2" t="s">
        <v>8768</v>
      </c>
      <c r="B2951" s="8" t="s">
        <v>17736</v>
      </c>
      <c r="C2951" s="2" t="s">
        <v>8768</v>
      </c>
      <c r="D2951" s="2" t="s">
        <v>8769</v>
      </c>
      <c r="E2951" s="4" t="s">
        <v>8769</v>
      </c>
      <c r="G2951" s="15" t="s">
        <v>28664</v>
      </c>
      <c r="H2951" s="15" t="s">
        <v>28665</v>
      </c>
      <c r="I2951" s="15" t="s">
        <v>28666</v>
      </c>
      <c r="J2951" s="15" t="s">
        <v>28667</v>
      </c>
      <c r="K2951" s="15">
        <v>25429</v>
      </c>
      <c r="L2951" s="15" t="s">
        <v>19099</v>
      </c>
    </row>
    <row r="2952" spans="1:12" x14ac:dyDescent="0.25">
      <c r="A2952" s="2" t="s">
        <v>8771</v>
      </c>
      <c r="B2952" s="8" t="s">
        <v>17737</v>
      </c>
      <c r="C2952" s="2" t="s">
        <v>8771</v>
      </c>
      <c r="D2952" s="2" t="s">
        <v>8772</v>
      </c>
      <c r="E2952" s="4" t="s">
        <v>28668</v>
      </c>
      <c r="G2952" s="15" t="s">
        <v>28669</v>
      </c>
      <c r="H2952" s="15" t="s">
        <v>28670</v>
      </c>
      <c r="I2952" s="15" t="s">
        <v>28671</v>
      </c>
      <c r="J2952" s="15" t="s">
        <v>28672</v>
      </c>
      <c r="K2952" s="15">
        <v>13081</v>
      </c>
      <c r="L2952" s="15" t="s">
        <v>19099</v>
      </c>
    </row>
    <row r="2953" spans="1:12" x14ac:dyDescent="0.25">
      <c r="A2953" s="2" t="s">
        <v>8774</v>
      </c>
      <c r="B2953" s="8" t="s">
        <v>17738</v>
      </c>
      <c r="C2953" s="2" t="s">
        <v>8774</v>
      </c>
      <c r="D2953" s="2" t="s">
        <v>8775</v>
      </c>
      <c r="E2953" s="4" t="s">
        <v>8775</v>
      </c>
      <c r="G2953" s="15" t="s">
        <v>28673</v>
      </c>
      <c r="H2953" s="15" t="s">
        <v>28674</v>
      </c>
      <c r="I2953" s="15" t="s">
        <v>28675</v>
      </c>
      <c r="J2953" s="15" t="s">
        <v>28676</v>
      </c>
      <c r="K2953" s="15">
        <v>2566</v>
      </c>
      <c r="L2953" s="15" t="s">
        <v>19099</v>
      </c>
    </row>
    <row r="2954" spans="1:12" x14ac:dyDescent="0.25">
      <c r="A2954" s="2" t="s">
        <v>8777</v>
      </c>
      <c r="B2954" s="8" t="s">
        <v>17739</v>
      </c>
      <c r="C2954" s="2" t="s">
        <v>8777</v>
      </c>
      <c r="D2954" s="2" t="s">
        <v>8778</v>
      </c>
      <c r="E2954" s="4" t="s">
        <v>8778</v>
      </c>
      <c r="G2954" s="15" t="s">
        <v>28677</v>
      </c>
      <c r="H2954" s="15" t="s">
        <v>28678</v>
      </c>
      <c r="I2954" s="15" t="s">
        <v>28679</v>
      </c>
      <c r="J2954" s="15" t="s">
        <v>28680</v>
      </c>
      <c r="K2954" s="15">
        <v>73948</v>
      </c>
      <c r="L2954" s="15" t="s">
        <v>19099</v>
      </c>
    </row>
    <row r="2955" spans="1:12" x14ac:dyDescent="0.25">
      <c r="A2955" s="2" t="s">
        <v>8780</v>
      </c>
      <c r="B2955" s="8" t="s">
        <v>17740</v>
      </c>
      <c r="C2955" s="2" t="s">
        <v>8780</v>
      </c>
      <c r="D2955" s="2" t="s">
        <v>8781</v>
      </c>
      <c r="E2955" s="4" t="s">
        <v>28681</v>
      </c>
      <c r="G2955" s="15" t="s">
        <v>28682</v>
      </c>
      <c r="H2955" s="15" t="s">
        <v>28683</v>
      </c>
      <c r="I2955" s="15" t="s">
        <v>28684</v>
      </c>
      <c r="J2955" s="15" t="s">
        <v>28685</v>
      </c>
      <c r="K2955" s="15">
        <v>2555</v>
      </c>
      <c r="L2955" s="15" t="s">
        <v>19099</v>
      </c>
    </row>
    <row r="2956" spans="1:12" x14ac:dyDescent="0.25">
      <c r="A2956" s="2" t="s">
        <v>8783</v>
      </c>
      <c r="B2956" s="8" t="s">
        <v>17741</v>
      </c>
      <c r="C2956" s="2" t="s">
        <v>8783</v>
      </c>
      <c r="D2956" s="2" t="s">
        <v>8784</v>
      </c>
      <c r="E2956" s="4" t="s">
        <v>8784</v>
      </c>
      <c r="G2956" s="15" t="s">
        <v>28686</v>
      </c>
      <c r="H2956" s="15" t="s">
        <v>28687</v>
      </c>
      <c r="I2956" s="15" t="s">
        <v>28688</v>
      </c>
      <c r="J2956" s="15" t="s">
        <v>28689</v>
      </c>
      <c r="K2956" s="15">
        <v>2554</v>
      </c>
      <c r="L2956" s="15" t="s">
        <v>19099</v>
      </c>
    </row>
    <row r="2957" spans="1:12" x14ac:dyDescent="0.25">
      <c r="A2957" s="2" t="s">
        <v>8786</v>
      </c>
      <c r="B2957" s="8" t="s">
        <v>17742</v>
      </c>
      <c r="C2957" s="2" t="s">
        <v>8786</v>
      </c>
      <c r="D2957" s="2" t="s">
        <v>8787</v>
      </c>
      <c r="E2957" s="4" t="s">
        <v>28690</v>
      </c>
      <c r="H2957" s="15" t="s">
        <v>28691</v>
      </c>
      <c r="I2957" s="15" t="s">
        <v>28692</v>
      </c>
      <c r="J2957" s="15" t="s">
        <v>28693</v>
      </c>
      <c r="K2957" s="15">
        <v>10039</v>
      </c>
      <c r="L2957" s="15" t="s">
        <v>19099</v>
      </c>
    </row>
    <row r="2958" spans="1:12" x14ac:dyDescent="0.25">
      <c r="A2958" s="2" t="s">
        <v>8789</v>
      </c>
      <c r="B2958" s="8" t="s">
        <v>17743</v>
      </c>
      <c r="C2958" s="2" t="s">
        <v>8789</v>
      </c>
      <c r="D2958" s="2" t="s">
        <v>8790</v>
      </c>
      <c r="E2958" s="4" t="s">
        <v>8790</v>
      </c>
      <c r="G2958" s="15" t="s">
        <v>28694</v>
      </c>
      <c r="H2958" s="15" t="s">
        <v>28695</v>
      </c>
      <c r="I2958" s="15" t="s">
        <v>28696</v>
      </c>
      <c r="J2958" s="15" t="s">
        <v>28697</v>
      </c>
      <c r="K2958" s="15">
        <v>6129</v>
      </c>
      <c r="L2958" s="15" t="s">
        <v>19099</v>
      </c>
    </row>
    <row r="2959" spans="1:12" x14ac:dyDescent="0.25">
      <c r="A2959" s="2" t="s">
        <v>8792</v>
      </c>
      <c r="B2959" s="8" t="s">
        <v>17744</v>
      </c>
      <c r="C2959" s="2" t="s">
        <v>8792</v>
      </c>
      <c r="D2959" s="2" t="s">
        <v>8793</v>
      </c>
      <c r="E2959" s="4" t="s">
        <v>8793</v>
      </c>
      <c r="G2959" s="15" t="s">
        <v>28698</v>
      </c>
      <c r="H2959" s="15" t="s">
        <v>28699</v>
      </c>
      <c r="I2959" s="15" t="s">
        <v>28700</v>
      </c>
      <c r="J2959" s="15" t="s">
        <v>28701</v>
      </c>
      <c r="K2959" s="15">
        <v>41384</v>
      </c>
      <c r="L2959" s="15" t="s">
        <v>19099</v>
      </c>
    </row>
    <row r="2960" spans="1:12" x14ac:dyDescent="0.25">
      <c r="A2960" s="2" t="s">
        <v>8795</v>
      </c>
      <c r="B2960" s="8" t="s">
        <v>17745</v>
      </c>
      <c r="C2960" s="2" t="s">
        <v>8795</v>
      </c>
      <c r="D2960" s="2" t="s">
        <v>8796</v>
      </c>
      <c r="E2960" s="4" t="s">
        <v>8796</v>
      </c>
      <c r="G2960" s="15" t="s">
        <v>28702</v>
      </c>
      <c r="H2960" s="15" t="s">
        <v>28703</v>
      </c>
      <c r="I2960" s="15" t="s">
        <v>28704</v>
      </c>
      <c r="J2960" s="15" t="s">
        <v>28705</v>
      </c>
      <c r="K2960" s="15">
        <v>152031</v>
      </c>
      <c r="L2960" s="15" t="s">
        <v>19099</v>
      </c>
    </row>
    <row r="2961" spans="1:12" x14ac:dyDescent="0.25">
      <c r="A2961" s="2" t="s">
        <v>8798</v>
      </c>
      <c r="B2961" s="8" t="s">
        <v>17746</v>
      </c>
      <c r="C2961" s="2" t="s">
        <v>8798</v>
      </c>
      <c r="D2961" s="2" t="s">
        <v>8799</v>
      </c>
      <c r="E2961" s="4" t="s">
        <v>28706</v>
      </c>
      <c r="G2961" s="15" t="s">
        <v>28707</v>
      </c>
      <c r="H2961" s="15" t="s">
        <v>28708</v>
      </c>
      <c r="I2961" s="15" t="s">
        <v>28709</v>
      </c>
      <c r="J2961" s="15" t="s">
        <v>19856</v>
      </c>
      <c r="K2961" s="15">
        <v>6854</v>
      </c>
      <c r="L2961" s="15" t="s">
        <v>19099</v>
      </c>
    </row>
    <row r="2962" spans="1:12" x14ac:dyDescent="0.25">
      <c r="A2962" s="2" t="s">
        <v>8801</v>
      </c>
      <c r="B2962" s="8" t="s">
        <v>17747</v>
      </c>
      <c r="C2962" s="2" t="s">
        <v>8801</v>
      </c>
      <c r="D2962" s="2" t="s">
        <v>8802</v>
      </c>
      <c r="E2962" s="4" t="s">
        <v>28710</v>
      </c>
      <c r="G2962" s="15" t="s">
        <v>28711</v>
      </c>
      <c r="H2962" s="15" t="s">
        <v>28712</v>
      </c>
      <c r="I2962" s="15" t="s">
        <v>28713</v>
      </c>
      <c r="J2962" s="15" t="s">
        <v>28714</v>
      </c>
      <c r="K2962" s="15">
        <v>86222</v>
      </c>
      <c r="L2962" s="15" t="s">
        <v>19099</v>
      </c>
    </row>
    <row r="2963" spans="1:12" x14ac:dyDescent="0.25">
      <c r="A2963" s="2" t="s">
        <v>8804</v>
      </c>
      <c r="B2963" s="8" t="s">
        <v>17748</v>
      </c>
      <c r="C2963" s="2" t="s">
        <v>8804</v>
      </c>
      <c r="D2963" s="2" t="s">
        <v>8805</v>
      </c>
      <c r="E2963" s="4" t="s">
        <v>8805</v>
      </c>
      <c r="G2963" s="15" t="s">
        <v>28715</v>
      </c>
      <c r="H2963" s="15" t="s">
        <v>28716</v>
      </c>
      <c r="I2963" s="15" t="s">
        <v>28717</v>
      </c>
      <c r="J2963" s="15" t="s">
        <v>28718</v>
      </c>
      <c r="K2963" s="15">
        <v>153847</v>
      </c>
      <c r="L2963" s="15" t="s">
        <v>19099</v>
      </c>
    </row>
    <row r="2964" spans="1:12" x14ac:dyDescent="0.25">
      <c r="A2964" s="2" t="s">
        <v>8807</v>
      </c>
      <c r="B2964" s="8" t="s">
        <v>17749</v>
      </c>
      <c r="C2964" s="2" t="s">
        <v>8807</v>
      </c>
      <c r="D2964" s="2" t="s">
        <v>8808</v>
      </c>
      <c r="E2964" s="4" t="s">
        <v>28719</v>
      </c>
      <c r="G2964" s="15" t="s">
        <v>28720</v>
      </c>
      <c r="H2964" s="15" t="s">
        <v>28721</v>
      </c>
      <c r="I2964" s="15" t="s">
        <v>28722</v>
      </c>
      <c r="J2964" s="15" t="s">
        <v>20547</v>
      </c>
      <c r="K2964" s="15">
        <v>7439</v>
      </c>
      <c r="L2964" s="15" t="s">
        <v>19099</v>
      </c>
    </row>
    <row r="2965" spans="1:12" x14ac:dyDescent="0.25">
      <c r="A2965" s="2" t="s">
        <v>8810</v>
      </c>
      <c r="B2965" s="8" t="s">
        <v>17750</v>
      </c>
      <c r="C2965" s="2" t="s">
        <v>8810</v>
      </c>
      <c r="D2965" s="2" t="s">
        <v>8811</v>
      </c>
      <c r="E2965" s="4" t="s">
        <v>28723</v>
      </c>
      <c r="G2965" s="15" t="s">
        <v>28723</v>
      </c>
      <c r="H2965" s="15" t="s">
        <v>28724</v>
      </c>
      <c r="I2965" s="15" t="s">
        <v>28725</v>
      </c>
      <c r="J2965" s="15" t="s">
        <v>28726</v>
      </c>
      <c r="K2965" s="15">
        <v>9253</v>
      </c>
      <c r="L2965" s="15" t="s">
        <v>19099</v>
      </c>
    </row>
    <row r="2966" spans="1:12" x14ac:dyDescent="0.25">
      <c r="A2966" s="2" t="s">
        <v>8813</v>
      </c>
      <c r="B2966" s="8" t="s">
        <v>17751</v>
      </c>
      <c r="C2966" s="2" t="s">
        <v>8813</v>
      </c>
      <c r="D2966" s="2" t="s">
        <v>8814</v>
      </c>
      <c r="E2966" s="4" t="s">
        <v>28727</v>
      </c>
    </row>
    <row r="2967" spans="1:12" x14ac:dyDescent="0.25">
      <c r="A2967" s="2" t="s">
        <v>8816</v>
      </c>
      <c r="B2967" s="8" t="s">
        <v>17752</v>
      </c>
      <c r="C2967" s="2" t="s">
        <v>8816</v>
      </c>
      <c r="D2967" s="2" t="s">
        <v>8817</v>
      </c>
      <c r="E2967" s="4" t="s">
        <v>28728</v>
      </c>
      <c r="G2967" s="15" t="s">
        <v>28729</v>
      </c>
      <c r="H2967" s="15" t="s">
        <v>28730</v>
      </c>
      <c r="I2967" s="15" t="s">
        <v>28731</v>
      </c>
      <c r="J2967" s="15" t="s">
        <v>28732</v>
      </c>
      <c r="K2967" s="15">
        <v>5479530</v>
      </c>
      <c r="L2967" s="15" t="s">
        <v>19099</v>
      </c>
    </row>
    <row r="2968" spans="1:12" x14ac:dyDescent="0.25">
      <c r="A2968" s="2" t="s">
        <v>8819</v>
      </c>
      <c r="B2968" s="8" t="s">
        <v>17753</v>
      </c>
      <c r="C2968" s="2" t="s">
        <v>8819</v>
      </c>
      <c r="D2968" s="2" t="s">
        <v>8820</v>
      </c>
      <c r="E2968" s="4" t="s">
        <v>8820</v>
      </c>
      <c r="G2968" s="15" t="s">
        <v>28733</v>
      </c>
      <c r="H2968" s="15" t="s">
        <v>28734</v>
      </c>
      <c r="I2968" s="15" t="s">
        <v>28735</v>
      </c>
      <c r="J2968" s="15" t="s">
        <v>28736</v>
      </c>
      <c r="K2968" s="15">
        <v>51039</v>
      </c>
      <c r="L2968" s="15" t="s">
        <v>19099</v>
      </c>
    </row>
    <row r="2969" spans="1:12" x14ac:dyDescent="0.25">
      <c r="A2969" s="2" t="s">
        <v>8822</v>
      </c>
      <c r="B2969" s="8" t="s">
        <v>17754</v>
      </c>
      <c r="C2969" s="2" t="s">
        <v>8822</v>
      </c>
      <c r="D2969" s="2" t="s">
        <v>8823</v>
      </c>
      <c r="E2969" s="4" t="s">
        <v>8823</v>
      </c>
      <c r="G2969" s="15" t="s">
        <v>28737</v>
      </c>
      <c r="H2969" s="15" t="s">
        <v>28738</v>
      </c>
      <c r="I2969" s="15" t="s">
        <v>28739</v>
      </c>
      <c r="J2969" s="15" t="s">
        <v>28740</v>
      </c>
      <c r="K2969" s="15">
        <v>47965</v>
      </c>
      <c r="L2969" s="15" t="s">
        <v>19099</v>
      </c>
    </row>
    <row r="2970" spans="1:12" x14ac:dyDescent="0.25">
      <c r="A2970" s="2" t="s">
        <v>8825</v>
      </c>
      <c r="B2970" s="8" t="s">
        <v>17755</v>
      </c>
      <c r="C2970" s="2" t="s">
        <v>8825</v>
      </c>
      <c r="D2970" s="2" t="s">
        <v>8826</v>
      </c>
      <c r="E2970" s="4" t="s">
        <v>28741</v>
      </c>
      <c r="G2970" s="15" t="s">
        <v>28742</v>
      </c>
      <c r="H2970" s="15" t="s">
        <v>28743</v>
      </c>
      <c r="I2970" s="15" t="s">
        <v>28744</v>
      </c>
      <c r="J2970" s="15" t="s">
        <v>28745</v>
      </c>
      <c r="K2970" s="15">
        <v>27447</v>
      </c>
      <c r="L2970" s="15" t="s">
        <v>19099</v>
      </c>
    </row>
    <row r="2971" spans="1:12" x14ac:dyDescent="0.25">
      <c r="A2971" s="2" t="s">
        <v>8828</v>
      </c>
      <c r="B2971" s="8" t="s">
        <v>17756</v>
      </c>
      <c r="C2971" s="2" t="s">
        <v>8828</v>
      </c>
      <c r="D2971" s="2" t="s">
        <v>8829</v>
      </c>
      <c r="E2971" s="4" t="s">
        <v>28746</v>
      </c>
      <c r="G2971" s="15" t="s">
        <v>28747</v>
      </c>
      <c r="H2971" s="15" t="s">
        <v>28748</v>
      </c>
      <c r="I2971" s="15" t="s">
        <v>28749</v>
      </c>
      <c r="J2971" s="15" t="s">
        <v>28750</v>
      </c>
      <c r="K2971" s="15">
        <v>5479529</v>
      </c>
      <c r="L2971" s="15" t="s">
        <v>19099</v>
      </c>
    </row>
    <row r="2972" spans="1:12" x14ac:dyDescent="0.25">
      <c r="A2972" s="2" t="s">
        <v>8831</v>
      </c>
      <c r="B2972" s="8" t="s">
        <v>17757</v>
      </c>
      <c r="C2972" s="2" t="s">
        <v>8831</v>
      </c>
      <c r="D2972" s="2" t="s">
        <v>8832</v>
      </c>
      <c r="E2972" s="4" t="s">
        <v>8832</v>
      </c>
      <c r="G2972" s="15" t="s">
        <v>28751</v>
      </c>
      <c r="H2972" s="15" t="s">
        <v>28752</v>
      </c>
      <c r="I2972" s="15" t="s">
        <v>28753</v>
      </c>
      <c r="J2972" s="15" t="s">
        <v>28754</v>
      </c>
      <c r="K2972" s="15">
        <v>6328657</v>
      </c>
      <c r="L2972" s="15" t="s">
        <v>19099</v>
      </c>
    </row>
    <row r="2973" spans="1:12" x14ac:dyDescent="0.25">
      <c r="A2973" s="2" t="s">
        <v>8834</v>
      </c>
      <c r="B2973" s="8" t="s">
        <v>17758</v>
      </c>
      <c r="C2973" s="2" t="s">
        <v>8834</v>
      </c>
      <c r="D2973" s="2" t="s">
        <v>8835</v>
      </c>
      <c r="E2973" s="4" t="s">
        <v>8835</v>
      </c>
      <c r="G2973" s="15" t="s">
        <v>28755</v>
      </c>
      <c r="H2973" s="15" t="s">
        <v>28756</v>
      </c>
      <c r="I2973" s="15" t="s">
        <v>28757</v>
      </c>
      <c r="J2973" s="15" t="s">
        <v>28758</v>
      </c>
      <c r="K2973" s="15">
        <v>5742673</v>
      </c>
      <c r="L2973" s="15" t="s">
        <v>19099</v>
      </c>
    </row>
    <row r="2974" spans="1:12" x14ac:dyDescent="0.25">
      <c r="A2974" s="2" t="s">
        <v>8837</v>
      </c>
      <c r="B2974" s="8" t="s">
        <v>17759</v>
      </c>
      <c r="C2974" s="2" t="s">
        <v>8837</v>
      </c>
      <c r="D2974" s="2" t="s">
        <v>8838</v>
      </c>
      <c r="E2974" s="4" t="s">
        <v>28759</v>
      </c>
      <c r="G2974" s="15" t="s">
        <v>28760</v>
      </c>
      <c r="H2974" s="15" t="s">
        <v>28761</v>
      </c>
      <c r="I2974" s="15" t="s">
        <v>28762</v>
      </c>
      <c r="J2974" s="15" t="s">
        <v>28763</v>
      </c>
      <c r="K2974" s="15">
        <v>5362065</v>
      </c>
      <c r="L2974" s="15" t="s">
        <v>19099</v>
      </c>
    </row>
    <row r="2975" spans="1:12" x14ac:dyDescent="0.25">
      <c r="A2975" s="2" t="s">
        <v>8840</v>
      </c>
      <c r="B2975" s="8" t="s">
        <v>17760</v>
      </c>
      <c r="C2975" s="2" t="s">
        <v>8840</v>
      </c>
      <c r="D2975" s="2" t="s">
        <v>8841</v>
      </c>
      <c r="E2975" s="4" t="s">
        <v>28764</v>
      </c>
      <c r="G2975" s="15" t="s">
        <v>28765</v>
      </c>
      <c r="H2975" s="15" t="s">
        <v>28766</v>
      </c>
      <c r="I2975" s="15" t="s">
        <v>28767</v>
      </c>
      <c r="J2975" s="15" t="s">
        <v>28768</v>
      </c>
      <c r="K2975" s="15">
        <v>33255</v>
      </c>
      <c r="L2975" s="15" t="s">
        <v>19099</v>
      </c>
    </row>
    <row r="2976" spans="1:12" x14ac:dyDescent="0.25">
      <c r="A2976" s="2" t="s">
        <v>8843</v>
      </c>
      <c r="B2976" s="8" t="s">
        <v>17761</v>
      </c>
      <c r="C2976" s="2" t="s">
        <v>8843</v>
      </c>
      <c r="D2976" s="2" t="s">
        <v>8844</v>
      </c>
      <c r="E2976" s="4" t="s">
        <v>8844</v>
      </c>
      <c r="G2976" s="15" t="s">
        <v>28769</v>
      </c>
      <c r="H2976" s="15" t="s">
        <v>28770</v>
      </c>
      <c r="I2976" s="15" t="s">
        <v>28771</v>
      </c>
      <c r="J2976" s="15" t="s">
        <v>28772</v>
      </c>
      <c r="K2976" s="15">
        <v>16211032</v>
      </c>
      <c r="L2976" s="15" t="s">
        <v>19099</v>
      </c>
    </row>
    <row r="2977" spans="1:12" x14ac:dyDescent="0.25">
      <c r="A2977" s="2" t="s">
        <v>8846</v>
      </c>
      <c r="B2977" s="8" t="s">
        <v>17762</v>
      </c>
      <c r="C2977" s="2" t="s">
        <v>8846</v>
      </c>
      <c r="D2977" s="2" t="s">
        <v>8847</v>
      </c>
      <c r="E2977" s="4" t="s">
        <v>28773</v>
      </c>
      <c r="G2977" s="15" t="s">
        <v>28774</v>
      </c>
      <c r="H2977" s="15" t="s">
        <v>28775</v>
      </c>
      <c r="I2977" s="15" t="s">
        <v>28776</v>
      </c>
      <c r="J2977" s="15" t="s">
        <v>28777</v>
      </c>
      <c r="K2977" s="15">
        <v>3032604</v>
      </c>
      <c r="L2977" s="15" t="s">
        <v>19099</v>
      </c>
    </row>
    <row r="2978" spans="1:12" x14ac:dyDescent="0.25">
      <c r="A2978" s="2" t="s">
        <v>8849</v>
      </c>
      <c r="B2978" s="8" t="s">
        <v>17763</v>
      </c>
      <c r="C2978" s="2" t="s">
        <v>8849</v>
      </c>
      <c r="D2978" s="2" t="s">
        <v>8850</v>
      </c>
      <c r="E2978" s="4" t="s">
        <v>28778</v>
      </c>
      <c r="G2978" s="15" t="s">
        <v>28779</v>
      </c>
      <c r="H2978" s="15" t="s">
        <v>28780</v>
      </c>
      <c r="I2978" s="15" t="s">
        <v>28781</v>
      </c>
      <c r="J2978" s="15" t="s">
        <v>28782</v>
      </c>
      <c r="K2978" s="15">
        <v>94382</v>
      </c>
      <c r="L2978" s="15" t="s">
        <v>19099</v>
      </c>
    </row>
    <row r="2979" spans="1:12" x14ac:dyDescent="0.25">
      <c r="A2979" s="2" t="s">
        <v>8852</v>
      </c>
      <c r="B2979" s="8" t="s">
        <v>17764</v>
      </c>
      <c r="C2979" s="2" t="s">
        <v>8852</v>
      </c>
      <c r="D2979" s="2" t="s">
        <v>8853</v>
      </c>
      <c r="E2979" s="4" t="s">
        <v>28783</v>
      </c>
    </row>
    <row r="2980" spans="1:12" x14ac:dyDescent="0.25">
      <c r="A2980" s="2" t="s">
        <v>8855</v>
      </c>
      <c r="B2980" s="8" t="s">
        <v>17765</v>
      </c>
      <c r="C2980" s="2" t="s">
        <v>8855</v>
      </c>
      <c r="D2980" s="2" t="s">
        <v>8856</v>
      </c>
      <c r="E2980" s="4" t="s">
        <v>8856</v>
      </c>
      <c r="G2980" s="15" t="s">
        <v>28784</v>
      </c>
      <c r="H2980" s="15" t="s">
        <v>28785</v>
      </c>
      <c r="I2980" s="15" t="s">
        <v>28786</v>
      </c>
      <c r="J2980" s="15" t="s">
        <v>28787</v>
      </c>
      <c r="K2980" s="15">
        <v>71853</v>
      </c>
      <c r="L2980" s="15" t="s">
        <v>19099</v>
      </c>
    </row>
    <row r="2981" spans="1:12" x14ac:dyDescent="0.25">
      <c r="A2981" s="2" t="s">
        <v>8858</v>
      </c>
      <c r="B2981" s="8" t="s">
        <v>17766</v>
      </c>
      <c r="C2981" s="2" t="s">
        <v>8858</v>
      </c>
      <c r="D2981" s="2" t="s">
        <v>8859</v>
      </c>
      <c r="E2981" s="4" t="s">
        <v>28788</v>
      </c>
      <c r="G2981" s="15" t="s">
        <v>28789</v>
      </c>
      <c r="H2981" s="15" t="s">
        <v>28790</v>
      </c>
      <c r="I2981" s="15" t="s">
        <v>28791</v>
      </c>
      <c r="J2981" s="15" t="s">
        <v>28792</v>
      </c>
      <c r="K2981" s="15">
        <v>73670</v>
      </c>
      <c r="L2981" s="15" t="s">
        <v>19099</v>
      </c>
    </row>
    <row r="2982" spans="1:12" x14ac:dyDescent="0.25">
      <c r="A2982" s="2" t="s">
        <v>8861</v>
      </c>
      <c r="B2982" s="8" t="s">
        <v>17767</v>
      </c>
      <c r="C2982" s="2" t="s">
        <v>8861</v>
      </c>
      <c r="D2982" s="2" t="s">
        <v>8862</v>
      </c>
      <c r="E2982" s="4" t="s">
        <v>8862</v>
      </c>
      <c r="G2982" s="15" t="s">
        <v>28793</v>
      </c>
      <c r="H2982" s="15" t="s">
        <v>28794</v>
      </c>
      <c r="I2982" s="15" t="s">
        <v>28795</v>
      </c>
      <c r="J2982" s="15" t="s">
        <v>28796</v>
      </c>
      <c r="K2982" s="15">
        <v>8371</v>
      </c>
      <c r="L2982" s="15" t="s">
        <v>19099</v>
      </c>
    </row>
    <row r="2983" spans="1:12" x14ac:dyDescent="0.25">
      <c r="A2983" s="2" t="s">
        <v>8864</v>
      </c>
      <c r="B2983" s="8" t="s">
        <v>17768</v>
      </c>
      <c r="C2983" s="2" t="s">
        <v>8864</v>
      </c>
      <c r="D2983" s="2" t="s">
        <v>8865</v>
      </c>
      <c r="E2983" s="4" t="s">
        <v>8865</v>
      </c>
      <c r="G2983" s="15" t="s">
        <v>28797</v>
      </c>
      <c r="H2983" s="15" t="s">
        <v>28798</v>
      </c>
      <c r="I2983" s="15" t="s">
        <v>28799</v>
      </c>
      <c r="J2983" s="15" t="s">
        <v>28800</v>
      </c>
      <c r="K2983" s="15">
        <v>11271640</v>
      </c>
      <c r="L2983" s="15" t="s">
        <v>19099</v>
      </c>
    </row>
    <row r="2984" spans="1:12" x14ac:dyDescent="0.25">
      <c r="A2984" s="2" t="s">
        <v>8867</v>
      </c>
      <c r="B2984" s="8" t="s">
        <v>17769</v>
      </c>
      <c r="C2984" s="2" t="s">
        <v>8867</v>
      </c>
      <c r="D2984" s="2" t="s">
        <v>8868</v>
      </c>
      <c r="E2984" s="4" t="s">
        <v>28801</v>
      </c>
      <c r="G2984" s="15" t="s">
        <v>28802</v>
      </c>
      <c r="H2984" s="15" t="s">
        <v>28803</v>
      </c>
      <c r="I2984" s="15" t="s">
        <v>28804</v>
      </c>
      <c r="J2984" s="15" t="s">
        <v>28805</v>
      </c>
      <c r="K2984" s="15">
        <v>7057995</v>
      </c>
      <c r="L2984" s="15" t="s">
        <v>19099</v>
      </c>
    </row>
    <row r="2985" spans="1:12" x14ac:dyDescent="0.25">
      <c r="A2985" s="2" t="s">
        <v>8870</v>
      </c>
      <c r="B2985" s="8" t="s">
        <v>17770</v>
      </c>
      <c r="C2985" s="2" t="s">
        <v>8870</v>
      </c>
      <c r="D2985" s="2" t="s">
        <v>8871</v>
      </c>
      <c r="E2985" s="4" t="s">
        <v>8871</v>
      </c>
      <c r="G2985" s="15" t="s">
        <v>28806</v>
      </c>
      <c r="H2985" s="15" t="s">
        <v>28807</v>
      </c>
      <c r="I2985" s="15" t="s">
        <v>28808</v>
      </c>
      <c r="J2985" s="15" t="s">
        <v>28809</v>
      </c>
      <c r="K2985" s="15">
        <v>56160</v>
      </c>
      <c r="L2985" s="15" t="s">
        <v>19099</v>
      </c>
    </row>
    <row r="2986" spans="1:12" x14ac:dyDescent="0.25">
      <c r="A2986" s="2" t="s">
        <v>8873</v>
      </c>
      <c r="B2986" s="8" t="s">
        <v>17771</v>
      </c>
      <c r="C2986" s="2" t="s">
        <v>8873</v>
      </c>
      <c r="D2986" s="2" t="s">
        <v>8874</v>
      </c>
      <c r="E2986" s="4" t="s">
        <v>28810</v>
      </c>
      <c r="G2986" s="15" t="s">
        <v>28811</v>
      </c>
      <c r="H2986" s="15" t="s">
        <v>28812</v>
      </c>
      <c r="I2986" s="15" t="s">
        <v>28813</v>
      </c>
      <c r="J2986" s="15" t="s">
        <v>28814</v>
      </c>
      <c r="K2986" s="15">
        <v>51574</v>
      </c>
      <c r="L2986" s="15" t="s">
        <v>19099</v>
      </c>
    </row>
    <row r="2987" spans="1:12" x14ac:dyDescent="0.25">
      <c r="A2987" s="2" t="s">
        <v>8876</v>
      </c>
      <c r="B2987" s="8" t="s">
        <v>17772</v>
      </c>
      <c r="C2987" s="2" t="s">
        <v>8876</v>
      </c>
      <c r="D2987" s="2" t="s">
        <v>8877</v>
      </c>
      <c r="E2987" s="4" t="s">
        <v>28815</v>
      </c>
      <c r="G2987" s="15" t="s">
        <v>28816</v>
      </c>
      <c r="H2987" s="15" t="s">
        <v>28817</v>
      </c>
      <c r="I2987" s="15" t="s">
        <v>28818</v>
      </c>
      <c r="J2987" s="15" t="s">
        <v>21721</v>
      </c>
      <c r="K2987" s="15">
        <v>6432161</v>
      </c>
      <c r="L2987" s="15" t="s">
        <v>19099</v>
      </c>
    </row>
    <row r="2988" spans="1:12" x14ac:dyDescent="0.25">
      <c r="A2988" s="2" t="s">
        <v>8879</v>
      </c>
      <c r="B2988" s="8" t="s">
        <v>17773</v>
      </c>
      <c r="C2988" s="2" t="s">
        <v>8879</v>
      </c>
      <c r="D2988" s="2" t="s">
        <v>8880</v>
      </c>
      <c r="E2988" s="4" t="s">
        <v>8880</v>
      </c>
      <c r="G2988" s="15" t="s">
        <v>28819</v>
      </c>
      <c r="H2988" s="15" t="s">
        <v>28820</v>
      </c>
      <c r="I2988" s="15" t="s">
        <v>28821</v>
      </c>
      <c r="J2988" s="15" t="s">
        <v>21717</v>
      </c>
      <c r="K2988" s="15">
        <v>5997</v>
      </c>
      <c r="L2988" s="15" t="s">
        <v>19099</v>
      </c>
    </row>
    <row r="2989" spans="1:12" x14ac:dyDescent="0.25">
      <c r="A2989" s="2" t="s">
        <v>8882</v>
      </c>
      <c r="B2989" s="8" t="s">
        <v>17774</v>
      </c>
      <c r="C2989" s="2" t="s">
        <v>8882</v>
      </c>
      <c r="D2989" s="2" t="s">
        <v>8883</v>
      </c>
      <c r="E2989" s="4" t="s">
        <v>28822</v>
      </c>
      <c r="G2989" s="15" t="s">
        <v>28823</v>
      </c>
      <c r="H2989" s="15" t="s">
        <v>28824</v>
      </c>
      <c r="I2989" s="15" t="s">
        <v>28825</v>
      </c>
      <c r="J2989" s="15" t="s">
        <v>28826</v>
      </c>
      <c r="K2989" s="15">
        <v>25477</v>
      </c>
      <c r="L2989" s="15" t="s">
        <v>19099</v>
      </c>
    </row>
    <row r="2990" spans="1:12" x14ac:dyDescent="0.25">
      <c r="A2990" s="2" t="s">
        <v>8885</v>
      </c>
      <c r="B2990" s="8" t="s">
        <v>17775</v>
      </c>
      <c r="C2990" s="2" t="s">
        <v>8885</v>
      </c>
      <c r="D2990" s="2" t="s">
        <v>8886</v>
      </c>
      <c r="E2990" s="4" t="s">
        <v>28827</v>
      </c>
      <c r="G2990" s="15" t="s">
        <v>28828</v>
      </c>
      <c r="H2990" s="15" t="s">
        <v>28829</v>
      </c>
      <c r="I2990" s="15" t="s">
        <v>28830</v>
      </c>
      <c r="J2990" s="15" t="s">
        <v>28831</v>
      </c>
      <c r="K2990" s="15">
        <v>20803</v>
      </c>
      <c r="L2990" s="15" t="s">
        <v>19099</v>
      </c>
    </row>
    <row r="2991" spans="1:12" x14ac:dyDescent="0.25">
      <c r="A2991" s="2" t="s">
        <v>8888</v>
      </c>
      <c r="B2991" s="8" t="s">
        <v>17776</v>
      </c>
      <c r="C2991" s="2" t="s">
        <v>8888</v>
      </c>
      <c r="D2991" s="2" t="s">
        <v>8889</v>
      </c>
      <c r="E2991" s="4" t="s">
        <v>28832</v>
      </c>
      <c r="G2991" s="15" t="s">
        <v>28833</v>
      </c>
      <c r="H2991" s="15" t="s">
        <v>28834</v>
      </c>
      <c r="I2991" s="15" t="s">
        <v>28835</v>
      </c>
      <c r="J2991" s="15" t="s">
        <v>28836</v>
      </c>
      <c r="K2991" s="15">
        <v>22960</v>
      </c>
      <c r="L2991" s="15" t="s">
        <v>19099</v>
      </c>
    </row>
    <row r="2992" spans="1:12" x14ac:dyDescent="0.25">
      <c r="A2992" s="2" t="s">
        <v>8891</v>
      </c>
      <c r="B2992" s="8" t="s">
        <v>17777</v>
      </c>
      <c r="C2992" s="2" t="s">
        <v>8891</v>
      </c>
      <c r="D2992" s="2" t="s">
        <v>8892</v>
      </c>
      <c r="E2992" s="4" t="s">
        <v>28837</v>
      </c>
      <c r="G2992" s="15" t="s">
        <v>28838</v>
      </c>
      <c r="H2992" s="15" t="s">
        <v>28839</v>
      </c>
      <c r="I2992" s="15" t="s">
        <v>28840</v>
      </c>
      <c r="J2992" s="15" t="s">
        <v>28841</v>
      </c>
      <c r="K2992" s="15">
        <v>9916275</v>
      </c>
      <c r="L2992" s="15" t="s">
        <v>19099</v>
      </c>
    </row>
    <row r="2993" spans="1:12" x14ac:dyDescent="0.25">
      <c r="A2993" s="2" t="s">
        <v>8894</v>
      </c>
      <c r="B2993" s="8" t="s">
        <v>17778</v>
      </c>
      <c r="C2993" s="2" t="s">
        <v>8894</v>
      </c>
      <c r="D2993" s="2" t="s">
        <v>8895</v>
      </c>
      <c r="E2993" s="4" t="s">
        <v>28842</v>
      </c>
      <c r="G2993" s="15" t="s">
        <v>28843</v>
      </c>
      <c r="H2993" s="15" t="s">
        <v>28844</v>
      </c>
      <c r="I2993" s="15" t="s">
        <v>28845</v>
      </c>
      <c r="J2993" s="15" t="s">
        <v>28846</v>
      </c>
      <c r="K2993" s="15">
        <v>11294</v>
      </c>
      <c r="L2993" s="15" t="s">
        <v>19099</v>
      </c>
    </row>
    <row r="2994" spans="1:12" x14ac:dyDescent="0.25">
      <c r="A2994" s="2" t="s">
        <v>8897</v>
      </c>
      <c r="B2994" s="8" t="s">
        <v>17779</v>
      </c>
      <c r="C2994" s="2" t="s">
        <v>8897</v>
      </c>
      <c r="D2994" s="2" t="s">
        <v>8898</v>
      </c>
      <c r="E2994" s="4" t="s">
        <v>28847</v>
      </c>
      <c r="G2994" s="15" t="s">
        <v>28848</v>
      </c>
      <c r="H2994" s="15" t="s">
        <v>28849</v>
      </c>
      <c r="I2994" s="15" t="s">
        <v>28850</v>
      </c>
      <c r="J2994" s="15" t="s">
        <v>28851</v>
      </c>
      <c r="K2994" s="15">
        <v>13806</v>
      </c>
      <c r="L2994" s="15" t="s">
        <v>19099</v>
      </c>
    </row>
    <row r="2995" spans="1:12" x14ac:dyDescent="0.25">
      <c r="A2995" s="2" t="s">
        <v>8900</v>
      </c>
      <c r="B2995" s="8" t="s">
        <v>17780</v>
      </c>
      <c r="C2995" s="2" t="s">
        <v>8900</v>
      </c>
      <c r="D2995" s="2" t="s">
        <v>8901</v>
      </c>
      <c r="E2995" s="4" t="s">
        <v>28852</v>
      </c>
      <c r="G2995" s="15" t="s">
        <v>28853</v>
      </c>
      <c r="H2995" s="15" t="s">
        <v>28854</v>
      </c>
      <c r="I2995" s="15" t="s">
        <v>28855</v>
      </c>
      <c r="J2995" s="15" t="s">
        <v>28856</v>
      </c>
      <c r="K2995" s="15">
        <v>6296</v>
      </c>
      <c r="L2995" s="15" t="s">
        <v>19099</v>
      </c>
    </row>
    <row r="2996" spans="1:12" x14ac:dyDescent="0.25">
      <c r="A2996" s="2" t="s">
        <v>8903</v>
      </c>
      <c r="B2996" s="8" t="s">
        <v>17781</v>
      </c>
      <c r="C2996" s="2" t="s">
        <v>8903</v>
      </c>
      <c r="D2996" s="2" t="s">
        <v>8904</v>
      </c>
      <c r="E2996" s="4" t="s">
        <v>28857</v>
      </c>
      <c r="G2996" s="15" t="s">
        <v>28858</v>
      </c>
      <c r="H2996" s="15" t="s">
        <v>28859</v>
      </c>
      <c r="I2996" s="15" t="s">
        <v>28860</v>
      </c>
      <c r="J2996" s="15" t="s">
        <v>28861</v>
      </c>
      <c r="K2996" s="15">
        <v>34237</v>
      </c>
      <c r="L2996" s="15" t="s">
        <v>19099</v>
      </c>
    </row>
    <row r="2997" spans="1:12" x14ac:dyDescent="0.25">
      <c r="A2997" s="2" t="s">
        <v>8906</v>
      </c>
      <c r="B2997" s="8" t="s">
        <v>17782</v>
      </c>
      <c r="C2997" s="2" t="s">
        <v>8906</v>
      </c>
      <c r="D2997" s="2" t="s">
        <v>8907</v>
      </c>
      <c r="E2997" s="4" t="s">
        <v>28862</v>
      </c>
      <c r="G2997" s="15" t="s">
        <v>28863</v>
      </c>
      <c r="H2997" s="15" t="s">
        <v>28864</v>
      </c>
      <c r="I2997" s="15" t="s">
        <v>28865</v>
      </c>
      <c r="J2997" s="15" t="s">
        <v>28866</v>
      </c>
      <c r="K2997" s="15">
        <v>17449</v>
      </c>
      <c r="L2997" s="15" t="s">
        <v>19099</v>
      </c>
    </row>
    <row r="2998" spans="1:12" x14ac:dyDescent="0.25">
      <c r="A2998" s="2" t="s">
        <v>8909</v>
      </c>
      <c r="B2998" s="8" t="s">
        <v>17783</v>
      </c>
      <c r="C2998" s="2" t="s">
        <v>8909</v>
      </c>
      <c r="D2998" s="2" t="s">
        <v>8910</v>
      </c>
      <c r="E2998" s="4" t="s">
        <v>28867</v>
      </c>
      <c r="G2998" s="15" t="s">
        <v>28868</v>
      </c>
      <c r="H2998" s="15" t="s">
        <v>28869</v>
      </c>
      <c r="I2998" s="15" t="s">
        <v>28870</v>
      </c>
      <c r="J2998" s="15" t="s">
        <v>28871</v>
      </c>
      <c r="K2998" s="15">
        <v>5284349</v>
      </c>
      <c r="L2998" s="15" t="s">
        <v>19099</v>
      </c>
    </row>
    <row r="2999" spans="1:12" x14ac:dyDescent="0.25">
      <c r="A2999" s="2" t="s">
        <v>8912</v>
      </c>
      <c r="B2999" s="8" t="s">
        <v>17784</v>
      </c>
      <c r="C2999" s="2" t="s">
        <v>8912</v>
      </c>
      <c r="D2999" s="2" t="s">
        <v>8913</v>
      </c>
      <c r="E2999" s="4" t="s">
        <v>28872</v>
      </c>
    </row>
    <row r="3000" spans="1:12" x14ac:dyDescent="0.25">
      <c r="A3000" s="2" t="s">
        <v>8915</v>
      </c>
      <c r="B3000" s="8" t="s">
        <v>17785</v>
      </c>
      <c r="C3000" s="2" t="s">
        <v>8915</v>
      </c>
      <c r="D3000" s="2" t="s">
        <v>8916</v>
      </c>
      <c r="E3000" s="4" t="s">
        <v>28873</v>
      </c>
      <c r="G3000" s="15" t="s">
        <v>28874</v>
      </c>
      <c r="H3000" s="15" t="s">
        <v>28875</v>
      </c>
      <c r="I3000" s="15" t="s">
        <v>28876</v>
      </c>
      <c r="J3000" s="15" t="s">
        <v>28877</v>
      </c>
      <c r="K3000" s="15">
        <v>17811</v>
      </c>
      <c r="L3000" s="15" t="s">
        <v>19099</v>
      </c>
    </row>
    <row r="3001" spans="1:12" x14ac:dyDescent="0.25">
      <c r="A3001" s="2" t="s">
        <v>8918</v>
      </c>
      <c r="B3001" s="8" t="s">
        <v>17786</v>
      </c>
      <c r="C3001" s="2" t="s">
        <v>8918</v>
      </c>
      <c r="D3001" s="2" t="s">
        <v>8919</v>
      </c>
      <c r="E3001" s="4" t="s">
        <v>28878</v>
      </c>
      <c r="G3001" s="15" t="s">
        <v>28879</v>
      </c>
      <c r="H3001" s="15" t="s">
        <v>28880</v>
      </c>
      <c r="I3001" s="15" t="s">
        <v>28881</v>
      </c>
      <c r="J3001" s="15" t="s">
        <v>28882</v>
      </c>
      <c r="K3001" s="15">
        <v>2724065</v>
      </c>
      <c r="L3001" s="15" t="s">
        <v>19099</v>
      </c>
    </row>
    <row r="3002" spans="1:12" x14ac:dyDescent="0.25">
      <c r="A3002" s="2" t="s">
        <v>8921</v>
      </c>
      <c r="B3002" s="8" t="s">
        <v>17787</v>
      </c>
      <c r="C3002" s="2" t="s">
        <v>8921</v>
      </c>
      <c r="D3002" s="2" t="s">
        <v>8922</v>
      </c>
      <c r="E3002" s="4" t="s">
        <v>8922</v>
      </c>
      <c r="G3002" s="15" t="s">
        <v>28883</v>
      </c>
      <c r="H3002" s="15" t="s">
        <v>28884</v>
      </c>
      <c r="I3002" s="15" t="s">
        <v>28885</v>
      </c>
      <c r="J3002" s="15" t="s">
        <v>28886</v>
      </c>
      <c r="K3002" s="15">
        <v>56329</v>
      </c>
      <c r="L3002" s="15" t="s">
        <v>19099</v>
      </c>
    </row>
    <row r="3003" spans="1:12" x14ac:dyDescent="0.25">
      <c r="A3003" s="2" t="s">
        <v>8924</v>
      </c>
      <c r="B3003" s="8" t="s">
        <v>17788</v>
      </c>
      <c r="C3003" s="2" t="s">
        <v>8924</v>
      </c>
      <c r="D3003" s="2" t="s">
        <v>8925</v>
      </c>
      <c r="E3003" s="4" t="s">
        <v>8925</v>
      </c>
      <c r="G3003" s="15" t="s">
        <v>28887</v>
      </c>
      <c r="H3003" s="15" t="s">
        <v>28888</v>
      </c>
      <c r="I3003" s="15" t="s">
        <v>28889</v>
      </c>
      <c r="J3003" s="15" t="s">
        <v>28890</v>
      </c>
      <c r="K3003" s="15">
        <v>5851439</v>
      </c>
      <c r="L3003" s="15" t="s">
        <v>19099</v>
      </c>
    </row>
    <row r="3004" spans="1:12" x14ac:dyDescent="0.25">
      <c r="A3004" s="2" t="s">
        <v>8927</v>
      </c>
      <c r="B3004" s="8" t="s">
        <v>17789</v>
      </c>
      <c r="C3004" s="2" t="s">
        <v>8927</v>
      </c>
      <c r="D3004" s="2" t="s">
        <v>8928</v>
      </c>
      <c r="E3004" s="4" t="s">
        <v>8928</v>
      </c>
      <c r="G3004" s="15" t="s">
        <v>28891</v>
      </c>
      <c r="H3004" s="15" t="s">
        <v>28892</v>
      </c>
      <c r="I3004" s="15" t="s">
        <v>28893</v>
      </c>
      <c r="J3004" s="15" t="s">
        <v>19884</v>
      </c>
      <c r="K3004" s="15">
        <v>637511</v>
      </c>
      <c r="L3004" s="15" t="s">
        <v>19099</v>
      </c>
    </row>
    <row r="3005" spans="1:12" x14ac:dyDescent="0.25">
      <c r="A3005" s="2" t="s">
        <v>8930</v>
      </c>
      <c r="B3005" s="8" t="s">
        <v>17790</v>
      </c>
      <c r="C3005" s="2" t="s">
        <v>8930</v>
      </c>
      <c r="D3005" s="2" t="s">
        <v>8931</v>
      </c>
      <c r="E3005" s="4" t="s">
        <v>8931</v>
      </c>
      <c r="G3005" s="15" t="s">
        <v>28894</v>
      </c>
      <c r="H3005" s="15" t="s">
        <v>28895</v>
      </c>
      <c r="I3005" s="15" t="s">
        <v>28896</v>
      </c>
      <c r="J3005" s="15" t="s">
        <v>28897</v>
      </c>
      <c r="K3005" s="15">
        <v>92420</v>
      </c>
      <c r="L3005" s="15" t="s">
        <v>19099</v>
      </c>
    </row>
    <row r="3006" spans="1:12" x14ac:dyDescent="0.25">
      <c r="A3006" s="2" t="s">
        <v>8933</v>
      </c>
      <c r="B3006" s="8" t="s">
        <v>17791</v>
      </c>
      <c r="C3006" s="2" t="s">
        <v>8933</v>
      </c>
      <c r="D3006" s="2" t="s">
        <v>8934</v>
      </c>
      <c r="E3006" s="4" t="s">
        <v>28898</v>
      </c>
      <c r="G3006" s="15" t="s">
        <v>28899</v>
      </c>
      <c r="H3006" s="15" t="s">
        <v>28900</v>
      </c>
      <c r="I3006" s="15" t="s">
        <v>28901</v>
      </c>
      <c r="J3006" s="15" t="s">
        <v>28902</v>
      </c>
      <c r="K3006" s="15">
        <v>2764</v>
      </c>
      <c r="L3006" s="15" t="s">
        <v>19099</v>
      </c>
    </row>
    <row r="3007" spans="1:12" x14ac:dyDescent="0.25">
      <c r="A3007" s="2" t="s">
        <v>8936</v>
      </c>
      <c r="B3007" s="8" t="s">
        <v>17792</v>
      </c>
      <c r="C3007" s="2" t="s">
        <v>8936</v>
      </c>
      <c r="D3007" s="2" t="s">
        <v>8937</v>
      </c>
      <c r="E3007" s="4" t="s">
        <v>28903</v>
      </c>
      <c r="G3007" s="15" t="s">
        <v>28904</v>
      </c>
      <c r="H3007" s="15" t="s">
        <v>28905</v>
      </c>
      <c r="I3007" s="15" t="s">
        <v>28906</v>
      </c>
      <c r="J3007" s="15" t="s">
        <v>28907</v>
      </c>
      <c r="K3007" s="15">
        <v>18386</v>
      </c>
      <c r="L3007" s="15" t="s">
        <v>19099</v>
      </c>
    </row>
    <row r="3008" spans="1:12" x14ac:dyDescent="0.25">
      <c r="A3008" s="2" t="s">
        <v>8939</v>
      </c>
      <c r="B3008" s="8" t="s">
        <v>17793</v>
      </c>
      <c r="C3008" s="2" t="s">
        <v>8939</v>
      </c>
      <c r="D3008" s="2" t="s">
        <v>8940</v>
      </c>
      <c r="E3008" s="4" t="s">
        <v>28908</v>
      </c>
      <c r="G3008" s="15" t="s">
        <v>28909</v>
      </c>
      <c r="H3008" s="15" t="s">
        <v>28910</v>
      </c>
      <c r="I3008" s="15" t="s">
        <v>28911</v>
      </c>
      <c r="J3008" s="15" t="s">
        <v>28912</v>
      </c>
      <c r="K3008" s="15">
        <v>13297</v>
      </c>
      <c r="L3008" s="15" t="s">
        <v>19099</v>
      </c>
    </row>
    <row r="3009" spans="1:12" x14ac:dyDescent="0.25">
      <c r="A3009" s="2" t="s">
        <v>8942</v>
      </c>
      <c r="B3009" s="8" t="s">
        <v>17794</v>
      </c>
      <c r="C3009" s="2" t="s">
        <v>8942</v>
      </c>
      <c r="D3009" s="2" t="s">
        <v>8943</v>
      </c>
      <c r="E3009" s="4" t="s">
        <v>28913</v>
      </c>
      <c r="G3009" s="15" t="s">
        <v>28914</v>
      </c>
      <c r="H3009" s="15" t="s">
        <v>28915</v>
      </c>
      <c r="I3009" s="15" t="s">
        <v>28916</v>
      </c>
      <c r="J3009" s="15" t="s">
        <v>21562</v>
      </c>
      <c r="K3009" s="15">
        <v>7340</v>
      </c>
      <c r="L3009" s="15" t="s">
        <v>19099</v>
      </c>
    </row>
    <row r="3010" spans="1:12" x14ac:dyDescent="0.25">
      <c r="A3010" s="2" t="s">
        <v>8945</v>
      </c>
      <c r="B3010" s="8" t="s">
        <v>17795</v>
      </c>
      <c r="C3010" s="2" t="s">
        <v>8945</v>
      </c>
      <c r="D3010" s="2" t="s">
        <v>8946</v>
      </c>
      <c r="E3010" s="4" t="s">
        <v>28917</v>
      </c>
      <c r="G3010" s="15" t="s">
        <v>28918</v>
      </c>
      <c r="H3010" s="15" t="s">
        <v>28919</v>
      </c>
      <c r="I3010" s="15" t="s">
        <v>28920</v>
      </c>
      <c r="J3010" s="15" t="s">
        <v>28921</v>
      </c>
      <c r="K3010" s="15">
        <v>10298</v>
      </c>
      <c r="L3010" s="15" t="s">
        <v>19099</v>
      </c>
    </row>
    <row r="3011" spans="1:12" x14ac:dyDescent="0.25">
      <c r="A3011" s="2" t="s">
        <v>8948</v>
      </c>
      <c r="B3011" s="8" t="s">
        <v>17796</v>
      </c>
      <c r="C3011" s="2" t="s">
        <v>8948</v>
      </c>
      <c r="D3011" s="2" t="s">
        <v>8949</v>
      </c>
      <c r="E3011" s="4" t="s">
        <v>8949</v>
      </c>
      <c r="G3011" s="15" t="s">
        <v>28922</v>
      </c>
      <c r="H3011" s="15" t="s">
        <v>28923</v>
      </c>
      <c r="I3011" s="15" t="s">
        <v>28924</v>
      </c>
      <c r="J3011" s="15" t="s">
        <v>19889</v>
      </c>
      <c r="K3011" s="15">
        <v>638011</v>
      </c>
      <c r="L3011" s="15" t="s">
        <v>19099</v>
      </c>
    </row>
    <row r="3012" spans="1:12" x14ac:dyDescent="0.25">
      <c r="A3012" s="2" t="s">
        <v>8951</v>
      </c>
      <c r="B3012" s="8" t="s">
        <v>17797</v>
      </c>
      <c r="C3012" s="2" t="s">
        <v>8951</v>
      </c>
      <c r="D3012" s="2" t="s">
        <v>8952</v>
      </c>
      <c r="E3012" s="4" t="s">
        <v>8952</v>
      </c>
      <c r="G3012" s="15" t="s">
        <v>28925</v>
      </c>
      <c r="H3012" s="15" t="s">
        <v>28926</v>
      </c>
      <c r="I3012" s="15" t="s">
        <v>28927</v>
      </c>
      <c r="J3012" s="15" t="s">
        <v>28928</v>
      </c>
      <c r="K3012" s="15">
        <v>2771</v>
      </c>
      <c r="L3012" s="15" t="s">
        <v>19099</v>
      </c>
    </row>
    <row r="3013" spans="1:12" x14ac:dyDescent="0.25">
      <c r="A3013" s="2" t="s">
        <v>8954</v>
      </c>
      <c r="B3013" s="8" t="s">
        <v>17798</v>
      </c>
      <c r="C3013" s="2" t="s">
        <v>8954</v>
      </c>
      <c r="D3013" s="2" t="s">
        <v>8955</v>
      </c>
      <c r="E3013" s="4" t="s">
        <v>8955</v>
      </c>
      <c r="G3013" s="15" t="s">
        <v>28929</v>
      </c>
      <c r="H3013" s="15" t="s">
        <v>28930</v>
      </c>
      <c r="I3013" s="15" t="s">
        <v>28931</v>
      </c>
      <c r="J3013" s="15" t="s">
        <v>22404</v>
      </c>
      <c r="K3013" s="15">
        <v>8842</v>
      </c>
      <c r="L3013" s="15" t="s">
        <v>19099</v>
      </c>
    </row>
    <row r="3014" spans="1:12" x14ac:dyDescent="0.25">
      <c r="A3014" s="2" t="s">
        <v>8957</v>
      </c>
      <c r="B3014" s="8" t="s">
        <v>17799</v>
      </c>
      <c r="C3014" s="2" t="s">
        <v>8957</v>
      </c>
      <c r="D3014" s="2" t="s">
        <v>8958</v>
      </c>
      <c r="E3014" s="4" t="s">
        <v>28932</v>
      </c>
      <c r="G3014" s="15" t="s">
        <v>28933</v>
      </c>
      <c r="H3014" s="15" t="s">
        <v>28934</v>
      </c>
      <c r="I3014" s="15" t="s">
        <v>28935</v>
      </c>
      <c r="J3014" s="15" t="s">
        <v>28936</v>
      </c>
      <c r="K3014" s="15">
        <v>31412</v>
      </c>
      <c r="L3014" s="15" t="s">
        <v>19099</v>
      </c>
    </row>
    <row r="3015" spans="1:12" x14ac:dyDescent="0.25">
      <c r="A3015" s="2" t="s">
        <v>8960</v>
      </c>
      <c r="B3015" s="8" t="s">
        <v>17800</v>
      </c>
      <c r="C3015" s="2" t="s">
        <v>8960</v>
      </c>
      <c r="D3015" s="2" t="s">
        <v>8961</v>
      </c>
      <c r="E3015" s="4" t="s">
        <v>28937</v>
      </c>
      <c r="G3015" s="15" t="s">
        <v>28938</v>
      </c>
      <c r="H3015" s="15" t="s">
        <v>28939</v>
      </c>
      <c r="I3015" s="15" t="s">
        <v>28940</v>
      </c>
      <c r="J3015" s="15" t="s">
        <v>28941</v>
      </c>
      <c r="K3015" s="15">
        <v>84029</v>
      </c>
      <c r="L3015" s="15" t="s">
        <v>19099</v>
      </c>
    </row>
    <row r="3016" spans="1:12" x14ac:dyDescent="0.25">
      <c r="A3016" s="2" t="s">
        <v>8963</v>
      </c>
      <c r="B3016" s="8" t="s">
        <v>17801</v>
      </c>
      <c r="C3016" s="2" t="s">
        <v>8963</v>
      </c>
      <c r="D3016" s="2" t="s">
        <v>8964</v>
      </c>
      <c r="E3016" s="4" t="s">
        <v>8964</v>
      </c>
      <c r="G3016" s="15" t="s">
        <v>28942</v>
      </c>
      <c r="H3016" s="15" t="s">
        <v>28943</v>
      </c>
      <c r="I3016" s="15" t="s">
        <v>28944</v>
      </c>
      <c r="J3016" s="15" t="s">
        <v>28945</v>
      </c>
      <c r="K3016" s="15">
        <v>299</v>
      </c>
      <c r="L3016" s="15" t="s">
        <v>19099</v>
      </c>
    </row>
    <row r="3017" spans="1:12" x14ac:dyDescent="0.25">
      <c r="A3017" s="2" t="s">
        <v>8966</v>
      </c>
      <c r="B3017" s="8" t="s">
        <v>17802</v>
      </c>
      <c r="C3017" s="2" t="s">
        <v>8966</v>
      </c>
      <c r="D3017" s="2" t="s">
        <v>8967</v>
      </c>
      <c r="E3017" s="4" t="s">
        <v>8967</v>
      </c>
      <c r="G3017" s="15" t="s">
        <v>28946</v>
      </c>
      <c r="H3017" s="15" t="s">
        <v>28947</v>
      </c>
      <c r="I3017" s="15" t="s">
        <v>28948</v>
      </c>
      <c r="J3017" s="15" t="s">
        <v>28949</v>
      </c>
      <c r="K3017" s="15">
        <v>26987</v>
      </c>
      <c r="L3017" s="15" t="s">
        <v>19099</v>
      </c>
    </row>
    <row r="3018" spans="1:12" x14ac:dyDescent="0.25">
      <c r="A3018" s="2" t="s">
        <v>8969</v>
      </c>
      <c r="B3018" s="8" t="s">
        <v>17803</v>
      </c>
      <c r="C3018" s="2" t="s">
        <v>8969</v>
      </c>
      <c r="D3018" s="2" t="s">
        <v>8970</v>
      </c>
      <c r="E3018" s="4" t="s">
        <v>8970</v>
      </c>
      <c r="G3018" s="15" t="s">
        <v>28950</v>
      </c>
      <c r="H3018" s="15" t="s">
        <v>28951</v>
      </c>
      <c r="I3018" s="15" t="s">
        <v>28952</v>
      </c>
      <c r="J3018" s="15" t="s">
        <v>28953</v>
      </c>
      <c r="K3018" s="15">
        <v>2783</v>
      </c>
      <c r="L3018" s="15" t="s">
        <v>19099</v>
      </c>
    </row>
    <row r="3019" spans="1:12" x14ac:dyDescent="0.25">
      <c r="A3019" s="2" t="s">
        <v>8972</v>
      </c>
      <c r="B3019" s="8" t="s">
        <v>17804</v>
      </c>
      <c r="C3019" s="2" t="s">
        <v>8972</v>
      </c>
      <c r="D3019" s="2" t="s">
        <v>8973</v>
      </c>
      <c r="E3019" s="4" t="s">
        <v>8973</v>
      </c>
      <c r="G3019" s="15" t="s">
        <v>28954</v>
      </c>
      <c r="H3019" s="15" t="s">
        <v>28955</v>
      </c>
      <c r="I3019" s="15" t="s">
        <v>28956</v>
      </c>
      <c r="J3019" s="15" t="s">
        <v>28957</v>
      </c>
      <c r="K3019" s="15">
        <v>135491728</v>
      </c>
      <c r="L3019" s="15" t="s">
        <v>19099</v>
      </c>
    </row>
    <row r="3020" spans="1:12" x14ac:dyDescent="0.25">
      <c r="A3020" s="2" t="s">
        <v>8975</v>
      </c>
      <c r="B3020" s="8" t="s">
        <v>17805</v>
      </c>
      <c r="C3020" s="2" t="s">
        <v>8975</v>
      </c>
      <c r="D3020" s="2" t="s">
        <v>8976</v>
      </c>
      <c r="E3020" s="4" t="s">
        <v>28958</v>
      </c>
      <c r="G3020" s="15" t="s">
        <v>28959</v>
      </c>
      <c r="H3020" s="15" t="s">
        <v>28960</v>
      </c>
      <c r="I3020" s="15" t="s">
        <v>28961</v>
      </c>
      <c r="J3020" s="15" t="s">
        <v>28962</v>
      </c>
      <c r="K3020" s="15">
        <v>19402</v>
      </c>
      <c r="L3020" s="15" t="s">
        <v>19099</v>
      </c>
    </row>
    <row r="3021" spans="1:12" x14ac:dyDescent="0.25">
      <c r="A3021" s="2" t="s">
        <v>8978</v>
      </c>
      <c r="B3021" s="8" t="s">
        <v>17806</v>
      </c>
      <c r="C3021" s="2" t="s">
        <v>8978</v>
      </c>
      <c r="D3021" s="2" t="s">
        <v>8979</v>
      </c>
      <c r="E3021" s="4" t="s">
        <v>28963</v>
      </c>
      <c r="G3021" s="15" t="s">
        <v>28964</v>
      </c>
      <c r="H3021" s="15" t="s">
        <v>28965</v>
      </c>
      <c r="I3021" s="15" t="s">
        <v>28966</v>
      </c>
      <c r="J3021" s="15" t="s">
        <v>28967</v>
      </c>
      <c r="K3021" s="15">
        <v>17169</v>
      </c>
      <c r="L3021" s="15" t="s">
        <v>19099</v>
      </c>
    </row>
    <row r="3022" spans="1:12" x14ac:dyDescent="0.25">
      <c r="A3022" s="2" t="s">
        <v>8981</v>
      </c>
      <c r="B3022" s="8" t="s">
        <v>17807</v>
      </c>
      <c r="C3022" s="2" t="s">
        <v>8981</v>
      </c>
      <c r="D3022" s="2" t="s">
        <v>8982</v>
      </c>
      <c r="E3022" s="4" t="s">
        <v>28968</v>
      </c>
      <c r="G3022" s="15" t="s">
        <v>28969</v>
      </c>
      <c r="H3022" s="15" t="s">
        <v>28970</v>
      </c>
      <c r="I3022" s="15" t="s">
        <v>28971</v>
      </c>
      <c r="J3022" s="15" t="s">
        <v>28972</v>
      </c>
      <c r="K3022" s="15">
        <v>9552081</v>
      </c>
      <c r="L3022" s="15" t="s">
        <v>19099</v>
      </c>
    </row>
    <row r="3023" spans="1:12" x14ac:dyDescent="0.25">
      <c r="A3023" s="2" t="s">
        <v>8984</v>
      </c>
      <c r="B3023" s="8" t="s">
        <v>17808</v>
      </c>
      <c r="C3023" s="2" t="s">
        <v>8984</v>
      </c>
      <c r="D3023" s="2" t="s">
        <v>8985</v>
      </c>
      <c r="E3023" s="4" t="s">
        <v>28973</v>
      </c>
      <c r="G3023" s="15" t="s">
        <v>28974</v>
      </c>
      <c r="H3023" s="15" t="s">
        <v>28975</v>
      </c>
      <c r="I3023" s="15" t="s">
        <v>28976</v>
      </c>
      <c r="J3023" s="15" t="s">
        <v>28977</v>
      </c>
      <c r="K3023" s="15">
        <v>446598</v>
      </c>
      <c r="L3023" s="15" t="s">
        <v>19099</v>
      </c>
    </row>
    <row r="3024" spans="1:12" x14ac:dyDescent="0.25">
      <c r="A3024" s="2" t="s">
        <v>8987</v>
      </c>
      <c r="B3024" s="8" t="s">
        <v>17809</v>
      </c>
      <c r="C3024" s="2" t="s">
        <v>8987</v>
      </c>
      <c r="D3024" s="2" t="s">
        <v>8988</v>
      </c>
      <c r="E3024" s="4" t="s">
        <v>28978</v>
      </c>
      <c r="G3024" s="15" t="s">
        <v>28979</v>
      </c>
      <c r="H3024" s="15" t="s">
        <v>28980</v>
      </c>
      <c r="I3024" s="15" t="s">
        <v>28981</v>
      </c>
      <c r="J3024" s="15" t="s">
        <v>28982</v>
      </c>
      <c r="K3024" s="15">
        <v>13837</v>
      </c>
      <c r="L3024" s="15" t="s">
        <v>19099</v>
      </c>
    </row>
    <row r="3025" spans="1:12" x14ac:dyDescent="0.25">
      <c r="A3025" s="2" t="s">
        <v>8990</v>
      </c>
      <c r="B3025" s="8" t="s">
        <v>17810</v>
      </c>
      <c r="C3025" s="2" t="s">
        <v>8990</v>
      </c>
      <c r="D3025" s="2" t="s">
        <v>8991</v>
      </c>
      <c r="E3025" s="4" t="s">
        <v>28983</v>
      </c>
      <c r="G3025" s="15" t="s">
        <v>28984</v>
      </c>
      <c r="H3025" s="15" t="s">
        <v>28985</v>
      </c>
      <c r="I3025" s="15" t="s">
        <v>28986</v>
      </c>
      <c r="J3025" s="15" t="s">
        <v>28987</v>
      </c>
      <c r="K3025" s="15">
        <v>32798</v>
      </c>
      <c r="L3025" s="15" t="s">
        <v>19099</v>
      </c>
    </row>
    <row r="3026" spans="1:12" x14ac:dyDescent="0.25">
      <c r="A3026" s="2" t="s">
        <v>8993</v>
      </c>
      <c r="B3026" s="8" t="s">
        <v>17811</v>
      </c>
      <c r="C3026" s="2" t="s">
        <v>8993</v>
      </c>
      <c r="D3026" s="2" t="s">
        <v>8994</v>
      </c>
      <c r="E3026" s="4" t="s">
        <v>8994</v>
      </c>
      <c r="G3026" s="15" t="s">
        <v>28988</v>
      </c>
      <c r="H3026" s="15" t="s">
        <v>28989</v>
      </c>
      <c r="I3026" s="15" t="s">
        <v>28990</v>
      </c>
      <c r="J3026" s="15" t="s">
        <v>28991</v>
      </c>
      <c r="K3026" s="15">
        <v>5483847</v>
      </c>
      <c r="L3026" s="15" t="s">
        <v>19099</v>
      </c>
    </row>
    <row r="3027" spans="1:12" x14ac:dyDescent="0.25">
      <c r="A3027" s="2" t="s">
        <v>8996</v>
      </c>
      <c r="B3027" s="8" t="s">
        <v>17812</v>
      </c>
      <c r="C3027" s="2" t="s">
        <v>8996</v>
      </c>
      <c r="D3027" s="2" t="s">
        <v>8997</v>
      </c>
      <c r="E3027" s="4" t="s">
        <v>8997</v>
      </c>
      <c r="G3027" s="15" t="s">
        <v>28992</v>
      </c>
      <c r="H3027" s="15" t="s">
        <v>28993</v>
      </c>
      <c r="I3027" s="15" t="s">
        <v>28994</v>
      </c>
      <c r="J3027" s="15" t="s">
        <v>28995</v>
      </c>
      <c r="K3027" s="15">
        <v>92431</v>
      </c>
      <c r="L3027" s="15" t="s">
        <v>19099</v>
      </c>
    </row>
    <row r="3028" spans="1:12" x14ac:dyDescent="0.25">
      <c r="A3028" s="2" t="s">
        <v>8999</v>
      </c>
      <c r="B3028" s="8" t="s">
        <v>17813</v>
      </c>
      <c r="C3028" s="2" t="s">
        <v>8999</v>
      </c>
      <c r="D3028" s="2" t="s">
        <v>9000</v>
      </c>
      <c r="E3028" s="4" t="s">
        <v>28996</v>
      </c>
      <c r="G3028" s="15" t="s">
        <v>28997</v>
      </c>
      <c r="H3028" s="15" t="s">
        <v>28998</v>
      </c>
      <c r="I3028" s="15" t="s">
        <v>28999</v>
      </c>
      <c r="J3028" s="15" t="s">
        <v>19129</v>
      </c>
      <c r="K3028" s="15">
        <v>2797</v>
      </c>
      <c r="L3028" s="15" t="s">
        <v>19099</v>
      </c>
    </row>
    <row r="3029" spans="1:12" x14ac:dyDescent="0.25">
      <c r="A3029" s="2" t="s">
        <v>9002</v>
      </c>
      <c r="B3029" s="8" t="s">
        <v>17814</v>
      </c>
      <c r="C3029" s="2" t="s">
        <v>9002</v>
      </c>
      <c r="D3029" s="2" t="s">
        <v>9003</v>
      </c>
      <c r="E3029" s="4" t="s">
        <v>29000</v>
      </c>
      <c r="G3029" s="15" t="s">
        <v>29001</v>
      </c>
      <c r="H3029" s="15" t="s">
        <v>29002</v>
      </c>
      <c r="I3029" s="15" t="s">
        <v>29003</v>
      </c>
      <c r="J3029" s="15" t="s">
        <v>29004</v>
      </c>
      <c r="K3029" s="15">
        <v>2796</v>
      </c>
      <c r="L3029" s="15" t="s">
        <v>19099</v>
      </c>
    </row>
    <row r="3030" spans="1:12" x14ac:dyDescent="0.25">
      <c r="A3030" s="2" t="s">
        <v>9005</v>
      </c>
      <c r="B3030" s="8" t="s">
        <v>17815</v>
      </c>
      <c r="C3030" s="2" t="s">
        <v>9005</v>
      </c>
      <c r="D3030" s="2" t="s">
        <v>9006</v>
      </c>
      <c r="E3030" s="4" t="s">
        <v>9006</v>
      </c>
      <c r="G3030" s="15" t="s">
        <v>29005</v>
      </c>
      <c r="H3030" s="15" t="s">
        <v>29006</v>
      </c>
      <c r="I3030" s="15" t="s">
        <v>29007</v>
      </c>
      <c r="J3030" s="15" t="s">
        <v>29008</v>
      </c>
      <c r="K3030" s="15">
        <v>2801</v>
      </c>
      <c r="L3030" s="15" t="s">
        <v>19099</v>
      </c>
    </row>
    <row r="3031" spans="1:12" x14ac:dyDescent="0.25">
      <c r="A3031" s="2" t="s">
        <v>9008</v>
      </c>
      <c r="B3031" s="8" t="s">
        <v>17816</v>
      </c>
      <c r="C3031" s="2" t="s">
        <v>9008</v>
      </c>
      <c r="D3031" s="2" t="s">
        <v>9009</v>
      </c>
      <c r="E3031" s="4" t="s">
        <v>9009</v>
      </c>
      <c r="G3031" s="15" t="s">
        <v>29009</v>
      </c>
      <c r="H3031" s="15" t="s">
        <v>29010</v>
      </c>
      <c r="I3031" s="15" t="s">
        <v>29011</v>
      </c>
      <c r="J3031" s="15" t="s">
        <v>29012</v>
      </c>
      <c r="K3031" s="15">
        <v>54778</v>
      </c>
      <c r="L3031" s="15" t="s">
        <v>19099</v>
      </c>
    </row>
    <row r="3032" spans="1:12" x14ac:dyDescent="0.25">
      <c r="A3032" s="2" t="s">
        <v>9011</v>
      </c>
      <c r="B3032" s="8" t="s">
        <v>17817</v>
      </c>
      <c r="C3032" s="2" t="s">
        <v>9011</v>
      </c>
      <c r="D3032" s="2" t="s">
        <v>9012</v>
      </c>
      <c r="E3032" s="4" t="s">
        <v>9012</v>
      </c>
      <c r="G3032" s="15" t="s">
        <v>29013</v>
      </c>
      <c r="H3032" s="15" t="s">
        <v>29014</v>
      </c>
      <c r="I3032" s="15" t="s">
        <v>29015</v>
      </c>
      <c r="J3032" s="15" t="s">
        <v>29016</v>
      </c>
      <c r="K3032" s="15">
        <v>2802</v>
      </c>
      <c r="L3032" s="15" t="s">
        <v>19099</v>
      </c>
    </row>
    <row r="3033" spans="1:12" x14ac:dyDescent="0.25">
      <c r="A3033" s="2" t="s">
        <v>9014</v>
      </c>
      <c r="B3033" s="8" t="s">
        <v>17818</v>
      </c>
      <c r="C3033" s="2" t="s">
        <v>9014</v>
      </c>
      <c r="D3033" s="2" t="s">
        <v>9015</v>
      </c>
      <c r="E3033" s="4" t="s">
        <v>9015</v>
      </c>
      <c r="G3033" s="15" t="s">
        <v>29017</v>
      </c>
      <c r="H3033" s="15" t="s">
        <v>29018</v>
      </c>
      <c r="I3033" s="15" t="s">
        <v>29019</v>
      </c>
      <c r="J3033" s="15" t="s">
        <v>19436</v>
      </c>
      <c r="K3033" s="15">
        <v>15553</v>
      </c>
      <c r="L3033" s="15" t="s">
        <v>19099</v>
      </c>
    </row>
    <row r="3034" spans="1:12" x14ac:dyDescent="0.25">
      <c r="A3034" s="2" t="s">
        <v>9017</v>
      </c>
      <c r="B3034" s="8" t="s">
        <v>17819</v>
      </c>
      <c r="C3034" s="2" t="s">
        <v>9017</v>
      </c>
      <c r="D3034" s="2" t="s">
        <v>9018</v>
      </c>
      <c r="E3034" s="4" t="s">
        <v>9018</v>
      </c>
      <c r="G3034" s="15" t="s">
        <v>29020</v>
      </c>
      <c r="H3034" s="15" t="s">
        <v>29021</v>
      </c>
      <c r="I3034" s="15" t="s">
        <v>29022</v>
      </c>
      <c r="J3034" s="15" t="s">
        <v>29023</v>
      </c>
      <c r="K3034" s="15">
        <v>93528</v>
      </c>
      <c r="L3034" s="15" t="s">
        <v>19099</v>
      </c>
    </row>
    <row r="3035" spans="1:12" x14ac:dyDescent="0.25">
      <c r="A3035" s="2" t="s">
        <v>9020</v>
      </c>
      <c r="B3035" s="8" t="s">
        <v>17820</v>
      </c>
      <c r="C3035" s="2" t="s">
        <v>9020</v>
      </c>
      <c r="D3035" s="2" t="s">
        <v>9021</v>
      </c>
      <c r="E3035" s="4" t="s">
        <v>29024</v>
      </c>
      <c r="G3035" s="15" t="s">
        <v>29025</v>
      </c>
      <c r="H3035" s="15" t="s">
        <v>29026</v>
      </c>
      <c r="I3035" s="15" t="s">
        <v>29027</v>
      </c>
      <c r="J3035" s="15" t="s">
        <v>29028</v>
      </c>
      <c r="K3035" s="15">
        <v>86287519</v>
      </c>
      <c r="L3035" s="15" t="s">
        <v>19995</v>
      </c>
    </row>
    <row r="3036" spans="1:12" x14ac:dyDescent="0.25">
      <c r="A3036" s="2" t="s">
        <v>9023</v>
      </c>
      <c r="B3036" s="8" t="s">
        <v>17821</v>
      </c>
      <c r="C3036" s="2" t="s">
        <v>9023</v>
      </c>
      <c r="D3036" s="2" t="s">
        <v>9024</v>
      </c>
      <c r="E3036" s="4" t="s">
        <v>29029</v>
      </c>
      <c r="G3036" s="15" t="s">
        <v>29030</v>
      </c>
      <c r="H3036" s="15" t="s">
        <v>29031</v>
      </c>
      <c r="I3036" s="15" t="s">
        <v>29032</v>
      </c>
      <c r="J3036" s="15" t="s">
        <v>29033</v>
      </c>
      <c r="K3036" s="15">
        <v>2812</v>
      </c>
      <c r="L3036" s="15" t="s">
        <v>19099</v>
      </c>
    </row>
    <row r="3037" spans="1:12" x14ac:dyDescent="0.25">
      <c r="A3037" s="2" t="s">
        <v>9026</v>
      </c>
      <c r="B3037" s="8" t="s">
        <v>17822</v>
      </c>
      <c r="C3037" s="2" t="s">
        <v>9026</v>
      </c>
      <c r="D3037" s="2" t="s">
        <v>9027</v>
      </c>
      <c r="E3037" s="4" t="s">
        <v>29034</v>
      </c>
      <c r="G3037" s="15" t="s">
        <v>29035</v>
      </c>
      <c r="H3037" s="15" t="s">
        <v>29036</v>
      </c>
      <c r="I3037" s="15" t="s">
        <v>29037</v>
      </c>
      <c r="J3037" s="15" t="s">
        <v>29038</v>
      </c>
      <c r="K3037" s="15">
        <v>6098</v>
      </c>
      <c r="L3037" s="15" t="s">
        <v>19099</v>
      </c>
    </row>
    <row r="3038" spans="1:12" x14ac:dyDescent="0.25">
      <c r="A3038" s="2" t="s">
        <v>9029</v>
      </c>
      <c r="B3038" s="8" t="s">
        <v>17823</v>
      </c>
      <c r="C3038" s="2" t="s">
        <v>9029</v>
      </c>
      <c r="D3038" s="2" t="s">
        <v>9030</v>
      </c>
      <c r="E3038" s="4" t="s">
        <v>9030</v>
      </c>
      <c r="G3038" s="15" t="s">
        <v>29039</v>
      </c>
      <c r="H3038" s="15" t="s">
        <v>29040</v>
      </c>
      <c r="I3038" s="15" t="s">
        <v>29041</v>
      </c>
      <c r="J3038" s="15" t="s">
        <v>29042</v>
      </c>
      <c r="K3038" s="15">
        <v>135398737</v>
      </c>
      <c r="L3038" s="15" t="s">
        <v>19099</v>
      </c>
    </row>
    <row r="3039" spans="1:12" x14ac:dyDescent="0.25">
      <c r="A3039" s="2" t="s">
        <v>9032</v>
      </c>
      <c r="B3039" s="8" t="s">
        <v>17824</v>
      </c>
      <c r="C3039" s="2" t="s">
        <v>9032</v>
      </c>
      <c r="D3039" s="2" t="s">
        <v>9033</v>
      </c>
      <c r="E3039" s="4" t="s">
        <v>29043</v>
      </c>
      <c r="G3039" s="15" t="s">
        <v>29044</v>
      </c>
      <c r="H3039" s="15" t="s">
        <v>29045</v>
      </c>
      <c r="I3039" s="15" t="s">
        <v>29046</v>
      </c>
      <c r="J3039" s="15" t="s">
        <v>29047</v>
      </c>
      <c r="K3039" s="15">
        <v>2943</v>
      </c>
      <c r="L3039" s="15" t="s">
        <v>19099</v>
      </c>
    </row>
    <row r="3040" spans="1:12" x14ac:dyDescent="0.25">
      <c r="A3040" s="2" t="s">
        <v>9035</v>
      </c>
      <c r="B3040" s="8" t="s">
        <v>17825</v>
      </c>
      <c r="C3040" s="2" t="s">
        <v>9035</v>
      </c>
      <c r="D3040" s="2" t="s">
        <v>9036</v>
      </c>
      <c r="E3040" s="4" t="s">
        <v>29048</v>
      </c>
      <c r="G3040" s="15" t="s">
        <v>29049</v>
      </c>
      <c r="H3040" s="15" t="s">
        <v>29050</v>
      </c>
      <c r="I3040" s="15" t="s">
        <v>29051</v>
      </c>
      <c r="J3040" s="15" t="s">
        <v>29052</v>
      </c>
      <c r="K3040" s="15">
        <v>16493</v>
      </c>
      <c r="L3040" s="15" t="s">
        <v>19099</v>
      </c>
    </row>
    <row r="3041" spans="1:12" x14ac:dyDescent="0.25">
      <c r="A3041" s="2" t="s">
        <v>9038</v>
      </c>
      <c r="B3041" s="8" t="s">
        <v>17826</v>
      </c>
      <c r="C3041" s="2" t="s">
        <v>9038</v>
      </c>
      <c r="D3041" s="2" t="s">
        <v>9039</v>
      </c>
      <c r="E3041" s="4" t="s">
        <v>29053</v>
      </c>
    </row>
    <row r="3042" spans="1:12" x14ac:dyDescent="0.25">
      <c r="A3042" s="2" t="s">
        <v>9041</v>
      </c>
      <c r="B3042" s="8" t="s">
        <v>17827</v>
      </c>
      <c r="C3042" s="2" t="s">
        <v>9041</v>
      </c>
      <c r="D3042" s="2" t="s">
        <v>9042</v>
      </c>
      <c r="E3042" s="4" t="s">
        <v>29054</v>
      </c>
      <c r="G3042" s="15" t="s">
        <v>29055</v>
      </c>
      <c r="H3042" s="15" t="s">
        <v>29056</v>
      </c>
      <c r="I3042" s="15" t="s">
        <v>29057</v>
      </c>
      <c r="J3042" s="15" t="s">
        <v>29058</v>
      </c>
      <c r="K3042" s="15">
        <v>2723</v>
      </c>
      <c r="L3042" s="15" t="s">
        <v>19099</v>
      </c>
    </row>
    <row r="3043" spans="1:12" x14ac:dyDescent="0.25">
      <c r="A3043" s="2" t="s">
        <v>9044</v>
      </c>
      <c r="B3043" s="8" t="s">
        <v>17828</v>
      </c>
      <c r="C3043" s="2" t="s">
        <v>9044</v>
      </c>
      <c r="D3043" s="2" t="s">
        <v>9045</v>
      </c>
      <c r="E3043" s="4" t="s">
        <v>29059</v>
      </c>
      <c r="G3043" s="15" t="s">
        <v>29060</v>
      </c>
      <c r="H3043" s="15" t="s">
        <v>29061</v>
      </c>
      <c r="I3043" s="15" t="s">
        <v>29062</v>
      </c>
      <c r="J3043" s="15" t="s">
        <v>29063</v>
      </c>
      <c r="K3043" s="15">
        <v>5355863</v>
      </c>
      <c r="L3043" s="15" t="s">
        <v>19099</v>
      </c>
    </row>
    <row r="3044" spans="1:12" x14ac:dyDescent="0.25">
      <c r="A3044" s="2" t="s">
        <v>9047</v>
      </c>
      <c r="B3044" s="8" t="s">
        <v>17829</v>
      </c>
      <c r="C3044" s="2" t="s">
        <v>9047</v>
      </c>
      <c r="D3044" s="2" t="s">
        <v>9048</v>
      </c>
      <c r="E3044" s="4" t="s">
        <v>29064</v>
      </c>
      <c r="G3044" s="15" t="s">
        <v>29065</v>
      </c>
      <c r="H3044" s="15" t="s">
        <v>29066</v>
      </c>
      <c r="I3044" s="15" t="s">
        <v>29067</v>
      </c>
      <c r="J3044" s="15" t="s">
        <v>29068</v>
      </c>
      <c r="K3044" s="15">
        <v>446220</v>
      </c>
      <c r="L3044" s="15" t="s">
        <v>19099</v>
      </c>
    </row>
    <row r="3045" spans="1:12" x14ac:dyDescent="0.25">
      <c r="A3045" s="2" t="s">
        <v>9050</v>
      </c>
      <c r="B3045" s="8" t="s">
        <v>17830</v>
      </c>
      <c r="C3045" s="2" t="s">
        <v>9050</v>
      </c>
      <c r="D3045" s="2" t="s">
        <v>9051</v>
      </c>
      <c r="E3045" s="4" t="s">
        <v>9051</v>
      </c>
      <c r="G3045" s="15" t="s">
        <v>29069</v>
      </c>
      <c r="H3045" s="15" t="s">
        <v>29070</v>
      </c>
      <c r="I3045" s="15" t="s">
        <v>29071</v>
      </c>
      <c r="J3045" s="15" t="s">
        <v>29072</v>
      </c>
      <c r="K3045" s="15">
        <v>5284371</v>
      </c>
      <c r="L3045" s="15" t="s">
        <v>19099</v>
      </c>
    </row>
    <row r="3046" spans="1:12" x14ac:dyDescent="0.25">
      <c r="A3046" s="2" t="s">
        <v>9053</v>
      </c>
      <c r="B3046" s="8" t="s">
        <v>17831</v>
      </c>
      <c r="C3046" s="2" t="s">
        <v>9053</v>
      </c>
      <c r="D3046" s="2" t="s">
        <v>9054</v>
      </c>
      <c r="E3046" s="4" t="s">
        <v>9054</v>
      </c>
      <c r="G3046" s="15" t="s">
        <v>29073</v>
      </c>
      <c r="H3046" s="15" t="s">
        <v>29074</v>
      </c>
      <c r="I3046" s="15" t="s">
        <v>29075</v>
      </c>
      <c r="J3046" s="15" t="s">
        <v>29076</v>
      </c>
      <c r="K3046" s="15">
        <v>1787910</v>
      </c>
      <c r="L3046" s="15" t="s">
        <v>19099</v>
      </c>
    </row>
    <row r="3047" spans="1:12" x14ac:dyDescent="0.25">
      <c r="A3047" s="2" t="s">
        <v>9056</v>
      </c>
      <c r="B3047" s="8" t="s">
        <v>17832</v>
      </c>
      <c r="C3047" s="2" t="s">
        <v>9056</v>
      </c>
      <c r="D3047" s="2" t="s">
        <v>9057</v>
      </c>
      <c r="E3047" s="4" t="s">
        <v>29077</v>
      </c>
      <c r="G3047" s="15" t="s">
        <v>29078</v>
      </c>
      <c r="H3047" s="15" t="s">
        <v>29079</v>
      </c>
      <c r="I3047" s="15" t="s">
        <v>29080</v>
      </c>
      <c r="J3047" s="15" t="s">
        <v>29081</v>
      </c>
      <c r="K3047" s="15">
        <v>222786</v>
      </c>
      <c r="L3047" s="15" t="s">
        <v>19099</v>
      </c>
    </row>
    <row r="3048" spans="1:12" x14ac:dyDescent="0.25">
      <c r="A3048" s="2" t="s">
        <v>9059</v>
      </c>
      <c r="B3048" s="8" t="s">
        <v>17833</v>
      </c>
      <c r="C3048" s="2" t="s">
        <v>9059</v>
      </c>
      <c r="D3048" s="2" t="s">
        <v>9060</v>
      </c>
      <c r="E3048" s="4" t="s">
        <v>9060</v>
      </c>
      <c r="G3048" s="15" t="s">
        <v>29082</v>
      </c>
      <c r="H3048" s="15" t="s">
        <v>29083</v>
      </c>
      <c r="I3048" s="15" t="s">
        <v>29084</v>
      </c>
      <c r="J3048" s="15" t="s">
        <v>29085</v>
      </c>
      <c r="K3048" s="15">
        <v>54678504</v>
      </c>
      <c r="L3048" s="15" t="s">
        <v>19099</v>
      </c>
    </row>
    <row r="3049" spans="1:12" x14ac:dyDescent="0.25">
      <c r="A3049" s="2" t="s">
        <v>9062</v>
      </c>
      <c r="B3049" s="8" t="s">
        <v>17834</v>
      </c>
      <c r="C3049" s="2" t="s">
        <v>9062</v>
      </c>
      <c r="D3049" s="2" t="s">
        <v>9063</v>
      </c>
      <c r="E3049" s="4" t="s">
        <v>9063</v>
      </c>
      <c r="G3049" s="15" t="s">
        <v>29086</v>
      </c>
      <c r="H3049" s="15" t="s">
        <v>29087</v>
      </c>
      <c r="I3049" s="15" t="s">
        <v>29088</v>
      </c>
      <c r="J3049" s="15" t="s">
        <v>29089</v>
      </c>
      <c r="K3049" s="15">
        <v>40463</v>
      </c>
      <c r="L3049" s="15" t="s">
        <v>19099</v>
      </c>
    </row>
    <row r="3050" spans="1:12" x14ac:dyDescent="0.25">
      <c r="A3050" s="2" t="s">
        <v>9065</v>
      </c>
      <c r="B3050" s="8" t="s">
        <v>17835</v>
      </c>
      <c r="C3050" s="2" t="s">
        <v>9065</v>
      </c>
      <c r="D3050" s="2" t="s">
        <v>9066</v>
      </c>
      <c r="E3050" s="4" t="s">
        <v>9066</v>
      </c>
      <c r="G3050" s="15" t="s">
        <v>29090</v>
      </c>
      <c r="H3050" s="15" t="s">
        <v>29091</v>
      </c>
      <c r="I3050" s="15" t="s">
        <v>29092</v>
      </c>
      <c r="J3050" s="15" t="s">
        <v>29093</v>
      </c>
      <c r="K3050" s="15">
        <v>6023583</v>
      </c>
      <c r="L3050" s="15" t="s">
        <v>19099</v>
      </c>
    </row>
    <row r="3051" spans="1:12" x14ac:dyDescent="0.25">
      <c r="A3051" s="2" t="s">
        <v>9068</v>
      </c>
      <c r="B3051" s="8" t="s">
        <v>17836</v>
      </c>
      <c r="C3051" s="2" t="s">
        <v>9068</v>
      </c>
      <c r="D3051" s="2" t="s">
        <v>9069</v>
      </c>
      <c r="E3051" s="4" t="s">
        <v>29094</v>
      </c>
      <c r="G3051" s="15" t="s">
        <v>29095</v>
      </c>
      <c r="H3051" s="15" t="s">
        <v>29096</v>
      </c>
      <c r="I3051" s="15" t="s">
        <v>29097</v>
      </c>
      <c r="J3051" s="15" t="s">
        <v>29098</v>
      </c>
      <c r="K3051" s="15">
        <v>460</v>
      </c>
      <c r="L3051" s="15" t="s">
        <v>19995</v>
      </c>
    </row>
    <row r="3052" spans="1:12" x14ac:dyDescent="0.25">
      <c r="A3052" s="2" t="s">
        <v>9071</v>
      </c>
      <c r="B3052" s="8" t="s">
        <v>17837</v>
      </c>
      <c r="C3052" s="2" t="s">
        <v>9071</v>
      </c>
      <c r="D3052" s="2" t="s">
        <v>9072</v>
      </c>
      <c r="E3052" s="4" t="s">
        <v>29099</v>
      </c>
      <c r="G3052" s="15" t="s">
        <v>29100</v>
      </c>
      <c r="H3052" s="15" t="s">
        <v>29101</v>
      </c>
      <c r="I3052" s="15" t="s">
        <v>29102</v>
      </c>
      <c r="J3052" s="15" t="s">
        <v>29103</v>
      </c>
      <c r="K3052" s="15">
        <v>9300</v>
      </c>
      <c r="L3052" s="15" t="s">
        <v>19099</v>
      </c>
    </row>
    <row r="3053" spans="1:12" x14ac:dyDescent="0.25">
      <c r="A3053" s="2" t="s">
        <v>9074</v>
      </c>
      <c r="B3053" s="8" t="s">
        <v>17838</v>
      </c>
      <c r="C3053" s="2" t="s">
        <v>9074</v>
      </c>
      <c r="D3053" s="2" t="s">
        <v>9075</v>
      </c>
      <c r="E3053" s="4" t="s">
        <v>9075</v>
      </c>
      <c r="G3053" s="15" t="s">
        <v>29104</v>
      </c>
      <c r="H3053" s="15" t="s">
        <v>29105</v>
      </c>
      <c r="I3053" s="15" t="s">
        <v>29106</v>
      </c>
      <c r="J3053" s="15" t="s">
        <v>29107</v>
      </c>
      <c r="K3053" s="15">
        <v>10813</v>
      </c>
      <c r="L3053" s="15" t="s">
        <v>19099</v>
      </c>
    </row>
    <row r="3054" spans="1:12" x14ac:dyDescent="0.25">
      <c r="A3054" s="2" t="s">
        <v>9077</v>
      </c>
      <c r="B3054" s="8" t="s">
        <v>17839</v>
      </c>
      <c r="C3054" s="2" t="s">
        <v>9077</v>
      </c>
      <c r="D3054" s="2" t="s">
        <v>9078</v>
      </c>
      <c r="E3054" s="4" t="s">
        <v>29108</v>
      </c>
      <c r="G3054" s="15" t="s">
        <v>29109</v>
      </c>
      <c r="H3054" s="15" t="s">
        <v>29110</v>
      </c>
      <c r="I3054" s="15" t="s">
        <v>29111</v>
      </c>
      <c r="J3054" s="15" t="s">
        <v>29112</v>
      </c>
      <c r="K3054" s="15">
        <v>86278622</v>
      </c>
      <c r="L3054" s="15" t="s">
        <v>19099</v>
      </c>
    </row>
    <row r="3055" spans="1:12" x14ac:dyDescent="0.25">
      <c r="A3055" s="2" t="s">
        <v>9080</v>
      </c>
      <c r="B3055" s="8" t="s">
        <v>17840</v>
      </c>
      <c r="C3055" s="2" t="s">
        <v>9080</v>
      </c>
      <c r="D3055" s="2" t="s">
        <v>9081</v>
      </c>
      <c r="E3055" s="4" t="s">
        <v>9081</v>
      </c>
      <c r="G3055" s="15" t="s">
        <v>27811</v>
      </c>
      <c r="H3055" s="15" t="s">
        <v>27812</v>
      </c>
      <c r="I3055" s="15" t="s">
        <v>27813</v>
      </c>
      <c r="J3055" s="15" t="s">
        <v>20849</v>
      </c>
      <c r="K3055" s="15">
        <v>447466</v>
      </c>
      <c r="L3055" s="15" t="s">
        <v>19099</v>
      </c>
    </row>
    <row r="3056" spans="1:12" x14ac:dyDescent="0.25">
      <c r="A3056" s="2" t="s">
        <v>9083</v>
      </c>
      <c r="B3056" s="8" t="s">
        <v>17841</v>
      </c>
      <c r="C3056" s="2" t="s">
        <v>9083</v>
      </c>
      <c r="D3056" s="2" t="s">
        <v>9084</v>
      </c>
      <c r="E3056" s="4" t="s">
        <v>29113</v>
      </c>
      <c r="G3056" s="15" t="s">
        <v>29114</v>
      </c>
      <c r="H3056" s="15" t="s">
        <v>29115</v>
      </c>
      <c r="I3056" s="15" t="s">
        <v>29116</v>
      </c>
      <c r="J3056" s="15" t="s">
        <v>20979</v>
      </c>
      <c r="K3056" s="15">
        <v>6629</v>
      </c>
      <c r="L3056" s="15" t="s">
        <v>19099</v>
      </c>
    </row>
    <row r="3057" spans="1:12" x14ac:dyDescent="0.25">
      <c r="A3057" s="2" t="s">
        <v>9086</v>
      </c>
      <c r="B3057" s="8" t="s">
        <v>17842</v>
      </c>
      <c r="C3057" s="2" t="s">
        <v>9086</v>
      </c>
      <c r="D3057" s="2" t="s">
        <v>9087</v>
      </c>
      <c r="E3057" s="4" t="s">
        <v>9087</v>
      </c>
      <c r="G3057" s="15" t="s">
        <v>29117</v>
      </c>
      <c r="H3057" s="15" t="s">
        <v>29118</v>
      </c>
      <c r="I3057" s="15" t="s">
        <v>29119</v>
      </c>
      <c r="J3057" s="15" t="s">
        <v>29120</v>
      </c>
      <c r="K3057" s="15">
        <v>2871</v>
      </c>
      <c r="L3057" s="15" t="s">
        <v>19099</v>
      </c>
    </row>
    <row r="3058" spans="1:12" x14ac:dyDescent="0.25">
      <c r="A3058" s="2" t="s">
        <v>9089</v>
      </c>
      <c r="B3058" s="8" t="s">
        <v>17843</v>
      </c>
      <c r="C3058" s="2" t="s">
        <v>9089</v>
      </c>
      <c r="D3058" s="2" t="s">
        <v>9090</v>
      </c>
      <c r="E3058" s="4" t="s">
        <v>29121</v>
      </c>
      <c r="G3058" s="15" t="s">
        <v>29121</v>
      </c>
      <c r="H3058" s="15" t="s">
        <v>29122</v>
      </c>
      <c r="I3058" s="15" t="s">
        <v>29123</v>
      </c>
      <c r="J3058" s="15" t="s">
        <v>19245</v>
      </c>
      <c r="K3058" s="15">
        <v>7406</v>
      </c>
      <c r="L3058" s="15" t="s">
        <v>19099</v>
      </c>
    </row>
    <row r="3059" spans="1:12" x14ac:dyDescent="0.25">
      <c r="A3059" s="2" t="s">
        <v>9092</v>
      </c>
      <c r="B3059" s="8" t="s">
        <v>17844</v>
      </c>
      <c r="C3059" s="2" t="s">
        <v>9092</v>
      </c>
      <c r="D3059" s="2" t="s">
        <v>9093</v>
      </c>
      <c r="E3059" s="4" t="s">
        <v>9093</v>
      </c>
      <c r="G3059" s="15" t="s">
        <v>29124</v>
      </c>
      <c r="H3059" s="15" t="s">
        <v>29125</v>
      </c>
      <c r="I3059" s="15" t="s">
        <v>29126</v>
      </c>
      <c r="J3059" s="15" t="s">
        <v>29127</v>
      </c>
      <c r="K3059" s="15">
        <v>135465076</v>
      </c>
      <c r="L3059" s="15" t="s">
        <v>19099</v>
      </c>
    </row>
    <row r="3060" spans="1:12" x14ac:dyDescent="0.25">
      <c r="A3060" s="2" t="s">
        <v>9095</v>
      </c>
      <c r="B3060" s="8" t="s">
        <v>17845</v>
      </c>
      <c r="C3060" s="2" t="s">
        <v>9095</v>
      </c>
      <c r="D3060" s="2" t="s">
        <v>9096</v>
      </c>
      <c r="E3060" s="4" t="s">
        <v>29128</v>
      </c>
      <c r="G3060" s="15" t="s">
        <v>29129</v>
      </c>
      <c r="H3060" s="15" t="s">
        <v>29130</v>
      </c>
      <c r="I3060" s="15" t="s">
        <v>29131</v>
      </c>
      <c r="J3060" s="15" t="s">
        <v>29132</v>
      </c>
      <c r="K3060" s="15">
        <v>25669</v>
      </c>
      <c r="L3060" s="15" t="s">
        <v>19099</v>
      </c>
    </row>
    <row r="3061" spans="1:12" x14ac:dyDescent="0.25">
      <c r="A3061" s="2" t="s">
        <v>9098</v>
      </c>
      <c r="B3061" s="8" t="s">
        <v>17846</v>
      </c>
      <c r="C3061" s="2" t="s">
        <v>9098</v>
      </c>
      <c r="D3061" s="2" t="s">
        <v>9099</v>
      </c>
      <c r="E3061" s="4" t="s">
        <v>29133</v>
      </c>
      <c r="G3061" s="15" t="s">
        <v>29134</v>
      </c>
      <c r="H3061" s="15" t="s">
        <v>29135</v>
      </c>
      <c r="I3061" s="15" t="s">
        <v>29136</v>
      </c>
      <c r="J3061" s="15" t="s">
        <v>29137</v>
      </c>
      <c r="K3061" s="15">
        <v>17522</v>
      </c>
      <c r="L3061" s="15" t="s">
        <v>19099</v>
      </c>
    </row>
    <row r="3062" spans="1:12" x14ac:dyDescent="0.25">
      <c r="A3062" s="2" t="s">
        <v>9101</v>
      </c>
      <c r="B3062" s="8" t="s">
        <v>17847</v>
      </c>
      <c r="C3062" s="2" t="s">
        <v>9101</v>
      </c>
      <c r="D3062" s="2" t="s">
        <v>9102</v>
      </c>
      <c r="E3062" s="4" t="s">
        <v>9102</v>
      </c>
      <c r="G3062" s="15" t="s">
        <v>29138</v>
      </c>
      <c r="H3062" s="15" t="s">
        <v>29139</v>
      </c>
      <c r="I3062" s="15" t="s">
        <v>29140</v>
      </c>
      <c r="J3062" s="15" t="s">
        <v>29141</v>
      </c>
      <c r="K3062" s="15">
        <v>11578610</v>
      </c>
      <c r="L3062" s="15" t="s">
        <v>19099</v>
      </c>
    </row>
    <row r="3063" spans="1:12" x14ac:dyDescent="0.25">
      <c r="A3063" s="2" t="s">
        <v>9104</v>
      </c>
      <c r="B3063" s="8" t="s">
        <v>17848</v>
      </c>
      <c r="C3063" s="2" t="s">
        <v>9104</v>
      </c>
      <c r="D3063" s="2" t="s">
        <v>9105</v>
      </c>
      <c r="E3063" s="4" t="s">
        <v>9105</v>
      </c>
      <c r="G3063" s="15" t="s">
        <v>29142</v>
      </c>
      <c r="H3063" s="15" t="s">
        <v>29143</v>
      </c>
      <c r="I3063" s="15" t="s">
        <v>29144</v>
      </c>
      <c r="J3063" s="15" t="s">
        <v>29145</v>
      </c>
      <c r="K3063" s="15">
        <v>9862076</v>
      </c>
      <c r="L3063" s="15" t="s">
        <v>19099</v>
      </c>
    </row>
    <row r="3064" spans="1:12" x14ac:dyDescent="0.25">
      <c r="A3064" s="2" t="s">
        <v>9107</v>
      </c>
      <c r="B3064" s="8" t="s">
        <v>17849</v>
      </c>
      <c r="C3064" s="2" t="s">
        <v>9107</v>
      </c>
      <c r="D3064" s="2" t="s">
        <v>9108</v>
      </c>
      <c r="E3064" s="4" t="s">
        <v>29146</v>
      </c>
      <c r="G3064" s="15" t="s">
        <v>29146</v>
      </c>
      <c r="H3064" s="15" t="s">
        <v>29147</v>
      </c>
      <c r="I3064" s="15" t="s">
        <v>29148</v>
      </c>
      <c r="J3064" s="15" t="s">
        <v>29149</v>
      </c>
      <c r="K3064" s="15">
        <v>9268</v>
      </c>
      <c r="L3064" s="15" t="s">
        <v>19099</v>
      </c>
    </row>
    <row r="3065" spans="1:12" x14ac:dyDescent="0.25">
      <c r="A3065" s="2" t="s">
        <v>9110</v>
      </c>
      <c r="B3065" s="8" t="s">
        <v>17850</v>
      </c>
      <c r="C3065" s="2" t="s">
        <v>9110</v>
      </c>
      <c r="D3065" s="2" t="s">
        <v>9111</v>
      </c>
      <c r="E3065" s="4" t="s">
        <v>29150</v>
      </c>
      <c r="G3065" s="15" t="s">
        <v>29150</v>
      </c>
      <c r="H3065" s="15" t="s">
        <v>29151</v>
      </c>
      <c r="I3065" s="15" t="s">
        <v>29152</v>
      </c>
      <c r="J3065" s="15" t="s">
        <v>29153</v>
      </c>
      <c r="K3065" s="15">
        <v>67525</v>
      </c>
      <c r="L3065" s="15" t="s">
        <v>19099</v>
      </c>
    </row>
    <row r="3066" spans="1:12" x14ac:dyDescent="0.25">
      <c r="A3066" s="2" t="s">
        <v>9113</v>
      </c>
      <c r="B3066" s="8" t="s">
        <v>17851</v>
      </c>
      <c r="C3066" s="2" t="s">
        <v>9113</v>
      </c>
      <c r="D3066" s="2" t="s">
        <v>9114</v>
      </c>
      <c r="E3066" s="4" t="s">
        <v>29154</v>
      </c>
      <c r="G3066" s="15" t="s">
        <v>29154</v>
      </c>
      <c r="H3066" s="15" t="s">
        <v>29155</v>
      </c>
      <c r="I3066" s="15" t="s">
        <v>29156</v>
      </c>
      <c r="J3066" s="15" t="s">
        <v>19658</v>
      </c>
      <c r="K3066" s="15">
        <v>67526</v>
      </c>
      <c r="L3066" s="15" t="s">
        <v>19099</v>
      </c>
    </row>
    <row r="3067" spans="1:12" x14ac:dyDescent="0.25">
      <c r="A3067" s="2" t="s">
        <v>9116</v>
      </c>
      <c r="B3067" s="8" t="s">
        <v>17852</v>
      </c>
      <c r="C3067" s="2" t="s">
        <v>9116</v>
      </c>
      <c r="D3067" s="2" t="s">
        <v>9117</v>
      </c>
      <c r="E3067" s="4" t="s">
        <v>29157</v>
      </c>
      <c r="G3067" s="15" t="s">
        <v>29157</v>
      </c>
      <c r="H3067" s="15" t="s">
        <v>29158</v>
      </c>
      <c r="I3067" s="15" t="s">
        <v>29159</v>
      </c>
      <c r="J3067" s="15" t="s">
        <v>21418</v>
      </c>
      <c r="K3067" s="15">
        <v>8078</v>
      </c>
      <c r="L3067" s="15" t="s">
        <v>19099</v>
      </c>
    </row>
    <row r="3068" spans="1:12" x14ac:dyDescent="0.25">
      <c r="A3068" s="2" t="s">
        <v>9119</v>
      </c>
      <c r="B3068" s="8" t="s">
        <v>17853</v>
      </c>
      <c r="C3068" s="2" t="s">
        <v>9119</v>
      </c>
      <c r="D3068" s="2" t="s">
        <v>9120</v>
      </c>
      <c r="E3068" s="4" t="s">
        <v>29160</v>
      </c>
      <c r="G3068" s="15" t="s">
        <v>29160</v>
      </c>
      <c r="H3068" s="15" t="s">
        <v>29161</v>
      </c>
      <c r="I3068" s="15" t="s">
        <v>29162</v>
      </c>
      <c r="J3068" s="15" t="s">
        <v>22535</v>
      </c>
      <c r="K3068" s="15">
        <v>8079</v>
      </c>
      <c r="L3068" s="15" t="s">
        <v>19099</v>
      </c>
    </row>
    <row r="3069" spans="1:12" x14ac:dyDescent="0.25">
      <c r="A3069" s="2" t="s">
        <v>9122</v>
      </c>
      <c r="B3069" s="8" t="s">
        <v>17854</v>
      </c>
      <c r="C3069" s="2" t="s">
        <v>9122</v>
      </c>
      <c r="D3069" s="2" t="s">
        <v>9123</v>
      </c>
      <c r="E3069" s="4" t="s">
        <v>9123</v>
      </c>
      <c r="G3069" s="15" t="s">
        <v>9123</v>
      </c>
      <c r="H3069" s="15" t="s">
        <v>29163</v>
      </c>
      <c r="I3069" s="15" t="s">
        <v>29164</v>
      </c>
      <c r="J3069" s="15" t="s">
        <v>20737</v>
      </c>
      <c r="K3069" s="15">
        <v>7966</v>
      </c>
      <c r="L3069" s="15" t="s">
        <v>19099</v>
      </c>
    </row>
    <row r="3070" spans="1:12" x14ac:dyDescent="0.25">
      <c r="A3070" s="2" t="s">
        <v>9125</v>
      </c>
      <c r="B3070" s="8" t="s">
        <v>17855</v>
      </c>
      <c r="C3070" s="2" t="s">
        <v>9125</v>
      </c>
      <c r="D3070" s="2" t="s">
        <v>9126</v>
      </c>
      <c r="E3070" s="4" t="s">
        <v>29165</v>
      </c>
      <c r="G3070" s="15" t="s">
        <v>29165</v>
      </c>
      <c r="H3070" s="15" t="s">
        <v>29166</v>
      </c>
      <c r="I3070" s="15" t="s">
        <v>29167</v>
      </c>
      <c r="J3070" s="15" t="s">
        <v>29168</v>
      </c>
      <c r="K3070" s="15">
        <v>7967</v>
      </c>
      <c r="L3070" s="15" t="s">
        <v>19099</v>
      </c>
    </row>
    <row r="3071" spans="1:12" x14ac:dyDescent="0.25">
      <c r="A3071" s="2" t="s">
        <v>9128</v>
      </c>
      <c r="B3071" s="8" t="s">
        <v>17856</v>
      </c>
      <c r="C3071" s="2" t="s">
        <v>9128</v>
      </c>
      <c r="D3071" s="2" t="s">
        <v>9129</v>
      </c>
      <c r="E3071" s="4" t="s">
        <v>29169</v>
      </c>
      <c r="G3071" s="15" t="s">
        <v>29170</v>
      </c>
      <c r="H3071" s="15" t="s">
        <v>29171</v>
      </c>
      <c r="I3071" s="15" t="s">
        <v>29172</v>
      </c>
      <c r="J3071" s="15" t="s">
        <v>29173</v>
      </c>
      <c r="K3071" s="15">
        <v>33743</v>
      </c>
      <c r="L3071" s="15" t="s">
        <v>19099</v>
      </c>
    </row>
    <row r="3072" spans="1:12" x14ac:dyDescent="0.25">
      <c r="A3072" s="2" t="s">
        <v>9131</v>
      </c>
      <c r="B3072" s="8" t="s">
        <v>17857</v>
      </c>
      <c r="C3072" s="2" t="s">
        <v>9131</v>
      </c>
      <c r="D3072" s="2" t="s">
        <v>9132</v>
      </c>
      <c r="E3072" s="4" t="s">
        <v>29174</v>
      </c>
      <c r="G3072" s="15" t="s">
        <v>29175</v>
      </c>
      <c r="H3072" s="15" t="s">
        <v>29176</v>
      </c>
      <c r="I3072" s="15" t="s">
        <v>29177</v>
      </c>
      <c r="J3072" s="15" t="s">
        <v>29178</v>
      </c>
      <c r="K3072" s="15">
        <v>14337</v>
      </c>
      <c r="L3072" s="15" t="s">
        <v>19099</v>
      </c>
    </row>
    <row r="3073" spans="1:12" x14ac:dyDescent="0.25">
      <c r="A3073" s="2" t="s">
        <v>9134</v>
      </c>
      <c r="B3073" s="8" t="s">
        <v>17858</v>
      </c>
      <c r="C3073" s="2" t="s">
        <v>9134</v>
      </c>
      <c r="D3073" s="2" t="s">
        <v>9135</v>
      </c>
      <c r="E3073" s="4" t="s">
        <v>29179</v>
      </c>
      <c r="G3073" s="15" t="s">
        <v>29180</v>
      </c>
      <c r="H3073" s="15" t="s">
        <v>29181</v>
      </c>
      <c r="I3073" s="15" t="s">
        <v>29182</v>
      </c>
      <c r="J3073" s="15" t="s">
        <v>29183</v>
      </c>
      <c r="K3073" s="15">
        <v>2907</v>
      </c>
      <c r="L3073" s="15" t="s">
        <v>19099</v>
      </c>
    </row>
    <row r="3074" spans="1:12" x14ac:dyDescent="0.25">
      <c r="A3074" s="2" t="s">
        <v>9137</v>
      </c>
      <c r="B3074" s="8" t="s">
        <v>17859</v>
      </c>
      <c r="C3074" s="2" t="s">
        <v>9137</v>
      </c>
      <c r="D3074" s="2" t="s">
        <v>9138</v>
      </c>
      <c r="E3074" s="4" t="s">
        <v>29184</v>
      </c>
      <c r="G3074" s="15" t="s">
        <v>29185</v>
      </c>
      <c r="H3074" s="15" t="s">
        <v>29186</v>
      </c>
      <c r="I3074" s="15" t="s">
        <v>29187</v>
      </c>
      <c r="J3074" s="15" t="s">
        <v>29188</v>
      </c>
      <c r="K3074" s="15">
        <v>7533</v>
      </c>
      <c r="L3074" s="15" t="s">
        <v>19099</v>
      </c>
    </row>
    <row r="3075" spans="1:12" x14ac:dyDescent="0.25">
      <c r="A3075" s="2" t="s">
        <v>9140</v>
      </c>
      <c r="B3075" s="8" t="s">
        <v>17860</v>
      </c>
      <c r="C3075" s="2" t="s">
        <v>9140</v>
      </c>
      <c r="D3075" s="2" t="s">
        <v>9141</v>
      </c>
      <c r="E3075" s="4" t="s">
        <v>9141</v>
      </c>
      <c r="G3075" s="15" t="s">
        <v>29189</v>
      </c>
      <c r="H3075" s="15" t="s">
        <v>29190</v>
      </c>
      <c r="I3075" s="15" t="s">
        <v>29191</v>
      </c>
      <c r="J3075" s="15" t="s">
        <v>29192</v>
      </c>
      <c r="K3075" s="15">
        <v>11097730</v>
      </c>
      <c r="L3075" s="15" t="s">
        <v>19099</v>
      </c>
    </row>
    <row r="3076" spans="1:12" x14ac:dyDescent="0.25">
      <c r="A3076" s="2" t="s">
        <v>9143</v>
      </c>
      <c r="B3076" s="8" t="s">
        <v>17861</v>
      </c>
      <c r="C3076" s="2" t="s">
        <v>9143</v>
      </c>
      <c r="D3076" s="2" t="s">
        <v>9144</v>
      </c>
      <c r="E3076" s="4" t="s">
        <v>9144</v>
      </c>
      <c r="G3076" s="15" t="s">
        <v>29193</v>
      </c>
      <c r="H3076" s="15" t="s">
        <v>29194</v>
      </c>
      <c r="I3076" s="15" t="s">
        <v>29195</v>
      </c>
      <c r="J3076" s="15" t="s">
        <v>29196</v>
      </c>
      <c r="K3076" s="15">
        <v>16554</v>
      </c>
      <c r="L3076" s="15" t="s">
        <v>19099</v>
      </c>
    </row>
    <row r="3077" spans="1:12" x14ac:dyDescent="0.25">
      <c r="A3077" s="2" t="s">
        <v>9146</v>
      </c>
      <c r="B3077" s="8" t="s">
        <v>17862</v>
      </c>
      <c r="C3077" s="2" t="s">
        <v>9146</v>
      </c>
      <c r="D3077" s="2" t="s">
        <v>9147</v>
      </c>
      <c r="E3077" s="4" t="s">
        <v>9147</v>
      </c>
      <c r="G3077" s="15" t="s">
        <v>29197</v>
      </c>
      <c r="H3077" s="15" t="s">
        <v>29198</v>
      </c>
      <c r="I3077" s="15" t="s">
        <v>29199</v>
      </c>
      <c r="J3077" s="15" t="s">
        <v>29200</v>
      </c>
      <c r="K3077" s="15">
        <v>135438605</v>
      </c>
      <c r="L3077" s="15" t="s">
        <v>19099</v>
      </c>
    </row>
    <row r="3078" spans="1:12" x14ac:dyDescent="0.25">
      <c r="A3078" s="2" t="s">
        <v>9149</v>
      </c>
      <c r="B3078" s="8" t="s">
        <v>17863</v>
      </c>
      <c r="C3078" s="2" t="s">
        <v>9149</v>
      </c>
      <c r="D3078" s="2" t="s">
        <v>9150</v>
      </c>
      <c r="E3078" s="4" t="s">
        <v>9150</v>
      </c>
      <c r="G3078" s="15" t="s">
        <v>29201</v>
      </c>
      <c r="H3078" s="15" t="s">
        <v>29202</v>
      </c>
      <c r="I3078" s="15" t="s">
        <v>29203</v>
      </c>
      <c r="J3078" s="15" t="s">
        <v>29204</v>
      </c>
      <c r="K3078" s="15">
        <v>135515530</v>
      </c>
      <c r="L3078" s="15" t="s">
        <v>19099</v>
      </c>
    </row>
    <row r="3079" spans="1:12" x14ac:dyDescent="0.25">
      <c r="A3079" s="2" t="s">
        <v>9152</v>
      </c>
      <c r="B3079" s="8" t="s">
        <v>17864</v>
      </c>
      <c r="C3079" s="2" t="s">
        <v>9152</v>
      </c>
      <c r="D3079" s="2" t="s">
        <v>9153</v>
      </c>
      <c r="E3079" s="4" t="s">
        <v>9153</v>
      </c>
      <c r="G3079" s="15" t="s">
        <v>29205</v>
      </c>
      <c r="H3079" s="15" t="s">
        <v>29206</v>
      </c>
      <c r="I3079" s="15" t="s">
        <v>29207</v>
      </c>
      <c r="J3079" s="15" t="s">
        <v>29208</v>
      </c>
      <c r="K3079" s="15">
        <v>11496052</v>
      </c>
      <c r="L3079" s="15" t="s">
        <v>19099</v>
      </c>
    </row>
    <row r="3080" spans="1:12" x14ac:dyDescent="0.25">
      <c r="A3080" s="2" t="s">
        <v>9155</v>
      </c>
      <c r="B3080" s="8" t="s">
        <v>17865</v>
      </c>
      <c r="C3080" s="2" t="s">
        <v>9155</v>
      </c>
      <c r="D3080" s="2" t="s">
        <v>9156</v>
      </c>
      <c r="E3080" s="4" t="s">
        <v>9156</v>
      </c>
      <c r="G3080" s="15" t="s">
        <v>29209</v>
      </c>
      <c r="H3080" s="15" t="s">
        <v>29210</v>
      </c>
      <c r="I3080" s="15" t="s">
        <v>29211</v>
      </c>
      <c r="J3080" s="15" t="s">
        <v>29212</v>
      </c>
      <c r="K3080" s="15">
        <v>38283</v>
      </c>
      <c r="L3080" s="15" t="s">
        <v>19099</v>
      </c>
    </row>
    <row r="3081" spans="1:12" x14ac:dyDescent="0.25">
      <c r="A3081" s="2" t="s">
        <v>9158</v>
      </c>
      <c r="B3081" s="8" t="s">
        <v>17866</v>
      </c>
      <c r="C3081" s="2" t="s">
        <v>9158</v>
      </c>
      <c r="D3081" s="2" t="s">
        <v>9159</v>
      </c>
      <c r="E3081" s="4" t="s">
        <v>9159</v>
      </c>
      <c r="G3081" s="15" t="s">
        <v>29213</v>
      </c>
      <c r="H3081" s="15" t="s">
        <v>29214</v>
      </c>
      <c r="I3081" s="15" t="s">
        <v>29215</v>
      </c>
      <c r="J3081" s="15" t="s">
        <v>29216</v>
      </c>
      <c r="K3081" s="15">
        <v>104926</v>
      </c>
      <c r="L3081" s="15" t="s">
        <v>19099</v>
      </c>
    </row>
    <row r="3082" spans="1:12" x14ac:dyDescent="0.25">
      <c r="A3082" s="2" t="s">
        <v>9161</v>
      </c>
      <c r="B3082" s="8" t="s">
        <v>17867</v>
      </c>
      <c r="C3082" s="2" t="s">
        <v>9161</v>
      </c>
      <c r="D3082" s="2" t="s">
        <v>9162</v>
      </c>
      <c r="E3082" s="4" t="s">
        <v>9162</v>
      </c>
      <c r="G3082" s="15" t="s">
        <v>29217</v>
      </c>
      <c r="H3082" s="15" t="s">
        <v>29218</v>
      </c>
      <c r="I3082" s="15" t="s">
        <v>29219</v>
      </c>
      <c r="J3082" s="15" t="s">
        <v>29220</v>
      </c>
      <c r="K3082" s="15">
        <v>180089</v>
      </c>
      <c r="L3082" s="15" t="s">
        <v>19099</v>
      </c>
    </row>
    <row r="3083" spans="1:12" x14ac:dyDescent="0.25">
      <c r="A3083" s="2" t="s">
        <v>9164</v>
      </c>
      <c r="B3083" s="8" t="s">
        <v>17868</v>
      </c>
      <c r="C3083" s="2" t="s">
        <v>9164</v>
      </c>
      <c r="D3083" s="2" t="s">
        <v>9165</v>
      </c>
      <c r="E3083" s="4" t="s">
        <v>9165</v>
      </c>
      <c r="G3083" s="15" t="s">
        <v>29221</v>
      </c>
      <c r="H3083" s="15" t="s">
        <v>29222</v>
      </c>
      <c r="I3083" s="15" t="s">
        <v>29223</v>
      </c>
      <c r="J3083" s="15" t="s">
        <v>29224</v>
      </c>
      <c r="K3083" s="15">
        <v>5281873</v>
      </c>
      <c r="L3083" s="15" t="s">
        <v>19099</v>
      </c>
    </row>
    <row r="3084" spans="1:12" x14ac:dyDescent="0.25">
      <c r="A3084" s="2" t="s">
        <v>9167</v>
      </c>
      <c r="B3084" s="8" t="s">
        <v>17869</v>
      </c>
      <c r="C3084" s="2" t="s">
        <v>9167</v>
      </c>
      <c r="D3084" s="2" t="s">
        <v>9168</v>
      </c>
      <c r="E3084" s="4" t="s">
        <v>9168</v>
      </c>
      <c r="H3084" s="15" t="s">
        <v>29225</v>
      </c>
      <c r="I3084" s="15" t="s">
        <v>29226</v>
      </c>
      <c r="J3084" s="15" t="s">
        <v>29227</v>
      </c>
      <c r="K3084" s="15">
        <v>6327054</v>
      </c>
      <c r="L3084" s="15" t="s">
        <v>19099</v>
      </c>
    </row>
    <row r="3085" spans="1:12" x14ac:dyDescent="0.25">
      <c r="A3085" s="2" t="s">
        <v>9170</v>
      </c>
      <c r="B3085" s="8" t="s">
        <v>17870</v>
      </c>
      <c r="C3085" s="2" t="s">
        <v>9170</v>
      </c>
      <c r="D3085" s="2" t="s">
        <v>9171</v>
      </c>
      <c r="E3085" s="4" t="s">
        <v>9171</v>
      </c>
      <c r="G3085" s="15" t="s">
        <v>29228</v>
      </c>
      <c r="H3085" s="15" t="s">
        <v>29229</v>
      </c>
      <c r="I3085" s="15" t="s">
        <v>29230</v>
      </c>
      <c r="J3085" s="15" t="s">
        <v>29231</v>
      </c>
      <c r="K3085" s="15">
        <v>5364079</v>
      </c>
      <c r="L3085" s="15" t="s">
        <v>19099</v>
      </c>
    </row>
    <row r="3086" spans="1:12" x14ac:dyDescent="0.25">
      <c r="A3086" s="2" t="s">
        <v>9173</v>
      </c>
      <c r="B3086" s="8" t="s">
        <v>17871</v>
      </c>
      <c r="C3086" s="2" t="s">
        <v>9173</v>
      </c>
      <c r="D3086" s="2" t="s">
        <v>9174</v>
      </c>
      <c r="E3086" s="4" t="s">
        <v>29232</v>
      </c>
      <c r="G3086" s="15" t="s">
        <v>29233</v>
      </c>
      <c r="H3086" s="15" t="s">
        <v>29234</v>
      </c>
      <c r="I3086" s="15" t="s">
        <v>29235</v>
      </c>
      <c r="J3086" s="15" t="s">
        <v>29236</v>
      </c>
      <c r="K3086" s="15">
        <v>43714</v>
      </c>
      <c r="L3086" s="15" t="s">
        <v>19099</v>
      </c>
    </row>
    <row r="3087" spans="1:12" x14ac:dyDescent="0.25">
      <c r="A3087" s="2" t="s">
        <v>9176</v>
      </c>
      <c r="B3087" s="8" t="s">
        <v>17872</v>
      </c>
      <c r="C3087" s="2" t="s">
        <v>9176</v>
      </c>
      <c r="D3087" s="2" t="s">
        <v>9177</v>
      </c>
      <c r="E3087" s="4" t="s">
        <v>9177</v>
      </c>
      <c r="G3087" s="15" t="s">
        <v>29237</v>
      </c>
      <c r="H3087" s="15" t="s">
        <v>29238</v>
      </c>
      <c r="I3087" s="15" t="s">
        <v>29239</v>
      </c>
      <c r="J3087" s="15" t="s">
        <v>27375</v>
      </c>
      <c r="K3087" s="15">
        <v>2913</v>
      </c>
      <c r="L3087" s="15" t="s">
        <v>19099</v>
      </c>
    </row>
    <row r="3088" spans="1:12" x14ac:dyDescent="0.25">
      <c r="A3088" s="2" t="s">
        <v>9179</v>
      </c>
      <c r="B3088" s="8" t="s">
        <v>17873</v>
      </c>
      <c r="C3088" s="2" t="s">
        <v>9179</v>
      </c>
      <c r="D3088" s="2" t="s">
        <v>9180</v>
      </c>
      <c r="E3088" s="4" t="s">
        <v>29240</v>
      </c>
      <c r="G3088" s="15" t="s">
        <v>29241</v>
      </c>
      <c r="H3088" s="15" t="s">
        <v>29242</v>
      </c>
      <c r="I3088" s="15" t="s">
        <v>29243</v>
      </c>
      <c r="J3088" s="15" t="s">
        <v>29244</v>
      </c>
      <c r="K3088" s="15">
        <v>86132</v>
      </c>
      <c r="L3088" s="15" t="s">
        <v>19099</v>
      </c>
    </row>
    <row r="3089" spans="1:20" x14ac:dyDescent="0.25">
      <c r="A3089" s="2" t="s">
        <v>9182</v>
      </c>
      <c r="B3089" s="8" t="s">
        <v>17874</v>
      </c>
      <c r="C3089" s="2" t="s">
        <v>9182</v>
      </c>
      <c r="D3089" s="2" t="s">
        <v>9183</v>
      </c>
      <c r="E3089" s="4" t="s">
        <v>9183</v>
      </c>
      <c r="G3089" s="15" t="s">
        <v>29245</v>
      </c>
      <c r="H3089" s="15" t="s">
        <v>29246</v>
      </c>
      <c r="I3089" s="15" t="s">
        <v>29247</v>
      </c>
      <c r="J3089" s="15" t="s">
        <v>21562</v>
      </c>
      <c r="K3089" s="15">
        <v>86367</v>
      </c>
      <c r="L3089" s="15" t="s">
        <v>19099</v>
      </c>
    </row>
    <row r="3090" spans="1:20" x14ac:dyDescent="0.25">
      <c r="A3090" s="2" t="s">
        <v>9185</v>
      </c>
      <c r="B3090" s="8" t="s">
        <v>17875</v>
      </c>
      <c r="C3090" s="2" t="s">
        <v>9185</v>
      </c>
      <c r="D3090" s="2" t="s">
        <v>9186</v>
      </c>
      <c r="E3090" s="4" t="s">
        <v>9186</v>
      </c>
      <c r="G3090" s="15" t="s">
        <v>29248</v>
      </c>
      <c r="H3090" s="15" t="s">
        <v>29249</v>
      </c>
      <c r="I3090" s="15" t="s">
        <v>29250</v>
      </c>
      <c r="J3090" s="15" t="s">
        <v>29251</v>
      </c>
      <c r="K3090" s="15">
        <v>50590</v>
      </c>
      <c r="L3090" s="15" t="s">
        <v>19099</v>
      </c>
    </row>
    <row r="3091" spans="1:20" x14ac:dyDescent="0.25">
      <c r="A3091" s="2" t="s">
        <v>9188</v>
      </c>
      <c r="B3091" s="8" t="s">
        <v>17876</v>
      </c>
      <c r="C3091" s="2" t="s">
        <v>9188</v>
      </c>
      <c r="D3091" s="2" t="s">
        <v>9189</v>
      </c>
      <c r="E3091" s="4" t="s">
        <v>9189</v>
      </c>
      <c r="G3091" s="15" t="s">
        <v>27832</v>
      </c>
      <c r="H3091" s="15" t="s">
        <v>27833</v>
      </c>
      <c r="I3091" s="15" t="s">
        <v>27834</v>
      </c>
      <c r="J3091" s="15" t="s">
        <v>27835</v>
      </c>
      <c r="K3091" s="15">
        <v>2912</v>
      </c>
      <c r="L3091" s="15" t="s">
        <v>19099</v>
      </c>
    </row>
    <row r="3092" spans="1:20" x14ac:dyDescent="0.25">
      <c r="A3092" s="2" t="s">
        <v>9191</v>
      </c>
      <c r="B3092" s="8" t="s">
        <v>17877</v>
      </c>
      <c r="C3092" s="2" t="s">
        <v>9191</v>
      </c>
      <c r="D3092" s="2" t="s">
        <v>9192</v>
      </c>
      <c r="E3092" s="4" t="s">
        <v>9192</v>
      </c>
      <c r="G3092" s="15" t="s">
        <v>29252</v>
      </c>
      <c r="H3092" s="15" t="s">
        <v>29253</v>
      </c>
      <c r="I3092" s="15" t="s">
        <v>29254</v>
      </c>
      <c r="J3092" s="15" t="s">
        <v>29255</v>
      </c>
      <c r="K3092" s="15">
        <v>47866</v>
      </c>
      <c r="L3092" s="15" t="s">
        <v>19099</v>
      </c>
    </row>
    <row r="3093" spans="1:20" x14ac:dyDescent="0.25">
      <c r="A3093" s="2" t="s">
        <v>9194</v>
      </c>
      <c r="B3093" s="8" t="s">
        <v>17878</v>
      </c>
      <c r="C3093" s="2" t="s">
        <v>9194</v>
      </c>
      <c r="D3093" s="2" t="s">
        <v>9195</v>
      </c>
      <c r="E3093" s="4" t="s">
        <v>29256</v>
      </c>
      <c r="G3093" s="15" t="s">
        <v>29257</v>
      </c>
      <c r="H3093" s="15" t="s">
        <v>29258</v>
      </c>
      <c r="I3093" s="15" t="s">
        <v>29259</v>
      </c>
      <c r="J3093" s="15" t="s">
        <v>29260</v>
      </c>
      <c r="K3093" s="15">
        <v>8293</v>
      </c>
      <c r="L3093" s="15" t="s">
        <v>19099</v>
      </c>
    </row>
    <row r="3094" spans="1:20" x14ac:dyDescent="0.25">
      <c r="A3094" s="2" t="s">
        <v>9197</v>
      </c>
      <c r="B3094" s="8" t="s">
        <v>17879</v>
      </c>
      <c r="C3094" s="2" t="s">
        <v>9197</v>
      </c>
      <c r="D3094" s="2" t="s">
        <v>9198</v>
      </c>
      <c r="E3094" s="4" t="s">
        <v>29261</v>
      </c>
      <c r="G3094" s="15" t="s">
        <v>27765</v>
      </c>
      <c r="H3094" s="15" t="s">
        <v>27766</v>
      </c>
      <c r="I3094" s="15" t="s">
        <v>27767</v>
      </c>
      <c r="J3094" s="15" t="s">
        <v>27768</v>
      </c>
      <c r="K3094" s="15">
        <v>727</v>
      </c>
      <c r="L3094" s="15" t="s">
        <v>19099</v>
      </c>
    </row>
    <row r="3095" spans="1:20" ht="30" customHeight="1" x14ac:dyDescent="0.25">
      <c r="A3095" s="2" t="s">
        <v>9200</v>
      </c>
      <c r="B3095" s="8" t="s">
        <v>16180</v>
      </c>
      <c r="C3095" s="2" t="s">
        <v>9200</v>
      </c>
      <c r="D3095" s="2" t="s">
        <v>9201</v>
      </c>
      <c r="E3095" s="4" t="s">
        <v>29262</v>
      </c>
    </row>
    <row r="3096" spans="1:20" x14ac:dyDescent="0.25">
      <c r="A3096" s="2" t="s">
        <v>9202</v>
      </c>
      <c r="B3096" s="8" t="s">
        <v>16180</v>
      </c>
      <c r="C3096" s="2" t="s">
        <v>9202</v>
      </c>
      <c r="D3096" s="2" t="s">
        <v>9203</v>
      </c>
      <c r="E3096" s="4" t="s">
        <v>29263</v>
      </c>
      <c r="N3096" s="15" t="s">
        <v>21788</v>
      </c>
      <c r="O3096" s="15" t="s">
        <v>29264</v>
      </c>
      <c r="P3096" s="15" t="s">
        <v>29265</v>
      </c>
      <c r="Q3096" s="15" t="s">
        <v>29266</v>
      </c>
      <c r="R3096" s="15" t="s">
        <v>29267</v>
      </c>
      <c r="S3096" s="15">
        <v>5789</v>
      </c>
      <c r="T3096" s="15" t="s">
        <v>19089</v>
      </c>
    </row>
    <row r="3097" spans="1:20" x14ac:dyDescent="0.25">
      <c r="A3097" s="2" t="s">
        <v>9204</v>
      </c>
      <c r="B3097" s="8" t="s">
        <v>17880</v>
      </c>
      <c r="C3097" s="2" t="s">
        <v>9204</v>
      </c>
      <c r="D3097" s="2" t="s">
        <v>9205</v>
      </c>
      <c r="E3097" s="4" t="s">
        <v>9205</v>
      </c>
      <c r="G3097" s="15" t="s">
        <v>29268</v>
      </c>
      <c r="H3097" s="15" t="s">
        <v>29269</v>
      </c>
      <c r="I3097" s="15" t="s">
        <v>29270</v>
      </c>
      <c r="J3097" s="15" t="s">
        <v>29271</v>
      </c>
      <c r="K3097" s="15">
        <v>5281708</v>
      </c>
      <c r="L3097" s="15" t="s">
        <v>19099</v>
      </c>
    </row>
    <row r="3098" spans="1:20" x14ac:dyDescent="0.25">
      <c r="A3098" s="2" t="s">
        <v>9207</v>
      </c>
      <c r="B3098" s="8" t="s">
        <v>17881</v>
      </c>
      <c r="C3098" s="2" t="s">
        <v>9207</v>
      </c>
      <c r="D3098" s="2" t="s">
        <v>9208</v>
      </c>
      <c r="E3098" s="4" t="s">
        <v>9208</v>
      </c>
      <c r="G3098" s="15" t="s">
        <v>29272</v>
      </c>
      <c r="H3098" s="15" t="s">
        <v>29273</v>
      </c>
      <c r="I3098" s="15" t="s">
        <v>29274</v>
      </c>
      <c r="J3098" s="15" t="s">
        <v>29275</v>
      </c>
      <c r="K3098" s="15">
        <v>15331</v>
      </c>
      <c r="L3098" s="15" t="s">
        <v>19099</v>
      </c>
    </row>
    <row r="3099" spans="1:20" x14ac:dyDescent="0.25">
      <c r="A3099" s="2" t="s">
        <v>9210</v>
      </c>
      <c r="B3099" s="8" t="s">
        <v>17882</v>
      </c>
      <c r="C3099" s="2" t="s">
        <v>9210</v>
      </c>
      <c r="D3099" s="2" t="s">
        <v>9211</v>
      </c>
      <c r="E3099" s="4" t="s">
        <v>9211</v>
      </c>
      <c r="G3099" s="15" t="s">
        <v>29276</v>
      </c>
      <c r="H3099" s="15" t="s">
        <v>29277</v>
      </c>
      <c r="I3099" s="15" t="s">
        <v>29278</v>
      </c>
      <c r="J3099" s="15" t="s">
        <v>29279</v>
      </c>
      <c r="K3099" s="15">
        <v>71335</v>
      </c>
      <c r="L3099" s="15" t="s">
        <v>19099</v>
      </c>
    </row>
    <row r="3100" spans="1:20" x14ac:dyDescent="0.25">
      <c r="A3100" s="2" t="s">
        <v>9213</v>
      </c>
      <c r="B3100" s="8" t="s">
        <v>17883</v>
      </c>
      <c r="C3100" s="2" t="s">
        <v>9213</v>
      </c>
      <c r="D3100" s="2" t="s">
        <v>9214</v>
      </c>
      <c r="E3100" s="4" t="s">
        <v>29280</v>
      </c>
      <c r="G3100" s="15" t="s">
        <v>29281</v>
      </c>
      <c r="H3100" s="15" t="s">
        <v>29282</v>
      </c>
      <c r="I3100" s="15" t="s">
        <v>29283</v>
      </c>
      <c r="J3100" s="15" t="s">
        <v>29284</v>
      </c>
      <c r="K3100" s="15">
        <v>2955</v>
      </c>
      <c r="L3100" s="15" t="s">
        <v>19099</v>
      </c>
    </row>
    <row r="3101" spans="1:20" x14ac:dyDescent="0.25">
      <c r="A3101" s="2" t="s">
        <v>9216</v>
      </c>
      <c r="B3101" s="8" t="s">
        <v>17884</v>
      </c>
      <c r="C3101" s="2" t="s">
        <v>9216</v>
      </c>
      <c r="D3101" s="2" t="s">
        <v>9217</v>
      </c>
      <c r="E3101" s="4" t="s">
        <v>29285</v>
      </c>
      <c r="H3101" s="15" t="s">
        <v>29286</v>
      </c>
      <c r="I3101" s="15" t="s">
        <v>29287</v>
      </c>
      <c r="J3101" s="15" t="s">
        <v>29288</v>
      </c>
      <c r="K3101" s="15">
        <v>23690887</v>
      </c>
      <c r="L3101" s="15" t="s">
        <v>19099</v>
      </c>
    </row>
    <row r="3102" spans="1:20" x14ac:dyDescent="0.25">
      <c r="A3102" s="2" t="s">
        <v>9219</v>
      </c>
      <c r="B3102" s="8" t="s">
        <v>17885</v>
      </c>
      <c r="C3102" s="2" t="s">
        <v>9219</v>
      </c>
      <c r="D3102" s="2" t="s">
        <v>9220</v>
      </c>
      <c r="E3102" s="4" t="s">
        <v>9220</v>
      </c>
      <c r="G3102" s="15" t="s">
        <v>29289</v>
      </c>
      <c r="H3102" s="15" t="s">
        <v>29290</v>
      </c>
      <c r="I3102" s="15" t="s">
        <v>29291</v>
      </c>
      <c r="J3102" s="15" t="s">
        <v>29292</v>
      </c>
      <c r="K3102" s="15">
        <v>10788</v>
      </c>
      <c r="L3102" s="15" t="s">
        <v>19099</v>
      </c>
    </row>
    <row r="3103" spans="1:20" x14ac:dyDescent="0.25">
      <c r="A3103" s="2" t="s">
        <v>9222</v>
      </c>
      <c r="B3103" s="8" t="s">
        <v>17886</v>
      </c>
      <c r="C3103" s="2" t="s">
        <v>9222</v>
      </c>
      <c r="D3103" s="2" t="s">
        <v>9223</v>
      </c>
      <c r="E3103" s="4" t="s">
        <v>29293</v>
      </c>
      <c r="G3103" s="15" t="s">
        <v>29294</v>
      </c>
      <c r="H3103" s="15" t="s">
        <v>29295</v>
      </c>
      <c r="I3103" s="15" t="s">
        <v>29296</v>
      </c>
      <c r="J3103" s="15" t="s">
        <v>20547</v>
      </c>
      <c r="K3103" s="15">
        <v>16724</v>
      </c>
      <c r="L3103" s="15" t="s">
        <v>19099</v>
      </c>
    </row>
    <row r="3104" spans="1:20" x14ac:dyDescent="0.25">
      <c r="A3104" s="2" t="s">
        <v>9225</v>
      </c>
      <c r="B3104" s="8" t="s">
        <v>17887</v>
      </c>
      <c r="C3104" s="2" t="s">
        <v>9225</v>
      </c>
      <c r="D3104" s="2" t="s">
        <v>9226</v>
      </c>
      <c r="E3104" s="4" t="s">
        <v>9226</v>
      </c>
      <c r="G3104" s="15" t="s">
        <v>29297</v>
      </c>
      <c r="H3104" s="15" t="s">
        <v>29298</v>
      </c>
      <c r="I3104" s="15" t="s">
        <v>29299</v>
      </c>
      <c r="J3104" s="15" t="s">
        <v>29300</v>
      </c>
      <c r="K3104" s="15">
        <v>115122</v>
      </c>
      <c r="L3104" s="15" t="s">
        <v>19099</v>
      </c>
    </row>
    <row r="3105" spans="1:12" x14ac:dyDescent="0.25">
      <c r="A3105" s="2" t="s">
        <v>9228</v>
      </c>
      <c r="B3105" s="8" t="s">
        <v>17888</v>
      </c>
      <c r="C3105" s="2" t="s">
        <v>9228</v>
      </c>
      <c r="D3105" s="2" t="s">
        <v>9229</v>
      </c>
      <c r="E3105" s="4" t="s">
        <v>9229</v>
      </c>
      <c r="G3105" s="15" t="s">
        <v>29301</v>
      </c>
      <c r="H3105" s="15" t="s">
        <v>29302</v>
      </c>
      <c r="I3105" s="15" t="s">
        <v>29303</v>
      </c>
      <c r="J3105" s="15" t="s">
        <v>29304</v>
      </c>
      <c r="K3105" s="15">
        <v>13526</v>
      </c>
      <c r="L3105" s="15" t="s">
        <v>19099</v>
      </c>
    </row>
    <row r="3106" spans="1:12" x14ac:dyDescent="0.25">
      <c r="A3106" s="2" t="s">
        <v>9231</v>
      </c>
      <c r="B3106" s="8" t="s">
        <v>17889</v>
      </c>
      <c r="C3106" s="2" t="s">
        <v>9231</v>
      </c>
      <c r="D3106" s="2" t="s">
        <v>9232</v>
      </c>
      <c r="E3106" s="4" t="s">
        <v>29305</v>
      </c>
      <c r="G3106" s="15" t="s">
        <v>29306</v>
      </c>
      <c r="H3106" s="15" t="s">
        <v>29307</v>
      </c>
      <c r="I3106" s="15" t="s">
        <v>29308</v>
      </c>
      <c r="J3106" s="15" t="s">
        <v>29309</v>
      </c>
      <c r="K3106" s="15">
        <v>28213</v>
      </c>
      <c r="L3106" s="15" t="s">
        <v>19099</v>
      </c>
    </row>
    <row r="3107" spans="1:12" x14ac:dyDescent="0.25">
      <c r="A3107" s="2" t="s">
        <v>9234</v>
      </c>
      <c r="B3107" s="8" t="s">
        <v>17890</v>
      </c>
      <c r="C3107" s="2" t="s">
        <v>9234</v>
      </c>
      <c r="D3107" s="2" t="s">
        <v>9235</v>
      </c>
      <c r="E3107" s="4" t="s">
        <v>9235</v>
      </c>
      <c r="G3107" s="15" t="s">
        <v>29310</v>
      </c>
      <c r="H3107" s="15" t="s">
        <v>29311</v>
      </c>
      <c r="I3107" s="15" t="s">
        <v>29312</v>
      </c>
      <c r="J3107" s="15" t="s">
        <v>29313</v>
      </c>
      <c r="K3107" s="15">
        <v>9273</v>
      </c>
      <c r="L3107" s="15" t="s">
        <v>19099</v>
      </c>
    </row>
    <row r="3108" spans="1:12" x14ac:dyDescent="0.25">
      <c r="A3108" s="2" t="s">
        <v>9237</v>
      </c>
      <c r="B3108" s="8" t="s">
        <v>17891</v>
      </c>
      <c r="C3108" s="2" t="s">
        <v>9237</v>
      </c>
      <c r="D3108" s="2" t="s">
        <v>9238</v>
      </c>
      <c r="E3108" s="4" t="s">
        <v>9238</v>
      </c>
      <c r="G3108" s="15" t="s">
        <v>29314</v>
      </c>
      <c r="H3108" s="15" t="s">
        <v>29315</v>
      </c>
      <c r="I3108" s="15" t="s">
        <v>29316</v>
      </c>
      <c r="J3108" s="15" t="s">
        <v>29313</v>
      </c>
      <c r="K3108" s="15">
        <v>24723</v>
      </c>
      <c r="L3108" s="15" t="s">
        <v>19099</v>
      </c>
    </row>
    <row r="3109" spans="1:12" x14ac:dyDescent="0.25">
      <c r="A3109" s="2" t="s">
        <v>9240</v>
      </c>
      <c r="B3109" s="8" t="s">
        <v>17892</v>
      </c>
      <c r="C3109" s="2" t="s">
        <v>9240</v>
      </c>
      <c r="D3109" s="2" t="s">
        <v>9241</v>
      </c>
      <c r="E3109" s="4" t="s">
        <v>29317</v>
      </c>
      <c r="G3109" s="15" t="s">
        <v>29318</v>
      </c>
      <c r="H3109" s="15" t="s">
        <v>29319</v>
      </c>
      <c r="I3109" s="15" t="s">
        <v>29320</v>
      </c>
      <c r="J3109" s="15" t="s">
        <v>29321</v>
      </c>
      <c r="K3109" s="15">
        <v>57375910</v>
      </c>
      <c r="L3109" s="15" t="s">
        <v>19995</v>
      </c>
    </row>
    <row r="3110" spans="1:12" x14ac:dyDescent="0.25">
      <c r="A3110" s="2" t="s">
        <v>9243</v>
      </c>
      <c r="B3110" s="8" t="s">
        <v>17893</v>
      </c>
      <c r="C3110" s="2" t="s">
        <v>9243</v>
      </c>
      <c r="D3110" s="2" t="s">
        <v>9244</v>
      </c>
      <c r="E3110" s="4" t="s">
        <v>9244</v>
      </c>
      <c r="G3110" s="15" t="s">
        <v>29322</v>
      </c>
      <c r="H3110" s="15" t="s">
        <v>29323</v>
      </c>
      <c r="I3110" s="15" t="s">
        <v>29324</v>
      </c>
      <c r="J3110" s="15" t="s">
        <v>29325</v>
      </c>
      <c r="K3110" s="15">
        <v>2997</v>
      </c>
      <c r="L3110" s="15" t="s">
        <v>19099</v>
      </c>
    </row>
    <row r="3111" spans="1:12" x14ac:dyDescent="0.25">
      <c r="A3111" s="2" t="s">
        <v>9246</v>
      </c>
      <c r="B3111" s="8" t="s">
        <v>17894</v>
      </c>
      <c r="C3111" s="2" t="s">
        <v>9246</v>
      </c>
      <c r="D3111" s="2" t="s">
        <v>9247</v>
      </c>
      <c r="E3111" s="4" t="s">
        <v>15075</v>
      </c>
      <c r="G3111" s="15" t="s">
        <v>29326</v>
      </c>
      <c r="H3111" s="15" t="s">
        <v>29327</v>
      </c>
      <c r="I3111" s="15" t="s">
        <v>29328</v>
      </c>
      <c r="J3111" s="15" t="s">
        <v>29329</v>
      </c>
      <c r="K3111" s="15">
        <v>22563</v>
      </c>
      <c r="L3111" s="15" t="s">
        <v>19099</v>
      </c>
    </row>
    <row r="3112" spans="1:12" x14ac:dyDescent="0.25">
      <c r="A3112" s="2" t="s">
        <v>9249</v>
      </c>
      <c r="B3112" s="8" t="s">
        <v>17895</v>
      </c>
      <c r="C3112" s="2" t="s">
        <v>9249</v>
      </c>
      <c r="D3112" s="2" t="s">
        <v>9250</v>
      </c>
      <c r="E3112" s="4" t="s">
        <v>29330</v>
      </c>
      <c r="G3112" s="15" t="s">
        <v>29331</v>
      </c>
      <c r="H3112" s="15" t="s">
        <v>29332</v>
      </c>
      <c r="I3112" s="15" t="s">
        <v>29333</v>
      </c>
      <c r="J3112" s="15" t="s">
        <v>29334</v>
      </c>
      <c r="K3112" s="15">
        <v>5018112</v>
      </c>
      <c r="L3112" s="15" t="s">
        <v>19099</v>
      </c>
    </row>
    <row r="3113" spans="1:12" x14ac:dyDescent="0.25">
      <c r="A3113" s="2" t="s">
        <v>9252</v>
      </c>
      <c r="B3113" s="8" t="s">
        <v>17896</v>
      </c>
      <c r="C3113" s="2" t="s">
        <v>9252</v>
      </c>
      <c r="D3113" s="2" t="s">
        <v>9253</v>
      </c>
      <c r="E3113" s="4" t="s">
        <v>29335</v>
      </c>
      <c r="G3113" s="15" t="s">
        <v>29336</v>
      </c>
      <c r="H3113" s="15" t="s">
        <v>29337</v>
      </c>
      <c r="I3113" s="15" t="s">
        <v>29338</v>
      </c>
      <c r="J3113" s="15" t="s">
        <v>29334</v>
      </c>
      <c r="K3113" s="15">
        <v>108201</v>
      </c>
      <c r="L3113" s="15" t="s">
        <v>19099</v>
      </c>
    </row>
    <row r="3114" spans="1:12" x14ac:dyDescent="0.25">
      <c r="A3114" s="2" t="s">
        <v>9255</v>
      </c>
      <c r="B3114" s="8" t="s">
        <v>17897</v>
      </c>
      <c r="C3114" s="2" t="s">
        <v>9255</v>
      </c>
      <c r="D3114" s="2" t="s">
        <v>9256</v>
      </c>
      <c r="E3114" s="4" t="s">
        <v>29339</v>
      </c>
      <c r="G3114" s="15" t="s">
        <v>29340</v>
      </c>
      <c r="H3114" s="15" t="s">
        <v>29341</v>
      </c>
      <c r="I3114" s="15" t="s">
        <v>29342</v>
      </c>
      <c r="J3114" s="15" t="s">
        <v>20880</v>
      </c>
      <c r="K3114" s="15">
        <v>185719</v>
      </c>
      <c r="L3114" s="15" t="s">
        <v>19099</v>
      </c>
    </row>
    <row r="3115" spans="1:12" x14ac:dyDescent="0.25">
      <c r="A3115" s="2" t="s">
        <v>9258</v>
      </c>
      <c r="B3115" s="8" t="s">
        <v>17898</v>
      </c>
      <c r="C3115" s="2" t="s">
        <v>9258</v>
      </c>
      <c r="D3115" s="2" t="s">
        <v>9259</v>
      </c>
      <c r="E3115" s="4" t="s">
        <v>29343</v>
      </c>
      <c r="G3115" s="15" t="s">
        <v>19090</v>
      </c>
      <c r="H3115" s="15" t="s">
        <v>19091</v>
      </c>
      <c r="I3115" s="15" t="s">
        <v>19092</v>
      </c>
      <c r="J3115" s="15" t="s">
        <v>19093</v>
      </c>
      <c r="K3115" s="15">
        <v>95827</v>
      </c>
      <c r="L3115" s="15" t="s">
        <v>19099</v>
      </c>
    </row>
    <row r="3116" spans="1:12" x14ac:dyDescent="0.25">
      <c r="A3116" s="2" t="s">
        <v>9261</v>
      </c>
      <c r="B3116" s="8" t="s">
        <v>17899</v>
      </c>
      <c r="C3116" s="2" t="s">
        <v>9261</v>
      </c>
      <c r="D3116" s="2" t="s">
        <v>9262</v>
      </c>
      <c r="E3116" s="4" t="s">
        <v>15077</v>
      </c>
      <c r="G3116" s="15" t="s">
        <v>29344</v>
      </c>
      <c r="H3116" s="15" t="s">
        <v>29345</v>
      </c>
      <c r="I3116" s="15" t="s">
        <v>29346</v>
      </c>
      <c r="J3116" s="15" t="s">
        <v>29347</v>
      </c>
      <c r="K3116" s="15">
        <v>13878</v>
      </c>
      <c r="L3116" s="15" t="s">
        <v>19099</v>
      </c>
    </row>
    <row r="3117" spans="1:12" x14ac:dyDescent="0.25">
      <c r="A3117" s="2" t="s">
        <v>9264</v>
      </c>
      <c r="B3117" s="8" t="s">
        <v>17900</v>
      </c>
      <c r="C3117" s="2" t="s">
        <v>9264</v>
      </c>
      <c r="D3117" s="2" t="s">
        <v>9265</v>
      </c>
      <c r="E3117" s="4" t="s">
        <v>29348</v>
      </c>
      <c r="G3117" s="15" t="s">
        <v>29349</v>
      </c>
      <c r="H3117" s="15" t="s">
        <v>29350</v>
      </c>
      <c r="I3117" s="15" t="s">
        <v>29351</v>
      </c>
      <c r="J3117" s="15" t="s">
        <v>29352</v>
      </c>
      <c r="K3117" s="15">
        <v>24743</v>
      </c>
      <c r="L3117" s="15" t="s">
        <v>19099</v>
      </c>
    </row>
    <row r="3118" spans="1:12" x14ac:dyDescent="0.25">
      <c r="A3118" s="2" t="s">
        <v>9267</v>
      </c>
      <c r="B3118" s="8" t="s">
        <v>17901</v>
      </c>
      <c r="C3118" s="2" t="s">
        <v>9267</v>
      </c>
      <c r="D3118" s="2" t="s">
        <v>9268</v>
      </c>
      <c r="E3118" s="4" t="s">
        <v>9268</v>
      </c>
      <c r="G3118" s="15" t="s">
        <v>29353</v>
      </c>
      <c r="H3118" s="15" t="s">
        <v>29354</v>
      </c>
      <c r="I3118" s="15" t="s">
        <v>29355</v>
      </c>
      <c r="J3118" s="15" t="s">
        <v>29356</v>
      </c>
      <c r="K3118" s="15">
        <v>13904</v>
      </c>
      <c r="L3118" s="15" t="s">
        <v>19099</v>
      </c>
    </row>
    <row r="3119" spans="1:12" x14ac:dyDescent="0.25">
      <c r="A3119" s="2" t="s">
        <v>9270</v>
      </c>
      <c r="B3119" s="8" t="s">
        <v>17902</v>
      </c>
      <c r="C3119" s="2" t="s">
        <v>9270</v>
      </c>
      <c r="D3119" s="2" t="s">
        <v>9271</v>
      </c>
      <c r="E3119" s="4" t="s">
        <v>29357</v>
      </c>
      <c r="G3119" s="15" t="s">
        <v>29358</v>
      </c>
      <c r="H3119" s="15" t="s">
        <v>29359</v>
      </c>
      <c r="I3119" s="15" t="s">
        <v>29360</v>
      </c>
      <c r="J3119" s="15" t="s">
        <v>29361</v>
      </c>
      <c r="K3119" s="15">
        <v>5743</v>
      </c>
      <c r="L3119" s="15" t="s">
        <v>19099</v>
      </c>
    </row>
    <row r="3120" spans="1:12" x14ac:dyDescent="0.25">
      <c r="A3120" s="2" t="s">
        <v>9273</v>
      </c>
      <c r="B3120" s="8" t="s">
        <v>17903</v>
      </c>
      <c r="C3120" s="2" t="s">
        <v>9273</v>
      </c>
      <c r="D3120" s="2" t="s">
        <v>9274</v>
      </c>
      <c r="E3120" s="4" t="s">
        <v>9274</v>
      </c>
      <c r="G3120" s="15" t="s">
        <v>29362</v>
      </c>
      <c r="H3120" s="15" t="s">
        <v>29363</v>
      </c>
      <c r="I3120" s="15" t="s">
        <v>29364</v>
      </c>
      <c r="J3120" s="15" t="s">
        <v>29365</v>
      </c>
      <c r="K3120" s="15">
        <v>456389</v>
      </c>
      <c r="L3120" s="15" t="s">
        <v>19099</v>
      </c>
    </row>
    <row r="3121" spans="1:12" x14ac:dyDescent="0.25">
      <c r="A3121" s="2" t="s">
        <v>9276</v>
      </c>
      <c r="B3121" s="8" t="s">
        <v>17904</v>
      </c>
      <c r="C3121" s="2" t="s">
        <v>9276</v>
      </c>
      <c r="D3121" s="2" t="s">
        <v>9277</v>
      </c>
      <c r="E3121" s="4" t="s">
        <v>9277</v>
      </c>
      <c r="G3121" s="15" t="s">
        <v>29366</v>
      </c>
      <c r="H3121" s="15" t="s">
        <v>29367</v>
      </c>
      <c r="I3121" s="15" t="s">
        <v>29368</v>
      </c>
      <c r="J3121" s="15" t="s">
        <v>29369</v>
      </c>
      <c r="K3121" s="15">
        <v>969491</v>
      </c>
      <c r="L3121" s="15" t="s">
        <v>19099</v>
      </c>
    </row>
    <row r="3122" spans="1:12" x14ac:dyDescent="0.25">
      <c r="A3122" s="2" t="s">
        <v>9279</v>
      </c>
      <c r="B3122" s="8" t="s">
        <v>17905</v>
      </c>
      <c r="C3122" s="2" t="s">
        <v>9279</v>
      </c>
      <c r="D3122" s="2" t="s">
        <v>9280</v>
      </c>
      <c r="E3122" s="4" t="s">
        <v>29370</v>
      </c>
      <c r="G3122" s="15" t="s">
        <v>29371</v>
      </c>
      <c r="H3122" s="15" t="s">
        <v>29372</v>
      </c>
      <c r="I3122" s="15" t="s">
        <v>29373</v>
      </c>
      <c r="J3122" s="15" t="s">
        <v>29374</v>
      </c>
      <c r="K3122" s="15">
        <v>23667639</v>
      </c>
      <c r="L3122" s="15" t="s">
        <v>19099</v>
      </c>
    </row>
    <row r="3123" spans="1:12" x14ac:dyDescent="0.25">
      <c r="A3123" s="2" t="s">
        <v>9282</v>
      </c>
      <c r="B3123" s="8" t="s">
        <v>17906</v>
      </c>
      <c r="C3123" s="2" t="s">
        <v>9282</v>
      </c>
      <c r="D3123" s="2" t="s">
        <v>9283</v>
      </c>
      <c r="E3123" s="4" t="s">
        <v>9283</v>
      </c>
      <c r="G3123" s="15" t="s">
        <v>29375</v>
      </c>
      <c r="H3123" s="15" t="s">
        <v>29376</v>
      </c>
      <c r="I3123" s="15" t="s">
        <v>29377</v>
      </c>
      <c r="J3123" s="15" t="s">
        <v>29378</v>
      </c>
      <c r="K3123" s="15">
        <v>39186</v>
      </c>
      <c r="L3123" s="15" t="s">
        <v>19099</v>
      </c>
    </row>
    <row r="3124" spans="1:12" x14ac:dyDescent="0.25">
      <c r="A3124" s="2" t="s">
        <v>9285</v>
      </c>
      <c r="B3124" s="8" t="s">
        <v>17907</v>
      </c>
      <c r="C3124" s="2" t="s">
        <v>9285</v>
      </c>
      <c r="D3124" s="2" t="s">
        <v>9286</v>
      </c>
      <c r="E3124" s="4" t="s">
        <v>9286</v>
      </c>
      <c r="G3124" s="15" t="s">
        <v>29379</v>
      </c>
      <c r="H3124" s="15" t="s">
        <v>29380</v>
      </c>
      <c r="I3124" s="15" t="s">
        <v>29381</v>
      </c>
      <c r="J3124" s="15" t="s">
        <v>29382</v>
      </c>
      <c r="K3124" s="15">
        <v>12572</v>
      </c>
      <c r="L3124" s="15" t="s">
        <v>19099</v>
      </c>
    </row>
    <row r="3125" spans="1:12" x14ac:dyDescent="0.25">
      <c r="A3125" s="2" t="s">
        <v>9288</v>
      </c>
      <c r="B3125" s="8" t="s">
        <v>17908</v>
      </c>
      <c r="C3125" s="2" t="s">
        <v>9288</v>
      </c>
      <c r="D3125" s="2" t="s">
        <v>9289</v>
      </c>
      <c r="E3125" s="4" t="s">
        <v>9289</v>
      </c>
      <c r="G3125" s="15" t="s">
        <v>29383</v>
      </c>
      <c r="H3125" s="15" t="s">
        <v>29384</v>
      </c>
      <c r="I3125" s="15" t="s">
        <v>29385</v>
      </c>
      <c r="J3125" s="15" t="s">
        <v>29386</v>
      </c>
      <c r="K3125" s="15">
        <v>99474</v>
      </c>
      <c r="L3125" s="15" t="s">
        <v>19099</v>
      </c>
    </row>
    <row r="3126" spans="1:12" x14ac:dyDescent="0.25">
      <c r="A3126" s="2" t="s">
        <v>9291</v>
      </c>
      <c r="B3126" s="8" t="s">
        <v>17909</v>
      </c>
      <c r="C3126" s="2" t="s">
        <v>9291</v>
      </c>
      <c r="D3126" s="2" t="s">
        <v>9292</v>
      </c>
      <c r="E3126" s="4" t="s">
        <v>29387</v>
      </c>
      <c r="G3126" s="15" t="s">
        <v>29388</v>
      </c>
      <c r="H3126" s="15" t="s">
        <v>29389</v>
      </c>
      <c r="I3126" s="15" t="s">
        <v>29390</v>
      </c>
      <c r="J3126" s="15" t="s">
        <v>28050</v>
      </c>
      <c r="K3126" s="15">
        <v>440917</v>
      </c>
      <c r="L3126" s="15" t="s">
        <v>19099</v>
      </c>
    </row>
    <row r="3127" spans="1:12" x14ac:dyDescent="0.25">
      <c r="A3127" s="2" t="s">
        <v>9294</v>
      </c>
      <c r="B3127" s="8" t="s">
        <v>17910</v>
      </c>
      <c r="C3127" s="2" t="s">
        <v>9294</v>
      </c>
      <c r="D3127" s="2" t="s">
        <v>9295</v>
      </c>
      <c r="E3127" s="4" t="s">
        <v>29391</v>
      </c>
      <c r="G3127" s="15" t="s">
        <v>29392</v>
      </c>
      <c r="H3127" s="15" t="s">
        <v>29393</v>
      </c>
      <c r="I3127" s="15" t="s">
        <v>29394</v>
      </c>
      <c r="J3127" s="15" t="s">
        <v>29395</v>
      </c>
      <c r="K3127" s="15">
        <v>6441244</v>
      </c>
      <c r="L3127" s="15" t="s">
        <v>19099</v>
      </c>
    </row>
    <row r="3128" spans="1:12" x14ac:dyDescent="0.25">
      <c r="A3128" s="2" t="s">
        <v>9297</v>
      </c>
      <c r="B3128" s="8" t="s">
        <v>17911</v>
      </c>
      <c r="C3128" s="2" t="s">
        <v>9297</v>
      </c>
      <c r="D3128" s="2" t="s">
        <v>9298</v>
      </c>
      <c r="E3128" s="4" t="s">
        <v>29396</v>
      </c>
      <c r="G3128" s="15" t="s">
        <v>29397</v>
      </c>
      <c r="H3128" s="15" t="s">
        <v>29398</v>
      </c>
      <c r="I3128" s="15" t="s">
        <v>29399</v>
      </c>
      <c r="J3128" s="15" t="s">
        <v>29400</v>
      </c>
      <c r="K3128" s="15">
        <v>6441234</v>
      </c>
      <c r="L3128" s="15" t="s">
        <v>19099</v>
      </c>
    </row>
    <row r="3129" spans="1:12" x14ac:dyDescent="0.25">
      <c r="A3129" s="2" t="s">
        <v>9300</v>
      </c>
      <c r="B3129" s="8" t="s">
        <v>17912</v>
      </c>
      <c r="C3129" s="2" t="s">
        <v>9300</v>
      </c>
      <c r="D3129" s="2" t="s">
        <v>9301</v>
      </c>
      <c r="E3129" s="4" t="s">
        <v>9301</v>
      </c>
      <c r="G3129" s="15" t="s">
        <v>29401</v>
      </c>
      <c r="H3129" s="15" t="s">
        <v>29402</v>
      </c>
      <c r="I3129" s="15" t="s">
        <v>29403</v>
      </c>
      <c r="J3129" s="15" t="s">
        <v>29404</v>
      </c>
      <c r="K3129" s="15">
        <v>40585</v>
      </c>
      <c r="L3129" s="15" t="s">
        <v>19099</v>
      </c>
    </row>
    <row r="3130" spans="1:12" x14ac:dyDescent="0.25">
      <c r="A3130" s="2" t="s">
        <v>9303</v>
      </c>
      <c r="B3130" s="8" t="s">
        <v>17913</v>
      </c>
      <c r="C3130" s="2" t="s">
        <v>9303</v>
      </c>
      <c r="D3130" s="2" t="s">
        <v>9304</v>
      </c>
      <c r="E3130" s="4" t="s">
        <v>9304</v>
      </c>
      <c r="G3130" s="15" t="s">
        <v>29405</v>
      </c>
      <c r="H3130" s="15" t="s">
        <v>29406</v>
      </c>
      <c r="I3130" s="15" t="s">
        <v>29407</v>
      </c>
      <c r="J3130" s="15" t="s">
        <v>29408</v>
      </c>
      <c r="K3130" s="15">
        <v>148124</v>
      </c>
      <c r="L3130" s="15" t="s">
        <v>19099</v>
      </c>
    </row>
    <row r="3131" spans="1:12" x14ac:dyDescent="0.25">
      <c r="A3131" s="2" t="s">
        <v>9306</v>
      </c>
      <c r="B3131" s="8" t="s">
        <v>17914</v>
      </c>
      <c r="C3131" s="2" t="s">
        <v>9306</v>
      </c>
      <c r="D3131" s="2" t="s">
        <v>9307</v>
      </c>
      <c r="E3131" s="4" t="s">
        <v>29409</v>
      </c>
      <c r="G3131" s="15" t="s">
        <v>29409</v>
      </c>
      <c r="H3131" s="15" t="s">
        <v>29410</v>
      </c>
      <c r="I3131" s="15" t="s">
        <v>29411</v>
      </c>
      <c r="J3131" s="15" t="s">
        <v>19698</v>
      </c>
      <c r="K3131" s="15">
        <v>31237</v>
      </c>
      <c r="L3131" s="15" t="s">
        <v>19099</v>
      </c>
    </row>
    <row r="3132" spans="1:12" x14ac:dyDescent="0.25">
      <c r="A3132" s="2" t="s">
        <v>9309</v>
      </c>
      <c r="B3132" s="8" t="s">
        <v>17915</v>
      </c>
      <c r="C3132" s="2" t="s">
        <v>9309</v>
      </c>
      <c r="D3132" s="2" t="s">
        <v>9310</v>
      </c>
      <c r="E3132" s="4" t="s">
        <v>29412</v>
      </c>
      <c r="G3132" s="15" t="s">
        <v>29413</v>
      </c>
      <c r="H3132" s="15" t="s">
        <v>29414</v>
      </c>
      <c r="I3132" s="15" t="s">
        <v>29415</v>
      </c>
      <c r="J3132" s="15" t="s">
        <v>29416</v>
      </c>
      <c r="K3132" s="15">
        <v>61899</v>
      </c>
      <c r="L3132" s="15" t="s">
        <v>19099</v>
      </c>
    </row>
    <row r="3133" spans="1:12" x14ac:dyDescent="0.25">
      <c r="A3133" s="2" t="s">
        <v>9312</v>
      </c>
      <c r="B3133" s="8" t="s">
        <v>17916</v>
      </c>
      <c r="C3133" s="2" t="s">
        <v>9312</v>
      </c>
      <c r="D3133" s="2" t="s">
        <v>9313</v>
      </c>
      <c r="E3133" s="4" t="s">
        <v>9313</v>
      </c>
      <c r="G3133" s="15" t="s">
        <v>29417</v>
      </c>
      <c r="H3133" s="15" t="s">
        <v>29418</v>
      </c>
      <c r="I3133" s="15" t="s">
        <v>29419</v>
      </c>
      <c r="J3133" s="15" t="s">
        <v>29420</v>
      </c>
      <c r="K3133" s="15">
        <v>17110</v>
      </c>
      <c r="L3133" s="15" t="s">
        <v>19099</v>
      </c>
    </row>
    <row r="3134" spans="1:12" x14ac:dyDescent="0.25">
      <c r="A3134" s="2" t="s">
        <v>9315</v>
      </c>
      <c r="B3134" s="8" t="s">
        <v>17917</v>
      </c>
      <c r="C3134" s="2" t="s">
        <v>9315</v>
      </c>
      <c r="D3134" s="2" t="s">
        <v>9316</v>
      </c>
      <c r="E3134" s="4" t="s">
        <v>29421</v>
      </c>
      <c r="G3134" s="15" t="s">
        <v>29422</v>
      </c>
      <c r="H3134" s="15" t="s">
        <v>29423</v>
      </c>
      <c r="I3134" s="15" t="s">
        <v>29424</v>
      </c>
      <c r="J3134" s="15" t="s">
        <v>29425</v>
      </c>
      <c r="K3134" s="15">
        <v>9832750</v>
      </c>
      <c r="L3134" s="15" t="s">
        <v>19099</v>
      </c>
    </row>
    <row r="3135" spans="1:12" x14ac:dyDescent="0.25">
      <c r="A3135" s="2" t="s">
        <v>9318</v>
      </c>
      <c r="B3135" s="8" t="s">
        <v>17918</v>
      </c>
      <c r="C3135" s="2" t="s">
        <v>9318</v>
      </c>
      <c r="D3135" s="2" t="s">
        <v>9319</v>
      </c>
      <c r="E3135" s="4" t="s">
        <v>9319</v>
      </c>
      <c r="G3135" s="15" t="s">
        <v>29426</v>
      </c>
      <c r="H3135" s="15" t="s">
        <v>29427</v>
      </c>
      <c r="I3135" s="15" t="s">
        <v>29428</v>
      </c>
      <c r="J3135" s="15" t="s">
        <v>27039</v>
      </c>
      <c r="K3135" s="15">
        <v>54671203</v>
      </c>
      <c r="L3135" s="15" t="s">
        <v>19099</v>
      </c>
    </row>
    <row r="3136" spans="1:12" x14ac:dyDescent="0.25">
      <c r="A3136" s="2" t="s">
        <v>9321</v>
      </c>
      <c r="B3136" s="8" t="s">
        <v>17919</v>
      </c>
      <c r="C3136" s="2" t="s">
        <v>9321</v>
      </c>
      <c r="D3136" s="2" t="s">
        <v>9322</v>
      </c>
      <c r="E3136" s="4" t="s">
        <v>29429</v>
      </c>
      <c r="G3136" s="15" t="s">
        <v>29430</v>
      </c>
      <c r="H3136" s="15" t="s">
        <v>29431</v>
      </c>
      <c r="I3136" s="15" t="s">
        <v>29432</v>
      </c>
      <c r="J3136" s="15" t="s">
        <v>29433</v>
      </c>
      <c r="K3136" s="15">
        <v>54686183</v>
      </c>
      <c r="L3136" s="15" t="s">
        <v>19099</v>
      </c>
    </row>
    <row r="3137" spans="1:12" x14ac:dyDescent="0.25">
      <c r="A3137" s="2" t="s">
        <v>9324</v>
      </c>
      <c r="B3137" s="8" t="s">
        <v>17920</v>
      </c>
      <c r="C3137" s="2" t="s">
        <v>9324</v>
      </c>
      <c r="D3137" s="2" t="s">
        <v>9325</v>
      </c>
      <c r="E3137" s="4" t="s">
        <v>29434</v>
      </c>
      <c r="G3137" s="15" t="s">
        <v>29435</v>
      </c>
      <c r="H3137" s="15" t="s">
        <v>29436</v>
      </c>
      <c r="I3137" s="15" t="s">
        <v>29437</v>
      </c>
      <c r="J3137" s="15" t="s">
        <v>29438</v>
      </c>
      <c r="K3137" s="15">
        <v>31703</v>
      </c>
      <c r="L3137" s="15" t="s">
        <v>19099</v>
      </c>
    </row>
    <row r="3138" spans="1:12" x14ac:dyDescent="0.25">
      <c r="A3138" s="2" t="s">
        <v>9327</v>
      </c>
      <c r="B3138" s="8" t="s">
        <v>17921</v>
      </c>
      <c r="C3138" s="2" t="s">
        <v>9327</v>
      </c>
      <c r="D3138" s="2" t="s">
        <v>9328</v>
      </c>
      <c r="E3138" s="4" t="s">
        <v>9328</v>
      </c>
      <c r="G3138" s="15" t="s">
        <v>29439</v>
      </c>
      <c r="H3138" s="15" t="s">
        <v>29440</v>
      </c>
      <c r="I3138" s="15" t="s">
        <v>29441</v>
      </c>
      <c r="J3138" s="15" t="s">
        <v>27934</v>
      </c>
      <c r="K3138" s="15">
        <v>62829</v>
      </c>
      <c r="L3138" s="15" t="s">
        <v>19099</v>
      </c>
    </row>
    <row r="3139" spans="1:12" x14ac:dyDescent="0.25">
      <c r="A3139" s="2" t="s">
        <v>9330</v>
      </c>
      <c r="B3139" s="8" t="s">
        <v>17922</v>
      </c>
      <c r="C3139" s="2" t="s">
        <v>9330</v>
      </c>
      <c r="D3139" s="2" t="s">
        <v>9331</v>
      </c>
      <c r="E3139" s="4" t="s">
        <v>9331</v>
      </c>
      <c r="G3139" s="15" t="s">
        <v>29442</v>
      </c>
      <c r="H3139" s="15" t="s">
        <v>29443</v>
      </c>
      <c r="I3139" s="15" t="s">
        <v>29444</v>
      </c>
      <c r="J3139" s="15" t="s">
        <v>29445</v>
      </c>
      <c r="K3139" s="15">
        <v>60835</v>
      </c>
      <c r="L3139" s="15" t="s">
        <v>19099</v>
      </c>
    </row>
    <row r="3140" spans="1:12" x14ac:dyDescent="0.25">
      <c r="A3140" s="2" t="s">
        <v>9333</v>
      </c>
      <c r="B3140" s="8" t="s">
        <v>17923</v>
      </c>
      <c r="C3140" s="2" t="s">
        <v>9333</v>
      </c>
      <c r="D3140" s="2" t="s">
        <v>9334</v>
      </c>
      <c r="E3140" s="4" t="s">
        <v>29446</v>
      </c>
      <c r="G3140" s="15" t="s">
        <v>27765</v>
      </c>
      <c r="H3140" s="15" t="s">
        <v>27766</v>
      </c>
      <c r="I3140" s="15" t="s">
        <v>27767</v>
      </c>
      <c r="J3140" s="15" t="s">
        <v>27768</v>
      </c>
      <c r="K3140" s="15">
        <v>727</v>
      </c>
      <c r="L3140" s="15" t="s">
        <v>19099</v>
      </c>
    </row>
    <row r="3141" spans="1:12" x14ac:dyDescent="0.25">
      <c r="A3141" s="2" t="s">
        <v>9336</v>
      </c>
      <c r="B3141" s="8" t="s">
        <v>17924</v>
      </c>
      <c r="C3141" s="2" t="s">
        <v>9336</v>
      </c>
      <c r="D3141" s="2" t="s">
        <v>9337</v>
      </c>
      <c r="E3141" s="4" t="s">
        <v>29447</v>
      </c>
      <c r="G3141" s="15" t="s">
        <v>29448</v>
      </c>
      <c r="H3141" s="15" t="s">
        <v>29449</v>
      </c>
      <c r="I3141" s="15" t="s">
        <v>29450</v>
      </c>
      <c r="J3141" s="15" t="s">
        <v>29451</v>
      </c>
      <c r="K3141" s="15">
        <v>17432</v>
      </c>
      <c r="L3141" s="15" t="s">
        <v>19099</v>
      </c>
    </row>
    <row r="3142" spans="1:12" x14ac:dyDescent="0.25">
      <c r="A3142" s="2" t="s">
        <v>9339</v>
      </c>
      <c r="B3142" s="8" t="s">
        <v>17925</v>
      </c>
      <c r="C3142" s="2" t="s">
        <v>9339</v>
      </c>
      <c r="D3142" s="2" t="s">
        <v>9340</v>
      </c>
      <c r="E3142" s="4" t="s">
        <v>9340</v>
      </c>
      <c r="G3142" s="15" t="s">
        <v>29452</v>
      </c>
      <c r="H3142" s="15" t="s">
        <v>29453</v>
      </c>
      <c r="I3142" s="15" t="s">
        <v>29454</v>
      </c>
      <c r="J3142" s="15" t="s">
        <v>29455</v>
      </c>
      <c r="K3142" s="15">
        <v>7768</v>
      </c>
      <c r="L3142" s="15" t="s">
        <v>19099</v>
      </c>
    </row>
    <row r="3143" spans="1:12" x14ac:dyDescent="0.25">
      <c r="A3143" s="2" t="s">
        <v>9342</v>
      </c>
      <c r="B3143" s="8" t="s">
        <v>17926</v>
      </c>
      <c r="C3143" s="2" t="s">
        <v>9342</v>
      </c>
      <c r="D3143" s="2" t="s">
        <v>9343</v>
      </c>
      <c r="E3143" s="4" t="s">
        <v>9343</v>
      </c>
      <c r="G3143" s="15" t="s">
        <v>29456</v>
      </c>
      <c r="H3143" s="15" t="s">
        <v>29457</v>
      </c>
      <c r="I3143" s="15" t="s">
        <v>29458</v>
      </c>
      <c r="J3143" s="15" t="s">
        <v>29459</v>
      </c>
      <c r="K3143" s="15">
        <v>28292</v>
      </c>
      <c r="L3143" s="15" t="s">
        <v>19099</v>
      </c>
    </row>
    <row r="3144" spans="1:12" x14ac:dyDescent="0.25">
      <c r="A3144" s="2" t="s">
        <v>9345</v>
      </c>
      <c r="B3144" s="8" t="s">
        <v>16180</v>
      </c>
      <c r="C3144" s="2" t="s">
        <v>9345</v>
      </c>
      <c r="D3144" s="2" t="s">
        <v>9346</v>
      </c>
      <c r="E3144" s="4" t="s">
        <v>29460</v>
      </c>
    </row>
    <row r="3145" spans="1:12" x14ac:dyDescent="0.25">
      <c r="A3145" s="2" t="s">
        <v>9347</v>
      </c>
      <c r="B3145" s="8" t="s">
        <v>17927</v>
      </c>
      <c r="C3145" s="2" t="s">
        <v>9347</v>
      </c>
      <c r="D3145" s="2" t="s">
        <v>9348</v>
      </c>
      <c r="E3145" s="4" t="s">
        <v>29461</v>
      </c>
      <c r="G3145" s="15" t="s">
        <v>29462</v>
      </c>
      <c r="H3145" s="15" t="s">
        <v>29463</v>
      </c>
      <c r="I3145" s="15" t="s">
        <v>29464</v>
      </c>
      <c r="J3145" s="15" t="s">
        <v>29465</v>
      </c>
      <c r="K3145" s="15">
        <v>11650986</v>
      </c>
      <c r="L3145" s="15" t="s">
        <v>19099</v>
      </c>
    </row>
    <row r="3146" spans="1:12" x14ac:dyDescent="0.25">
      <c r="A3146" s="2" t="s">
        <v>9350</v>
      </c>
      <c r="B3146" s="8" t="s">
        <v>17928</v>
      </c>
      <c r="C3146" s="2" t="s">
        <v>9350</v>
      </c>
      <c r="D3146" s="2" t="s">
        <v>9351</v>
      </c>
      <c r="E3146" s="4" t="s">
        <v>9351</v>
      </c>
      <c r="G3146" s="15" t="s">
        <v>29466</v>
      </c>
      <c r="H3146" s="15" t="s">
        <v>29467</v>
      </c>
      <c r="I3146" s="15" t="s">
        <v>29468</v>
      </c>
      <c r="J3146" s="15" t="s">
        <v>29469</v>
      </c>
      <c r="K3146" s="15">
        <v>11549937</v>
      </c>
      <c r="L3146" s="15" t="s">
        <v>19099</v>
      </c>
    </row>
    <row r="3147" spans="1:12" x14ac:dyDescent="0.25">
      <c r="A3147" s="2" t="s">
        <v>9353</v>
      </c>
      <c r="B3147" s="8" t="s">
        <v>17929</v>
      </c>
      <c r="C3147" s="2" t="s">
        <v>9353</v>
      </c>
      <c r="D3147" s="2" t="s">
        <v>9354</v>
      </c>
      <c r="E3147" s="4" t="s">
        <v>9354</v>
      </c>
      <c r="G3147" s="15" t="s">
        <v>29470</v>
      </c>
      <c r="H3147" s="15" t="s">
        <v>29471</v>
      </c>
      <c r="I3147" s="15" t="s">
        <v>29472</v>
      </c>
      <c r="J3147" s="15" t="s">
        <v>29469</v>
      </c>
      <c r="K3147" s="15">
        <v>11136686</v>
      </c>
      <c r="L3147" s="15" t="s">
        <v>19099</v>
      </c>
    </row>
    <row r="3148" spans="1:12" x14ac:dyDescent="0.25">
      <c r="A3148" s="2" t="s">
        <v>9356</v>
      </c>
      <c r="B3148" s="8" t="s">
        <v>17930</v>
      </c>
      <c r="C3148" s="2" t="s">
        <v>9356</v>
      </c>
      <c r="D3148" s="2" t="s">
        <v>9357</v>
      </c>
      <c r="E3148" s="4" t="s">
        <v>9357</v>
      </c>
      <c r="G3148" s="15" t="s">
        <v>29473</v>
      </c>
      <c r="H3148" s="15" t="s">
        <v>29474</v>
      </c>
      <c r="I3148" s="15" t="s">
        <v>29475</v>
      </c>
      <c r="J3148" s="15" t="s">
        <v>29476</v>
      </c>
      <c r="K3148" s="15">
        <v>15279960</v>
      </c>
      <c r="L3148" s="15" t="s">
        <v>19099</v>
      </c>
    </row>
    <row r="3149" spans="1:12" x14ac:dyDescent="0.25">
      <c r="A3149" s="2" t="s">
        <v>9359</v>
      </c>
      <c r="B3149" s="8" t="s">
        <v>17931</v>
      </c>
      <c r="C3149" s="2" t="s">
        <v>9359</v>
      </c>
      <c r="D3149" s="2" t="s">
        <v>9360</v>
      </c>
      <c r="E3149" s="4" t="s">
        <v>9360</v>
      </c>
      <c r="G3149" s="15" t="s">
        <v>29477</v>
      </c>
      <c r="H3149" s="15" t="s">
        <v>29478</v>
      </c>
      <c r="I3149" s="15" t="s">
        <v>29479</v>
      </c>
      <c r="J3149" s="15" t="s">
        <v>29480</v>
      </c>
      <c r="K3149" s="15">
        <v>6434488</v>
      </c>
      <c r="L3149" s="15" t="s">
        <v>19099</v>
      </c>
    </row>
    <row r="3150" spans="1:12" x14ac:dyDescent="0.25">
      <c r="A3150" s="2" t="s">
        <v>9362</v>
      </c>
      <c r="B3150" s="8" t="s">
        <v>17932</v>
      </c>
      <c r="C3150" s="2" t="s">
        <v>9362</v>
      </c>
      <c r="D3150" s="2" t="s">
        <v>9363</v>
      </c>
      <c r="E3150" s="4" t="s">
        <v>9363</v>
      </c>
      <c r="G3150" s="15" t="s">
        <v>29481</v>
      </c>
      <c r="H3150" s="15" t="s">
        <v>29482</v>
      </c>
      <c r="I3150" s="15" t="s">
        <v>29483</v>
      </c>
      <c r="J3150" s="15" t="s">
        <v>29369</v>
      </c>
      <c r="K3150" s="15">
        <v>522524</v>
      </c>
      <c r="L3150" s="15" t="s">
        <v>19099</v>
      </c>
    </row>
    <row r="3151" spans="1:12" x14ac:dyDescent="0.25">
      <c r="A3151" s="2" t="s">
        <v>9365</v>
      </c>
      <c r="B3151" s="8" t="s">
        <v>17933</v>
      </c>
      <c r="C3151" s="2" t="s">
        <v>9365</v>
      </c>
      <c r="D3151" s="2" t="s">
        <v>9366</v>
      </c>
      <c r="E3151" s="4" t="s">
        <v>9366</v>
      </c>
      <c r="G3151" s="15" t="s">
        <v>29484</v>
      </c>
      <c r="H3151" s="15" t="s">
        <v>29485</v>
      </c>
      <c r="I3151" s="15" t="s">
        <v>29486</v>
      </c>
      <c r="J3151" s="15" t="s">
        <v>29369</v>
      </c>
      <c r="K3151" s="15">
        <v>12358480</v>
      </c>
      <c r="L3151" s="15" t="s">
        <v>19099</v>
      </c>
    </row>
    <row r="3152" spans="1:12" x14ac:dyDescent="0.25">
      <c r="A3152" s="2" t="s">
        <v>9368</v>
      </c>
      <c r="B3152" s="8" t="s">
        <v>17934</v>
      </c>
      <c r="C3152" s="2" t="s">
        <v>9368</v>
      </c>
      <c r="D3152" s="2" t="s">
        <v>9369</v>
      </c>
      <c r="E3152" s="4" t="s">
        <v>29487</v>
      </c>
      <c r="G3152" s="15" t="s">
        <v>29488</v>
      </c>
      <c r="H3152" s="15" t="s">
        <v>29489</v>
      </c>
      <c r="I3152" s="15" t="s">
        <v>29490</v>
      </c>
      <c r="J3152" s="15" t="s">
        <v>29491</v>
      </c>
      <c r="K3152" s="15">
        <v>13940</v>
      </c>
      <c r="L3152" s="15" t="s">
        <v>19099</v>
      </c>
    </row>
    <row r="3153" spans="1:12" x14ac:dyDescent="0.25">
      <c r="A3153" s="2" t="s">
        <v>9371</v>
      </c>
      <c r="B3153" s="8" t="s">
        <v>17935</v>
      </c>
      <c r="C3153" s="2" t="s">
        <v>9371</v>
      </c>
      <c r="D3153" s="2" t="s">
        <v>9372</v>
      </c>
      <c r="E3153" s="4" t="s">
        <v>29492</v>
      </c>
      <c r="G3153" s="15" t="s">
        <v>29493</v>
      </c>
      <c r="H3153" s="15" t="s">
        <v>29494</v>
      </c>
      <c r="I3153" s="15" t="s">
        <v>29495</v>
      </c>
      <c r="J3153" s="15" t="s">
        <v>29496</v>
      </c>
      <c r="K3153" s="15">
        <v>97768</v>
      </c>
      <c r="L3153" s="15" t="s">
        <v>19099</v>
      </c>
    </row>
    <row r="3154" spans="1:12" x14ac:dyDescent="0.25">
      <c r="A3154" s="2" t="s">
        <v>9374</v>
      </c>
      <c r="B3154" s="8" t="s">
        <v>17936</v>
      </c>
      <c r="C3154" s="2" t="s">
        <v>9374</v>
      </c>
      <c r="D3154" s="2" t="s">
        <v>9375</v>
      </c>
      <c r="E3154" s="4" t="s">
        <v>29497</v>
      </c>
      <c r="G3154" s="15" t="s">
        <v>29498</v>
      </c>
      <c r="H3154" s="15" t="s">
        <v>29499</v>
      </c>
      <c r="I3154" s="15" t="s">
        <v>29500</v>
      </c>
      <c r="J3154" s="15" t="s">
        <v>29501</v>
      </c>
      <c r="K3154" s="15">
        <v>145710</v>
      </c>
      <c r="L3154" s="15" t="s">
        <v>19099</v>
      </c>
    </row>
    <row r="3155" spans="1:12" x14ac:dyDescent="0.25">
      <c r="A3155" s="2" t="s">
        <v>9377</v>
      </c>
      <c r="B3155" s="8" t="s">
        <v>17937</v>
      </c>
      <c r="C3155" s="2" t="s">
        <v>9377</v>
      </c>
      <c r="D3155" s="2" t="s">
        <v>9378</v>
      </c>
      <c r="E3155" s="4" t="s">
        <v>29502</v>
      </c>
      <c r="G3155" s="15" t="s">
        <v>29503</v>
      </c>
      <c r="H3155" s="15" t="s">
        <v>29504</v>
      </c>
      <c r="I3155" s="15" t="s">
        <v>29505</v>
      </c>
      <c r="J3155" s="15" t="s">
        <v>27884</v>
      </c>
      <c r="K3155" s="15">
        <v>3224</v>
      </c>
      <c r="L3155" s="15" t="s">
        <v>19099</v>
      </c>
    </row>
    <row r="3156" spans="1:12" x14ac:dyDescent="0.25">
      <c r="A3156" s="2" t="s">
        <v>9380</v>
      </c>
      <c r="B3156" s="8" t="s">
        <v>17938</v>
      </c>
      <c r="C3156" s="2" t="s">
        <v>9380</v>
      </c>
      <c r="D3156" s="2" t="s">
        <v>9381</v>
      </c>
      <c r="E3156" s="4" t="s">
        <v>9381</v>
      </c>
      <c r="G3156" s="15" t="s">
        <v>29506</v>
      </c>
      <c r="H3156" s="15" t="s">
        <v>29507</v>
      </c>
      <c r="I3156" s="15" t="s">
        <v>29508</v>
      </c>
      <c r="J3156" s="15" t="s">
        <v>29509</v>
      </c>
      <c r="K3156" s="15">
        <v>3225</v>
      </c>
      <c r="L3156" s="15" t="s">
        <v>19099</v>
      </c>
    </row>
    <row r="3157" spans="1:12" x14ac:dyDescent="0.25">
      <c r="A3157" s="2" t="s">
        <v>9383</v>
      </c>
      <c r="B3157" s="8" t="s">
        <v>17939</v>
      </c>
      <c r="C3157" s="2" t="s">
        <v>9383</v>
      </c>
      <c r="D3157" s="2" t="s">
        <v>9384</v>
      </c>
      <c r="E3157" s="4" t="s">
        <v>9384</v>
      </c>
      <c r="G3157" s="15" t="s">
        <v>29510</v>
      </c>
      <c r="H3157" s="15" t="s">
        <v>29511</v>
      </c>
      <c r="I3157" s="15" t="s">
        <v>29512</v>
      </c>
      <c r="J3157" s="15" t="s">
        <v>29513</v>
      </c>
      <c r="K3157" s="15">
        <v>5388962</v>
      </c>
      <c r="L3157" s="15" t="s">
        <v>19099</v>
      </c>
    </row>
    <row r="3158" spans="1:12" x14ac:dyDescent="0.25">
      <c r="A3158" s="2" t="s">
        <v>9386</v>
      </c>
      <c r="B3158" s="8" t="s">
        <v>17940</v>
      </c>
      <c r="C3158" s="2" t="s">
        <v>9386</v>
      </c>
      <c r="D3158" s="2" t="s">
        <v>9387</v>
      </c>
      <c r="E3158" s="4" t="s">
        <v>29514</v>
      </c>
      <c r="G3158" s="15" t="s">
        <v>29515</v>
      </c>
      <c r="H3158" s="15" t="s">
        <v>29516</v>
      </c>
      <c r="I3158" s="15" t="s">
        <v>29517</v>
      </c>
      <c r="J3158" s="15" t="s">
        <v>29518</v>
      </c>
      <c r="K3158" s="15">
        <v>71188</v>
      </c>
      <c r="L3158" s="15" t="s">
        <v>19099</v>
      </c>
    </row>
    <row r="3159" spans="1:12" x14ac:dyDescent="0.25">
      <c r="A3159" s="2" t="s">
        <v>9389</v>
      </c>
      <c r="B3159" s="8" t="s">
        <v>17941</v>
      </c>
      <c r="C3159" s="2" t="s">
        <v>9389</v>
      </c>
      <c r="D3159" s="2" t="s">
        <v>9390</v>
      </c>
      <c r="E3159" s="4" t="s">
        <v>29519</v>
      </c>
      <c r="G3159" s="15" t="s">
        <v>29520</v>
      </c>
      <c r="H3159" s="15" t="s">
        <v>29521</v>
      </c>
      <c r="I3159" s="15" t="s">
        <v>29522</v>
      </c>
      <c r="J3159" s="15" t="s">
        <v>29523</v>
      </c>
      <c r="K3159" s="15">
        <v>3229</v>
      </c>
      <c r="L3159" s="15" t="s">
        <v>19099</v>
      </c>
    </row>
    <row r="3160" spans="1:12" x14ac:dyDescent="0.25">
      <c r="A3160" s="2" t="s">
        <v>9392</v>
      </c>
      <c r="B3160" s="8" t="s">
        <v>17942</v>
      </c>
      <c r="C3160" s="2" t="s">
        <v>9392</v>
      </c>
      <c r="D3160" s="2" t="s">
        <v>9393</v>
      </c>
      <c r="E3160" s="4" t="s">
        <v>29524</v>
      </c>
      <c r="G3160" s="15" t="s">
        <v>29525</v>
      </c>
      <c r="H3160" s="15" t="s">
        <v>29526</v>
      </c>
      <c r="I3160" s="15" t="s">
        <v>29527</v>
      </c>
      <c r="J3160" s="15" t="s">
        <v>29528</v>
      </c>
      <c r="K3160" s="15">
        <v>155108</v>
      </c>
      <c r="L3160" s="15" t="s">
        <v>19099</v>
      </c>
    </row>
    <row r="3161" spans="1:12" x14ac:dyDescent="0.25">
      <c r="A3161" s="2" t="s">
        <v>9395</v>
      </c>
      <c r="B3161" s="8" t="s">
        <v>17943</v>
      </c>
      <c r="C3161" s="2" t="s">
        <v>9395</v>
      </c>
      <c r="D3161" s="2" t="s">
        <v>9396</v>
      </c>
      <c r="E3161" s="4" t="s">
        <v>29529</v>
      </c>
      <c r="G3161" s="15" t="s">
        <v>29530</v>
      </c>
      <c r="H3161" s="15" t="s">
        <v>29531</v>
      </c>
      <c r="I3161" s="15" t="s">
        <v>29532</v>
      </c>
      <c r="J3161" s="15" t="s">
        <v>20759</v>
      </c>
      <c r="K3161" s="15">
        <v>7835</v>
      </c>
      <c r="L3161" s="15" t="s">
        <v>19099</v>
      </c>
    </row>
    <row r="3162" spans="1:12" x14ac:dyDescent="0.25">
      <c r="A3162" s="2" t="s">
        <v>9398</v>
      </c>
      <c r="B3162" s="8" t="s">
        <v>17944</v>
      </c>
      <c r="C3162" s="2" t="s">
        <v>9398</v>
      </c>
      <c r="D3162" s="2" t="s">
        <v>9399</v>
      </c>
      <c r="E3162" s="4" t="s">
        <v>9399</v>
      </c>
      <c r="G3162" s="15" t="s">
        <v>29533</v>
      </c>
      <c r="H3162" s="15" t="s">
        <v>29534</v>
      </c>
      <c r="I3162" s="15" t="s">
        <v>29535</v>
      </c>
      <c r="J3162" s="15" t="s">
        <v>29536</v>
      </c>
      <c r="K3162" s="15">
        <v>6450531</v>
      </c>
      <c r="L3162" s="15" t="s">
        <v>19995</v>
      </c>
    </row>
    <row r="3163" spans="1:12" x14ac:dyDescent="0.25">
      <c r="A3163" s="2" t="s">
        <v>9401</v>
      </c>
      <c r="B3163" s="8" t="s">
        <v>17945</v>
      </c>
      <c r="C3163" s="2" t="s">
        <v>9401</v>
      </c>
      <c r="D3163" s="2" t="s">
        <v>9402</v>
      </c>
      <c r="E3163" s="4" t="s">
        <v>9402</v>
      </c>
      <c r="G3163" s="15" t="s">
        <v>29537</v>
      </c>
      <c r="H3163" s="15" t="s">
        <v>29538</v>
      </c>
      <c r="I3163" s="15" t="s">
        <v>29539</v>
      </c>
      <c r="J3163" s="15" t="s">
        <v>29540</v>
      </c>
      <c r="K3163" s="15">
        <v>5281037</v>
      </c>
      <c r="L3163" s="15" t="s">
        <v>19099</v>
      </c>
    </row>
    <row r="3164" spans="1:12" x14ac:dyDescent="0.25">
      <c r="A3164" s="2" t="s">
        <v>9404</v>
      </c>
      <c r="B3164" s="8" t="s">
        <v>17946</v>
      </c>
      <c r="C3164" s="2" t="s">
        <v>9404</v>
      </c>
      <c r="D3164" s="2" t="s">
        <v>9405</v>
      </c>
      <c r="E3164" s="4" t="s">
        <v>29541</v>
      </c>
      <c r="G3164" s="15" t="s">
        <v>29542</v>
      </c>
      <c r="H3164" s="15" t="s">
        <v>29543</v>
      </c>
      <c r="I3164" s="15" t="s">
        <v>29544</v>
      </c>
      <c r="J3164" s="15" t="s">
        <v>29545</v>
      </c>
      <c r="K3164" s="15">
        <v>107901</v>
      </c>
      <c r="L3164" s="15" t="s">
        <v>19099</v>
      </c>
    </row>
    <row r="3165" spans="1:12" x14ac:dyDescent="0.25">
      <c r="A3165" s="2" t="s">
        <v>9407</v>
      </c>
      <c r="B3165" s="8" t="s">
        <v>17947</v>
      </c>
      <c r="C3165" s="2" t="s">
        <v>9407</v>
      </c>
      <c r="D3165" s="2" t="s">
        <v>9408</v>
      </c>
      <c r="E3165" s="4" t="s">
        <v>29546</v>
      </c>
      <c r="G3165" s="15" t="s">
        <v>29547</v>
      </c>
      <c r="H3165" s="15" t="s">
        <v>29548</v>
      </c>
      <c r="I3165" s="15" t="s">
        <v>29549</v>
      </c>
      <c r="J3165" s="15" t="s">
        <v>29550</v>
      </c>
      <c r="K3165" s="15">
        <v>5281116</v>
      </c>
      <c r="L3165" s="15" t="s">
        <v>19099</v>
      </c>
    </row>
    <row r="3166" spans="1:12" x14ac:dyDescent="0.25">
      <c r="A3166" s="2" t="s">
        <v>9410</v>
      </c>
      <c r="B3166" s="8" t="s">
        <v>17948</v>
      </c>
      <c r="C3166" s="2" t="s">
        <v>9410</v>
      </c>
      <c r="D3166" s="2" t="s">
        <v>9411</v>
      </c>
      <c r="E3166" s="4" t="s">
        <v>9411</v>
      </c>
      <c r="G3166" s="15" t="s">
        <v>29551</v>
      </c>
      <c r="H3166" s="15" t="s">
        <v>29552</v>
      </c>
      <c r="I3166" s="15" t="s">
        <v>29553</v>
      </c>
      <c r="J3166" s="15" t="s">
        <v>29554</v>
      </c>
      <c r="K3166" s="15">
        <v>5280793</v>
      </c>
      <c r="L3166" s="15" t="s">
        <v>19099</v>
      </c>
    </row>
    <row r="3167" spans="1:12" x14ac:dyDescent="0.25">
      <c r="A3167" s="2" t="s">
        <v>9413</v>
      </c>
      <c r="B3167" s="8" t="s">
        <v>17949</v>
      </c>
      <c r="C3167" s="2" t="s">
        <v>9413</v>
      </c>
      <c r="D3167" s="2" t="s">
        <v>9414</v>
      </c>
      <c r="E3167" s="4" t="s">
        <v>29555</v>
      </c>
      <c r="G3167" s="15" t="s">
        <v>29556</v>
      </c>
      <c r="H3167" s="15" t="s">
        <v>29557</v>
      </c>
      <c r="I3167" s="15" t="s">
        <v>29558</v>
      </c>
      <c r="J3167" s="15" t="s">
        <v>29559</v>
      </c>
      <c r="K3167" s="15">
        <v>12560</v>
      </c>
      <c r="L3167" s="15" t="s">
        <v>19099</v>
      </c>
    </row>
    <row r="3168" spans="1:12" x14ac:dyDescent="0.25">
      <c r="A3168" s="2" t="s">
        <v>9416</v>
      </c>
      <c r="B3168" s="8" t="s">
        <v>17950</v>
      </c>
      <c r="C3168" s="2" t="s">
        <v>9416</v>
      </c>
      <c r="D3168" s="2" t="s">
        <v>9417</v>
      </c>
      <c r="E3168" s="4" t="s">
        <v>9417</v>
      </c>
      <c r="G3168" s="15" t="s">
        <v>29560</v>
      </c>
      <c r="H3168" s="15" t="s">
        <v>29561</v>
      </c>
      <c r="I3168" s="15" t="s">
        <v>29562</v>
      </c>
      <c r="J3168" s="15" t="s">
        <v>29563</v>
      </c>
      <c r="K3168" s="15">
        <v>5756</v>
      </c>
      <c r="L3168" s="15" t="s">
        <v>19099</v>
      </c>
    </row>
    <row r="3169" spans="1:12" x14ac:dyDescent="0.25">
      <c r="A3169" s="2" t="s">
        <v>9419</v>
      </c>
      <c r="B3169" s="8" t="s">
        <v>17951</v>
      </c>
      <c r="C3169" s="2" t="s">
        <v>9419</v>
      </c>
      <c r="D3169" s="2" t="s">
        <v>9420</v>
      </c>
      <c r="E3169" s="4" t="s">
        <v>29564</v>
      </c>
      <c r="G3169" s="15" t="s">
        <v>29565</v>
      </c>
      <c r="H3169" s="15" t="s">
        <v>29566</v>
      </c>
      <c r="I3169" s="15" t="s">
        <v>29567</v>
      </c>
      <c r="J3169" s="15" t="s">
        <v>29568</v>
      </c>
      <c r="K3169" s="15">
        <v>10342051</v>
      </c>
      <c r="L3169" s="15" t="s">
        <v>19099</v>
      </c>
    </row>
    <row r="3170" spans="1:12" x14ac:dyDescent="0.25">
      <c r="A3170" s="2" t="s">
        <v>9422</v>
      </c>
      <c r="B3170" s="8" t="s">
        <v>17952</v>
      </c>
      <c r="C3170" s="2" t="s">
        <v>9422</v>
      </c>
      <c r="D3170" s="2" t="s">
        <v>9423</v>
      </c>
      <c r="E3170" s="4" t="s">
        <v>9423</v>
      </c>
      <c r="G3170" s="15" t="s">
        <v>29569</v>
      </c>
      <c r="H3170" s="15" t="s">
        <v>29570</v>
      </c>
      <c r="I3170" s="15" t="s">
        <v>29571</v>
      </c>
      <c r="J3170" s="15" t="s">
        <v>29572</v>
      </c>
      <c r="K3170" s="15">
        <v>91740</v>
      </c>
      <c r="L3170" s="15" t="s">
        <v>19099</v>
      </c>
    </row>
    <row r="3171" spans="1:12" x14ac:dyDescent="0.25">
      <c r="A3171" s="2" t="s">
        <v>9425</v>
      </c>
      <c r="B3171" s="8" t="s">
        <v>17953</v>
      </c>
      <c r="C3171" s="2" t="s">
        <v>9425</v>
      </c>
      <c r="D3171" s="2" t="s">
        <v>9426</v>
      </c>
      <c r="E3171" s="4" t="s">
        <v>29573</v>
      </c>
      <c r="G3171" s="15" t="s">
        <v>29574</v>
      </c>
      <c r="H3171" s="15" t="s">
        <v>29575</v>
      </c>
      <c r="I3171" s="15" t="s">
        <v>29576</v>
      </c>
      <c r="J3171" s="15" t="s">
        <v>29577</v>
      </c>
      <c r="K3171" s="15">
        <v>91673</v>
      </c>
      <c r="L3171" s="15" t="s">
        <v>19099</v>
      </c>
    </row>
    <row r="3172" spans="1:12" x14ac:dyDescent="0.25">
      <c r="A3172" s="2" t="s">
        <v>9428</v>
      </c>
      <c r="B3172" s="8" t="s">
        <v>17954</v>
      </c>
      <c r="C3172" s="2" t="s">
        <v>9428</v>
      </c>
      <c r="D3172" s="2" t="s">
        <v>9429</v>
      </c>
      <c r="E3172" s="4" t="s">
        <v>9429</v>
      </c>
      <c r="G3172" s="15" t="s">
        <v>29578</v>
      </c>
      <c r="H3172" s="15" t="s">
        <v>29579</v>
      </c>
      <c r="I3172" s="15" t="s">
        <v>29580</v>
      </c>
      <c r="J3172" s="15" t="s">
        <v>29581</v>
      </c>
      <c r="K3172" s="15">
        <v>91596</v>
      </c>
      <c r="L3172" s="15" t="s">
        <v>19099</v>
      </c>
    </row>
    <row r="3173" spans="1:12" x14ac:dyDescent="0.25">
      <c r="A3173" s="2" t="s">
        <v>9431</v>
      </c>
      <c r="B3173" s="8" t="s">
        <v>17955</v>
      </c>
      <c r="C3173" s="2" t="s">
        <v>9431</v>
      </c>
      <c r="D3173" s="2" t="s">
        <v>9432</v>
      </c>
      <c r="E3173" s="4" t="s">
        <v>29582</v>
      </c>
      <c r="G3173" s="15" t="s">
        <v>29583</v>
      </c>
      <c r="H3173" s="15" t="s">
        <v>29584</v>
      </c>
      <c r="I3173" s="15" t="s">
        <v>29585</v>
      </c>
      <c r="J3173" s="15" t="s">
        <v>28301</v>
      </c>
      <c r="K3173" s="15">
        <v>65777</v>
      </c>
      <c r="L3173" s="15" t="s">
        <v>19099</v>
      </c>
    </row>
    <row r="3174" spans="1:12" x14ac:dyDescent="0.25">
      <c r="A3174" s="2" t="s">
        <v>9434</v>
      </c>
      <c r="B3174" s="8" t="s">
        <v>17956</v>
      </c>
      <c r="C3174" s="2" t="s">
        <v>9434</v>
      </c>
      <c r="D3174" s="2" t="s">
        <v>9435</v>
      </c>
      <c r="E3174" s="4" t="s">
        <v>29586</v>
      </c>
      <c r="G3174" s="15" t="s">
        <v>29587</v>
      </c>
      <c r="H3174" s="15" t="s">
        <v>29588</v>
      </c>
      <c r="I3174" s="15" t="s">
        <v>29589</v>
      </c>
      <c r="J3174" s="15" t="s">
        <v>29590</v>
      </c>
      <c r="K3174" s="15">
        <v>33360</v>
      </c>
      <c r="L3174" s="15" t="s">
        <v>19099</v>
      </c>
    </row>
    <row r="3175" spans="1:12" x14ac:dyDescent="0.25">
      <c r="A3175" s="2" t="s">
        <v>9437</v>
      </c>
      <c r="B3175" s="8" t="s">
        <v>17957</v>
      </c>
      <c r="C3175" s="2" t="s">
        <v>9437</v>
      </c>
      <c r="D3175" s="2" t="s">
        <v>9438</v>
      </c>
      <c r="E3175" s="4" t="s">
        <v>29591</v>
      </c>
      <c r="G3175" s="15" t="s">
        <v>29592</v>
      </c>
      <c r="H3175" s="15" t="s">
        <v>29593</v>
      </c>
      <c r="I3175" s="15" t="s">
        <v>29594</v>
      </c>
      <c r="J3175" s="15" t="s">
        <v>29595</v>
      </c>
      <c r="K3175" s="15">
        <v>27982</v>
      </c>
      <c r="L3175" s="15" t="s">
        <v>19099</v>
      </c>
    </row>
    <row r="3176" spans="1:12" x14ac:dyDescent="0.25">
      <c r="A3176" s="2" t="s">
        <v>9440</v>
      </c>
      <c r="B3176" s="8" t="s">
        <v>17958</v>
      </c>
      <c r="C3176" s="2" t="s">
        <v>9440</v>
      </c>
      <c r="D3176" s="2" t="s">
        <v>9441</v>
      </c>
      <c r="E3176" s="4" t="s">
        <v>9441</v>
      </c>
      <c r="G3176" s="15" t="s">
        <v>29596</v>
      </c>
      <c r="H3176" s="15" t="s">
        <v>29597</v>
      </c>
      <c r="I3176" s="15" t="s">
        <v>29598</v>
      </c>
      <c r="J3176" s="15" t="s">
        <v>29599</v>
      </c>
      <c r="K3176" s="15">
        <v>71245</v>
      </c>
      <c r="L3176" s="15" t="s">
        <v>19099</v>
      </c>
    </row>
    <row r="3177" spans="1:12" x14ac:dyDescent="0.25">
      <c r="A3177" s="2" t="s">
        <v>9443</v>
      </c>
      <c r="B3177" s="8" t="s">
        <v>17959</v>
      </c>
      <c r="C3177" s="2" t="s">
        <v>9443</v>
      </c>
      <c r="D3177" s="2" t="s">
        <v>9444</v>
      </c>
      <c r="E3177" s="4" t="s">
        <v>9444</v>
      </c>
      <c r="G3177" s="15" t="s">
        <v>29600</v>
      </c>
      <c r="H3177" s="15" t="s">
        <v>29601</v>
      </c>
      <c r="I3177" s="15" t="s">
        <v>29602</v>
      </c>
      <c r="J3177" s="15" t="s">
        <v>29603</v>
      </c>
      <c r="K3177" s="15">
        <v>37995</v>
      </c>
      <c r="L3177" s="15" t="s">
        <v>19099</v>
      </c>
    </row>
    <row r="3178" spans="1:12" x14ac:dyDescent="0.25">
      <c r="A3178" s="2" t="s">
        <v>9446</v>
      </c>
      <c r="B3178" s="8" t="s">
        <v>17960</v>
      </c>
      <c r="C3178" s="2" t="s">
        <v>9446</v>
      </c>
      <c r="D3178" s="2" t="s">
        <v>9447</v>
      </c>
      <c r="E3178" s="4" t="s">
        <v>29604</v>
      </c>
      <c r="G3178" s="15" t="s">
        <v>29605</v>
      </c>
      <c r="H3178" s="15" t="s">
        <v>29606</v>
      </c>
      <c r="I3178" s="15" t="s">
        <v>29607</v>
      </c>
      <c r="J3178" s="15" t="s">
        <v>29608</v>
      </c>
      <c r="K3178" s="15">
        <v>5991</v>
      </c>
      <c r="L3178" s="15" t="s">
        <v>19099</v>
      </c>
    </row>
    <row r="3179" spans="1:12" x14ac:dyDescent="0.25">
      <c r="A3179" s="2" t="s">
        <v>9449</v>
      </c>
      <c r="B3179" s="8" t="s">
        <v>17961</v>
      </c>
      <c r="C3179" s="2" t="s">
        <v>9449</v>
      </c>
      <c r="D3179" s="2" t="s">
        <v>9450</v>
      </c>
      <c r="E3179" s="4" t="s">
        <v>9450</v>
      </c>
      <c r="G3179" s="15" t="s">
        <v>29609</v>
      </c>
      <c r="H3179" s="15" t="s">
        <v>29610</v>
      </c>
      <c r="I3179" s="15" t="s">
        <v>29611</v>
      </c>
      <c r="J3179" s="15" t="s">
        <v>29612</v>
      </c>
      <c r="K3179" s="15">
        <v>6917715</v>
      </c>
      <c r="L3179" s="15" t="s">
        <v>19099</v>
      </c>
    </row>
    <row r="3180" spans="1:12" x14ac:dyDescent="0.25">
      <c r="A3180" s="2" t="s">
        <v>9452</v>
      </c>
      <c r="B3180" s="8" t="s">
        <v>17962</v>
      </c>
      <c r="C3180" s="2" t="s">
        <v>9452</v>
      </c>
      <c r="D3180" s="2" t="s">
        <v>9453</v>
      </c>
      <c r="E3180" s="4" t="s">
        <v>9453</v>
      </c>
      <c r="G3180" s="15" t="s">
        <v>29613</v>
      </c>
      <c r="H3180" s="15" t="s">
        <v>29614</v>
      </c>
      <c r="I3180" s="15" t="s">
        <v>29615</v>
      </c>
      <c r="J3180" s="15" t="s">
        <v>29616</v>
      </c>
      <c r="K3180" s="15">
        <v>34766</v>
      </c>
      <c r="L3180" s="15" t="s">
        <v>19099</v>
      </c>
    </row>
    <row r="3181" spans="1:12" x14ac:dyDescent="0.25">
      <c r="A3181" s="2" t="s">
        <v>9455</v>
      </c>
      <c r="B3181" s="8" t="s">
        <v>17963</v>
      </c>
      <c r="C3181" s="2" t="s">
        <v>9455</v>
      </c>
      <c r="D3181" s="2" t="s">
        <v>9456</v>
      </c>
      <c r="E3181" s="4" t="s">
        <v>29617</v>
      </c>
      <c r="G3181" s="15" t="s">
        <v>29618</v>
      </c>
      <c r="H3181" s="15" t="s">
        <v>29619</v>
      </c>
      <c r="I3181" s="15" t="s">
        <v>29620</v>
      </c>
      <c r="J3181" s="15" t="s">
        <v>29621</v>
      </c>
      <c r="K3181" s="15">
        <v>3035207</v>
      </c>
      <c r="L3181" s="15" t="s">
        <v>19099</v>
      </c>
    </row>
    <row r="3182" spans="1:12" x14ac:dyDescent="0.25">
      <c r="A3182" s="2" t="s">
        <v>9458</v>
      </c>
      <c r="B3182" s="8" t="s">
        <v>17964</v>
      </c>
      <c r="C3182" s="2" t="s">
        <v>9458</v>
      </c>
      <c r="D3182" s="2" t="s">
        <v>9459</v>
      </c>
      <c r="E3182" s="4" t="s">
        <v>29622</v>
      </c>
      <c r="G3182" s="15" t="s">
        <v>29623</v>
      </c>
      <c r="H3182" s="15" t="s">
        <v>29624</v>
      </c>
      <c r="I3182" s="15" t="s">
        <v>29625</v>
      </c>
      <c r="J3182" s="15" t="s">
        <v>29626</v>
      </c>
      <c r="K3182" s="15">
        <v>119490</v>
      </c>
      <c r="L3182" s="15" t="s">
        <v>19099</v>
      </c>
    </row>
    <row r="3183" spans="1:12" x14ac:dyDescent="0.25">
      <c r="A3183" s="2" t="s">
        <v>9461</v>
      </c>
      <c r="B3183" s="8" t="s">
        <v>17965</v>
      </c>
      <c r="C3183" s="2" t="s">
        <v>9461</v>
      </c>
      <c r="D3183" s="2" t="s">
        <v>9462</v>
      </c>
      <c r="E3183" s="4" t="s">
        <v>29627</v>
      </c>
      <c r="G3183" s="15" t="s">
        <v>29628</v>
      </c>
      <c r="H3183" s="15" t="s">
        <v>29629</v>
      </c>
      <c r="I3183" s="15" t="s">
        <v>29630</v>
      </c>
      <c r="J3183" s="15" t="s">
        <v>29631</v>
      </c>
      <c r="K3183" s="15">
        <v>18055</v>
      </c>
      <c r="L3183" s="15" t="s">
        <v>19099</v>
      </c>
    </row>
    <row r="3184" spans="1:12" x14ac:dyDescent="0.25">
      <c r="A3184" s="2" t="s">
        <v>9464</v>
      </c>
      <c r="B3184" s="8" t="s">
        <v>17966</v>
      </c>
      <c r="C3184" s="2" t="s">
        <v>9464</v>
      </c>
      <c r="D3184" s="2" t="s">
        <v>9465</v>
      </c>
      <c r="E3184" s="4" t="s">
        <v>9465</v>
      </c>
      <c r="G3184" s="15" t="s">
        <v>29632</v>
      </c>
      <c r="H3184" s="15" t="s">
        <v>29633</v>
      </c>
      <c r="I3184" s="15" t="s">
        <v>29634</v>
      </c>
      <c r="J3184" s="15" t="s">
        <v>29635</v>
      </c>
      <c r="K3184" s="15">
        <v>3286</v>
      </c>
      <c r="L3184" s="15" t="s">
        <v>19099</v>
      </c>
    </row>
    <row r="3185" spans="1:12" x14ac:dyDescent="0.25">
      <c r="A3185" s="2" t="s">
        <v>9467</v>
      </c>
      <c r="B3185" s="8" t="s">
        <v>17967</v>
      </c>
      <c r="C3185" s="2" t="s">
        <v>9467</v>
      </c>
      <c r="D3185" s="2" t="s">
        <v>9468</v>
      </c>
      <c r="E3185" s="4" t="s">
        <v>29636</v>
      </c>
      <c r="G3185" s="15" t="s">
        <v>29637</v>
      </c>
      <c r="H3185" s="15" t="s">
        <v>29638</v>
      </c>
      <c r="I3185" s="15" t="s">
        <v>29639</v>
      </c>
      <c r="J3185" s="15" t="s">
        <v>29640</v>
      </c>
      <c r="K3185" s="15">
        <v>3289</v>
      </c>
      <c r="L3185" s="15" t="s">
        <v>19099</v>
      </c>
    </row>
    <row r="3186" spans="1:12" x14ac:dyDescent="0.25">
      <c r="A3186" s="2" t="s">
        <v>9470</v>
      </c>
      <c r="B3186" s="8" t="s">
        <v>17968</v>
      </c>
      <c r="C3186" s="2" t="s">
        <v>9470</v>
      </c>
      <c r="D3186" s="2" t="s">
        <v>9471</v>
      </c>
      <c r="E3186" s="4" t="s">
        <v>9471</v>
      </c>
      <c r="G3186" s="15" t="s">
        <v>29641</v>
      </c>
      <c r="H3186" s="15" t="s">
        <v>29642</v>
      </c>
      <c r="I3186" s="15" t="s">
        <v>29643</v>
      </c>
      <c r="J3186" s="15" t="s">
        <v>29644</v>
      </c>
      <c r="K3186" s="15">
        <v>9930667</v>
      </c>
      <c r="L3186" s="15" t="s">
        <v>19099</v>
      </c>
    </row>
    <row r="3187" spans="1:12" x14ac:dyDescent="0.25">
      <c r="A3187" s="2" t="s">
        <v>9473</v>
      </c>
      <c r="B3187" s="8" t="s">
        <v>17969</v>
      </c>
      <c r="C3187" s="2" t="s">
        <v>9473</v>
      </c>
      <c r="D3187" s="2" t="s">
        <v>9474</v>
      </c>
      <c r="E3187" s="4" t="s">
        <v>9474</v>
      </c>
      <c r="G3187" s="15" t="s">
        <v>29645</v>
      </c>
      <c r="H3187" s="15" t="s">
        <v>29646</v>
      </c>
      <c r="I3187" s="15" t="s">
        <v>29647</v>
      </c>
      <c r="J3187" s="15" t="s">
        <v>29648</v>
      </c>
      <c r="K3187" s="15">
        <v>36462</v>
      </c>
      <c r="L3187" s="15" t="s">
        <v>19099</v>
      </c>
    </row>
    <row r="3188" spans="1:12" x14ac:dyDescent="0.25">
      <c r="A3188" s="2" t="s">
        <v>9476</v>
      </c>
      <c r="B3188" s="8" t="s">
        <v>17970</v>
      </c>
      <c r="C3188" s="2" t="s">
        <v>9476</v>
      </c>
      <c r="D3188" s="2" t="s">
        <v>9477</v>
      </c>
      <c r="E3188" s="4" t="s">
        <v>9477</v>
      </c>
      <c r="G3188" s="15" t="s">
        <v>29649</v>
      </c>
      <c r="H3188" s="15" t="s">
        <v>29650</v>
      </c>
      <c r="I3188" s="15" t="s">
        <v>29651</v>
      </c>
      <c r="J3188" s="15" t="s">
        <v>24097</v>
      </c>
      <c r="K3188" s="15">
        <v>135424354</v>
      </c>
      <c r="L3188" s="15" t="s">
        <v>19099</v>
      </c>
    </row>
    <row r="3189" spans="1:12" x14ac:dyDescent="0.25">
      <c r="A3189" s="2" t="s">
        <v>9479</v>
      </c>
      <c r="B3189" s="8" t="s">
        <v>17971</v>
      </c>
      <c r="C3189" s="2" t="s">
        <v>9479</v>
      </c>
      <c r="D3189" s="2" t="s">
        <v>9480</v>
      </c>
      <c r="E3189" s="4" t="s">
        <v>9480</v>
      </c>
      <c r="G3189" s="15" t="s">
        <v>29652</v>
      </c>
      <c r="H3189" s="15" t="s">
        <v>29653</v>
      </c>
      <c r="I3189" s="15" t="s">
        <v>29654</v>
      </c>
      <c r="J3189" s="15" t="s">
        <v>29655</v>
      </c>
      <c r="K3189" s="15">
        <v>3291</v>
      </c>
      <c r="L3189" s="15" t="s">
        <v>19099</v>
      </c>
    </row>
    <row r="3190" spans="1:12" x14ac:dyDescent="0.25">
      <c r="A3190" s="2" t="s">
        <v>9482</v>
      </c>
      <c r="B3190" s="8" t="s">
        <v>17972</v>
      </c>
      <c r="C3190" s="2" t="s">
        <v>9482</v>
      </c>
      <c r="D3190" s="2" t="s">
        <v>9483</v>
      </c>
      <c r="E3190" s="4" t="s">
        <v>29656</v>
      </c>
      <c r="G3190" s="15" t="s">
        <v>29657</v>
      </c>
      <c r="H3190" s="15" t="s">
        <v>29658</v>
      </c>
      <c r="I3190" s="15" t="s">
        <v>29659</v>
      </c>
      <c r="J3190" s="15" t="s">
        <v>29660</v>
      </c>
      <c r="K3190" s="15">
        <v>3293</v>
      </c>
      <c r="L3190" s="15" t="s">
        <v>19099</v>
      </c>
    </row>
    <row r="3191" spans="1:12" x14ac:dyDescent="0.25">
      <c r="A3191" s="2" t="s">
        <v>9485</v>
      </c>
      <c r="B3191" s="8" t="s">
        <v>17973</v>
      </c>
      <c r="C3191" s="2" t="s">
        <v>9485</v>
      </c>
      <c r="D3191" s="2" t="s">
        <v>9486</v>
      </c>
      <c r="E3191" s="4" t="s">
        <v>29661</v>
      </c>
      <c r="G3191" s="15" t="s">
        <v>29662</v>
      </c>
      <c r="H3191" s="15" t="s">
        <v>29663</v>
      </c>
      <c r="I3191" s="15" t="s">
        <v>29664</v>
      </c>
      <c r="J3191" s="15" t="s">
        <v>29665</v>
      </c>
      <c r="K3191" s="15">
        <v>153974</v>
      </c>
      <c r="L3191" s="15" t="s">
        <v>19099</v>
      </c>
    </row>
    <row r="3192" spans="1:12" x14ac:dyDescent="0.25">
      <c r="A3192" s="2" t="s">
        <v>9488</v>
      </c>
      <c r="B3192" s="8" t="s">
        <v>17974</v>
      </c>
      <c r="C3192" s="2" t="s">
        <v>9488</v>
      </c>
      <c r="D3192" s="2" t="s">
        <v>9489</v>
      </c>
      <c r="E3192" s="4" t="s">
        <v>9489</v>
      </c>
      <c r="G3192" s="15" t="s">
        <v>29666</v>
      </c>
      <c r="H3192" s="15" t="s">
        <v>29667</v>
      </c>
      <c r="I3192" s="15" t="s">
        <v>29668</v>
      </c>
      <c r="J3192" s="15" t="s">
        <v>23738</v>
      </c>
      <c r="K3192" s="15">
        <v>3314</v>
      </c>
      <c r="L3192" s="15" t="s">
        <v>19099</v>
      </c>
    </row>
    <row r="3193" spans="1:12" x14ac:dyDescent="0.25">
      <c r="A3193" s="2" t="s">
        <v>9491</v>
      </c>
      <c r="B3193" s="8" t="s">
        <v>17975</v>
      </c>
      <c r="C3193" s="2" t="s">
        <v>9491</v>
      </c>
      <c r="D3193" s="2" t="s">
        <v>9492</v>
      </c>
      <c r="E3193" s="4" t="s">
        <v>9492</v>
      </c>
      <c r="G3193" s="15" t="s">
        <v>29669</v>
      </c>
      <c r="H3193" s="15" t="s">
        <v>29670</v>
      </c>
      <c r="I3193" s="15" t="s">
        <v>29671</v>
      </c>
      <c r="J3193" s="15" t="s">
        <v>29672</v>
      </c>
      <c r="K3193" s="15">
        <v>9570290</v>
      </c>
      <c r="L3193" s="15" t="s">
        <v>19099</v>
      </c>
    </row>
    <row r="3194" spans="1:12" x14ac:dyDescent="0.25">
      <c r="A3194" s="2" t="s">
        <v>9494</v>
      </c>
      <c r="B3194" s="8" t="s">
        <v>17976</v>
      </c>
      <c r="C3194" s="2" t="s">
        <v>9494</v>
      </c>
      <c r="D3194" s="2" t="s">
        <v>9495</v>
      </c>
      <c r="E3194" s="4" t="s">
        <v>9495</v>
      </c>
      <c r="G3194" s="15" t="s">
        <v>29673</v>
      </c>
      <c r="H3194" s="15" t="s">
        <v>29674</v>
      </c>
      <c r="I3194" s="15" t="s">
        <v>29675</v>
      </c>
      <c r="J3194" s="15" t="s">
        <v>29676</v>
      </c>
      <c r="K3194" s="15">
        <v>5859</v>
      </c>
      <c r="L3194" s="15" t="s">
        <v>19099</v>
      </c>
    </row>
    <row r="3195" spans="1:12" x14ac:dyDescent="0.25">
      <c r="A3195" s="2" t="s">
        <v>9497</v>
      </c>
      <c r="B3195" s="8" t="s">
        <v>17977</v>
      </c>
      <c r="C3195" s="2" t="s">
        <v>9497</v>
      </c>
      <c r="D3195" s="2" t="s">
        <v>9498</v>
      </c>
      <c r="E3195" s="4" t="s">
        <v>9498</v>
      </c>
      <c r="G3195" s="15" t="s">
        <v>29677</v>
      </c>
      <c r="H3195" s="15" t="s">
        <v>29678</v>
      </c>
      <c r="I3195" s="15" t="s">
        <v>29679</v>
      </c>
      <c r="J3195" s="15" t="s">
        <v>29680</v>
      </c>
      <c r="K3195" s="15">
        <v>213032</v>
      </c>
      <c r="L3195" s="15" t="s">
        <v>19099</v>
      </c>
    </row>
    <row r="3196" spans="1:12" x14ac:dyDescent="0.25">
      <c r="A3196" s="2" t="s">
        <v>9500</v>
      </c>
      <c r="B3196" s="8" t="s">
        <v>17978</v>
      </c>
      <c r="C3196" s="2" t="s">
        <v>9500</v>
      </c>
      <c r="D3196" s="2" t="s">
        <v>9501</v>
      </c>
      <c r="E3196" s="4" t="s">
        <v>9501</v>
      </c>
      <c r="G3196" s="15" t="s">
        <v>29681</v>
      </c>
      <c r="H3196" s="15" t="s">
        <v>29682</v>
      </c>
      <c r="I3196" s="15" t="s">
        <v>29683</v>
      </c>
      <c r="J3196" s="15" t="s">
        <v>29684</v>
      </c>
      <c r="K3196" s="15">
        <v>445070</v>
      </c>
      <c r="L3196" s="15" t="s">
        <v>19099</v>
      </c>
    </row>
    <row r="3197" spans="1:12" x14ac:dyDescent="0.25">
      <c r="A3197" s="2" t="s">
        <v>9503</v>
      </c>
      <c r="B3197" s="8" t="s">
        <v>17979</v>
      </c>
      <c r="C3197" s="2" t="s">
        <v>9503</v>
      </c>
      <c r="D3197" s="2" t="s">
        <v>9504</v>
      </c>
      <c r="E3197" s="4" t="s">
        <v>9504</v>
      </c>
      <c r="G3197" s="15" t="s">
        <v>29685</v>
      </c>
      <c r="H3197" s="15" t="s">
        <v>29686</v>
      </c>
      <c r="I3197" s="15" t="s">
        <v>29687</v>
      </c>
      <c r="J3197" s="15" t="s">
        <v>29688</v>
      </c>
      <c r="K3197" s="15">
        <v>31200</v>
      </c>
      <c r="L3197" s="15" t="s">
        <v>19099</v>
      </c>
    </row>
    <row r="3198" spans="1:12" x14ac:dyDescent="0.25">
      <c r="A3198" s="2" t="s">
        <v>9506</v>
      </c>
      <c r="B3198" s="8" t="s">
        <v>17980</v>
      </c>
      <c r="C3198" s="2" t="s">
        <v>9506</v>
      </c>
      <c r="D3198" s="2" t="s">
        <v>9507</v>
      </c>
      <c r="E3198" s="4" t="s">
        <v>29689</v>
      </c>
      <c r="G3198" s="15" t="s">
        <v>29690</v>
      </c>
      <c r="H3198" s="15" t="s">
        <v>29691</v>
      </c>
      <c r="I3198" s="15" t="s">
        <v>29692</v>
      </c>
      <c r="J3198" s="15" t="s">
        <v>29693</v>
      </c>
      <c r="K3198" s="15">
        <v>3033865</v>
      </c>
      <c r="L3198" s="15" t="s">
        <v>19099</v>
      </c>
    </row>
    <row r="3199" spans="1:12" x14ac:dyDescent="0.25">
      <c r="A3199" s="2" t="s">
        <v>9509</v>
      </c>
      <c r="B3199" s="8" t="s">
        <v>17981</v>
      </c>
      <c r="C3199" s="2" t="s">
        <v>9509</v>
      </c>
      <c r="D3199" s="2" t="s">
        <v>9510</v>
      </c>
      <c r="E3199" s="4" t="s">
        <v>29694</v>
      </c>
      <c r="G3199" s="15" t="s">
        <v>29695</v>
      </c>
      <c r="H3199" s="15" t="s">
        <v>29696</v>
      </c>
      <c r="I3199" s="15" t="s">
        <v>29697</v>
      </c>
      <c r="J3199" s="15" t="s">
        <v>29698</v>
      </c>
      <c r="K3199" s="15">
        <v>9298</v>
      </c>
      <c r="L3199" s="15" t="s">
        <v>19099</v>
      </c>
    </row>
    <row r="3200" spans="1:12" x14ac:dyDescent="0.25">
      <c r="A3200" s="2" t="s">
        <v>9512</v>
      </c>
      <c r="B3200" s="8" t="s">
        <v>17982</v>
      </c>
      <c r="C3200" s="2" t="s">
        <v>9512</v>
      </c>
      <c r="D3200" s="2" t="s">
        <v>9513</v>
      </c>
      <c r="E3200" s="4" t="s">
        <v>9513</v>
      </c>
      <c r="G3200" s="15" t="s">
        <v>29699</v>
      </c>
      <c r="H3200" s="15" t="s">
        <v>29700</v>
      </c>
      <c r="I3200" s="15" t="s">
        <v>29701</v>
      </c>
      <c r="J3200" s="15" t="s">
        <v>29702</v>
      </c>
      <c r="K3200" s="15">
        <v>47938</v>
      </c>
      <c r="L3200" s="15" t="s">
        <v>19099</v>
      </c>
    </row>
    <row r="3201" spans="1:12" x14ac:dyDescent="0.25">
      <c r="A3201" s="2" t="s">
        <v>9515</v>
      </c>
      <c r="B3201" s="8" t="s">
        <v>17983</v>
      </c>
      <c r="C3201" s="2" t="s">
        <v>9515</v>
      </c>
      <c r="D3201" s="2" t="s">
        <v>9516</v>
      </c>
      <c r="E3201" s="4" t="s">
        <v>29703</v>
      </c>
      <c r="G3201" s="15" t="s">
        <v>29704</v>
      </c>
      <c r="H3201" s="15" t="s">
        <v>29705</v>
      </c>
      <c r="I3201" s="15" t="s">
        <v>29706</v>
      </c>
      <c r="J3201" s="15" t="s">
        <v>29707</v>
      </c>
      <c r="K3201" s="15">
        <v>51605</v>
      </c>
      <c r="L3201" s="15" t="s">
        <v>19099</v>
      </c>
    </row>
    <row r="3202" spans="1:12" x14ac:dyDescent="0.25">
      <c r="A3202" s="2" t="s">
        <v>9518</v>
      </c>
      <c r="B3202" s="8" t="s">
        <v>17984</v>
      </c>
      <c r="C3202" s="2" t="s">
        <v>9518</v>
      </c>
      <c r="D3202" s="2" t="s">
        <v>9519</v>
      </c>
      <c r="E3202" s="4" t="s">
        <v>29708</v>
      </c>
      <c r="G3202" s="15" t="s">
        <v>29709</v>
      </c>
      <c r="H3202" s="15" t="s">
        <v>29710</v>
      </c>
      <c r="I3202" s="15" t="s">
        <v>29711</v>
      </c>
      <c r="J3202" s="15" t="s">
        <v>29712</v>
      </c>
      <c r="K3202" s="15">
        <v>36027</v>
      </c>
      <c r="L3202" s="15" t="s">
        <v>19099</v>
      </c>
    </row>
    <row r="3203" spans="1:12" x14ac:dyDescent="0.25">
      <c r="A3203" s="2" t="s">
        <v>9521</v>
      </c>
      <c r="B3203" s="8" t="s">
        <v>17985</v>
      </c>
      <c r="C3203" s="2" t="s">
        <v>9521</v>
      </c>
      <c r="D3203" s="2" t="s">
        <v>9522</v>
      </c>
      <c r="E3203" s="4" t="s">
        <v>29713</v>
      </c>
      <c r="G3203" s="15" t="s">
        <v>29714</v>
      </c>
      <c r="H3203" s="15" t="s">
        <v>29715</v>
      </c>
      <c r="I3203" s="15" t="s">
        <v>29716</v>
      </c>
      <c r="J3203" s="15" t="s">
        <v>29717</v>
      </c>
      <c r="K3203" s="15">
        <v>31070</v>
      </c>
      <c r="L3203" s="15" t="s">
        <v>19099</v>
      </c>
    </row>
    <row r="3204" spans="1:12" x14ac:dyDescent="0.25">
      <c r="A3204" s="2" t="s">
        <v>9524</v>
      </c>
      <c r="B3204" s="8" t="s">
        <v>17986</v>
      </c>
      <c r="C3204" s="2" t="s">
        <v>9524</v>
      </c>
      <c r="D3204" s="2" t="s">
        <v>9525</v>
      </c>
      <c r="E3204" s="4" t="s">
        <v>29718</v>
      </c>
      <c r="G3204" s="15" t="s">
        <v>29719</v>
      </c>
      <c r="H3204" s="15" t="s">
        <v>29720</v>
      </c>
      <c r="I3204" s="15" t="s">
        <v>29721</v>
      </c>
      <c r="J3204" s="15" t="s">
        <v>29722</v>
      </c>
      <c r="K3204" s="15">
        <v>36028</v>
      </c>
      <c r="L3204" s="15" t="s">
        <v>19099</v>
      </c>
    </row>
    <row r="3205" spans="1:12" x14ac:dyDescent="0.25">
      <c r="A3205" s="2" t="s">
        <v>9527</v>
      </c>
      <c r="B3205" s="8" t="s">
        <v>17987</v>
      </c>
      <c r="C3205" s="2" t="s">
        <v>9527</v>
      </c>
      <c r="D3205" s="2" t="s">
        <v>9528</v>
      </c>
      <c r="E3205" s="4" t="s">
        <v>9528</v>
      </c>
      <c r="G3205" s="15" t="s">
        <v>29723</v>
      </c>
      <c r="H3205" s="15" t="s">
        <v>29724</v>
      </c>
      <c r="I3205" s="15" t="s">
        <v>29725</v>
      </c>
      <c r="J3205" s="15" t="s">
        <v>29726</v>
      </c>
      <c r="K3205" s="15">
        <v>43226</v>
      </c>
      <c r="L3205" s="15" t="s">
        <v>19099</v>
      </c>
    </row>
    <row r="3206" spans="1:12" x14ac:dyDescent="0.25">
      <c r="A3206" s="2" t="s">
        <v>9530</v>
      </c>
      <c r="B3206" s="8" t="s">
        <v>17988</v>
      </c>
      <c r="C3206" s="2" t="s">
        <v>9530</v>
      </c>
      <c r="D3206" s="2" t="s">
        <v>9531</v>
      </c>
      <c r="E3206" s="4" t="s">
        <v>29727</v>
      </c>
      <c r="G3206" s="15" t="s">
        <v>29728</v>
      </c>
      <c r="H3206" s="15" t="s">
        <v>29729</v>
      </c>
      <c r="I3206" s="15" t="s">
        <v>29730</v>
      </c>
      <c r="J3206" s="15" t="s">
        <v>29731</v>
      </c>
      <c r="K3206" s="15">
        <v>4763</v>
      </c>
      <c r="L3206" s="15" t="s">
        <v>19099</v>
      </c>
    </row>
    <row r="3207" spans="1:12" x14ac:dyDescent="0.25">
      <c r="A3207" s="2" t="s">
        <v>9533</v>
      </c>
      <c r="B3207" s="8" t="s">
        <v>17989</v>
      </c>
      <c r="C3207" s="2" t="s">
        <v>9533</v>
      </c>
      <c r="D3207" s="2" t="s">
        <v>9534</v>
      </c>
      <c r="E3207" s="4" t="s">
        <v>29732</v>
      </c>
      <c r="G3207" s="15" t="s">
        <v>29733</v>
      </c>
      <c r="H3207" s="15" t="s">
        <v>29734</v>
      </c>
      <c r="I3207" s="15" t="s">
        <v>29735</v>
      </c>
      <c r="J3207" s="15" t="s">
        <v>29736</v>
      </c>
      <c r="K3207" s="15">
        <v>19588</v>
      </c>
      <c r="L3207" s="15" t="s">
        <v>19099</v>
      </c>
    </row>
    <row r="3208" spans="1:12" x14ac:dyDescent="0.25">
      <c r="A3208" s="2" t="s">
        <v>9536</v>
      </c>
      <c r="B3208" s="8" t="s">
        <v>17990</v>
      </c>
      <c r="C3208" s="2" t="s">
        <v>9536</v>
      </c>
      <c r="D3208" s="2" t="s">
        <v>9537</v>
      </c>
      <c r="E3208" s="4" t="s">
        <v>29737</v>
      </c>
      <c r="G3208" s="15" t="s">
        <v>29738</v>
      </c>
      <c r="H3208" s="15" t="s">
        <v>29739</v>
      </c>
      <c r="I3208" s="15" t="s">
        <v>29740</v>
      </c>
      <c r="J3208" s="15" t="s">
        <v>29741</v>
      </c>
      <c r="K3208" s="15">
        <v>86138</v>
      </c>
      <c r="L3208" s="15" t="s">
        <v>19099</v>
      </c>
    </row>
    <row r="3209" spans="1:12" x14ac:dyDescent="0.25">
      <c r="A3209" s="2" t="s">
        <v>9539</v>
      </c>
      <c r="B3209" s="8" t="s">
        <v>17991</v>
      </c>
      <c r="C3209" s="2" t="s">
        <v>9539</v>
      </c>
      <c r="D3209" s="2" t="s">
        <v>9540</v>
      </c>
      <c r="E3209" s="4" t="s">
        <v>29742</v>
      </c>
      <c r="G3209" s="15" t="s">
        <v>29743</v>
      </c>
      <c r="H3209" s="15" t="s">
        <v>29744</v>
      </c>
      <c r="I3209" s="15" t="s">
        <v>29745</v>
      </c>
      <c r="J3209" s="15" t="s">
        <v>29746</v>
      </c>
      <c r="K3209" s="15">
        <v>3334</v>
      </c>
      <c r="L3209" s="15" t="s">
        <v>19099</v>
      </c>
    </row>
    <row r="3210" spans="1:12" x14ac:dyDescent="0.25">
      <c r="A3210" s="2" t="s">
        <v>9542</v>
      </c>
      <c r="B3210" s="8" t="s">
        <v>17992</v>
      </c>
      <c r="C3210" s="2" t="s">
        <v>9542</v>
      </c>
      <c r="D3210" s="2" t="s">
        <v>9543</v>
      </c>
      <c r="E3210" s="4" t="s">
        <v>29747</v>
      </c>
      <c r="G3210" s="15" t="s">
        <v>29748</v>
      </c>
      <c r="H3210" s="15" t="s">
        <v>29749</v>
      </c>
      <c r="I3210" s="15" t="s">
        <v>29750</v>
      </c>
      <c r="J3210" s="15" t="s">
        <v>29751</v>
      </c>
      <c r="K3210" s="15">
        <v>16683004</v>
      </c>
      <c r="L3210" s="15" t="s">
        <v>19099</v>
      </c>
    </row>
    <row r="3211" spans="1:12" x14ac:dyDescent="0.25">
      <c r="A3211" s="2" t="s">
        <v>9545</v>
      </c>
      <c r="B3211" s="8" t="s">
        <v>17993</v>
      </c>
      <c r="C3211" s="2" t="s">
        <v>9545</v>
      </c>
      <c r="D3211" s="2" t="s">
        <v>9546</v>
      </c>
      <c r="E3211" s="4" t="s">
        <v>29752</v>
      </c>
      <c r="G3211" s="15" t="s">
        <v>29753</v>
      </c>
      <c r="H3211" s="15" t="s">
        <v>29754</v>
      </c>
      <c r="I3211" s="15" t="s">
        <v>29755</v>
      </c>
      <c r="J3211" s="15" t="s">
        <v>21061</v>
      </c>
      <c r="K3211" s="15">
        <v>4754</v>
      </c>
      <c r="L3211" s="15" t="s">
        <v>19099</v>
      </c>
    </row>
    <row r="3212" spans="1:12" x14ac:dyDescent="0.25">
      <c r="A3212" s="2" t="s">
        <v>9548</v>
      </c>
      <c r="B3212" s="8" t="s">
        <v>17994</v>
      </c>
      <c r="C3212" s="2" t="s">
        <v>9548</v>
      </c>
      <c r="D3212" s="2" t="s">
        <v>9549</v>
      </c>
      <c r="E3212" s="4" t="s">
        <v>29756</v>
      </c>
      <c r="G3212" s="15" t="s">
        <v>29757</v>
      </c>
      <c r="H3212" s="15" t="s">
        <v>29758</v>
      </c>
      <c r="I3212" s="15" t="s">
        <v>29759</v>
      </c>
      <c r="J3212" s="15" t="s">
        <v>29760</v>
      </c>
      <c r="K3212" s="15">
        <v>64929</v>
      </c>
      <c r="L3212" s="15" t="s">
        <v>19099</v>
      </c>
    </row>
    <row r="3213" spans="1:12" x14ac:dyDescent="0.25">
      <c r="A3213" s="2" t="s">
        <v>9551</v>
      </c>
      <c r="B3213" s="8" t="s">
        <v>17995</v>
      </c>
      <c r="C3213" s="2" t="s">
        <v>9551</v>
      </c>
      <c r="D3213" s="2" t="s">
        <v>9552</v>
      </c>
      <c r="E3213" s="4" t="s">
        <v>29761</v>
      </c>
      <c r="G3213" s="15" t="s">
        <v>29762</v>
      </c>
      <c r="H3213" s="15" t="s">
        <v>29763</v>
      </c>
      <c r="I3213" s="15" t="s">
        <v>29764</v>
      </c>
      <c r="J3213" s="15" t="s">
        <v>29765</v>
      </c>
      <c r="K3213" s="15">
        <v>3339</v>
      </c>
      <c r="L3213" s="15" t="s">
        <v>19099</v>
      </c>
    </row>
    <row r="3214" spans="1:12" x14ac:dyDescent="0.25">
      <c r="A3214" s="2" t="s">
        <v>9554</v>
      </c>
      <c r="B3214" s="8" t="s">
        <v>17996</v>
      </c>
      <c r="C3214" s="2" t="s">
        <v>9554</v>
      </c>
      <c r="D3214" s="2" t="s">
        <v>9555</v>
      </c>
      <c r="E3214" s="4" t="s">
        <v>9555</v>
      </c>
      <c r="G3214" s="15" t="s">
        <v>29766</v>
      </c>
      <c r="H3214" s="15" t="s">
        <v>29767</v>
      </c>
      <c r="I3214" s="15" t="s">
        <v>29768</v>
      </c>
      <c r="J3214" s="15" t="s">
        <v>28697</v>
      </c>
      <c r="K3214" s="15">
        <v>90590</v>
      </c>
      <c r="L3214" s="15" t="s">
        <v>19099</v>
      </c>
    </row>
    <row r="3215" spans="1:12" x14ac:dyDescent="0.25">
      <c r="A3215" s="2" t="s">
        <v>9557</v>
      </c>
      <c r="B3215" s="8" t="s">
        <v>17997</v>
      </c>
      <c r="C3215" s="2" t="s">
        <v>9557</v>
      </c>
      <c r="D3215" s="2" t="s">
        <v>9558</v>
      </c>
      <c r="E3215" s="4" t="s">
        <v>29769</v>
      </c>
      <c r="G3215" s="15" t="s">
        <v>29770</v>
      </c>
      <c r="H3215" s="15" t="s">
        <v>29771</v>
      </c>
      <c r="I3215" s="15" t="s">
        <v>29772</v>
      </c>
      <c r="J3215" s="15" t="s">
        <v>29773</v>
      </c>
      <c r="K3215" s="15">
        <v>213031</v>
      </c>
      <c r="L3215" s="15" t="s">
        <v>19099</v>
      </c>
    </row>
    <row r="3216" spans="1:12" x14ac:dyDescent="0.25">
      <c r="A3216" s="2" t="s">
        <v>9560</v>
      </c>
      <c r="B3216" s="8" t="s">
        <v>17998</v>
      </c>
      <c r="C3216" s="2" t="s">
        <v>9560</v>
      </c>
      <c r="D3216" s="2" t="s">
        <v>9561</v>
      </c>
      <c r="E3216" s="4" t="s">
        <v>29774</v>
      </c>
      <c r="G3216" s="15" t="s">
        <v>29775</v>
      </c>
      <c r="H3216" s="15" t="s">
        <v>29776</v>
      </c>
      <c r="I3216" s="15" t="s">
        <v>29777</v>
      </c>
      <c r="J3216" s="15" t="s">
        <v>29352</v>
      </c>
      <c r="K3216" s="15">
        <v>24744</v>
      </c>
      <c r="L3216" s="15" t="s">
        <v>19099</v>
      </c>
    </row>
    <row r="3217" spans="1:12" x14ac:dyDescent="0.25">
      <c r="A3217" s="2" t="s">
        <v>9563</v>
      </c>
      <c r="B3217" s="8" t="s">
        <v>17999</v>
      </c>
      <c r="C3217" s="2" t="s">
        <v>9563</v>
      </c>
      <c r="D3217" s="2" t="s">
        <v>9564</v>
      </c>
      <c r="E3217" s="4" t="s">
        <v>29778</v>
      </c>
      <c r="G3217" s="15" t="s">
        <v>29779</v>
      </c>
      <c r="H3217" s="15" t="s">
        <v>29780</v>
      </c>
      <c r="I3217" s="15" t="s">
        <v>29781</v>
      </c>
      <c r="J3217" s="15" t="s">
        <v>29782</v>
      </c>
      <c r="K3217" s="15">
        <v>10403199</v>
      </c>
      <c r="L3217" s="15" t="s">
        <v>19099</v>
      </c>
    </row>
    <row r="3218" spans="1:12" x14ac:dyDescent="0.25">
      <c r="A3218" s="2" t="s">
        <v>9566</v>
      </c>
      <c r="B3218" s="8" t="s">
        <v>18000</v>
      </c>
      <c r="C3218" s="2" t="s">
        <v>9566</v>
      </c>
      <c r="D3218" s="2" t="s">
        <v>9567</v>
      </c>
      <c r="E3218" s="4" t="s">
        <v>29783</v>
      </c>
      <c r="G3218" s="15" t="s">
        <v>29784</v>
      </c>
      <c r="H3218" s="15" t="s">
        <v>29785</v>
      </c>
      <c r="I3218" s="15" t="s">
        <v>29786</v>
      </c>
      <c r="J3218" s="15" t="s">
        <v>29787</v>
      </c>
      <c r="K3218" s="15">
        <v>23668198</v>
      </c>
      <c r="L3218" s="15" t="s">
        <v>19099</v>
      </c>
    </row>
    <row r="3219" spans="1:12" x14ac:dyDescent="0.25">
      <c r="A3219" s="2" t="s">
        <v>9569</v>
      </c>
      <c r="B3219" s="8" t="s">
        <v>18001</v>
      </c>
      <c r="C3219" s="2" t="s">
        <v>9569</v>
      </c>
      <c r="D3219" s="2" t="s">
        <v>9570</v>
      </c>
      <c r="E3219" s="4" t="s">
        <v>9570</v>
      </c>
      <c r="G3219" s="15" t="s">
        <v>29788</v>
      </c>
      <c r="H3219" s="15" t="s">
        <v>29789</v>
      </c>
      <c r="I3219" s="15" t="s">
        <v>29790</v>
      </c>
      <c r="J3219" s="15" t="s">
        <v>29791</v>
      </c>
      <c r="K3219" s="15">
        <v>11949285</v>
      </c>
      <c r="L3219" s="15" t="s">
        <v>19099</v>
      </c>
    </row>
    <row r="3220" spans="1:12" x14ac:dyDescent="0.25">
      <c r="A3220" s="2" t="s">
        <v>9572</v>
      </c>
      <c r="B3220" s="8" t="s">
        <v>18002</v>
      </c>
      <c r="C3220" s="2" t="s">
        <v>9572</v>
      </c>
      <c r="D3220" s="2" t="s">
        <v>9573</v>
      </c>
      <c r="E3220" s="4" t="s">
        <v>9573</v>
      </c>
      <c r="G3220" s="15" t="s">
        <v>29792</v>
      </c>
      <c r="H3220" s="15" t="s">
        <v>29793</v>
      </c>
      <c r="I3220" s="15" t="s">
        <v>29794</v>
      </c>
      <c r="J3220" s="15" t="s">
        <v>29795</v>
      </c>
      <c r="K3220" s="15">
        <v>91724</v>
      </c>
      <c r="L3220" s="15" t="s">
        <v>19099</v>
      </c>
    </row>
    <row r="3221" spans="1:12" x14ac:dyDescent="0.25">
      <c r="A3221" s="2" t="s">
        <v>9575</v>
      </c>
      <c r="B3221" s="8" t="s">
        <v>18003</v>
      </c>
      <c r="C3221" s="2" t="s">
        <v>9575</v>
      </c>
      <c r="D3221" s="2" t="s">
        <v>9576</v>
      </c>
      <c r="E3221" s="4" t="s">
        <v>9576</v>
      </c>
      <c r="G3221" s="15" t="s">
        <v>29796</v>
      </c>
      <c r="H3221" s="15" t="s">
        <v>29797</v>
      </c>
      <c r="I3221" s="15" t="s">
        <v>29798</v>
      </c>
      <c r="J3221" s="15" t="s">
        <v>29799</v>
      </c>
      <c r="K3221" s="15">
        <v>3342</v>
      </c>
      <c r="L3221" s="15" t="s">
        <v>19099</v>
      </c>
    </row>
    <row r="3222" spans="1:12" x14ac:dyDescent="0.25">
      <c r="A3222" s="2" t="s">
        <v>9578</v>
      </c>
      <c r="B3222" s="8" t="s">
        <v>18004</v>
      </c>
      <c r="C3222" s="2" t="s">
        <v>9578</v>
      </c>
      <c r="D3222" s="2" t="s">
        <v>9579</v>
      </c>
      <c r="E3222" s="4" t="s">
        <v>9579</v>
      </c>
      <c r="G3222" s="15" t="s">
        <v>29800</v>
      </c>
      <c r="H3222" s="15" t="s">
        <v>29801</v>
      </c>
      <c r="I3222" s="15" t="s">
        <v>29802</v>
      </c>
      <c r="J3222" s="15" t="s">
        <v>29803</v>
      </c>
      <c r="K3222" s="15">
        <v>91694</v>
      </c>
      <c r="L3222" s="15" t="s">
        <v>19099</v>
      </c>
    </row>
    <row r="3223" spans="1:12" x14ac:dyDescent="0.25">
      <c r="A3223" s="2" t="s">
        <v>9581</v>
      </c>
      <c r="B3223" s="8" t="s">
        <v>18005</v>
      </c>
      <c r="C3223" s="2" t="s">
        <v>9581</v>
      </c>
      <c r="D3223" s="2" t="s">
        <v>9582</v>
      </c>
      <c r="E3223" s="4" t="s">
        <v>29804</v>
      </c>
      <c r="G3223" s="15" t="s">
        <v>29805</v>
      </c>
      <c r="H3223" s="15" t="s">
        <v>29806</v>
      </c>
      <c r="I3223" s="15" t="s">
        <v>29807</v>
      </c>
      <c r="J3223" s="15" t="s">
        <v>29808</v>
      </c>
      <c r="K3223" s="15">
        <v>93365</v>
      </c>
      <c r="L3223" s="15" t="s">
        <v>19099</v>
      </c>
    </row>
    <row r="3224" spans="1:12" x14ac:dyDescent="0.25">
      <c r="A3224" s="2" t="s">
        <v>9584</v>
      </c>
      <c r="B3224" s="8" t="s">
        <v>18006</v>
      </c>
      <c r="C3224" s="2" t="s">
        <v>9584</v>
      </c>
      <c r="D3224" s="2" t="s">
        <v>9585</v>
      </c>
      <c r="E3224" s="4" t="s">
        <v>9585</v>
      </c>
      <c r="G3224" s="15" t="s">
        <v>29809</v>
      </c>
      <c r="H3224" s="15" t="s">
        <v>29810</v>
      </c>
      <c r="I3224" s="15" t="s">
        <v>29811</v>
      </c>
      <c r="J3224" s="15" t="s">
        <v>29812</v>
      </c>
      <c r="K3224" s="15">
        <v>11493665</v>
      </c>
      <c r="L3224" s="15" t="s">
        <v>19099</v>
      </c>
    </row>
    <row r="3225" spans="1:12" x14ac:dyDescent="0.25">
      <c r="A3225" s="2" t="s">
        <v>9587</v>
      </c>
      <c r="B3225" s="8" t="s">
        <v>18007</v>
      </c>
      <c r="C3225" s="2" t="s">
        <v>9587</v>
      </c>
      <c r="D3225" s="2" t="s">
        <v>9588</v>
      </c>
      <c r="E3225" s="4" t="s">
        <v>9588</v>
      </c>
      <c r="G3225" s="15" t="s">
        <v>29813</v>
      </c>
      <c r="H3225" s="15" t="s">
        <v>29814</v>
      </c>
      <c r="I3225" s="15" t="s">
        <v>29815</v>
      </c>
      <c r="J3225" s="15" t="s">
        <v>29816</v>
      </c>
      <c r="K3225" s="15">
        <v>47326</v>
      </c>
      <c r="L3225" s="15" t="s">
        <v>19099</v>
      </c>
    </row>
    <row r="3226" spans="1:12" x14ac:dyDescent="0.25">
      <c r="A3226" s="2" t="s">
        <v>9590</v>
      </c>
      <c r="B3226" s="8" t="s">
        <v>18008</v>
      </c>
      <c r="C3226" s="2" t="s">
        <v>9590</v>
      </c>
      <c r="D3226" s="2" t="s">
        <v>9591</v>
      </c>
      <c r="E3226" s="4" t="s">
        <v>29817</v>
      </c>
      <c r="G3226" s="15" t="s">
        <v>29818</v>
      </c>
      <c r="H3226" s="15" t="s">
        <v>29819</v>
      </c>
      <c r="I3226" s="15" t="s">
        <v>29820</v>
      </c>
      <c r="J3226" s="15" t="s">
        <v>29821</v>
      </c>
      <c r="K3226" s="15">
        <v>9576412</v>
      </c>
      <c r="L3226" s="15" t="s">
        <v>19099</v>
      </c>
    </row>
    <row r="3227" spans="1:12" x14ac:dyDescent="0.25">
      <c r="A3227" s="2" t="s">
        <v>9593</v>
      </c>
      <c r="B3227" s="8" t="s">
        <v>18009</v>
      </c>
      <c r="C3227" s="2" t="s">
        <v>9593</v>
      </c>
      <c r="D3227" s="2" t="s">
        <v>9594</v>
      </c>
      <c r="E3227" s="4" t="s">
        <v>9594</v>
      </c>
      <c r="G3227" s="15" t="s">
        <v>29822</v>
      </c>
      <c r="H3227" s="15" t="s">
        <v>29823</v>
      </c>
      <c r="I3227" s="15" t="s">
        <v>29824</v>
      </c>
      <c r="J3227" s="15" t="s">
        <v>29825</v>
      </c>
      <c r="K3227" s="15">
        <v>7560</v>
      </c>
      <c r="L3227" s="15" t="s">
        <v>19099</v>
      </c>
    </row>
    <row r="3228" spans="1:12" x14ac:dyDescent="0.25">
      <c r="A3228" s="2" t="s">
        <v>9596</v>
      </c>
      <c r="B3228" s="8" t="s">
        <v>18010</v>
      </c>
      <c r="C3228" s="2" t="s">
        <v>9596</v>
      </c>
      <c r="D3228" s="2" t="s">
        <v>9597</v>
      </c>
      <c r="E3228" s="4" t="s">
        <v>9597</v>
      </c>
      <c r="G3228" s="15" t="s">
        <v>29826</v>
      </c>
      <c r="H3228" s="15" t="s">
        <v>29827</v>
      </c>
      <c r="I3228" s="15" t="s">
        <v>29828</v>
      </c>
      <c r="J3228" s="15" t="s">
        <v>29829</v>
      </c>
      <c r="K3228" s="15">
        <v>8292</v>
      </c>
      <c r="L3228" s="15" t="s">
        <v>19099</v>
      </c>
    </row>
    <row r="3229" spans="1:12" x14ac:dyDescent="0.25">
      <c r="A3229" s="2" t="s">
        <v>9599</v>
      </c>
      <c r="B3229" s="8" t="s">
        <v>18011</v>
      </c>
      <c r="C3229" s="2" t="s">
        <v>9599</v>
      </c>
      <c r="D3229" s="2" t="s">
        <v>9600</v>
      </c>
      <c r="E3229" s="4" t="s">
        <v>29830</v>
      </c>
      <c r="G3229" s="15" t="s">
        <v>29831</v>
      </c>
      <c r="H3229" s="15" t="s">
        <v>29832</v>
      </c>
      <c r="I3229" s="15" t="s">
        <v>29833</v>
      </c>
      <c r="J3229" s="15" t="s">
        <v>29834</v>
      </c>
      <c r="K3229" s="15">
        <v>16682804</v>
      </c>
      <c r="L3229" s="15" t="s">
        <v>19099</v>
      </c>
    </row>
    <row r="3230" spans="1:12" x14ac:dyDescent="0.25">
      <c r="A3230" s="2" t="s">
        <v>9602</v>
      </c>
      <c r="B3230" s="8" t="s">
        <v>18012</v>
      </c>
      <c r="C3230" s="2" t="s">
        <v>9602</v>
      </c>
      <c r="D3230" s="2" t="s">
        <v>9603</v>
      </c>
      <c r="E3230" s="4" t="s">
        <v>29835</v>
      </c>
      <c r="G3230" s="15" t="s">
        <v>29836</v>
      </c>
      <c r="H3230" s="15" t="s">
        <v>29837</v>
      </c>
      <c r="I3230" s="15" t="s">
        <v>29838</v>
      </c>
      <c r="J3230" s="15" t="s">
        <v>29839</v>
      </c>
      <c r="K3230" s="15">
        <v>17435</v>
      </c>
      <c r="L3230" s="15" t="s">
        <v>19099</v>
      </c>
    </row>
    <row r="3231" spans="1:12" x14ac:dyDescent="0.25">
      <c r="A3231" s="2" t="s">
        <v>9605</v>
      </c>
      <c r="B3231" s="8" t="s">
        <v>18013</v>
      </c>
      <c r="C3231" s="2" t="s">
        <v>9605</v>
      </c>
      <c r="D3231" s="2" t="s">
        <v>9606</v>
      </c>
      <c r="E3231" s="4" t="s">
        <v>29840</v>
      </c>
      <c r="G3231" s="15" t="s">
        <v>29841</v>
      </c>
      <c r="H3231" s="15" t="s">
        <v>29842</v>
      </c>
      <c r="I3231" s="15" t="s">
        <v>29843</v>
      </c>
      <c r="J3231" s="15" t="s">
        <v>29844</v>
      </c>
      <c r="K3231" s="15">
        <v>4767</v>
      </c>
      <c r="L3231" s="15" t="s">
        <v>19099</v>
      </c>
    </row>
    <row r="3232" spans="1:12" x14ac:dyDescent="0.25">
      <c r="A3232" s="2" t="s">
        <v>9608</v>
      </c>
      <c r="B3232" s="8" t="s">
        <v>18014</v>
      </c>
      <c r="C3232" s="2" t="s">
        <v>9608</v>
      </c>
      <c r="D3232" s="2" t="s">
        <v>9609</v>
      </c>
      <c r="E3232" s="4" t="s">
        <v>9609</v>
      </c>
      <c r="G3232" s="15" t="s">
        <v>29845</v>
      </c>
      <c r="H3232" s="15" t="s">
        <v>29846</v>
      </c>
      <c r="I3232" s="15" t="s">
        <v>29847</v>
      </c>
      <c r="J3232" s="15" t="s">
        <v>29848</v>
      </c>
      <c r="K3232" s="15">
        <v>3345</v>
      </c>
      <c r="L3232" s="15" t="s">
        <v>19099</v>
      </c>
    </row>
    <row r="3233" spans="1:12" x14ac:dyDescent="0.25">
      <c r="A3233" s="2" t="s">
        <v>9611</v>
      </c>
      <c r="B3233" s="8" t="s">
        <v>18015</v>
      </c>
      <c r="C3233" s="2" t="s">
        <v>9611</v>
      </c>
      <c r="D3233" s="2" t="s">
        <v>9612</v>
      </c>
      <c r="E3233" s="4" t="s">
        <v>29849</v>
      </c>
      <c r="G3233" s="15" t="s">
        <v>29850</v>
      </c>
      <c r="H3233" s="15" t="s">
        <v>29851</v>
      </c>
      <c r="I3233" s="15" t="s">
        <v>29852</v>
      </c>
      <c r="J3233" s="15" t="s">
        <v>29853</v>
      </c>
      <c r="K3233" s="15">
        <v>19577</v>
      </c>
      <c r="L3233" s="15" t="s">
        <v>19099</v>
      </c>
    </row>
    <row r="3234" spans="1:12" x14ac:dyDescent="0.25">
      <c r="A3234" s="2" t="s">
        <v>9614</v>
      </c>
      <c r="B3234" s="8" t="s">
        <v>18016</v>
      </c>
      <c r="C3234" s="2" t="s">
        <v>9614</v>
      </c>
      <c r="D3234" s="2" t="s">
        <v>9615</v>
      </c>
      <c r="E3234" s="4" t="s">
        <v>9615</v>
      </c>
      <c r="G3234" s="15" t="s">
        <v>29854</v>
      </c>
      <c r="H3234" s="15" t="s">
        <v>29855</v>
      </c>
      <c r="I3234" s="15" t="s">
        <v>29856</v>
      </c>
      <c r="J3234" s="15" t="s">
        <v>29857</v>
      </c>
      <c r="K3234" s="15">
        <v>3346</v>
      </c>
      <c r="L3234" s="15" t="s">
        <v>19099</v>
      </c>
    </row>
    <row r="3235" spans="1:12" x14ac:dyDescent="0.25">
      <c r="A3235" s="2" t="s">
        <v>9617</v>
      </c>
      <c r="B3235" s="8" t="s">
        <v>18017</v>
      </c>
      <c r="C3235" s="2" t="s">
        <v>9617</v>
      </c>
      <c r="D3235" s="2" t="s">
        <v>9618</v>
      </c>
      <c r="E3235" s="4" t="s">
        <v>29858</v>
      </c>
      <c r="G3235" s="15" t="s">
        <v>29859</v>
      </c>
      <c r="H3235" s="15" t="s">
        <v>29860</v>
      </c>
      <c r="I3235" s="15" t="s">
        <v>29861</v>
      </c>
      <c r="J3235" s="15" t="s">
        <v>29862</v>
      </c>
      <c r="K3235" s="15">
        <v>19578</v>
      </c>
      <c r="L3235" s="15" t="s">
        <v>19099</v>
      </c>
    </row>
    <row r="3236" spans="1:12" x14ac:dyDescent="0.25">
      <c r="A3236" s="2" t="s">
        <v>9620</v>
      </c>
      <c r="B3236" s="8" t="s">
        <v>18018</v>
      </c>
      <c r="C3236" s="2" t="s">
        <v>9620</v>
      </c>
      <c r="D3236" s="2" t="s">
        <v>9621</v>
      </c>
      <c r="E3236" s="4" t="s">
        <v>9621</v>
      </c>
      <c r="G3236" s="15" t="s">
        <v>29863</v>
      </c>
      <c r="H3236" s="15" t="s">
        <v>29864</v>
      </c>
      <c r="I3236" s="15" t="s">
        <v>29865</v>
      </c>
      <c r="J3236" s="15" t="s">
        <v>29068</v>
      </c>
      <c r="K3236" s="15">
        <v>3343</v>
      </c>
      <c r="L3236" s="15" t="s">
        <v>19099</v>
      </c>
    </row>
    <row r="3237" spans="1:12" x14ac:dyDescent="0.25">
      <c r="A3237" s="2" t="s">
        <v>9623</v>
      </c>
      <c r="B3237" s="8" t="s">
        <v>18019</v>
      </c>
      <c r="C3237" s="2" t="s">
        <v>9623</v>
      </c>
      <c r="D3237" s="2" t="s">
        <v>9624</v>
      </c>
      <c r="E3237" s="4" t="s">
        <v>29866</v>
      </c>
      <c r="G3237" s="15" t="s">
        <v>29867</v>
      </c>
      <c r="H3237" s="15" t="s">
        <v>29868</v>
      </c>
      <c r="I3237" s="15" t="s">
        <v>29869</v>
      </c>
      <c r="J3237" s="15" t="s">
        <v>29568</v>
      </c>
      <c r="K3237" s="15">
        <v>3347</v>
      </c>
      <c r="L3237" s="15" t="s">
        <v>19099</v>
      </c>
    </row>
    <row r="3238" spans="1:12" x14ac:dyDescent="0.25">
      <c r="A3238" s="2" t="s">
        <v>9626</v>
      </c>
      <c r="B3238" s="8" t="s">
        <v>18020</v>
      </c>
      <c r="C3238" s="2" t="s">
        <v>9626</v>
      </c>
      <c r="D3238" s="2" t="s">
        <v>9627</v>
      </c>
      <c r="E3238" s="4" t="s">
        <v>9627</v>
      </c>
      <c r="G3238" s="15" t="s">
        <v>29870</v>
      </c>
      <c r="H3238" s="15" t="s">
        <v>29871</v>
      </c>
      <c r="I3238" s="15" t="s">
        <v>29872</v>
      </c>
      <c r="J3238" s="15" t="s">
        <v>29702</v>
      </c>
      <c r="K3238" s="15">
        <v>91707</v>
      </c>
      <c r="L3238" s="15" t="s">
        <v>19099</v>
      </c>
    </row>
    <row r="3239" spans="1:12" x14ac:dyDescent="0.25">
      <c r="A3239" s="2" t="s">
        <v>9629</v>
      </c>
      <c r="B3239" s="8" t="s">
        <v>18022</v>
      </c>
      <c r="C3239" s="2" t="s">
        <v>9629</v>
      </c>
      <c r="D3239" s="2" t="s">
        <v>9630</v>
      </c>
      <c r="E3239" s="4" t="s">
        <v>9630</v>
      </c>
      <c r="G3239" s="15" t="s">
        <v>29873</v>
      </c>
      <c r="H3239" s="15" t="s">
        <v>29874</v>
      </c>
      <c r="I3239" s="15" t="s">
        <v>29875</v>
      </c>
      <c r="J3239" s="15" t="s">
        <v>29876</v>
      </c>
      <c r="K3239" s="15">
        <v>86356</v>
      </c>
      <c r="L3239" s="15" t="s">
        <v>19099</v>
      </c>
    </row>
    <row r="3240" spans="1:12" x14ac:dyDescent="0.25">
      <c r="A3240" s="2" t="s">
        <v>9632</v>
      </c>
      <c r="B3240" s="8" t="s">
        <v>18023</v>
      </c>
      <c r="C3240" s="2" t="s">
        <v>9632</v>
      </c>
      <c r="D3240" s="2" t="s">
        <v>9633</v>
      </c>
      <c r="E3240" s="4" t="s">
        <v>9633</v>
      </c>
      <c r="G3240" s="15" t="s">
        <v>29877</v>
      </c>
      <c r="H3240" s="15" t="s">
        <v>29878</v>
      </c>
      <c r="I3240" s="15" t="s">
        <v>29879</v>
      </c>
      <c r="J3240" s="15" t="s">
        <v>29880</v>
      </c>
      <c r="K3240" s="15">
        <v>26710</v>
      </c>
      <c r="L3240" s="15" t="s">
        <v>19099</v>
      </c>
    </row>
    <row r="3241" spans="1:12" x14ac:dyDescent="0.25">
      <c r="A3241" s="2" t="s">
        <v>9635</v>
      </c>
      <c r="B3241" s="8" t="s">
        <v>18024</v>
      </c>
      <c r="C3241" s="2" t="s">
        <v>9635</v>
      </c>
      <c r="D3241" s="2" t="s">
        <v>9636</v>
      </c>
      <c r="E3241" s="4" t="s">
        <v>29881</v>
      </c>
      <c r="G3241" s="15" t="s">
        <v>29882</v>
      </c>
      <c r="H3241" s="15" t="s">
        <v>29883</v>
      </c>
      <c r="I3241" s="15" t="s">
        <v>29884</v>
      </c>
      <c r="J3241" s="15" t="s">
        <v>29885</v>
      </c>
      <c r="K3241" s="15">
        <v>7611</v>
      </c>
      <c r="L3241" s="15" t="s">
        <v>19099</v>
      </c>
    </row>
    <row r="3242" spans="1:12" x14ac:dyDescent="0.25">
      <c r="A3242" s="2" t="s">
        <v>9638</v>
      </c>
      <c r="B3242" s="8" t="s">
        <v>18025</v>
      </c>
      <c r="C3242" s="2" t="s">
        <v>9638</v>
      </c>
      <c r="D3242" s="2" t="s">
        <v>9639</v>
      </c>
      <c r="E3242" s="4" t="s">
        <v>9639</v>
      </c>
      <c r="G3242" s="15" t="s">
        <v>29886</v>
      </c>
      <c r="H3242" s="15" t="s">
        <v>29887</v>
      </c>
      <c r="I3242" s="15" t="s">
        <v>29888</v>
      </c>
      <c r="J3242" s="15" t="s">
        <v>29889</v>
      </c>
      <c r="K3242" s="15">
        <v>3348</v>
      </c>
      <c r="L3242" s="15" t="s">
        <v>19099</v>
      </c>
    </row>
    <row r="3243" spans="1:12" x14ac:dyDescent="0.25">
      <c r="A3243" s="2" t="s">
        <v>9641</v>
      </c>
      <c r="B3243" s="8" t="s">
        <v>18026</v>
      </c>
      <c r="C3243" s="2" t="s">
        <v>9641</v>
      </c>
      <c r="D3243" s="2" t="s">
        <v>9642</v>
      </c>
      <c r="E3243" s="4" t="s">
        <v>9642</v>
      </c>
      <c r="G3243" s="15" t="s">
        <v>29890</v>
      </c>
      <c r="H3243" s="15" t="s">
        <v>29891</v>
      </c>
      <c r="I3243" s="15" t="s">
        <v>29892</v>
      </c>
      <c r="J3243" s="15" t="s">
        <v>29893</v>
      </c>
      <c r="K3243" s="15">
        <v>22673275</v>
      </c>
      <c r="L3243" s="15" t="s">
        <v>19099</v>
      </c>
    </row>
    <row r="3244" spans="1:12" x14ac:dyDescent="0.25">
      <c r="A3244" s="2" t="s">
        <v>9644</v>
      </c>
      <c r="B3244" s="8" t="s">
        <v>18027</v>
      </c>
      <c r="C3244" s="2" t="s">
        <v>9644</v>
      </c>
      <c r="D3244" s="2" t="s">
        <v>9645</v>
      </c>
      <c r="E3244" s="4" t="s">
        <v>9645</v>
      </c>
      <c r="G3244" s="15" t="s">
        <v>29894</v>
      </c>
      <c r="H3244" s="15" t="s">
        <v>29895</v>
      </c>
      <c r="I3244" s="15" t="s">
        <v>29896</v>
      </c>
      <c r="J3244" s="15" t="s">
        <v>29897</v>
      </c>
      <c r="K3244" s="15">
        <v>3352</v>
      </c>
      <c r="L3244" s="15" t="s">
        <v>19099</v>
      </c>
    </row>
    <row r="3245" spans="1:12" x14ac:dyDescent="0.25">
      <c r="A3245" s="2" t="s">
        <v>9647</v>
      </c>
      <c r="B3245" s="8" t="s">
        <v>18028</v>
      </c>
      <c r="C3245" s="2" t="s">
        <v>9647</v>
      </c>
      <c r="D3245" s="2" t="s">
        <v>9648</v>
      </c>
      <c r="E3245" s="4" t="s">
        <v>29898</v>
      </c>
      <c r="G3245" s="15" t="s">
        <v>29899</v>
      </c>
      <c r="H3245" s="15" t="s">
        <v>29900</v>
      </c>
      <c r="I3245" s="15" t="s">
        <v>29901</v>
      </c>
      <c r="J3245" s="15" t="s">
        <v>29902</v>
      </c>
      <c r="K3245" s="15">
        <v>3078139</v>
      </c>
      <c r="L3245" s="15" t="s">
        <v>19099</v>
      </c>
    </row>
    <row r="3246" spans="1:12" x14ac:dyDescent="0.25">
      <c r="A3246" s="2" t="s">
        <v>9650</v>
      </c>
      <c r="B3246" s="8" t="s">
        <v>18029</v>
      </c>
      <c r="C3246" s="2" t="s">
        <v>9650</v>
      </c>
      <c r="D3246" s="2" t="s">
        <v>9651</v>
      </c>
      <c r="E3246" s="4" t="s">
        <v>9651</v>
      </c>
      <c r="G3246" s="15" t="s">
        <v>29903</v>
      </c>
      <c r="H3246" s="15" t="s">
        <v>29904</v>
      </c>
      <c r="I3246" s="15" t="s">
        <v>29905</v>
      </c>
      <c r="J3246" s="15" t="s">
        <v>29906</v>
      </c>
      <c r="K3246" s="15">
        <v>94583</v>
      </c>
      <c r="L3246" s="15" t="s">
        <v>19099</v>
      </c>
    </row>
    <row r="3247" spans="1:12" x14ac:dyDescent="0.25">
      <c r="A3247" s="2" t="s">
        <v>9653</v>
      </c>
      <c r="B3247" s="8" t="s">
        <v>18030</v>
      </c>
      <c r="C3247" s="2" t="s">
        <v>9653</v>
      </c>
      <c r="D3247" s="2" t="s">
        <v>9654</v>
      </c>
      <c r="E3247" s="4" t="s">
        <v>9654</v>
      </c>
      <c r="G3247" s="15" t="s">
        <v>29907</v>
      </c>
      <c r="H3247" s="15" t="s">
        <v>29908</v>
      </c>
      <c r="I3247" s="15" t="s">
        <v>29909</v>
      </c>
      <c r="J3247" s="15" t="s">
        <v>29910</v>
      </c>
      <c r="K3247" s="15">
        <v>93539</v>
      </c>
      <c r="L3247" s="15" t="s">
        <v>19099</v>
      </c>
    </row>
    <row r="3248" spans="1:12" x14ac:dyDescent="0.25">
      <c r="A3248" s="2" t="s">
        <v>9656</v>
      </c>
      <c r="B3248" s="8" t="s">
        <v>18031</v>
      </c>
      <c r="C3248" s="2" t="s">
        <v>9656</v>
      </c>
      <c r="D3248" s="2" t="s">
        <v>9657</v>
      </c>
      <c r="E3248" s="4" t="s">
        <v>9657</v>
      </c>
      <c r="G3248" s="15" t="s">
        <v>29911</v>
      </c>
      <c r="H3248" s="15" t="s">
        <v>29912</v>
      </c>
      <c r="I3248" s="15" t="s">
        <v>29913</v>
      </c>
      <c r="J3248" s="15" t="s">
        <v>29914</v>
      </c>
      <c r="K3248" s="15">
        <v>3356</v>
      </c>
      <c r="L3248" s="15" t="s">
        <v>19099</v>
      </c>
    </row>
    <row r="3249" spans="1:12" x14ac:dyDescent="0.25">
      <c r="A3249" s="2" t="s">
        <v>9659</v>
      </c>
      <c r="B3249" s="8" t="s">
        <v>18032</v>
      </c>
      <c r="C3249" s="2" t="s">
        <v>9659</v>
      </c>
      <c r="D3249" s="2" t="s">
        <v>9660</v>
      </c>
      <c r="E3249" s="4" t="s">
        <v>9660</v>
      </c>
      <c r="G3249" s="15" t="s">
        <v>29915</v>
      </c>
      <c r="H3249" s="15" t="s">
        <v>29916</v>
      </c>
      <c r="I3249" s="15" t="s">
        <v>29917</v>
      </c>
      <c r="J3249" s="15" t="s">
        <v>29918</v>
      </c>
      <c r="K3249" s="15">
        <v>54698175</v>
      </c>
      <c r="L3249" s="15" t="s">
        <v>19099</v>
      </c>
    </row>
    <row r="3250" spans="1:12" x14ac:dyDescent="0.25">
      <c r="A3250" s="2" t="s">
        <v>9662</v>
      </c>
      <c r="B3250" s="8" t="s">
        <v>18033</v>
      </c>
      <c r="C3250" s="2" t="s">
        <v>9662</v>
      </c>
      <c r="D3250" s="2" t="s">
        <v>9663</v>
      </c>
      <c r="E3250" s="4" t="s">
        <v>9663</v>
      </c>
      <c r="G3250" s="15" t="s">
        <v>29919</v>
      </c>
      <c r="H3250" s="15" t="s">
        <v>29920</v>
      </c>
      <c r="I3250" s="15" t="s">
        <v>29921</v>
      </c>
      <c r="J3250" s="15" t="s">
        <v>29922</v>
      </c>
      <c r="K3250" s="15">
        <v>9834513</v>
      </c>
      <c r="L3250" s="15" t="s">
        <v>19099</v>
      </c>
    </row>
    <row r="3251" spans="1:12" x14ac:dyDescent="0.25">
      <c r="A3251" s="2" t="s">
        <v>9665</v>
      </c>
      <c r="B3251" s="8" t="s">
        <v>18034</v>
      </c>
      <c r="C3251" s="2" t="s">
        <v>9665</v>
      </c>
      <c r="D3251" s="2" t="s">
        <v>9666</v>
      </c>
      <c r="E3251" s="4" t="s">
        <v>9666</v>
      </c>
      <c r="G3251" s="15" t="s">
        <v>29923</v>
      </c>
      <c r="H3251" s="15" t="s">
        <v>29924</v>
      </c>
      <c r="I3251" s="15" t="s">
        <v>29925</v>
      </c>
      <c r="J3251" s="15" t="s">
        <v>29926</v>
      </c>
      <c r="K3251" s="15">
        <v>114811</v>
      </c>
      <c r="L3251" s="15" t="s">
        <v>19099</v>
      </c>
    </row>
    <row r="3252" spans="1:12" x14ac:dyDescent="0.25">
      <c r="A3252" s="2" t="s">
        <v>9668</v>
      </c>
      <c r="B3252" s="8" t="s">
        <v>18035</v>
      </c>
      <c r="C3252" s="2" t="s">
        <v>9668</v>
      </c>
      <c r="D3252" s="2" t="s">
        <v>9669</v>
      </c>
      <c r="E3252" s="4" t="s">
        <v>9669</v>
      </c>
      <c r="G3252" s="15" t="s">
        <v>29927</v>
      </c>
      <c r="H3252" s="15" t="s">
        <v>29928</v>
      </c>
      <c r="I3252" s="15" t="s">
        <v>29929</v>
      </c>
      <c r="J3252" s="15" t="s">
        <v>29930</v>
      </c>
      <c r="K3252" s="15">
        <v>91755</v>
      </c>
      <c r="L3252" s="15" t="s">
        <v>19099</v>
      </c>
    </row>
    <row r="3253" spans="1:12" x14ac:dyDescent="0.25">
      <c r="A3253" s="2" t="s">
        <v>9671</v>
      </c>
      <c r="B3253" s="8" t="s">
        <v>18036</v>
      </c>
      <c r="C3253" s="2" t="s">
        <v>9671</v>
      </c>
      <c r="D3253" s="2" t="s">
        <v>9672</v>
      </c>
      <c r="E3253" s="4" t="s">
        <v>9672</v>
      </c>
      <c r="G3253" s="15" t="s">
        <v>29931</v>
      </c>
      <c r="H3253" s="15" t="s">
        <v>29932</v>
      </c>
      <c r="I3253" s="15" t="s">
        <v>29933</v>
      </c>
      <c r="J3253" s="15" t="s">
        <v>29934</v>
      </c>
      <c r="K3253" s="15">
        <v>36392</v>
      </c>
      <c r="L3253" s="15" t="s">
        <v>19099</v>
      </c>
    </row>
    <row r="3254" spans="1:12" x14ac:dyDescent="0.25">
      <c r="A3254" s="2" t="s">
        <v>9674</v>
      </c>
      <c r="B3254" s="8" t="s">
        <v>18037</v>
      </c>
      <c r="C3254" s="2" t="s">
        <v>9674</v>
      </c>
      <c r="D3254" s="2" t="s">
        <v>9675</v>
      </c>
      <c r="E3254" s="4" t="s">
        <v>9675</v>
      </c>
      <c r="G3254" s="15" t="s">
        <v>29935</v>
      </c>
      <c r="H3254" s="15" t="s">
        <v>29936</v>
      </c>
      <c r="I3254" s="15" t="s">
        <v>29937</v>
      </c>
      <c r="J3254" s="15" t="s">
        <v>29938</v>
      </c>
      <c r="K3254" s="15">
        <v>54745</v>
      </c>
      <c r="L3254" s="15" t="s">
        <v>19099</v>
      </c>
    </row>
    <row r="3255" spans="1:12" x14ac:dyDescent="0.25">
      <c r="A3255" s="2" t="s">
        <v>9677</v>
      </c>
      <c r="B3255" s="8" t="s">
        <v>18038</v>
      </c>
      <c r="C3255" s="2" t="s">
        <v>9677</v>
      </c>
      <c r="D3255" s="2" t="s">
        <v>9678</v>
      </c>
      <c r="E3255" s="4" t="s">
        <v>9678</v>
      </c>
      <c r="G3255" s="15" t="s">
        <v>29939</v>
      </c>
      <c r="H3255" s="15" t="s">
        <v>29940</v>
      </c>
      <c r="I3255" s="15" t="s">
        <v>29941</v>
      </c>
      <c r="J3255" s="15" t="s">
        <v>29942</v>
      </c>
      <c r="K3255" s="15">
        <v>91727</v>
      </c>
      <c r="L3255" s="15" t="s">
        <v>19099</v>
      </c>
    </row>
    <row r="3256" spans="1:12" x14ac:dyDescent="0.25">
      <c r="A3256" s="2" t="s">
        <v>9680</v>
      </c>
      <c r="B3256" s="8" t="s">
        <v>18039</v>
      </c>
      <c r="C3256" s="2" t="s">
        <v>9680</v>
      </c>
      <c r="D3256" s="2" t="s">
        <v>9681</v>
      </c>
      <c r="E3256" s="4" t="s">
        <v>9681</v>
      </c>
      <c r="G3256" s="15" t="s">
        <v>29943</v>
      </c>
      <c r="H3256" s="15" t="s">
        <v>29944</v>
      </c>
      <c r="I3256" s="15" t="s">
        <v>29945</v>
      </c>
      <c r="J3256" s="15" t="s">
        <v>29946</v>
      </c>
      <c r="K3256" s="15">
        <v>9954185</v>
      </c>
      <c r="L3256" s="15" t="s">
        <v>19099</v>
      </c>
    </row>
    <row r="3257" spans="1:12" x14ac:dyDescent="0.25">
      <c r="A3257" s="2" t="s">
        <v>9683</v>
      </c>
      <c r="B3257" s="8" t="s">
        <v>18040</v>
      </c>
      <c r="C3257" s="2" t="s">
        <v>9683</v>
      </c>
      <c r="D3257" s="2" t="s">
        <v>9684</v>
      </c>
      <c r="E3257" s="4" t="s">
        <v>29947</v>
      </c>
      <c r="G3257" s="15" t="s">
        <v>29948</v>
      </c>
      <c r="H3257" s="15" t="s">
        <v>29949</v>
      </c>
      <c r="I3257" s="15" t="s">
        <v>29950</v>
      </c>
      <c r="J3257" s="15" t="s">
        <v>29951</v>
      </c>
      <c r="K3257" s="15">
        <v>50516</v>
      </c>
      <c r="L3257" s="15" t="s">
        <v>19099</v>
      </c>
    </row>
    <row r="3258" spans="1:12" x14ac:dyDescent="0.25">
      <c r="A3258" s="2" t="s">
        <v>9686</v>
      </c>
      <c r="B3258" s="8" t="s">
        <v>18041</v>
      </c>
      <c r="C3258" s="2" t="s">
        <v>9686</v>
      </c>
      <c r="D3258" s="2" t="s">
        <v>9687</v>
      </c>
      <c r="E3258" s="4" t="s">
        <v>9687</v>
      </c>
      <c r="G3258" s="15" t="s">
        <v>29952</v>
      </c>
      <c r="H3258" s="15" t="s">
        <v>29953</v>
      </c>
      <c r="I3258" s="15" t="s">
        <v>29954</v>
      </c>
      <c r="J3258" s="15" t="s">
        <v>29955</v>
      </c>
      <c r="K3258" s="15">
        <v>50897</v>
      </c>
      <c r="L3258" s="15" t="s">
        <v>19099</v>
      </c>
    </row>
    <row r="3259" spans="1:12" x14ac:dyDescent="0.25">
      <c r="A3259" s="2" t="s">
        <v>9689</v>
      </c>
      <c r="B3259" s="8" t="s">
        <v>18042</v>
      </c>
      <c r="C3259" s="2" t="s">
        <v>9689</v>
      </c>
      <c r="D3259" s="2" t="s">
        <v>9690</v>
      </c>
      <c r="E3259" s="4" t="s">
        <v>9690</v>
      </c>
      <c r="G3259" s="15" t="s">
        <v>29956</v>
      </c>
      <c r="H3259" s="15" t="s">
        <v>29957</v>
      </c>
      <c r="I3259" s="15" t="s">
        <v>29958</v>
      </c>
      <c r="J3259" s="15" t="s">
        <v>29955</v>
      </c>
      <c r="K3259" s="15">
        <v>3033674</v>
      </c>
      <c r="L3259" s="15" t="s">
        <v>19099</v>
      </c>
    </row>
    <row r="3260" spans="1:12" x14ac:dyDescent="0.25">
      <c r="A3260" s="2" t="s">
        <v>9692</v>
      </c>
      <c r="B3260" s="8" t="s">
        <v>18043</v>
      </c>
      <c r="C3260" s="2" t="s">
        <v>9692</v>
      </c>
      <c r="D3260" s="2" t="s">
        <v>9693</v>
      </c>
      <c r="E3260" s="4" t="s">
        <v>9693</v>
      </c>
      <c r="G3260" s="15" t="s">
        <v>29959</v>
      </c>
      <c r="H3260" s="15" t="s">
        <v>29960</v>
      </c>
      <c r="I3260" s="15" t="s">
        <v>29961</v>
      </c>
      <c r="J3260" s="15" t="s">
        <v>29962</v>
      </c>
      <c r="K3260" s="15">
        <v>91701</v>
      </c>
      <c r="L3260" s="15" t="s">
        <v>19099</v>
      </c>
    </row>
    <row r="3261" spans="1:12" x14ac:dyDescent="0.25">
      <c r="A3261" s="2" t="s">
        <v>9695</v>
      </c>
      <c r="B3261" s="8" t="s">
        <v>18044</v>
      </c>
      <c r="C3261" s="2" t="s">
        <v>9695</v>
      </c>
      <c r="D3261" s="2" t="s">
        <v>9696</v>
      </c>
      <c r="E3261" s="4" t="s">
        <v>9696</v>
      </c>
      <c r="G3261" s="15" t="s">
        <v>29963</v>
      </c>
      <c r="H3261" s="15" t="s">
        <v>29964</v>
      </c>
      <c r="I3261" s="15" t="s">
        <v>29965</v>
      </c>
      <c r="J3261" s="15" t="s">
        <v>29962</v>
      </c>
      <c r="K3261" s="15">
        <v>91733</v>
      </c>
      <c r="L3261" s="15" t="s">
        <v>19099</v>
      </c>
    </row>
    <row r="3262" spans="1:12" x14ac:dyDescent="0.25">
      <c r="A3262" s="2" t="s">
        <v>9698</v>
      </c>
      <c r="B3262" s="8" t="s">
        <v>18045</v>
      </c>
      <c r="C3262" s="2" t="s">
        <v>9698</v>
      </c>
      <c r="D3262" s="2" t="s">
        <v>9699</v>
      </c>
      <c r="E3262" s="4" t="s">
        <v>29966</v>
      </c>
      <c r="G3262" s="15" t="s">
        <v>29967</v>
      </c>
      <c r="H3262" s="15" t="s">
        <v>29968</v>
      </c>
      <c r="I3262" s="15" t="s">
        <v>29969</v>
      </c>
      <c r="J3262" s="15" t="s">
        <v>29970</v>
      </c>
      <c r="K3262" s="15">
        <v>3083545</v>
      </c>
      <c r="L3262" s="15" t="s">
        <v>19099</v>
      </c>
    </row>
    <row r="3263" spans="1:12" x14ac:dyDescent="0.25">
      <c r="A3263" s="2" t="s">
        <v>9701</v>
      </c>
      <c r="B3263" s="8" t="s">
        <v>18046</v>
      </c>
      <c r="C3263" s="2" t="s">
        <v>9701</v>
      </c>
      <c r="D3263" s="2" t="s">
        <v>9702</v>
      </c>
      <c r="E3263" s="4" t="s">
        <v>9702</v>
      </c>
      <c r="G3263" s="15" t="s">
        <v>29971</v>
      </c>
      <c r="H3263" s="15" t="s">
        <v>29972</v>
      </c>
      <c r="I3263" s="15" t="s">
        <v>29973</v>
      </c>
      <c r="J3263" s="15" t="s">
        <v>29974</v>
      </c>
      <c r="K3263" s="15">
        <v>91731</v>
      </c>
      <c r="L3263" s="15" t="s">
        <v>19099</v>
      </c>
    </row>
    <row r="3264" spans="1:12" x14ac:dyDescent="0.25">
      <c r="A3264" s="2" t="s">
        <v>9704</v>
      </c>
      <c r="B3264" s="8" t="s">
        <v>18047</v>
      </c>
      <c r="C3264" s="2" t="s">
        <v>9704</v>
      </c>
      <c r="D3264" s="2" t="s">
        <v>9705</v>
      </c>
      <c r="E3264" s="4" t="s">
        <v>9705</v>
      </c>
      <c r="G3264" s="15" t="s">
        <v>29975</v>
      </c>
      <c r="H3264" s="15" t="s">
        <v>29976</v>
      </c>
      <c r="I3264" s="15" t="s">
        <v>29977</v>
      </c>
      <c r="J3264" s="15" t="s">
        <v>29978</v>
      </c>
      <c r="K3264" s="15">
        <v>11193251</v>
      </c>
      <c r="L3264" s="15" t="s">
        <v>19099</v>
      </c>
    </row>
    <row r="3265" spans="1:12" x14ac:dyDescent="0.25">
      <c r="A3265" s="2" t="s">
        <v>9707</v>
      </c>
      <c r="B3265" s="8" t="s">
        <v>18048</v>
      </c>
      <c r="C3265" s="2" t="s">
        <v>9707</v>
      </c>
      <c r="D3265" s="2" t="s">
        <v>9708</v>
      </c>
      <c r="E3265" s="4" t="s">
        <v>9708</v>
      </c>
      <c r="G3265" s="15" t="s">
        <v>29979</v>
      </c>
      <c r="H3265" s="15" t="s">
        <v>29980</v>
      </c>
      <c r="I3265" s="15" t="s">
        <v>29981</v>
      </c>
      <c r="J3265" s="15" t="s">
        <v>29982</v>
      </c>
      <c r="K3265" s="15">
        <v>35802</v>
      </c>
      <c r="L3265" s="15" t="s">
        <v>19099</v>
      </c>
    </row>
    <row r="3266" spans="1:12" x14ac:dyDescent="0.25">
      <c r="A3266" s="2" t="s">
        <v>9710</v>
      </c>
      <c r="B3266" s="8" t="s">
        <v>18049</v>
      </c>
      <c r="C3266" s="2" t="s">
        <v>9710</v>
      </c>
      <c r="D3266" s="2" t="s">
        <v>9711</v>
      </c>
      <c r="E3266" s="4" t="s">
        <v>9711</v>
      </c>
      <c r="G3266" s="15" t="s">
        <v>29983</v>
      </c>
      <c r="H3266" s="15" t="s">
        <v>29984</v>
      </c>
      <c r="I3266" s="15" t="s">
        <v>29985</v>
      </c>
      <c r="J3266" s="15" t="s">
        <v>29986</v>
      </c>
      <c r="K3266" s="15">
        <v>91625</v>
      </c>
      <c r="L3266" s="15" t="s">
        <v>19099</v>
      </c>
    </row>
    <row r="3267" spans="1:12" x14ac:dyDescent="0.25">
      <c r="A3267" s="2" t="s">
        <v>9713</v>
      </c>
      <c r="B3267" s="8" t="s">
        <v>18050</v>
      </c>
      <c r="C3267" s="2" t="s">
        <v>9713</v>
      </c>
      <c r="D3267" s="2" t="s">
        <v>9714</v>
      </c>
      <c r="E3267" s="4" t="s">
        <v>29987</v>
      </c>
      <c r="G3267" s="15" t="s">
        <v>29988</v>
      </c>
      <c r="H3267" s="15" t="s">
        <v>29989</v>
      </c>
      <c r="I3267" s="15" t="s">
        <v>29990</v>
      </c>
      <c r="J3267" s="15" t="s">
        <v>29991</v>
      </c>
      <c r="K3267" s="15">
        <v>21319</v>
      </c>
      <c r="L3267" s="15" t="s">
        <v>19099</v>
      </c>
    </row>
    <row r="3268" spans="1:12" x14ac:dyDescent="0.25">
      <c r="A3268" s="2" t="s">
        <v>9716</v>
      </c>
      <c r="B3268" s="8" t="s">
        <v>18051</v>
      </c>
      <c r="C3268" s="2" t="s">
        <v>9716</v>
      </c>
      <c r="D3268" s="2" t="s">
        <v>9717</v>
      </c>
      <c r="E3268" s="4" t="s">
        <v>9717</v>
      </c>
      <c r="G3268" s="15" t="s">
        <v>29992</v>
      </c>
      <c r="H3268" s="15" t="s">
        <v>29993</v>
      </c>
      <c r="I3268" s="15" t="s">
        <v>29994</v>
      </c>
      <c r="J3268" s="15" t="s">
        <v>29995</v>
      </c>
      <c r="K3268" s="15">
        <v>86309</v>
      </c>
      <c r="L3268" s="15" t="s">
        <v>19099</v>
      </c>
    </row>
    <row r="3269" spans="1:12" x14ac:dyDescent="0.25">
      <c r="A3269" s="2" t="s">
        <v>9719</v>
      </c>
      <c r="B3269" s="8" t="s">
        <v>18052</v>
      </c>
      <c r="C3269" s="2" t="s">
        <v>9719</v>
      </c>
      <c r="D3269" s="2" t="s">
        <v>9720</v>
      </c>
      <c r="E3269" s="4" t="s">
        <v>9720</v>
      </c>
      <c r="G3269" s="15" t="s">
        <v>29996</v>
      </c>
      <c r="H3269" s="15" t="s">
        <v>29997</v>
      </c>
      <c r="I3269" s="15" t="s">
        <v>29998</v>
      </c>
      <c r="J3269" s="15" t="s">
        <v>29999</v>
      </c>
      <c r="K3269" s="15">
        <v>67788</v>
      </c>
      <c r="L3269" s="15" t="s">
        <v>19099</v>
      </c>
    </row>
    <row r="3270" spans="1:12" x14ac:dyDescent="0.25">
      <c r="A3270" s="2" t="s">
        <v>9722</v>
      </c>
      <c r="B3270" s="8" t="s">
        <v>18053</v>
      </c>
      <c r="C3270" s="2" t="s">
        <v>9722</v>
      </c>
      <c r="D3270" s="2" t="s">
        <v>9723</v>
      </c>
      <c r="E3270" s="4" t="s">
        <v>30000</v>
      </c>
      <c r="G3270" s="15" t="s">
        <v>30001</v>
      </c>
      <c r="H3270" s="15" t="s">
        <v>30002</v>
      </c>
      <c r="I3270" s="15" t="s">
        <v>30003</v>
      </c>
      <c r="J3270" s="15" t="s">
        <v>30004</v>
      </c>
      <c r="K3270" s="15">
        <v>3365</v>
      </c>
      <c r="L3270" s="15" t="s">
        <v>19099</v>
      </c>
    </row>
    <row r="3271" spans="1:12" x14ac:dyDescent="0.25">
      <c r="A3271" s="2" t="s">
        <v>9725</v>
      </c>
      <c r="B3271" s="8" t="s">
        <v>18054</v>
      </c>
      <c r="C3271" s="2" t="s">
        <v>9725</v>
      </c>
      <c r="D3271" s="2" t="s">
        <v>9726</v>
      </c>
      <c r="E3271" s="4" t="s">
        <v>30005</v>
      </c>
      <c r="G3271" s="15" t="s">
        <v>30006</v>
      </c>
      <c r="H3271" s="15" t="s">
        <v>30007</v>
      </c>
      <c r="I3271" s="15" t="s">
        <v>30008</v>
      </c>
      <c r="J3271" s="15" t="s">
        <v>30009</v>
      </c>
      <c r="K3271" s="15">
        <v>50980</v>
      </c>
      <c r="L3271" s="15" t="s">
        <v>19099</v>
      </c>
    </row>
    <row r="3272" spans="1:12" x14ac:dyDescent="0.25">
      <c r="A3272" s="2" t="s">
        <v>9728</v>
      </c>
      <c r="B3272" s="8" t="s">
        <v>18055</v>
      </c>
      <c r="C3272" s="2" t="s">
        <v>9728</v>
      </c>
      <c r="D3272" s="2" t="s">
        <v>9729</v>
      </c>
      <c r="E3272" s="4" t="s">
        <v>9729</v>
      </c>
      <c r="G3272" s="15" t="s">
        <v>30010</v>
      </c>
      <c r="H3272" s="15" t="s">
        <v>30011</v>
      </c>
      <c r="I3272" s="15" t="s">
        <v>30012</v>
      </c>
      <c r="J3272" s="15" t="s">
        <v>30013</v>
      </c>
      <c r="K3272" s="15">
        <v>86398</v>
      </c>
      <c r="L3272" s="15" t="s">
        <v>19099</v>
      </c>
    </row>
    <row r="3273" spans="1:12" x14ac:dyDescent="0.25">
      <c r="A3273" s="2" t="s">
        <v>9731</v>
      </c>
      <c r="B3273" s="8" t="s">
        <v>18056</v>
      </c>
      <c r="C3273" s="2" t="s">
        <v>9731</v>
      </c>
      <c r="D3273" s="2" t="s">
        <v>9732</v>
      </c>
      <c r="E3273" s="4" t="s">
        <v>9732</v>
      </c>
      <c r="G3273" s="15" t="s">
        <v>30014</v>
      </c>
      <c r="H3273" s="15" t="s">
        <v>30015</v>
      </c>
      <c r="I3273" s="15" t="s">
        <v>30016</v>
      </c>
      <c r="J3273" s="15" t="s">
        <v>30017</v>
      </c>
      <c r="K3273" s="15">
        <v>86429</v>
      </c>
      <c r="L3273" s="15" t="s">
        <v>19099</v>
      </c>
    </row>
    <row r="3274" spans="1:12" x14ac:dyDescent="0.25">
      <c r="A3274" s="2" t="s">
        <v>9734</v>
      </c>
      <c r="B3274" s="8" t="s">
        <v>18057</v>
      </c>
      <c r="C3274" s="2" t="s">
        <v>9734</v>
      </c>
      <c r="D3274" s="2" t="s">
        <v>9735</v>
      </c>
      <c r="E3274" s="4" t="s">
        <v>9735</v>
      </c>
      <c r="G3274" s="15" t="s">
        <v>30018</v>
      </c>
      <c r="H3274" s="15" t="s">
        <v>30019</v>
      </c>
      <c r="I3274" s="15" t="s">
        <v>30020</v>
      </c>
      <c r="J3274" s="15" t="s">
        <v>30021</v>
      </c>
      <c r="K3274" s="15">
        <v>91766</v>
      </c>
      <c r="L3274" s="15" t="s">
        <v>19099</v>
      </c>
    </row>
    <row r="3275" spans="1:12" x14ac:dyDescent="0.25">
      <c r="A3275" s="2" t="s">
        <v>9737</v>
      </c>
      <c r="B3275" s="8" t="s">
        <v>18058</v>
      </c>
      <c r="C3275" s="2" t="s">
        <v>9737</v>
      </c>
      <c r="D3275" s="2" t="s">
        <v>9738</v>
      </c>
      <c r="E3275" s="4" t="s">
        <v>30022</v>
      </c>
      <c r="G3275" s="15" t="s">
        <v>30023</v>
      </c>
      <c r="H3275" s="15" t="s">
        <v>30024</v>
      </c>
      <c r="I3275" s="15" t="s">
        <v>30025</v>
      </c>
      <c r="J3275" s="15" t="s">
        <v>30026</v>
      </c>
      <c r="K3275" s="15">
        <v>3372</v>
      </c>
      <c r="L3275" s="15" t="s">
        <v>19099</v>
      </c>
    </row>
    <row r="3276" spans="1:12" x14ac:dyDescent="0.25">
      <c r="A3276" s="2" t="s">
        <v>9740</v>
      </c>
      <c r="B3276" s="8" t="s">
        <v>18059</v>
      </c>
      <c r="C3276" s="2" t="s">
        <v>9740</v>
      </c>
      <c r="D3276" s="2" t="s">
        <v>9741</v>
      </c>
      <c r="E3276" s="4" t="s">
        <v>30027</v>
      </c>
      <c r="G3276" s="15" t="s">
        <v>30028</v>
      </c>
      <c r="H3276" s="15" t="s">
        <v>30029</v>
      </c>
      <c r="I3276" s="15" t="s">
        <v>30030</v>
      </c>
      <c r="J3276" s="15" t="s">
        <v>30031</v>
      </c>
      <c r="K3276" s="15">
        <v>92425</v>
      </c>
      <c r="L3276" s="15" t="s">
        <v>19099</v>
      </c>
    </row>
    <row r="3277" spans="1:12" x14ac:dyDescent="0.25">
      <c r="A3277" s="2" t="s">
        <v>9743</v>
      </c>
      <c r="B3277" s="8" t="s">
        <v>18060</v>
      </c>
      <c r="C3277" s="2" t="s">
        <v>9743</v>
      </c>
      <c r="D3277" s="2" t="s">
        <v>9744</v>
      </c>
      <c r="E3277" s="4" t="s">
        <v>9744</v>
      </c>
      <c r="G3277" s="15" t="s">
        <v>30032</v>
      </c>
      <c r="H3277" s="15" t="s">
        <v>30033</v>
      </c>
      <c r="I3277" s="15" t="s">
        <v>30034</v>
      </c>
      <c r="J3277" s="15" t="s">
        <v>30035</v>
      </c>
      <c r="K3277" s="15">
        <v>3374</v>
      </c>
      <c r="L3277" s="15" t="s">
        <v>19099</v>
      </c>
    </row>
    <row r="3278" spans="1:12" x14ac:dyDescent="0.25">
      <c r="A3278" s="2" t="s">
        <v>9746</v>
      </c>
      <c r="B3278" s="8" t="s">
        <v>18061</v>
      </c>
      <c r="C3278" s="2" t="s">
        <v>9746</v>
      </c>
      <c r="D3278" s="2" t="s">
        <v>9747</v>
      </c>
      <c r="E3278" s="4" t="s">
        <v>30036</v>
      </c>
      <c r="G3278" s="15" t="s">
        <v>30037</v>
      </c>
      <c r="H3278" s="15" t="s">
        <v>30038</v>
      </c>
      <c r="I3278" s="15" t="s">
        <v>30039</v>
      </c>
      <c r="J3278" s="15" t="s">
        <v>30040</v>
      </c>
      <c r="K3278" s="15">
        <v>53672</v>
      </c>
      <c r="L3278" s="15" t="s">
        <v>19099</v>
      </c>
    </row>
    <row r="3279" spans="1:12" x14ac:dyDescent="0.25">
      <c r="A3279" s="2" t="s">
        <v>9749</v>
      </c>
      <c r="B3279" s="8" t="s">
        <v>18062</v>
      </c>
      <c r="C3279" s="2" t="s">
        <v>9749</v>
      </c>
      <c r="D3279" s="2" t="s">
        <v>9750</v>
      </c>
      <c r="E3279" s="4" t="s">
        <v>9750</v>
      </c>
      <c r="G3279" s="15" t="s">
        <v>30041</v>
      </c>
      <c r="H3279" s="15" t="s">
        <v>30042</v>
      </c>
      <c r="I3279" s="15" t="s">
        <v>30043</v>
      </c>
      <c r="J3279" s="15" t="s">
        <v>30044</v>
      </c>
      <c r="K3279" s="15">
        <v>16562</v>
      </c>
      <c r="L3279" s="15" t="s">
        <v>19099</v>
      </c>
    </row>
    <row r="3280" spans="1:12" x14ac:dyDescent="0.25">
      <c r="A3280" s="2" t="s">
        <v>9752</v>
      </c>
      <c r="B3280" s="8" t="s">
        <v>18063</v>
      </c>
      <c r="C3280" s="2" t="s">
        <v>9752</v>
      </c>
      <c r="D3280" s="2" t="s">
        <v>9753</v>
      </c>
      <c r="E3280" s="4" t="s">
        <v>9753</v>
      </c>
      <c r="G3280" s="15" t="s">
        <v>30045</v>
      </c>
      <c r="H3280" s="15" t="s">
        <v>30046</v>
      </c>
      <c r="I3280" s="15" t="s">
        <v>30047</v>
      </c>
      <c r="J3280" s="15" t="s">
        <v>30048</v>
      </c>
      <c r="K3280" s="15">
        <v>11159021</v>
      </c>
      <c r="L3280" s="15" t="s">
        <v>19099</v>
      </c>
    </row>
    <row r="3281" spans="1:12" x14ac:dyDescent="0.25">
      <c r="A3281" s="2" t="s">
        <v>9755</v>
      </c>
      <c r="B3281" s="8" t="s">
        <v>18064</v>
      </c>
      <c r="C3281" s="2" t="s">
        <v>9755</v>
      </c>
      <c r="D3281" s="2" t="s">
        <v>9756</v>
      </c>
      <c r="E3281" s="4" t="s">
        <v>9756</v>
      </c>
      <c r="G3281" s="15" t="s">
        <v>30049</v>
      </c>
      <c r="H3281" s="15" t="s">
        <v>30050</v>
      </c>
      <c r="I3281" s="15" t="s">
        <v>30051</v>
      </c>
      <c r="J3281" s="15" t="s">
        <v>30052</v>
      </c>
      <c r="K3281" s="15">
        <v>11158353</v>
      </c>
      <c r="L3281" s="15" t="s">
        <v>19099</v>
      </c>
    </row>
    <row r="3282" spans="1:12" x14ac:dyDescent="0.25">
      <c r="A3282" s="2" t="s">
        <v>9758</v>
      </c>
      <c r="B3282" s="8" t="s">
        <v>18065</v>
      </c>
      <c r="C3282" s="2" t="s">
        <v>9758</v>
      </c>
      <c r="D3282" s="2" t="s">
        <v>9759</v>
      </c>
      <c r="E3282" s="4" t="s">
        <v>9759</v>
      </c>
      <c r="G3282" s="15" t="s">
        <v>30053</v>
      </c>
      <c r="H3282" s="15" t="s">
        <v>30054</v>
      </c>
      <c r="I3282" s="15" t="s">
        <v>30055</v>
      </c>
      <c r="J3282" s="15" t="s">
        <v>30056</v>
      </c>
      <c r="K3282" s="15">
        <v>53395436</v>
      </c>
      <c r="L3282" s="15" t="s">
        <v>19099</v>
      </c>
    </row>
    <row r="3283" spans="1:12" x14ac:dyDescent="0.25">
      <c r="A3283" s="2" t="s">
        <v>9761</v>
      </c>
      <c r="B3283" s="8" t="s">
        <v>18066</v>
      </c>
      <c r="C3283" s="2" t="s">
        <v>9761</v>
      </c>
      <c r="D3283" s="2" t="s">
        <v>9762</v>
      </c>
      <c r="E3283" s="4" t="s">
        <v>9762</v>
      </c>
      <c r="G3283" s="15" t="s">
        <v>30057</v>
      </c>
      <c r="H3283" s="15" t="s">
        <v>30058</v>
      </c>
      <c r="I3283" s="15" t="s">
        <v>30059</v>
      </c>
      <c r="J3283" s="15" t="s">
        <v>30060</v>
      </c>
      <c r="K3283" s="15">
        <v>3386</v>
      </c>
      <c r="L3283" s="15" t="s">
        <v>19099</v>
      </c>
    </row>
    <row r="3284" spans="1:12" x14ac:dyDescent="0.25">
      <c r="A3284" s="2" t="s">
        <v>9764</v>
      </c>
      <c r="B3284" s="8" t="s">
        <v>18067</v>
      </c>
      <c r="C3284" s="2" t="s">
        <v>9764</v>
      </c>
      <c r="D3284" s="2" t="s">
        <v>9765</v>
      </c>
      <c r="E3284" s="4" t="s">
        <v>9765</v>
      </c>
      <c r="G3284" s="15" t="s">
        <v>30061</v>
      </c>
      <c r="H3284" s="15" t="s">
        <v>30062</v>
      </c>
      <c r="I3284" s="15" t="s">
        <v>30063</v>
      </c>
      <c r="J3284" s="15" t="s">
        <v>30064</v>
      </c>
      <c r="K3284" s="15">
        <v>16752772</v>
      </c>
      <c r="L3284" s="15" t="s">
        <v>19099</v>
      </c>
    </row>
    <row r="3285" spans="1:12" x14ac:dyDescent="0.25">
      <c r="A3285" s="2" t="s">
        <v>9767</v>
      </c>
      <c r="B3285" s="8" t="s">
        <v>18068</v>
      </c>
      <c r="C3285" s="2" t="s">
        <v>9767</v>
      </c>
      <c r="D3285" s="2" t="s">
        <v>9768</v>
      </c>
      <c r="E3285" s="4" t="s">
        <v>9768</v>
      </c>
      <c r="G3285" s="15" t="s">
        <v>30065</v>
      </c>
      <c r="H3285" s="15" t="s">
        <v>30066</v>
      </c>
      <c r="I3285" s="15" t="s">
        <v>30067</v>
      </c>
      <c r="J3285" s="15" t="s">
        <v>30068</v>
      </c>
      <c r="K3285" s="15">
        <v>15764724</v>
      </c>
      <c r="L3285" s="15" t="s">
        <v>19099</v>
      </c>
    </row>
    <row r="3286" spans="1:12" x14ac:dyDescent="0.25">
      <c r="A3286" s="2" t="s">
        <v>9770</v>
      </c>
      <c r="B3286" s="8" t="s">
        <v>18069</v>
      </c>
      <c r="C3286" s="2" t="s">
        <v>9770</v>
      </c>
      <c r="D3286" s="2" t="s">
        <v>9771</v>
      </c>
      <c r="E3286" s="4" t="s">
        <v>9771</v>
      </c>
      <c r="G3286" s="15" t="s">
        <v>30069</v>
      </c>
      <c r="H3286" s="15" t="s">
        <v>30070</v>
      </c>
      <c r="I3286" s="15" t="s">
        <v>30071</v>
      </c>
      <c r="J3286" s="15" t="s">
        <v>30072</v>
      </c>
      <c r="K3286" s="15">
        <v>5281878</v>
      </c>
      <c r="L3286" s="15" t="s">
        <v>19099</v>
      </c>
    </row>
    <row r="3287" spans="1:12" x14ac:dyDescent="0.25">
      <c r="A3287" s="2" t="s">
        <v>9773</v>
      </c>
      <c r="B3287" s="8" t="s">
        <v>18070</v>
      </c>
      <c r="C3287" s="2" t="s">
        <v>9773</v>
      </c>
      <c r="D3287" s="2" t="s">
        <v>9774</v>
      </c>
      <c r="E3287" s="4" t="s">
        <v>30073</v>
      </c>
      <c r="G3287" s="15" t="s">
        <v>30074</v>
      </c>
      <c r="H3287" s="15" t="s">
        <v>30075</v>
      </c>
      <c r="I3287" s="15" t="s">
        <v>30076</v>
      </c>
      <c r="J3287" s="15" t="s">
        <v>30077</v>
      </c>
      <c r="K3287" s="15">
        <v>86417</v>
      </c>
      <c r="L3287" s="15" t="s">
        <v>19099</v>
      </c>
    </row>
    <row r="3288" spans="1:12" x14ac:dyDescent="0.25">
      <c r="A3288" s="2" t="s">
        <v>9776</v>
      </c>
      <c r="B3288" s="8" t="s">
        <v>18071</v>
      </c>
      <c r="C3288" s="2" t="s">
        <v>9776</v>
      </c>
      <c r="D3288" s="2" t="s">
        <v>9777</v>
      </c>
      <c r="E3288" s="4" t="s">
        <v>9777</v>
      </c>
      <c r="G3288" s="15" t="s">
        <v>30078</v>
      </c>
      <c r="H3288" s="15" t="s">
        <v>30079</v>
      </c>
      <c r="I3288" s="15" t="s">
        <v>30080</v>
      </c>
      <c r="J3288" s="15" t="s">
        <v>30081</v>
      </c>
      <c r="K3288" s="15">
        <v>50465</v>
      </c>
      <c r="L3288" s="15" t="s">
        <v>19099</v>
      </c>
    </row>
    <row r="3289" spans="1:12" x14ac:dyDescent="0.25">
      <c r="A3289" s="2" t="s">
        <v>9779</v>
      </c>
      <c r="B3289" s="8" t="s">
        <v>18072</v>
      </c>
      <c r="C3289" s="2" t="s">
        <v>9779</v>
      </c>
      <c r="D3289" s="2" t="s">
        <v>9780</v>
      </c>
      <c r="E3289" s="4" t="s">
        <v>9780</v>
      </c>
      <c r="G3289" s="15" t="s">
        <v>30082</v>
      </c>
      <c r="H3289" s="15" t="s">
        <v>30083</v>
      </c>
      <c r="I3289" s="15" t="s">
        <v>30084</v>
      </c>
      <c r="J3289" s="15" t="s">
        <v>30085</v>
      </c>
      <c r="K3289" s="15">
        <v>3385</v>
      </c>
      <c r="L3289" s="15" t="s">
        <v>19099</v>
      </c>
    </row>
    <row r="3290" spans="1:12" x14ac:dyDescent="0.25">
      <c r="A3290" s="2" t="s">
        <v>9782</v>
      </c>
      <c r="B3290" s="8" t="s">
        <v>18073</v>
      </c>
      <c r="C3290" s="2" t="s">
        <v>9782</v>
      </c>
      <c r="D3290" s="2" t="s">
        <v>9783</v>
      </c>
      <c r="E3290" s="4" t="s">
        <v>9783</v>
      </c>
      <c r="G3290" s="15" t="s">
        <v>30086</v>
      </c>
      <c r="H3290" s="15" t="s">
        <v>30087</v>
      </c>
      <c r="I3290" s="15" t="s">
        <v>30088</v>
      </c>
      <c r="J3290" s="15" t="s">
        <v>30089</v>
      </c>
      <c r="K3290" s="15">
        <v>91677</v>
      </c>
      <c r="L3290" s="15" t="s">
        <v>19099</v>
      </c>
    </row>
    <row r="3291" spans="1:12" x14ac:dyDescent="0.25">
      <c r="A3291" s="2" t="s">
        <v>9785</v>
      </c>
      <c r="B3291" s="8" t="s">
        <v>18074</v>
      </c>
      <c r="C3291" s="2" t="s">
        <v>9785</v>
      </c>
      <c r="D3291" s="2" t="s">
        <v>9786</v>
      </c>
      <c r="E3291" s="4" t="s">
        <v>9786</v>
      </c>
      <c r="G3291" s="15" t="s">
        <v>30090</v>
      </c>
      <c r="H3291" s="15" t="s">
        <v>30091</v>
      </c>
      <c r="I3291" s="15" t="s">
        <v>30092</v>
      </c>
      <c r="J3291" s="15" t="s">
        <v>30093</v>
      </c>
      <c r="K3291" s="15">
        <v>43079</v>
      </c>
      <c r="L3291" s="15" t="s">
        <v>19099</v>
      </c>
    </row>
    <row r="3292" spans="1:12" x14ac:dyDescent="0.25">
      <c r="A3292" s="2" t="s">
        <v>9788</v>
      </c>
      <c r="B3292" s="8" t="s">
        <v>18075</v>
      </c>
      <c r="C3292" s="2" t="s">
        <v>9788</v>
      </c>
      <c r="D3292" s="2" t="s">
        <v>9789</v>
      </c>
      <c r="E3292" s="4" t="s">
        <v>9789</v>
      </c>
      <c r="G3292" s="15" t="s">
        <v>30094</v>
      </c>
      <c r="H3292" s="15" t="s">
        <v>30095</v>
      </c>
      <c r="I3292" s="15" t="s">
        <v>30096</v>
      </c>
      <c r="J3292" s="15" t="s">
        <v>30097</v>
      </c>
      <c r="K3292" s="15">
        <v>40816</v>
      </c>
      <c r="L3292" s="15" t="s">
        <v>19099</v>
      </c>
    </row>
    <row r="3293" spans="1:12" x14ac:dyDescent="0.25">
      <c r="A3293" s="2" t="s">
        <v>9791</v>
      </c>
      <c r="B3293" s="8" t="s">
        <v>18076</v>
      </c>
      <c r="C3293" s="2" t="s">
        <v>9791</v>
      </c>
      <c r="D3293" s="2" t="s">
        <v>9792</v>
      </c>
      <c r="E3293" s="4" t="s">
        <v>9792</v>
      </c>
      <c r="G3293" s="15" t="s">
        <v>30098</v>
      </c>
      <c r="H3293" s="15" t="s">
        <v>30099</v>
      </c>
      <c r="I3293" s="15" t="s">
        <v>30100</v>
      </c>
      <c r="J3293" s="15" t="s">
        <v>30101</v>
      </c>
      <c r="K3293" s="15">
        <v>10087</v>
      </c>
      <c r="L3293" s="15" t="s">
        <v>19099</v>
      </c>
    </row>
    <row r="3294" spans="1:12" x14ac:dyDescent="0.25">
      <c r="A3294" s="2" t="s">
        <v>9794</v>
      </c>
      <c r="B3294" s="8" t="s">
        <v>18077</v>
      </c>
      <c r="C3294" s="2" t="s">
        <v>9794</v>
      </c>
      <c r="D3294" s="2" t="s">
        <v>9795</v>
      </c>
      <c r="E3294" s="4" t="s">
        <v>9795</v>
      </c>
      <c r="G3294" s="15" t="s">
        <v>30102</v>
      </c>
      <c r="H3294" s="15" t="s">
        <v>30103</v>
      </c>
      <c r="I3294" s="15" t="s">
        <v>30104</v>
      </c>
      <c r="J3294" s="15" t="s">
        <v>30105</v>
      </c>
      <c r="K3294" s="15">
        <v>73668</v>
      </c>
      <c r="L3294" s="15" t="s">
        <v>19995</v>
      </c>
    </row>
    <row r="3295" spans="1:12" x14ac:dyDescent="0.25">
      <c r="A3295" s="2" t="s">
        <v>9797</v>
      </c>
      <c r="B3295" s="8" t="s">
        <v>18078</v>
      </c>
      <c r="C3295" s="2" t="s">
        <v>9797</v>
      </c>
      <c r="D3295" s="2" t="s">
        <v>9798</v>
      </c>
      <c r="E3295" s="4" t="s">
        <v>9798</v>
      </c>
      <c r="G3295" s="15" t="s">
        <v>30106</v>
      </c>
      <c r="H3295" s="15" t="s">
        <v>30107</v>
      </c>
      <c r="I3295" s="15" t="s">
        <v>30108</v>
      </c>
      <c r="J3295" s="15" t="s">
        <v>30109</v>
      </c>
      <c r="K3295" s="15">
        <v>11700495</v>
      </c>
      <c r="L3295" s="15" t="s">
        <v>19099</v>
      </c>
    </row>
    <row r="3296" spans="1:12" x14ac:dyDescent="0.25">
      <c r="A3296" s="2" t="s">
        <v>9800</v>
      </c>
      <c r="B3296" s="8" t="s">
        <v>18079</v>
      </c>
      <c r="C3296" s="2" t="s">
        <v>9800</v>
      </c>
      <c r="D3296" s="2" t="s">
        <v>9801</v>
      </c>
      <c r="E3296" s="4" t="s">
        <v>30110</v>
      </c>
      <c r="G3296" s="15" t="s">
        <v>30111</v>
      </c>
      <c r="H3296" s="15" t="s">
        <v>30112</v>
      </c>
      <c r="I3296" s="15" t="s">
        <v>30113</v>
      </c>
      <c r="J3296" s="15" t="s">
        <v>30114</v>
      </c>
      <c r="K3296" s="15">
        <v>73675</v>
      </c>
      <c r="L3296" s="15" t="s">
        <v>19099</v>
      </c>
    </row>
    <row r="3297" spans="1:12" x14ac:dyDescent="0.25">
      <c r="A3297" s="2" t="s">
        <v>9803</v>
      </c>
      <c r="B3297" s="8" t="s">
        <v>18080</v>
      </c>
      <c r="C3297" s="2" t="s">
        <v>9803</v>
      </c>
      <c r="D3297" s="2" t="s">
        <v>9804</v>
      </c>
      <c r="E3297" s="4" t="s">
        <v>30115</v>
      </c>
      <c r="G3297" s="15" t="s">
        <v>30116</v>
      </c>
      <c r="H3297" s="15" t="s">
        <v>30117</v>
      </c>
      <c r="I3297" s="15" t="s">
        <v>30118</v>
      </c>
      <c r="J3297" s="15" t="s">
        <v>30119</v>
      </c>
      <c r="K3297" s="15">
        <v>444036</v>
      </c>
      <c r="L3297" s="15" t="s">
        <v>19099</v>
      </c>
    </row>
    <row r="3298" spans="1:12" x14ac:dyDescent="0.25">
      <c r="A3298" s="2" t="s">
        <v>9806</v>
      </c>
      <c r="B3298" s="8" t="s">
        <v>18081</v>
      </c>
      <c r="C3298" s="2" t="s">
        <v>9806</v>
      </c>
      <c r="D3298" s="2" t="s">
        <v>9807</v>
      </c>
      <c r="E3298" s="4" t="s">
        <v>9807</v>
      </c>
      <c r="G3298" s="15" t="s">
        <v>30120</v>
      </c>
      <c r="H3298" s="15" t="s">
        <v>30121</v>
      </c>
      <c r="I3298" s="15" t="s">
        <v>30122</v>
      </c>
      <c r="J3298" s="15" t="s">
        <v>30123</v>
      </c>
      <c r="K3298" s="15">
        <v>47898</v>
      </c>
      <c r="L3298" s="15" t="s">
        <v>19099</v>
      </c>
    </row>
    <row r="3299" spans="1:12" x14ac:dyDescent="0.25">
      <c r="A3299" s="2" t="s">
        <v>9809</v>
      </c>
      <c r="B3299" s="8" t="s">
        <v>18082</v>
      </c>
      <c r="C3299" s="2" t="s">
        <v>9809</v>
      </c>
      <c r="D3299" s="2" t="s">
        <v>9810</v>
      </c>
      <c r="E3299" s="4" t="s">
        <v>9810</v>
      </c>
      <c r="G3299" s="15" t="s">
        <v>30124</v>
      </c>
      <c r="H3299" s="15" t="s">
        <v>30125</v>
      </c>
      <c r="I3299" s="15" t="s">
        <v>30126</v>
      </c>
      <c r="J3299" s="15" t="s">
        <v>30127</v>
      </c>
      <c r="K3299" s="15">
        <v>3397</v>
      </c>
      <c r="L3299" s="15" t="s">
        <v>19099</v>
      </c>
    </row>
    <row r="3300" spans="1:12" x14ac:dyDescent="0.25">
      <c r="A3300" s="2" t="s">
        <v>9812</v>
      </c>
      <c r="B3300" s="8" t="s">
        <v>18083</v>
      </c>
      <c r="C3300" s="2" t="s">
        <v>9812</v>
      </c>
      <c r="D3300" s="2" t="s">
        <v>9813</v>
      </c>
      <c r="E3300" s="4" t="s">
        <v>9813</v>
      </c>
      <c r="G3300" s="15" t="s">
        <v>30128</v>
      </c>
      <c r="H3300" s="15" t="s">
        <v>30129</v>
      </c>
      <c r="I3300" s="15" t="s">
        <v>30130</v>
      </c>
      <c r="J3300" s="15" t="s">
        <v>30131</v>
      </c>
      <c r="K3300" s="15">
        <v>16095400</v>
      </c>
      <c r="L3300" s="15" t="s">
        <v>19099</v>
      </c>
    </row>
    <row r="3301" spans="1:12" x14ac:dyDescent="0.25">
      <c r="A3301" s="2" t="s">
        <v>9815</v>
      </c>
      <c r="B3301" s="8" t="s">
        <v>18084</v>
      </c>
      <c r="C3301" s="2" t="s">
        <v>9815</v>
      </c>
      <c r="D3301" s="2" t="s">
        <v>9816</v>
      </c>
      <c r="E3301" s="4" t="s">
        <v>9816</v>
      </c>
      <c r="G3301" s="15" t="s">
        <v>30132</v>
      </c>
      <c r="H3301" s="15" t="s">
        <v>30133</v>
      </c>
      <c r="I3301" s="15" t="s">
        <v>30134</v>
      </c>
      <c r="J3301" s="15" t="s">
        <v>30135</v>
      </c>
      <c r="K3301" s="15">
        <v>8607</v>
      </c>
      <c r="L3301" s="15" t="s">
        <v>19099</v>
      </c>
    </row>
    <row r="3302" spans="1:12" x14ac:dyDescent="0.25">
      <c r="A3302" s="2" t="s">
        <v>9818</v>
      </c>
      <c r="B3302" s="8" t="s">
        <v>18085</v>
      </c>
      <c r="C3302" s="2" t="s">
        <v>9818</v>
      </c>
      <c r="D3302" s="2" t="s">
        <v>9819</v>
      </c>
      <c r="E3302" s="4" t="s">
        <v>9819</v>
      </c>
      <c r="G3302" s="15" t="s">
        <v>30136</v>
      </c>
      <c r="H3302" s="15" t="s">
        <v>30137</v>
      </c>
      <c r="I3302" s="15" t="s">
        <v>30138</v>
      </c>
      <c r="J3302" s="15" t="s">
        <v>30139</v>
      </c>
      <c r="K3302" s="15">
        <v>51556</v>
      </c>
      <c r="L3302" s="15" t="s">
        <v>19099</v>
      </c>
    </row>
    <row r="3303" spans="1:12" x14ac:dyDescent="0.25">
      <c r="A3303" s="2" t="s">
        <v>9821</v>
      </c>
      <c r="B3303" s="8" t="s">
        <v>18086</v>
      </c>
      <c r="C3303" s="2" t="s">
        <v>9821</v>
      </c>
      <c r="D3303" s="2" t="s">
        <v>9822</v>
      </c>
      <c r="E3303" s="4" t="s">
        <v>9822</v>
      </c>
      <c r="G3303" s="15" t="s">
        <v>30140</v>
      </c>
      <c r="H3303" s="15" t="s">
        <v>30141</v>
      </c>
      <c r="I3303" s="15" t="s">
        <v>30142</v>
      </c>
      <c r="J3303" s="15" t="s">
        <v>30143</v>
      </c>
      <c r="K3303" s="15">
        <v>13676</v>
      </c>
      <c r="L3303" s="15" t="s">
        <v>19099</v>
      </c>
    </row>
    <row r="3304" spans="1:12" x14ac:dyDescent="0.25">
      <c r="A3304" s="2" t="s">
        <v>9824</v>
      </c>
      <c r="B3304" s="8" t="s">
        <v>18087</v>
      </c>
      <c r="C3304" s="2" t="s">
        <v>9824</v>
      </c>
      <c r="D3304" s="2" t="s">
        <v>9825</v>
      </c>
      <c r="E3304" s="4" t="s">
        <v>30144</v>
      </c>
      <c r="G3304" s="15" t="s">
        <v>30145</v>
      </c>
      <c r="H3304" s="15" t="s">
        <v>30146</v>
      </c>
      <c r="I3304" s="15" t="s">
        <v>30147</v>
      </c>
      <c r="J3304" s="15" t="s">
        <v>30148</v>
      </c>
      <c r="K3304" s="15">
        <v>17426</v>
      </c>
      <c r="L3304" s="15" t="s">
        <v>19099</v>
      </c>
    </row>
    <row r="3305" spans="1:12" x14ac:dyDescent="0.25">
      <c r="A3305" s="2" t="s">
        <v>9827</v>
      </c>
      <c r="B3305" s="8" t="s">
        <v>18088</v>
      </c>
      <c r="C3305" s="2" t="s">
        <v>9827</v>
      </c>
      <c r="D3305" s="2" t="s">
        <v>9828</v>
      </c>
      <c r="E3305" s="4" t="s">
        <v>9828</v>
      </c>
      <c r="G3305" s="15" t="s">
        <v>30149</v>
      </c>
      <c r="H3305" s="15" t="s">
        <v>30150</v>
      </c>
      <c r="I3305" s="15" t="s">
        <v>30151</v>
      </c>
      <c r="J3305" s="15" t="s">
        <v>30152</v>
      </c>
      <c r="K3305" s="15">
        <v>11419598</v>
      </c>
      <c r="L3305" s="15" t="s">
        <v>19099</v>
      </c>
    </row>
    <row r="3306" spans="1:12" x14ac:dyDescent="0.25">
      <c r="A3306" s="2" t="s">
        <v>9830</v>
      </c>
      <c r="B3306" s="8" t="s">
        <v>18089</v>
      </c>
      <c r="C3306" s="2" t="s">
        <v>9830</v>
      </c>
      <c r="D3306" s="2" t="s">
        <v>9831</v>
      </c>
      <c r="E3306" s="4" t="s">
        <v>9831</v>
      </c>
      <c r="G3306" s="15" t="s">
        <v>9831</v>
      </c>
      <c r="H3306" s="15" t="s">
        <v>30153</v>
      </c>
      <c r="I3306" s="15" t="s">
        <v>30154</v>
      </c>
      <c r="J3306" s="15" t="s">
        <v>30155</v>
      </c>
      <c r="K3306" s="15">
        <v>713</v>
      </c>
      <c r="L3306" s="15" t="s">
        <v>19099</v>
      </c>
    </row>
    <row r="3307" spans="1:12" x14ac:dyDescent="0.25">
      <c r="A3307" s="2" t="s">
        <v>9833</v>
      </c>
      <c r="B3307" s="8" t="s">
        <v>18090</v>
      </c>
      <c r="C3307" s="2" t="s">
        <v>9833</v>
      </c>
      <c r="D3307" s="2" t="s">
        <v>9834</v>
      </c>
      <c r="E3307" s="4" t="s">
        <v>30156</v>
      </c>
      <c r="G3307" s="15" t="s">
        <v>30157</v>
      </c>
      <c r="H3307" s="15" t="s">
        <v>30158</v>
      </c>
      <c r="I3307" s="15" t="s">
        <v>30159</v>
      </c>
      <c r="J3307" s="15" t="s">
        <v>30160</v>
      </c>
      <c r="K3307" s="15">
        <v>31899</v>
      </c>
      <c r="L3307" s="15" t="s">
        <v>19099</v>
      </c>
    </row>
    <row r="3308" spans="1:12" x14ac:dyDescent="0.25">
      <c r="A3308" s="2" t="s">
        <v>9836</v>
      </c>
      <c r="B3308" s="8" t="s">
        <v>18091</v>
      </c>
      <c r="C3308" s="2" t="s">
        <v>9836</v>
      </c>
      <c r="D3308" s="2" t="s">
        <v>9837</v>
      </c>
      <c r="E3308" s="4" t="s">
        <v>30161</v>
      </c>
      <c r="G3308" s="15" t="s">
        <v>30162</v>
      </c>
      <c r="H3308" s="15" t="s">
        <v>30163</v>
      </c>
      <c r="I3308" s="15" t="s">
        <v>30164</v>
      </c>
      <c r="J3308" s="15" t="s">
        <v>30165</v>
      </c>
      <c r="K3308" s="15">
        <v>31099</v>
      </c>
      <c r="L3308" s="15" t="s">
        <v>19099</v>
      </c>
    </row>
    <row r="3309" spans="1:12" x14ac:dyDescent="0.25">
      <c r="A3309" s="2" t="s">
        <v>9839</v>
      </c>
      <c r="B3309" s="8" t="s">
        <v>18092</v>
      </c>
      <c r="C3309" s="2" t="s">
        <v>9839</v>
      </c>
      <c r="D3309" s="2" t="s">
        <v>9840</v>
      </c>
      <c r="E3309" s="4" t="s">
        <v>9840</v>
      </c>
      <c r="G3309" s="15" t="s">
        <v>30166</v>
      </c>
      <c r="H3309" s="15" t="s">
        <v>30167</v>
      </c>
      <c r="I3309" s="15" t="s">
        <v>30168</v>
      </c>
      <c r="J3309" s="15" t="s">
        <v>30169</v>
      </c>
      <c r="K3309" s="15">
        <v>17345</v>
      </c>
      <c r="L3309" s="15" t="s">
        <v>19099</v>
      </c>
    </row>
    <row r="3310" spans="1:12" x14ac:dyDescent="0.25">
      <c r="A3310" s="2" t="s">
        <v>9842</v>
      </c>
      <c r="B3310" s="8" t="s">
        <v>18093</v>
      </c>
      <c r="C3310" s="2" t="s">
        <v>9842</v>
      </c>
      <c r="D3310" s="2" t="s">
        <v>9843</v>
      </c>
      <c r="E3310" s="4" t="s">
        <v>30170</v>
      </c>
      <c r="G3310" s="15" t="s">
        <v>30171</v>
      </c>
      <c r="H3310" s="15" t="s">
        <v>30172</v>
      </c>
      <c r="I3310" s="15" t="s">
        <v>30173</v>
      </c>
      <c r="J3310" s="15" t="s">
        <v>30174</v>
      </c>
      <c r="K3310" s="15">
        <v>17425</v>
      </c>
      <c r="L3310" s="15" t="s">
        <v>19099</v>
      </c>
    </row>
    <row r="3311" spans="1:12" x14ac:dyDescent="0.25">
      <c r="A3311" s="2" t="s">
        <v>9845</v>
      </c>
      <c r="B3311" s="8" t="s">
        <v>18094</v>
      </c>
      <c r="C3311" s="2" t="s">
        <v>9845</v>
      </c>
      <c r="D3311" s="2" t="s">
        <v>9846</v>
      </c>
      <c r="E3311" s="4" t="s">
        <v>30175</v>
      </c>
      <c r="G3311" s="15" t="s">
        <v>30176</v>
      </c>
      <c r="H3311" s="15" t="s">
        <v>30177</v>
      </c>
      <c r="I3311" s="15" t="s">
        <v>30178</v>
      </c>
      <c r="J3311" s="15" t="s">
        <v>30179</v>
      </c>
      <c r="K3311" s="15">
        <v>4790</v>
      </c>
      <c r="L3311" s="15" t="s">
        <v>19099</v>
      </c>
    </row>
    <row r="3312" spans="1:12" x14ac:dyDescent="0.25">
      <c r="A3312" s="2" t="s">
        <v>9848</v>
      </c>
      <c r="B3312" s="8" t="s">
        <v>18095</v>
      </c>
      <c r="C3312" s="2" t="s">
        <v>9848</v>
      </c>
      <c r="D3312" s="2" t="s">
        <v>9849</v>
      </c>
      <c r="E3312" s="4" t="s">
        <v>30180</v>
      </c>
      <c r="H3312" s="15" t="s">
        <v>30181</v>
      </c>
      <c r="I3312" s="15" t="s">
        <v>30182</v>
      </c>
      <c r="J3312" s="15" t="s">
        <v>30183</v>
      </c>
      <c r="K3312" s="15">
        <v>6328269</v>
      </c>
      <c r="L3312" s="15" t="s">
        <v>19995</v>
      </c>
    </row>
    <row r="3313" spans="1:12" x14ac:dyDescent="0.25">
      <c r="A3313" s="2" t="s">
        <v>9851</v>
      </c>
      <c r="B3313" s="8" t="s">
        <v>18096</v>
      </c>
      <c r="C3313" s="2" t="s">
        <v>9851</v>
      </c>
      <c r="D3313" s="2" t="s">
        <v>9852</v>
      </c>
      <c r="E3313" s="4" t="s">
        <v>30184</v>
      </c>
      <c r="G3313" s="15" t="s">
        <v>28774</v>
      </c>
      <c r="H3313" s="15" t="s">
        <v>28775</v>
      </c>
      <c r="I3313" s="15" t="s">
        <v>28776</v>
      </c>
      <c r="J3313" s="15" t="s">
        <v>28777</v>
      </c>
      <c r="K3313" s="15">
        <v>3032604</v>
      </c>
      <c r="L3313" s="15" t="s">
        <v>19099</v>
      </c>
    </row>
    <row r="3314" spans="1:12" x14ac:dyDescent="0.25">
      <c r="A3314" s="2" t="s">
        <v>9854</v>
      </c>
      <c r="B3314" s="8" t="s">
        <v>18097</v>
      </c>
      <c r="C3314" s="2" t="s">
        <v>9854</v>
      </c>
      <c r="D3314" s="2" t="s">
        <v>9855</v>
      </c>
      <c r="E3314" s="4" t="s">
        <v>30185</v>
      </c>
      <c r="G3314" s="15" t="s">
        <v>30186</v>
      </c>
      <c r="H3314" s="15" t="s">
        <v>30187</v>
      </c>
      <c r="I3314" s="15" t="s">
        <v>30188</v>
      </c>
      <c r="J3314" s="15" t="s">
        <v>30189</v>
      </c>
      <c r="K3314" s="15">
        <v>24404</v>
      </c>
      <c r="L3314" s="15" t="s">
        <v>19099</v>
      </c>
    </row>
    <row r="3315" spans="1:12" x14ac:dyDescent="0.25">
      <c r="A3315" s="2" t="s">
        <v>9857</v>
      </c>
      <c r="B3315" s="8" t="s">
        <v>18098</v>
      </c>
      <c r="C3315" s="2" t="s">
        <v>9857</v>
      </c>
      <c r="D3315" s="2" t="s">
        <v>9858</v>
      </c>
      <c r="E3315" s="4" t="s">
        <v>30190</v>
      </c>
      <c r="G3315" s="15" t="s">
        <v>30191</v>
      </c>
      <c r="H3315" s="15" t="s">
        <v>30192</v>
      </c>
      <c r="I3315" s="15" t="s">
        <v>30193</v>
      </c>
      <c r="J3315" s="15" t="s">
        <v>30194</v>
      </c>
      <c r="K3315" s="15">
        <v>6371</v>
      </c>
      <c r="L3315" s="15" t="s">
        <v>19099</v>
      </c>
    </row>
    <row r="3316" spans="1:12" x14ac:dyDescent="0.25">
      <c r="A3316" s="2" t="s">
        <v>9860</v>
      </c>
      <c r="B3316" s="8" t="s">
        <v>18099</v>
      </c>
      <c r="C3316" s="2" t="s">
        <v>9860</v>
      </c>
      <c r="D3316" s="2" t="s">
        <v>9861</v>
      </c>
      <c r="E3316" s="4" t="s">
        <v>30195</v>
      </c>
      <c r="G3316" s="15" t="s">
        <v>30196</v>
      </c>
      <c r="H3316" s="15" t="s">
        <v>30197</v>
      </c>
      <c r="I3316" s="15" t="s">
        <v>30198</v>
      </c>
      <c r="J3316" s="15" t="s">
        <v>30199</v>
      </c>
      <c r="K3316" s="15">
        <v>4793</v>
      </c>
      <c r="L3316" s="15" t="s">
        <v>19099</v>
      </c>
    </row>
    <row r="3317" spans="1:12" x14ac:dyDescent="0.25">
      <c r="A3317" s="2" t="s">
        <v>9863</v>
      </c>
      <c r="B3317" s="8" t="s">
        <v>18100</v>
      </c>
      <c r="C3317" s="2" t="s">
        <v>9863</v>
      </c>
      <c r="D3317" s="2" t="s">
        <v>9864</v>
      </c>
      <c r="E3317" s="4" t="s">
        <v>30200</v>
      </c>
      <c r="G3317" s="15" t="s">
        <v>30201</v>
      </c>
      <c r="H3317" s="15" t="s">
        <v>30202</v>
      </c>
      <c r="I3317" s="15" t="s">
        <v>30203</v>
      </c>
      <c r="J3317" s="15" t="s">
        <v>30204</v>
      </c>
      <c r="K3317" s="15">
        <v>77323</v>
      </c>
      <c r="L3317" s="15" t="s">
        <v>19099</v>
      </c>
    </row>
    <row r="3318" spans="1:12" x14ac:dyDescent="0.25">
      <c r="A3318" s="2" t="s">
        <v>9866</v>
      </c>
      <c r="B3318" s="8" t="s">
        <v>18101</v>
      </c>
      <c r="C3318" s="2" t="s">
        <v>9866</v>
      </c>
      <c r="D3318" s="2" t="s">
        <v>9867</v>
      </c>
      <c r="E3318" s="4" t="s">
        <v>30205</v>
      </c>
      <c r="G3318" s="15" t="s">
        <v>30206</v>
      </c>
      <c r="H3318" s="15" t="s">
        <v>30207</v>
      </c>
      <c r="I3318" s="15" t="s">
        <v>30208</v>
      </c>
      <c r="J3318" s="15" t="s">
        <v>30209</v>
      </c>
      <c r="K3318" s="15">
        <v>12901</v>
      </c>
      <c r="L3318" s="15" t="s">
        <v>19099</v>
      </c>
    </row>
    <row r="3319" spans="1:12" x14ac:dyDescent="0.25">
      <c r="A3319" s="2" t="s">
        <v>9869</v>
      </c>
      <c r="B3319" s="8" t="s">
        <v>18102</v>
      </c>
      <c r="C3319" s="2" t="s">
        <v>9869</v>
      </c>
      <c r="D3319" s="2" t="s">
        <v>9870</v>
      </c>
      <c r="E3319" s="4" t="s">
        <v>30210</v>
      </c>
      <c r="G3319" s="15" t="s">
        <v>30211</v>
      </c>
      <c r="H3319" s="15" t="s">
        <v>30212</v>
      </c>
      <c r="I3319" s="15" t="s">
        <v>30213</v>
      </c>
      <c r="J3319" s="15" t="s">
        <v>30214</v>
      </c>
      <c r="K3319" s="15">
        <v>91758</v>
      </c>
      <c r="L3319" s="15" t="s">
        <v>19099</v>
      </c>
    </row>
    <row r="3320" spans="1:12" x14ac:dyDescent="0.25">
      <c r="A3320" s="2" t="s">
        <v>9872</v>
      </c>
      <c r="B3320" s="8" t="s">
        <v>18103</v>
      </c>
      <c r="C3320" s="2" t="s">
        <v>9872</v>
      </c>
      <c r="D3320" s="2" t="s">
        <v>9873</v>
      </c>
      <c r="E3320" s="4" t="s">
        <v>9873</v>
      </c>
      <c r="G3320" s="15" t="s">
        <v>30215</v>
      </c>
      <c r="H3320" s="15" t="s">
        <v>30216</v>
      </c>
      <c r="I3320" s="15" t="s">
        <v>30217</v>
      </c>
      <c r="J3320" s="15" t="s">
        <v>30218</v>
      </c>
      <c r="K3320" s="15">
        <v>6328134</v>
      </c>
      <c r="L3320" s="15" t="s">
        <v>19099</v>
      </c>
    </row>
    <row r="3321" spans="1:12" x14ac:dyDescent="0.25">
      <c r="A3321" s="2" t="s">
        <v>9875</v>
      </c>
      <c r="B3321" s="8" t="s">
        <v>18104</v>
      </c>
      <c r="C3321" s="2" t="s">
        <v>9875</v>
      </c>
      <c r="D3321" s="2" t="s">
        <v>9876</v>
      </c>
      <c r="E3321" s="4" t="s">
        <v>30219</v>
      </c>
      <c r="G3321" s="15" t="s">
        <v>30220</v>
      </c>
      <c r="H3321" s="15" t="s">
        <v>30221</v>
      </c>
      <c r="I3321" s="15" t="s">
        <v>30222</v>
      </c>
      <c r="J3321" s="15" t="s">
        <v>30223</v>
      </c>
      <c r="K3321" s="15">
        <v>6811</v>
      </c>
      <c r="L3321" s="15" t="s">
        <v>19099</v>
      </c>
    </row>
    <row r="3322" spans="1:12" x14ac:dyDescent="0.25">
      <c r="A3322" s="2" t="s">
        <v>9878</v>
      </c>
      <c r="B3322" s="8" t="s">
        <v>18105</v>
      </c>
      <c r="C3322" s="2" t="s">
        <v>9878</v>
      </c>
      <c r="D3322" s="2" t="s">
        <v>9879</v>
      </c>
      <c r="E3322" s="4" t="s">
        <v>30224</v>
      </c>
      <c r="G3322" s="15" t="s">
        <v>30225</v>
      </c>
      <c r="H3322" s="15" t="s">
        <v>30226</v>
      </c>
      <c r="I3322" s="15" t="s">
        <v>30227</v>
      </c>
      <c r="J3322" s="15" t="s">
        <v>30228</v>
      </c>
      <c r="K3322" s="15">
        <v>6809</v>
      </c>
      <c r="L3322" s="15" t="s">
        <v>19099</v>
      </c>
    </row>
    <row r="3323" spans="1:12" x14ac:dyDescent="0.25">
      <c r="A3323" s="2" t="s">
        <v>9881</v>
      </c>
      <c r="B3323" s="8" t="s">
        <v>18106</v>
      </c>
      <c r="C3323" s="2" t="s">
        <v>9881</v>
      </c>
      <c r="D3323" s="2" t="s">
        <v>9882</v>
      </c>
      <c r="E3323" s="4" t="s">
        <v>30229</v>
      </c>
      <c r="G3323" s="15" t="s">
        <v>30230</v>
      </c>
      <c r="H3323" s="15" t="s">
        <v>30231</v>
      </c>
      <c r="I3323" s="15" t="s">
        <v>30232</v>
      </c>
      <c r="J3323" s="15" t="s">
        <v>30233</v>
      </c>
      <c r="K3323" s="15">
        <v>19756</v>
      </c>
      <c r="L3323" s="15" t="s">
        <v>19099</v>
      </c>
    </row>
    <row r="3324" spans="1:12" x14ac:dyDescent="0.25">
      <c r="A3324" s="2" t="s">
        <v>9884</v>
      </c>
      <c r="B3324" s="8" t="s">
        <v>18107</v>
      </c>
      <c r="C3324" s="2" t="s">
        <v>9884</v>
      </c>
      <c r="D3324" s="2" t="s">
        <v>9885</v>
      </c>
      <c r="E3324" s="4" t="s">
        <v>9885</v>
      </c>
      <c r="G3324" s="15" t="s">
        <v>30234</v>
      </c>
      <c r="H3324" s="15" t="s">
        <v>30235</v>
      </c>
      <c r="I3324" s="15" t="s">
        <v>30236</v>
      </c>
      <c r="J3324" s="15" t="s">
        <v>30237</v>
      </c>
      <c r="K3324" s="15">
        <v>7362</v>
      </c>
      <c r="L3324" s="15" t="s">
        <v>19099</v>
      </c>
    </row>
    <row r="3325" spans="1:12" x14ac:dyDescent="0.25">
      <c r="A3325" s="2" t="s">
        <v>9887</v>
      </c>
      <c r="B3325" s="8" t="s">
        <v>18108</v>
      </c>
      <c r="C3325" s="2" t="s">
        <v>9887</v>
      </c>
      <c r="D3325" s="2" t="s">
        <v>9888</v>
      </c>
      <c r="E3325" s="4" t="s">
        <v>9888</v>
      </c>
      <c r="G3325" s="15" t="s">
        <v>30238</v>
      </c>
      <c r="H3325" s="15" t="s">
        <v>30239</v>
      </c>
      <c r="I3325" s="15" t="s">
        <v>30240</v>
      </c>
      <c r="J3325" s="15" t="s">
        <v>29707</v>
      </c>
      <c r="K3325" s="15">
        <v>42504</v>
      </c>
      <c r="L3325" s="15" t="s">
        <v>19099</v>
      </c>
    </row>
    <row r="3326" spans="1:12" x14ac:dyDescent="0.25">
      <c r="A3326" s="2" t="s">
        <v>9890</v>
      </c>
      <c r="B3326" s="8" t="s">
        <v>18109</v>
      </c>
      <c r="C3326" s="2" t="s">
        <v>9890</v>
      </c>
      <c r="D3326" s="2" t="s">
        <v>9891</v>
      </c>
      <c r="E3326" s="4" t="s">
        <v>9891</v>
      </c>
      <c r="G3326" s="15" t="s">
        <v>30241</v>
      </c>
      <c r="H3326" s="15" t="s">
        <v>30242</v>
      </c>
      <c r="I3326" s="15" t="s">
        <v>30243</v>
      </c>
      <c r="J3326" s="15" t="s">
        <v>30244</v>
      </c>
      <c r="K3326" s="15">
        <v>43359</v>
      </c>
      <c r="L3326" s="15" t="s">
        <v>19099</v>
      </c>
    </row>
    <row r="3327" spans="1:12" x14ac:dyDescent="0.25">
      <c r="A3327" s="2" t="s">
        <v>9893</v>
      </c>
      <c r="B3327" s="8" t="s">
        <v>18110</v>
      </c>
      <c r="C3327" s="2" t="s">
        <v>9893</v>
      </c>
      <c r="D3327" s="2" t="s">
        <v>9894</v>
      </c>
      <c r="E3327" s="4" t="s">
        <v>9894</v>
      </c>
      <c r="G3327" s="15" t="s">
        <v>30245</v>
      </c>
      <c r="H3327" s="15" t="s">
        <v>30246</v>
      </c>
      <c r="I3327" s="15" t="s">
        <v>30247</v>
      </c>
      <c r="J3327" s="15" t="s">
        <v>30248</v>
      </c>
      <c r="K3327" s="15">
        <v>3440</v>
      </c>
      <c r="L3327" s="15" t="s">
        <v>19099</v>
      </c>
    </row>
    <row r="3328" spans="1:12" x14ac:dyDescent="0.25">
      <c r="A3328" s="2" t="s">
        <v>9896</v>
      </c>
      <c r="B3328" s="8" t="s">
        <v>18111</v>
      </c>
      <c r="C3328" s="2" t="s">
        <v>9896</v>
      </c>
      <c r="D3328" s="2" t="s">
        <v>9897</v>
      </c>
      <c r="E3328" s="4" t="s">
        <v>9897</v>
      </c>
      <c r="G3328" s="15" t="s">
        <v>30249</v>
      </c>
      <c r="H3328" s="15" t="s">
        <v>30250</v>
      </c>
      <c r="I3328" s="15" t="s">
        <v>30251</v>
      </c>
      <c r="J3328" s="15" t="s">
        <v>30252</v>
      </c>
      <c r="K3328" s="15">
        <v>47759</v>
      </c>
      <c r="L3328" s="15" t="s">
        <v>19099</v>
      </c>
    </row>
    <row r="3329" spans="1:12" x14ac:dyDescent="0.25">
      <c r="A3329" s="2" t="s">
        <v>9899</v>
      </c>
      <c r="B3329" s="8" t="s">
        <v>18112</v>
      </c>
      <c r="C3329" s="2" t="s">
        <v>9899</v>
      </c>
      <c r="D3329" s="2" t="s">
        <v>9900</v>
      </c>
      <c r="E3329" s="4" t="s">
        <v>30253</v>
      </c>
      <c r="G3329" s="15" t="s">
        <v>30254</v>
      </c>
      <c r="H3329" s="15" t="s">
        <v>30255</v>
      </c>
      <c r="I3329" s="15" t="s">
        <v>30256</v>
      </c>
      <c r="J3329" s="15" t="s">
        <v>30257</v>
      </c>
      <c r="K3329" s="15">
        <v>5323714</v>
      </c>
      <c r="L3329" s="15" t="s">
        <v>19099</v>
      </c>
    </row>
    <row r="3330" spans="1:12" x14ac:dyDescent="0.25">
      <c r="A3330" s="2" t="s">
        <v>9902</v>
      </c>
      <c r="B3330" s="8" t="s">
        <v>18113</v>
      </c>
      <c r="C3330" s="2" t="s">
        <v>9902</v>
      </c>
      <c r="D3330" s="2" t="s">
        <v>9903</v>
      </c>
      <c r="E3330" s="4" t="s">
        <v>30258</v>
      </c>
    </row>
    <row r="3331" spans="1:12" x14ac:dyDescent="0.25">
      <c r="A3331" s="2" t="s">
        <v>9905</v>
      </c>
      <c r="B3331" s="8" t="s">
        <v>18114</v>
      </c>
      <c r="C3331" s="2" t="s">
        <v>9905</v>
      </c>
      <c r="D3331" s="2" t="s">
        <v>9906</v>
      </c>
      <c r="E3331" s="4" t="s">
        <v>30259</v>
      </c>
      <c r="G3331" s="15" t="s">
        <v>30260</v>
      </c>
      <c r="H3331" s="15" t="s">
        <v>30261</v>
      </c>
      <c r="I3331" s="15" t="s">
        <v>30262</v>
      </c>
      <c r="J3331" s="15" t="s">
        <v>30263</v>
      </c>
      <c r="K3331" s="15">
        <v>5280435</v>
      </c>
      <c r="L3331" s="15" t="s">
        <v>19099</v>
      </c>
    </row>
    <row r="3332" spans="1:12" x14ac:dyDescent="0.25">
      <c r="A3332" s="2" t="s">
        <v>9908</v>
      </c>
      <c r="B3332" s="8" t="s">
        <v>18115</v>
      </c>
      <c r="C3332" s="2" t="s">
        <v>9908</v>
      </c>
      <c r="D3332" s="2" t="s">
        <v>9909</v>
      </c>
      <c r="E3332" s="4" t="s">
        <v>30264</v>
      </c>
      <c r="G3332" s="15" t="s">
        <v>30265</v>
      </c>
      <c r="H3332" s="15" t="s">
        <v>30266</v>
      </c>
      <c r="I3332" s="15" t="s">
        <v>30267</v>
      </c>
      <c r="J3332" s="15" t="s">
        <v>30268</v>
      </c>
      <c r="K3332" s="15">
        <v>3446</v>
      </c>
      <c r="L3332" s="15" t="s">
        <v>19099</v>
      </c>
    </row>
    <row r="3333" spans="1:12" x14ac:dyDescent="0.25">
      <c r="A3333" s="2" t="s">
        <v>9911</v>
      </c>
      <c r="B3333" s="8" t="s">
        <v>18116</v>
      </c>
      <c r="C3333" s="2" t="s">
        <v>9911</v>
      </c>
      <c r="D3333" s="2" t="s">
        <v>9912</v>
      </c>
      <c r="E3333" s="4" t="s">
        <v>30269</v>
      </c>
      <c r="G3333" s="15" t="s">
        <v>30270</v>
      </c>
      <c r="H3333" s="15" t="s">
        <v>30271</v>
      </c>
      <c r="I3333" s="15" t="s">
        <v>30272</v>
      </c>
      <c r="J3333" s="15" t="s">
        <v>30273</v>
      </c>
      <c r="K3333" s="15">
        <v>47457</v>
      </c>
      <c r="L3333" s="15" t="s">
        <v>19099</v>
      </c>
    </row>
    <row r="3334" spans="1:12" x14ac:dyDescent="0.25">
      <c r="A3334" s="2" t="s">
        <v>9914</v>
      </c>
      <c r="B3334" s="8" t="s">
        <v>18117</v>
      </c>
      <c r="C3334" s="2" t="s">
        <v>9914</v>
      </c>
      <c r="D3334" s="2" t="s">
        <v>9915</v>
      </c>
      <c r="E3334" s="4" t="s">
        <v>30274</v>
      </c>
      <c r="G3334" s="15" t="s">
        <v>30275</v>
      </c>
      <c r="H3334" s="15" t="s">
        <v>30276</v>
      </c>
      <c r="I3334" s="15" t="s">
        <v>30277</v>
      </c>
      <c r="J3334" s="15" t="s">
        <v>30278</v>
      </c>
      <c r="K3334" s="15">
        <v>165669</v>
      </c>
      <c r="L3334" s="15" t="s">
        <v>19099</v>
      </c>
    </row>
    <row r="3335" spans="1:12" x14ac:dyDescent="0.25">
      <c r="A3335" s="2" t="s">
        <v>9917</v>
      </c>
      <c r="B3335" s="8" t="s">
        <v>18118</v>
      </c>
      <c r="C3335" s="2" t="s">
        <v>9917</v>
      </c>
      <c r="D3335" s="2" t="s">
        <v>9918</v>
      </c>
      <c r="E3335" s="4" t="s">
        <v>30279</v>
      </c>
      <c r="G3335" s="15" t="s">
        <v>30280</v>
      </c>
      <c r="H3335" s="15" t="s">
        <v>30281</v>
      </c>
      <c r="I3335" s="15" t="s">
        <v>30282</v>
      </c>
      <c r="J3335" s="15" t="s">
        <v>30283</v>
      </c>
      <c r="K3335" s="15">
        <v>6466</v>
      </c>
      <c r="L3335" s="15" t="s">
        <v>19099</v>
      </c>
    </row>
    <row r="3336" spans="1:12" x14ac:dyDescent="0.25">
      <c r="A3336" s="2" t="s">
        <v>9920</v>
      </c>
      <c r="B3336" s="8" t="s">
        <v>18119</v>
      </c>
      <c r="C3336" s="2" t="s">
        <v>9920</v>
      </c>
      <c r="D3336" s="2" t="s">
        <v>9921</v>
      </c>
      <c r="E3336" s="4" t="s">
        <v>30284</v>
      </c>
      <c r="G3336" s="15" t="s">
        <v>30285</v>
      </c>
      <c r="H3336" s="15" t="s">
        <v>30286</v>
      </c>
      <c r="I3336" s="15" t="s">
        <v>30287</v>
      </c>
      <c r="J3336" s="15" t="s">
        <v>30288</v>
      </c>
      <c r="K3336" s="15">
        <v>2724258</v>
      </c>
      <c r="L3336" s="15" t="s">
        <v>19099</v>
      </c>
    </row>
    <row r="3337" spans="1:12" x14ac:dyDescent="0.25">
      <c r="A3337" s="2" t="s">
        <v>9923</v>
      </c>
      <c r="B3337" s="8" t="s">
        <v>18120</v>
      </c>
      <c r="C3337" s="2" t="s">
        <v>9923</v>
      </c>
      <c r="D3337" s="2" t="s">
        <v>9924</v>
      </c>
      <c r="E3337" s="4" t="s">
        <v>30289</v>
      </c>
    </row>
    <row r="3338" spans="1:12" x14ac:dyDescent="0.25">
      <c r="A3338" s="2" t="s">
        <v>9926</v>
      </c>
      <c r="B3338" s="8" t="s">
        <v>18121</v>
      </c>
      <c r="C3338" s="2" t="s">
        <v>9926</v>
      </c>
      <c r="D3338" s="2" t="s">
        <v>9927</v>
      </c>
      <c r="E3338" s="4" t="s">
        <v>30290</v>
      </c>
    </row>
    <row r="3339" spans="1:12" x14ac:dyDescent="0.25">
      <c r="A3339" s="2" t="s">
        <v>9929</v>
      </c>
      <c r="B3339" s="8" t="s">
        <v>18122</v>
      </c>
      <c r="C3339" s="2" t="s">
        <v>9929</v>
      </c>
      <c r="D3339" s="2" t="s">
        <v>9930</v>
      </c>
      <c r="E3339" s="4" t="s">
        <v>30291</v>
      </c>
      <c r="G3339" s="15" t="s">
        <v>30292</v>
      </c>
      <c r="H3339" s="15" t="s">
        <v>30293</v>
      </c>
      <c r="I3339" s="15" t="s">
        <v>30294</v>
      </c>
      <c r="J3339" s="15" t="s">
        <v>30295</v>
      </c>
      <c r="K3339" s="15">
        <v>94600</v>
      </c>
      <c r="L3339" s="15" t="s">
        <v>19099</v>
      </c>
    </row>
    <row r="3340" spans="1:12" x14ac:dyDescent="0.25">
      <c r="A3340" s="2" t="s">
        <v>9932</v>
      </c>
      <c r="B3340" s="8" t="s">
        <v>18123</v>
      </c>
      <c r="C3340" s="2" t="s">
        <v>9932</v>
      </c>
      <c r="D3340" s="2" t="s">
        <v>9933</v>
      </c>
      <c r="E3340" s="4" t="s">
        <v>9933</v>
      </c>
      <c r="G3340" s="15" t="s">
        <v>30296</v>
      </c>
      <c r="H3340" s="15" t="s">
        <v>30297</v>
      </c>
      <c r="I3340" s="15" t="s">
        <v>30298</v>
      </c>
      <c r="J3340" s="15" t="s">
        <v>30299</v>
      </c>
      <c r="K3340" s="15">
        <v>60750</v>
      </c>
      <c r="L3340" s="15" t="s">
        <v>19099</v>
      </c>
    </row>
    <row r="3341" spans="1:12" x14ac:dyDescent="0.25">
      <c r="A3341" s="2" t="s">
        <v>9935</v>
      </c>
      <c r="B3341" s="8" t="s">
        <v>18124</v>
      </c>
      <c r="C3341" s="2" t="s">
        <v>9935</v>
      </c>
      <c r="D3341" s="2" t="s">
        <v>9936</v>
      </c>
      <c r="E3341" s="4" t="s">
        <v>9936</v>
      </c>
      <c r="G3341" s="15" t="s">
        <v>30300</v>
      </c>
      <c r="H3341" s="15" t="s">
        <v>30301</v>
      </c>
      <c r="I3341" s="15" t="s">
        <v>30302</v>
      </c>
      <c r="J3341" s="15" t="s">
        <v>30303</v>
      </c>
      <c r="K3341" s="15">
        <v>3463</v>
      </c>
      <c r="L3341" s="15" t="s">
        <v>19099</v>
      </c>
    </row>
    <row r="3342" spans="1:12" x14ac:dyDescent="0.25">
      <c r="A3342" s="2" t="s">
        <v>9938</v>
      </c>
      <c r="B3342" s="8" t="s">
        <v>18125</v>
      </c>
      <c r="C3342" s="2" t="s">
        <v>9938</v>
      </c>
      <c r="D3342" s="2" t="s">
        <v>9939</v>
      </c>
      <c r="E3342" s="4" t="s">
        <v>30304</v>
      </c>
      <c r="G3342" s="15" t="s">
        <v>30305</v>
      </c>
      <c r="H3342" s="15" t="s">
        <v>30306</v>
      </c>
      <c r="I3342" s="15" t="s">
        <v>30307</v>
      </c>
      <c r="J3342" s="15" t="s">
        <v>30308</v>
      </c>
      <c r="K3342" s="15">
        <v>44178</v>
      </c>
      <c r="L3342" s="15" t="s">
        <v>19099</v>
      </c>
    </row>
    <row r="3343" spans="1:12" x14ac:dyDescent="0.25">
      <c r="A3343" s="2" t="s">
        <v>9941</v>
      </c>
      <c r="B3343" s="8" t="s">
        <v>18126</v>
      </c>
      <c r="C3343" s="2" t="s">
        <v>9941</v>
      </c>
      <c r="D3343" s="2" t="s">
        <v>9942</v>
      </c>
      <c r="E3343" s="4" t="s">
        <v>30309</v>
      </c>
      <c r="G3343" s="15" t="s">
        <v>30310</v>
      </c>
      <c r="H3343" s="15" t="s">
        <v>30311</v>
      </c>
      <c r="I3343" s="15" t="s">
        <v>30312</v>
      </c>
      <c r="J3343" s="15" t="s">
        <v>30313</v>
      </c>
      <c r="K3343" s="15">
        <v>3469</v>
      </c>
      <c r="L3343" s="15" t="s">
        <v>19099</v>
      </c>
    </row>
    <row r="3344" spans="1:12" x14ac:dyDescent="0.25">
      <c r="A3344" s="2" t="s">
        <v>9944</v>
      </c>
      <c r="B3344" s="8" t="s">
        <v>18127</v>
      </c>
      <c r="C3344" s="2" t="s">
        <v>9944</v>
      </c>
      <c r="D3344" s="2" t="s">
        <v>9945</v>
      </c>
      <c r="E3344" s="4" t="s">
        <v>9945</v>
      </c>
      <c r="G3344" s="15" t="s">
        <v>30314</v>
      </c>
      <c r="H3344" s="15" t="s">
        <v>30315</v>
      </c>
      <c r="I3344" s="15" t="s">
        <v>30316</v>
      </c>
      <c r="J3344" s="15" t="s">
        <v>19614</v>
      </c>
      <c r="K3344" s="15">
        <v>637566</v>
      </c>
      <c r="L3344" s="15" t="s">
        <v>19099</v>
      </c>
    </row>
    <row r="3345" spans="1:12" x14ac:dyDescent="0.25">
      <c r="A3345" s="2" t="s">
        <v>9947</v>
      </c>
      <c r="B3345" s="8" t="s">
        <v>18128</v>
      </c>
      <c r="C3345" s="2" t="s">
        <v>9947</v>
      </c>
      <c r="D3345" s="2" t="s">
        <v>9948</v>
      </c>
      <c r="E3345" s="4" t="s">
        <v>9948</v>
      </c>
      <c r="G3345" s="15" t="s">
        <v>30317</v>
      </c>
      <c r="H3345" s="15" t="s">
        <v>30318</v>
      </c>
      <c r="I3345" s="15" t="s">
        <v>30319</v>
      </c>
      <c r="J3345" s="15" t="s">
        <v>30320</v>
      </c>
      <c r="K3345" s="15">
        <v>3488</v>
      </c>
      <c r="L3345" s="15" t="s">
        <v>19099</v>
      </c>
    </row>
    <row r="3346" spans="1:12" x14ac:dyDescent="0.25">
      <c r="A3346" s="2" t="s">
        <v>9950</v>
      </c>
      <c r="B3346" s="8" t="s">
        <v>18129</v>
      </c>
      <c r="C3346" s="2" t="s">
        <v>9950</v>
      </c>
      <c r="D3346" s="2" t="s">
        <v>9951</v>
      </c>
      <c r="E3346" s="4" t="s">
        <v>9951</v>
      </c>
      <c r="G3346" s="15" t="s">
        <v>30321</v>
      </c>
      <c r="H3346" s="15" t="s">
        <v>30322</v>
      </c>
      <c r="I3346" s="15" t="s">
        <v>30323</v>
      </c>
      <c r="J3346" s="15" t="s">
        <v>30324</v>
      </c>
      <c r="K3346" s="15">
        <v>3476</v>
      </c>
      <c r="L3346" s="15" t="s">
        <v>19099</v>
      </c>
    </row>
    <row r="3347" spans="1:12" x14ac:dyDescent="0.25">
      <c r="A3347" s="2" t="s">
        <v>9953</v>
      </c>
      <c r="B3347" s="8" t="s">
        <v>18130</v>
      </c>
      <c r="C3347" s="2" t="s">
        <v>9953</v>
      </c>
      <c r="D3347" s="2" t="s">
        <v>9954</v>
      </c>
      <c r="E3347" s="4" t="s">
        <v>30325</v>
      </c>
      <c r="G3347" s="15" t="s">
        <v>30326</v>
      </c>
      <c r="H3347" s="15" t="s">
        <v>30327</v>
      </c>
      <c r="I3347" s="15" t="s">
        <v>30328</v>
      </c>
      <c r="J3347" s="15" t="s">
        <v>27947</v>
      </c>
      <c r="K3347" s="15">
        <v>5280933</v>
      </c>
      <c r="L3347" s="15" t="s">
        <v>19099</v>
      </c>
    </row>
    <row r="3348" spans="1:12" x14ac:dyDescent="0.25">
      <c r="A3348" s="2" t="s">
        <v>9956</v>
      </c>
      <c r="B3348" s="8" t="s">
        <v>18131</v>
      </c>
      <c r="C3348" s="2" t="s">
        <v>9956</v>
      </c>
      <c r="D3348" s="2" t="s">
        <v>9957</v>
      </c>
      <c r="E3348" s="4" t="s">
        <v>9957</v>
      </c>
      <c r="G3348" s="15" t="s">
        <v>30329</v>
      </c>
      <c r="H3348" s="15" t="s">
        <v>30330</v>
      </c>
      <c r="I3348" s="15" t="s">
        <v>30331</v>
      </c>
      <c r="J3348" s="15" t="s">
        <v>30332</v>
      </c>
      <c r="K3348" s="15">
        <v>107526</v>
      </c>
      <c r="L3348" s="15" t="s">
        <v>19099</v>
      </c>
    </row>
    <row r="3349" spans="1:12" x14ac:dyDescent="0.25">
      <c r="A3349" s="2" t="s">
        <v>9959</v>
      </c>
      <c r="B3349" s="8" t="s">
        <v>18132</v>
      </c>
      <c r="C3349" s="2" t="s">
        <v>9959</v>
      </c>
      <c r="D3349" s="2" t="s">
        <v>9960</v>
      </c>
      <c r="E3349" s="4" t="s">
        <v>30333</v>
      </c>
      <c r="G3349" s="15" t="s">
        <v>30334</v>
      </c>
      <c r="H3349" s="15" t="s">
        <v>30335</v>
      </c>
      <c r="I3349" s="15" t="s">
        <v>30336</v>
      </c>
      <c r="J3349" s="15" t="s">
        <v>30337</v>
      </c>
      <c r="K3349" s="15">
        <v>4794</v>
      </c>
      <c r="L3349" s="15" t="s">
        <v>19099</v>
      </c>
    </row>
    <row r="3350" spans="1:12" x14ac:dyDescent="0.25">
      <c r="A3350" s="2" t="s">
        <v>9962</v>
      </c>
      <c r="B3350" s="8" t="s">
        <v>18133</v>
      </c>
      <c r="C3350" s="2" t="s">
        <v>9962</v>
      </c>
      <c r="D3350" s="2" t="s">
        <v>9963</v>
      </c>
      <c r="E3350" s="4" t="s">
        <v>30338</v>
      </c>
      <c r="G3350" s="15" t="s">
        <v>30339</v>
      </c>
      <c r="H3350" s="15" t="s">
        <v>30340</v>
      </c>
      <c r="I3350" s="15" t="s">
        <v>30341</v>
      </c>
      <c r="J3350" s="15" t="s">
        <v>30342</v>
      </c>
      <c r="K3350" s="15">
        <v>11564649</v>
      </c>
      <c r="L3350" s="15" t="s">
        <v>19099</v>
      </c>
    </row>
    <row r="3351" spans="1:12" x14ac:dyDescent="0.25">
      <c r="A3351" s="2" t="s">
        <v>9965</v>
      </c>
      <c r="B3351" s="8" t="s">
        <v>18134</v>
      </c>
      <c r="C3351" s="2" t="s">
        <v>9965</v>
      </c>
      <c r="D3351" s="2" t="s">
        <v>9966</v>
      </c>
      <c r="E3351" s="4" t="s">
        <v>30343</v>
      </c>
      <c r="G3351" s="15" t="s">
        <v>30344</v>
      </c>
      <c r="H3351" s="15" t="s">
        <v>30345</v>
      </c>
      <c r="I3351" s="15" t="s">
        <v>30346</v>
      </c>
      <c r="J3351" s="15" t="s">
        <v>22585</v>
      </c>
      <c r="K3351" s="15">
        <v>3485</v>
      </c>
      <c r="L3351" s="15" t="s">
        <v>19099</v>
      </c>
    </row>
    <row r="3352" spans="1:12" x14ac:dyDescent="0.25">
      <c r="A3352" s="2" t="s">
        <v>9968</v>
      </c>
      <c r="B3352" s="8" t="s">
        <v>18135</v>
      </c>
      <c r="C3352" s="2" t="s">
        <v>9968</v>
      </c>
      <c r="D3352" s="2" t="s">
        <v>9969</v>
      </c>
      <c r="E3352" s="4" t="s">
        <v>30347</v>
      </c>
      <c r="G3352" s="15" t="s">
        <v>30348</v>
      </c>
      <c r="H3352" s="15" t="s">
        <v>30349</v>
      </c>
      <c r="I3352" s="15" t="s">
        <v>30350</v>
      </c>
      <c r="J3352" s="15" t="s">
        <v>30351</v>
      </c>
      <c r="K3352" s="15">
        <v>33032</v>
      </c>
      <c r="L3352" s="15" t="s">
        <v>19099</v>
      </c>
    </row>
    <row r="3353" spans="1:12" x14ac:dyDescent="0.25">
      <c r="A3353" s="2" t="s">
        <v>9971</v>
      </c>
      <c r="B3353" s="8" t="s">
        <v>18136</v>
      </c>
      <c r="C3353" s="2" t="s">
        <v>9971</v>
      </c>
      <c r="D3353" s="2" t="s">
        <v>9972</v>
      </c>
      <c r="E3353" s="4" t="s">
        <v>9972</v>
      </c>
      <c r="G3353" s="15" t="s">
        <v>30352</v>
      </c>
      <c r="H3353" s="15" t="s">
        <v>30353</v>
      </c>
      <c r="I3353" s="15" t="s">
        <v>30354</v>
      </c>
      <c r="J3353" s="15" t="s">
        <v>22519</v>
      </c>
      <c r="K3353" s="15">
        <v>11164</v>
      </c>
      <c r="L3353" s="15" t="s">
        <v>19099</v>
      </c>
    </row>
    <row r="3354" spans="1:12" x14ac:dyDescent="0.25">
      <c r="A3354" s="2" t="s">
        <v>9974</v>
      </c>
      <c r="B3354" s="8" t="s">
        <v>18137</v>
      </c>
      <c r="C3354" s="2" t="s">
        <v>9974</v>
      </c>
      <c r="D3354" s="2" t="s">
        <v>9975</v>
      </c>
      <c r="E3354" s="4" t="s">
        <v>30355</v>
      </c>
      <c r="G3354" s="15" t="s">
        <v>30356</v>
      </c>
      <c r="H3354" s="15" t="s">
        <v>30357</v>
      </c>
      <c r="I3354" s="15" t="s">
        <v>30358</v>
      </c>
      <c r="J3354" s="15" t="s">
        <v>30359</v>
      </c>
      <c r="K3354" s="15">
        <v>174</v>
      </c>
      <c r="L3354" s="15" t="s">
        <v>19099</v>
      </c>
    </row>
    <row r="3355" spans="1:12" x14ac:dyDescent="0.25">
      <c r="A3355" s="2" t="s">
        <v>9977</v>
      </c>
      <c r="B3355" s="8" t="s">
        <v>18138</v>
      </c>
      <c r="C3355" s="2" t="s">
        <v>9977</v>
      </c>
      <c r="D3355" s="2" t="s">
        <v>9978</v>
      </c>
      <c r="E3355" s="4" t="s">
        <v>30360</v>
      </c>
      <c r="G3355" s="15" t="s">
        <v>30361</v>
      </c>
      <c r="H3355" s="15" t="s">
        <v>30362</v>
      </c>
      <c r="I3355" s="15" t="s">
        <v>30363</v>
      </c>
      <c r="J3355" s="15" t="s">
        <v>30364</v>
      </c>
      <c r="K3355" s="15">
        <v>66021</v>
      </c>
      <c r="L3355" s="15" t="s">
        <v>19995</v>
      </c>
    </row>
    <row r="3356" spans="1:12" x14ac:dyDescent="0.25">
      <c r="A3356" s="2" t="s">
        <v>9980</v>
      </c>
      <c r="B3356" s="8" t="s">
        <v>18139</v>
      </c>
      <c r="C3356" s="2" t="s">
        <v>9980</v>
      </c>
      <c r="D3356" s="2" t="s">
        <v>9981</v>
      </c>
      <c r="E3356" s="4" t="s">
        <v>30365</v>
      </c>
      <c r="G3356" s="15" t="s">
        <v>30366</v>
      </c>
      <c r="H3356" s="15" t="s">
        <v>30367</v>
      </c>
      <c r="I3356" s="15" t="s">
        <v>30368</v>
      </c>
      <c r="J3356" s="15" t="s">
        <v>30369</v>
      </c>
      <c r="K3356" s="15">
        <v>5541</v>
      </c>
      <c r="L3356" s="15" t="s">
        <v>19099</v>
      </c>
    </row>
    <row r="3357" spans="1:12" x14ac:dyDescent="0.25">
      <c r="A3357" s="2" t="s">
        <v>9983</v>
      </c>
      <c r="B3357" s="8" t="s">
        <v>18140</v>
      </c>
      <c r="C3357" s="2" t="s">
        <v>9983</v>
      </c>
      <c r="D3357" s="2" t="s">
        <v>9984</v>
      </c>
      <c r="E3357" s="4" t="s">
        <v>9984</v>
      </c>
      <c r="G3357" s="15" t="s">
        <v>30370</v>
      </c>
      <c r="H3357" s="15" t="s">
        <v>30371</v>
      </c>
      <c r="I3357" s="15" t="s">
        <v>30372</v>
      </c>
      <c r="J3357" s="15" t="s">
        <v>30373</v>
      </c>
      <c r="K3357" s="15">
        <v>753</v>
      </c>
      <c r="L3357" s="15" t="s">
        <v>19099</v>
      </c>
    </row>
    <row r="3358" spans="1:12" x14ac:dyDescent="0.25">
      <c r="A3358" s="2" t="s">
        <v>9986</v>
      </c>
      <c r="B3358" s="8" t="s">
        <v>18141</v>
      </c>
      <c r="C3358" s="2" t="s">
        <v>9986</v>
      </c>
      <c r="D3358" s="2" t="s">
        <v>9987</v>
      </c>
      <c r="E3358" s="4" t="s">
        <v>30374</v>
      </c>
      <c r="G3358" s="15" t="s">
        <v>30375</v>
      </c>
      <c r="H3358" s="15" t="s">
        <v>30376</v>
      </c>
      <c r="I3358" s="15" t="s">
        <v>30377</v>
      </c>
      <c r="J3358" s="15" t="s">
        <v>30378</v>
      </c>
      <c r="K3358" s="15">
        <v>105048</v>
      </c>
      <c r="L3358" s="15" t="s">
        <v>19099</v>
      </c>
    </row>
    <row r="3359" spans="1:12" x14ac:dyDescent="0.25">
      <c r="A3359" s="2" t="s">
        <v>9989</v>
      </c>
      <c r="B3359" s="8" t="s">
        <v>18142</v>
      </c>
      <c r="C3359" s="2" t="s">
        <v>9989</v>
      </c>
      <c r="D3359" s="2" t="s">
        <v>9990</v>
      </c>
      <c r="E3359" s="4" t="s">
        <v>30379</v>
      </c>
      <c r="G3359" s="15" t="s">
        <v>30380</v>
      </c>
      <c r="H3359" s="15" t="s">
        <v>30381</v>
      </c>
      <c r="I3359" s="15" t="s">
        <v>30382</v>
      </c>
      <c r="J3359" s="15" t="s">
        <v>30383</v>
      </c>
      <c r="K3359" s="15">
        <v>17112</v>
      </c>
      <c r="L3359" s="15" t="s">
        <v>19099</v>
      </c>
    </row>
    <row r="3360" spans="1:12" x14ac:dyDescent="0.25">
      <c r="A3360" s="2" t="s">
        <v>9992</v>
      </c>
      <c r="B3360" s="8" t="s">
        <v>18143</v>
      </c>
      <c r="C3360" s="2" t="s">
        <v>9992</v>
      </c>
      <c r="D3360" s="2" t="s">
        <v>9993</v>
      </c>
      <c r="E3360" s="4" t="s">
        <v>30384</v>
      </c>
      <c r="G3360" s="15" t="s">
        <v>30385</v>
      </c>
      <c r="H3360" s="15" t="s">
        <v>30386</v>
      </c>
      <c r="I3360" s="15" t="s">
        <v>30387</v>
      </c>
      <c r="J3360" s="15" t="s">
        <v>30388</v>
      </c>
      <c r="K3360" s="15">
        <v>3496</v>
      </c>
      <c r="L3360" s="15" t="s">
        <v>19099</v>
      </c>
    </row>
    <row r="3361" spans="1:12" x14ac:dyDescent="0.25">
      <c r="A3361" s="2" t="s">
        <v>9995</v>
      </c>
      <c r="B3361" s="8" t="s">
        <v>18144</v>
      </c>
      <c r="C3361" s="2" t="s">
        <v>9995</v>
      </c>
      <c r="D3361" s="2" t="s">
        <v>9996</v>
      </c>
      <c r="E3361" s="4" t="s">
        <v>30389</v>
      </c>
      <c r="G3361" s="15" t="s">
        <v>30390</v>
      </c>
      <c r="H3361" s="15" t="s">
        <v>30391</v>
      </c>
      <c r="I3361" s="15" t="s">
        <v>30392</v>
      </c>
      <c r="J3361" s="15" t="s">
        <v>30393</v>
      </c>
      <c r="K3361" s="15">
        <v>7860</v>
      </c>
      <c r="L3361" s="15" t="s">
        <v>19099</v>
      </c>
    </row>
    <row r="3362" spans="1:12" x14ac:dyDescent="0.25">
      <c r="A3362" s="2" t="s">
        <v>9998</v>
      </c>
      <c r="B3362" s="8" t="s">
        <v>18145</v>
      </c>
      <c r="C3362" s="2" t="s">
        <v>9998</v>
      </c>
      <c r="D3362" s="2" t="s">
        <v>9999</v>
      </c>
      <c r="E3362" s="4" t="s">
        <v>30394</v>
      </c>
      <c r="G3362" s="15" t="s">
        <v>30395</v>
      </c>
      <c r="H3362" s="15" t="s">
        <v>30396</v>
      </c>
      <c r="I3362" s="15" t="s">
        <v>30397</v>
      </c>
      <c r="J3362" s="15" t="s">
        <v>30398</v>
      </c>
      <c r="K3362" s="15">
        <v>8859</v>
      </c>
      <c r="L3362" s="15" t="s">
        <v>19099</v>
      </c>
    </row>
    <row r="3363" spans="1:12" x14ac:dyDescent="0.25">
      <c r="A3363" s="2" t="s">
        <v>10001</v>
      </c>
      <c r="B3363" s="8" t="s">
        <v>18146</v>
      </c>
      <c r="C3363" s="2" t="s">
        <v>10001</v>
      </c>
      <c r="D3363" s="2" t="s">
        <v>10002</v>
      </c>
      <c r="E3363" s="4" t="s">
        <v>10002</v>
      </c>
      <c r="G3363" s="15" t="s">
        <v>30399</v>
      </c>
      <c r="H3363" s="15" t="s">
        <v>30400</v>
      </c>
      <c r="I3363" s="15" t="s">
        <v>30401</v>
      </c>
      <c r="J3363" s="15" t="s">
        <v>30402</v>
      </c>
      <c r="K3363" s="15">
        <v>3526</v>
      </c>
      <c r="L3363" s="15" t="s">
        <v>19099</v>
      </c>
    </row>
    <row r="3364" spans="1:12" x14ac:dyDescent="0.25">
      <c r="A3364" s="2" t="s">
        <v>10004</v>
      </c>
      <c r="B3364" s="8" t="s">
        <v>18147</v>
      </c>
      <c r="C3364" s="2" t="s">
        <v>10004</v>
      </c>
      <c r="D3364" s="2" t="s">
        <v>10005</v>
      </c>
      <c r="E3364" s="4" t="s">
        <v>30403</v>
      </c>
      <c r="G3364" s="15" t="s">
        <v>27765</v>
      </c>
      <c r="H3364" s="15" t="s">
        <v>27766</v>
      </c>
      <c r="I3364" s="15" t="s">
        <v>27767</v>
      </c>
      <c r="J3364" s="15" t="s">
        <v>27768</v>
      </c>
      <c r="K3364" s="15">
        <v>727</v>
      </c>
      <c r="L3364" s="15" t="s">
        <v>19099</v>
      </c>
    </row>
    <row r="3365" spans="1:12" x14ac:dyDescent="0.25">
      <c r="A3365" s="2" t="s">
        <v>10007</v>
      </c>
      <c r="B3365" s="8" t="s">
        <v>18148</v>
      </c>
      <c r="C3365" s="2" t="s">
        <v>10007</v>
      </c>
      <c r="D3365" s="2" t="s">
        <v>10008</v>
      </c>
      <c r="E3365" s="4" t="s">
        <v>10008</v>
      </c>
      <c r="G3365" s="15" t="s">
        <v>30404</v>
      </c>
      <c r="H3365" s="15" t="s">
        <v>30405</v>
      </c>
      <c r="I3365" s="15" t="s">
        <v>30406</v>
      </c>
      <c r="J3365" s="15" t="s">
        <v>30407</v>
      </c>
      <c r="K3365" s="15">
        <v>50896</v>
      </c>
      <c r="L3365" s="15" t="s">
        <v>19099</v>
      </c>
    </row>
    <row r="3366" spans="1:12" x14ac:dyDescent="0.25">
      <c r="A3366" s="2" t="s">
        <v>10010</v>
      </c>
      <c r="B3366" s="8" t="s">
        <v>18149</v>
      </c>
      <c r="C3366" s="2" t="s">
        <v>10010</v>
      </c>
      <c r="D3366" s="2" t="s">
        <v>10011</v>
      </c>
      <c r="E3366" s="4" t="s">
        <v>10011</v>
      </c>
      <c r="G3366" s="15" t="s">
        <v>30408</v>
      </c>
      <c r="H3366" s="15" t="s">
        <v>30409</v>
      </c>
      <c r="I3366" s="15" t="s">
        <v>30410</v>
      </c>
      <c r="J3366" s="15" t="s">
        <v>30411</v>
      </c>
      <c r="K3366" s="15">
        <v>91743</v>
      </c>
      <c r="L3366" s="15" t="s">
        <v>19099</v>
      </c>
    </row>
    <row r="3367" spans="1:12" x14ac:dyDescent="0.25">
      <c r="A3367" s="2" t="s">
        <v>10013</v>
      </c>
      <c r="B3367" s="8" t="s">
        <v>18150</v>
      </c>
      <c r="C3367" s="2" t="s">
        <v>10013</v>
      </c>
      <c r="D3367" s="2" t="s">
        <v>10014</v>
      </c>
      <c r="E3367" s="4" t="s">
        <v>10014</v>
      </c>
      <c r="G3367" s="15" t="s">
        <v>30412</v>
      </c>
      <c r="H3367" s="15" t="s">
        <v>30413</v>
      </c>
      <c r="I3367" s="15" t="s">
        <v>30414</v>
      </c>
      <c r="J3367" s="15" t="s">
        <v>30407</v>
      </c>
      <c r="K3367" s="15">
        <v>13363033</v>
      </c>
      <c r="L3367" s="15" t="s">
        <v>19099</v>
      </c>
    </row>
    <row r="3368" spans="1:12" x14ac:dyDescent="0.25">
      <c r="A3368" s="2" t="s">
        <v>10016</v>
      </c>
      <c r="B3368" s="8" t="s">
        <v>18151</v>
      </c>
      <c r="C3368" s="2" t="s">
        <v>10016</v>
      </c>
      <c r="D3368" s="2" t="s">
        <v>10017</v>
      </c>
      <c r="E3368" s="4" t="s">
        <v>10017</v>
      </c>
      <c r="G3368" s="15" t="s">
        <v>30415</v>
      </c>
      <c r="H3368" s="15" t="s">
        <v>30416</v>
      </c>
      <c r="I3368" s="15" t="s">
        <v>30417</v>
      </c>
      <c r="J3368" s="15" t="s">
        <v>25889</v>
      </c>
      <c r="K3368" s="15">
        <v>50895</v>
      </c>
      <c r="L3368" s="15" t="s">
        <v>19099</v>
      </c>
    </row>
    <row r="3369" spans="1:12" x14ac:dyDescent="0.25">
      <c r="A3369" s="2" t="s">
        <v>10019</v>
      </c>
      <c r="B3369" s="8" t="s">
        <v>18152</v>
      </c>
      <c r="C3369" s="2" t="s">
        <v>10019</v>
      </c>
      <c r="D3369" s="2" t="s">
        <v>10020</v>
      </c>
      <c r="E3369" s="4" t="s">
        <v>10020</v>
      </c>
      <c r="G3369" s="15" t="s">
        <v>30418</v>
      </c>
      <c r="H3369" s="15" t="s">
        <v>30419</v>
      </c>
      <c r="I3369" s="15" t="s">
        <v>30420</v>
      </c>
      <c r="J3369" s="15" t="s">
        <v>25889</v>
      </c>
      <c r="K3369" s="15">
        <v>448979</v>
      </c>
      <c r="L3369" s="15" t="s">
        <v>19099</v>
      </c>
    </row>
    <row r="3370" spans="1:12" x14ac:dyDescent="0.25">
      <c r="A3370" s="2" t="s">
        <v>10022</v>
      </c>
      <c r="B3370" s="8" t="s">
        <v>18153</v>
      </c>
      <c r="C3370" s="2" t="s">
        <v>10022</v>
      </c>
      <c r="D3370" s="2" t="s">
        <v>10023</v>
      </c>
      <c r="E3370" s="4" t="s">
        <v>10023</v>
      </c>
      <c r="G3370" s="15" t="s">
        <v>30421</v>
      </c>
      <c r="H3370" s="15" t="s">
        <v>30422</v>
      </c>
      <c r="I3370" s="15" t="s">
        <v>30423</v>
      </c>
      <c r="J3370" s="15" t="s">
        <v>30424</v>
      </c>
      <c r="K3370" s="15">
        <v>16656802</v>
      </c>
      <c r="L3370" s="15" t="s">
        <v>19099</v>
      </c>
    </row>
    <row r="3371" spans="1:12" x14ac:dyDescent="0.25">
      <c r="A3371" s="2" t="s">
        <v>10025</v>
      </c>
      <c r="B3371" s="8" t="s">
        <v>18154</v>
      </c>
      <c r="C3371" s="2" t="s">
        <v>10025</v>
      </c>
      <c r="D3371" s="2" t="s">
        <v>10026</v>
      </c>
      <c r="E3371" s="4" t="s">
        <v>10026</v>
      </c>
      <c r="G3371" s="15" t="s">
        <v>30425</v>
      </c>
      <c r="H3371" s="15" t="s">
        <v>30426</v>
      </c>
      <c r="I3371" s="15" t="s">
        <v>30427</v>
      </c>
      <c r="J3371" s="15" t="s">
        <v>30428</v>
      </c>
      <c r="K3371" s="15">
        <v>114994</v>
      </c>
      <c r="L3371" s="15" t="s">
        <v>19099</v>
      </c>
    </row>
    <row r="3372" spans="1:12" x14ac:dyDescent="0.25">
      <c r="A3372" s="2" t="s">
        <v>10028</v>
      </c>
      <c r="B3372" s="8" t="s">
        <v>18155</v>
      </c>
      <c r="C3372" s="2" t="s">
        <v>10028</v>
      </c>
      <c r="D3372" s="2" t="s">
        <v>10029</v>
      </c>
      <c r="E3372" s="4" t="s">
        <v>30429</v>
      </c>
      <c r="G3372" s="15" t="s">
        <v>30430</v>
      </c>
      <c r="H3372" s="15" t="s">
        <v>30431</v>
      </c>
      <c r="I3372" s="15" t="s">
        <v>30432</v>
      </c>
      <c r="J3372" s="15" t="s">
        <v>30433</v>
      </c>
      <c r="K3372" s="15">
        <v>6333</v>
      </c>
      <c r="L3372" s="15" t="s">
        <v>19099</v>
      </c>
    </row>
    <row r="3373" spans="1:12" x14ac:dyDescent="0.25">
      <c r="A3373" s="2" t="s">
        <v>10031</v>
      </c>
      <c r="B3373" s="8" t="s">
        <v>18156</v>
      </c>
      <c r="C3373" s="2" t="s">
        <v>10031</v>
      </c>
      <c r="D3373" s="2" t="s">
        <v>10032</v>
      </c>
      <c r="E3373" s="4" t="s">
        <v>30434</v>
      </c>
      <c r="G3373" s="15" t="s">
        <v>30435</v>
      </c>
      <c r="H3373" s="15" t="s">
        <v>30436</v>
      </c>
      <c r="I3373" s="15" t="s">
        <v>30437</v>
      </c>
      <c r="J3373" s="15" t="s">
        <v>30438</v>
      </c>
      <c r="K3373" s="15">
        <v>9625</v>
      </c>
      <c r="L3373" s="15" t="s">
        <v>19099</v>
      </c>
    </row>
    <row r="3374" spans="1:12" x14ac:dyDescent="0.25">
      <c r="A3374" s="2" t="s">
        <v>10034</v>
      </c>
      <c r="B3374" s="8" t="s">
        <v>18157</v>
      </c>
      <c r="C3374" s="2" t="s">
        <v>10034</v>
      </c>
      <c r="D3374" s="2" t="s">
        <v>10035</v>
      </c>
      <c r="E3374" s="4" t="s">
        <v>30439</v>
      </c>
      <c r="G3374" s="15" t="s">
        <v>30440</v>
      </c>
      <c r="H3374" s="15" t="s">
        <v>30441</v>
      </c>
      <c r="I3374" s="15" t="s">
        <v>30442</v>
      </c>
      <c r="J3374" s="15" t="s">
        <v>30443</v>
      </c>
      <c r="K3374" s="15">
        <v>6384</v>
      </c>
      <c r="L3374" s="15" t="s">
        <v>19099</v>
      </c>
    </row>
    <row r="3375" spans="1:12" x14ac:dyDescent="0.25">
      <c r="A3375" s="2" t="s">
        <v>10037</v>
      </c>
      <c r="B3375" s="8" t="s">
        <v>18158</v>
      </c>
      <c r="C3375" s="2" t="s">
        <v>10037</v>
      </c>
      <c r="D3375" s="2" t="s">
        <v>10038</v>
      </c>
      <c r="E3375" s="4" t="s">
        <v>30444</v>
      </c>
      <c r="G3375" s="15" t="s">
        <v>30445</v>
      </c>
      <c r="H3375" s="15" t="s">
        <v>30446</v>
      </c>
      <c r="I3375" s="15" t="s">
        <v>30447</v>
      </c>
      <c r="J3375" s="15" t="s">
        <v>30448</v>
      </c>
      <c r="K3375" s="15">
        <v>31301</v>
      </c>
      <c r="L3375" s="15" t="s">
        <v>19099</v>
      </c>
    </row>
    <row r="3376" spans="1:12" x14ac:dyDescent="0.25">
      <c r="A3376" s="2" t="s">
        <v>10040</v>
      </c>
      <c r="B3376" s="8" t="s">
        <v>18159</v>
      </c>
      <c r="C3376" s="2" t="s">
        <v>10040</v>
      </c>
      <c r="D3376" s="2" t="s">
        <v>10041</v>
      </c>
      <c r="E3376" s="4" t="s">
        <v>10041</v>
      </c>
      <c r="G3376" s="15" t="s">
        <v>30449</v>
      </c>
      <c r="H3376" s="15" t="s">
        <v>30450</v>
      </c>
      <c r="I3376" s="15" t="s">
        <v>30451</v>
      </c>
      <c r="J3376" s="15" t="s">
        <v>30452</v>
      </c>
      <c r="K3376" s="15">
        <v>3559</v>
      </c>
      <c r="L3376" s="15" t="s">
        <v>19099</v>
      </c>
    </row>
    <row r="3377" spans="1:12" x14ac:dyDescent="0.25">
      <c r="A3377" s="2" t="s">
        <v>10043</v>
      </c>
      <c r="B3377" s="8" t="s">
        <v>18160</v>
      </c>
      <c r="C3377" s="2" t="s">
        <v>10043</v>
      </c>
      <c r="D3377" s="2" t="s">
        <v>10044</v>
      </c>
      <c r="E3377" s="4" t="s">
        <v>10044</v>
      </c>
      <c r="G3377" s="15" t="s">
        <v>30453</v>
      </c>
      <c r="H3377" s="15" t="s">
        <v>30454</v>
      </c>
      <c r="I3377" s="15" t="s">
        <v>30455</v>
      </c>
      <c r="J3377" s="15" t="s">
        <v>30456</v>
      </c>
      <c r="K3377" s="15">
        <v>62773</v>
      </c>
      <c r="L3377" s="15" t="s">
        <v>19099</v>
      </c>
    </row>
    <row r="3378" spans="1:12" x14ac:dyDescent="0.25">
      <c r="A3378" s="2" t="s">
        <v>10046</v>
      </c>
      <c r="B3378" s="8" t="s">
        <v>18161</v>
      </c>
      <c r="C3378" s="2" t="s">
        <v>10046</v>
      </c>
      <c r="D3378" s="2" t="s">
        <v>10047</v>
      </c>
      <c r="E3378" s="4" t="s">
        <v>30457</v>
      </c>
      <c r="G3378" s="15" t="s">
        <v>30458</v>
      </c>
      <c r="H3378" s="15" t="s">
        <v>30459</v>
      </c>
      <c r="I3378" s="15" t="s">
        <v>30460</v>
      </c>
      <c r="J3378" s="15" t="s">
        <v>30461</v>
      </c>
      <c r="K3378" s="15">
        <v>9553</v>
      </c>
      <c r="L3378" s="15" t="s">
        <v>19099</v>
      </c>
    </row>
    <row r="3379" spans="1:12" x14ac:dyDescent="0.25">
      <c r="A3379" s="2" t="s">
        <v>10049</v>
      </c>
      <c r="B3379" s="8" t="s">
        <v>18162</v>
      </c>
      <c r="C3379" s="2" t="s">
        <v>10049</v>
      </c>
      <c r="D3379" s="2" t="s">
        <v>10050</v>
      </c>
      <c r="E3379" s="4" t="s">
        <v>10050</v>
      </c>
      <c r="G3379" s="15" t="s">
        <v>30462</v>
      </c>
      <c r="H3379" s="15" t="s">
        <v>30463</v>
      </c>
      <c r="I3379" s="15" t="s">
        <v>30464</v>
      </c>
      <c r="J3379" s="15" t="s">
        <v>30465</v>
      </c>
      <c r="K3379" s="15">
        <v>13218777</v>
      </c>
      <c r="L3379" s="15" t="s">
        <v>19099</v>
      </c>
    </row>
    <row r="3380" spans="1:12" x14ac:dyDescent="0.25">
      <c r="A3380" s="2" t="s">
        <v>10052</v>
      </c>
      <c r="B3380" s="8" t="s">
        <v>18163</v>
      </c>
      <c r="C3380" s="2" t="s">
        <v>10052</v>
      </c>
      <c r="D3380" s="2" t="s">
        <v>10053</v>
      </c>
      <c r="E3380" s="4" t="s">
        <v>10053</v>
      </c>
      <c r="G3380" s="15" t="s">
        <v>30466</v>
      </c>
      <c r="H3380" s="15" t="s">
        <v>30467</v>
      </c>
      <c r="I3380" s="15" t="s">
        <v>30468</v>
      </c>
      <c r="J3380" s="15" t="s">
        <v>30469</v>
      </c>
      <c r="K3380" s="15">
        <v>5281875</v>
      </c>
      <c r="L3380" s="15" t="s">
        <v>19099</v>
      </c>
    </row>
    <row r="3381" spans="1:12" x14ac:dyDescent="0.25">
      <c r="A3381" s="2" t="s">
        <v>10055</v>
      </c>
      <c r="B3381" s="8" t="s">
        <v>18164</v>
      </c>
      <c r="C3381" s="2" t="s">
        <v>10055</v>
      </c>
      <c r="D3381" s="2" t="s">
        <v>10056</v>
      </c>
      <c r="E3381" s="4" t="s">
        <v>30470</v>
      </c>
      <c r="G3381" s="15" t="s">
        <v>30471</v>
      </c>
      <c r="H3381" s="15" t="s">
        <v>30472</v>
      </c>
      <c r="I3381" s="15" t="s">
        <v>30473</v>
      </c>
      <c r="J3381" s="15" t="s">
        <v>30474</v>
      </c>
      <c r="K3381" s="15">
        <v>24842</v>
      </c>
      <c r="L3381" s="15" t="s">
        <v>19099</v>
      </c>
    </row>
    <row r="3382" spans="1:12" x14ac:dyDescent="0.25">
      <c r="A3382" s="2" t="s">
        <v>10058</v>
      </c>
      <c r="B3382" s="8" t="s">
        <v>18165</v>
      </c>
      <c r="C3382" s="2" t="s">
        <v>10058</v>
      </c>
      <c r="D3382" s="2" t="s">
        <v>10059</v>
      </c>
      <c r="E3382" s="4" t="s">
        <v>10059</v>
      </c>
      <c r="G3382" s="15" t="s">
        <v>10059</v>
      </c>
      <c r="H3382" s="15" t="s">
        <v>30475</v>
      </c>
      <c r="I3382" s="15" t="s">
        <v>30476</v>
      </c>
      <c r="J3382" s="15" t="s">
        <v>30477</v>
      </c>
      <c r="K3382" s="15">
        <v>9321</v>
      </c>
      <c r="L3382" s="15" t="s">
        <v>19099</v>
      </c>
    </row>
    <row r="3383" spans="1:12" x14ac:dyDescent="0.25">
      <c r="A3383" s="2" t="s">
        <v>10061</v>
      </c>
      <c r="B3383" s="8" t="s">
        <v>18166</v>
      </c>
      <c r="C3383" s="2" t="s">
        <v>10061</v>
      </c>
      <c r="D3383" s="2" t="s">
        <v>10062</v>
      </c>
      <c r="E3383" s="4" t="s">
        <v>30478</v>
      </c>
      <c r="G3383" s="15" t="s">
        <v>30479</v>
      </c>
      <c r="H3383" s="15" t="s">
        <v>30480</v>
      </c>
      <c r="I3383" s="15" t="s">
        <v>30481</v>
      </c>
      <c r="J3383" s="15" t="s">
        <v>30482</v>
      </c>
      <c r="K3383" s="15">
        <v>24781</v>
      </c>
      <c r="L3383" s="15" t="s">
        <v>19099</v>
      </c>
    </row>
    <row r="3384" spans="1:12" x14ac:dyDescent="0.25">
      <c r="A3384" s="2" t="s">
        <v>10064</v>
      </c>
      <c r="B3384" s="8" t="s">
        <v>18167</v>
      </c>
      <c r="C3384" s="2" t="s">
        <v>10064</v>
      </c>
      <c r="D3384" s="2" t="s">
        <v>10065</v>
      </c>
      <c r="E3384" s="4" t="s">
        <v>30483</v>
      </c>
      <c r="G3384" s="15" t="s">
        <v>30484</v>
      </c>
      <c r="H3384" s="15" t="s">
        <v>30485</v>
      </c>
      <c r="I3384" s="15" t="s">
        <v>30486</v>
      </c>
      <c r="J3384" s="15" t="s">
        <v>30487</v>
      </c>
      <c r="K3384" s="15">
        <v>656641</v>
      </c>
      <c r="L3384" s="15" t="s">
        <v>19099</v>
      </c>
    </row>
    <row r="3385" spans="1:12" x14ac:dyDescent="0.25">
      <c r="A3385" s="2" t="s">
        <v>10067</v>
      </c>
      <c r="B3385" s="8" t="s">
        <v>18168</v>
      </c>
      <c r="C3385" s="2" t="s">
        <v>10067</v>
      </c>
      <c r="D3385" s="2" t="s">
        <v>10068</v>
      </c>
      <c r="E3385" s="4" t="s">
        <v>10068</v>
      </c>
      <c r="G3385" s="15" t="s">
        <v>30488</v>
      </c>
      <c r="H3385" s="15" t="s">
        <v>30489</v>
      </c>
      <c r="I3385" s="15" t="s">
        <v>30490</v>
      </c>
      <c r="J3385" s="15" t="s">
        <v>19629</v>
      </c>
      <c r="K3385" s="15">
        <v>6363</v>
      </c>
      <c r="L3385" s="15" t="s">
        <v>19099</v>
      </c>
    </row>
    <row r="3386" spans="1:12" x14ac:dyDescent="0.25">
      <c r="A3386" s="2" t="s">
        <v>10070</v>
      </c>
      <c r="B3386" s="8" t="s">
        <v>18169</v>
      </c>
      <c r="C3386" s="2" t="s">
        <v>10070</v>
      </c>
      <c r="D3386" s="2" t="s">
        <v>10071</v>
      </c>
      <c r="E3386" s="4" t="s">
        <v>30491</v>
      </c>
      <c r="G3386" s="15" t="s">
        <v>30492</v>
      </c>
      <c r="H3386" s="15" t="s">
        <v>30493</v>
      </c>
      <c r="I3386" s="15" t="s">
        <v>30494</v>
      </c>
      <c r="J3386" s="15" t="s">
        <v>21182</v>
      </c>
      <c r="K3386" s="15">
        <v>19920</v>
      </c>
      <c r="L3386" s="15" t="s">
        <v>19099</v>
      </c>
    </row>
    <row r="3387" spans="1:12" x14ac:dyDescent="0.25">
      <c r="A3387" s="2" t="s">
        <v>10073</v>
      </c>
      <c r="B3387" s="8" t="s">
        <v>18170</v>
      </c>
      <c r="C3387" s="2" t="s">
        <v>10073</v>
      </c>
      <c r="D3387" s="2" t="s">
        <v>10074</v>
      </c>
      <c r="E3387" s="4" t="s">
        <v>30495</v>
      </c>
      <c r="G3387" s="15" t="s">
        <v>30496</v>
      </c>
      <c r="H3387" s="15" t="s">
        <v>30497</v>
      </c>
      <c r="I3387" s="15" t="s">
        <v>30498</v>
      </c>
      <c r="J3387" s="15" t="s">
        <v>22442</v>
      </c>
      <c r="K3387" s="15">
        <v>7915</v>
      </c>
      <c r="L3387" s="15" t="s">
        <v>19099</v>
      </c>
    </row>
    <row r="3388" spans="1:12" x14ac:dyDescent="0.25">
      <c r="A3388" s="2" t="s">
        <v>10076</v>
      </c>
      <c r="B3388" s="8" t="s">
        <v>18171</v>
      </c>
      <c r="C3388" s="2" t="s">
        <v>10076</v>
      </c>
      <c r="D3388" s="2" t="s">
        <v>10077</v>
      </c>
      <c r="E3388" s="4" t="s">
        <v>10077</v>
      </c>
      <c r="G3388" s="15" t="s">
        <v>30499</v>
      </c>
      <c r="H3388" s="15" t="s">
        <v>30500</v>
      </c>
      <c r="I3388" s="15" t="s">
        <v>30501</v>
      </c>
      <c r="J3388" s="15" t="s">
        <v>19582</v>
      </c>
      <c r="K3388" s="15">
        <v>94411</v>
      </c>
      <c r="L3388" s="15" t="s">
        <v>19099</v>
      </c>
    </row>
    <row r="3389" spans="1:12" x14ac:dyDescent="0.25">
      <c r="A3389" s="2" t="s">
        <v>10079</v>
      </c>
      <c r="B3389" s="8" t="s">
        <v>18172</v>
      </c>
      <c r="C3389" s="2" t="s">
        <v>10079</v>
      </c>
      <c r="D3389" s="2" t="s">
        <v>10080</v>
      </c>
      <c r="E3389" s="4" t="s">
        <v>30502</v>
      </c>
      <c r="G3389" s="15" t="s">
        <v>30503</v>
      </c>
      <c r="H3389" s="15" t="s">
        <v>30504</v>
      </c>
      <c r="I3389" s="15" t="s">
        <v>30505</v>
      </c>
      <c r="J3389" s="15" t="s">
        <v>29906</v>
      </c>
      <c r="K3389" s="15">
        <v>40520</v>
      </c>
      <c r="L3389" s="15" t="s">
        <v>19099</v>
      </c>
    </row>
    <row r="3390" spans="1:12" x14ac:dyDescent="0.25">
      <c r="A3390" s="2" t="s">
        <v>10082</v>
      </c>
      <c r="B3390" s="8" t="s">
        <v>18173</v>
      </c>
      <c r="C3390" s="2" t="s">
        <v>10082</v>
      </c>
      <c r="D3390" s="2" t="s">
        <v>10083</v>
      </c>
      <c r="E3390" s="4" t="s">
        <v>30506</v>
      </c>
      <c r="G3390" s="15" t="s">
        <v>30507</v>
      </c>
      <c r="H3390" s="15" t="s">
        <v>30508</v>
      </c>
      <c r="I3390" s="15" t="s">
        <v>30509</v>
      </c>
      <c r="J3390" s="15" t="s">
        <v>22345</v>
      </c>
      <c r="K3390" s="15">
        <v>8042</v>
      </c>
      <c r="L3390" s="15" t="s">
        <v>19099</v>
      </c>
    </row>
    <row r="3391" spans="1:12" x14ac:dyDescent="0.25">
      <c r="A3391" s="2" t="s">
        <v>10085</v>
      </c>
      <c r="B3391" s="8" t="s">
        <v>18174</v>
      </c>
      <c r="C3391" s="2" t="s">
        <v>10085</v>
      </c>
      <c r="D3391" s="2" t="s">
        <v>10086</v>
      </c>
      <c r="E3391" s="4" t="s">
        <v>10086</v>
      </c>
      <c r="G3391" s="15" t="s">
        <v>30510</v>
      </c>
      <c r="H3391" s="15" t="s">
        <v>30511</v>
      </c>
      <c r="I3391" s="15" t="s">
        <v>30512</v>
      </c>
      <c r="J3391" s="15" t="s">
        <v>19634</v>
      </c>
      <c r="K3391" s="15">
        <v>6558</v>
      </c>
      <c r="L3391" s="15" t="s">
        <v>19099</v>
      </c>
    </row>
    <row r="3392" spans="1:12" x14ac:dyDescent="0.25">
      <c r="A3392" s="2" t="s">
        <v>10088</v>
      </c>
      <c r="B3392" s="8" t="s">
        <v>18175</v>
      </c>
      <c r="C3392" s="2" t="s">
        <v>10088</v>
      </c>
      <c r="D3392" s="2" t="s">
        <v>10089</v>
      </c>
      <c r="E3392" s="4" t="s">
        <v>30513</v>
      </c>
      <c r="G3392" s="15" t="s">
        <v>30514</v>
      </c>
      <c r="H3392" s="15" t="s">
        <v>30515</v>
      </c>
      <c r="I3392" s="15" t="s">
        <v>30516</v>
      </c>
      <c r="J3392" s="15" t="s">
        <v>19219</v>
      </c>
      <c r="K3392" s="15">
        <v>10870</v>
      </c>
      <c r="L3392" s="15" t="s">
        <v>19099</v>
      </c>
    </row>
    <row r="3393" spans="1:12" x14ac:dyDescent="0.25">
      <c r="A3393" s="2" t="s">
        <v>10091</v>
      </c>
      <c r="B3393" s="8" t="s">
        <v>18176</v>
      </c>
      <c r="C3393" s="2" t="s">
        <v>10091</v>
      </c>
      <c r="D3393" s="2" t="s">
        <v>10092</v>
      </c>
      <c r="E3393" s="4" t="s">
        <v>30517</v>
      </c>
      <c r="G3393" s="15" t="s">
        <v>30518</v>
      </c>
      <c r="H3393" s="15" t="s">
        <v>30519</v>
      </c>
      <c r="I3393" s="15" t="s">
        <v>30520</v>
      </c>
      <c r="J3393" s="15" t="s">
        <v>22816</v>
      </c>
      <c r="K3393" s="15">
        <v>7819</v>
      </c>
      <c r="L3393" s="15" t="s">
        <v>19099</v>
      </c>
    </row>
    <row r="3394" spans="1:12" x14ac:dyDescent="0.25">
      <c r="A3394" s="2" t="s">
        <v>10094</v>
      </c>
      <c r="B3394" s="8" t="s">
        <v>18177</v>
      </c>
      <c r="C3394" s="2" t="s">
        <v>10094</v>
      </c>
      <c r="D3394" s="2" t="s">
        <v>10095</v>
      </c>
      <c r="E3394" s="4" t="s">
        <v>30521</v>
      </c>
      <c r="G3394" s="15" t="s">
        <v>30522</v>
      </c>
      <c r="H3394" s="15" t="s">
        <v>30523</v>
      </c>
      <c r="I3394" s="15" t="s">
        <v>30524</v>
      </c>
      <c r="J3394" s="15" t="s">
        <v>21182</v>
      </c>
      <c r="K3394" s="15">
        <v>8038</v>
      </c>
      <c r="L3394" s="15" t="s">
        <v>19099</v>
      </c>
    </row>
    <row r="3395" spans="1:12" x14ac:dyDescent="0.25">
      <c r="A3395" s="2" t="s">
        <v>10097</v>
      </c>
      <c r="B3395" s="8" t="s">
        <v>18178</v>
      </c>
      <c r="C3395" s="2" t="s">
        <v>10097</v>
      </c>
      <c r="D3395" s="2" t="s">
        <v>10098</v>
      </c>
      <c r="E3395" s="4" t="s">
        <v>30525</v>
      </c>
      <c r="G3395" s="15" t="s">
        <v>30526</v>
      </c>
      <c r="H3395" s="15" t="s">
        <v>30527</v>
      </c>
      <c r="I3395" s="15" t="s">
        <v>30528</v>
      </c>
      <c r="J3395" s="15" t="s">
        <v>30529</v>
      </c>
      <c r="K3395" s="15">
        <v>57347326</v>
      </c>
      <c r="L3395" s="15" t="s">
        <v>19099</v>
      </c>
    </row>
    <row r="3396" spans="1:12" x14ac:dyDescent="0.25">
      <c r="A3396" s="2" t="s">
        <v>10100</v>
      </c>
      <c r="B3396" s="8" t="s">
        <v>18179</v>
      </c>
      <c r="C3396" s="2" t="s">
        <v>10100</v>
      </c>
      <c r="D3396" s="2" t="s">
        <v>10101</v>
      </c>
      <c r="E3396" s="4" t="s">
        <v>10101</v>
      </c>
      <c r="G3396" s="15" t="s">
        <v>30530</v>
      </c>
      <c r="H3396" s="15" t="s">
        <v>30531</v>
      </c>
      <c r="I3396" s="15" t="s">
        <v>30532</v>
      </c>
      <c r="J3396" s="15" t="s">
        <v>23205</v>
      </c>
      <c r="K3396" s="15">
        <v>613445</v>
      </c>
      <c r="L3396" s="15" t="s">
        <v>19099</v>
      </c>
    </row>
    <row r="3397" spans="1:12" x14ac:dyDescent="0.25">
      <c r="A3397" s="2" t="s">
        <v>10103</v>
      </c>
      <c r="B3397" s="8" t="s">
        <v>18180</v>
      </c>
      <c r="C3397" s="2" t="s">
        <v>10103</v>
      </c>
      <c r="D3397" s="2" t="s">
        <v>10104</v>
      </c>
      <c r="E3397" s="4" t="s">
        <v>30533</v>
      </c>
      <c r="G3397" s="15" t="s">
        <v>30534</v>
      </c>
      <c r="H3397" s="15" t="s">
        <v>30535</v>
      </c>
      <c r="I3397" s="15" t="s">
        <v>30536</v>
      </c>
      <c r="J3397" s="15" t="s">
        <v>30537</v>
      </c>
      <c r="K3397" s="15">
        <v>84098</v>
      </c>
      <c r="L3397" s="15" t="s">
        <v>19099</v>
      </c>
    </row>
    <row r="3398" spans="1:12" x14ac:dyDescent="0.25">
      <c r="A3398" s="2" t="s">
        <v>10106</v>
      </c>
      <c r="B3398" s="8" t="s">
        <v>18181</v>
      </c>
      <c r="C3398" s="2" t="s">
        <v>10106</v>
      </c>
      <c r="D3398" s="2" t="s">
        <v>10107</v>
      </c>
      <c r="E3398" s="4" t="s">
        <v>10107</v>
      </c>
      <c r="G3398" s="15" t="s">
        <v>30538</v>
      </c>
      <c r="H3398" s="15" t="s">
        <v>30539</v>
      </c>
      <c r="I3398" s="15" t="s">
        <v>30540</v>
      </c>
      <c r="J3398" s="15" t="s">
        <v>30541</v>
      </c>
      <c r="K3398" s="15">
        <v>15530</v>
      </c>
      <c r="L3398" s="15" t="s">
        <v>19099</v>
      </c>
    </row>
    <row r="3399" spans="1:12" x14ac:dyDescent="0.25">
      <c r="A3399" s="2" t="s">
        <v>10109</v>
      </c>
      <c r="B3399" s="8" t="s">
        <v>18182</v>
      </c>
      <c r="C3399" s="2" t="s">
        <v>10109</v>
      </c>
      <c r="D3399" s="2" t="s">
        <v>10110</v>
      </c>
      <c r="E3399" s="4" t="s">
        <v>30542</v>
      </c>
      <c r="G3399" s="15" t="s">
        <v>30543</v>
      </c>
      <c r="H3399" s="15" t="s">
        <v>30544</v>
      </c>
      <c r="I3399" s="15" t="s">
        <v>30545</v>
      </c>
      <c r="J3399" s="15" t="s">
        <v>20593</v>
      </c>
      <c r="K3399" s="15">
        <v>31276</v>
      </c>
      <c r="L3399" s="15" t="s">
        <v>19099</v>
      </c>
    </row>
    <row r="3400" spans="1:12" x14ac:dyDescent="0.25">
      <c r="A3400" s="2" t="s">
        <v>10112</v>
      </c>
      <c r="B3400" s="8" t="s">
        <v>18183</v>
      </c>
      <c r="C3400" s="2" t="s">
        <v>10112</v>
      </c>
      <c r="D3400" s="2" t="s">
        <v>10113</v>
      </c>
      <c r="E3400" s="4" t="s">
        <v>10113</v>
      </c>
      <c r="G3400" s="15" t="s">
        <v>30546</v>
      </c>
      <c r="H3400" s="15" t="s">
        <v>30547</v>
      </c>
      <c r="I3400" s="15" t="s">
        <v>30548</v>
      </c>
      <c r="J3400" s="15" t="s">
        <v>30549</v>
      </c>
      <c r="K3400" s="15">
        <v>3672</v>
      </c>
      <c r="L3400" s="15" t="s">
        <v>19099</v>
      </c>
    </row>
    <row r="3401" spans="1:12" x14ac:dyDescent="0.25">
      <c r="A3401" s="2" t="s">
        <v>10115</v>
      </c>
      <c r="B3401" s="8" t="s">
        <v>18184</v>
      </c>
      <c r="C3401" s="2" t="s">
        <v>10115</v>
      </c>
      <c r="D3401" s="2" t="s">
        <v>10116</v>
      </c>
      <c r="E3401" s="4" t="s">
        <v>30550</v>
      </c>
      <c r="G3401" s="15" t="s">
        <v>30551</v>
      </c>
      <c r="H3401" s="15" t="s">
        <v>30552</v>
      </c>
      <c r="I3401" s="15" t="s">
        <v>30553</v>
      </c>
      <c r="J3401" s="15" t="s">
        <v>19462</v>
      </c>
      <c r="K3401" s="15">
        <v>6590</v>
      </c>
      <c r="L3401" s="15" t="s">
        <v>19099</v>
      </c>
    </row>
    <row r="3402" spans="1:12" x14ac:dyDescent="0.25">
      <c r="A3402" s="2" t="s">
        <v>10118</v>
      </c>
      <c r="B3402" s="8" t="s">
        <v>18185</v>
      </c>
      <c r="C3402" s="2" t="s">
        <v>10118</v>
      </c>
      <c r="D3402" s="2" t="s">
        <v>10119</v>
      </c>
      <c r="E3402" s="4" t="s">
        <v>10119</v>
      </c>
      <c r="G3402" s="15" t="s">
        <v>30554</v>
      </c>
      <c r="H3402" s="15" t="s">
        <v>30555</v>
      </c>
      <c r="I3402" s="15" t="s">
        <v>30556</v>
      </c>
      <c r="J3402" s="15" t="s">
        <v>30557</v>
      </c>
      <c r="K3402" s="15">
        <v>90479</v>
      </c>
      <c r="L3402" s="15" t="s">
        <v>19099</v>
      </c>
    </row>
    <row r="3403" spans="1:12" x14ac:dyDescent="0.25">
      <c r="A3403" s="2" t="s">
        <v>10121</v>
      </c>
      <c r="B3403" s="8" t="s">
        <v>18186</v>
      </c>
      <c r="C3403" s="2" t="s">
        <v>10121</v>
      </c>
      <c r="D3403" s="2" t="s">
        <v>10122</v>
      </c>
      <c r="E3403" s="4" t="s">
        <v>10122</v>
      </c>
      <c r="G3403" s="15" t="s">
        <v>30558</v>
      </c>
      <c r="H3403" s="15" t="s">
        <v>30559</v>
      </c>
      <c r="I3403" s="15" t="s">
        <v>30560</v>
      </c>
      <c r="J3403" s="15" t="s">
        <v>30561</v>
      </c>
      <c r="K3403" s="15">
        <v>35699</v>
      </c>
      <c r="L3403" s="15" t="s">
        <v>19099</v>
      </c>
    </row>
    <row r="3404" spans="1:12" x14ac:dyDescent="0.25">
      <c r="A3404" s="2" t="s">
        <v>10124</v>
      </c>
      <c r="B3404" s="8" t="s">
        <v>18187</v>
      </c>
      <c r="C3404" s="2" t="s">
        <v>10124</v>
      </c>
      <c r="D3404" s="2" t="s">
        <v>10125</v>
      </c>
      <c r="E3404" s="4" t="s">
        <v>10125</v>
      </c>
      <c r="G3404" s="15" t="s">
        <v>30562</v>
      </c>
      <c r="H3404" s="15" t="s">
        <v>30563</v>
      </c>
      <c r="I3404" s="15" t="s">
        <v>30564</v>
      </c>
      <c r="J3404" s="15" t="s">
        <v>30565</v>
      </c>
      <c r="K3404" s="15">
        <v>125098</v>
      </c>
      <c r="L3404" s="15" t="s">
        <v>19099</v>
      </c>
    </row>
    <row r="3405" spans="1:12" x14ac:dyDescent="0.25">
      <c r="A3405" s="2" t="s">
        <v>10127</v>
      </c>
      <c r="B3405" s="8" t="s">
        <v>18188</v>
      </c>
      <c r="C3405" s="2" t="s">
        <v>10127</v>
      </c>
      <c r="D3405" s="2" t="s">
        <v>10128</v>
      </c>
      <c r="E3405" s="4" t="s">
        <v>10128</v>
      </c>
      <c r="G3405" s="15" t="s">
        <v>30566</v>
      </c>
      <c r="H3405" s="15" t="s">
        <v>30567</v>
      </c>
      <c r="I3405" s="15" t="s">
        <v>30568</v>
      </c>
      <c r="J3405" s="15" t="s">
        <v>27914</v>
      </c>
      <c r="K3405" s="15">
        <v>2087</v>
      </c>
      <c r="L3405" s="15" t="s">
        <v>19099</v>
      </c>
    </row>
    <row r="3406" spans="1:12" x14ac:dyDescent="0.25">
      <c r="A3406" s="2" t="s">
        <v>10130</v>
      </c>
      <c r="B3406" s="8" t="s">
        <v>18189</v>
      </c>
      <c r="C3406" s="2" t="s">
        <v>10130</v>
      </c>
      <c r="D3406" s="2" t="s">
        <v>10131</v>
      </c>
      <c r="E3406" s="4" t="s">
        <v>10131</v>
      </c>
      <c r="G3406" s="15" t="s">
        <v>30569</v>
      </c>
      <c r="H3406" s="15" t="s">
        <v>30570</v>
      </c>
      <c r="I3406" s="15" t="s">
        <v>30571</v>
      </c>
      <c r="J3406" s="15" t="s">
        <v>29183</v>
      </c>
      <c r="K3406" s="15">
        <v>3690</v>
      </c>
      <c r="L3406" s="15" t="s">
        <v>19099</v>
      </c>
    </row>
    <row r="3407" spans="1:12" x14ac:dyDescent="0.25">
      <c r="A3407" s="2" t="s">
        <v>10133</v>
      </c>
      <c r="B3407" s="8" t="s">
        <v>18190</v>
      </c>
      <c r="C3407" s="2" t="s">
        <v>10133</v>
      </c>
      <c r="D3407" s="2" t="s">
        <v>10134</v>
      </c>
      <c r="E3407" s="4" t="s">
        <v>30572</v>
      </c>
      <c r="G3407" s="15" t="s">
        <v>30573</v>
      </c>
      <c r="H3407" s="15" t="s">
        <v>30574</v>
      </c>
      <c r="I3407" s="15" t="s">
        <v>30575</v>
      </c>
      <c r="J3407" s="15" t="s">
        <v>30576</v>
      </c>
      <c r="K3407" s="15">
        <v>35736</v>
      </c>
      <c r="L3407" s="15" t="s">
        <v>19099</v>
      </c>
    </row>
    <row r="3408" spans="1:12" x14ac:dyDescent="0.25">
      <c r="A3408" s="2" t="s">
        <v>10136</v>
      </c>
      <c r="B3408" s="8" t="s">
        <v>18191</v>
      </c>
      <c r="C3408" s="2" t="s">
        <v>10136</v>
      </c>
      <c r="D3408" s="2" t="s">
        <v>10137</v>
      </c>
      <c r="E3408" s="4" t="s">
        <v>30577</v>
      </c>
      <c r="G3408" s="15" t="s">
        <v>30578</v>
      </c>
      <c r="H3408" s="15" t="s">
        <v>30579</v>
      </c>
      <c r="I3408" s="15" t="s">
        <v>30580</v>
      </c>
      <c r="J3408" s="15" t="s">
        <v>30581</v>
      </c>
      <c r="K3408" s="15">
        <v>32872</v>
      </c>
      <c r="L3408" s="15" t="s">
        <v>19099</v>
      </c>
    </row>
    <row r="3409" spans="1:12" x14ac:dyDescent="0.25">
      <c r="A3409" s="2" t="s">
        <v>10139</v>
      </c>
      <c r="B3409" s="8" t="s">
        <v>18192</v>
      </c>
      <c r="C3409" s="2" t="s">
        <v>10139</v>
      </c>
      <c r="D3409" s="2" t="s">
        <v>10140</v>
      </c>
      <c r="E3409" s="4" t="s">
        <v>30582</v>
      </c>
      <c r="G3409" s="15" t="s">
        <v>30583</v>
      </c>
      <c r="H3409" s="15" t="s">
        <v>30584</v>
      </c>
      <c r="I3409" s="15" t="s">
        <v>30585</v>
      </c>
      <c r="J3409" s="15" t="s">
        <v>30586</v>
      </c>
      <c r="K3409" s="15">
        <v>169132</v>
      </c>
      <c r="L3409" s="15" t="s">
        <v>19099</v>
      </c>
    </row>
    <row r="3410" spans="1:12" x14ac:dyDescent="0.25">
      <c r="A3410" s="2" t="s">
        <v>10142</v>
      </c>
      <c r="B3410" s="8" t="s">
        <v>18193</v>
      </c>
      <c r="C3410" s="2" t="s">
        <v>10142</v>
      </c>
      <c r="D3410" s="2" t="s">
        <v>10143</v>
      </c>
      <c r="E3410" s="4" t="s">
        <v>30587</v>
      </c>
      <c r="G3410" s="15" t="s">
        <v>30588</v>
      </c>
      <c r="H3410" s="15" t="s">
        <v>30589</v>
      </c>
      <c r="I3410" s="15" t="s">
        <v>30590</v>
      </c>
      <c r="J3410" s="15" t="s">
        <v>30591</v>
      </c>
      <c r="K3410" s="15">
        <v>6544</v>
      </c>
      <c r="L3410" s="15" t="s">
        <v>19099</v>
      </c>
    </row>
    <row r="3411" spans="1:12" x14ac:dyDescent="0.25">
      <c r="A3411" s="2" t="s">
        <v>10145</v>
      </c>
      <c r="B3411" s="8" t="s">
        <v>18194</v>
      </c>
      <c r="C3411" s="2" t="s">
        <v>10145</v>
      </c>
      <c r="D3411" s="2" t="s">
        <v>10146</v>
      </c>
      <c r="E3411" s="4" t="s">
        <v>30592</v>
      </c>
      <c r="G3411" s="15" t="s">
        <v>30593</v>
      </c>
      <c r="H3411" s="15" t="s">
        <v>30594</v>
      </c>
      <c r="I3411" s="15" t="s">
        <v>30595</v>
      </c>
      <c r="J3411" s="15" t="s">
        <v>28045</v>
      </c>
      <c r="K3411" s="15">
        <v>99068</v>
      </c>
      <c r="L3411" s="15" t="s">
        <v>19099</v>
      </c>
    </row>
    <row r="3412" spans="1:12" x14ac:dyDescent="0.25">
      <c r="A3412" s="2" t="s">
        <v>10148</v>
      </c>
      <c r="B3412" s="8" t="s">
        <v>18195</v>
      </c>
      <c r="C3412" s="2" t="s">
        <v>10148</v>
      </c>
      <c r="D3412" s="2" t="s">
        <v>10149</v>
      </c>
      <c r="E3412" s="4" t="s">
        <v>10149</v>
      </c>
      <c r="G3412" s="15" t="s">
        <v>30596</v>
      </c>
      <c r="H3412" s="15" t="s">
        <v>30597</v>
      </c>
      <c r="I3412" s="15" t="s">
        <v>30598</v>
      </c>
      <c r="J3412" s="15" t="s">
        <v>30599</v>
      </c>
      <c r="K3412" s="15">
        <v>86287518</v>
      </c>
      <c r="L3412" s="15" t="s">
        <v>19099</v>
      </c>
    </row>
    <row r="3413" spans="1:12" x14ac:dyDescent="0.25">
      <c r="A3413" s="2" t="s">
        <v>10151</v>
      </c>
      <c r="B3413" s="8" t="s">
        <v>18196</v>
      </c>
      <c r="C3413" s="2" t="s">
        <v>10151</v>
      </c>
      <c r="D3413" s="2" t="s">
        <v>10152</v>
      </c>
      <c r="E3413" s="4" t="s">
        <v>10152</v>
      </c>
      <c r="G3413" s="15" t="s">
        <v>30600</v>
      </c>
      <c r="H3413" s="15" t="s">
        <v>30601</v>
      </c>
      <c r="I3413" s="15" t="s">
        <v>30602</v>
      </c>
      <c r="J3413" s="15" t="s">
        <v>30603</v>
      </c>
      <c r="K3413" s="15">
        <v>37175</v>
      </c>
      <c r="L3413" s="15" t="s">
        <v>19099</v>
      </c>
    </row>
    <row r="3414" spans="1:12" x14ac:dyDescent="0.25">
      <c r="A3414" s="2" t="s">
        <v>10154</v>
      </c>
      <c r="B3414" s="8" t="s">
        <v>18197</v>
      </c>
      <c r="C3414" s="2" t="s">
        <v>10154</v>
      </c>
      <c r="D3414" s="2" t="s">
        <v>10155</v>
      </c>
      <c r="E3414" s="4" t="s">
        <v>10155</v>
      </c>
    </row>
    <row r="3415" spans="1:12" x14ac:dyDescent="0.25">
      <c r="A3415" s="2" t="s">
        <v>10157</v>
      </c>
      <c r="B3415" s="8" t="s">
        <v>18198</v>
      </c>
      <c r="C3415" s="2" t="s">
        <v>10157</v>
      </c>
      <c r="D3415" s="2" t="s">
        <v>10158</v>
      </c>
      <c r="E3415" s="4" t="s">
        <v>10158</v>
      </c>
      <c r="G3415" s="15" t="s">
        <v>30604</v>
      </c>
      <c r="H3415" s="15" t="s">
        <v>30605</v>
      </c>
      <c r="I3415" s="15" t="s">
        <v>30606</v>
      </c>
      <c r="J3415" s="15" t="s">
        <v>30607</v>
      </c>
      <c r="K3415" s="15">
        <v>86137</v>
      </c>
      <c r="L3415" s="15" t="s">
        <v>19099</v>
      </c>
    </row>
    <row r="3416" spans="1:12" x14ac:dyDescent="0.25">
      <c r="A3416" s="2" t="s">
        <v>10160</v>
      </c>
      <c r="B3416" s="8" t="s">
        <v>18199</v>
      </c>
      <c r="C3416" s="2" t="s">
        <v>10160</v>
      </c>
      <c r="D3416" s="2" t="s">
        <v>10161</v>
      </c>
      <c r="E3416" s="4" t="s">
        <v>10161</v>
      </c>
      <c r="G3416" s="15" t="s">
        <v>30608</v>
      </c>
      <c r="H3416" s="15" t="s">
        <v>30609</v>
      </c>
      <c r="I3416" s="15" t="s">
        <v>30610</v>
      </c>
      <c r="J3416" s="15" t="s">
        <v>20707</v>
      </c>
      <c r="K3416" s="15">
        <v>10326</v>
      </c>
      <c r="L3416" s="15" t="s">
        <v>19099</v>
      </c>
    </row>
    <row r="3417" spans="1:12" x14ac:dyDescent="0.25">
      <c r="A3417" s="2" t="s">
        <v>10163</v>
      </c>
      <c r="B3417" s="8" t="s">
        <v>18200</v>
      </c>
      <c r="C3417" s="2" t="s">
        <v>10163</v>
      </c>
      <c r="D3417" s="2" t="s">
        <v>10164</v>
      </c>
      <c r="E3417" s="4" t="s">
        <v>30611</v>
      </c>
      <c r="G3417" s="15" t="s">
        <v>30612</v>
      </c>
      <c r="H3417" s="15" t="s">
        <v>30613</v>
      </c>
      <c r="I3417" s="15" t="s">
        <v>30614</v>
      </c>
      <c r="J3417" s="15" t="s">
        <v>30615</v>
      </c>
      <c r="K3417" s="15">
        <v>7219</v>
      </c>
      <c r="L3417" s="15" t="s">
        <v>19099</v>
      </c>
    </row>
    <row r="3418" spans="1:12" x14ac:dyDescent="0.25">
      <c r="A3418" s="2" t="s">
        <v>10166</v>
      </c>
      <c r="B3418" s="8" t="s">
        <v>18201</v>
      </c>
      <c r="C3418" s="2" t="s">
        <v>10166</v>
      </c>
      <c r="D3418" s="2" t="s">
        <v>10167</v>
      </c>
      <c r="E3418" s="4" t="s">
        <v>30616</v>
      </c>
      <c r="G3418" s="15" t="s">
        <v>30617</v>
      </c>
      <c r="H3418" s="15" t="s">
        <v>30618</v>
      </c>
      <c r="I3418" s="15" t="s">
        <v>30619</v>
      </c>
      <c r="J3418" s="15" t="s">
        <v>30620</v>
      </c>
      <c r="K3418" s="15">
        <v>798</v>
      </c>
      <c r="L3418" s="15" t="s">
        <v>19099</v>
      </c>
    </row>
    <row r="3419" spans="1:12" x14ac:dyDescent="0.25">
      <c r="A3419" s="2" t="s">
        <v>10169</v>
      </c>
      <c r="B3419" s="8" t="s">
        <v>18202</v>
      </c>
      <c r="C3419" s="2" t="s">
        <v>10169</v>
      </c>
      <c r="D3419" s="2" t="s">
        <v>10170</v>
      </c>
      <c r="E3419" s="4" t="s">
        <v>30621</v>
      </c>
      <c r="G3419" s="15" t="s">
        <v>30622</v>
      </c>
      <c r="H3419" s="15" t="s">
        <v>30623</v>
      </c>
      <c r="I3419" s="15" t="s">
        <v>30624</v>
      </c>
      <c r="J3419" s="15" t="s">
        <v>30625</v>
      </c>
      <c r="K3419" s="15">
        <v>802</v>
      </c>
      <c r="L3419" s="15" t="s">
        <v>19099</v>
      </c>
    </row>
    <row r="3420" spans="1:12" x14ac:dyDescent="0.25">
      <c r="A3420" s="2" t="s">
        <v>10172</v>
      </c>
      <c r="B3420" s="8" t="s">
        <v>18203</v>
      </c>
      <c r="C3420" s="2" t="s">
        <v>10172</v>
      </c>
      <c r="D3420" s="2" t="s">
        <v>10173</v>
      </c>
      <c r="E3420" s="4" t="s">
        <v>30626</v>
      </c>
      <c r="G3420" s="15" t="s">
        <v>30627</v>
      </c>
      <c r="H3420" s="15" t="s">
        <v>30628</v>
      </c>
      <c r="I3420" s="15" t="s">
        <v>30629</v>
      </c>
      <c r="J3420" s="15" t="s">
        <v>30630</v>
      </c>
      <c r="K3420" s="15">
        <v>8617</v>
      </c>
      <c r="L3420" s="15" t="s">
        <v>19099</v>
      </c>
    </row>
    <row r="3421" spans="1:12" x14ac:dyDescent="0.25">
      <c r="A3421" s="2" t="s">
        <v>10175</v>
      </c>
      <c r="B3421" s="8" t="s">
        <v>18204</v>
      </c>
      <c r="C3421" s="2" t="s">
        <v>10175</v>
      </c>
      <c r="D3421" s="2" t="s">
        <v>10176</v>
      </c>
      <c r="E3421" s="4" t="s">
        <v>30631</v>
      </c>
      <c r="G3421" s="15" t="s">
        <v>30632</v>
      </c>
      <c r="H3421" s="15" t="s">
        <v>30633</v>
      </c>
      <c r="I3421" s="15" t="s">
        <v>30634</v>
      </c>
      <c r="J3421" s="15" t="s">
        <v>30635</v>
      </c>
      <c r="K3421" s="15">
        <v>3715</v>
      </c>
      <c r="L3421" s="15" t="s">
        <v>19099</v>
      </c>
    </row>
    <row r="3422" spans="1:12" x14ac:dyDescent="0.25">
      <c r="A3422" s="2" t="s">
        <v>10178</v>
      </c>
      <c r="B3422" s="8" t="s">
        <v>18205</v>
      </c>
      <c r="C3422" s="2" t="s">
        <v>10178</v>
      </c>
      <c r="D3422" s="2" t="s">
        <v>10179</v>
      </c>
      <c r="E3422" s="4" t="s">
        <v>30636</v>
      </c>
      <c r="G3422" s="15" t="s">
        <v>30637</v>
      </c>
      <c r="H3422" s="15" t="s">
        <v>30638</v>
      </c>
      <c r="I3422" s="15" t="s">
        <v>30639</v>
      </c>
      <c r="J3422" s="15" t="s">
        <v>30640</v>
      </c>
      <c r="K3422" s="15">
        <v>107720</v>
      </c>
      <c r="L3422" s="15" t="s">
        <v>19099</v>
      </c>
    </row>
    <row r="3423" spans="1:12" x14ac:dyDescent="0.25">
      <c r="A3423" s="2" t="s">
        <v>10181</v>
      </c>
      <c r="B3423" s="8" t="s">
        <v>18206</v>
      </c>
      <c r="C3423" s="2" t="s">
        <v>10181</v>
      </c>
      <c r="D3423" s="2" t="s">
        <v>10182</v>
      </c>
      <c r="E3423" s="4" t="s">
        <v>30641</v>
      </c>
      <c r="G3423" s="15" t="s">
        <v>30642</v>
      </c>
      <c r="H3423" s="15" t="s">
        <v>30643</v>
      </c>
      <c r="I3423" s="15" t="s">
        <v>30644</v>
      </c>
      <c r="J3423" s="15" t="s">
        <v>30640</v>
      </c>
      <c r="K3423" s="15">
        <v>18772464</v>
      </c>
      <c r="L3423" s="15" t="s">
        <v>19099</v>
      </c>
    </row>
    <row r="3424" spans="1:12" x14ac:dyDescent="0.25">
      <c r="A3424" s="2" t="s">
        <v>10184</v>
      </c>
      <c r="B3424" s="8" t="s">
        <v>18207</v>
      </c>
      <c r="C3424" s="2" t="s">
        <v>10184</v>
      </c>
      <c r="D3424" s="2" t="s">
        <v>10185</v>
      </c>
      <c r="E3424" s="4" t="s">
        <v>30645</v>
      </c>
      <c r="G3424" s="15" t="s">
        <v>30646</v>
      </c>
      <c r="H3424" s="15" t="s">
        <v>30647</v>
      </c>
      <c r="I3424" s="15" t="s">
        <v>30648</v>
      </c>
      <c r="J3424" s="15" t="s">
        <v>30649</v>
      </c>
      <c r="K3424" s="15">
        <v>19730</v>
      </c>
      <c r="L3424" s="15" t="s">
        <v>19099</v>
      </c>
    </row>
    <row r="3425" spans="1:12" x14ac:dyDescent="0.25">
      <c r="A3425" s="2" t="s">
        <v>10187</v>
      </c>
      <c r="B3425" s="8" t="s">
        <v>18208</v>
      </c>
      <c r="C3425" s="2" t="s">
        <v>10187</v>
      </c>
      <c r="D3425" s="2" t="s">
        <v>10188</v>
      </c>
      <c r="E3425" s="4" t="s">
        <v>30650</v>
      </c>
      <c r="G3425" s="15" t="s">
        <v>30651</v>
      </c>
      <c r="H3425" s="15" t="s">
        <v>30652</v>
      </c>
      <c r="I3425" s="15" t="s">
        <v>30653</v>
      </c>
      <c r="J3425" s="15" t="s">
        <v>30654</v>
      </c>
      <c r="K3425" s="15">
        <v>37517</v>
      </c>
      <c r="L3425" s="15" t="s">
        <v>19099</v>
      </c>
    </row>
    <row r="3426" spans="1:12" x14ac:dyDescent="0.25">
      <c r="A3426" s="2" t="s">
        <v>10190</v>
      </c>
      <c r="B3426" s="8" t="s">
        <v>18209</v>
      </c>
      <c r="C3426" s="2" t="s">
        <v>10190</v>
      </c>
      <c r="D3426" s="2" t="s">
        <v>10191</v>
      </c>
      <c r="E3426" s="4" t="s">
        <v>10191</v>
      </c>
      <c r="G3426" s="15" t="s">
        <v>30655</v>
      </c>
      <c r="H3426" s="15" t="s">
        <v>30656</v>
      </c>
      <c r="I3426" s="15" t="s">
        <v>30657</v>
      </c>
      <c r="J3426" s="15" t="s">
        <v>20029</v>
      </c>
      <c r="K3426" s="15">
        <v>17517</v>
      </c>
      <c r="L3426" s="15" t="s">
        <v>19099</v>
      </c>
    </row>
    <row r="3427" spans="1:12" x14ac:dyDescent="0.25">
      <c r="A3427" s="2" t="s">
        <v>10193</v>
      </c>
      <c r="B3427" s="8" t="s">
        <v>18210</v>
      </c>
      <c r="C3427" s="2" t="s">
        <v>10193</v>
      </c>
      <c r="D3427" s="2" t="s">
        <v>10194</v>
      </c>
      <c r="E3427" s="4" t="s">
        <v>10194</v>
      </c>
      <c r="G3427" s="15" t="s">
        <v>30658</v>
      </c>
      <c r="H3427" s="15" t="s">
        <v>30659</v>
      </c>
      <c r="I3427" s="15" t="s">
        <v>30660</v>
      </c>
      <c r="J3427" s="15" t="s">
        <v>30661</v>
      </c>
      <c r="K3427" s="15">
        <v>33294</v>
      </c>
      <c r="L3427" s="15" t="s">
        <v>19099</v>
      </c>
    </row>
    <row r="3428" spans="1:12" x14ac:dyDescent="0.25">
      <c r="A3428" s="2" t="s">
        <v>10196</v>
      </c>
      <c r="B3428" s="8" t="s">
        <v>18211</v>
      </c>
      <c r="C3428" s="2" t="s">
        <v>10196</v>
      </c>
      <c r="D3428" s="2" t="s">
        <v>10197</v>
      </c>
      <c r="E3428" s="4" t="s">
        <v>10197</v>
      </c>
      <c r="G3428" s="15" t="s">
        <v>30662</v>
      </c>
      <c r="H3428" s="15" t="s">
        <v>30663</v>
      </c>
      <c r="I3428" s="15" t="s">
        <v>30664</v>
      </c>
      <c r="J3428" s="15" t="s">
        <v>19690</v>
      </c>
      <c r="K3428" s="15">
        <v>7996</v>
      </c>
      <c r="L3428" s="15" t="s">
        <v>19099</v>
      </c>
    </row>
    <row r="3429" spans="1:12" x14ac:dyDescent="0.25">
      <c r="A3429" s="2" t="s">
        <v>10199</v>
      </c>
      <c r="B3429" s="8" t="s">
        <v>18212</v>
      </c>
      <c r="C3429" s="2" t="s">
        <v>10199</v>
      </c>
      <c r="D3429" s="2" t="s">
        <v>10200</v>
      </c>
      <c r="E3429" s="4" t="s">
        <v>10200</v>
      </c>
      <c r="G3429" s="15" t="s">
        <v>30665</v>
      </c>
      <c r="H3429" s="15" t="s">
        <v>30666</v>
      </c>
      <c r="I3429" s="15" t="s">
        <v>30667</v>
      </c>
      <c r="J3429" s="15" t="s">
        <v>30668</v>
      </c>
      <c r="K3429" s="15">
        <v>39681</v>
      </c>
      <c r="L3429" s="15" t="s">
        <v>19099</v>
      </c>
    </row>
    <row r="3430" spans="1:12" x14ac:dyDescent="0.25">
      <c r="A3430" s="2" t="s">
        <v>10202</v>
      </c>
      <c r="B3430" s="8" t="s">
        <v>18213</v>
      </c>
      <c r="C3430" s="2" t="s">
        <v>10202</v>
      </c>
      <c r="D3430" s="2" t="s">
        <v>10203</v>
      </c>
      <c r="E3430" s="4" t="s">
        <v>10203</v>
      </c>
      <c r="G3430" s="15" t="s">
        <v>30669</v>
      </c>
      <c r="H3430" s="15" t="s">
        <v>30670</v>
      </c>
      <c r="I3430" s="15" t="s">
        <v>30671</v>
      </c>
      <c r="J3430" s="15" t="s">
        <v>30672</v>
      </c>
      <c r="K3430" s="15">
        <v>36679</v>
      </c>
      <c r="L3430" s="15" t="s">
        <v>19099</v>
      </c>
    </row>
    <row r="3431" spans="1:12" x14ac:dyDescent="0.25">
      <c r="A3431" s="2" t="s">
        <v>10205</v>
      </c>
      <c r="B3431" s="8" t="s">
        <v>18214</v>
      </c>
      <c r="C3431" s="2" t="s">
        <v>10205</v>
      </c>
      <c r="D3431" s="2" t="s">
        <v>10206</v>
      </c>
      <c r="E3431" s="4" t="s">
        <v>10206</v>
      </c>
      <c r="G3431" s="15" t="s">
        <v>30673</v>
      </c>
      <c r="H3431" s="15" t="s">
        <v>30674</v>
      </c>
      <c r="I3431" s="15" t="s">
        <v>30675</v>
      </c>
      <c r="J3431" s="15" t="s">
        <v>30676</v>
      </c>
      <c r="K3431" s="15">
        <v>10958189</v>
      </c>
      <c r="L3431" s="15" t="s">
        <v>19099</v>
      </c>
    </row>
    <row r="3432" spans="1:12" x14ac:dyDescent="0.25">
      <c r="A3432" s="2" t="s">
        <v>10208</v>
      </c>
      <c r="B3432" s="8" t="s">
        <v>18215</v>
      </c>
      <c r="C3432" s="2" t="s">
        <v>10208</v>
      </c>
      <c r="D3432" s="2" t="s">
        <v>10209</v>
      </c>
      <c r="E3432" s="4" t="s">
        <v>10209</v>
      </c>
      <c r="G3432" s="15" t="s">
        <v>10209</v>
      </c>
      <c r="H3432" s="15" t="s">
        <v>30677</v>
      </c>
      <c r="I3432" s="15" t="s">
        <v>30678</v>
      </c>
      <c r="J3432" s="15" t="s">
        <v>30679</v>
      </c>
      <c r="K3432" s="15">
        <v>8405</v>
      </c>
      <c r="L3432" s="15" t="s">
        <v>19099</v>
      </c>
    </row>
    <row r="3433" spans="1:12" x14ac:dyDescent="0.25">
      <c r="A3433" s="2" t="s">
        <v>10211</v>
      </c>
      <c r="B3433" s="8" t="s">
        <v>18216</v>
      </c>
      <c r="C3433" s="2" t="s">
        <v>10211</v>
      </c>
      <c r="D3433" s="2" t="s">
        <v>10212</v>
      </c>
      <c r="E3433" s="4" t="s">
        <v>10212</v>
      </c>
      <c r="G3433" s="15" t="s">
        <v>30680</v>
      </c>
      <c r="H3433" s="15" t="s">
        <v>30681</v>
      </c>
      <c r="I3433" s="15" t="s">
        <v>30682</v>
      </c>
      <c r="J3433" s="15" t="s">
        <v>30683</v>
      </c>
      <c r="K3433" s="15">
        <v>3749</v>
      </c>
      <c r="L3433" s="15" t="s">
        <v>19099</v>
      </c>
    </row>
    <row r="3434" spans="1:12" x14ac:dyDescent="0.25">
      <c r="A3434" s="2" t="s">
        <v>10214</v>
      </c>
      <c r="B3434" s="8" t="s">
        <v>18217</v>
      </c>
      <c r="C3434" s="2" t="s">
        <v>10214</v>
      </c>
      <c r="D3434" s="2" t="s">
        <v>10215</v>
      </c>
      <c r="E3434" s="4" t="s">
        <v>10215</v>
      </c>
      <c r="G3434" s="15" t="s">
        <v>30684</v>
      </c>
      <c r="H3434" s="15" t="s">
        <v>30685</v>
      </c>
      <c r="I3434" s="15" t="s">
        <v>30686</v>
      </c>
      <c r="J3434" s="15" t="s">
        <v>30687</v>
      </c>
      <c r="K3434" s="15">
        <v>91590</v>
      </c>
      <c r="L3434" s="15" t="s">
        <v>19099</v>
      </c>
    </row>
    <row r="3435" spans="1:12" x14ac:dyDescent="0.25">
      <c r="A3435" s="2" t="s">
        <v>10217</v>
      </c>
      <c r="B3435" s="8" t="s">
        <v>18218</v>
      </c>
      <c r="C3435" s="2" t="s">
        <v>10217</v>
      </c>
      <c r="D3435" s="2" t="s">
        <v>10218</v>
      </c>
      <c r="E3435" s="4" t="s">
        <v>10218</v>
      </c>
      <c r="G3435" s="15" t="s">
        <v>30688</v>
      </c>
      <c r="H3435" s="15" t="s">
        <v>30689</v>
      </c>
      <c r="I3435" s="15" t="s">
        <v>30690</v>
      </c>
      <c r="J3435" s="15" t="s">
        <v>19467</v>
      </c>
      <c r="K3435" s="15">
        <v>637796</v>
      </c>
      <c r="L3435" s="15" t="s">
        <v>19099</v>
      </c>
    </row>
    <row r="3436" spans="1:12" x14ac:dyDescent="0.25">
      <c r="A3436" s="2" t="s">
        <v>10220</v>
      </c>
      <c r="B3436" s="8" t="s">
        <v>18219</v>
      </c>
      <c r="C3436" s="2" t="s">
        <v>10220</v>
      </c>
      <c r="D3436" s="2" t="s">
        <v>10221</v>
      </c>
      <c r="E3436" s="4" t="s">
        <v>10221</v>
      </c>
      <c r="G3436" s="15" t="s">
        <v>30691</v>
      </c>
      <c r="H3436" s="15" t="s">
        <v>30692</v>
      </c>
      <c r="I3436" s="15" t="s">
        <v>30693</v>
      </c>
      <c r="J3436" s="15" t="s">
        <v>30694</v>
      </c>
      <c r="K3436" s="15">
        <v>25271089</v>
      </c>
      <c r="L3436" s="15" t="s">
        <v>19099</v>
      </c>
    </row>
    <row r="3437" spans="1:12" x14ac:dyDescent="0.25">
      <c r="A3437" s="2" t="s">
        <v>10223</v>
      </c>
      <c r="B3437" s="8" t="s">
        <v>18220</v>
      </c>
      <c r="C3437" s="2" t="s">
        <v>10223</v>
      </c>
      <c r="D3437" s="2" t="s">
        <v>10224</v>
      </c>
      <c r="E3437" s="4" t="s">
        <v>10224</v>
      </c>
      <c r="G3437" s="15" t="s">
        <v>30695</v>
      </c>
      <c r="H3437" s="15" t="s">
        <v>30696</v>
      </c>
      <c r="I3437" s="15" t="s">
        <v>30697</v>
      </c>
      <c r="J3437" s="15" t="s">
        <v>30698</v>
      </c>
      <c r="K3437" s="15">
        <v>12597</v>
      </c>
      <c r="L3437" s="15" t="s">
        <v>19099</v>
      </c>
    </row>
    <row r="3438" spans="1:12" x14ac:dyDescent="0.25">
      <c r="A3438" s="2" t="s">
        <v>10226</v>
      </c>
      <c r="B3438" s="8" t="s">
        <v>18221</v>
      </c>
      <c r="C3438" s="2" t="s">
        <v>10226</v>
      </c>
      <c r="D3438" s="2" t="s">
        <v>10227</v>
      </c>
      <c r="E3438" s="4" t="s">
        <v>10227</v>
      </c>
      <c r="G3438" s="15" t="s">
        <v>30699</v>
      </c>
      <c r="H3438" s="15" t="s">
        <v>30700</v>
      </c>
      <c r="I3438" s="15" t="s">
        <v>30701</v>
      </c>
      <c r="J3438" s="15" t="s">
        <v>30702</v>
      </c>
      <c r="K3438" s="15">
        <v>73672</v>
      </c>
      <c r="L3438" s="15" t="s">
        <v>19099</v>
      </c>
    </row>
    <row r="3439" spans="1:12" x14ac:dyDescent="0.25">
      <c r="A3439" s="2" t="s">
        <v>10229</v>
      </c>
      <c r="B3439" s="8" t="s">
        <v>18222</v>
      </c>
      <c r="C3439" s="2" t="s">
        <v>10229</v>
      </c>
      <c r="D3439" s="2" t="s">
        <v>10230</v>
      </c>
      <c r="E3439" s="4" t="s">
        <v>10230</v>
      </c>
      <c r="G3439" s="15" t="s">
        <v>30703</v>
      </c>
      <c r="H3439" s="15" t="s">
        <v>30704</v>
      </c>
      <c r="I3439" s="15" t="s">
        <v>30705</v>
      </c>
      <c r="J3439" s="15" t="s">
        <v>30706</v>
      </c>
      <c r="K3439" s="15">
        <v>39223</v>
      </c>
      <c r="L3439" s="15" t="s">
        <v>19099</v>
      </c>
    </row>
    <row r="3440" spans="1:12" x14ac:dyDescent="0.25">
      <c r="A3440" s="2" t="s">
        <v>10232</v>
      </c>
      <c r="B3440" s="8" t="s">
        <v>18223</v>
      </c>
      <c r="C3440" s="2" t="s">
        <v>10232</v>
      </c>
      <c r="D3440" s="2" t="s">
        <v>10233</v>
      </c>
      <c r="E3440" s="4" t="s">
        <v>10233</v>
      </c>
      <c r="G3440" s="15" t="s">
        <v>30707</v>
      </c>
      <c r="H3440" s="15" t="s">
        <v>30708</v>
      </c>
      <c r="I3440" s="15" t="s">
        <v>30709</v>
      </c>
      <c r="J3440" s="15" t="s">
        <v>30710</v>
      </c>
      <c r="K3440" s="15">
        <v>41648</v>
      </c>
      <c r="L3440" s="15" t="s">
        <v>19099</v>
      </c>
    </row>
    <row r="3441" spans="1:12" x14ac:dyDescent="0.25">
      <c r="A3441" s="2" t="s">
        <v>10235</v>
      </c>
      <c r="B3441" s="8" t="s">
        <v>18224</v>
      </c>
      <c r="C3441" s="2" t="s">
        <v>10235</v>
      </c>
      <c r="D3441" s="2" t="s">
        <v>10236</v>
      </c>
      <c r="E3441" s="4" t="s">
        <v>30711</v>
      </c>
      <c r="G3441" s="15" t="s">
        <v>30712</v>
      </c>
      <c r="H3441" s="15" t="s">
        <v>30713</v>
      </c>
      <c r="I3441" s="15" t="s">
        <v>30714</v>
      </c>
      <c r="J3441" s="15" t="s">
        <v>22442</v>
      </c>
      <c r="K3441" s="15">
        <v>10430</v>
      </c>
      <c r="L3441" s="15" t="s">
        <v>19099</v>
      </c>
    </row>
    <row r="3442" spans="1:12" x14ac:dyDescent="0.25">
      <c r="A3442" s="2" t="s">
        <v>10238</v>
      </c>
      <c r="B3442" s="8" t="s">
        <v>18225</v>
      </c>
      <c r="C3442" s="2" t="s">
        <v>10238</v>
      </c>
      <c r="D3442" s="2" t="s">
        <v>10239</v>
      </c>
      <c r="E3442" s="4" t="s">
        <v>30715</v>
      </c>
      <c r="G3442" s="15" t="s">
        <v>30716</v>
      </c>
      <c r="H3442" s="15" t="s">
        <v>30717</v>
      </c>
      <c r="I3442" s="15" t="s">
        <v>30718</v>
      </c>
      <c r="J3442" s="15" t="s">
        <v>30719</v>
      </c>
      <c r="K3442" s="15">
        <v>6321424</v>
      </c>
      <c r="L3442" s="15" t="s">
        <v>19099</v>
      </c>
    </row>
    <row r="3443" spans="1:12" x14ac:dyDescent="0.25">
      <c r="A3443" s="2" t="s">
        <v>10241</v>
      </c>
      <c r="B3443" s="8" t="s">
        <v>18226</v>
      </c>
      <c r="C3443" s="2" t="s">
        <v>10241</v>
      </c>
      <c r="D3443" s="2" t="s">
        <v>10242</v>
      </c>
      <c r="E3443" s="4" t="s">
        <v>10242</v>
      </c>
      <c r="G3443" s="15" t="s">
        <v>30720</v>
      </c>
      <c r="H3443" s="15" t="s">
        <v>30721</v>
      </c>
      <c r="I3443" s="15" t="s">
        <v>30722</v>
      </c>
      <c r="J3443" s="15" t="s">
        <v>30723</v>
      </c>
      <c r="K3443" s="15">
        <v>6451155</v>
      </c>
      <c r="L3443" s="15" t="s">
        <v>19099</v>
      </c>
    </row>
    <row r="3444" spans="1:12" x14ac:dyDescent="0.25">
      <c r="A3444" s="2" t="s">
        <v>10244</v>
      </c>
      <c r="B3444" s="8" t="s">
        <v>18227</v>
      </c>
      <c r="C3444" s="2" t="s">
        <v>10244</v>
      </c>
      <c r="D3444" s="2" t="s">
        <v>10245</v>
      </c>
      <c r="E3444" s="4" t="s">
        <v>10245</v>
      </c>
      <c r="G3444" s="15" t="s">
        <v>30724</v>
      </c>
      <c r="H3444" s="15" t="s">
        <v>30725</v>
      </c>
      <c r="I3444" s="15" t="s">
        <v>30726</v>
      </c>
      <c r="J3444" s="15" t="s">
        <v>30727</v>
      </c>
      <c r="K3444" s="15">
        <v>29307</v>
      </c>
      <c r="L3444" s="15" t="s">
        <v>19099</v>
      </c>
    </row>
    <row r="3445" spans="1:12" x14ac:dyDescent="0.25">
      <c r="A3445" s="2" t="s">
        <v>10247</v>
      </c>
      <c r="B3445" s="8" t="s">
        <v>18228</v>
      </c>
      <c r="C3445" s="2" t="s">
        <v>10247</v>
      </c>
      <c r="D3445" s="2" t="s">
        <v>10248</v>
      </c>
      <c r="E3445" s="4" t="s">
        <v>30728</v>
      </c>
      <c r="G3445" s="15" t="s">
        <v>30729</v>
      </c>
      <c r="H3445" s="15" t="s">
        <v>30730</v>
      </c>
      <c r="I3445" s="15" t="s">
        <v>30731</v>
      </c>
      <c r="J3445" s="15" t="s">
        <v>30732</v>
      </c>
      <c r="K3445" s="15">
        <v>28935</v>
      </c>
      <c r="L3445" s="15" t="s">
        <v>19099</v>
      </c>
    </row>
    <row r="3446" spans="1:12" x14ac:dyDescent="0.25">
      <c r="A3446" s="2" t="s">
        <v>10250</v>
      </c>
      <c r="B3446" s="8" t="s">
        <v>18229</v>
      </c>
      <c r="C3446" s="2" t="s">
        <v>10250</v>
      </c>
      <c r="D3446" s="2" t="s">
        <v>10251</v>
      </c>
      <c r="E3446" s="4" t="s">
        <v>30733</v>
      </c>
      <c r="G3446" s="15" t="s">
        <v>30734</v>
      </c>
      <c r="H3446" s="15" t="s">
        <v>30735</v>
      </c>
      <c r="I3446" s="15" t="s">
        <v>30736</v>
      </c>
      <c r="J3446" s="15" t="s">
        <v>30737</v>
      </c>
      <c r="K3446" s="15">
        <v>3724</v>
      </c>
      <c r="L3446" s="15" t="s">
        <v>19099</v>
      </c>
    </row>
    <row r="3447" spans="1:12" x14ac:dyDescent="0.25">
      <c r="A3447" s="2" t="s">
        <v>10253</v>
      </c>
      <c r="B3447" s="8" t="s">
        <v>18230</v>
      </c>
      <c r="C3447" s="2" t="s">
        <v>10253</v>
      </c>
      <c r="D3447" s="2" t="s">
        <v>10254</v>
      </c>
      <c r="E3447" s="4" t="s">
        <v>30738</v>
      </c>
      <c r="G3447" s="15" t="s">
        <v>30739</v>
      </c>
      <c r="H3447" s="15" t="s">
        <v>30740</v>
      </c>
      <c r="I3447" s="15" t="s">
        <v>30741</v>
      </c>
      <c r="J3447" s="15" t="s">
        <v>30742</v>
      </c>
      <c r="K3447" s="15">
        <v>3739</v>
      </c>
      <c r="L3447" s="15" t="s">
        <v>19099</v>
      </c>
    </row>
    <row r="3448" spans="1:12" x14ac:dyDescent="0.25">
      <c r="A3448" s="2" t="s">
        <v>10256</v>
      </c>
      <c r="B3448" s="8" t="s">
        <v>18231</v>
      </c>
      <c r="C3448" s="2" t="s">
        <v>10256</v>
      </c>
      <c r="D3448" s="2" t="s">
        <v>10257</v>
      </c>
      <c r="E3448" s="4" t="s">
        <v>10257</v>
      </c>
      <c r="G3448" s="15" t="s">
        <v>30743</v>
      </c>
      <c r="H3448" s="15" t="s">
        <v>30744</v>
      </c>
      <c r="I3448" s="15" t="s">
        <v>30745</v>
      </c>
      <c r="J3448" s="15" t="s">
        <v>30746</v>
      </c>
      <c r="K3448" s="15">
        <v>3730</v>
      </c>
      <c r="L3448" s="15" t="s">
        <v>19099</v>
      </c>
    </row>
    <row r="3449" spans="1:12" x14ac:dyDescent="0.25">
      <c r="A3449" s="2" t="s">
        <v>10259</v>
      </c>
      <c r="B3449" s="8" t="s">
        <v>18232</v>
      </c>
      <c r="C3449" s="2" t="s">
        <v>10259</v>
      </c>
      <c r="D3449" s="2" t="s">
        <v>10260</v>
      </c>
      <c r="E3449" s="4" t="s">
        <v>10260</v>
      </c>
      <c r="G3449" s="15" t="s">
        <v>30747</v>
      </c>
      <c r="H3449" s="15" t="s">
        <v>30748</v>
      </c>
      <c r="I3449" s="15" t="s">
        <v>30749</v>
      </c>
      <c r="J3449" s="15" t="s">
        <v>30750</v>
      </c>
      <c r="K3449" s="15">
        <v>3731</v>
      </c>
      <c r="L3449" s="15" t="s">
        <v>19099</v>
      </c>
    </row>
    <row r="3450" spans="1:12" x14ac:dyDescent="0.25">
      <c r="A3450" s="2" t="s">
        <v>10262</v>
      </c>
      <c r="B3450" s="8" t="s">
        <v>18233</v>
      </c>
      <c r="C3450" s="2" t="s">
        <v>10262</v>
      </c>
      <c r="D3450" s="2" t="s">
        <v>10263</v>
      </c>
      <c r="E3450" s="4" t="s">
        <v>30751</v>
      </c>
      <c r="G3450" s="15" t="s">
        <v>30752</v>
      </c>
      <c r="H3450" s="15" t="s">
        <v>30753</v>
      </c>
      <c r="I3450" s="15" t="s">
        <v>30754</v>
      </c>
      <c r="J3450" s="15" t="s">
        <v>30755</v>
      </c>
      <c r="K3450" s="15">
        <v>3736</v>
      </c>
      <c r="L3450" s="15" t="s">
        <v>19099</v>
      </c>
    </row>
    <row r="3451" spans="1:12" x14ac:dyDescent="0.25">
      <c r="A3451" s="2" t="s">
        <v>10265</v>
      </c>
      <c r="B3451" s="8" t="s">
        <v>18234</v>
      </c>
      <c r="C3451" s="2" t="s">
        <v>10265</v>
      </c>
      <c r="D3451" s="2" t="s">
        <v>10266</v>
      </c>
      <c r="E3451" s="4" t="s">
        <v>30756</v>
      </c>
      <c r="G3451" s="15" t="s">
        <v>30757</v>
      </c>
      <c r="H3451" s="15" t="s">
        <v>30758</v>
      </c>
      <c r="I3451" s="15" t="s">
        <v>30759</v>
      </c>
      <c r="J3451" s="15" t="s">
        <v>30750</v>
      </c>
      <c r="K3451" s="15">
        <v>65492</v>
      </c>
      <c r="L3451" s="15" t="s">
        <v>19099</v>
      </c>
    </row>
    <row r="3452" spans="1:12" x14ac:dyDescent="0.25">
      <c r="A3452" s="2" t="s">
        <v>10268</v>
      </c>
      <c r="B3452" s="8" t="s">
        <v>18235</v>
      </c>
      <c r="C3452" s="2" t="s">
        <v>10268</v>
      </c>
      <c r="D3452" s="2" t="s">
        <v>10269</v>
      </c>
      <c r="E3452" s="4" t="s">
        <v>30760</v>
      </c>
      <c r="G3452" s="15" t="s">
        <v>30761</v>
      </c>
      <c r="H3452" s="15" t="s">
        <v>30762</v>
      </c>
      <c r="I3452" s="15" t="s">
        <v>30763</v>
      </c>
      <c r="J3452" s="15" t="s">
        <v>30764</v>
      </c>
      <c r="K3452" s="15">
        <v>3735</v>
      </c>
      <c r="L3452" s="15" t="s">
        <v>19099</v>
      </c>
    </row>
    <row r="3453" spans="1:12" x14ac:dyDescent="0.25">
      <c r="A3453" s="2" t="s">
        <v>10271</v>
      </c>
      <c r="B3453" s="8" t="s">
        <v>18236</v>
      </c>
      <c r="C3453" s="2" t="s">
        <v>10271</v>
      </c>
      <c r="D3453" s="2" t="s">
        <v>10272</v>
      </c>
      <c r="E3453" s="4" t="s">
        <v>30765</v>
      </c>
      <c r="G3453" s="15" t="s">
        <v>30766</v>
      </c>
      <c r="H3453" s="15" t="s">
        <v>30767</v>
      </c>
      <c r="I3453" s="15" t="s">
        <v>30768</v>
      </c>
      <c r="J3453" s="15" t="s">
        <v>27964</v>
      </c>
      <c r="K3453" s="15">
        <v>3737</v>
      </c>
      <c r="L3453" s="15" t="s">
        <v>19099</v>
      </c>
    </row>
    <row r="3454" spans="1:12" x14ac:dyDescent="0.25">
      <c r="A3454" s="2" t="s">
        <v>10274</v>
      </c>
      <c r="B3454" s="8" t="s">
        <v>18237</v>
      </c>
      <c r="C3454" s="2" t="s">
        <v>10274</v>
      </c>
      <c r="D3454" s="2" t="s">
        <v>10275</v>
      </c>
      <c r="E3454" s="4" t="s">
        <v>30769</v>
      </c>
      <c r="G3454" s="15" t="s">
        <v>30770</v>
      </c>
      <c r="H3454" s="15" t="s">
        <v>30771</v>
      </c>
      <c r="I3454" s="15" t="s">
        <v>30772</v>
      </c>
      <c r="J3454" s="15" t="s">
        <v>30773</v>
      </c>
      <c r="K3454" s="15">
        <v>3742</v>
      </c>
      <c r="L3454" s="15" t="s">
        <v>19099</v>
      </c>
    </row>
    <row r="3455" spans="1:12" x14ac:dyDescent="0.25">
      <c r="A3455" s="2" t="s">
        <v>10277</v>
      </c>
      <c r="B3455" s="8" t="s">
        <v>18238</v>
      </c>
      <c r="C3455" s="2" t="s">
        <v>10277</v>
      </c>
      <c r="D3455" s="2" t="s">
        <v>10278</v>
      </c>
      <c r="E3455" s="4" t="s">
        <v>30774</v>
      </c>
      <c r="G3455" s="15" t="s">
        <v>30775</v>
      </c>
      <c r="H3455" s="15" t="s">
        <v>30776</v>
      </c>
      <c r="I3455" s="15" t="s">
        <v>30777</v>
      </c>
      <c r="J3455" s="15" t="s">
        <v>30778</v>
      </c>
      <c r="K3455" s="15">
        <v>34536</v>
      </c>
      <c r="L3455" s="15" t="s">
        <v>19099</v>
      </c>
    </row>
    <row r="3456" spans="1:12" x14ac:dyDescent="0.25">
      <c r="A3456" s="2" t="s">
        <v>10280</v>
      </c>
      <c r="B3456" s="8" t="s">
        <v>18239</v>
      </c>
      <c r="C3456" s="2" t="s">
        <v>10280</v>
      </c>
      <c r="D3456" s="2" t="s">
        <v>10281</v>
      </c>
      <c r="E3456" s="4" t="s">
        <v>30779</v>
      </c>
      <c r="G3456" s="15" t="s">
        <v>30780</v>
      </c>
      <c r="H3456" s="15" t="s">
        <v>30781</v>
      </c>
      <c r="I3456" s="15" t="s">
        <v>30782</v>
      </c>
      <c r="J3456" s="15" t="s">
        <v>30783</v>
      </c>
      <c r="K3456" s="15">
        <v>65174</v>
      </c>
      <c r="L3456" s="15" t="s">
        <v>19099</v>
      </c>
    </row>
    <row r="3457" spans="1:12" x14ac:dyDescent="0.25">
      <c r="A3457" s="2" t="s">
        <v>10283</v>
      </c>
      <c r="B3457" s="8" t="s">
        <v>18240</v>
      </c>
      <c r="C3457" s="2" t="s">
        <v>10283</v>
      </c>
      <c r="D3457" s="2" t="s">
        <v>10284</v>
      </c>
      <c r="E3457" s="4" t="s">
        <v>10284</v>
      </c>
      <c r="G3457" s="15" t="s">
        <v>30784</v>
      </c>
      <c r="H3457" s="15" t="s">
        <v>30785</v>
      </c>
      <c r="I3457" s="15" t="s">
        <v>30786</v>
      </c>
      <c r="J3457" s="15" t="s">
        <v>30787</v>
      </c>
      <c r="K3457" s="15">
        <v>3821</v>
      </c>
      <c r="L3457" s="15" t="s">
        <v>19099</v>
      </c>
    </row>
    <row r="3458" spans="1:12" x14ac:dyDescent="0.25">
      <c r="A3458" s="2" t="s">
        <v>10286</v>
      </c>
      <c r="B3458" s="8" t="s">
        <v>18241</v>
      </c>
      <c r="C3458" s="2" t="s">
        <v>10286</v>
      </c>
      <c r="D3458" s="2" t="s">
        <v>10287</v>
      </c>
      <c r="E3458" s="4" t="s">
        <v>10287</v>
      </c>
      <c r="G3458" s="15" t="s">
        <v>30788</v>
      </c>
      <c r="H3458" s="15" t="s">
        <v>30789</v>
      </c>
      <c r="I3458" s="15" t="s">
        <v>30790</v>
      </c>
      <c r="J3458" s="15" t="s">
        <v>30791</v>
      </c>
      <c r="K3458" s="15">
        <v>3825</v>
      </c>
      <c r="L3458" s="15" t="s">
        <v>19099</v>
      </c>
    </row>
    <row r="3459" spans="1:12" x14ac:dyDescent="0.25">
      <c r="A3459" s="2" t="s">
        <v>10289</v>
      </c>
      <c r="B3459" s="8" t="s">
        <v>18242</v>
      </c>
      <c r="C3459" s="2" t="s">
        <v>10289</v>
      </c>
      <c r="D3459" s="2" t="s">
        <v>10290</v>
      </c>
      <c r="E3459" s="4" t="s">
        <v>30792</v>
      </c>
    </row>
    <row r="3460" spans="1:12" x14ac:dyDescent="0.25">
      <c r="A3460" s="2" t="s">
        <v>10292</v>
      </c>
      <c r="B3460" s="8" t="s">
        <v>16180</v>
      </c>
      <c r="C3460" s="2" t="s">
        <v>10292</v>
      </c>
      <c r="D3460" s="2" t="s">
        <v>10293</v>
      </c>
      <c r="E3460" s="4" t="s">
        <v>30793</v>
      </c>
    </row>
    <row r="3461" spans="1:12" x14ac:dyDescent="0.25">
      <c r="A3461" s="2" t="s">
        <v>10294</v>
      </c>
      <c r="B3461" s="8" t="s">
        <v>16180</v>
      </c>
      <c r="C3461" s="2" t="s">
        <v>10294</v>
      </c>
      <c r="D3461" s="2" t="s">
        <v>10295</v>
      </c>
      <c r="E3461" s="4" t="s">
        <v>30794</v>
      </c>
    </row>
    <row r="3462" spans="1:12" x14ac:dyDescent="0.25">
      <c r="A3462" s="2" t="s">
        <v>10296</v>
      </c>
      <c r="B3462" s="8" t="s">
        <v>18243</v>
      </c>
      <c r="C3462" s="2" t="s">
        <v>10296</v>
      </c>
      <c r="D3462" s="2" t="s">
        <v>10297</v>
      </c>
      <c r="E3462" s="4" t="s">
        <v>10297</v>
      </c>
      <c r="G3462" s="15" t="s">
        <v>30795</v>
      </c>
      <c r="H3462" s="15" t="s">
        <v>30796</v>
      </c>
      <c r="I3462" s="15" t="s">
        <v>30797</v>
      </c>
      <c r="J3462" s="15" t="s">
        <v>30798</v>
      </c>
      <c r="K3462" s="15">
        <v>6112114</v>
      </c>
      <c r="L3462" s="15" t="s">
        <v>19099</v>
      </c>
    </row>
    <row r="3463" spans="1:12" x14ac:dyDescent="0.25">
      <c r="A3463" s="2" t="s">
        <v>10299</v>
      </c>
      <c r="B3463" s="8" t="s">
        <v>18244</v>
      </c>
      <c r="C3463" s="2" t="s">
        <v>10299</v>
      </c>
      <c r="D3463" s="2" t="s">
        <v>10300</v>
      </c>
      <c r="E3463" s="4" t="s">
        <v>10300</v>
      </c>
      <c r="G3463" s="15" t="s">
        <v>30799</v>
      </c>
      <c r="H3463" s="15" t="s">
        <v>30800</v>
      </c>
      <c r="I3463" s="15" t="s">
        <v>30801</v>
      </c>
      <c r="J3463" s="15" t="s">
        <v>30802</v>
      </c>
      <c r="K3463" s="15">
        <v>62276</v>
      </c>
      <c r="L3463" s="15" t="s">
        <v>19099</v>
      </c>
    </row>
    <row r="3464" spans="1:12" x14ac:dyDescent="0.25">
      <c r="A3464" s="2" t="s">
        <v>10302</v>
      </c>
      <c r="B3464" s="8" t="s">
        <v>18245</v>
      </c>
      <c r="C3464" s="2" t="s">
        <v>10302</v>
      </c>
      <c r="D3464" s="2" t="s">
        <v>10303</v>
      </c>
      <c r="E3464" s="4" t="s">
        <v>10303</v>
      </c>
      <c r="G3464" s="15" t="s">
        <v>30803</v>
      </c>
      <c r="H3464" s="15" t="s">
        <v>30804</v>
      </c>
      <c r="I3464" s="15" t="s">
        <v>30805</v>
      </c>
      <c r="J3464" s="15" t="s">
        <v>28772</v>
      </c>
      <c r="K3464" s="15">
        <v>6134</v>
      </c>
      <c r="L3464" s="15" t="s">
        <v>19995</v>
      </c>
    </row>
    <row r="3465" spans="1:12" x14ac:dyDescent="0.25">
      <c r="A3465" s="2" t="s">
        <v>10305</v>
      </c>
      <c r="B3465" s="8" t="s">
        <v>18246</v>
      </c>
      <c r="C3465" s="2" t="s">
        <v>10305</v>
      </c>
      <c r="D3465" s="2" t="s">
        <v>10306</v>
      </c>
      <c r="E3465" s="4" t="s">
        <v>10306</v>
      </c>
      <c r="G3465" s="15" t="s">
        <v>30806</v>
      </c>
      <c r="H3465" s="15" t="s">
        <v>30807</v>
      </c>
      <c r="I3465" s="15" t="s">
        <v>30808</v>
      </c>
      <c r="J3465" s="15" t="s">
        <v>30809</v>
      </c>
      <c r="K3465" s="15">
        <v>439306</v>
      </c>
      <c r="L3465" s="15" t="s">
        <v>19099</v>
      </c>
    </row>
    <row r="3466" spans="1:12" x14ac:dyDescent="0.25">
      <c r="A3466" s="2" t="s">
        <v>10308</v>
      </c>
      <c r="B3466" s="8" t="s">
        <v>18247</v>
      </c>
      <c r="C3466" s="2" t="s">
        <v>10308</v>
      </c>
      <c r="D3466" s="2" t="s">
        <v>10309</v>
      </c>
      <c r="E3466" s="4" t="s">
        <v>10309</v>
      </c>
      <c r="G3466" s="15" t="s">
        <v>30810</v>
      </c>
      <c r="H3466" s="15" t="s">
        <v>30811</v>
      </c>
      <c r="I3466" s="15" t="s">
        <v>30812</v>
      </c>
      <c r="J3466" s="15" t="s">
        <v>30813</v>
      </c>
      <c r="K3466" s="15">
        <v>3878</v>
      </c>
      <c r="L3466" s="15" t="s">
        <v>19099</v>
      </c>
    </row>
    <row r="3467" spans="1:12" x14ac:dyDescent="0.25">
      <c r="A3467" s="2" t="s">
        <v>10311</v>
      </c>
      <c r="B3467" s="8" t="s">
        <v>18248</v>
      </c>
      <c r="C3467" s="2" t="s">
        <v>10311</v>
      </c>
      <c r="D3467" s="2" t="s">
        <v>10312</v>
      </c>
      <c r="E3467" s="4" t="s">
        <v>10312</v>
      </c>
      <c r="G3467" s="15" t="s">
        <v>20026</v>
      </c>
      <c r="H3467" s="15" t="s">
        <v>20027</v>
      </c>
      <c r="I3467" s="15" t="s">
        <v>20028</v>
      </c>
      <c r="J3467" s="15" t="s">
        <v>20029</v>
      </c>
      <c r="K3467" s="15">
        <v>25550</v>
      </c>
      <c r="L3467" s="15" t="s">
        <v>19099</v>
      </c>
    </row>
    <row r="3468" spans="1:12" x14ac:dyDescent="0.25">
      <c r="A3468" s="2" t="s">
        <v>10314</v>
      </c>
      <c r="B3468" s="8" t="s">
        <v>18249</v>
      </c>
      <c r="C3468" s="2" t="s">
        <v>10314</v>
      </c>
      <c r="D3468" s="2" t="s">
        <v>10315</v>
      </c>
      <c r="E3468" s="4" t="s">
        <v>10315</v>
      </c>
      <c r="G3468" s="15" t="s">
        <v>30814</v>
      </c>
      <c r="H3468" s="15" t="s">
        <v>30815</v>
      </c>
      <c r="I3468" s="15" t="s">
        <v>30816</v>
      </c>
      <c r="J3468" s="15" t="s">
        <v>29224</v>
      </c>
      <c r="K3468" s="15">
        <v>6440554</v>
      </c>
      <c r="L3468" s="15" t="s">
        <v>19099</v>
      </c>
    </row>
    <row r="3469" spans="1:12" x14ac:dyDescent="0.25">
      <c r="A3469" s="2" t="s">
        <v>10317</v>
      </c>
      <c r="B3469" s="8" t="s">
        <v>18250</v>
      </c>
      <c r="C3469" s="2" t="s">
        <v>10317</v>
      </c>
      <c r="D3469" s="2" t="s">
        <v>10318</v>
      </c>
      <c r="E3469" s="4" t="s">
        <v>10318</v>
      </c>
      <c r="G3469" s="15" t="s">
        <v>30817</v>
      </c>
      <c r="H3469" s="15" t="s">
        <v>30818</v>
      </c>
      <c r="I3469" s="15" t="s">
        <v>30819</v>
      </c>
      <c r="J3469" s="15" t="s">
        <v>30820</v>
      </c>
      <c r="K3469" s="15">
        <v>16559</v>
      </c>
      <c r="L3469" s="15" t="s">
        <v>19099</v>
      </c>
    </row>
    <row r="3470" spans="1:12" x14ac:dyDescent="0.25">
      <c r="A3470" s="2" t="s">
        <v>10320</v>
      </c>
      <c r="B3470" s="8" t="s">
        <v>18251</v>
      </c>
      <c r="C3470" s="2" t="s">
        <v>10320</v>
      </c>
      <c r="D3470" s="2" t="s">
        <v>10321</v>
      </c>
      <c r="E3470" s="4" t="s">
        <v>10321</v>
      </c>
      <c r="G3470" s="15" t="s">
        <v>30821</v>
      </c>
      <c r="H3470" s="15" t="s">
        <v>30822</v>
      </c>
      <c r="I3470" s="15" t="s">
        <v>30823</v>
      </c>
      <c r="J3470" s="15" t="s">
        <v>30824</v>
      </c>
      <c r="K3470" s="15">
        <v>30709</v>
      </c>
      <c r="L3470" s="15" t="s">
        <v>19099</v>
      </c>
    </row>
    <row r="3471" spans="1:12" x14ac:dyDescent="0.25">
      <c r="A3471" s="2" t="s">
        <v>10323</v>
      </c>
      <c r="B3471" s="8" t="s">
        <v>18252</v>
      </c>
      <c r="C3471" s="2" t="s">
        <v>10323</v>
      </c>
      <c r="D3471" s="2" t="s">
        <v>10324</v>
      </c>
      <c r="E3471" s="4" t="s">
        <v>30825</v>
      </c>
      <c r="G3471" s="15" t="s">
        <v>30826</v>
      </c>
      <c r="H3471" s="15" t="s">
        <v>30827</v>
      </c>
      <c r="I3471" s="15" t="s">
        <v>30828</v>
      </c>
      <c r="J3471" s="15" t="s">
        <v>30829</v>
      </c>
      <c r="K3471" s="15">
        <v>149096</v>
      </c>
      <c r="L3471" s="15" t="s">
        <v>19099</v>
      </c>
    </row>
    <row r="3472" spans="1:12" x14ac:dyDescent="0.25">
      <c r="A3472" s="2" t="s">
        <v>10326</v>
      </c>
      <c r="B3472" s="8" t="s">
        <v>18253</v>
      </c>
      <c r="C3472" s="2" t="s">
        <v>10326</v>
      </c>
      <c r="D3472" s="2" t="s">
        <v>10327</v>
      </c>
      <c r="E3472" s="4" t="s">
        <v>30830</v>
      </c>
      <c r="G3472" s="15" t="s">
        <v>30831</v>
      </c>
      <c r="H3472" s="15" t="s">
        <v>30832</v>
      </c>
      <c r="I3472" s="15" t="s">
        <v>30833</v>
      </c>
      <c r="J3472" s="15" t="s">
        <v>30834</v>
      </c>
      <c r="K3472" s="15">
        <v>26879</v>
      </c>
      <c r="L3472" s="15" t="s">
        <v>19099</v>
      </c>
    </row>
    <row r="3473" spans="1:12" x14ac:dyDescent="0.25">
      <c r="A3473" s="2" t="s">
        <v>10329</v>
      </c>
      <c r="B3473" s="8" t="s">
        <v>18254</v>
      </c>
      <c r="C3473" s="2" t="s">
        <v>10329</v>
      </c>
      <c r="D3473" s="2" t="s">
        <v>10330</v>
      </c>
      <c r="E3473" s="4" t="s">
        <v>10330</v>
      </c>
      <c r="G3473" s="15" t="s">
        <v>30835</v>
      </c>
      <c r="H3473" s="15" t="s">
        <v>30836</v>
      </c>
      <c r="I3473" s="15" t="s">
        <v>30837</v>
      </c>
      <c r="J3473" s="15" t="s">
        <v>30838</v>
      </c>
      <c r="K3473" s="15">
        <v>5284583</v>
      </c>
      <c r="L3473" s="15" t="s">
        <v>19099</v>
      </c>
    </row>
    <row r="3474" spans="1:12" x14ac:dyDescent="0.25">
      <c r="A3474" s="2" t="s">
        <v>10332</v>
      </c>
      <c r="B3474" s="8" t="s">
        <v>18255</v>
      </c>
      <c r="C3474" s="2" t="s">
        <v>10332</v>
      </c>
      <c r="D3474" s="2" t="s">
        <v>10333</v>
      </c>
      <c r="E3474" s="4" t="s">
        <v>10333</v>
      </c>
      <c r="G3474" s="15" t="s">
        <v>30839</v>
      </c>
      <c r="H3474" s="15" t="s">
        <v>30840</v>
      </c>
      <c r="I3474" s="15" t="s">
        <v>30841</v>
      </c>
      <c r="J3474" s="15" t="s">
        <v>30842</v>
      </c>
      <c r="K3474" s="15">
        <v>5819</v>
      </c>
      <c r="L3474" s="15" t="s">
        <v>19099</v>
      </c>
    </row>
    <row r="3475" spans="1:12" x14ac:dyDescent="0.25">
      <c r="A3475" s="2" t="s">
        <v>10335</v>
      </c>
      <c r="B3475" s="8" t="s">
        <v>18256</v>
      </c>
      <c r="C3475" s="2" t="s">
        <v>10335</v>
      </c>
      <c r="D3475" s="2" t="s">
        <v>10336</v>
      </c>
      <c r="E3475" s="4" t="s">
        <v>30843</v>
      </c>
      <c r="G3475" s="15" t="s">
        <v>30844</v>
      </c>
      <c r="H3475" s="15" t="s">
        <v>30845</v>
      </c>
      <c r="I3475" s="15" t="s">
        <v>30846</v>
      </c>
      <c r="J3475" s="15" t="s">
        <v>30847</v>
      </c>
      <c r="K3475" s="15">
        <v>3676</v>
      </c>
      <c r="L3475" s="15" t="s">
        <v>19099</v>
      </c>
    </row>
    <row r="3476" spans="1:12" x14ac:dyDescent="0.25">
      <c r="A3476" s="2" t="s">
        <v>10338</v>
      </c>
      <c r="B3476" s="8" t="s">
        <v>18257</v>
      </c>
      <c r="C3476" s="2" t="s">
        <v>10338</v>
      </c>
      <c r="D3476" s="2" t="s">
        <v>10339</v>
      </c>
      <c r="E3476" s="4" t="s">
        <v>30848</v>
      </c>
    </row>
    <row r="3477" spans="1:12" x14ac:dyDescent="0.25">
      <c r="A3477" s="2" t="s">
        <v>10341</v>
      </c>
      <c r="B3477" s="8" t="s">
        <v>18258</v>
      </c>
      <c r="C3477" s="2" t="s">
        <v>10341</v>
      </c>
      <c r="D3477" s="2" t="s">
        <v>10342</v>
      </c>
      <c r="E3477" s="4" t="s">
        <v>30849</v>
      </c>
      <c r="G3477" s="15" t="s">
        <v>30850</v>
      </c>
      <c r="H3477" s="15" t="s">
        <v>30851</v>
      </c>
      <c r="I3477" s="15" t="s">
        <v>30852</v>
      </c>
      <c r="J3477" s="15" t="s">
        <v>28050</v>
      </c>
      <c r="K3477" s="15">
        <v>22311</v>
      </c>
      <c r="L3477" s="15" t="s">
        <v>19099</v>
      </c>
    </row>
    <row r="3478" spans="1:12" x14ac:dyDescent="0.25">
      <c r="A3478" s="2" t="s">
        <v>10344</v>
      </c>
      <c r="B3478" s="8" t="s">
        <v>18259</v>
      </c>
      <c r="C3478" s="2" t="s">
        <v>10344</v>
      </c>
      <c r="D3478" s="2" t="s">
        <v>10345</v>
      </c>
      <c r="E3478" s="4" t="s">
        <v>30853</v>
      </c>
      <c r="G3478" s="15" t="s">
        <v>30854</v>
      </c>
      <c r="H3478" s="15" t="s">
        <v>30855</v>
      </c>
      <c r="I3478" s="15" t="s">
        <v>30856</v>
      </c>
      <c r="J3478" s="15" t="s">
        <v>30857</v>
      </c>
      <c r="K3478" s="15">
        <v>3000540</v>
      </c>
      <c r="L3478" s="15" t="s">
        <v>19099</v>
      </c>
    </row>
    <row r="3479" spans="1:12" x14ac:dyDescent="0.25">
      <c r="A3479" s="2" t="s">
        <v>10347</v>
      </c>
      <c r="B3479" s="8" t="s">
        <v>18260</v>
      </c>
      <c r="C3479" s="2" t="s">
        <v>10347</v>
      </c>
      <c r="D3479" s="2" t="s">
        <v>10348</v>
      </c>
      <c r="E3479" s="4" t="s">
        <v>10348</v>
      </c>
      <c r="G3479" s="15" t="s">
        <v>30858</v>
      </c>
      <c r="H3479" s="15" t="s">
        <v>30859</v>
      </c>
      <c r="I3479" s="15" t="s">
        <v>30860</v>
      </c>
      <c r="J3479" s="15" t="s">
        <v>30861</v>
      </c>
      <c r="K3479" s="15">
        <v>9502</v>
      </c>
      <c r="L3479" s="15" t="s">
        <v>19099</v>
      </c>
    </row>
    <row r="3480" spans="1:12" x14ac:dyDescent="0.25">
      <c r="A3480" s="2" t="s">
        <v>10350</v>
      </c>
      <c r="B3480" s="8" t="s">
        <v>18261</v>
      </c>
      <c r="C3480" s="2" t="s">
        <v>10350</v>
      </c>
      <c r="D3480" s="2" t="s">
        <v>10351</v>
      </c>
      <c r="E3480" s="4" t="s">
        <v>30862</v>
      </c>
      <c r="G3480" s="15" t="s">
        <v>30863</v>
      </c>
      <c r="H3480" s="15" t="s">
        <v>30864</v>
      </c>
      <c r="I3480" s="15" t="s">
        <v>30865</v>
      </c>
      <c r="J3480" s="15" t="s">
        <v>30866</v>
      </c>
      <c r="K3480" s="15">
        <v>5280450</v>
      </c>
      <c r="L3480" s="15" t="s">
        <v>19099</v>
      </c>
    </row>
    <row r="3481" spans="1:12" x14ac:dyDescent="0.25">
      <c r="A3481" s="2" t="s">
        <v>10353</v>
      </c>
      <c r="B3481" s="8" t="s">
        <v>18262</v>
      </c>
      <c r="C3481" s="2" t="s">
        <v>10353</v>
      </c>
      <c r="D3481" s="2" t="s">
        <v>10354</v>
      </c>
      <c r="E3481" s="4" t="s">
        <v>10354</v>
      </c>
      <c r="G3481" s="15" t="s">
        <v>30867</v>
      </c>
      <c r="H3481" s="15" t="s">
        <v>30868</v>
      </c>
      <c r="I3481" s="15" t="s">
        <v>30869</v>
      </c>
      <c r="J3481" s="15" t="s">
        <v>30870</v>
      </c>
      <c r="K3481" s="15">
        <v>5362118</v>
      </c>
      <c r="L3481" s="15" t="s">
        <v>19099</v>
      </c>
    </row>
    <row r="3482" spans="1:12" x14ac:dyDescent="0.25">
      <c r="A3482" s="2" t="s">
        <v>10356</v>
      </c>
      <c r="B3482" s="8" t="s">
        <v>18263</v>
      </c>
      <c r="C3482" s="2" t="s">
        <v>10356</v>
      </c>
      <c r="D3482" s="2" t="s">
        <v>10357</v>
      </c>
      <c r="E3482" s="4" t="s">
        <v>10357</v>
      </c>
      <c r="G3482" s="15" t="s">
        <v>30871</v>
      </c>
      <c r="H3482" s="15" t="s">
        <v>30872</v>
      </c>
      <c r="I3482" s="15" t="s">
        <v>30873</v>
      </c>
      <c r="J3482" s="15" t="s">
        <v>30874</v>
      </c>
      <c r="K3482" s="15">
        <v>3955</v>
      </c>
      <c r="L3482" s="15" t="s">
        <v>19099</v>
      </c>
    </row>
    <row r="3483" spans="1:12" x14ac:dyDescent="0.25">
      <c r="A3483" s="2" t="s">
        <v>10359</v>
      </c>
      <c r="B3483" s="8" t="s">
        <v>18264</v>
      </c>
      <c r="C3483" s="2" t="s">
        <v>10359</v>
      </c>
      <c r="D3483" s="2" t="s">
        <v>10360</v>
      </c>
      <c r="E3483" s="4" t="s">
        <v>10360</v>
      </c>
      <c r="G3483" s="15" t="s">
        <v>30875</v>
      </c>
      <c r="H3483" s="15" t="s">
        <v>30876</v>
      </c>
      <c r="I3483" s="15" t="s">
        <v>30877</v>
      </c>
      <c r="J3483" s="15" t="s">
        <v>30878</v>
      </c>
      <c r="K3483" s="15">
        <v>3961</v>
      </c>
      <c r="L3483" s="15" t="s">
        <v>19099</v>
      </c>
    </row>
    <row r="3484" spans="1:12" x14ac:dyDescent="0.25">
      <c r="A3484" s="2" t="s">
        <v>10362</v>
      </c>
      <c r="B3484" s="8" t="s">
        <v>18265</v>
      </c>
      <c r="C3484" s="2" t="s">
        <v>10362</v>
      </c>
      <c r="D3484" s="2" t="s">
        <v>10363</v>
      </c>
      <c r="E3484" s="4" t="s">
        <v>10363</v>
      </c>
      <c r="G3484" s="15" t="s">
        <v>30879</v>
      </c>
      <c r="H3484" s="15" t="s">
        <v>30880</v>
      </c>
      <c r="I3484" s="15" t="s">
        <v>30881</v>
      </c>
      <c r="J3484" s="15" t="s">
        <v>30882</v>
      </c>
      <c r="K3484" s="15">
        <v>71777</v>
      </c>
      <c r="L3484" s="15" t="s">
        <v>19099</v>
      </c>
    </row>
    <row r="3485" spans="1:12" x14ac:dyDescent="0.25">
      <c r="A3485" s="2" t="s">
        <v>10365</v>
      </c>
      <c r="B3485" s="8" t="s">
        <v>18266</v>
      </c>
      <c r="C3485" s="2" t="s">
        <v>10365</v>
      </c>
      <c r="D3485" s="2" t="s">
        <v>10366</v>
      </c>
      <c r="E3485" s="4" t="s">
        <v>10366</v>
      </c>
      <c r="G3485" s="15" t="s">
        <v>26028</v>
      </c>
      <c r="H3485" s="15" t="s">
        <v>26029</v>
      </c>
      <c r="I3485" s="15" t="s">
        <v>26030</v>
      </c>
      <c r="J3485" s="15" t="s">
        <v>26031</v>
      </c>
      <c r="K3485" s="15">
        <v>61021</v>
      </c>
      <c r="L3485" s="15" t="s">
        <v>19099</v>
      </c>
    </row>
    <row r="3486" spans="1:12" x14ac:dyDescent="0.25">
      <c r="A3486" s="2" t="s">
        <v>10368</v>
      </c>
      <c r="B3486" s="8" t="s">
        <v>18267</v>
      </c>
      <c r="C3486" s="2" t="s">
        <v>10368</v>
      </c>
      <c r="D3486" s="2" t="s">
        <v>10369</v>
      </c>
      <c r="E3486" s="4" t="s">
        <v>10369</v>
      </c>
      <c r="G3486" s="15" t="s">
        <v>30883</v>
      </c>
      <c r="H3486" s="15" t="s">
        <v>30884</v>
      </c>
      <c r="I3486" s="15" t="s">
        <v>30885</v>
      </c>
      <c r="J3486" s="15" t="s">
        <v>30886</v>
      </c>
      <c r="K3486" s="15">
        <v>15415</v>
      </c>
      <c r="L3486" s="15" t="s">
        <v>19099</v>
      </c>
    </row>
    <row r="3487" spans="1:12" x14ac:dyDescent="0.25">
      <c r="A3487" s="2" t="s">
        <v>10371</v>
      </c>
      <c r="B3487" s="8" t="s">
        <v>18268</v>
      </c>
      <c r="C3487" s="2" t="s">
        <v>10371</v>
      </c>
      <c r="D3487" s="2" t="s">
        <v>10372</v>
      </c>
      <c r="E3487" s="4" t="s">
        <v>30887</v>
      </c>
      <c r="G3487" s="15" t="s">
        <v>30888</v>
      </c>
      <c r="H3487" s="15" t="s">
        <v>30889</v>
      </c>
      <c r="I3487" s="15" t="s">
        <v>30890</v>
      </c>
      <c r="J3487" s="15" t="s">
        <v>30891</v>
      </c>
      <c r="K3487" s="15">
        <v>2724411</v>
      </c>
      <c r="L3487" s="15" t="s">
        <v>19099</v>
      </c>
    </row>
    <row r="3488" spans="1:12" x14ac:dyDescent="0.25">
      <c r="A3488" s="2" t="s">
        <v>10374</v>
      </c>
      <c r="B3488" s="8" t="s">
        <v>18269</v>
      </c>
      <c r="C3488" s="2" t="s">
        <v>10374</v>
      </c>
      <c r="D3488" s="2" t="s">
        <v>10375</v>
      </c>
      <c r="E3488" s="4" t="s">
        <v>30892</v>
      </c>
      <c r="G3488" s="15" t="s">
        <v>30893</v>
      </c>
      <c r="H3488" s="15" t="s">
        <v>30894</v>
      </c>
      <c r="I3488" s="15" t="s">
        <v>30895</v>
      </c>
      <c r="J3488" s="15" t="s">
        <v>30896</v>
      </c>
      <c r="K3488" s="15">
        <v>21954</v>
      </c>
      <c r="L3488" s="15" t="s">
        <v>19099</v>
      </c>
    </row>
    <row r="3489" spans="1:12" x14ac:dyDescent="0.25">
      <c r="A3489" s="2" t="s">
        <v>10377</v>
      </c>
      <c r="B3489" s="8" t="s">
        <v>18270</v>
      </c>
      <c r="C3489" s="2" t="s">
        <v>10377</v>
      </c>
      <c r="D3489" s="2" t="s">
        <v>10378</v>
      </c>
      <c r="E3489" s="4" t="s">
        <v>30897</v>
      </c>
      <c r="G3489" s="15" t="s">
        <v>30898</v>
      </c>
      <c r="H3489" s="15" t="s">
        <v>30899</v>
      </c>
      <c r="I3489" s="15" t="s">
        <v>30900</v>
      </c>
      <c r="J3489" s="15" t="s">
        <v>30901</v>
      </c>
      <c r="K3489" s="15">
        <v>444266</v>
      </c>
      <c r="L3489" s="15" t="s">
        <v>19099</v>
      </c>
    </row>
    <row r="3490" spans="1:12" x14ac:dyDescent="0.25">
      <c r="A3490" s="2" t="s">
        <v>10380</v>
      </c>
      <c r="B3490" s="8" t="s">
        <v>18271</v>
      </c>
      <c r="C3490" s="2" t="s">
        <v>10380</v>
      </c>
      <c r="D3490" s="2" t="s">
        <v>10381</v>
      </c>
      <c r="E3490" s="4" t="s">
        <v>30902</v>
      </c>
      <c r="G3490" s="15" t="s">
        <v>30903</v>
      </c>
      <c r="H3490" s="15" t="s">
        <v>30904</v>
      </c>
      <c r="I3490" s="15" t="s">
        <v>30905</v>
      </c>
      <c r="J3490" s="15" t="s">
        <v>30906</v>
      </c>
      <c r="K3490" s="15">
        <v>8010</v>
      </c>
      <c r="L3490" s="15" t="s">
        <v>19099</v>
      </c>
    </row>
    <row r="3491" spans="1:12" x14ac:dyDescent="0.25">
      <c r="A3491" s="2" t="s">
        <v>10383</v>
      </c>
      <c r="B3491" s="8" t="s">
        <v>18272</v>
      </c>
      <c r="C3491" s="2" t="s">
        <v>10383</v>
      </c>
      <c r="D3491" s="2" t="s">
        <v>10384</v>
      </c>
      <c r="E3491" s="4" t="s">
        <v>30907</v>
      </c>
    </row>
    <row r="3492" spans="1:12" x14ac:dyDescent="0.25">
      <c r="A3492" s="2" t="s">
        <v>10386</v>
      </c>
      <c r="B3492" s="8" t="s">
        <v>18273</v>
      </c>
      <c r="C3492" s="2" t="s">
        <v>10386</v>
      </c>
      <c r="D3492" s="2" t="s">
        <v>10387</v>
      </c>
      <c r="E3492" s="4" t="s">
        <v>10387</v>
      </c>
      <c r="G3492" s="15" t="s">
        <v>30908</v>
      </c>
      <c r="H3492" s="15" t="s">
        <v>30909</v>
      </c>
      <c r="I3492" s="15" t="s">
        <v>30910</v>
      </c>
      <c r="J3492" s="15" t="s">
        <v>30911</v>
      </c>
      <c r="K3492" s="15">
        <v>4004</v>
      </c>
      <c r="L3492" s="15" t="s">
        <v>19099</v>
      </c>
    </row>
    <row r="3493" spans="1:12" x14ac:dyDescent="0.25">
      <c r="A3493" s="2" t="s">
        <v>10389</v>
      </c>
      <c r="B3493" s="8" t="s">
        <v>18274</v>
      </c>
      <c r="C3493" s="2" t="s">
        <v>10389</v>
      </c>
      <c r="D3493" s="2" t="s">
        <v>10390</v>
      </c>
      <c r="E3493" s="4" t="s">
        <v>10390</v>
      </c>
      <c r="G3493" s="15" t="s">
        <v>30912</v>
      </c>
      <c r="H3493" s="15" t="s">
        <v>30913</v>
      </c>
      <c r="I3493" s="15" t="s">
        <v>30914</v>
      </c>
      <c r="J3493" s="15" t="s">
        <v>30915</v>
      </c>
      <c r="K3493" s="15">
        <v>3032581</v>
      </c>
      <c r="L3493" s="15" t="s">
        <v>19099</v>
      </c>
    </row>
    <row r="3494" spans="1:12" x14ac:dyDescent="0.25">
      <c r="A3494" s="2" t="s">
        <v>10392</v>
      </c>
      <c r="B3494" s="8" t="s">
        <v>18275</v>
      </c>
      <c r="C3494" s="2" t="s">
        <v>10392</v>
      </c>
      <c r="D3494" s="2" t="s">
        <v>10393</v>
      </c>
      <c r="E3494" s="4" t="s">
        <v>10393</v>
      </c>
      <c r="G3494" s="15" t="s">
        <v>30916</v>
      </c>
      <c r="H3494" s="15" t="s">
        <v>30917</v>
      </c>
      <c r="I3494" s="15" t="s">
        <v>30918</v>
      </c>
      <c r="J3494" s="15" t="s">
        <v>30919</v>
      </c>
      <c r="K3494" s="15">
        <v>13307026</v>
      </c>
      <c r="L3494" s="15" t="s">
        <v>19099</v>
      </c>
    </row>
    <row r="3495" spans="1:12" x14ac:dyDescent="0.25">
      <c r="A3495" s="2" t="s">
        <v>10395</v>
      </c>
      <c r="B3495" s="8" t="s">
        <v>18276</v>
      </c>
      <c r="C3495" s="2" t="s">
        <v>10395</v>
      </c>
      <c r="D3495" s="2" t="s">
        <v>10396</v>
      </c>
      <c r="E3495" s="4" t="s">
        <v>10396</v>
      </c>
      <c r="G3495" s="15" t="s">
        <v>30920</v>
      </c>
      <c r="H3495" s="15" t="s">
        <v>30921</v>
      </c>
      <c r="I3495" s="15" t="s">
        <v>30922</v>
      </c>
      <c r="J3495" s="15" t="s">
        <v>30923</v>
      </c>
      <c r="K3495" s="15">
        <v>11292824</v>
      </c>
      <c r="L3495" s="15" t="s">
        <v>19099</v>
      </c>
    </row>
    <row r="3496" spans="1:12" x14ac:dyDescent="0.25">
      <c r="A3496" s="2" t="s">
        <v>10398</v>
      </c>
      <c r="B3496" s="8" t="s">
        <v>18277</v>
      </c>
      <c r="C3496" s="2" t="s">
        <v>10398</v>
      </c>
      <c r="D3496" s="2" t="s">
        <v>10399</v>
      </c>
      <c r="E3496" s="4" t="s">
        <v>10399</v>
      </c>
      <c r="G3496" s="15" t="s">
        <v>30924</v>
      </c>
      <c r="H3496" s="15" t="s">
        <v>30925</v>
      </c>
      <c r="I3496" s="15" t="s">
        <v>30926</v>
      </c>
      <c r="J3496" s="15" t="s">
        <v>30927</v>
      </c>
      <c r="K3496" s="15">
        <v>10935908</v>
      </c>
      <c r="L3496" s="15" t="s">
        <v>19099</v>
      </c>
    </row>
    <row r="3497" spans="1:12" x14ac:dyDescent="0.25">
      <c r="A3497" s="2" t="s">
        <v>10401</v>
      </c>
      <c r="B3497" s="8" t="s">
        <v>18278</v>
      </c>
      <c r="C3497" s="2" t="s">
        <v>10401</v>
      </c>
      <c r="D3497" s="2" t="s">
        <v>10402</v>
      </c>
      <c r="E3497" s="4" t="s">
        <v>10402</v>
      </c>
      <c r="G3497" s="15" t="s">
        <v>30928</v>
      </c>
      <c r="H3497" s="15" t="s">
        <v>30929</v>
      </c>
      <c r="I3497" s="15" t="s">
        <v>30930</v>
      </c>
      <c r="J3497" s="15" t="s">
        <v>30931</v>
      </c>
      <c r="K3497" s="15">
        <v>61792</v>
      </c>
      <c r="L3497" s="15" t="s">
        <v>19099</v>
      </c>
    </row>
    <row r="3498" spans="1:12" x14ac:dyDescent="0.25">
      <c r="A3498" s="2" t="s">
        <v>10404</v>
      </c>
      <c r="B3498" s="8" t="s">
        <v>18279</v>
      </c>
      <c r="C3498" s="2" t="s">
        <v>10404</v>
      </c>
      <c r="D3498" s="2" t="s">
        <v>10405</v>
      </c>
      <c r="E3498" s="4" t="s">
        <v>10405</v>
      </c>
      <c r="G3498" s="15" t="s">
        <v>30932</v>
      </c>
      <c r="H3498" s="15" t="s">
        <v>30933</v>
      </c>
      <c r="I3498" s="15" t="s">
        <v>30934</v>
      </c>
      <c r="J3498" s="15" t="s">
        <v>20675</v>
      </c>
      <c r="K3498" s="15">
        <v>4011</v>
      </c>
      <c r="L3498" s="15" t="s">
        <v>19099</v>
      </c>
    </row>
    <row r="3499" spans="1:12" x14ac:dyDescent="0.25">
      <c r="A3499" s="2" t="s">
        <v>10407</v>
      </c>
      <c r="B3499" s="8" t="s">
        <v>18280</v>
      </c>
      <c r="C3499" s="2" t="s">
        <v>10407</v>
      </c>
      <c r="D3499" s="2" t="s">
        <v>10408</v>
      </c>
      <c r="E3499" s="4" t="s">
        <v>10408</v>
      </c>
      <c r="G3499" s="15" t="s">
        <v>30935</v>
      </c>
      <c r="H3499" s="15" t="s">
        <v>30936</v>
      </c>
      <c r="I3499" s="15" t="s">
        <v>30937</v>
      </c>
      <c r="J3499" s="15" t="s">
        <v>19346</v>
      </c>
      <c r="K3499" s="15">
        <v>74912</v>
      </c>
      <c r="L3499" s="15" t="s">
        <v>19099</v>
      </c>
    </row>
    <row r="3500" spans="1:12" x14ac:dyDescent="0.25">
      <c r="A3500" s="2" t="s">
        <v>10410</v>
      </c>
      <c r="B3500" s="8" t="s">
        <v>18281</v>
      </c>
      <c r="C3500" s="2" t="s">
        <v>10410</v>
      </c>
      <c r="D3500" s="2" t="s">
        <v>10411</v>
      </c>
      <c r="E3500" s="4" t="s">
        <v>10411</v>
      </c>
      <c r="G3500" s="15" t="s">
        <v>30938</v>
      </c>
      <c r="H3500" s="15" t="s">
        <v>30939</v>
      </c>
      <c r="I3500" s="15" t="s">
        <v>30940</v>
      </c>
      <c r="J3500" s="15" t="s">
        <v>27773</v>
      </c>
      <c r="K3500" s="15">
        <v>342</v>
      </c>
      <c r="L3500" s="15" t="s">
        <v>19099</v>
      </c>
    </row>
    <row r="3501" spans="1:12" x14ac:dyDescent="0.25">
      <c r="A3501" s="2" t="s">
        <v>10413</v>
      </c>
      <c r="B3501" s="8" t="s">
        <v>18282</v>
      </c>
      <c r="C3501" s="2" t="s">
        <v>10413</v>
      </c>
      <c r="D3501" s="2" t="s">
        <v>10414</v>
      </c>
      <c r="E3501" s="4" t="s">
        <v>30941</v>
      </c>
      <c r="G3501" s="15" t="s">
        <v>30942</v>
      </c>
      <c r="H3501" s="15" t="s">
        <v>30943</v>
      </c>
      <c r="I3501" s="15" t="s">
        <v>30944</v>
      </c>
      <c r="J3501" s="15" t="s">
        <v>30945</v>
      </c>
      <c r="K3501" s="15">
        <v>4030</v>
      </c>
      <c r="L3501" s="15" t="s">
        <v>19099</v>
      </c>
    </row>
    <row r="3502" spans="1:12" x14ac:dyDescent="0.25">
      <c r="A3502" s="2" t="s">
        <v>10416</v>
      </c>
      <c r="B3502" s="8" t="s">
        <v>18283</v>
      </c>
      <c r="C3502" s="2" t="s">
        <v>10416</v>
      </c>
      <c r="D3502" s="2" t="s">
        <v>10417</v>
      </c>
      <c r="E3502" s="4" t="s">
        <v>10417</v>
      </c>
      <c r="G3502" s="15" t="s">
        <v>30946</v>
      </c>
      <c r="H3502" s="15" t="s">
        <v>30947</v>
      </c>
      <c r="I3502" s="15" t="s">
        <v>30948</v>
      </c>
      <c r="J3502" s="15" t="s">
        <v>30949</v>
      </c>
      <c r="K3502" s="15">
        <v>85725</v>
      </c>
      <c r="L3502" s="15" t="s">
        <v>19099</v>
      </c>
    </row>
    <row r="3503" spans="1:12" x14ac:dyDescent="0.25">
      <c r="A3503" s="2" t="s">
        <v>10419</v>
      </c>
      <c r="B3503" s="8" t="s">
        <v>18284</v>
      </c>
      <c r="C3503" s="2" t="s">
        <v>10419</v>
      </c>
      <c r="D3503" s="2" t="s">
        <v>10420</v>
      </c>
      <c r="E3503" s="4" t="s">
        <v>10420</v>
      </c>
      <c r="G3503" s="15" t="s">
        <v>30950</v>
      </c>
      <c r="H3503" s="15" t="s">
        <v>30951</v>
      </c>
      <c r="I3503" s="15" t="s">
        <v>30952</v>
      </c>
      <c r="J3503" s="15" t="s">
        <v>30953</v>
      </c>
      <c r="K3503" s="15">
        <v>17683</v>
      </c>
      <c r="L3503" s="15" t="s">
        <v>19099</v>
      </c>
    </row>
    <row r="3504" spans="1:12" x14ac:dyDescent="0.25">
      <c r="A3504" s="2" t="s">
        <v>10422</v>
      </c>
      <c r="B3504" s="8" t="s">
        <v>18285</v>
      </c>
      <c r="C3504" s="2" t="s">
        <v>10422</v>
      </c>
      <c r="D3504" s="2" t="s">
        <v>10423</v>
      </c>
      <c r="E3504" s="4" t="s">
        <v>10423</v>
      </c>
      <c r="G3504" s="15" t="s">
        <v>30954</v>
      </c>
      <c r="H3504" s="15" t="s">
        <v>30955</v>
      </c>
      <c r="I3504" s="15" t="s">
        <v>30956</v>
      </c>
      <c r="J3504" s="15" t="s">
        <v>30957</v>
      </c>
      <c r="K3504" s="15">
        <v>17434</v>
      </c>
      <c r="L3504" s="15" t="s">
        <v>19099</v>
      </c>
    </row>
    <row r="3505" spans="1:12" x14ac:dyDescent="0.25">
      <c r="A3505" s="2" t="s">
        <v>10425</v>
      </c>
      <c r="B3505" s="8" t="s">
        <v>18286</v>
      </c>
      <c r="C3505" s="2" t="s">
        <v>10425</v>
      </c>
      <c r="D3505" s="2" t="s">
        <v>10426</v>
      </c>
      <c r="E3505" s="4" t="s">
        <v>10426</v>
      </c>
      <c r="G3505" s="15" t="s">
        <v>30958</v>
      </c>
      <c r="H3505" s="15" t="s">
        <v>30959</v>
      </c>
      <c r="I3505" s="15" t="s">
        <v>30960</v>
      </c>
      <c r="J3505" s="15" t="s">
        <v>30961</v>
      </c>
      <c r="K3505" s="15">
        <v>54676539</v>
      </c>
      <c r="L3505" s="15" t="s">
        <v>19099</v>
      </c>
    </row>
    <row r="3506" spans="1:12" x14ac:dyDescent="0.25">
      <c r="A3506" s="2" t="s">
        <v>10428</v>
      </c>
      <c r="B3506" s="8" t="s">
        <v>18287</v>
      </c>
      <c r="C3506" s="2" t="s">
        <v>10428</v>
      </c>
      <c r="D3506" s="2" t="s">
        <v>10429</v>
      </c>
      <c r="E3506" s="4" t="s">
        <v>10429</v>
      </c>
      <c r="G3506" s="15" t="s">
        <v>30962</v>
      </c>
      <c r="H3506" s="15" t="s">
        <v>30963</v>
      </c>
      <c r="I3506" s="15" t="s">
        <v>30964</v>
      </c>
      <c r="J3506" s="15" t="s">
        <v>19129</v>
      </c>
      <c r="K3506" s="15">
        <v>185588</v>
      </c>
      <c r="L3506" s="15" t="s">
        <v>19099</v>
      </c>
    </row>
    <row r="3507" spans="1:12" x14ac:dyDescent="0.25">
      <c r="A3507" s="2" t="s">
        <v>10431</v>
      </c>
      <c r="B3507" s="8" t="s">
        <v>18288</v>
      </c>
      <c r="C3507" s="2" t="s">
        <v>10431</v>
      </c>
      <c r="D3507" s="2" t="s">
        <v>10432</v>
      </c>
      <c r="E3507" s="4" t="s">
        <v>10432</v>
      </c>
      <c r="G3507" s="15" t="s">
        <v>30965</v>
      </c>
      <c r="H3507" s="15" t="s">
        <v>30966</v>
      </c>
      <c r="I3507" s="15" t="s">
        <v>30967</v>
      </c>
      <c r="J3507" s="15" t="s">
        <v>30968</v>
      </c>
      <c r="K3507" s="15">
        <v>4034</v>
      </c>
      <c r="L3507" s="15" t="s">
        <v>19099</v>
      </c>
    </row>
    <row r="3508" spans="1:12" x14ac:dyDescent="0.25">
      <c r="A3508" s="2" t="s">
        <v>10434</v>
      </c>
      <c r="B3508" s="8" t="s">
        <v>18289</v>
      </c>
      <c r="C3508" s="2" t="s">
        <v>10434</v>
      </c>
      <c r="D3508" s="2" t="s">
        <v>10435</v>
      </c>
      <c r="E3508" s="4" t="s">
        <v>30969</v>
      </c>
      <c r="G3508" s="15" t="s">
        <v>30970</v>
      </c>
      <c r="H3508" s="15" t="s">
        <v>30971</v>
      </c>
      <c r="I3508" s="15" t="s">
        <v>30972</v>
      </c>
      <c r="J3508" s="15" t="s">
        <v>30973</v>
      </c>
      <c r="K3508" s="15">
        <v>305544</v>
      </c>
      <c r="L3508" s="15" t="s">
        <v>19099</v>
      </c>
    </row>
    <row r="3509" spans="1:12" x14ac:dyDescent="0.25">
      <c r="A3509" s="2" t="s">
        <v>10437</v>
      </c>
      <c r="B3509" s="8" t="s">
        <v>18290</v>
      </c>
      <c r="C3509" s="2" t="s">
        <v>10437</v>
      </c>
      <c r="D3509" s="2" t="s">
        <v>10438</v>
      </c>
      <c r="E3509" s="4" t="s">
        <v>10438</v>
      </c>
      <c r="G3509" s="15" t="s">
        <v>30974</v>
      </c>
      <c r="H3509" s="15" t="s">
        <v>30975</v>
      </c>
      <c r="I3509" s="15" t="s">
        <v>30976</v>
      </c>
      <c r="J3509" s="15" t="s">
        <v>30977</v>
      </c>
      <c r="K3509" s="15">
        <v>68601</v>
      </c>
      <c r="L3509" s="15" t="s">
        <v>19099</v>
      </c>
    </row>
    <row r="3510" spans="1:12" x14ac:dyDescent="0.25">
      <c r="A3510" s="2" t="s">
        <v>10440</v>
      </c>
      <c r="B3510" s="8" t="s">
        <v>18291</v>
      </c>
      <c r="C3510" s="2" t="s">
        <v>10440</v>
      </c>
      <c r="D3510" s="2" t="s">
        <v>10441</v>
      </c>
      <c r="E3510" s="4" t="s">
        <v>30978</v>
      </c>
      <c r="G3510" s="15" t="s">
        <v>30979</v>
      </c>
      <c r="H3510" s="15" t="s">
        <v>30980</v>
      </c>
      <c r="I3510" s="15" t="s">
        <v>30981</v>
      </c>
      <c r="J3510" s="15" t="s">
        <v>30982</v>
      </c>
      <c r="K3510" s="15">
        <v>13707</v>
      </c>
      <c r="L3510" s="15" t="s">
        <v>19099</v>
      </c>
    </row>
    <row r="3511" spans="1:12" x14ac:dyDescent="0.25">
      <c r="A3511" s="2" t="s">
        <v>10443</v>
      </c>
      <c r="B3511" s="8" t="s">
        <v>18292</v>
      </c>
      <c r="C3511" s="2" t="s">
        <v>10443</v>
      </c>
      <c r="D3511" s="2" t="s">
        <v>10444</v>
      </c>
      <c r="E3511" s="4" t="s">
        <v>10444</v>
      </c>
      <c r="G3511" s="15" t="s">
        <v>30983</v>
      </c>
      <c r="H3511" s="15" t="s">
        <v>30984</v>
      </c>
      <c r="I3511" s="15" t="s">
        <v>30985</v>
      </c>
      <c r="J3511" s="15" t="s">
        <v>30986</v>
      </c>
      <c r="K3511" s="15">
        <v>40896</v>
      </c>
      <c r="L3511" s="15" t="s">
        <v>19099</v>
      </c>
    </row>
    <row r="3512" spans="1:12" x14ac:dyDescent="0.25">
      <c r="A3512" s="2" t="s">
        <v>10446</v>
      </c>
      <c r="B3512" s="8" t="s">
        <v>18293</v>
      </c>
      <c r="C3512" s="2" t="s">
        <v>10446</v>
      </c>
      <c r="D3512" s="2" t="s">
        <v>10447</v>
      </c>
      <c r="E3512" s="4" t="s">
        <v>10447</v>
      </c>
      <c r="G3512" s="15" t="s">
        <v>30987</v>
      </c>
      <c r="H3512" s="15" t="s">
        <v>30988</v>
      </c>
      <c r="I3512" s="15" t="s">
        <v>30989</v>
      </c>
      <c r="J3512" s="15" t="s">
        <v>30990</v>
      </c>
      <c r="K3512" s="15">
        <v>91716</v>
      </c>
      <c r="L3512" s="15" t="s">
        <v>19099</v>
      </c>
    </row>
    <row r="3513" spans="1:12" x14ac:dyDescent="0.25">
      <c r="A3513" s="2" t="s">
        <v>10449</v>
      </c>
      <c r="B3513" s="8" t="s">
        <v>18294</v>
      </c>
      <c r="C3513" s="2" t="s">
        <v>10449</v>
      </c>
      <c r="D3513" s="2" t="s">
        <v>10450</v>
      </c>
      <c r="E3513" s="4" t="s">
        <v>10450</v>
      </c>
      <c r="G3513" s="15" t="s">
        <v>30991</v>
      </c>
      <c r="H3513" s="15" t="s">
        <v>30992</v>
      </c>
      <c r="I3513" s="15" t="s">
        <v>30993</v>
      </c>
      <c r="J3513" s="15" t="s">
        <v>30994</v>
      </c>
      <c r="K3513" s="15">
        <v>10937610</v>
      </c>
      <c r="L3513" s="15" t="s">
        <v>19099</v>
      </c>
    </row>
    <row r="3514" spans="1:12" x14ac:dyDescent="0.25">
      <c r="A3514" s="2" t="s">
        <v>10452</v>
      </c>
      <c r="B3514" s="8" t="s">
        <v>18295</v>
      </c>
      <c r="C3514" s="2" t="s">
        <v>10452</v>
      </c>
      <c r="D3514" s="2" t="s">
        <v>10453</v>
      </c>
      <c r="E3514" s="4" t="s">
        <v>30995</v>
      </c>
      <c r="G3514" s="15" t="s">
        <v>30996</v>
      </c>
      <c r="H3514" s="15" t="s">
        <v>30997</v>
      </c>
      <c r="I3514" s="15" t="s">
        <v>30998</v>
      </c>
      <c r="J3514" s="15" t="s">
        <v>22391</v>
      </c>
      <c r="K3514" s="15">
        <v>612</v>
      </c>
      <c r="L3514" s="15" t="s">
        <v>19099</v>
      </c>
    </row>
    <row r="3515" spans="1:12" x14ac:dyDescent="0.25">
      <c r="A3515" s="2" t="s">
        <v>10455</v>
      </c>
      <c r="B3515" s="8" t="s">
        <v>18296</v>
      </c>
      <c r="C3515" s="2" t="s">
        <v>10455</v>
      </c>
      <c r="D3515" s="2" t="s">
        <v>10456</v>
      </c>
      <c r="E3515" s="4" t="s">
        <v>10456</v>
      </c>
      <c r="G3515" s="15" t="s">
        <v>30999</v>
      </c>
      <c r="H3515" s="15" t="s">
        <v>31000</v>
      </c>
      <c r="I3515" s="15" t="s">
        <v>31001</v>
      </c>
      <c r="J3515" s="15" t="s">
        <v>31002</v>
      </c>
      <c r="K3515" s="15">
        <v>4054</v>
      </c>
      <c r="L3515" s="15" t="s">
        <v>19099</v>
      </c>
    </row>
    <row r="3516" spans="1:12" x14ac:dyDescent="0.25">
      <c r="A3516" s="2" t="s">
        <v>10458</v>
      </c>
      <c r="B3516" s="8" t="s">
        <v>18297</v>
      </c>
      <c r="C3516" s="2" t="s">
        <v>10458</v>
      </c>
      <c r="D3516" s="2" t="s">
        <v>10459</v>
      </c>
      <c r="E3516" s="4" t="s">
        <v>10459</v>
      </c>
      <c r="G3516" s="15" t="s">
        <v>31003</v>
      </c>
      <c r="H3516" s="15" t="s">
        <v>31004</v>
      </c>
      <c r="I3516" s="15" t="s">
        <v>31005</v>
      </c>
      <c r="J3516" s="15" t="s">
        <v>22404</v>
      </c>
      <c r="K3516" s="15">
        <v>16666</v>
      </c>
      <c r="L3516" s="15" t="s">
        <v>19099</v>
      </c>
    </row>
    <row r="3517" spans="1:12" x14ac:dyDescent="0.25">
      <c r="A3517" s="2" t="s">
        <v>10461</v>
      </c>
      <c r="B3517" s="8" t="s">
        <v>18298</v>
      </c>
      <c r="C3517" s="2" t="s">
        <v>10461</v>
      </c>
      <c r="D3517" s="2" t="s">
        <v>10462</v>
      </c>
      <c r="E3517" s="4" t="s">
        <v>10462</v>
      </c>
      <c r="G3517" s="15" t="s">
        <v>31006</v>
      </c>
      <c r="H3517" s="15" t="s">
        <v>31007</v>
      </c>
      <c r="I3517" s="15" t="s">
        <v>31008</v>
      </c>
      <c r="J3517" s="15" t="s">
        <v>31009</v>
      </c>
      <c r="K3517" s="15">
        <v>41632</v>
      </c>
      <c r="L3517" s="15" t="s">
        <v>19099</v>
      </c>
    </row>
    <row r="3518" spans="1:12" x14ac:dyDescent="0.25">
      <c r="A3518" s="2" t="s">
        <v>10464</v>
      </c>
      <c r="B3518" s="8" t="s">
        <v>18299</v>
      </c>
      <c r="C3518" s="2" t="s">
        <v>10464</v>
      </c>
      <c r="D3518" s="2" t="s">
        <v>10465</v>
      </c>
      <c r="E3518" s="4" t="s">
        <v>10465</v>
      </c>
      <c r="G3518" s="15" t="s">
        <v>31010</v>
      </c>
      <c r="H3518" s="15" t="s">
        <v>31011</v>
      </c>
      <c r="I3518" s="15" t="s">
        <v>31012</v>
      </c>
      <c r="J3518" s="15" t="s">
        <v>31013</v>
      </c>
      <c r="K3518" s="15">
        <v>86296</v>
      </c>
      <c r="L3518" s="15" t="s">
        <v>19099</v>
      </c>
    </row>
    <row r="3519" spans="1:12" x14ac:dyDescent="0.25">
      <c r="A3519" s="2" t="s">
        <v>10467</v>
      </c>
      <c r="B3519" s="8" t="s">
        <v>18300</v>
      </c>
      <c r="C3519" s="2" t="s">
        <v>10467</v>
      </c>
      <c r="D3519" s="2" t="s">
        <v>10468</v>
      </c>
      <c r="E3519" s="4" t="s">
        <v>15191</v>
      </c>
      <c r="G3519" s="15" t="s">
        <v>31014</v>
      </c>
      <c r="H3519" s="15" t="s">
        <v>31015</v>
      </c>
      <c r="I3519" s="15" t="s">
        <v>31016</v>
      </c>
      <c r="J3519" s="15" t="s">
        <v>31017</v>
      </c>
      <c r="K3519" s="15">
        <v>62781</v>
      </c>
      <c r="L3519" s="15" t="s">
        <v>19099</v>
      </c>
    </row>
    <row r="3520" spans="1:12" x14ac:dyDescent="0.25">
      <c r="A3520" s="2" t="s">
        <v>10470</v>
      </c>
      <c r="B3520" s="8" t="s">
        <v>18301</v>
      </c>
      <c r="C3520" s="2" t="s">
        <v>10470</v>
      </c>
      <c r="D3520" s="2" t="s">
        <v>10471</v>
      </c>
      <c r="E3520" s="4" t="s">
        <v>10471</v>
      </c>
      <c r="G3520" s="15" t="s">
        <v>31018</v>
      </c>
      <c r="H3520" s="15" t="s">
        <v>31019</v>
      </c>
      <c r="I3520" s="15" t="s">
        <v>31020</v>
      </c>
      <c r="J3520" s="15" t="s">
        <v>31021</v>
      </c>
      <c r="K3520" s="15">
        <v>18743</v>
      </c>
      <c r="L3520" s="15" t="s">
        <v>19099</v>
      </c>
    </row>
    <row r="3521" spans="1:12" x14ac:dyDescent="0.25">
      <c r="A3521" s="2" t="s">
        <v>10473</v>
      </c>
      <c r="B3521" s="8" t="s">
        <v>18302</v>
      </c>
      <c r="C3521" s="2" t="s">
        <v>10473</v>
      </c>
      <c r="D3521" s="2" t="s">
        <v>10474</v>
      </c>
      <c r="E3521" s="4" t="s">
        <v>10474</v>
      </c>
      <c r="G3521" s="15" t="s">
        <v>31022</v>
      </c>
      <c r="H3521" s="15" t="s">
        <v>31023</v>
      </c>
      <c r="I3521" s="15" t="s">
        <v>31024</v>
      </c>
      <c r="J3521" s="15" t="s">
        <v>31025</v>
      </c>
      <c r="K3521" s="15">
        <v>9011</v>
      </c>
      <c r="L3521" s="15" t="s">
        <v>19099</v>
      </c>
    </row>
    <row r="3522" spans="1:12" x14ac:dyDescent="0.25">
      <c r="A3522" s="2" t="s">
        <v>10476</v>
      </c>
      <c r="B3522" s="8" t="s">
        <v>18303</v>
      </c>
      <c r="C3522" s="2" t="s">
        <v>10476</v>
      </c>
      <c r="D3522" s="2" t="s">
        <v>10477</v>
      </c>
      <c r="E3522" s="4" t="s">
        <v>10477</v>
      </c>
      <c r="G3522" s="15" t="s">
        <v>31026</v>
      </c>
      <c r="H3522" s="15" t="s">
        <v>31027</v>
      </c>
      <c r="I3522" s="15" t="s">
        <v>31028</v>
      </c>
      <c r="J3522" s="15" t="s">
        <v>20919</v>
      </c>
      <c r="K3522" s="15">
        <v>4075</v>
      </c>
      <c r="L3522" s="15" t="s">
        <v>19099</v>
      </c>
    </row>
    <row r="3523" spans="1:12" x14ac:dyDescent="0.25">
      <c r="A3523" s="2" t="s">
        <v>10479</v>
      </c>
      <c r="B3523" s="8" t="s">
        <v>18304</v>
      </c>
      <c r="C3523" s="2" t="s">
        <v>10479</v>
      </c>
      <c r="D3523" s="2" t="s">
        <v>10480</v>
      </c>
      <c r="E3523" s="4" t="s">
        <v>10480</v>
      </c>
      <c r="G3523" s="15" t="s">
        <v>31029</v>
      </c>
      <c r="H3523" s="15" t="s">
        <v>31030</v>
      </c>
      <c r="I3523" s="15" t="s">
        <v>31031</v>
      </c>
      <c r="J3523" s="15" t="s">
        <v>31032</v>
      </c>
      <c r="K3523" s="15">
        <v>6291</v>
      </c>
      <c r="L3523" s="15" t="s">
        <v>19099</v>
      </c>
    </row>
    <row r="3524" spans="1:12" x14ac:dyDescent="0.25">
      <c r="A3524" s="2" t="s">
        <v>10482</v>
      </c>
      <c r="B3524" s="8" t="s">
        <v>18305</v>
      </c>
      <c r="C3524" s="2" t="s">
        <v>10482</v>
      </c>
      <c r="D3524" s="2" t="s">
        <v>10483</v>
      </c>
      <c r="E3524" s="4" t="s">
        <v>10483</v>
      </c>
      <c r="G3524" s="15" t="s">
        <v>31033</v>
      </c>
      <c r="H3524" s="15" t="s">
        <v>31034</v>
      </c>
      <c r="I3524" s="15" t="s">
        <v>31035</v>
      </c>
      <c r="J3524" s="15" t="s">
        <v>31036</v>
      </c>
      <c r="K3524" s="15">
        <v>11409499</v>
      </c>
      <c r="L3524" s="15" t="s">
        <v>19099</v>
      </c>
    </row>
    <row r="3525" spans="1:12" x14ac:dyDescent="0.25">
      <c r="A3525" s="2" t="s">
        <v>10485</v>
      </c>
      <c r="B3525" s="8" t="s">
        <v>18306</v>
      </c>
      <c r="C3525" s="2" t="s">
        <v>10485</v>
      </c>
      <c r="D3525" s="2" t="s">
        <v>10486</v>
      </c>
      <c r="E3525" s="4" t="s">
        <v>10486</v>
      </c>
      <c r="G3525" s="15" t="s">
        <v>31037</v>
      </c>
      <c r="H3525" s="15" t="s">
        <v>31038</v>
      </c>
      <c r="I3525" s="15" t="s">
        <v>31039</v>
      </c>
      <c r="J3525" s="15" t="s">
        <v>31040</v>
      </c>
      <c r="K3525" s="15">
        <v>175967</v>
      </c>
      <c r="L3525" s="15" t="s">
        <v>19099</v>
      </c>
    </row>
    <row r="3526" spans="1:12" x14ac:dyDescent="0.25">
      <c r="A3526" s="2" t="s">
        <v>10488</v>
      </c>
      <c r="B3526" s="8" t="s">
        <v>18307</v>
      </c>
      <c r="C3526" s="2" t="s">
        <v>10488</v>
      </c>
      <c r="D3526" s="2" t="s">
        <v>10489</v>
      </c>
      <c r="E3526" s="4" t="s">
        <v>31041</v>
      </c>
      <c r="G3526" s="15" t="s">
        <v>31042</v>
      </c>
      <c r="H3526" s="15" t="s">
        <v>31043</v>
      </c>
      <c r="I3526" s="15" t="s">
        <v>31044</v>
      </c>
      <c r="J3526" s="15" t="s">
        <v>29168</v>
      </c>
      <c r="K3526" s="15">
        <v>8858</v>
      </c>
      <c r="L3526" s="15" t="s">
        <v>19099</v>
      </c>
    </row>
    <row r="3527" spans="1:12" x14ac:dyDescent="0.25">
      <c r="A3527" s="2" t="s">
        <v>10491</v>
      </c>
      <c r="B3527" s="8" t="s">
        <v>18308</v>
      </c>
      <c r="C3527" s="2" t="s">
        <v>10491</v>
      </c>
      <c r="D3527" s="2" t="s">
        <v>10492</v>
      </c>
      <c r="E3527" s="4" t="s">
        <v>31045</v>
      </c>
      <c r="G3527" s="15" t="s">
        <v>31046</v>
      </c>
      <c r="H3527" s="15" t="s">
        <v>31047</v>
      </c>
      <c r="I3527" s="15" t="s">
        <v>31048</v>
      </c>
      <c r="J3527" s="15" t="s">
        <v>31049</v>
      </c>
      <c r="K3527" s="15">
        <v>5366415</v>
      </c>
      <c r="L3527" s="15" t="s">
        <v>19099</v>
      </c>
    </row>
    <row r="3528" spans="1:12" x14ac:dyDescent="0.25">
      <c r="A3528" s="2" t="s">
        <v>10494</v>
      </c>
      <c r="B3528" s="8" t="s">
        <v>18309</v>
      </c>
      <c r="C3528" s="2" t="s">
        <v>10494</v>
      </c>
      <c r="D3528" s="2" t="s">
        <v>10495</v>
      </c>
      <c r="E3528" s="4" t="s">
        <v>31050</v>
      </c>
      <c r="G3528" s="15" t="s">
        <v>31051</v>
      </c>
      <c r="H3528" s="15" t="s">
        <v>31052</v>
      </c>
      <c r="I3528" s="15" t="s">
        <v>31053</v>
      </c>
      <c r="J3528" s="15" t="s">
        <v>20048</v>
      </c>
      <c r="K3528" s="15">
        <v>4093</v>
      </c>
      <c r="L3528" s="15" t="s">
        <v>19099</v>
      </c>
    </row>
    <row r="3529" spans="1:12" x14ac:dyDescent="0.25">
      <c r="A3529" s="2" t="s">
        <v>10497</v>
      </c>
      <c r="B3529" s="8" t="s">
        <v>18310</v>
      </c>
      <c r="C3529" s="2" t="s">
        <v>10497</v>
      </c>
      <c r="D3529" s="2" t="s">
        <v>10498</v>
      </c>
      <c r="E3529" s="4" t="s">
        <v>10498</v>
      </c>
      <c r="G3529" s="15" t="s">
        <v>31054</v>
      </c>
      <c r="H3529" s="15" t="s">
        <v>31055</v>
      </c>
      <c r="I3529" s="15" t="s">
        <v>31056</v>
      </c>
      <c r="J3529" s="15" t="s">
        <v>31057</v>
      </c>
      <c r="K3529" s="15">
        <v>18290</v>
      </c>
      <c r="L3529" s="15" t="s">
        <v>19099</v>
      </c>
    </row>
    <row r="3530" spans="1:12" x14ac:dyDescent="0.25">
      <c r="A3530" s="2" t="s">
        <v>10500</v>
      </c>
      <c r="B3530" s="8" t="s">
        <v>18311</v>
      </c>
      <c r="C3530" s="2" t="s">
        <v>10500</v>
      </c>
      <c r="D3530" s="2" t="s">
        <v>10501</v>
      </c>
      <c r="E3530" s="4" t="s">
        <v>10501</v>
      </c>
      <c r="G3530" s="15" t="s">
        <v>31058</v>
      </c>
      <c r="H3530" s="15" t="s">
        <v>31059</v>
      </c>
      <c r="I3530" s="15" t="s">
        <v>31060</v>
      </c>
      <c r="J3530" s="15" t="s">
        <v>31061</v>
      </c>
      <c r="K3530" s="15">
        <v>29216</v>
      </c>
      <c r="L3530" s="15" t="s">
        <v>19099</v>
      </c>
    </row>
    <row r="3531" spans="1:12" x14ac:dyDescent="0.25">
      <c r="A3531" s="2" t="s">
        <v>10503</v>
      </c>
      <c r="B3531" s="8" t="s">
        <v>18312</v>
      </c>
      <c r="C3531" s="2" t="s">
        <v>10503</v>
      </c>
      <c r="D3531" s="2" t="s">
        <v>10504</v>
      </c>
      <c r="E3531" s="4" t="s">
        <v>10504</v>
      </c>
      <c r="G3531" s="15" t="s">
        <v>31062</v>
      </c>
      <c r="H3531" s="15" t="s">
        <v>31063</v>
      </c>
      <c r="I3531" s="15" t="s">
        <v>31064</v>
      </c>
      <c r="J3531" s="15" t="s">
        <v>31065</v>
      </c>
      <c r="K3531" s="15">
        <v>30479</v>
      </c>
      <c r="L3531" s="15" t="s">
        <v>19099</v>
      </c>
    </row>
    <row r="3532" spans="1:12" x14ac:dyDescent="0.25">
      <c r="A3532" s="2" t="s">
        <v>10506</v>
      </c>
      <c r="B3532" s="8" t="s">
        <v>18313</v>
      </c>
      <c r="C3532" s="2" t="s">
        <v>10506</v>
      </c>
      <c r="D3532" s="2" t="s">
        <v>10507</v>
      </c>
      <c r="E3532" s="4" t="s">
        <v>10507</v>
      </c>
      <c r="G3532" s="15" t="s">
        <v>31066</v>
      </c>
      <c r="H3532" s="15" t="s">
        <v>31067</v>
      </c>
      <c r="I3532" s="15" t="s">
        <v>31068</v>
      </c>
      <c r="J3532" s="15" t="s">
        <v>28254</v>
      </c>
      <c r="K3532" s="15">
        <v>14322</v>
      </c>
      <c r="L3532" s="15" t="s">
        <v>19099</v>
      </c>
    </row>
    <row r="3533" spans="1:12" x14ac:dyDescent="0.25">
      <c r="A3533" s="2" t="s">
        <v>10509</v>
      </c>
      <c r="B3533" s="8" t="s">
        <v>18314</v>
      </c>
      <c r="C3533" s="2" t="s">
        <v>10509</v>
      </c>
      <c r="D3533" s="2" t="s">
        <v>10510</v>
      </c>
      <c r="E3533" s="4" t="s">
        <v>10510</v>
      </c>
      <c r="G3533" s="15" t="s">
        <v>31069</v>
      </c>
      <c r="H3533" s="15" t="s">
        <v>31070</v>
      </c>
      <c r="I3533" s="15" t="s">
        <v>31071</v>
      </c>
      <c r="J3533" s="15" t="s">
        <v>31072</v>
      </c>
      <c r="K3533" s="15">
        <v>3034435</v>
      </c>
      <c r="L3533" s="15" t="s">
        <v>19099</v>
      </c>
    </row>
    <row r="3534" spans="1:12" x14ac:dyDescent="0.25">
      <c r="A3534" s="2" t="s">
        <v>10512</v>
      </c>
      <c r="B3534" s="8" t="s">
        <v>18315</v>
      </c>
      <c r="C3534" s="2" t="s">
        <v>10512</v>
      </c>
      <c r="D3534" s="2" t="s">
        <v>10513</v>
      </c>
      <c r="E3534" s="4" t="s">
        <v>31073</v>
      </c>
      <c r="G3534" s="15" t="s">
        <v>31074</v>
      </c>
      <c r="H3534" s="15" t="s">
        <v>31075</v>
      </c>
      <c r="I3534" s="15" t="s">
        <v>31076</v>
      </c>
      <c r="J3534" s="15" t="s">
        <v>31077</v>
      </c>
      <c r="K3534" s="15">
        <v>86210</v>
      </c>
      <c r="L3534" s="15" t="s">
        <v>19099</v>
      </c>
    </row>
    <row r="3535" spans="1:12" x14ac:dyDescent="0.25">
      <c r="A3535" s="2" t="s">
        <v>10515</v>
      </c>
      <c r="B3535" s="8" t="s">
        <v>18316</v>
      </c>
      <c r="C3535" s="2" t="s">
        <v>10515</v>
      </c>
      <c r="D3535" s="2" t="s">
        <v>10516</v>
      </c>
      <c r="E3535" s="4" t="s">
        <v>31078</v>
      </c>
      <c r="G3535" s="15" t="s">
        <v>31079</v>
      </c>
      <c r="H3535" s="15" t="s">
        <v>31080</v>
      </c>
      <c r="I3535" s="15" t="s">
        <v>31081</v>
      </c>
      <c r="J3535" s="15" t="s">
        <v>31082</v>
      </c>
      <c r="K3535" s="15">
        <v>4095</v>
      </c>
      <c r="L3535" s="15" t="s">
        <v>19099</v>
      </c>
    </row>
    <row r="3536" spans="1:12" x14ac:dyDescent="0.25">
      <c r="A3536" s="2" t="s">
        <v>10518</v>
      </c>
      <c r="B3536" s="8" t="s">
        <v>18317</v>
      </c>
      <c r="C3536" s="2" t="s">
        <v>10518</v>
      </c>
      <c r="D3536" s="2" t="s">
        <v>10519</v>
      </c>
      <c r="E3536" s="4" t="s">
        <v>10519</v>
      </c>
      <c r="G3536" s="15" t="s">
        <v>31083</v>
      </c>
      <c r="H3536" s="15" t="s">
        <v>31084</v>
      </c>
      <c r="I3536" s="15" t="s">
        <v>31085</v>
      </c>
      <c r="J3536" s="15" t="s">
        <v>31086</v>
      </c>
      <c r="K3536" s="15">
        <v>13709</v>
      </c>
      <c r="L3536" s="15" t="s">
        <v>19099</v>
      </c>
    </row>
    <row r="3537" spans="1:12" x14ac:dyDescent="0.25">
      <c r="A3537" s="2" t="s">
        <v>10521</v>
      </c>
      <c r="B3537" s="8" t="s">
        <v>18318</v>
      </c>
      <c r="C3537" s="2" t="s">
        <v>10521</v>
      </c>
      <c r="D3537" s="2" t="s">
        <v>10522</v>
      </c>
      <c r="E3537" s="4" t="s">
        <v>31087</v>
      </c>
      <c r="G3537" s="15" t="s">
        <v>31088</v>
      </c>
      <c r="H3537" s="15" t="s">
        <v>31089</v>
      </c>
      <c r="I3537" s="15" t="s">
        <v>31090</v>
      </c>
      <c r="J3537" s="15" t="s">
        <v>31091</v>
      </c>
      <c r="K3537" s="15">
        <v>4091</v>
      </c>
      <c r="L3537" s="15" t="s">
        <v>19099</v>
      </c>
    </row>
    <row r="3538" spans="1:12" x14ac:dyDescent="0.25">
      <c r="A3538" s="2" t="s">
        <v>10524</v>
      </c>
      <c r="B3538" s="8" t="s">
        <v>18319</v>
      </c>
      <c r="C3538" s="2" t="s">
        <v>10524</v>
      </c>
      <c r="D3538" s="2" t="s">
        <v>10525</v>
      </c>
      <c r="E3538" s="4" t="s">
        <v>31092</v>
      </c>
      <c r="G3538" s="15" t="s">
        <v>31093</v>
      </c>
      <c r="H3538" s="15" t="s">
        <v>31094</v>
      </c>
      <c r="I3538" s="15" t="s">
        <v>31095</v>
      </c>
      <c r="J3538" s="15" t="s">
        <v>31096</v>
      </c>
      <c r="K3538" s="15">
        <v>6451057</v>
      </c>
      <c r="L3538" s="15" t="s">
        <v>19099</v>
      </c>
    </row>
    <row r="3539" spans="1:12" x14ac:dyDescent="0.25">
      <c r="A3539" s="2" t="s">
        <v>10527</v>
      </c>
      <c r="B3539" s="8" t="s">
        <v>18320</v>
      </c>
      <c r="C3539" s="2" t="s">
        <v>10527</v>
      </c>
      <c r="D3539" s="2" t="s">
        <v>10528</v>
      </c>
      <c r="E3539" s="4" t="s">
        <v>31097</v>
      </c>
      <c r="G3539" s="15" t="s">
        <v>31098</v>
      </c>
      <c r="H3539" s="15" t="s">
        <v>31099</v>
      </c>
      <c r="I3539" s="15" t="s">
        <v>31100</v>
      </c>
      <c r="J3539" s="15" t="s">
        <v>20396</v>
      </c>
      <c r="K3539" s="15">
        <v>10836</v>
      </c>
      <c r="L3539" s="15" t="s">
        <v>19099</v>
      </c>
    </row>
    <row r="3540" spans="1:12" x14ac:dyDescent="0.25">
      <c r="A3540" s="2" t="s">
        <v>10530</v>
      </c>
      <c r="B3540" s="8" t="s">
        <v>18321</v>
      </c>
      <c r="C3540" s="2" t="s">
        <v>10530</v>
      </c>
      <c r="D3540" s="2" t="s">
        <v>10531</v>
      </c>
      <c r="E3540" s="4" t="s">
        <v>31101</v>
      </c>
      <c r="G3540" s="15" t="s">
        <v>31102</v>
      </c>
      <c r="H3540" s="15" t="s">
        <v>31103</v>
      </c>
      <c r="I3540" s="15" t="s">
        <v>31104</v>
      </c>
      <c r="J3540" s="15" t="s">
        <v>31105</v>
      </c>
      <c r="K3540" s="15">
        <v>9306</v>
      </c>
      <c r="L3540" s="15" t="s">
        <v>19099</v>
      </c>
    </row>
    <row r="3541" spans="1:12" x14ac:dyDescent="0.25">
      <c r="A3541" s="2" t="s">
        <v>10533</v>
      </c>
      <c r="B3541" s="8" t="s">
        <v>18322</v>
      </c>
      <c r="C3541" s="2" t="s">
        <v>10533</v>
      </c>
      <c r="D3541" s="2" t="s">
        <v>10534</v>
      </c>
      <c r="E3541" s="4" t="s">
        <v>31106</v>
      </c>
      <c r="G3541" s="15" t="s">
        <v>31107</v>
      </c>
      <c r="H3541" s="15" t="s">
        <v>31108</v>
      </c>
      <c r="I3541" s="15" t="s">
        <v>31109</v>
      </c>
      <c r="J3541" s="15" t="s">
        <v>26917</v>
      </c>
      <c r="K3541" s="15">
        <v>4169</v>
      </c>
      <c r="L3541" s="15" t="s">
        <v>19099</v>
      </c>
    </row>
    <row r="3542" spans="1:12" x14ac:dyDescent="0.25">
      <c r="A3542" s="2" t="s">
        <v>10536</v>
      </c>
      <c r="B3542" s="8" t="s">
        <v>18323</v>
      </c>
      <c r="C3542" s="2" t="s">
        <v>10536</v>
      </c>
      <c r="D3542" s="2" t="s">
        <v>10537</v>
      </c>
      <c r="E3542" s="4" t="s">
        <v>31110</v>
      </c>
      <c r="G3542" s="15" t="s">
        <v>31111</v>
      </c>
      <c r="H3542" s="15" t="s">
        <v>31112</v>
      </c>
      <c r="I3542" s="15" t="s">
        <v>31113</v>
      </c>
      <c r="J3542" s="15" t="s">
        <v>31114</v>
      </c>
      <c r="K3542" s="15">
        <v>6426849</v>
      </c>
      <c r="L3542" s="15" t="s">
        <v>19099</v>
      </c>
    </row>
    <row r="3543" spans="1:12" x14ac:dyDescent="0.25">
      <c r="A3543" s="2" t="s">
        <v>10539</v>
      </c>
      <c r="B3543" s="8" t="s">
        <v>18324</v>
      </c>
      <c r="C3543" s="2" t="s">
        <v>10539</v>
      </c>
      <c r="D3543" s="2" t="s">
        <v>10540</v>
      </c>
      <c r="E3543" s="4" t="s">
        <v>31115</v>
      </c>
      <c r="G3543" s="15" t="s">
        <v>31116</v>
      </c>
      <c r="H3543" s="15" t="s">
        <v>31117</v>
      </c>
      <c r="I3543" s="15" t="s">
        <v>31118</v>
      </c>
      <c r="J3543" s="15" t="s">
        <v>31119</v>
      </c>
      <c r="K3543" s="15">
        <v>15842092</v>
      </c>
      <c r="L3543" s="15" t="s">
        <v>19099</v>
      </c>
    </row>
    <row r="3544" spans="1:12" x14ac:dyDescent="0.25">
      <c r="A3544" s="2" t="s">
        <v>10542</v>
      </c>
      <c r="B3544" s="8" t="s">
        <v>18325</v>
      </c>
      <c r="C3544" s="2" t="s">
        <v>10542</v>
      </c>
      <c r="D3544" s="2" t="s">
        <v>10543</v>
      </c>
      <c r="E3544" s="4" t="s">
        <v>10543</v>
      </c>
      <c r="G3544" s="15" t="s">
        <v>31120</v>
      </c>
      <c r="H3544" s="15" t="s">
        <v>31121</v>
      </c>
      <c r="I3544" s="15" t="s">
        <v>31122</v>
      </c>
      <c r="J3544" s="15" t="s">
        <v>25837</v>
      </c>
      <c r="K3544" s="15">
        <v>5353758</v>
      </c>
      <c r="L3544" s="15" t="s">
        <v>19099</v>
      </c>
    </row>
    <row r="3545" spans="1:12" x14ac:dyDescent="0.25">
      <c r="A3545" s="2" t="s">
        <v>10545</v>
      </c>
      <c r="B3545" s="8" t="s">
        <v>18326</v>
      </c>
      <c r="C3545" s="2" t="s">
        <v>10545</v>
      </c>
      <c r="D3545" s="2" t="s">
        <v>10546</v>
      </c>
      <c r="E3545" s="4" t="s">
        <v>31123</v>
      </c>
      <c r="G3545" s="15" t="s">
        <v>31124</v>
      </c>
      <c r="H3545" s="15" t="s">
        <v>31125</v>
      </c>
      <c r="I3545" s="15" t="s">
        <v>31126</v>
      </c>
      <c r="J3545" s="15" t="s">
        <v>31127</v>
      </c>
      <c r="K3545" s="15">
        <v>4173</v>
      </c>
      <c r="L3545" s="15" t="s">
        <v>19099</v>
      </c>
    </row>
    <row r="3546" spans="1:12" x14ac:dyDescent="0.25">
      <c r="A3546" s="2" t="s">
        <v>10548</v>
      </c>
      <c r="B3546" s="8" t="s">
        <v>18327</v>
      </c>
      <c r="C3546" s="2" t="s">
        <v>10548</v>
      </c>
      <c r="D3546" s="2" t="s">
        <v>10549</v>
      </c>
      <c r="E3546" s="4" t="s">
        <v>10549</v>
      </c>
      <c r="G3546" s="15" t="s">
        <v>31128</v>
      </c>
      <c r="H3546" s="15" t="s">
        <v>31129</v>
      </c>
      <c r="I3546" s="15" t="s">
        <v>31130</v>
      </c>
      <c r="J3546" s="15" t="s">
        <v>29616</v>
      </c>
      <c r="K3546" s="15">
        <v>16248</v>
      </c>
      <c r="L3546" s="15" t="s">
        <v>19099</v>
      </c>
    </row>
    <row r="3547" spans="1:12" x14ac:dyDescent="0.25">
      <c r="A3547" s="2" t="s">
        <v>10551</v>
      </c>
      <c r="B3547" s="8" t="s">
        <v>18328</v>
      </c>
      <c r="C3547" s="2" t="s">
        <v>10551</v>
      </c>
      <c r="D3547" s="2" t="s">
        <v>10552</v>
      </c>
      <c r="E3547" s="4" t="s">
        <v>31131</v>
      </c>
      <c r="G3547" s="15" t="s">
        <v>31132</v>
      </c>
      <c r="H3547" s="15" t="s">
        <v>31133</v>
      </c>
      <c r="I3547" s="15" t="s">
        <v>31134</v>
      </c>
      <c r="J3547" s="15" t="s">
        <v>29621</v>
      </c>
      <c r="K3547" s="15">
        <v>17521</v>
      </c>
      <c r="L3547" s="15" t="s">
        <v>19099</v>
      </c>
    </row>
    <row r="3548" spans="1:12" x14ac:dyDescent="0.25">
      <c r="A3548" s="2" t="s">
        <v>10554</v>
      </c>
      <c r="B3548" s="8" t="s">
        <v>18329</v>
      </c>
      <c r="C3548" s="2" t="s">
        <v>10554</v>
      </c>
      <c r="D3548" s="2" t="s">
        <v>10555</v>
      </c>
      <c r="E3548" s="4" t="s">
        <v>31135</v>
      </c>
      <c r="G3548" s="15" t="s">
        <v>31136</v>
      </c>
      <c r="H3548" s="15" t="s">
        <v>31137</v>
      </c>
      <c r="I3548" s="15" t="s">
        <v>31138</v>
      </c>
      <c r="J3548" s="15" t="s">
        <v>29626</v>
      </c>
      <c r="K3548" s="15">
        <v>16589</v>
      </c>
      <c r="L3548" s="15" t="s">
        <v>19099</v>
      </c>
    </row>
    <row r="3549" spans="1:12" x14ac:dyDescent="0.25">
      <c r="A3549" s="2" t="s">
        <v>10557</v>
      </c>
      <c r="B3549" s="8" t="s">
        <v>18330</v>
      </c>
      <c r="C3549" s="2" t="s">
        <v>10557</v>
      </c>
      <c r="D3549" s="2" t="s">
        <v>10558</v>
      </c>
      <c r="E3549" s="4" t="s">
        <v>10558</v>
      </c>
      <c r="G3549" s="15" t="s">
        <v>31139</v>
      </c>
      <c r="H3549" s="15" t="s">
        <v>31140</v>
      </c>
      <c r="I3549" s="15" t="s">
        <v>31141</v>
      </c>
      <c r="J3549" s="15" t="s">
        <v>31142</v>
      </c>
      <c r="K3549" s="15">
        <v>4171</v>
      </c>
      <c r="L3549" s="15" t="s">
        <v>19099</v>
      </c>
    </row>
    <row r="3550" spans="1:12" x14ac:dyDescent="0.25">
      <c r="A3550" s="2" t="s">
        <v>10560</v>
      </c>
      <c r="B3550" s="8" t="s">
        <v>18331</v>
      </c>
      <c r="C3550" s="2" t="s">
        <v>10560</v>
      </c>
      <c r="D3550" s="2" t="s">
        <v>10561</v>
      </c>
      <c r="E3550" s="4" t="s">
        <v>15199</v>
      </c>
      <c r="G3550" s="15" t="s">
        <v>31143</v>
      </c>
      <c r="H3550" s="15" t="s">
        <v>31144</v>
      </c>
      <c r="I3550" s="15" t="s">
        <v>31145</v>
      </c>
      <c r="J3550" s="15" t="s">
        <v>31146</v>
      </c>
      <c r="K3550" s="15">
        <v>5366546</v>
      </c>
      <c r="L3550" s="15" t="s">
        <v>19099</v>
      </c>
    </row>
    <row r="3551" spans="1:12" x14ac:dyDescent="0.25">
      <c r="A3551" s="2" t="s">
        <v>10563</v>
      </c>
      <c r="B3551" s="8" t="s">
        <v>18332</v>
      </c>
      <c r="C3551" s="2" t="s">
        <v>10563</v>
      </c>
      <c r="D3551" s="2" t="s">
        <v>10564</v>
      </c>
      <c r="E3551" s="4" t="s">
        <v>10564</v>
      </c>
      <c r="G3551" s="15" t="s">
        <v>31147</v>
      </c>
      <c r="H3551" s="15" t="s">
        <v>31148</v>
      </c>
      <c r="I3551" s="15" t="s">
        <v>31149</v>
      </c>
      <c r="J3551" s="15" t="s">
        <v>31150</v>
      </c>
      <c r="K3551" s="15">
        <v>13290</v>
      </c>
      <c r="L3551" s="15" t="s">
        <v>19099</v>
      </c>
    </row>
    <row r="3552" spans="1:12" x14ac:dyDescent="0.25">
      <c r="A3552" s="2" t="s">
        <v>10566</v>
      </c>
      <c r="B3552" s="8" t="s">
        <v>18333</v>
      </c>
      <c r="C3552" s="2" t="s">
        <v>10566</v>
      </c>
      <c r="D3552" s="2" t="s">
        <v>10567</v>
      </c>
      <c r="E3552" s="4" t="s">
        <v>10567</v>
      </c>
      <c r="G3552" s="15" t="s">
        <v>31151</v>
      </c>
      <c r="H3552" s="15" t="s">
        <v>31152</v>
      </c>
      <c r="I3552" s="15" t="s">
        <v>31153</v>
      </c>
      <c r="J3552" s="15" t="s">
        <v>31154</v>
      </c>
      <c r="K3552" s="15">
        <v>5284484</v>
      </c>
      <c r="L3552" s="15" t="s">
        <v>19099</v>
      </c>
    </row>
    <row r="3553" spans="1:12" x14ac:dyDescent="0.25">
      <c r="A3553" s="2" t="s">
        <v>10569</v>
      </c>
      <c r="B3553" s="8" t="s">
        <v>18334</v>
      </c>
      <c r="C3553" s="2" t="s">
        <v>10569</v>
      </c>
      <c r="D3553" s="2" t="s">
        <v>10570</v>
      </c>
      <c r="E3553" s="4" t="s">
        <v>10570</v>
      </c>
      <c r="G3553" s="15" t="s">
        <v>31155</v>
      </c>
      <c r="H3553" s="15" t="s">
        <v>31156</v>
      </c>
      <c r="I3553" s="15" t="s">
        <v>31157</v>
      </c>
      <c r="J3553" s="15" t="s">
        <v>31158</v>
      </c>
      <c r="K3553" s="15">
        <v>86422</v>
      </c>
      <c r="L3553" s="15" t="s">
        <v>19099</v>
      </c>
    </row>
    <row r="3554" spans="1:12" x14ac:dyDescent="0.25">
      <c r="A3554" s="2" t="s">
        <v>10572</v>
      </c>
      <c r="B3554" s="8" t="s">
        <v>18335</v>
      </c>
      <c r="C3554" s="2" t="s">
        <v>10572</v>
      </c>
      <c r="D3554" s="2" t="s">
        <v>10573</v>
      </c>
      <c r="E3554" s="4" t="s">
        <v>31159</v>
      </c>
      <c r="G3554" s="15" t="s">
        <v>31160</v>
      </c>
      <c r="H3554" s="15" t="s">
        <v>31161</v>
      </c>
      <c r="I3554" s="15" t="s">
        <v>31162</v>
      </c>
      <c r="J3554" s="15" t="s">
        <v>31163</v>
      </c>
      <c r="K3554" s="15">
        <v>126941</v>
      </c>
      <c r="L3554" s="15" t="s">
        <v>19099</v>
      </c>
    </row>
    <row r="3555" spans="1:12" x14ac:dyDescent="0.25">
      <c r="A3555" s="2" t="s">
        <v>10575</v>
      </c>
      <c r="B3555" s="8" t="s">
        <v>18336</v>
      </c>
      <c r="C3555" s="2" t="s">
        <v>10575</v>
      </c>
      <c r="D3555" s="2" t="s">
        <v>10576</v>
      </c>
      <c r="E3555" s="4" t="s">
        <v>10576</v>
      </c>
      <c r="G3555" s="15" t="s">
        <v>31164</v>
      </c>
      <c r="H3555" s="15" t="s">
        <v>31165</v>
      </c>
      <c r="I3555" s="15" t="s">
        <v>31166</v>
      </c>
      <c r="J3555" s="15" t="s">
        <v>31167</v>
      </c>
      <c r="K3555" s="15">
        <v>29863</v>
      </c>
      <c r="L3555" s="15" t="s">
        <v>19099</v>
      </c>
    </row>
    <row r="3556" spans="1:12" x14ac:dyDescent="0.25">
      <c r="A3556" s="2" t="s">
        <v>10578</v>
      </c>
      <c r="B3556" s="8" t="s">
        <v>18337</v>
      </c>
      <c r="C3556" s="2" t="s">
        <v>10578</v>
      </c>
      <c r="D3556" s="2" t="s">
        <v>10579</v>
      </c>
      <c r="E3556" s="4" t="s">
        <v>31168</v>
      </c>
      <c r="G3556" s="15" t="s">
        <v>31169</v>
      </c>
      <c r="H3556" s="15" t="s">
        <v>31170</v>
      </c>
      <c r="I3556" s="15" t="s">
        <v>31171</v>
      </c>
      <c r="J3556" s="15" t="s">
        <v>31172</v>
      </c>
      <c r="K3556" s="15">
        <v>86290102</v>
      </c>
      <c r="L3556" s="15" t="s">
        <v>19099</v>
      </c>
    </row>
    <row r="3557" spans="1:12" x14ac:dyDescent="0.25">
      <c r="A3557" s="2" t="s">
        <v>10581</v>
      </c>
      <c r="B3557" s="8" t="s">
        <v>18338</v>
      </c>
      <c r="C3557" s="2" t="s">
        <v>10581</v>
      </c>
      <c r="D3557" s="2" t="s">
        <v>10582</v>
      </c>
      <c r="E3557" s="4" t="s">
        <v>31173</v>
      </c>
      <c r="G3557" s="15" t="s">
        <v>31174</v>
      </c>
      <c r="H3557" s="15" t="s">
        <v>31175</v>
      </c>
      <c r="I3557" s="15" t="s">
        <v>31176</v>
      </c>
      <c r="J3557" s="15" t="s">
        <v>31177</v>
      </c>
      <c r="K3557" s="15">
        <v>86290103</v>
      </c>
      <c r="L3557" s="15" t="s">
        <v>19099</v>
      </c>
    </row>
    <row r="3558" spans="1:12" x14ac:dyDescent="0.25">
      <c r="A3558" s="2" t="s">
        <v>10584</v>
      </c>
      <c r="B3558" s="8" t="s">
        <v>18339</v>
      </c>
      <c r="C3558" s="2" t="s">
        <v>10584</v>
      </c>
      <c r="D3558" s="2" t="s">
        <v>10585</v>
      </c>
      <c r="E3558" s="4" t="s">
        <v>31178</v>
      </c>
      <c r="G3558" s="15" t="s">
        <v>31179</v>
      </c>
      <c r="H3558" s="15" t="s">
        <v>31180</v>
      </c>
      <c r="I3558" s="15" t="s">
        <v>31181</v>
      </c>
      <c r="J3558" s="15" t="s">
        <v>31182</v>
      </c>
      <c r="K3558" s="15">
        <v>4690</v>
      </c>
      <c r="L3558" s="15" t="s">
        <v>19099</v>
      </c>
    </row>
    <row r="3559" spans="1:12" x14ac:dyDescent="0.25">
      <c r="A3559" s="2" t="s">
        <v>10587</v>
      </c>
      <c r="B3559" s="8" t="s">
        <v>18340</v>
      </c>
      <c r="C3559" s="2" t="s">
        <v>10587</v>
      </c>
      <c r="D3559" s="2" t="s">
        <v>10588</v>
      </c>
      <c r="E3559" s="4" t="s">
        <v>10588</v>
      </c>
      <c r="G3559" s="15" t="s">
        <v>29060</v>
      </c>
      <c r="H3559" s="15" t="s">
        <v>29061</v>
      </c>
      <c r="I3559" s="15" t="s">
        <v>29062</v>
      </c>
      <c r="J3559" s="15" t="s">
        <v>29063</v>
      </c>
      <c r="K3559" s="15">
        <v>5355863</v>
      </c>
      <c r="L3559" s="15" t="s">
        <v>19099</v>
      </c>
    </row>
    <row r="3560" spans="1:12" x14ac:dyDescent="0.25">
      <c r="A3560" s="2" t="s">
        <v>10590</v>
      </c>
      <c r="B3560" s="8" t="s">
        <v>18341</v>
      </c>
      <c r="C3560" s="2" t="s">
        <v>10590</v>
      </c>
      <c r="D3560" s="2" t="s">
        <v>10591</v>
      </c>
      <c r="E3560" s="4" t="s">
        <v>31183</v>
      </c>
      <c r="G3560" s="15" t="s">
        <v>31184</v>
      </c>
      <c r="H3560" s="15" t="s">
        <v>31185</v>
      </c>
      <c r="I3560" s="15" t="s">
        <v>31186</v>
      </c>
      <c r="J3560" s="15" t="s">
        <v>30586</v>
      </c>
      <c r="K3560" s="15">
        <v>9414</v>
      </c>
      <c r="L3560" s="15" t="s">
        <v>19099</v>
      </c>
    </row>
    <row r="3561" spans="1:12" x14ac:dyDescent="0.25">
      <c r="A3561" s="2" t="s">
        <v>10593</v>
      </c>
      <c r="B3561" s="8" t="s">
        <v>18342</v>
      </c>
      <c r="C3561" s="2" t="s">
        <v>10593</v>
      </c>
      <c r="D3561" s="2" t="s">
        <v>10594</v>
      </c>
      <c r="E3561" s="4" t="s">
        <v>31187</v>
      </c>
      <c r="G3561" s="15" t="s">
        <v>31188</v>
      </c>
      <c r="H3561" s="15" t="s">
        <v>31189</v>
      </c>
      <c r="I3561" s="15" t="s">
        <v>31190</v>
      </c>
      <c r="J3561" s="15" t="s">
        <v>31191</v>
      </c>
      <c r="K3561" s="15">
        <v>9827529</v>
      </c>
      <c r="L3561" s="15" t="s">
        <v>19099</v>
      </c>
    </row>
    <row r="3562" spans="1:12" x14ac:dyDescent="0.25">
      <c r="A3562" s="2" t="s">
        <v>10596</v>
      </c>
      <c r="B3562" s="8" t="s">
        <v>18343</v>
      </c>
      <c r="C3562" s="2" t="s">
        <v>10596</v>
      </c>
      <c r="D3562" s="2" t="s">
        <v>10597</v>
      </c>
      <c r="E3562" s="4" t="s">
        <v>10597</v>
      </c>
      <c r="G3562" s="15" t="s">
        <v>31192</v>
      </c>
      <c r="H3562" s="15" t="s">
        <v>31193</v>
      </c>
      <c r="I3562" s="15" t="s">
        <v>31194</v>
      </c>
      <c r="J3562" s="15" t="s">
        <v>31195</v>
      </c>
      <c r="K3562" s="15">
        <v>4184</v>
      </c>
      <c r="L3562" s="15" t="s">
        <v>19099</v>
      </c>
    </row>
    <row r="3563" spans="1:12" x14ac:dyDescent="0.25">
      <c r="A3563" s="2" t="s">
        <v>10599</v>
      </c>
      <c r="B3563" s="8" t="s">
        <v>18344</v>
      </c>
      <c r="C3563" s="2" t="s">
        <v>10599</v>
      </c>
      <c r="D3563" s="2" t="s">
        <v>10600</v>
      </c>
      <c r="E3563" s="4" t="s">
        <v>31196</v>
      </c>
      <c r="G3563" s="15" t="s">
        <v>31197</v>
      </c>
      <c r="H3563" s="15" t="s">
        <v>31198</v>
      </c>
      <c r="I3563" s="15" t="s">
        <v>31199</v>
      </c>
      <c r="J3563" s="15" t="s">
        <v>31200</v>
      </c>
      <c r="K3563" s="15">
        <v>4189</v>
      </c>
      <c r="L3563" s="15" t="s">
        <v>19099</v>
      </c>
    </row>
    <row r="3564" spans="1:12" x14ac:dyDescent="0.25">
      <c r="A3564" s="2" t="s">
        <v>10602</v>
      </c>
      <c r="B3564" s="8" t="s">
        <v>18345</v>
      </c>
      <c r="C3564" s="2" t="s">
        <v>10602</v>
      </c>
      <c r="D3564" s="2" t="s">
        <v>10603</v>
      </c>
      <c r="E3564" s="4" t="s">
        <v>31201</v>
      </c>
      <c r="G3564" s="15" t="s">
        <v>31202</v>
      </c>
      <c r="H3564" s="15" t="s">
        <v>31203</v>
      </c>
      <c r="I3564" s="15" t="s">
        <v>31204</v>
      </c>
      <c r="J3564" s="15" t="s">
        <v>31205</v>
      </c>
      <c r="K3564" s="15">
        <v>68553</v>
      </c>
      <c r="L3564" s="15" t="s">
        <v>19099</v>
      </c>
    </row>
    <row r="3565" spans="1:12" x14ac:dyDescent="0.25">
      <c r="A3565" s="2" t="s">
        <v>10605</v>
      </c>
      <c r="B3565" s="8" t="s">
        <v>18346</v>
      </c>
      <c r="C3565" s="2" t="s">
        <v>10605</v>
      </c>
      <c r="D3565" s="2" t="s">
        <v>10606</v>
      </c>
      <c r="E3565" s="4" t="s">
        <v>10606</v>
      </c>
      <c r="G3565" s="15" t="s">
        <v>31206</v>
      </c>
      <c r="H3565" s="15" t="s">
        <v>31207</v>
      </c>
      <c r="I3565" s="15" t="s">
        <v>31208</v>
      </c>
      <c r="J3565" s="15" t="s">
        <v>31209</v>
      </c>
      <c r="K3565" s="15">
        <v>9828343</v>
      </c>
      <c r="L3565" s="15" t="s">
        <v>19099</v>
      </c>
    </row>
    <row r="3566" spans="1:12" x14ac:dyDescent="0.25">
      <c r="A3566" s="2" t="s">
        <v>10608</v>
      </c>
      <c r="B3566" s="8" t="s">
        <v>18347</v>
      </c>
      <c r="C3566" s="2" t="s">
        <v>10608</v>
      </c>
      <c r="D3566" s="2" t="s">
        <v>10609</v>
      </c>
      <c r="E3566" s="4" t="s">
        <v>10609</v>
      </c>
      <c r="G3566" s="15" t="s">
        <v>31210</v>
      </c>
      <c r="H3566" s="15" t="s">
        <v>31211</v>
      </c>
      <c r="I3566" s="15" t="s">
        <v>31212</v>
      </c>
      <c r="J3566" s="15" t="s">
        <v>31213</v>
      </c>
      <c r="K3566" s="15">
        <v>9959038</v>
      </c>
      <c r="L3566" s="15" t="s">
        <v>19099</v>
      </c>
    </row>
    <row r="3567" spans="1:12" x14ac:dyDescent="0.25">
      <c r="A3567" s="2" t="s">
        <v>10611</v>
      </c>
      <c r="B3567" s="8" t="s">
        <v>18348</v>
      </c>
      <c r="C3567" s="2" t="s">
        <v>10611</v>
      </c>
      <c r="D3567" s="2" t="s">
        <v>10612</v>
      </c>
      <c r="E3567" s="4" t="s">
        <v>31214</v>
      </c>
    </row>
    <row r="3568" spans="1:12" x14ac:dyDescent="0.25">
      <c r="A3568" s="2" t="s">
        <v>10614</v>
      </c>
      <c r="B3568" s="8" t="s">
        <v>16180</v>
      </c>
      <c r="C3568" s="2" t="s">
        <v>10614</v>
      </c>
      <c r="D3568" s="2" t="s">
        <v>10615</v>
      </c>
      <c r="E3568" s="4" t="s">
        <v>31215</v>
      </c>
    </row>
    <row r="3569" spans="1:12" x14ac:dyDescent="0.25">
      <c r="A3569" s="2" t="s">
        <v>10616</v>
      </c>
      <c r="B3569" s="8" t="s">
        <v>18349</v>
      </c>
      <c r="C3569" s="2" t="s">
        <v>10616</v>
      </c>
      <c r="D3569" s="2" t="s">
        <v>10617</v>
      </c>
      <c r="E3569" s="4" t="s">
        <v>10617</v>
      </c>
      <c r="G3569" s="15" t="s">
        <v>31216</v>
      </c>
      <c r="H3569" s="15" t="s">
        <v>31217</v>
      </c>
      <c r="I3569" s="15" t="s">
        <v>31218</v>
      </c>
      <c r="J3569" s="15" t="s">
        <v>31219</v>
      </c>
      <c r="K3569" s="15">
        <v>16945</v>
      </c>
      <c r="L3569" s="15" t="s">
        <v>19099</v>
      </c>
    </row>
    <row r="3570" spans="1:12" x14ac:dyDescent="0.25">
      <c r="A3570" s="2" t="s">
        <v>10619</v>
      </c>
      <c r="B3570" s="8" t="s">
        <v>18350</v>
      </c>
      <c r="C3570" s="2" t="s">
        <v>10619</v>
      </c>
      <c r="D3570" s="2" t="s">
        <v>10620</v>
      </c>
      <c r="E3570" s="4" t="s">
        <v>10620</v>
      </c>
      <c r="G3570" s="15" t="s">
        <v>31220</v>
      </c>
      <c r="H3570" s="15" t="s">
        <v>31221</v>
      </c>
      <c r="I3570" s="15" t="s">
        <v>31222</v>
      </c>
      <c r="J3570" s="15" t="s">
        <v>31119</v>
      </c>
      <c r="K3570" s="15">
        <v>42586</v>
      </c>
      <c r="L3570" s="15" t="s">
        <v>19099</v>
      </c>
    </row>
    <row r="3571" spans="1:12" x14ac:dyDescent="0.25">
      <c r="A3571" s="2" t="s">
        <v>10622</v>
      </c>
      <c r="B3571" s="8" t="s">
        <v>18351</v>
      </c>
      <c r="C3571" s="2" t="s">
        <v>10622</v>
      </c>
      <c r="D3571" s="2" t="s">
        <v>10623</v>
      </c>
      <c r="E3571" s="4" t="s">
        <v>10623</v>
      </c>
      <c r="G3571" s="15" t="s">
        <v>31223</v>
      </c>
      <c r="H3571" s="15" t="s">
        <v>31224</v>
      </c>
      <c r="I3571" s="15" t="s">
        <v>31225</v>
      </c>
      <c r="J3571" s="15" t="s">
        <v>31119</v>
      </c>
      <c r="K3571" s="15">
        <v>11150163</v>
      </c>
      <c r="L3571" s="15" t="s">
        <v>19099</v>
      </c>
    </row>
    <row r="3572" spans="1:12" x14ac:dyDescent="0.25">
      <c r="A3572" s="2" t="s">
        <v>10625</v>
      </c>
      <c r="B3572" s="8" t="s">
        <v>18352</v>
      </c>
      <c r="C3572" s="2" t="s">
        <v>10625</v>
      </c>
      <c r="D3572" s="2" t="s">
        <v>10626</v>
      </c>
      <c r="E3572" s="4" t="s">
        <v>10626</v>
      </c>
      <c r="G3572" s="15" t="s">
        <v>31226</v>
      </c>
      <c r="H3572" s="15" t="s">
        <v>31227</v>
      </c>
      <c r="I3572" s="15" t="s">
        <v>31228</v>
      </c>
      <c r="J3572" s="15" t="s">
        <v>31229</v>
      </c>
      <c r="K3572" s="15">
        <v>38854</v>
      </c>
      <c r="L3572" s="15" t="s">
        <v>19099</v>
      </c>
    </row>
    <row r="3573" spans="1:12" x14ac:dyDescent="0.25">
      <c r="A3573" s="2" t="s">
        <v>10628</v>
      </c>
      <c r="B3573" s="8" t="s">
        <v>18353</v>
      </c>
      <c r="C3573" s="2" t="s">
        <v>10628</v>
      </c>
      <c r="D3573" s="2" t="s">
        <v>10629</v>
      </c>
      <c r="E3573" s="4" t="s">
        <v>31230</v>
      </c>
      <c r="G3573" s="15" t="s">
        <v>31231</v>
      </c>
      <c r="H3573" s="15" t="s">
        <v>31232</v>
      </c>
      <c r="I3573" s="15" t="s">
        <v>31233</v>
      </c>
      <c r="J3573" s="15" t="s">
        <v>31234</v>
      </c>
      <c r="K3573" s="15">
        <v>16653</v>
      </c>
      <c r="L3573" s="15" t="s">
        <v>19099</v>
      </c>
    </row>
    <row r="3574" spans="1:12" x14ac:dyDescent="0.25">
      <c r="A3574" s="2" t="s">
        <v>10631</v>
      </c>
      <c r="B3574" s="8" t="s">
        <v>18354</v>
      </c>
      <c r="C3574" s="2" t="s">
        <v>10631</v>
      </c>
      <c r="D3574" s="2" t="s">
        <v>10632</v>
      </c>
      <c r="E3574" s="4" t="s">
        <v>10632</v>
      </c>
      <c r="G3574" s="15" t="s">
        <v>31235</v>
      </c>
      <c r="H3574" s="15" t="s">
        <v>31236</v>
      </c>
      <c r="I3574" s="15" t="s">
        <v>31237</v>
      </c>
      <c r="J3574" s="15" t="s">
        <v>26722</v>
      </c>
      <c r="K3574" s="15">
        <v>23715</v>
      </c>
      <c r="L3574" s="15" t="s">
        <v>19099</v>
      </c>
    </row>
    <row r="3575" spans="1:12" x14ac:dyDescent="0.25">
      <c r="A3575" s="2" t="s">
        <v>10634</v>
      </c>
      <c r="B3575" s="8" t="s">
        <v>18355</v>
      </c>
      <c r="C3575" s="2" t="s">
        <v>10634</v>
      </c>
      <c r="D3575" s="2" t="s">
        <v>10635</v>
      </c>
      <c r="E3575" s="4" t="s">
        <v>10635</v>
      </c>
      <c r="G3575" s="15" t="s">
        <v>31238</v>
      </c>
      <c r="H3575" s="15" t="s">
        <v>31239</v>
      </c>
      <c r="I3575" s="15" t="s">
        <v>31240</v>
      </c>
      <c r="J3575" s="15" t="s">
        <v>31241</v>
      </c>
      <c r="K3575" s="15">
        <v>8800</v>
      </c>
      <c r="L3575" s="15" t="s">
        <v>19099</v>
      </c>
    </row>
    <row r="3576" spans="1:12" x14ac:dyDescent="0.25">
      <c r="A3576" s="2" t="s">
        <v>10637</v>
      </c>
      <c r="B3576" s="8" t="s">
        <v>18356</v>
      </c>
      <c r="C3576" s="2" t="s">
        <v>10637</v>
      </c>
      <c r="D3576" s="2" t="s">
        <v>10638</v>
      </c>
      <c r="E3576" s="4" t="s">
        <v>10638</v>
      </c>
      <c r="G3576" s="15" t="s">
        <v>31242</v>
      </c>
      <c r="H3576" s="15" t="s">
        <v>31243</v>
      </c>
      <c r="I3576" s="15" t="s">
        <v>31244</v>
      </c>
      <c r="J3576" s="15" t="s">
        <v>31245</v>
      </c>
      <c r="K3576" s="15">
        <v>7215</v>
      </c>
      <c r="L3576" s="15" t="s">
        <v>19099</v>
      </c>
    </row>
    <row r="3577" spans="1:12" x14ac:dyDescent="0.25">
      <c r="A3577" s="2" t="s">
        <v>10640</v>
      </c>
      <c r="B3577" s="8" t="s">
        <v>18357</v>
      </c>
      <c r="C3577" s="2" t="s">
        <v>10640</v>
      </c>
      <c r="D3577" s="2" t="s">
        <v>10641</v>
      </c>
      <c r="E3577" s="4" t="s">
        <v>10641</v>
      </c>
      <c r="G3577" s="15" t="s">
        <v>31246</v>
      </c>
      <c r="H3577" s="15" t="s">
        <v>31247</v>
      </c>
      <c r="I3577" s="15" t="s">
        <v>31248</v>
      </c>
      <c r="J3577" s="15" t="s">
        <v>31249</v>
      </c>
      <c r="K3577" s="15">
        <v>441145</v>
      </c>
      <c r="L3577" s="15" t="s">
        <v>19099</v>
      </c>
    </row>
    <row r="3578" spans="1:12" x14ac:dyDescent="0.25">
      <c r="A3578" s="2" t="s">
        <v>10643</v>
      </c>
      <c r="B3578" s="8" t="s">
        <v>18358</v>
      </c>
      <c r="C3578" s="2" t="s">
        <v>10643</v>
      </c>
      <c r="D3578" s="2" t="s">
        <v>10644</v>
      </c>
      <c r="E3578" s="4" t="s">
        <v>31250</v>
      </c>
      <c r="G3578" s="15" t="s">
        <v>31250</v>
      </c>
      <c r="H3578" s="15" t="s">
        <v>31251</v>
      </c>
      <c r="I3578" s="15" t="s">
        <v>31252</v>
      </c>
      <c r="J3578" s="15" t="s">
        <v>23482</v>
      </c>
      <c r="K3578" s="15">
        <v>8083</v>
      </c>
      <c r="L3578" s="15" t="s">
        <v>19099</v>
      </c>
    </row>
    <row r="3579" spans="1:12" x14ac:dyDescent="0.25">
      <c r="A3579" s="2" t="s">
        <v>10646</v>
      </c>
      <c r="B3579" s="8" t="s">
        <v>18359</v>
      </c>
      <c r="C3579" s="2" t="s">
        <v>10646</v>
      </c>
      <c r="D3579" s="2" t="s">
        <v>10647</v>
      </c>
      <c r="E3579" s="4" t="s">
        <v>31253</v>
      </c>
      <c r="G3579" s="15" t="s">
        <v>31254</v>
      </c>
      <c r="H3579" s="15" t="s">
        <v>31255</v>
      </c>
      <c r="I3579" s="15" t="s">
        <v>31256</v>
      </c>
      <c r="J3579" s="15" t="s">
        <v>31257</v>
      </c>
      <c r="K3579" s="15">
        <v>5288826</v>
      </c>
      <c r="L3579" s="15" t="s">
        <v>19099</v>
      </c>
    </row>
    <row r="3580" spans="1:12" x14ac:dyDescent="0.25">
      <c r="A3580" s="2" t="s">
        <v>10649</v>
      </c>
      <c r="B3580" s="8" t="s">
        <v>18360</v>
      </c>
      <c r="C3580" s="2" t="s">
        <v>10649</v>
      </c>
      <c r="D3580" s="2" t="s">
        <v>10650</v>
      </c>
      <c r="E3580" s="4" t="s">
        <v>31258</v>
      </c>
      <c r="G3580" s="15" t="s">
        <v>31259</v>
      </c>
      <c r="H3580" s="15" t="s">
        <v>31260</v>
      </c>
      <c r="I3580" s="15" t="s">
        <v>31261</v>
      </c>
      <c r="J3580" s="15" t="s">
        <v>31262</v>
      </c>
      <c r="K3580" s="15">
        <v>10461</v>
      </c>
      <c r="L3580" s="15" t="s">
        <v>19099</v>
      </c>
    </row>
    <row r="3581" spans="1:12" x14ac:dyDescent="0.25">
      <c r="A3581" s="2" t="s">
        <v>10652</v>
      </c>
      <c r="B3581" s="8" t="s">
        <v>18361</v>
      </c>
      <c r="C3581" s="2" t="s">
        <v>10652</v>
      </c>
      <c r="D3581" s="2" t="s">
        <v>10653</v>
      </c>
      <c r="E3581" s="4" t="s">
        <v>10653</v>
      </c>
      <c r="G3581" s="15" t="s">
        <v>31263</v>
      </c>
      <c r="H3581" s="15" t="s">
        <v>31264</v>
      </c>
      <c r="I3581" s="15" t="s">
        <v>31265</v>
      </c>
      <c r="J3581" s="15" t="s">
        <v>31266</v>
      </c>
      <c r="K3581" s="15">
        <v>9832912</v>
      </c>
      <c r="L3581" s="15" t="s">
        <v>19099</v>
      </c>
    </row>
    <row r="3582" spans="1:12" x14ac:dyDescent="0.25">
      <c r="A3582" s="2" t="s">
        <v>10655</v>
      </c>
      <c r="B3582" s="8" t="s">
        <v>16180</v>
      </c>
      <c r="C3582" s="2" t="s">
        <v>10655</v>
      </c>
      <c r="D3582" s="2" t="s">
        <v>10656</v>
      </c>
      <c r="E3582" s="4" t="s">
        <v>31267</v>
      </c>
    </row>
    <row r="3583" spans="1:12" x14ac:dyDescent="0.25">
      <c r="A3583" s="2" t="s">
        <v>10657</v>
      </c>
      <c r="B3583" s="8" t="s">
        <v>16180</v>
      </c>
      <c r="C3583" s="2" t="s">
        <v>10657</v>
      </c>
      <c r="D3583" s="2" t="s">
        <v>10658</v>
      </c>
      <c r="E3583" s="4" t="s">
        <v>31268</v>
      </c>
    </row>
    <row r="3584" spans="1:12" x14ac:dyDescent="0.25">
      <c r="A3584" s="2" t="s">
        <v>10659</v>
      </c>
      <c r="B3584" s="8" t="s">
        <v>18362</v>
      </c>
      <c r="C3584" s="2" t="s">
        <v>10659</v>
      </c>
      <c r="D3584" s="2" t="s">
        <v>10660</v>
      </c>
      <c r="E3584" s="4" t="s">
        <v>31269</v>
      </c>
      <c r="G3584" s="15" t="s">
        <v>31270</v>
      </c>
      <c r="H3584" s="15" t="s">
        <v>31271</v>
      </c>
      <c r="I3584" s="15" t="s">
        <v>31272</v>
      </c>
      <c r="J3584" s="15" t="s">
        <v>31273</v>
      </c>
      <c r="K3584" s="15">
        <v>4096</v>
      </c>
      <c r="L3584" s="15" t="s">
        <v>19099</v>
      </c>
    </row>
    <row r="3585" spans="1:12" x14ac:dyDescent="0.25">
      <c r="A3585" s="2" t="s">
        <v>10662</v>
      </c>
      <c r="B3585" s="8" t="s">
        <v>18363</v>
      </c>
      <c r="C3585" s="2" t="s">
        <v>10662</v>
      </c>
      <c r="D3585" s="2" t="s">
        <v>10663</v>
      </c>
      <c r="E3585" s="4" t="s">
        <v>31274</v>
      </c>
      <c r="G3585" s="15" t="s">
        <v>31275</v>
      </c>
      <c r="H3585" s="15" t="s">
        <v>31276</v>
      </c>
      <c r="I3585" s="15" t="s">
        <v>31277</v>
      </c>
      <c r="J3585" s="15" t="s">
        <v>28078</v>
      </c>
      <c r="K3585" s="15">
        <v>6669</v>
      </c>
      <c r="L3585" s="15" t="s">
        <v>19099</v>
      </c>
    </row>
    <row r="3586" spans="1:12" x14ac:dyDescent="0.25">
      <c r="A3586" s="2" t="s">
        <v>10665</v>
      </c>
      <c r="B3586" s="8" t="s">
        <v>18364</v>
      </c>
      <c r="C3586" s="2" t="s">
        <v>10665</v>
      </c>
      <c r="D3586" s="2" t="s">
        <v>10666</v>
      </c>
      <c r="E3586" s="4" t="s">
        <v>31278</v>
      </c>
      <c r="G3586" s="15" t="s">
        <v>31279</v>
      </c>
      <c r="H3586" s="15" t="s">
        <v>31280</v>
      </c>
      <c r="I3586" s="15" t="s">
        <v>31281</v>
      </c>
      <c r="J3586" s="15" t="s">
        <v>31282</v>
      </c>
      <c r="K3586" s="15">
        <v>62329</v>
      </c>
      <c r="L3586" s="15" t="s">
        <v>19099</v>
      </c>
    </row>
    <row r="3587" spans="1:12" x14ac:dyDescent="0.25">
      <c r="A3587" s="2" t="s">
        <v>10668</v>
      </c>
      <c r="B3587" s="8" t="s">
        <v>18365</v>
      </c>
      <c r="C3587" s="2" t="s">
        <v>10668</v>
      </c>
      <c r="D3587" s="2" t="s">
        <v>10669</v>
      </c>
      <c r="E3587" s="4" t="s">
        <v>10669</v>
      </c>
      <c r="G3587" s="15" t="s">
        <v>31283</v>
      </c>
      <c r="H3587" s="15" t="s">
        <v>31284</v>
      </c>
      <c r="I3587" s="15" t="s">
        <v>31285</v>
      </c>
      <c r="J3587" s="15" t="s">
        <v>31286</v>
      </c>
      <c r="K3587" s="15">
        <v>4033</v>
      </c>
      <c r="L3587" s="15" t="s">
        <v>19099</v>
      </c>
    </row>
    <row r="3588" spans="1:12" x14ac:dyDescent="0.25">
      <c r="A3588" s="2" t="s">
        <v>10671</v>
      </c>
      <c r="B3588" s="8" t="s">
        <v>18366</v>
      </c>
      <c r="C3588" s="2" t="s">
        <v>10671</v>
      </c>
      <c r="D3588" s="2" t="s">
        <v>10672</v>
      </c>
      <c r="E3588" s="4" t="s">
        <v>10672</v>
      </c>
      <c r="G3588" s="15" t="s">
        <v>31287</v>
      </c>
      <c r="H3588" s="15" t="s">
        <v>31288</v>
      </c>
      <c r="I3588" s="15" t="s">
        <v>31289</v>
      </c>
      <c r="J3588" s="15" t="s">
        <v>31290</v>
      </c>
      <c r="K3588" s="15">
        <v>6336</v>
      </c>
      <c r="L3588" s="15" t="s">
        <v>19099</v>
      </c>
    </row>
    <row r="3589" spans="1:12" x14ac:dyDescent="0.25">
      <c r="A3589" s="2" t="s">
        <v>10674</v>
      </c>
      <c r="B3589" s="8" t="s">
        <v>18367</v>
      </c>
      <c r="C3589" s="2" t="s">
        <v>10674</v>
      </c>
      <c r="D3589" s="2" t="s">
        <v>10675</v>
      </c>
      <c r="E3589" s="4" t="s">
        <v>10675</v>
      </c>
      <c r="G3589" s="15" t="s">
        <v>31291</v>
      </c>
      <c r="H3589" s="15" t="s">
        <v>31292</v>
      </c>
      <c r="I3589" s="15" t="s">
        <v>31293</v>
      </c>
      <c r="J3589" s="15" t="s">
        <v>31294</v>
      </c>
      <c r="K3589" s="15">
        <v>442649</v>
      </c>
      <c r="L3589" s="15" t="s">
        <v>19099</v>
      </c>
    </row>
    <row r="3590" spans="1:12" x14ac:dyDescent="0.25">
      <c r="A3590" s="2" t="s">
        <v>10677</v>
      </c>
      <c r="B3590" s="8" t="s">
        <v>18368</v>
      </c>
      <c r="C3590" s="2" t="s">
        <v>10677</v>
      </c>
      <c r="D3590" s="2" t="s">
        <v>10678</v>
      </c>
      <c r="E3590" s="4" t="s">
        <v>31295</v>
      </c>
      <c r="G3590" s="15" t="s">
        <v>31296</v>
      </c>
      <c r="H3590" s="15" t="s">
        <v>31297</v>
      </c>
      <c r="I3590" s="15" t="s">
        <v>31298</v>
      </c>
      <c r="J3590" s="15" t="s">
        <v>20163</v>
      </c>
      <c r="K3590" s="15">
        <v>5281119</v>
      </c>
      <c r="L3590" s="15" t="s">
        <v>19099</v>
      </c>
    </row>
    <row r="3591" spans="1:12" x14ac:dyDescent="0.25">
      <c r="A3591" s="2" t="s">
        <v>10680</v>
      </c>
      <c r="B3591" s="8" t="s">
        <v>18369</v>
      </c>
      <c r="C3591" s="2" t="s">
        <v>10680</v>
      </c>
      <c r="D3591" s="2" t="s">
        <v>10681</v>
      </c>
      <c r="E3591" s="4" t="s">
        <v>31299</v>
      </c>
      <c r="G3591" s="15" t="s">
        <v>31300</v>
      </c>
      <c r="H3591" s="15" t="s">
        <v>31301</v>
      </c>
      <c r="I3591" s="15" t="s">
        <v>31302</v>
      </c>
      <c r="J3591" s="15" t="s">
        <v>31303</v>
      </c>
      <c r="K3591" s="15">
        <v>49384</v>
      </c>
      <c r="L3591" s="15" t="s">
        <v>19099</v>
      </c>
    </row>
    <row r="3592" spans="1:12" x14ac:dyDescent="0.25">
      <c r="A3592" s="2" t="s">
        <v>10683</v>
      </c>
      <c r="B3592" s="8" t="s">
        <v>18370</v>
      </c>
      <c r="C3592" s="2" t="s">
        <v>10683</v>
      </c>
      <c r="D3592" s="2" t="s">
        <v>10684</v>
      </c>
      <c r="E3592" s="4" t="s">
        <v>10684</v>
      </c>
      <c r="G3592" s="15" t="s">
        <v>31304</v>
      </c>
      <c r="H3592" s="15" t="s">
        <v>31305</v>
      </c>
      <c r="I3592" s="15" t="s">
        <v>31306</v>
      </c>
      <c r="J3592" s="15" t="s">
        <v>31307</v>
      </c>
      <c r="K3592" s="15">
        <v>3032297</v>
      </c>
      <c r="L3592" s="15" t="s">
        <v>19099</v>
      </c>
    </row>
    <row r="3593" spans="1:12" x14ac:dyDescent="0.25">
      <c r="A3593" s="2" t="s">
        <v>10686</v>
      </c>
      <c r="B3593" s="8" t="s">
        <v>18371</v>
      </c>
      <c r="C3593" s="2" t="s">
        <v>10686</v>
      </c>
      <c r="D3593" s="2" t="s">
        <v>10687</v>
      </c>
      <c r="E3593" s="4" t="s">
        <v>31308</v>
      </c>
      <c r="G3593" s="15" t="s">
        <v>31309</v>
      </c>
      <c r="H3593" s="15" t="s">
        <v>31310</v>
      </c>
      <c r="I3593" s="15" t="s">
        <v>31311</v>
      </c>
      <c r="J3593" s="15" t="s">
        <v>31312</v>
      </c>
      <c r="K3593" s="15">
        <v>8982</v>
      </c>
      <c r="L3593" s="15" t="s">
        <v>19099</v>
      </c>
    </row>
    <row r="3594" spans="1:12" x14ac:dyDescent="0.25">
      <c r="A3594" s="2" t="s">
        <v>10689</v>
      </c>
      <c r="B3594" s="8" t="s">
        <v>18372</v>
      </c>
      <c r="C3594" s="2" t="s">
        <v>10689</v>
      </c>
      <c r="D3594" s="2" t="s">
        <v>10690</v>
      </c>
      <c r="E3594" s="4" t="s">
        <v>10690</v>
      </c>
      <c r="G3594" s="15" t="s">
        <v>31313</v>
      </c>
      <c r="H3594" s="15" t="s">
        <v>31314</v>
      </c>
      <c r="I3594" s="15" t="s">
        <v>31315</v>
      </c>
      <c r="J3594" s="15" t="s">
        <v>31316</v>
      </c>
      <c r="K3594" s="15">
        <v>4420</v>
      </c>
      <c r="L3594" s="15" t="s">
        <v>19099</v>
      </c>
    </row>
    <row r="3595" spans="1:12" x14ac:dyDescent="0.25">
      <c r="A3595" s="2" t="s">
        <v>10692</v>
      </c>
      <c r="B3595" s="8" t="s">
        <v>18373</v>
      </c>
      <c r="C3595" s="2" t="s">
        <v>10692</v>
      </c>
      <c r="D3595" s="2" t="s">
        <v>10693</v>
      </c>
      <c r="E3595" s="4" t="s">
        <v>10693</v>
      </c>
      <c r="G3595" s="15" t="s">
        <v>31317</v>
      </c>
      <c r="H3595" s="15" t="s">
        <v>31318</v>
      </c>
      <c r="I3595" s="15" t="s">
        <v>31319</v>
      </c>
      <c r="J3595" s="15" t="s">
        <v>31320</v>
      </c>
      <c r="K3595" s="15">
        <v>27189</v>
      </c>
      <c r="L3595" s="15" t="s">
        <v>19099</v>
      </c>
    </row>
    <row r="3596" spans="1:12" x14ac:dyDescent="0.25">
      <c r="A3596" s="2" t="s">
        <v>10695</v>
      </c>
      <c r="B3596" s="8" t="s">
        <v>18374</v>
      </c>
      <c r="C3596" s="2" t="s">
        <v>10695</v>
      </c>
      <c r="D3596" s="2" t="s">
        <v>10696</v>
      </c>
      <c r="E3596" s="4" t="s">
        <v>10696</v>
      </c>
      <c r="G3596" s="15" t="s">
        <v>31321</v>
      </c>
      <c r="H3596" s="15" t="s">
        <v>31322</v>
      </c>
      <c r="I3596" s="15" t="s">
        <v>31323</v>
      </c>
      <c r="J3596" s="15" t="s">
        <v>31324</v>
      </c>
      <c r="K3596" s="15">
        <v>8594</v>
      </c>
      <c r="L3596" s="15" t="s">
        <v>19099</v>
      </c>
    </row>
    <row r="3597" spans="1:12" x14ac:dyDescent="0.25">
      <c r="A3597" s="2" t="s">
        <v>10698</v>
      </c>
      <c r="B3597" s="8" t="s">
        <v>18375</v>
      </c>
      <c r="C3597" s="2" t="s">
        <v>10698</v>
      </c>
      <c r="D3597" s="2" t="s">
        <v>10699</v>
      </c>
      <c r="E3597" s="4" t="s">
        <v>10699</v>
      </c>
      <c r="G3597" s="15" t="s">
        <v>31325</v>
      </c>
      <c r="H3597" s="15" t="s">
        <v>31326</v>
      </c>
      <c r="I3597" s="15" t="s">
        <v>31327</v>
      </c>
      <c r="J3597" s="15" t="s">
        <v>31328</v>
      </c>
      <c r="K3597" s="15">
        <v>156391</v>
      </c>
      <c r="L3597" s="15" t="s">
        <v>19099</v>
      </c>
    </row>
    <row r="3598" spans="1:12" x14ac:dyDescent="0.25">
      <c r="A3598" s="2" t="s">
        <v>10701</v>
      </c>
      <c r="B3598" s="8" t="s">
        <v>18376</v>
      </c>
      <c r="C3598" s="2" t="s">
        <v>10701</v>
      </c>
      <c r="D3598" s="2" t="s">
        <v>10702</v>
      </c>
      <c r="E3598" s="4" t="s">
        <v>31329</v>
      </c>
      <c r="G3598" s="15" t="s">
        <v>31330</v>
      </c>
      <c r="H3598" s="15" t="s">
        <v>31331</v>
      </c>
      <c r="I3598" s="15" t="s">
        <v>31332</v>
      </c>
      <c r="J3598" s="15" t="s">
        <v>31333</v>
      </c>
      <c r="K3598" s="15">
        <v>65452</v>
      </c>
      <c r="L3598" s="15" t="s">
        <v>19099</v>
      </c>
    </row>
    <row r="3599" spans="1:12" x14ac:dyDescent="0.25">
      <c r="A3599" s="2" t="s">
        <v>10704</v>
      </c>
      <c r="B3599" s="8" t="s">
        <v>18377</v>
      </c>
      <c r="C3599" s="2" t="s">
        <v>10704</v>
      </c>
      <c r="D3599" s="2" t="s">
        <v>10705</v>
      </c>
      <c r="E3599" s="4" t="s">
        <v>10705</v>
      </c>
      <c r="G3599" s="15" t="s">
        <v>31334</v>
      </c>
      <c r="H3599" s="15" t="s">
        <v>31335</v>
      </c>
      <c r="I3599" s="15" t="s">
        <v>31336</v>
      </c>
      <c r="J3599" s="15" t="s">
        <v>31337</v>
      </c>
      <c r="K3599" s="15">
        <v>5284447</v>
      </c>
      <c r="L3599" s="15" t="s">
        <v>19099</v>
      </c>
    </row>
    <row r="3600" spans="1:12" x14ac:dyDescent="0.25">
      <c r="A3600" s="2" t="s">
        <v>10707</v>
      </c>
      <c r="B3600" s="8" t="s">
        <v>18378</v>
      </c>
      <c r="C3600" s="2" t="s">
        <v>10707</v>
      </c>
      <c r="D3600" s="2" t="s">
        <v>10708</v>
      </c>
      <c r="E3600" s="4" t="s">
        <v>10708</v>
      </c>
      <c r="G3600" s="15" t="s">
        <v>31338</v>
      </c>
      <c r="H3600" s="15" t="s">
        <v>31339</v>
      </c>
      <c r="I3600" s="15" t="s">
        <v>31340</v>
      </c>
      <c r="J3600" s="15" t="s">
        <v>31341</v>
      </c>
      <c r="K3600" s="15">
        <v>11145</v>
      </c>
      <c r="L3600" s="15" t="s">
        <v>19099</v>
      </c>
    </row>
    <row r="3601" spans="1:12" x14ac:dyDescent="0.25">
      <c r="A3601" s="2" t="s">
        <v>10710</v>
      </c>
      <c r="B3601" s="8" t="s">
        <v>18379</v>
      </c>
      <c r="C3601" s="2" t="s">
        <v>10710</v>
      </c>
      <c r="D3601" s="2" t="s">
        <v>10711</v>
      </c>
      <c r="E3601" s="4" t="s">
        <v>10711</v>
      </c>
      <c r="G3601" s="15" t="s">
        <v>31342</v>
      </c>
      <c r="H3601" s="15" t="s">
        <v>31343</v>
      </c>
      <c r="I3601" s="15" t="s">
        <v>31344</v>
      </c>
      <c r="J3601" s="15" t="s">
        <v>31345</v>
      </c>
      <c r="K3601" s="15">
        <v>4449</v>
      </c>
      <c r="L3601" s="15" t="s">
        <v>19099</v>
      </c>
    </row>
    <row r="3602" spans="1:12" x14ac:dyDescent="0.25">
      <c r="A3602" s="2" t="s">
        <v>10713</v>
      </c>
      <c r="B3602" s="8" t="s">
        <v>18380</v>
      </c>
      <c r="C3602" s="2" t="s">
        <v>10713</v>
      </c>
      <c r="D3602" s="2" t="s">
        <v>10714</v>
      </c>
      <c r="E3602" s="4" t="s">
        <v>31346</v>
      </c>
      <c r="G3602" s="15" t="s">
        <v>31347</v>
      </c>
      <c r="H3602" s="15" t="s">
        <v>31348</v>
      </c>
      <c r="I3602" s="15" t="s">
        <v>31349</v>
      </c>
      <c r="J3602" s="15" t="s">
        <v>31350</v>
      </c>
      <c r="K3602" s="15">
        <v>162097</v>
      </c>
      <c r="L3602" s="15" t="s">
        <v>19099</v>
      </c>
    </row>
    <row r="3603" spans="1:12" x14ac:dyDescent="0.25">
      <c r="A3603" s="2" t="s">
        <v>10716</v>
      </c>
      <c r="B3603" s="8" t="s">
        <v>18381</v>
      </c>
      <c r="C3603" s="2" t="s">
        <v>10716</v>
      </c>
      <c r="D3603" s="2" t="s">
        <v>10717</v>
      </c>
      <c r="E3603" s="4" t="s">
        <v>31351</v>
      </c>
      <c r="G3603" s="15" t="s">
        <v>31352</v>
      </c>
      <c r="H3603" s="15" t="s">
        <v>31353</v>
      </c>
      <c r="I3603" s="15" t="s">
        <v>31354</v>
      </c>
      <c r="J3603" s="15" t="s">
        <v>22250</v>
      </c>
      <c r="K3603" s="15">
        <v>62838</v>
      </c>
      <c r="L3603" s="15" t="s">
        <v>19099</v>
      </c>
    </row>
    <row r="3604" spans="1:12" x14ac:dyDescent="0.25">
      <c r="A3604" s="2" t="s">
        <v>10719</v>
      </c>
      <c r="B3604" s="8" t="s">
        <v>18382</v>
      </c>
      <c r="C3604" s="2" t="s">
        <v>10719</v>
      </c>
      <c r="D3604" s="2" t="s">
        <v>10720</v>
      </c>
      <c r="E3604" s="4" t="s">
        <v>10720</v>
      </c>
      <c r="G3604" s="15" t="s">
        <v>31355</v>
      </c>
      <c r="H3604" s="15" t="s">
        <v>31356</v>
      </c>
      <c r="I3604" s="15" t="s">
        <v>31357</v>
      </c>
      <c r="J3604" s="15" t="s">
        <v>31358</v>
      </c>
      <c r="K3604" s="15">
        <v>73281</v>
      </c>
      <c r="L3604" s="15" t="s">
        <v>19099</v>
      </c>
    </row>
    <row r="3605" spans="1:12" x14ac:dyDescent="0.25">
      <c r="A3605" s="2" t="s">
        <v>10722</v>
      </c>
      <c r="B3605" s="8" t="s">
        <v>18383</v>
      </c>
      <c r="C3605" s="2" t="s">
        <v>10722</v>
      </c>
      <c r="D3605" s="2" t="s">
        <v>10723</v>
      </c>
      <c r="E3605" s="4" t="s">
        <v>10723</v>
      </c>
      <c r="G3605" s="15" t="s">
        <v>31359</v>
      </c>
      <c r="H3605" s="15" t="s">
        <v>31360</v>
      </c>
      <c r="I3605" s="15" t="s">
        <v>31361</v>
      </c>
      <c r="J3605" s="15" t="s">
        <v>31362</v>
      </c>
      <c r="K3605" s="15">
        <v>89594</v>
      </c>
      <c r="L3605" s="15" t="s">
        <v>19099</v>
      </c>
    </row>
    <row r="3606" spans="1:12" x14ac:dyDescent="0.25">
      <c r="A3606" s="2" t="s">
        <v>10725</v>
      </c>
      <c r="B3606" s="8" t="s">
        <v>18384</v>
      </c>
      <c r="C3606" s="2" t="s">
        <v>10725</v>
      </c>
      <c r="D3606" s="2" t="s">
        <v>10726</v>
      </c>
      <c r="E3606" s="4" t="s">
        <v>10726</v>
      </c>
      <c r="G3606" s="15" t="s">
        <v>31363</v>
      </c>
      <c r="H3606" s="15" t="s">
        <v>31364</v>
      </c>
      <c r="I3606" s="15" t="s">
        <v>31365</v>
      </c>
      <c r="J3606" s="15" t="s">
        <v>31366</v>
      </c>
      <c r="K3606" s="15">
        <v>3034287</v>
      </c>
      <c r="L3606" s="15" t="s">
        <v>19099</v>
      </c>
    </row>
    <row r="3607" spans="1:12" x14ac:dyDescent="0.25">
      <c r="A3607" s="2" t="s">
        <v>10728</v>
      </c>
      <c r="B3607" s="8" t="s">
        <v>18385</v>
      </c>
      <c r="C3607" s="2" t="s">
        <v>10728</v>
      </c>
      <c r="D3607" s="2" t="s">
        <v>10729</v>
      </c>
      <c r="E3607" s="4" t="s">
        <v>31367</v>
      </c>
      <c r="G3607" s="15" t="s">
        <v>31368</v>
      </c>
      <c r="H3607" s="15" t="s">
        <v>31369</v>
      </c>
      <c r="I3607" s="15" t="s">
        <v>31370</v>
      </c>
      <c r="J3607" s="15" t="s">
        <v>31371</v>
      </c>
      <c r="K3607" s="15">
        <v>43704</v>
      </c>
      <c r="L3607" s="15" t="s">
        <v>19099</v>
      </c>
    </row>
    <row r="3608" spans="1:12" x14ac:dyDescent="0.25">
      <c r="A3608" s="2" t="s">
        <v>10731</v>
      </c>
      <c r="B3608" s="8" t="s">
        <v>18386</v>
      </c>
      <c r="C3608" s="2" t="s">
        <v>10731</v>
      </c>
      <c r="D3608" s="2" t="s">
        <v>10732</v>
      </c>
      <c r="E3608" s="4" t="s">
        <v>10732</v>
      </c>
      <c r="G3608" s="15" t="s">
        <v>31372</v>
      </c>
      <c r="H3608" s="15" t="s">
        <v>31373</v>
      </c>
      <c r="I3608" s="15" t="s">
        <v>31374</v>
      </c>
      <c r="J3608" s="15" t="s">
        <v>31375</v>
      </c>
      <c r="K3608" s="15">
        <v>14217092</v>
      </c>
      <c r="L3608" s="15" t="s">
        <v>19099</v>
      </c>
    </row>
    <row r="3609" spans="1:12" x14ac:dyDescent="0.25">
      <c r="A3609" s="2" t="s">
        <v>10734</v>
      </c>
      <c r="B3609" s="8" t="s">
        <v>18387</v>
      </c>
      <c r="C3609" s="2" t="s">
        <v>10734</v>
      </c>
      <c r="D3609" s="2" t="s">
        <v>10735</v>
      </c>
      <c r="E3609" s="4" t="s">
        <v>31376</v>
      </c>
      <c r="G3609" s="15" t="s">
        <v>31377</v>
      </c>
      <c r="H3609" s="15" t="s">
        <v>31378</v>
      </c>
      <c r="I3609" s="15" t="s">
        <v>31379</v>
      </c>
      <c r="J3609" s="15" t="s">
        <v>31257</v>
      </c>
      <c r="K3609" s="15">
        <v>9925873</v>
      </c>
      <c r="L3609" s="15" t="s">
        <v>19099</v>
      </c>
    </row>
    <row r="3610" spans="1:12" x14ac:dyDescent="0.25">
      <c r="A3610" s="2" t="s">
        <v>10737</v>
      </c>
      <c r="B3610" s="8" t="s">
        <v>18388</v>
      </c>
      <c r="C3610" s="2" t="s">
        <v>10737</v>
      </c>
      <c r="D3610" s="2" t="s">
        <v>10738</v>
      </c>
      <c r="E3610" s="4" t="s">
        <v>14705</v>
      </c>
      <c r="G3610" s="15" t="s">
        <v>31380</v>
      </c>
      <c r="H3610" s="15" t="s">
        <v>31381</v>
      </c>
      <c r="I3610" s="15" t="s">
        <v>31382</v>
      </c>
      <c r="J3610" s="15" t="s">
        <v>31383</v>
      </c>
      <c r="K3610" s="15">
        <v>6230</v>
      </c>
      <c r="L3610" s="15" t="s">
        <v>19099</v>
      </c>
    </row>
    <row r="3611" spans="1:12" x14ac:dyDescent="0.25">
      <c r="A3611" s="2" t="s">
        <v>10740</v>
      </c>
      <c r="B3611" s="8" t="s">
        <v>18389</v>
      </c>
      <c r="C3611" s="2" t="s">
        <v>10740</v>
      </c>
      <c r="D3611" s="2" t="s">
        <v>10741</v>
      </c>
      <c r="E3611" s="4" t="s">
        <v>10741</v>
      </c>
      <c r="G3611" s="15" t="s">
        <v>31384</v>
      </c>
      <c r="H3611" s="15" t="s">
        <v>31385</v>
      </c>
      <c r="I3611" s="15" t="s">
        <v>31386</v>
      </c>
      <c r="J3611" s="15" t="s">
        <v>31387</v>
      </c>
      <c r="K3611" s="15">
        <v>33775</v>
      </c>
      <c r="L3611" s="15" t="s">
        <v>19099</v>
      </c>
    </row>
    <row r="3612" spans="1:12" x14ac:dyDescent="0.25">
      <c r="A3612" s="2" t="s">
        <v>10743</v>
      </c>
      <c r="B3612" s="8" t="s">
        <v>18390</v>
      </c>
      <c r="C3612" s="2" t="s">
        <v>10743</v>
      </c>
      <c r="D3612" s="2" t="s">
        <v>10744</v>
      </c>
      <c r="E3612" s="4" t="s">
        <v>31388</v>
      </c>
      <c r="G3612" s="15" t="s">
        <v>31389</v>
      </c>
      <c r="H3612" s="15" t="s">
        <v>31390</v>
      </c>
      <c r="I3612" s="15" t="s">
        <v>31391</v>
      </c>
      <c r="J3612" s="15" t="s">
        <v>31392</v>
      </c>
      <c r="K3612" s="15">
        <v>4539</v>
      </c>
      <c r="L3612" s="15" t="s">
        <v>19099</v>
      </c>
    </row>
    <row r="3613" spans="1:12" x14ac:dyDescent="0.25">
      <c r="A3613" s="2" t="s">
        <v>10746</v>
      </c>
      <c r="B3613" s="8" t="s">
        <v>18391</v>
      </c>
      <c r="C3613" s="2" t="s">
        <v>10746</v>
      </c>
      <c r="D3613" s="2" t="s">
        <v>10747</v>
      </c>
      <c r="E3613" s="4" t="s">
        <v>10747</v>
      </c>
      <c r="G3613" s="15" t="s">
        <v>31393</v>
      </c>
      <c r="H3613" s="15" t="s">
        <v>31394</v>
      </c>
      <c r="I3613" s="15" t="s">
        <v>31395</v>
      </c>
      <c r="J3613" s="15" t="s">
        <v>31396</v>
      </c>
      <c r="K3613" s="15">
        <v>93541</v>
      </c>
      <c r="L3613" s="15" t="s">
        <v>19099</v>
      </c>
    </row>
    <row r="3614" spans="1:12" x14ac:dyDescent="0.25">
      <c r="A3614" s="2" t="s">
        <v>10749</v>
      </c>
      <c r="B3614" s="8" t="s">
        <v>18392</v>
      </c>
      <c r="C3614" s="2" t="s">
        <v>10749</v>
      </c>
      <c r="D3614" s="2" t="s">
        <v>10750</v>
      </c>
      <c r="E3614" s="4" t="s">
        <v>10750</v>
      </c>
      <c r="G3614" s="15" t="s">
        <v>31397</v>
      </c>
      <c r="H3614" s="15" t="s">
        <v>31398</v>
      </c>
      <c r="I3614" s="15" t="s">
        <v>31399</v>
      </c>
      <c r="J3614" s="15" t="s">
        <v>31400</v>
      </c>
      <c r="K3614" s="15">
        <v>91683</v>
      </c>
      <c r="L3614" s="15" t="s">
        <v>19099</v>
      </c>
    </row>
    <row r="3615" spans="1:12" x14ac:dyDescent="0.25">
      <c r="A3615" s="2" t="s">
        <v>10752</v>
      </c>
      <c r="B3615" s="8" t="s">
        <v>18393</v>
      </c>
      <c r="C3615" s="2" t="s">
        <v>10752</v>
      </c>
      <c r="D3615" s="2" t="s">
        <v>10753</v>
      </c>
      <c r="E3615" s="4" t="s">
        <v>31401</v>
      </c>
      <c r="G3615" s="15" t="s">
        <v>31402</v>
      </c>
      <c r="H3615" s="15" t="s">
        <v>31403</v>
      </c>
      <c r="I3615" s="15" t="s">
        <v>31404</v>
      </c>
      <c r="J3615" s="15" t="s">
        <v>31405</v>
      </c>
      <c r="K3615" s="15">
        <v>33793</v>
      </c>
      <c r="L3615" s="15" t="s">
        <v>19099</v>
      </c>
    </row>
    <row r="3616" spans="1:12" x14ac:dyDescent="0.25">
      <c r="A3616" s="2" t="s">
        <v>10755</v>
      </c>
      <c r="B3616" s="8" t="s">
        <v>18394</v>
      </c>
      <c r="C3616" s="2" t="s">
        <v>10755</v>
      </c>
      <c r="D3616" s="2" t="s">
        <v>10756</v>
      </c>
      <c r="E3616" s="4" t="s">
        <v>31406</v>
      </c>
      <c r="G3616" s="15" t="s">
        <v>31407</v>
      </c>
      <c r="H3616" s="15" t="s">
        <v>31408</v>
      </c>
      <c r="I3616" s="15" t="s">
        <v>31409</v>
      </c>
      <c r="J3616" s="15" t="s">
        <v>31410</v>
      </c>
      <c r="K3616" s="15">
        <v>6924</v>
      </c>
      <c r="L3616" s="15" t="s">
        <v>19099</v>
      </c>
    </row>
    <row r="3617" spans="1:12" x14ac:dyDescent="0.25">
      <c r="A3617" s="2" t="s">
        <v>10758</v>
      </c>
      <c r="B3617" s="8" t="s">
        <v>18395</v>
      </c>
      <c r="C3617" s="2" t="s">
        <v>10758</v>
      </c>
      <c r="D3617" s="2" t="s">
        <v>10759</v>
      </c>
      <c r="E3617" s="4" t="s">
        <v>31411</v>
      </c>
      <c r="G3617" s="15" t="s">
        <v>31412</v>
      </c>
      <c r="H3617" s="15" t="s">
        <v>31413</v>
      </c>
      <c r="I3617" s="15" t="s">
        <v>31414</v>
      </c>
      <c r="J3617" s="15" t="s">
        <v>20212</v>
      </c>
      <c r="K3617" s="15">
        <v>15624</v>
      </c>
      <c r="L3617" s="15" t="s">
        <v>19099</v>
      </c>
    </row>
    <row r="3618" spans="1:12" x14ac:dyDescent="0.25">
      <c r="A3618" s="2" t="s">
        <v>10761</v>
      </c>
      <c r="B3618" s="8" t="s">
        <v>18396</v>
      </c>
      <c r="C3618" s="2" t="s">
        <v>10761</v>
      </c>
      <c r="D3618" s="2" t="s">
        <v>10762</v>
      </c>
      <c r="E3618" s="4" t="s">
        <v>10762</v>
      </c>
      <c r="G3618" s="15" t="s">
        <v>31415</v>
      </c>
      <c r="H3618" s="15" t="s">
        <v>31416</v>
      </c>
      <c r="I3618" s="15" t="s">
        <v>31417</v>
      </c>
      <c r="J3618" s="15" t="s">
        <v>19346</v>
      </c>
      <c r="K3618" s="15">
        <v>15075</v>
      </c>
      <c r="L3618" s="15" t="s">
        <v>19099</v>
      </c>
    </row>
    <row r="3619" spans="1:12" x14ac:dyDescent="0.25">
      <c r="A3619" s="2" t="s">
        <v>10764</v>
      </c>
      <c r="B3619" s="8" t="s">
        <v>18397</v>
      </c>
      <c r="C3619" s="2" t="s">
        <v>10764</v>
      </c>
      <c r="D3619" s="2" t="s">
        <v>10765</v>
      </c>
      <c r="E3619" s="4" t="s">
        <v>10765</v>
      </c>
      <c r="G3619" s="15" t="s">
        <v>31418</v>
      </c>
      <c r="H3619" s="15" t="s">
        <v>31419</v>
      </c>
      <c r="I3619" s="15" t="s">
        <v>31420</v>
      </c>
      <c r="J3619" s="15" t="s">
        <v>27773</v>
      </c>
      <c r="K3619" s="15">
        <v>335</v>
      </c>
      <c r="L3619" s="15" t="s">
        <v>19099</v>
      </c>
    </row>
    <row r="3620" spans="1:12" x14ac:dyDescent="0.25">
      <c r="A3620" s="2" t="s">
        <v>10767</v>
      </c>
      <c r="B3620" s="8" t="s">
        <v>18400</v>
      </c>
      <c r="C3620" s="2" t="s">
        <v>10767</v>
      </c>
      <c r="D3620" s="2" t="s">
        <v>10768</v>
      </c>
      <c r="E3620" s="4" t="s">
        <v>14383</v>
      </c>
      <c r="G3620" s="15" t="s">
        <v>31421</v>
      </c>
      <c r="H3620" s="15" t="s">
        <v>31422</v>
      </c>
      <c r="I3620" s="15" t="s">
        <v>31423</v>
      </c>
      <c r="J3620" s="15" t="s">
        <v>31424</v>
      </c>
      <c r="K3620" s="15">
        <v>5870</v>
      </c>
      <c r="L3620" s="15" t="s">
        <v>19099</v>
      </c>
    </row>
    <row r="3621" spans="1:12" x14ac:dyDescent="0.25">
      <c r="A3621" s="2" t="s">
        <v>10770</v>
      </c>
      <c r="B3621" s="8" t="s">
        <v>18401</v>
      </c>
      <c r="C3621" s="2" t="s">
        <v>10770</v>
      </c>
      <c r="D3621" s="2" t="s">
        <v>10771</v>
      </c>
      <c r="E3621" s="4" t="s">
        <v>10771</v>
      </c>
      <c r="G3621" s="15" t="s">
        <v>31425</v>
      </c>
      <c r="H3621" s="15" t="s">
        <v>31426</v>
      </c>
      <c r="I3621" s="15" t="s">
        <v>31427</v>
      </c>
      <c r="J3621" s="15" t="s">
        <v>31428</v>
      </c>
      <c r="K3621" s="15">
        <v>42850</v>
      </c>
      <c r="L3621" s="15" t="s">
        <v>19099</v>
      </c>
    </row>
    <row r="3622" spans="1:12" x14ac:dyDescent="0.25">
      <c r="A3622" s="2" t="s">
        <v>10773</v>
      </c>
      <c r="B3622" s="8" t="s">
        <v>18402</v>
      </c>
      <c r="C3622" s="2" t="s">
        <v>10773</v>
      </c>
      <c r="D3622" s="2" t="s">
        <v>10774</v>
      </c>
      <c r="E3622" s="4" t="s">
        <v>31429</v>
      </c>
      <c r="G3622" s="15" t="s">
        <v>31430</v>
      </c>
      <c r="H3622" s="15" t="s">
        <v>31431</v>
      </c>
      <c r="I3622" s="15" t="s">
        <v>31432</v>
      </c>
      <c r="J3622" s="15" t="s">
        <v>30829</v>
      </c>
      <c r="K3622" s="15">
        <v>4583</v>
      </c>
      <c r="L3622" s="15" t="s">
        <v>19099</v>
      </c>
    </row>
    <row r="3623" spans="1:12" x14ac:dyDescent="0.25">
      <c r="A3623" s="2" t="s">
        <v>10776</v>
      </c>
      <c r="B3623" s="8" t="s">
        <v>18403</v>
      </c>
      <c r="C3623" s="2" t="s">
        <v>10776</v>
      </c>
      <c r="D3623" s="2" t="s">
        <v>10777</v>
      </c>
      <c r="E3623" s="4" t="s">
        <v>10777</v>
      </c>
      <c r="G3623" s="15" t="s">
        <v>31433</v>
      </c>
      <c r="H3623" s="15" t="s">
        <v>31434</v>
      </c>
      <c r="I3623" s="15" t="s">
        <v>31435</v>
      </c>
      <c r="J3623" s="15" t="s">
        <v>31436</v>
      </c>
      <c r="K3623" s="15">
        <v>72493</v>
      </c>
      <c r="L3623" s="15" t="s">
        <v>19099</v>
      </c>
    </row>
    <row r="3624" spans="1:12" x14ac:dyDescent="0.25">
      <c r="A3624" s="2" t="s">
        <v>10779</v>
      </c>
      <c r="B3624" s="8" t="s">
        <v>18404</v>
      </c>
      <c r="C3624" s="2" t="s">
        <v>10779</v>
      </c>
      <c r="D3624" s="2" t="s">
        <v>10780</v>
      </c>
      <c r="E3624" s="4" t="s">
        <v>31437</v>
      </c>
      <c r="G3624" s="15" t="s">
        <v>31438</v>
      </c>
      <c r="H3624" s="15" t="s">
        <v>31439</v>
      </c>
      <c r="I3624" s="15" t="s">
        <v>31440</v>
      </c>
      <c r="J3624" s="15" t="s">
        <v>31441</v>
      </c>
      <c r="K3624" s="15">
        <v>72492</v>
      </c>
      <c r="L3624" s="15" t="s">
        <v>19099</v>
      </c>
    </row>
    <row r="3625" spans="1:12" x14ac:dyDescent="0.25">
      <c r="A3625" s="2" t="s">
        <v>10782</v>
      </c>
      <c r="B3625" s="8" t="s">
        <v>18405</v>
      </c>
      <c r="C3625" s="2" t="s">
        <v>10782</v>
      </c>
      <c r="D3625" s="2" t="s">
        <v>10783</v>
      </c>
      <c r="E3625" s="4" t="s">
        <v>31442</v>
      </c>
      <c r="G3625" s="15" t="s">
        <v>31443</v>
      </c>
      <c r="H3625" s="15" t="s">
        <v>31444</v>
      </c>
      <c r="I3625" s="15" t="s">
        <v>31445</v>
      </c>
      <c r="J3625" s="15" t="s">
        <v>31446</v>
      </c>
      <c r="K3625" s="15">
        <v>445639</v>
      </c>
      <c r="L3625" s="15" t="s">
        <v>19099</v>
      </c>
    </row>
    <row r="3626" spans="1:12" x14ac:dyDescent="0.25">
      <c r="A3626" s="2" t="s">
        <v>10785</v>
      </c>
      <c r="B3626" s="8" t="s">
        <v>18406</v>
      </c>
      <c r="C3626" s="2" t="s">
        <v>10785</v>
      </c>
      <c r="D3626" s="2" t="s">
        <v>10786</v>
      </c>
      <c r="E3626" s="4" t="s">
        <v>31447</v>
      </c>
      <c r="G3626" s="15" t="s">
        <v>31448</v>
      </c>
      <c r="H3626" s="15" t="s">
        <v>31449</v>
      </c>
      <c r="I3626" s="15" t="s">
        <v>31450</v>
      </c>
      <c r="J3626" s="15" t="s">
        <v>31451</v>
      </c>
      <c r="K3626" s="15">
        <v>4594</v>
      </c>
      <c r="L3626" s="15" t="s">
        <v>19099</v>
      </c>
    </row>
    <row r="3627" spans="1:12" x14ac:dyDescent="0.25">
      <c r="A3627" s="2" t="s">
        <v>10788</v>
      </c>
      <c r="B3627" s="8" t="s">
        <v>18407</v>
      </c>
      <c r="C3627" s="2" t="s">
        <v>10788</v>
      </c>
      <c r="D3627" s="2" t="s">
        <v>10789</v>
      </c>
      <c r="E3627" s="4" t="s">
        <v>31452</v>
      </c>
      <c r="G3627" s="15" t="s">
        <v>31453</v>
      </c>
      <c r="H3627" s="15" t="s">
        <v>31454</v>
      </c>
      <c r="I3627" s="15" t="s">
        <v>31455</v>
      </c>
      <c r="J3627" s="15" t="s">
        <v>31456</v>
      </c>
      <c r="K3627" s="15">
        <v>14210</v>
      </c>
      <c r="L3627" s="15" t="s">
        <v>19099</v>
      </c>
    </row>
    <row r="3628" spans="1:12" x14ac:dyDescent="0.25">
      <c r="A3628" s="2" t="s">
        <v>10791</v>
      </c>
      <c r="B3628" s="8" t="s">
        <v>18408</v>
      </c>
      <c r="C3628" s="2" t="s">
        <v>10791</v>
      </c>
      <c r="D3628" s="2" t="s">
        <v>10792</v>
      </c>
      <c r="E3628" s="4" t="s">
        <v>10792</v>
      </c>
      <c r="G3628" s="15" t="s">
        <v>31457</v>
      </c>
      <c r="H3628" s="15" t="s">
        <v>31458</v>
      </c>
      <c r="I3628" s="15" t="s">
        <v>31459</v>
      </c>
      <c r="J3628" s="15" t="s">
        <v>31460</v>
      </c>
      <c r="K3628" s="15">
        <v>36867</v>
      </c>
      <c r="L3628" s="15" t="s">
        <v>19099</v>
      </c>
    </row>
    <row r="3629" spans="1:12" x14ac:dyDescent="0.25">
      <c r="A3629" s="2" t="s">
        <v>10794</v>
      </c>
      <c r="B3629" s="8" t="s">
        <v>18409</v>
      </c>
      <c r="C3629" s="2" t="s">
        <v>10794</v>
      </c>
      <c r="D3629" s="2" t="s">
        <v>10795</v>
      </c>
      <c r="E3629" s="4" t="s">
        <v>31461</v>
      </c>
      <c r="G3629" s="15" t="s">
        <v>31462</v>
      </c>
      <c r="H3629" s="15" t="s">
        <v>31463</v>
      </c>
      <c r="I3629" s="15" t="s">
        <v>31464</v>
      </c>
      <c r="J3629" s="15" t="s">
        <v>31465</v>
      </c>
      <c r="K3629" s="15">
        <v>4601</v>
      </c>
      <c r="L3629" s="15" t="s">
        <v>19099</v>
      </c>
    </row>
    <row r="3630" spans="1:12" ht="30" customHeight="1" x14ac:dyDescent="0.25">
      <c r="A3630" s="2" t="s">
        <v>10797</v>
      </c>
      <c r="B3630" s="8" t="s">
        <v>18410</v>
      </c>
      <c r="C3630" s="2" t="s">
        <v>10797</v>
      </c>
      <c r="D3630" s="2" t="s">
        <v>10798</v>
      </c>
      <c r="E3630" s="4" t="s">
        <v>31466</v>
      </c>
      <c r="G3630" s="15" t="s">
        <v>31467</v>
      </c>
      <c r="H3630" s="15" t="s">
        <v>31468</v>
      </c>
      <c r="I3630" s="15" t="s">
        <v>31469</v>
      </c>
      <c r="J3630" s="15" t="s">
        <v>31470</v>
      </c>
      <c r="K3630" s="15">
        <v>119086</v>
      </c>
      <c r="L3630" s="15" t="s">
        <v>19099</v>
      </c>
    </row>
    <row r="3631" spans="1:12" x14ac:dyDescent="0.25">
      <c r="A3631" s="2" t="s">
        <v>10800</v>
      </c>
      <c r="B3631" s="8" t="s">
        <v>18411</v>
      </c>
      <c r="C3631" s="2" t="s">
        <v>10800</v>
      </c>
      <c r="D3631" s="2" t="s">
        <v>10801</v>
      </c>
      <c r="E3631" s="4" t="s">
        <v>10801</v>
      </c>
      <c r="G3631" s="15" t="s">
        <v>31471</v>
      </c>
      <c r="H3631" s="15" t="s">
        <v>31472</v>
      </c>
      <c r="I3631" s="15" t="s">
        <v>31473</v>
      </c>
      <c r="J3631" s="15" t="s">
        <v>31474</v>
      </c>
      <c r="K3631" s="15">
        <v>29393</v>
      </c>
      <c r="L3631" s="15" t="s">
        <v>19099</v>
      </c>
    </row>
    <row r="3632" spans="1:12" x14ac:dyDescent="0.25">
      <c r="A3632" s="2" t="s">
        <v>10803</v>
      </c>
      <c r="B3632" s="8" t="s">
        <v>18412</v>
      </c>
      <c r="C3632" s="2" t="s">
        <v>10803</v>
      </c>
      <c r="D3632" s="2" t="s">
        <v>10804</v>
      </c>
      <c r="E3632" s="4" t="s">
        <v>10804</v>
      </c>
      <c r="G3632" s="15" t="s">
        <v>31475</v>
      </c>
      <c r="H3632" s="15" t="s">
        <v>31476</v>
      </c>
      <c r="I3632" s="15" t="s">
        <v>31477</v>
      </c>
      <c r="J3632" s="15" t="s">
        <v>31478</v>
      </c>
      <c r="K3632" s="15">
        <v>4602</v>
      </c>
      <c r="L3632" s="15" t="s">
        <v>19099</v>
      </c>
    </row>
    <row r="3633" spans="1:12" x14ac:dyDescent="0.25">
      <c r="A3633" s="2" t="s">
        <v>10806</v>
      </c>
      <c r="B3633" s="8" t="s">
        <v>18413</v>
      </c>
      <c r="C3633" s="2" t="s">
        <v>10806</v>
      </c>
      <c r="D3633" s="2" t="s">
        <v>10807</v>
      </c>
      <c r="E3633" s="4" t="s">
        <v>10807</v>
      </c>
      <c r="G3633" s="15" t="s">
        <v>31479</v>
      </c>
      <c r="H3633" s="15" t="s">
        <v>31480</v>
      </c>
      <c r="I3633" s="15" t="s">
        <v>31481</v>
      </c>
      <c r="J3633" s="15" t="s">
        <v>31482</v>
      </c>
      <c r="K3633" s="15">
        <v>65028</v>
      </c>
      <c r="L3633" s="15" t="s">
        <v>19099</v>
      </c>
    </row>
    <row r="3634" spans="1:12" x14ac:dyDescent="0.25">
      <c r="A3634" s="2" t="s">
        <v>10809</v>
      </c>
      <c r="B3634" s="8" t="s">
        <v>18414</v>
      </c>
      <c r="C3634" s="2" t="s">
        <v>10809</v>
      </c>
      <c r="D3634" s="2" t="s">
        <v>10810</v>
      </c>
      <c r="E3634" s="4" t="s">
        <v>10810</v>
      </c>
      <c r="G3634" s="15" t="s">
        <v>31483</v>
      </c>
      <c r="H3634" s="15" t="s">
        <v>31484</v>
      </c>
      <c r="I3634" s="15" t="s">
        <v>31485</v>
      </c>
      <c r="J3634" s="15" t="s">
        <v>31486</v>
      </c>
      <c r="K3634" s="15">
        <v>12484</v>
      </c>
      <c r="L3634" s="15" t="s">
        <v>19099</v>
      </c>
    </row>
    <row r="3635" spans="1:12" x14ac:dyDescent="0.25">
      <c r="A3635" s="2" t="s">
        <v>10812</v>
      </c>
      <c r="B3635" s="8" t="s">
        <v>18415</v>
      </c>
      <c r="C3635" s="2" t="s">
        <v>10812</v>
      </c>
      <c r="D3635" s="2" t="s">
        <v>10813</v>
      </c>
      <c r="E3635" s="4" t="s">
        <v>10813</v>
      </c>
      <c r="G3635" s="15" t="s">
        <v>31487</v>
      </c>
      <c r="H3635" s="15" t="s">
        <v>31488</v>
      </c>
      <c r="I3635" s="15" t="s">
        <v>31489</v>
      </c>
      <c r="J3635" s="15" t="s">
        <v>31490</v>
      </c>
      <c r="K3635" s="15">
        <v>94498</v>
      </c>
      <c r="L3635" s="15" t="s">
        <v>19099</v>
      </c>
    </row>
    <row r="3636" spans="1:12" x14ac:dyDescent="0.25">
      <c r="A3636" s="2" t="s">
        <v>10815</v>
      </c>
      <c r="B3636" s="8" t="s">
        <v>18416</v>
      </c>
      <c r="C3636" s="2" t="s">
        <v>10815</v>
      </c>
      <c r="D3636" s="2" t="s">
        <v>10816</v>
      </c>
      <c r="E3636" s="4" t="s">
        <v>10816</v>
      </c>
      <c r="G3636" s="15" t="s">
        <v>31491</v>
      </c>
      <c r="H3636" s="15" t="s">
        <v>31492</v>
      </c>
      <c r="I3636" s="15" t="s">
        <v>31493</v>
      </c>
      <c r="J3636" s="15" t="s">
        <v>31494</v>
      </c>
      <c r="K3636" s="15">
        <v>40854</v>
      </c>
      <c r="L3636" s="15" t="s">
        <v>19099</v>
      </c>
    </row>
    <row r="3637" spans="1:12" x14ac:dyDescent="0.25">
      <c r="A3637" s="2" t="s">
        <v>10818</v>
      </c>
      <c r="B3637" s="8" t="s">
        <v>18417</v>
      </c>
      <c r="C3637" s="2" t="s">
        <v>10818</v>
      </c>
      <c r="D3637" s="2" t="s">
        <v>10819</v>
      </c>
      <c r="E3637" s="4" t="s">
        <v>10819</v>
      </c>
      <c r="G3637" s="15" t="s">
        <v>31495</v>
      </c>
      <c r="H3637" s="15" t="s">
        <v>31496</v>
      </c>
      <c r="I3637" s="15" t="s">
        <v>31497</v>
      </c>
      <c r="J3637" s="15" t="s">
        <v>31498</v>
      </c>
      <c r="K3637" s="15">
        <v>4616</v>
      </c>
      <c r="L3637" s="15" t="s">
        <v>19099</v>
      </c>
    </row>
    <row r="3638" spans="1:12" x14ac:dyDescent="0.25">
      <c r="A3638" s="2" t="s">
        <v>10821</v>
      </c>
      <c r="B3638" s="8" t="s">
        <v>18418</v>
      </c>
      <c r="C3638" s="2" t="s">
        <v>10821</v>
      </c>
      <c r="D3638" s="2" t="s">
        <v>10822</v>
      </c>
      <c r="E3638" s="4" t="s">
        <v>31499</v>
      </c>
      <c r="G3638" s="15" t="s">
        <v>31499</v>
      </c>
      <c r="H3638" s="15" t="s">
        <v>31500</v>
      </c>
      <c r="I3638" s="15" t="s">
        <v>31501</v>
      </c>
      <c r="J3638" s="15" t="s">
        <v>31502</v>
      </c>
      <c r="K3638" s="15">
        <v>971</v>
      </c>
      <c r="L3638" s="15" t="s">
        <v>19099</v>
      </c>
    </row>
    <row r="3639" spans="1:12" x14ac:dyDescent="0.25">
      <c r="A3639" s="2" t="s">
        <v>10824</v>
      </c>
      <c r="B3639" s="8" t="s">
        <v>18419</v>
      </c>
      <c r="C3639" s="2" t="s">
        <v>10824</v>
      </c>
      <c r="D3639" s="2" t="s">
        <v>10825</v>
      </c>
      <c r="E3639" s="4" t="s">
        <v>31503</v>
      </c>
      <c r="G3639" s="15" t="s">
        <v>31503</v>
      </c>
      <c r="H3639" s="15" t="s">
        <v>31504</v>
      </c>
      <c r="I3639" s="15" t="s">
        <v>31505</v>
      </c>
      <c r="J3639" s="15" t="s">
        <v>31506</v>
      </c>
      <c r="K3639" s="15">
        <v>24823</v>
      </c>
      <c r="L3639" s="15" t="s">
        <v>19099</v>
      </c>
    </row>
    <row r="3640" spans="1:12" x14ac:dyDescent="0.25">
      <c r="A3640" s="2" t="s">
        <v>10827</v>
      </c>
      <c r="B3640" s="8" t="s">
        <v>18420</v>
      </c>
      <c r="C3640" s="2" t="s">
        <v>10827</v>
      </c>
      <c r="D3640" s="2" t="s">
        <v>10828</v>
      </c>
      <c r="E3640" s="4" t="s">
        <v>31507</v>
      </c>
      <c r="G3640" s="15" t="s">
        <v>31508</v>
      </c>
      <c r="H3640" s="15" t="s">
        <v>31509</v>
      </c>
      <c r="I3640" s="15" t="s">
        <v>31510</v>
      </c>
      <c r="J3640" s="15" t="s">
        <v>22250</v>
      </c>
      <c r="K3640" s="15">
        <v>556998</v>
      </c>
      <c r="L3640" s="15" t="s">
        <v>19099</v>
      </c>
    </row>
    <row r="3641" spans="1:12" x14ac:dyDescent="0.25">
      <c r="A3641" s="2" t="s">
        <v>10830</v>
      </c>
      <c r="B3641" s="8" t="s">
        <v>18421</v>
      </c>
      <c r="C3641" s="2" t="s">
        <v>10830</v>
      </c>
      <c r="D3641" s="2" t="s">
        <v>10831</v>
      </c>
      <c r="E3641" s="4" t="s">
        <v>31511</v>
      </c>
      <c r="G3641" s="15" t="s">
        <v>31512</v>
      </c>
      <c r="H3641" s="15" t="s">
        <v>31513</v>
      </c>
      <c r="I3641" s="15" t="s">
        <v>31514</v>
      </c>
      <c r="J3641" s="15" t="s">
        <v>31515</v>
      </c>
      <c r="K3641" s="15">
        <v>7693</v>
      </c>
      <c r="L3641" s="15" t="s">
        <v>19099</v>
      </c>
    </row>
    <row r="3642" spans="1:12" x14ac:dyDescent="0.25">
      <c r="A3642" s="2" t="s">
        <v>10833</v>
      </c>
      <c r="B3642" s="8" t="s">
        <v>18422</v>
      </c>
      <c r="C3642" s="2" t="s">
        <v>10833</v>
      </c>
      <c r="D3642" s="2" t="s">
        <v>10834</v>
      </c>
      <c r="E3642" s="4" t="s">
        <v>31516</v>
      </c>
      <c r="G3642" s="15" t="s">
        <v>31517</v>
      </c>
      <c r="H3642" s="15" t="s">
        <v>31518</v>
      </c>
      <c r="I3642" s="15" t="s">
        <v>31519</v>
      </c>
      <c r="J3642" s="15" t="s">
        <v>20779</v>
      </c>
      <c r="K3642" s="15">
        <v>35684</v>
      </c>
      <c r="L3642" s="15" t="s">
        <v>19099</v>
      </c>
    </row>
    <row r="3643" spans="1:12" x14ac:dyDescent="0.25">
      <c r="A3643" s="2" t="s">
        <v>10836</v>
      </c>
      <c r="B3643" s="8" t="s">
        <v>18423</v>
      </c>
      <c r="C3643" s="2" t="s">
        <v>10836</v>
      </c>
      <c r="D3643" s="2" t="s">
        <v>10837</v>
      </c>
      <c r="E3643" s="4" t="s">
        <v>31520</v>
      </c>
      <c r="G3643" s="15" t="s">
        <v>31521</v>
      </c>
      <c r="H3643" s="15" t="s">
        <v>31522</v>
      </c>
      <c r="I3643" s="15" t="s">
        <v>31523</v>
      </c>
      <c r="J3643" s="15" t="s">
        <v>31524</v>
      </c>
      <c r="K3643" s="15">
        <v>4765</v>
      </c>
      <c r="L3643" s="15" t="s">
        <v>19099</v>
      </c>
    </row>
    <row r="3644" spans="1:12" x14ac:dyDescent="0.25">
      <c r="A3644" s="2" t="s">
        <v>10839</v>
      </c>
      <c r="B3644" s="8" t="s">
        <v>18424</v>
      </c>
      <c r="C3644" s="2" t="s">
        <v>10839</v>
      </c>
      <c r="D3644" s="2" t="s">
        <v>10840</v>
      </c>
      <c r="E3644" s="4" t="s">
        <v>31525</v>
      </c>
      <c r="G3644" s="15" t="s">
        <v>31526</v>
      </c>
      <c r="H3644" s="15" t="s">
        <v>31527</v>
      </c>
      <c r="I3644" s="15" t="s">
        <v>31528</v>
      </c>
      <c r="J3644" s="15" t="s">
        <v>31410</v>
      </c>
      <c r="K3644" s="15">
        <v>6269</v>
      </c>
      <c r="L3644" s="15" t="s">
        <v>19099</v>
      </c>
    </row>
    <row r="3645" spans="1:12" x14ac:dyDescent="0.25">
      <c r="A3645" s="2" t="s">
        <v>10842</v>
      </c>
      <c r="B3645" s="8" t="s">
        <v>18425</v>
      </c>
      <c r="C3645" s="2" t="s">
        <v>10842</v>
      </c>
      <c r="D3645" s="2" t="s">
        <v>10843</v>
      </c>
      <c r="E3645" s="4" t="s">
        <v>10843</v>
      </c>
      <c r="G3645" s="15" t="s">
        <v>31529</v>
      </c>
      <c r="H3645" s="15" t="s">
        <v>31530</v>
      </c>
      <c r="I3645" s="15" t="s">
        <v>31531</v>
      </c>
      <c r="J3645" s="15" t="s">
        <v>31532</v>
      </c>
      <c r="K3645" s="15">
        <v>158076</v>
      </c>
      <c r="L3645" s="15" t="s">
        <v>19099</v>
      </c>
    </row>
    <row r="3646" spans="1:12" x14ac:dyDescent="0.25">
      <c r="A3646" s="2" t="s">
        <v>10845</v>
      </c>
      <c r="B3646" s="8" t="s">
        <v>18426</v>
      </c>
      <c r="C3646" s="2" t="s">
        <v>10845</v>
      </c>
      <c r="D3646" s="2" t="s">
        <v>10846</v>
      </c>
      <c r="E3646" s="4" t="s">
        <v>10846</v>
      </c>
      <c r="G3646" s="15" t="s">
        <v>31533</v>
      </c>
      <c r="H3646" s="15" t="s">
        <v>31534</v>
      </c>
      <c r="I3646" s="15" t="s">
        <v>31535</v>
      </c>
      <c r="J3646" s="15" t="s">
        <v>31536</v>
      </c>
      <c r="K3646" s="15">
        <v>36314</v>
      </c>
      <c r="L3646" s="15" t="s">
        <v>19099</v>
      </c>
    </row>
    <row r="3647" spans="1:12" x14ac:dyDescent="0.25">
      <c r="A3647" s="2" t="s">
        <v>10848</v>
      </c>
      <c r="B3647" s="8" t="s">
        <v>18427</v>
      </c>
      <c r="C3647" s="2" t="s">
        <v>10848</v>
      </c>
      <c r="D3647" s="2" t="s">
        <v>10849</v>
      </c>
      <c r="E3647" s="4" t="s">
        <v>10849</v>
      </c>
      <c r="G3647" s="15" t="s">
        <v>31537</v>
      </c>
      <c r="H3647" s="15" t="s">
        <v>31538</v>
      </c>
      <c r="I3647" s="15" t="s">
        <v>31539</v>
      </c>
      <c r="J3647" s="15" t="s">
        <v>20524</v>
      </c>
      <c r="K3647" s="15">
        <v>7732</v>
      </c>
      <c r="L3647" s="15" t="s">
        <v>19099</v>
      </c>
    </row>
    <row r="3648" spans="1:12" x14ac:dyDescent="0.25">
      <c r="A3648" s="2" t="s">
        <v>10851</v>
      </c>
      <c r="B3648" s="8" t="s">
        <v>18428</v>
      </c>
      <c r="C3648" s="2" t="s">
        <v>10851</v>
      </c>
      <c r="D3648" s="2" t="s">
        <v>10852</v>
      </c>
      <c r="E3648" s="4" t="s">
        <v>10852</v>
      </c>
      <c r="G3648" s="15" t="s">
        <v>31540</v>
      </c>
      <c r="H3648" s="15" t="s">
        <v>31541</v>
      </c>
      <c r="I3648" s="15" t="s">
        <v>31542</v>
      </c>
      <c r="J3648" s="15" t="s">
        <v>22381</v>
      </c>
      <c r="K3648" s="15">
        <v>31264</v>
      </c>
      <c r="L3648" s="15" t="s">
        <v>19099</v>
      </c>
    </row>
    <row r="3649" spans="1:12" x14ac:dyDescent="0.25">
      <c r="A3649" s="2" t="s">
        <v>10854</v>
      </c>
      <c r="B3649" s="8" t="s">
        <v>18429</v>
      </c>
      <c r="C3649" s="2" t="s">
        <v>10854</v>
      </c>
      <c r="D3649" s="2" t="s">
        <v>10855</v>
      </c>
      <c r="E3649" s="4" t="s">
        <v>10855</v>
      </c>
      <c r="G3649" s="15" t="s">
        <v>31543</v>
      </c>
      <c r="H3649" s="15" t="s">
        <v>31544</v>
      </c>
      <c r="I3649" s="15" t="s">
        <v>31545</v>
      </c>
      <c r="J3649" s="15" t="s">
        <v>27024</v>
      </c>
      <c r="K3649" s="15">
        <v>1983</v>
      </c>
      <c r="L3649" s="15" t="s">
        <v>19099</v>
      </c>
    </row>
    <row r="3650" spans="1:12" x14ac:dyDescent="0.25">
      <c r="A3650" s="2" t="s">
        <v>10857</v>
      </c>
      <c r="B3650" s="8" t="s">
        <v>18430</v>
      </c>
      <c r="C3650" s="2" t="s">
        <v>10857</v>
      </c>
      <c r="D3650" s="2" t="s">
        <v>10858</v>
      </c>
      <c r="E3650" s="4" t="s">
        <v>10858</v>
      </c>
      <c r="G3650" s="15" t="s">
        <v>22352</v>
      </c>
      <c r="H3650" s="15" t="s">
        <v>22353</v>
      </c>
      <c r="I3650" s="15" t="s">
        <v>22354</v>
      </c>
      <c r="J3650" s="15" t="s">
        <v>22355</v>
      </c>
      <c r="K3650" s="15">
        <v>712</v>
      </c>
      <c r="L3650" s="15" t="s">
        <v>19099</v>
      </c>
    </row>
    <row r="3651" spans="1:12" x14ac:dyDescent="0.25">
      <c r="A3651" s="2" t="s">
        <v>10860</v>
      </c>
      <c r="B3651" s="8" t="s">
        <v>18431</v>
      </c>
      <c r="C3651" s="2" t="s">
        <v>10860</v>
      </c>
      <c r="D3651" s="2" t="s">
        <v>10861</v>
      </c>
      <c r="E3651" s="4" t="s">
        <v>10861</v>
      </c>
      <c r="G3651" s="15" t="s">
        <v>31546</v>
      </c>
      <c r="H3651" s="15" t="s">
        <v>31547</v>
      </c>
      <c r="I3651" s="15" t="s">
        <v>31548</v>
      </c>
      <c r="J3651" s="15" t="s">
        <v>31549</v>
      </c>
      <c r="K3651" s="15">
        <v>43815</v>
      </c>
      <c r="L3651" s="15" t="s">
        <v>19099</v>
      </c>
    </row>
    <row r="3652" spans="1:12" x14ac:dyDescent="0.25">
      <c r="A3652" s="2" t="s">
        <v>10863</v>
      </c>
      <c r="B3652" s="8" t="s">
        <v>18432</v>
      </c>
      <c r="C3652" s="2" t="s">
        <v>10863</v>
      </c>
      <c r="D3652" s="2" t="s">
        <v>10864</v>
      </c>
      <c r="E3652" s="4" t="s">
        <v>10864</v>
      </c>
      <c r="G3652" s="15" t="s">
        <v>31550</v>
      </c>
      <c r="H3652" s="15" t="s">
        <v>31551</v>
      </c>
      <c r="I3652" s="15" t="s">
        <v>31552</v>
      </c>
      <c r="J3652" s="15" t="s">
        <v>31553</v>
      </c>
      <c r="K3652" s="15">
        <v>13708</v>
      </c>
      <c r="L3652" s="15" t="s">
        <v>19099</v>
      </c>
    </row>
    <row r="3653" spans="1:12" x14ac:dyDescent="0.25">
      <c r="A3653" s="2" t="s">
        <v>10866</v>
      </c>
      <c r="B3653" s="8" t="s">
        <v>18433</v>
      </c>
      <c r="C3653" s="2" t="s">
        <v>10866</v>
      </c>
      <c r="D3653" s="2" t="s">
        <v>10867</v>
      </c>
      <c r="E3653" s="4" t="s">
        <v>10867</v>
      </c>
      <c r="G3653" s="15" t="s">
        <v>31554</v>
      </c>
      <c r="H3653" s="15" t="s">
        <v>31555</v>
      </c>
      <c r="I3653" s="15" t="s">
        <v>31556</v>
      </c>
      <c r="J3653" s="15" t="s">
        <v>31557</v>
      </c>
      <c r="K3653" s="15">
        <v>9395</v>
      </c>
      <c r="L3653" s="15" t="s">
        <v>19099</v>
      </c>
    </row>
    <row r="3654" spans="1:12" x14ac:dyDescent="0.25">
      <c r="A3654" s="2" t="s">
        <v>10869</v>
      </c>
      <c r="B3654" s="8" t="s">
        <v>18434</v>
      </c>
      <c r="C3654" s="2" t="s">
        <v>10869</v>
      </c>
      <c r="D3654" s="2" t="s">
        <v>10870</v>
      </c>
      <c r="E3654" s="4" t="s">
        <v>10870</v>
      </c>
      <c r="G3654" s="15" t="s">
        <v>31558</v>
      </c>
      <c r="H3654" s="15" t="s">
        <v>31559</v>
      </c>
      <c r="I3654" s="15" t="s">
        <v>31560</v>
      </c>
      <c r="J3654" s="15" t="s">
        <v>31561</v>
      </c>
      <c r="K3654" s="15">
        <v>15939</v>
      </c>
      <c r="L3654" s="15" t="s">
        <v>19099</v>
      </c>
    </row>
    <row r="3655" spans="1:12" x14ac:dyDescent="0.25">
      <c r="A3655" s="2" t="s">
        <v>10872</v>
      </c>
      <c r="B3655" s="8" t="s">
        <v>18435</v>
      </c>
      <c r="C3655" s="2" t="s">
        <v>10872</v>
      </c>
      <c r="D3655" s="2" t="s">
        <v>10873</v>
      </c>
      <c r="E3655" s="4" t="s">
        <v>10873</v>
      </c>
      <c r="G3655" s="15" t="s">
        <v>31562</v>
      </c>
      <c r="H3655" s="15" t="s">
        <v>31563</v>
      </c>
      <c r="I3655" s="15" t="s">
        <v>31564</v>
      </c>
      <c r="J3655" s="15" t="s">
        <v>27773</v>
      </c>
      <c r="K3655" s="15">
        <v>2879</v>
      </c>
      <c r="L3655" s="15" t="s">
        <v>19099</v>
      </c>
    </row>
    <row r="3656" spans="1:12" x14ac:dyDescent="0.25">
      <c r="A3656" s="2" t="s">
        <v>10875</v>
      </c>
      <c r="B3656" s="8" t="s">
        <v>18436</v>
      </c>
      <c r="C3656" s="2" t="s">
        <v>10875</v>
      </c>
      <c r="D3656" s="2" t="s">
        <v>10876</v>
      </c>
      <c r="E3656" s="4" t="s">
        <v>31565</v>
      </c>
      <c r="G3656" s="15" t="s">
        <v>31566</v>
      </c>
      <c r="H3656" s="15" t="s">
        <v>31567</v>
      </c>
      <c r="I3656" s="15" t="s">
        <v>31568</v>
      </c>
      <c r="J3656" s="15" t="s">
        <v>31569</v>
      </c>
      <c r="K3656" s="15">
        <v>14215</v>
      </c>
      <c r="L3656" s="15" t="s">
        <v>19099</v>
      </c>
    </row>
    <row r="3657" spans="1:12" x14ac:dyDescent="0.25">
      <c r="A3657" s="2" t="s">
        <v>10878</v>
      </c>
      <c r="B3657" s="8" t="s">
        <v>18437</v>
      </c>
      <c r="C3657" s="2" t="s">
        <v>10878</v>
      </c>
      <c r="D3657" s="2" t="s">
        <v>10879</v>
      </c>
      <c r="E3657" s="4" t="s">
        <v>10879</v>
      </c>
      <c r="G3657" s="15" t="s">
        <v>31570</v>
      </c>
      <c r="H3657" s="15" t="s">
        <v>31571</v>
      </c>
      <c r="I3657" s="15" t="s">
        <v>31572</v>
      </c>
      <c r="J3657" s="15" t="s">
        <v>31573</v>
      </c>
      <c r="K3657" s="15">
        <v>91692</v>
      </c>
      <c r="L3657" s="15" t="s">
        <v>19099</v>
      </c>
    </row>
    <row r="3658" spans="1:12" x14ac:dyDescent="0.25">
      <c r="A3658" s="2" t="s">
        <v>10881</v>
      </c>
      <c r="B3658" s="8" t="s">
        <v>18438</v>
      </c>
      <c r="C3658" s="2" t="s">
        <v>10881</v>
      </c>
      <c r="D3658" s="2" t="s">
        <v>10882</v>
      </c>
      <c r="E3658" s="4" t="s">
        <v>31574</v>
      </c>
      <c r="G3658" s="15" t="s">
        <v>31575</v>
      </c>
      <c r="H3658" s="15" t="s">
        <v>31576</v>
      </c>
      <c r="I3658" s="15" t="s">
        <v>31577</v>
      </c>
      <c r="J3658" s="15" t="s">
        <v>31578</v>
      </c>
      <c r="K3658" s="15">
        <v>5904</v>
      </c>
      <c r="L3658" s="15" t="s">
        <v>19099</v>
      </c>
    </row>
    <row r="3659" spans="1:12" x14ac:dyDescent="0.25">
      <c r="A3659" s="2" t="s">
        <v>10884</v>
      </c>
      <c r="B3659" s="8" t="s">
        <v>18439</v>
      </c>
      <c r="C3659" s="2" t="s">
        <v>10884</v>
      </c>
      <c r="D3659" s="2" t="s">
        <v>10885</v>
      </c>
      <c r="E3659" s="4" t="s">
        <v>31579</v>
      </c>
      <c r="G3659" s="15" t="s">
        <v>31580</v>
      </c>
      <c r="H3659" s="15" t="s">
        <v>31581</v>
      </c>
      <c r="I3659" s="15" t="s">
        <v>31582</v>
      </c>
      <c r="J3659" s="15" t="s">
        <v>31583</v>
      </c>
      <c r="K3659" s="15">
        <v>6869</v>
      </c>
      <c r="L3659" s="15" t="s">
        <v>19099</v>
      </c>
    </row>
    <row r="3660" spans="1:12" x14ac:dyDescent="0.25">
      <c r="A3660" s="2" t="s">
        <v>10887</v>
      </c>
      <c r="B3660" s="8" t="s">
        <v>18440</v>
      </c>
      <c r="C3660" s="2" t="s">
        <v>10887</v>
      </c>
      <c r="D3660" s="2" t="s">
        <v>10888</v>
      </c>
      <c r="E3660" s="4" t="s">
        <v>31584</v>
      </c>
      <c r="G3660" s="15" t="s">
        <v>31585</v>
      </c>
      <c r="H3660" s="15" t="s">
        <v>31586</v>
      </c>
      <c r="I3660" s="15" t="s">
        <v>31587</v>
      </c>
      <c r="J3660" s="15" t="s">
        <v>31588</v>
      </c>
      <c r="K3660" s="15">
        <v>91693</v>
      </c>
      <c r="L3660" s="15" t="s">
        <v>19099</v>
      </c>
    </row>
    <row r="3661" spans="1:12" x14ac:dyDescent="0.25">
      <c r="A3661" s="2" t="s">
        <v>10890</v>
      </c>
      <c r="B3661" s="8" t="s">
        <v>18441</v>
      </c>
      <c r="C3661" s="2" t="s">
        <v>10890</v>
      </c>
      <c r="D3661" s="2" t="s">
        <v>10891</v>
      </c>
      <c r="E3661" s="4" t="s">
        <v>10891</v>
      </c>
      <c r="G3661" s="15" t="s">
        <v>31589</v>
      </c>
      <c r="H3661" s="15" t="s">
        <v>31590</v>
      </c>
      <c r="I3661" s="15" t="s">
        <v>31591</v>
      </c>
      <c r="J3661" s="15" t="s">
        <v>31592</v>
      </c>
      <c r="K3661" s="15">
        <v>38479</v>
      </c>
      <c r="L3661" s="15" t="s">
        <v>19099</v>
      </c>
    </row>
    <row r="3662" spans="1:12" x14ac:dyDescent="0.25">
      <c r="A3662" s="2" t="s">
        <v>10893</v>
      </c>
      <c r="B3662" s="8" t="s">
        <v>18442</v>
      </c>
      <c r="C3662" s="2" t="s">
        <v>10893</v>
      </c>
      <c r="D3662" s="2" t="s">
        <v>10894</v>
      </c>
      <c r="E3662" s="4" t="s">
        <v>10894</v>
      </c>
      <c r="G3662" s="15" t="s">
        <v>31593</v>
      </c>
      <c r="H3662" s="15" t="s">
        <v>31594</v>
      </c>
      <c r="I3662" s="15" t="s">
        <v>31595</v>
      </c>
      <c r="J3662" s="15" t="s">
        <v>31596</v>
      </c>
      <c r="K3662" s="15">
        <v>11674113</v>
      </c>
      <c r="L3662" s="15" t="s">
        <v>19099</v>
      </c>
    </row>
    <row r="3663" spans="1:12" x14ac:dyDescent="0.25">
      <c r="A3663" s="2" t="s">
        <v>10896</v>
      </c>
      <c r="B3663" s="8" t="s">
        <v>18443</v>
      </c>
      <c r="C3663" s="2" t="s">
        <v>10896</v>
      </c>
      <c r="D3663" s="2" t="s">
        <v>10897</v>
      </c>
      <c r="E3663" s="4" t="s">
        <v>31597</v>
      </c>
      <c r="G3663" s="15" t="s">
        <v>31598</v>
      </c>
      <c r="H3663" s="15" t="s">
        <v>31599</v>
      </c>
      <c r="I3663" s="15" t="s">
        <v>31600</v>
      </c>
      <c r="J3663" s="15" t="s">
        <v>31601</v>
      </c>
      <c r="K3663" s="15">
        <v>23676152</v>
      </c>
      <c r="L3663" s="15" t="s">
        <v>19099</v>
      </c>
    </row>
    <row r="3664" spans="1:12" x14ac:dyDescent="0.25">
      <c r="A3664" s="2" t="s">
        <v>10899</v>
      </c>
      <c r="B3664" s="8" t="s">
        <v>18444</v>
      </c>
      <c r="C3664" s="2" t="s">
        <v>10899</v>
      </c>
      <c r="D3664" s="2" t="s">
        <v>10900</v>
      </c>
      <c r="E3664" s="4" t="s">
        <v>10900</v>
      </c>
      <c r="G3664" s="15" t="s">
        <v>31602</v>
      </c>
      <c r="H3664" s="15" t="s">
        <v>31603</v>
      </c>
      <c r="I3664" s="15" t="s">
        <v>31604</v>
      </c>
      <c r="J3664" s="15" t="s">
        <v>31605</v>
      </c>
      <c r="K3664" s="15">
        <v>4737</v>
      </c>
      <c r="L3664" s="15" t="s">
        <v>19099</v>
      </c>
    </row>
    <row r="3665" spans="1:12" x14ac:dyDescent="0.25">
      <c r="A3665" s="2" t="s">
        <v>10902</v>
      </c>
      <c r="B3665" s="8" t="s">
        <v>18445</v>
      </c>
      <c r="C3665" s="2" t="s">
        <v>10902</v>
      </c>
      <c r="D3665" s="2" t="s">
        <v>10903</v>
      </c>
      <c r="E3665" s="4" t="s">
        <v>10903</v>
      </c>
      <c r="G3665" s="15" t="s">
        <v>31606</v>
      </c>
      <c r="H3665" s="15" t="s">
        <v>31607</v>
      </c>
      <c r="I3665" s="15" t="s">
        <v>31608</v>
      </c>
      <c r="J3665" s="15" t="s">
        <v>31609</v>
      </c>
      <c r="K3665" s="15">
        <v>11388558</v>
      </c>
      <c r="L3665" s="15" t="s">
        <v>19099</v>
      </c>
    </row>
    <row r="3666" spans="1:12" x14ac:dyDescent="0.25">
      <c r="A3666" s="2" t="s">
        <v>10905</v>
      </c>
      <c r="B3666" s="8" t="s">
        <v>18446</v>
      </c>
      <c r="C3666" s="2" t="s">
        <v>10905</v>
      </c>
      <c r="D3666" s="2" t="s">
        <v>10906</v>
      </c>
      <c r="E3666" s="4" t="s">
        <v>31610</v>
      </c>
      <c r="G3666" s="15" t="s">
        <v>31611</v>
      </c>
      <c r="H3666" s="15" t="s">
        <v>31612</v>
      </c>
      <c r="I3666" s="15" t="s">
        <v>31613</v>
      </c>
      <c r="J3666" s="15" t="s">
        <v>31614</v>
      </c>
      <c r="K3666" s="15">
        <v>11666</v>
      </c>
      <c r="L3666" s="15" t="s">
        <v>19099</v>
      </c>
    </row>
    <row r="3667" spans="1:12" x14ac:dyDescent="0.25">
      <c r="A3667" s="2" t="s">
        <v>10908</v>
      </c>
      <c r="B3667" s="8" t="s">
        <v>18447</v>
      </c>
      <c r="C3667" s="2" t="s">
        <v>10908</v>
      </c>
      <c r="D3667" s="2" t="s">
        <v>10909</v>
      </c>
      <c r="E3667" s="4" t="s">
        <v>31615</v>
      </c>
      <c r="G3667" s="15" t="s">
        <v>31616</v>
      </c>
      <c r="H3667" s="15" t="s">
        <v>31617</v>
      </c>
      <c r="I3667" s="15" t="s">
        <v>31618</v>
      </c>
      <c r="J3667" s="15" t="s">
        <v>31619</v>
      </c>
      <c r="K3667" s="15">
        <v>6585</v>
      </c>
      <c r="L3667" s="15" t="s">
        <v>19099</v>
      </c>
    </row>
    <row r="3668" spans="1:12" x14ac:dyDescent="0.25">
      <c r="A3668" s="2" t="s">
        <v>10911</v>
      </c>
      <c r="B3668" s="8" t="s">
        <v>18448</v>
      </c>
      <c r="C3668" s="2" t="s">
        <v>10911</v>
      </c>
      <c r="D3668" s="2" t="s">
        <v>10912</v>
      </c>
      <c r="E3668" s="4" t="s">
        <v>31620</v>
      </c>
      <c r="G3668" s="15" t="s">
        <v>31621</v>
      </c>
      <c r="H3668" s="15" t="s">
        <v>31622</v>
      </c>
      <c r="I3668" s="15" t="s">
        <v>31623</v>
      </c>
      <c r="J3668" s="15" t="s">
        <v>31624</v>
      </c>
      <c r="K3668" s="15">
        <v>4748</v>
      </c>
      <c r="L3668" s="15" t="s">
        <v>19099</v>
      </c>
    </row>
    <row r="3669" spans="1:12" x14ac:dyDescent="0.25">
      <c r="A3669" s="2" t="s">
        <v>10914</v>
      </c>
      <c r="B3669" s="8" t="s">
        <v>18449</v>
      </c>
      <c r="C3669" s="2" t="s">
        <v>10914</v>
      </c>
      <c r="D3669" s="2" t="s">
        <v>10915</v>
      </c>
      <c r="E3669" s="4" t="s">
        <v>10915</v>
      </c>
      <c r="G3669" s="15" t="s">
        <v>31625</v>
      </c>
      <c r="H3669" s="15" t="s">
        <v>31626</v>
      </c>
      <c r="I3669" s="15" t="s">
        <v>31627</v>
      </c>
      <c r="J3669" s="15" t="s">
        <v>29089</v>
      </c>
      <c r="K3669" s="15">
        <v>40326</v>
      </c>
      <c r="L3669" s="15" t="s">
        <v>19099</v>
      </c>
    </row>
    <row r="3670" spans="1:12" x14ac:dyDescent="0.25">
      <c r="A3670" s="2" t="s">
        <v>10917</v>
      </c>
      <c r="B3670" s="8" t="s">
        <v>18450</v>
      </c>
      <c r="C3670" s="2" t="s">
        <v>10917</v>
      </c>
      <c r="D3670" s="2" t="s">
        <v>10918</v>
      </c>
      <c r="E3670" s="4" t="s">
        <v>31628</v>
      </c>
      <c r="G3670" s="15" t="s">
        <v>31629</v>
      </c>
      <c r="H3670" s="15" t="s">
        <v>31630</v>
      </c>
      <c r="I3670" s="15" t="s">
        <v>31631</v>
      </c>
      <c r="J3670" s="15" t="s">
        <v>31632</v>
      </c>
      <c r="K3670" s="15">
        <v>6295</v>
      </c>
      <c r="L3670" s="15" t="s">
        <v>19099</v>
      </c>
    </row>
    <row r="3671" spans="1:12" x14ac:dyDescent="0.25">
      <c r="A3671" s="2" t="s">
        <v>10920</v>
      </c>
      <c r="B3671" s="8" t="s">
        <v>18451</v>
      </c>
      <c r="C3671" s="2" t="s">
        <v>10920</v>
      </c>
      <c r="D3671" s="2" t="s">
        <v>10921</v>
      </c>
      <c r="E3671" s="4" t="s">
        <v>10921</v>
      </c>
      <c r="G3671" s="15" t="s">
        <v>31633</v>
      </c>
      <c r="H3671" s="15" t="s">
        <v>31634</v>
      </c>
      <c r="I3671" s="15" t="s">
        <v>31635</v>
      </c>
      <c r="J3671" s="15" t="s">
        <v>31636</v>
      </c>
      <c r="K3671" s="15">
        <v>6450826</v>
      </c>
      <c r="L3671" s="15" t="s">
        <v>19099</v>
      </c>
    </row>
    <row r="3672" spans="1:12" x14ac:dyDescent="0.25">
      <c r="A3672" s="2" t="s">
        <v>10923</v>
      </c>
      <c r="B3672" s="8" t="s">
        <v>18452</v>
      </c>
      <c r="C3672" s="2" t="s">
        <v>10923</v>
      </c>
      <c r="D3672" s="2" t="s">
        <v>10924</v>
      </c>
      <c r="E3672" s="4" t="s">
        <v>10924</v>
      </c>
      <c r="G3672" s="15" t="s">
        <v>31637</v>
      </c>
      <c r="H3672" s="15" t="s">
        <v>31638</v>
      </c>
      <c r="I3672" s="15" t="s">
        <v>31639</v>
      </c>
      <c r="J3672" s="15" t="s">
        <v>31640</v>
      </c>
      <c r="K3672" s="15">
        <v>3294375</v>
      </c>
      <c r="L3672" s="15" t="s">
        <v>19099</v>
      </c>
    </row>
    <row r="3673" spans="1:12" x14ac:dyDescent="0.25">
      <c r="A3673" s="2" t="s">
        <v>10926</v>
      </c>
      <c r="B3673" s="8" t="s">
        <v>18453</v>
      </c>
      <c r="C3673" s="2" t="s">
        <v>10926</v>
      </c>
      <c r="D3673" s="2" t="s">
        <v>10927</v>
      </c>
      <c r="E3673" s="4" t="s">
        <v>10927</v>
      </c>
      <c r="G3673" s="15" t="s">
        <v>31641</v>
      </c>
      <c r="H3673" s="15" t="s">
        <v>31642</v>
      </c>
      <c r="I3673" s="15" t="s">
        <v>31643</v>
      </c>
      <c r="J3673" s="15" t="s">
        <v>31644</v>
      </c>
      <c r="K3673" s="15">
        <v>15965</v>
      </c>
      <c r="L3673" s="15" t="s">
        <v>19099</v>
      </c>
    </row>
    <row r="3674" spans="1:12" x14ac:dyDescent="0.25">
      <c r="A3674" s="2" t="s">
        <v>10929</v>
      </c>
      <c r="B3674" s="8" t="s">
        <v>18454</v>
      </c>
      <c r="C3674" s="2" t="s">
        <v>10929</v>
      </c>
      <c r="D3674" s="2" t="s">
        <v>10930</v>
      </c>
      <c r="E3674" s="4" t="s">
        <v>10930</v>
      </c>
      <c r="G3674" s="15" t="s">
        <v>31645</v>
      </c>
      <c r="H3674" s="15" t="s">
        <v>31646</v>
      </c>
      <c r="I3674" s="15" t="s">
        <v>31647</v>
      </c>
      <c r="J3674" s="15" t="s">
        <v>31648</v>
      </c>
      <c r="K3674" s="15">
        <v>11285653</v>
      </c>
      <c r="L3674" s="15" t="s">
        <v>19099</v>
      </c>
    </row>
    <row r="3675" spans="1:12" x14ac:dyDescent="0.25">
      <c r="A3675" s="2" t="s">
        <v>10932</v>
      </c>
      <c r="B3675" s="8" t="s">
        <v>18455</v>
      </c>
      <c r="C3675" s="2" t="s">
        <v>10932</v>
      </c>
      <c r="D3675" s="2" t="s">
        <v>10933</v>
      </c>
      <c r="E3675" s="4" t="s">
        <v>10933</v>
      </c>
      <c r="G3675" s="15" t="s">
        <v>31649</v>
      </c>
      <c r="H3675" s="15" t="s">
        <v>31650</v>
      </c>
      <c r="I3675" s="15" t="s">
        <v>31651</v>
      </c>
      <c r="J3675" s="15" t="s">
        <v>31652</v>
      </c>
      <c r="K3675" s="15">
        <v>210326</v>
      </c>
      <c r="L3675" s="15" t="s">
        <v>19099</v>
      </c>
    </row>
    <row r="3676" spans="1:12" x14ac:dyDescent="0.25">
      <c r="A3676" s="2" t="s">
        <v>10935</v>
      </c>
      <c r="B3676" s="8" t="s">
        <v>18456</v>
      </c>
      <c r="C3676" s="2" t="s">
        <v>10935</v>
      </c>
      <c r="D3676" s="2" t="s">
        <v>10936</v>
      </c>
      <c r="E3676" s="4" t="s">
        <v>10936</v>
      </c>
      <c r="G3676" s="15" t="s">
        <v>31653</v>
      </c>
      <c r="H3676" s="15" t="s">
        <v>31654</v>
      </c>
      <c r="I3676" s="15" t="s">
        <v>31655</v>
      </c>
      <c r="J3676" s="15" t="s">
        <v>31656</v>
      </c>
      <c r="K3676" s="15">
        <v>4828</v>
      </c>
      <c r="L3676" s="15" t="s">
        <v>19099</v>
      </c>
    </row>
    <row r="3677" spans="1:12" x14ac:dyDescent="0.25">
      <c r="A3677" s="2" t="s">
        <v>10938</v>
      </c>
      <c r="B3677" s="8" t="s">
        <v>18457</v>
      </c>
      <c r="C3677" s="2" t="s">
        <v>10938</v>
      </c>
      <c r="D3677" s="2" t="s">
        <v>10939</v>
      </c>
      <c r="E3677" s="4" t="s">
        <v>10939</v>
      </c>
      <c r="G3677" s="15" t="s">
        <v>31657</v>
      </c>
      <c r="H3677" s="15" t="s">
        <v>31658</v>
      </c>
      <c r="I3677" s="15" t="s">
        <v>31659</v>
      </c>
      <c r="J3677" s="15" t="s">
        <v>31660</v>
      </c>
      <c r="K3677" s="15">
        <v>4830</v>
      </c>
      <c r="L3677" s="15" t="s">
        <v>19099</v>
      </c>
    </row>
    <row r="3678" spans="1:12" x14ac:dyDescent="0.25">
      <c r="A3678" s="2" t="s">
        <v>10941</v>
      </c>
      <c r="B3678" s="8" t="s">
        <v>18458</v>
      </c>
      <c r="C3678" s="2" t="s">
        <v>10941</v>
      </c>
      <c r="D3678" s="2" t="s">
        <v>10942</v>
      </c>
      <c r="E3678" s="4" t="s">
        <v>31661</v>
      </c>
      <c r="G3678" s="15" t="s">
        <v>31662</v>
      </c>
      <c r="H3678" s="15" t="s">
        <v>31663</v>
      </c>
      <c r="I3678" s="15" t="s">
        <v>31664</v>
      </c>
      <c r="J3678" s="15" t="s">
        <v>31665</v>
      </c>
      <c r="K3678" s="15">
        <v>5794</v>
      </c>
      <c r="L3678" s="15" t="s">
        <v>19099</v>
      </c>
    </row>
    <row r="3679" spans="1:12" x14ac:dyDescent="0.25">
      <c r="A3679" s="2" t="s">
        <v>10944</v>
      </c>
      <c r="B3679" s="8" t="s">
        <v>18459</v>
      </c>
      <c r="C3679" s="2" t="s">
        <v>10944</v>
      </c>
      <c r="D3679" s="2" t="s">
        <v>10945</v>
      </c>
      <c r="E3679" s="4" t="s">
        <v>10945</v>
      </c>
      <c r="G3679" s="15" t="s">
        <v>31666</v>
      </c>
      <c r="H3679" s="15" t="s">
        <v>31667</v>
      </c>
      <c r="I3679" s="15" t="s">
        <v>31668</v>
      </c>
      <c r="J3679" s="15" t="s">
        <v>31669</v>
      </c>
      <c r="K3679" s="15">
        <v>8438</v>
      </c>
      <c r="L3679" s="15" t="s">
        <v>19099</v>
      </c>
    </row>
    <row r="3680" spans="1:12" x14ac:dyDescent="0.25">
      <c r="A3680" s="2" t="s">
        <v>10947</v>
      </c>
      <c r="B3680" s="8" t="s">
        <v>18460</v>
      </c>
      <c r="C3680" s="2" t="s">
        <v>10947</v>
      </c>
      <c r="D3680" s="2" t="s">
        <v>10948</v>
      </c>
      <c r="E3680" s="4" t="s">
        <v>10948</v>
      </c>
      <c r="G3680" s="15" t="s">
        <v>31670</v>
      </c>
      <c r="H3680" s="15" t="s">
        <v>31671</v>
      </c>
      <c r="I3680" s="15" t="s">
        <v>31672</v>
      </c>
      <c r="J3680" s="15" t="s">
        <v>31673</v>
      </c>
      <c r="K3680" s="15">
        <v>92514</v>
      </c>
      <c r="L3680" s="15" t="s">
        <v>19099</v>
      </c>
    </row>
    <row r="3681" spans="1:12" x14ac:dyDescent="0.25">
      <c r="A3681" s="2" t="s">
        <v>10950</v>
      </c>
      <c r="B3681" s="8" t="s">
        <v>18461</v>
      </c>
      <c r="C3681" s="2" t="s">
        <v>10950</v>
      </c>
      <c r="D3681" s="2" t="s">
        <v>10951</v>
      </c>
      <c r="E3681" s="4" t="s">
        <v>10951</v>
      </c>
      <c r="G3681" s="15" t="s">
        <v>31674</v>
      </c>
      <c r="H3681" s="15" t="s">
        <v>31675</v>
      </c>
      <c r="I3681" s="15" t="s">
        <v>31676</v>
      </c>
      <c r="J3681" s="15" t="s">
        <v>31677</v>
      </c>
      <c r="K3681" s="15">
        <v>31645</v>
      </c>
      <c r="L3681" s="15" t="s">
        <v>19099</v>
      </c>
    </row>
    <row r="3682" spans="1:12" x14ac:dyDescent="0.25">
      <c r="A3682" s="2" t="s">
        <v>10953</v>
      </c>
      <c r="B3682" s="8" t="s">
        <v>18462</v>
      </c>
      <c r="C3682" s="2" t="s">
        <v>10953</v>
      </c>
      <c r="D3682" s="2" t="s">
        <v>10954</v>
      </c>
      <c r="E3682" s="4" t="s">
        <v>10954</v>
      </c>
      <c r="G3682" s="15" t="s">
        <v>31678</v>
      </c>
      <c r="H3682" s="15" t="s">
        <v>31679</v>
      </c>
      <c r="I3682" s="15" t="s">
        <v>31680</v>
      </c>
      <c r="J3682" s="15" t="s">
        <v>31681</v>
      </c>
      <c r="K3682" s="15">
        <v>93139</v>
      </c>
      <c r="L3682" s="15" t="s">
        <v>19099</v>
      </c>
    </row>
    <row r="3683" spans="1:12" x14ac:dyDescent="0.25">
      <c r="A3683" s="2" t="s">
        <v>10956</v>
      </c>
      <c r="B3683" s="8" t="s">
        <v>18463</v>
      </c>
      <c r="C3683" s="2" t="s">
        <v>10956</v>
      </c>
      <c r="D3683" s="2" t="s">
        <v>10957</v>
      </c>
      <c r="E3683" s="4" t="s">
        <v>10957</v>
      </c>
      <c r="G3683" s="15" t="s">
        <v>31682</v>
      </c>
      <c r="H3683" s="15" t="s">
        <v>31683</v>
      </c>
      <c r="I3683" s="15" t="s">
        <v>31684</v>
      </c>
      <c r="J3683" s="15" t="s">
        <v>31685</v>
      </c>
      <c r="K3683" s="15">
        <v>185602</v>
      </c>
      <c r="L3683" s="15" t="s">
        <v>19995</v>
      </c>
    </row>
    <row r="3684" spans="1:12" x14ac:dyDescent="0.25">
      <c r="A3684" s="2" t="s">
        <v>10959</v>
      </c>
      <c r="B3684" s="8" t="s">
        <v>18464</v>
      </c>
      <c r="C3684" s="2" t="s">
        <v>10959</v>
      </c>
      <c r="D3684" s="2" t="s">
        <v>10960</v>
      </c>
      <c r="E3684" s="4" t="s">
        <v>10960</v>
      </c>
      <c r="G3684" s="15" t="s">
        <v>31686</v>
      </c>
      <c r="H3684" s="15" t="s">
        <v>31687</v>
      </c>
      <c r="I3684" s="15" t="s">
        <v>31688</v>
      </c>
      <c r="J3684" s="15" t="s">
        <v>31689</v>
      </c>
      <c r="K3684" s="15">
        <v>101525</v>
      </c>
      <c r="L3684" s="15" t="s">
        <v>19099</v>
      </c>
    </row>
    <row r="3685" spans="1:12" x14ac:dyDescent="0.25">
      <c r="A3685" s="2" t="s">
        <v>10962</v>
      </c>
      <c r="B3685" s="8" t="s">
        <v>18465</v>
      </c>
      <c r="C3685" s="2" t="s">
        <v>10962</v>
      </c>
      <c r="D3685" s="2" t="s">
        <v>10963</v>
      </c>
      <c r="E3685" s="4" t="s">
        <v>10963</v>
      </c>
      <c r="G3685" s="15" t="s">
        <v>31690</v>
      </c>
      <c r="H3685" s="15" t="s">
        <v>31691</v>
      </c>
      <c r="I3685" s="15" t="s">
        <v>31692</v>
      </c>
      <c r="J3685" s="15" t="s">
        <v>31693</v>
      </c>
      <c r="K3685" s="15">
        <v>27400</v>
      </c>
      <c r="L3685" s="15" t="s">
        <v>19099</v>
      </c>
    </row>
    <row r="3686" spans="1:12" x14ac:dyDescent="0.25">
      <c r="A3686" s="2" t="s">
        <v>10965</v>
      </c>
      <c r="B3686" s="8" t="s">
        <v>18466</v>
      </c>
      <c r="C3686" s="2" t="s">
        <v>10965</v>
      </c>
      <c r="D3686" s="2" t="s">
        <v>10966</v>
      </c>
      <c r="E3686" s="4" t="s">
        <v>31694</v>
      </c>
      <c r="G3686" s="15" t="s">
        <v>31695</v>
      </c>
      <c r="H3686" s="15" t="s">
        <v>31696</v>
      </c>
      <c r="I3686" s="15" t="s">
        <v>31697</v>
      </c>
      <c r="J3686" s="15" t="s">
        <v>31698</v>
      </c>
      <c r="K3686" s="15">
        <v>16212863</v>
      </c>
      <c r="L3686" s="15" t="s">
        <v>19099</v>
      </c>
    </row>
    <row r="3687" spans="1:12" x14ac:dyDescent="0.25">
      <c r="A3687" s="2" t="s">
        <v>10968</v>
      </c>
      <c r="B3687" s="8" t="s">
        <v>18467</v>
      </c>
      <c r="C3687" s="2" t="s">
        <v>10968</v>
      </c>
      <c r="D3687" s="2" t="s">
        <v>10969</v>
      </c>
      <c r="E3687" s="4" t="s">
        <v>31699</v>
      </c>
      <c r="G3687" s="15" t="s">
        <v>31700</v>
      </c>
      <c r="H3687" s="15" t="s">
        <v>31701</v>
      </c>
      <c r="I3687" s="15" t="s">
        <v>31702</v>
      </c>
      <c r="J3687" s="15" t="s">
        <v>31703</v>
      </c>
      <c r="K3687" s="15">
        <v>89040</v>
      </c>
      <c r="L3687" s="15" t="s">
        <v>19099</v>
      </c>
    </row>
    <row r="3688" spans="1:12" x14ac:dyDescent="0.25">
      <c r="A3688" s="2" t="s">
        <v>10971</v>
      </c>
      <c r="B3688" s="8" t="s">
        <v>18468</v>
      </c>
      <c r="C3688" s="2" t="s">
        <v>10971</v>
      </c>
      <c r="D3688" s="2" t="s">
        <v>10972</v>
      </c>
      <c r="E3688" s="4" t="s">
        <v>31704</v>
      </c>
      <c r="G3688" s="15" t="s">
        <v>31705</v>
      </c>
      <c r="H3688" s="15" t="s">
        <v>31706</v>
      </c>
      <c r="I3688" s="15" t="s">
        <v>31707</v>
      </c>
      <c r="J3688" s="15" t="s">
        <v>31708</v>
      </c>
      <c r="K3688" s="15">
        <v>7844</v>
      </c>
      <c r="L3688" s="15" t="s">
        <v>19099</v>
      </c>
    </row>
    <row r="3689" spans="1:12" x14ac:dyDescent="0.25">
      <c r="A3689" s="2" t="s">
        <v>10974</v>
      </c>
      <c r="B3689" s="8" t="s">
        <v>18469</v>
      </c>
      <c r="C3689" s="2" t="s">
        <v>10974</v>
      </c>
      <c r="D3689" s="2" t="s">
        <v>10975</v>
      </c>
      <c r="E3689" s="4" t="s">
        <v>31709</v>
      </c>
      <c r="G3689" s="15" t="s">
        <v>20681</v>
      </c>
      <c r="H3689" s="15" t="s">
        <v>20682</v>
      </c>
      <c r="I3689" s="15" t="s">
        <v>20683</v>
      </c>
      <c r="J3689" s="15" t="s">
        <v>20684</v>
      </c>
      <c r="K3689" s="15">
        <v>6581</v>
      </c>
      <c r="L3689" s="15" t="s">
        <v>19099</v>
      </c>
    </row>
    <row r="3690" spans="1:12" x14ac:dyDescent="0.25">
      <c r="A3690" s="2" t="s">
        <v>10977</v>
      </c>
      <c r="B3690" s="8" t="s">
        <v>18470</v>
      </c>
      <c r="C3690" s="2" t="s">
        <v>10977</v>
      </c>
      <c r="D3690" s="2" t="s">
        <v>10978</v>
      </c>
      <c r="E3690" s="4" t="s">
        <v>31710</v>
      </c>
      <c r="G3690" s="15" t="s">
        <v>30898</v>
      </c>
      <c r="H3690" s="15" t="s">
        <v>30899</v>
      </c>
      <c r="I3690" s="15" t="s">
        <v>30900</v>
      </c>
      <c r="J3690" s="15" t="s">
        <v>30901</v>
      </c>
      <c r="K3690" s="15">
        <v>444266</v>
      </c>
      <c r="L3690" s="15" t="s">
        <v>19099</v>
      </c>
    </row>
    <row r="3691" spans="1:12" x14ac:dyDescent="0.25">
      <c r="A3691" s="2" t="s">
        <v>10980</v>
      </c>
      <c r="B3691" s="8" t="s">
        <v>18471</v>
      </c>
      <c r="C3691" s="2" t="s">
        <v>10980</v>
      </c>
      <c r="D3691" s="2" t="s">
        <v>10981</v>
      </c>
      <c r="E3691" s="4" t="s">
        <v>31711</v>
      </c>
      <c r="G3691" s="15" t="s">
        <v>31712</v>
      </c>
      <c r="H3691" s="15" t="s">
        <v>31713</v>
      </c>
      <c r="I3691" s="15" t="s">
        <v>31714</v>
      </c>
      <c r="J3691" s="15" t="s">
        <v>31715</v>
      </c>
      <c r="K3691" s="15">
        <v>7501</v>
      </c>
      <c r="L3691" s="15" t="s">
        <v>19099</v>
      </c>
    </row>
    <row r="3692" spans="1:12" x14ac:dyDescent="0.25">
      <c r="A3692" s="2" t="s">
        <v>10983</v>
      </c>
      <c r="B3692" s="8" t="s">
        <v>18472</v>
      </c>
      <c r="C3692" s="2" t="s">
        <v>10983</v>
      </c>
      <c r="D3692" s="2" t="s">
        <v>10984</v>
      </c>
      <c r="E3692" s="4" t="s">
        <v>31716</v>
      </c>
      <c r="G3692" s="15" t="s">
        <v>31717</v>
      </c>
      <c r="H3692" s="15" t="s">
        <v>31718</v>
      </c>
      <c r="I3692" s="15" t="s">
        <v>31719</v>
      </c>
      <c r="J3692" s="15" t="s">
        <v>22630</v>
      </c>
      <c r="K3692" s="15">
        <v>11199</v>
      </c>
      <c r="L3692" s="15" t="s">
        <v>19099</v>
      </c>
    </row>
    <row r="3693" spans="1:12" x14ac:dyDescent="0.25">
      <c r="A3693" s="2" t="s">
        <v>10986</v>
      </c>
      <c r="B3693" s="8" t="s">
        <v>18473</v>
      </c>
      <c r="C3693" s="2" t="s">
        <v>10986</v>
      </c>
      <c r="D3693" s="2" t="s">
        <v>10987</v>
      </c>
      <c r="E3693" s="4" t="s">
        <v>31720</v>
      </c>
      <c r="G3693" s="15" t="s">
        <v>31721</v>
      </c>
      <c r="H3693" s="15" t="s">
        <v>31722</v>
      </c>
      <c r="I3693" s="15" t="s">
        <v>31723</v>
      </c>
      <c r="J3693" s="15" t="s">
        <v>21182</v>
      </c>
      <c r="K3693" s="15">
        <v>7758</v>
      </c>
      <c r="L3693" s="15" t="s">
        <v>19995</v>
      </c>
    </row>
    <row r="3694" spans="1:12" x14ac:dyDescent="0.25">
      <c r="A3694" s="2" t="s">
        <v>10989</v>
      </c>
      <c r="B3694" s="8" t="s">
        <v>18474</v>
      </c>
      <c r="C3694" s="2" t="s">
        <v>10989</v>
      </c>
      <c r="D3694" s="2" t="s">
        <v>10990</v>
      </c>
      <c r="E3694" s="4" t="s">
        <v>31724</v>
      </c>
      <c r="G3694" s="15" t="s">
        <v>31725</v>
      </c>
      <c r="H3694" s="15" t="s">
        <v>31726</v>
      </c>
      <c r="I3694" s="15" t="s">
        <v>31727</v>
      </c>
      <c r="J3694" s="15" t="s">
        <v>22585</v>
      </c>
      <c r="K3694" s="15">
        <v>7750</v>
      </c>
      <c r="L3694" s="15" t="s">
        <v>19099</v>
      </c>
    </row>
    <row r="3695" spans="1:12" x14ac:dyDescent="0.25">
      <c r="A3695" s="2" t="s">
        <v>10992</v>
      </c>
      <c r="B3695" s="8" t="s">
        <v>18475</v>
      </c>
      <c r="C3695" s="2" t="s">
        <v>10992</v>
      </c>
      <c r="D3695" s="2" t="s">
        <v>10993</v>
      </c>
      <c r="E3695" s="4" t="s">
        <v>31728</v>
      </c>
      <c r="G3695" s="15" t="s">
        <v>31729</v>
      </c>
      <c r="H3695" s="15" t="s">
        <v>31730</v>
      </c>
      <c r="I3695" s="15" t="s">
        <v>31731</v>
      </c>
      <c r="J3695" s="15" t="s">
        <v>31732</v>
      </c>
      <c r="K3695" s="15">
        <v>122130603</v>
      </c>
      <c r="L3695" s="15" t="s">
        <v>19099</v>
      </c>
    </row>
    <row r="3696" spans="1:12" x14ac:dyDescent="0.25">
      <c r="A3696" s="2" t="s">
        <v>10995</v>
      </c>
      <c r="B3696" s="8" t="s">
        <v>18476</v>
      </c>
      <c r="C3696" s="2" t="s">
        <v>10995</v>
      </c>
      <c r="D3696" s="2" t="s">
        <v>10996</v>
      </c>
      <c r="E3696" s="4" t="s">
        <v>10996</v>
      </c>
      <c r="G3696" s="15" t="s">
        <v>31733</v>
      </c>
      <c r="H3696" s="15" t="s">
        <v>31734</v>
      </c>
      <c r="I3696" s="15" t="s">
        <v>31735</v>
      </c>
      <c r="J3696" s="15" t="s">
        <v>31736</v>
      </c>
      <c r="K3696" s="15">
        <v>4740</v>
      </c>
      <c r="L3696" s="15" t="s">
        <v>19099</v>
      </c>
    </row>
    <row r="3697" spans="1:12" x14ac:dyDescent="0.25">
      <c r="A3697" s="2" t="s">
        <v>10998</v>
      </c>
      <c r="B3697" s="8" t="s">
        <v>18477</v>
      </c>
      <c r="C3697" s="2" t="s">
        <v>10998</v>
      </c>
      <c r="D3697" s="2" t="s">
        <v>10999</v>
      </c>
      <c r="E3697" s="4" t="s">
        <v>31737</v>
      </c>
      <c r="G3697" s="15" t="s">
        <v>31738</v>
      </c>
      <c r="H3697" s="15" t="s">
        <v>31739</v>
      </c>
      <c r="I3697" s="15" t="s">
        <v>31740</v>
      </c>
      <c r="J3697" s="15" t="s">
        <v>31741</v>
      </c>
      <c r="K3697" s="15">
        <v>15938</v>
      </c>
      <c r="L3697" s="15" t="s">
        <v>19099</v>
      </c>
    </row>
    <row r="3698" spans="1:12" x14ac:dyDescent="0.25">
      <c r="A3698" s="2" t="s">
        <v>11001</v>
      </c>
      <c r="B3698" s="8" t="s">
        <v>18478</v>
      </c>
      <c r="C3698" s="2" t="s">
        <v>11001</v>
      </c>
      <c r="D3698" s="2" t="s">
        <v>11002</v>
      </c>
      <c r="E3698" s="4" t="s">
        <v>11002</v>
      </c>
      <c r="G3698" s="15" t="s">
        <v>31742</v>
      </c>
      <c r="H3698" s="15" t="s">
        <v>31743</v>
      </c>
      <c r="I3698" s="15" t="s">
        <v>31744</v>
      </c>
      <c r="J3698" s="15" t="s">
        <v>31745</v>
      </c>
      <c r="K3698" s="15">
        <v>9839306</v>
      </c>
      <c r="L3698" s="15" t="s">
        <v>19099</v>
      </c>
    </row>
    <row r="3699" spans="1:12" x14ac:dyDescent="0.25">
      <c r="A3699" s="2" t="s">
        <v>11004</v>
      </c>
      <c r="B3699" s="8" t="s">
        <v>18479</v>
      </c>
      <c r="C3699" s="2" t="s">
        <v>11004</v>
      </c>
      <c r="D3699" s="2" t="s">
        <v>11005</v>
      </c>
      <c r="E3699" s="4" t="s">
        <v>31746</v>
      </c>
      <c r="G3699" s="15" t="s">
        <v>31747</v>
      </c>
      <c r="H3699" s="15" t="s">
        <v>31748</v>
      </c>
      <c r="I3699" s="15" t="s">
        <v>31749</v>
      </c>
      <c r="J3699" s="15" t="s">
        <v>31750</v>
      </c>
      <c r="K3699" s="15">
        <v>54687</v>
      </c>
      <c r="L3699" s="15" t="s">
        <v>19099</v>
      </c>
    </row>
    <row r="3700" spans="1:12" x14ac:dyDescent="0.25">
      <c r="A3700" s="2" t="s">
        <v>11007</v>
      </c>
      <c r="B3700" s="8" t="s">
        <v>18480</v>
      </c>
      <c r="C3700" s="2" t="s">
        <v>11007</v>
      </c>
      <c r="D3700" s="2" t="s">
        <v>11008</v>
      </c>
      <c r="E3700" s="4" t="s">
        <v>11008</v>
      </c>
      <c r="G3700" s="15" t="s">
        <v>31751</v>
      </c>
      <c r="H3700" s="15" t="s">
        <v>31752</v>
      </c>
      <c r="I3700" s="15" t="s">
        <v>31753</v>
      </c>
      <c r="J3700" s="15" t="s">
        <v>31754</v>
      </c>
      <c r="K3700" s="15">
        <v>6714002</v>
      </c>
      <c r="L3700" s="15" t="s">
        <v>19099</v>
      </c>
    </row>
    <row r="3701" spans="1:12" x14ac:dyDescent="0.25">
      <c r="A3701" s="2" t="s">
        <v>11010</v>
      </c>
      <c r="B3701" s="8" t="s">
        <v>18481</v>
      </c>
      <c r="C3701" s="2" t="s">
        <v>11010</v>
      </c>
      <c r="D3701" s="2" t="s">
        <v>11011</v>
      </c>
      <c r="E3701" s="4" t="s">
        <v>31755</v>
      </c>
      <c r="G3701" s="15" t="s">
        <v>31756</v>
      </c>
      <c r="H3701" s="15" t="s">
        <v>31757</v>
      </c>
      <c r="I3701" s="15" t="s">
        <v>31758</v>
      </c>
      <c r="J3701" s="15" t="s">
        <v>31759</v>
      </c>
      <c r="K3701" s="15">
        <v>4909</v>
      </c>
      <c r="L3701" s="15" t="s">
        <v>19099</v>
      </c>
    </row>
    <row r="3702" spans="1:12" x14ac:dyDescent="0.25">
      <c r="A3702" s="2" t="s">
        <v>11013</v>
      </c>
      <c r="B3702" s="8" t="s">
        <v>18482</v>
      </c>
      <c r="C3702" s="2" t="s">
        <v>11013</v>
      </c>
      <c r="D3702" s="2" t="s">
        <v>11014</v>
      </c>
      <c r="E3702" s="4" t="s">
        <v>11014</v>
      </c>
      <c r="G3702" s="15" t="s">
        <v>31760</v>
      </c>
      <c r="H3702" s="15" t="s">
        <v>31761</v>
      </c>
      <c r="I3702" s="15" t="s">
        <v>31762</v>
      </c>
      <c r="J3702" s="15" t="s">
        <v>31763</v>
      </c>
      <c r="K3702" s="15">
        <v>73665</v>
      </c>
      <c r="L3702" s="15" t="s">
        <v>19099</v>
      </c>
    </row>
    <row r="3703" spans="1:12" x14ac:dyDescent="0.25">
      <c r="A3703" s="2" t="s">
        <v>11016</v>
      </c>
      <c r="B3703" s="8" t="s">
        <v>18483</v>
      </c>
      <c r="C3703" s="2" t="s">
        <v>11016</v>
      </c>
      <c r="D3703" s="2" t="s">
        <v>11017</v>
      </c>
      <c r="E3703" s="4" t="s">
        <v>31764</v>
      </c>
      <c r="G3703" s="15" t="s">
        <v>31765</v>
      </c>
      <c r="H3703" s="15" t="s">
        <v>31766</v>
      </c>
      <c r="I3703" s="15" t="s">
        <v>31767</v>
      </c>
      <c r="J3703" s="15" t="s">
        <v>31768</v>
      </c>
      <c r="K3703" s="15">
        <v>12001831</v>
      </c>
      <c r="L3703" s="15" t="s">
        <v>19099</v>
      </c>
    </row>
    <row r="3704" spans="1:12" x14ac:dyDescent="0.25">
      <c r="A3704" s="2" t="s">
        <v>11019</v>
      </c>
      <c r="B3704" s="8" t="s">
        <v>18484</v>
      </c>
      <c r="C3704" s="2" t="s">
        <v>11019</v>
      </c>
      <c r="D3704" s="2" t="s">
        <v>11020</v>
      </c>
      <c r="E3704" s="4" t="s">
        <v>11020</v>
      </c>
      <c r="G3704" s="15" t="s">
        <v>31769</v>
      </c>
      <c r="H3704" s="15" t="s">
        <v>31770</v>
      </c>
      <c r="I3704" s="15" t="s">
        <v>31771</v>
      </c>
      <c r="J3704" s="15" t="s">
        <v>31772</v>
      </c>
      <c r="K3704" s="15">
        <v>26450</v>
      </c>
      <c r="L3704" s="15" t="s">
        <v>19099</v>
      </c>
    </row>
    <row r="3705" spans="1:12" x14ac:dyDescent="0.25">
      <c r="A3705" s="2" t="s">
        <v>11022</v>
      </c>
      <c r="B3705" s="8" t="s">
        <v>18485</v>
      </c>
      <c r="C3705" s="2" t="s">
        <v>11022</v>
      </c>
      <c r="D3705" s="2" t="s">
        <v>11023</v>
      </c>
      <c r="E3705" s="4" t="s">
        <v>31773</v>
      </c>
      <c r="G3705" s="15" t="s">
        <v>31774</v>
      </c>
      <c r="H3705" s="15" t="s">
        <v>31775</v>
      </c>
      <c r="I3705" s="15" t="s">
        <v>31776</v>
      </c>
      <c r="J3705" s="15" t="s">
        <v>31777</v>
      </c>
      <c r="K3705" s="15">
        <v>36242</v>
      </c>
      <c r="L3705" s="15" t="s">
        <v>19099</v>
      </c>
    </row>
    <row r="3706" spans="1:12" x14ac:dyDescent="0.25">
      <c r="A3706" s="2" t="s">
        <v>11025</v>
      </c>
      <c r="B3706" s="8" t="s">
        <v>18486</v>
      </c>
      <c r="C3706" s="2" t="s">
        <v>11025</v>
      </c>
      <c r="D3706" s="2" t="s">
        <v>11026</v>
      </c>
      <c r="E3706" s="4" t="s">
        <v>11026</v>
      </c>
      <c r="G3706" s="15" t="s">
        <v>31778</v>
      </c>
      <c r="H3706" s="15" t="s">
        <v>31779</v>
      </c>
      <c r="I3706" s="15" t="s">
        <v>31780</v>
      </c>
      <c r="J3706" s="15" t="s">
        <v>21061</v>
      </c>
      <c r="K3706" s="15">
        <v>24685</v>
      </c>
      <c r="L3706" s="15" t="s">
        <v>19099</v>
      </c>
    </row>
    <row r="3707" spans="1:12" x14ac:dyDescent="0.25">
      <c r="A3707" s="2" t="s">
        <v>11028</v>
      </c>
      <c r="B3707" s="8" t="s">
        <v>18487</v>
      </c>
      <c r="C3707" s="2" t="s">
        <v>11028</v>
      </c>
      <c r="D3707" s="2" t="s">
        <v>11029</v>
      </c>
      <c r="E3707" s="4" t="s">
        <v>11029</v>
      </c>
      <c r="G3707" s="15" t="s">
        <v>31781</v>
      </c>
      <c r="H3707" s="15" t="s">
        <v>31782</v>
      </c>
      <c r="I3707" s="15" t="s">
        <v>31783</v>
      </c>
      <c r="J3707" s="15" t="s">
        <v>31784</v>
      </c>
      <c r="K3707" s="15">
        <v>38779</v>
      </c>
      <c r="L3707" s="15" t="s">
        <v>19099</v>
      </c>
    </row>
    <row r="3708" spans="1:12" x14ac:dyDescent="0.25">
      <c r="A3708" s="2" t="s">
        <v>11031</v>
      </c>
      <c r="B3708" s="8" t="s">
        <v>18488</v>
      </c>
      <c r="C3708" s="2" t="s">
        <v>11031</v>
      </c>
      <c r="D3708" s="2" t="s">
        <v>11032</v>
      </c>
      <c r="E3708" s="4" t="s">
        <v>11032</v>
      </c>
      <c r="G3708" s="15" t="s">
        <v>31785</v>
      </c>
      <c r="H3708" s="15" t="s">
        <v>31786</v>
      </c>
      <c r="I3708" s="15" t="s">
        <v>31787</v>
      </c>
      <c r="J3708" s="15" t="s">
        <v>31788</v>
      </c>
      <c r="K3708" s="15">
        <v>135618618</v>
      </c>
      <c r="L3708" s="15" t="s">
        <v>19099</v>
      </c>
    </row>
    <row r="3709" spans="1:12" x14ac:dyDescent="0.25">
      <c r="A3709" s="2" t="s">
        <v>11034</v>
      </c>
      <c r="B3709" s="8" t="s">
        <v>18489</v>
      </c>
      <c r="C3709" s="2" t="s">
        <v>11034</v>
      </c>
      <c r="D3709" s="2" t="s">
        <v>11035</v>
      </c>
      <c r="E3709" s="4" t="s">
        <v>31789</v>
      </c>
      <c r="G3709" s="15" t="s">
        <v>31790</v>
      </c>
      <c r="H3709" s="15" t="s">
        <v>31791</v>
      </c>
      <c r="I3709" s="15" t="s">
        <v>31792</v>
      </c>
      <c r="J3709" s="15" t="s">
        <v>31793</v>
      </c>
      <c r="K3709" s="15">
        <v>5994</v>
      </c>
      <c r="L3709" s="15" t="s">
        <v>19099</v>
      </c>
    </row>
    <row r="3710" spans="1:12" x14ac:dyDescent="0.25">
      <c r="A3710" s="2" t="s">
        <v>11037</v>
      </c>
      <c r="B3710" s="8" t="s">
        <v>18490</v>
      </c>
      <c r="C3710" s="2" t="s">
        <v>11037</v>
      </c>
      <c r="D3710" s="2" t="s">
        <v>11038</v>
      </c>
      <c r="E3710" s="4" t="s">
        <v>11038</v>
      </c>
      <c r="G3710" s="15" t="s">
        <v>31794</v>
      </c>
      <c r="H3710" s="15" t="s">
        <v>31795</v>
      </c>
      <c r="I3710" s="15" t="s">
        <v>31796</v>
      </c>
      <c r="J3710" s="15" t="s">
        <v>29736</v>
      </c>
      <c r="K3710" s="15">
        <v>17516</v>
      </c>
      <c r="L3710" s="15" t="s">
        <v>19099</v>
      </c>
    </row>
    <row r="3711" spans="1:12" x14ac:dyDescent="0.25">
      <c r="A3711" s="2" t="s">
        <v>11040</v>
      </c>
      <c r="B3711" s="8" t="s">
        <v>18491</v>
      </c>
      <c r="C3711" s="2" t="s">
        <v>11040</v>
      </c>
      <c r="D3711" s="2" t="s">
        <v>11041</v>
      </c>
      <c r="E3711" s="4" t="s">
        <v>11041</v>
      </c>
      <c r="G3711" s="15" t="s">
        <v>31797</v>
      </c>
      <c r="H3711" s="15" t="s">
        <v>31798</v>
      </c>
      <c r="I3711" s="15" t="s">
        <v>31799</v>
      </c>
      <c r="J3711" s="15" t="s">
        <v>31800</v>
      </c>
      <c r="K3711" s="15">
        <v>4928</v>
      </c>
      <c r="L3711" s="15" t="s">
        <v>19099</v>
      </c>
    </row>
    <row r="3712" spans="1:12" x14ac:dyDescent="0.25">
      <c r="A3712" s="2" t="s">
        <v>11043</v>
      </c>
      <c r="B3712" s="8" t="s">
        <v>18492</v>
      </c>
      <c r="C3712" s="2" t="s">
        <v>11043</v>
      </c>
      <c r="D3712" s="2" t="s">
        <v>11044</v>
      </c>
      <c r="E3712" s="4" t="s">
        <v>11044</v>
      </c>
      <c r="G3712" s="15" t="s">
        <v>31801</v>
      </c>
      <c r="H3712" s="15" t="s">
        <v>31802</v>
      </c>
      <c r="I3712" s="15" t="s">
        <v>31803</v>
      </c>
      <c r="J3712" s="15" t="s">
        <v>31804</v>
      </c>
      <c r="K3712" s="15">
        <v>4929</v>
      </c>
      <c r="L3712" s="15" t="s">
        <v>19099</v>
      </c>
    </row>
    <row r="3713" spans="1:12" x14ac:dyDescent="0.25">
      <c r="A3713" s="2" t="s">
        <v>11046</v>
      </c>
      <c r="B3713" s="8" t="s">
        <v>18493</v>
      </c>
      <c r="C3713" s="2" t="s">
        <v>11046</v>
      </c>
      <c r="D3713" s="2" t="s">
        <v>11047</v>
      </c>
      <c r="E3713" s="4" t="s">
        <v>11047</v>
      </c>
      <c r="G3713" s="15" t="s">
        <v>31805</v>
      </c>
      <c r="H3713" s="15" t="s">
        <v>31806</v>
      </c>
      <c r="I3713" s="15" t="s">
        <v>31807</v>
      </c>
      <c r="J3713" s="15" t="s">
        <v>31808</v>
      </c>
      <c r="K3713" s="15">
        <v>4927</v>
      </c>
      <c r="L3713" s="15" t="s">
        <v>19099</v>
      </c>
    </row>
    <row r="3714" spans="1:12" x14ac:dyDescent="0.25">
      <c r="A3714" s="2" t="s">
        <v>11049</v>
      </c>
      <c r="B3714" s="8" t="s">
        <v>18494</v>
      </c>
      <c r="C3714" s="2" t="s">
        <v>11049</v>
      </c>
      <c r="D3714" s="2" t="s">
        <v>11050</v>
      </c>
      <c r="E3714" s="4" t="s">
        <v>11050</v>
      </c>
      <c r="G3714" s="15" t="s">
        <v>31809</v>
      </c>
      <c r="H3714" s="15" t="s">
        <v>31810</v>
      </c>
      <c r="I3714" s="15" t="s">
        <v>31811</v>
      </c>
      <c r="J3714" s="15" t="s">
        <v>31812</v>
      </c>
      <c r="K3714" s="15">
        <v>32154</v>
      </c>
      <c r="L3714" s="15" t="s">
        <v>19099</v>
      </c>
    </row>
    <row r="3715" spans="1:12" x14ac:dyDescent="0.25">
      <c r="A3715" s="2" t="s">
        <v>11052</v>
      </c>
      <c r="B3715" s="8" t="s">
        <v>18495</v>
      </c>
      <c r="C3715" s="2" t="s">
        <v>11052</v>
      </c>
      <c r="D3715" s="2" t="s">
        <v>11053</v>
      </c>
      <c r="E3715" s="4" t="s">
        <v>31813</v>
      </c>
      <c r="G3715" s="15" t="s">
        <v>31814</v>
      </c>
      <c r="H3715" s="15" t="s">
        <v>31815</v>
      </c>
      <c r="I3715" s="15" t="s">
        <v>31816</v>
      </c>
      <c r="J3715" s="15" t="s">
        <v>31817</v>
      </c>
      <c r="K3715" s="15">
        <v>4931</v>
      </c>
      <c r="L3715" s="15" t="s">
        <v>19099</v>
      </c>
    </row>
    <row r="3716" spans="1:12" x14ac:dyDescent="0.25">
      <c r="A3716" s="2" t="s">
        <v>11055</v>
      </c>
      <c r="B3716" s="8" t="s">
        <v>18496</v>
      </c>
      <c r="C3716" s="2" t="s">
        <v>11055</v>
      </c>
      <c r="D3716" s="2" t="s">
        <v>11056</v>
      </c>
      <c r="E3716" s="4" t="s">
        <v>31818</v>
      </c>
      <c r="G3716" s="15" t="s">
        <v>31819</v>
      </c>
      <c r="H3716" s="15" t="s">
        <v>31820</v>
      </c>
      <c r="I3716" s="15" t="s">
        <v>31821</v>
      </c>
      <c r="J3716" s="15" t="s">
        <v>31822</v>
      </c>
      <c r="K3716" s="15">
        <v>43234</v>
      </c>
      <c r="L3716" s="15" t="s">
        <v>19099</v>
      </c>
    </row>
    <row r="3717" spans="1:12" x14ac:dyDescent="0.25">
      <c r="A3717" s="2" t="s">
        <v>11058</v>
      </c>
      <c r="B3717" s="8" t="s">
        <v>18497</v>
      </c>
      <c r="C3717" s="2" t="s">
        <v>11058</v>
      </c>
      <c r="D3717" s="2" t="s">
        <v>11059</v>
      </c>
      <c r="E3717" s="4" t="s">
        <v>11059</v>
      </c>
      <c r="G3717" s="15" t="s">
        <v>31823</v>
      </c>
      <c r="H3717" s="15" t="s">
        <v>31824</v>
      </c>
      <c r="I3717" s="15" t="s">
        <v>31825</v>
      </c>
      <c r="J3717" s="15" t="s">
        <v>28271</v>
      </c>
      <c r="K3717" s="15">
        <v>4943</v>
      </c>
      <c r="L3717" s="15" t="s">
        <v>19099</v>
      </c>
    </row>
    <row r="3718" spans="1:12" x14ac:dyDescent="0.25">
      <c r="A3718" s="2" t="s">
        <v>11061</v>
      </c>
      <c r="B3718" s="8" t="s">
        <v>18498</v>
      </c>
      <c r="C3718" s="2" t="s">
        <v>11061</v>
      </c>
      <c r="D3718" s="2" t="s">
        <v>11062</v>
      </c>
      <c r="E3718" s="4" t="s">
        <v>31826</v>
      </c>
      <c r="G3718" s="15" t="s">
        <v>31827</v>
      </c>
      <c r="H3718" s="15" t="s">
        <v>31828</v>
      </c>
      <c r="I3718" s="15" t="s">
        <v>31829</v>
      </c>
      <c r="J3718" s="15" t="s">
        <v>31830</v>
      </c>
      <c r="K3718" s="15">
        <v>3778</v>
      </c>
      <c r="L3718" s="15" t="s">
        <v>19099</v>
      </c>
    </row>
    <row r="3719" spans="1:12" x14ac:dyDescent="0.25">
      <c r="A3719" s="2" t="s">
        <v>11064</v>
      </c>
      <c r="B3719" s="8" t="s">
        <v>18499</v>
      </c>
      <c r="C3719" s="2" t="s">
        <v>11064</v>
      </c>
      <c r="D3719" s="2" t="s">
        <v>11065</v>
      </c>
      <c r="E3719" s="4" t="s">
        <v>11065</v>
      </c>
      <c r="G3719" s="15" t="s">
        <v>31831</v>
      </c>
      <c r="H3719" s="15" t="s">
        <v>31832</v>
      </c>
      <c r="I3719" s="15" t="s">
        <v>31833</v>
      </c>
      <c r="J3719" s="15" t="s">
        <v>31834</v>
      </c>
      <c r="K3719" s="15">
        <v>23717</v>
      </c>
      <c r="L3719" s="15" t="s">
        <v>19099</v>
      </c>
    </row>
    <row r="3720" spans="1:12" x14ac:dyDescent="0.25">
      <c r="A3720" s="2" t="s">
        <v>11067</v>
      </c>
      <c r="B3720" s="8" t="s">
        <v>18500</v>
      </c>
      <c r="C3720" s="2" t="s">
        <v>11067</v>
      </c>
      <c r="D3720" s="2" t="s">
        <v>11068</v>
      </c>
      <c r="E3720" s="4" t="s">
        <v>31835</v>
      </c>
      <c r="G3720" s="15" t="s">
        <v>31836</v>
      </c>
      <c r="H3720" s="15" t="s">
        <v>31837</v>
      </c>
      <c r="I3720" s="15" t="s">
        <v>31838</v>
      </c>
      <c r="J3720" s="15" t="s">
        <v>27792</v>
      </c>
      <c r="K3720" s="15">
        <v>7859</v>
      </c>
      <c r="L3720" s="15" t="s">
        <v>19099</v>
      </c>
    </row>
    <row r="3721" spans="1:12" x14ac:dyDescent="0.25">
      <c r="A3721" s="2" t="s">
        <v>11070</v>
      </c>
      <c r="B3721" s="8" t="s">
        <v>18501</v>
      </c>
      <c r="C3721" s="2" t="s">
        <v>11070</v>
      </c>
      <c r="D3721" s="2" t="s">
        <v>11071</v>
      </c>
      <c r="E3721" s="4" t="s">
        <v>15243</v>
      </c>
      <c r="G3721" s="15" t="s">
        <v>31839</v>
      </c>
      <c r="H3721" s="15" t="s">
        <v>31840</v>
      </c>
      <c r="I3721" s="15" t="s">
        <v>31841</v>
      </c>
      <c r="J3721" s="15" t="s">
        <v>31842</v>
      </c>
      <c r="K3721" s="15">
        <v>4936</v>
      </c>
      <c r="L3721" s="15" t="s">
        <v>19099</v>
      </c>
    </row>
    <row r="3722" spans="1:12" x14ac:dyDescent="0.25">
      <c r="A3722" s="2" t="s">
        <v>11073</v>
      </c>
      <c r="B3722" s="8" t="s">
        <v>18502</v>
      </c>
      <c r="C3722" s="2" t="s">
        <v>11073</v>
      </c>
      <c r="D3722" s="2" t="s">
        <v>11074</v>
      </c>
      <c r="E3722" s="4" t="s">
        <v>11074</v>
      </c>
      <c r="G3722" s="15" t="s">
        <v>31843</v>
      </c>
      <c r="H3722" s="15" t="s">
        <v>31844</v>
      </c>
      <c r="I3722" s="15" t="s">
        <v>31845</v>
      </c>
      <c r="J3722" s="15" t="s">
        <v>31846</v>
      </c>
      <c r="K3722" s="15">
        <v>32490</v>
      </c>
      <c r="L3722" s="15" t="s">
        <v>19099</v>
      </c>
    </row>
    <row r="3723" spans="1:12" x14ac:dyDescent="0.25">
      <c r="A3723" s="2" t="s">
        <v>11076</v>
      </c>
      <c r="B3723" s="8" t="s">
        <v>18503</v>
      </c>
      <c r="C3723" s="2" t="s">
        <v>11076</v>
      </c>
      <c r="D3723" s="2" t="s">
        <v>11077</v>
      </c>
      <c r="E3723" s="4" t="s">
        <v>11077</v>
      </c>
      <c r="G3723" s="15" t="s">
        <v>31847</v>
      </c>
      <c r="H3723" s="15" t="s">
        <v>31848</v>
      </c>
      <c r="I3723" s="15" t="s">
        <v>31849</v>
      </c>
      <c r="J3723" s="15" t="s">
        <v>31850</v>
      </c>
      <c r="K3723" s="15">
        <v>15575641</v>
      </c>
      <c r="L3723" s="15" t="s">
        <v>19099</v>
      </c>
    </row>
    <row r="3724" spans="1:12" x14ac:dyDescent="0.25">
      <c r="A3724" s="2" t="s">
        <v>11079</v>
      </c>
      <c r="B3724" s="8" t="s">
        <v>18504</v>
      </c>
      <c r="C3724" s="2" t="s">
        <v>11079</v>
      </c>
      <c r="D3724" s="2" t="s">
        <v>11080</v>
      </c>
      <c r="E3724" s="4" t="s">
        <v>11080</v>
      </c>
      <c r="G3724" s="15" t="s">
        <v>31851</v>
      </c>
      <c r="H3724" s="15" t="s">
        <v>31852</v>
      </c>
      <c r="I3724" s="15" t="s">
        <v>31853</v>
      </c>
      <c r="J3724" s="15" t="s">
        <v>31854</v>
      </c>
      <c r="K3724" s="15">
        <v>6100711</v>
      </c>
      <c r="L3724" s="15" t="s">
        <v>19099</v>
      </c>
    </row>
    <row r="3725" spans="1:12" x14ac:dyDescent="0.25">
      <c r="A3725" s="2" t="s">
        <v>11082</v>
      </c>
      <c r="B3725" s="8" t="s">
        <v>18505</v>
      </c>
      <c r="C3725" s="2" t="s">
        <v>11082</v>
      </c>
      <c r="D3725" s="2" t="s">
        <v>11083</v>
      </c>
      <c r="E3725" s="4" t="s">
        <v>11083</v>
      </c>
      <c r="G3725" s="15" t="s">
        <v>31855</v>
      </c>
      <c r="H3725" s="15" t="s">
        <v>31856</v>
      </c>
      <c r="I3725" s="15" t="s">
        <v>31857</v>
      </c>
      <c r="J3725" s="15" t="s">
        <v>31858</v>
      </c>
      <c r="K3725" s="15">
        <v>4933</v>
      </c>
      <c r="L3725" s="15" t="s">
        <v>19099</v>
      </c>
    </row>
    <row r="3726" spans="1:12" x14ac:dyDescent="0.25">
      <c r="A3726" s="2" t="s">
        <v>11085</v>
      </c>
      <c r="B3726" s="8" t="s">
        <v>18506</v>
      </c>
      <c r="C3726" s="2" t="s">
        <v>11085</v>
      </c>
      <c r="D3726" s="2" t="s">
        <v>11086</v>
      </c>
      <c r="E3726" s="4" t="s">
        <v>11086</v>
      </c>
      <c r="G3726" s="15" t="s">
        <v>31859</v>
      </c>
      <c r="H3726" s="15" t="s">
        <v>31860</v>
      </c>
      <c r="I3726" s="15" t="s">
        <v>31861</v>
      </c>
      <c r="J3726" s="15" t="s">
        <v>31862</v>
      </c>
      <c r="K3726" s="15">
        <v>4946</v>
      </c>
      <c r="L3726" s="15" t="s">
        <v>19099</v>
      </c>
    </row>
    <row r="3727" spans="1:12" x14ac:dyDescent="0.25">
      <c r="A3727" s="2" t="s">
        <v>11088</v>
      </c>
      <c r="B3727" s="8" t="s">
        <v>18507</v>
      </c>
      <c r="C3727" s="2" t="s">
        <v>11088</v>
      </c>
      <c r="D3727" s="2" t="s">
        <v>11089</v>
      </c>
      <c r="E3727" s="4" t="s">
        <v>31863</v>
      </c>
      <c r="G3727" s="15" t="s">
        <v>31864</v>
      </c>
      <c r="H3727" s="15" t="s">
        <v>31865</v>
      </c>
      <c r="I3727" s="15" t="s">
        <v>31866</v>
      </c>
      <c r="J3727" s="15" t="s">
        <v>31636</v>
      </c>
      <c r="K3727" s="15">
        <v>62882</v>
      </c>
      <c r="L3727" s="15" t="s">
        <v>19099</v>
      </c>
    </row>
    <row r="3728" spans="1:12" x14ac:dyDescent="0.25">
      <c r="A3728" s="2" t="s">
        <v>11091</v>
      </c>
      <c r="B3728" s="8" t="s">
        <v>18508</v>
      </c>
      <c r="C3728" s="2" t="s">
        <v>11091</v>
      </c>
      <c r="D3728" s="2" t="s">
        <v>11092</v>
      </c>
      <c r="E3728" s="4" t="s">
        <v>31867</v>
      </c>
      <c r="G3728" s="15" t="s">
        <v>31868</v>
      </c>
      <c r="H3728" s="15" t="s">
        <v>31869</v>
      </c>
      <c r="I3728" s="15" t="s">
        <v>31870</v>
      </c>
      <c r="J3728" s="15" t="s">
        <v>31871</v>
      </c>
      <c r="K3728" s="15">
        <v>104745</v>
      </c>
      <c r="L3728" s="15" t="s">
        <v>19099</v>
      </c>
    </row>
    <row r="3729" spans="1:12" x14ac:dyDescent="0.25">
      <c r="A3729" s="2" t="s">
        <v>11094</v>
      </c>
      <c r="B3729" s="8" t="s">
        <v>18509</v>
      </c>
      <c r="C3729" s="2" t="s">
        <v>11094</v>
      </c>
      <c r="D3729" s="2" t="s">
        <v>11095</v>
      </c>
      <c r="E3729" s="4" t="s">
        <v>31872</v>
      </c>
      <c r="G3729" s="15" t="s">
        <v>31873</v>
      </c>
      <c r="H3729" s="15" t="s">
        <v>31874</v>
      </c>
      <c r="I3729" s="15" t="s">
        <v>31875</v>
      </c>
      <c r="J3729" s="15" t="s">
        <v>22519</v>
      </c>
      <c r="K3729" s="15">
        <v>1032</v>
      </c>
      <c r="L3729" s="15" t="s">
        <v>19099</v>
      </c>
    </row>
    <row r="3730" spans="1:12" x14ac:dyDescent="0.25">
      <c r="A3730" s="2" t="s">
        <v>11097</v>
      </c>
      <c r="B3730" s="8" t="s">
        <v>18510</v>
      </c>
      <c r="C3730" s="2" t="s">
        <v>11097</v>
      </c>
      <c r="D3730" s="2" t="s">
        <v>11098</v>
      </c>
      <c r="E3730" s="4" t="s">
        <v>11098</v>
      </c>
      <c r="G3730" s="15" t="s">
        <v>31876</v>
      </c>
      <c r="H3730" s="15" t="s">
        <v>31877</v>
      </c>
      <c r="I3730" s="15" t="s">
        <v>31878</v>
      </c>
      <c r="J3730" s="15" t="s">
        <v>31879</v>
      </c>
      <c r="K3730" s="15">
        <v>16213016</v>
      </c>
      <c r="L3730" s="15" t="s">
        <v>19099</v>
      </c>
    </row>
    <row r="3731" spans="1:12" x14ac:dyDescent="0.25">
      <c r="A3731" s="2" t="s">
        <v>11100</v>
      </c>
      <c r="B3731" s="8" t="s">
        <v>18511</v>
      </c>
      <c r="C3731" s="2" t="s">
        <v>11100</v>
      </c>
      <c r="D3731" s="2" t="s">
        <v>11101</v>
      </c>
      <c r="E3731" s="4" t="s">
        <v>31880</v>
      </c>
      <c r="G3731" s="15" t="s">
        <v>31881</v>
      </c>
      <c r="H3731" s="15" t="s">
        <v>31882</v>
      </c>
      <c r="I3731" s="15" t="s">
        <v>31883</v>
      </c>
      <c r="J3731" s="15" t="s">
        <v>31884</v>
      </c>
      <c r="K3731" s="15">
        <v>5372405</v>
      </c>
      <c r="L3731" s="15" t="s">
        <v>19099</v>
      </c>
    </row>
    <row r="3732" spans="1:12" x14ac:dyDescent="0.25">
      <c r="A3732" s="2" t="s">
        <v>11103</v>
      </c>
      <c r="B3732" s="8" t="s">
        <v>18512</v>
      </c>
      <c r="C3732" s="2" t="s">
        <v>11103</v>
      </c>
      <c r="D3732" s="2" t="s">
        <v>11104</v>
      </c>
      <c r="E3732" s="4" t="s">
        <v>31885</v>
      </c>
      <c r="G3732" s="15" t="s">
        <v>31886</v>
      </c>
      <c r="H3732" s="15" t="s">
        <v>31887</v>
      </c>
      <c r="I3732" s="15" t="s">
        <v>31888</v>
      </c>
      <c r="J3732" s="15" t="s">
        <v>22647</v>
      </c>
      <c r="K3732" s="15">
        <v>177355</v>
      </c>
      <c r="L3732" s="15" t="s">
        <v>19099</v>
      </c>
    </row>
    <row r="3733" spans="1:12" x14ac:dyDescent="0.25">
      <c r="A3733" s="2" t="s">
        <v>11106</v>
      </c>
      <c r="B3733" s="8" t="s">
        <v>18513</v>
      </c>
      <c r="C3733" s="2" t="s">
        <v>11106</v>
      </c>
      <c r="D3733" s="2" t="s">
        <v>11107</v>
      </c>
      <c r="E3733" s="4" t="s">
        <v>11107</v>
      </c>
      <c r="G3733" s="15" t="s">
        <v>31889</v>
      </c>
      <c r="H3733" s="15" t="s">
        <v>31890</v>
      </c>
      <c r="I3733" s="15" t="s">
        <v>31891</v>
      </c>
      <c r="J3733" s="15" t="s">
        <v>31892</v>
      </c>
      <c r="K3733" s="15">
        <v>4944</v>
      </c>
      <c r="L3733" s="15" t="s">
        <v>19099</v>
      </c>
    </row>
    <row r="3734" spans="1:12" x14ac:dyDescent="0.25">
      <c r="A3734" s="2" t="s">
        <v>11109</v>
      </c>
      <c r="B3734" s="8" t="s">
        <v>18514</v>
      </c>
      <c r="C3734" s="2" t="s">
        <v>11109</v>
      </c>
      <c r="D3734" s="2" t="s">
        <v>11110</v>
      </c>
      <c r="E3734" s="4" t="s">
        <v>11110</v>
      </c>
      <c r="G3734" s="15" t="s">
        <v>31893</v>
      </c>
      <c r="H3734" s="15" t="s">
        <v>31894</v>
      </c>
      <c r="I3734" s="15" t="s">
        <v>31895</v>
      </c>
      <c r="J3734" s="15" t="s">
        <v>27447</v>
      </c>
      <c r="K3734" s="15">
        <v>4937</v>
      </c>
      <c r="L3734" s="15" t="s">
        <v>19099</v>
      </c>
    </row>
    <row r="3735" spans="1:12" x14ac:dyDescent="0.25">
      <c r="A3735" s="2" t="s">
        <v>11112</v>
      </c>
      <c r="B3735" s="8" t="s">
        <v>18515</v>
      </c>
      <c r="C3735" s="2" t="s">
        <v>11112</v>
      </c>
      <c r="D3735" s="2" t="s">
        <v>11113</v>
      </c>
      <c r="E3735" s="4" t="s">
        <v>11113</v>
      </c>
      <c r="G3735" s="15" t="s">
        <v>31896</v>
      </c>
      <c r="H3735" s="15" t="s">
        <v>31897</v>
      </c>
      <c r="I3735" s="15" t="s">
        <v>31898</v>
      </c>
      <c r="J3735" s="15" t="s">
        <v>31899</v>
      </c>
      <c r="K3735" s="15">
        <v>11057771</v>
      </c>
      <c r="L3735" s="15" t="s">
        <v>19099</v>
      </c>
    </row>
    <row r="3736" spans="1:12" x14ac:dyDescent="0.25">
      <c r="A3736" s="2" t="s">
        <v>11115</v>
      </c>
      <c r="B3736" s="8" t="s">
        <v>18516</v>
      </c>
      <c r="C3736" s="2" t="s">
        <v>11115</v>
      </c>
      <c r="D3736" s="2" t="s">
        <v>11116</v>
      </c>
      <c r="E3736" s="4" t="s">
        <v>11116</v>
      </c>
      <c r="G3736" s="15" t="s">
        <v>31900</v>
      </c>
      <c r="H3736" s="15" t="s">
        <v>31901</v>
      </c>
      <c r="I3736" s="15" t="s">
        <v>31902</v>
      </c>
      <c r="J3736" s="15" t="s">
        <v>31903</v>
      </c>
      <c r="K3736" s="15">
        <v>62020</v>
      </c>
      <c r="L3736" s="15" t="s">
        <v>19099</v>
      </c>
    </row>
    <row r="3737" spans="1:12" x14ac:dyDescent="0.25">
      <c r="A3737" s="2" t="s">
        <v>11118</v>
      </c>
      <c r="B3737" s="8" t="s">
        <v>18517</v>
      </c>
      <c r="C3737" s="2" t="s">
        <v>11118</v>
      </c>
      <c r="D3737" s="2" t="s">
        <v>11119</v>
      </c>
      <c r="E3737" s="4" t="s">
        <v>11119</v>
      </c>
      <c r="G3737" s="15" t="s">
        <v>31904</v>
      </c>
      <c r="H3737" s="15" t="s">
        <v>31905</v>
      </c>
      <c r="I3737" s="15" t="s">
        <v>31906</v>
      </c>
      <c r="J3737" s="15" t="s">
        <v>31907</v>
      </c>
      <c r="K3737" s="15">
        <v>91751</v>
      </c>
      <c r="L3737" s="15" t="s">
        <v>19099</v>
      </c>
    </row>
    <row r="3738" spans="1:12" x14ac:dyDescent="0.25">
      <c r="A3738" s="2" t="s">
        <v>11121</v>
      </c>
      <c r="B3738" s="8" t="s">
        <v>18518</v>
      </c>
      <c r="C3738" s="2" t="s">
        <v>11121</v>
      </c>
      <c r="D3738" s="2" t="s">
        <v>11122</v>
      </c>
      <c r="E3738" s="4" t="s">
        <v>31908</v>
      </c>
      <c r="G3738" s="15" t="s">
        <v>31909</v>
      </c>
      <c r="H3738" s="15" t="s">
        <v>31910</v>
      </c>
      <c r="I3738" s="15" t="s">
        <v>31911</v>
      </c>
      <c r="J3738" s="15" t="s">
        <v>31912</v>
      </c>
      <c r="K3738" s="15">
        <v>16774</v>
      </c>
      <c r="L3738" s="15" t="s">
        <v>19099</v>
      </c>
    </row>
    <row r="3739" spans="1:12" x14ac:dyDescent="0.25">
      <c r="A3739" s="2" t="s">
        <v>11124</v>
      </c>
      <c r="B3739" s="8" t="s">
        <v>18519</v>
      </c>
      <c r="C3739" s="2" t="s">
        <v>11124</v>
      </c>
      <c r="D3739" s="2" t="s">
        <v>11125</v>
      </c>
      <c r="E3739" s="4" t="s">
        <v>11125</v>
      </c>
      <c r="G3739" s="15" t="s">
        <v>31913</v>
      </c>
      <c r="H3739" s="15" t="s">
        <v>31914</v>
      </c>
      <c r="I3739" s="15" t="s">
        <v>31915</v>
      </c>
      <c r="J3739" s="15" t="s">
        <v>31916</v>
      </c>
      <c r="K3739" s="15">
        <v>29697</v>
      </c>
      <c r="L3739" s="15" t="s">
        <v>19099</v>
      </c>
    </row>
    <row r="3740" spans="1:12" x14ac:dyDescent="0.25">
      <c r="A3740" s="2" t="s">
        <v>11127</v>
      </c>
      <c r="B3740" s="8" t="s">
        <v>18520</v>
      </c>
      <c r="C3740" s="2" t="s">
        <v>11127</v>
      </c>
      <c r="D3740" s="2" t="s">
        <v>11128</v>
      </c>
      <c r="E3740" s="4" t="s">
        <v>31917</v>
      </c>
      <c r="G3740" s="15" t="s">
        <v>31918</v>
      </c>
      <c r="H3740" s="15" t="s">
        <v>31919</v>
      </c>
      <c r="I3740" s="15" t="s">
        <v>31920</v>
      </c>
      <c r="J3740" s="15" t="s">
        <v>31921</v>
      </c>
      <c r="K3740" s="15">
        <v>119361</v>
      </c>
      <c r="L3740" s="15" t="s">
        <v>19099</v>
      </c>
    </row>
    <row r="3741" spans="1:12" x14ac:dyDescent="0.25">
      <c r="A3741" s="2" t="s">
        <v>11130</v>
      </c>
      <c r="B3741" s="8" t="s">
        <v>18521</v>
      </c>
      <c r="C3741" s="2" t="s">
        <v>11130</v>
      </c>
      <c r="D3741" s="2" t="s">
        <v>11131</v>
      </c>
      <c r="E3741" s="4" t="s">
        <v>31922</v>
      </c>
      <c r="G3741" s="15" t="s">
        <v>31923</v>
      </c>
      <c r="H3741" s="15" t="s">
        <v>31924</v>
      </c>
      <c r="I3741" s="15" t="s">
        <v>31925</v>
      </c>
      <c r="J3741" s="15" t="s">
        <v>31926</v>
      </c>
      <c r="K3741" s="15">
        <v>6451142</v>
      </c>
      <c r="L3741" s="15" t="s">
        <v>19099</v>
      </c>
    </row>
    <row r="3742" spans="1:12" x14ac:dyDescent="0.25">
      <c r="A3742" s="2" t="s">
        <v>11133</v>
      </c>
      <c r="B3742" s="8" t="s">
        <v>18522</v>
      </c>
      <c r="C3742" s="2" t="s">
        <v>11133</v>
      </c>
      <c r="D3742" s="2" t="s">
        <v>11134</v>
      </c>
      <c r="E3742" s="4" t="s">
        <v>11134</v>
      </c>
      <c r="G3742" s="15" t="s">
        <v>31927</v>
      </c>
      <c r="H3742" s="15" t="s">
        <v>31928</v>
      </c>
      <c r="I3742" s="15" t="s">
        <v>31929</v>
      </c>
      <c r="J3742" s="15" t="s">
        <v>31930</v>
      </c>
      <c r="K3742" s="15">
        <v>36870</v>
      </c>
      <c r="L3742" s="15" t="s">
        <v>19099</v>
      </c>
    </row>
    <row r="3743" spans="1:12" x14ac:dyDescent="0.25">
      <c r="A3743" s="2" t="s">
        <v>11136</v>
      </c>
      <c r="B3743" s="8" t="s">
        <v>18523</v>
      </c>
      <c r="C3743" s="2" t="s">
        <v>11136</v>
      </c>
      <c r="D3743" s="2" t="s">
        <v>11137</v>
      </c>
      <c r="E3743" s="4" t="s">
        <v>31931</v>
      </c>
      <c r="G3743" s="15" t="s">
        <v>31932</v>
      </c>
      <c r="H3743" s="15" t="s">
        <v>31933</v>
      </c>
      <c r="I3743" s="15" t="s">
        <v>31934</v>
      </c>
      <c r="J3743" s="15" t="s">
        <v>31935</v>
      </c>
      <c r="K3743" s="15">
        <v>7390</v>
      </c>
      <c r="L3743" s="15" t="s">
        <v>19099</v>
      </c>
    </row>
    <row r="3744" spans="1:12" x14ac:dyDescent="0.25">
      <c r="A3744" s="2" t="s">
        <v>11139</v>
      </c>
      <c r="B3744" s="8" t="s">
        <v>18524</v>
      </c>
      <c r="C3744" s="2" t="s">
        <v>11139</v>
      </c>
      <c r="D3744" s="2" t="s">
        <v>11140</v>
      </c>
      <c r="E3744" s="4" t="s">
        <v>31936</v>
      </c>
      <c r="G3744" s="15" t="s">
        <v>31937</v>
      </c>
      <c r="H3744" s="15" t="s">
        <v>31938</v>
      </c>
      <c r="I3744" s="15" t="s">
        <v>31939</v>
      </c>
      <c r="J3744" s="15" t="s">
        <v>31940</v>
      </c>
      <c r="K3744" s="15">
        <v>6643</v>
      </c>
      <c r="L3744" s="15" t="s">
        <v>19099</v>
      </c>
    </row>
    <row r="3745" spans="1:12" x14ac:dyDescent="0.25">
      <c r="A3745" s="2" t="s">
        <v>11142</v>
      </c>
      <c r="B3745" s="8" t="s">
        <v>18525</v>
      </c>
      <c r="C3745" s="2" t="s">
        <v>11142</v>
      </c>
      <c r="D3745" s="2" t="s">
        <v>11143</v>
      </c>
      <c r="E3745" s="4" t="s">
        <v>11143</v>
      </c>
      <c r="G3745" s="15" t="s">
        <v>31941</v>
      </c>
      <c r="H3745" s="15" t="s">
        <v>31942</v>
      </c>
      <c r="I3745" s="15" t="s">
        <v>31943</v>
      </c>
      <c r="J3745" s="15" t="s">
        <v>31944</v>
      </c>
      <c r="K3745" s="15">
        <v>9576037</v>
      </c>
      <c r="L3745" s="15" t="s">
        <v>19099</v>
      </c>
    </row>
    <row r="3746" spans="1:12" x14ac:dyDescent="0.25">
      <c r="A3746" s="2" t="s">
        <v>11145</v>
      </c>
      <c r="B3746" s="8" t="s">
        <v>18526</v>
      </c>
      <c r="C3746" s="2" t="s">
        <v>11145</v>
      </c>
      <c r="D3746" s="2" t="s">
        <v>11146</v>
      </c>
      <c r="E3746" s="4" t="s">
        <v>31945</v>
      </c>
      <c r="G3746" s="15" t="s">
        <v>31946</v>
      </c>
      <c r="H3746" s="15" t="s">
        <v>31947</v>
      </c>
      <c r="I3746" s="15" t="s">
        <v>31948</v>
      </c>
      <c r="J3746" s="15" t="s">
        <v>31949</v>
      </c>
      <c r="K3746" s="15">
        <v>26033</v>
      </c>
      <c r="L3746" s="15" t="s">
        <v>19099</v>
      </c>
    </row>
    <row r="3747" spans="1:12" x14ac:dyDescent="0.25">
      <c r="A3747" s="2" t="s">
        <v>11148</v>
      </c>
      <c r="B3747" s="8" t="s">
        <v>18527</v>
      </c>
      <c r="C3747" s="2" t="s">
        <v>11148</v>
      </c>
      <c r="D3747" s="2" t="s">
        <v>11149</v>
      </c>
      <c r="E3747" s="4" t="s">
        <v>11149</v>
      </c>
      <c r="G3747" s="15" t="s">
        <v>31950</v>
      </c>
      <c r="H3747" s="15" t="s">
        <v>31951</v>
      </c>
      <c r="I3747" s="15" t="s">
        <v>31952</v>
      </c>
      <c r="J3747" s="15" t="s">
        <v>31953</v>
      </c>
      <c r="K3747" s="15">
        <v>93486</v>
      </c>
      <c r="L3747" s="15" t="s">
        <v>19099</v>
      </c>
    </row>
    <row r="3748" spans="1:12" x14ac:dyDescent="0.25">
      <c r="A3748" s="2" t="s">
        <v>11151</v>
      </c>
      <c r="B3748" s="8" t="s">
        <v>18528</v>
      </c>
      <c r="C3748" s="2" t="s">
        <v>11151</v>
      </c>
      <c r="D3748" s="2" t="s">
        <v>11152</v>
      </c>
      <c r="E3748" s="4" t="s">
        <v>11152</v>
      </c>
      <c r="G3748" s="15" t="s">
        <v>31954</v>
      </c>
      <c r="H3748" s="15" t="s">
        <v>31955</v>
      </c>
      <c r="I3748" s="15" t="s">
        <v>31956</v>
      </c>
      <c r="J3748" s="15" t="s">
        <v>31957</v>
      </c>
      <c r="K3748" s="15">
        <v>32597</v>
      </c>
      <c r="L3748" s="15" t="s">
        <v>19099</v>
      </c>
    </row>
    <row r="3749" spans="1:12" x14ac:dyDescent="0.25">
      <c r="A3749" s="2" t="s">
        <v>11154</v>
      </c>
      <c r="B3749" s="8" t="s">
        <v>18529</v>
      </c>
      <c r="C3749" s="2" t="s">
        <v>11154</v>
      </c>
      <c r="D3749" s="2" t="s">
        <v>11155</v>
      </c>
      <c r="E3749" s="4" t="s">
        <v>11155</v>
      </c>
      <c r="G3749" s="15" t="s">
        <v>31958</v>
      </c>
      <c r="H3749" s="15" t="s">
        <v>31959</v>
      </c>
      <c r="I3749" s="15" t="s">
        <v>31960</v>
      </c>
      <c r="J3749" s="15" t="s">
        <v>31961</v>
      </c>
      <c r="K3749" s="15">
        <v>93460</v>
      </c>
      <c r="L3749" s="15" t="s">
        <v>19099</v>
      </c>
    </row>
    <row r="3750" spans="1:12" x14ac:dyDescent="0.25">
      <c r="A3750" s="2" t="s">
        <v>11157</v>
      </c>
      <c r="B3750" s="8" t="s">
        <v>18530</v>
      </c>
      <c r="C3750" s="2" t="s">
        <v>11157</v>
      </c>
      <c r="D3750" s="2" t="s">
        <v>11158</v>
      </c>
      <c r="E3750" s="4" t="s">
        <v>11158</v>
      </c>
      <c r="G3750" s="15" t="s">
        <v>31962</v>
      </c>
      <c r="H3750" s="15" t="s">
        <v>31963</v>
      </c>
      <c r="I3750" s="15" t="s">
        <v>31964</v>
      </c>
      <c r="J3750" s="15" t="s">
        <v>31965</v>
      </c>
      <c r="K3750" s="15">
        <v>6422843</v>
      </c>
      <c r="L3750" s="15" t="s">
        <v>19099</v>
      </c>
    </row>
    <row r="3751" spans="1:12" x14ac:dyDescent="0.25">
      <c r="A3751" s="2" t="s">
        <v>11160</v>
      </c>
      <c r="B3751" s="8" t="s">
        <v>18531</v>
      </c>
      <c r="C3751" s="2" t="s">
        <v>11160</v>
      </c>
      <c r="D3751" s="2" t="s">
        <v>11161</v>
      </c>
      <c r="E3751" s="4" t="s">
        <v>11161</v>
      </c>
      <c r="G3751" s="15" t="s">
        <v>31966</v>
      </c>
      <c r="H3751" s="15" t="s">
        <v>31967</v>
      </c>
      <c r="I3751" s="15" t="s">
        <v>31968</v>
      </c>
      <c r="J3751" s="15" t="s">
        <v>31969</v>
      </c>
      <c r="K3751" s="15">
        <v>91754</v>
      </c>
      <c r="L3751" s="15" t="s">
        <v>19099</v>
      </c>
    </row>
    <row r="3752" spans="1:12" x14ac:dyDescent="0.25">
      <c r="A3752" s="2" t="s">
        <v>11163</v>
      </c>
      <c r="B3752" s="8" t="s">
        <v>18532</v>
      </c>
      <c r="C3752" s="2" t="s">
        <v>11163</v>
      </c>
      <c r="D3752" s="2" t="s">
        <v>11164</v>
      </c>
      <c r="E3752" s="4" t="s">
        <v>11164</v>
      </c>
      <c r="G3752" s="15" t="s">
        <v>31970</v>
      </c>
      <c r="H3752" s="15" t="s">
        <v>31971</v>
      </c>
      <c r="I3752" s="15" t="s">
        <v>31972</v>
      </c>
      <c r="J3752" s="15" t="s">
        <v>31973</v>
      </c>
      <c r="K3752" s="15">
        <v>92316</v>
      </c>
      <c r="L3752" s="15" t="s">
        <v>19099</v>
      </c>
    </row>
    <row r="3753" spans="1:12" x14ac:dyDescent="0.25">
      <c r="A3753" s="2" t="s">
        <v>11166</v>
      </c>
      <c r="B3753" s="8" t="s">
        <v>18533</v>
      </c>
      <c r="C3753" s="2" t="s">
        <v>11166</v>
      </c>
      <c r="D3753" s="2" t="s">
        <v>11167</v>
      </c>
      <c r="E3753" s="4" t="s">
        <v>11167</v>
      </c>
      <c r="G3753" s="15" t="s">
        <v>31974</v>
      </c>
      <c r="H3753" s="15" t="s">
        <v>31975</v>
      </c>
      <c r="I3753" s="15" t="s">
        <v>31976</v>
      </c>
      <c r="J3753" s="15" t="s">
        <v>31977</v>
      </c>
      <c r="K3753" s="15">
        <v>8381</v>
      </c>
      <c r="L3753" s="15" t="s">
        <v>19099</v>
      </c>
    </row>
    <row r="3754" spans="1:12" x14ac:dyDescent="0.25">
      <c r="A3754" s="2" t="s">
        <v>11169</v>
      </c>
      <c r="B3754" s="8" t="s">
        <v>18534</v>
      </c>
      <c r="C3754" s="2" t="s">
        <v>11169</v>
      </c>
      <c r="D3754" s="2" t="s">
        <v>11170</v>
      </c>
      <c r="E3754" s="4" t="s">
        <v>11170</v>
      </c>
      <c r="G3754" s="15" t="s">
        <v>31978</v>
      </c>
      <c r="H3754" s="15" t="s">
        <v>31979</v>
      </c>
      <c r="I3754" s="15" t="s">
        <v>31980</v>
      </c>
      <c r="J3754" s="15" t="s">
        <v>31981</v>
      </c>
      <c r="K3754" s="15">
        <v>11488729</v>
      </c>
      <c r="L3754" s="15" t="s">
        <v>19099</v>
      </c>
    </row>
    <row r="3755" spans="1:12" x14ac:dyDescent="0.25">
      <c r="A3755" s="2" t="s">
        <v>11172</v>
      </c>
      <c r="B3755" s="8" t="s">
        <v>18535</v>
      </c>
      <c r="C3755" s="2" t="s">
        <v>11172</v>
      </c>
      <c r="D3755" s="2" t="s">
        <v>11173</v>
      </c>
      <c r="E3755" s="4" t="s">
        <v>11173</v>
      </c>
      <c r="G3755" s="15" t="s">
        <v>11173</v>
      </c>
      <c r="H3755" s="15" t="s">
        <v>31982</v>
      </c>
      <c r="I3755" s="15" t="s">
        <v>31983</v>
      </c>
      <c r="J3755" s="15" t="s">
        <v>31984</v>
      </c>
      <c r="K3755" s="15">
        <v>1049</v>
      </c>
      <c r="L3755" s="15" t="s">
        <v>19099</v>
      </c>
    </row>
    <row r="3756" spans="1:12" x14ac:dyDescent="0.25">
      <c r="A3756" s="2" t="s">
        <v>11175</v>
      </c>
      <c r="B3756" s="8" t="s">
        <v>18536</v>
      </c>
      <c r="C3756" s="2" t="s">
        <v>11175</v>
      </c>
      <c r="D3756" s="2" t="s">
        <v>11176</v>
      </c>
      <c r="E3756" s="4" t="s">
        <v>31985</v>
      </c>
      <c r="G3756" s="15" t="s">
        <v>31986</v>
      </c>
      <c r="H3756" s="15" t="s">
        <v>31987</v>
      </c>
      <c r="I3756" s="15" t="s">
        <v>31988</v>
      </c>
      <c r="J3756" s="15" t="s">
        <v>31989</v>
      </c>
      <c r="K3756" s="15">
        <v>41463</v>
      </c>
      <c r="L3756" s="15" t="s">
        <v>19099</v>
      </c>
    </row>
    <row r="3757" spans="1:12" x14ac:dyDescent="0.25">
      <c r="A3757" s="2" t="s">
        <v>11178</v>
      </c>
      <c r="B3757" s="8" t="s">
        <v>18537</v>
      </c>
      <c r="C3757" s="2" t="s">
        <v>11178</v>
      </c>
      <c r="D3757" s="2" t="s">
        <v>11179</v>
      </c>
      <c r="E3757" s="4" t="s">
        <v>11179</v>
      </c>
      <c r="G3757" s="15" t="s">
        <v>31990</v>
      </c>
      <c r="H3757" s="15" t="s">
        <v>31991</v>
      </c>
      <c r="I3757" s="15" t="s">
        <v>31992</v>
      </c>
      <c r="J3757" s="15" t="s">
        <v>31993</v>
      </c>
      <c r="K3757" s="15">
        <v>15672202</v>
      </c>
      <c r="L3757" s="15" t="s">
        <v>19099</v>
      </c>
    </row>
    <row r="3758" spans="1:12" x14ac:dyDescent="0.25">
      <c r="A3758" s="2" t="s">
        <v>11181</v>
      </c>
      <c r="B3758" s="8" t="s">
        <v>18538</v>
      </c>
      <c r="C3758" s="2" t="s">
        <v>11181</v>
      </c>
      <c r="D3758" s="2" t="s">
        <v>11182</v>
      </c>
      <c r="E3758" s="4" t="s">
        <v>11182</v>
      </c>
      <c r="G3758" s="15" t="s">
        <v>31994</v>
      </c>
      <c r="H3758" s="15" t="s">
        <v>31995</v>
      </c>
      <c r="I3758" s="15" t="s">
        <v>31996</v>
      </c>
      <c r="J3758" s="15" t="s">
        <v>31997</v>
      </c>
      <c r="K3758" s="15">
        <v>182951</v>
      </c>
      <c r="L3758" s="15" t="s">
        <v>19099</v>
      </c>
    </row>
    <row r="3759" spans="1:12" x14ac:dyDescent="0.25">
      <c r="A3759" s="2" t="s">
        <v>11184</v>
      </c>
      <c r="B3759" s="8" t="s">
        <v>18539</v>
      </c>
      <c r="C3759" s="2" t="s">
        <v>11184</v>
      </c>
      <c r="D3759" s="2" t="s">
        <v>11185</v>
      </c>
      <c r="E3759" s="4" t="s">
        <v>11185</v>
      </c>
      <c r="G3759" s="15" t="s">
        <v>31998</v>
      </c>
      <c r="H3759" s="15" t="s">
        <v>31999</v>
      </c>
      <c r="I3759" s="15" t="s">
        <v>32000</v>
      </c>
      <c r="J3759" s="15" t="s">
        <v>29093</v>
      </c>
      <c r="K3759" s="15">
        <v>55790</v>
      </c>
      <c r="L3759" s="15" t="s">
        <v>19099</v>
      </c>
    </row>
    <row r="3760" spans="1:12" x14ac:dyDescent="0.25">
      <c r="A3760" s="2" t="s">
        <v>11187</v>
      </c>
      <c r="B3760" s="8" t="s">
        <v>18540</v>
      </c>
      <c r="C3760" s="2" t="s">
        <v>11187</v>
      </c>
      <c r="D3760" s="2" t="s">
        <v>11188</v>
      </c>
      <c r="E3760" s="4" t="s">
        <v>32001</v>
      </c>
      <c r="G3760" s="15" t="s">
        <v>32002</v>
      </c>
      <c r="H3760" s="15" t="s">
        <v>32003</v>
      </c>
      <c r="I3760" s="15" t="s">
        <v>32004</v>
      </c>
      <c r="J3760" s="15" t="s">
        <v>32005</v>
      </c>
      <c r="K3760" s="15">
        <v>11693</v>
      </c>
      <c r="L3760" s="15" t="s">
        <v>19099</v>
      </c>
    </row>
    <row r="3761" spans="1:12" x14ac:dyDescent="0.25">
      <c r="A3761" s="2" t="s">
        <v>11190</v>
      </c>
      <c r="B3761" s="8" t="s">
        <v>18541</v>
      </c>
      <c r="C3761" s="2" t="s">
        <v>11190</v>
      </c>
      <c r="D3761" s="2" t="s">
        <v>11191</v>
      </c>
      <c r="E3761" s="4" t="s">
        <v>32006</v>
      </c>
      <c r="G3761" s="15" t="s">
        <v>32007</v>
      </c>
      <c r="H3761" s="15" t="s">
        <v>32008</v>
      </c>
      <c r="I3761" s="15" t="s">
        <v>32009</v>
      </c>
      <c r="J3761" s="15" t="s">
        <v>32010</v>
      </c>
      <c r="K3761" s="15">
        <v>6451139</v>
      </c>
      <c r="L3761" s="15" t="s">
        <v>19099</v>
      </c>
    </row>
    <row r="3762" spans="1:12" x14ac:dyDescent="0.25">
      <c r="A3762" s="2" t="s">
        <v>11193</v>
      </c>
      <c r="B3762" s="8" t="s">
        <v>18542</v>
      </c>
      <c r="C3762" s="2" t="s">
        <v>11193</v>
      </c>
      <c r="D3762" s="2" t="s">
        <v>11194</v>
      </c>
      <c r="E3762" s="4" t="s">
        <v>11194</v>
      </c>
      <c r="G3762" s="15" t="s">
        <v>32011</v>
      </c>
      <c r="H3762" s="15" t="s">
        <v>32012</v>
      </c>
      <c r="I3762" s="15" t="s">
        <v>32013</v>
      </c>
      <c r="J3762" s="15" t="s">
        <v>32014</v>
      </c>
      <c r="K3762" s="15">
        <v>91650</v>
      </c>
      <c r="L3762" s="15" t="s">
        <v>19099</v>
      </c>
    </row>
    <row r="3763" spans="1:12" x14ac:dyDescent="0.25">
      <c r="A3763" s="2" t="s">
        <v>11196</v>
      </c>
      <c r="B3763" s="8" t="s">
        <v>18543</v>
      </c>
      <c r="C3763" s="2" t="s">
        <v>11196</v>
      </c>
      <c r="D3763" s="2" t="s">
        <v>11197</v>
      </c>
      <c r="E3763" s="4" t="s">
        <v>32015</v>
      </c>
      <c r="G3763" s="15" t="s">
        <v>32016</v>
      </c>
      <c r="H3763" s="15" t="s">
        <v>32017</v>
      </c>
      <c r="I3763" s="15" t="s">
        <v>32018</v>
      </c>
      <c r="J3763" s="15" t="s">
        <v>32019</v>
      </c>
      <c r="K3763" s="15">
        <v>23082663</v>
      </c>
      <c r="L3763" s="15" t="s">
        <v>19099</v>
      </c>
    </row>
    <row r="3764" spans="1:12" x14ac:dyDescent="0.25">
      <c r="A3764" s="2" t="s">
        <v>11199</v>
      </c>
      <c r="B3764" s="8" t="s">
        <v>18544</v>
      </c>
      <c r="C3764" s="2" t="s">
        <v>11199</v>
      </c>
      <c r="D3764" s="2" t="s">
        <v>11200</v>
      </c>
      <c r="E3764" s="4" t="s">
        <v>11200</v>
      </c>
      <c r="G3764" s="15" t="s">
        <v>32020</v>
      </c>
      <c r="H3764" s="15" t="s">
        <v>32021</v>
      </c>
      <c r="I3764" s="15" t="s">
        <v>32022</v>
      </c>
      <c r="J3764" s="15" t="s">
        <v>32023</v>
      </c>
      <c r="K3764" s="15">
        <v>91753</v>
      </c>
      <c r="L3764" s="15" t="s">
        <v>19099</v>
      </c>
    </row>
    <row r="3765" spans="1:12" x14ac:dyDescent="0.25">
      <c r="A3765" s="2" t="s">
        <v>11202</v>
      </c>
      <c r="B3765" s="8" t="s">
        <v>18545</v>
      </c>
      <c r="C3765" s="2" t="s">
        <v>11202</v>
      </c>
      <c r="D3765" s="2" t="s">
        <v>11203</v>
      </c>
      <c r="E3765" s="4" t="s">
        <v>11203</v>
      </c>
      <c r="G3765" s="15" t="s">
        <v>32024</v>
      </c>
      <c r="H3765" s="15" t="s">
        <v>32025</v>
      </c>
      <c r="I3765" s="15" t="s">
        <v>32026</v>
      </c>
      <c r="J3765" s="15" t="s">
        <v>32027</v>
      </c>
      <c r="K3765" s="15">
        <v>91665</v>
      </c>
      <c r="L3765" s="15" t="s">
        <v>19099</v>
      </c>
    </row>
    <row r="3766" spans="1:12" x14ac:dyDescent="0.25">
      <c r="A3766" s="2" t="s">
        <v>11205</v>
      </c>
      <c r="B3766" s="8" t="s">
        <v>18546</v>
      </c>
      <c r="C3766" s="2" t="s">
        <v>11205</v>
      </c>
      <c r="D3766" s="2" t="s">
        <v>11206</v>
      </c>
      <c r="E3766" s="4" t="s">
        <v>11206</v>
      </c>
      <c r="G3766" s="15" t="s">
        <v>32028</v>
      </c>
      <c r="H3766" s="15" t="s">
        <v>32029</v>
      </c>
      <c r="I3766" s="15" t="s">
        <v>32030</v>
      </c>
      <c r="J3766" s="15" t="s">
        <v>32031</v>
      </c>
      <c r="K3766" s="15">
        <v>11571555</v>
      </c>
      <c r="L3766" s="15" t="s">
        <v>19099</v>
      </c>
    </row>
    <row r="3767" spans="1:12" x14ac:dyDescent="0.25">
      <c r="A3767" s="2" t="s">
        <v>11208</v>
      </c>
      <c r="B3767" s="8" t="s">
        <v>18547</v>
      </c>
      <c r="C3767" s="2" t="s">
        <v>11208</v>
      </c>
      <c r="D3767" s="2" t="s">
        <v>11209</v>
      </c>
      <c r="E3767" s="4" t="s">
        <v>32032</v>
      </c>
      <c r="G3767" s="15" t="s">
        <v>32033</v>
      </c>
      <c r="H3767" s="15" t="s">
        <v>32034</v>
      </c>
      <c r="I3767" s="15" t="s">
        <v>32035</v>
      </c>
      <c r="J3767" s="15" t="s">
        <v>32036</v>
      </c>
      <c r="K3767" s="15">
        <v>5281045</v>
      </c>
      <c r="L3767" s="15" t="s">
        <v>19099</v>
      </c>
    </row>
    <row r="3768" spans="1:12" x14ac:dyDescent="0.25">
      <c r="A3768" s="2" t="s">
        <v>11211</v>
      </c>
      <c r="B3768" s="8" t="s">
        <v>18548</v>
      </c>
      <c r="C3768" s="2" t="s">
        <v>11211</v>
      </c>
      <c r="D3768" s="2" t="s">
        <v>11212</v>
      </c>
      <c r="E3768" s="4" t="s">
        <v>11212</v>
      </c>
      <c r="G3768" s="15" t="s">
        <v>32037</v>
      </c>
      <c r="H3768" s="15" t="s">
        <v>32038</v>
      </c>
      <c r="I3768" s="15" t="s">
        <v>32039</v>
      </c>
      <c r="J3768" s="15" t="s">
        <v>32040</v>
      </c>
      <c r="K3768" s="15">
        <v>5281555</v>
      </c>
      <c r="L3768" s="15" t="s">
        <v>19099</v>
      </c>
    </row>
    <row r="3769" spans="1:12" x14ac:dyDescent="0.25">
      <c r="A3769" s="2" t="s">
        <v>11214</v>
      </c>
      <c r="B3769" s="8" t="s">
        <v>18549</v>
      </c>
      <c r="C3769" s="2" t="s">
        <v>11214</v>
      </c>
      <c r="D3769" s="2" t="s">
        <v>11215</v>
      </c>
      <c r="E3769" s="4" t="s">
        <v>32041</v>
      </c>
      <c r="G3769" s="15" t="s">
        <v>32042</v>
      </c>
      <c r="H3769" s="15" t="s">
        <v>32043</v>
      </c>
      <c r="I3769" s="15" t="s">
        <v>32044</v>
      </c>
      <c r="J3769" s="15" t="s">
        <v>32045</v>
      </c>
      <c r="K3769" s="15">
        <v>71310221</v>
      </c>
      <c r="L3769" s="15" t="s">
        <v>19099</v>
      </c>
    </row>
    <row r="3770" spans="1:12" x14ac:dyDescent="0.25">
      <c r="A3770" s="2" t="s">
        <v>11217</v>
      </c>
      <c r="B3770" s="8" t="s">
        <v>18550</v>
      </c>
      <c r="C3770" s="2" t="s">
        <v>11217</v>
      </c>
      <c r="D3770" s="2" t="s">
        <v>11218</v>
      </c>
      <c r="E3770" s="4" t="s">
        <v>32046</v>
      </c>
      <c r="G3770" s="15" t="s">
        <v>32047</v>
      </c>
      <c r="H3770" s="15" t="s">
        <v>32048</v>
      </c>
      <c r="I3770" s="15" t="s">
        <v>32049</v>
      </c>
      <c r="J3770" s="15" t="s">
        <v>32050</v>
      </c>
      <c r="K3770" s="15">
        <v>1048</v>
      </c>
      <c r="L3770" s="15" t="s">
        <v>19099</v>
      </c>
    </row>
    <row r="3771" spans="1:12" x14ac:dyDescent="0.25">
      <c r="A3771" s="2" t="s">
        <v>11220</v>
      </c>
      <c r="B3771" s="8" t="s">
        <v>18551</v>
      </c>
      <c r="C3771" s="2" t="s">
        <v>11220</v>
      </c>
      <c r="D3771" s="2" t="s">
        <v>11221</v>
      </c>
      <c r="E3771" s="4" t="s">
        <v>11221</v>
      </c>
      <c r="G3771" s="15" t="s">
        <v>32051</v>
      </c>
      <c r="H3771" s="15" t="s">
        <v>32052</v>
      </c>
      <c r="I3771" s="15" t="s">
        <v>32053</v>
      </c>
      <c r="J3771" s="15" t="s">
        <v>32054</v>
      </c>
      <c r="K3771" s="15">
        <v>5002</v>
      </c>
      <c r="L3771" s="15" t="s">
        <v>19099</v>
      </c>
    </row>
    <row r="3772" spans="1:12" x14ac:dyDescent="0.25">
      <c r="A3772" s="2" t="s">
        <v>11223</v>
      </c>
      <c r="B3772" s="8" t="s">
        <v>18552</v>
      </c>
      <c r="C3772" s="2" t="s">
        <v>11223</v>
      </c>
      <c r="D3772" s="2" t="s">
        <v>11224</v>
      </c>
      <c r="E3772" s="4" t="s">
        <v>11224</v>
      </c>
      <c r="G3772" s="15" t="s">
        <v>32055</v>
      </c>
      <c r="H3772" s="15" t="s">
        <v>32056</v>
      </c>
      <c r="I3772" s="15" t="s">
        <v>32057</v>
      </c>
      <c r="J3772" s="15" t="s">
        <v>32058</v>
      </c>
      <c r="K3772" s="15">
        <v>17748</v>
      </c>
      <c r="L3772" s="15" t="s">
        <v>19099</v>
      </c>
    </row>
    <row r="3773" spans="1:12" x14ac:dyDescent="0.25">
      <c r="A3773" s="2" t="s">
        <v>11226</v>
      </c>
      <c r="B3773" s="8" t="s">
        <v>18553</v>
      </c>
      <c r="C3773" s="2" t="s">
        <v>11226</v>
      </c>
      <c r="D3773" s="2" t="s">
        <v>11227</v>
      </c>
      <c r="E3773" s="4" t="s">
        <v>11227</v>
      </c>
      <c r="G3773" s="15" t="s">
        <v>32059</v>
      </c>
      <c r="H3773" s="15" t="s">
        <v>32060</v>
      </c>
      <c r="I3773" s="15" t="s">
        <v>32061</v>
      </c>
      <c r="J3773" s="15" t="s">
        <v>29672</v>
      </c>
      <c r="K3773" s="15">
        <v>26124</v>
      </c>
      <c r="L3773" s="15" t="s">
        <v>19099</v>
      </c>
    </row>
    <row r="3774" spans="1:12" x14ac:dyDescent="0.25">
      <c r="A3774" s="2" t="s">
        <v>11229</v>
      </c>
      <c r="B3774" s="8" t="s">
        <v>18554</v>
      </c>
      <c r="C3774" s="2" t="s">
        <v>11229</v>
      </c>
      <c r="D3774" s="2" t="s">
        <v>11230</v>
      </c>
      <c r="E3774" s="4" t="s">
        <v>11230</v>
      </c>
      <c r="G3774" s="15" t="s">
        <v>11230</v>
      </c>
      <c r="H3774" s="15" t="s">
        <v>32062</v>
      </c>
      <c r="I3774" s="15" t="s">
        <v>32063</v>
      </c>
      <c r="J3774" s="15" t="s">
        <v>30679</v>
      </c>
      <c r="K3774" s="15">
        <v>7047</v>
      </c>
      <c r="L3774" s="15" t="s">
        <v>19099</v>
      </c>
    </row>
    <row r="3775" spans="1:12" x14ac:dyDescent="0.25">
      <c r="A3775" s="2" t="s">
        <v>11232</v>
      </c>
      <c r="B3775" s="8" t="s">
        <v>18555</v>
      </c>
      <c r="C3775" s="2" t="s">
        <v>11232</v>
      </c>
      <c r="D3775" s="2" t="s">
        <v>11233</v>
      </c>
      <c r="E3775" s="4" t="s">
        <v>11233</v>
      </c>
      <c r="G3775" s="15" t="s">
        <v>32064</v>
      </c>
      <c r="H3775" s="15" t="s">
        <v>32065</v>
      </c>
      <c r="I3775" s="15" t="s">
        <v>32066</v>
      </c>
      <c r="J3775" s="15" t="s">
        <v>32067</v>
      </c>
      <c r="K3775" s="15">
        <v>91749</v>
      </c>
      <c r="L3775" s="15" t="s">
        <v>19099</v>
      </c>
    </row>
    <row r="3776" spans="1:12" x14ac:dyDescent="0.25">
      <c r="A3776" s="2" t="s">
        <v>11235</v>
      </c>
      <c r="B3776" s="8" t="s">
        <v>18556</v>
      </c>
      <c r="C3776" s="2" t="s">
        <v>11235</v>
      </c>
      <c r="D3776" s="2" t="s">
        <v>11236</v>
      </c>
      <c r="E3776" s="4" t="s">
        <v>32068</v>
      </c>
      <c r="G3776" s="15" t="s">
        <v>32069</v>
      </c>
      <c r="H3776" s="15" t="s">
        <v>32070</v>
      </c>
      <c r="I3776" s="15" t="s">
        <v>32071</v>
      </c>
      <c r="J3776" s="15" t="s">
        <v>32072</v>
      </c>
      <c r="K3776" s="15">
        <v>17109</v>
      </c>
      <c r="L3776" s="15" t="s">
        <v>19099</v>
      </c>
    </row>
    <row r="3777" spans="1:12" x14ac:dyDescent="0.25">
      <c r="A3777" s="2" t="s">
        <v>11238</v>
      </c>
      <c r="B3777" s="8" t="s">
        <v>18557</v>
      </c>
      <c r="C3777" s="2" t="s">
        <v>11238</v>
      </c>
      <c r="D3777" s="2" t="s">
        <v>11239</v>
      </c>
      <c r="E3777" s="4" t="s">
        <v>32073</v>
      </c>
      <c r="G3777" s="15" t="s">
        <v>32074</v>
      </c>
      <c r="H3777" s="15" t="s">
        <v>32075</v>
      </c>
      <c r="I3777" s="15" t="s">
        <v>32076</v>
      </c>
      <c r="J3777" s="15" t="s">
        <v>32077</v>
      </c>
      <c r="K3777" s="15">
        <v>4650</v>
      </c>
      <c r="L3777" s="15" t="s">
        <v>19099</v>
      </c>
    </row>
    <row r="3778" spans="1:12" x14ac:dyDescent="0.25">
      <c r="A3778" s="2" t="s">
        <v>11241</v>
      </c>
      <c r="B3778" s="8" t="s">
        <v>18558</v>
      </c>
      <c r="C3778" s="2" t="s">
        <v>11241</v>
      </c>
      <c r="D3778" s="2" t="s">
        <v>11242</v>
      </c>
      <c r="E3778" s="4" t="s">
        <v>11242</v>
      </c>
      <c r="G3778" s="15" t="s">
        <v>32078</v>
      </c>
      <c r="H3778" s="15" t="s">
        <v>32079</v>
      </c>
      <c r="I3778" s="15" t="s">
        <v>32080</v>
      </c>
      <c r="J3778" s="15" t="s">
        <v>32081</v>
      </c>
      <c r="K3778" s="15">
        <v>3391107</v>
      </c>
      <c r="L3778" s="15" t="s">
        <v>19099</v>
      </c>
    </row>
    <row r="3779" spans="1:12" x14ac:dyDescent="0.25">
      <c r="A3779" s="2" t="s">
        <v>11244</v>
      </c>
      <c r="B3779" s="8" t="s">
        <v>18559</v>
      </c>
      <c r="C3779" s="2" t="s">
        <v>11244</v>
      </c>
      <c r="D3779" s="2" t="s">
        <v>11245</v>
      </c>
      <c r="E3779" s="4" t="s">
        <v>11245</v>
      </c>
      <c r="G3779" s="15" t="s">
        <v>32082</v>
      </c>
      <c r="H3779" s="15" t="s">
        <v>32083</v>
      </c>
      <c r="I3779" s="15" t="s">
        <v>32084</v>
      </c>
      <c r="J3779" s="15" t="s">
        <v>32085</v>
      </c>
      <c r="K3779" s="15">
        <v>53518</v>
      </c>
      <c r="L3779" s="15" t="s">
        <v>19099</v>
      </c>
    </row>
    <row r="3780" spans="1:12" x14ac:dyDescent="0.25">
      <c r="A3780" s="2" t="s">
        <v>11247</v>
      </c>
      <c r="B3780" s="8" t="s">
        <v>18560</v>
      </c>
      <c r="C3780" s="2" t="s">
        <v>11247</v>
      </c>
      <c r="D3780" s="2" t="s">
        <v>11248</v>
      </c>
      <c r="E3780" s="4" t="s">
        <v>11248</v>
      </c>
      <c r="G3780" s="15" t="s">
        <v>32086</v>
      </c>
      <c r="H3780" s="15" t="s">
        <v>32087</v>
      </c>
      <c r="I3780" s="15" t="s">
        <v>32088</v>
      </c>
      <c r="J3780" s="15" t="s">
        <v>32085</v>
      </c>
      <c r="K3780" s="15">
        <v>1617113</v>
      </c>
      <c r="L3780" s="15" t="s">
        <v>19099</v>
      </c>
    </row>
    <row r="3781" spans="1:12" x14ac:dyDescent="0.25">
      <c r="A3781" s="2" t="s">
        <v>11250</v>
      </c>
      <c r="B3781" s="8" t="s">
        <v>18561</v>
      </c>
      <c r="C3781" s="2" t="s">
        <v>11250</v>
      </c>
      <c r="D3781" s="2" t="s">
        <v>11251</v>
      </c>
      <c r="E3781" s="4" t="s">
        <v>11251</v>
      </c>
      <c r="G3781" s="15" t="s">
        <v>32089</v>
      </c>
      <c r="H3781" s="15" t="s">
        <v>32090</v>
      </c>
      <c r="I3781" s="15" t="s">
        <v>32091</v>
      </c>
      <c r="J3781" s="15" t="s">
        <v>32092</v>
      </c>
      <c r="K3781" s="15">
        <v>178795</v>
      </c>
      <c r="L3781" s="15" t="s">
        <v>19099</v>
      </c>
    </row>
    <row r="3782" spans="1:12" x14ac:dyDescent="0.25">
      <c r="A3782" s="2" t="s">
        <v>11253</v>
      </c>
      <c r="B3782" s="8" t="s">
        <v>18562</v>
      </c>
      <c r="C3782" s="2" t="s">
        <v>11253</v>
      </c>
      <c r="D3782" s="2" t="s">
        <v>11254</v>
      </c>
      <c r="E3782" s="4" t="s">
        <v>11254</v>
      </c>
      <c r="G3782" s="15" t="s">
        <v>32093</v>
      </c>
      <c r="H3782" s="15" t="s">
        <v>32094</v>
      </c>
      <c r="I3782" s="15" t="s">
        <v>32095</v>
      </c>
      <c r="J3782" s="15" t="s">
        <v>27368</v>
      </c>
      <c r="K3782" s="15">
        <v>3001055</v>
      </c>
      <c r="L3782" s="15" t="s">
        <v>19099</v>
      </c>
    </row>
    <row r="3783" spans="1:12" x14ac:dyDescent="0.25">
      <c r="A3783" s="2" t="s">
        <v>11256</v>
      </c>
      <c r="B3783" s="8" t="s">
        <v>18563</v>
      </c>
      <c r="C3783" s="2" t="s">
        <v>11256</v>
      </c>
      <c r="D3783" s="2" t="s">
        <v>11257</v>
      </c>
      <c r="E3783" s="4" t="s">
        <v>11257</v>
      </c>
      <c r="G3783" s="15" t="s">
        <v>32096</v>
      </c>
      <c r="H3783" s="15" t="s">
        <v>32097</v>
      </c>
      <c r="I3783" s="15" t="s">
        <v>32098</v>
      </c>
      <c r="J3783" s="15" t="s">
        <v>32099</v>
      </c>
      <c r="K3783" s="15">
        <v>65981</v>
      </c>
      <c r="L3783" s="15" t="s">
        <v>19099</v>
      </c>
    </row>
    <row r="3784" spans="1:12" x14ac:dyDescent="0.25">
      <c r="A3784" s="2" t="s">
        <v>11259</v>
      </c>
      <c r="B3784" s="8" t="s">
        <v>18564</v>
      </c>
      <c r="C3784" s="2" t="s">
        <v>11259</v>
      </c>
      <c r="D3784" s="2" t="s">
        <v>11260</v>
      </c>
      <c r="E3784" s="4" t="s">
        <v>11260</v>
      </c>
      <c r="G3784" s="15" t="s">
        <v>32100</v>
      </c>
      <c r="H3784" s="15" t="s">
        <v>32101</v>
      </c>
      <c r="I3784" s="15" t="s">
        <v>32102</v>
      </c>
      <c r="J3784" s="15" t="s">
        <v>28362</v>
      </c>
      <c r="K3784" s="15">
        <v>5053</v>
      </c>
      <c r="L3784" s="15" t="s">
        <v>19099</v>
      </c>
    </row>
    <row r="3785" spans="1:12" x14ac:dyDescent="0.25">
      <c r="A3785" s="2" t="s">
        <v>11262</v>
      </c>
      <c r="B3785" s="8" t="s">
        <v>18565</v>
      </c>
      <c r="C3785" s="2" t="s">
        <v>11262</v>
      </c>
      <c r="D3785" s="2" t="s">
        <v>11263</v>
      </c>
      <c r="E3785" s="4" t="s">
        <v>11263</v>
      </c>
      <c r="G3785" s="15" t="s">
        <v>32103</v>
      </c>
      <c r="H3785" s="15" t="s">
        <v>32104</v>
      </c>
      <c r="I3785" s="15" t="s">
        <v>32105</v>
      </c>
      <c r="J3785" s="15" t="s">
        <v>32106</v>
      </c>
      <c r="K3785" s="15">
        <v>1201546</v>
      </c>
      <c r="L3785" s="15" t="s">
        <v>19099</v>
      </c>
    </row>
    <row r="3786" spans="1:12" x14ac:dyDescent="0.25">
      <c r="A3786" s="2" t="s">
        <v>11265</v>
      </c>
      <c r="B3786" s="8" t="s">
        <v>18566</v>
      </c>
      <c r="C3786" s="2" t="s">
        <v>11265</v>
      </c>
      <c r="D3786" s="2" t="s">
        <v>11266</v>
      </c>
      <c r="E3786" s="4" t="s">
        <v>11266</v>
      </c>
      <c r="G3786" s="15" t="s">
        <v>32107</v>
      </c>
      <c r="H3786" s="15" t="s">
        <v>32108</v>
      </c>
      <c r="I3786" s="15" t="s">
        <v>32109</v>
      </c>
      <c r="J3786" s="15" t="s">
        <v>32110</v>
      </c>
      <c r="K3786" s="15">
        <v>91779</v>
      </c>
      <c r="L3786" s="15" t="s">
        <v>19099</v>
      </c>
    </row>
    <row r="3787" spans="1:12" x14ac:dyDescent="0.25">
      <c r="A3787" s="2" t="s">
        <v>11268</v>
      </c>
      <c r="B3787" s="8" t="s">
        <v>18567</v>
      </c>
      <c r="C3787" s="2" t="s">
        <v>11268</v>
      </c>
      <c r="D3787" s="2" t="s">
        <v>11269</v>
      </c>
      <c r="E3787" s="4" t="s">
        <v>11269</v>
      </c>
      <c r="G3787" s="15" t="s">
        <v>32111</v>
      </c>
      <c r="H3787" s="15" t="s">
        <v>32112</v>
      </c>
      <c r="I3787" s="15" t="s">
        <v>32113</v>
      </c>
      <c r="J3787" s="15" t="s">
        <v>32114</v>
      </c>
      <c r="K3787" s="15">
        <v>5073</v>
      </c>
      <c r="L3787" s="15" t="s">
        <v>19099</v>
      </c>
    </row>
    <row r="3788" spans="1:12" x14ac:dyDescent="0.25">
      <c r="A3788" s="2" t="s">
        <v>11271</v>
      </c>
      <c r="B3788" s="8" t="s">
        <v>18568</v>
      </c>
      <c r="C3788" s="2" t="s">
        <v>11271</v>
      </c>
      <c r="D3788" s="2" t="s">
        <v>11272</v>
      </c>
      <c r="E3788" s="4" t="s">
        <v>32115</v>
      </c>
      <c r="G3788" s="15" t="s">
        <v>32116</v>
      </c>
      <c r="H3788" s="15" t="s">
        <v>32117</v>
      </c>
      <c r="I3788" s="15" t="s">
        <v>32118</v>
      </c>
      <c r="J3788" s="15" t="s">
        <v>32119</v>
      </c>
      <c r="K3788" s="15">
        <v>86863</v>
      </c>
      <c r="L3788" s="15" t="s">
        <v>19099</v>
      </c>
    </row>
    <row r="3789" spans="1:12" x14ac:dyDescent="0.25">
      <c r="A3789" s="2" t="s">
        <v>11274</v>
      </c>
      <c r="B3789" s="8" t="s">
        <v>18569</v>
      </c>
      <c r="C3789" s="2" t="s">
        <v>11274</v>
      </c>
      <c r="D3789" s="2" t="s">
        <v>11275</v>
      </c>
      <c r="E3789" s="4" t="s">
        <v>32120</v>
      </c>
      <c r="G3789" s="15" t="s">
        <v>32121</v>
      </c>
      <c r="H3789" s="15" t="s">
        <v>32122</v>
      </c>
      <c r="I3789" s="15" t="s">
        <v>32123</v>
      </c>
      <c r="J3789" s="15" t="s">
        <v>32124</v>
      </c>
      <c r="K3789" s="15">
        <v>5094</v>
      </c>
      <c r="L3789" s="15" t="s">
        <v>19099</v>
      </c>
    </row>
    <row r="3790" spans="1:12" x14ac:dyDescent="0.25">
      <c r="A3790" s="2" t="s">
        <v>11277</v>
      </c>
      <c r="B3790" s="8" t="s">
        <v>18570</v>
      </c>
      <c r="C3790" s="2" t="s">
        <v>11277</v>
      </c>
      <c r="D3790" s="2" t="s">
        <v>11278</v>
      </c>
      <c r="E3790" s="4" t="s">
        <v>32125</v>
      </c>
      <c r="G3790" s="15" t="s">
        <v>32126</v>
      </c>
      <c r="H3790" s="15" t="s">
        <v>32127</v>
      </c>
      <c r="I3790" s="15" t="s">
        <v>32128</v>
      </c>
      <c r="J3790" s="15" t="s">
        <v>32129</v>
      </c>
      <c r="K3790" s="15">
        <v>77999</v>
      </c>
      <c r="L3790" s="15" t="s">
        <v>19099</v>
      </c>
    </row>
    <row r="3791" spans="1:12" x14ac:dyDescent="0.25">
      <c r="A3791" s="2" t="s">
        <v>11280</v>
      </c>
      <c r="B3791" s="8" t="s">
        <v>18571</v>
      </c>
      <c r="C3791" s="2" t="s">
        <v>11280</v>
      </c>
      <c r="D3791" s="2" t="s">
        <v>11281</v>
      </c>
      <c r="E3791" s="4" t="s">
        <v>32130</v>
      </c>
      <c r="G3791" s="15" t="s">
        <v>32131</v>
      </c>
      <c r="H3791" s="15" t="s">
        <v>32132</v>
      </c>
      <c r="I3791" s="15" t="s">
        <v>32133</v>
      </c>
      <c r="J3791" s="15" t="s">
        <v>32134</v>
      </c>
      <c r="K3791" s="15">
        <v>446157</v>
      </c>
      <c r="L3791" s="15" t="s">
        <v>19099</v>
      </c>
    </row>
    <row r="3792" spans="1:12" x14ac:dyDescent="0.25">
      <c r="A3792" s="2" t="s">
        <v>11283</v>
      </c>
      <c r="B3792" s="8" t="s">
        <v>18572</v>
      </c>
      <c r="C3792" s="2" t="s">
        <v>11283</v>
      </c>
      <c r="D3792" s="2" t="s">
        <v>11284</v>
      </c>
      <c r="E3792" s="4" t="s">
        <v>32135</v>
      </c>
      <c r="G3792" s="15" t="s">
        <v>32136</v>
      </c>
      <c r="H3792" s="15" t="s">
        <v>32137</v>
      </c>
      <c r="I3792" s="15" t="s">
        <v>32138</v>
      </c>
      <c r="J3792" s="15" t="s">
        <v>32139</v>
      </c>
      <c r="K3792" s="15">
        <v>6758</v>
      </c>
      <c r="L3792" s="15" t="s">
        <v>19099</v>
      </c>
    </row>
    <row r="3793" spans="1:12" x14ac:dyDescent="0.25">
      <c r="A3793" s="2" t="s">
        <v>11286</v>
      </c>
      <c r="B3793" s="8" t="s">
        <v>18573</v>
      </c>
      <c r="C3793" s="2" t="s">
        <v>11286</v>
      </c>
      <c r="D3793" s="2" t="s">
        <v>11287</v>
      </c>
      <c r="E3793" s="4" t="s">
        <v>32140</v>
      </c>
      <c r="G3793" s="15" t="s">
        <v>32141</v>
      </c>
      <c r="H3793" s="15" t="s">
        <v>32142</v>
      </c>
      <c r="I3793" s="15" t="s">
        <v>32143</v>
      </c>
      <c r="J3793" s="15" t="s">
        <v>32144</v>
      </c>
      <c r="K3793" s="15">
        <v>6915744</v>
      </c>
      <c r="L3793" s="15" t="s">
        <v>19099</v>
      </c>
    </row>
    <row r="3794" spans="1:12" x14ac:dyDescent="0.25">
      <c r="A3794" s="2" t="s">
        <v>11289</v>
      </c>
      <c r="B3794" s="8" t="s">
        <v>16180</v>
      </c>
      <c r="C3794" s="2" t="s">
        <v>11289</v>
      </c>
      <c r="D3794" s="2" t="s">
        <v>11290</v>
      </c>
      <c r="E3794" s="4" t="s">
        <v>32145</v>
      </c>
    </row>
    <row r="3795" spans="1:12" x14ac:dyDescent="0.25">
      <c r="A3795" s="2" t="s">
        <v>11291</v>
      </c>
      <c r="B3795" s="8" t="s">
        <v>16180</v>
      </c>
      <c r="C3795" s="2" t="s">
        <v>11291</v>
      </c>
      <c r="D3795" s="2" t="s">
        <v>11292</v>
      </c>
      <c r="E3795" s="4" t="s">
        <v>32146</v>
      </c>
    </row>
    <row r="3796" spans="1:12" x14ac:dyDescent="0.25">
      <c r="A3796" s="2" t="s">
        <v>11293</v>
      </c>
      <c r="B3796" s="8" t="s">
        <v>16180</v>
      </c>
      <c r="C3796" s="2" t="s">
        <v>11293</v>
      </c>
      <c r="D3796" s="2" t="s">
        <v>11294</v>
      </c>
      <c r="E3796" s="4" t="s">
        <v>32147</v>
      </c>
    </row>
    <row r="3797" spans="1:12" x14ac:dyDescent="0.25">
      <c r="A3797" s="2" t="s">
        <v>11295</v>
      </c>
      <c r="B3797" s="8" t="s">
        <v>16180</v>
      </c>
      <c r="C3797" s="2" t="s">
        <v>11295</v>
      </c>
      <c r="D3797" s="2" t="s">
        <v>11296</v>
      </c>
      <c r="E3797" s="4" t="s">
        <v>32148</v>
      </c>
    </row>
    <row r="3798" spans="1:12" x14ac:dyDescent="0.25">
      <c r="A3798" s="2" t="s">
        <v>11297</v>
      </c>
      <c r="B3798" s="8" t="s">
        <v>16180</v>
      </c>
      <c r="C3798" s="2" t="s">
        <v>11297</v>
      </c>
      <c r="D3798" s="2" t="s">
        <v>11298</v>
      </c>
      <c r="E3798" s="4" t="s">
        <v>32149</v>
      </c>
    </row>
    <row r="3799" spans="1:12" x14ac:dyDescent="0.25">
      <c r="A3799" s="2" t="s">
        <v>11299</v>
      </c>
      <c r="B3799" s="8" t="s">
        <v>16180</v>
      </c>
      <c r="C3799" s="2" t="s">
        <v>11299</v>
      </c>
      <c r="D3799" s="2" t="s">
        <v>11300</v>
      </c>
      <c r="E3799" s="4" t="s">
        <v>32150</v>
      </c>
    </row>
    <row r="3800" spans="1:12" x14ac:dyDescent="0.25">
      <c r="A3800" s="2" t="s">
        <v>11301</v>
      </c>
      <c r="B3800" s="8" t="s">
        <v>16180</v>
      </c>
      <c r="C3800" s="2" t="s">
        <v>11301</v>
      </c>
      <c r="D3800" s="2" t="s">
        <v>11302</v>
      </c>
      <c r="E3800" s="4" t="s">
        <v>32151</v>
      </c>
    </row>
    <row r="3801" spans="1:12" x14ac:dyDescent="0.25">
      <c r="A3801" s="2" t="s">
        <v>11303</v>
      </c>
      <c r="B3801" s="8" t="s">
        <v>16180</v>
      </c>
      <c r="C3801" s="2" t="s">
        <v>11303</v>
      </c>
      <c r="D3801" s="2" t="s">
        <v>11304</v>
      </c>
      <c r="E3801" s="4" t="s">
        <v>32152</v>
      </c>
    </row>
    <row r="3802" spans="1:12" x14ac:dyDescent="0.25">
      <c r="A3802" s="2" t="s">
        <v>11305</v>
      </c>
      <c r="B3802" s="8" t="s">
        <v>16180</v>
      </c>
      <c r="C3802" s="2" t="s">
        <v>11305</v>
      </c>
      <c r="D3802" s="2" t="s">
        <v>11306</v>
      </c>
      <c r="E3802" s="4" t="s">
        <v>32153</v>
      </c>
    </row>
    <row r="3803" spans="1:12" x14ac:dyDescent="0.25">
      <c r="A3803" s="2" t="s">
        <v>11307</v>
      </c>
      <c r="B3803" s="8" t="s">
        <v>16180</v>
      </c>
      <c r="C3803" s="2" t="s">
        <v>11307</v>
      </c>
      <c r="D3803" s="2" t="s">
        <v>11308</v>
      </c>
      <c r="E3803" s="4" t="s">
        <v>32154</v>
      </c>
    </row>
    <row r="3804" spans="1:12" x14ac:dyDescent="0.25">
      <c r="A3804" s="2" t="s">
        <v>11309</v>
      </c>
      <c r="B3804" s="8" t="s">
        <v>16180</v>
      </c>
      <c r="C3804" s="2" t="s">
        <v>11309</v>
      </c>
      <c r="D3804" s="2" t="s">
        <v>11310</v>
      </c>
      <c r="E3804" s="4" t="s">
        <v>32155</v>
      </c>
    </row>
    <row r="3805" spans="1:12" x14ac:dyDescent="0.25">
      <c r="A3805" s="2" t="s">
        <v>11311</v>
      </c>
      <c r="B3805" s="8" t="s">
        <v>16180</v>
      </c>
      <c r="C3805" s="2" t="s">
        <v>11311</v>
      </c>
      <c r="D3805" s="2" t="s">
        <v>11312</v>
      </c>
      <c r="E3805" s="4" t="s">
        <v>32156</v>
      </c>
    </row>
    <row r="3806" spans="1:12" x14ac:dyDescent="0.25">
      <c r="A3806" s="2" t="s">
        <v>11313</v>
      </c>
      <c r="B3806" s="8" t="s">
        <v>16180</v>
      </c>
      <c r="C3806" s="2" t="s">
        <v>11313</v>
      </c>
      <c r="D3806" s="2" t="s">
        <v>11314</v>
      </c>
      <c r="E3806" s="4" t="s">
        <v>32157</v>
      </c>
    </row>
    <row r="3807" spans="1:12" x14ac:dyDescent="0.25">
      <c r="A3807" s="2" t="s">
        <v>11315</v>
      </c>
      <c r="B3807" s="8" t="s">
        <v>16180</v>
      </c>
      <c r="C3807" s="2" t="s">
        <v>11315</v>
      </c>
      <c r="D3807" s="2" t="s">
        <v>11316</v>
      </c>
      <c r="E3807" s="4" t="s">
        <v>32158</v>
      </c>
    </row>
    <row r="3808" spans="1:12" x14ac:dyDescent="0.25">
      <c r="A3808" s="2" t="s">
        <v>11317</v>
      </c>
      <c r="B3808" s="8" t="s">
        <v>16180</v>
      </c>
      <c r="C3808" s="2" t="s">
        <v>11317</v>
      </c>
      <c r="D3808" s="2" t="s">
        <v>11318</v>
      </c>
      <c r="E3808" s="4" t="s">
        <v>32159</v>
      </c>
    </row>
    <row r="3809" spans="1:5" x14ac:dyDescent="0.25">
      <c r="A3809" s="2" t="s">
        <v>11319</v>
      </c>
      <c r="B3809" s="8" t="s">
        <v>16180</v>
      </c>
      <c r="C3809" s="2" t="s">
        <v>11319</v>
      </c>
      <c r="D3809" s="2" t="s">
        <v>11320</v>
      </c>
      <c r="E3809" s="4" t="s">
        <v>32160</v>
      </c>
    </row>
    <row r="3810" spans="1:5" x14ac:dyDescent="0.25">
      <c r="A3810" s="2" t="s">
        <v>11321</v>
      </c>
      <c r="B3810" s="8" t="s">
        <v>16180</v>
      </c>
      <c r="C3810" s="2" t="s">
        <v>11321</v>
      </c>
      <c r="D3810" s="2" t="s">
        <v>11322</v>
      </c>
      <c r="E3810" s="4" t="s">
        <v>32161</v>
      </c>
    </row>
    <row r="3811" spans="1:5" x14ac:dyDescent="0.25">
      <c r="A3811" s="2" t="s">
        <v>11323</v>
      </c>
      <c r="B3811" s="8" t="s">
        <v>16180</v>
      </c>
      <c r="C3811" s="2" t="s">
        <v>11323</v>
      </c>
      <c r="D3811" s="2" t="s">
        <v>11324</v>
      </c>
      <c r="E3811" s="4" t="s">
        <v>32162</v>
      </c>
    </row>
    <row r="3812" spans="1:5" x14ac:dyDescent="0.25">
      <c r="A3812" s="2" t="s">
        <v>11325</v>
      </c>
      <c r="B3812" s="8" t="s">
        <v>16180</v>
      </c>
      <c r="C3812" s="2" t="s">
        <v>11325</v>
      </c>
      <c r="D3812" s="2" t="s">
        <v>11326</v>
      </c>
      <c r="E3812" s="4" t="s">
        <v>32163</v>
      </c>
    </row>
    <row r="3813" spans="1:5" x14ac:dyDescent="0.25">
      <c r="A3813" s="2" t="s">
        <v>11327</v>
      </c>
      <c r="B3813" s="8" t="s">
        <v>16180</v>
      </c>
      <c r="C3813" s="2" t="s">
        <v>11327</v>
      </c>
      <c r="D3813" s="2" t="s">
        <v>11328</v>
      </c>
      <c r="E3813" s="4" t="s">
        <v>32164</v>
      </c>
    </row>
    <row r="3814" spans="1:5" x14ac:dyDescent="0.25">
      <c r="A3814" s="2" t="s">
        <v>11329</v>
      </c>
      <c r="B3814" s="8" t="s">
        <v>16180</v>
      </c>
      <c r="C3814" s="2" t="s">
        <v>11329</v>
      </c>
      <c r="D3814" s="2" t="s">
        <v>11330</v>
      </c>
      <c r="E3814" s="4" t="s">
        <v>32165</v>
      </c>
    </row>
    <row r="3815" spans="1:5" x14ac:dyDescent="0.25">
      <c r="A3815" s="2" t="s">
        <v>11331</v>
      </c>
      <c r="B3815" s="8" t="s">
        <v>16180</v>
      </c>
      <c r="C3815" s="2" t="s">
        <v>11331</v>
      </c>
      <c r="D3815" s="2" t="s">
        <v>11332</v>
      </c>
      <c r="E3815" s="4" t="s">
        <v>32166</v>
      </c>
    </row>
    <row r="3816" spans="1:5" x14ac:dyDescent="0.25">
      <c r="A3816" s="2" t="s">
        <v>11333</v>
      </c>
      <c r="B3816" s="8" t="s">
        <v>16180</v>
      </c>
      <c r="C3816" s="2" t="s">
        <v>11333</v>
      </c>
      <c r="D3816" s="2" t="s">
        <v>11334</v>
      </c>
      <c r="E3816" s="4" t="s">
        <v>32167</v>
      </c>
    </row>
    <row r="3817" spans="1:5" x14ac:dyDescent="0.25">
      <c r="A3817" s="2" t="s">
        <v>11335</v>
      </c>
      <c r="B3817" s="8" t="s">
        <v>16180</v>
      </c>
      <c r="C3817" s="2" t="s">
        <v>11335</v>
      </c>
      <c r="D3817" s="2" t="s">
        <v>11336</v>
      </c>
      <c r="E3817" s="4" t="s">
        <v>32168</v>
      </c>
    </row>
    <row r="3818" spans="1:5" x14ac:dyDescent="0.25">
      <c r="A3818" s="2" t="s">
        <v>11337</v>
      </c>
      <c r="B3818" s="8" t="s">
        <v>16180</v>
      </c>
      <c r="C3818" s="2" t="s">
        <v>11337</v>
      </c>
      <c r="D3818" s="2" t="s">
        <v>11338</v>
      </c>
      <c r="E3818" s="4" t="s">
        <v>32169</v>
      </c>
    </row>
    <row r="3819" spans="1:5" x14ac:dyDescent="0.25">
      <c r="A3819" s="2" t="s">
        <v>11339</v>
      </c>
      <c r="B3819" s="8" t="s">
        <v>16180</v>
      </c>
      <c r="C3819" s="2" t="s">
        <v>11339</v>
      </c>
      <c r="D3819" s="2" t="s">
        <v>11340</v>
      </c>
      <c r="E3819" s="4" t="s">
        <v>32170</v>
      </c>
    </row>
    <row r="3820" spans="1:5" x14ac:dyDescent="0.25">
      <c r="A3820" s="2" t="s">
        <v>11341</v>
      </c>
      <c r="B3820" s="8" t="s">
        <v>16180</v>
      </c>
      <c r="C3820" s="2" t="s">
        <v>11341</v>
      </c>
      <c r="D3820" s="2" t="s">
        <v>11342</v>
      </c>
      <c r="E3820" s="4" t="s">
        <v>32171</v>
      </c>
    </row>
    <row r="3821" spans="1:5" x14ac:dyDescent="0.25">
      <c r="A3821" s="2" t="s">
        <v>11343</v>
      </c>
      <c r="B3821" s="8" t="s">
        <v>18574</v>
      </c>
      <c r="C3821" s="2" t="s">
        <v>11343</v>
      </c>
      <c r="D3821" s="2" t="s">
        <v>11344</v>
      </c>
      <c r="E3821" s="4" t="s">
        <v>32172</v>
      </c>
    </row>
    <row r="3822" spans="1:5" x14ac:dyDescent="0.25">
      <c r="A3822" s="2" t="s">
        <v>11346</v>
      </c>
      <c r="B3822" s="8" t="s">
        <v>16180</v>
      </c>
      <c r="C3822" s="2" t="s">
        <v>11346</v>
      </c>
      <c r="D3822" s="2" t="s">
        <v>11347</v>
      </c>
      <c r="E3822" s="4" t="s">
        <v>32173</v>
      </c>
    </row>
    <row r="3823" spans="1:5" x14ac:dyDescent="0.25">
      <c r="A3823" s="2" t="s">
        <v>11348</v>
      </c>
      <c r="B3823" s="8" t="s">
        <v>16180</v>
      </c>
      <c r="C3823" s="2" t="s">
        <v>11348</v>
      </c>
      <c r="D3823" s="2" t="s">
        <v>11349</v>
      </c>
      <c r="E3823" s="4" t="s">
        <v>32174</v>
      </c>
    </row>
    <row r="3824" spans="1:5" x14ac:dyDescent="0.25">
      <c r="A3824" s="2" t="s">
        <v>11350</v>
      </c>
      <c r="B3824" s="8" t="s">
        <v>16180</v>
      </c>
      <c r="C3824" s="2" t="s">
        <v>11350</v>
      </c>
      <c r="D3824" s="2" t="s">
        <v>11351</v>
      </c>
      <c r="E3824" s="4" t="s">
        <v>32175</v>
      </c>
    </row>
    <row r="3825" spans="1:12" x14ac:dyDescent="0.25">
      <c r="A3825" s="2" t="s">
        <v>11352</v>
      </c>
      <c r="B3825" s="8" t="s">
        <v>16180</v>
      </c>
      <c r="C3825" s="2" t="s">
        <v>11352</v>
      </c>
      <c r="D3825" s="2" t="s">
        <v>11353</v>
      </c>
      <c r="E3825" s="4" t="s">
        <v>32176</v>
      </c>
    </row>
    <row r="3826" spans="1:12" x14ac:dyDescent="0.25">
      <c r="A3826" s="2" t="s">
        <v>11354</v>
      </c>
      <c r="B3826" s="8" t="s">
        <v>16180</v>
      </c>
      <c r="C3826" s="2" t="s">
        <v>11354</v>
      </c>
      <c r="D3826" s="2" t="s">
        <v>11355</v>
      </c>
      <c r="E3826" s="4" t="s">
        <v>32177</v>
      </c>
    </row>
    <row r="3827" spans="1:12" x14ac:dyDescent="0.25">
      <c r="A3827" s="2" t="s">
        <v>11356</v>
      </c>
      <c r="B3827" s="8" t="s">
        <v>16180</v>
      </c>
      <c r="C3827" s="2" t="s">
        <v>11356</v>
      </c>
      <c r="D3827" s="2" t="s">
        <v>11357</v>
      </c>
      <c r="E3827" s="4" t="s">
        <v>32178</v>
      </c>
    </row>
    <row r="3828" spans="1:12" x14ac:dyDescent="0.25">
      <c r="A3828" s="2" t="s">
        <v>11358</v>
      </c>
      <c r="B3828" s="8" t="s">
        <v>16180</v>
      </c>
      <c r="C3828" s="2" t="s">
        <v>11358</v>
      </c>
      <c r="D3828" s="2" t="s">
        <v>11359</v>
      </c>
      <c r="E3828" s="4" t="s">
        <v>32179</v>
      </c>
    </row>
    <row r="3829" spans="1:12" ht="30" customHeight="1" x14ac:dyDescent="0.25">
      <c r="A3829" s="2" t="s">
        <v>11360</v>
      </c>
      <c r="B3829" s="8" t="s">
        <v>16180</v>
      </c>
      <c r="C3829" s="2" t="s">
        <v>11360</v>
      </c>
      <c r="D3829" s="2" t="s">
        <v>11361</v>
      </c>
      <c r="E3829" s="4" t="s">
        <v>32180</v>
      </c>
    </row>
    <row r="3830" spans="1:12" ht="30" customHeight="1" x14ac:dyDescent="0.25">
      <c r="A3830" s="2" t="s">
        <v>11362</v>
      </c>
      <c r="B3830" s="8" t="s">
        <v>16180</v>
      </c>
      <c r="C3830" s="2" t="s">
        <v>11362</v>
      </c>
      <c r="D3830" s="2" t="s">
        <v>11363</v>
      </c>
      <c r="E3830" s="4" t="s">
        <v>32181</v>
      </c>
    </row>
    <row r="3831" spans="1:12" x14ac:dyDescent="0.25">
      <c r="A3831" s="2" t="s">
        <v>11364</v>
      </c>
      <c r="B3831" s="8" t="s">
        <v>16180</v>
      </c>
      <c r="C3831" s="2" t="s">
        <v>11364</v>
      </c>
      <c r="D3831" s="2" t="s">
        <v>11365</v>
      </c>
      <c r="E3831" s="4" t="s">
        <v>32182</v>
      </c>
    </row>
    <row r="3832" spans="1:12" x14ac:dyDescent="0.25">
      <c r="A3832" s="2" t="s">
        <v>11366</v>
      </c>
      <c r="B3832" s="8" t="s">
        <v>16180</v>
      </c>
      <c r="C3832" s="2" t="s">
        <v>11366</v>
      </c>
      <c r="D3832" s="2" t="s">
        <v>11367</v>
      </c>
      <c r="E3832" s="4" t="s">
        <v>32183</v>
      </c>
    </row>
    <row r="3833" spans="1:12" x14ac:dyDescent="0.25">
      <c r="A3833" s="2" t="s">
        <v>11368</v>
      </c>
      <c r="B3833" s="8" t="s">
        <v>16180</v>
      </c>
      <c r="C3833" s="2" t="s">
        <v>11368</v>
      </c>
      <c r="D3833" s="2" t="s">
        <v>11369</v>
      </c>
      <c r="E3833" s="4" t="s">
        <v>32184</v>
      </c>
    </row>
    <row r="3834" spans="1:12" x14ac:dyDescent="0.25">
      <c r="A3834" s="2" t="s">
        <v>11370</v>
      </c>
      <c r="B3834" s="8" t="s">
        <v>16180</v>
      </c>
      <c r="C3834" s="2" t="s">
        <v>11370</v>
      </c>
      <c r="D3834" s="2" t="s">
        <v>11371</v>
      </c>
      <c r="E3834" s="4" t="s">
        <v>32185</v>
      </c>
    </row>
    <row r="3835" spans="1:12" x14ac:dyDescent="0.25">
      <c r="A3835" s="2" t="s">
        <v>11372</v>
      </c>
      <c r="B3835" s="8" t="s">
        <v>16180</v>
      </c>
      <c r="C3835" s="2" t="s">
        <v>11372</v>
      </c>
      <c r="D3835" s="2" t="s">
        <v>11373</v>
      </c>
      <c r="E3835" s="4" t="s">
        <v>32186</v>
      </c>
    </row>
    <row r="3836" spans="1:12" x14ac:dyDescent="0.25">
      <c r="A3836" s="2" t="s">
        <v>11374</v>
      </c>
      <c r="B3836" s="8" t="s">
        <v>18575</v>
      </c>
      <c r="C3836" s="2" t="s">
        <v>11374</v>
      </c>
      <c r="D3836" s="2" t="s">
        <v>11375</v>
      </c>
      <c r="E3836" s="4" t="s">
        <v>11375</v>
      </c>
      <c r="G3836" s="15" t="s">
        <v>32187</v>
      </c>
      <c r="H3836" s="15" t="s">
        <v>32188</v>
      </c>
      <c r="I3836" s="15" t="s">
        <v>32189</v>
      </c>
      <c r="J3836" s="15" t="s">
        <v>32190</v>
      </c>
      <c r="K3836" s="15">
        <v>135491830</v>
      </c>
      <c r="L3836" s="15" t="s">
        <v>19099</v>
      </c>
    </row>
    <row r="3837" spans="1:12" x14ac:dyDescent="0.25">
      <c r="A3837" s="2" t="s">
        <v>11377</v>
      </c>
      <c r="B3837" s="8" t="s">
        <v>16180</v>
      </c>
      <c r="C3837" s="2" t="s">
        <v>11377</v>
      </c>
      <c r="D3837" s="2" t="s">
        <v>11378</v>
      </c>
      <c r="E3837" s="4" t="s">
        <v>32191</v>
      </c>
    </row>
    <row r="3838" spans="1:12" x14ac:dyDescent="0.25">
      <c r="A3838" s="2" t="s">
        <v>11379</v>
      </c>
      <c r="B3838" s="8" t="s">
        <v>16180</v>
      </c>
      <c r="C3838" s="2" t="s">
        <v>11379</v>
      </c>
      <c r="D3838" s="2" t="s">
        <v>11380</v>
      </c>
      <c r="E3838" s="4" t="s">
        <v>32192</v>
      </c>
    </row>
    <row r="3839" spans="1:12" x14ac:dyDescent="0.25">
      <c r="A3839" s="2" t="s">
        <v>11381</v>
      </c>
      <c r="B3839" s="8" t="s">
        <v>16180</v>
      </c>
      <c r="C3839" s="2" t="s">
        <v>11381</v>
      </c>
      <c r="D3839" s="2" t="s">
        <v>11382</v>
      </c>
      <c r="E3839" s="4" t="s">
        <v>32193</v>
      </c>
    </row>
    <row r="3840" spans="1:12" x14ac:dyDescent="0.25">
      <c r="A3840" s="2" t="s">
        <v>11383</v>
      </c>
      <c r="B3840" s="8" t="s">
        <v>16180</v>
      </c>
      <c r="C3840" s="2" t="s">
        <v>11383</v>
      </c>
      <c r="D3840" s="2" t="s">
        <v>11384</v>
      </c>
      <c r="E3840" s="4" t="s">
        <v>32194</v>
      </c>
    </row>
    <row r="3841" spans="1:5" x14ac:dyDescent="0.25">
      <c r="A3841" s="2" t="s">
        <v>11385</v>
      </c>
      <c r="B3841" s="8" t="s">
        <v>16180</v>
      </c>
      <c r="C3841" s="2" t="s">
        <v>11385</v>
      </c>
      <c r="D3841" s="2" t="s">
        <v>11386</v>
      </c>
      <c r="E3841" s="4" t="s">
        <v>32195</v>
      </c>
    </row>
    <row r="3842" spans="1:5" x14ac:dyDescent="0.25">
      <c r="A3842" s="2" t="s">
        <v>11387</v>
      </c>
      <c r="B3842" s="8" t="s">
        <v>18576</v>
      </c>
      <c r="C3842" s="2" t="s">
        <v>11387</v>
      </c>
      <c r="D3842" s="2" t="s">
        <v>11388</v>
      </c>
      <c r="E3842" s="4" t="s">
        <v>32196</v>
      </c>
    </row>
    <row r="3843" spans="1:5" x14ac:dyDescent="0.25">
      <c r="A3843" s="2" t="s">
        <v>11390</v>
      </c>
      <c r="B3843" s="8" t="s">
        <v>16180</v>
      </c>
      <c r="C3843" s="2" t="s">
        <v>11390</v>
      </c>
      <c r="D3843" s="2" t="s">
        <v>11391</v>
      </c>
      <c r="E3843" s="4" t="s">
        <v>32197</v>
      </c>
    </row>
    <row r="3844" spans="1:5" x14ac:dyDescent="0.25">
      <c r="A3844" s="2" t="s">
        <v>11392</v>
      </c>
      <c r="B3844" s="8" t="s">
        <v>16180</v>
      </c>
      <c r="C3844" s="2" t="s">
        <v>11392</v>
      </c>
      <c r="D3844" s="2" t="s">
        <v>11393</v>
      </c>
      <c r="E3844" s="4" t="s">
        <v>32198</v>
      </c>
    </row>
    <row r="3845" spans="1:5" x14ac:dyDescent="0.25">
      <c r="A3845" s="2" t="s">
        <v>11394</v>
      </c>
      <c r="B3845" s="8" t="s">
        <v>16180</v>
      </c>
      <c r="C3845" s="2" t="s">
        <v>11394</v>
      </c>
      <c r="D3845" s="2" t="s">
        <v>11395</v>
      </c>
      <c r="E3845" s="4" t="s">
        <v>32199</v>
      </c>
    </row>
    <row r="3846" spans="1:5" x14ac:dyDescent="0.25">
      <c r="A3846" s="2" t="s">
        <v>11396</v>
      </c>
      <c r="B3846" s="8" t="s">
        <v>16180</v>
      </c>
      <c r="C3846" s="2" t="s">
        <v>11396</v>
      </c>
      <c r="D3846" s="2" t="s">
        <v>11397</v>
      </c>
      <c r="E3846" s="4" t="s">
        <v>32200</v>
      </c>
    </row>
    <row r="3847" spans="1:5" x14ac:dyDescent="0.25">
      <c r="A3847" s="2" t="s">
        <v>11398</v>
      </c>
      <c r="B3847" s="8" t="s">
        <v>16180</v>
      </c>
      <c r="C3847" s="2" t="s">
        <v>11398</v>
      </c>
      <c r="D3847" s="2" t="s">
        <v>11399</v>
      </c>
      <c r="E3847" s="4" t="s">
        <v>32201</v>
      </c>
    </row>
    <row r="3848" spans="1:5" x14ac:dyDescent="0.25">
      <c r="A3848" s="2" t="s">
        <v>11400</v>
      </c>
      <c r="B3848" s="8" t="s">
        <v>16180</v>
      </c>
      <c r="C3848" s="2" t="s">
        <v>11400</v>
      </c>
      <c r="D3848" s="2" t="s">
        <v>11401</v>
      </c>
      <c r="E3848" s="4" t="s">
        <v>32202</v>
      </c>
    </row>
    <row r="3849" spans="1:5" x14ac:dyDescent="0.25">
      <c r="A3849" s="2" t="s">
        <v>11402</v>
      </c>
      <c r="B3849" s="8" t="s">
        <v>16180</v>
      </c>
      <c r="C3849" s="2" t="s">
        <v>11402</v>
      </c>
      <c r="D3849" s="2" t="s">
        <v>11403</v>
      </c>
      <c r="E3849" s="4" t="s">
        <v>32203</v>
      </c>
    </row>
    <row r="3850" spans="1:5" x14ac:dyDescent="0.25">
      <c r="A3850" s="2" t="s">
        <v>11404</v>
      </c>
      <c r="B3850" s="8" t="s">
        <v>16180</v>
      </c>
      <c r="C3850" s="2" t="s">
        <v>11404</v>
      </c>
      <c r="D3850" s="2" t="s">
        <v>11405</v>
      </c>
      <c r="E3850" s="4" t="s">
        <v>32204</v>
      </c>
    </row>
    <row r="3851" spans="1:5" x14ac:dyDescent="0.25">
      <c r="A3851" s="2" t="s">
        <v>11406</v>
      </c>
      <c r="B3851" s="8" t="s">
        <v>16180</v>
      </c>
      <c r="C3851" s="2" t="s">
        <v>11406</v>
      </c>
      <c r="D3851" s="2" t="s">
        <v>11407</v>
      </c>
      <c r="E3851" s="4" t="s">
        <v>32205</v>
      </c>
    </row>
    <row r="3852" spans="1:5" x14ac:dyDescent="0.25">
      <c r="A3852" s="2" t="s">
        <v>11408</v>
      </c>
      <c r="B3852" s="8" t="s">
        <v>16180</v>
      </c>
      <c r="C3852" s="2" t="s">
        <v>11408</v>
      </c>
      <c r="D3852" s="2" t="s">
        <v>11409</v>
      </c>
      <c r="E3852" s="4" t="s">
        <v>32206</v>
      </c>
    </row>
    <row r="3853" spans="1:5" x14ac:dyDescent="0.25">
      <c r="A3853" s="2" t="s">
        <v>11410</v>
      </c>
      <c r="B3853" s="8" t="s">
        <v>16180</v>
      </c>
      <c r="C3853" s="2" t="s">
        <v>11410</v>
      </c>
      <c r="D3853" s="2" t="s">
        <v>11411</v>
      </c>
      <c r="E3853" s="4" t="s">
        <v>32207</v>
      </c>
    </row>
    <row r="3854" spans="1:5" x14ac:dyDescent="0.25">
      <c r="A3854" s="2" t="s">
        <v>11412</v>
      </c>
      <c r="B3854" s="8" t="s">
        <v>16180</v>
      </c>
      <c r="C3854" s="2" t="s">
        <v>11412</v>
      </c>
      <c r="D3854" s="2" t="s">
        <v>11413</v>
      </c>
      <c r="E3854" s="4" t="s">
        <v>32208</v>
      </c>
    </row>
    <row r="3855" spans="1:5" x14ac:dyDescent="0.25">
      <c r="A3855" s="2" t="s">
        <v>11414</v>
      </c>
      <c r="B3855" s="8" t="s">
        <v>16180</v>
      </c>
      <c r="C3855" s="2" t="s">
        <v>11414</v>
      </c>
      <c r="D3855" s="2" t="s">
        <v>11415</v>
      </c>
      <c r="E3855" s="4" t="s">
        <v>32209</v>
      </c>
    </row>
    <row r="3856" spans="1:5" x14ac:dyDescent="0.25">
      <c r="A3856" s="2" t="s">
        <v>11416</v>
      </c>
      <c r="B3856" s="8" t="s">
        <v>16180</v>
      </c>
      <c r="C3856" s="2" t="s">
        <v>11416</v>
      </c>
      <c r="D3856" s="2" t="s">
        <v>11417</v>
      </c>
      <c r="E3856" s="4" t="s">
        <v>32210</v>
      </c>
    </row>
    <row r="3857" spans="1:5" x14ac:dyDescent="0.25">
      <c r="A3857" s="2" t="s">
        <v>11418</v>
      </c>
      <c r="B3857" s="8" t="s">
        <v>16180</v>
      </c>
      <c r="C3857" s="2" t="s">
        <v>11418</v>
      </c>
      <c r="D3857" s="2" t="s">
        <v>11419</v>
      </c>
      <c r="E3857" s="4" t="s">
        <v>32211</v>
      </c>
    </row>
    <row r="3858" spans="1:5" x14ac:dyDescent="0.25">
      <c r="A3858" s="2" t="s">
        <v>11420</v>
      </c>
      <c r="B3858" s="8" t="s">
        <v>16180</v>
      </c>
      <c r="C3858" s="2" t="s">
        <v>11420</v>
      </c>
      <c r="D3858" s="2" t="s">
        <v>11421</v>
      </c>
      <c r="E3858" s="4" t="s">
        <v>32212</v>
      </c>
    </row>
    <row r="3859" spans="1:5" x14ac:dyDescent="0.25">
      <c r="A3859" s="2" t="s">
        <v>11422</v>
      </c>
      <c r="B3859" s="8" t="s">
        <v>16180</v>
      </c>
      <c r="C3859" s="2" t="s">
        <v>11422</v>
      </c>
      <c r="D3859" s="2" t="s">
        <v>11423</v>
      </c>
      <c r="E3859" s="4" t="s">
        <v>32213</v>
      </c>
    </row>
    <row r="3860" spans="1:5" x14ac:dyDescent="0.25">
      <c r="A3860" s="2" t="s">
        <v>11424</v>
      </c>
      <c r="B3860" s="8" t="s">
        <v>16180</v>
      </c>
      <c r="C3860" s="2" t="s">
        <v>11424</v>
      </c>
      <c r="D3860" s="2" t="s">
        <v>11425</v>
      </c>
      <c r="E3860" s="4" t="s">
        <v>32214</v>
      </c>
    </row>
    <row r="3861" spans="1:5" x14ac:dyDescent="0.25">
      <c r="A3861" s="2" t="s">
        <v>11426</v>
      </c>
      <c r="B3861" s="8" t="s">
        <v>16180</v>
      </c>
      <c r="C3861" s="2" t="s">
        <v>11426</v>
      </c>
      <c r="D3861" s="2" t="s">
        <v>11427</v>
      </c>
      <c r="E3861" s="4" t="s">
        <v>32215</v>
      </c>
    </row>
    <row r="3862" spans="1:5" x14ac:dyDescent="0.25">
      <c r="A3862" s="2" t="s">
        <v>11428</v>
      </c>
      <c r="B3862" s="8" t="s">
        <v>16180</v>
      </c>
      <c r="C3862" s="2" t="s">
        <v>11428</v>
      </c>
      <c r="D3862" s="2" t="s">
        <v>11429</v>
      </c>
      <c r="E3862" s="4" t="s">
        <v>32216</v>
      </c>
    </row>
    <row r="3863" spans="1:5" ht="30" customHeight="1" x14ac:dyDescent="0.25">
      <c r="A3863" s="2" t="s">
        <v>11430</v>
      </c>
      <c r="B3863" s="8" t="s">
        <v>16180</v>
      </c>
      <c r="C3863" s="2" t="s">
        <v>11430</v>
      </c>
      <c r="D3863" s="2" t="s">
        <v>11431</v>
      </c>
      <c r="E3863" s="4" t="s">
        <v>32217</v>
      </c>
    </row>
    <row r="3864" spans="1:5" x14ac:dyDescent="0.25">
      <c r="A3864" s="2" t="s">
        <v>11432</v>
      </c>
      <c r="B3864" s="8" t="s">
        <v>16180</v>
      </c>
      <c r="C3864" s="2" t="s">
        <v>11432</v>
      </c>
      <c r="D3864" s="2" t="s">
        <v>11433</v>
      </c>
      <c r="E3864" s="4" t="s">
        <v>32218</v>
      </c>
    </row>
    <row r="3865" spans="1:5" ht="30" customHeight="1" x14ac:dyDescent="0.25">
      <c r="A3865" s="2" t="s">
        <v>11434</v>
      </c>
      <c r="B3865" s="8" t="s">
        <v>16180</v>
      </c>
      <c r="C3865" s="2" t="s">
        <v>11434</v>
      </c>
      <c r="D3865" s="2" t="s">
        <v>11435</v>
      </c>
      <c r="E3865" s="4" t="s">
        <v>32219</v>
      </c>
    </row>
    <row r="3866" spans="1:5" x14ac:dyDescent="0.25">
      <c r="A3866" s="2" t="s">
        <v>11436</v>
      </c>
      <c r="B3866" s="8" t="s">
        <v>16180</v>
      </c>
      <c r="C3866" s="2" t="s">
        <v>11436</v>
      </c>
      <c r="D3866" s="2" t="s">
        <v>11437</v>
      </c>
      <c r="E3866" s="4" t="s">
        <v>32220</v>
      </c>
    </row>
    <row r="3867" spans="1:5" x14ac:dyDescent="0.25">
      <c r="A3867" s="2" t="s">
        <v>11438</v>
      </c>
      <c r="B3867" s="8" t="s">
        <v>16180</v>
      </c>
      <c r="C3867" s="2" t="s">
        <v>11438</v>
      </c>
      <c r="D3867" s="2" t="s">
        <v>11439</v>
      </c>
      <c r="E3867" s="4" t="s">
        <v>32221</v>
      </c>
    </row>
    <row r="3868" spans="1:5" x14ac:dyDescent="0.25">
      <c r="A3868" s="2" t="s">
        <v>11440</v>
      </c>
      <c r="B3868" s="8" t="s">
        <v>16180</v>
      </c>
      <c r="C3868" s="2" t="s">
        <v>11440</v>
      </c>
      <c r="D3868" s="2" t="s">
        <v>11441</v>
      </c>
      <c r="E3868" s="4" t="s">
        <v>32222</v>
      </c>
    </row>
    <row r="3869" spans="1:5" x14ac:dyDescent="0.25">
      <c r="A3869" s="2" t="s">
        <v>11442</v>
      </c>
      <c r="B3869" s="8" t="s">
        <v>16180</v>
      </c>
      <c r="C3869" s="2" t="s">
        <v>11442</v>
      </c>
      <c r="D3869" s="2" t="s">
        <v>11443</v>
      </c>
      <c r="E3869" s="4" t="s">
        <v>32223</v>
      </c>
    </row>
    <row r="3870" spans="1:5" x14ac:dyDescent="0.25">
      <c r="A3870" s="2" t="s">
        <v>11444</v>
      </c>
      <c r="B3870" s="8" t="s">
        <v>16180</v>
      </c>
      <c r="C3870" s="2" t="s">
        <v>11444</v>
      </c>
      <c r="D3870" s="2" t="s">
        <v>11445</v>
      </c>
      <c r="E3870" s="4" t="s">
        <v>32224</v>
      </c>
    </row>
    <row r="3871" spans="1:5" x14ac:dyDescent="0.25">
      <c r="A3871" s="2" t="s">
        <v>11446</v>
      </c>
      <c r="B3871" s="8" t="s">
        <v>16180</v>
      </c>
      <c r="C3871" s="2" t="s">
        <v>11446</v>
      </c>
      <c r="D3871" s="2" t="s">
        <v>11447</v>
      </c>
      <c r="E3871" s="4" t="s">
        <v>32225</v>
      </c>
    </row>
    <row r="3872" spans="1:5" x14ac:dyDescent="0.25">
      <c r="A3872" s="2" t="s">
        <v>11448</v>
      </c>
      <c r="B3872" s="8" t="s">
        <v>16180</v>
      </c>
      <c r="C3872" s="2" t="s">
        <v>11448</v>
      </c>
      <c r="D3872" s="2" t="s">
        <v>11449</v>
      </c>
      <c r="E3872" s="4" t="s">
        <v>32226</v>
      </c>
    </row>
    <row r="3873" spans="1:5" x14ac:dyDescent="0.25">
      <c r="A3873" s="2" t="s">
        <v>11450</v>
      </c>
      <c r="B3873" s="8" t="s">
        <v>16180</v>
      </c>
      <c r="C3873" s="2" t="s">
        <v>11450</v>
      </c>
      <c r="D3873" s="2" t="s">
        <v>11451</v>
      </c>
      <c r="E3873" s="4" t="s">
        <v>32227</v>
      </c>
    </row>
    <row r="3874" spans="1:5" x14ac:dyDescent="0.25">
      <c r="A3874" s="2" t="s">
        <v>11452</v>
      </c>
      <c r="B3874" s="8" t="s">
        <v>16180</v>
      </c>
      <c r="C3874" s="2" t="s">
        <v>11452</v>
      </c>
      <c r="D3874" s="2" t="s">
        <v>11453</v>
      </c>
      <c r="E3874" s="4" t="s">
        <v>32228</v>
      </c>
    </row>
    <row r="3875" spans="1:5" x14ac:dyDescent="0.25">
      <c r="A3875" s="2" t="s">
        <v>11454</v>
      </c>
      <c r="B3875" s="8" t="s">
        <v>16180</v>
      </c>
      <c r="C3875" s="2" t="s">
        <v>11454</v>
      </c>
      <c r="D3875" s="2" t="s">
        <v>11455</v>
      </c>
      <c r="E3875" s="4" t="s">
        <v>32229</v>
      </c>
    </row>
    <row r="3876" spans="1:5" x14ac:dyDescent="0.25">
      <c r="A3876" s="2" t="s">
        <v>11456</v>
      </c>
      <c r="B3876" s="8" t="s">
        <v>16180</v>
      </c>
      <c r="C3876" s="2" t="s">
        <v>11456</v>
      </c>
      <c r="D3876" s="2" t="s">
        <v>11457</v>
      </c>
      <c r="E3876" s="4" t="s">
        <v>32230</v>
      </c>
    </row>
    <row r="3877" spans="1:5" x14ac:dyDescent="0.25">
      <c r="A3877" s="2" t="s">
        <v>11458</v>
      </c>
      <c r="B3877" s="8" t="s">
        <v>16180</v>
      </c>
      <c r="C3877" s="2" t="s">
        <v>11458</v>
      </c>
      <c r="D3877" s="2" t="s">
        <v>11459</v>
      </c>
      <c r="E3877" s="4" t="s">
        <v>32231</v>
      </c>
    </row>
    <row r="3878" spans="1:5" x14ac:dyDescent="0.25">
      <c r="A3878" s="2" t="s">
        <v>11460</v>
      </c>
      <c r="B3878" s="8" t="s">
        <v>16180</v>
      </c>
      <c r="C3878" s="2" t="s">
        <v>11460</v>
      </c>
      <c r="D3878" s="2" t="s">
        <v>11461</v>
      </c>
      <c r="E3878" s="4" t="s">
        <v>32232</v>
      </c>
    </row>
    <row r="3879" spans="1:5" x14ac:dyDescent="0.25">
      <c r="A3879" s="2" t="s">
        <v>11462</v>
      </c>
      <c r="B3879" s="8" t="s">
        <v>16180</v>
      </c>
      <c r="C3879" s="2" t="s">
        <v>11462</v>
      </c>
      <c r="D3879" s="2" t="s">
        <v>11463</v>
      </c>
      <c r="E3879" s="4" t="s">
        <v>32233</v>
      </c>
    </row>
    <row r="3880" spans="1:5" x14ac:dyDescent="0.25">
      <c r="A3880" s="2" t="s">
        <v>11464</v>
      </c>
      <c r="B3880" s="8" t="s">
        <v>16180</v>
      </c>
      <c r="C3880" s="2" t="s">
        <v>11464</v>
      </c>
      <c r="D3880" s="2" t="s">
        <v>11465</v>
      </c>
      <c r="E3880" s="4" t="s">
        <v>32234</v>
      </c>
    </row>
    <row r="3881" spans="1:5" x14ac:dyDescent="0.25">
      <c r="A3881" s="2" t="s">
        <v>11466</v>
      </c>
      <c r="B3881" s="8" t="s">
        <v>16180</v>
      </c>
      <c r="C3881" s="2" t="s">
        <v>11466</v>
      </c>
      <c r="D3881" s="2" t="s">
        <v>11467</v>
      </c>
      <c r="E3881" s="4" t="s">
        <v>32235</v>
      </c>
    </row>
    <row r="3882" spans="1:5" x14ac:dyDescent="0.25">
      <c r="A3882" s="2" t="s">
        <v>11468</v>
      </c>
      <c r="B3882" s="8" t="s">
        <v>16180</v>
      </c>
      <c r="C3882" s="2" t="s">
        <v>11468</v>
      </c>
      <c r="D3882" s="2" t="s">
        <v>11469</v>
      </c>
      <c r="E3882" s="4" t="s">
        <v>32236</v>
      </c>
    </row>
    <row r="3883" spans="1:5" x14ac:dyDescent="0.25">
      <c r="A3883" s="2" t="s">
        <v>11470</v>
      </c>
      <c r="B3883" s="8" t="s">
        <v>16180</v>
      </c>
      <c r="C3883" s="2" t="s">
        <v>11470</v>
      </c>
      <c r="D3883" s="2" t="s">
        <v>11471</v>
      </c>
      <c r="E3883" s="4" t="s">
        <v>32237</v>
      </c>
    </row>
    <row r="3884" spans="1:5" x14ac:dyDescent="0.25">
      <c r="A3884" s="2" t="s">
        <v>11472</v>
      </c>
      <c r="B3884" s="8" t="s">
        <v>16180</v>
      </c>
      <c r="C3884" s="2" t="s">
        <v>11472</v>
      </c>
      <c r="D3884" s="2" t="s">
        <v>11473</v>
      </c>
      <c r="E3884" s="4" t="s">
        <v>32238</v>
      </c>
    </row>
    <row r="3885" spans="1:5" x14ac:dyDescent="0.25">
      <c r="A3885" s="2" t="s">
        <v>11474</v>
      </c>
      <c r="B3885" s="8" t="s">
        <v>16180</v>
      </c>
      <c r="C3885" s="2" t="s">
        <v>11474</v>
      </c>
      <c r="D3885" s="2" t="s">
        <v>11475</v>
      </c>
      <c r="E3885" s="4" t="s">
        <v>32239</v>
      </c>
    </row>
    <row r="3886" spans="1:5" x14ac:dyDescent="0.25">
      <c r="A3886" s="2" t="s">
        <v>11476</v>
      </c>
      <c r="B3886" s="8" t="s">
        <v>16180</v>
      </c>
      <c r="C3886" s="2" t="s">
        <v>11476</v>
      </c>
      <c r="D3886" s="2" t="s">
        <v>11477</v>
      </c>
      <c r="E3886" s="4" t="s">
        <v>32240</v>
      </c>
    </row>
    <row r="3887" spans="1:5" x14ac:dyDescent="0.25">
      <c r="A3887" s="2" t="s">
        <v>11478</v>
      </c>
      <c r="B3887" s="8" t="s">
        <v>16180</v>
      </c>
      <c r="C3887" s="2" t="s">
        <v>11478</v>
      </c>
      <c r="D3887" s="2" t="s">
        <v>11479</v>
      </c>
      <c r="E3887" s="4" t="s">
        <v>32241</v>
      </c>
    </row>
    <row r="3888" spans="1:5" x14ac:dyDescent="0.25">
      <c r="A3888" s="2" t="s">
        <v>11480</v>
      </c>
      <c r="B3888" s="8" t="s">
        <v>16180</v>
      </c>
      <c r="C3888" s="2" t="s">
        <v>11480</v>
      </c>
      <c r="D3888" s="2" t="s">
        <v>11481</v>
      </c>
      <c r="E3888" s="4" t="s">
        <v>32242</v>
      </c>
    </row>
    <row r="3889" spans="1:12" x14ac:dyDescent="0.25">
      <c r="A3889" s="2" t="s">
        <v>11482</v>
      </c>
      <c r="B3889" s="8" t="s">
        <v>16180</v>
      </c>
      <c r="C3889" s="2" t="s">
        <v>11482</v>
      </c>
      <c r="D3889" s="2" t="s">
        <v>11483</v>
      </c>
      <c r="E3889" s="4" t="s">
        <v>32243</v>
      </c>
    </row>
    <row r="3890" spans="1:12" x14ac:dyDescent="0.25">
      <c r="A3890" s="2" t="s">
        <v>11484</v>
      </c>
      <c r="B3890" s="8" t="s">
        <v>16180</v>
      </c>
      <c r="C3890" s="2" t="s">
        <v>11484</v>
      </c>
      <c r="D3890" s="2" t="s">
        <v>11485</v>
      </c>
      <c r="E3890" s="4" t="s">
        <v>32244</v>
      </c>
    </row>
    <row r="3891" spans="1:12" x14ac:dyDescent="0.25">
      <c r="A3891" s="2" t="s">
        <v>11486</v>
      </c>
      <c r="B3891" s="8" t="s">
        <v>16180</v>
      </c>
      <c r="C3891" s="2" t="s">
        <v>11486</v>
      </c>
      <c r="D3891" s="2" t="s">
        <v>11487</v>
      </c>
      <c r="E3891" s="4" t="s">
        <v>32245</v>
      </c>
    </row>
    <row r="3892" spans="1:12" x14ac:dyDescent="0.25">
      <c r="A3892" s="2" t="s">
        <v>11488</v>
      </c>
      <c r="B3892" s="8" t="s">
        <v>16180</v>
      </c>
      <c r="C3892" s="2" t="s">
        <v>11488</v>
      </c>
      <c r="D3892" s="2" t="s">
        <v>11489</v>
      </c>
      <c r="E3892" s="4" t="s">
        <v>32246</v>
      </c>
    </row>
    <row r="3893" spans="1:12" x14ac:dyDescent="0.25">
      <c r="A3893" s="2" t="s">
        <v>11490</v>
      </c>
      <c r="B3893" s="8" t="s">
        <v>16180</v>
      </c>
      <c r="C3893" s="2" t="s">
        <v>11490</v>
      </c>
      <c r="D3893" s="2" t="s">
        <v>11491</v>
      </c>
      <c r="E3893" s="4" t="s">
        <v>32247</v>
      </c>
    </row>
    <row r="3894" spans="1:12" ht="30" customHeight="1" x14ac:dyDescent="0.25">
      <c r="A3894" s="2" t="s">
        <v>11492</v>
      </c>
      <c r="B3894" s="8" t="s">
        <v>16180</v>
      </c>
      <c r="C3894" s="2" t="s">
        <v>11492</v>
      </c>
      <c r="D3894" s="2" t="s">
        <v>11493</v>
      </c>
      <c r="E3894" s="4" t="s">
        <v>32248</v>
      </c>
    </row>
    <row r="3895" spans="1:12" x14ac:dyDescent="0.25">
      <c r="A3895" s="2" t="s">
        <v>11494</v>
      </c>
      <c r="B3895" s="8" t="s">
        <v>16180</v>
      </c>
      <c r="C3895" s="2" t="s">
        <v>11494</v>
      </c>
      <c r="D3895" s="2" t="s">
        <v>11495</v>
      </c>
      <c r="E3895" s="4" t="s">
        <v>32249</v>
      </c>
    </row>
    <row r="3896" spans="1:12" x14ac:dyDescent="0.25">
      <c r="A3896" s="2" t="s">
        <v>11496</v>
      </c>
      <c r="B3896" s="8" t="s">
        <v>16180</v>
      </c>
      <c r="C3896" s="2" t="s">
        <v>11496</v>
      </c>
      <c r="D3896" s="2" t="s">
        <v>11497</v>
      </c>
      <c r="E3896" s="4" t="s">
        <v>32250</v>
      </c>
    </row>
    <row r="3897" spans="1:12" x14ac:dyDescent="0.25">
      <c r="A3897" s="2" t="s">
        <v>11498</v>
      </c>
      <c r="B3897" s="8" t="s">
        <v>16180</v>
      </c>
      <c r="C3897" s="2" t="s">
        <v>11498</v>
      </c>
      <c r="D3897" s="2" t="s">
        <v>11499</v>
      </c>
      <c r="E3897" s="4" t="s">
        <v>32251</v>
      </c>
    </row>
    <row r="3898" spans="1:12" x14ac:dyDescent="0.25">
      <c r="A3898" s="2" t="s">
        <v>11500</v>
      </c>
      <c r="B3898" s="8" t="s">
        <v>16180</v>
      </c>
      <c r="C3898" s="2" t="s">
        <v>11500</v>
      </c>
      <c r="D3898" s="2" t="s">
        <v>11501</v>
      </c>
      <c r="E3898" s="4" t="s">
        <v>32252</v>
      </c>
    </row>
    <row r="3899" spans="1:12" x14ac:dyDescent="0.25">
      <c r="A3899" s="2" t="s">
        <v>11502</v>
      </c>
      <c r="B3899" s="8" t="s">
        <v>16180</v>
      </c>
      <c r="C3899" s="2" t="s">
        <v>11502</v>
      </c>
      <c r="D3899" s="2" t="s">
        <v>11503</v>
      </c>
      <c r="E3899" s="4" t="s">
        <v>32253</v>
      </c>
    </row>
    <row r="3900" spans="1:12" x14ac:dyDescent="0.25">
      <c r="A3900" s="2" t="s">
        <v>11504</v>
      </c>
      <c r="B3900" s="8" t="s">
        <v>16180</v>
      </c>
      <c r="C3900" s="2" t="s">
        <v>11504</v>
      </c>
      <c r="D3900" s="2" t="s">
        <v>11505</v>
      </c>
      <c r="E3900" s="4" t="s">
        <v>32254</v>
      </c>
    </row>
    <row r="3901" spans="1:12" x14ac:dyDescent="0.25">
      <c r="A3901" s="2" t="s">
        <v>11506</v>
      </c>
      <c r="B3901" s="8" t="s">
        <v>18577</v>
      </c>
      <c r="C3901" s="2" t="s">
        <v>11506</v>
      </c>
      <c r="D3901" s="2" t="s">
        <v>11507</v>
      </c>
      <c r="E3901" s="4" t="s">
        <v>32255</v>
      </c>
      <c r="G3901" s="15" t="s">
        <v>32256</v>
      </c>
      <c r="H3901" s="15" t="s">
        <v>32257</v>
      </c>
      <c r="I3901" s="15" t="s">
        <v>32258</v>
      </c>
      <c r="J3901" s="15" t="s">
        <v>24532</v>
      </c>
      <c r="K3901" s="15">
        <v>18529</v>
      </c>
      <c r="L3901" s="15" t="s">
        <v>19099</v>
      </c>
    </row>
    <row r="3902" spans="1:12" x14ac:dyDescent="0.25">
      <c r="A3902" s="2" t="s">
        <v>11509</v>
      </c>
      <c r="B3902" s="8" t="s">
        <v>16180</v>
      </c>
      <c r="C3902" s="2" t="s">
        <v>11509</v>
      </c>
      <c r="D3902" s="2" t="s">
        <v>11510</v>
      </c>
      <c r="E3902" s="4" t="s">
        <v>32259</v>
      </c>
    </row>
    <row r="3903" spans="1:12" x14ac:dyDescent="0.25">
      <c r="A3903" s="2" t="s">
        <v>11511</v>
      </c>
      <c r="B3903" s="8" t="s">
        <v>16180</v>
      </c>
      <c r="C3903" s="2" t="s">
        <v>11511</v>
      </c>
      <c r="D3903" s="2" t="s">
        <v>11512</v>
      </c>
      <c r="E3903" s="4" t="s">
        <v>32260</v>
      </c>
    </row>
    <row r="3904" spans="1:12" x14ac:dyDescent="0.25">
      <c r="A3904" s="2" t="s">
        <v>11513</v>
      </c>
      <c r="B3904" s="8" t="s">
        <v>16180</v>
      </c>
      <c r="C3904" s="2" t="s">
        <v>11513</v>
      </c>
      <c r="D3904" s="2" t="s">
        <v>11514</v>
      </c>
      <c r="E3904" s="4" t="s">
        <v>32261</v>
      </c>
    </row>
    <row r="3905" spans="1:12" x14ac:dyDescent="0.25">
      <c r="A3905" s="2" t="s">
        <v>11515</v>
      </c>
      <c r="B3905" s="8" t="s">
        <v>18578</v>
      </c>
      <c r="C3905" s="2" t="s">
        <v>11515</v>
      </c>
      <c r="D3905" s="2" t="s">
        <v>11516</v>
      </c>
      <c r="E3905" s="4" t="s">
        <v>32262</v>
      </c>
      <c r="G3905" s="15" t="s">
        <v>27765</v>
      </c>
      <c r="H3905" s="15" t="s">
        <v>27766</v>
      </c>
      <c r="I3905" s="15" t="s">
        <v>27767</v>
      </c>
      <c r="J3905" s="15" t="s">
        <v>27768</v>
      </c>
      <c r="K3905" s="15">
        <v>727</v>
      </c>
      <c r="L3905" s="15" t="s">
        <v>19099</v>
      </c>
    </row>
    <row r="3906" spans="1:12" x14ac:dyDescent="0.25">
      <c r="A3906" s="2" t="s">
        <v>11518</v>
      </c>
      <c r="B3906" s="8" t="s">
        <v>16180</v>
      </c>
      <c r="C3906" s="2" t="s">
        <v>11518</v>
      </c>
      <c r="D3906" s="2" t="s">
        <v>11519</v>
      </c>
      <c r="E3906" s="4" t="s">
        <v>32263</v>
      </c>
    </row>
    <row r="3907" spans="1:12" x14ac:dyDescent="0.25">
      <c r="A3907" s="2" t="s">
        <v>11520</v>
      </c>
      <c r="B3907" s="8" t="s">
        <v>16180</v>
      </c>
      <c r="C3907" s="2" t="s">
        <v>11520</v>
      </c>
      <c r="D3907" s="2" t="s">
        <v>11521</v>
      </c>
      <c r="E3907" s="4" t="s">
        <v>32264</v>
      </c>
    </row>
    <row r="3908" spans="1:12" x14ac:dyDescent="0.25">
      <c r="A3908" s="2" t="s">
        <v>11522</v>
      </c>
      <c r="B3908" s="8" t="s">
        <v>16180</v>
      </c>
      <c r="C3908" s="2" t="s">
        <v>11522</v>
      </c>
      <c r="D3908" s="2" t="s">
        <v>11523</v>
      </c>
      <c r="E3908" s="4" t="s">
        <v>32265</v>
      </c>
    </row>
    <row r="3909" spans="1:12" x14ac:dyDescent="0.25">
      <c r="A3909" s="2" t="s">
        <v>11524</v>
      </c>
      <c r="B3909" s="8" t="s">
        <v>16180</v>
      </c>
      <c r="C3909" s="2" t="s">
        <v>11524</v>
      </c>
      <c r="D3909" s="2" t="s">
        <v>11525</v>
      </c>
      <c r="E3909" s="4" t="s">
        <v>32266</v>
      </c>
    </row>
    <row r="3910" spans="1:12" x14ac:dyDescent="0.25">
      <c r="A3910" s="2" t="s">
        <v>11526</v>
      </c>
      <c r="B3910" s="8" t="s">
        <v>16180</v>
      </c>
      <c r="C3910" s="2" t="s">
        <v>11526</v>
      </c>
      <c r="D3910" s="2" t="s">
        <v>11527</v>
      </c>
      <c r="E3910" s="4" t="s">
        <v>32267</v>
      </c>
    </row>
    <row r="3911" spans="1:12" x14ac:dyDescent="0.25">
      <c r="A3911" s="2" t="s">
        <v>11528</v>
      </c>
      <c r="B3911" s="8" t="s">
        <v>16180</v>
      </c>
      <c r="C3911" s="2" t="s">
        <v>11528</v>
      </c>
      <c r="D3911" s="2" t="s">
        <v>11529</v>
      </c>
      <c r="E3911" s="4" t="s">
        <v>32268</v>
      </c>
    </row>
    <row r="3912" spans="1:12" x14ac:dyDescent="0.25">
      <c r="A3912" s="2" t="s">
        <v>11530</v>
      </c>
      <c r="B3912" s="8" t="s">
        <v>16180</v>
      </c>
      <c r="C3912" s="2" t="s">
        <v>11530</v>
      </c>
      <c r="D3912" s="2" t="s">
        <v>11531</v>
      </c>
      <c r="E3912" s="4" t="s">
        <v>32269</v>
      </c>
    </row>
    <row r="3913" spans="1:12" x14ac:dyDescent="0.25">
      <c r="A3913" s="2" t="s">
        <v>11532</v>
      </c>
      <c r="B3913" s="8" t="s">
        <v>16180</v>
      </c>
      <c r="C3913" s="2" t="s">
        <v>11532</v>
      </c>
      <c r="D3913" s="2" t="s">
        <v>11533</v>
      </c>
      <c r="E3913" s="4" t="s">
        <v>32270</v>
      </c>
    </row>
    <row r="3914" spans="1:12" x14ac:dyDescent="0.25">
      <c r="A3914" s="2" t="s">
        <v>11534</v>
      </c>
      <c r="B3914" s="8" t="s">
        <v>16180</v>
      </c>
      <c r="C3914" s="2" t="s">
        <v>11534</v>
      </c>
      <c r="D3914" s="2" t="s">
        <v>11535</v>
      </c>
      <c r="E3914" s="4" t="s">
        <v>32271</v>
      </c>
    </row>
    <row r="3915" spans="1:12" x14ac:dyDescent="0.25">
      <c r="A3915" s="2" t="s">
        <v>11536</v>
      </c>
      <c r="B3915" s="8" t="s">
        <v>16180</v>
      </c>
      <c r="C3915" s="2" t="s">
        <v>11536</v>
      </c>
      <c r="D3915" s="2" t="s">
        <v>11537</v>
      </c>
      <c r="E3915" s="4" t="s">
        <v>32272</v>
      </c>
    </row>
    <row r="3916" spans="1:12" x14ac:dyDescent="0.25">
      <c r="A3916" s="2" t="s">
        <v>11538</v>
      </c>
      <c r="B3916" s="8" t="s">
        <v>16180</v>
      </c>
      <c r="C3916" s="2" t="s">
        <v>11538</v>
      </c>
      <c r="D3916" s="2" t="s">
        <v>11539</v>
      </c>
      <c r="E3916" s="4" t="s">
        <v>32273</v>
      </c>
    </row>
    <row r="3917" spans="1:12" x14ac:dyDescent="0.25">
      <c r="A3917" s="2" t="s">
        <v>11540</v>
      </c>
      <c r="B3917" s="8" t="s">
        <v>16180</v>
      </c>
      <c r="C3917" s="2" t="s">
        <v>11540</v>
      </c>
      <c r="D3917" s="2" t="s">
        <v>11541</v>
      </c>
      <c r="E3917" s="4" t="s">
        <v>32274</v>
      </c>
    </row>
    <row r="3918" spans="1:12" x14ac:dyDescent="0.25">
      <c r="A3918" s="2" t="s">
        <v>11542</v>
      </c>
      <c r="B3918" s="8" t="s">
        <v>16180</v>
      </c>
      <c r="C3918" s="2" t="s">
        <v>11542</v>
      </c>
      <c r="D3918" s="2" t="s">
        <v>11543</v>
      </c>
      <c r="E3918" s="4" t="s">
        <v>32275</v>
      </c>
    </row>
    <row r="3919" spans="1:12" x14ac:dyDescent="0.25">
      <c r="A3919" s="2" t="s">
        <v>11544</v>
      </c>
      <c r="B3919" s="8" t="s">
        <v>16180</v>
      </c>
      <c r="C3919" s="2" t="s">
        <v>11544</v>
      </c>
      <c r="D3919" s="2" t="s">
        <v>11545</v>
      </c>
      <c r="E3919" s="4" t="s">
        <v>32276</v>
      </c>
    </row>
    <row r="3920" spans="1:12" x14ac:dyDescent="0.25">
      <c r="A3920" s="2" t="s">
        <v>11546</v>
      </c>
      <c r="B3920" s="8" t="s">
        <v>16180</v>
      </c>
      <c r="C3920" s="2" t="s">
        <v>11546</v>
      </c>
      <c r="D3920" s="2" t="s">
        <v>11547</v>
      </c>
      <c r="E3920" s="4" t="s">
        <v>32277</v>
      </c>
    </row>
    <row r="3921" spans="1:5" x14ac:dyDescent="0.25">
      <c r="A3921" s="2" t="s">
        <v>11548</v>
      </c>
      <c r="B3921" s="8" t="s">
        <v>16180</v>
      </c>
      <c r="C3921" s="2" t="s">
        <v>11548</v>
      </c>
      <c r="D3921" s="2" t="s">
        <v>11549</v>
      </c>
      <c r="E3921" s="4" t="s">
        <v>32278</v>
      </c>
    </row>
    <row r="3922" spans="1:5" x14ac:dyDescent="0.25">
      <c r="A3922" s="2" t="s">
        <v>11550</v>
      </c>
      <c r="B3922" s="8" t="s">
        <v>16180</v>
      </c>
      <c r="C3922" s="2" t="s">
        <v>11550</v>
      </c>
      <c r="D3922" s="2" t="s">
        <v>11551</v>
      </c>
      <c r="E3922" s="4" t="s">
        <v>32279</v>
      </c>
    </row>
    <row r="3923" spans="1:5" x14ac:dyDescent="0.25">
      <c r="A3923" s="2" t="s">
        <v>11552</v>
      </c>
      <c r="B3923" s="8" t="s">
        <v>16180</v>
      </c>
      <c r="C3923" s="2" t="s">
        <v>11552</v>
      </c>
      <c r="D3923" s="2" t="s">
        <v>11553</v>
      </c>
      <c r="E3923" s="4" t="s">
        <v>32280</v>
      </c>
    </row>
    <row r="3924" spans="1:5" ht="30" customHeight="1" x14ac:dyDescent="0.25">
      <c r="A3924" s="2" t="s">
        <v>11554</v>
      </c>
      <c r="B3924" s="8" t="s">
        <v>16180</v>
      </c>
      <c r="C3924" s="2" t="s">
        <v>11554</v>
      </c>
      <c r="D3924" s="2" t="s">
        <v>11555</v>
      </c>
      <c r="E3924" s="4" t="s">
        <v>32281</v>
      </c>
    </row>
    <row r="3925" spans="1:5" ht="30" customHeight="1" x14ac:dyDescent="0.25">
      <c r="A3925" s="2" t="s">
        <v>11556</v>
      </c>
      <c r="B3925" s="8" t="s">
        <v>16180</v>
      </c>
      <c r="C3925" s="2" t="s">
        <v>11556</v>
      </c>
      <c r="D3925" s="2" t="s">
        <v>11557</v>
      </c>
      <c r="E3925" s="4" t="s">
        <v>32282</v>
      </c>
    </row>
    <row r="3926" spans="1:5" ht="30" customHeight="1" x14ac:dyDescent="0.25">
      <c r="A3926" s="2" t="s">
        <v>11558</v>
      </c>
      <c r="B3926" s="8" t="s">
        <v>16180</v>
      </c>
      <c r="C3926" s="2" t="s">
        <v>11558</v>
      </c>
      <c r="D3926" s="2" t="s">
        <v>11559</v>
      </c>
      <c r="E3926" s="4" t="s">
        <v>32283</v>
      </c>
    </row>
    <row r="3927" spans="1:5" x14ac:dyDescent="0.25">
      <c r="A3927" s="2" t="s">
        <v>11560</v>
      </c>
      <c r="B3927" s="8" t="s">
        <v>16180</v>
      </c>
      <c r="C3927" s="2" t="s">
        <v>11560</v>
      </c>
      <c r="D3927" s="2" t="s">
        <v>11561</v>
      </c>
      <c r="E3927" s="4" t="s">
        <v>32284</v>
      </c>
    </row>
    <row r="3928" spans="1:5" x14ac:dyDescent="0.25">
      <c r="A3928" s="2" t="s">
        <v>11562</v>
      </c>
      <c r="B3928" s="8" t="s">
        <v>16180</v>
      </c>
      <c r="C3928" s="2" t="s">
        <v>11562</v>
      </c>
      <c r="D3928" s="2" t="s">
        <v>11563</v>
      </c>
      <c r="E3928" s="4" t="s">
        <v>32285</v>
      </c>
    </row>
    <row r="3929" spans="1:5" x14ac:dyDescent="0.25">
      <c r="A3929" s="2" t="s">
        <v>11564</v>
      </c>
      <c r="B3929" s="8" t="s">
        <v>16180</v>
      </c>
      <c r="C3929" s="2" t="s">
        <v>11564</v>
      </c>
      <c r="D3929" s="2" t="s">
        <v>11565</v>
      </c>
      <c r="E3929" s="4" t="s">
        <v>32286</v>
      </c>
    </row>
    <row r="3930" spans="1:5" x14ac:dyDescent="0.25">
      <c r="A3930" s="2" t="s">
        <v>11566</v>
      </c>
      <c r="B3930" s="8" t="s">
        <v>16180</v>
      </c>
      <c r="C3930" s="2" t="s">
        <v>11566</v>
      </c>
      <c r="D3930" s="2" t="s">
        <v>11567</v>
      </c>
      <c r="E3930" s="4" t="s">
        <v>32287</v>
      </c>
    </row>
    <row r="3931" spans="1:5" x14ac:dyDescent="0.25">
      <c r="A3931" s="2" t="s">
        <v>11568</v>
      </c>
      <c r="B3931" s="8" t="s">
        <v>16180</v>
      </c>
      <c r="C3931" s="2" t="s">
        <v>11568</v>
      </c>
      <c r="D3931" s="2" t="s">
        <v>11569</v>
      </c>
      <c r="E3931" s="4" t="s">
        <v>32288</v>
      </c>
    </row>
    <row r="3932" spans="1:5" x14ac:dyDescent="0.25">
      <c r="A3932" s="2" t="s">
        <v>11570</v>
      </c>
      <c r="B3932" s="8" t="s">
        <v>16180</v>
      </c>
      <c r="C3932" s="2" t="s">
        <v>11570</v>
      </c>
      <c r="D3932" s="2" t="s">
        <v>11571</v>
      </c>
      <c r="E3932" s="4" t="s">
        <v>32289</v>
      </c>
    </row>
    <row r="3933" spans="1:5" ht="30" customHeight="1" x14ac:dyDescent="0.25">
      <c r="A3933" s="2" t="s">
        <v>11572</v>
      </c>
      <c r="B3933" s="8" t="s">
        <v>16180</v>
      </c>
      <c r="C3933" s="2" t="s">
        <v>11572</v>
      </c>
      <c r="D3933" s="2" t="s">
        <v>11573</v>
      </c>
      <c r="E3933" s="4" t="s">
        <v>32290</v>
      </c>
    </row>
    <row r="3934" spans="1:5" x14ac:dyDescent="0.25">
      <c r="A3934" s="2" t="s">
        <v>11574</v>
      </c>
      <c r="B3934" s="8" t="s">
        <v>16180</v>
      </c>
      <c r="C3934" s="2" t="s">
        <v>11574</v>
      </c>
      <c r="D3934" s="2" t="s">
        <v>11575</v>
      </c>
      <c r="E3934" s="4" t="s">
        <v>32291</v>
      </c>
    </row>
    <row r="3935" spans="1:5" x14ac:dyDescent="0.25">
      <c r="A3935" s="2" t="s">
        <v>11576</v>
      </c>
      <c r="B3935" s="8" t="s">
        <v>16180</v>
      </c>
      <c r="C3935" s="2" t="s">
        <v>11576</v>
      </c>
      <c r="D3935" s="2" t="s">
        <v>11577</v>
      </c>
      <c r="E3935" s="4" t="s">
        <v>32292</v>
      </c>
    </row>
    <row r="3936" spans="1:5" x14ac:dyDescent="0.25">
      <c r="A3936" s="2" t="s">
        <v>11578</v>
      </c>
      <c r="B3936" s="8" t="s">
        <v>16180</v>
      </c>
      <c r="C3936" s="2" t="s">
        <v>11578</v>
      </c>
      <c r="D3936" s="2" t="s">
        <v>11579</v>
      </c>
      <c r="E3936" s="4" t="s">
        <v>32293</v>
      </c>
    </row>
    <row r="3937" spans="1:20" x14ac:dyDescent="0.25">
      <c r="A3937" s="2" t="s">
        <v>11580</v>
      </c>
      <c r="B3937" s="8" t="s">
        <v>16180</v>
      </c>
      <c r="C3937" s="2" t="s">
        <v>11580</v>
      </c>
      <c r="D3937" s="2" t="s">
        <v>11581</v>
      </c>
      <c r="E3937" s="4" t="s">
        <v>32294</v>
      </c>
    </row>
    <row r="3938" spans="1:20" x14ac:dyDescent="0.25">
      <c r="A3938" s="2" t="s">
        <v>11582</v>
      </c>
      <c r="B3938" s="8" t="s">
        <v>16180</v>
      </c>
      <c r="C3938" s="2" t="s">
        <v>11582</v>
      </c>
      <c r="D3938" s="2" t="s">
        <v>11583</v>
      </c>
      <c r="E3938" s="4" t="s">
        <v>32295</v>
      </c>
    </row>
    <row r="3939" spans="1:20" x14ac:dyDescent="0.25">
      <c r="A3939" s="2" t="s">
        <v>11584</v>
      </c>
      <c r="B3939" s="8" t="s">
        <v>16180</v>
      </c>
      <c r="C3939" s="2" t="s">
        <v>11584</v>
      </c>
      <c r="D3939" s="2" t="s">
        <v>11585</v>
      </c>
      <c r="E3939" s="4" t="s">
        <v>32296</v>
      </c>
    </row>
    <row r="3940" spans="1:20" x14ac:dyDescent="0.25">
      <c r="A3940" s="2" t="s">
        <v>11586</v>
      </c>
      <c r="B3940" s="8" t="s">
        <v>16180</v>
      </c>
      <c r="C3940" s="2" t="s">
        <v>11586</v>
      </c>
      <c r="D3940" s="2" t="s">
        <v>11587</v>
      </c>
      <c r="E3940" s="4" t="s">
        <v>32297</v>
      </c>
    </row>
    <row r="3941" spans="1:20" x14ac:dyDescent="0.25">
      <c r="A3941" s="2" t="s">
        <v>11588</v>
      </c>
      <c r="B3941" s="8" t="s">
        <v>16180</v>
      </c>
      <c r="C3941" s="2" t="s">
        <v>11588</v>
      </c>
      <c r="D3941" s="2" t="s">
        <v>11589</v>
      </c>
      <c r="E3941" s="4" t="s">
        <v>32298</v>
      </c>
    </row>
    <row r="3942" spans="1:20" x14ac:dyDescent="0.25">
      <c r="A3942" s="2" t="s">
        <v>11590</v>
      </c>
      <c r="B3942" s="8" t="s">
        <v>16180</v>
      </c>
      <c r="C3942" s="2" t="s">
        <v>11590</v>
      </c>
      <c r="D3942" s="2" t="s">
        <v>11591</v>
      </c>
      <c r="E3942" s="4" t="s">
        <v>32299</v>
      </c>
    </row>
    <row r="3943" spans="1:20" ht="30" customHeight="1" x14ac:dyDescent="0.25">
      <c r="A3943" s="2" t="s">
        <v>11592</v>
      </c>
      <c r="B3943" s="8" t="s">
        <v>16180</v>
      </c>
      <c r="C3943" s="2" t="s">
        <v>11592</v>
      </c>
      <c r="D3943" s="2" t="s">
        <v>11593</v>
      </c>
      <c r="E3943" s="4" t="s">
        <v>32300</v>
      </c>
    </row>
    <row r="3944" spans="1:20" x14ac:dyDescent="0.25">
      <c r="A3944" s="2" t="s">
        <v>11594</v>
      </c>
      <c r="B3944" s="8" t="s">
        <v>16180</v>
      </c>
      <c r="C3944" s="2" t="s">
        <v>11594</v>
      </c>
      <c r="D3944" s="2" t="s">
        <v>11595</v>
      </c>
      <c r="E3944" s="4" t="s">
        <v>32301</v>
      </c>
    </row>
    <row r="3945" spans="1:20" ht="30" customHeight="1" x14ac:dyDescent="0.25">
      <c r="A3945" s="2" t="s">
        <v>11596</v>
      </c>
      <c r="B3945" s="8" t="s">
        <v>16180</v>
      </c>
      <c r="C3945" s="2" t="s">
        <v>11596</v>
      </c>
      <c r="D3945" s="2" t="s">
        <v>11597</v>
      </c>
      <c r="E3945" s="4" t="s">
        <v>32302</v>
      </c>
    </row>
    <row r="3946" spans="1:20" x14ac:dyDescent="0.25">
      <c r="A3946" s="2" t="s">
        <v>11598</v>
      </c>
      <c r="B3946" s="8" t="s">
        <v>16180</v>
      </c>
      <c r="C3946" s="2" t="s">
        <v>11598</v>
      </c>
      <c r="D3946" s="2" t="s">
        <v>11599</v>
      </c>
      <c r="E3946" s="4" t="s">
        <v>32303</v>
      </c>
    </row>
    <row r="3947" spans="1:20" x14ac:dyDescent="0.25">
      <c r="A3947" s="2" t="s">
        <v>11600</v>
      </c>
      <c r="B3947" s="8" t="s">
        <v>16180</v>
      </c>
      <c r="C3947" s="2" t="s">
        <v>11600</v>
      </c>
      <c r="D3947" s="2" t="s">
        <v>11601</v>
      </c>
      <c r="E3947" s="4" t="s">
        <v>32304</v>
      </c>
    </row>
    <row r="3948" spans="1:20" x14ac:dyDescent="0.25">
      <c r="A3948" s="2" t="s">
        <v>11602</v>
      </c>
      <c r="B3948" s="8" t="s">
        <v>16180</v>
      </c>
      <c r="C3948" s="2" t="s">
        <v>11602</v>
      </c>
      <c r="D3948" s="2" t="s">
        <v>11603</v>
      </c>
      <c r="E3948" s="4" t="s">
        <v>32305</v>
      </c>
    </row>
    <row r="3949" spans="1:20" x14ac:dyDescent="0.25">
      <c r="A3949" s="2" t="s">
        <v>11604</v>
      </c>
      <c r="B3949" s="8" t="s">
        <v>16180</v>
      </c>
      <c r="C3949" s="2" t="s">
        <v>11604</v>
      </c>
      <c r="D3949" s="2" t="s">
        <v>11605</v>
      </c>
      <c r="E3949" s="4" t="s">
        <v>32306</v>
      </c>
      <c r="N3949" s="15" t="s">
        <v>21788</v>
      </c>
      <c r="O3949" s="15" t="s">
        <v>32307</v>
      </c>
      <c r="P3949" s="15" t="s">
        <v>32308</v>
      </c>
      <c r="Q3949" s="15" t="s">
        <v>32309</v>
      </c>
      <c r="R3949" s="15" t="s">
        <v>32310</v>
      </c>
      <c r="S3949" s="15">
        <v>132815</v>
      </c>
      <c r="T3949" s="15" t="s">
        <v>19089</v>
      </c>
    </row>
    <row r="3950" spans="1:20" x14ac:dyDescent="0.25">
      <c r="A3950" s="2" t="s">
        <v>11606</v>
      </c>
      <c r="B3950" s="8" t="s">
        <v>16180</v>
      </c>
      <c r="C3950" s="2" t="s">
        <v>11606</v>
      </c>
      <c r="D3950" s="2" t="s">
        <v>11607</v>
      </c>
      <c r="E3950" s="4" t="s">
        <v>32311</v>
      </c>
    </row>
    <row r="3951" spans="1:20" x14ac:dyDescent="0.25">
      <c r="A3951" s="2" t="s">
        <v>11608</v>
      </c>
      <c r="B3951" s="8" t="s">
        <v>16180</v>
      </c>
      <c r="C3951" s="2" t="s">
        <v>11608</v>
      </c>
      <c r="D3951" s="2" t="s">
        <v>11609</v>
      </c>
      <c r="E3951" s="4" t="s">
        <v>32312</v>
      </c>
    </row>
    <row r="3952" spans="1:20" x14ac:dyDescent="0.25">
      <c r="A3952" s="2" t="s">
        <v>11610</v>
      </c>
      <c r="B3952" s="8" t="s">
        <v>16180</v>
      </c>
      <c r="C3952" s="2" t="s">
        <v>11610</v>
      </c>
      <c r="D3952" s="2" t="s">
        <v>11611</v>
      </c>
      <c r="E3952" s="4" t="s">
        <v>32313</v>
      </c>
    </row>
    <row r="3953" spans="1:5" x14ac:dyDescent="0.25">
      <c r="A3953" s="2" t="s">
        <v>11612</v>
      </c>
      <c r="B3953" s="8" t="s">
        <v>16180</v>
      </c>
      <c r="C3953" s="2" t="s">
        <v>11612</v>
      </c>
      <c r="D3953" s="2" t="s">
        <v>11613</v>
      </c>
      <c r="E3953" s="4" t="s">
        <v>32314</v>
      </c>
    </row>
    <row r="3954" spans="1:5" x14ac:dyDescent="0.25">
      <c r="A3954" s="2" t="s">
        <v>11614</v>
      </c>
      <c r="B3954" s="8" t="s">
        <v>16180</v>
      </c>
      <c r="C3954" s="2" t="s">
        <v>11614</v>
      </c>
      <c r="D3954" s="2" t="s">
        <v>11615</v>
      </c>
      <c r="E3954" s="4" t="s">
        <v>32315</v>
      </c>
    </row>
    <row r="3955" spans="1:5" x14ac:dyDescent="0.25">
      <c r="A3955" s="2" t="s">
        <v>11616</v>
      </c>
      <c r="B3955" s="8" t="s">
        <v>16180</v>
      </c>
      <c r="C3955" s="2" t="s">
        <v>11616</v>
      </c>
      <c r="D3955" s="2" t="s">
        <v>11617</v>
      </c>
      <c r="E3955" s="4" t="s">
        <v>32316</v>
      </c>
    </row>
    <row r="3956" spans="1:5" x14ac:dyDescent="0.25">
      <c r="A3956" s="2" t="s">
        <v>11618</v>
      </c>
      <c r="B3956" s="8" t="s">
        <v>16180</v>
      </c>
      <c r="C3956" s="2" t="s">
        <v>11618</v>
      </c>
      <c r="D3956" s="2" t="s">
        <v>11619</v>
      </c>
      <c r="E3956" s="4" t="s">
        <v>32317</v>
      </c>
    </row>
    <row r="3957" spans="1:5" x14ac:dyDescent="0.25">
      <c r="A3957" s="2" t="s">
        <v>11620</v>
      </c>
      <c r="B3957" s="8" t="s">
        <v>16180</v>
      </c>
      <c r="C3957" s="2" t="s">
        <v>11620</v>
      </c>
      <c r="D3957" s="2" t="s">
        <v>11621</v>
      </c>
      <c r="E3957" s="4" t="s">
        <v>32318</v>
      </c>
    </row>
    <row r="3958" spans="1:5" x14ac:dyDescent="0.25">
      <c r="A3958" s="2" t="s">
        <v>11622</v>
      </c>
      <c r="B3958" s="8" t="s">
        <v>16180</v>
      </c>
      <c r="C3958" s="2" t="s">
        <v>11622</v>
      </c>
      <c r="D3958" s="2" t="s">
        <v>11623</v>
      </c>
      <c r="E3958" s="4" t="s">
        <v>32319</v>
      </c>
    </row>
    <row r="3959" spans="1:5" x14ac:dyDescent="0.25">
      <c r="A3959" s="2" t="s">
        <v>11624</v>
      </c>
      <c r="B3959" s="8" t="s">
        <v>16180</v>
      </c>
      <c r="C3959" s="2" t="s">
        <v>11624</v>
      </c>
      <c r="D3959" s="2" t="s">
        <v>11625</v>
      </c>
      <c r="E3959" s="4" t="s">
        <v>32320</v>
      </c>
    </row>
    <row r="3960" spans="1:5" ht="30" customHeight="1" x14ac:dyDescent="0.25">
      <c r="A3960" s="2" t="s">
        <v>11626</v>
      </c>
      <c r="B3960" s="8" t="s">
        <v>16180</v>
      </c>
      <c r="C3960" s="2" t="s">
        <v>11626</v>
      </c>
      <c r="D3960" s="2" t="s">
        <v>11627</v>
      </c>
      <c r="E3960" s="4" t="s">
        <v>32321</v>
      </c>
    </row>
    <row r="3961" spans="1:5" x14ac:dyDescent="0.25">
      <c r="A3961" s="2" t="s">
        <v>11628</v>
      </c>
      <c r="B3961" s="8" t="s">
        <v>16180</v>
      </c>
      <c r="C3961" s="2" t="s">
        <v>11628</v>
      </c>
      <c r="D3961" s="2" t="s">
        <v>11629</v>
      </c>
      <c r="E3961" s="4" t="s">
        <v>32322</v>
      </c>
    </row>
    <row r="3962" spans="1:5" ht="30" customHeight="1" x14ac:dyDescent="0.25">
      <c r="A3962" s="2" t="s">
        <v>11630</v>
      </c>
      <c r="B3962" s="8" t="s">
        <v>16180</v>
      </c>
      <c r="C3962" s="2" t="s">
        <v>11630</v>
      </c>
      <c r="D3962" s="2" t="s">
        <v>11631</v>
      </c>
      <c r="E3962" s="4" t="s">
        <v>32323</v>
      </c>
    </row>
    <row r="3963" spans="1:5" ht="30" customHeight="1" x14ac:dyDescent="0.25">
      <c r="A3963" s="2" t="s">
        <v>11633</v>
      </c>
      <c r="B3963" s="8" t="s">
        <v>16180</v>
      </c>
      <c r="C3963" s="2" t="s">
        <v>11633</v>
      </c>
      <c r="D3963" s="2" t="s">
        <v>11634</v>
      </c>
      <c r="E3963" s="4" t="s">
        <v>32324</v>
      </c>
    </row>
    <row r="3964" spans="1:5" x14ac:dyDescent="0.25">
      <c r="A3964" s="2" t="s">
        <v>11635</v>
      </c>
      <c r="B3964" s="8" t="s">
        <v>16180</v>
      </c>
      <c r="C3964" s="2" t="s">
        <v>11635</v>
      </c>
      <c r="D3964" s="2" t="s">
        <v>11636</v>
      </c>
      <c r="E3964" s="4" t="s">
        <v>32325</v>
      </c>
    </row>
    <row r="3965" spans="1:5" ht="30" customHeight="1" x14ac:dyDescent="0.25">
      <c r="A3965" s="2" t="s">
        <v>11637</v>
      </c>
      <c r="B3965" s="8" t="s">
        <v>16180</v>
      </c>
      <c r="C3965" s="2" t="s">
        <v>11637</v>
      </c>
      <c r="D3965" s="2" t="s">
        <v>11638</v>
      </c>
      <c r="E3965" s="4" t="s">
        <v>32326</v>
      </c>
    </row>
    <row r="3966" spans="1:5" ht="30" customHeight="1" x14ac:dyDescent="0.25">
      <c r="A3966" s="2" t="s">
        <v>11639</v>
      </c>
      <c r="B3966" s="8" t="s">
        <v>16180</v>
      </c>
      <c r="C3966" s="2" t="s">
        <v>11639</v>
      </c>
      <c r="D3966" s="2" t="s">
        <v>11640</v>
      </c>
      <c r="E3966" s="4" t="s">
        <v>32327</v>
      </c>
    </row>
    <row r="3967" spans="1:5" x14ac:dyDescent="0.25">
      <c r="A3967" s="2" t="s">
        <v>11641</v>
      </c>
      <c r="B3967" s="8" t="s">
        <v>16180</v>
      </c>
      <c r="C3967" s="2" t="s">
        <v>11641</v>
      </c>
      <c r="D3967" s="2" t="s">
        <v>11642</v>
      </c>
      <c r="E3967" s="4" t="s">
        <v>32328</v>
      </c>
    </row>
    <row r="3968" spans="1:5" x14ac:dyDescent="0.25">
      <c r="A3968" s="2" t="s">
        <v>11643</v>
      </c>
      <c r="B3968" s="8" t="s">
        <v>16180</v>
      </c>
      <c r="C3968" s="2" t="s">
        <v>11643</v>
      </c>
      <c r="D3968" s="2" t="s">
        <v>11644</v>
      </c>
      <c r="E3968" s="4" t="s">
        <v>32329</v>
      </c>
    </row>
    <row r="3969" spans="1:12" x14ac:dyDescent="0.25">
      <c r="A3969" s="2" t="s">
        <v>11645</v>
      </c>
      <c r="B3969" s="8" t="s">
        <v>16180</v>
      </c>
      <c r="C3969" s="2" t="s">
        <v>11645</v>
      </c>
      <c r="D3969" s="2" t="s">
        <v>11646</v>
      </c>
      <c r="E3969" s="4" t="s">
        <v>32330</v>
      </c>
    </row>
    <row r="3970" spans="1:12" x14ac:dyDescent="0.25">
      <c r="A3970" s="2" t="s">
        <v>11647</v>
      </c>
      <c r="B3970" s="8" t="s">
        <v>16180</v>
      </c>
      <c r="C3970" s="2" t="s">
        <v>11647</v>
      </c>
      <c r="D3970" s="2" t="s">
        <v>11648</v>
      </c>
      <c r="E3970" s="4" t="s">
        <v>32331</v>
      </c>
    </row>
    <row r="3971" spans="1:12" ht="30" customHeight="1" x14ac:dyDescent="0.25">
      <c r="A3971" s="2" t="s">
        <v>11649</v>
      </c>
      <c r="B3971" s="8" t="s">
        <v>16180</v>
      </c>
      <c r="C3971" s="2" t="s">
        <v>11649</v>
      </c>
      <c r="D3971" s="2" t="s">
        <v>11650</v>
      </c>
      <c r="E3971" s="4" t="s">
        <v>32332</v>
      </c>
    </row>
    <row r="3972" spans="1:12" x14ac:dyDescent="0.25">
      <c r="A3972" s="2" t="s">
        <v>11651</v>
      </c>
      <c r="B3972" s="8" t="s">
        <v>16180</v>
      </c>
      <c r="C3972" s="2" t="s">
        <v>11651</v>
      </c>
      <c r="D3972" s="2" t="s">
        <v>11652</v>
      </c>
      <c r="E3972" s="4" t="s">
        <v>32333</v>
      </c>
    </row>
    <row r="3973" spans="1:12" x14ac:dyDescent="0.25">
      <c r="A3973" s="2" t="s">
        <v>11653</v>
      </c>
      <c r="B3973" s="8" t="s">
        <v>16180</v>
      </c>
      <c r="C3973" s="2" t="s">
        <v>11653</v>
      </c>
      <c r="D3973" s="2" t="s">
        <v>11654</v>
      </c>
      <c r="E3973" s="4" t="s">
        <v>32334</v>
      </c>
    </row>
    <row r="3974" spans="1:12" ht="30" customHeight="1" x14ac:dyDescent="0.25">
      <c r="A3974" s="2" t="s">
        <v>11655</v>
      </c>
      <c r="B3974" s="8" t="s">
        <v>16180</v>
      </c>
      <c r="C3974" s="2" t="s">
        <v>11655</v>
      </c>
      <c r="D3974" s="2" t="s">
        <v>11656</v>
      </c>
      <c r="E3974" s="4" t="s">
        <v>32335</v>
      </c>
    </row>
    <row r="3975" spans="1:12" x14ac:dyDescent="0.25">
      <c r="A3975" s="2" t="s">
        <v>11657</v>
      </c>
      <c r="B3975" s="8" t="s">
        <v>16180</v>
      </c>
      <c r="C3975" s="2" t="s">
        <v>11657</v>
      </c>
      <c r="D3975" s="2" t="s">
        <v>11658</v>
      </c>
      <c r="E3975" s="4" t="s">
        <v>32336</v>
      </c>
    </row>
    <row r="3976" spans="1:12" x14ac:dyDescent="0.25">
      <c r="A3976" s="2" t="s">
        <v>11659</v>
      </c>
      <c r="B3976" s="8" t="s">
        <v>16180</v>
      </c>
      <c r="C3976" s="2" t="s">
        <v>11659</v>
      </c>
      <c r="D3976" s="2" t="s">
        <v>11660</v>
      </c>
      <c r="E3976" s="4" t="s">
        <v>32337</v>
      </c>
    </row>
    <row r="3977" spans="1:12" x14ac:dyDescent="0.25">
      <c r="A3977" s="2" t="s">
        <v>11661</v>
      </c>
      <c r="B3977" s="8" t="s">
        <v>16180</v>
      </c>
      <c r="C3977" s="2" t="s">
        <v>11661</v>
      </c>
      <c r="D3977" s="2" t="s">
        <v>11662</v>
      </c>
      <c r="E3977" s="4" t="s">
        <v>32338</v>
      </c>
    </row>
    <row r="3978" spans="1:12" x14ac:dyDescent="0.25">
      <c r="A3978" s="2" t="s">
        <v>11663</v>
      </c>
      <c r="B3978" s="8" t="s">
        <v>18579</v>
      </c>
      <c r="C3978" s="2" t="s">
        <v>11663</v>
      </c>
      <c r="D3978" s="2" t="s">
        <v>11664</v>
      </c>
      <c r="E3978" s="4" t="s">
        <v>32339</v>
      </c>
      <c r="G3978" s="15" t="s">
        <v>32340</v>
      </c>
      <c r="H3978" s="15" t="s">
        <v>32341</v>
      </c>
      <c r="I3978" s="15" t="s">
        <v>32342</v>
      </c>
      <c r="J3978" s="15" t="s">
        <v>32343</v>
      </c>
      <c r="K3978" s="15">
        <v>5143</v>
      </c>
      <c r="L3978" s="15" t="s">
        <v>19099</v>
      </c>
    </row>
    <row r="3979" spans="1:12" x14ac:dyDescent="0.25">
      <c r="A3979" s="2" t="s">
        <v>11666</v>
      </c>
      <c r="B3979" s="8" t="s">
        <v>18580</v>
      </c>
      <c r="C3979" s="2" t="s">
        <v>11666</v>
      </c>
      <c r="D3979" s="2" t="s">
        <v>11667</v>
      </c>
      <c r="E3979" s="4" t="s">
        <v>32344</v>
      </c>
      <c r="G3979" s="15" t="s">
        <v>32345</v>
      </c>
      <c r="H3979" s="15" t="s">
        <v>32346</v>
      </c>
      <c r="I3979" s="15" t="s">
        <v>32347</v>
      </c>
      <c r="J3979" s="15" t="s">
        <v>28772</v>
      </c>
      <c r="K3979" s="15">
        <v>5988</v>
      </c>
      <c r="L3979" s="15" t="s">
        <v>19099</v>
      </c>
    </row>
    <row r="3980" spans="1:12" x14ac:dyDescent="0.25">
      <c r="A3980" s="2" t="s">
        <v>11669</v>
      </c>
      <c r="B3980" s="8" t="s">
        <v>18581</v>
      </c>
      <c r="C3980" s="2" t="s">
        <v>11669</v>
      </c>
      <c r="D3980" s="2" t="s">
        <v>11670</v>
      </c>
      <c r="E3980" s="4" t="s">
        <v>32348</v>
      </c>
      <c r="G3980" s="15" t="s">
        <v>32349</v>
      </c>
      <c r="H3980" s="15" t="s">
        <v>32350</v>
      </c>
      <c r="I3980" s="15" t="s">
        <v>32351</v>
      </c>
      <c r="J3980" s="15" t="s">
        <v>19467</v>
      </c>
      <c r="K3980" s="15">
        <v>5144</v>
      </c>
      <c r="L3980" s="15" t="s">
        <v>19099</v>
      </c>
    </row>
    <row r="3981" spans="1:12" x14ac:dyDescent="0.25">
      <c r="A3981" s="2" t="s">
        <v>11672</v>
      </c>
      <c r="B3981" s="8" t="s">
        <v>18582</v>
      </c>
      <c r="C3981" s="2" t="s">
        <v>11672</v>
      </c>
      <c r="D3981" s="2" t="s">
        <v>11673</v>
      </c>
      <c r="E3981" s="4" t="s">
        <v>11673</v>
      </c>
      <c r="G3981" s="15" t="s">
        <v>32352</v>
      </c>
      <c r="H3981" s="15" t="s">
        <v>32353</v>
      </c>
      <c r="I3981" s="15" t="s">
        <v>32354</v>
      </c>
      <c r="J3981" s="15" t="s">
        <v>32355</v>
      </c>
      <c r="K3981" s="15">
        <v>2083</v>
      </c>
      <c r="L3981" s="15" t="s">
        <v>19099</v>
      </c>
    </row>
    <row r="3982" spans="1:12" x14ac:dyDescent="0.25">
      <c r="A3982" s="2" t="s">
        <v>11675</v>
      </c>
      <c r="B3982" s="8" t="s">
        <v>18583</v>
      </c>
      <c r="C3982" s="2" t="s">
        <v>11675</v>
      </c>
      <c r="D3982" s="2" t="s">
        <v>11676</v>
      </c>
      <c r="E3982" s="4" t="s">
        <v>32356</v>
      </c>
      <c r="G3982" s="15" t="s">
        <v>32357</v>
      </c>
      <c r="H3982" s="15" t="s">
        <v>32358</v>
      </c>
      <c r="I3982" s="15" t="s">
        <v>32359</v>
      </c>
      <c r="J3982" s="15" t="s">
        <v>32360</v>
      </c>
      <c r="K3982" s="15">
        <v>338</v>
      </c>
      <c r="L3982" s="15" t="s">
        <v>19099</v>
      </c>
    </row>
    <row r="3983" spans="1:12" x14ac:dyDescent="0.25">
      <c r="A3983" s="2" t="s">
        <v>11678</v>
      </c>
      <c r="B3983" s="8" t="s">
        <v>16180</v>
      </c>
      <c r="C3983" s="2" t="s">
        <v>11678</v>
      </c>
      <c r="D3983" s="2" t="s">
        <v>11679</v>
      </c>
      <c r="E3983" s="4" t="s">
        <v>32361</v>
      </c>
    </row>
    <row r="3984" spans="1:12" x14ac:dyDescent="0.25">
      <c r="A3984" s="2" t="s">
        <v>11680</v>
      </c>
      <c r="B3984" s="8" t="s">
        <v>16180</v>
      </c>
      <c r="C3984" s="2" t="s">
        <v>11680</v>
      </c>
      <c r="D3984" s="2" t="s">
        <v>11681</v>
      </c>
      <c r="E3984" s="4" t="s">
        <v>32362</v>
      </c>
    </row>
    <row r="3985" spans="1:5" x14ac:dyDescent="0.25">
      <c r="A3985" s="2" t="s">
        <v>11682</v>
      </c>
      <c r="B3985" s="8" t="s">
        <v>16180</v>
      </c>
      <c r="C3985" s="2" t="s">
        <v>11682</v>
      </c>
      <c r="D3985" s="2" t="s">
        <v>11683</v>
      </c>
      <c r="E3985" s="4" t="s">
        <v>32363</v>
      </c>
    </row>
    <row r="3986" spans="1:5" x14ac:dyDescent="0.25">
      <c r="A3986" s="2" t="s">
        <v>11684</v>
      </c>
      <c r="B3986" s="8" t="s">
        <v>16180</v>
      </c>
      <c r="C3986" s="2" t="s">
        <v>11684</v>
      </c>
      <c r="D3986" s="2" t="s">
        <v>11685</v>
      </c>
      <c r="E3986" s="4" t="s">
        <v>32364</v>
      </c>
    </row>
    <row r="3987" spans="1:5" x14ac:dyDescent="0.25">
      <c r="A3987" s="2" t="s">
        <v>11686</v>
      </c>
      <c r="B3987" s="8" t="s">
        <v>16180</v>
      </c>
      <c r="C3987" s="2" t="s">
        <v>11686</v>
      </c>
      <c r="D3987" s="2" t="s">
        <v>11687</v>
      </c>
      <c r="E3987" s="4" t="s">
        <v>32365</v>
      </c>
    </row>
    <row r="3988" spans="1:5" x14ac:dyDescent="0.25">
      <c r="A3988" s="2" t="s">
        <v>11688</v>
      </c>
      <c r="B3988" s="8" t="s">
        <v>16180</v>
      </c>
      <c r="C3988" s="2" t="s">
        <v>11688</v>
      </c>
      <c r="D3988" s="2" t="s">
        <v>11689</v>
      </c>
      <c r="E3988" s="4" t="s">
        <v>32366</v>
      </c>
    </row>
    <row r="3989" spans="1:5" x14ac:dyDescent="0.25">
      <c r="A3989" s="2" t="s">
        <v>11690</v>
      </c>
      <c r="B3989" s="8" t="s">
        <v>16180</v>
      </c>
      <c r="C3989" s="2" t="s">
        <v>11690</v>
      </c>
      <c r="D3989" s="2" t="s">
        <v>11691</v>
      </c>
      <c r="E3989" s="4" t="s">
        <v>32367</v>
      </c>
    </row>
    <row r="3990" spans="1:5" x14ac:dyDescent="0.25">
      <c r="A3990" s="2" t="s">
        <v>11692</v>
      </c>
      <c r="B3990" s="8" t="s">
        <v>16180</v>
      </c>
      <c r="C3990" s="2" t="s">
        <v>11692</v>
      </c>
      <c r="D3990" s="2" t="s">
        <v>11693</v>
      </c>
      <c r="E3990" s="4" t="s">
        <v>32368</v>
      </c>
    </row>
    <row r="3991" spans="1:5" x14ac:dyDescent="0.25">
      <c r="A3991" s="2" t="s">
        <v>11694</v>
      </c>
      <c r="B3991" s="8" t="s">
        <v>16180</v>
      </c>
      <c r="C3991" s="2" t="s">
        <v>11694</v>
      </c>
      <c r="D3991" s="2" t="s">
        <v>11695</v>
      </c>
      <c r="E3991" s="4" t="s">
        <v>32369</v>
      </c>
    </row>
    <row r="3992" spans="1:5" x14ac:dyDescent="0.25">
      <c r="A3992" s="2" t="s">
        <v>11696</v>
      </c>
      <c r="B3992" s="8" t="s">
        <v>16180</v>
      </c>
      <c r="C3992" s="2" t="s">
        <v>11696</v>
      </c>
      <c r="D3992" s="2" t="s">
        <v>11697</v>
      </c>
      <c r="E3992" s="4" t="s">
        <v>32370</v>
      </c>
    </row>
    <row r="3993" spans="1:5" x14ac:dyDescent="0.25">
      <c r="A3993" s="2" t="s">
        <v>11698</v>
      </c>
      <c r="B3993" s="8" t="s">
        <v>16180</v>
      </c>
      <c r="C3993" s="2" t="s">
        <v>11698</v>
      </c>
      <c r="D3993" s="2" t="s">
        <v>11699</v>
      </c>
      <c r="E3993" s="4" t="s">
        <v>32371</v>
      </c>
    </row>
    <row r="3994" spans="1:5" x14ac:dyDescent="0.25">
      <c r="A3994" s="2" t="s">
        <v>11700</v>
      </c>
      <c r="B3994" s="8" t="s">
        <v>16180</v>
      </c>
      <c r="C3994" s="2" t="s">
        <v>11700</v>
      </c>
      <c r="D3994" s="2" t="s">
        <v>11701</v>
      </c>
      <c r="E3994" s="4" t="s">
        <v>32372</v>
      </c>
    </row>
    <row r="3995" spans="1:5" x14ac:dyDescent="0.25">
      <c r="A3995" s="2" t="s">
        <v>11702</v>
      </c>
      <c r="B3995" s="8" t="s">
        <v>16180</v>
      </c>
      <c r="C3995" s="2" t="s">
        <v>11702</v>
      </c>
      <c r="D3995" s="2" t="s">
        <v>11703</v>
      </c>
      <c r="E3995" s="4" t="s">
        <v>32373</v>
      </c>
    </row>
    <row r="3996" spans="1:5" x14ac:dyDescent="0.25">
      <c r="A3996" s="2" t="s">
        <v>11704</v>
      </c>
      <c r="B3996" s="8" t="s">
        <v>16180</v>
      </c>
      <c r="C3996" s="2" t="s">
        <v>11704</v>
      </c>
      <c r="D3996" s="2" t="s">
        <v>11705</v>
      </c>
      <c r="E3996" s="4" t="s">
        <v>32374</v>
      </c>
    </row>
    <row r="3997" spans="1:5" x14ac:dyDescent="0.25">
      <c r="A3997" s="2" t="s">
        <v>11706</v>
      </c>
      <c r="B3997" s="8" t="s">
        <v>16180</v>
      </c>
      <c r="C3997" s="2" t="s">
        <v>11706</v>
      </c>
      <c r="D3997" s="2" t="s">
        <v>11707</v>
      </c>
      <c r="E3997" s="4" t="s">
        <v>32375</v>
      </c>
    </row>
    <row r="3998" spans="1:5" x14ac:dyDescent="0.25">
      <c r="A3998" s="2" t="s">
        <v>11708</v>
      </c>
      <c r="B3998" s="8" t="s">
        <v>16180</v>
      </c>
      <c r="C3998" s="2" t="s">
        <v>11708</v>
      </c>
      <c r="D3998" s="2" t="s">
        <v>11709</v>
      </c>
      <c r="E3998" s="4" t="s">
        <v>32376</v>
      </c>
    </row>
    <row r="3999" spans="1:5" x14ac:dyDescent="0.25">
      <c r="A3999" s="2" t="s">
        <v>11710</v>
      </c>
      <c r="B3999" s="8" t="s">
        <v>16180</v>
      </c>
      <c r="C3999" s="2" t="s">
        <v>11710</v>
      </c>
      <c r="D3999" s="2" t="s">
        <v>11711</v>
      </c>
      <c r="E3999" s="4" t="s">
        <v>32377</v>
      </c>
    </row>
    <row r="4000" spans="1:5" x14ac:dyDescent="0.25">
      <c r="A4000" s="2" t="s">
        <v>11712</v>
      </c>
      <c r="B4000" s="8" t="s">
        <v>16180</v>
      </c>
      <c r="C4000" s="2" t="s">
        <v>11712</v>
      </c>
      <c r="D4000" s="2" t="s">
        <v>11713</v>
      </c>
      <c r="E4000" s="4" t="s">
        <v>32378</v>
      </c>
    </row>
    <row r="4001" spans="1:12" x14ac:dyDescent="0.25">
      <c r="A4001" s="2" t="s">
        <v>11714</v>
      </c>
      <c r="B4001" s="8" t="s">
        <v>18584</v>
      </c>
      <c r="C4001" s="2" t="s">
        <v>11714</v>
      </c>
      <c r="D4001" s="2" t="s">
        <v>11715</v>
      </c>
      <c r="E4001" s="4" t="s">
        <v>32379</v>
      </c>
      <c r="G4001" s="15" t="s">
        <v>32380</v>
      </c>
      <c r="H4001" s="15" t="s">
        <v>32381</v>
      </c>
      <c r="I4001" s="15" t="s">
        <v>32382</v>
      </c>
      <c r="J4001" s="15" t="s">
        <v>27447</v>
      </c>
      <c r="K4001" s="15">
        <v>23712</v>
      </c>
      <c r="L4001" s="15" t="s">
        <v>19099</v>
      </c>
    </row>
    <row r="4002" spans="1:12" x14ac:dyDescent="0.25">
      <c r="A4002" s="2" t="s">
        <v>11717</v>
      </c>
      <c r="B4002" s="8" t="s">
        <v>18585</v>
      </c>
      <c r="C4002" s="2" t="s">
        <v>11717</v>
      </c>
      <c r="D4002" s="2" t="s">
        <v>11718</v>
      </c>
      <c r="E4002" s="4" t="s">
        <v>11718</v>
      </c>
      <c r="G4002" s="15" t="s">
        <v>32383</v>
      </c>
      <c r="H4002" s="15" t="s">
        <v>32384</v>
      </c>
      <c r="I4002" s="15" t="s">
        <v>32385</v>
      </c>
      <c r="J4002" s="15" t="s">
        <v>19634</v>
      </c>
      <c r="K4002" s="15">
        <v>24874</v>
      </c>
      <c r="L4002" s="15" t="s">
        <v>19099</v>
      </c>
    </row>
    <row r="4003" spans="1:12" x14ac:dyDescent="0.25">
      <c r="A4003" s="2" t="s">
        <v>11720</v>
      </c>
      <c r="B4003" s="8" t="s">
        <v>18586</v>
      </c>
      <c r="C4003" s="2" t="s">
        <v>11720</v>
      </c>
      <c r="D4003" s="2" t="s">
        <v>11721</v>
      </c>
      <c r="E4003" s="4" t="s">
        <v>32386</v>
      </c>
      <c r="G4003" s="15" t="s">
        <v>32387</v>
      </c>
      <c r="H4003" s="15" t="s">
        <v>32388</v>
      </c>
      <c r="I4003" s="15" t="s">
        <v>32389</v>
      </c>
      <c r="J4003" s="15" t="s">
        <v>19219</v>
      </c>
      <c r="K4003" s="15">
        <v>8680</v>
      </c>
      <c r="L4003" s="15" t="s">
        <v>19099</v>
      </c>
    </row>
    <row r="4004" spans="1:12" x14ac:dyDescent="0.25">
      <c r="A4004" s="2" t="s">
        <v>11723</v>
      </c>
      <c r="B4004" s="8" t="s">
        <v>18587</v>
      </c>
      <c r="C4004" s="2" t="s">
        <v>11723</v>
      </c>
      <c r="D4004" s="2" t="s">
        <v>11724</v>
      </c>
      <c r="E4004" s="4" t="s">
        <v>32390</v>
      </c>
      <c r="G4004" s="15" t="s">
        <v>31721</v>
      </c>
      <c r="H4004" s="15" t="s">
        <v>31722</v>
      </c>
      <c r="I4004" s="15" t="s">
        <v>31723</v>
      </c>
      <c r="J4004" s="15" t="s">
        <v>21182</v>
      </c>
      <c r="K4004" s="15">
        <v>7758</v>
      </c>
      <c r="L4004" s="15" t="s">
        <v>19099</v>
      </c>
    </row>
    <row r="4005" spans="1:12" x14ac:dyDescent="0.25">
      <c r="A4005" s="2" t="s">
        <v>11726</v>
      </c>
      <c r="B4005" s="8" t="s">
        <v>18588</v>
      </c>
      <c r="C4005" s="2" t="s">
        <v>11726</v>
      </c>
      <c r="D4005" s="2" t="s">
        <v>11727</v>
      </c>
      <c r="E4005" s="4" t="s">
        <v>11727</v>
      </c>
      <c r="G4005" s="15" t="s">
        <v>32391</v>
      </c>
      <c r="H4005" s="15" t="s">
        <v>32392</v>
      </c>
      <c r="I4005" s="15" t="s">
        <v>32393</v>
      </c>
      <c r="J4005" s="15" t="s">
        <v>31800</v>
      </c>
      <c r="K4005" s="15">
        <v>33443</v>
      </c>
      <c r="L4005" s="15" t="s">
        <v>19099</v>
      </c>
    </row>
    <row r="4006" spans="1:12" x14ac:dyDescent="0.25">
      <c r="A4006" s="2" t="s">
        <v>11729</v>
      </c>
      <c r="B4006" s="8" t="s">
        <v>18589</v>
      </c>
      <c r="C4006" s="2" t="s">
        <v>11729</v>
      </c>
      <c r="D4006" s="2" t="s">
        <v>11730</v>
      </c>
      <c r="E4006" s="4" t="s">
        <v>11730</v>
      </c>
      <c r="G4006" s="15" t="s">
        <v>32394</v>
      </c>
      <c r="H4006" s="15" t="s">
        <v>32395</v>
      </c>
      <c r="I4006" s="15" t="s">
        <v>32396</v>
      </c>
      <c r="J4006" s="15" t="s">
        <v>32397</v>
      </c>
      <c r="K4006" s="15">
        <v>11688533</v>
      </c>
      <c r="L4006" s="15" t="s">
        <v>19099</v>
      </c>
    </row>
    <row r="4007" spans="1:12" x14ac:dyDescent="0.25">
      <c r="A4007" s="2" t="s">
        <v>11732</v>
      </c>
      <c r="B4007" s="8" t="s">
        <v>16180</v>
      </c>
      <c r="C4007" s="2" t="s">
        <v>11732</v>
      </c>
      <c r="D4007" s="2" t="s">
        <v>11733</v>
      </c>
      <c r="E4007" s="4" t="s">
        <v>32398</v>
      </c>
    </row>
    <row r="4008" spans="1:12" ht="30" customHeight="1" x14ac:dyDescent="0.25">
      <c r="A4008" s="2" t="s">
        <v>11734</v>
      </c>
      <c r="B4008" s="8" t="s">
        <v>16180</v>
      </c>
      <c r="C4008" s="2" t="s">
        <v>11734</v>
      </c>
      <c r="D4008" s="2" t="s">
        <v>11735</v>
      </c>
      <c r="E4008" s="4" t="s">
        <v>32399</v>
      </c>
    </row>
    <row r="4009" spans="1:12" x14ac:dyDescent="0.25">
      <c r="A4009" s="2" t="s">
        <v>11736</v>
      </c>
      <c r="B4009" s="8" t="s">
        <v>18590</v>
      </c>
      <c r="C4009" s="2" t="s">
        <v>11736</v>
      </c>
      <c r="D4009" s="2" t="s">
        <v>11737</v>
      </c>
      <c r="E4009" s="4" t="s">
        <v>11737</v>
      </c>
      <c r="G4009" s="15" t="s">
        <v>32400</v>
      </c>
      <c r="H4009" s="15" t="s">
        <v>32401</v>
      </c>
      <c r="I4009" s="15" t="s">
        <v>32402</v>
      </c>
      <c r="J4009" s="15" t="s">
        <v>32403</v>
      </c>
      <c r="K4009" s="15">
        <v>68617</v>
      </c>
      <c r="L4009" s="15" t="s">
        <v>19099</v>
      </c>
    </row>
    <row r="4010" spans="1:12" x14ac:dyDescent="0.25">
      <c r="A4010" s="2" t="s">
        <v>11739</v>
      </c>
      <c r="B4010" s="8" t="s">
        <v>16180</v>
      </c>
      <c r="C4010" s="2" t="s">
        <v>11739</v>
      </c>
      <c r="D4010" s="2" t="s">
        <v>11740</v>
      </c>
      <c r="E4010" s="4" t="s">
        <v>32404</v>
      </c>
    </row>
    <row r="4011" spans="1:12" x14ac:dyDescent="0.25">
      <c r="A4011" s="2" t="s">
        <v>11741</v>
      </c>
      <c r="B4011" s="8" t="s">
        <v>16180</v>
      </c>
      <c r="C4011" s="2" t="s">
        <v>11741</v>
      </c>
      <c r="D4011" s="2" t="s">
        <v>11742</v>
      </c>
      <c r="E4011" s="4" t="s">
        <v>32405</v>
      </c>
    </row>
    <row r="4012" spans="1:12" x14ac:dyDescent="0.25">
      <c r="A4012" s="2" t="s">
        <v>11743</v>
      </c>
      <c r="B4012" s="8" t="s">
        <v>16180</v>
      </c>
      <c r="C4012" s="2" t="s">
        <v>11743</v>
      </c>
      <c r="D4012" s="2" t="s">
        <v>11744</v>
      </c>
      <c r="E4012" s="4" t="s">
        <v>32406</v>
      </c>
    </row>
    <row r="4013" spans="1:12" x14ac:dyDescent="0.25">
      <c r="A4013" s="2" t="s">
        <v>11745</v>
      </c>
      <c r="B4013" s="8" t="s">
        <v>16180</v>
      </c>
      <c r="C4013" s="2" t="s">
        <v>11745</v>
      </c>
      <c r="D4013" s="2" t="s">
        <v>11746</v>
      </c>
      <c r="E4013" s="4" t="s">
        <v>32407</v>
      </c>
    </row>
    <row r="4014" spans="1:12" x14ac:dyDescent="0.25">
      <c r="A4014" s="2" t="s">
        <v>11747</v>
      </c>
      <c r="B4014" s="8" t="s">
        <v>16180</v>
      </c>
      <c r="C4014" s="2" t="s">
        <v>11747</v>
      </c>
      <c r="D4014" s="2" t="s">
        <v>11748</v>
      </c>
      <c r="E4014" s="4" t="s">
        <v>32408</v>
      </c>
    </row>
    <row r="4015" spans="1:12" x14ac:dyDescent="0.25">
      <c r="A4015" s="2" t="s">
        <v>11749</v>
      </c>
      <c r="B4015" s="8" t="s">
        <v>16180</v>
      </c>
      <c r="C4015" s="2" t="s">
        <v>11749</v>
      </c>
      <c r="D4015" s="2" t="s">
        <v>11750</v>
      </c>
      <c r="E4015" s="4" t="s">
        <v>32409</v>
      </c>
    </row>
    <row r="4016" spans="1:12" x14ac:dyDescent="0.25">
      <c r="A4016" s="2" t="s">
        <v>11751</v>
      </c>
      <c r="B4016" s="8" t="s">
        <v>16180</v>
      </c>
      <c r="C4016" s="2" t="s">
        <v>11751</v>
      </c>
      <c r="D4016" s="2" t="s">
        <v>11752</v>
      </c>
      <c r="E4016" s="4" t="s">
        <v>32410</v>
      </c>
    </row>
    <row r="4017" spans="1:12" x14ac:dyDescent="0.25">
      <c r="A4017" s="2" t="s">
        <v>11753</v>
      </c>
      <c r="B4017" s="8" t="s">
        <v>16180</v>
      </c>
      <c r="C4017" s="2" t="s">
        <v>11753</v>
      </c>
      <c r="D4017" s="2" t="s">
        <v>11754</v>
      </c>
      <c r="E4017" s="4" t="s">
        <v>32411</v>
      </c>
    </row>
    <row r="4018" spans="1:12" x14ac:dyDescent="0.25">
      <c r="A4018" s="2" t="s">
        <v>11755</v>
      </c>
      <c r="B4018" s="8" t="s">
        <v>18591</v>
      </c>
      <c r="C4018" s="2" t="s">
        <v>11755</v>
      </c>
      <c r="D4018" s="2" t="s">
        <v>11756</v>
      </c>
      <c r="E4018" s="4" t="s">
        <v>11756</v>
      </c>
      <c r="G4018" s="15" t="s">
        <v>32412</v>
      </c>
      <c r="H4018" s="15" t="s">
        <v>32413</v>
      </c>
      <c r="I4018" s="15" t="s">
        <v>32414</v>
      </c>
      <c r="J4018" s="15" t="s">
        <v>32415</v>
      </c>
      <c r="K4018" s="15">
        <v>92430</v>
      </c>
      <c r="L4018" s="15" t="s">
        <v>19099</v>
      </c>
    </row>
    <row r="4019" spans="1:12" x14ac:dyDescent="0.25">
      <c r="A4019" s="2" t="s">
        <v>11758</v>
      </c>
      <c r="B4019" s="8" t="s">
        <v>18592</v>
      </c>
      <c r="C4019" s="2" t="s">
        <v>11758</v>
      </c>
      <c r="D4019" s="2" t="s">
        <v>11759</v>
      </c>
      <c r="E4019" s="4" t="s">
        <v>11759</v>
      </c>
      <c r="G4019" s="15" t="s">
        <v>32416</v>
      </c>
      <c r="H4019" s="15" t="s">
        <v>32417</v>
      </c>
      <c r="I4019" s="15" t="s">
        <v>32418</v>
      </c>
      <c r="J4019" s="15" t="s">
        <v>32419</v>
      </c>
      <c r="K4019" s="15">
        <v>9881821</v>
      </c>
      <c r="L4019" s="15" t="s">
        <v>19099</v>
      </c>
    </row>
    <row r="4020" spans="1:12" x14ac:dyDescent="0.25">
      <c r="A4020" s="2" t="s">
        <v>11761</v>
      </c>
      <c r="B4020" s="8" t="s">
        <v>18593</v>
      </c>
      <c r="C4020" s="2" t="s">
        <v>11761</v>
      </c>
      <c r="D4020" s="2" t="s">
        <v>11762</v>
      </c>
      <c r="E4020" s="4" t="s">
        <v>11762</v>
      </c>
      <c r="G4020" s="15" t="s">
        <v>32420</v>
      </c>
      <c r="H4020" s="15" t="s">
        <v>32421</v>
      </c>
      <c r="I4020" s="15" t="s">
        <v>32422</v>
      </c>
      <c r="J4020" s="15" t="s">
        <v>29356</v>
      </c>
      <c r="K4020" s="15">
        <v>13905</v>
      </c>
      <c r="L4020" s="15" t="s">
        <v>19099</v>
      </c>
    </row>
    <row r="4021" spans="1:12" x14ac:dyDescent="0.25">
      <c r="A4021" s="2" t="s">
        <v>11764</v>
      </c>
      <c r="B4021" s="8" t="s">
        <v>18594</v>
      </c>
      <c r="C4021" s="2" t="s">
        <v>11764</v>
      </c>
      <c r="D4021" s="2" t="s">
        <v>11765</v>
      </c>
      <c r="E4021" s="4" t="s">
        <v>32423</v>
      </c>
      <c r="G4021" s="15" t="s">
        <v>32424</v>
      </c>
      <c r="H4021" s="15" t="s">
        <v>32425</v>
      </c>
      <c r="I4021" s="15" t="s">
        <v>32426</v>
      </c>
      <c r="J4021" s="15" t="s">
        <v>32427</v>
      </c>
      <c r="K4021" s="15">
        <v>54454</v>
      </c>
      <c r="L4021" s="15" t="s">
        <v>19099</v>
      </c>
    </row>
    <row r="4022" spans="1:12" x14ac:dyDescent="0.25">
      <c r="A4022" s="2" t="s">
        <v>11767</v>
      </c>
      <c r="B4022" s="8" t="s">
        <v>18595</v>
      </c>
      <c r="C4022" s="2" t="s">
        <v>11767</v>
      </c>
      <c r="D4022" s="2" t="s">
        <v>11768</v>
      </c>
      <c r="E4022" s="4" t="s">
        <v>11768</v>
      </c>
      <c r="G4022" s="15" t="s">
        <v>32428</v>
      </c>
      <c r="H4022" s="15" t="s">
        <v>32429</v>
      </c>
      <c r="I4022" s="15" t="s">
        <v>32430</v>
      </c>
      <c r="J4022" s="15" t="s">
        <v>29334</v>
      </c>
      <c r="K4022" s="15">
        <v>5216</v>
      </c>
      <c r="L4022" s="15" t="s">
        <v>19099</v>
      </c>
    </row>
    <row r="4023" spans="1:12" x14ac:dyDescent="0.25">
      <c r="A4023" s="2" t="s">
        <v>11770</v>
      </c>
      <c r="B4023" s="8" t="s">
        <v>18596</v>
      </c>
      <c r="C4023" s="2" t="s">
        <v>11770</v>
      </c>
      <c r="D4023" s="2" t="s">
        <v>11771</v>
      </c>
      <c r="E4023" s="4" t="s">
        <v>32431</v>
      </c>
      <c r="G4023" s="15" t="s">
        <v>32432</v>
      </c>
      <c r="H4023" s="15" t="s">
        <v>32433</v>
      </c>
      <c r="I4023" s="15" t="s">
        <v>32434</v>
      </c>
      <c r="J4023" s="15" t="s">
        <v>30640</v>
      </c>
      <c r="K4023" s="15">
        <v>9936739</v>
      </c>
      <c r="L4023" s="15" t="s">
        <v>19099</v>
      </c>
    </row>
    <row r="4024" spans="1:12" x14ac:dyDescent="0.25">
      <c r="A4024" s="2" t="s">
        <v>11773</v>
      </c>
      <c r="B4024" s="8" t="s">
        <v>18597</v>
      </c>
      <c r="C4024" s="2" t="s">
        <v>11773</v>
      </c>
      <c r="D4024" s="2" t="s">
        <v>11774</v>
      </c>
      <c r="E4024" s="4" t="s">
        <v>32435</v>
      </c>
      <c r="G4024" s="15" t="s">
        <v>32436</v>
      </c>
      <c r="H4024" s="15" t="s">
        <v>32437</v>
      </c>
      <c r="I4024" s="15" t="s">
        <v>32438</v>
      </c>
      <c r="J4024" s="15" t="s">
        <v>32439</v>
      </c>
      <c r="K4024" s="15">
        <v>4369359</v>
      </c>
      <c r="L4024" s="15" t="s">
        <v>19099</v>
      </c>
    </row>
    <row r="4025" spans="1:12" x14ac:dyDescent="0.25">
      <c r="A4025" s="2" t="s">
        <v>11776</v>
      </c>
      <c r="B4025" s="8" t="s">
        <v>16180</v>
      </c>
      <c r="C4025" s="2" t="s">
        <v>11776</v>
      </c>
      <c r="D4025" s="2" t="s">
        <v>11777</v>
      </c>
      <c r="E4025" s="4" t="s">
        <v>32440</v>
      </c>
    </row>
    <row r="4026" spans="1:12" x14ac:dyDescent="0.25">
      <c r="A4026" s="2" t="s">
        <v>11778</v>
      </c>
      <c r="B4026" s="8" t="s">
        <v>16180</v>
      </c>
      <c r="C4026" s="2" t="s">
        <v>11778</v>
      </c>
      <c r="D4026" s="2" t="s">
        <v>11779</v>
      </c>
      <c r="E4026" s="4" t="s">
        <v>32441</v>
      </c>
    </row>
    <row r="4027" spans="1:12" x14ac:dyDescent="0.25">
      <c r="A4027" s="2" t="s">
        <v>11780</v>
      </c>
      <c r="B4027" s="8" t="s">
        <v>16180</v>
      </c>
      <c r="C4027" s="2" t="s">
        <v>11780</v>
      </c>
      <c r="D4027" s="2" t="s">
        <v>11781</v>
      </c>
      <c r="E4027" s="4" t="s">
        <v>32442</v>
      </c>
    </row>
    <row r="4028" spans="1:12" x14ac:dyDescent="0.25">
      <c r="A4028" s="2" t="s">
        <v>11782</v>
      </c>
      <c r="B4028" s="8" t="s">
        <v>16180</v>
      </c>
      <c r="C4028" s="2" t="s">
        <v>11782</v>
      </c>
      <c r="D4028" s="2" t="s">
        <v>11783</v>
      </c>
      <c r="E4028" s="4" t="s">
        <v>32443</v>
      </c>
    </row>
    <row r="4029" spans="1:12" x14ac:dyDescent="0.25">
      <c r="A4029" s="2" t="s">
        <v>11784</v>
      </c>
      <c r="B4029" s="8" t="s">
        <v>16180</v>
      </c>
      <c r="C4029" s="2" t="s">
        <v>11784</v>
      </c>
      <c r="D4029" s="2" t="s">
        <v>11785</v>
      </c>
      <c r="E4029" s="4" t="s">
        <v>32444</v>
      </c>
    </row>
    <row r="4030" spans="1:12" x14ac:dyDescent="0.25">
      <c r="A4030" s="2" t="s">
        <v>11786</v>
      </c>
      <c r="B4030" s="8" t="s">
        <v>16180</v>
      </c>
      <c r="C4030" s="2" t="s">
        <v>11786</v>
      </c>
      <c r="D4030" s="2" t="s">
        <v>11787</v>
      </c>
      <c r="E4030" s="4" t="s">
        <v>32445</v>
      </c>
    </row>
    <row r="4031" spans="1:12" x14ac:dyDescent="0.25">
      <c r="A4031" s="2" t="s">
        <v>11788</v>
      </c>
      <c r="B4031" s="8" t="s">
        <v>16180</v>
      </c>
      <c r="C4031" s="2" t="s">
        <v>11788</v>
      </c>
      <c r="D4031" s="2" t="s">
        <v>11789</v>
      </c>
      <c r="E4031" s="4" t="s">
        <v>32446</v>
      </c>
    </row>
    <row r="4032" spans="1:12" x14ac:dyDescent="0.25">
      <c r="A4032" s="2" t="s">
        <v>11790</v>
      </c>
      <c r="B4032" s="8" t="s">
        <v>16180</v>
      </c>
      <c r="C4032" s="2" t="s">
        <v>11790</v>
      </c>
      <c r="D4032" s="2" t="s">
        <v>11791</v>
      </c>
      <c r="E4032" s="4" t="s">
        <v>32447</v>
      </c>
    </row>
    <row r="4033" spans="1:12" x14ac:dyDescent="0.25">
      <c r="A4033" s="2" t="s">
        <v>11792</v>
      </c>
      <c r="B4033" s="8" t="s">
        <v>16180</v>
      </c>
      <c r="C4033" s="2" t="s">
        <v>11792</v>
      </c>
      <c r="D4033" s="2" t="s">
        <v>11793</v>
      </c>
      <c r="E4033" s="4" t="s">
        <v>32448</v>
      </c>
    </row>
    <row r="4034" spans="1:12" x14ac:dyDescent="0.25">
      <c r="A4034" s="2" t="s">
        <v>11794</v>
      </c>
      <c r="B4034" s="8" t="s">
        <v>18598</v>
      </c>
      <c r="C4034" s="2" t="s">
        <v>11794</v>
      </c>
      <c r="D4034" s="2" t="s">
        <v>11795</v>
      </c>
      <c r="E4034" s="4" t="s">
        <v>32449</v>
      </c>
      <c r="G4034" s="15" t="s">
        <v>32450</v>
      </c>
      <c r="H4034" s="15" t="s">
        <v>32451</v>
      </c>
      <c r="I4034" s="15" t="s">
        <v>32452</v>
      </c>
      <c r="J4034" s="15" t="s">
        <v>21173</v>
      </c>
      <c r="K4034" s="15">
        <v>643460</v>
      </c>
      <c r="L4034" s="15" t="s">
        <v>19099</v>
      </c>
    </row>
    <row r="4035" spans="1:12" ht="30" customHeight="1" x14ac:dyDescent="0.25">
      <c r="A4035" s="2" t="s">
        <v>11797</v>
      </c>
      <c r="B4035" s="8" t="s">
        <v>16180</v>
      </c>
      <c r="C4035" s="2" t="s">
        <v>11797</v>
      </c>
      <c r="D4035" s="2" t="s">
        <v>11798</v>
      </c>
      <c r="E4035" s="4" t="s">
        <v>32453</v>
      </c>
    </row>
    <row r="4036" spans="1:12" x14ac:dyDescent="0.25">
      <c r="A4036" s="2" t="s">
        <v>11799</v>
      </c>
      <c r="B4036" s="8" t="s">
        <v>18599</v>
      </c>
      <c r="C4036" s="2" t="s">
        <v>11799</v>
      </c>
      <c r="D4036" s="2" t="s">
        <v>11800</v>
      </c>
      <c r="E4036" s="4" t="s">
        <v>11800</v>
      </c>
      <c r="G4036" s="15" t="s">
        <v>32454</v>
      </c>
      <c r="H4036" s="15" t="s">
        <v>32455</v>
      </c>
      <c r="I4036" s="15" t="s">
        <v>32456</v>
      </c>
      <c r="J4036" s="15" t="s">
        <v>32457</v>
      </c>
      <c r="K4036" s="15">
        <v>5253</v>
      </c>
      <c r="L4036" s="15" t="s">
        <v>19099</v>
      </c>
    </row>
    <row r="4037" spans="1:12" x14ac:dyDescent="0.25">
      <c r="A4037" s="2" t="s">
        <v>11802</v>
      </c>
      <c r="B4037" s="8" t="s">
        <v>16180</v>
      </c>
      <c r="C4037" s="2" t="s">
        <v>11802</v>
      </c>
      <c r="D4037" s="2" t="s">
        <v>11803</v>
      </c>
      <c r="E4037" s="4" t="s">
        <v>32458</v>
      </c>
    </row>
    <row r="4038" spans="1:12" x14ac:dyDescent="0.25">
      <c r="A4038" s="2" t="s">
        <v>11804</v>
      </c>
      <c r="B4038" s="8" t="s">
        <v>16180</v>
      </c>
      <c r="C4038" s="2" t="s">
        <v>11804</v>
      </c>
      <c r="D4038" s="2" t="s">
        <v>11805</v>
      </c>
      <c r="E4038" s="4" t="s">
        <v>32459</v>
      </c>
    </row>
    <row r="4039" spans="1:12" x14ac:dyDescent="0.25">
      <c r="A4039" s="2" t="s">
        <v>11806</v>
      </c>
      <c r="B4039" s="8" t="s">
        <v>16180</v>
      </c>
      <c r="C4039" s="2" t="s">
        <v>11806</v>
      </c>
      <c r="D4039" s="2" t="s">
        <v>11807</v>
      </c>
      <c r="E4039" s="4" t="s">
        <v>32460</v>
      </c>
    </row>
    <row r="4040" spans="1:12" x14ac:dyDescent="0.25">
      <c r="A4040" s="2" t="s">
        <v>11808</v>
      </c>
      <c r="B4040" s="8" t="s">
        <v>16180</v>
      </c>
      <c r="C4040" s="2" t="s">
        <v>11808</v>
      </c>
      <c r="D4040" s="2" t="s">
        <v>11809</v>
      </c>
      <c r="E4040" s="4" t="s">
        <v>32461</v>
      </c>
    </row>
    <row r="4041" spans="1:12" x14ac:dyDescent="0.25">
      <c r="A4041" s="2" t="s">
        <v>11810</v>
      </c>
      <c r="B4041" s="8" t="s">
        <v>18600</v>
      </c>
      <c r="C4041" s="2" t="s">
        <v>11810</v>
      </c>
      <c r="D4041" s="2" t="s">
        <v>11811</v>
      </c>
      <c r="E4041" s="4" t="s">
        <v>11811</v>
      </c>
      <c r="G4041" s="15" t="s">
        <v>32462</v>
      </c>
      <c r="H4041" s="15" t="s">
        <v>32463</v>
      </c>
      <c r="I4041" s="15" t="s">
        <v>32464</v>
      </c>
      <c r="J4041" s="15" t="s">
        <v>32465</v>
      </c>
      <c r="K4041" s="15">
        <v>56841558</v>
      </c>
      <c r="L4041" s="15" t="s">
        <v>19995</v>
      </c>
    </row>
    <row r="4042" spans="1:12" x14ac:dyDescent="0.25">
      <c r="A4042" s="2" t="s">
        <v>11813</v>
      </c>
      <c r="B4042" s="8" t="s">
        <v>18601</v>
      </c>
      <c r="C4042" s="2" t="s">
        <v>11813</v>
      </c>
      <c r="D4042" s="2" t="s">
        <v>11814</v>
      </c>
      <c r="E4042" s="4" t="s">
        <v>11814</v>
      </c>
      <c r="G4042" s="15" t="s">
        <v>32466</v>
      </c>
      <c r="H4042" s="15" t="s">
        <v>32467</v>
      </c>
      <c r="I4042" s="15" t="s">
        <v>32468</v>
      </c>
      <c r="J4042" s="15" t="s">
        <v>32469</v>
      </c>
      <c r="K4042" s="15">
        <v>443059</v>
      </c>
      <c r="L4042" s="15" t="s">
        <v>19099</v>
      </c>
    </row>
    <row r="4043" spans="1:12" x14ac:dyDescent="0.25">
      <c r="A4043" s="2" t="s">
        <v>11816</v>
      </c>
      <c r="B4043" s="8" t="s">
        <v>18602</v>
      </c>
      <c r="C4043" s="2" t="s">
        <v>11816</v>
      </c>
      <c r="D4043" s="2" t="s">
        <v>11817</v>
      </c>
      <c r="E4043" s="4" t="s">
        <v>11817</v>
      </c>
      <c r="G4043" s="15" t="s">
        <v>32470</v>
      </c>
      <c r="H4043" s="15" t="s">
        <v>32471</v>
      </c>
      <c r="I4043" s="15" t="s">
        <v>32472</v>
      </c>
      <c r="J4043" s="15" t="s">
        <v>32473</v>
      </c>
      <c r="K4043" s="15">
        <v>183094</v>
      </c>
      <c r="L4043" s="15" t="s">
        <v>19099</v>
      </c>
    </row>
    <row r="4044" spans="1:12" x14ac:dyDescent="0.25">
      <c r="A4044" s="2" t="s">
        <v>11819</v>
      </c>
      <c r="B4044" s="8" t="s">
        <v>18603</v>
      </c>
      <c r="C4044" s="2" t="s">
        <v>11819</v>
      </c>
      <c r="D4044" s="2" t="s">
        <v>11820</v>
      </c>
      <c r="E4044" s="4" t="s">
        <v>11820</v>
      </c>
      <c r="G4044" s="15" t="s">
        <v>32474</v>
      </c>
      <c r="H4044" s="15" t="s">
        <v>32475</v>
      </c>
      <c r="I4044" s="15" t="s">
        <v>32476</v>
      </c>
      <c r="J4044" s="15" t="s">
        <v>32477</v>
      </c>
      <c r="K4044" s="15">
        <v>177863</v>
      </c>
      <c r="L4044" s="15" t="s">
        <v>19099</v>
      </c>
    </row>
    <row r="4045" spans="1:12" x14ac:dyDescent="0.25">
      <c r="A4045" s="2" t="s">
        <v>11822</v>
      </c>
      <c r="B4045" s="8" t="s">
        <v>18604</v>
      </c>
      <c r="C4045" s="2" t="s">
        <v>11822</v>
      </c>
      <c r="D4045" s="2" t="s">
        <v>11823</v>
      </c>
      <c r="E4045" s="4" t="s">
        <v>32478</v>
      </c>
      <c r="G4045" s="15" t="s">
        <v>32479</v>
      </c>
      <c r="H4045" s="15" t="s">
        <v>32480</v>
      </c>
      <c r="I4045" s="15" t="s">
        <v>32481</v>
      </c>
      <c r="J4045" s="15" t="s">
        <v>32482</v>
      </c>
      <c r="K4045" s="15">
        <v>6419898</v>
      </c>
      <c r="L4045" s="15" t="s">
        <v>19099</v>
      </c>
    </row>
    <row r="4046" spans="1:12" x14ac:dyDescent="0.25">
      <c r="A4046" s="2" t="s">
        <v>11825</v>
      </c>
      <c r="B4046" s="8" t="s">
        <v>18605</v>
      </c>
      <c r="C4046" s="2" t="s">
        <v>11825</v>
      </c>
      <c r="D4046" s="2" t="s">
        <v>11826</v>
      </c>
      <c r="E4046" s="4" t="s">
        <v>32483</v>
      </c>
      <c r="G4046" s="15" t="s">
        <v>32484</v>
      </c>
      <c r="H4046" s="15" t="s">
        <v>32485</v>
      </c>
      <c r="I4046" s="15" t="s">
        <v>32486</v>
      </c>
      <c r="J4046" s="15" t="s">
        <v>32487</v>
      </c>
      <c r="K4046" s="15">
        <v>9907412</v>
      </c>
      <c r="L4046" s="15" t="s">
        <v>19099</v>
      </c>
    </row>
    <row r="4047" spans="1:12" x14ac:dyDescent="0.25">
      <c r="A4047" s="2" t="s">
        <v>11828</v>
      </c>
      <c r="B4047" s="8" t="s">
        <v>18606</v>
      </c>
      <c r="C4047" s="2" t="s">
        <v>11828</v>
      </c>
      <c r="D4047" s="2" t="s">
        <v>11829</v>
      </c>
      <c r="E4047" s="4" t="s">
        <v>11829</v>
      </c>
      <c r="G4047" s="15" t="s">
        <v>32488</v>
      </c>
      <c r="H4047" s="15" t="s">
        <v>32489</v>
      </c>
      <c r="I4047" s="15" t="s">
        <v>32490</v>
      </c>
      <c r="J4047" s="15" t="s">
        <v>32491</v>
      </c>
      <c r="K4047" s="15">
        <v>71312325</v>
      </c>
      <c r="L4047" s="15" t="s">
        <v>19099</v>
      </c>
    </row>
    <row r="4048" spans="1:12" x14ac:dyDescent="0.25">
      <c r="A4048" s="2" t="s">
        <v>11831</v>
      </c>
      <c r="B4048" s="8" t="s">
        <v>18607</v>
      </c>
      <c r="C4048" s="2" t="s">
        <v>11831</v>
      </c>
      <c r="D4048" s="2" t="s">
        <v>11832</v>
      </c>
      <c r="E4048" s="4" t="s">
        <v>11832</v>
      </c>
      <c r="G4048" s="15" t="s">
        <v>32492</v>
      </c>
      <c r="H4048" s="15" t="s">
        <v>32493</v>
      </c>
      <c r="I4048" s="15" t="s">
        <v>32494</v>
      </c>
      <c r="J4048" s="15" t="s">
        <v>32495</v>
      </c>
      <c r="K4048" s="15">
        <v>9969573</v>
      </c>
      <c r="L4048" s="15" t="s">
        <v>19099</v>
      </c>
    </row>
    <row r="4049" spans="1:12" x14ac:dyDescent="0.25">
      <c r="A4049" s="2" t="s">
        <v>11834</v>
      </c>
      <c r="B4049" s="8" t="s">
        <v>18608</v>
      </c>
      <c r="C4049" s="2" t="s">
        <v>11834</v>
      </c>
      <c r="D4049" s="2" t="s">
        <v>11835</v>
      </c>
      <c r="E4049" s="4" t="s">
        <v>11835</v>
      </c>
      <c r="G4049" s="15" t="s">
        <v>32496</v>
      </c>
      <c r="H4049" s="15" t="s">
        <v>32497</v>
      </c>
      <c r="I4049" s="15" t="s">
        <v>32498</v>
      </c>
      <c r="J4049" s="15" t="s">
        <v>32499</v>
      </c>
      <c r="K4049" s="15">
        <v>86160</v>
      </c>
      <c r="L4049" s="15" t="s">
        <v>19099</v>
      </c>
    </row>
    <row r="4050" spans="1:12" x14ac:dyDescent="0.25">
      <c r="A4050" s="2" t="s">
        <v>11837</v>
      </c>
      <c r="B4050" s="8" t="s">
        <v>16180</v>
      </c>
      <c r="C4050" s="2" t="s">
        <v>11837</v>
      </c>
      <c r="D4050" s="2" t="s">
        <v>11838</v>
      </c>
      <c r="E4050" s="4" t="s">
        <v>32500</v>
      </c>
    </row>
    <row r="4051" spans="1:12" x14ac:dyDescent="0.25">
      <c r="A4051" s="2" t="s">
        <v>11839</v>
      </c>
      <c r="B4051" s="8" t="s">
        <v>16180</v>
      </c>
      <c r="C4051" s="2" t="s">
        <v>11839</v>
      </c>
      <c r="D4051" s="2" t="s">
        <v>11840</v>
      </c>
      <c r="E4051" s="4" t="s">
        <v>32501</v>
      </c>
    </row>
    <row r="4052" spans="1:12" x14ac:dyDescent="0.25">
      <c r="A4052" s="2" t="s">
        <v>11841</v>
      </c>
      <c r="B4052" s="8" t="s">
        <v>16180</v>
      </c>
      <c r="C4052" s="2" t="s">
        <v>11841</v>
      </c>
      <c r="D4052" s="2" t="s">
        <v>11842</v>
      </c>
      <c r="E4052" s="4" t="s">
        <v>32502</v>
      </c>
    </row>
    <row r="4053" spans="1:12" x14ac:dyDescent="0.25">
      <c r="A4053" s="2" t="s">
        <v>11843</v>
      </c>
      <c r="B4053" s="8" t="s">
        <v>18609</v>
      </c>
      <c r="C4053" s="2" t="s">
        <v>11843</v>
      </c>
      <c r="D4053" s="2" t="s">
        <v>11844</v>
      </c>
      <c r="E4053" s="4" t="s">
        <v>32503</v>
      </c>
      <c r="G4053" s="15" t="s">
        <v>32504</v>
      </c>
      <c r="H4053" s="15" t="s">
        <v>32505</v>
      </c>
      <c r="I4053" s="15" t="s">
        <v>32506</v>
      </c>
      <c r="J4053" s="15" t="s">
        <v>32507</v>
      </c>
      <c r="K4053" s="15">
        <v>638072</v>
      </c>
      <c r="L4053" s="15" t="s">
        <v>19099</v>
      </c>
    </row>
    <row r="4054" spans="1:12" x14ac:dyDescent="0.25">
      <c r="A4054" s="2" t="s">
        <v>11846</v>
      </c>
      <c r="B4054" s="8" t="s">
        <v>16180</v>
      </c>
      <c r="C4054" s="2" t="s">
        <v>11846</v>
      </c>
      <c r="D4054" s="2" t="s">
        <v>11847</v>
      </c>
      <c r="E4054" s="4" t="s">
        <v>32508</v>
      </c>
    </row>
    <row r="4055" spans="1:12" x14ac:dyDescent="0.25">
      <c r="A4055" s="2" t="s">
        <v>11848</v>
      </c>
      <c r="B4055" s="8" t="s">
        <v>18610</v>
      </c>
      <c r="C4055" s="2" t="s">
        <v>11848</v>
      </c>
      <c r="D4055" s="2" t="s">
        <v>11849</v>
      </c>
      <c r="E4055" s="4" t="s">
        <v>32509</v>
      </c>
      <c r="G4055" s="15" t="s">
        <v>32510</v>
      </c>
      <c r="H4055" s="15" t="s">
        <v>32511</v>
      </c>
      <c r="I4055" s="15" t="s">
        <v>32512</v>
      </c>
      <c r="J4055" s="15" t="s">
        <v>32513</v>
      </c>
      <c r="K4055" s="15">
        <v>19649</v>
      </c>
      <c r="L4055" s="15" t="s">
        <v>19099</v>
      </c>
    </row>
    <row r="4056" spans="1:12" x14ac:dyDescent="0.25">
      <c r="A4056" s="2" t="s">
        <v>11851</v>
      </c>
      <c r="B4056" s="8" t="s">
        <v>18611</v>
      </c>
      <c r="C4056" s="2" t="s">
        <v>11851</v>
      </c>
      <c r="D4056" s="2" t="s">
        <v>11852</v>
      </c>
      <c r="E4056" s="4" t="s">
        <v>11852</v>
      </c>
      <c r="G4056" s="15" t="s">
        <v>32514</v>
      </c>
      <c r="H4056" s="15" t="s">
        <v>32515</v>
      </c>
      <c r="I4056" s="15" t="s">
        <v>32516</v>
      </c>
      <c r="J4056" s="15" t="s">
        <v>32517</v>
      </c>
      <c r="K4056" s="15">
        <v>441071</v>
      </c>
      <c r="L4056" s="15" t="s">
        <v>19099</v>
      </c>
    </row>
    <row r="4057" spans="1:12" x14ac:dyDescent="0.25">
      <c r="A4057" s="2" t="s">
        <v>11854</v>
      </c>
      <c r="B4057" s="8" t="s">
        <v>18612</v>
      </c>
      <c r="C4057" s="2" t="s">
        <v>11854</v>
      </c>
      <c r="D4057" s="2" t="s">
        <v>11855</v>
      </c>
      <c r="E4057" s="4" t="s">
        <v>32518</v>
      </c>
      <c r="G4057" s="15" t="s">
        <v>32519</v>
      </c>
      <c r="H4057" s="15" t="s">
        <v>32520</v>
      </c>
      <c r="I4057" s="15" t="s">
        <v>32521</v>
      </c>
      <c r="J4057" s="15" t="s">
        <v>20308</v>
      </c>
      <c r="K4057" s="15">
        <v>62530</v>
      </c>
      <c r="L4057" s="15" t="s">
        <v>19099</v>
      </c>
    </row>
    <row r="4058" spans="1:12" x14ac:dyDescent="0.25">
      <c r="A4058" s="2" t="s">
        <v>11857</v>
      </c>
      <c r="B4058" s="8" t="s">
        <v>18613</v>
      </c>
      <c r="C4058" s="2" t="s">
        <v>11857</v>
      </c>
      <c r="D4058" s="2" t="s">
        <v>11858</v>
      </c>
      <c r="E4058" s="4" t="s">
        <v>31712</v>
      </c>
      <c r="G4058" s="15" t="s">
        <v>31712</v>
      </c>
      <c r="H4058" s="15" t="s">
        <v>31713</v>
      </c>
      <c r="I4058" s="15" t="s">
        <v>31714</v>
      </c>
      <c r="J4058" s="15" t="s">
        <v>31715</v>
      </c>
      <c r="K4058" s="15">
        <v>7501</v>
      </c>
      <c r="L4058" s="15" t="s">
        <v>19099</v>
      </c>
    </row>
    <row r="4059" spans="1:12" x14ac:dyDescent="0.25">
      <c r="A4059" s="2" t="s">
        <v>11860</v>
      </c>
      <c r="B4059" s="8" t="s">
        <v>18614</v>
      </c>
      <c r="C4059" s="2" t="s">
        <v>11860</v>
      </c>
      <c r="D4059" s="2" t="s">
        <v>11861</v>
      </c>
      <c r="E4059" s="4" t="s">
        <v>11861</v>
      </c>
      <c r="G4059" s="15" t="s">
        <v>32522</v>
      </c>
      <c r="H4059" s="15" t="s">
        <v>32523</v>
      </c>
      <c r="I4059" s="15" t="s">
        <v>32524</v>
      </c>
      <c r="J4059" s="15" t="s">
        <v>20048</v>
      </c>
      <c r="K4059" s="15">
        <v>12524</v>
      </c>
      <c r="L4059" s="15" t="s">
        <v>19099</v>
      </c>
    </row>
    <row r="4060" spans="1:12" x14ac:dyDescent="0.25">
      <c r="A4060" s="2" t="s">
        <v>11863</v>
      </c>
      <c r="B4060" s="8" t="s">
        <v>18615</v>
      </c>
      <c r="C4060" s="2" t="s">
        <v>11863</v>
      </c>
      <c r="D4060" s="2" t="s">
        <v>11864</v>
      </c>
      <c r="E4060" s="4" t="s">
        <v>11864</v>
      </c>
      <c r="G4060" s="15" t="s">
        <v>32525</v>
      </c>
      <c r="H4060" s="15" t="s">
        <v>32526</v>
      </c>
      <c r="I4060" s="15" t="s">
        <v>32527</v>
      </c>
      <c r="J4060" s="15" t="s">
        <v>32528</v>
      </c>
      <c r="K4060" s="15">
        <v>2724354</v>
      </c>
      <c r="L4060" s="15" t="s">
        <v>19099</v>
      </c>
    </row>
    <row r="4061" spans="1:12" x14ac:dyDescent="0.25">
      <c r="A4061" s="2" t="s">
        <v>11866</v>
      </c>
      <c r="B4061" s="8" t="s">
        <v>18616</v>
      </c>
      <c r="C4061" s="2" t="s">
        <v>11866</v>
      </c>
      <c r="D4061" s="2" t="s">
        <v>11867</v>
      </c>
      <c r="E4061" s="4" t="s">
        <v>11867</v>
      </c>
      <c r="G4061" s="15" t="s">
        <v>32529</v>
      </c>
      <c r="H4061" s="15" t="s">
        <v>32530</v>
      </c>
      <c r="I4061" s="15" t="s">
        <v>32531</v>
      </c>
      <c r="J4061" s="15" t="s">
        <v>32532</v>
      </c>
      <c r="K4061" s="15">
        <v>71485</v>
      </c>
      <c r="L4061" s="15" t="s">
        <v>19099</v>
      </c>
    </row>
    <row r="4062" spans="1:12" x14ac:dyDescent="0.25">
      <c r="A4062" s="2" t="s">
        <v>11869</v>
      </c>
      <c r="B4062" s="8" t="s">
        <v>18617</v>
      </c>
      <c r="C4062" s="2" t="s">
        <v>11869</v>
      </c>
      <c r="D4062" s="2" t="s">
        <v>11870</v>
      </c>
      <c r="E4062" s="4" t="s">
        <v>11870</v>
      </c>
      <c r="G4062" s="15" t="s">
        <v>32533</v>
      </c>
      <c r="H4062" s="15" t="s">
        <v>32534</v>
      </c>
      <c r="I4062" s="15" t="s">
        <v>32535</v>
      </c>
      <c r="J4062" s="15" t="s">
        <v>32536</v>
      </c>
      <c r="K4062" s="15">
        <v>62506</v>
      </c>
      <c r="L4062" s="15" t="s">
        <v>19099</v>
      </c>
    </row>
    <row r="4063" spans="1:12" x14ac:dyDescent="0.25">
      <c r="A4063" s="2" t="s">
        <v>11872</v>
      </c>
      <c r="B4063" s="8" t="s">
        <v>18618</v>
      </c>
      <c r="C4063" s="2" t="s">
        <v>11872</v>
      </c>
      <c r="D4063" s="2" t="s">
        <v>11873</v>
      </c>
      <c r="E4063" s="4" t="s">
        <v>15337</v>
      </c>
      <c r="G4063" s="15" t="s">
        <v>32537</v>
      </c>
      <c r="H4063" s="15" t="s">
        <v>32538</v>
      </c>
      <c r="I4063" s="15" t="s">
        <v>32539</v>
      </c>
      <c r="J4063" s="15" t="s">
        <v>32540</v>
      </c>
      <c r="K4063" s="15">
        <v>91760</v>
      </c>
      <c r="L4063" s="15" t="s">
        <v>19099</v>
      </c>
    </row>
    <row r="4064" spans="1:12" x14ac:dyDescent="0.25">
      <c r="A4064" s="2" t="s">
        <v>11875</v>
      </c>
      <c r="B4064" s="8" t="s">
        <v>18619</v>
      </c>
      <c r="C4064" s="2" t="s">
        <v>11875</v>
      </c>
      <c r="D4064" s="2" t="s">
        <v>11876</v>
      </c>
      <c r="E4064" s="4" t="s">
        <v>32541</v>
      </c>
      <c r="G4064" s="15" t="s">
        <v>32542</v>
      </c>
      <c r="H4064" s="15" t="s">
        <v>32543</v>
      </c>
      <c r="I4064" s="15" t="s">
        <v>32544</v>
      </c>
      <c r="J4064" s="15" t="s">
        <v>32545</v>
      </c>
      <c r="K4064" s="15">
        <v>6634</v>
      </c>
      <c r="L4064" s="15" t="s">
        <v>19099</v>
      </c>
    </row>
    <row r="4065" spans="1:12" x14ac:dyDescent="0.25">
      <c r="A4065" s="2" t="s">
        <v>11878</v>
      </c>
      <c r="B4065" s="8" t="s">
        <v>18620</v>
      </c>
      <c r="C4065" s="2" t="s">
        <v>11878</v>
      </c>
      <c r="D4065" s="2" t="s">
        <v>11879</v>
      </c>
      <c r="E4065" s="4" t="s">
        <v>11879</v>
      </c>
      <c r="G4065" s="15" t="s">
        <v>32546</v>
      </c>
      <c r="H4065" s="15" t="s">
        <v>32547</v>
      </c>
      <c r="I4065" s="15" t="s">
        <v>32548</v>
      </c>
      <c r="J4065" s="15" t="s">
        <v>32549</v>
      </c>
      <c r="K4065" s="15">
        <v>16723172</v>
      </c>
      <c r="L4065" s="15" t="s">
        <v>19099</v>
      </c>
    </row>
    <row r="4066" spans="1:12" x14ac:dyDescent="0.25">
      <c r="A4066" s="2" t="s">
        <v>11881</v>
      </c>
      <c r="B4066" s="8" t="s">
        <v>18621</v>
      </c>
      <c r="C4066" s="2" t="s">
        <v>11881</v>
      </c>
      <c r="D4066" s="2" t="s">
        <v>11882</v>
      </c>
      <c r="E4066" s="4" t="s">
        <v>32550</v>
      </c>
      <c r="G4066" s="15" t="s">
        <v>32551</v>
      </c>
      <c r="H4066" s="15" t="s">
        <v>32552</v>
      </c>
      <c r="I4066" s="15" t="s">
        <v>32553</v>
      </c>
      <c r="J4066" s="15" t="s">
        <v>32554</v>
      </c>
      <c r="K4066" s="15">
        <v>7216</v>
      </c>
      <c r="L4066" s="15" t="s">
        <v>19099</v>
      </c>
    </row>
    <row r="4067" spans="1:12" x14ac:dyDescent="0.25">
      <c r="A4067" s="2" t="s">
        <v>11884</v>
      </c>
      <c r="B4067" s="8" t="s">
        <v>18622</v>
      </c>
      <c r="C4067" s="2" t="s">
        <v>11884</v>
      </c>
      <c r="D4067" s="2" t="s">
        <v>11885</v>
      </c>
      <c r="E4067" s="4" t="s">
        <v>11885</v>
      </c>
      <c r="G4067" s="15" t="s">
        <v>32555</v>
      </c>
      <c r="H4067" s="15" t="s">
        <v>32556</v>
      </c>
      <c r="I4067" s="15" t="s">
        <v>32557</v>
      </c>
      <c r="J4067" s="15" t="s">
        <v>32558</v>
      </c>
      <c r="K4067" s="15">
        <v>5215</v>
      </c>
      <c r="L4067" s="15" t="s">
        <v>19099</v>
      </c>
    </row>
    <row r="4068" spans="1:12" x14ac:dyDescent="0.25">
      <c r="A4068" s="2" t="s">
        <v>11887</v>
      </c>
      <c r="B4068" s="8" t="s">
        <v>18623</v>
      </c>
      <c r="C4068" s="2" t="s">
        <v>11887</v>
      </c>
      <c r="D4068" s="2" t="s">
        <v>11888</v>
      </c>
      <c r="E4068" s="4" t="s">
        <v>11888</v>
      </c>
      <c r="G4068" s="15" t="s">
        <v>32559</v>
      </c>
      <c r="H4068" s="15" t="s">
        <v>32560</v>
      </c>
      <c r="I4068" s="15" t="s">
        <v>32561</v>
      </c>
      <c r="J4068" s="15" t="s">
        <v>32562</v>
      </c>
      <c r="K4068" s="15">
        <v>5327</v>
      </c>
      <c r="L4068" s="15" t="s">
        <v>19099</v>
      </c>
    </row>
    <row r="4069" spans="1:12" x14ac:dyDescent="0.25">
      <c r="A4069" s="2" t="s">
        <v>11890</v>
      </c>
      <c r="B4069" s="8" t="s">
        <v>18624</v>
      </c>
      <c r="C4069" s="2" t="s">
        <v>11890</v>
      </c>
      <c r="D4069" s="2" t="s">
        <v>11891</v>
      </c>
      <c r="E4069" s="4" t="s">
        <v>11891</v>
      </c>
      <c r="G4069" s="15" t="s">
        <v>32563</v>
      </c>
      <c r="H4069" s="15" t="s">
        <v>32564</v>
      </c>
      <c r="I4069" s="15" t="s">
        <v>32565</v>
      </c>
      <c r="J4069" s="15" t="s">
        <v>32566</v>
      </c>
      <c r="K4069" s="15">
        <v>5323</v>
      </c>
      <c r="L4069" s="15" t="s">
        <v>19099</v>
      </c>
    </row>
    <row r="4070" spans="1:12" x14ac:dyDescent="0.25">
      <c r="A4070" s="2" t="s">
        <v>11893</v>
      </c>
      <c r="B4070" s="8" t="s">
        <v>18625</v>
      </c>
      <c r="C4070" s="2" t="s">
        <v>11893</v>
      </c>
      <c r="D4070" s="2" t="s">
        <v>11894</v>
      </c>
      <c r="E4070" s="4" t="s">
        <v>11894</v>
      </c>
      <c r="G4070" s="15" t="s">
        <v>32567</v>
      </c>
      <c r="H4070" s="15" t="s">
        <v>32568</v>
      </c>
      <c r="I4070" s="15" t="s">
        <v>32569</v>
      </c>
      <c r="J4070" s="15" t="s">
        <v>32566</v>
      </c>
      <c r="K4070" s="15">
        <v>17134</v>
      </c>
      <c r="L4070" s="15" t="s">
        <v>19099</v>
      </c>
    </row>
    <row r="4071" spans="1:12" x14ac:dyDescent="0.25">
      <c r="A4071" s="2" t="s">
        <v>11896</v>
      </c>
      <c r="B4071" s="8" t="s">
        <v>18626</v>
      </c>
      <c r="C4071" s="2" t="s">
        <v>11896</v>
      </c>
      <c r="D4071" s="2" t="s">
        <v>11897</v>
      </c>
      <c r="E4071" s="4" t="s">
        <v>11897</v>
      </c>
      <c r="G4071" s="15" t="s">
        <v>32570</v>
      </c>
      <c r="H4071" s="15" t="s">
        <v>32571</v>
      </c>
      <c r="I4071" s="15" t="s">
        <v>32572</v>
      </c>
      <c r="J4071" s="15" t="s">
        <v>32573</v>
      </c>
      <c r="K4071" s="15">
        <v>5325</v>
      </c>
      <c r="L4071" s="15" t="s">
        <v>19099</v>
      </c>
    </row>
    <row r="4072" spans="1:12" x14ac:dyDescent="0.25">
      <c r="A4072" s="2" t="s">
        <v>11899</v>
      </c>
      <c r="B4072" s="8" t="s">
        <v>18627</v>
      </c>
      <c r="C4072" s="2" t="s">
        <v>11899</v>
      </c>
      <c r="D4072" s="2" t="s">
        <v>11900</v>
      </c>
      <c r="E4072" s="4" t="s">
        <v>32574</v>
      </c>
      <c r="G4072" s="15" t="s">
        <v>32575</v>
      </c>
      <c r="H4072" s="15" t="s">
        <v>32576</v>
      </c>
      <c r="I4072" s="15" t="s">
        <v>32577</v>
      </c>
      <c r="J4072" s="15" t="s">
        <v>32578</v>
      </c>
      <c r="K4072" s="15">
        <v>5329</v>
      </c>
      <c r="L4072" s="15" t="s">
        <v>19099</v>
      </c>
    </row>
    <row r="4073" spans="1:12" x14ac:dyDescent="0.25">
      <c r="A4073" s="2" t="s">
        <v>11902</v>
      </c>
      <c r="B4073" s="8" t="s">
        <v>18628</v>
      </c>
      <c r="C4073" s="2" t="s">
        <v>11902</v>
      </c>
      <c r="D4073" s="2" t="s">
        <v>11903</v>
      </c>
      <c r="E4073" s="4" t="s">
        <v>11903</v>
      </c>
      <c r="G4073" s="15" t="s">
        <v>32579</v>
      </c>
      <c r="H4073" s="15" t="s">
        <v>32580</v>
      </c>
      <c r="I4073" s="15" t="s">
        <v>32581</v>
      </c>
      <c r="J4073" s="15" t="s">
        <v>32582</v>
      </c>
      <c r="K4073" s="15">
        <v>190009</v>
      </c>
      <c r="L4073" s="15" t="s">
        <v>19099</v>
      </c>
    </row>
    <row r="4074" spans="1:12" x14ac:dyDescent="0.25">
      <c r="A4074" s="2" t="s">
        <v>11905</v>
      </c>
      <c r="B4074" s="8" t="s">
        <v>18629</v>
      </c>
      <c r="C4074" s="2" t="s">
        <v>11905</v>
      </c>
      <c r="D4074" s="2" t="s">
        <v>11906</v>
      </c>
      <c r="E4074" s="4" t="s">
        <v>11906</v>
      </c>
      <c r="G4074" s="15" t="s">
        <v>32583</v>
      </c>
      <c r="H4074" s="15" t="s">
        <v>32584</v>
      </c>
      <c r="I4074" s="15" t="s">
        <v>32585</v>
      </c>
      <c r="J4074" s="15" t="s">
        <v>32586</v>
      </c>
      <c r="K4074" s="15">
        <v>5336</v>
      </c>
      <c r="L4074" s="15" t="s">
        <v>19099</v>
      </c>
    </row>
    <row r="4075" spans="1:12" x14ac:dyDescent="0.25">
      <c r="A4075" s="2" t="s">
        <v>11908</v>
      </c>
      <c r="B4075" s="8" t="s">
        <v>18630</v>
      </c>
      <c r="C4075" s="2" t="s">
        <v>11908</v>
      </c>
      <c r="D4075" s="2" t="s">
        <v>11909</v>
      </c>
      <c r="E4075" s="4" t="s">
        <v>11909</v>
      </c>
      <c r="G4075" s="15" t="s">
        <v>32587</v>
      </c>
      <c r="H4075" s="15" t="s">
        <v>32588</v>
      </c>
      <c r="I4075" s="15" t="s">
        <v>32589</v>
      </c>
      <c r="J4075" s="15" t="s">
        <v>32590</v>
      </c>
      <c r="K4075" s="15">
        <v>5338</v>
      </c>
      <c r="L4075" s="15" t="s">
        <v>19099</v>
      </c>
    </row>
    <row r="4076" spans="1:12" x14ac:dyDescent="0.25">
      <c r="A4076" s="2" t="s">
        <v>11911</v>
      </c>
      <c r="B4076" s="8" t="s">
        <v>18631</v>
      </c>
      <c r="C4076" s="2" t="s">
        <v>11911</v>
      </c>
      <c r="D4076" s="2" t="s">
        <v>11912</v>
      </c>
      <c r="E4076" s="4" t="s">
        <v>32591</v>
      </c>
      <c r="G4076" s="15" t="s">
        <v>32592</v>
      </c>
      <c r="H4076" s="15" t="s">
        <v>32593</v>
      </c>
      <c r="I4076" s="15" t="s">
        <v>32594</v>
      </c>
      <c r="J4076" s="15" t="s">
        <v>32595</v>
      </c>
      <c r="K4076" s="15">
        <v>17607</v>
      </c>
      <c r="L4076" s="15" t="s">
        <v>19099</v>
      </c>
    </row>
    <row r="4077" spans="1:12" x14ac:dyDescent="0.25">
      <c r="A4077" s="2" t="s">
        <v>11914</v>
      </c>
      <c r="B4077" s="8" t="s">
        <v>18632</v>
      </c>
      <c r="C4077" s="2" t="s">
        <v>11914</v>
      </c>
      <c r="D4077" s="2" t="s">
        <v>11915</v>
      </c>
      <c r="E4077" s="4" t="s">
        <v>11915</v>
      </c>
      <c r="G4077" s="15" t="s">
        <v>32596</v>
      </c>
      <c r="H4077" s="15" t="s">
        <v>32597</v>
      </c>
      <c r="I4077" s="15" t="s">
        <v>32598</v>
      </c>
      <c r="J4077" s="15" t="s">
        <v>32599</v>
      </c>
      <c r="K4077" s="15">
        <v>86426</v>
      </c>
      <c r="L4077" s="15" t="s">
        <v>19099</v>
      </c>
    </row>
    <row r="4078" spans="1:12" x14ac:dyDescent="0.25">
      <c r="A4078" s="2" t="s">
        <v>11917</v>
      </c>
      <c r="B4078" s="8" t="s">
        <v>18633</v>
      </c>
      <c r="C4078" s="2" t="s">
        <v>11917</v>
      </c>
      <c r="D4078" s="2" t="s">
        <v>11918</v>
      </c>
      <c r="E4078" s="4" t="s">
        <v>11918</v>
      </c>
      <c r="G4078" s="15" t="s">
        <v>32600</v>
      </c>
      <c r="H4078" s="15" t="s">
        <v>32601</v>
      </c>
      <c r="I4078" s="15" t="s">
        <v>32602</v>
      </c>
      <c r="J4078" s="15" t="s">
        <v>32603</v>
      </c>
      <c r="K4078" s="15">
        <v>19395</v>
      </c>
      <c r="L4078" s="15" t="s">
        <v>19099</v>
      </c>
    </row>
    <row r="4079" spans="1:12" x14ac:dyDescent="0.25">
      <c r="A4079" s="2" t="s">
        <v>11920</v>
      </c>
      <c r="B4079" s="8" t="s">
        <v>18634</v>
      </c>
      <c r="C4079" s="2" t="s">
        <v>11920</v>
      </c>
      <c r="D4079" s="2" t="s">
        <v>11921</v>
      </c>
      <c r="E4079" s="4" t="s">
        <v>11921</v>
      </c>
      <c r="G4079" s="15" t="s">
        <v>32604</v>
      </c>
      <c r="H4079" s="15" t="s">
        <v>32605</v>
      </c>
      <c r="I4079" s="15" t="s">
        <v>32606</v>
      </c>
      <c r="J4079" s="15" t="s">
        <v>32607</v>
      </c>
      <c r="K4079" s="15">
        <v>37125</v>
      </c>
      <c r="L4079" s="15" t="s">
        <v>19099</v>
      </c>
    </row>
    <row r="4080" spans="1:12" x14ac:dyDescent="0.25">
      <c r="A4080" s="2" t="s">
        <v>11923</v>
      </c>
      <c r="B4080" s="8" t="s">
        <v>16180</v>
      </c>
      <c r="C4080" s="2" t="s">
        <v>11923</v>
      </c>
      <c r="D4080" s="2" t="s">
        <v>11924</v>
      </c>
      <c r="E4080" s="4" t="s">
        <v>32608</v>
      </c>
    </row>
    <row r="4081" spans="1:12" x14ac:dyDescent="0.25">
      <c r="A4081" s="2" t="s">
        <v>11925</v>
      </c>
      <c r="B4081" s="8" t="s">
        <v>16180</v>
      </c>
      <c r="C4081" s="2" t="s">
        <v>11925</v>
      </c>
      <c r="D4081" s="2" t="s">
        <v>11926</v>
      </c>
      <c r="E4081" s="4" t="s">
        <v>32609</v>
      </c>
    </row>
    <row r="4082" spans="1:12" x14ac:dyDescent="0.25">
      <c r="A4082" s="2" t="s">
        <v>11927</v>
      </c>
      <c r="B4082" s="8" t="s">
        <v>16180</v>
      </c>
      <c r="C4082" s="2" t="s">
        <v>11927</v>
      </c>
      <c r="D4082" s="2" t="s">
        <v>11928</v>
      </c>
      <c r="E4082" s="4" t="s">
        <v>32610</v>
      </c>
    </row>
    <row r="4083" spans="1:12" x14ac:dyDescent="0.25">
      <c r="A4083" s="2" t="s">
        <v>11929</v>
      </c>
      <c r="B4083" s="8" t="s">
        <v>16180</v>
      </c>
      <c r="C4083" s="2" t="s">
        <v>11929</v>
      </c>
      <c r="D4083" s="2" t="s">
        <v>11930</v>
      </c>
      <c r="E4083" s="4" t="s">
        <v>32611</v>
      </c>
    </row>
    <row r="4084" spans="1:12" x14ac:dyDescent="0.25">
      <c r="A4084" s="2" t="s">
        <v>11931</v>
      </c>
      <c r="B4084" s="8" t="s">
        <v>16180</v>
      </c>
      <c r="C4084" s="2" t="s">
        <v>11931</v>
      </c>
      <c r="D4084" s="2" t="s">
        <v>11932</v>
      </c>
      <c r="E4084" s="4" t="s">
        <v>32612</v>
      </c>
    </row>
    <row r="4085" spans="1:12" x14ac:dyDescent="0.25">
      <c r="A4085" s="2" t="s">
        <v>11933</v>
      </c>
      <c r="B4085" s="8" t="s">
        <v>16180</v>
      </c>
      <c r="C4085" s="2" t="s">
        <v>11933</v>
      </c>
      <c r="D4085" s="2" t="s">
        <v>11934</v>
      </c>
      <c r="E4085" s="4" t="s">
        <v>32613</v>
      </c>
    </row>
    <row r="4086" spans="1:12" x14ac:dyDescent="0.25">
      <c r="A4086" s="2" t="s">
        <v>11935</v>
      </c>
      <c r="B4086" s="8" t="s">
        <v>18635</v>
      </c>
      <c r="C4086" s="2" t="s">
        <v>11935</v>
      </c>
      <c r="D4086" s="2" t="s">
        <v>11936</v>
      </c>
      <c r="E4086" s="4" t="s">
        <v>11936</v>
      </c>
      <c r="G4086" s="15" t="s">
        <v>32614</v>
      </c>
      <c r="H4086" s="15" t="s">
        <v>32615</v>
      </c>
      <c r="I4086" s="15" t="s">
        <v>32616</v>
      </c>
      <c r="J4086" s="15" t="s">
        <v>19138</v>
      </c>
      <c r="K4086" s="15">
        <v>114725</v>
      </c>
      <c r="L4086" s="15" t="s">
        <v>19099</v>
      </c>
    </row>
    <row r="4087" spans="1:12" x14ac:dyDescent="0.25">
      <c r="A4087" s="2" t="s">
        <v>11938</v>
      </c>
      <c r="B4087" s="8" t="s">
        <v>18636</v>
      </c>
      <c r="C4087" s="2" t="s">
        <v>11938</v>
      </c>
      <c r="D4087" s="2" t="s">
        <v>11939</v>
      </c>
      <c r="E4087" s="4" t="s">
        <v>32617</v>
      </c>
      <c r="G4087" s="15" t="s">
        <v>32618</v>
      </c>
      <c r="H4087" s="15" t="s">
        <v>32619</v>
      </c>
      <c r="I4087" s="15" t="s">
        <v>32620</v>
      </c>
      <c r="J4087" s="15" t="s">
        <v>19188</v>
      </c>
      <c r="K4087" s="15">
        <v>638186</v>
      </c>
      <c r="L4087" s="15" t="s">
        <v>19099</v>
      </c>
    </row>
    <row r="4088" spans="1:12" x14ac:dyDescent="0.25">
      <c r="A4088" s="2" t="s">
        <v>11941</v>
      </c>
      <c r="B4088" s="8" t="s">
        <v>18637</v>
      </c>
      <c r="C4088" s="2" t="s">
        <v>11941</v>
      </c>
      <c r="D4088" s="2" t="s">
        <v>11942</v>
      </c>
      <c r="E4088" s="4" t="s">
        <v>32621</v>
      </c>
      <c r="G4088" s="15" t="s">
        <v>32622</v>
      </c>
      <c r="H4088" s="15" t="s">
        <v>32623</v>
      </c>
      <c r="I4088" s="15" t="s">
        <v>32624</v>
      </c>
      <c r="J4088" s="15" t="s">
        <v>19197</v>
      </c>
      <c r="K4088" s="15">
        <v>5366870</v>
      </c>
      <c r="L4088" s="15" t="s">
        <v>19099</v>
      </c>
    </row>
    <row r="4089" spans="1:12" x14ac:dyDescent="0.25">
      <c r="A4089" s="2" t="s">
        <v>11944</v>
      </c>
      <c r="B4089" s="8" t="s">
        <v>18638</v>
      </c>
      <c r="C4089" s="2" t="s">
        <v>11944</v>
      </c>
      <c r="D4089" s="2" t="s">
        <v>11945</v>
      </c>
      <c r="E4089" s="4" t="s">
        <v>32625</v>
      </c>
      <c r="G4089" s="15" t="s">
        <v>19444</v>
      </c>
      <c r="H4089" s="15" t="s">
        <v>19445</v>
      </c>
      <c r="I4089" s="15" t="s">
        <v>19446</v>
      </c>
      <c r="J4089" s="15" t="s">
        <v>19197</v>
      </c>
      <c r="K4089" s="15">
        <v>24726</v>
      </c>
      <c r="L4089" s="15" t="s">
        <v>19099</v>
      </c>
    </row>
    <row r="4090" spans="1:12" x14ac:dyDescent="0.25">
      <c r="A4090" s="2" t="s">
        <v>11947</v>
      </c>
      <c r="B4090" s="8" t="s">
        <v>18639</v>
      </c>
      <c r="C4090" s="2" t="s">
        <v>11947</v>
      </c>
      <c r="D4090" s="2" t="s">
        <v>11948</v>
      </c>
      <c r="E4090" s="4" t="s">
        <v>32626</v>
      </c>
      <c r="G4090" s="15" t="s">
        <v>19544</v>
      </c>
      <c r="H4090" s="15" t="s">
        <v>19545</v>
      </c>
      <c r="I4090" s="15" t="s">
        <v>19546</v>
      </c>
      <c r="J4090" s="15" t="s">
        <v>19547</v>
      </c>
      <c r="K4090" s="15">
        <v>642197</v>
      </c>
      <c r="L4090" s="15" t="s">
        <v>19099</v>
      </c>
    </row>
    <row r="4091" spans="1:12" x14ac:dyDescent="0.25">
      <c r="A4091" s="2" t="s">
        <v>11950</v>
      </c>
      <c r="B4091" s="8" t="s">
        <v>18640</v>
      </c>
      <c r="C4091" s="2" t="s">
        <v>11950</v>
      </c>
      <c r="D4091" s="2" t="s">
        <v>11951</v>
      </c>
      <c r="E4091" s="4" t="s">
        <v>32627</v>
      </c>
      <c r="G4091" s="15" t="s">
        <v>32628</v>
      </c>
      <c r="H4091" s="15" t="s">
        <v>32629</v>
      </c>
      <c r="I4091" s="15" t="s">
        <v>32630</v>
      </c>
      <c r="J4091" s="15" t="s">
        <v>30866</v>
      </c>
      <c r="K4091" s="15">
        <v>5282457</v>
      </c>
      <c r="L4091" s="15" t="s">
        <v>19099</v>
      </c>
    </row>
    <row r="4092" spans="1:12" x14ac:dyDescent="0.25">
      <c r="A4092" s="2" t="s">
        <v>11953</v>
      </c>
      <c r="B4092" s="8" t="s">
        <v>18641</v>
      </c>
      <c r="C4092" s="2" t="s">
        <v>11953</v>
      </c>
      <c r="D4092" s="2" t="s">
        <v>11954</v>
      </c>
      <c r="E4092" s="4" t="s">
        <v>32631</v>
      </c>
      <c r="G4092" s="15" t="s">
        <v>32632</v>
      </c>
      <c r="H4092" s="15" t="s">
        <v>32633</v>
      </c>
      <c r="I4092" s="15" t="s">
        <v>32634</v>
      </c>
      <c r="J4092" s="15" t="s">
        <v>31446</v>
      </c>
      <c r="K4092" s="15">
        <v>637517</v>
      </c>
      <c r="L4092" s="15" t="s">
        <v>19099</v>
      </c>
    </row>
    <row r="4093" spans="1:12" x14ac:dyDescent="0.25">
      <c r="A4093" s="2" t="s">
        <v>11956</v>
      </c>
      <c r="B4093" s="8" t="s">
        <v>18642</v>
      </c>
      <c r="C4093" s="2" t="s">
        <v>11956</v>
      </c>
      <c r="D4093" s="2" t="s">
        <v>11957</v>
      </c>
      <c r="E4093" s="4" t="s">
        <v>32635</v>
      </c>
      <c r="G4093" s="15" t="s">
        <v>32636</v>
      </c>
      <c r="H4093" s="15" t="s">
        <v>32637</v>
      </c>
      <c r="I4093" s="15" t="s">
        <v>32638</v>
      </c>
      <c r="J4093" s="15" t="s">
        <v>23176</v>
      </c>
      <c r="K4093" s="15">
        <v>45356234</v>
      </c>
      <c r="L4093" s="15" t="s">
        <v>19099</v>
      </c>
    </row>
    <row r="4094" spans="1:12" x14ac:dyDescent="0.25">
      <c r="A4094" s="2" t="s">
        <v>11959</v>
      </c>
      <c r="B4094" s="8" t="s">
        <v>18643</v>
      </c>
      <c r="C4094" s="2" t="s">
        <v>11959</v>
      </c>
      <c r="D4094" s="2" t="s">
        <v>11960</v>
      </c>
      <c r="E4094" s="4" t="s">
        <v>32639</v>
      </c>
      <c r="G4094" s="15" t="s">
        <v>32640</v>
      </c>
      <c r="H4094" s="15" t="s">
        <v>32641</v>
      </c>
      <c r="I4094" s="15" t="s">
        <v>32642</v>
      </c>
      <c r="J4094" s="15" t="s">
        <v>28608</v>
      </c>
      <c r="K4094" s="15">
        <v>71317194</v>
      </c>
      <c r="L4094" s="15" t="s">
        <v>19099</v>
      </c>
    </row>
    <row r="4095" spans="1:12" x14ac:dyDescent="0.25">
      <c r="A4095" s="2" t="s">
        <v>11962</v>
      </c>
      <c r="B4095" s="8" t="s">
        <v>18644</v>
      </c>
      <c r="C4095" s="2" t="s">
        <v>11962</v>
      </c>
      <c r="D4095" s="2" t="s">
        <v>11963</v>
      </c>
      <c r="E4095" s="4" t="s">
        <v>32643</v>
      </c>
      <c r="G4095" s="15" t="s">
        <v>28610</v>
      </c>
      <c r="H4095" s="15" t="s">
        <v>28611</v>
      </c>
      <c r="I4095" s="15" t="s">
        <v>28612</v>
      </c>
      <c r="J4095" s="15" t="s">
        <v>28613</v>
      </c>
      <c r="K4095" s="15">
        <v>12313421</v>
      </c>
      <c r="L4095" s="15" t="s">
        <v>19099</v>
      </c>
    </row>
    <row r="4096" spans="1:12" x14ac:dyDescent="0.25">
      <c r="A4096" s="2" t="s">
        <v>11965</v>
      </c>
      <c r="B4096" s="8" t="s">
        <v>18645</v>
      </c>
      <c r="C4096" s="2" t="s">
        <v>11965</v>
      </c>
      <c r="D4096" s="2" t="s">
        <v>11966</v>
      </c>
      <c r="E4096" s="4" t="s">
        <v>32644</v>
      </c>
      <c r="G4096" s="15" t="s">
        <v>32645</v>
      </c>
      <c r="H4096" s="15" t="s">
        <v>32646</v>
      </c>
      <c r="I4096" s="15" t="s">
        <v>32647</v>
      </c>
      <c r="J4096" s="15" t="s">
        <v>29052</v>
      </c>
      <c r="K4096" s="15">
        <v>12442</v>
      </c>
      <c r="L4096" s="15" t="s">
        <v>19099</v>
      </c>
    </row>
    <row r="4097" spans="1:12" x14ac:dyDescent="0.25">
      <c r="A4097" s="2" t="s">
        <v>11968</v>
      </c>
      <c r="B4097" s="8" t="s">
        <v>18646</v>
      </c>
      <c r="C4097" s="2" t="s">
        <v>11968</v>
      </c>
      <c r="D4097" s="2" t="s">
        <v>11969</v>
      </c>
      <c r="E4097" s="4" t="s">
        <v>32648</v>
      </c>
      <c r="G4097" s="15" t="s">
        <v>32649</v>
      </c>
      <c r="H4097" s="15" t="s">
        <v>32650</v>
      </c>
      <c r="I4097" s="15" t="s">
        <v>32651</v>
      </c>
      <c r="J4097" s="15" t="s">
        <v>32652</v>
      </c>
      <c r="K4097" s="15">
        <v>5430</v>
      </c>
      <c r="L4097" s="15" t="s">
        <v>19099</v>
      </c>
    </row>
    <row r="4098" spans="1:12" x14ac:dyDescent="0.25">
      <c r="A4098" s="2" t="s">
        <v>11971</v>
      </c>
      <c r="B4098" s="8" t="s">
        <v>18647</v>
      </c>
      <c r="C4098" s="2" t="s">
        <v>11971</v>
      </c>
      <c r="D4098" s="2" t="s">
        <v>11972</v>
      </c>
      <c r="E4098" s="4" t="s">
        <v>11972</v>
      </c>
      <c r="G4098" s="15" t="s">
        <v>32653</v>
      </c>
      <c r="H4098" s="15" t="s">
        <v>32654</v>
      </c>
      <c r="I4098" s="15" t="s">
        <v>32655</v>
      </c>
      <c r="J4098" s="15" t="s">
        <v>32656</v>
      </c>
      <c r="K4098" s="15">
        <v>2733526</v>
      </c>
      <c r="L4098" s="15" t="s">
        <v>19099</v>
      </c>
    </row>
    <row r="4099" spans="1:12" x14ac:dyDescent="0.25">
      <c r="A4099" s="2" t="s">
        <v>11974</v>
      </c>
      <c r="B4099" s="8" t="s">
        <v>18648</v>
      </c>
      <c r="C4099" s="2" t="s">
        <v>11974</v>
      </c>
      <c r="D4099" s="2" t="s">
        <v>11975</v>
      </c>
      <c r="E4099" s="4" t="s">
        <v>32657</v>
      </c>
      <c r="G4099" s="15" t="s">
        <v>32658</v>
      </c>
      <c r="H4099" s="15" t="s">
        <v>32659</v>
      </c>
      <c r="I4099" s="15" t="s">
        <v>32660</v>
      </c>
      <c r="J4099" s="15" t="s">
        <v>32661</v>
      </c>
      <c r="K4099" s="15">
        <v>16129778</v>
      </c>
      <c r="L4099" s="15" t="s">
        <v>19099</v>
      </c>
    </row>
    <row r="4100" spans="1:12" x14ac:dyDescent="0.25">
      <c r="A4100" s="2" t="s">
        <v>11977</v>
      </c>
      <c r="B4100" s="8" t="s">
        <v>18649</v>
      </c>
      <c r="C4100" s="2" t="s">
        <v>11977</v>
      </c>
      <c r="D4100" s="2" t="s">
        <v>11978</v>
      </c>
      <c r="E4100" s="4" t="s">
        <v>32662</v>
      </c>
      <c r="G4100" s="15" t="s">
        <v>32663</v>
      </c>
      <c r="H4100" s="15" t="s">
        <v>32664</v>
      </c>
      <c r="I4100" s="15" t="s">
        <v>32665</v>
      </c>
      <c r="J4100" s="15" t="s">
        <v>29951</v>
      </c>
      <c r="K4100" s="15">
        <v>91768</v>
      </c>
      <c r="L4100" s="15" t="s">
        <v>19099</v>
      </c>
    </row>
    <row r="4101" spans="1:12" x14ac:dyDescent="0.25">
      <c r="A4101" s="2" t="s">
        <v>11980</v>
      </c>
      <c r="B4101" s="8" t="s">
        <v>18650</v>
      </c>
      <c r="C4101" s="2" t="s">
        <v>11980</v>
      </c>
      <c r="D4101" s="2" t="s">
        <v>11981</v>
      </c>
      <c r="E4101" s="4" t="s">
        <v>32666</v>
      </c>
      <c r="G4101" s="15" t="s">
        <v>32667</v>
      </c>
      <c r="H4101" s="15" t="s">
        <v>32668</v>
      </c>
      <c r="I4101" s="15" t="s">
        <v>32669</v>
      </c>
      <c r="J4101" s="15" t="s">
        <v>32670</v>
      </c>
      <c r="K4101" s="15">
        <v>86102</v>
      </c>
      <c r="L4101" s="15" t="s">
        <v>19099</v>
      </c>
    </row>
    <row r="4102" spans="1:12" x14ac:dyDescent="0.25">
      <c r="A4102" s="2" t="s">
        <v>11983</v>
      </c>
      <c r="B4102" s="8" t="s">
        <v>18651</v>
      </c>
      <c r="C4102" s="2" t="s">
        <v>11983</v>
      </c>
      <c r="D4102" s="2" t="s">
        <v>11984</v>
      </c>
      <c r="E4102" s="4" t="s">
        <v>11984</v>
      </c>
      <c r="G4102" s="15" t="s">
        <v>32671</v>
      </c>
      <c r="H4102" s="15" t="s">
        <v>32672</v>
      </c>
      <c r="I4102" s="15" t="s">
        <v>32673</v>
      </c>
      <c r="J4102" s="15" t="s">
        <v>32674</v>
      </c>
      <c r="K4102" s="15">
        <v>91773</v>
      </c>
      <c r="L4102" s="15" t="s">
        <v>19099</v>
      </c>
    </row>
    <row r="4103" spans="1:12" x14ac:dyDescent="0.25">
      <c r="A4103" s="2" t="s">
        <v>11986</v>
      </c>
      <c r="B4103" s="8" t="s">
        <v>18652</v>
      </c>
      <c r="C4103" s="2" t="s">
        <v>11986</v>
      </c>
      <c r="D4103" s="2" t="s">
        <v>11987</v>
      </c>
      <c r="E4103" s="4" t="s">
        <v>11987</v>
      </c>
      <c r="G4103" s="15" t="s">
        <v>32675</v>
      </c>
      <c r="H4103" s="15" t="s">
        <v>32676</v>
      </c>
      <c r="I4103" s="15" t="s">
        <v>32677</v>
      </c>
      <c r="J4103" s="15" t="s">
        <v>32678</v>
      </c>
      <c r="K4103" s="15">
        <v>86354</v>
      </c>
      <c r="L4103" s="15" t="s">
        <v>19099</v>
      </c>
    </row>
    <row r="4104" spans="1:12" x14ac:dyDescent="0.25">
      <c r="A4104" s="2" t="s">
        <v>11989</v>
      </c>
      <c r="B4104" s="8" t="s">
        <v>18653</v>
      </c>
      <c r="C4104" s="2" t="s">
        <v>11989</v>
      </c>
      <c r="D4104" s="2" t="s">
        <v>11990</v>
      </c>
      <c r="E4104" s="4" t="s">
        <v>11990</v>
      </c>
      <c r="G4104" s="15" t="s">
        <v>32679</v>
      </c>
      <c r="H4104" s="15" t="s">
        <v>32680</v>
      </c>
      <c r="I4104" s="15" t="s">
        <v>32681</v>
      </c>
      <c r="J4104" s="15" t="s">
        <v>32682</v>
      </c>
      <c r="K4104" s="15">
        <v>93516</v>
      </c>
      <c r="L4104" s="15" t="s">
        <v>19099</v>
      </c>
    </row>
    <row r="4105" spans="1:12" x14ac:dyDescent="0.25">
      <c r="A4105" s="2" t="s">
        <v>11992</v>
      </c>
      <c r="B4105" s="8" t="s">
        <v>18654</v>
      </c>
      <c r="C4105" s="2" t="s">
        <v>11992</v>
      </c>
      <c r="D4105" s="2" t="s">
        <v>11993</v>
      </c>
      <c r="E4105" s="4" t="s">
        <v>11993</v>
      </c>
      <c r="G4105" s="15" t="s">
        <v>32683</v>
      </c>
      <c r="H4105" s="15" t="s">
        <v>32684</v>
      </c>
      <c r="I4105" s="15" t="s">
        <v>32685</v>
      </c>
      <c r="J4105" s="15" t="s">
        <v>32686</v>
      </c>
      <c r="K4105" s="15">
        <v>92299</v>
      </c>
      <c r="L4105" s="15" t="s">
        <v>19099</v>
      </c>
    </row>
    <row r="4106" spans="1:12" x14ac:dyDescent="0.25">
      <c r="A4106" s="2" t="s">
        <v>11995</v>
      </c>
      <c r="B4106" s="8" t="s">
        <v>18655</v>
      </c>
      <c r="C4106" s="2" t="s">
        <v>11995</v>
      </c>
      <c r="D4106" s="2" t="s">
        <v>11996</v>
      </c>
      <c r="E4106" s="4" t="s">
        <v>11996</v>
      </c>
      <c r="G4106" s="15" t="s">
        <v>32687</v>
      </c>
      <c r="H4106" s="15" t="s">
        <v>32688</v>
      </c>
      <c r="I4106" s="15" t="s">
        <v>32689</v>
      </c>
      <c r="J4106" s="15" t="s">
        <v>32690</v>
      </c>
      <c r="K4106" s="15">
        <v>5383</v>
      </c>
      <c r="L4106" s="15" t="s">
        <v>19099</v>
      </c>
    </row>
    <row r="4107" spans="1:12" x14ac:dyDescent="0.25">
      <c r="A4107" s="2" t="s">
        <v>11998</v>
      </c>
      <c r="B4107" s="8" t="s">
        <v>18656</v>
      </c>
      <c r="C4107" s="2" t="s">
        <v>11998</v>
      </c>
      <c r="D4107" s="2" t="s">
        <v>11999</v>
      </c>
      <c r="E4107" s="4" t="s">
        <v>32691</v>
      </c>
      <c r="G4107" s="15" t="s">
        <v>32692</v>
      </c>
      <c r="H4107" s="15" t="s">
        <v>32693</v>
      </c>
      <c r="I4107" s="15" t="s">
        <v>32694</v>
      </c>
      <c r="J4107" s="15" t="s">
        <v>32695</v>
      </c>
      <c r="K4107" s="15">
        <v>8330</v>
      </c>
      <c r="L4107" s="15" t="s">
        <v>19099</v>
      </c>
    </row>
    <row r="4108" spans="1:12" x14ac:dyDescent="0.25">
      <c r="A4108" s="2" t="s">
        <v>12001</v>
      </c>
      <c r="B4108" s="8" t="s">
        <v>18657</v>
      </c>
      <c r="C4108" s="2" t="s">
        <v>12001</v>
      </c>
      <c r="D4108" s="2" t="s">
        <v>12002</v>
      </c>
      <c r="E4108" s="4" t="s">
        <v>12002</v>
      </c>
      <c r="G4108" s="15" t="s">
        <v>32696</v>
      </c>
      <c r="H4108" s="15" t="s">
        <v>32697</v>
      </c>
      <c r="I4108" s="15" t="s">
        <v>32698</v>
      </c>
      <c r="J4108" s="15" t="s">
        <v>32699</v>
      </c>
      <c r="K4108" s="15">
        <v>11205153</v>
      </c>
      <c r="L4108" s="15" t="s">
        <v>19099</v>
      </c>
    </row>
    <row r="4109" spans="1:12" x14ac:dyDescent="0.25">
      <c r="A4109" s="2" t="s">
        <v>12004</v>
      </c>
      <c r="B4109" s="8" t="s">
        <v>18658</v>
      </c>
      <c r="C4109" s="2" t="s">
        <v>12004</v>
      </c>
      <c r="D4109" s="2" t="s">
        <v>12005</v>
      </c>
      <c r="E4109" s="4" t="s">
        <v>12005</v>
      </c>
      <c r="G4109" s="15" t="s">
        <v>32700</v>
      </c>
      <c r="H4109" s="15" t="s">
        <v>32701</v>
      </c>
      <c r="I4109" s="15" t="s">
        <v>32702</v>
      </c>
      <c r="J4109" s="15" t="s">
        <v>32703</v>
      </c>
      <c r="K4109" s="15">
        <v>91734</v>
      </c>
      <c r="L4109" s="15" t="s">
        <v>19099</v>
      </c>
    </row>
    <row r="4110" spans="1:12" x14ac:dyDescent="0.25">
      <c r="A4110" s="2" t="s">
        <v>12007</v>
      </c>
      <c r="B4110" s="8" t="s">
        <v>18659</v>
      </c>
      <c r="C4110" s="2" t="s">
        <v>12007</v>
      </c>
      <c r="D4110" s="2" t="s">
        <v>12008</v>
      </c>
      <c r="E4110" s="4" t="s">
        <v>12008</v>
      </c>
      <c r="G4110" s="15" t="s">
        <v>32704</v>
      </c>
      <c r="H4110" s="15" t="s">
        <v>32705</v>
      </c>
      <c r="I4110" s="15" t="s">
        <v>32706</v>
      </c>
      <c r="J4110" s="15" t="s">
        <v>32707</v>
      </c>
      <c r="K4110" s="15">
        <v>11534837</v>
      </c>
      <c r="L4110" s="15" t="s">
        <v>19099</v>
      </c>
    </row>
    <row r="4111" spans="1:12" x14ac:dyDescent="0.25">
      <c r="A4111" s="2" t="s">
        <v>12010</v>
      </c>
      <c r="B4111" s="8" t="s">
        <v>18660</v>
      </c>
      <c r="C4111" s="2" t="s">
        <v>12010</v>
      </c>
      <c r="D4111" s="2" t="s">
        <v>12011</v>
      </c>
      <c r="E4111" s="4" t="s">
        <v>12011</v>
      </c>
      <c r="G4111" s="15" t="s">
        <v>32708</v>
      </c>
      <c r="H4111" s="15" t="s">
        <v>32709</v>
      </c>
      <c r="I4111" s="15" t="s">
        <v>32710</v>
      </c>
      <c r="J4111" s="15" t="s">
        <v>32711</v>
      </c>
      <c r="K4111" s="15">
        <v>9271</v>
      </c>
      <c r="L4111" s="15" t="s">
        <v>19099</v>
      </c>
    </row>
    <row r="4112" spans="1:12" x14ac:dyDescent="0.25">
      <c r="A4112" s="2" t="s">
        <v>12013</v>
      </c>
      <c r="B4112" s="8" t="s">
        <v>18661</v>
      </c>
      <c r="C4112" s="2" t="s">
        <v>12013</v>
      </c>
      <c r="D4112" s="2" t="s">
        <v>12014</v>
      </c>
      <c r="E4112" s="4" t="s">
        <v>12014</v>
      </c>
      <c r="G4112" s="15" t="s">
        <v>32712</v>
      </c>
      <c r="H4112" s="15" t="s">
        <v>32713</v>
      </c>
      <c r="I4112" s="15" t="s">
        <v>32714</v>
      </c>
      <c r="J4112" s="15" t="s">
        <v>32715</v>
      </c>
      <c r="K4112" s="15">
        <v>65999</v>
      </c>
      <c r="L4112" s="15" t="s">
        <v>19099</v>
      </c>
    </row>
    <row r="4113" spans="1:12" x14ac:dyDescent="0.25">
      <c r="A4113" s="2" t="s">
        <v>12016</v>
      </c>
      <c r="B4113" s="8" t="s">
        <v>18662</v>
      </c>
      <c r="C4113" s="2" t="s">
        <v>12016</v>
      </c>
      <c r="D4113" s="2" t="s">
        <v>12017</v>
      </c>
      <c r="E4113" s="4" t="s">
        <v>12017</v>
      </c>
      <c r="G4113" s="15" t="s">
        <v>32716</v>
      </c>
      <c r="H4113" s="15" t="s">
        <v>32717</v>
      </c>
      <c r="I4113" s="15" t="s">
        <v>32718</v>
      </c>
      <c r="J4113" s="15" t="s">
        <v>32719</v>
      </c>
      <c r="K4113" s="15">
        <v>11556911</v>
      </c>
      <c r="L4113" s="15" t="s">
        <v>19099</v>
      </c>
    </row>
    <row r="4114" spans="1:12" x14ac:dyDescent="0.25">
      <c r="A4114" s="2" t="s">
        <v>12019</v>
      </c>
      <c r="B4114" s="8" t="s">
        <v>18663</v>
      </c>
      <c r="C4114" s="2" t="s">
        <v>12019</v>
      </c>
      <c r="D4114" s="2" t="s">
        <v>12020</v>
      </c>
      <c r="E4114" s="4" t="s">
        <v>12020</v>
      </c>
      <c r="G4114" s="15" t="s">
        <v>32720</v>
      </c>
      <c r="H4114" s="15" t="s">
        <v>32721</v>
      </c>
      <c r="I4114" s="15" t="s">
        <v>32722</v>
      </c>
      <c r="J4114" s="15" t="s">
        <v>32723</v>
      </c>
      <c r="K4114" s="15">
        <v>5392</v>
      </c>
      <c r="L4114" s="15" t="s">
        <v>19099</v>
      </c>
    </row>
    <row r="4115" spans="1:12" x14ac:dyDescent="0.25">
      <c r="A4115" s="2" t="s">
        <v>12022</v>
      </c>
      <c r="B4115" s="8" t="s">
        <v>18664</v>
      </c>
      <c r="C4115" s="2" t="s">
        <v>12022</v>
      </c>
      <c r="D4115" s="2" t="s">
        <v>12023</v>
      </c>
      <c r="E4115" s="4" t="s">
        <v>12023</v>
      </c>
      <c r="G4115" s="15" t="s">
        <v>32724</v>
      </c>
      <c r="H4115" s="15" t="s">
        <v>32725</v>
      </c>
      <c r="I4115" s="15" t="s">
        <v>32726</v>
      </c>
      <c r="J4115" s="15" t="s">
        <v>32727</v>
      </c>
      <c r="K4115" s="15">
        <v>5391</v>
      </c>
      <c r="L4115" s="15" t="s">
        <v>19099</v>
      </c>
    </row>
    <row r="4116" spans="1:12" x14ac:dyDescent="0.25">
      <c r="A4116" s="2" t="s">
        <v>12025</v>
      </c>
      <c r="B4116" s="8" t="s">
        <v>18665</v>
      </c>
      <c r="C4116" s="2" t="s">
        <v>12025</v>
      </c>
      <c r="D4116" s="2" t="s">
        <v>12026</v>
      </c>
      <c r="E4116" s="4" t="s">
        <v>12026</v>
      </c>
      <c r="G4116" s="15" t="s">
        <v>32728</v>
      </c>
      <c r="H4116" s="15" t="s">
        <v>32729</v>
      </c>
      <c r="I4116" s="15" t="s">
        <v>32730</v>
      </c>
      <c r="J4116" s="15" t="s">
        <v>32731</v>
      </c>
      <c r="K4116" s="15">
        <v>135585373</v>
      </c>
      <c r="L4116" s="15" t="s">
        <v>19099</v>
      </c>
    </row>
    <row r="4117" spans="1:12" x14ac:dyDescent="0.25">
      <c r="A4117" s="2" t="s">
        <v>12028</v>
      </c>
      <c r="B4117" s="8" t="s">
        <v>18666</v>
      </c>
      <c r="C4117" s="2" t="s">
        <v>12028</v>
      </c>
      <c r="D4117" s="2" t="s">
        <v>12029</v>
      </c>
      <c r="E4117" s="4" t="s">
        <v>32732</v>
      </c>
      <c r="G4117" s="15" t="s">
        <v>32733</v>
      </c>
      <c r="H4117" s="15" t="s">
        <v>32734</v>
      </c>
      <c r="I4117" s="15" t="s">
        <v>32735</v>
      </c>
      <c r="J4117" s="15" t="s">
        <v>27447</v>
      </c>
      <c r="K4117" s="15">
        <v>22206</v>
      </c>
      <c r="L4117" s="15" t="s">
        <v>19099</v>
      </c>
    </row>
    <row r="4118" spans="1:12" x14ac:dyDescent="0.25">
      <c r="A4118" s="2" t="s">
        <v>12031</v>
      </c>
      <c r="B4118" s="8" t="s">
        <v>18667</v>
      </c>
      <c r="C4118" s="2" t="s">
        <v>12031</v>
      </c>
      <c r="D4118" s="2" t="s">
        <v>12032</v>
      </c>
      <c r="E4118" s="4" t="s">
        <v>12032</v>
      </c>
      <c r="G4118" s="15" t="s">
        <v>32736</v>
      </c>
      <c r="H4118" s="15" t="s">
        <v>32737</v>
      </c>
      <c r="I4118" s="15" t="s">
        <v>32738</v>
      </c>
      <c r="J4118" s="15" t="s">
        <v>32739</v>
      </c>
      <c r="K4118" s="15">
        <v>22188</v>
      </c>
      <c r="L4118" s="15" t="s">
        <v>19099</v>
      </c>
    </row>
    <row r="4119" spans="1:12" x14ac:dyDescent="0.25">
      <c r="A4119" s="2" t="s">
        <v>12034</v>
      </c>
      <c r="B4119" s="8" t="s">
        <v>18668</v>
      </c>
      <c r="C4119" s="2" t="s">
        <v>12034</v>
      </c>
      <c r="D4119" s="2" t="s">
        <v>12035</v>
      </c>
      <c r="E4119" s="4" t="s">
        <v>32740</v>
      </c>
      <c r="G4119" s="15" t="s">
        <v>32741</v>
      </c>
      <c r="H4119" s="15" t="s">
        <v>32742</v>
      </c>
      <c r="I4119" s="15" t="s">
        <v>32743</v>
      </c>
      <c r="J4119" s="15" t="s">
        <v>32744</v>
      </c>
      <c r="K4119" s="15">
        <v>25355</v>
      </c>
      <c r="L4119" s="15" t="s">
        <v>19099</v>
      </c>
    </row>
    <row r="4120" spans="1:12" x14ac:dyDescent="0.25">
      <c r="A4120" s="2" t="s">
        <v>12037</v>
      </c>
      <c r="B4120" s="8" t="s">
        <v>18669</v>
      </c>
      <c r="C4120" s="2" t="s">
        <v>12037</v>
      </c>
      <c r="D4120" s="2" t="s">
        <v>12038</v>
      </c>
      <c r="E4120" s="4" t="s">
        <v>12038</v>
      </c>
      <c r="G4120" s="15" t="s">
        <v>32745</v>
      </c>
      <c r="H4120" s="15" t="s">
        <v>32746</v>
      </c>
      <c r="I4120" s="15" t="s">
        <v>32747</v>
      </c>
      <c r="J4120" s="15" t="s">
        <v>32748</v>
      </c>
      <c r="K4120" s="15">
        <v>25670</v>
      </c>
      <c r="L4120" s="15" t="s">
        <v>19099</v>
      </c>
    </row>
    <row r="4121" spans="1:12" x14ac:dyDescent="0.25">
      <c r="A4121" s="2" t="s">
        <v>12040</v>
      </c>
      <c r="B4121" s="8" t="s">
        <v>18670</v>
      </c>
      <c r="C4121" s="2" t="s">
        <v>12040</v>
      </c>
      <c r="D4121" s="2" t="s">
        <v>12041</v>
      </c>
      <c r="E4121" s="4" t="s">
        <v>32749</v>
      </c>
      <c r="G4121" s="15" t="s">
        <v>32750</v>
      </c>
      <c r="H4121" s="15" t="s">
        <v>32751</v>
      </c>
      <c r="I4121" s="15" t="s">
        <v>32752</v>
      </c>
      <c r="J4121" s="15" t="s">
        <v>32753</v>
      </c>
      <c r="K4121" s="15">
        <v>41718</v>
      </c>
      <c r="L4121" s="15" t="s">
        <v>19099</v>
      </c>
    </row>
    <row r="4122" spans="1:12" x14ac:dyDescent="0.25">
      <c r="A4122" s="2" t="s">
        <v>12043</v>
      </c>
      <c r="B4122" s="8" t="s">
        <v>18671</v>
      </c>
      <c r="C4122" s="2" t="s">
        <v>12043</v>
      </c>
      <c r="D4122" s="2" t="s">
        <v>12044</v>
      </c>
      <c r="E4122" s="4" t="s">
        <v>12044</v>
      </c>
      <c r="G4122" s="15" t="s">
        <v>32754</v>
      </c>
      <c r="H4122" s="15" t="s">
        <v>32755</v>
      </c>
      <c r="I4122" s="15" t="s">
        <v>32756</v>
      </c>
      <c r="J4122" s="15" t="s">
        <v>31800</v>
      </c>
      <c r="K4122" s="15">
        <v>36584</v>
      </c>
      <c r="L4122" s="15" t="s">
        <v>19099</v>
      </c>
    </row>
    <row r="4123" spans="1:12" x14ac:dyDescent="0.25">
      <c r="A4123" s="2" t="s">
        <v>12046</v>
      </c>
      <c r="B4123" s="8" t="s">
        <v>18672</v>
      </c>
      <c r="C4123" s="2" t="s">
        <v>12046</v>
      </c>
      <c r="D4123" s="2" t="s">
        <v>12047</v>
      </c>
      <c r="E4123" s="4" t="s">
        <v>12047</v>
      </c>
      <c r="G4123" s="15" t="s">
        <v>32757</v>
      </c>
      <c r="H4123" s="15" t="s">
        <v>32758</v>
      </c>
      <c r="I4123" s="15" t="s">
        <v>32759</v>
      </c>
      <c r="J4123" s="15" t="s">
        <v>32760</v>
      </c>
      <c r="K4123" s="15">
        <v>5403</v>
      </c>
      <c r="L4123" s="15" t="s">
        <v>19099</v>
      </c>
    </row>
    <row r="4124" spans="1:12" x14ac:dyDescent="0.25">
      <c r="A4124" s="2" t="s">
        <v>12049</v>
      </c>
      <c r="B4124" s="8" t="s">
        <v>18673</v>
      </c>
      <c r="C4124" s="2" t="s">
        <v>12049</v>
      </c>
      <c r="D4124" s="2" t="s">
        <v>12050</v>
      </c>
      <c r="E4124" s="4" t="s">
        <v>12050</v>
      </c>
      <c r="G4124" s="15" t="s">
        <v>32761</v>
      </c>
      <c r="H4124" s="15" t="s">
        <v>32762</v>
      </c>
      <c r="I4124" s="15" t="s">
        <v>32763</v>
      </c>
      <c r="J4124" s="15" t="s">
        <v>31804</v>
      </c>
      <c r="K4124" s="15">
        <v>13450</v>
      </c>
      <c r="L4124" s="15" t="s">
        <v>19099</v>
      </c>
    </row>
    <row r="4125" spans="1:12" x14ac:dyDescent="0.25">
      <c r="A4125" s="2" t="s">
        <v>12052</v>
      </c>
      <c r="B4125" s="8" t="s">
        <v>18674</v>
      </c>
      <c r="C4125" s="2" t="s">
        <v>12052</v>
      </c>
      <c r="D4125" s="2" t="s">
        <v>12053</v>
      </c>
      <c r="E4125" s="4" t="s">
        <v>32764</v>
      </c>
      <c r="G4125" s="15" t="s">
        <v>32765</v>
      </c>
      <c r="H4125" s="15" t="s">
        <v>32766</v>
      </c>
      <c r="I4125" s="15" t="s">
        <v>32767</v>
      </c>
      <c r="J4125" s="15" t="s">
        <v>22785</v>
      </c>
      <c r="K4125" s="15">
        <v>17141</v>
      </c>
      <c r="L4125" s="15" t="s">
        <v>19099</v>
      </c>
    </row>
    <row r="4126" spans="1:12" x14ac:dyDescent="0.25">
      <c r="A4126" s="2" t="s">
        <v>12055</v>
      </c>
      <c r="B4126" s="8" t="s">
        <v>18675</v>
      </c>
      <c r="C4126" s="2" t="s">
        <v>12055</v>
      </c>
      <c r="D4126" s="2" t="s">
        <v>12056</v>
      </c>
      <c r="E4126" s="4" t="s">
        <v>32768</v>
      </c>
    </row>
    <row r="4127" spans="1:12" x14ac:dyDescent="0.25">
      <c r="A4127" s="2" t="s">
        <v>12058</v>
      </c>
      <c r="B4127" s="8" t="s">
        <v>18676</v>
      </c>
      <c r="C4127" s="2" t="s">
        <v>12058</v>
      </c>
      <c r="D4127" s="2" t="s">
        <v>12059</v>
      </c>
      <c r="E4127" s="4" t="s">
        <v>12059</v>
      </c>
      <c r="G4127" s="15" t="s">
        <v>32769</v>
      </c>
      <c r="H4127" s="15" t="s">
        <v>32770</v>
      </c>
      <c r="I4127" s="15" t="s">
        <v>32771</v>
      </c>
      <c r="J4127" s="15" t="s">
        <v>32772</v>
      </c>
      <c r="K4127" s="15">
        <v>10178</v>
      </c>
      <c r="L4127" s="15" t="s">
        <v>19099</v>
      </c>
    </row>
    <row r="4128" spans="1:12" x14ac:dyDescent="0.25">
      <c r="A4128" s="2" t="s">
        <v>12061</v>
      </c>
      <c r="B4128" s="8" t="s">
        <v>18677</v>
      </c>
      <c r="C4128" s="2" t="s">
        <v>12061</v>
      </c>
      <c r="D4128" s="2" t="s">
        <v>12062</v>
      </c>
      <c r="E4128" s="4" t="s">
        <v>12062</v>
      </c>
      <c r="G4128" s="15" t="s">
        <v>32773</v>
      </c>
      <c r="H4128" s="15" t="s">
        <v>32774</v>
      </c>
      <c r="I4128" s="15" t="s">
        <v>32775</v>
      </c>
      <c r="J4128" s="15" t="s">
        <v>20114</v>
      </c>
      <c r="K4128" s="15">
        <v>6490</v>
      </c>
      <c r="L4128" s="15" t="s">
        <v>19099</v>
      </c>
    </row>
    <row r="4129" spans="1:12" x14ac:dyDescent="0.25">
      <c r="A4129" s="2" t="s">
        <v>12064</v>
      </c>
      <c r="B4129" s="9" t="s">
        <v>12066</v>
      </c>
      <c r="C4129" s="2" t="s">
        <v>12064</v>
      </c>
      <c r="D4129" s="2" t="s">
        <v>12065</v>
      </c>
      <c r="E4129" s="4" t="s">
        <v>32776</v>
      </c>
    </row>
    <row r="4130" spans="1:12" x14ac:dyDescent="0.25">
      <c r="A4130" s="2" t="s">
        <v>12067</v>
      </c>
      <c r="B4130" s="8" t="s">
        <v>18679</v>
      </c>
      <c r="C4130" s="2" t="s">
        <v>12067</v>
      </c>
      <c r="D4130" s="2" t="s">
        <v>12068</v>
      </c>
      <c r="E4130" s="4" t="s">
        <v>12068</v>
      </c>
      <c r="G4130" s="15" t="s">
        <v>32777</v>
      </c>
      <c r="H4130" s="15" t="s">
        <v>32778</v>
      </c>
      <c r="I4130" s="15" t="s">
        <v>32779</v>
      </c>
      <c r="J4130" s="15" t="s">
        <v>30056</v>
      </c>
      <c r="K4130" s="15">
        <v>11048796</v>
      </c>
      <c r="L4130" s="15" t="s">
        <v>19099</v>
      </c>
    </row>
    <row r="4131" spans="1:12" x14ac:dyDescent="0.25">
      <c r="A4131" s="2" t="s">
        <v>12070</v>
      </c>
      <c r="B4131" s="8" t="s">
        <v>18680</v>
      </c>
      <c r="C4131" s="2" t="s">
        <v>12070</v>
      </c>
      <c r="D4131" s="2" t="s">
        <v>12071</v>
      </c>
      <c r="E4131" s="4" t="s">
        <v>32780</v>
      </c>
      <c r="G4131" s="15" t="s">
        <v>32781</v>
      </c>
      <c r="H4131" s="15" t="s">
        <v>32782</v>
      </c>
      <c r="I4131" s="15" t="s">
        <v>32783</v>
      </c>
      <c r="J4131" s="15" t="s">
        <v>28777</v>
      </c>
      <c r="K4131" s="15">
        <v>3033834</v>
      </c>
      <c r="L4131" s="15" t="s">
        <v>19099</v>
      </c>
    </row>
    <row r="4132" spans="1:12" x14ac:dyDescent="0.25">
      <c r="A4132" s="2" t="s">
        <v>12073</v>
      </c>
      <c r="B4132" s="8" t="s">
        <v>18681</v>
      </c>
      <c r="C4132" s="2" t="s">
        <v>12073</v>
      </c>
      <c r="D4132" s="2" t="s">
        <v>12074</v>
      </c>
      <c r="E4132" s="4" t="s">
        <v>12074</v>
      </c>
      <c r="G4132" s="15" t="s">
        <v>32784</v>
      </c>
      <c r="H4132" s="15" t="s">
        <v>32785</v>
      </c>
      <c r="I4132" s="15" t="s">
        <v>32786</v>
      </c>
      <c r="J4132" s="15" t="s">
        <v>32787</v>
      </c>
      <c r="K4132" s="15">
        <v>656612</v>
      </c>
      <c r="L4132" s="15" t="s">
        <v>19099</v>
      </c>
    </row>
    <row r="4133" spans="1:12" x14ac:dyDescent="0.25">
      <c r="A4133" s="2" t="s">
        <v>12076</v>
      </c>
      <c r="B4133" s="8" t="s">
        <v>18682</v>
      </c>
      <c r="C4133" s="2" t="s">
        <v>12076</v>
      </c>
      <c r="D4133" s="2" t="s">
        <v>12077</v>
      </c>
      <c r="E4133" s="4" t="s">
        <v>32788</v>
      </c>
      <c r="G4133" s="15" t="s">
        <v>32789</v>
      </c>
      <c r="H4133" s="15" t="s">
        <v>32790</v>
      </c>
      <c r="I4133" s="15" t="s">
        <v>32791</v>
      </c>
      <c r="J4133" s="15" t="s">
        <v>32792</v>
      </c>
      <c r="K4133" s="15">
        <v>1549778</v>
      </c>
      <c r="L4133" s="15" t="s">
        <v>19099</v>
      </c>
    </row>
    <row r="4134" spans="1:12" x14ac:dyDescent="0.25">
      <c r="A4134" s="2" t="s">
        <v>12079</v>
      </c>
      <c r="B4134" s="8" t="s">
        <v>18683</v>
      </c>
      <c r="C4134" s="2" t="s">
        <v>12079</v>
      </c>
      <c r="D4134" s="2" t="s">
        <v>12080</v>
      </c>
      <c r="E4134" s="4" t="s">
        <v>12080</v>
      </c>
      <c r="G4134" s="15" t="s">
        <v>32793</v>
      </c>
      <c r="H4134" s="15" t="s">
        <v>32794</v>
      </c>
      <c r="I4134" s="15" t="s">
        <v>32795</v>
      </c>
      <c r="J4134" s="15" t="s">
        <v>32796</v>
      </c>
      <c r="K4134" s="15">
        <v>2153</v>
      </c>
      <c r="L4134" s="15" t="s">
        <v>19099</v>
      </c>
    </row>
    <row r="4135" spans="1:12" x14ac:dyDescent="0.25">
      <c r="A4135" s="2" t="s">
        <v>12082</v>
      </c>
      <c r="B4135" s="8" t="s">
        <v>18684</v>
      </c>
      <c r="C4135" s="2" t="s">
        <v>12082</v>
      </c>
      <c r="D4135" s="2" t="s">
        <v>12083</v>
      </c>
      <c r="E4135" s="4" t="s">
        <v>12083</v>
      </c>
      <c r="G4135" s="15" t="s">
        <v>32797</v>
      </c>
      <c r="H4135" s="15" t="s">
        <v>32798</v>
      </c>
      <c r="I4135" s="15" t="s">
        <v>32799</v>
      </c>
      <c r="J4135" s="15" t="s">
        <v>32800</v>
      </c>
      <c r="K4135" s="15">
        <v>115224</v>
      </c>
      <c r="L4135" s="15" t="s">
        <v>19099</v>
      </c>
    </row>
    <row r="4136" spans="1:12" x14ac:dyDescent="0.25">
      <c r="A4136" s="2" t="s">
        <v>12085</v>
      </c>
      <c r="B4136" s="8" t="s">
        <v>18685</v>
      </c>
      <c r="C4136" s="2" t="s">
        <v>12085</v>
      </c>
      <c r="D4136" s="2" t="s">
        <v>12086</v>
      </c>
      <c r="E4136" s="4" t="s">
        <v>12086</v>
      </c>
      <c r="G4136" s="15" t="s">
        <v>32801</v>
      </c>
      <c r="H4136" s="15" t="s">
        <v>32802</v>
      </c>
      <c r="I4136" s="15" t="s">
        <v>32803</v>
      </c>
      <c r="J4136" s="15" t="s">
        <v>32804</v>
      </c>
      <c r="K4136" s="15">
        <v>5821911</v>
      </c>
      <c r="L4136" s="15" t="s">
        <v>19099</v>
      </c>
    </row>
    <row r="4137" spans="1:12" x14ac:dyDescent="0.25">
      <c r="A4137" s="2" t="s">
        <v>12088</v>
      </c>
      <c r="B4137" s="8" t="s">
        <v>18686</v>
      </c>
      <c r="C4137" s="2" t="s">
        <v>12088</v>
      </c>
      <c r="D4137" s="2" t="s">
        <v>12089</v>
      </c>
      <c r="E4137" s="4" t="s">
        <v>12089</v>
      </c>
      <c r="G4137" s="15" t="s">
        <v>32805</v>
      </c>
      <c r="H4137" s="15" t="s">
        <v>32806</v>
      </c>
      <c r="I4137" s="15" t="s">
        <v>32807</v>
      </c>
      <c r="J4137" s="15" t="s">
        <v>32808</v>
      </c>
      <c r="K4137" s="15">
        <v>32921</v>
      </c>
      <c r="L4137" s="15" t="s">
        <v>19099</v>
      </c>
    </row>
    <row r="4138" spans="1:12" x14ac:dyDescent="0.25">
      <c r="A4138" s="2" t="s">
        <v>12091</v>
      </c>
      <c r="B4138" s="8" t="s">
        <v>18687</v>
      </c>
      <c r="C4138" s="2" t="s">
        <v>12091</v>
      </c>
      <c r="D4138" s="2" t="s">
        <v>12092</v>
      </c>
      <c r="E4138" s="4" t="s">
        <v>12092</v>
      </c>
      <c r="G4138" s="15" t="s">
        <v>32809</v>
      </c>
      <c r="H4138" s="15" t="s">
        <v>32810</v>
      </c>
      <c r="I4138" s="15" t="s">
        <v>32811</v>
      </c>
      <c r="J4138" s="15" t="s">
        <v>32812</v>
      </c>
      <c r="K4138" s="15">
        <v>91729</v>
      </c>
      <c r="L4138" s="15" t="s">
        <v>19099</v>
      </c>
    </row>
    <row r="4139" spans="1:12" x14ac:dyDescent="0.25">
      <c r="A4139" s="2" t="s">
        <v>12094</v>
      </c>
      <c r="B4139" s="8" t="s">
        <v>18688</v>
      </c>
      <c r="C4139" s="2" t="s">
        <v>12094</v>
      </c>
      <c r="D4139" s="2" t="s">
        <v>12095</v>
      </c>
      <c r="E4139" s="4" t="s">
        <v>12095</v>
      </c>
      <c r="G4139" s="15" t="s">
        <v>32813</v>
      </c>
      <c r="H4139" s="15" t="s">
        <v>32814</v>
      </c>
      <c r="I4139" s="15" t="s">
        <v>32815</v>
      </c>
      <c r="J4139" s="15" t="s">
        <v>32816</v>
      </c>
      <c r="K4139" s="15">
        <v>73674</v>
      </c>
      <c r="L4139" s="15" t="s">
        <v>19099</v>
      </c>
    </row>
    <row r="4140" spans="1:12" x14ac:dyDescent="0.25">
      <c r="A4140" s="2" t="s">
        <v>12097</v>
      </c>
      <c r="B4140" s="8" t="s">
        <v>18689</v>
      </c>
      <c r="C4140" s="2" t="s">
        <v>12097</v>
      </c>
      <c r="D4140" s="2" t="s">
        <v>12098</v>
      </c>
      <c r="E4140" s="4" t="s">
        <v>12098</v>
      </c>
      <c r="G4140" s="15" t="s">
        <v>32817</v>
      </c>
      <c r="H4140" s="15" t="s">
        <v>32818</v>
      </c>
      <c r="I4140" s="15" t="s">
        <v>32819</v>
      </c>
      <c r="J4140" s="15" t="s">
        <v>32820</v>
      </c>
      <c r="K4140" s="15">
        <v>5455</v>
      </c>
      <c r="L4140" s="15" t="s">
        <v>19099</v>
      </c>
    </row>
    <row r="4141" spans="1:12" x14ac:dyDescent="0.25">
      <c r="A4141" s="2" t="s">
        <v>12100</v>
      </c>
      <c r="B4141" s="8" t="s">
        <v>18690</v>
      </c>
      <c r="C4141" s="2" t="s">
        <v>12100</v>
      </c>
      <c r="D4141" s="2" t="s">
        <v>12101</v>
      </c>
      <c r="E4141" s="4" t="s">
        <v>32821</v>
      </c>
      <c r="G4141" s="15" t="s">
        <v>32822</v>
      </c>
      <c r="H4141" s="15" t="s">
        <v>32823</v>
      </c>
      <c r="I4141" s="15" t="s">
        <v>32824</v>
      </c>
      <c r="J4141" s="15" t="s">
        <v>32825</v>
      </c>
      <c r="K4141" s="15">
        <v>656958</v>
      </c>
      <c r="L4141" s="15" t="s">
        <v>19099</v>
      </c>
    </row>
    <row r="4142" spans="1:12" x14ac:dyDescent="0.25">
      <c r="A4142" s="2" t="s">
        <v>12103</v>
      </c>
      <c r="B4142" s="8" t="s">
        <v>18691</v>
      </c>
      <c r="C4142" s="2" t="s">
        <v>12103</v>
      </c>
      <c r="D4142" s="2" t="s">
        <v>12104</v>
      </c>
      <c r="E4142" s="4" t="s">
        <v>32826</v>
      </c>
      <c r="G4142" s="15" t="s">
        <v>32827</v>
      </c>
      <c r="H4142" s="15" t="s">
        <v>32828</v>
      </c>
      <c r="I4142" s="15" t="s">
        <v>32829</v>
      </c>
      <c r="J4142" s="15" t="s">
        <v>32830</v>
      </c>
      <c r="K4142" s="15">
        <v>5282521</v>
      </c>
      <c r="L4142" s="15" t="s">
        <v>19099</v>
      </c>
    </row>
    <row r="4143" spans="1:12" x14ac:dyDescent="0.25">
      <c r="A4143" s="2" t="s">
        <v>12106</v>
      </c>
      <c r="B4143" s="8" t="s">
        <v>18692</v>
      </c>
      <c r="C4143" s="2" t="s">
        <v>12106</v>
      </c>
      <c r="D4143" s="2" t="s">
        <v>12107</v>
      </c>
      <c r="E4143" s="4" t="s">
        <v>32831</v>
      </c>
      <c r="G4143" s="15" t="s">
        <v>32832</v>
      </c>
      <c r="H4143" s="15" t="s">
        <v>32833</v>
      </c>
      <c r="I4143" s="15" t="s">
        <v>32834</v>
      </c>
      <c r="J4143" s="15" t="s">
        <v>29063</v>
      </c>
      <c r="K4143" s="15">
        <v>6433175</v>
      </c>
      <c r="L4143" s="15" t="s">
        <v>19099</v>
      </c>
    </row>
    <row r="4144" spans="1:12" x14ac:dyDescent="0.25">
      <c r="A4144" s="2" t="s">
        <v>12109</v>
      </c>
      <c r="B4144" s="8" t="s">
        <v>16180</v>
      </c>
      <c r="C4144" s="2" t="s">
        <v>12109</v>
      </c>
      <c r="D4144" s="2" t="s">
        <v>12110</v>
      </c>
      <c r="E4144" s="4" t="s">
        <v>32835</v>
      </c>
    </row>
    <row r="4145" spans="1:12" x14ac:dyDescent="0.25">
      <c r="A4145" s="2" t="s">
        <v>12111</v>
      </c>
      <c r="B4145" s="8" t="s">
        <v>18693</v>
      </c>
      <c r="C4145" s="2" t="s">
        <v>12111</v>
      </c>
      <c r="D4145" s="2" t="s">
        <v>12112</v>
      </c>
      <c r="E4145" s="4" t="s">
        <v>12112</v>
      </c>
      <c r="G4145" s="15" t="s">
        <v>32836</v>
      </c>
      <c r="H4145" s="15" t="s">
        <v>32837</v>
      </c>
      <c r="I4145" s="15" t="s">
        <v>32838</v>
      </c>
      <c r="J4145" s="15" t="s">
        <v>32839</v>
      </c>
      <c r="K4145" s="15">
        <v>9601227</v>
      </c>
      <c r="L4145" s="15" t="s">
        <v>19099</v>
      </c>
    </row>
    <row r="4146" spans="1:12" x14ac:dyDescent="0.25">
      <c r="A4146" s="2" t="s">
        <v>12114</v>
      </c>
      <c r="B4146" s="8" t="s">
        <v>18694</v>
      </c>
      <c r="C4146" s="2" t="s">
        <v>12114</v>
      </c>
      <c r="D4146" s="2" t="s">
        <v>12115</v>
      </c>
      <c r="E4146" s="4" t="s">
        <v>12115</v>
      </c>
      <c r="G4146" s="15" t="s">
        <v>32840</v>
      </c>
      <c r="H4146" s="15" t="s">
        <v>32841</v>
      </c>
      <c r="I4146" s="15" t="s">
        <v>32842</v>
      </c>
      <c r="J4146" s="15" t="s">
        <v>32843</v>
      </c>
      <c r="K4146" s="15">
        <v>2723949</v>
      </c>
      <c r="L4146" s="15" t="s">
        <v>19099</v>
      </c>
    </row>
    <row r="4147" spans="1:12" x14ac:dyDescent="0.25">
      <c r="A4147" s="2" t="s">
        <v>12117</v>
      </c>
      <c r="B4147" s="8" t="s">
        <v>18695</v>
      </c>
      <c r="C4147" s="2" t="s">
        <v>12117</v>
      </c>
      <c r="D4147" s="2" t="s">
        <v>12118</v>
      </c>
      <c r="E4147" s="4" t="s">
        <v>12118</v>
      </c>
      <c r="G4147" s="15" t="s">
        <v>32844</v>
      </c>
      <c r="H4147" s="15" t="s">
        <v>32845</v>
      </c>
      <c r="I4147" s="15" t="s">
        <v>32846</v>
      </c>
      <c r="J4147" s="15" t="s">
        <v>31460</v>
      </c>
      <c r="K4147" s="15">
        <v>34192</v>
      </c>
      <c r="L4147" s="15" t="s">
        <v>19099</v>
      </c>
    </row>
    <row r="4148" spans="1:12" x14ac:dyDescent="0.25">
      <c r="A4148" s="2" t="s">
        <v>12120</v>
      </c>
      <c r="B4148" s="8" t="s">
        <v>18696</v>
      </c>
      <c r="C4148" s="2" t="s">
        <v>12120</v>
      </c>
      <c r="D4148" s="2" t="s">
        <v>12121</v>
      </c>
      <c r="E4148" s="4" t="s">
        <v>12121</v>
      </c>
      <c r="G4148" s="15" t="s">
        <v>32847</v>
      </c>
      <c r="H4148" s="15" t="s">
        <v>32848</v>
      </c>
      <c r="I4148" s="15" t="s">
        <v>32849</v>
      </c>
      <c r="J4148" s="15" t="s">
        <v>32850</v>
      </c>
      <c r="K4148" s="15">
        <v>37523</v>
      </c>
      <c r="L4148" s="15" t="s">
        <v>19099</v>
      </c>
    </row>
    <row r="4149" spans="1:12" x14ac:dyDescent="0.25">
      <c r="A4149" s="2" t="s">
        <v>12123</v>
      </c>
      <c r="B4149" s="8" t="s">
        <v>18697</v>
      </c>
      <c r="C4149" s="2" t="s">
        <v>12123</v>
      </c>
      <c r="D4149" s="2" t="s">
        <v>12124</v>
      </c>
      <c r="E4149" s="4" t="s">
        <v>12124</v>
      </c>
      <c r="G4149" s="15" t="s">
        <v>32851</v>
      </c>
      <c r="H4149" s="15" t="s">
        <v>32852</v>
      </c>
      <c r="I4149" s="15" t="s">
        <v>32853</v>
      </c>
      <c r="J4149" s="15" t="s">
        <v>32854</v>
      </c>
      <c r="K4149" s="15">
        <v>35970</v>
      </c>
      <c r="L4149" s="15" t="s">
        <v>19099</v>
      </c>
    </row>
    <row r="4150" spans="1:12" x14ac:dyDescent="0.25">
      <c r="A4150" s="2" t="s">
        <v>12126</v>
      </c>
      <c r="B4150" s="8" t="s">
        <v>18698</v>
      </c>
      <c r="C4150" s="2" t="s">
        <v>12126</v>
      </c>
      <c r="D4150" s="2" t="s">
        <v>12127</v>
      </c>
      <c r="E4150" s="4" t="s">
        <v>32855</v>
      </c>
      <c r="G4150" s="15" t="s">
        <v>32856</v>
      </c>
      <c r="H4150" s="15" t="s">
        <v>32857</v>
      </c>
      <c r="I4150" s="15" t="s">
        <v>32858</v>
      </c>
      <c r="J4150" s="15" t="s">
        <v>32859</v>
      </c>
      <c r="K4150" s="15">
        <v>3032791</v>
      </c>
      <c r="L4150" s="15" t="s">
        <v>19099</v>
      </c>
    </row>
    <row r="4151" spans="1:12" x14ac:dyDescent="0.25">
      <c r="A4151" s="2" t="s">
        <v>12129</v>
      </c>
      <c r="B4151" s="8" t="s">
        <v>18699</v>
      </c>
      <c r="C4151" s="2" t="s">
        <v>12129</v>
      </c>
      <c r="D4151" s="2" t="s">
        <v>12130</v>
      </c>
      <c r="E4151" s="4" t="s">
        <v>32860</v>
      </c>
      <c r="G4151" s="15" t="s">
        <v>32861</v>
      </c>
      <c r="H4151" s="15" t="s">
        <v>32862</v>
      </c>
      <c r="I4151" s="15" t="s">
        <v>32863</v>
      </c>
      <c r="J4151" s="15" t="s">
        <v>32864</v>
      </c>
      <c r="K4151" s="15">
        <v>3032792</v>
      </c>
      <c r="L4151" s="15" t="s">
        <v>19099</v>
      </c>
    </row>
    <row r="4152" spans="1:12" x14ac:dyDescent="0.25">
      <c r="A4152" s="2" t="s">
        <v>12132</v>
      </c>
      <c r="B4152" s="8" t="s">
        <v>18700</v>
      </c>
      <c r="C4152" s="2" t="s">
        <v>12132</v>
      </c>
      <c r="D4152" s="2" t="s">
        <v>12133</v>
      </c>
      <c r="E4152" s="4" t="s">
        <v>32865</v>
      </c>
      <c r="G4152" s="15" t="s">
        <v>32866</v>
      </c>
      <c r="H4152" s="15" t="s">
        <v>32867</v>
      </c>
      <c r="I4152" s="15" t="s">
        <v>32868</v>
      </c>
      <c r="J4152" s="15" t="s">
        <v>32869</v>
      </c>
      <c r="K4152" s="15">
        <v>5361038</v>
      </c>
      <c r="L4152" s="15" t="s">
        <v>19099</v>
      </c>
    </row>
    <row r="4153" spans="1:12" x14ac:dyDescent="0.25">
      <c r="A4153" s="2" t="s">
        <v>12135</v>
      </c>
      <c r="B4153" s="8" t="s">
        <v>18701</v>
      </c>
      <c r="C4153" s="2" t="s">
        <v>12135</v>
      </c>
      <c r="D4153" s="2" t="s">
        <v>12136</v>
      </c>
      <c r="E4153" s="4" t="s">
        <v>32870</v>
      </c>
      <c r="G4153" s="15" t="s">
        <v>32871</v>
      </c>
      <c r="H4153" s="15" t="s">
        <v>32872</v>
      </c>
      <c r="I4153" s="15" t="s">
        <v>32873</v>
      </c>
      <c r="J4153" s="15" t="s">
        <v>32874</v>
      </c>
      <c r="K4153" s="15">
        <v>5491760</v>
      </c>
      <c r="L4153" s="15" t="s">
        <v>19099</v>
      </c>
    </row>
    <row r="4154" spans="1:12" x14ac:dyDescent="0.25">
      <c r="A4154" s="2" t="s">
        <v>12138</v>
      </c>
      <c r="B4154" s="8" t="s">
        <v>18702</v>
      </c>
      <c r="C4154" s="2" t="s">
        <v>12138</v>
      </c>
      <c r="D4154" s="2" t="s">
        <v>12139</v>
      </c>
      <c r="E4154" s="4" t="s">
        <v>32875</v>
      </c>
      <c r="G4154" s="15" t="s">
        <v>32876</v>
      </c>
      <c r="H4154" s="15" t="s">
        <v>32877</v>
      </c>
      <c r="I4154" s="15" t="s">
        <v>32878</v>
      </c>
      <c r="J4154" s="15" t="s">
        <v>32879</v>
      </c>
      <c r="K4154" s="15">
        <v>38235</v>
      </c>
      <c r="L4154" s="15" t="s">
        <v>19099</v>
      </c>
    </row>
    <row r="4155" spans="1:12" x14ac:dyDescent="0.25">
      <c r="A4155" s="2" t="s">
        <v>12141</v>
      </c>
      <c r="B4155" s="8" t="s">
        <v>18703</v>
      </c>
      <c r="C4155" s="2" t="s">
        <v>12141</v>
      </c>
      <c r="D4155" s="2" t="s">
        <v>12142</v>
      </c>
      <c r="E4155" s="4" t="s">
        <v>12142</v>
      </c>
      <c r="G4155" s="15" t="s">
        <v>32880</v>
      </c>
      <c r="H4155" s="15" t="s">
        <v>32881</v>
      </c>
      <c r="I4155" s="15" t="s">
        <v>32882</v>
      </c>
      <c r="J4155" s="15" t="s">
        <v>32883</v>
      </c>
      <c r="K4155" s="15">
        <v>5505</v>
      </c>
      <c r="L4155" s="15" t="s">
        <v>19099</v>
      </c>
    </row>
    <row r="4156" spans="1:12" x14ac:dyDescent="0.25">
      <c r="A4156" s="2" t="s">
        <v>12144</v>
      </c>
      <c r="B4156" s="8" t="s">
        <v>18704</v>
      </c>
      <c r="C4156" s="2" t="s">
        <v>12144</v>
      </c>
      <c r="D4156" s="2" t="s">
        <v>12145</v>
      </c>
      <c r="E4156" s="4" t="s">
        <v>12145</v>
      </c>
      <c r="G4156" s="15" t="s">
        <v>32884</v>
      </c>
      <c r="H4156" s="15" t="s">
        <v>32885</v>
      </c>
      <c r="I4156" s="15" t="s">
        <v>32886</v>
      </c>
      <c r="J4156" s="15" t="s">
        <v>32887</v>
      </c>
      <c r="K4156" s="15">
        <v>91664</v>
      </c>
      <c r="L4156" s="15" t="s">
        <v>19099</v>
      </c>
    </row>
    <row r="4157" spans="1:12" x14ac:dyDescent="0.25">
      <c r="A4157" s="2" t="s">
        <v>12147</v>
      </c>
      <c r="B4157" s="8" t="s">
        <v>18705</v>
      </c>
      <c r="C4157" s="2" t="s">
        <v>12147</v>
      </c>
      <c r="D4157" s="2" t="s">
        <v>12148</v>
      </c>
      <c r="E4157" s="4" t="s">
        <v>32888</v>
      </c>
      <c r="G4157" s="15" t="s">
        <v>32889</v>
      </c>
      <c r="H4157" s="15" t="s">
        <v>32890</v>
      </c>
      <c r="I4157" s="15" t="s">
        <v>32891</v>
      </c>
      <c r="J4157" s="15" t="s">
        <v>32892</v>
      </c>
      <c r="K4157" s="15">
        <v>610479</v>
      </c>
      <c r="L4157" s="15" t="s">
        <v>19099</v>
      </c>
    </row>
    <row r="4158" spans="1:12" x14ac:dyDescent="0.25">
      <c r="A4158" s="2" t="s">
        <v>12150</v>
      </c>
      <c r="B4158" s="8" t="s">
        <v>18706</v>
      </c>
      <c r="C4158" s="2" t="s">
        <v>12150</v>
      </c>
      <c r="D4158" s="2" t="s">
        <v>12151</v>
      </c>
      <c r="E4158" s="4" t="s">
        <v>12151</v>
      </c>
      <c r="G4158" s="15" t="s">
        <v>32893</v>
      </c>
      <c r="H4158" s="15" t="s">
        <v>32894</v>
      </c>
      <c r="I4158" s="15" t="s">
        <v>32895</v>
      </c>
      <c r="J4158" s="15" t="s">
        <v>32896</v>
      </c>
      <c r="K4158" s="15">
        <v>12898</v>
      </c>
      <c r="L4158" s="15" t="s">
        <v>19099</v>
      </c>
    </row>
    <row r="4159" spans="1:12" x14ac:dyDescent="0.25">
      <c r="A4159" s="2" t="s">
        <v>12153</v>
      </c>
      <c r="B4159" s="8" t="s">
        <v>18707</v>
      </c>
      <c r="C4159" s="2" t="s">
        <v>12153</v>
      </c>
      <c r="D4159" s="2" t="s">
        <v>12154</v>
      </c>
      <c r="E4159" s="4" t="s">
        <v>12154</v>
      </c>
      <c r="G4159" s="15" t="s">
        <v>32897</v>
      </c>
      <c r="H4159" s="15" t="s">
        <v>32898</v>
      </c>
      <c r="I4159" s="15" t="s">
        <v>32899</v>
      </c>
      <c r="J4159" s="15" t="s">
        <v>32900</v>
      </c>
      <c r="K4159" s="15">
        <v>12541</v>
      </c>
      <c r="L4159" s="15" t="s">
        <v>19099</v>
      </c>
    </row>
    <row r="4160" spans="1:12" x14ac:dyDescent="0.25">
      <c r="A4160" s="2" t="s">
        <v>12156</v>
      </c>
      <c r="B4160" s="8" t="s">
        <v>18708</v>
      </c>
      <c r="C4160" s="2" t="s">
        <v>12156</v>
      </c>
      <c r="D4160" s="2" t="s">
        <v>12157</v>
      </c>
      <c r="E4160" s="4" t="s">
        <v>32901</v>
      </c>
      <c r="G4160" s="15" t="s">
        <v>32902</v>
      </c>
      <c r="H4160" s="15" t="s">
        <v>32903</v>
      </c>
      <c r="I4160" s="15" t="s">
        <v>32904</v>
      </c>
      <c r="J4160" s="15" t="s">
        <v>28740</v>
      </c>
      <c r="K4160" s="15">
        <v>11302979</v>
      </c>
      <c r="L4160" s="15" t="s">
        <v>19099</v>
      </c>
    </row>
    <row r="4161" spans="1:12" x14ac:dyDescent="0.25">
      <c r="A4161" s="2" t="s">
        <v>12159</v>
      </c>
      <c r="B4161" s="8" t="s">
        <v>18709</v>
      </c>
      <c r="C4161" s="2" t="s">
        <v>12159</v>
      </c>
      <c r="D4161" s="2" t="s">
        <v>12160</v>
      </c>
      <c r="E4161" s="4" t="s">
        <v>12160</v>
      </c>
      <c r="G4161" s="15" t="s">
        <v>32905</v>
      </c>
      <c r="H4161" s="15" t="s">
        <v>32906</v>
      </c>
      <c r="I4161" s="15" t="s">
        <v>32907</v>
      </c>
      <c r="J4161" s="15" t="s">
        <v>32908</v>
      </c>
      <c r="K4161" s="15">
        <v>2723789</v>
      </c>
      <c r="L4161" s="15" t="s">
        <v>19099</v>
      </c>
    </row>
    <row r="4162" spans="1:12" x14ac:dyDescent="0.25">
      <c r="A4162" s="2" t="s">
        <v>12162</v>
      </c>
      <c r="B4162" s="8" t="s">
        <v>18710</v>
      </c>
      <c r="C4162" s="2" t="s">
        <v>12162</v>
      </c>
      <c r="D4162" s="2" t="s">
        <v>12163</v>
      </c>
      <c r="E4162" s="4" t="s">
        <v>32909</v>
      </c>
      <c r="G4162" s="15" t="s">
        <v>32909</v>
      </c>
      <c r="H4162" s="15" t="s">
        <v>32910</v>
      </c>
      <c r="I4162" s="15" t="s">
        <v>32911</v>
      </c>
      <c r="J4162" s="15" t="s">
        <v>32912</v>
      </c>
      <c r="K4162" s="15">
        <v>2723790</v>
      </c>
      <c r="L4162" s="15" t="s">
        <v>19099</v>
      </c>
    </row>
    <row r="4163" spans="1:12" x14ac:dyDescent="0.25">
      <c r="A4163" s="2" t="s">
        <v>12165</v>
      </c>
      <c r="B4163" s="8" t="s">
        <v>18711</v>
      </c>
      <c r="C4163" s="2" t="s">
        <v>12165</v>
      </c>
      <c r="D4163" s="2" t="s">
        <v>12166</v>
      </c>
      <c r="E4163" s="4" t="s">
        <v>32913</v>
      </c>
      <c r="G4163" s="15" t="s">
        <v>32914</v>
      </c>
      <c r="H4163" s="15" t="s">
        <v>32915</v>
      </c>
      <c r="I4163" s="15" t="s">
        <v>32916</v>
      </c>
      <c r="J4163" s="15" t="s">
        <v>32917</v>
      </c>
      <c r="K4163" s="15">
        <v>5284469</v>
      </c>
      <c r="L4163" s="15" t="s">
        <v>19099</v>
      </c>
    </row>
    <row r="4164" spans="1:12" x14ac:dyDescent="0.25">
      <c r="A4164" s="2" t="s">
        <v>12168</v>
      </c>
      <c r="B4164" s="8" t="s">
        <v>18712</v>
      </c>
      <c r="C4164" s="2" t="s">
        <v>12168</v>
      </c>
      <c r="D4164" s="2" t="s">
        <v>12169</v>
      </c>
      <c r="E4164" s="4" t="s">
        <v>12169</v>
      </c>
      <c r="G4164" s="15" t="s">
        <v>32918</v>
      </c>
      <c r="H4164" s="15" t="s">
        <v>32919</v>
      </c>
      <c r="I4164" s="15" t="s">
        <v>32920</v>
      </c>
      <c r="J4164" s="15" t="s">
        <v>29089</v>
      </c>
      <c r="K4164" s="15">
        <v>43859</v>
      </c>
      <c r="L4164" s="15" t="s">
        <v>19099</v>
      </c>
    </row>
    <row r="4165" spans="1:12" x14ac:dyDescent="0.25">
      <c r="A4165" s="2" t="s">
        <v>12171</v>
      </c>
      <c r="B4165" s="8" t="s">
        <v>18713</v>
      </c>
      <c r="C4165" s="2" t="s">
        <v>12171</v>
      </c>
      <c r="D4165" s="2" t="s">
        <v>12172</v>
      </c>
      <c r="E4165" s="4" t="s">
        <v>12172</v>
      </c>
      <c r="G4165" s="15" t="s">
        <v>32921</v>
      </c>
      <c r="H4165" s="15" t="s">
        <v>32922</v>
      </c>
      <c r="I4165" s="15" t="s">
        <v>32923</v>
      </c>
      <c r="J4165" s="15" t="s">
        <v>29093</v>
      </c>
      <c r="K4165" s="15">
        <v>5362131</v>
      </c>
      <c r="L4165" s="15" t="s">
        <v>19099</v>
      </c>
    </row>
    <row r="4166" spans="1:12" x14ac:dyDescent="0.25">
      <c r="A4166" s="2" t="s">
        <v>12174</v>
      </c>
      <c r="B4166" s="8" t="s">
        <v>18714</v>
      </c>
      <c r="C4166" s="2" t="s">
        <v>12174</v>
      </c>
      <c r="D4166" s="2" t="s">
        <v>12175</v>
      </c>
      <c r="E4166" s="4" t="s">
        <v>12175</v>
      </c>
      <c r="G4166" s="15" t="s">
        <v>32924</v>
      </c>
      <c r="H4166" s="15" t="s">
        <v>32925</v>
      </c>
      <c r="I4166" s="15" t="s">
        <v>32926</v>
      </c>
      <c r="J4166" s="15" t="s">
        <v>32927</v>
      </c>
      <c r="K4166" s="15">
        <v>33741</v>
      </c>
      <c r="L4166" s="15" t="s">
        <v>19099</v>
      </c>
    </row>
    <row r="4167" spans="1:12" x14ac:dyDescent="0.25">
      <c r="A4167" s="2" t="s">
        <v>12177</v>
      </c>
      <c r="B4167" s="8" t="s">
        <v>18715</v>
      </c>
      <c r="C4167" s="2" t="s">
        <v>12177</v>
      </c>
      <c r="D4167" s="2" t="s">
        <v>12178</v>
      </c>
      <c r="E4167" s="4" t="s">
        <v>32928</v>
      </c>
    </row>
    <row r="4168" spans="1:12" x14ac:dyDescent="0.25">
      <c r="A4168" s="2" t="s">
        <v>12180</v>
      </c>
      <c r="B4168" s="8" t="s">
        <v>18716</v>
      </c>
      <c r="C4168" s="2" t="s">
        <v>12180</v>
      </c>
      <c r="D4168" s="2" t="s">
        <v>12181</v>
      </c>
      <c r="E4168" s="4" t="s">
        <v>32929</v>
      </c>
      <c r="G4168" s="15" t="s">
        <v>32930</v>
      </c>
      <c r="H4168" s="15" t="s">
        <v>32931</v>
      </c>
      <c r="I4168" s="15" t="s">
        <v>32932</v>
      </c>
      <c r="J4168" s="15" t="s">
        <v>32933</v>
      </c>
      <c r="K4168" s="15">
        <v>31356</v>
      </c>
      <c r="L4168" s="15" t="s">
        <v>19099</v>
      </c>
    </row>
    <row r="4169" spans="1:12" x14ac:dyDescent="0.25">
      <c r="A4169" s="2" t="s">
        <v>12183</v>
      </c>
      <c r="B4169" s="8" t="s">
        <v>18717</v>
      </c>
      <c r="C4169" s="2" t="s">
        <v>12183</v>
      </c>
      <c r="D4169" s="2" t="s">
        <v>12184</v>
      </c>
      <c r="E4169" s="4" t="s">
        <v>32934</v>
      </c>
      <c r="G4169" s="15" t="s">
        <v>32935</v>
      </c>
      <c r="H4169" s="15" t="s">
        <v>32936</v>
      </c>
      <c r="I4169" s="15" t="s">
        <v>32937</v>
      </c>
      <c r="J4169" s="15" t="s">
        <v>32938</v>
      </c>
      <c r="K4169" s="15">
        <v>6537</v>
      </c>
      <c r="L4169" s="15" t="s">
        <v>19099</v>
      </c>
    </row>
    <row r="4170" spans="1:12" x14ac:dyDescent="0.25">
      <c r="A4170" s="2" t="s">
        <v>12186</v>
      </c>
      <c r="B4170" s="8" t="s">
        <v>18718</v>
      </c>
      <c r="C4170" s="2" t="s">
        <v>12186</v>
      </c>
      <c r="D4170" s="2" t="s">
        <v>12187</v>
      </c>
      <c r="E4170" s="4" t="s">
        <v>32939</v>
      </c>
      <c r="G4170" s="15" t="s">
        <v>32940</v>
      </c>
      <c r="H4170" s="15" t="s">
        <v>32941</v>
      </c>
      <c r="I4170" s="15" t="s">
        <v>32942</v>
      </c>
      <c r="J4170" s="15" t="s">
        <v>32943</v>
      </c>
      <c r="K4170" s="15">
        <v>6540</v>
      </c>
      <c r="L4170" s="15" t="s">
        <v>19099</v>
      </c>
    </row>
    <row r="4171" spans="1:12" x14ac:dyDescent="0.25">
      <c r="A4171" s="2" t="s">
        <v>12189</v>
      </c>
      <c r="B4171" s="8" t="s">
        <v>18719</v>
      </c>
      <c r="C4171" s="2" t="s">
        <v>12189</v>
      </c>
      <c r="D4171" s="2" t="s">
        <v>12190</v>
      </c>
      <c r="E4171" s="4" t="s">
        <v>32944</v>
      </c>
      <c r="G4171" s="15" t="s">
        <v>32945</v>
      </c>
      <c r="H4171" s="15" t="s">
        <v>32946</v>
      </c>
      <c r="I4171" s="15" t="s">
        <v>32947</v>
      </c>
      <c r="J4171" s="15" t="s">
        <v>32948</v>
      </c>
      <c r="K4171" s="15">
        <v>26177</v>
      </c>
      <c r="L4171" s="15" t="s">
        <v>19099</v>
      </c>
    </row>
    <row r="4172" spans="1:12" x14ac:dyDescent="0.25">
      <c r="A4172" s="2" t="s">
        <v>12192</v>
      </c>
      <c r="B4172" s="8" t="s">
        <v>18720</v>
      </c>
      <c r="C4172" s="2" t="s">
        <v>12192</v>
      </c>
      <c r="D4172" s="2" t="s">
        <v>12193</v>
      </c>
      <c r="E4172" s="4" t="s">
        <v>32949</v>
      </c>
    </row>
    <row r="4173" spans="1:12" x14ac:dyDescent="0.25">
      <c r="A4173" s="2" t="s">
        <v>12195</v>
      </c>
      <c r="B4173" s="8" t="s">
        <v>18721</v>
      </c>
      <c r="C4173" s="2" t="s">
        <v>12195</v>
      </c>
      <c r="D4173" s="2" t="s">
        <v>12196</v>
      </c>
      <c r="E4173" s="4" t="s">
        <v>12196</v>
      </c>
      <c r="G4173" s="15" t="s">
        <v>32950</v>
      </c>
      <c r="H4173" s="15" t="s">
        <v>32951</v>
      </c>
      <c r="I4173" s="15" t="s">
        <v>32952</v>
      </c>
      <c r="J4173" s="15" t="s">
        <v>32953</v>
      </c>
      <c r="K4173" s="15">
        <v>11657899</v>
      </c>
      <c r="L4173" s="15" t="s">
        <v>19099</v>
      </c>
    </row>
    <row r="4174" spans="1:12" x14ac:dyDescent="0.25">
      <c r="A4174" s="2" t="s">
        <v>12198</v>
      </c>
      <c r="B4174" s="8" t="s">
        <v>18722</v>
      </c>
      <c r="C4174" s="2" t="s">
        <v>12198</v>
      </c>
      <c r="D4174" s="2" t="s">
        <v>12199</v>
      </c>
      <c r="E4174" s="4" t="s">
        <v>12199</v>
      </c>
      <c r="G4174" s="15" t="s">
        <v>32954</v>
      </c>
      <c r="H4174" s="15" t="s">
        <v>32955</v>
      </c>
      <c r="I4174" s="15" t="s">
        <v>32956</v>
      </c>
      <c r="J4174" s="15" t="s">
        <v>32957</v>
      </c>
      <c r="K4174" s="15">
        <v>5590</v>
      </c>
      <c r="L4174" s="15" t="s">
        <v>19099</v>
      </c>
    </row>
    <row r="4175" spans="1:12" x14ac:dyDescent="0.25">
      <c r="A4175" s="2" t="s">
        <v>12201</v>
      </c>
      <c r="B4175" s="8" t="s">
        <v>18723</v>
      </c>
      <c r="C4175" s="2" t="s">
        <v>12201</v>
      </c>
      <c r="D4175" s="2" t="s">
        <v>12202</v>
      </c>
      <c r="E4175" s="4" t="s">
        <v>32958</v>
      </c>
      <c r="G4175" s="15" t="s">
        <v>32959</v>
      </c>
      <c r="H4175" s="15" t="s">
        <v>32960</v>
      </c>
      <c r="I4175" s="15" t="s">
        <v>32961</v>
      </c>
      <c r="J4175" s="15" t="s">
        <v>20579</v>
      </c>
      <c r="K4175" s="15">
        <v>6386</v>
      </c>
      <c r="L4175" s="15" t="s">
        <v>19099</v>
      </c>
    </row>
    <row r="4176" spans="1:12" x14ac:dyDescent="0.25">
      <c r="A4176" s="2" t="s">
        <v>12204</v>
      </c>
      <c r="B4176" s="8" t="s">
        <v>18724</v>
      </c>
      <c r="C4176" s="2" t="s">
        <v>12204</v>
      </c>
      <c r="D4176" s="2" t="s">
        <v>12205</v>
      </c>
      <c r="E4176" s="4" t="s">
        <v>12205</v>
      </c>
      <c r="G4176" s="15" t="s">
        <v>32962</v>
      </c>
      <c r="H4176" s="15" t="s">
        <v>32963</v>
      </c>
      <c r="I4176" s="15" t="s">
        <v>32964</v>
      </c>
      <c r="J4176" s="15" t="s">
        <v>19634</v>
      </c>
      <c r="K4176" s="15">
        <v>6385</v>
      </c>
      <c r="L4176" s="15" t="s">
        <v>19099</v>
      </c>
    </row>
    <row r="4177" spans="1:12" x14ac:dyDescent="0.25">
      <c r="A4177" s="2" t="s">
        <v>12207</v>
      </c>
      <c r="B4177" s="8" t="s">
        <v>18725</v>
      </c>
      <c r="C4177" s="2" t="s">
        <v>12207</v>
      </c>
      <c r="D4177" s="2" t="s">
        <v>12208</v>
      </c>
      <c r="E4177" s="4" t="s">
        <v>32965</v>
      </c>
      <c r="G4177" s="15" t="s">
        <v>32966</v>
      </c>
      <c r="H4177" s="15" t="s">
        <v>32967</v>
      </c>
      <c r="I4177" s="15" t="s">
        <v>32968</v>
      </c>
      <c r="J4177" s="15" t="s">
        <v>19219</v>
      </c>
      <c r="K4177" s="15">
        <v>7366</v>
      </c>
      <c r="L4177" s="15" t="s">
        <v>19099</v>
      </c>
    </row>
    <row r="4178" spans="1:12" x14ac:dyDescent="0.25">
      <c r="A4178" s="2" t="s">
        <v>12210</v>
      </c>
      <c r="B4178" s="8" t="s">
        <v>18726</v>
      </c>
      <c r="C4178" s="2" t="s">
        <v>12210</v>
      </c>
      <c r="D4178" s="2" t="s">
        <v>12211</v>
      </c>
      <c r="E4178" s="4" t="s">
        <v>32969</v>
      </c>
      <c r="G4178" s="15" t="s">
        <v>32970</v>
      </c>
      <c r="H4178" s="15" t="s">
        <v>32971</v>
      </c>
      <c r="I4178" s="15" t="s">
        <v>32972</v>
      </c>
      <c r="J4178" s="15" t="s">
        <v>22816</v>
      </c>
      <c r="K4178" s="15">
        <v>15458</v>
      </c>
      <c r="L4178" s="15" t="s">
        <v>19099</v>
      </c>
    </row>
    <row r="4179" spans="1:12" x14ac:dyDescent="0.25">
      <c r="A4179" s="2" t="s">
        <v>12213</v>
      </c>
      <c r="B4179" s="8" t="s">
        <v>18727</v>
      </c>
      <c r="C4179" s="2" t="s">
        <v>12213</v>
      </c>
      <c r="D4179" s="2" t="s">
        <v>12214</v>
      </c>
      <c r="E4179" s="4" t="s">
        <v>32973</v>
      </c>
      <c r="G4179" s="15" t="s">
        <v>32974</v>
      </c>
      <c r="H4179" s="15" t="s">
        <v>32975</v>
      </c>
      <c r="I4179" s="15" t="s">
        <v>32976</v>
      </c>
      <c r="J4179" s="15" t="s">
        <v>21182</v>
      </c>
      <c r="K4179" s="15">
        <v>10908</v>
      </c>
      <c r="L4179" s="15" t="s">
        <v>19099</v>
      </c>
    </row>
    <row r="4180" spans="1:12" x14ac:dyDescent="0.25">
      <c r="A4180" s="2" t="s">
        <v>12216</v>
      </c>
      <c r="B4180" s="8" t="s">
        <v>18728</v>
      </c>
      <c r="C4180" s="2" t="s">
        <v>12216</v>
      </c>
      <c r="D4180" s="2" t="s">
        <v>12217</v>
      </c>
      <c r="E4180" s="4" t="s">
        <v>32977</v>
      </c>
      <c r="G4180" s="15" t="s">
        <v>32978</v>
      </c>
      <c r="H4180" s="15" t="s">
        <v>32979</v>
      </c>
      <c r="I4180" s="15" t="s">
        <v>32980</v>
      </c>
      <c r="J4180" s="15" t="s">
        <v>32981</v>
      </c>
      <c r="K4180" s="15">
        <v>5280440</v>
      </c>
      <c r="L4180" s="15" t="s">
        <v>19099</v>
      </c>
    </row>
    <row r="4181" spans="1:12" x14ac:dyDescent="0.25">
      <c r="A4181" s="2" t="s">
        <v>12219</v>
      </c>
      <c r="B4181" s="8" t="s">
        <v>18729</v>
      </c>
      <c r="C4181" s="2" t="s">
        <v>12219</v>
      </c>
      <c r="D4181" s="2" t="s">
        <v>12220</v>
      </c>
      <c r="E4181" s="4" t="s">
        <v>32982</v>
      </c>
      <c r="G4181" s="15" t="s">
        <v>32983</v>
      </c>
      <c r="H4181" s="15" t="s">
        <v>32984</v>
      </c>
      <c r="I4181" s="15" t="s">
        <v>32985</v>
      </c>
      <c r="J4181" s="15" t="s">
        <v>32986</v>
      </c>
      <c r="K4181" s="15">
        <v>60196281</v>
      </c>
      <c r="L4181" s="15" t="s">
        <v>19995</v>
      </c>
    </row>
    <row r="4182" spans="1:12" x14ac:dyDescent="0.25">
      <c r="A4182" s="2" t="s">
        <v>12222</v>
      </c>
      <c r="B4182" s="8" t="s">
        <v>18730</v>
      </c>
      <c r="C4182" s="2" t="s">
        <v>12222</v>
      </c>
      <c r="D4182" s="2" t="s">
        <v>12223</v>
      </c>
      <c r="E4182" s="4" t="s">
        <v>32987</v>
      </c>
      <c r="G4182" s="15" t="s">
        <v>32988</v>
      </c>
      <c r="H4182" s="15" t="s">
        <v>32989</v>
      </c>
      <c r="I4182" s="15" t="s">
        <v>32990</v>
      </c>
      <c r="J4182" s="15" t="s">
        <v>20901</v>
      </c>
      <c r="K4182" s="15">
        <v>5641</v>
      </c>
      <c r="L4182" s="15" t="s">
        <v>19099</v>
      </c>
    </row>
    <row r="4183" spans="1:12" x14ac:dyDescent="0.25">
      <c r="A4183" s="2" t="s">
        <v>12225</v>
      </c>
      <c r="B4183" s="8" t="s">
        <v>18731</v>
      </c>
      <c r="C4183" s="2" t="s">
        <v>12225</v>
      </c>
      <c r="D4183" s="2" t="s">
        <v>12226</v>
      </c>
      <c r="E4183" s="4" t="s">
        <v>32991</v>
      </c>
      <c r="G4183" s="15" t="s">
        <v>32991</v>
      </c>
      <c r="H4183" s="15" t="s">
        <v>32992</v>
      </c>
      <c r="I4183" s="15" t="s">
        <v>32993</v>
      </c>
      <c r="J4183" s="15" t="s">
        <v>32994</v>
      </c>
      <c r="K4183" s="15">
        <v>1176</v>
      </c>
      <c r="L4183" s="15" t="s">
        <v>19099</v>
      </c>
    </row>
    <row r="4184" spans="1:12" x14ac:dyDescent="0.25">
      <c r="A4184" s="2" t="s">
        <v>12228</v>
      </c>
      <c r="B4184" s="8" t="s">
        <v>18732</v>
      </c>
      <c r="C4184" s="2" t="s">
        <v>12228</v>
      </c>
      <c r="D4184" s="2" t="s">
        <v>12229</v>
      </c>
      <c r="E4184" s="4" t="s">
        <v>32995</v>
      </c>
      <c r="G4184" s="15" t="s">
        <v>32996</v>
      </c>
      <c r="H4184" s="15" t="s">
        <v>32997</v>
      </c>
      <c r="I4184" s="15" t="s">
        <v>32998</v>
      </c>
      <c r="J4184" s="15" t="s">
        <v>32999</v>
      </c>
      <c r="K4184" s="15">
        <v>443629</v>
      </c>
      <c r="L4184" s="15" t="s">
        <v>19099</v>
      </c>
    </row>
    <row r="4185" spans="1:12" x14ac:dyDescent="0.25">
      <c r="A4185" s="2" t="s">
        <v>12231</v>
      </c>
      <c r="B4185" s="8" t="s">
        <v>18733</v>
      </c>
      <c r="C4185" s="2" t="s">
        <v>12231</v>
      </c>
      <c r="D4185" s="2" t="s">
        <v>12232</v>
      </c>
      <c r="E4185" s="4" t="s">
        <v>33000</v>
      </c>
      <c r="G4185" s="15" t="s">
        <v>33001</v>
      </c>
      <c r="H4185" s="15" t="s">
        <v>33002</v>
      </c>
      <c r="I4185" s="15" t="s">
        <v>33003</v>
      </c>
      <c r="J4185" s="15" t="s">
        <v>33004</v>
      </c>
      <c r="K4185" s="15">
        <v>11338509</v>
      </c>
      <c r="L4185" s="15" t="s">
        <v>19099</v>
      </c>
    </row>
    <row r="4186" spans="1:12" x14ac:dyDescent="0.25">
      <c r="A4186" s="2" t="s">
        <v>12234</v>
      </c>
      <c r="B4186" s="8" t="s">
        <v>18734</v>
      </c>
      <c r="C4186" s="2" t="s">
        <v>12234</v>
      </c>
      <c r="D4186" s="2" t="s">
        <v>12235</v>
      </c>
      <c r="E4186" s="4" t="s">
        <v>33005</v>
      </c>
      <c r="G4186" s="15" t="s">
        <v>33006</v>
      </c>
      <c r="H4186" s="15" t="s">
        <v>33007</v>
      </c>
      <c r="I4186" s="15" t="s">
        <v>33008</v>
      </c>
      <c r="J4186" s="15" t="s">
        <v>20640</v>
      </c>
      <c r="K4186" s="15">
        <v>3121</v>
      </c>
      <c r="L4186" s="15" t="s">
        <v>19099</v>
      </c>
    </row>
    <row r="4187" spans="1:12" x14ac:dyDescent="0.25">
      <c r="A4187" s="2" t="s">
        <v>12237</v>
      </c>
      <c r="B4187" s="8" t="s">
        <v>18735</v>
      </c>
      <c r="C4187" s="2" t="s">
        <v>12237</v>
      </c>
      <c r="D4187" s="2" t="s">
        <v>12238</v>
      </c>
      <c r="E4187" s="4" t="s">
        <v>33009</v>
      </c>
      <c r="G4187" s="15" t="s">
        <v>33010</v>
      </c>
      <c r="H4187" s="15" t="s">
        <v>33011</v>
      </c>
      <c r="I4187" s="15" t="s">
        <v>33012</v>
      </c>
      <c r="J4187" s="15" t="s">
        <v>22442</v>
      </c>
      <c r="K4187" s="15">
        <v>7991</v>
      </c>
      <c r="L4187" s="15" t="s">
        <v>19099</v>
      </c>
    </row>
    <row r="4188" spans="1:12" x14ac:dyDescent="0.25">
      <c r="A4188" s="2" t="s">
        <v>12240</v>
      </c>
      <c r="B4188" s="8" t="s">
        <v>18736</v>
      </c>
      <c r="C4188" s="2" t="s">
        <v>12240</v>
      </c>
      <c r="D4188" s="2" t="s">
        <v>12241</v>
      </c>
      <c r="E4188" s="4" t="s">
        <v>12241</v>
      </c>
      <c r="G4188" s="15" t="s">
        <v>33013</v>
      </c>
      <c r="H4188" s="15" t="s">
        <v>33014</v>
      </c>
      <c r="I4188" s="15" t="s">
        <v>33015</v>
      </c>
      <c r="J4188" s="15" t="s">
        <v>33016</v>
      </c>
      <c r="K4188" s="15">
        <v>60846</v>
      </c>
      <c r="L4188" s="15" t="s">
        <v>19099</v>
      </c>
    </row>
    <row r="4189" spans="1:12" x14ac:dyDescent="0.25">
      <c r="A4189" s="2" t="s">
        <v>12243</v>
      </c>
      <c r="B4189" s="8" t="s">
        <v>18737</v>
      </c>
      <c r="C4189" s="2" t="s">
        <v>12243</v>
      </c>
      <c r="D4189" s="2" t="s">
        <v>12244</v>
      </c>
      <c r="E4189" s="4" t="s">
        <v>33017</v>
      </c>
      <c r="G4189" s="15" t="s">
        <v>33018</v>
      </c>
      <c r="H4189" s="15" t="s">
        <v>33019</v>
      </c>
      <c r="I4189" s="15" t="s">
        <v>33020</v>
      </c>
      <c r="J4189" s="15" t="s">
        <v>33021</v>
      </c>
      <c r="K4189" s="15">
        <v>19388302</v>
      </c>
      <c r="L4189" s="15" t="s">
        <v>19099</v>
      </c>
    </row>
    <row r="4190" spans="1:12" x14ac:dyDescent="0.25">
      <c r="A4190" s="2" t="s">
        <v>12246</v>
      </c>
      <c r="B4190" s="8" t="s">
        <v>18738</v>
      </c>
      <c r="C4190" s="2" t="s">
        <v>12246</v>
      </c>
      <c r="D4190" s="2" t="s">
        <v>12247</v>
      </c>
      <c r="E4190" s="4" t="s">
        <v>12247</v>
      </c>
      <c r="G4190" s="15" t="s">
        <v>33022</v>
      </c>
      <c r="H4190" s="15" t="s">
        <v>33023</v>
      </c>
      <c r="I4190" s="15" t="s">
        <v>33024</v>
      </c>
      <c r="J4190" s="15" t="s">
        <v>33025</v>
      </c>
      <c r="K4190" s="15">
        <v>3016</v>
      </c>
      <c r="L4190" s="15" t="s">
        <v>19099</v>
      </c>
    </row>
    <row r="4191" spans="1:12" x14ac:dyDescent="0.25">
      <c r="A4191" s="2" t="s">
        <v>12249</v>
      </c>
      <c r="B4191" s="8" t="s">
        <v>18739</v>
      </c>
      <c r="C4191" s="2" t="s">
        <v>12249</v>
      </c>
      <c r="D4191" s="2" t="s">
        <v>12250</v>
      </c>
      <c r="E4191" s="4" t="s">
        <v>12250</v>
      </c>
      <c r="G4191" s="15" t="s">
        <v>33026</v>
      </c>
      <c r="H4191" s="15" t="s">
        <v>33027</v>
      </c>
      <c r="I4191" s="15" t="s">
        <v>33028</v>
      </c>
      <c r="J4191" s="15" t="s">
        <v>33029</v>
      </c>
      <c r="K4191" s="15">
        <v>560193</v>
      </c>
      <c r="L4191" s="15" t="s">
        <v>19099</v>
      </c>
    </row>
    <row r="4192" spans="1:12" x14ac:dyDescent="0.25">
      <c r="A4192" s="2" t="s">
        <v>12252</v>
      </c>
      <c r="B4192" s="8" t="s">
        <v>18740</v>
      </c>
      <c r="C4192" s="2" t="s">
        <v>12252</v>
      </c>
      <c r="D4192" s="2" t="s">
        <v>12253</v>
      </c>
      <c r="E4192" s="4" t="s">
        <v>33030</v>
      </c>
      <c r="G4192" s="15" t="s">
        <v>33031</v>
      </c>
      <c r="H4192" s="15" t="s">
        <v>33032</v>
      </c>
      <c r="I4192" s="15" t="s">
        <v>33033</v>
      </c>
      <c r="J4192" s="15" t="s">
        <v>33034</v>
      </c>
      <c r="K4192" s="15">
        <v>1183</v>
      </c>
      <c r="L4192" s="15" t="s">
        <v>19099</v>
      </c>
    </row>
    <row r="4193" spans="1:12" x14ac:dyDescent="0.25">
      <c r="A4193" s="2" t="s">
        <v>12255</v>
      </c>
      <c r="B4193" s="8" t="s">
        <v>18741</v>
      </c>
      <c r="C4193" s="2" t="s">
        <v>12255</v>
      </c>
      <c r="D4193" s="2" t="s">
        <v>12256</v>
      </c>
      <c r="E4193" s="4" t="s">
        <v>12256</v>
      </c>
      <c r="G4193" s="15" t="s">
        <v>33035</v>
      </c>
      <c r="H4193" s="15" t="s">
        <v>33036</v>
      </c>
      <c r="I4193" s="15" t="s">
        <v>33037</v>
      </c>
      <c r="J4193" s="15" t="s">
        <v>33038</v>
      </c>
      <c r="K4193" s="15">
        <v>5656</v>
      </c>
      <c r="L4193" s="15" t="s">
        <v>19099</v>
      </c>
    </row>
    <row r="4194" spans="1:12" x14ac:dyDescent="0.25">
      <c r="A4194" s="2" t="s">
        <v>12258</v>
      </c>
      <c r="B4194" s="8" t="s">
        <v>18742</v>
      </c>
      <c r="C4194" s="2" t="s">
        <v>12258</v>
      </c>
      <c r="D4194" s="2" t="s">
        <v>12259</v>
      </c>
      <c r="E4194" s="4" t="s">
        <v>12259</v>
      </c>
      <c r="G4194" s="15" t="s">
        <v>33039</v>
      </c>
      <c r="H4194" s="15" t="s">
        <v>33040</v>
      </c>
      <c r="I4194" s="15" t="s">
        <v>33041</v>
      </c>
      <c r="J4194" s="15" t="s">
        <v>31350</v>
      </c>
      <c r="K4194" s="15">
        <v>62334</v>
      </c>
      <c r="L4194" s="15" t="s">
        <v>19099</v>
      </c>
    </row>
    <row r="4195" spans="1:12" x14ac:dyDescent="0.25">
      <c r="A4195" s="2" t="s">
        <v>12261</v>
      </c>
      <c r="B4195" s="8" t="s">
        <v>18743</v>
      </c>
      <c r="C4195" s="2" t="s">
        <v>12261</v>
      </c>
      <c r="D4195" s="2" t="s">
        <v>12262</v>
      </c>
      <c r="E4195" s="4" t="s">
        <v>33042</v>
      </c>
      <c r="G4195" s="15" t="s">
        <v>33043</v>
      </c>
      <c r="H4195" s="15" t="s">
        <v>33044</v>
      </c>
      <c r="I4195" s="15" t="s">
        <v>33045</v>
      </c>
      <c r="J4195" s="15" t="s">
        <v>31569</v>
      </c>
      <c r="K4195" s="15">
        <v>16003</v>
      </c>
      <c r="L4195" s="15" t="s">
        <v>19099</v>
      </c>
    </row>
    <row r="4196" spans="1:12" x14ac:dyDescent="0.25">
      <c r="A4196" s="2" t="s">
        <v>12264</v>
      </c>
      <c r="B4196" s="8" t="s">
        <v>18744</v>
      </c>
      <c r="C4196" s="2" t="s">
        <v>12264</v>
      </c>
      <c r="D4196" s="2" t="s">
        <v>12265</v>
      </c>
      <c r="E4196" s="4" t="s">
        <v>12265</v>
      </c>
      <c r="G4196" s="15" t="s">
        <v>33046</v>
      </c>
      <c r="H4196" s="15" t="s">
        <v>33047</v>
      </c>
      <c r="I4196" s="15" t="s">
        <v>33048</v>
      </c>
      <c r="J4196" s="15" t="s">
        <v>33049</v>
      </c>
      <c r="K4196" s="15">
        <v>2520</v>
      </c>
      <c r="L4196" s="15" t="s">
        <v>19099</v>
      </c>
    </row>
    <row r="4197" spans="1:12" x14ac:dyDescent="0.25">
      <c r="A4197" s="2" t="s">
        <v>12267</v>
      </c>
      <c r="B4197" s="8" t="s">
        <v>18745</v>
      </c>
      <c r="C4197" s="2" t="s">
        <v>12267</v>
      </c>
      <c r="D4197" s="2" t="s">
        <v>12268</v>
      </c>
      <c r="E4197" s="4" t="s">
        <v>12268</v>
      </c>
      <c r="G4197" s="15" t="s">
        <v>33050</v>
      </c>
      <c r="H4197" s="15" t="s">
        <v>33051</v>
      </c>
      <c r="I4197" s="15" t="s">
        <v>33052</v>
      </c>
      <c r="J4197" s="15" t="s">
        <v>21830</v>
      </c>
      <c r="K4197" s="15">
        <v>6930</v>
      </c>
      <c r="L4197" s="15" t="s">
        <v>19099</v>
      </c>
    </row>
    <row r="4198" spans="1:12" x14ac:dyDescent="0.25">
      <c r="A4198" s="2" t="s">
        <v>12270</v>
      </c>
      <c r="B4198" s="8" t="s">
        <v>18746</v>
      </c>
      <c r="C4198" s="2" t="s">
        <v>12270</v>
      </c>
      <c r="D4198" s="2" t="s">
        <v>12271</v>
      </c>
      <c r="E4198" s="4" t="s">
        <v>33053</v>
      </c>
      <c r="G4198" s="15" t="s">
        <v>33054</v>
      </c>
      <c r="H4198" s="15" t="s">
        <v>33055</v>
      </c>
      <c r="I4198" s="15" t="s">
        <v>33056</v>
      </c>
      <c r="J4198" s="15" t="s">
        <v>33057</v>
      </c>
      <c r="K4198" s="15">
        <v>5665</v>
      </c>
      <c r="L4198" s="15" t="s">
        <v>19099</v>
      </c>
    </row>
    <row r="4199" spans="1:12" x14ac:dyDescent="0.25">
      <c r="A4199" s="2" t="s">
        <v>12273</v>
      </c>
      <c r="B4199" s="8" t="s">
        <v>18747</v>
      </c>
      <c r="C4199" s="2" t="s">
        <v>12273</v>
      </c>
      <c r="D4199" s="2" t="s">
        <v>12274</v>
      </c>
      <c r="E4199" s="4" t="s">
        <v>33058</v>
      </c>
      <c r="G4199" s="15" t="s">
        <v>33059</v>
      </c>
      <c r="H4199" s="15" t="s">
        <v>33060</v>
      </c>
      <c r="I4199" s="15" t="s">
        <v>33061</v>
      </c>
      <c r="J4199" s="15" t="s">
        <v>20048</v>
      </c>
      <c r="K4199" s="15">
        <v>7904</v>
      </c>
      <c r="L4199" s="15" t="s">
        <v>19099</v>
      </c>
    </row>
    <row r="4200" spans="1:12" x14ac:dyDescent="0.25">
      <c r="A4200" s="2" t="s">
        <v>12276</v>
      </c>
      <c r="B4200" s="8" t="s">
        <v>18748</v>
      </c>
      <c r="C4200" s="2" t="s">
        <v>12276</v>
      </c>
      <c r="D4200" s="2" t="s">
        <v>12277</v>
      </c>
      <c r="E4200" s="4" t="s">
        <v>12277</v>
      </c>
      <c r="G4200" s="15" t="s">
        <v>33062</v>
      </c>
      <c r="H4200" s="15" t="s">
        <v>33063</v>
      </c>
      <c r="I4200" s="15" t="s">
        <v>33064</v>
      </c>
      <c r="J4200" s="15" t="s">
        <v>33065</v>
      </c>
      <c r="K4200" s="15">
        <v>39676</v>
      </c>
      <c r="L4200" s="15" t="s">
        <v>19099</v>
      </c>
    </row>
    <row r="4201" spans="1:12" x14ac:dyDescent="0.25">
      <c r="A4201" s="2" t="s">
        <v>12279</v>
      </c>
      <c r="B4201" s="8" t="s">
        <v>18749</v>
      </c>
      <c r="C4201" s="2" t="s">
        <v>12279</v>
      </c>
      <c r="D4201" s="2" t="s">
        <v>12280</v>
      </c>
      <c r="E4201" s="4" t="s">
        <v>33066</v>
      </c>
      <c r="G4201" s="15" t="s">
        <v>33067</v>
      </c>
      <c r="H4201" s="15" t="s">
        <v>33068</v>
      </c>
      <c r="I4201" s="15" t="s">
        <v>33069</v>
      </c>
      <c r="J4201" s="15" t="s">
        <v>33070</v>
      </c>
      <c r="K4201" s="15">
        <v>73160420</v>
      </c>
      <c r="L4201" s="15" t="s">
        <v>19099</v>
      </c>
    </row>
    <row r="4202" spans="1:12" x14ac:dyDescent="0.25">
      <c r="A4202" s="2" t="s">
        <v>12282</v>
      </c>
      <c r="B4202" s="13" t="s">
        <v>12284</v>
      </c>
      <c r="C4202" s="2" t="s">
        <v>12282</v>
      </c>
      <c r="D4202" s="2" t="s">
        <v>12283</v>
      </c>
      <c r="E4202" s="4" t="s">
        <v>33071</v>
      </c>
    </row>
    <row r="4203" spans="1:12" x14ac:dyDescent="0.25">
      <c r="A4203" s="2" t="s">
        <v>12285</v>
      </c>
      <c r="B4203" s="8" t="s">
        <v>18751</v>
      </c>
      <c r="C4203" s="2" t="s">
        <v>12285</v>
      </c>
      <c r="D4203" s="2" t="s">
        <v>12286</v>
      </c>
      <c r="E4203" s="4" t="s">
        <v>12286</v>
      </c>
      <c r="G4203" s="15" t="s">
        <v>33072</v>
      </c>
      <c r="H4203" s="15" t="s">
        <v>33073</v>
      </c>
      <c r="I4203" s="15" t="s">
        <v>33074</v>
      </c>
      <c r="J4203" s="15" t="s">
        <v>33075</v>
      </c>
      <c r="K4203" s="15">
        <v>54678486</v>
      </c>
      <c r="L4203" s="15" t="s">
        <v>19099</v>
      </c>
    </row>
    <row r="4204" spans="1:12" x14ac:dyDescent="0.25">
      <c r="A4204" s="2" t="s">
        <v>12288</v>
      </c>
      <c r="B4204" s="8" t="s">
        <v>18752</v>
      </c>
      <c r="C4204" s="2" t="s">
        <v>12288</v>
      </c>
      <c r="D4204" s="2" t="s">
        <v>12289</v>
      </c>
      <c r="E4204" s="4" t="s">
        <v>12289</v>
      </c>
      <c r="G4204" s="15" t="s">
        <v>33076</v>
      </c>
      <c r="H4204" s="15" t="s">
        <v>33077</v>
      </c>
      <c r="I4204" s="15" t="s">
        <v>33078</v>
      </c>
      <c r="J4204" s="15" t="s">
        <v>33079</v>
      </c>
      <c r="K4204" s="15">
        <v>122087</v>
      </c>
      <c r="L4204" s="15" t="s">
        <v>19099</v>
      </c>
    </row>
    <row r="4205" spans="1:12" x14ac:dyDescent="0.25">
      <c r="A4205" s="2" t="s">
        <v>12291</v>
      </c>
      <c r="B4205" s="8" t="s">
        <v>18753</v>
      </c>
      <c r="C4205" s="2" t="s">
        <v>12291</v>
      </c>
      <c r="D4205" s="2" t="s">
        <v>12292</v>
      </c>
      <c r="E4205" s="4" t="s">
        <v>12292</v>
      </c>
      <c r="G4205" s="15" t="s">
        <v>31151</v>
      </c>
      <c r="H4205" s="15" t="s">
        <v>31152</v>
      </c>
      <c r="I4205" s="15" t="s">
        <v>31153</v>
      </c>
      <c r="J4205" s="15" t="s">
        <v>31154</v>
      </c>
      <c r="K4205" s="15">
        <v>5284484</v>
      </c>
      <c r="L4205" s="15" t="s">
        <v>19099</v>
      </c>
    </row>
    <row r="4206" spans="1:12" x14ac:dyDescent="0.25">
      <c r="A4206" s="2" t="s">
        <v>12294</v>
      </c>
      <c r="B4206" s="8" t="s">
        <v>18754</v>
      </c>
      <c r="C4206" s="2" t="s">
        <v>12294</v>
      </c>
      <c r="D4206" s="2" t="s">
        <v>12295</v>
      </c>
      <c r="E4206" s="4" t="s">
        <v>12295</v>
      </c>
      <c r="G4206" s="15" t="s">
        <v>33080</v>
      </c>
      <c r="H4206" s="15" t="s">
        <v>33081</v>
      </c>
      <c r="I4206" s="15" t="s">
        <v>33082</v>
      </c>
      <c r="J4206" s="15" t="s">
        <v>33083</v>
      </c>
      <c r="K4206" s="15">
        <v>8722</v>
      </c>
      <c r="L4206" s="15" t="s">
        <v>19099</v>
      </c>
    </row>
    <row r="4207" spans="1:12" x14ac:dyDescent="0.25">
      <c r="A4207" s="2" t="s">
        <v>12297</v>
      </c>
      <c r="B4207" s="8" t="s">
        <v>18755</v>
      </c>
      <c r="C4207" s="2" t="s">
        <v>12297</v>
      </c>
      <c r="D4207" s="2" t="s">
        <v>12298</v>
      </c>
      <c r="E4207" s="4" t="s">
        <v>12298</v>
      </c>
      <c r="G4207" s="15" t="s">
        <v>33084</v>
      </c>
      <c r="H4207" s="15" t="s">
        <v>33085</v>
      </c>
      <c r="I4207" s="15" t="s">
        <v>33086</v>
      </c>
      <c r="J4207" s="15" t="s">
        <v>33087</v>
      </c>
      <c r="K4207" s="15">
        <v>5732</v>
      </c>
      <c r="L4207" s="15" t="s">
        <v>19099</v>
      </c>
    </row>
    <row r="4208" spans="1:12" x14ac:dyDescent="0.25">
      <c r="E4208" s="6"/>
    </row>
  </sheetData>
  <autoFilter ref="A3:L4208"/>
  <pageMargins left="0.7" right="0.7" top="0.75" bottom="0.75" header="0.3" footer="0.3"/>
  <pageSetup paperSize="9"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6695"/>
  <sheetViews>
    <sheetView workbookViewId="0"/>
  </sheetViews>
  <sheetFormatPr defaultRowHeight="15" x14ac:dyDescent="0.25"/>
  <sheetData>
    <row r="1" spans="1:2" x14ac:dyDescent="0.25">
      <c r="A1" s="30" t="s">
        <v>33088</v>
      </c>
      <c r="B1" s="30" t="s">
        <v>33089</v>
      </c>
    </row>
    <row r="2" spans="1:2" x14ac:dyDescent="0.25">
      <c r="A2" t="s">
        <v>1239</v>
      </c>
      <c r="B2" t="s">
        <v>19740</v>
      </c>
    </row>
    <row r="3" spans="1:2" x14ac:dyDescent="0.25">
      <c r="A3" t="s">
        <v>1209</v>
      </c>
      <c r="B3" t="s">
        <v>19694</v>
      </c>
    </row>
    <row r="4" spans="1:2" x14ac:dyDescent="0.25">
      <c r="A4" t="s">
        <v>1212</v>
      </c>
      <c r="B4" t="s">
        <v>19699</v>
      </c>
    </row>
    <row r="5" spans="1:2" x14ac:dyDescent="0.25">
      <c r="A5" t="s">
        <v>1230</v>
      </c>
      <c r="B5" t="s">
        <v>19727</v>
      </c>
    </row>
    <row r="6" spans="1:2" x14ac:dyDescent="0.25">
      <c r="A6" t="s">
        <v>1338</v>
      </c>
      <c r="B6" t="s">
        <v>19885</v>
      </c>
    </row>
    <row r="7" spans="1:2" x14ac:dyDescent="0.25">
      <c r="A7" t="s">
        <v>2370</v>
      </c>
      <c r="B7" t="s">
        <v>21237</v>
      </c>
    </row>
    <row r="8" spans="1:2" x14ac:dyDescent="0.25">
      <c r="A8" t="s">
        <v>4727</v>
      </c>
      <c r="B8" t="s">
        <v>24192</v>
      </c>
    </row>
    <row r="9" spans="1:2" x14ac:dyDescent="0.25">
      <c r="A9" t="s">
        <v>3830</v>
      </c>
      <c r="B9" t="s">
        <v>22993</v>
      </c>
    </row>
    <row r="10" spans="1:2" x14ac:dyDescent="0.25">
      <c r="A10" t="s">
        <v>7033</v>
      </c>
      <c r="B10" t="s">
        <v>26664</v>
      </c>
    </row>
    <row r="11" spans="1:2" x14ac:dyDescent="0.25">
      <c r="A11" t="s">
        <v>7102</v>
      </c>
      <c r="B11" t="s">
        <v>26750</v>
      </c>
    </row>
    <row r="12" spans="1:2" x14ac:dyDescent="0.25">
      <c r="A12" t="s">
        <v>921</v>
      </c>
      <c r="B12" t="s">
        <v>19286</v>
      </c>
    </row>
    <row r="13" spans="1:2" x14ac:dyDescent="0.25">
      <c r="A13" t="s">
        <v>981</v>
      </c>
      <c r="B13" t="s">
        <v>19370</v>
      </c>
    </row>
    <row r="14" spans="1:2" x14ac:dyDescent="0.25">
      <c r="A14" t="s">
        <v>984</v>
      </c>
      <c r="B14" t="s">
        <v>19375</v>
      </c>
    </row>
    <row r="15" spans="1:2" x14ac:dyDescent="0.25">
      <c r="A15" t="s">
        <v>1011</v>
      </c>
      <c r="B15" t="s">
        <v>19416</v>
      </c>
    </row>
    <row r="16" spans="1:2" x14ac:dyDescent="0.25">
      <c r="A16" t="s">
        <v>1074</v>
      </c>
      <c r="B16" t="s">
        <v>19505</v>
      </c>
    </row>
    <row r="17" spans="1:2" x14ac:dyDescent="0.25">
      <c r="A17" t="s">
        <v>1125</v>
      </c>
      <c r="B17" t="s">
        <v>19573</v>
      </c>
    </row>
    <row r="18" spans="1:2" x14ac:dyDescent="0.25">
      <c r="A18" t="s">
        <v>1128</v>
      </c>
      <c r="B18" t="s">
        <v>19578</v>
      </c>
    </row>
    <row r="19" spans="1:2" x14ac:dyDescent="0.25">
      <c r="A19" t="s">
        <v>1236</v>
      </c>
      <c r="B19" t="s">
        <v>19736</v>
      </c>
    </row>
    <row r="20" spans="1:2" x14ac:dyDescent="0.25">
      <c r="A20" t="s">
        <v>1245</v>
      </c>
      <c r="B20" t="s">
        <v>19749</v>
      </c>
    </row>
    <row r="21" spans="1:2" x14ac:dyDescent="0.25">
      <c r="A21" t="s">
        <v>5138</v>
      </c>
      <c r="B21" t="s">
        <v>24548</v>
      </c>
    </row>
    <row r="22" spans="1:2" x14ac:dyDescent="0.25">
      <c r="A22" t="s">
        <v>816</v>
      </c>
      <c r="B22" t="s">
        <v>19139</v>
      </c>
    </row>
    <row r="23" spans="1:2" x14ac:dyDescent="0.25">
      <c r="A23" t="s">
        <v>819</v>
      </c>
      <c r="B23" t="s">
        <v>19143</v>
      </c>
    </row>
    <row r="24" spans="1:2" x14ac:dyDescent="0.25">
      <c r="A24" t="s">
        <v>822</v>
      </c>
      <c r="B24" t="s">
        <v>19147</v>
      </c>
    </row>
    <row r="25" spans="1:2" x14ac:dyDescent="0.25">
      <c r="A25" t="s">
        <v>3781</v>
      </c>
      <c r="B25" t="s">
        <v>22919</v>
      </c>
    </row>
    <row r="26" spans="1:2" x14ac:dyDescent="0.25">
      <c r="A26" t="s">
        <v>5135</v>
      </c>
      <c r="B26" t="s">
        <v>24543</v>
      </c>
    </row>
    <row r="27" spans="1:2" x14ac:dyDescent="0.25">
      <c r="A27" t="s">
        <v>825</v>
      </c>
      <c r="B27" t="s">
        <v>19152</v>
      </c>
    </row>
    <row r="28" spans="1:2" x14ac:dyDescent="0.25">
      <c r="A28" t="s">
        <v>3784</v>
      </c>
      <c r="B28" t="s">
        <v>22924</v>
      </c>
    </row>
    <row r="29" spans="1:2" x14ac:dyDescent="0.25">
      <c r="A29" t="s">
        <v>828</v>
      </c>
      <c r="B29" t="s">
        <v>19156</v>
      </c>
    </row>
    <row r="30" spans="1:2" x14ac:dyDescent="0.25">
      <c r="A30" t="s">
        <v>831</v>
      </c>
      <c r="B30" t="s">
        <v>19159</v>
      </c>
    </row>
    <row r="31" spans="1:2" x14ac:dyDescent="0.25">
      <c r="A31" t="s">
        <v>837</v>
      </c>
      <c r="B31" t="s">
        <v>19168</v>
      </c>
    </row>
    <row r="32" spans="1:2" x14ac:dyDescent="0.25">
      <c r="A32" t="s">
        <v>5198</v>
      </c>
      <c r="B32" t="s">
        <v>24630</v>
      </c>
    </row>
    <row r="33" spans="1:2" x14ac:dyDescent="0.25">
      <c r="A33" t="s">
        <v>5147</v>
      </c>
      <c r="B33" t="s">
        <v>24560</v>
      </c>
    </row>
    <row r="34" spans="1:2" x14ac:dyDescent="0.25">
      <c r="A34" t="s">
        <v>5207</v>
      </c>
      <c r="B34" t="s">
        <v>24642</v>
      </c>
    </row>
    <row r="35" spans="1:2" x14ac:dyDescent="0.25">
      <c r="A35" t="s">
        <v>5168</v>
      </c>
      <c r="B35" t="s">
        <v>24590</v>
      </c>
    </row>
    <row r="36" spans="1:2" x14ac:dyDescent="0.25">
      <c r="A36" t="s">
        <v>846</v>
      </c>
      <c r="B36" t="s">
        <v>19180</v>
      </c>
    </row>
    <row r="37" spans="1:2" x14ac:dyDescent="0.25">
      <c r="A37" t="s">
        <v>849</v>
      </c>
      <c r="B37" t="s">
        <v>19184</v>
      </c>
    </row>
    <row r="38" spans="1:2" x14ac:dyDescent="0.25">
      <c r="A38" t="s">
        <v>852</v>
      </c>
      <c r="B38" t="s">
        <v>19189</v>
      </c>
    </row>
    <row r="39" spans="1:2" x14ac:dyDescent="0.25">
      <c r="A39" t="s">
        <v>855</v>
      </c>
      <c r="B39" t="s">
        <v>19193</v>
      </c>
    </row>
    <row r="40" spans="1:2" x14ac:dyDescent="0.25">
      <c r="A40" t="s">
        <v>840</v>
      </c>
      <c r="B40" t="s">
        <v>19172</v>
      </c>
    </row>
    <row r="41" spans="1:2" x14ac:dyDescent="0.25">
      <c r="A41" t="s">
        <v>843</v>
      </c>
      <c r="B41" t="s">
        <v>843</v>
      </c>
    </row>
    <row r="42" spans="1:2" x14ac:dyDescent="0.25">
      <c r="A42" t="s">
        <v>5156</v>
      </c>
      <c r="B42" t="s">
        <v>24573</v>
      </c>
    </row>
    <row r="43" spans="1:2" x14ac:dyDescent="0.25">
      <c r="A43" t="s">
        <v>861</v>
      </c>
      <c r="B43" t="s">
        <v>19202</v>
      </c>
    </row>
    <row r="44" spans="1:2" x14ac:dyDescent="0.25">
      <c r="A44" t="s">
        <v>864</v>
      </c>
      <c r="B44" t="s">
        <v>19205</v>
      </c>
    </row>
    <row r="45" spans="1:2" x14ac:dyDescent="0.25">
      <c r="A45" t="s">
        <v>867</v>
      </c>
      <c r="B45" t="s">
        <v>19210</v>
      </c>
    </row>
    <row r="46" spans="1:2" x14ac:dyDescent="0.25">
      <c r="A46" t="s">
        <v>6875</v>
      </c>
      <c r="B46" t="s">
        <v>26450</v>
      </c>
    </row>
    <row r="47" spans="1:2" x14ac:dyDescent="0.25">
      <c r="A47" t="s">
        <v>6845</v>
      </c>
      <c r="B47" t="s">
        <v>26406</v>
      </c>
    </row>
    <row r="48" spans="1:2" x14ac:dyDescent="0.25">
      <c r="A48" t="s">
        <v>6869</v>
      </c>
      <c r="B48" t="s">
        <v>26441</v>
      </c>
    </row>
    <row r="49" spans="1:2" x14ac:dyDescent="0.25">
      <c r="A49" t="s">
        <v>6842</v>
      </c>
      <c r="B49" t="s">
        <v>26401</v>
      </c>
    </row>
    <row r="50" spans="1:2" x14ac:dyDescent="0.25">
      <c r="A50" t="s">
        <v>6872</v>
      </c>
      <c r="B50" t="s">
        <v>26446</v>
      </c>
    </row>
    <row r="51" spans="1:2" x14ac:dyDescent="0.25">
      <c r="A51" t="s">
        <v>6854</v>
      </c>
      <c r="B51" t="s">
        <v>26420</v>
      </c>
    </row>
    <row r="52" spans="1:2" x14ac:dyDescent="0.25">
      <c r="A52" t="s">
        <v>6833</v>
      </c>
      <c r="B52" t="s">
        <v>26388</v>
      </c>
    </row>
    <row r="53" spans="1:2" x14ac:dyDescent="0.25">
      <c r="A53" t="s">
        <v>6857</v>
      </c>
      <c r="B53" t="s">
        <v>26425</v>
      </c>
    </row>
    <row r="54" spans="1:2" x14ac:dyDescent="0.25">
      <c r="A54" t="s">
        <v>6881</v>
      </c>
      <c r="B54" t="s">
        <v>26460</v>
      </c>
    </row>
    <row r="55" spans="1:2" x14ac:dyDescent="0.25">
      <c r="A55" t="s">
        <v>873</v>
      </c>
      <c r="B55" t="s">
        <v>19220</v>
      </c>
    </row>
    <row r="56" spans="1:2" x14ac:dyDescent="0.25">
      <c r="A56" t="s">
        <v>876</v>
      </c>
      <c r="B56" t="s">
        <v>19225</v>
      </c>
    </row>
    <row r="57" spans="1:2" x14ac:dyDescent="0.25">
      <c r="A57" t="s">
        <v>870</v>
      </c>
      <c r="B57" t="s">
        <v>19215</v>
      </c>
    </row>
    <row r="58" spans="1:2" x14ac:dyDescent="0.25">
      <c r="A58" t="s">
        <v>882</v>
      </c>
      <c r="B58" t="s">
        <v>19233</v>
      </c>
    </row>
    <row r="59" spans="1:2" x14ac:dyDescent="0.25">
      <c r="A59" t="s">
        <v>885</v>
      </c>
      <c r="B59" t="s">
        <v>19238</v>
      </c>
    </row>
    <row r="60" spans="1:2" x14ac:dyDescent="0.25">
      <c r="A60" t="s">
        <v>879</v>
      </c>
      <c r="B60" t="s">
        <v>19230</v>
      </c>
    </row>
    <row r="61" spans="1:2" x14ac:dyDescent="0.25">
      <c r="A61" t="s">
        <v>6860</v>
      </c>
      <c r="B61" t="s">
        <v>26429</v>
      </c>
    </row>
    <row r="62" spans="1:2" x14ac:dyDescent="0.25">
      <c r="A62" t="s">
        <v>6836</v>
      </c>
      <c r="B62" t="s">
        <v>26393</v>
      </c>
    </row>
    <row r="63" spans="1:2" x14ac:dyDescent="0.25">
      <c r="A63" t="s">
        <v>6863</v>
      </c>
      <c r="B63" t="s">
        <v>26433</v>
      </c>
    </row>
    <row r="64" spans="1:2" x14ac:dyDescent="0.25">
      <c r="A64" t="s">
        <v>6839</v>
      </c>
      <c r="B64" t="s">
        <v>26397</v>
      </c>
    </row>
    <row r="65" spans="1:2" x14ac:dyDescent="0.25">
      <c r="A65" t="s">
        <v>6884</v>
      </c>
      <c r="B65" t="s">
        <v>26464</v>
      </c>
    </row>
    <row r="66" spans="1:2" x14ac:dyDescent="0.25">
      <c r="A66" t="s">
        <v>6830</v>
      </c>
      <c r="B66" t="s">
        <v>26383</v>
      </c>
    </row>
    <row r="67" spans="1:2" x14ac:dyDescent="0.25">
      <c r="A67" t="s">
        <v>900</v>
      </c>
      <c r="B67" t="s">
        <v>19258</v>
      </c>
    </row>
    <row r="68" spans="1:2" x14ac:dyDescent="0.25">
      <c r="A68" t="s">
        <v>891</v>
      </c>
      <c r="B68" t="s">
        <v>19246</v>
      </c>
    </row>
    <row r="69" spans="1:2" x14ac:dyDescent="0.25">
      <c r="A69" t="s">
        <v>894</v>
      </c>
      <c r="B69" t="s">
        <v>19250</v>
      </c>
    </row>
    <row r="70" spans="1:2" x14ac:dyDescent="0.25">
      <c r="A70" t="s">
        <v>897</v>
      </c>
      <c r="B70" t="s">
        <v>19253</v>
      </c>
    </row>
    <row r="71" spans="1:2" x14ac:dyDescent="0.25">
      <c r="A71" t="s">
        <v>888</v>
      </c>
      <c r="B71" t="s">
        <v>19242</v>
      </c>
    </row>
    <row r="72" spans="1:2" x14ac:dyDescent="0.25">
      <c r="A72" t="s">
        <v>906</v>
      </c>
      <c r="B72" t="s">
        <v>19266</v>
      </c>
    </row>
    <row r="73" spans="1:2" x14ac:dyDescent="0.25">
      <c r="A73" t="s">
        <v>903</v>
      </c>
      <c r="B73" t="s">
        <v>19263</v>
      </c>
    </row>
    <row r="74" spans="1:2" x14ac:dyDescent="0.25">
      <c r="A74" t="s">
        <v>912</v>
      </c>
      <c r="B74" t="s">
        <v>19273</v>
      </c>
    </row>
    <row r="75" spans="1:2" x14ac:dyDescent="0.25">
      <c r="A75" t="s">
        <v>909</v>
      </c>
      <c r="B75" t="s">
        <v>19270</v>
      </c>
    </row>
    <row r="76" spans="1:2" x14ac:dyDescent="0.25">
      <c r="A76" t="s">
        <v>915</v>
      </c>
      <c r="B76" t="s">
        <v>19276</v>
      </c>
    </row>
    <row r="77" spans="1:2" x14ac:dyDescent="0.25">
      <c r="A77" t="s">
        <v>924</v>
      </c>
      <c r="B77" t="s">
        <v>19291</v>
      </c>
    </row>
    <row r="78" spans="1:2" x14ac:dyDescent="0.25">
      <c r="A78" t="s">
        <v>927</v>
      </c>
      <c r="B78" t="s">
        <v>19296</v>
      </c>
    </row>
    <row r="79" spans="1:2" x14ac:dyDescent="0.25">
      <c r="A79" t="s">
        <v>930</v>
      </c>
      <c r="B79" t="s">
        <v>19301</v>
      </c>
    </row>
    <row r="80" spans="1:2" x14ac:dyDescent="0.25">
      <c r="A80" t="s">
        <v>933</v>
      </c>
      <c r="B80" t="s">
        <v>19306</v>
      </c>
    </row>
    <row r="81" spans="1:2" x14ac:dyDescent="0.25">
      <c r="A81" t="s">
        <v>936</v>
      </c>
      <c r="B81" t="s">
        <v>19310</v>
      </c>
    </row>
    <row r="82" spans="1:2" x14ac:dyDescent="0.25">
      <c r="A82" t="s">
        <v>10038</v>
      </c>
      <c r="B82" t="s">
        <v>30444</v>
      </c>
    </row>
    <row r="83" spans="1:2" x14ac:dyDescent="0.25">
      <c r="A83" t="s">
        <v>5189</v>
      </c>
      <c r="B83" t="s">
        <v>24621</v>
      </c>
    </row>
    <row r="84" spans="1:2" x14ac:dyDescent="0.25">
      <c r="A84" t="s">
        <v>5144</v>
      </c>
      <c r="B84" t="s">
        <v>24556</v>
      </c>
    </row>
    <row r="85" spans="1:2" x14ac:dyDescent="0.25">
      <c r="A85" t="s">
        <v>5201</v>
      </c>
      <c r="B85" t="s">
        <v>24634</v>
      </c>
    </row>
    <row r="86" spans="1:2" x14ac:dyDescent="0.25">
      <c r="A86" t="s">
        <v>5162</v>
      </c>
      <c r="B86" t="s">
        <v>24582</v>
      </c>
    </row>
    <row r="87" spans="1:2" x14ac:dyDescent="0.25">
      <c r="A87" t="s">
        <v>5159</v>
      </c>
      <c r="B87" t="s">
        <v>24578</v>
      </c>
    </row>
    <row r="88" spans="1:2" x14ac:dyDescent="0.25">
      <c r="A88" t="s">
        <v>948</v>
      </c>
      <c r="B88" t="s">
        <v>19325</v>
      </c>
    </row>
    <row r="89" spans="1:2" x14ac:dyDescent="0.25">
      <c r="A89" t="s">
        <v>951</v>
      </c>
      <c r="B89" t="s">
        <v>19329</v>
      </c>
    </row>
    <row r="90" spans="1:2" x14ac:dyDescent="0.25">
      <c r="A90" t="s">
        <v>954</v>
      </c>
      <c r="B90" t="s">
        <v>19332</v>
      </c>
    </row>
    <row r="91" spans="1:2" x14ac:dyDescent="0.25">
      <c r="A91" t="s">
        <v>957</v>
      </c>
      <c r="B91" t="s">
        <v>19336</v>
      </c>
    </row>
    <row r="92" spans="1:2" x14ac:dyDescent="0.25">
      <c r="A92" t="s">
        <v>960</v>
      </c>
      <c r="B92" t="s">
        <v>19339</v>
      </c>
    </row>
    <row r="93" spans="1:2" x14ac:dyDescent="0.25">
      <c r="A93" t="s">
        <v>3787</v>
      </c>
      <c r="B93" t="s">
        <v>22929</v>
      </c>
    </row>
    <row r="94" spans="1:2" x14ac:dyDescent="0.25">
      <c r="A94" t="s">
        <v>942</v>
      </c>
      <c r="B94" t="s">
        <v>19317</v>
      </c>
    </row>
    <row r="95" spans="1:2" x14ac:dyDescent="0.25">
      <c r="A95" t="s">
        <v>945</v>
      </c>
      <c r="B95" t="s">
        <v>19322</v>
      </c>
    </row>
    <row r="96" spans="1:2" x14ac:dyDescent="0.25">
      <c r="A96" t="s">
        <v>963</v>
      </c>
      <c r="B96" t="s">
        <v>19343</v>
      </c>
    </row>
    <row r="97" spans="1:2" x14ac:dyDescent="0.25">
      <c r="A97" t="s">
        <v>966</v>
      </c>
      <c r="B97" t="s">
        <v>19347</v>
      </c>
    </row>
    <row r="98" spans="1:2" x14ac:dyDescent="0.25">
      <c r="A98" t="s">
        <v>939</v>
      </c>
      <c r="B98" t="s">
        <v>19313</v>
      </c>
    </row>
    <row r="99" spans="1:2" x14ac:dyDescent="0.25">
      <c r="A99" t="s">
        <v>969</v>
      </c>
      <c r="B99" t="s">
        <v>19352</v>
      </c>
    </row>
    <row r="100" spans="1:2" x14ac:dyDescent="0.25">
      <c r="A100" t="s">
        <v>972</v>
      </c>
      <c r="B100" t="s">
        <v>19356</v>
      </c>
    </row>
    <row r="101" spans="1:2" x14ac:dyDescent="0.25">
      <c r="A101" t="s">
        <v>918</v>
      </c>
      <c r="B101" t="s">
        <v>19281</v>
      </c>
    </row>
    <row r="102" spans="1:2" x14ac:dyDescent="0.25">
      <c r="A102" t="s">
        <v>975</v>
      </c>
      <c r="B102" t="s">
        <v>19361</v>
      </c>
    </row>
    <row r="103" spans="1:2" x14ac:dyDescent="0.25">
      <c r="A103" t="s">
        <v>978</v>
      </c>
      <c r="B103" t="s">
        <v>19365</v>
      </c>
    </row>
    <row r="104" spans="1:2" x14ac:dyDescent="0.25">
      <c r="A104" t="s">
        <v>1002</v>
      </c>
      <c r="B104" t="s">
        <v>19401</v>
      </c>
    </row>
    <row r="105" spans="1:2" x14ac:dyDescent="0.25">
      <c r="A105" t="s">
        <v>1005</v>
      </c>
      <c r="B105" t="s">
        <v>19406</v>
      </c>
    </row>
    <row r="106" spans="1:2" x14ac:dyDescent="0.25">
      <c r="A106" t="s">
        <v>987</v>
      </c>
      <c r="B106" t="s">
        <v>19380</v>
      </c>
    </row>
    <row r="107" spans="1:2" x14ac:dyDescent="0.25">
      <c r="A107" t="s">
        <v>993</v>
      </c>
      <c r="B107" t="s">
        <v>19388</v>
      </c>
    </row>
    <row r="108" spans="1:2" x14ac:dyDescent="0.25">
      <c r="A108" t="s">
        <v>996</v>
      </c>
      <c r="B108" t="s">
        <v>19393</v>
      </c>
    </row>
    <row r="109" spans="1:2" x14ac:dyDescent="0.25">
      <c r="A109" t="s">
        <v>990</v>
      </c>
      <c r="B109" t="s">
        <v>19385</v>
      </c>
    </row>
    <row r="110" spans="1:2" x14ac:dyDescent="0.25">
      <c r="A110" t="s">
        <v>999</v>
      </c>
      <c r="B110" t="s">
        <v>19397</v>
      </c>
    </row>
    <row r="111" spans="1:2" x14ac:dyDescent="0.25">
      <c r="A111" t="s">
        <v>1053</v>
      </c>
      <c r="B111" t="s">
        <v>19473</v>
      </c>
    </row>
    <row r="112" spans="1:2" x14ac:dyDescent="0.25">
      <c r="A112" t="s">
        <v>1056</v>
      </c>
      <c r="B112" t="s">
        <v>19477</v>
      </c>
    </row>
    <row r="113" spans="1:2" x14ac:dyDescent="0.25">
      <c r="A113" t="s">
        <v>1047</v>
      </c>
      <c r="B113" t="s">
        <v>19463</v>
      </c>
    </row>
    <row r="114" spans="1:2" x14ac:dyDescent="0.25">
      <c r="A114" t="s">
        <v>1014</v>
      </c>
      <c r="B114" t="s">
        <v>19421</v>
      </c>
    </row>
    <row r="115" spans="1:2" x14ac:dyDescent="0.25">
      <c r="A115" t="s">
        <v>5195</v>
      </c>
      <c r="B115" t="s">
        <v>24626</v>
      </c>
    </row>
    <row r="116" spans="1:2" x14ac:dyDescent="0.25">
      <c r="A116" t="s">
        <v>5204</v>
      </c>
      <c r="B116" t="s">
        <v>24638</v>
      </c>
    </row>
    <row r="117" spans="1:2" x14ac:dyDescent="0.25">
      <c r="A117" t="s">
        <v>1020</v>
      </c>
      <c r="B117" t="s">
        <v>19428</v>
      </c>
    </row>
    <row r="118" spans="1:2" x14ac:dyDescent="0.25">
      <c r="A118" t="s">
        <v>1023</v>
      </c>
      <c r="B118" t="s">
        <v>19433</v>
      </c>
    </row>
    <row r="119" spans="1:2" x14ac:dyDescent="0.25">
      <c r="A119" t="s">
        <v>1026</v>
      </c>
      <c r="B119" t="s">
        <v>19437</v>
      </c>
    </row>
    <row r="120" spans="1:2" x14ac:dyDescent="0.25">
      <c r="A120" t="s">
        <v>1029</v>
      </c>
      <c r="B120" t="s">
        <v>19440</v>
      </c>
    </row>
    <row r="121" spans="1:2" x14ac:dyDescent="0.25">
      <c r="A121" t="s">
        <v>1032</v>
      </c>
      <c r="B121" t="s">
        <v>19443</v>
      </c>
    </row>
    <row r="122" spans="1:2" x14ac:dyDescent="0.25">
      <c r="A122" t="s">
        <v>1017</v>
      </c>
      <c r="B122" t="s">
        <v>19425</v>
      </c>
    </row>
    <row r="123" spans="1:2" x14ac:dyDescent="0.25">
      <c r="A123" t="s">
        <v>1035</v>
      </c>
      <c r="B123" t="s">
        <v>19447</v>
      </c>
    </row>
    <row r="124" spans="1:2" x14ac:dyDescent="0.25">
      <c r="A124" t="s">
        <v>1038</v>
      </c>
      <c r="B124" t="s">
        <v>19452</v>
      </c>
    </row>
    <row r="125" spans="1:2" x14ac:dyDescent="0.25">
      <c r="A125" t="s">
        <v>1050</v>
      </c>
      <c r="B125" t="s">
        <v>19468</v>
      </c>
    </row>
    <row r="126" spans="1:2" x14ac:dyDescent="0.25">
      <c r="A126" t="s">
        <v>1041</v>
      </c>
      <c r="B126" t="s">
        <v>19456</v>
      </c>
    </row>
    <row r="127" spans="1:2" x14ac:dyDescent="0.25">
      <c r="A127" t="s">
        <v>1044</v>
      </c>
      <c r="B127" t="s">
        <v>19459</v>
      </c>
    </row>
    <row r="128" spans="1:2" x14ac:dyDescent="0.25">
      <c r="A128" t="s">
        <v>1008</v>
      </c>
      <c r="B128" t="s">
        <v>19411</v>
      </c>
    </row>
    <row r="129" spans="1:2" x14ac:dyDescent="0.25">
      <c r="A129" t="s">
        <v>1059</v>
      </c>
      <c r="B129" t="s">
        <v>19482</v>
      </c>
    </row>
    <row r="130" spans="1:2" x14ac:dyDescent="0.25">
      <c r="A130" t="s">
        <v>1062</v>
      </c>
      <c r="B130" t="s">
        <v>19485</v>
      </c>
    </row>
    <row r="131" spans="1:2" x14ac:dyDescent="0.25">
      <c r="A131" t="s">
        <v>1065</v>
      </c>
      <c r="B131" t="s">
        <v>19490</v>
      </c>
    </row>
    <row r="132" spans="1:2" x14ac:dyDescent="0.25">
      <c r="A132" t="s">
        <v>1071</v>
      </c>
      <c r="B132" t="s">
        <v>19500</v>
      </c>
    </row>
    <row r="133" spans="1:2" x14ac:dyDescent="0.25">
      <c r="A133" t="s">
        <v>1068</v>
      </c>
      <c r="B133" t="s">
        <v>19495</v>
      </c>
    </row>
    <row r="134" spans="1:2" x14ac:dyDescent="0.25">
      <c r="A134" t="s">
        <v>1119</v>
      </c>
      <c r="B134" t="s">
        <v>19565</v>
      </c>
    </row>
    <row r="135" spans="1:2" x14ac:dyDescent="0.25">
      <c r="A135" t="s">
        <v>1077</v>
      </c>
      <c r="B135" t="s">
        <v>19510</v>
      </c>
    </row>
    <row r="136" spans="1:2" x14ac:dyDescent="0.25">
      <c r="A136" t="s">
        <v>1080</v>
      </c>
      <c r="B136" t="s">
        <v>19514</v>
      </c>
    </row>
    <row r="137" spans="1:2" x14ac:dyDescent="0.25">
      <c r="A137" t="s">
        <v>1098</v>
      </c>
      <c r="B137" t="s">
        <v>19539</v>
      </c>
    </row>
    <row r="138" spans="1:2" x14ac:dyDescent="0.25">
      <c r="A138" t="s">
        <v>1101</v>
      </c>
      <c r="B138" t="s">
        <v>19543</v>
      </c>
    </row>
    <row r="139" spans="1:2" x14ac:dyDescent="0.25">
      <c r="A139" t="s">
        <v>1104</v>
      </c>
      <c r="B139" t="s">
        <v>19548</v>
      </c>
    </row>
    <row r="140" spans="1:2" x14ac:dyDescent="0.25">
      <c r="A140" t="s">
        <v>1107</v>
      </c>
      <c r="B140" t="s">
        <v>19551</v>
      </c>
    </row>
    <row r="141" spans="1:2" x14ac:dyDescent="0.25">
      <c r="A141" t="s">
        <v>1092</v>
      </c>
      <c r="B141" t="s">
        <v>19532</v>
      </c>
    </row>
    <row r="142" spans="1:2" x14ac:dyDescent="0.25">
      <c r="A142" t="s">
        <v>1095</v>
      </c>
      <c r="B142" t="s">
        <v>19536</v>
      </c>
    </row>
    <row r="143" spans="1:2" x14ac:dyDescent="0.25">
      <c r="A143" t="s">
        <v>1110</v>
      </c>
      <c r="B143" t="s">
        <v>19555</v>
      </c>
    </row>
    <row r="144" spans="1:2" x14ac:dyDescent="0.25">
      <c r="A144" t="s">
        <v>1122</v>
      </c>
      <c r="B144" t="s">
        <v>19569</v>
      </c>
    </row>
    <row r="145" spans="1:2" x14ac:dyDescent="0.25">
      <c r="A145" t="s">
        <v>1083</v>
      </c>
      <c r="B145" t="s">
        <v>19518</v>
      </c>
    </row>
    <row r="146" spans="1:2" x14ac:dyDescent="0.25">
      <c r="A146" t="s">
        <v>1086</v>
      </c>
      <c r="B146" t="s">
        <v>19523</v>
      </c>
    </row>
    <row r="147" spans="1:2" x14ac:dyDescent="0.25">
      <c r="A147" t="s">
        <v>1089</v>
      </c>
      <c r="B147" t="s">
        <v>19527</v>
      </c>
    </row>
    <row r="148" spans="1:2" x14ac:dyDescent="0.25">
      <c r="A148" t="s">
        <v>1113</v>
      </c>
      <c r="B148" t="s">
        <v>19559</v>
      </c>
    </row>
    <row r="149" spans="1:2" x14ac:dyDescent="0.25">
      <c r="A149" t="s">
        <v>1116</v>
      </c>
      <c r="B149" t="s">
        <v>19562</v>
      </c>
    </row>
    <row r="150" spans="1:2" x14ac:dyDescent="0.25">
      <c r="A150" t="s">
        <v>1131</v>
      </c>
      <c r="B150" t="s">
        <v>19583</v>
      </c>
    </row>
    <row r="151" spans="1:2" x14ac:dyDescent="0.25">
      <c r="A151" t="s">
        <v>1134</v>
      </c>
      <c r="B151" t="s">
        <v>19586</v>
      </c>
    </row>
    <row r="152" spans="1:2" x14ac:dyDescent="0.25">
      <c r="A152" t="s">
        <v>1137</v>
      </c>
      <c r="B152" t="s">
        <v>19590</v>
      </c>
    </row>
    <row r="153" spans="1:2" x14ac:dyDescent="0.25">
      <c r="A153" t="s">
        <v>1140</v>
      </c>
      <c r="B153" t="s">
        <v>19595</v>
      </c>
    </row>
    <row r="154" spans="1:2" x14ac:dyDescent="0.25">
      <c r="A154" t="s">
        <v>1149</v>
      </c>
      <c r="B154" t="s">
        <v>19606</v>
      </c>
    </row>
    <row r="155" spans="1:2" x14ac:dyDescent="0.25">
      <c r="A155" t="s">
        <v>1152</v>
      </c>
      <c r="B155" t="s">
        <v>1152</v>
      </c>
    </row>
    <row r="156" spans="1:2" x14ac:dyDescent="0.25">
      <c r="A156" t="s">
        <v>813</v>
      </c>
      <c r="B156" t="s">
        <v>813</v>
      </c>
    </row>
    <row r="157" spans="1:2" x14ac:dyDescent="0.25">
      <c r="A157" t="s">
        <v>834</v>
      </c>
      <c r="B157" t="s">
        <v>19163</v>
      </c>
    </row>
    <row r="158" spans="1:2" x14ac:dyDescent="0.25">
      <c r="A158" t="s">
        <v>858</v>
      </c>
      <c r="B158" t="s">
        <v>858</v>
      </c>
    </row>
    <row r="159" spans="1:2" x14ac:dyDescent="0.25">
      <c r="A159" t="s">
        <v>10798</v>
      </c>
      <c r="B159" t="s">
        <v>31466</v>
      </c>
    </row>
    <row r="160" spans="1:2" x14ac:dyDescent="0.25">
      <c r="A160" t="s">
        <v>1143</v>
      </c>
      <c r="B160" t="s">
        <v>1143</v>
      </c>
    </row>
    <row r="161" spans="1:2" x14ac:dyDescent="0.25">
      <c r="A161" t="s">
        <v>1146</v>
      </c>
      <c r="B161" t="s">
        <v>1146</v>
      </c>
    </row>
    <row r="162" spans="1:2" x14ac:dyDescent="0.25">
      <c r="A162" t="s">
        <v>1155</v>
      </c>
      <c r="B162" t="s">
        <v>19615</v>
      </c>
    </row>
    <row r="163" spans="1:2" x14ac:dyDescent="0.25">
      <c r="A163" t="s">
        <v>1164</v>
      </c>
      <c r="B163" t="s">
        <v>19630</v>
      </c>
    </row>
    <row r="164" spans="1:2" x14ac:dyDescent="0.25">
      <c r="A164" t="s">
        <v>1158</v>
      </c>
      <c r="B164" t="s">
        <v>19620</v>
      </c>
    </row>
    <row r="165" spans="1:2" x14ac:dyDescent="0.25">
      <c r="A165" t="s">
        <v>1170</v>
      </c>
      <c r="B165" t="s">
        <v>19640</v>
      </c>
    </row>
    <row r="166" spans="1:2" x14ac:dyDescent="0.25">
      <c r="A166" t="s">
        <v>1167</v>
      </c>
      <c r="B166" t="s">
        <v>19635</v>
      </c>
    </row>
    <row r="167" spans="1:2" x14ac:dyDescent="0.25">
      <c r="A167" t="s">
        <v>1161</v>
      </c>
      <c r="B167" t="s">
        <v>19625</v>
      </c>
    </row>
    <row r="168" spans="1:2" x14ac:dyDescent="0.25">
      <c r="A168" t="s">
        <v>3040</v>
      </c>
      <c r="B168" t="s">
        <v>22004</v>
      </c>
    </row>
    <row r="169" spans="1:2" x14ac:dyDescent="0.25">
      <c r="A169" t="s">
        <v>1233</v>
      </c>
      <c r="B169" t="s">
        <v>19731</v>
      </c>
    </row>
    <row r="170" spans="1:2" x14ac:dyDescent="0.25">
      <c r="A170" t="s">
        <v>5153</v>
      </c>
      <c r="B170" t="s">
        <v>24569</v>
      </c>
    </row>
    <row r="171" spans="1:2" x14ac:dyDescent="0.25">
      <c r="A171" t="s">
        <v>5171</v>
      </c>
      <c r="B171" t="s">
        <v>24594</v>
      </c>
    </row>
    <row r="172" spans="1:2" x14ac:dyDescent="0.25">
      <c r="A172" t="s">
        <v>3778</v>
      </c>
      <c r="B172" t="s">
        <v>22914</v>
      </c>
    </row>
    <row r="173" spans="1:2" x14ac:dyDescent="0.25">
      <c r="A173" t="s">
        <v>1272</v>
      </c>
      <c r="B173" t="s">
        <v>19788</v>
      </c>
    </row>
    <row r="174" spans="1:2" x14ac:dyDescent="0.25">
      <c r="A174" t="s">
        <v>1275</v>
      </c>
      <c r="B174" t="s">
        <v>19792</v>
      </c>
    </row>
    <row r="175" spans="1:2" x14ac:dyDescent="0.25">
      <c r="A175" t="s">
        <v>1278</v>
      </c>
      <c r="B175" t="s">
        <v>19796</v>
      </c>
    </row>
    <row r="176" spans="1:2" x14ac:dyDescent="0.25">
      <c r="A176" t="s">
        <v>1281</v>
      </c>
      <c r="B176" t="s">
        <v>19799</v>
      </c>
    </row>
    <row r="177" spans="1:2" x14ac:dyDescent="0.25">
      <c r="A177" t="s">
        <v>1290</v>
      </c>
      <c r="B177" t="s">
        <v>19811</v>
      </c>
    </row>
    <row r="178" spans="1:2" x14ac:dyDescent="0.25">
      <c r="A178" t="s">
        <v>1284</v>
      </c>
      <c r="B178" t="s">
        <v>19802</v>
      </c>
    </row>
    <row r="179" spans="1:2" x14ac:dyDescent="0.25">
      <c r="A179" t="s">
        <v>1293</v>
      </c>
      <c r="B179" t="s">
        <v>19815</v>
      </c>
    </row>
    <row r="180" spans="1:2" x14ac:dyDescent="0.25">
      <c r="A180" t="s">
        <v>1287</v>
      </c>
      <c r="B180" t="s">
        <v>19807</v>
      </c>
    </row>
    <row r="181" spans="1:2" x14ac:dyDescent="0.25">
      <c r="A181" t="s">
        <v>1176</v>
      </c>
      <c r="B181" t="s">
        <v>1176</v>
      </c>
    </row>
    <row r="182" spans="1:2" x14ac:dyDescent="0.25">
      <c r="A182" t="s">
        <v>1173</v>
      </c>
      <c r="B182" t="s">
        <v>19645</v>
      </c>
    </row>
    <row r="183" spans="1:2" x14ac:dyDescent="0.25">
      <c r="A183" t="s">
        <v>1203</v>
      </c>
      <c r="B183" t="s">
        <v>1203</v>
      </c>
    </row>
    <row r="184" spans="1:2" x14ac:dyDescent="0.25">
      <c r="A184" t="s">
        <v>1206</v>
      </c>
      <c r="B184" t="s">
        <v>1206</v>
      </c>
    </row>
    <row r="185" spans="1:2" x14ac:dyDescent="0.25">
      <c r="A185" t="s">
        <v>1215</v>
      </c>
      <c r="B185" t="s">
        <v>19704</v>
      </c>
    </row>
    <row r="186" spans="1:2" x14ac:dyDescent="0.25">
      <c r="A186" t="s">
        <v>1296</v>
      </c>
      <c r="B186" t="s">
        <v>19819</v>
      </c>
    </row>
    <row r="187" spans="1:2" x14ac:dyDescent="0.25">
      <c r="A187" t="s">
        <v>1299</v>
      </c>
      <c r="B187" t="s">
        <v>19824</v>
      </c>
    </row>
    <row r="188" spans="1:2" x14ac:dyDescent="0.25">
      <c r="A188" t="s">
        <v>5088</v>
      </c>
      <c r="B188" t="s">
        <v>24481</v>
      </c>
    </row>
    <row r="189" spans="1:2" x14ac:dyDescent="0.25">
      <c r="A189" t="s">
        <v>5091</v>
      </c>
      <c r="B189" t="s">
        <v>24486</v>
      </c>
    </row>
    <row r="190" spans="1:2" x14ac:dyDescent="0.25">
      <c r="A190" t="s">
        <v>5094</v>
      </c>
      <c r="B190" t="s">
        <v>24491</v>
      </c>
    </row>
    <row r="191" spans="1:2" x14ac:dyDescent="0.25">
      <c r="A191" t="s">
        <v>1323</v>
      </c>
      <c r="B191" t="s">
        <v>19862</v>
      </c>
    </row>
    <row r="192" spans="1:2" x14ac:dyDescent="0.25">
      <c r="A192" t="s">
        <v>1251</v>
      </c>
      <c r="B192" t="s">
        <v>1251</v>
      </c>
    </row>
    <row r="193" spans="1:2" x14ac:dyDescent="0.25">
      <c r="A193" t="s">
        <v>1254</v>
      </c>
      <c r="B193" t="s">
        <v>19760</v>
      </c>
    </row>
    <row r="194" spans="1:2" x14ac:dyDescent="0.25">
      <c r="A194" t="s">
        <v>1257</v>
      </c>
      <c r="B194" t="s">
        <v>19765</v>
      </c>
    </row>
    <row r="195" spans="1:2" x14ac:dyDescent="0.25">
      <c r="A195" t="s">
        <v>1182</v>
      </c>
      <c r="B195" t="s">
        <v>1182</v>
      </c>
    </row>
    <row r="196" spans="1:2" x14ac:dyDescent="0.25">
      <c r="A196" t="s">
        <v>1179</v>
      </c>
      <c r="B196" t="s">
        <v>19654</v>
      </c>
    </row>
    <row r="197" spans="1:2" x14ac:dyDescent="0.25">
      <c r="A197" t="s">
        <v>1248</v>
      </c>
      <c r="B197" t="s">
        <v>1248</v>
      </c>
    </row>
    <row r="198" spans="1:2" x14ac:dyDescent="0.25">
      <c r="A198" t="s">
        <v>5224</v>
      </c>
      <c r="B198" t="s">
        <v>24663</v>
      </c>
    </row>
    <row r="199" spans="1:2" x14ac:dyDescent="0.25">
      <c r="A199" t="s">
        <v>1305</v>
      </c>
      <c r="B199" t="s">
        <v>19834</v>
      </c>
    </row>
    <row r="200" spans="1:2" x14ac:dyDescent="0.25">
      <c r="A200" t="s">
        <v>1308</v>
      </c>
      <c r="B200" t="s">
        <v>19839</v>
      </c>
    </row>
    <row r="201" spans="1:2" x14ac:dyDescent="0.25">
      <c r="A201" t="s">
        <v>1335</v>
      </c>
      <c r="B201" t="s">
        <v>19880</v>
      </c>
    </row>
    <row r="202" spans="1:2" x14ac:dyDescent="0.25">
      <c r="A202" t="s">
        <v>1332</v>
      </c>
      <c r="B202" t="s">
        <v>19875</v>
      </c>
    </row>
    <row r="203" spans="1:2" x14ac:dyDescent="0.25">
      <c r="A203" t="s">
        <v>1326</v>
      </c>
      <c r="B203" t="s">
        <v>19867</v>
      </c>
    </row>
    <row r="204" spans="1:2" x14ac:dyDescent="0.25">
      <c r="A204" t="s">
        <v>1329</v>
      </c>
      <c r="B204" t="s">
        <v>19871</v>
      </c>
    </row>
    <row r="205" spans="1:2" x14ac:dyDescent="0.25">
      <c r="A205" t="s">
        <v>1185</v>
      </c>
      <c r="B205" t="s">
        <v>1185</v>
      </c>
    </row>
    <row r="206" spans="1:2" x14ac:dyDescent="0.25">
      <c r="A206" t="s">
        <v>1188</v>
      </c>
      <c r="B206" t="s">
        <v>19666</v>
      </c>
    </row>
    <row r="207" spans="1:2" x14ac:dyDescent="0.25">
      <c r="A207" t="s">
        <v>1191</v>
      </c>
      <c r="B207" t="s">
        <v>19670</v>
      </c>
    </row>
    <row r="208" spans="1:2" x14ac:dyDescent="0.25">
      <c r="A208" t="s">
        <v>1194</v>
      </c>
      <c r="B208" t="s">
        <v>19673</v>
      </c>
    </row>
    <row r="209" spans="1:2" x14ac:dyDescent="0.25">
      <c r="A209" t="s">
        <v>1197</v>
      </c>
      <c r="B209" t="s">
        <v>19678</v>
      </c>
    </row>
    <row r="210" spans="1:2" x14ac:dyDescent="0.25">
      <c r="A210" t="s">
        <v>1200</v>
      </c>
      <c r="B210" t="s">
        <v>19683</v>
      </c>
    </row>
    <row r="211" spans="1:2" x14ac:dyDescent="0.25">
      <c r="A211" t="s">
        <v>1317</v>
      </c>
      <c r="B211" t="s">
        <v>19852</v>
      </c>
    </row>
    <row r="212" spans="1:2" x14ac:dyDescent="0.25">
      <c r="A212" t="s">
        <v>1320</v>
      </c>
      <c r="B212" t="s">
        <v>19857</v>
      </c>
    </row>
    <row r="213" spans="1:2" x14ac:dyDescent="0.25">
      <c r="A213" t="s">
        <v>1311</v>
      </c>
      <c r="B213" t="s">
        <v>19844</v>
      </c>
    </row>
    <row r="214" spans="1:2" x14ac:dyDescent="0.25">
      <c r="A214" t="s">
        <v>1314</v>
      </c>
      <c r="B214" t="s">
        <v>19848</v>
      </c>
    </row>
    <row r="215" spans="1:2" x14ac:dyDescent="0.25">
      <c r="A215" t="s">
        <v>1269</v>
      </c>
      <c r="B215" t="s">
        <v>1269</v>
      </c>
    </row>
    <row r="216" spans="1:2" x14ac:dyDescent="0.25">
      <c r="A216" t="s">
        <v>1266</v>
      </c>
      <c r="B216" t="s">
        <v>19779</v>
      </c>
    </row>
    <row r="217" spans="1:2" x14ac:dyDescent="0.25">
      <c r="A217" t="s">
        <v>1263</v>
      </c>
      <c r="B217" t="s">
        <v>1263</v>
      </c>
    </row>
    <row r="218" spans="1:2" x14ac:dyDescent="0.25">
      <c r="A218" t="s">
        <v>1260</v>
      </c>
      <c r="B218" t="s">
        <v>19770</v>
      </c>
    </row>
    <row r="219" spans="1:2" x14ac:dyDescent="0.25">
      <c r="A219" t="s">
        <v>1242</v>
      </c>
      <c r="B219" t="s">
        <v>19744</v>
      </c>
    </row>
    <row r="220" spans="1:2" x14ac:dyDescent="0.25">
      <c r="A220" t="s">
        <v>1218</v>
      </c>
      <c r="B220" t="s">
        <v>19708</v>
      </c>
    </row>
    <row r="221" spans="1:2" x14ac:dyDescent="0.25">
      <c r="A221" t="s">
        <v>1224</v>
      </c>
      <c r="B221" t="s">
        <v>19718</v>
      </c>
    </row>
    <row r="222" spans="1:2" x14ac:dyDescent="0.25">
      <c r="A222" t="s">
        <v>1221</v>
      </c>
      <c r="B222" t="s">
        <v>19713</v>
      </c>
    </row>
    <row r="223" spans="1:2" x14ac:dyDescent="0.25">
      <c r="A223" t="s">
        <v>1227</v>
      </c>
      <c r="B223" t="s">
        <v>19723</v>
      </c>
    </row>
    <row r="224" spans="1:2" x14ac:dyDescent="0.25">
      <c r="A224" t="s">
        <v>1341</v>
      </c>
      <c r="B224" t="s">
        <v>19890</v>
      </c>
    </row>
    <row r="225" spans="1:2" x14ac:dyDescent="0.25">
      <c r="A225" t="s">
        <v>1344</v>
      </c>
      <c r="B225" t="s">
        <v>19895</v>
      </c>
    </row>
    <row r="226" spans="1:2" x14ac:dyDescent="0.25">
      <c r="A226" t="s">
        <v>1347</v>
      </c>
      <c r="B226" t="s">
        <v>19900</v>
      </c>
    </row>
    <row r="227" spans="1:2" x14ac:dyDescent="0.25">
      <c r="A227" t="s">
        <v>1371</v>
      </c>
      <c r="B227" t="s">
        <v>19937</v>
      </c>
    </row>
    <row r="228" spans="1:2" x14ac:dyDescent="0.25">
      <c r="A228" t="s">
        <v>1368</v>
      </c>
      <c r="B228" t="s">
        <v>19932</v>
      </c>
    </row>
    <row r="229" spans="1:2" x14ac:dyDescent="0.25">
      <c r="A229" t="s">
        <v>1365</v>
      </c>
      <c r="B229" t="s">
        <v>19928</v>
      </c>
    </row>
    <row r="230" spans="1:2" x14ac:dyDescent="0.25">
      <c r="A230" t="s">
        <v>1701</v>
      </c>
      <c r="B230" t="s">
        <v>20370</v>
      </c>
    </row>
    <row r="231" spans="1:2" x14ac:dyDescent="0.25">
      <c r="A231" t="s">
        <v>1773</v>
      </c>
      <c r="B231" t="s">
        <v>20453</v>
      </c>
    </row>
    <row r="232" spans="1:2" x14ac:dyDescent="0.25">
      <c r="A232" t="s">
        <v>2157</v>
      </c>
      <c r="B232" t="s">
        <v>20970</v>
      </c>
    </row>
    <row r="233" spans="1:2" x14ac:dyDescent="0.25">
      <c r="A233" t="s">
        <v>2085</v>
      </c>
      <c r="B233" t="s">
        <v>20863</v>
      </c>
    </row>
    <row r="234" spans="1:2" x14ac:dyDescent="0.25">
      <c r="A234" t="s">
        <v>2130</v>
      </c>
      <c r="B234" t="s">
        <v>20929</v>
      </c>
    </row>
    <row r="235" spans="1:2" x14ac:dyDescent="0.25">
      <c r="A235" t="s">
        <v>7528</v>
      </c>
      <c r="B235" t="s">
        <v>27187</v>
      </c>
    </row>
    <row r="236" spans="1:2" x14ac:dyDescent="0.25">
      <c r="A236" t="s">
        <v>6506</v>
      </c>
      <c r="B236" t="s">
        <v>25932</v>
      </c>
    </row>
    <row r="237" spans="1:2" x14ac:dyDescent="0.25">
      <c r="A237" t="s">
        <v>6539</v>
      </c>
      <c r="B237" t="s">
        <v>25982</v>
      </c>
    </row>
    <row r="238" spans="1:2" x14ac:dyDescent="0.25">
      <c r="A238" t="s">
        <v>6746</v>
      </c>
      <c r="B238" t="s">
        <v>26268</v>
      </c>
    </row>
    <row r="239" spans="1:2" x14ac:dyDescent="0.25">
      <c r="A239" t="s">
        <v>6740</v>
      </c>
      <c r="B239" t="s">
        <v>26259</v>
      </c>
    </row>
    <row r="240" spans="1:2" x14ac:dyDescent="0.25">
      <c r="A240" t="s">
        <v>6713</v>
      </c>
      <c r="B240" t="s">
        <v>26222</v>
      </c>
    </row>
    <row r="241" spans="1:2" x14ac:dyDescent="0.25">
      <c r="A241" t="s">
        <v>6743</v>
      </c>
      <c r="B241" t="s">
        <v>26264</v>
      </c>
    </row>
    <row r="242" spans="1:2" x14ac:dyDescent="0.25">
      <c r="A242" t="s">
        <v>6719</v>
      </c>
      <c r="B242" t="s">
        <v>26231</v>
      </c>
    </row>
    <row r="243" spans="1:2" x14ac:dyDescent="0.25">
      <c r="A243" t="s">
        <v>6716</v>
      </c>
      <c r="B243" t="s">
        <v>26227</v>
      </c>
    </row>
    <row r="244" spans="1:2" x14ac:dyDescent="0.25">
      <c r="A244" t="s">
        <v>6668</v>
      </c>
      <c r="B244" t="s">
        <v>26161</v>
      </c>
    </row>
    <row r="245" spans="1:2" x14ac:dyDescent="0.25">
      <c r="A245" t="s">
        <v>6671</v>
      </c>
      <c r="B245" t="s">
        <v>26166</v>
      </c>
    </row>
    <row r="246" spans="1:2" x14ac:dyDescent="0.25">
      <c r="A246" t="s">
        <v>6608</v>
      </c>
      <c r="B246" t="s">
        <v>26079</v>
      </c>
    </row>
    <row r="247" spans="1:2" x14ac:dyDescent="0.25">
      <c r="A247" t="s">
        <v>6674</v>
      </c>
      <c r="B247" t="s">
        <v>26170</v>
      </c>
    </row>
    <row r="248" spans="1:2" x14ac:dyDescent="0.25">
      <c r="A248" t="s">
        <v>6722</v>
      </c>
      <c r="B248" t="s">
        <v>26235</v>
      </c>
    </row>
    <row r="249" spans="1:2" x14ac:dyDescent="0.25">
      <c r="A249" t="s">
        <v>6731</v>
      </c>
      <c r="B249" t="s">
        <v>26247</v>
      </c>
    </row>
    <row r="250" spans="1:2" x14ac:dyDescent="0.25">
      <c r="A250" t="s">
        <v>6677</v>
      </c>
      <c r="B250" t="s">
        <v>26174</v>
      </c>
    </row>
    <row r="251" spans="1:2" x14ac:dyDescent="0.25">
      <c r="A251" t="s">
        <v>6680</v>
      </c>
      <c r="B251" t="s">
        <v>26178</v>
      </c>
    </row>
    <row r="252" spans="1:2" x14ac:dyDescent="0.25">
      <c r="A252" t="s">
        <v>6686</v>
      </c>
      <c r="B252" t="s">
        <v>26186</v>
      </c>
    </row>
    <row r="253" spans="1:2" x14ac:dyDescent="0.25">
      <c r="A253" t="s">
        <v>6611</v>
      </c>
      <c r="B253" t="s">
        <v>26084</v>
      </c>
    </row>
    <row r="254" spans="1:2" x14ac:dyDescent="0.25">
      <c r="A254" t="s">
        <v>6683</v>
      </c>
      <c r="B254" t="s">
        <v>26182</v>
      </c>
    </row>
    <row r="255" spans="1:2" x14ac:dyDescent="0.25">
      <c r="A255" t="s">
        <v>6614</v>
      </c>
      <c r="B255" t="s">
        <v>26088</v>
      </c>
    </row>
    <row r="256" spans="1:2" x14ac:dyDescent="0.25">
      <c r="A256" t="s">
        <v>6734</v>
      </c>
      <c r="B256" t="s">
        <v>26251</v>
      </c>
    </row>
    <row r="257" spans="1:2" x14ac:dyDescent="0.25">
      <c r="A257" t="s">
        <v>6689</v>
      </c>
      <c r="B257" t="s">
        <v>26190</v>
      </c>
    </row>
    <row r="258" spans="1:2" x14ac:dyDescent="0.25">
      <c r="A258" t="s">
        <v>6695</v>
      </c>
      <c r="B258" t="s">
        <v>26198</v>
      </c>
    </row>
    <row r="259" spans="1:2" x14ac:dyDescent="0.25">
      <c r="A259" t="s">
        <v>6737</v>
      </c>
      <c r="B259" t="s">
        <v>26255</v>
      </c>
    </row>
    <row r="260" spans="1:2" x14ac:dyDescent="0.25">
      <c r="A260" t="s">
        <v>6533</v>
      </c>
      <c r="B260" t="s">
        <v>25973</v>
      </c>
    </row>
    <row r="261" spans="1:2" x14ac:dyDescent="0.25">
      <c r="A261" t="s">
        <v>6698</v>
      </c>
      <c r="B261" t="s">
        <v>26202</v>
      </c>
    </row>
    <row r="262" spans="1:2" x14ac:dyDescent="0.25">
      <c r="A262" t="s">
        <v>6521</v>
      </c>
      <c r="B262" t="s">
        <v>25955</v>
      </c>
    </row>
    <row r="263" spans="1:2" x14ac:dyDescent="0.25">
      <c r="A263" t="s">
        <v>6620</v>
      </c>
      <c r="B263" t="s">
        <v>26096</v>
      </c>
    </row>
    <row r="264" spans="1:2" x14ac:dyDescent="0.25">
      <c r="A264" t="s">
        <v>6617</v>
      </c>
      <c r="B264" t="s">
        <v>26092</v>
      </c>
    </row>
    <row r="265" spans="1:2" x14ac:dyDescent="0.25">
      <c r="A265" t="s">
        <v>6566</v>
      </c>
      <c r="B265" t="s">
        <v>26020</v>
      </c>
    </row>
    <row r="266" spans="1:2" x14ac:dyDescent="0.25">
      <c r="A266" t="s">
        <v>6809</v>
      </c>
      <c r="B266" t="s">
        <v>26354</v>
      </c>
    </row>
    <row r="267" spans="1:2" x14ac:dyDescent="0.25">
      <c r="A267" t="s">
        <v>6701</v>
      </c>
      <c r="B267" t="s">
        <v>26206</v>
      </c>
    </row>
    <row r="268" spans="1:2" x14ac:dyDescent="0.25">
      <c r="A268" t="s">
        <v>6704</v>
      </c>
      <c r="B268" t="s">
        <v>26210</v>
      </c>
    </row>
    <row r="269" spans="1:2" x14ac:dyDescent="0.25">
      <c r="A269" t="s">
        <v>6626</v>
      </c>
      <c r="B269" t="s">
        <v>26104</v>
      </c>
    </row>
    <row r="270" spans="1:2" x14ac:dyDescent="0.25">
      <c r="A270" t="s">
        <v>6632</v>
      </c>
      <c r="B270" t="s">
        <v>26112</v>
      </c>
    </row>
    <row r="271" spans="1:2" x14ac:dyDescent="0.25">
      <c r="A271" t="s">
        <v>6812</v>
      </c>
      <c r="B271" t="s">
        <v>26358</v>
      </c>
    </row>
    <row r="272" spans="1:2" x14ac:dyDescent="0.25">
      <c r="A272" t="s">
        <v>6821</v>
      </c>
      <c r="B272" t="s">
        <v>26370</v>
      </c>
    </row>
    <row r="273" spans="1:2" x14ac:dyDescent="0.25">
      <c r="A273" t="s">
        <v>6629</v>
      </c>
      <c r="B273" t="s">
        <v>26108</v>
      </c>
    </row>
    <row r="274" spans="1:2" x14ac:dyDescent="0.25">
      <c r="A274" t="s">
        <v>6635</v>
      </c>
      <c r="B274" t="s">
        <v>26116</v>
      </c>
    </row>
    <row r="275" spans="1:2" x14ac:dyDescent="0.25">
      <c r="A275" t="s">
        <v>6815</v>
      </c>
      <c r="B275" t="s">
        <v>26362</v>
      </c>
    </row>
    <row r="276" spans="1:2" x14ac:dyDescent="0.25">
      <c r="A276" t="s">
        <v>6818</v>
      </c>
      <c r="B276" t="s">
        <v>26366</v>
      </c>
    </row>
    <row r="277" spans="1:2" x14ac:dyDescent="0.25">
      <c r="A277" t="s">
        <v>6764</v>
      </c>
      <c r="B277" t="s">
        <v>26293</v>
      </c>
    </row>
    <row r="278" spans="1:2" x14ac:dyDescent="0.25">
      <c r="A278" t="s">
        <v>6524</v>
      </c>
      <c r="B278" t="s">
        <v>25960</v>
      </c>
    </row>
    <row r="279" spans="1:2" x14ac:dyDescent="0.25">
      <c r="A279" t="s">
        <v>6638</v>
      </c>
      <c r="B279" t="s">
        <v>26120</v>
      </c>
    </row>
    <row r="280" spans="1:2" x14ac:dyDescent="0.25">
      <c r="A280" t="s">
        <v>6527</v>
      </c>
      <c r="B280" t="s">
        <v>25964</v>
      </c>
    </row>
    <row r="281" spans="1:2" x14ac:dyDescent="0.25">
      <c r="A281" t="s">
        <v>6569</v>
      </c>
      <c r="B281" t="s">
        <v>26024</v>
      </c>
    </row>
    <row r="282" spans="1:2" x14ac:dyDescent="0.25">
      <c r="A282" t="s">
        <v>6824</v>
      </c>
      <c r="B282" t="s">
        <v>26374</v>
      </c>
    </row>
    <row r="283" spans="1:2" x14ac:dyDescent="0.25">
      <c r="A283" t="s">
        <v>6641</v>
      </c>
      <c r="B283" t="s">
        <v>26124</v>
      </c>
    </row>
    <row r="284" spans="1:2" x14ac:dyDescent="0.25">
      <c r="A284" t="s">
        <v>6515</v>
      </c>
      <c r="B284" t="s">
        <v>25946</v>
      </c>
    </row>
    <row r="285" spans="1:2" x14ac:dyDescent="0.25">
      <c r="A285" t="s">
        <v>6512</v>
      </c>
      <c r="B285" t="s">
        <v>25942</v>
      </c>
    </row>
    <row r="286" spans="1:2" x14ac:dyDescent="0.25">
      <c r="A286" t="s">
        <v>6545</v>
      </c>
      <c r="B286" t="s">
        <v>25991</v>
      </c>
    </row>
    <row r="287" spans="1:2" x14ac:dyDescent="0.25">
      <c r="A287" t="s">
        <v>6767</v>
      </c>
      <c r="B287" t="s">
        <v>26298</v>
      </c>
    </row>
    <row r="288" spans="1:2" x14ac:dyDescent="0.25">
      <c r="A288" t="s">
        <v>6497</v>
      </c>
      <c r="B288" t="s">
        <v>25918</v>
      </c>
    </row>
    <row r="289" spans="1:2" x14ac:dyDescent="0.25">
      <c r="A289" t="s">
        <v>6581</v>
      </c>
      <c r="B289" t="s">
        <v>26042</v>
      </c>
    </row>
    <row r="290" spans="1:2" x14ac:dyDescent="0.25">
      <c r="A290" t="s">
        <v>6509</v>
      </c>
      <c r="B290" t="s">
        <v>25937</v>
      </c>
    </row>
    <row r="291" spans="1:2" x14ac:dyDescent="0.25">
      <c r="A291" t="s">
        <v>6548</v>
      </c>
      <c r="B291" t="s">
        <v>25996</v>
      </c>
    </row>
    <row r="292" spans="1:2" x14ac:dyDescent="0.25">
      <c r="A292" t="s">
        <v>6770</v>
      </c>
      <c r="B292" t="s">
        <v>26302</v>
      </c>
    </row>
    <row r="293" spans="1:2" x14ac:dyDescent="0.25">
      <c r="A293" t="s">
        <v>6584</v>
      </c>
      <c r="B293" t="s">
        <v>26047</v>
      </c>
    </row>
    <row r="294" spans="1:2" x14ac:dyDescent="0.25">
      <c r="A294" t="s">
        <v>6551</v>
      </c>
      <c r="B294" t="s">
        <v>26000</v>
      </c>
    </row>
    <row r="295" spans="1:2" x14ac:dyDescent="0.25">
      <c r="A295" t="s">
        <v>6773</v>
      </c>
      <c r="B295" t="s">
        <v>26306</v>
      </c>
    </row>
    <row r="296" spans="1:2" x14ac:dyDescent="0.25">
      <c r="A296" t="s">
        <v>6530</v>
      </c>
      <c r="B296" t="s">
        <v>25968</v>
      </c>
    </row>
    <row r="297" spans="1:2" x14ac:dyDescent="0.25">
      <c r="A297" t="s">
        <v>6665</v>
      </c>
      <c r="B297" t="s">
        <v>26156</v>
      </c>
    </row>
    <row r="298" spans="1:2" x14ac:dyDescent="0.25">
      <c r="A298" t="s">
        <v>1353</v>
      </c>
      <c r="B298" t="s">
        <v>19910</v>
      </c>
    </row>
    <row r="299" spans="1:2" x14ac:dyDescent="0.25">
      <c r="A299" t="s">
        <v>1350</v>
      </c>
      <c r="B299" t="s">
        <v>19905</v>
      </c>
    </row>
    <row r="300" spans="1:2" x14ac:dyDescent="0.25">
      <c r="A300" t="s">
        <v>1356</v>
      </c>
      <c r="B300" t="s">
        <v>19914</v>
      </c>
    </row>
    <row r="301" spans="1:2" x14ac:dyDescent="0.25">
      <c r="A301" t="s">
        <v>1359</v>
      </c>
      <c r="B301" t="s">
        <v>19918</v>
      </c>
    </row>
    <row r="302" spans="1:2" x14ac:dyDescent="0.25">
      <c r="A302" t="s">
        <v>6776</v>
      </c>
      <c r="B302" t="s">
        <v>26310</v>
      </c>
    </row>
    <row r="303" spans="1:2" x14ac:dyDescent="0.25">
      <c r="A303" t="s">
        <v>6692</v>
      </c>
      <c r="B303" t="s">
        <v>26194</v>
      </c>
    </row>
    <row r="304" spans="1:2" x14ac:dyDescent="0.25">
      <c r="A304" t="s">
        <v>1362</v>
      </c>
      <c r="B304" t="s">
        <v>19923</v>
      </c>
    </row>
    <row r="305" spans="1:2" x14ac:dyDescent="0.25">
      <c r="A305" t="s">
        <v>1392</v>
      </c>
      <c r="B305" t="s">
        <v>19965</v>
      </c>
    </row>
    <row r="306" spans="1:2" x14ac:dyDescent="0.25">
      <c r="A306" t="s">
        <v>1374</v>
      </c>
      <c r="B306" t="s">
        <v>19940</v>
      </c>
    </row>
    <row r="307" spans="1:2" x14ac:dyDescent="0.25">
      <c r="A307" t="s">
        <v>5183</v>
      </c>
      <c r="B307" t="s">
        <v>24613</v>
      </c>
    </row>
    <row r="308" spans="1:2" x14ac:dyDescent="0.25">
      <c r="A308" t="s">
        <v>5141</v>
      </c>
      <c r="B308" t="s">
        <v>24551</v>
      </c>
    </row>
    <row r="309" spans="1:2" x14ac:dyDescent="0.25">
      <c r="A309" t="s">
        <v>1386</v>
      </c>
      <c r="B309" t="s">
        <v>19955</v>
      </c>
    </row>
    <row r="310" spans="1:2" x14ac:dyDescent="0.25">
      <c r="A310" t="s">
        <v>1383</v>
      </c>
      <c r="B310" t="s">
        <v>19950</v>
      </c>
    </row>
    <row r="311" spans="1:2" x14ac:dyDescent="0.25">
      <c r="A311" t="s">
        <v>4304</v>
      </c>
      <c r="B311" t="s">
        <v>23638</v>
      </c>
    </row>
    <row r="312" spans="1:2" x14ac:dyDescent="0.25">
      <c r="A312" t="s">
        <v>1380</v>
      </c>
      <c r="B312" t="s">
        <v>19947</v>
      </c>
    </row>
    <row r="313" spans="1:2" x14ac:dyDescent="0.25">
      <c r="A313" t="s">
        <v>1389</v>
      </c>
      <c r="B313" t="s">
        <v>19960</v>
      </c>
    </row>
    <row r="314" spans="1:2" x14ac:dyDescent="0.25">
      <c r="A314" t="s">
        <v>1377</v>
      </c>
      <c r="B314" t="s">
        <v>19944</v>
      </c>
    </row>
    <row r="315" spans="1:2" x14ac:dyDescent="0.25">
      <c r="A315" t="s">
        <v>4828</v>
      </c>
      <c r="B315" t="s">
        <v>24292</v>
      </c>
    </row>
    <row r="316" spans="1:2" x14ac:dyDescent="0.25">
      <c r="A316" t="s">
        <v>4825</v>
      </c>
      <c r="B316" t="s">
        <v>24287</v>
      </c>
    </row>
    <row r="317" spans="1:2" x14ac:dyDescent="0.25">
      <c r="A317" t="s">
        <v>6707</v>
      </c>
      <c r="B317" t="s">
        <v>26214</v>
      </c>
    </row>
    <row r="318" spans="1:2" x14ac:dyDescent="0.25">
      <c r="A318" t="s">
        <v>6536</v>
      </c>
      <c r="B318" t="s">
        <v>25978</v>
      </c>
    </row>
    <row r="319" spans="1:2" x14ac:dyDescent="0.25">
      <c r="A319" t="s">
        <v>6710</v>
      </c>
      <c r="B319" t="s">
        <v>26218</v>
      </c>
    </row>
    <row r="320" spans="1:2" x14ac:dyDescent="0.25">
      <c r="A320" t="s">
        <v>6647</v>
      </c>
      <c r="B320" t="s">
        <v>26132</v>
      </c>
    </row>
    <row r="321" spans="1:2" x14ac:dyDescent="0.25">
      <c r="A321" t="s">
        <v>6644</v>
      </c>
      <c r="B321" t="s">
        <v>26128</v>
      </c>
    </row>
    <row r="322" spans="1:2" x14ac:dyDescent="0.25">
      <c r="A322" t="s">
        <v>6650</v>
      </c>
      <c r="B322" t="s">
        <v>26136</v>
      </c>
    </row>
    <row r="323" spans="1:2" x14ac:dyDescent="0.25">
      <c r="A323" t="s">
        <v>6587</v>
      </c>
      <c r="B323" t="s">
        <v>26051</v>
      </c>
    </row>
    <row r="324" spans="1:2" x14ac:dyDescent="0.25">
      <c r="A324" t="s">
        <v>6653</v>
      </c>
      <c r="B324" t="s">
        <v>26140</v>
      </c>
    </row>
    <row r="325" spans="1:2" x14ac:dyDescent="0.25">
      <c r="A325" t="s">
        <v>6590</v>
      </c>
      <c r="B325" t="s">
        <v>26055</v>
      </c>
    </row>
    <row r="326" spans="1:2" x14ac:dyDescent="0.25">
      <c r="A326" t="s">
        <v>6593</v>
      </c>
      <c r="B326" t="s">
        <v>26059</v>
      </c>
    </row>
    <row r="327" spans="1:2" x14ac:dyDescent="0.25">
      <c r="A327" t="s">
        <v>6782</v>
      </c>
      <c r="B327" t="s">
        <v>26318</v>
      </c>
    </row>
    <row r="328" spans="1:2" x14ac:dyDescent="0.25">
      <c r="A328" t="s">
        <v>6779</v>
      </c>
      <c r="B328" t="s">
        <v>26314</v>
      </c>
    </row>
    <row r="329" spans="1:2" x14ac:dyDescent="0.25">
      <c r="A329" t="s">
        <v>6728</v>
      </c>
      <c r="B329" t="s">
        <v>26243</v>
      </c>
    </row>
    <row r="330" spans="1:2" x14ac:dyDescent="0.25">
      <c r="A330" t="s">
        <v>6659</v>
      </c>
      <c r="B330" t="s">
        <v>26148</v>
      </c>
    </row>
    <row r="331" spans="1:2" x14ac:dyDescent="0.25">
      <c r="A331" t="s">
        <v>6656</v>
      </c>
      <c r="B331" t="s">
        <v>26144</v>
      </c>
    </row>
    <row r="332" spans="1:2" x14ac:dyDescent="0.25">
      <c r="A332" t="s">
        <v>6596</v>
      </c>
      <c r="B332" t="s">
        <v>26063</v>
      </c>
    </row>
    <row r="333" spans="1:2" x14ac:dyDescent="0.25">
      <c r="A333" t="s">
        <v>6602</v>
      </c>
      <c r="B333" t="s">
        <v>26071</v>
      </c>
    </row>
    <row r="334" spans="1:2" x14ac:dyDescent="0.25">
      <c r="A334" t="s">
        <v>6599</v>
      </c>
      <c r="B334" t="s">
        <v>26067</v>
      </c>
    </row>
    <row r="335" spans="1:2" x14ac:dyDescent="0.25">
      <c r="A335" t="s">
        <v>6518</v>
      </c>
      <c r="B335" t="s">
        <v>25951</v>
      </c>
    </row>
    <row r="336" spans="1:2" x14ac:dyDescent="0.25">
      <c r="A336" t="s">
        <v>6554</v>
      </c>
      <c r="B336" t="s">
        <v>26004</v>
      </c>
    </row>
    <row r="337" spans="1:2" x14ac:dyDescent="0.25">
      <c r="A337" t="s">
        <v>6788</v>
      </c>
      <c r="B337" t="s">
        <v>26326</v>
      </c>
    </row>
    <row r="338" spans="1:2" x14ac:dyDescent="0.25">
      <c r="A338" t="s">
        <v>1395</v>
      </c>
      <c r="B338" t="s">
        <v>19970</v>
      </c>
    </row>
    <row r="339" spans="1:2" x14ac:dyDescent="0.25">
      <c r="A339" t="s">
        <v>1398</v>
      </c>
      <c r="B339" t="s">
        <v>19975</v>
      </c>
    </row>
    <row r="340" spans="1:2" x14ac:dyDescent="0.25">
      <c r="A340" t="s">
        <v>6791</v>
      </c>
      <c r="B340" t="s">
        <v>26330</v>
      </c>
    </row>
    <row r="341" spans="1:2" x14ac:dyDescent="0.25">
      <c r="A341" t="s">
        <v>1401</v>
      </c>
      <c r="B341" t="s">
        <v>19979</v>
      </c>
    </row>
    <row r="342" spans="1:2" x14ac:dyDescent="0.25">
      <c r="A342" t="s">
        <v>6866</v>
      </c>
      <c r="B342" t="s">
        <v>26437</v>
      </c>
    </row>
    <row r="343" spans="1:2" x14ac:dyDescent="0.25">
      <c r="A343" t="s">
        <v>6848</v>
      </c>
      <c r="B343" t="s">
        <v>26411</v>
      </c>
    </row>
    <row r="344" spans="1:2" x14ac:dyDescent="0.25">
      <c r="A344" t="s">
        <v>6557</v>
      </c>
      <c r="B344" t="s">
        <v>26008</v>
      </c>
    </row>
    <row r="345" spans="1:2" x14ac:dyDescent="0.25">
      <c r="A345" t="s">
        <v>1404</v>
      </c>
      <c r="B345" t="s">
        <v>19983</v>
      </c>
    </row>
    <row r="346" spans="1:2" x14ac:dyDescent="0.25">
      <c r="A346" t="s">
        <v>6785</v>
      </c>
      <c r="B346" t="s">
        <v>26322</v>
      </c>
    </row>
    <row r="347" spans="1:2" x14ac:dyDescent="0.25">
      <c r="A347" t="s">
        <v>1407</v>
      </c>
      <c r="B347" t="s">
        <v>19987</v>
      </c>
    </row>
    <row r="348" spans="1:2" x14ac:dyDescent="0.25">
      <c r="A348" t="s">
        <v>6851</v>
      </c>
      <c r="B348" t="s">
        <v>26416</v>
      </c>
    </row>
    <row r="349" spans="1:2" x14ac:dyDescent="0.25">
      <c r="A349" t="s">
        <v>1416</v>
      </c>
      <c r="B349" t="s">
        <v>19999</v>
      </c>
    </row>
    <row r="350" spans="1:2" x14ac:dyDescent="0.25">
      <c r="A350" t="s">
        <v>6749</v>
      </c>
      <c r="B350" t="s">
        <v>26273</v>
      </c>
    </row>
    <row r="351" spans="1:2" x14ac:dyDescent="0.25">
      <c r="A351" t="s">
        <v>1419</v>
      </c>
      <c r="B351" t="s">
        <v>20003</v>
      </c>
    </row>
    <row r="352" spans="1:2" x14ac:dyDescent="0.25">
      <c r="A352" t="s">
        <v>1410</v>
      </c>
      <c r="B352" t="s">
        <v>19991</v>
      </c>
    </row>
    <row r="353" spans="1:2" x14ac:dyDescent="0.25">
      <c r="A353" t="s">
        <v>1413</v>
      </c>
      <c r="B353" t="s">
        <v>1413</v>
      </c>
    </row>
    <row r="354" spans="1:2" x14ac:dyDescent="0.25">
      <c r="A354" t="s">
        <v>6794</v>
      </c>
      <c r="B354" t="s">
        <v>26334</v>
      </c>
    </row>
    <row r="355" spans="1:2" x14ac:dyDescent="0.25">
      <c r="A355" t="s">
        <v>1422</v>
      </c>
      <c r="B355" t="s">
        <v>20007</v>
      </c>
    </row>
    <row r="356" spans="1:2" x14ac:dyDescent="0.25">
      <c r="A356" t="s">
        <v>1425</v>
      </c>
      <c r="B356" t="s">
        <v>20011</v>
      </c>
    </row>
    <row r="357" spans="1:2" x14ac:dyDescent="0.25">
      <c r="A357" t="s">
        <v>1431</v>
      </c>
      <c r="B357" t="s">
        <v>20019</v>
      </c>
    </row>
    <row r="358" spans="1:2" x14ac:dyDescent="0.25">
      <c r="A358" t="s">
        <v>1434</v>
      </c>
      <c r="B358" t="s">
        <v>20022</v>
      </c>
    </row>
    <row r="359" spans="1:2" x14ac:dyDescent="0.25">
      <c r="A359" t="s">
        <v>1437</v>
      </c>
      <c r="B359" t="s">
        <v>20025</v>
      </c>
    </row>
    <row r="360" spans="1:2" x14ac:dyDescent="0.25">
      <c r="A360" t="s">
        <v>1428</v>
      </c>
      <c r="B360" t="s">
        <v>20015</v>
      </c>
    </row>
    <row r="361" spans="1:2" x14ac:dyDescent="0.25">
      <c r="A361" t="s">
        <v>1443</v>
      </c>
      <c r="B361" t="s">
        <v>20034</v>
      </c>
    </row>
    <row r="362" spans="1:2" x14ac:dyDescent="0.25">
      <c r="A362" t="s">
        <v>1446</v>
      </c>
      <c r="B362" t="s">
        <v>20037</v>
      </c>
    </row>
    <row r="363" spans="1:2" x14ac:dyDescent="0.25">
      <c r="A363" t="s">
        <v>1440</v>
      </c>
      <c r="B363" t="s">
        <v>20030</v>
      </c>
    </row>
    <row r="364" spans="1:2" x14ac:dyDescent="0.25">
      <c r="A364" t="s">
        <v>6878</v>
      </c>
      <c r="B364" t="s">
        <v>26455</v>
      </c>
    </row>
    <row r="365" spans="1:2" x14ac:dyDescent="0.25">
      <c r="A365" t="s">
        <v>6827</v>
      </c>
      <c r="B365" t="s">
        <v>26378</v>
      </c>
    </row>
    <row r="366" spans="1:2" x14ac:dyDescent="0.25">
      <c r="A366" t="s">
        <v>1452</v>
      </c>
      <c r="B366" t="s">
        <v>20044</v>
      </c>
    </row>
    <row r="367" spans="1:2" x14ac:dyDescent="0.25">
      <c r="A367" t="s">
        <v>5186</v>
      </c>
      <c r="B367" t="s">
        <v>24617</v>
      </c>
    </row>
    <row r="368" spans="1:2" x14ac:dyDescent="0.25">
      <c r="A368" t="s">
        <v>1464</v>
      </c>
      <c r="B368" t="s">
        <v>20059</v>
      </c>
    </row>
    <row r="369" spans="1:2" x14ac:dyDescent="0.25">
      <c r="A369" t="s">
        <v>1467</v>
      </c>
      <c r="B369" t="s">
        <v>20063</v>
      </c>
    </row>
    <row r="370" spans="1:2" x14ac:dyDescent="0.25">
      <c r="A370" t="s">
        <v>1476</v>
      </c>
      <c r="B370" t="s">
        <v>20076</v>
      </c>
    </row>
    <row r="371" spans="1:2" x14ac:dyDescent="0.25">
      <c r="A371" t="s">
        <v>1479</v>
      </c>
      <c r="B371" t="s">
        <v>20080</v>
      </c>
    </row>
    <row r="372" spans="1:2" x14ac:dyDescent="0.25">
      <c r="A372" t="s">
        <v>1482</v>
      </c>
      <c r="B372" t="s">
        <v>20085</v>
      </c>
    </row>
    <row r="373" spans="1:2" x14ac:dyDescent="0.25">
      <c r="A373" t="s">
        <v>1473</v>
      </c>
      <c r="B373" t="s">
        <v>20072</v>
      </c>
    </row>
    <row r="374" spans="1:2" x14ac:dyDescent="0.25">
      <c r="A374" t="s">
        <v>1470</v>
      </c>
      <c r="B374" t="s">
        <v>20068</v>
      </c>
    </row>
    <row r="375" spans="1:2" x14ac:dyDescent="0.25">
      <c r="A375" t="s">
        <v>1485</v>
      </c>
      <c r="B375" t="s">
        <v>20089</v>
      </c>
    </row>
    <row r="376" spans="1:2" x14ac:dyDescent="0.25">
      <c r="A376" t="s">
        <v>1455</v>
      </c>
      <c r="B376" t="s">
        <v>20049</v>
      </c>
    </row>
    <row r="377" spans="1:2" x14ac:dyDescent="0.25">
      <c r="A377" t="s">
        <v>1458</v>
      </c>
      <c r="B377" t="s">
        <v>20053</v>
      </c>
    </row>
    <row r="378" spans="1:2" x14ac:dyDescent="0.25">
      <c r="A378" t="s">
        <v>1461</v>
      </c>
      <c r="B378" t="s">
        <v>1461</v>
      </c>
    </row>
    <row r="379" spans="1:2" x14ac:dyDescent="0.25">
      <c r="A379" t="s">
        <v>1488</v>
      </c>
      <c r="B379" t="s">
        <v>20094</v>
      </c>
    </row>
    <row r="380" spans="1:2" x14ac:dyDescent="0.25">
      <c r="A380" t="s">
        <v>1491</v>
      </c>
      <c r="B380" t="s">
        <v>20098</v>
      </c>
    </row>
    <row r="381" spans="1:2" x14ac:dyDescent="0.25">
      <c r="A381" t="s">
        <v>1494</v>
      </c>
      <c r="B381" t="s">
        <v>20103</v>
      </c>
    </row>
    <row r="382" spans="1:2" x14ac:dyDescent="0.25">
      <c r="A382" t="s">
        <v>1497</v>
      </c>
      <c r="B382" t="s">
        <v>1497</v>
      </c>
    </row>
    <row r="383" spans="1:2" x14ac:dyDescent="0.25">
      <c r="A383" t="s">
        <v>6797</v>
      </c>
      <c r="B383" t="s">
        <v>26338</v>
      </c>
    </row>
    <row r="384" spans="1:2" x14ac:dyDescent="0.25">
      <c r="A384" t="s">
        <v>6560</v>
      </c>
      <c r="B384" t="s">
        <v>26012</v>
      </c>
    </row>
    <row r="385" spans="1:2" x14ac:dyDescent="0.25">
      <c r="A385" t="s">
        <v>6542</v>
      </c>
      <c r="B385" t="s">
        <v>25987</v>
      </c>
    </row>
    <row r="386" spans="1:2" x14ac:dyDescent="0.25">
      <c r="A386" t="s">
        <v>6752</v>
      </c>
      <c r="B386" t="s">
        <v>26277</v>
      </c>
    </row>
    <row r="387" spans="1:2" x14ac:dyDescent="0.25">
      <c r="A387" t="s">
        <v>1500</v>
      </c>
      <c r="B387" t="s">
        <v>20110</v>
      </c>
    </row>
    <row r="388" spans="1:2" x14ac:dyDescent="0.25">
      <c r="A388" t="s">
        <v>1509</v>
      </c>
      <c r="B388" t="s">
        <v>20122</v>
      </c>
    </row>
    <row r="389" spans="1:2" x14ac:dyDescent="0.25">
      <c r="A389" t="s">
        <v>6761</v>
      </c>
      <c r="B389" t="s">
        <v>26289</v>
      </c>
    </row>
    <row r="390" spans="1:2" x14ac:dyDescent="0.25">
      <c r="A390" t="s">
        <v>1512</v>
      </c>
      <c r="B390" t="s">
        <v>20125</v>
      </c>
    </row>
    <row r="391" spans="1:2" x14ac:dyDescent="0.25">
      <c r="A391" t="s">
        <v>1503</v>
      </c>
      <c r="B391" t="s">
        <v>20115</v>
      </c>
    </row>
    <row r="392" spans="1:2" x14ac:dyDescent="0.25">
      <c r="A392" t="s">
        <v>1515</v>
      </c>
      <c r="B392" t="s">
        <v>20128</v>
      </c>
    </row>
    <row r="393" spans="1:2" x14ac:dyDescent="0.25">
      <c r="A393" t="s">
        <v>1506</v>
      </c>
      <c r="B393" t="s">
        <v>1506</v>
      </c>
    </row>
    <row r="394" spans="1:2" x14ac:dyDescent="0.25">
      <c r="A394" t="s">
        <v>1518</v>
      </c>
      <c r="B394" t="s">
        <v>20133</v>
      </c>
    </row>
    <row r="395" spans="1:2" x14ac:dyDescent="0.25">
      <c r="A395" t="s">
        <v>1530</v>
      </c>
      <c r="B395" t="s">
        <v>20144</v>
      </c>
    </row>
    <row r="396" spans="1:2" x14ac:dyDescent="0.25">
      <c r="A396" t="s">
        <v>6758</v>
      </c>
      <c r="B396" t="s">
        <v>26285</v>
      </c>
    </row>
    <row r="397" spans="1:2" x14ac:dyDescent="0.25">
      <c r="A397" t="s">
        <v>1533</v>
      </c>
      <c r="B397" t="s">
        <v>20147</v>
      </c>
    </row>
    <row r="398" spans="1:2" x14ac:dyDescent="0.25">
      <c r="A398" t="s">
        <v>1521</v>
      </c>
      <c r="B398" t="s">
        <v>1521</v>
      </c>
    </row>
    <row r="399" spans="1:2" x14ac:dyDescent="0.25">
      <c r="A399" t="s">
        <v>1524</v>
      </c>
      <c r="B399" t="s">
        <v>20139</v>
      </c>
    </row>
    <row r="400" spans="1:2" x14ac:dyDescent="0.25">
      <c r="A400" t="s">
        <v>1527</v>
      </c>
      <c r="B400" t="s">
        <v>1527</v>
      </c>
    </row>
    <row r="401" spans="1:2" x14ac:dyDescent="0.25">
      <c r="A401" t="s">
        <v>1536</v>
      </c>
      <c r="B401" t="s">
        <v>20150</v>
      </c>
    </row>
    <row r="402" spans="1:2" x14ac:dyDescent="0.25">
      <c r="A402" t="s">
        <v>7597</v>
      </c>
      <c r="B402" t="s">
        <v>27277</v>
      </c>
    </row>
    <row r="403" spans="1:2" x14ac:dyDescent="0.25">
      <c r="A403" t="s">
        <v>1539</v>
      </c>
      <c r="B403" t="s">
        <v>20154</v>
      </c>
    </row>
    <row r="404" spans="1:2" x14ac:dyDescent="0.25">
      <c r="A404" t="s">
        <v>1542</v>
      </c>
      <c r="B404" t="s">
        <v>20159</v>
      </c>
    </row>
    <row r="405" spans="1:2" x14ac:dyDescent="0.25">
      <c r="A405" t="s">
        <v>1545</v>
      </c>
      <c r="B405" t="s">
        <v>20164</v>
      </c>
    </row>
    <row r="406" spans="1:2" x14ac:dyDescent="0.25">
      <c r="A406" t="s">
        <v>1551</v>
      </c>
      <c r="B406" t="s">
        <v>1551</v>
      </c>
    </row>
    <row r="407" spans="1:2" x14ac:dyDescent="0.25">
      <c r="A407" t="s">
        <v>1554</v>
      </c>
      <c r="B407" t="s">
        <v>20178</v>
      </c>
    </row>
    <row r="408" spans="1:2" x14ac:dyDescent="0.25">
      <c r="A408" t="s">
        <v>1599</v>
      </c>
      <c r="B408" t="s">
        <v>20237</v>
      </c>
    </row>
    <row r="409" spans="1:2" x14ac:dyDescent="0.25">
      <c r="A409" t="s">
        <v>1602</v>
      </c>
      <c r="B409" t="s">
        <v>1602</v>
      </c>
    </row>
    <row r="410" spans="1:2" x14ac:dyDescent="0.25">
      <c r="A410" t="s">
        <v>1617</v>
      </c>
      <c r="B410" t="s">
        <v>20260</v>
      </c>
    </row>
    <row r="411" spans="1:2" x14ac:dyDescent="0.25">
      <c r="A411" t="s">
        <v>1644</v>
      </c>
      <c r="B411" t="s">
        <v>1644</v>
      </c>
    </row>
    <row r="412" spans="1:2" x14ac:dyDescent="0.25">
      <c r="A412" t="s">
        <v>1638</v>
      </c>
      <c r="B412" t="s">
        <v>20290</v>
      </c>
    </row>
    <row r="413" spans="1:2" x14ac:dyDescent="0.25">
      <c r="A413" t="s">
        <v>1596</v>
      </c>
      <c r="B413" t="s">
        <v>20232</v>
      </c>
    </row>
    <row r="414" spans="1:2" x14ac:dyDescent="0.25">
      <c r="A414" t="s">
        <v>1557</v>
      </c>
      <c r="B414" t="s">
        <v>20182</v>
      </c>
    </row>
    <row r="415" spans="1:2" x14ac:dyDescent="0.25">
      <c r="A415" t="s">
        <v>1566</v>
      </c>
      <c r="B415" t="s">
        <v>20197</v>
      </c>
    </row>
    <row r="416" spans="1:2" x14ac:dyDescent="0.25">
      <c r="A416" t="s">
        <v>1563</v>
      </c>
      <c r="B416" t="s">
        <v>20192</v>
      </c>
    </row>
    <row r="417" spans="1:2" x14ac:dyDescent="0.25">
      <c r="A417" t="s">
        <v>1560</v>
      </c>
      <c r="B417" t="s">
        <v>20187</v>
      </c>
    </row>
    <row r="418" spans="1:2" x14ac:dyDescent="0.25">
      <c r="A418" t="s">
        <v>1605</v>
      </c>
      <c r="B418" t="s">
        <v>20246</v>
      </c>
    </row>
    <row r="419" spans="1:2" x14ac:dyDescent="0.25">
      <c r="A419" t="s">
        <v>1608</v>
      </c>
      <c r="B419" t="s">
        <v>20250</v>
      </c>
    </row>
    <row r="420" spans="1:2" x14ac:dyDescent="0.25">
      <c r="A420" t="s">
        <v>1620</v>
      </c>
      <c r="B420" t="s">
        <v>20265</v>
      </c>
    </row>
    <row r="421" spans="1:2" x14ac:dyDescent="0.25">
      <c r="A421" t="s">
        <v>1623</v>
      </c>
      <c r="B421" t="s">
        <v>20270</v>
      </c>
    </row>
    <row r="422" spans="1:2" x14ac:dyDescent="0.25">
      <c r="A422" t="s">
        <v>1626</v>
      </c>
      <c r="B422" t="s">
        <v>20275</v>
      </c>
    </row>
    <row r="423" spans="1:2" x14ac:dyDescent="0.25">
      <c r="A423" t="s">
        <v>1611</v>
      </c>
      <c r="B423" t="s">
        <v>20253</v>
      </c>
    </row>
    <row r="424" spans="1:2" x14ac:dyDescent="0.25">
      <c r="A424" t="s">
        <v>1548</v>
      </c>
      <c r="B424" t="s">
        <v>20169</v>
      </c>
    </row>
    <row r="425" spans="1:2" x14ac:dyDescent="0.25">
      <c r="A425" t="s">
        <v>1569</v>
      </c>
      <c r="B425" t="s">
        <v>20202</v>
      </c>
    </row>
    <row r="426" spans="1:2" x14ac:dyDescent="0.25">
      <c r="A426" t="s">
        <v>1641</v>
      </c>
      <c r="B426" t="s">
        <v>20295</v>
      </c>
    </row>
    <row r="427" spans="1:2" x14ac:dyDescent="0.25">
      <c r="A427" t="s">
        <v>1614</v>
      </c>
      <c r="B427" t="s">
        <v>20256</v>
      </c>
    </row>
    <row r="428" spans="1:2" x14ac:dyDescent="0.25">
      <c r="A428" t="s">
        <v>1572</v>
      </c>
      <c r="B428" t="s">
        <v>1572</v>
      </c>
    </row>
    <row r="429" spans="1:2" x14ac:dyDescent="0.25">
      <c r="A429" t="s">
        <v>1581</v>
      </c>
      <c r="B429" t="s">
        <v>20217</v>
      </c>
    </row>
    <row r="430" spans="1:2" x14ac:dyDescent="0.25">
      <c r="A430" t="s">
        <v>1575</v>
      </c>
      <c r="B430" t="s">
        <v>1575</v>
      </c>
    </row>
    <row r="431" spans="1:2" x14ac:dyDescent="0.25">
      <c r="A431" t="s">
        <v>1587</v>
      </c>
      <c r="B431" t="s">
        <v>20224</v>
      </c>
    </row>
    <row r="432" spans="1:2" x14ac:dyDescent="0.25">
      <c r="A432" t="s">
        <v>1584</v>
      </c>
      <c r="B432" t="s">
        <v>20221</v>
      </c>
    </row>
    <row r="433" spans="1:2" x14ac:dyDescent="0.25">
      <c r="A433" t="s">
        <v>1578</v>
      </c>
      <c r="B433" t="s">
        <v>20213</v>
      </c>
    </row>
    <row r="434" spans="1:2" x14ac:dyDescent="0.25">
      <c r="A434" t="s">
        <v>1590</v>
      </c>
      <c r="B434" t="s">
        <v>1590</v>
      </c>
    </row>
    <row r="435" spans="1:2" x14ac:dyDescent="0.25">
      <c r="A435" t="s">
        <v>1593</v>
      </c>
      <c r="B435" t="s">
        <v>1593</v>
      </c>
    </row>
    <row r="436" spans="1:2" x14ac:dyDescent="0.25">
      <c r="A436" t="s">
        <v>1629</v>
      </c>
      <c r="B436" t="s">
        <v>1629</v>
      </c>
    </row>
    <row r="437" spans="1:2" x14ac:dyDescent="0.25">
      <c r="A437" t="s">
        <v>1632</v>
      </c>
      <c r="B437" t="s">
        <v>20283</v>
      </c>
    </row>
    <row r="438" spans="1:2" x14ac:dyDescent="0.25">
      <c r="A438" t="s">
        <v>1635</v>
      </c>
      <c r="B438" t="s">
        <v>20286</v>
      </c>
    </row>
    <row r="439" spans="1:2" x14ac:dyDescent="0.25">
      <c r="A439" t="s">
        <v>1647</v>
      </c>
      <c r="B439" t="s">
        <v>20304</v>
      </c>
    </row>
    <row r="440" spans="1:2" x14ac:dyDescent="0.25">
      <c r="A440" t="s">
        <v>1650</v>
      </c>
      <c r="B440" t="s">
        <v>20309</v>
      </c>
    </row>
    <row r="441" spans="1:2" x14ac:dyDescent="0.25">
      <c r="A441" t="s">
        <v>1653</v>
      </c>
      <c r="B441" t="s">
        <v>1653</v>
      </c>
    </row>
    <row r="442" spans="1:2" x14ac:dyDescent="0.25">
      <c r="A442" t="s">
        <v>1656</v>
      </c>
      <c r="B442" t="s">
        <v>20316</v>
      </c>
    </row>
    <row r="443" spans="1:2" x14ac:dyDescent="0.25">
      <c r="A443" t="s">
        <v>1668</v>
      </c>
      <c r="B443" t="s">
        <v>20330</v>
      </c>
    </row>
    <row r="444" spans="1:2" x14ac:dyDescent="0.25">
      <c r="A444" t="s">
        <v>1674</v>
      </c>
      <c r="B444" t="s">
        <v>20336</v>
      </c>
    </row>
    <row r="445" spans="1:2" x14ac:dyDescent="0.25">
      <c r="A445" t="s">
        <v>1677</v>
      </c>
      <c r="B445" t="s">
        <v>20339</v>
      </c>
    </row>
    <row r="446" spans="1:2" x14ac:dyDescent="0.25">
      <c r="A446" t="s">
        <v>1680</v>
      </c>
      <c r="B446" t="s">
        <v>20342</v>
      </c>
    </row>
    <row r="447" spans="1:2" x14ac:dyDescent="0.25">
      <c r="A447" t="s">
        <v>1665</v>
      </c>
      <c r="B447" t="s">
        <v>1665</v>
      </c>
    </row>
    <row r="448" spans="1:2" x14ac:dyDescent="0.25">
      <c r="A448" t="s">
        <v>1662</v>
      </c>
      <c r="B448" t="s">
        <v>20324</v>
      </c>
    </row>
    <row r="449" spans="1:2" x14ac:dyDescent="0.25">
      <c r="A449" t="s">
        <v>1659</v>
      </c>
      <c r="B449" t="s">
        <v>20321</v>
      </c>
    </row>
    <row r="450" spans="1:2" x14ac:dyDescent="0.25">
      <c r="A450" t="s">
        <v>1683</v>
      </c>
      <c r="B450" t="s">
        <v>20346</v>
      </c>
    </row>
    <row r="451" spans="1:2" x14ac:dyDescent="0.25">
      <c r="A451" t="s">
        <v>1686</v>
      </c>
      <c r="B451" t="s">
        <v>20349</v>
      </c>
    </row>
    <row r="452" spans="1:2" x14ac:dyDescent="0.25">
      <c r="A452" t="s">
        <v>1689</v>
      </c>
      <c r="B452" t="s">
        <v>20353</v>
      </c>
    </row>
    <row r="453" spans="1:2" x14ac:dyDescent="0.25">
      <c r="A453" t="s">
        <v>1692</v>
      </c>
      <c r="B453" t="s">
        <v>1692</v>
      </c>
    </row>
    <row r="454" spans="1:2" x14ac:dyDescent="0.25">
      <c r="A454" t="s">
        <v>1695</v>
      </c>
      <c r="B454" t="s">
        <v>20360</v>
      </c>
    </row>
    <row r="455" spans="1:2" x14ac:dyDescent="0.25">
      <c r="A455" t="s">
        <v>1698</v>
      </c>
      <c r="B455" t="s">
        <v>20365</v>
      </c>
    </row>
    <row r="456" spans="1:2" x14ac:dyDescent="0.25">
      <c r="A456" t="s">
        <v>1704</v>
      </c>
      <c r="B456" t="s">
        <v>20375</v>
      </c>
    </row>
    <row r="457" spans="1:2" x14ac:dyDescent="0.25">
      <c r="A457" t="s">
        <v>1725</v>
      </c>
      <c r="B457" t="s">
        <v>20397</v>
      </c>
    </row>
    <row r="458" spans="1:2" x14ac:dyDescent="0.25">
      <c r="A458" t="s">
        <v>1728</v>
      </c>
      <c r="B458" t="s">
        <v>20401</v>
      </c>
    </row>
    <row r="459" spans="1:2" x14ac:dyDescent="0.25">
      <c r="A459" t="s">
        <v>1731</v>
      </c>
      <c r="B459" t="s">
        <v>20405</v>
      </c>
    </row>
    <row r="460" spans="1:2" x14ac:dyDescent="0.25">
      <c r="A460" t="s">
        <v>1734</v>
      </c>
      <c r="B460" t="s">
        <v>20408</v>
      </c>
    </row>
    <row r="461" spans="1:2" x14ac:dyDescent="0.25">
      <c r="A461" t="s">
        <v>1737</v>
      </c>
      <c r="B461" t="s">
        <v>20411</v>
      </c>
    </row>
    <row r="462" spans="1:2" x14ac:dyDescent="0.25">
      <c r="A462" t="s">
        <v>1743</v>
      </c>
      <c r="B462" t="s">
        <v>20418</v>
      </c>
    </row>
    <row r="463" spans="1:2" x14ac:dyDescent="0.25">
      <c r="A463" t="s">
        <v>6578</v>
      </c>
      <c r="B463" t="s">
        <v>26037</v>
      </c>
    </row>
    <row r="464" spans="1:2" x14ac:dyDescent="0.25">
      <c r="A464" t="s">
        <v>1740</v>
      </c>
      <c r="B464" t="s">
        <v>20415</v>
      </c>
    </row>
    <row r="465" spans="1:2" x14ac:dyDescent="0.25">
      <c r="A465" t="s">
        <v>1722</v>
      </c>
      <c r="B465" t="s">
        <v>1722</v>
      </c>
    </row>
    <row r="466" spans="1:2" x14ac:dyDescent="0.25">
      <c r="A466" t="s">
        <v>1746</v>
      </c>
      <c r="B466" t="s">
        <v>20421</v>
      </c>
    </row>
    <row r="467" spans="1:2" x14ac:dyDescent="0.25">
      <c r="A467" t="s">
        <v>1707</v>
      </c>
      <c r="B467" t="s">
        <v>1707</v>
      </c>
    </row>
    <row r="468" spans="1:2" x14ac:dyDescent="0.25">
      <c r="A468" t="s">
        <v>1710</v>
      </c>
      <c r="B468" t="s">
        <v>20382</v>
      </c>
    </row>
    <row r="469" spans="1:2" x14ac:dyDescent="0.25">
      <c r="A469" t="s">
        <v>1713</v>
      </c>
      <c r="B469" t="s">
        <v>20387</v>
      </c>
    </row>
    <row r="470" spans="1:2" x14ac:dyDescent="0.25">
      <c r="A470" t="s">
        <v>1716</v>
      </c>
      <c r="B470" t="s">
        <v>1716</v>
      </c>
    </row>
    <row r="471" spans="1:2" x14ac:dyDescent="0.25">
      <c r="A471" t="s">
        <v>1719</v>
      </c>
      <c r="B471" t="s">
        <v>1719</v>
      </c>
    </row>
    <row r="472" spans="1:2" x14ac:dyDescent="0.25">
      <c r="A472" t="s">
        <v>1749</v>
      </c>
      <c r="B472" t="s">
        <v>1749</v>
      </c>
    </row>
    <row r="473" spans="1:2" x14ac:dyDescent="0.25">
      <c r="A473" t="s">
        <v>1752</v>
      </c>
      <c r="B473" t="s">
        <v>20427</v>
      </c>
    </row>
    <row r="474" spans="1:2" x14ac:dyDescent="0.25">
      <c r="A474" t="s">
        <v>1755</v>
      </c>
      <c r="B474" t="s">
        <v>20430</v>
      </c>
    </row>
    <row r="475" spans="1:2" x14ac:dyDescent="0.25">
      <c r="A475" t="s">
        <v>1758</v>
      </c>
      <c r="B475" t="s">
        <v>20434</v>
      </c>
    </row>
    <row r="476" spans="1:2" x14ac:dyDescent="0.25">
      <c r="A476" t="s">
        <v>1761</v>
      </c>
      <c r="B476" t="s">
        <v>20439</v>
      </c>
    </row>
    <row r="477" spans="1:2" x14ac:dyDescent="0.25">
      <c r="A477" t="s">
        <v>1764</v>
      </c>
      <c r="B477" t="s">
        <v>20443</v>
      </c>
    </row>
    <row r="478" spans="1:2" x14ac:dyDescent="0.25">
      <c r="A478" t="s">
        <v>1767</v>
      </c>
      <c r="B478" t="s">
        <v>20447</v>
      </c>
    </row>
    <row r="479" spans="1:2" x14ac:dyDescent="0.25">
      <c r="A479" t="s">
        <v>1770</v>
      </c>
      <c r="B479" t="s">
        <v>1770</v>
      </c>
    </row>
    <row r="480" spans="1:2" x14ac:dyDescent="0.25">
      <c r="A480" t="s">
        <v>2139</v>
      </c>
      <c r="B480" t="s">
        <v>20943</v>
      </c>
    </row>
    <row r="481" spans="1:2" x14ac:dyDescent="0.25">
      <c r="A481" t="s">
        <v>2142</v>
      </c>
      <c r="B481" t="s">
        <v>20948</v>
      </c>
    </row>
    <row r="482" spans="1:2" x14ac:dyDescent="0.25">
      <c r="A482" t="s">
        <v>2145</v>
      </c>
      <c r="B482" t="s">
        <v>20952</v>
      </c>
    </row>
    <row r="483" spans="1:2" x14ac:dyDescent="0.25">
      <c r="A483" t="s">
        <v>1776</v>
      </c>
      <c r="B483" t="s">
        <v>20458</v>
      </c>
    </row>
    <row r="484" spans="1:2" x14ac:dyDescent="0.25">
      <c r="A484" t="s">
        <v>1779</v>
      </c>
      <c r="B484" t="s">
        <v>20463</v>
      </c>
    </row>
    <row r="485" spans="1:2" x14ac:dyDescent="0.25">
      <c r="A485" t="s">
        <v>1782</v>
      </c>
      <c r="B485" t="s">
        <v>20467</v>
      </c>
    </row>
    <row r="486" spans="1:2" x14ac:dyDescent="0.25">
      <c r="A486" t="s">
        <v>1791</v>
      </c>
      <c r="B486" t="s">
        <v>20480</v>
      </c>
    </row>
    <row r="487" spans="1:2" x14ac:dyDescent="0.25">
      <c r="A487" t="s">
        <v>1794</v>
      </c>
      <c r="B487" t="s">
        <v>20485</v>
      </c>
    </row>
    <row r="488" spans="1:2" x14ac:dyDescent="0.25">
      <c r="A488" t="s">
        <v>1797</v>
      </c>
      <c r="B488" t="s">
        <v>20490</v>
      </c>
    </row>
    <row r="489" spans="1:2" x14ac:dyDescent="0.25">
      <c r="A489" t="s">
        <v>1785</v>
      </c>
      <c r="B489" t="s">
        <v>1785</v>
      </c>
    </row>
    <row r="490" spans="1:2" x14ac:dyDescent="0.25">
      <c r="A490" t="s">
        <v>1800</v>
      </c>
      <c r="B490" t="s">
        <v>1800</v>
      </c>
    </row>
    <row r="491" spans="1:2" x14ac:dyDescent="0.25">
      <c r="A491" t="s">
        <v>1788</v>
      </c>
      <c r="B491" t="s">
        <v>20476</v>
      </c>
    </row>
    <row r="492" spans="1:2" x14ac:dyDescent="0.25">
      <c r="A492" t="s">
        <v>2148</v>
      </c>
      <c r="B492" t="s">
        <v>2148</v>
      </c>
    </row>
    <row r="493" spans="1:2" x14ac:dyDescent="0.25">
      <c r="A493" t="s">
        <v>2151</v>
      </c>
      <c r="B493" t="s">
        <v>2151</v>
      </c>
    </row>
    <row r="494" spans="1:2" x14ac:dyDescent="0.25">
      <c r="A494" t="s">
        <v>2154</v>
      </c>
      <c r="B494" t="s">
        <v>20965</v>
      </c>
    </row>
    <row r="495" spans="1:2" x14ac:dyDescent="0.25">
      <c r="A495" t="s">
        <v>1803</v>
      </c>
      <c r="B495" t="s">
        <v>20499</v>
      </c>
    </row>
    <row r="496" spans="1:2" x14ac:dyDescent="0.25">
      <c r="A496" t="s">
        <v>1968</v>
      </c>
      <c r="B496" t="s">
        <v>20708</v>
      </c>
    </row>
    <row r="497" spans="1:2" x14ac:dyDescent="0.25">
      <c r="A497" t="s">
        <v>1971</v>
      </c>
      <c r="B497" t="s">
        <v>1971</v>
      </c>
    </row>
    <row r="498" spans="1:2" x14ac:dyDescent="0.25">
      <c r="A498" t="s">
        <v>1974</v>
      </c>
      <c r="B498" t="s">
        <v>20715</v>
      </c>
    </row>
    <row r="499" spans="1:2" x14ac:dyDescent="0.25">
      <c r="A499" t="s">
        <v>8139</v>
      </c>
      <c r="B499" t="s">
        <v>27810</v>
      </c>
    </row>
    <row r="500" spans="1:2" x14ac:dyDescent="0.25">
      <c r="A500" t="s">
        <v>1977</v>
      </c>
      <c r="B500" t="s">
        <v>1977</v>
      </c>
    </row>
    <row r="501" spans="1:2" x14ac:dyDescent="0.25">
      <c r="A501" t="s">
        <v>1980</v>
      </c>
      <c r="B501" t="s">
        <v>20721</v>
      </c>
    </row>
    <row r="502" spans="1:2" x14ac:dyDescent="0.25">
      <c r="A502" t="s">
        <v>5150</v>
      </c>
      <c r="B502" t="s">
        <v>24564</v>
      </c>
    </row>
    <row r="503" spans="1:2" x14ac:dyDescent="0.25">
      <c r="A503" t="s">
        <v>5165</v>
      </c>
      <c r="B503" t="s">
        <v>24585</v>
      </c>
    </row>
    <row r="504" spans="1:2" x14ac:dyDescent="0.25">
      <c r="A504" t="s">
        <v>1998</v>
      </c>
      <c r="B504" t="s">
        <v>20746</v>
      </c>
    </row>
    <row r="505" spans="1:2" x14ac:dyDescent="0.25">
      <c r="A505" t="s">
        <v>2001</v>
      </c>
      <c r="B505" t="s">
        <v>20751</v>
      </c>
    </row>
    <row r="506" spans="1:2" x14ac:dyDescent="0.25">
      <c r="A506" t="s">
        <v>2004</v>
      </c>
      <c r="B506" t="s">
        <v>20755</v>
      </c>
    </row>
    <row r="507" spans="1:2" x14ac:dyDescent="0.25">
      <c r="A507" t="s">
        <v>2007</v>
      </c>
      <c r="B507" t="s">
        <v>20760</v>
      </c>
    </row>
    <row r="508" spans="1:2" x14ac:dyDescent="0.25">
      <c r="A508" t="s">
        <v>2010</v>
      </c>
      <c r="B508" t="s">
        <v>20764</v>
      </c>
    </row>
    <row r="509" spans="1:2" x14ac:dyDescent="0.25">
      <c r="A509" t="s">
        <v>2013</v>
      </c>
      <c r="B509" t="s">
        <v>20768</v>
      </c>
    </row>
    <row r="510" spans="1:2" x14ac:dyDescent="0.25">
      <c r="A510" t="s">
        <v>2016</v>
      </c>
      <c r="B510" t="s">
        <v>20773</v>
      </c>
    </row>
    <row r="511" spans="1:2" x14ac:dyDescent="0.25">
      <c r="A511" t="s">
        <v>2019</v>
      </c>
      <c r="B511" t="s">
        <v>20776</v>
      </c>
    </row>
    <row r="512" spans="1:2" x14ac:dyDescent="0.25">
      <c r="A512" t="s">
        <v>2022</v>
      </c>
      <c r="B512" t="s">
        <v>20780</v>
      </c>
    </row>
    <row r="513" spans="1:2" x14ac:dyDescent="0.25">
      <c r="A513" t="s">
        <v>2025</v>
      </c>
      <c r="B513" t="s">
        <v>20783</v>
      </c>
    </row>
    <row r="514" spans="1:2" x14ac:dyDescent="0.25">
      <c r="A514" t="s">
        <v>2043</v>
      </c>
      <c r="B514" t="s">
        <v>20804</v>
      </c>
    </row>
    <row r="515" spans="1:2" x14ac:dyDescent="0.25">
      <c r="A515" t="s">
        <v>2034</v>
      </c>
      <c r="B515" t="s">
        <v>20793</v>
      </c>
    </row>
    <row r="516" spans="1:2" x14ac:dyDescent="0.25">
      <c r="A516" t="s">
        <v>2028</v>
      </c>
      <c r="B516" t="s">
        <v>20787</v>
      </c>
    </row>
    <row r="517" spans="1:2" x14ac:dyDescent="0.25">
      <c r="A517" t="s">
        <v>2031</v>
      </c>
      <c r="B517" t="s">
        <v>20790</v>
      </c>
    </row>
    <row r="518" spans="1:2" x14ac:dyDescent="0.25">
      <c r="A518" t="s">
        <v>2037</v>
      </c>
      <c r="B518" t="s">
        <v>20797</v>
      </c>
    </row>
    <row r="519" spans="1:2" x14ac:dyDescent="0.25">
      <c r="A519" t="s">
        <v>2040</v>
      </c>
      <c r="B519" t="s">
        <v>20800</v>
      </c>
    </row>
    <row r="520" spans="1:2" x14ac:dyDescent="0.25">
      <c r="A520" t="s">
        <v>2067</v>
      </c>
      <c r="B520" t="s">
        <v>20836</v>
      </c>
    </row>
    <row r="521" spans="1:2" x14ac:dyDescent="0.25">
      <c r="A521" t="s">
        <v>2070</v>
      </c>
      <c r="B521" t="s">
        <v>20840</v>
      </c>
    </row>
    <row r="522" spans="1:2" x14ac:dyDescent="0.25">
      <c r="A522" t="s">
        <v>2046</v>
      </c>
      <c r="B522" t="s">
        <v>20808</v>
      </c>
    </row>
    <row r="523" spans="1:2" x14ac:dyDescent="0.25">
      <c r="A523" t="s">
        <v>6575</v>
      </c>
      <c r="B523" t="s">
        <v>26032</v>
      </c>
    </row>
    <row r="524" spans="1:2" x14ac:dyDescent="0.25">
      <c r="A524" t="s">
        <v>2049</v>
      </c>
      <c r="B524" t="s">
        <v>20812</v>
      </c>
    </row>
    <row r="525" spans="1:2" x14ac:dyDescent="0.25">
      <c r="A525" t="s">
        <v>2055</v>
      </c>
      <c r="B525" t="s">
        <v>20819</v>
      </c>
    </row>
    <row r="526" spans="1:2" x14ac:dyDescent="0.25">
      <c r="A526" t="s">
        <v>2058</v>
      </c>
      <c r="B526" t="s">
        <v>20824</v>
      </c>
    </row>
    <row r="527" spans="1:2" x14ac:dyDescent="0.25">
      <c r="A527" t="s">
        <v>2061</v>
      </c>
      <c r="B527" t="s">
        <v>20828</v>
      </c>
    </row>
    <row r="528" spans="1:2" x14ac:dyDescent="0.25">
      <c r="A528" t="s">
        <v>2052</v>
      </c>
      <c r="B528" t="s">
        <v>20816</v>
      </c>
    </row>
    <row r="529" spans="1:2" x14ac:dyDescent="0.25">
      <c r="A529" t="s">
        <v>2064</v>
      </c>
      <c r="B529" t="s">
        <v>20831</v>
      </c>
    </row>
    <row r="530" spans="1:2" x14ac:dyDescent="0.25">
      <c r="A530" t="s">
        <v>1905</v>
      </c>
      <c r="B530" t="s">
        <v>20625</v>
      </c>
    </row>
    <row r="531" spans="1:2" x14ac:dyDescent="0.25">
      <c r="A531" t="s">
        <v>1902</v>
      </c>
      <c r="B531" t="s">
        <v>19125</v>
      </c>
    </row>
    <row r="532" spans="1:2" x14ac:dyDescent="0.25">
      <c r="A532" t="s">
        <v>1911</v>
      </c>
      <c r="B532" t="s">
        <v>20631</v>
      </c>
    </row>
    <row r="533" spans="1:2" x14ac:dyDescent="0.25">
      <c r="A533" t="s">
        <v>1908</v>
      </c>
      <c r="B533" t="s">
        <v>1908</v>
      </c>
    </row>
    <row r="534" spans="1:2" x14ac:dyDescent="0.25">
      <c r="A534" t="s">
        <v>1914</v>
      </c>
      <c r="B534" t="s">
        <v>1914</v>
      </c>
    </row>
    <row r="535" spans="1:2" x14ac:dyDescent="0.25">
      <c r="A535" t="s">
        <v>1938</v>
      </c>
      <c r="B535" t="s">
        <v>20666</v>
      </c>
    </row>
    <row r="536" spans="1:2" x14ac:dyDescent="0.25">
      <c r="A536" t="s">
        <v>1932</v>
      </c>
      <c r="B536" t="s">
        <v>20659</v>
      </c>
    </row>
    <row r="537" spans="1:2" x14ac:dyDescent="0.25">
      <c r="A537" t="s">
        <v>1917</v>
      </c>
      <c r="B537" t="s">
        <v>20637</v>
      </c>
    </row>
    <row r="538" spans="1:2" x14ac:dyDescent="0.25">
      <c r="A538" t="s">
        <v>1920</v>
      </c>
      <c r="B538" t="s">
        <v>20641</v>
      </c>
    </row>
    <row r="539" spans="1:2" x14ac:dyDescent="0.25">
      <c r="A539" t="s">
        <v>1929</v>
      </c>
      <c r="B539" t="s">
        <v>20654</v>
      </c>
    </row>
    <row r="540" spans="1:2" x14ac:dyDescent="0.25">
      <c r="A540" t="s">
        <v>1923</v>
      </c>
      <c r="B540" t="s">
        <v>20646</v>
      </c>
    </row>
    <row r="541" spans="1:2" x14ac:dyDescent="0.25">
      <c r="A541" t="s">
        <v>1926</v>
      </c>
      <c r="B541" t="s">
        <v>20650</v>
      </c>
    </row>
    <row r="542" spans="1:2" x14ac:dyDescent="0.25">
      <c r="A542" t="s">
        <v>1941</v>
      </c>
      <c r="B542" t="s">
        <v>20671</v>
      </c>
    </row>
    <row r="543" spans="1:2" x14ac:dyDescent="0.25">
      <c r="A543" t="s">
        <v>1935</v>
      </c>
      <c r="B543" t="s">
        <v>20662</v>
      </c>
    </row>
    <row r="544" spans="1:2" x14ac:dyDescent="0.25">
      <c r="A544" t="s">
        <v>2160</v>
      </c>
      <c r="B544" t="s">
        <v>20975</v>
      </c>
    </row>
    <row r="545" spans="1:2" x14ac:dyDescent="0.25">
      <c r="A545" t="s">
        <v>2163</v>
      </c>
      <c r="B545" t="s">
        <v>20980</v>
      </c>
    </row>
    <row r="546" spans="1:2" x14ac:dyDescent="0.25">
      <c r="A546" t="s">
        <v>2076</v>
      </c>
      <c r="B546" t="s">
        <v>20850</v>
      </c>
    </row>
    <row r="547" spans="1:2" x14ac:dyDescent="0.25">
      <c r="A547" t="s">
        <v>2082</v>
      </c>
      <c r="B547" t="s">
        <v>20859</v>
      </c>
    </row>
    <row r="548" spans="1:2" x14ac:dyDescent="0.25">
      <c r="A548" t="s">
        <v>2166</v>
      </c>
      <c r="B548" t="s">
        <v>20983</v>
      </c>
    </row>
    <row r="549" spans="1:2" x14ac:dyDescent="0.25">
      <c r="A549" t="s">
        <v>5100</v>
      </c>
      <c r="B549" t="s">
        <v>24501</v>
      </c>
    </row>
    <row r="550" spans="1:2" x14ac:dyDescent="0.25">
      <c r="A550" t="s">
        <v>5097</v>
      </c>
      <c r="B550" t="s">
        <v>24496</v>
      </c>
    </row>
    <row r="551" spans="1:2" x14ac:dyDescent="0.25">
      <c r="A551" t="s">
        <v>1986</v>
      </c>
      <c r="B551" t="s">
        <v>1986</v>
      </c>
    </row>
    <row r="552" spans="1:2" x14ac:dyDescent="0.25">
      <c r="A552" t="s">
        <v>1989</v>
      </c>
      <c r="B552" t="s">
        <v>20733</v>
      </c>
    </row>
    <row r="553" spans="1:2" x14ac:dyDescent="0.25">
      <c r="A553" t="s">
        <v>2094</v>
      </c>
      <c r="B553" t="s">
        <v>20876</v>
      </c>
    </row>
    <row r="554" spans="1:2" x14ac:dyDescent="0.25">
      <c r="A554" t="s">
        <v>2097</v>
      </c>
      <c r="B554" t="s">
        <v>20881</v>
      </c>
    </row>
    <row r="555" spans="1:2" x14ac:dyDescent="0.25">
      <c r="A555" t="s">
        <v>2088</v>
      </c>
      <c r="B555" t="s">
        <v>2088</v>
      </c>
    </row>
    <row r="556" spans="1:2" x14ac:dyDescent="0.25">
      <c r="A556" t="s">
        <v>2100</v>
      </c>
      <c r="B556" t="s">
        <v>2100</v>
      </c>
    </row>
    <row r="557" spans="1:2" x14ac:dyDescent="0.25">
      <c r="A557" t="s">
        <v>2103</v>
      </c>
      <c r="B557" t="s">
        <v>20890</v>
      </c>
    </row>
    <row r="558" spans="1:2" x14ac:dyDescent="0.25">
      <c r="A558" t="s">
        <v>2169</v>
      </c>
      <c r="B558" t="s">
        <v>20988</v>
      </c>
    </row>
    <row r="559" spans="1:2" x14ac:dyDescent="0.25">
      <c r="A559" t="s">
        <v>1812</v>
      </c>
      <c r="B559" t="s">
        <v>1812</v>
      </c>
    </row>
    <row r="560" spans="1:2" x14ac:dyDescent="0.25">
      <c r="A560" t="s">
        <v>1815</v>
      </c>
      <c r="B560" t="s">
        <v>20515</v>
      </c>
    </row>
    <row r="561" spans="1:2" x14ac:dyDescent="0.25">
      <c r="A561" t="s">
        <v>1818</v>
      </c>
      <c r="B561" t="s">
        <v>20518</v>
      </c>
    </row>
    <row r="562" spans="1:2" x14ac:dyDescent="0.25">
      <c r="A562" t="s">
        <v>1821</v>
      </c>
      <c r="B562" t="s">
        <v>1821</v>
      </c>
    </row>
    <row r="563" spans="1:2" x14ac:dyDescent="0.25">
      <c r="A563" t="s">
        <v>1824</v>
      </c>
      <c r="B563" t="s">
        <v>1824</v>
      </c>
    </row>
    <row r="564" spans="1:2" x14ac:dyDescent="0.25">
      <c r="A564" t="s">
        <v>1827</v>
      </c>
      <c r="B564" t="s">
        <v>20527</v>
      </c>
    </row>
    <row r="565" spans="1:2" x14ac:dyDescent="0.25">
      <c r="A565" t="s">
        <v>1830</v>
      </c>
      <c r="B565" t="s">
        <v>20531</v>
      </c>
    </row>
    <row r="566" spans="1:2" x14ac:dyDescent="0.25">
      <c r="A566" t="s">
        <v>1839</v>
      </c>
      <c r="B566" t="s">
        <v>20543</v>
      </c>
    </row>
    <row r="567" spans="1:2" x14ac:dyDescent="0.25">
      <c r="A567" t="s">
        <v>1836</v>
      </c>
      <c r="B567" t="s">
        <v>20539</v>
      </c>
    </row>
    <row r="568" spans="1:2" x14ac:dyDescent="0.25">
      <c r="A568" t="s">
        <v>1833</v>
      </c>
      <c r="B568" t="s">
        <v>1833</v>
      </c>
    </row>
    <row r="569" spans="1:2" x14ac:dyDescent="0.25">
      <c r="A569" t="s">
        <v>2073</v>
      </c>
      <c r="B569" t="s">
        <v>20845</v>
      </c>
    </row>
    <row r="570" spans="1:2" x14ac:dyDescent="0.25">
      <c r="A570" t="s">
        <v>1851</v>
      </c>
      <c r="B570" t="s">
        <v>20560</v>
      </c>
    </row>
    <row r="571" spans="1:2" x14ac:dyDescent="0.25">
      <c r="A571" t="s">
        <v>1845</v>
      </c>
      <c r="B571" t="s">
        <v>1845</v>
      </c>
    </row>
    <row r="572" spans="1:2" x14ac:dyDescent="0.25">
      <c r="A572" t="s">
        <v>1848</v>
      </c>
      <c r="B572" t="s">
        <v>20555</v>
      </c>
    </row>
    <row r="573" spans="1:2" x14ac:dyDescent="0.25">
      <c r="A573" t="s">
        <v>1842</v>
      </c>
      <c r="B573" t="s">
        <v>20548</v>
      </c>
    </row>
    <row r="574" spans="1:2" x14ac:dyDescent="0.25">
      <c r="A574" t="s">
        <v>1854</v>
      </c>
      <c r="B574" t="s">
        <v>1854</v>
      </c>
    </row>
    <row r="575" spans="1:2" x14ac:dyDescent="0.25">
      <c r="A575" t="s">
        <v>5701</v>
      </c>
      <c r="B575" t="s">
        <v>25125</v>
      </c>
    </row>
    <row r="576" spans="1:2" x14ac:dyDescent="0.25">
      <c r="A576" t="s">
        <v>5707</v>
      </c>
      <c r="B576" t="s">
        <v>25135</v>
      </c>
    </row>
    <row r="577" spans="1:2" x14ac:dyDescent="0.25">
      <c r="A577" t="s">
        <v>1857</v>
      </c>
      <c r="B577" t="s">
        <v>20569</v>
      </c>
    </row>
    <row r="578" spans="1:2" x14ac:dyDescent="0.25">
      <c r="A578" t="s">
        <v>1860</v>
      </c>
      <c r="B578" t="s">
        <v>1860</v>
      </c>
    </row>
    <row r="579" spans="1:2" x14ac:dyDescent="0.25">
      <c r="A579" t="s">
        <v>1884</v>
      </c>
      <c r="B579" t="s">
        <v>20600</v>
      </c>
    </row>
    <row r="580" spans="1:2" x14ac:dyDescent="0.25">
      <c r="A580" t="s">
        <v>1866</v>
      </c>
      <c r="B580" t="s">
        <v>20580</v>
      </c>
    </row>
    <row r="581" spans="1:2" x14ac:dyDescent="0.25">
      <c r="A581" t="s">
        <v>1878</v>
      </c>
      <c r="B581" t="s">
        <v>20594</v>
      </c>
    </row>
    <row r="582" spans="1:2" x14ac:dyDescent="0.25">
      <c r="A582" t="s">
        <v>1872</v>
      </c>
      <c r="B582" t="s">
        <v>20587</v>
      </c>
    </row>
    <row r="583" spans="1:2" x14ac:dyDescent="0.25">
      <c r="A583" t="s">
        <v>1875</v>
      </c>
      <c r="B583" t="s">
        <v>20590</v>
      </c>
    </row>
    <row r="584" spans="1:2" x14ac:dyDescent="0.25">
      <c r="A584" t="s">
        <v>1887</v>
      </c>
      <c r="B584" t="s">
        <v>20605</v>
      </c>
    </row>
    <row r="585" spans="1:2" x14ac:dyDescent="0.25">
      <c r="A585" t="s">
        <v>1890</v>
      </c>
      <c r="B585" t="s">
        <v>20610</v>
      </c>
    </row>
    <row r="586" spans="1:2" x14ac:dyDescent="0.25">
      <c r="A586" t="s">
        <v>1881</v>
      </c>
      <c r="B586" t="s">
        <v>20597</v>
      </c>
    </row>
    <row r="587" spans="1:2" x14ac:dyDescent="0.25">
      <c r="A587" t="s">
        <v>1869</v>
      </c>
      <c r="B587" t="s">
        <v>20584</v>
      </c>
    </row>
    <row r="588" spans="1:2" x14ac:dyDescent="0.25">
      <c r="A588" t="s">
        <v>1863</v>
      </c>
      <c r="B588" t="s">
        <v>1863</v>
      </c>
    </row>
    <row r="589" spans="1:2" x14ac:dyDescent="0.25">
      <c r="A589" t="s">
        <v>1893</v>
      </c>
      <c r="B589" t="s">
        <v>1893</v>
      </c>
    </row>
    <row r="590" spans="1:2" x14ac:dyDescent="0.25">
      <c r="A590" t="s">
        <v>1896</v>
      </c>
      <c r="B590" t="s">
        <v>1896</v>
      </c>
    </row>
    <row r="591" spans="1:2" x14ac:dyDescent="0.25">
      <c r="A591" t="s">
        <v>1899</v>
      </c>
      <c r="B591" t="s">
        <v>20620</v>
      </c>
    </row>
    <row r="592" spans="1:2" x14ac:dyDescent="0.25">
      <c r="A592" t="s">
        <v>2172</v>
      </c>
      <c r="B592" t="s">
        <v>20992</v>
      </c>
    </row>
    <row r="593" spans="1:2" x14ac:dyDescent="0.25">
      <c r="A593" t="s">
        <v>2124</v>
      </c>
      <c r="B593" t="s">
        <v>20920</v>
      </c>
    </row>
    <row r="594" spans="1:2" x14ac:dyDescent="0.25">
      <c r="A594" t="s">
        <v>2091</v>
      </c>
      <c r="B594" t="s">
        <v>20872</v>
      </c>
    </row>
    <row r="595" spans="1:2" x14ac:dyDescent="0.25">
      <c r="A595" t="s">
        <v>2106</v>
      </c>
      <c r="B595" t="s">
        <v>2106</v>
      </c>
    </row>
    <row r="596" spans="1:2" x14ac:dyDescent="0.25">
      <c r="A596" t="s">
        <v>2112</v>
      </c>
      <c r="B596" t="s">
        <v>20902</v>
      </c>
    </row>
    <row r="597" spans="1:2" x14ac:dyDescent="0.25">
      <c r="A597" t="s">
        <v>2115</v>
      </c>
      <c r="B597" t="s">
        <v>20907</v>
      </c>
    </row>
    <row r="598" spans="1:2" x14ac:dyDescent="0.25">
      <c r="A598" t="s">
        <v>2121</v>
      </c>
      <c r="B598" t="s">
        <v>2121</v>
      </c>
    </row>
    <row r="599" spans="1:2" x14ac:dyDescent="0.25">
      <c r="A599" t="s">
        <v>2109</v>
      </c>
      <c r="B599" t="s">
        <v>20898</v>
      </c>
    </row>
    <row r="600" spans="1:2" x14ac:dyDescent="0.25">
      <c r="A600" t="s">
        <v>2118</v>
      </c>
      <c r="B600" t="s">
        <v>20911</v>
      </c>
    </row>
    <row r="601" spans="1:2" x14ac:dyDescent="0.25">
      <c r="A601" t="s">
        <v>1809</v>
      </c>
      <c r="B601" t="s">
        <v>1809</v>
      </c>
    </row>
    <row r="602" spans="1:2" x14ac:dyDescent="0.25">
      <c r="A602" t="s">
        <v>1992</v>
      </c>
      <c r="B602" t="s">
        <v>1992</v>
      </c>
    </row>
    <row r="603" spans="1:2" x14ac:dyDescent="0.25">
      <c r="A603" t="s">
        <v>1995</v>
      </c>
      <c r="B603" t="s">
        <v>20741</v>
      </c>
    </row>
    <row r="604" spans="1:2" x14ac:dyDescent="0.25">
      <c r="A604" t="s">
        <v>2127</v>
      </c>
      <c r="B604" t="s">
        <v>20924</v>
      </c>
    </row>
    <row r="605" spans="1:2" x14ac:dyDescent="0.25">
      <c r="A605" t="s">
        <v>1983</v>
      </c>
      <c r="B605" t="s">
        <v>20725</v>
      </c>
    </row>
    <row r="606" spans="1:2" x14ac:dyDescent="0.25">
      <c r="A606" t="s">
        <v>1944</v>
      </c>
      <c r="B606" t="s">
        <v>20676</v>
      </c>
    </row>
    <row r="607" spans="1:2" x14ac:dyDescent="0.25">
      <c r="A607" t="s">
        <v>1950</v>
      </c>
      <c r="B607" t="s">
        <v>1950</v>
      </c>
    </row>
    <row r="608" spans="1:2" x14ac:dyDescent="0.25">
      <c r="A608" t="s">
        <v>1947</v>
      </c>
      <c r="B608" t="s">
        <v>20680</v>
      </c>
    </row>
    <row r="609" spans="1:2" x14ac:dyDescent="0.25">
      <c r="A609" t="s">
        <v>1965</v>
      </c>
      <c r="B609" t="s">
        <v>20703</v>
      </c>
    </row>
    <row r="610" spans="1:2" x14ac:dyDescent="0.25">
      <c r="A610" t="s">
        <v>1953</v>
      </c>
      <c r="B610" t="s">
        <v>1953</v>
      </c>
    </row>
    <row r="611" spans="1:2" x14ac:dyDescent="0.25">
      <c r="A611" t="s">
        <v>1956</v>
      </c>
      <c r="B611" t="s">
        <v>1956</v>
      </c>
    </row>
    <row r="612" spans="1:2" x14ac:dyDescent="0.25">
      <c r="A612" t="s">
        <v>1962</v>
      </c>
      <c r="B612" t="s">
        <v>20700</v>
      </c>
    </row>
    <row r="613" spans="1:2" x14ac:dyDescent="0.25">
      <c r="A613" t="s">
        <v>1959</v>
      </c>
      <c r="B613" t="s">
        <v>20695</v>
      </c>
    </row>
    <row r="614" spans="1:2" x14ac:dyDescent="0.25">
      <c r="A614" t="s">
        <v>2175</v>
      </c>
      <c r="B614" t="s">
        <v>20997</v>
      </c>
    </row>
    <row r="615" spans="1:2" x14ac:dyDescent="0.25">
      <c r="A615" t="s">
        <v>2181</v>
      </c>
      <c r="B615" t="s">
        <v>21005</v>
      </c>
    </row>
    <row r="616" spans="1:2" x14ac:dyDescent="0.25">
      <c r="A616" t="s">
        <v>2184</v>
      </c>
      <c r="B616" t="s">
        <v>21008</v>
      </c>
    </row>
    <row r="617" spans="1:2" x14ac:dyDescent="0.25">
      <c r="A617" t="s">
        <v>2178</v>
      </c>
      <c r="B617" t="s">
        <v>21001</v>
      </c>
    </row>
    <row r="618" spans="1:2" x14ac:dyDescent="0.25">
      <c r="A618" t="s">
        <v>2133</v>
      </c>
      <c r="B618" t="s">
        <v>20934</v>
      </c>
    </row>
    <row r="619" spans="1:2" x14ac:dyDescent="0.25">
      <c r="A619" t="s">
        <v>2136</v>
      </c>
      <c r="B619" t="s">
        <v>2136</v>
      </c>
    </row>
    <row r="620" spans="1:2" x14ac:dyDescent="0.25">
      <c r="A620" t="s">
        <v>1806</v>
      </c>
      <c r="B620" t="s">
        <v>1806</v>
      </c>
    </row>
    <row r="621" spans="1:2" x14ac:dyDescent="0.25">
      <c r="A621" t="s">
        <v>6503</v>
      </c>
      <c r="B621" t="s">
        <v>25928</v>
      </c>
    </row>
    <row r="622" spans="1:2" x14ac:dyDescent="0.25">
      <c r="A622" t="s">
        <v>6662</v>
      </c>
      <c r="B622" t="s">
        <v>26152</v>
      </c>
    </row>
    <row r="623" spans="1:2" x14ac:dyDescent="0.25">
      <c r="A623" t="s">
        <v>6605</v>
      </c>
      <c r="B623" t="s">
        <v>26075</v>
      </c>
    </row>
    <row r="624" spans="1:2" x14ac:dyDescent="0.25">
      <c r="A624" t="s">
        <v>6563</v>
      </c>
      <c r="B624" t="s">
        <v>26016</v>
      </c>
    </row>
    <row r="625" spans="1:2" x14ac:dyDescent="0.25">
      <c r="A625" t="s">
        <v>6800</v>
      </c>
      <c r="B625" t="s">
        <v>26342</v>
      </c>
    </row>
    <row r="626" spans="1:2" x14ac:dyDescent="0.25">
      <c r="A626" t="s">
        <v>6803</v>
      </c>
      <c r="B626" t="s">
        <v>26346</v>
      </c>
    </row>
    <row r="627" spans="1:2" x14ac:dyDescent="0.25">
      <c r="A627" t="s">
        <v>5192</v>
      </c>
      <c r="B627" t="s">
        <v>24625</v>
      </c>
    </row>
    <row r="628" spans="1:2" x14ac:dyDescent="0.25">
      <c r="A628" t="s">
        <v>2208</v>
      </c>
      <c r="B628" t="s">
        <v>21042</v>
      </c>
    </row>
    <row r="629" spans="1:2" x14ac:dyDescent="0.25">
      <c r="A629" t="s">
        <v>2202</v>
      </c>
      <c r="B629" t="s">
        <v>21032</v>
      </c>
    </row>
    <row r="630" spans="1:2" x14ac:dyDescent="0.25">
      <c r="A630" t="s">
        <v>2205</v>
      </c>
      <c r="B630" t="s">
        <v>21037</v>
      </c>
    </row>
    <row r="631" spans="1:2" x14ac:dyDescent="0.25">
      <c r="A631" t="s">
        <v>2193</v>
      </c>
      <c r="B631" t="s">
        <v>2193</v>
      </c>
    </row>
    <row r="632" spans="1:2" x14ac:dyDescent="0.25">
      <c r="A632" t="s">
        <v>2187</v>
      </c>
      <c r="B632" t="s">
        <v>2187</v>
      </c>
    </row>
    <row r="633" spans="1:2" x14ac:dyDescent="0.25">
      <c r="A633" t="s">
        <v>2190</v>
      </c>
      <c r="B633" t="s">
        <v>21015</v>
      </c>
    </row>
    <row r="634" spans="1:2" x14ac:dyDescent="0.25">
      <c r="A634" t="s">
        <v>2199</v>
      </c>
      <c r="B634" t="s">
        <v>2199</v>
      </c>
    </row>
    <row r="635" spans="1:2" x14ac:dyDescent="0.25">
      <c r="A635" t="s">
        <v>2196</v>
      </c>
      <c r="B635" t="s">
        <v>2196</v>
      </c>
    </row>
    <row r="636" spans="1:2" x14ac:dyDescent="0.25">
      <c r="A636" t="s">
        <v>6806</v>
      </c>
      <c r="B636" t="s">
        <v>26350</v>
      </c>
    </row>
    <row r="637" spans="1:2" x14ac:dyDescent="0.25">
      <c r="A637" t="s">
        <v>2217</v>
      </c>
      <c r="B637" t="s">
        <v>21051</v>
      </c>
    </row>
    <row r="638" spans="1:2" x14ac:dyDescent="0.25">
      <c r="A638" t="s">
        <v>2220</v>
      </c>
      <c r="B638" t="s">
        <v>21054</v>
      </c>
    </row>
    <row r="639" spans="1:2" x14ac:dyDescent="0.25">
      <c r="A639" t="s">
        <v>2211</v>
      </c>
      <c r="B639" t="s">
        <v>2211</v>
      </c>
    </row>
    <row r="640" spans="1:2" x14ac:dyDescent="0.25">
      <c r="A640" t="s">
        <v>2214</v>
      </c>
      <c r="B640" t="s">
        <v>21048</v>
      </c>
    </row>
    <row r="641" spans="1:2" x14ac:dyDescent="0.25">
      <c r="A641" t="s">
        <v>2244</v>
      </c>
      <c r="B641" t="s">
        <v>21083</v>
      </c>
    </row>
    <row r="642" spans="1:2" x14ac:dyDescent="0.25">
      <c r="A642" t="s">
        <v>2247</v>
      </c>
      <c r="B642" t="s">
        <v>21086</v>
      </c>
    </row>
    <row r="643" spans="1:2" x14ac:dyDescent="0.25">
      <c r="A643" t="s">
        <v>2250</v>
      </c>
      <c r="B643" t="s">
        <v>21090</v>
      </c>
    </row>
    <row r="644" spans="1:2" x14ac:dyDescent="0.25">
      <c r="A644" t="s">
        <v>2253</v>
      </c>
      <c r="B644" t="s">
        <v>21093</v>
      </c>
    </row>
    <row r="645" spans="1:2" x14ac:dyDescent="0.25">
      <c r="A645" t="s">
        <v>2235</v>
      </c>
      <c r="B645" t="s">
        <v>21071</v>
      </c>
    </row>
    <row r="646" spans="1:2" x14ac:dyDescent="0.25">
      <c r="A646" t="s">
        <v>2229</v>
      </c>
      <c r="B646" t="s">
        <v>2229</v>
      </c>
    </row>
    <row r="647" spans="1:2" x14ac:dyDescent="0.25">
      <c r="A647" t="s">
        <v>2232</v>
      </c>
      <c r="B647" t="s">
        <v>21068</v>
      </c>
    </row>
    <row r="648" spans="1:2" x14ac:dyDescent="0.25">
      <c r="A648" t="s">
        <v>2241</v>
      </c>
      <c r="B648" t="s">
        <v>21078</v>
      </c>
    </row>
    <row r="649" spans="1:2" x14ac:dyDescent="0.25">
      <c r="A649" t="s">
        <v>2238</v>
      </c>
      <c r="B649" t="s">
        <v>2238</v>
      </c>
    </row>
    <row r="650" spans="1:2" x14ac:dyDescent="0.25">
      <c r="A650" t="s">
        <v>2256</v>
      </c>
      <c r="B650" t="s">
        <v>21097</v>
      </c>
    </row>
    <row r="651" spans="1:2" x14ac:dyDescent="0.25">
      <c r="A651" t="s">
        <v>2259</v>
      </c>
      <c r="B651" t="s">
        <v>21101</v>
      </c>
    </row>
    <row r="652" spans="1:2" x14ac:dyDescent="0.25">
      <c r="A652" t="s">
        <v>2223</v>
      </c>
      <c r="B652" t="s">
        <v>21057</v>
      </c>
    </row>
    <row r="653" spans="1:2" x14ac:dyDescent="0.25">
      <c r="A653" t="s">
        <v>2226</v>
      </c>
      <c r="B653" t="s">
        <v>21062</v>
      </c>
    </row>
    <row r="654" spans="1:2" x14ac:dyDescent="0.25">
      <c r="A654" t="s">
        <v>2274</v>
      </c>
      <c r="B654" t="s">
        <v>21117</v>
      </c>
    </row>
    <row r="655" spans="1:2" x14ac:dyDescent="0.25">
      <c r="A655" t="s">
        <v>6623</v>
      </c>
      <c r="B655" t="s">
        <v>26100</v>
      </c>
    </row>
    <row r="656" spans="1:2" x14ac:dyDescent="0.25">
      <c r="A656" t="s">
        <v>2277</v>
      </c>
      <c r="B656" t="s">
        <v>21120</v>
      </c>
    </row>
    <row r="657" spans="1:2" x14ac:dyDescent="0.25">
      <c r="A657" t="s">
        <v>2271</v>
      </c>
      <c r="B657" t="s">
        <v>21112</v>
      </c>
    </row>
    <row r="658" spans="1:2" x14ac:dyDescent="0.25">
      <c r="A658" t="s">
        <v>2262</v>
      </c>
      <c r="B658" t="s">
        <v>2262</v>
      </c>
    </row>
    <row r="659" spans="1:2" x14ac:dyDescent="0.25">
      <c r="A659" t="s">
        <v>2265</v>
      </c>
      <c r="B659" t="s">
        <v>21107</v>
      </c>
    </row>
    <row r="660" spans="1:2" x14ac:dyDescent="0.25">
      <c r="A660" t="s">
        <v>2268</v>
      </c>
      <c r="B660" t="s">
        <v>2268</v>
      </c>
    </row>
    <row r="661" spans="1:2" x14ac:dyDescent="0.25">
      <c r="A661" t="s">
        <v>2280</v>
      </c>
      <c r="B661" t="s">
        <v>2280</v>
      </c>
    </row>
    <row r="662" spans="1:2" x14ac:dyDescent="0.25">
      <c r="A662" t="s">
        <v>2283</v>
      </c>
      <c r="B662" t="s">
        <v>21125</v>
      </c>
    </row>
    <row r="663" spans="1:2" x14ac:dyDescent="0.25">
      <c r="A663" t="s">
        <v>2286</v>
      </c>
      <c r="B663" t="s">
        <v>21128</v>
      </c>
    </row>
    <row r="664" spans="1:2" x14ac:dyDescent="0.25">
      <c r="A664" t="s">
        <v>8045</v>
      </c>
      <c r="B664" t="s">
        <v>27694</v>
      </c>
    </row>
    <row r="665" spans="1:2" x14ac:dyDescent="0.25">
      <c r="A665" t="s">
        <v>1671</v>
      </c>
      <c r="B665" t="s">
        <v>20333</v>
      </c>
    </row>
    <row r="666" spans="1:2" x14ac:dyDescent="0.25">
      <c r="A666" t="s">
        <v>2289</v>
      </c>
      <c r="B666" t="s">
        <v>21132</v>
      </c>
    </row>
    <row r="667" spans="1:2" x14ac:dyDescent="0.25">
      <c r="A667" t="s">
        <v>2292</v>
      </c>
      <c r="B667" t="s">
        <v>21137</v>
      </c>
    </row>
    <row r="668" spans="1:2" x14ac:dyDescent="0.25">
      <c r="A668" t="s">
        <v>2295</v>
      </c>
      <c r="B668" t="s">
        <v>21142</v>
      </c>
    </row>
    <row r="669" spans="1:2" x14ac:dyDescent="0.25">
      <c r="A669" t="s">
        <v>2298</v>
      </c>
      <c r="B669" t="s">
        <v>21147</v>
      </c>
    </row>
    <row r="670" spans="1:2" x14ac:dyDescent="0.25">
      <c r="A670" t="s">
        <v>2301</v>
      </c>
      <c r="B670" t="s">
        <v>21152</v>
      </c>
    </row>
    <row r="671" spans="1:2" x14ac:dyDescent="0.25">
      <c r="A671" t="s">
        <v>5210</v>
      </c>
      <c r="B671" t="s">
        <v>24646</v>
      </c>
    </row>
    <row r="672" spans="1:2" x14ac:dyDescent="0.25">
      <c r="A672" t="s">
        <v>2355</v>
      </c>
      <c r="B672" t="s">
        <v>21219</v>
      </c>
    </row>
    <row r="673" spans="1:2" x14ac:dyDescent="0.25">
      <c r="A673" t="s">
        <v>2358</v>
      </c>
      <c r="B673" t="s">
        <v>21224</v>
      </c>
    </row>
    <row r="674" spans="1:2" x14ac:dyDescent="0.25">
      <c r="A674" t="s">
        <v>2361</v>
      </c>
      <c r="B674" t="s">
        <v>21227</v>
      </c>
    </row>
    <row r="675" spans="1:2" x14ac:dyDescent="0.25">
      <c r="A675" t="s">
        <v>2364</v>
      </c>
      <c r="B675" t="s">
        <v>21230</v>
      </c>
    </row>
    <row r="676" spans="1:2" x14ac:dyDescent="0.25">
      <c r="A676" t="s">
        <v>2367</v>
      </c>
      <c r="B676" t="s">
        <v>21234</v>
      </c>
    </row>
    <row r="677" spans="1:2" x14ac:dyDescent="0.25">
      <c r="A677" t="s">
        <v>2373</v>
      </c>
      <c r="B677" t="s">
        <v>21242</v>
      </c>
    </row>
    <row r="678" spans="1:2" x14ac:dyDescent="0.25">
      <c r="A678" t="s">
        <v>2376</v>
      </c>
      <c r="B678" t="s">
        <v>21246</v>
      </c>
    </row>
    <row r="679" spans="1:2" x14ac:dyDescent="0.25">
      <c r="A679" t="s">
        <v>6725</v>
      </c>
      <c r="B679" t="s">
        <v>26239</v>
      </c>
    </row>
    <row r="680" spans="1:2" x14ac:dyDescent="0.25">
      <c r="A680" t="s">
        <v>2385</v>
      </c>
      <c r="B680" t="s">
        <v>21259</v>
      </c>
    </row>
    <row r="681" spans="1:2" x14ac:dyDescent="0.25">
      <c r="A681" t="s">
        <v>2388</v>
      </c>
      <c r="B681" t="s">
        <v>21262</v>
      </c>
    </row>
    <row r="682" spans="1:2" x14ac:dyDescent="0.25">
      <c r="A682" t="s">
        <v>2379</v>
      </c>
      <c r="B682" t="s">
        <v>21249</v>
      </c>
    </row>
    <row r="683" spans="1:2" x14ac:dyDescent="0.25">
      <c r="A683" t="s">
        <v>2382</v>
      </c>
      <c r="B683" t="s">
        <v>21254</v>
      </c>
    </row>
    <row r="684" spans="1:2" x14ac:dyDescent="0.25">
      <c r="A684" t="s">
        <v>2391</v>
      </c>
      <c r="B684" t="s">
        <v>21267</v>
      </c>
    </row>
    <row r="685" spans="1:2" x14ac:dyDescent="0.25">
      <c r="A685" t="s">
        <v>2304</v>
      </c>
      <c r="B685" t="s">
        <v>21157</v>
      </c>
    </row>
    <row r="686" spans="1:2" x14ac:dyDescent="0.25">
      <c r="A686" t="s">
        <v>2343</v>
      </c>
      <c r="B686" t="s">
        <v>21205</v>
      </c>
    </row>
    <row r="687" spans="1:2" x14ac:dyDescent="0.25">
      <c r="A687" t="s">
        <v>2346</v>
      </c>
      <c r="B687" t="s">
        <v>21209</v>
      </c>
    </row>
    <row r="688" spans="1:2" x14ac:dyDescent="0.25">
      <c r="A688" t="s">
        <v>2349</v>
      </c>
      <c r="B688" t="s">
        <v>21212</v>
      </c>
    </row>
    <row r="689" spans="1:2" x14ac:dyDescent="0.25">
      <c r="A689" t="s">
        <v>2394</v>
      </c>
      <c r="B689" t="s">
        <v>21271</v>
      </c>
    </row>
    <row r="690" spans="1:2" x14ac:dyDescent="0.25">
      <c r="A690" t="s">
        <v>2307</v>
      </c>
      <c r="B690" t="s">
        <v>21162</v>
      </c>
    </row>
    <row r="691" spans="1:2" x14ac:dyDescent="0.25">
      <c r="A691" t="s">
        <v>2397</v>
      </c>
      <c r="B691" t="s">
        <v>2397</v>
      </c>
    </row>
    <row r="692" spans="1:2" x14ac:dyDescent="0.25">
      <c r="A692" t="s">
        <v>2409</v>
      </c>
      <c r="B692" t="s">
        <v>21289</v>
      </c>
    </row>
    <row r="693" spans="1:2" x14ac:dyDescent="0.25">
      <c r="A693" t="s">
        <v>2412</v>
      </c>
      <c r="B693" t="s">
        <v>21293</v>
      </c>
    </row>
    <row r="694" spans="1:2" x14ac:dyDescent="0.25">
      <c r="A694" t="s">
        <v>2310</v>
      </c>
      <c r="B694" t="s">
        <v>2310</v>
      </c>
    </row>
    <row r="695" spans="1:2" x14ac:dyDescent="0.25">
      <c r="A695" t="s">
        <v>2313</v>
      </c>
      <c r="B695" t="s">
        <v>21169</v>
      </c>
    </row>
    <row r="696" spans="1:2" x14ac:dyDescent="0.25">
      <c r="A696" t="s">
        <v>2331</v>
      </c>
      <c r="B696" t="s">
        <v>21189</v>
      </c>
    </row>
    <row r="697" spans="1:2" x14ac:dyDescent="0.25">
      <c r="A697" t="s">
        <v>2316</v>
      </c>
      <c r="B697" t="s">
        <v>2316</v>
      </c>
    </row>
    <row r="698" spans="1:2" x14ac:dyDescent="0.25">
      <c r="A698" t="s">
        <v>2334</v>
      </c>
      <c r="B698" t="s">
        <v>21193</v>
      </c>
    </row>
    <row r="699" spans="1:2" x14ac:dyDescent="0.25">
      <c r="A699" t="s">
        <v>2328</v>
      </c>
      <c r="B699" t="s">
        <v>21186</v>
      </c>
    </row>
    <row r="700" spans="1:2" x14ac:dyDescent="0.25">
      <c r="A700" t="s">
        <v>2325</v>
      </c>
      <c r="B700" t="s">
        <v>21183</v>
      </c>
    </row>
    <row r="701" spans="1:2" x14ac:dyDescent="0.25">
      <c r="A701" t="s">
        <v>2319</v>
      </c>
      <c r="B701" t="s">
        <v>21176</v>
      </c>
    </row>
    <row r="702" spans="1:2" x14ac:dyDescent="0.25">
      <c r="A702" t="s">
        <v>2322</v>
      </c>
      <c r="B702" t="s">
        <v>21179</v>
      </c>
    </row>
    <row r="703" spans="1:2" x14ac:dyDescent="0.25">
      <c r="A703" t="s">
        <v>2340</v>
      </c>
      <c r="B703" t="s">
        <v>21200</v>
      </c>
    </row>
    <row r="704" spans="1:2" x14ac:dyDescent="0.25">
      <c r="A704" t="s">
        <v>2337</v>
      </c>
      <c r="B704" t="s">
        <v>2337</v>
      </c>
    </row>
    <row r="705" spans="1:2" x14ac:dyDescent="0.25">
      <c r="A705" t="s">
        <v>2400</v>
      </c>
      <c r="B705" t="s">
        <v>2400</v>
      </c>
    </row>
    <row r="706" spans="1:2" x14ac:dyDescent="0.25">
      <c r="A706" t="s">
        <v>2403</v>
      </c>
      <c r="B706" t="s">
        <v>21282</v>
      </c>
    </row>
    <row r="707" spans="1:2" x14ac:dyDescent="0.25">
      <c r="A707" t="s">
        <v>2406</v>
      </c>
      <c r="B707" t="s">
        <v>21285</v>
      </c>
    </row>
    <row r="708" spans="1:2" x14ac:dyDescent="0.25">
      <c r="A708" t="s">
        <v>2352</v>
      </c>
      <c r="B708" t="s">
        <v>2352</v>
      </c>
    </row>
    <row r="709" spans="1:2" x14ac:dyDescent="0.25">
      <c r="A709" t="s">
        <v>2415</v>
      </c>
      <c r="B709" t="s">
        <v>21298</v>
      </c>
    </row>
    <row r="710" spans="1:2" x14ac:dyDescent="0.25">
      <c r="A710" t="s">
        <v>2418</v>
      </c>
      <c r="B710" t="s">
        <v>21302</v>
      </c>
    </row>
    <row r="711" spans="1:2" x14ac:dyDescent="0.25">
      <c r="A711" t="s">
        <v>2421</v>
      </c>
      <c r="B711" t="s">
        <v>21306</v>
      </c>
    </row>
    <row r="712" spans="1:2" x14ac:dyDescent="0.25">
      <c r="A712" t="s">
        <v>2616</v>
      </c>
      <c r="B712" t="s">
        <v>21563</v>
      </c>
    </row>
    <row r="713" spans="1:2" x14ac:dyDescent="0.25">
      <c r="A713" t="s">
        <v>2436</v>
      </c>
      <c r="B713" t="s">
        <v>21331</v>
      </c>
    </row>
    <row r="714" spans="1:2" x14ac:dyDescent="0.25">
      <c r="A714" t="s">
        <v>6500</v>
      </c>
      <c r="B714" t="s">
        <v>25923</v>
      </c>
    </row>
    <row r="715" spans="1:2" x14ac:dyDescent="0.25">
      <c r="A715" t="s">
        <v>2439</v>
      </c>
      <c r="B715" t="s">
        <v>21336</v>
      </c>
    </row>
    <row r="716" spans="1:2" x14ac:dyDescent="0.25">
      <c r="A716" t="s">
        <v>2442</v>
      </c>
      <c r="B716" t="s">
        <v>21341</v>
      </c>
    </row>
    <row r="717" spans="1:2" x14ac:dyDescent="0.25">
      <c r="A717" t="s">
        <v>2445</v>
      </c>
      <c r="B717" t="s">
        <v>21345</v>
      </c>
    </row>
    <row r="718" spans="1:2" x14ac:dyDescent="0.25">
      <c r="A718" t="s">
        <v>2448</v>
      </c>
      <c r="B718" t="s">
        <v>21349</v>
      </c>
    </row>
    <row r="719" spans="1:2" x14ac:dyDescent="0.25">
      <c r="A719" t="s">
        <v>2430</v>
      </c>
      <c r="B719" t="s">
        <v>21321</v>
      </c>
    </row>
    <row r="720" spans="1:2" x14ac:dyDescent="0.25">
      <c r="A720" t="s">
        <v>2433</v>
      </c>
      <c r="B720" t="s">
        <v>21326</v>
      </c>
    </row>
    <row r="721" spans="1:2" x14ac:dyDescent="0.25">
      <c r="A721" t="s">
        <v>2424</v>
      </c>
      <c r="B721" t="s">
        <v>21311</v>
      </c>
    </row>
    <row r="722" spans="1:2" x14ac:dyDescent="0.25">
      <c r="A722" t="s">
        <v>2427</v>
      </c>
      <c r="B722" t="s">
        <v>21316</v>
      </c>
    </row>
    <row r="723" spans="1:2" x14ac:dyDescent="0.25">
      <c r="A723" t="s">
        <v>2451</v>
      </c>
      <c r="B723" t="s">
        <v>21353</v>
      </c>
    </row>
    <row r="724" spans="1:2" x14ac:dyDescent="0.25">
      <c r="A724" t="s">
        <v>2454</v>
      </c>
      <c r="B724" t="s">
        <v>21358</v>
      </c>
    </row>
    <row r="725" spans="1:2" x14ac:dyDescent="0.25">
      <c r="A725" t="s">
        <v>2460</v>
      </c>
      <c r="B725" t="s">
        <v>21368</v>
      </c>
    </row>
    <row r="726" spans="1:2" x14ac:dyDescent="0.25">
      <c r="A726" t="s">
        <v>2457</v>
      </c>
      <c r="B726" t="s">
        <v>21363</v>
      </c>
    </row>
    <row r="727" spans="1:2" x14ac:dyDescent="0.25">
      <c r="A727" t="s">
        <v>2463</v>
      </c>
      <c r="B727" t="s">
        <v>21371</v>
      </c>
    </row>
    <row r="728" spans="1:2" x14ac:dyDescent="0.25">
      <c r="A728" t="s">
        <v>2466</v>
      </c>
      <c r="B728" t="s">
        <v>21376</v>
      </c>
    </row>
    <row r="729" spans="1:2" x14ac:dyDescent="0.25">
      <c r="A729" t="s">
        <v>4398</v>
      </c>
      <c r="B729" t="s">
        <v>4398</v>
      </c>
    </row>
    <row r="730" spans="1:2" x14ac:dyDescent="0.25">
      <c r="A730" t="s">
        <v>2469</v>
      </c>
      <c r="B730" t="s">
        <v>21380</v>
      </c>
    </row>
    <row r="731" spans="1:2" x14ac:dyDescent="0.25">
      <c r="A731" t="s">
        <v>2475</v>
      </c>
      <c r="B731" t="s">
        <v>21389</v>
      </c>
    </row>
    <row r="732" spans="1:2" x14ac:dyDescent="0.25">
      <c r="A732" t="s">
        <v>2478</v>
      </c>
      <c r="B732" t="s">
        <v>21394</v>
      </c>
    </row>
    <row r="733" spans="1:2" x14ac:dyDescent="0.25">
      <c r="A733" t="s">
        <v>2472</v>
      </c>
      <c r="B733" t="s">
        <v>21384</v>
      </c>
    </row>
    <row r="734" spans="1:2" x14ac:dyDescent="0.25">
      <c r="A734" t="s">
        <v>2481</v>
      </c>
      <c r="B734" t="s">
        <v>21399</v>
      </c>
    </row>
    <row r="735" spans="1:2" x14ac:dyDescent="0.25">
      <c r="A735" t="s">
        <v>2484</v>
      </c>
      <c r="B735" t="s">
        <v>21403</v>
      </c>
    </row>
    <row r="736" spans="1:2" x14ac:dyDescent="0.25">
      <c r="A736" t="s">
        <v>2547</v>
      </c>
      <c r="B736" t="s">
        <v>21475</v>
      </c>
    </row>
    <row r="737" spans="1:2" x14ac:dyDescent="0.25">
      <c r="A737" t="s">
        <v>2550</v>
      </c>
      <c r="B737" t="s">
        <v>21478</v>
      </c>
    </row>
    <row r="738" spans="1:2" x14ac:dyDescent="0.25">
      <c r="A738" t="s">
        <v>2565</v>
      </c>
      <c r="B738" t="s">
        <v>21499</v>
      </c>
    </row>
    <row r="739" spans="1:2" x14ac:dyDescent="0.25">
      <c r="A739" t="s">
        <v>2568</v>
      </c>
      <c r="B739" t="s">
        <v>21503</v>
      </c>
    </row>
    <row r="740" spans="1:2" x14ac:dyDescent="0.25">
      <c r="A740" t="s">
        <v>2571</v>
      </c>
      <c r="B740" t="s">
        <v>21507</v>
      </c>
    </row>
    <row r="741" spans="1:2" x14ac:dyDescent="0.25">
      <c r="A741" t="s">
        <v>2574</v>
      </c>
      <c r="B741" t="s">
        <v>21510</v>
      </c>
    </row>
    <row r="742" spans="1:2" x14ac:dyDescent="0.25">
      <c r="A742" t="s">
        <v>2580</v>
      </c>
      <c r="B742" t="s">
        <v>21517</v>
      </c>
    </row>
    <row r="743" spans="1:2" x14ac:dyDescent="0.25">
      <c r="A743" t="s">
        <v>2577</v>
      </c>
      <c r="B743" t="s">
        <v>21513</v>
      </c>
    </row>
    <row r="744" spans="1:2" x14ac:dyDescent="0.25">
      <c r="A744" t="s">
        <v>3772</v>
      </c>
      <c r="B744" t="s">
        <v>22904</v>
      </c>
    </row>
    <row r="745" spans="1:2" x14ac:dyDescent="0.25">
      <c r="A745" t="s">
        <v>2583</v>
      </c>
      <c r="B745" t="s">
        <v>21522</v>
      </c>
    </row>
    <row r="746" spans="1:2" x14ac:dyDescent="0.25">
      <c r="A746" t="s">
        <v>2586</v>
      </c>
      <c r="B746" t="s">
        <v>21525</v>
      </c>
    </row>
    <row r="747" spans="1:2" x14ac:dyDescent="0.25">
      <c r="A747" t="s">
        <v>2589</v>
      </c>
      <c r="B747" t="s">
        <v>21528</v>
      </c>
    </row>
    <row r="748" spans="1:2" x14ac:dyDescent="0.25">
      <c r="A748" t="s">
        <v>2592</v>
      </c>
      <c r="B748" t="s">
        <v>21531</v>
      </c>
    </row>
    <row r="749" spans="1:2" x14ac:dyDescent="0.25">
      <c r="A749" t="s">
        <v>2595</v>
      </c>
      <c r="B749" t="s">
        <v>21535</v>
      </c>
    </row>
    <row r="750" spans="1:2" x14ac:dyDescent="0.25">
      <c r="A750" t="s">
        <v>6755</v>
      </c>
      <c r="B750" t="s">
        <v>26281</v>
      </c>
    </row>
    <row r="751" spans="1:2" x14ac:dyDescent="0.25">
      <c r="A751" t="s">
        <v>2598</v>
      </c>
      <c r="B751" t="s">
        <v>21538</v>
      </c>
    </row>
    <row r="752" spans="1:2" x14ac:dyDescent="0.25">
      <c r="A752" t="s">
        <v>2562</v>
      </c>
      <c r="B752" t="s">
        <v>21494</v>
      </c>
    </row>
    <row r="753" spans="1:2" x14ac:dyDescent="0.25">
      <c r="A753" t="s">
        <v>2601</v>
      </c>
      <c r="B753" t="s">
        <v>21541</v>
      </c>
    </row>
    <row r="754" spans="1:2" x14ac:dyDescent="0.25">
      <c r="A754" t="s">
        <v>2604</v>
      </c>
      <c r="B754" t="s">
        <v>21546</v>
      </c>
    </row>
    <row r="755" spans="1:2" x14ac:dyDescent="0.25">
      <c r="A755" t="s">
        <v>2607</v>
      </c>
      <c r="B755" t="s">
        <v>21549</v>
      </c>
    </row>
    <row r="756" spans="1:2" x14ac:dyDescent="0.25">
      <c r="A756" t="s">
        <v>2652</v>
      </c>
      <c r="B756" t="s">
        <v>21612</v>
      </c>
    </row>
    <row r="757" spans="1:2" x14ac:dyDescent="0.25">
      <c r="A757" t="s">
        <v>2613</v>
      </c>
      <c r="B757" t="s">
        <v>21558</v>
      </c>
    </row>
    <row r="758" spans="1:2" x14ac:dyDescent="0.25">
      <c r="A758" t="s">
        <v>4395</v>
      </c>
      <c r="B758" t="s">
        <v>4395</v>
      </c>
    </row>
    <row r="759" spans="1:2" x14ac:dyDescent="0.25">
      <c r="A759" t="s">
        <v>2529</v>
      </c>
      <c r="B759" t="s">
        <v>2529</v>
      </c>
    </row>
    <row r="760" spans="1:2" x14ac:dyDescent="0.25">
      <c r="A760" t="s">
        <v>2532</v>
      </c>
      <c r="B760" t="s">
        <v>21457</v>
      </c>
    </row>
    <row r="761" spans="1:2" x14ac:dyDescent="0.25">
      <c r="A761" t="s">
        <v>2535</v>
      </c>
      <c r="B761" t="s">
        <v>21460</v>
      </c>
    </row>
    <row r="762" spans="1:2" x14ac:dyDescent="0.25">
      <c r="A762" t="s">
        <v>2538</v>
      </c>
      <c r="B762" t="s">
        <v>21463</v>
      </c>
    </row>
    <row r="763" spans="1:2" x14ac:dyDescent="0.25">
      <c r="A763" t="s">
        <v>2541</v>
      </c>
      <c r="B763" t="s">
        <v>21468</v>
      </c>
    </row>
    <row r="764" spans="1:2" x14ac:dyDescent="0.25">
      <c r="A764" t="s">
        <v>2544</v>
      </c>
      <c r="B764" t="s">
        <v>21471</v>
      </c>
    </row>
    <row r="765" spans="1:2" x14ac:dyDescent="0.25">
      <c r="A765" t="s">
        <v>2655</v>
      </c>
      <c r="B765" t="s">
        <v>21617</v>
      </c>
    </row>
    <row r="766" spans="1:2" x14ac:dyDescent="0.25">
      <c r="A766" t="s">
        <v>2619</v>
      </c>
      <c r="B766" t="s">
        <v>21568</v>
      </c>
    </row>
    <row r="767" spans="1:2" x14ac:dyDescent="0.25">
      <c r="A767" t="s">
        <v>5282</v>
      </c>
      <c r="B767" t="s">
        <v>24723</v>
      </c>
    </row>
    <row r="768" spans="1:2" x14ac:dyDescent="0.25">
      <c r="A768" t="s">
        <v>2622</v>
      </c>
      <c r="B768" t="s">
        <v>21573</v>
      </c>
    </row>
    <row r="769" spans="1:2" x14ac:dyDescent="0.25">
      <c r="A769" t="s">
        <v>2625</v>
      </c>
      <c r="B769" t="s">
        <v>2625</v>
      </c>
    </row>
    <row r="770" spans="1:2" x14ac:dyDescent="0.25">
      <c r="A770" t="s">
        <v>2664</v>
      </c>
      <c r="B770" t="s">
        <v>21630</v>
      </c>
    </row>
    <row r="771" spans="1:2" x14ac:dyDescent="0.25">
      <c r="A771" t="s">
        <v>2658</v>
      </c>
      <c r="B771" t="s">
        <v>21622</v>
      </c>
    </row>
    <row r="772" spans="1:2" x14ac:dyDescent="0.25">
      <c r="A772" t="s">
        <v>2661</v>
      </c>
      <c r="B772" t="s">
        <v>21626</v>
      </c>
    </row>
    <row r="773" spans="1:2" x14ac:dyDescent="0.25">
      <c r="A773" t="s">
        <v>2487</v>
      </c>
      <c r="B773" t="s">
        <v>2487</v>
      </c>
    </row>
    <row r="774" spans="1:2" x14ac:dyDescent="0.25">
      <c r="A774" t="s">
        <v>2490</v>
      </c>
      <c r="B774" t="s">
        <v>2490</v>
      </c>
    </row>
    <row r="775" spans="1:2" x14ac:dyDescent="0.25">
      <c r="A775" t="s">
        <v>2496</v>
      </c>
      <c r="B775" t="s">
        <v>21419</v>
      </c>
    </row>
    <row r="776" spans="1:2" x14ac:dyDescent="0.25">
      <c r="A776" t="s">
        <v>2493</v>
      </c>
      <c r="B776" t="s">
        <v>21414</v>
      </c>
    </row>
    <row r="777" spans="1:2" x14ac:dyDescent="0.25">
      <c r="A777" t="s">
        <v>2505</v>
      </c>
      <c r="B777" t="s">
        <v>2505</v>
      </c>
    </row>
    <row r="778" spans="1:2" x14ac:dyDescent="0.25">
      <c r="A778" t="s">
        <v>2499</v>
      </c>
      <c r="B778" t="s">
        <v>2499</v>
      </c>
    </row>
    <row r="779" spans="1:2" x14ac:dyDescent="0.25">
      <c r="A779" t="s">
        <v>2502</v>
      </c>
      <c r="B779" t="s">
        <v>21426</v>
      </c>
    </row>
    <row r="780" spans="1:2" x14ac:dyDescent="0.25">
      <c r="A780" t="s">
        <v>2508</v>
      </c>
      <c r="B780" t="s">
        <v>2508</v>
      </c>
    </row>
    <row r="781" spans="1:2" x14ac:dyDescent="0.25">
      <c r="A781" t="s">
        <v>2511</v>
      </c>
      <c r="B781" t="s">
        <v>2511</v>
      </c>
    </row>
    <row r="782" spans="1:2" x14ac:dyDescent="0.25">
      <c r="A782" t="s">
        <v>2514</v>
      </c>
      <c r="B782" t="s">
        <v>2514</v>
      </c>
    </row>
    <row r="783" spans="1:2" x14ac:dyDescent="0.25">
      <c r="A783" t="s">
        <v>2517</v>
      </c>
      <c r="B783" t="s">
        <v>21439</v>
      </c>
    </row>
    <row r="784" spans="1:2" x14ac:dyDescent="0.25">
      <c r="A784" t="s">
        <v>2610</v>
      </c>
      <c r="B784" t="s">
        <v>21553</v>
      </c>
    </row>
    <row r="785" spans="1:2" x14ac:dyDescent="0.25">
      <c r="A785" t="s">
        <v>2520</v>
      </c>
      <c r="B785" t="s">
        <v>21444</v>
      </c>
    </row>
    <row r="786" spans="1:2" x14ac:dyDescent="0.25">
      <c r="A786" t="s">
        <v>2523</v>
      </c>
      <c r="B786" t="s">
        <v>2523</v>
      </c>
    </row>
    <row r="787" spans="1:2" x14ac:dyDescent="0.25">
      <c r="A787" t="s">
        <v>2526</v>
      </c>
      <c r="B787" t="s">
        <v>21450</v>
      </c>
    </row>
    <row r="788" spans="1:2" x14ac:dyDescent="0.25">
      <c r="A788" t="s">
        <v>2628</v>
      </c>
      <c r="B788" t="s">
        <v>2628</v>
      </c>
    </row>
    <row r="789" spans="1:2" x14ac:dyDescent="0.25">
      <c r="A789" t="s">
        <v>2634</v>
      </c>
      <c r="B789" t="s">
        <v>21587</v>
      </c>
    </row>
    <row r="790" spans="1:2" x14ac:dyDescent="0.25">
      <c r="A790" t="s">
        <v>2637</v>
      </c>
      <c r="B790" t="s">
        <v>21592</v>
      </c>
    </row>
    <row r="791" spans="1:2" x14ac:dyDescent="0.25">
      <c r="A791" t="s">
        <v>2631</v>
      </c>
      <c r="B791" t="s">
        <v>2631</v>
      </c>
    </row>
    <row r="792" spans="1:2" x14ac:dyDescent="0.25">
      <c r="A792" t="s">
        <v>2640</v>
      </c>
      <c r="B792" t="s">
        <v>21596</v>
      </c>
    </row>
    <row r="793" spans="1:2" x14ac:dyDescent="0.25">
      <c r="A793" t="s">
        <v>2646</v>
      </c>
      <c r="B793" t="s">
        <v>21603</v>
      </c>
    </row>
    <row r="794" spans="1:2" x14ac:dyDescent="0.25">
      <c r="A794" t="s">
        <v>2643</v>
      </c>
      <c r="B794" t="s">
        <v>21599</v>
      </c>
    </row>
    <row r="795" spans="1:2" x14ac:dyDescent="0.25">
      <c r="A795" t="s">
        <v>2553</v>
      </c>
      <c r="B795" t="s">
        <v>21481</v>
      </c>
    </row>
    <row r="796" spans="1:2" x14ac:dyDescent="0.25">
      <c r="A796" t="s">
        <v>2559</v>
      </c>
      <c r="B796" t="s">
        <v>21490</v>
      </c>
    </row>
    <row r="797" spans="1:2" x14ac:dyDescent="0.25">
      <c r="A797" t="s">
        <v>2556</v>
      </c>
      <c r="B797" t="s">
        <v>21485</v>
      </c>
    </row>
    <row r="798" spans="1:2" x14ac:dyDescent="0.25">
      <c r="A798" t="s">
        <v>2649</v>
      </c>
      <c r="B798" t="s">
        <v>21608</v>
      </c>
    </row>
    <row r="799" spans="1:2" x14ac:dyDescent="0.25">
      <c r="A799" t="s">
        <v>2676</v>
      </c>
      <c r="B799" t="s">
        <v>21644</v>
      </c>
    </row>
    <row r="800" spans="1:2" x14ac:dyDescent="0.25">
      <c r="A800" t="s">
        <v>2670</v>
      </c>
      <c r="B800" t="s">
        <v>21635</v>
      </c>
    </row>
    <row r="801" spans="1:2" x14ac:dyDescent="0.25">
      <c r="A801" t="s">
        <v>2673</v>
      </c>
      <c r="B801" t="s">
        <v>21640</v>
      </c>
    </row>
    <row r="802" spans="1:2" x14ac:dyDescent="0.25">
      <c r="A802" t="s">
        <v>2679</v>
      </c>
      <c r="B802" t="s">
        <v>21648</v>
      </c>
    </row>
    <row r="803" spans="1:2" x14ac:dyDescent="0.25">
      <c r="A803" t="s">
        <v>2667</v>
      </c>
      <c r="B803" t="s">
        <v>21634</v>
      </c>
    </row>
    <row r="804" spans="1:2" x14ac:dyDescent="0.25">
      <c r="A804" t="s">
        <v>2682</v>
      </c>
      <c r="B804" t="s">
        <v>21652</v>
      </c>
    </row>
    <row r="805" spans="1:2" x14ac:dyDescent="0.25">
      <c r="A805" t="s">
        <v>2685</v>
      </c>
      <c r="B805" t="s">
        <v>21657</v>
      </c>
    </row>
    <row r="806" spans="1:2" x14ac:dyDescent="0.25">
      <c r="A806" t="s">
        <v>2828</v>
      </c>
      <c r="B806" t="s">
        <v>21823</v>
      </c>
    </row>
    <row r="807" spans="1:2" x14ac:dyDescent="0.25">
      <c r="A807" t="s">
        <v>2730</v>
      </c>
      <c r="B807" t="s">
        <v>2730</v>
      </c>
    </row>
    <row r="808" spans="1:2" x14ac:dyDescent="0.25">
      <c r="A808" t="s">
        <v>2706</v>
      </c>
      <c r="B808" t="s">
        <v>21684</v>
      </c>
    </row>
    <row r="809" spans="1:2" x14ac:dyDescent="0.25">
      <c r="A809" t="s">
        <v>2709</v>
      </c>
      <c r="B809" t="s">
        <v>21689</v>
      </c>
    </row>
    <row r="810" spans="1:2" x14ac:dyDescent="0.25">
      <c r="A810" t="s">
        <v>2712</v>
      </c>
      <c r="B810" t="s">
        <v>21692</v>
      </c>
    </row>
    <row r="811" spans="1:2" x14ac:dyDescent="0.25">
      <c r="A811" t="s">
        <v>2715</v>
      </c>
      <c r="B811" t="s">
        <v>21695</v>
      </c>
    </row>
    <row r="812" spans="1:2" x14ac:dyDescent="0.25">
      <c r="A812" t="s">
        <v>2733</v>
      </c>
      <c r="B812" t="s">
        <v>2733</v>
      </c>
    </row>
    <row r="813" spans="1:2" x14ac:dyDescent="0.25">
      <c r="A813" t="s">
        <v>2703</v>
      </c>
      <c r="B813" t="s">
        <v>21680</v>
      </c>
    </row>
    <row r="814" spans="1:2" x14ac:dyDescent="0.25">
      <c r="A814" t="s">
        <v>2718</v>
      </c>
      <c r="B814" t="s">
        <v>21699</v>
      </c>
    </row>
    <row r="815" spans="1:2" x14ac:dyDescent="0.25">
      <c r="A815" t="s">
        <v>2721</v>
      </c>
      <c r="B815" t="s">
        <v>2721</v>
      </c>
    </row>
    <row r="816" spans="1:2" x14ac:dyDescent="0.25">
      <c r="A816" t="s">
        <v>2736</v>
      </c>
      <c r="B816" t="s">
        <v>21722</v>
      </c>
    </row>
    <row r="817" spans="1:2" x14ac:dyDescent="0.25">
      <c r="A817" t="s">
        <v>2688</v>
      </c>
      <c r="B817" t="s">
        <v>21661</v>
      </c>
    </row>
    <row r="818" spans="1:2" x14ac:dyDescent="0.25">
      <c r="A818" t="s">
        <v>2691</v>
      </c>
      <c r="B818" t="s">
        <v>21665</v>
      </c>
    </row>
    <row r="819" spans="1:2" x14ac:dyDescent="0.25">
      <c r="A819" t="s">
        <v>2694</v>
      </c>
      <c r="B819" t="s">
        <v>21669</v>
      </c>
    </row>
    <row r="820" spans="1:2" x14ac:dyDescent="0.25">
      <c r="A820" t="s">
        <v>2700</v>
      </c>
      <c r="B820" t="s">
        <v>2700</v>
      </c>
    </row>
    <row r="821" spans="1:2" x14ac:dyDescent="0.25">
      <c r="A821" t="s">
        <v>2697</v>
      </c>
      <c r="B821" t="s">
        <v>2697</v>
      </c>
    </row>
    <row r="822" spans="1:2" x14ac:dyDescent="0.25">
      <c r="A822" t="s">
        <v>2724</v>
      </c>
      <c r="B822" t="s">
        <v>2724</v>
      </c>
    </row>
    <row r="823" spans="1:2" x14ac:dyDescent="0.25">
      <c r="A823" t="s">
        <v>2727</v>
      </c>
      <c r="B823" t="s">
        <v>2727</v>
      </c>
    </row>
    <row r="824" spans="1:2" x14ac:dyDescent="0.25">
      <c r="A824" t="s">
        <v>2739</v>
      </c>
      <c r="B824" t="s">
        <v>21726</v>
      </c>
    </row>
    <row r="825" spans="1:2" x14ac:dyDescent="0.25">
      <c r="A825" t="s">
        <v>2745</v>
      </c>
      <c r="B825" t="s">
        <v>21735</v>
      </c>
    </row>
    <row r="826" spans="1:2" x14ac:dyDescent="0.25">
      <c r="A826" t="s">
        <v>2742</v>
      </c>
      <c r="B826" t="s">
        <v>21731</v>
      </c>
    </row>
    <row r="827" spans="1:2" x14ac:dyDescent="0.25">
      <c r="A827" t="s">
        <v>2748</v>
      </c>
      <c r="B827" t="s">
        <v>2748</v>
      </c>
    </row>
    <row r="828" spans="1:2" x14ac:dyDescent="0.25">
      <c r="A828" t="s">
        <v>2751</v>
      </c>
      <c r="B828" t="s">
        <v>21743</v>
      </c>
    </row>
    <row r="829" spans="1:2" x14ac:dyDescent="0.25">
      <c r="A829" t="s">
        <v>9295</v>
      </c>
      <c r="B829" t="s">
        <v>29391</v>
      </c>
    </row>
    <row r="830" spans="1:2" x14ac:dyDescent="0.25">
      <c r="A830" t="s">
        <v>9298</v>
      </c>
      <c r="B830" t="s">
        <v>29396</v>
      </c>
    </row>
    <row r="831" spans="1:2" x14ac:dyDescent="0.25">
      <c r="A831" t="s">
        <v>2757</v>
      </c>
      <c r="B831" t="s">
        <v>21753</v>
      </c>
    </row>
    <row r="832" spans="1:2" x14ac:dyDescent="0.25">
      <c r="A832" t="s">
        <v>5277</v>
      </c>
      <c r="B832" t="s">
        <v>24717</v>
      </c>
    </row>
    <row r="833" spans="1:2" x14ac:dyDescent="0.25">
      <c r="A833" t="s">
        <v>2754</v>
      </c>
      <c r="B833" t="s">
        <v>21748</v>
      </c>
    </row>
    <row r="834" spans="1:2" x14ac:dyDescent="0.25">
      <c r="A834" t="s">
        <v>2760</v>
      </c>
      <c r="B834" t="s">
        <v>2760</v>
      </c>
    </row>
    <row r="835" spans="1:2" x14ac:dyDescent="0.25">
      <c r="A835" t="s">
        <v>2763</v>
      </c>
      <c r="B835" t="s">
        <v>21761</v>
      </c>
    </row>
    <row r="836" spans="1:2" x14ac:dyDescent="0.25">
      <c r="A836" t="s">
        <v>2766</v>
      </c>
      <c r="B836" t="s">
        <v>21766</v>
      </c>
    </row>
    <row r="837" spans="1:2" x14ac:dyDescent="0.25">
      <c r="A837" t="s">
        <v>2775</v>
      </c>
      <c r="B837" t="s">
        <v>21780</v>
      </c>
    </row>
    <row r="838" spans="1:2" x14ac:dyDescent="0.25">
      <c r="A838" t="s">
        <v>2769</v>
      </c>
      <c r="B838" t="s">
        <v>21771</v>
      </c>
    </row>
    <row r="839" spans="1:2" x14ac:dyDescent="0.25">
      <c r="A839" t="s">
        <v>2772</v>
      </c>
      <c r="B839" t="s">
        <v>2772</v>
      </c>
    </row>
    <row r="840" spans="1:2" x14ac:dyDescent="0.25">
      <c r="A840" t="s">
        <v>2778</v>
      </c>
      <c r="B840" t="s">
        <v>21785</v>
      </c>
    </row>
    <row r="841" spans="1:2" x14ac:dyDescent="0.25">
      <c r="A841" t="s">
        <v>6183</v>
      </c>
      <c r="B841" t="s">
        <v>25691</v>
      </c>
    </row>
    <row r="842" spans="1:2" x14ac:dyDescent="0.25">
      <c r="A842" t="s">
        <v>2783</v>
      </c>
      <c r="B842" t="s">
        <v>21787</v>
      </c>
    </row>
    <row r="843" spans="1:2" x14ac:dyDescent="0.25">
      <c r="A843" t="s">
        <v>2785</v>
      </c>
      <c r="B843" t="s">
        <v>21791</v>
      </c>
    </row>
    <row r="844" spans="1:2" x14ac:dyDescent="0.25">
      <c r="A844" t="s">
        <v>2788</v>
      </c>
      <c r="B844" t="s">
        <v>21792</v>
      </c>
    </row>
    <row r="845" spans="1:2" x14ac:dyDescent="0.25">
      <c r="A845" t="s">
        <v>2791</v>
      </c>
      <c r="B845" t="s">
        <v>21793</v>
      </c>
    </row>
    <row r="846" spans="1:2" x14ac:dyDescent="0.25">
      <c r="A846" t="s">
        <v>2794</v>
      </c>
      <c r="B846" t="s">
        <v>21794</v>
      </c>
    </row>
    <row r="847" spans="1:2" x14ac:dyDescent="0.25">
      <c r="A847" t="s">
        <v>2961</v>
      </c>
      <c r="B847" t="s">
        <v>21902</v>
      </c>
    </row>
    <row r="848" spans="1:2" x14ac:dyDescent="0.25">
      <c r="A848" t="s">
        <v>2959</v>
      </c>
      <c r="B848" t="s">
        <v>21901</v>
      </c>
    </row>
    <row r="849" spans="1:2" x14ac:dyDescent="0.25">
      <c r="A849" t="s">
        <v>2781</v>
      </c>
      <c r="B849" t="s">
        <v>21786</v>
      </c>
    </row>
    <row r="850" spans="1:2" x14ac:dyDescent="0.25">
      <c r="A850" t="s">
        <v>2796</v>
      </c>
      <c r="B850" t="s">
        <v>21795</v>
      </c>
    </row>
    <row r="851" spans="1:2" x14ac:dyDescent="0.25">
      <c r="A851" t="s">
        <v>2798</v>
      </c>
      <c r="B851" t="s">
        <v>21796</v>
      </c>
    </row>
    <row r="852" spans="1:2" x14ac:dyDescent="0.25">
      <c r="A852" t="s">
        <v>2801</v>
      </c>
      <c r="B852" t="s">
        <v>21797</v>
      </c>
    </row>
    <row r="853" spans="1:2" x14ac:dyDescent="0.25">
      <c r="A853" t="s">
        <v>8118</v>
      </c>
      <c r="B853" t="s">
        <v>27779</v>
      </c>
    </row>
    <row r="854" spans="1:2" x14ac:dyDescent="0.25">
      <c r="A854" t="s">
        <v>4852</v>
      </c>
      <c r="B854" t="s">
        <v>24304</v>
      </c>
    </row>
    <row r="855" spans="1:2" x14ac:dyDescent="0.25">
      <c r="A855" t="s">
        <v>5718</v>
      </c>
      <c r="B855" t="s">
        <v>25149</v>
      </c>
    </row>
    <row r="856" spans="1:2" x14ac:dyDescent="0.25">
      <c r="A856" t="s">
        <v>7932</v>
      </c>
      <c r="B856" t="s">
        <v>27637</v>
      </c>
    </row>
    <row r="857" spans="1:2" x14ac:dyDescent="0.25">
      <c r="A857" t="s">
        <v>2803</v>
      </c>
      <c r="B857" t="s">
        <v>21801</v>
      </c>
    </row>
    <row r="858" spans="1:2" x14ac:dyDescent="0.25">
      <c r="A858" t="s">
        <v>8163</v>
      </c>
      <c r="B858" t="s">
        <v>27845</v>
      </c>
    </row>
    <row r="859" spans="1:2" x14ac:dyDescent="0.25">
      <c r="A859" t="s">
        <v>8136</v>
      </c>
      <c r="B859" t="s">
        <v>27805</v>
      </c>
    </row>
    <row r="860" spans="1:2" x14ac:dyDescent="0.25">
      <c r="A860" t="s">
        <v>2966</v>
      </c>
      <c r="B860" t="s">
        <v>21906</v>
      </c>
    </row>
    <row r="861" spans="1:2" x14ac:dyDescent="0.25">
      <c r="A861" t="s">
        <v>2969</v>
      </c>
      <c r="B861" t="s">
        <v>21911</v>
      </c>
    </row>
    <row r="862" spans="1:2" x14ac:dyDescent="0.25">
      <c r="A862" t="s">
        <v>8157</v>
      </c>
      <c r="B862" t="s">
        <v>8157</v>
      </c>
    </row>
    <row r="863" spans="1:2" x14ac:dyDescent="0.25">
      <c r="A863" t="s">
        <v>8160</v>
      </c>
      <c r="B863" t="s">
        <v>27840</v>
      </c>
    </row>
    <row r="864" spans="1:2" x14ac:dyDescent="0.25">
      <c r="A864" t="s">
        <v>8175</v>
      </c>
      <c r="B864" t="s">
        <v>8175</v>
      </c>
    </row>
    <row r="865" spans="1:2" x14ac:dyDescent="0.25">
      <c r="A865" t="s">
        <v>8166</v>
      </c>
      <c r="B865" t="s">
        <v>27849</v>
      </c>
    </row>
    <row r="866" spans="1:2" x14ac:dyDescent="0.25">
      <c r="A866" t="s">
        <v>8172</v>
      </c>
      <c r="B866" t="s">
        <v>27858</v>
      </c>
    </row>
    <row r="867" spans="1:2" x14ac:dyDescent="0.25">
      <c r="A867" t="s">
        <v>8178</v>
      </c>
      <c r="B867" t="s">
        <v>27866</v>
      </c>
    </row>
    <row r="868" spans="1:2" x14ac:dyDescent="0.25">
      <c r="A868" t="s">
        <v>8184</v>
      </c>
      <c r="B868" t="s">
        <v>27871</v>
      </c>
    </row>
    <row r="869" spans="1:2" x14ac:dyDescent="0.25">
      <c r="A869" t="s">
        <v>2950</v>
      </c>
      <c r="B869" t="s">
        <v>21892</v>
      </c>
    </row>
    <row r="870" spans="1:2" x14ac:dyDescent="0.25">
      <c r="A870" t="s">
        <v>8169</v>
      </c>
      <c r="B870" t="s">
        <v>8169</v>
      </c>
    </row>
    <row r="871" spans="1:2" x14ac:dyDescent="0.25">
      <c r="A871" t="s">
        <v>2953</v>
      </c>
      <c r="B871" t="s">
        <v>21897</v>
      </c>
    </row>
    <row r="872" spans="1:2" x14ac:dyDescent="0.25">
      <c r="A872" t="s">
        <v>8187</v>
      </c>
      <c r="B872" t="s">
        <v>27875</v>
      </c>
    </row>
    <row r="873" spans="1:2" x14ac:dyDescent="0.25">
      <c r="A873" t="s">
        <v>8130</v>
      </c>
      <c r="B873" t="s">
        <v>8130</v>
      </c>
    </row>
    <row r="874" spans="1:2" x14ac:dyDescent="0.25">
      <c r="A874" t="s">
        <v>2805</v>
      </c>
      <c r="B874" t="s">
        <v>21802</v>
      </c>
    </row>
    <row r="875" spans="1:2" x14ac:dyDescent="0.25">
      <c r="A875" t="s">
        <v>8127</v>
      </c>
      <c r="B875" t="s">
        <v>27793</v>
      </c>
    </row>
    <row r="876" spans="1:2" x14ac:dyDescent="0.25">
      <c r="A876" t="s">
        <v>8148</v>
      </c>
      <c r="B876" t="s">
        <v>8148</v>
      </c>
    </row>
    <row r="877" spans="1:2" x14ac:dyDescent="0.25">
      <c r="A877" t="s">
        <v>8133</v>
      </c>
      <c r="B877" t="s">
        <v>8133</v>
      </c>
    </row>
    <row r="878" spans="1:2" x14ac:dyDescent="0.25">
      <c r="A878" t="s">
        <v>8151</v>
      </c>
      <c r="B878" t="s">
        <v>8151</v>
      </c>
    </row>
    <row r="879" spans="1:2" x14ac:dyDescent="0.25">
      <c r="A879" t="s">
        <v>8124</v>
      </c>
      <c r="B879" t="s">
        <v>27788</v>
      </c>
    </row>
    <row r="880" spans="1:2" x14ac:dyDescent="0.25">
      <c r="A880" t="s">
        <v>8121</v>
      </c>
      <c r="B880" t="s">
        <v>8121</v>
      </c>
    </row>
    <row r="881" spans="1:2" x14ac:dyDescent="0.25">
      <c r="A881" t="s">
        <v>8142</v>
      </c>
      <c r="B881" t="s">
        <v>27814</v>
      </c>
    </row>
    <row r="882" spans="1:2" x14ac:dyDescent="0.25">
      <c r="A882" t="s">
        <v>2963</v>
      </c>
      <c r="B882" t="s">
        <v>2963</v>
      </c>
    </row>
    <row r="883" spans="1:2" x14ac:dyDescent="0.25">
      <c r="A883" t="s">
        <v>8181</v>
      </c>
      <c r="B883" t="s">
        <v>27870</v>
      </c>
    </row>
    <row r="884" spans="1:2" x14ac:dyDescent="0.25">
      <c r="A884" t="s">
        <v>2807</v>
      </c>
      <c r="B884" t="s">
        <v>21803</v>
      </c>
    </row>
    <row r="885" spans="1:2" x14ac:dyDescent="0.25">
      <c r="A885" t="s">
        <v>1302</v>
      </c>
      <c r="B885" t="s">
        <v>19829</v>
      </c>
    </row>
    <row r="886" spans="1:2" x14ac:dyDescent="0.25">
      <c r="A886" t="s">
        <v>2817</v>
      </c>
      <c r="B886" t="s">
        <v>21818</v>
      </c>
    </row>
    <row r="887" spans="1:2" x14ac:dyDescent="0.25">
      <c r="A887" t="s">
        <v>2819</v>
      </c>
      <c r="B887" t="s">
        <v>21819</v>
      </c>
    </row>
    <row r="888" spans="1:2" x14ac:dyDescent="0.25">
      <c r="A888" t="s">
        <v>2822</v>
      </c>
      <c r="B888" t="s">
        <v>21820</v>
      </c>
    </row>
    <row r="889" spans="1:2" x14ac:dyDescent="0.25">
      <c r="A889" t="s">
        <v>2824</v>
      </c>
      <c r="B889" t="s">
        <v>21821</v>
      </c>
    </row>
    <row r="890" spans="1:2" x14ac:dyDescent="0.25">
      <c r="A890" t="s">
        <v>6201</v>
      </c>
      <c r="B890" t="s">
        <v>25703</v>
      </c>
    </row>
    <row r="891" spans="1:2" x14ac:dyDescent="0.25">
      <c r="A891" t="s">
        <v>2826</v>
      </c>
      <c r="B891" t="s">
        <v>21822</v>
      </c>
    </row>
    <row r="892" spans="1:2" x14ac:dyDescent="0.25">
      <c r="A892" t="s">
        <v>8199</v>
      </c>
      <c r="B892" t="s">
        <v>27894</v>
      </c>
    </row>
    <row r="893" spans="1:2" x14ac:dyDescent="0.25">
      <c r="A893" t="s">
        <v>8232</v>
      </c>
      <c r="B893" t="s">
        <v>8232</v>
      </c>
    </row>
    <row r="894" spans="1:2" x14ac:dyDescent="0.25">
      <c r="A894" t="s">
        <v>8205</v>
      </c>
      <c r="B894" t="s">
        <v>8205</v>
      </c>
    </row>
    <row r="895" spans="1:2" x14ac:dyDescent="0.25">
      <c r="A895" t="s">
        <v>8208</v>
      </c>
      <c r="B895" t="s">
        <v>27906</v>
      </c>
    </row>
    <row r="896" spans="1:2" x14ac:dyDescent="0.25">
      <c r="A896" t="s">
        <v>8202</v>
      </c>
      <c r="B896" t="s">
        <v>8202</v>
      </c>
    </row>
    <row r="897" spans="1:2" x14ac:dyDescent="0.25">
      <c r="A897" t="s">
        <v>8211</v>
      </c>
      <c r="B897" t="s">
        <v>8211</v>
      </c>
    </row>
    <row r="898" spans="1:2" x14ac:dyDescent="0.25">
      <c r="A898" t="s">
        <v>8115</v>
      </c>
      <c r="B898" t="s">
        <v>27774</v>
      </c>
    </row>
    <row r="899" spans="1:2" x14ac:dyDescent="0.25">
      <c r="A899" t="s">
        <v>8100</v>
      </c>
      <c r="B899" t="s">
        <v>27751</v>
      </c>
    </row>
    <row r="900" spans="1:2" x14ac:dyDescent="0.25">
      <c r="A900" t="s">
        <v>8154</v>
      </c>
      <c r="B900" t="s">
        <v>27831</v>
      </c>
    </row>
    <row r="901" spans="1:2" x14ac:dyDescent="0.25">
      <c r="A901" t="s">
        <v>8190</v>
      </c>
      <c r="B901" t="s">
        <v>27880</v>
      </c>
    </row>
    <row r="902" spans="1:2" x14ac:dyDescent="0.25">
      <c r="A902" t="s">
        <v>8193</v>
      </c>
      <c r="B902" t="s">
        <v>27885</v>
      </c>
    </row>
    <row r="903" spans="1:2" x14ac:dyDescent="0.25">
      <c r="A903" t="s">
        <v>8103</v>
      </c>
      <c r="B903" t="s">
        <v>27755</v>
      </c>
    </row>
    <row r="904" spans="1:2" x14ac:dyDescent="0.25">
      <c r="A904" t="s">
        <v>8106</v>
      </c>
      <c r="B904" t="s">
        <v>27760</v>
      </c>
    </row>
    <row r="905" spans="1:2" x14ac:dyDescent="0.25">
      <c r="A905" t="s">
        <v>8109</v>
      </c>
      <c r="B905" t="s">
        <v>27764</v>
      </c>
    </row>
    <row r="906" spans="1:2" x14ac:dyDescent="0.25">
      <c r="A906" t="s">
        <v>8097</v>
      </c>
      <c r="B906" t="s">
        <v>27746</v>
      </c>
    </row>
    <row r="907" spans="1:2" x14ac:dyDescent="0.25">
      <c r="A907" t="s">
        <v>8112</v>
      </c>
      <c r="B907" t="s">
        <v>27769</v>
      </c>
    </row>
    <row r="908" spans="1:2" x14ac:dyDescent="0.25">
      <c r="A908" t="s">
        <v>8196</v>
      </c>
      <c r="B908" t="s">
        <v>27890</v>
      </c>
    </row>
    <row r="909" spans="1:2" x14ac:dyDescent="0.25">
      <c r="A909" t="s">
        <v>8235</v>
      </c>
      <c r="B909" t="s">
        <v>27943</v>
      </c>
    </row>
    <row r="910" spans="1:2" x14ac:dyDescent="0.25">
      <c r="A910" t="s">
        <v>8094</v>
      </c>
      <c r="B910" t="s">
        <v>27742</v>
      </c>
    </row>
    <row r="911" spans="1:2" x14ac:dyDescent="0.25">
      <c r="A911" t="s">
        <v>8310</v>
      </c>
      <c r="B911" t="s">
        <v>28046</v>
      </c>
    </row>
    <row r="912" spans="1:2" x14ac:dyDescent="0.25">
      <c r="A912" t="s">
        <v>8334</v>
      </c>
      <c r="B912" t="s">
        <v>28079</v>
      </c>
    </row>
    <row r="913" spans="1:2" x14ac:dyDescent="0.25">
      <c r="A913" t="s">
        <v>8214</v>
      </c>
      <c r="B913" t="s">
        <v>8214</v>
      </c>
    </row>
    <row r="914" spans="1:2" x14ac:dyDescent="0.25">
      <c r="A914" t="s">
        <v>5057</v>
      </c>
      <c r="B914" t="s">
        <v>24464</v>
      </c>
    </row>
    <row r="915" spans="1:2" x14ac:dyDescent="0.25">
      <c r="A915" t="s">
        <v>4844</v>
      </c>
      <c r="B915" t="s">
        <v>24300</v>
      </c>
    </row>
    <row r="916" spans="1:2" x14ac:dyDescent="0.25">
      <c r="A916" t="s">
        <v>5597</v>
      </c>
      <c r="B916" t="s">
        <v>25034</v>
      </c>
    </row>
    <row r="917" spans="1:2" x14ac:dyDescent="0.25">
      <c r="A917" t="s">
        <v>8217</v>
      </c>
      <c r="B917" t="s">
        <v>27919</v>
      </c>
    </row>
    <row r="918" spans="1:2" x14ac:dyDescent="0.25">
      <c r="A918" t="s">
        <v>8226</v>
      </c>
      <c r="B918" t="s">
        <v>8226</v>
      </c>
    </row>
    <row r="919" spans="1:2" x14ac:dyDescent="0.25">
      <c r="A919" t="s">
        <v>8223</v>
      </c>
      <c r="B919" t="s">
        <v>8223</v>
      </c>
    </row>
    <row r="920" spans="1:2" x14ac:dyDescent="0.25">
      <c r="A920" t="s">
        <v>8229</v>
      </c>
      <c r="B920" t="s">
        <v>8229</v>
      </c>
    </row>
    <row r="921" spans="1:2" x14ac:dyDescent="0.25">
      <c r="A921" t="s">
        <v>8220</v>
      </c>
      <c r="B921" t="s">
        <v>27923</v>
      </c>
    </row>
    <row r="922" spans="1:2" x14ac:dyDescent="0.25">
      <c r="A922" t="s">
        <v>8238</v>
      </c>
      <c r="B922" t="s">
        <v>8238</v>
      </c>
    </row>
    <row r="923" spans="1:2" x14ac:dyDescent="0.25">
      <c r="A923" t="s">
        <v>2981</v>
      </c>
      <c r="B923" t="s">
        <v>21925</v>
      </c>
    </row>
    <row r="924" spans="1:2" x14ac:dyDescent="0.25">
      <c r="A924" t="s">
        <v>2987</v>
      </c>
      <c r="B924" t="s">
        <v>21935</v>
      </c>
    </row>
    <row r="925" spans="1:2" x14ac:dyDescent="0.25">
      <c r="A925" t="s">
        <v>2978</v>
      </c>
      <c r="B925" t="s">
        <v>21920</v>
      </c>
    </row>
    <row r="926" spans="1:2" x14ac:dyDescent="0.25">
      <c r="A926" t="s">
        <v>2990</v>
      </c>
      <c r="B926" t="s">
        <v>21939</v>
      </c>
    </row>
    <row r="927" spans="1:2" x14ac:dyDescent="0.25">
      <c r="A927" t="s">
        <v>2984</v>
      </c>
      <c r="B927" t="s">
        <v>21930</v>
      </c>
    </row>
    <row r="928" spans="1:2" x14ac:dyDescent="0.25">
      <c r="A928" t="s">
        <v>6408</v>
      </c>
      <c r="B928" t="s">
        <v>6408</v>
      </c>
    </row>
    <row r="929" spans="1:2" x14ac:dyDescent="0.25">
      <c r="A929" t="s">
        <v>8244</v>
      </c>
      <c r="B929" t="s">
        <v>8244</v>
      </c>
    </row>
    <row r="930" spans="1:2" x14ac:dyDescent="0.25">
      <c r="A930" t="s">
        <v>2993</v>
      </c>
      <c r="B930" t="s">
        <v>2993</v>
      </c>
    </row>
    <row r="931" spans="1:2" x14ac:dyDescent="0.25">
      <c r="A931" t="s">
        <v>2996</v>
      </c>
      <c r="B931" t="s">
        <v>2996</v>
      </c>
    </row>
    <row r="932" spans="1:2" x14ac:dyDescent="0.25">
      <c r="A932" t="s">
        <v>8277</v>
      </c>
      <c r="B932" t="s">
        <v>8277</v>
      </c>
    </row>
    <row r="933" spans="1:2" x14ac:dyDescent="0.25">
      <c r="A933" t="s">
        <v>8274</v>
      </c>
      <c r="B933" t="s">
        <v>8274</v>
      </c>
    </row>
    <row r="934" spans="1:2" x14ac:dyDescent="0.25">
      <c r="A934" t="s">
        <v>8253</v>
      </c>
      <c r="B934" t="s">
        <v>27969</v>
      </c>
    </row>
    <row r="935" spans="1:2" x14ac:dyDescent="0.25">
      <c r="A935" t="s">
        <v>8250</v>
      </c>
      <c r="B935" t="s">
        <v>8250</v>
      </c>
    </row>
    <row r="936" spans="1:2" x14ac:dyDescent="0.25">
      <c r="A936" t="s">
        <v>8247</v>
      </c>
      <c r="B936" t="s">
        <v>27960</v>
      </c>
    </row>
    <row r="937" spans="1:2" x14ac:dyDescent="0.25">
      <c r="A937" t="s">
        <v>3008</v>
      </c>
      <c r="B937" t="s">
        <v>3008</v>
      </c>
    </row>
    <row r="938" spans="1:2" x14ac:dyDescent="0.25">
      <c r="A938" t="s">
        <v>3011</v>
      </c>
      <c r="B938" t="s">
        <v>21965</v>
      </c>
    </row>
    <row r="939" spans="1:2" x14ac:dyDescent="0.25">
      <c r="A939" t="s">
        <v>2834</v>
      </c>
      <c r="B939" t="s">
        <v>21831</v>
      </c>
    </row>
    <row r="940" spans="1:2" x14ac:dyDescent="0.25">
      <c r="A940" t="s">
        <v>3014</v>
      </c>
      <c r="B940" t="s">
        <v>3014</v>
      </c>
    </row>
    <row r="941" spans="1:2" x14ac:dyDescent="0.25">
      <c r="A941" t="s">
        <v>3005</v>
      </c>
      <c r="B941" t="s">
        <v>21956</v>
      </c>
    </row>
    <row r="942" spans="1:2" x14ac:dyDescent="0.25">
      <c r="A942" t="s">
        <v>8256</v>
      </c>
      <c r="B942" t="s">
        <v>8256</v>
      </c>
    </row>
    <row r="943" spans="1:2" x14ac:dyDescent="0.25">
      <c r="A943" t="s">
        <v>8262</v>
      </c>
      <c r="B943" t="s">
        <v>8262</v>
      </c>
    </row>
    <row r="944" spans="1:2" x14ac:dyDescent="0.25">
      <c r="A944" t="s">
        <v>8265</v>
      </c>
      <c r="B944" t="s">
        <v>8265</v>
      </c>
    </row>
    <row r="945" spans="1:2" x14ac:dyDescent="0.25">
      <c r="A945" t="s">
        <v>8283</v>
      </c>
      <c r="B945" t="s">
        <v>8283</v>
      </c>
    </row>
    <row r="946" spans="1:2" x14ac:dyDescent="0.25">
      <c r="A946" t="s">
        <v>8280</v>
      </c>
      <c r="B946" t="s">
        <v>8280</v>
      </c>
    </row>
    <row r="947" spans="1:2" x14ac:dyDescent="0.25">
      <c r="A947" t="s">
        <v>8271</v>
      </c>
      <c r="B947" t="s">
        <v>8271</v>
      </c>
    </row>
    <row r="948" spans="1:2" x14ac:dyDescent="0.25">
      <c r="A948" t="s">
        <v>5850</v>
      </c>
      <c r="B948" t="s">
        <v>25293</v>
      </c>
    </row>
    <row r="949" spans="1:2" x14ac:dyDescent="0.25">
      <c r="A949" t="s">
        <v>4822</v>
      </c>
      <c r="B949" t="s">
        <v>24282</v>
      </c>
    </row>
    <row r="950" spans="1:2" x14ac:dyDescent="0.25">
      <c r="A950" t="s">
        <v>2814</v>
      </c>
      <c r="B950" t="s">
        <v>21813</v>
      </c>
    </row>
    <row r="951" spans="1:2" x14ac:dyDescent="0.25">
      <c r="A951" t="s">
        <v>5853</v>
      </c>
      <c r="B951" t="s">
        <v>25298</v>
      </c>
    </row>
    <row r="952" spans="1:2" x14ac:dyDescent="0.25">
      <c r="A952" t="s">
        <v>5859</v>
      </c>
      <c r="B952" t="s">
        <v>25308</v>
      </c>
    </row>
    <row r="953" spans="1:2" x14ac:dyDescent="0.25">
      <c r="A953" t="s">
        <v>5856</v>
      </c>
      <c r="B953" t="s">
        <v>25303</v>
      </c>
    </row>
    <row r="954" spans="1:2" x14ac:dyDescent="0.25">
      <c r="A954" t="s">
        <v>8268</v>
      </c>
      <c r="B954" t="s">
        <v>27990</v>
      </c>
    </row>
    <row r="955" spans="1:2" x14ac:dyDescent="0.25">
      <c r="A955" t="s">
        <v>8286</v>
      </c>
      <c r="B955" t="s">
        <v>28014</v>
      </c>
    </row>
    <row r="956" spans="1:2" x14ac:dyDescent="0.25">
      <c r="A956" t="s">
        <v>8259</v>
      </c>
      <c r="B956" t="s">
        <v>27977</v>
      </c>
    </row>
    <row r="957" spans="1:2" x14ac:dyDescent="0.25">
      <c r="A957" t="s">
        <v>8241</v>
      </c>
      <c r="B957" t="s">
        <v>27952</v>
      </c>
    </row>
    <row r="958" spans="1:2" x14ac:dyDescent="0.25">
      <c r="A958" t="s">
        <v>2837</v>
      </c>
      <c r="B958" t="s">
        <v>2837</v>
      </c>
    </row>
    <row r="959" spans="1:2" x14ac:dyDescent="0.25">
      <c r="A959" t="s">
        <v>2839</v>
      </c>
      <c r="B959" t="s">
        <v>2839</v>
      </c>
    </row>
    <row r="960" spans="1:2" x14ac:dyDescent="0.25">
      <c r="A960" t="s">
        <v>8307</v>
      </c>
      <c r="B960" t="s">
        <v>28041</v>
      </c>
    </row>
    <row r="961" spans="1:2" x14ac:dyDescent="0.25">
      <c r="A961" t="s">
        <v>8292</v>
      </c>
      <c r="B961" t="s">
        <v>8292</v>
      </c>
    </row>
    <row r="962" spans="1:2" x14ac:dyDescent="0.25">
      <c r="A962" t="s">
        <v>6337</v>
      </c>
      <c r="B962" t="s">
        <v>25771</v>
      </c>
    </row>
    <row r="963" spans="1:2" x14ac:dyDescent="0.25">
      <c r="A963" t="s">
        <v>6331</v>
      </c>
      <c r="B963" t="s">
        <v>25768</v>
      </c>
    </row>
    <row r="964" spans="1:2" x14ac:dyDescent="0.25">
      <c r="A964" t="s">
        <v>6295</v>
      </c>
      <c r="B964" t="s">
        <v>25750</v>
      </c>
    </row>
    <row r="965" spans="1:2" x14ac:dyDescent="0.25">
      <c r="A965" t="s">
        <v>6297</v>
      </c>
      <c r="B965" t="s">
        <v>25751</v>
      </c>
    </row>
    <row r="966" spans="1:2" x14ac:dyDescent="0.25">
      <c r="A966" t="s">
        <v>6355</v>
      </c>
      <c r="B966" t="s">
        <v>25780</v>
      </c>
    </row>
    <row r="967" spans="1:2" x14ac:dyDescent="0.25">
      <c r="A967" t="s">
        <v>6281</v>
      </c>
      <c r="B967" t="s">
        <v>25743</v>
      </c>
    </row>
    <row r="968" spans="1:2" x14ac:dyDescent="0.25">
      <c r="A968" t="s">
        <v>6175</v>
      </c>
      <c r="B968" t="s">
        <v>25687</v>
      </c>
    </row>
    <row r="969" spans="1:2" x14ac:dyDescent="0.25">
      <c r="A969" t="s">
        <v>6247</v>
      </c>
      <c r="B969" t="s">
        <v>25726</v>
      </c>
    </row>
    <row r="970" spans="1:2" x14ac:dyDescent="0.25">
      <c r="A970" t="s">
        <v>6255</v>
      </c>
      <c r="B970" t="s">
        <v>25730</v>
      </c>
    </row>
    <row r="971" spans="1:2" x14ac:dyDescent="0.25">
      <c r="A971" t="s">
        <v>6349</v>
      </c>
      <c r="B971" t="s">
        <v>25777</v>
      </c>
    </row>
    <row r="972" spans="1:2" x14ac:dyDescent="0.25">
      <c r="A972" t="s">
        <v>6265</v>
      </c>
      <c r="B972" t="s">
        <v>25735</v>
      </c>
    </row>
    <row r="973" spans="1:2" x14ac:dyDescent="0.25">
      <c r="A973" t="s">
        <v>6363</v>
      </c>
      <c r="B973" t="s">
        <v>25784</v>
      </c>
    </row>
    <row r="974" spans="1:2" x14ac:dyDescent="0.25">
      <c r="A974" t="s">
        <v>6323</v>
      </c>
      <c r="B974" t="s">
        <v>25764</v>
      </c>
    </row>
    <row r="975" spans="1:2" x14ac:dyDescent="0.25">
      <c r="A975" t="s">
        <v>6325</v>
      </c>
      <c r="B975" t="s">
        <v>25765</v>
      </c>
    </row>
    <row r="976" spans="1:2" x14ac:dyDescent="0.25">
      <c r="A976" t="s">
        <v>8289</v>
      </c>
      <c r="B976" t="s">
        <v>28019</v>
      </c>
    </row>
    <row r="977" spans="1:2" x14ac:dyDescent="0.25">
      <c r="A977" t="s">
        <v>8295</v>
      </c>
      <c r="B977" t="s">
        <v>8295</v>
      </c>
    </row>
    <row r="978" spans="1:2" x14ac:dyDescent="0.25">
      <c r="A978" t="s">
        <v>2999</v>
      </c>
      <c r="B978" t="s">
        <v>2999</v>
      </c>
    </row>
    <row r="979" spans="1:2" x14ac:dyDescent="0.25">
      <c r="A979" t="s">
        <v>8298</v>
      </c>
      <c r="B979" t="s">
        <v>28032</v>
      </c>
    </row>
    <row r="980" spans="1:2" x14ac:dyDescent="0.25">
      <c r="A980" t="s">
        <v>8304</v>
      </c>
      <c r="B980" t="s">
        <v>28040</v>
      </c>
    </row>
    <row r="981" spans="1:2" x14ac:dyDescent="0.25">
      <c r="A981" t="s">
        <v>7303</v>
      </c>
      <c r="B981" t="s">
        <v>26882</v>
      </c>
    </row>
    <row r="982" spans="1:2" x14ac:dyDescent="0.25">
      <c r="A982" t="s">
        <v>7306</v>
      </c>
      <c r="B982" t="s">
        <v>26886</v>
      </c>
    </row>
    <row r="983" spans="1:2" x14ac:dyDescent="0.25">
      <c r="A983" t="s">
        <v>7309</v>
      </c>
      <c r="B983" t="s">
        <v>26890</v>
      </c>
    </row>
    <row r="984" spans="1:2" x14ac:dyDescent="0.25">
      <c r="A984" t="s">
        <v>7312</v>
      </c>
      <c r="B984" t="s">
        <v>26894</v>
      </c>
    </row>
    <row r="985" spans="1:2" x14ac:dyDescent="0.25">
      <c r="A985" t="s">
        <v>3002</v>
      </c>
      <c r="B985" t="s">
        <v>21952</v>
      </c>
    </row>
    <row r="986" spans="1:2" x14ac:dyDescent="0.25">
      <c r="A986" t="s">
        <v>8301</v>
      </c>
      <c r="B986" t="s">
        <v>28035</v>
      </c>
    </row>
    <row r="987" spans="1:2" x14ac:dyDescent="0.25">
      <c r="A987" t="s">
        <v>2948</v>
      </c>
      <c r="B987" t="s">
        <v>2948</v>
      </c>
    </row>
    <row r="988" spans="1:2" x14ac:dyDescent="0.25">
      <c r="A988" t="s">
        <v>8316</v>
      </c>
      <c r="B988" t="s">
        <v>28056</v>
      </c>
    </row>
    <row r="989" spans="1:2" x14ac:dyDescent="0.25">
      <c r="A989" t="s">
        <v>8313</v>
      </c>
      <c r="B989" t="s">
        <v>28051</v>
      </c>
    </row>
    <row r="990" spans="1:2" x14ac:dyDescent="0.25">
      <c r="A990" t="s">
        <v>8319</v>
      </c>
      <c r="B990" t="s">
        <v>8319</v>
      </c>
    </row>
    <row r="991" spans="1:2" x14ac:dyDescent="0.25">
      <c r="A991" t="s">
        <v>5482</v>
      </c>
      <c r="B991" t="s">
        <v>24949</v>
      </c>
    </row>
    <row r="992" spans="1:2" x14ac:dyDescent="0.25">
      <c r="A992" t="s">
        <v>8063</v>
      </c>
      <c r="B992" t="s">
        <v>27714</v>
      </c>
    </row>
    <row r="993" spans="1:2" x14ac:dyDescent="0.25">
      <c r="A993" t="s">
        <v>3017</v>
      </c>
      <c r="B993" t="s">
        <v>21973</v>
      </c>
    </row>
    <row r="994" spans="1:2" x14ac:dyDescent="0.25">
      <c r="A994" t="s">
        <v>3020</v>
      </c>
      <c r="B994" t="s">
        <v>21977</v>
      </c>
    </row>
    <row r="995" spans="1:2" x14ac:dyDescent="0.25">
      <c r="A995" t="s">
        <v>3026</v>
      </c>
      <c r="B995" t="s">
        <v>21986</v>
      </c>
    </row>
    <row r="996" spans="1:2" x14ac:dyDescent="0.25">
      <c r="A996" t="s">
        <v>3023</v>
      </c>
      <c r="B996" t="s">
        <v>21981</v>
      </c>
    </row>
    <row r="997" spans="1:2" x14ac:dyDescent="0.25">
      <c r="A997" t="s">
        <v>8322</v>
      </c>
      <c r="B997" t="s">
        <v>28064</v>
      </c>
    </row>
    <row r="998" spans="1:2" x14ac:dyDescent="0.25">
      <c r="A998" t="s">
        <v>8331</v>
      </c>
      <c r="B998" t="s">
        <v>28074</v>
      </c>
    </row>
    <row r="999" spans="1:2" x14ac:dyDescent="0.25">
      <c r="A999" t="s">
        <v>8328</v>
      </c>
      <c r="B999" t="s">
        <v>28069</v>
      </c>
    </row>
    <row r="1000" spans="1:2" x14ac:dyDescent="0.25">
      <c r="A1000" t="s">
        <v>8325</v>
      </c>
      <c r="B1000" t="s">
        <v>8325</v>
      </c>
    </row>
    <row r="1001" spans="1:2" x14ac:dyDescent="0.25">
      <c r="A1001" t="s">
        <v>8337</v>
      </c>
      <c r="B1001" t="s">
        <v>8337</v>
      </c>
    </row>
    <row r="1002" spans="1:2" x14ac:dyDescent="0.25">
      <c r="A1002" t="s">
        <v>8343</v>
      </c>
      <c r="B1002" t="s">
        <v>28091</v>
      </c>
    </row>
    <row r="1003" spans="1:2" x14ac:dyDescent="0.25">
      <c r="A1003" t="s">
        <v>8340</v>
      </c>
      <c r="B1003" t="s">
        <v>8340</v>
      </c>
    </row>
    <row r="1004" spans="1:2" x14ac:dyDescent="0.25">
      <c r="A1004" t="s">
        <v>8346</v>
      </c>
      <c r="B1004" t="s">
        <v>8346</v>
      </c>
    </row>
    <row r="1005" spans="1:2" x14ac:dyDescent="0.25">
      <c r="A1005" t="s">
        <v>8145</v>
      </c>
      <c r="B1005" t="s">
        <v>8145</v>
      </c>
    </row>
    <row r="1006" spans="1:2" x14ac:dyDescent="0.25">
      <c r="A1006" t="s">
        <v>8352</v>
      </c>
      <c r="B1006" t="s">
        <v>28105</v>
      </c>
    </row>
    <row r="1007" spans="1:2" x14ac:dyDescent="0.25">
      <c r="A1007" t="s">
        <v>8358</v>
      </c>
      <c r="B1007" t="s">
        <v>8358</v>
      </c>
    </row>
    <row r="1008" spans="1:2" x14ac:dyDescent="0.25">
      <c r="A1008" t="s">
        <v>8364</v>
      </c>
      <c r="B1008" t="s">
        <v>28118</v>
      </c>
    </row>
    <row r="1009" spans="1:2" x14ac:dyDescent="0.25">
      <c r="A1009" t="s">
        <v>8361</v>
      </c>
      <c r="B1009" t="s">
        <v>8361</v>
      </c>
    </row>
    <row r="1010" spans="1:2" x14ac:dyDescent="0.25">
      <c r="A1010" t="s">
        <v>5123</v>
      </c>
      <c r="B1010" t="s">
        <v>24525</v>
      </c>
    </row>
    <row r="1011" spans="1:2" x14ac:dyDescent="0.25">
      <c r="A1011" t="s">
        <v>8373</v>
      </c>
      <c r="B1011" t="s">
        <v>8373</v>
      </c>
    </row>
    <row r="1012" spans="1:2" x14ac:dyDescent="0.25">
      <c r="A1012" t="s">
        <v>8370</v>
      </c>
      <c r="B1012" t="s">
        <v>8370</v>
      </c>
    </row>
    <row r="1013" spans="1:2" x14ac:dyDescent="0.25">
      <c r="A1013" t="s">
        <v>8376</v>
      </c>
      <c r="B1013" t="s">
        <v>28135</v>
      </c>
    </row>
    <row r="1014" spans="1:2" x14ac:dyDescent="0.25">
      <c r="A1014" t="s">
        <v>8349</v>
      </c>
      <c r="B1014" t="s">
        <v>28100</v>
      </c>
    </row>
    <row r="1015" spans="1:2" x14ac:dyDescent="0.25">
      <c r="A1015" t="s">
        <v>8355</v>
      </c>
      <c r="B1015" t="s">
        <v>8355</v>
      </c>
    </row>
    <row r="1016" spans="1:2" x14ac:dyDescent="0.25">
      <c r="A1016" t="s">
        <v>8367</v>
      </c>
      <c r="B1016" t="s">
        <v>8367</v>
      </c>
    </row>
    <row r="1017" spans="1:2" x14ac:dyDescent="0.25">
      <c r="A1017" t="s">
        <v>3038</v>
      </c>
      <c r="B1017" t="s">
        <v>22003</v>
      </c>
    </row>
    <row r="1018" spans="1:2" x14ac:dyDescent="0.25">
      <c r="A1018" t="s">
        <v>6249</v>
      </c>
      <c r="B1018" t="s">
        <v>25727</v>
      </c>
    </row>
    <row r="1019" spans="1:2" x14ac:dyDescent="0.25">
      <c r="A1019" t="s">
        <v>8397</v>
      </c>
      <c r="B1019" t="s">
        <v>8397</v>
      </c>
    </row>
    <row r="1020" spans="1:2" x14ac:dyDescent="0.25">
      <c r="A1020" t="s">
        <v>3154</v>
      </c>
      <c r="B1020" t="s">
        <v>3154</v>
      </c>
    </row>
    <row r="1021" spans="1:2" x14ac:dyDescent="0.25">
      <c r="A1021" t="s">
        <v>3157</v>
      </c>
      <c r="B1021" t="s">
        <v>3157</v>
      </c>
    </row>
    <row r="1022" spans="1:2" x14ac:dyDescent="0.25">
      <c r="A1022" t="s">
        <v>3043</v>
      </c>
      <c r="B1022" t="s">
        <v>22009</v>
      </c>
    </row>
    <row r="1023" spans="1:2" x14ac:dyDescent="0.25">
      <c r="A1023" t="s">
        <v>8403</v>
      </c>
      <c r="B1023" t="s">
        <v>8403</v>
      </c>
    </row>
    <row r="1024" spans="1:2" x14ac:dyDescent="0.25">
      <c r="A1024" t="s">
        <v>3045</v>
      </c>
      <c r="B1024" t="s">
        <v>22010</v>
      </c>
    </row>
    <row r="1025" spans="1:2" x14ac:dyDescent="0.25">
      <c r="A1025" t="s">
        <v>3047</v>
      </c>
      <c r="B1025" t="s">
        <v>22011</v>
      </c>
    </row>
    <row r="1026" spans="1:2" x14ac:dyDescent="0.25">
      <c r="A1026" t="s">
        <v>3049</v>
      </c>
      <c r="B1026" t="s">
        <v>22012</v>
      </c>
    </row>
    <row r="1027" spans="1:2" x14ac:dyDescent="0.25">
      <c r="A1027" t="s">
        <v>5745</v>
      </c>
      <c r="B1027" t="s">
        <v>25164</v>
      </c>
    </row>
    <row r="1028" spans="1:2" x14ac:dyDescent="0.25">
      <c r="A1028" t="s">
        <v>3051</v>
      </c>
      <c r="B1028" t="s">
        <v>22013</v>
      </c>
    </row>
    <row r="1029" spans="1:2" x14ac:dyDescent="0.25">
      <c r="A1029" t="s">
        <v>5747</v>
      </c>
      <c r="B1029" t="s">
        <v>25165</v>
      </c>
    </row>
    <row r="1030" spans="1:2" x14ac:dyDescent="0.25">
      <c r="A1030" t="s">
        <v>3053</v>
      </c>
      <c r="B1030" t="s">
        <v>22014</v>
      </c>
    </row>
    <row r="1031" spans="1:2" x14ac:dyDescent="0.25">
      <c r="A1031" t="s">
        <v>8415</v>
      </c>
      <c r="B1031" t="s">
        <v>8415</v>
      </c>
    </row>
    <row r="1032" spans="1:2" x14ac:dyDescent="0.25">
      <c r="A1032" t="s">
        <v>8418</v>
      </c>
      <c r="B1032" t="s">
        <v>8418</v>
      </c>
    </row>
    <row r="1033" spans="1:2" x14ac:dyDescent="0.25">
      <c r="A1033" t="s">
        <v>8490</v>
      </c>
      <c r="B1033" t="s">
        <v>8490</v>
      </c>
    </row>
    <row r="1034" spans="1:2" x14ac:dyDescent="0.25">
      <c r="A1034" t="s">
        <v>8493</v>
      </c>
      <c r="B1034" t="s">
        <v>8493</v>
      </c>
    </row>
    <row r="1035" spans="1:2" x14ac:dyDescent="0.25">
      <c r="A1035" t="s">
        <v>8406</v>
      </c>
      <c r="B1035" t="s">
        <v>8406</v>
      </c>
    </row>
    <row r="1036" spans="1:2" x14ac:dyDescent="0.25">
      <c r="A1036" t="s">
        <v>8409</v>
      </c>
      <c r="B1036" t="s">
        <v>8409</v>
      </c>
    </row>
    <row r="1037" spans="1:2" x14ac:dyDescent="0.25">
      <c r="A1037" t="s">
        <v>8412</v>
      </c>
      <c r="B1037" t="s">
        <v>8412</v>
      </c>
    </row>
    <row r="1038" spans="1:2" x14ac:dyDescent="0.25">
      <c r="A1038" t="s">
        <v>8424</v>
      </c>
      <c r="B1038" t="s">
        <v>8424</v>
      </c>
    </row>
    <row r="1039" spans="1:2" x14ac:dyDescent="0.25">
      <c r="A1039" t="s">
        <v>8421</v>
      </c>
      <c r="B1039" t="s">
        <v>8421</v>
      </c>
    </row>
    <row r="1040" spans="1:2" x14ac:dyDescent="0.25">
      <c r="A1040" t="s">
        <v>8427</v>
      </c>
      <c r="B1040" t="s">
        <v>8427</v>
      </c>
    </row>
    <row r="1041" spans="1:2" x14ac:dyDescent="0.25">
      <c r="A1041" t="s">
        <v>8436</v>
      </c>
      <c r="B1041" t="s">
        <v>8436</v>
      </c>
    </row>
    <row r="1042" spans="1:2" x14ac:dyDescent="0.25">
      <c r="A1042" t="s">
        <v>8439</v>
      </c>
      <c r="B1042" t="s">
        <v>28207</v>
      </c>
    </row>
    <row r="1043" spans="1:2" x14ac:dyDescent="0.25">
      <c r="A1043" t="s">
        <v>8433</v>
      </c>
      <c r="B1043" t="s">
        <v>8433</v>
      </c>
    </row>
    <row r="1044" spans="1:2" x14ac:dyDescent="0.25">
      <c r="A1044" t="s">
        <v>8430</v>
      </c>
      <c r="B1044" t="s">
        <v>8430</v>
      </c>
    </row>
    <row r="1045" spans="1:2" x14ac:dyDescent="0.25">
      <c r="A1045" t="s">
        <v>3187</v>
      </c>
      <c r="B1045" t="s">
        <v>3187</v>
      </c>
    </row>
    <row r="1046" spans="1:2" x14ac:dyDescent="0.25">
      <c r="A1046" t="s">
        <v>8442</v>
      </c>
      <c r="B1046" t="s">
        <v>8442</v>
      </c>
    </row>
    <row r="1047" spans="1:2" x14ac:dyDescent="0.25">
      <c r="A1047" t="s">
        <v>3184</v>
      </c>
      <c r="B1047" t="s">
        <v>22115</v>
      </c>
    </row>
    <row r="1048" spans="1:2" x14ac:dyDescent="0.25">
      <c r="A1048" t="s">
        <v>3190</v>
      </c>
      <c r="B1048" t="s">
        <v>22122</v>
      </c>
    </row>
    <row r="1049" spans="1:2" x14ac:dyDescent="0.25">
      <c r="A1049" t="s">
        <v>3193</v>
      </c>
      <c r="B1049" t="s">
        <v>22126</v>
      </c>
    </row>
    <row r="1050" spans="1:2" x14ac:dyDescent="0.25">
      <c r="A1050" t="s">
        <v>8478</v>
      </c>
      <c r="B1050" t="s">
        <v>8478</v>
      </c>
    </row>
    <row r="1051" spans="1:2" x14ac:dyDescent="0.25">
      <c r="A1051" t="s">
        <v>3160</v>
      </c>
      <c r="B1051" t="s">
        <v>22081</v>
      </c>
    </row>
    <row r="1052" spans="1:2" x14ac:dyDescent="0.25">
      <c r="A1052" t="s">
        <v>3163</v>
      </c>
      <c r="B1052" t="s">
        <v>22086</v>
      </c>
    </row>
    <row r="1053" spans="1:2" x14ac:dyDescent="0.25">
      <c r="A1053" t="s">
        <v>3166</v>
      </c>
      <c r="B1053" t="s">
        <v>22091</v>
      </c>
    </row>
    <row r="1054" spans="1:2" x14ac:dyDescent="0.25">
      <c r="A1054" t="s">
        <v>3169</v>
      </c>
      <c r="B1054" t="s">
        <v>22095</v>
      </c>
    </row>
    <row r="1055" spans="1:2" x14ac:dyDescent="0.25">
      <c r="A1055" t="s">
        <v>3172</v>
      </c>
      <c r="B1055" t="s">
        <v>22099</v>
      </c>
    </row>
    <row r="1056" spans="1:2" x14ac:dyDescent="0.25">
      <c r="A1056" t="s">
        <v>3175</v>
      </c>
      <c r="B1056" t="s">
        <v>22104</v>
      </c>
    </row>
    <row r="1057" spans="1:2" x14ac:dyDescent="0.25">
      <c r="A1057" t="s">
        <v>3181</v>
      </c>
      <c r="B1057" t="s">
        <v>22111</v>
      </c>
    </row>
    <row r="1058" spans="1:2" x14ac:dyDescent="0.25">
      <c r="A1058" t="s">
        <v>3196</v>
      </c>
      <c r="B1058" t="s">
        <v>22130</v>
      </c>
    </row>
    <row r="1059" spans="1:2" x14ac:dyDescent="0.25">
      <c r="A1059" t="s">
        <v>3214</v>
      </c>
      <c r="B1059" t="s">
        <v>22150</v>
      </c>
    </row>
    <row r="1060" spans="1:2" x14ac:dyDescent="0.25">
      <c r="A1060" t="s">
        <v>3217</v>
      </c>
      <c r="B1060" t="s">
        <v>22154</v>
      </c>
    </row>
    <row r="1061" spans="1:2" x14ac:dyDescent="0.25">
      <c r="A1061" t="s">
        <v>8475</v>
      </c>
      <c r="B1061" t="s">
        <v>8475</v>
      </c>
    </row>
    <row r="1062" spans="1:2" x14ac:dyDescent="0.25">
      <c r="A1062" t="s">
        <v>8481</v>
      </c>
      <c r="B1062" t="s">
        <v>28258</v>
      </c>
    </row>
    <row r="1063" spans="1:2" x14ac:dyDescent="0.25">
      <c r="A1063" t="s">
        <v>8484</v>
      </c>
      <c r="B1063" t="s">
        <v>28262</v>
      </c>
    </row>
    <row r="1064" spans="1:2" x14ac:dyDescent="0.25">
      <c r="A1064" t="s">
        <v>8496</v>
      </c>
      <c r="B1064" t="s">
        <v>28280</v>
      </c>
    </row>
    <row r="1065" spans="1:2" x14ac:dyDescent="0.25">
      <c r="A1065" t="s">
        <v>8499</v>
      </c>
      <c r="B1065" t="s">
        <v>28284</v>
      </c>
    </row>
    <row r="1066" spans="1:2" x14ac:dyDescent="0.25">
      <c r="A1066" t="s">
        <v>8505</v>
      </c>
      <c r="B1066" t="s">
        <v>8505</v>
      </c>
    </row>
    <row r="1067" spans="1:2" x14ac:dyDescent="0.25">
      <c r="A1067" t="s">
        <v>8508</v>
      </c>
      <c r="B1067" t="s">
        <v>28297</v>
      </c>
    </row>
    <row r="1068" spans="1:2" x14ac:dyDescent="0.25">
      <c r="A1068" t="s">
        <v>8511</v>
      </c>
      <c r="B1068" t="s">
        <v>28302</v>
      </c>
    </row>
    <row r="1069" spans="1:2" x14ac:dyDescent="0.25">
      <c r="A1069" t="s">
        <v>8514</v>
      </c>
      <c r="B1069" t="s">
        <v>28307</v>
      </c>
    </row>
    <row r="1070" spans="1:2" x14ac:dyDescent="0.25">
      <c r="A1070" t="s">
        <v>8517</v>
      </c>
      <c r="B1070" t="s">
        <v>8517</v>
      </c>
    </row>
    <row r="1071" spans="1:2" x14ac:dyDescent="0.25">
      <c r="A1071" t="s">
        <v>8520</v>
      </c>
      <c r="B1071" t="s">
        <v>28315</v>
      </c>
    </row>
    <row r="1072" spans="1:2" x14ac:dyDescent="0.25">
      <c r="A1072" t="s">
        <v>8523</v>
      </c>
      <c r="B1072" t="s">
        <v>28320</v>
      </c>
    </row>
    <row r="1073" spans="1:2" x14ac:dyDescent="0.25">
      <c r="A1073" t="s">
        <v>8526</v>
      </c>
      <c r="B1073" t="s">
        <v>8526</v>
      </c>
    </row>
    <row r="1074" spans="1:2" x14ac:dyDescent="0.25">
      <c r="A1074" t="s">
        <v>8502</v>
      </c>
      <c r="B1074" t="s">
        <v>8502</v>
      </c>
    </row>
    <row r="1075" spans="1:2" x14ac:dyDescent="0.25">
      <c r="A1075" t="s">
        <v>8469</v>
      </c>
      <c r="B1075" t="s">
        <v>8469</v>
      </c>
    </row>
    <row r="1076" spans="1:2" x14ac:dyDescent="0.25">
      <c r="A1076" t="s">
        <v>8445</v>
      </c>
      <c r="B1076" t="s">
        <v>8445</v>
      </c>
    </row>
    <row r="1077" spans="1:2" x14ac:dyDescent="0.25">
      <c r="A1077" t="s">
        <v>8472</v>
      </c>
      <c r="B1077" t="s">
        <v>28247</v>
      </c>
    </row>
    <row r="1078" spans="1:2" x14ac:dyDescent="0.25">
      <c r="A1078" t="s">
        <v>8448</v>
      </c>
      <c r="B1078" t="s">
        <v>28217</v>
      </c>
    </row>
    <row r="1079" spans="1:2" x14ac:dyDescent="0.25">
      <c r="A1079" t="s">
        <v>8451</v>
      </c>
      <c r="B1079" t="s">
        <v>28222</v>
      </c>
    </row>
    <row r="1080" spans="1:2" x14ac:dyDescent="0.25">
      <c r="A1080" t="s">
        <v>8454</v>
      </c>
      <c r="B1080" t="s">
        <v>28226</v>
      </c>
    </row>
    <row r="1081" spans="1:2" x14ac:dyDescent="0.25">
      <c r="A1081" t="s">
        <v>8460</v>
      </c>
      <c r="B1081" t="s">
        <v>28228</v>
      </c>
    </row>
    <row r="1082" spans="1:2" x14ac:dyDescent="0.25">
      <c r="A1082" t="s">
        <v>8463</v>
      </c>
      <c r="B1082" t="s">
        <v>28233</v>
      </c>
    </row>
    <row r="1083" spans="1:2" x14ac:dyDescent="0.25">
      <c r="A1083" t="s">
        <v>8466</v>
      </c>
      <c r="B1083" t="s">
        <v>28238</v>
      </c>
    </row>
    <row r="1084" spans="1:2" x14ac:dyDescent="0.25">
      <c r="A1084" t="s">
        <v>8457</v>
      </c>
      <c r="B1084" t="s">
        <v>28227</v>
      </c>
    </row>
    <row r="1085" spans="1:2" x14ac:dyDescent="0.25">
      <c r="A1085" t="s">
        <v>8487</v>
      </c>
      <c r="B1085" t="s">
        <v>28267</v>
      </c>
    </row>
    <row r="1086" spans="1:2" x14ac:dyDescent="0.25">
      <c r="A1086" t="s">
        <v>3178</v>
      </c>
      <c r="B1086" t="s">
        <v>3178</v>
      </c>
    </row>
    <row r="1087" spans="1:2" x14ac:dyDescent="0.25">
      <c r="A1087" t="s">
        <v>3057</v>
      </c>
      <c r="B1087" t="s">
        <v>22016</v>
      </c>
    </row>
    <row r="1088" spans="1:2" x14ac:dyDescent="0.25">
      <c r="A1088" t="s">
        <v>3055</v>
      </c>
      <c r="B1088" t="s">
        <v>22015</v>
      </c>
    </row>
    <row r="1089" spans="1:2" x14ac:dyDescent="0.25">
      <c r="A1089" t="s">
        <v>8394</v>
      </c>
      <c r="B1089" t="s">
        <v>8394</v>
      </c>
    </row>
    <row r="1090" spans="1:2" x14ac:dyDescent="0.25">
      <c r="A1090" t="s">
        <v>8379</v>
      </c>
      <c r="B1090" t="s">
        <v>28140</v>
      </c>
    </row>
    <row r="1091" spans="1:2" x14ac:dyDescent="0.25">
      <c r="A1091" t="s">
        <v>8382</v>
      </c>
      <c r="B1091" t="s">
        <v>28145</v>
      </c>
    </row>
    <row r="1092" spans="1:2" x14ac:dyDescent="0.25">
      <c r="A1092" t="s">
        <v>8400</v>
      </c>
      <c r="B1092" t="s">
        <v>8400</v>
      </c>
    </row>
    <row r="1093" spans="1:2" x14ac:dyDescent="0.25">
      <c r="A1093" t="s">
        <v>8391</v>
      </c>
      <c r="B1093" t="s">
        <v>28154</v>
      </c>
    </row>
    <row r="1094" spans="1:2" x14ac:dyDescent="0.25">
      <c r="A1094" t="s">
        <v>8385</v>
      </c>
      <c r="B1094" t="s">
        <v>28149</v>
      </c>
    </row>
    <row r="1095" spans="1:2" x14ac:dyDescent="0.25">
      <c r="A1095" t="s">
        <v>8388</v>
      </c>
      <c r="B1095" t="s">
        <v>28153</v>
      </c>
    </row>
    <row r="1096" spans="1:2" x14ac:dyDescent="0.25">
      <c r="A1096" t="s">
        <v>8601</v>
      </c>
      <c r="B1096" t="s">
        <v>28434</v>
      </c>
    </row>
    <row r="1097" spans="1:2" x14ac:dyDescent="0.25">
      <c r="A1097" t="s">
        <v>8628</v>
      </c>
      <c r="B1097" t="s">
        <v>8628</v>
      </c>
    </row>
    <row r="1098" spans="1:2" x14ac:dyDescent="0.25">
      <c r="A1098" t="s">
        <v>8529</v>
      </c>
      <c r="B1098" t="s">
        <v>8529</v>
      </c>
    </row>
    <row r="1099" spans="1:2" x14ac:dyDescent="0.25">
      <c r="A1099" t="s">
        <v>3059</v>
      </c>
      <c r="B1099" t="s">
        <v>22017</v>
      </c>
    </row>
    <row r="1100" spans="1:2" x14ac:dyDescent="0.25">
      <c r="A1100" t="s">
        <v>8532</v>
      </c>
      <c r="B1100" t="s">
        <v>28333</v>
      </c>
    </row>
    <row r="1101" spans="1:2" x14ac:dyDescent="0.25">
      <c r="A1101" t="s">
        <v>3061</v>
      </c>
      <c r="B1101" t="s">
        <v>7184</v>
      </c>
    </row>
    <row r="1102" spans="1:2" x14ac:dyDescent="0.25">
      <c r="A1102" t="s">
        <v>2079</v>
      </c>
      <c r="B1102" t="s">
        <v>20855</v>
      </c>
    </row>
    <row r="1103" spans="1:2" x14ac:dyDescent="0.25">
      <c r="A1103" t="s">
        <v>8541</v>
      </c>
      <c r="B1103" t="s">
        <v>28346</v>
      </c>
    </row>
    <row r="1104" spans="1:2" x14ac:dyDescent="0.25">
      <c r="A1104" t="s">
        <v>8535</v>
      </c>
      <c r="B1104" t="s">
        <v>8535</v>
      </c>
    </row>
    <row r="1105" spans="1:2" x14ac:dyDescent="0.25">
      <c r="A1105" t="s">
        <v>8544</v>
      </c>
      <c r="B1105" t="s">
        <v>8544</v>
      </c>
    </row>
    <row r="1106" spans="1:2" x14ac:dyDescent="0.25">
      <c r="A1106" t="s">
        <v>8538</v>
      </c>
      <c r="B1106" t="s">
        <v>28342</v>
      </c>
    </row>
    <row r="1107" spans="1:2" x14ac:dyDescent="0.25">
      <c r="A1107" t="s">
        <v>3066</v>
      </c>
      <c r="B1107" t="s">
        <v>22022</v>
      </c>
    </row>
    <row r="1108" spans="1:2" x14ac:dyDescent="0.25">
      <c r="A1108" t="s">
        <v>8547</v>
      </c>
      <c r="B1108" t="s">
        <v>8547</v>
      </c>
    </row>
    <row r="1109" spans="1:2" x14ac:dyDescent="0.25">
      <c r="A1109" t="s">
        <v>3144</v>
      </c>
      <c r="B1109" t="s">
        <v>22070</v>
      </c>
    </row>
    <row r="1110" spans="1:2" x14ac:dyDescent="0.25">
      <c r="A1110" t="s">
        <v>3110</v>
      </c>
      <c r="B1110" t="s">
        <v>22053</v>
      </c>
    </row>
    <row r="1111" spans="1:2" x14ac:dyDescent="0.25">
      <c r="A1111" t="s">
        <v>3112</v>
      </c>
      <c r="B1111" t="s">
        <v>22054</v>
      </c>
    </row>
    <row r="1112" spans="1:2" x14ac:dyDescent="0.25">
      <c r="A1112" t="s">
        <v>3114</v>
      </c>
      <c r="B1112" t="s">
        <v>22055</v>
      </c>
    </row>
    <row r="1113" spans="1:2" x14ac:dyDescent="0.25">
      <c r="A1113" t="s">
        <v>3116</v>
      </c>
      <c r="B1113" t="s">
        <v>22056</v>
      </c>
    </row>
    <row r="1114" spans="1:2" x14ac:dyDescent="0.25">
      <c r="A1114" t="s">
        <v>3118</v>
      </c>
      <c r="B1114" t="s">
        <v>22057</v>
      </c>
    </row>
    <row r="1115" spans="1:2" x14ac:dyDescent="0.25">
      <c r="A1115" t="s">
        <v>3120</v>
      </c>
      <c r="B1115" t="s">
        <v>22058</v>
      </c>
    </row>
    <row r="1116" spans="1:2" x14ac:dyDescent="0.25">
      <c r="A1116" t="s">
        <v>3122</v>
      </c>
      <c r="B1116" t="s">
        <v>22059</v>
      </c>
    </row>
    <row r="1117" spans="1:2" x14ac:dyDescent="0.25">
      <c r="A1117" t="s">
        <v>3124</v>
      </c>
      <c r="B1117" t="s">
        <v>22060</v>
      </c>
    </row>
    <row r="1118" spans="1:2" x14ac:dyDescent="0.25">
      <c r="A1118" t="s">
        <v>3126</v>
      </c>
      <c r="B1118" t="s">
        <v>22061</v>
      </c>
    </row>
    <row r="1119" spans="1:2" x14ac:dyDescent="0.25">
      <c r="A1119" t="s">
        <v>3128</v>
      </c>
      <c r="B1119" t="s">
        <v>22062</v>
      </c>
    </row>
    <row r="1120" spans="1:2" x14ac:dyDescent="0.25">
      <c r="A1120" t="s">
        <v>3130</v>
      </c>
      <c r="B1120" t="s">
        <v>22063</v>
      </c>
    </row>
    <row r="1121" spans="1:2" x14ac:dyDescent="0.25">
      <c r="A1121" t="s">
        <v>3132</v>
      </c>
      <c r="B1121" t="s">
        <v>22064</v>
      </c>
    </row>
    <row r="1122" spans="1:2" x14ac:dyDescent="0.25">
      <c r="A1122" t="s">
        <v>3134</v>
      </c>
      <c r="B1122" t="s">
        <v>22065</v>
      </c>
    </row>
    <row r="1123" spans="1:2" x14ac:dyDescent="0.25">
      <c r="A1123" t="s">
        <v>3136</v>
      </c>
      <c r="B1123" t="s">
        <v>22066</v>
      </c>
    </row>
    <row r="1124" spans="1:2" x14ac:dyDescent="0.25">
      <c r="A1124" t="s">
        <v>3138</v>
      </c>
      <c r="B1124" t="s">
        <v>22067</v>
      </c>
    </row>
    <row r="1125" spans="1:2" x14ac:dyDescent="0.25">
      <c r="A1125" t="s">
        <v>3140</v>
      </c>
      <c r="B1125" t="s">
        <v>22068</v>
      </c>
    </row>
    <row r="1126" spans="1:2" x14ac:dyDescent="0.25">
      <c r="A1126" t="s">
        <v>3142</v>
      </c>
      <c r="B1126" t="s">
        <v>22069</v>
      </c>
    </row>
    <row r="1127" spans="1:2" x14ac:dyDescent="0.25">
      <c r="A1127" t="s">
        <v>3146</v>
      </c>
      <c r="B1127" t="s">
        <v>22071</v>
      </c>
    </row>
    <row r="1128" spans="1:2" x14ac:dyDescent="0.25">
      <c r="A1128" t="s">
        <v>3148</v>
      </c>
      <c r="B1128" t="s">
        <v>22072</v>
      </c>
    </row>
    <row r="1129" spans="1:2" x14ac:dyDescent="0.25">
      <c r="A1129" t="s">
        <v>3150</v>
      </c>
      <c r="B1129" t="s">
        <v>22073</v>
      </c>
    </row>
    <row r="1130" spans="1:2" x14ac:dyDescent="0.25">
      <c r="A1130" t="s">
        <v>3152</v>
      </c>
      <c r="B1130" t="s">
        <v>22074</v>
      </c>
    </row>
    <row r="1131" spans="1:2" x14ac:dyDescent="0.25">
      <c r="A1131" t="s">
        <v>2841</v>
      </c>
      <c r="B1131" t="s">
        <v>21839</v>
      </c>
    </row>
    <row r="1132" spans="1:2" x14ac:dyDescent="0.25">
      <c r="A1132" t="s">
        <v>3068</v>
      </c>
      <c r="B1132" t="s">
        <v>3068</v>
      </c>
    </row>
    <row r="1133" spans="1:2" x14ac:dyDescent="0.25">
      <c r="A1133" t="s">
        <v>3070</v>
      </c>
      <c r="B1133" t="s">
        <v>22023</v>
      </c>
    </row>
    <row r="1134" spans="1:2" x14ac:dyDescent="0.25">
      <c r="A1134" t="s">
        <v>3072</v>
      </c>
      <c r="B1134" t="s">
        <v>22024</v>
      </c>
    </row>
    <row r="1135" spans="1:2" x14ac:dyDescent="0.25">
      <c r="A1135" t="s">
        <v>3074</v>
      </c>
      <c r="B1135" t="s">
        <v>22025</v>
      </c>
    </row>
    <row r="1136" spans="1:2" x14ac:dyDescent="0.25">
      <c r="A1136" t="s">
        <v>8550</v>
      </c>
      <c r="B1136" t="s">
        <v>8550</v>
      </c>
    </row>
    <row r="1137" spans="1:2" x14ac:dyDescent="0.25">
      <c r="A1137" t="s">
        <v>8553</v>
      </c>
      <c r="B1137" t="s">
        <v>8553</v>
      </c>
    </row>
    <row r="1138" spans="1:2" x14ac:dyDescent="0.25">
      <c r="A1138" t="s">
        <v>8559</v>
      </c>
      <c r="B1138" t="s">
        <v>28372</v>
      </c>
    </row>
    <row r="1139" spans="1:2" x14ac:dyDescent="0.25">
      <c r="A1139" t="s">
        <v>3076</v>
      </c>
      <c r="B1139" t="s">
        <v>22026</v>
      </c>
    </row>
    <row r="1140" spans="1:2" x14ac:dyDescent="0.25">
      <c r="A1140" t="s">
        <v>4347</v>
      </c>
      <c r="B1140" t="s">
        <v>23703</v>
      </c>
    </row>
    <row r="1141" spans="1:2" x14ac:dyDescent="0.25">
      <c r="A1141" t="s">
        <v>8556</v>
      </c>
      <c r="B1141" t="s">
        <v>28367</v>
      </c>
    </row>
    <row r="1142" spans="1:2" x14ac:dyDescent="0.25">
      <c r="A1142" t="s">
        <v>8562</v>
      </c>
      <c r="B1142" t="s">
        <v>28377</v>
      </c>
    </row>
    <row r="1143" spans="1:2" x14ac:dyDescent="0.25">
      <c r="A1143" t="s">
        <v>8574</v>
      </c>
      <c r="B1143" t="s">
        <v>28397</v>
      </c>
    </row>
    <row r="1144" spans="1:2" x14ac:dyDescent="0.25">
      <c r="A1144" t="s">
        <v>8565</v>
      </c>
      <c r="B1144" t="s">
        <v>28382</v>
      </c>
    </row>
    <row r="1145" spans="1:2" x14ac:dyDescent="0.25">
      <c r="A1145" t="s">
        <v>8568</v>
      </c>
      <c r="B1145" t="s">
        <v>28387</v>
      </c>
    </row>
    <row r="1146" spans="1:2" x14ac:dyDescent="0.25">
      <c r="A1146" t="s">
        <v>3199</v>
      </c>
      <c r="B1146" t="s">
        <v>3199</v>
      </c>
    </row>
    <row r="1147" spans="1:2" x14ac:dyDescent="0.25">
      <c r="A1147" t="s">
        <v>3202</v>
      </c>
      <c r="B1147" t="s">
        <v>3202</v>
      </c>
    </row>
    <row r="1148" spans="1:2" x14ac:dyDescent="0.25">
      <c r="A1148" t="s">
        <v>3205</v>
      </c>
      <c r="B1148" t="s">
        <v>3205</v>
      </c>
    </row>
    <row r="1149" spans="1:2" x14ac:dyDescent="0.25">
      <c r="A1149" t="s">
        <v>3208</v>
      </c>
      <c r="B1149" t="s">
        <v>3208</v>
      </c>
    </row>
    <row r="1150" spans="1:2" x14ac:dyDescent="0.25">
      <c r="A1150" t="s">
        <v>3211</v>
      </c>
      <c r="B1150" t="s">
        <v>3211</v>
      </c>
    </row>
    <row r="1151" spans="1:2" x14ac:dyDescent="0.25">
      <c r="A1151" t="s">
        <v>8577</v>
      </c>
      <c r="B1151" t="s">
        <v>8577</v>
      </c>
    </row>
    <row r="1152" spans="1:2" x14ac:dyDescent="0.25">
      <c r="A1152" t="s">
        <v>8571</v>
      </c>
      <c r="B1152" t="s">
        <v>28392</v>
      </c>
    </row>
    <row r="1153" spans="1:2" x14ac:dyDescent="0.25">
      <c r="A1153" t="s">
        <v>8580</v>
      </c>
      <c r="B1153" t="s">
        <v>8580</v>
      </c>
    </row>
    <row r="1154" spans="1:2" x14ac:dyDescent="0.25">
      <c r="A1154" t="s">
        <v>8583</v>
      </c>
      <c r="B1154" t="s">
        <v>8583</v>
      </c>
    </row>
    <row r="1155" spans="1:2" x14ac:dyDescent="0.25">
      <c r="A1155" t="s">
        <v>3079</v>
      </c>
      <c r="B1155" t="s">
        <v>22031</v>
      </c>
    </row>
    <row r="1156" spans="1:2" x14ac:dyDescent="0.25">
      <c r="A1156" t="s">
        <v>3081</v>
      </c>
      <c r="B1156" t="s">
        <v>22032</v>
      </c>
    </row>
    <row r="1157" spans="1:2" x14ac:dyDescent="0.25">
      <c r="A1157" t="s">
        <v>3083</v>
      </c>
      <c r="B1157" t="s">
        <v>22033</v>
      </c>
    </row>
    <row r="1158" spans="1:2" x14ac:dyDescent="0.25">
      <c r="A1158" t="s">
        <v>7849</v>
      </c>
      <c r="B1158" t="s">
        <v>27573</v>
      </c>
    </row>
    <row r="1159" spans="1:2" x14ac:dyDescent="0.25">
      <c r="A1159" t="s">
        <v>7851</v>
      </c>
      <c r="B1159" t="s">
        <v>27578</v>
      </c>
    </row>
    <row r="1160" spans="1:2" x14ac:dyDescent="0.25">
      <c r="A1160" t="s">
        <v>7853</v>
      </c>
      <c r="B1160" t="s">
        <v>27579</v>
      </c>
    </row>
    <row r="1161" spans="1:2" x14ac:dyDescent="0.25">
      <c r="A1161" t="s">
        <v>3085</v>
      </c>
      <c r="B1161" t="s">
        <v>22034</v>
      </c>
    </row>
    <row r="1162" spans="1:2" x14ac:dyDescent="0.25">
      <c r="A1162" t="s">
        <v>3087</v>
      </c>
      <c r="B1162" t="s">
        <v>22035</v>
      </c>
    </row>
    <row r="1163" spans="1:2" x14ac:dyDescent="0.25">
      <c r="A1163" t="s">
        <v>3089</v>
      </c>
      <c r="B1163" t="s">
        <v>22036</v>
      </c>
    </row>
    <row r="1164" spans="1:2" x14ac:dyDescent="0.25">
      <c r="A1164" t="s">
        <v>3099</v>
      </c>
      <c r="B1164" t="s">
        <v>22041</v>
      </c>
    </row>
    <row r="1165" spans="1:2" x14ac:dyDescent="0.25">
      <c r="A1165" t="s">
        <v>3102</v>
      </c>
      <c r="B1165" t="s">
        <v>22046</v>
      </c>
    </row>
    <row r="1166" spans="1:2" x14ac:dyDescent="0.25">
      <c r="A1166" t="s">
        <v>8586</v>
      </c>
      <c r="B1166" t="s">
        <v>28414</v>
      </c>
    </row>
    <row r="1167" spans="1:2" x14ac:dyDescent="0.25">
      <c r="A1167" t="s">
        <v>8592</v>
      </c>
      <c r="B1167" t="s">
        <v>8592</v>
      </c>
    </row>
    <row r="1168" spans="1:2" x14ac:dyDescent="0.25">
      <c r="A1168" t="s">
        <v>8589</v>
      </c>
      <c r="B1168" t="s">
        <v>28418</v>
      </c>
    </row>
    <row r="1169" spans="1:2" x14ac:dyDescent="0.25">
      <c r="A1169" t="s">
        <v>8595</v>
      </c>
      <c r="B1169" t="s">
        <v>8595</v>
      </c>
    </row>
    <row r="1170" spans="1:2" x14ac:dyDescent="0.25">
      <c r="A1170" t="s">
        <v>8598</v>
      </c>
      <c r="B1170" t="s">
        <v>28430</v>
      </c>
    </row>
    <row r="1171" spans="1:2" x14ac:dyDescent="0.25">
      <c r="A1171" t="s">
        <v>3091</v>
      </c>
      <c r="B1171" t="s">
        <v>22037</v>
      </c>
    </row>
    <row r="1172" spans="1:2" x14ac:dyDescent="0.25">
      <c r="A1172" t="s">
        <v>6333</v>
      </c>
      <c r="B1172" t="s">
        <v>25769</v>
      </c>
    </row>
    <row r="1173" spans="1:2" x14ac:dyDescent="0.25">
      <c r="A1173" t="s">
        <v>3093</v>
      </c>
      <c r="B1173" t="s">
        <v>22038</v>
      </c>
    </row>
    <row r="1174" spans="1:2" x14ac:dyDescent="0.25">
      <c r="A1174" t="s">
        <v>3095</v>
      </c>
      <c r="B1174" t="s">
        <v>22039</v>
      </c>
    </row>
    <row r="1175" spans="1:2" x14ac:dyDescent="0.25">
      <c r="A1175" t="s">
        <v>8607</v>
      </c>
      <c r="B1175" t="s">
        <v>8607</v>
      </c>
    </row>
    <row r="1176" spans="1:2" x14ac:dyDescent="0.25">
      <c r="A1176" t="s">
        <v>3241</v>
      </c>
      <c r="B1176" t="s">
        <v>22190</v>
      </c>
    </row>
    <row r="1177" spans="1:2" x14ac:dyDescent="0.25">
      <c r="A1177" t="s">
        <v>8610</v>
      </c>
      <c r="B1177" t="s">
        <v>8610</v>
      </c>
    </row>
    <row r="1178" spans="1:2" x14ac:dyDescent="0.25">
      <c r="A1178" t="s">
        <v>8616</v>
      </c>
      <c r="B1178" t="s">
        <v>28455</v>
      </c>
    </row>
    <row r="1179" spans="1:2" x14ac:dyDescent="0.25">
      <c r="A1179" t="s">
        <v>3259</v>
      </c>
      <c r="B1179" t="s">
        <v>3259</v>
      </c>
    </row>
    <row r="1180" spans="1:2" x14ac:dyDescent="0.25">
      <c r="A1180" t="s">
        <v>3256</v>
      </c>
      <c r="B1180" t="s">
        <v>22213</v>
      </c>
    </row>
    <row r="1181" spans="1:2" x14ac:dyDescent="0.25">
      <c r="A1181" t="s">
        <v>8619</v>
      </c>
      <c r="B1181" t="s">
        <v>28460</v>
      </c>
    </row>
    <row r="1182" spans="1:2" x14ac:dyDescent="0.25">
      <c r="A1182" t="s">
        <v>3244</v>
      </c>
      <c r="B1182" t="s">
        <v>22194</v>
      </c>
    </row>
    <row r="1183" spans="1:2" x14ac:dyDescent="0.25">
      <c r="A1183" t="s">
        <v>8613</v>
      </c>
      <c r="B1183" t="s">
        <v>28450</v>
      </c>
    </row>
    <row r="1184" spans="1:2" x14ac:dyDescent="0.25">
      <c r="A1184" t="s">
        <v>8604</v>
      </c>
      <c r="B1184" t="s">
        <v>8604</v>
      </c>
    </row>
    <row r="1185" spans="1:2" x14ac:dyDescent="0.25">
      <c r="A1185" t="s">
        <v>8622</v>
      </c>
      <c r="B1185" t="s">
        <v>8622</v>
      </c>
    </row>
    <row r="1186" spans="1:2" x14ac:dyDescent="0.25">
      <c r="A1186" t="s">
        <v>3238</v>
      </c>
      <c r="B1186" t="s">
        <v>22185</v>
      </c>
    </row>
    <row r="1187" spans="1:2" x14ac:dyDescent="0.25">
      <c r="A1187" t="s">
        <v>3223</v>
      </c>
      <c r="B1187" t="s">
        <v>22162</v>
      </c>
    </row>
    <row r="1188" spans="1:2" x14ac:dyDescent="0.25">
      <c r="A1188" t="s">
        <v>3232</v>
      </c>
      <c r="B1188" t="s">
        <v>22175</v>
      </c>
    </row>
    <row r="1189" spans="1:2" x14ac:dyDescent="0.25">
      <c r="A1189" t="s">
        <v>10032</v>
      </c>
      <c r="B1189" t="s">
        <v>30434</v>
      </c>
    </row>
    <row r="1190" spans="1:2" x14ac:dyDescent="0.25">
      <c r="A1190" t="s">
        <v>10029</v>
      </c>
      <c r="B1190" t="s">
        <v>30429</v>
      </c>
    </row>
    <row r="1191" spans="1:2" x14ac:dyDescent="0.25">
      <c r="A1191" t="s">
        <v>3235</v>
      </c>
      <c r="B1191" t="s">
        <v>22180</v>
      </c>
    </row>
    <row r="1192" spans="1:2" x14ac:dyDescent="0.25">
      <c r="A1192" t="s">
        <v>3229</v>
      </c>
      <c r="B1192" t="s">
        <v>22170</v>
      </c>
    </row>
    <row r="1193" spans="1:2" x14ac:dyDescent="0.25">
      <c r="A1193" t="s">
        <v>3262</v>
      </c>
      <c r="B1193" t="s">
        <v>22222</v>
      </c>
    </row>
    <row r="1194" spans="1:2" x14ac:dyDescent="0.25">
      <c r="A1194" t="s">
        <v>3265</v>
      </c>
      <c r="B1194" t="s">
        <v>22227</v>
      </c>
    </row>
    <row r="1195" spans="1:2" x14ac:dyDescent="0.25">
      <c r="A1195" t="s">
        <v>3226</v>
      </c>
      <c r="B1195" t="s">
        <v>22166</v>
      </c>
    </row>
    <row r="1196" spans="1:2" x14ac:dyDescent="0.25">
      <c r="A1196" t="s">
        <v>3250</v>
      </c>
      <c r="B1196" t="s">
        <v>15007</v>
      </c>
    </row>
    <row r="1197" spans="1:2" x14ac:dyDescent="0.25">
      <c r="A1197" t="s">
        <v>3247</v>
      </c>
      <c r="B1197" t="s">
        <v>22199</v>
      </c>
    </row>
    <row r="1198" spans="1:2" x14ac:dyDescent="0.25">
      <c r="A1198" t="s">
        <v>3268</v>
      </c>
      <c r="B1198" t="s">
        <v>22232</v>
      </c>
    </row>
    <row r="1199" spans="1:2" x14ac:dyDescent="0.25">
      <c r="A1199" t="s">
        <v>3271</v>
      </c>
      <c r="B1199" t="s">
        <v>22237</v>
      </c>
    </row>
    <row r="1200" spans="1:2" x14ac:dyDescent="0.25">
      <c r="A1200" t="s">
        <v>3253</v>
      </c>
      <c r="B1200" t="s">
        <v>22208</v>
      </c>
    </row>
    <row r="1201" spans="1:2" x14ac:dyDescent="0.25">
      <c r="A1201" t="s">
        <v>10035</v>
      </c>
      <c r="B1201" t="s">
        <v>30439</v>
      </c>
    </row>
    <row r="1202" spans="1:2" x14ac:dyDescent="0.25">
      <c r="A1202" t="s">
        <v>8625</v>
      </c>
      <c r="B1202" t="s">
        <v>8625</v>
      </c>
    </row>
    <row r="1203" spans="1:2" x14ac:dyDescent="0.25">
      <c r="A1203" t="s">
        <v>3097</v>
      </c>
      <c r="B1203" t="s">
        <v>22040</v>
      </c>
    </row>
    <row r="1204" spans="1:2" x14ac:dyDescent="0.25">
      <c r="A1204" t="s">
        <v>8631</v>
      </c>
      <c r="B1204" t="s">
        <v>8631</v>
      </c>
    </row>
    <row r="1205" spans="1:2" x14ac:dyDescent="0.25">
      <c r="A1205" t="s">
        <v>8643</v>
      </c>
      <c r="B1205" t="s">
        <v>28493</v>
      </c>
    </row>
    <row r="1206" spans="1:2" x14ac:dyDescent="0.25">
      <c r="A1206" t="s">
        <v>8637</v>
      </c>
      <c r="B1206" t="s">
        <v>28485</v>
      </c>
    </row>
    <row r="1207" spans="1:2" x14ac:dyDescent="0.25">
      <c r="A1207" t="s">
        <v>8634</v>
      </c>
      <c r="B1207" t="s">
        <v>8634</v>
      </c>
    </row>
    <row r="1208" spans="1:2" x14ac:dyDescent="0.25">
      <c r="A1208" t="s">
        <v>8640</v>
      </c>
      <c r="B1208" t="s">
        <v>8640</v>
      </c>
    </row>
    <row r="1209" spans="1:2" x14ac:dyDescent="0.25">
      <c r="A1209" t="s">
        <v>3661</v>
      </c>
      <c r="B1209" t="s">
        <v>22786</v>
      </c>
    </row>
    <row r="1210" spans="1:2" x14ac:dyDescent="0.25">
      <c r="A1210" t="s">
        <v>8646</v>
      </c>
      <c r="B1210" t="s">
        <v>28498</v>
      </c>
    </row>
    <row r="1211" spans="1:2" x14ac:dyDescent="0.25">
      <c r="A1211" t="s">
        <v>3664</v>
      </c>
      <c r="B1211" t="s">
        <v>3664</v>
      </c>
    </row>
    <row r="1212" spans="1:2" x14ac:dyDescent="0.25">
      <c r="A1212" t="s">
        <v>3667</v>
      </c>
      <c r="B1212" t="s">
        <v>3667</v>
      </c>
    </row>
    <row r="1213" spans="1:2" x14ac:dyDescent="0.25">
      <c r="A1213" t="s">
        <v>8649</v>
      </c>
      <c r="B1213" t="s">
        <v>8649</v>
      </c>
    </row>
    <row r="1214" spans="1:2" x14ac:dyDescent="0.25">
      <c r="A1214" t="s">
        <v>8655</v>
      </c>
      <c r="B1214" t="s">
        <v>28510</v>
      </c>
    </row>
    <row r="1215" spans="1:2" x14ac:dyDescent="0.25">
      <c r="A1215" t="s">
        <v>8652</v>
      </c>
      <c r="B1215" t="s">
        <v>28506</v>
      </c>
    </row>
    <row r="1216" spans="1:2" x14ac:dyDescent="0.25">
      <c r="A1216" t="s">
        <v>3658</v>
      </c>
      <c r="B1216" t="s">
        <v>22781</v>
      </c>
    </row>
    <row r="1217" spans="1:2" x14ac:dyDescent="0.25">
      <c r="A1217" t="s">
        <v>8658</v>
      </c>
      <c r="B1217" t="s">
        <v>8658</v>
      </c>
    </row>
    <row r="1218" spans="1:2" x14ac:dyDescent="0.25">
      <c r="A1218" t="s">
        <v>8661</v>
      </c>
      <c r="B1218" t="s">
        <v>8661</v>
      </c>
    </row>
    <row r="1219" spans="1:2" x14ac:dyDescent="0.25">
      <c r="A1219" t="s">
        <v>3688</v>
      </c>
      <c r="B1219" t="s">
        <v>22820</v>
      </c>
    </row>
    <row r="1220" spans="1:2" x14ac:dyDescent="0.25">
      <c r="A1220" t="s">
        <v>3685</v>
      </c>
      <c r="B1220" t="s">
        <v>22817</v>
      </c>
    </row>
    <row r="1221" spans="1:2" x14ac:dyDescent="0.25">
      <c r="A1221" t="s">
        <v>3682</v>
      </c>
      <c r="B1221" t="s">
        <v>22812</v>
      </c>
    </row>
    <row r="1222" spans="1:2" x14ac:dyDescent="0.25">
      <c r="A1222" t="s">
        <v>3670</v>
      </c>
      <c r="B1222" t="s">
        <v>22795</v>
      </c>
    </row>
    <row r="1223" spans="1:2" x14ac:dyDescent="0.25">
      <c r="A1223" t="s">
        <v>11388</v>
      </c>
      <c r="B1223" t="s">
        <v>32196</v>
      </c>
    </row>
    <row r="1224" spans="1:2" x14ac:dyDescent="0.25">
      <c r="A1224" t="s">
        <v>3676</v>
      </c>
      <c r="B1224" t="s">
        <v>22803</v>
      </c>
    </row>
    <row r="1225" spans="1:2" x14ac:dyDescent="0.25">
      <c r="A1225" t="s">
        <v>3673</v>
      </c>
      <c r="B1225" t="s">
        <v>22798</v>
      </c>
    </row>
    <row r="1226" spans="1:2" x14ac:dyDescent="0.25">
      <c r="A1226" t="s">
        <v>3679</v>
      </c>
      <c r="B1226" t="s">
        <v>22808</v>
      </c>
    </row>
    <row r="1227" spans="1:2" x14ac:dyDescent="0.25">
      <c r="A1227" t="s">
        <v>3063</v>
      </c>
      <c r="B1227" t="s">
        <v>22018</v>
      </c>
    </row>
    <row r="1228" spans="1:2" x14ac:dyDescent="0.25">
      <c r="A1228" t="s">
        <v>3691</v>
      </c>
      <c r="B1228" t="s">
        <v>22825</v>
      </c>
    </row>
    <row r="1229" spans="1:2" x14ac:dyDescent="0.25">
      <c r="A1229" t="s">
        <v>8886</v>
      </c>
      <c r="B1229" t="s">
        <v>28827</v>
      </c>
    </row>
    <row r="1230" spans="1:2" x14ac:dyDescent="0.25">
      <c r="A1230" t="s">
        <v>8889</v>
      </c>
      <c r="B1230" t="s">
        <v>28832</v>
      </c>
    </row>
    <row r="1231" spans="1:2" x14ac:dyDescent="0.25">
      <c r="A1231" t="s">
        <v>8892</v>
      </c>
      <c r="B1231" t="s">
        <v>28837</v>
      </c>
    </row>
    <row r="1232" spans="1:2" x14ac:dyDescent="0.25">
      <c r="A1232" t="s">
        <v>8895</v>
      </c>
      <c r="B1232" t="s">
        <v>28842</v>
      </c>
    </row>
    <row r="1233" spans="1:2" x14ac:dyDescent="0.25">
      <c r="A1233" t="s">
        <v>8898</v>
      </c>
      <c r="B1233" t="s">
        <v>28847</v>
      </c>
    </row>
    <row r="1234" spans="1:2" x14ac:dyDescent="0.25">
      <c r="A1234" t="s">
        <v>8910</v>
      </c>
      <c r="B1234" t="s">
        <v>28867</v>
      </c>
    </row>
    <row r="1235" spans="1:2" x14ac:dyDescent="0.25">
      <c r="A1235" t="s">
        <v>8901</v>
      </c>
      <c r="B1235" t="s">
        <v>28852</v>
      </c>
    </row>
    <row r="1236" spans="1:2" x14ac:dyDescent="0.25">
      <c r="A1236" t="s">
        <v>8904</v>
      </c>
      <c r="B1236" t="s">
        <v>28857</v>
      </c>
    </row>
    <row r="1237" spans="1:2" x14ac:dyDescent="0.25">
      <c r="A1237" t="s">
        <v>8907</v>
      </c>
      <c r="B1237" t="s">
        <v>28862</v>
      </c>
    </row>
    <row r="1238" spans="1:2" x14ac:dyDescent="0.25">
      <c r="A1238" t="s">
        <v>8913</v>
      </c>
      <c r="B1238" t="s">
        <v>28872</v>
      </c>
    </row>
    <row r="1239" spans="1:2" x14ac:dyDescent="0.25">
      <c r="A1239" t="s">
        <v>8916</v>
      </c>
      <c r="B1239" t="s">
        <v>28873</v>
      </c>
    </row>
    <row r="1240" spans="1:2" x14ac:dyDescent="0.25">
      <c r="A1240" t="s">
        <v>8919</v>
      </c>
      <c r="B1240" t="s">
        <v>28878</v>
      </c>
    </row>
    <row r="1241" spans="1:2" x14ac:dyDescent="0.25">
      <c r="A1241" t="s">
        <v>8937</v>
      </c>
      <c r="B1241" t="s">
        <v>28903</v>
      </c>
    </row>
    <row r="1242" spans="1:2" x14ac:dyDescent="0.25">
      <c r="A1242" t="s">
        <v>8940</v>
      </c>
      <c r="B1242" t="s">
        <v>28908</v>
      </c>
    </row>
    <row r="1243" spans="1:2" x14ac:dyDescent="0.25">
      <c r="A1243" t="s">
        <v>8943</v>
      </c>
      <c r="B1243" t="s">
        <v>28913</v>
      </c>
    </row>
    <row r="1244" spans="1:2" x14ac:dyDescent="0.25">
      <c r="A1244" t="s">
        <v>8946</v>
      </c>
      <c r="B1244" t="s">
        <v>28917</v>
      </c>
    </row>
    <row r="1245" spans="1:2" x14ac:dyDescent="0.25">
      <c r="A1245" t="s">
        <v>8958</v>
      </c>
      <c r="B1245" t="s">
        <v>28932</v>
      </c>
    </row>
    <row r="1246" spans="1:2" x14ac:dyDescent="0.25">
      <c r="A1246" t="s">
        <v>3274</v>
      </c>
      <c r="B1246" t="s">
        <v>22238</v>
      </c>
    </row>
    <row r="1247" spans="1:2" x14ac:dyDescent="0.25">
      <c r="A1247" t="s">
        <v>3292</v>
      </c>
      <c r="B1247" t="s">
        <v>22262</v>
      </c>
    </row>
    <row r="1248" spans="1:2" x14ac:dyDescent="0.25">
      <c r="A1248" t="s">
        <v>3295</v>
      </c>
      <c r="B1248" t="s">
        <v>22267</v>
      </c>
    </row>
    <row r="1249" spans="1:2" x14ac:dyDescent="0.25">
      <c r="A1249" t="s">
        <v>3298</v>
      </c>
      <c r="B1249" t="s">
        <v>22271</v>
      </c>
    </row>
    <row r="1250" spans="1:2" x14ac:dyDescent="0.25">
      <c r="A1250" t="s">
        <v>3319</v>
      </c>
      <c r="B1250" t="s">
        <v>22300</v>
      </c>
    </row>
    <row r="1251" spans="1:2" x14ac:dyDescent="0.25">
      <c r="A1251" t="s">
        <v>3328</v>
      </c>
      <c r="B1251" t="s">
        <v>22312</v>
      </c>
    </row>
    <row r="1252" spans="1:2" x14ac:dyDescent="0.25">
      <c r="A1252" t="s">
        <v>3733</v>
      </c>
      <c r="B1252" t="s">
        <v>22870</v>
      </c>
    </row>
    <row r="1253" spans="1:2" x14ac:dyDescent="0.25">
      <c r="A1253" t="s">
        <v>3751</v>
      </c>
      <c r="B1253" t="s">
        <v>22889</v>
      </c>
    </row>
    <row r="1254" spans="1:2" x14ac:dyDescent="0.25">
      <c r="A1254" t="s">
        <v>3877</v>
      </c>
      <c r="B1254" t="s">
        <v>3877</v>
      </c>
    </row>
    <row r="1255" spans="1:2" x14ac:dyDescent="0.25">
      <c r="A1255" t="s">
        <v>8730</v>
      </c>
      <c r="B1255" t="s">
        <v>8730</v>
      </c>
    </row>
    <row r="1256" spans="1:2" x14ac:dyDescent="0.25">
      <c r="A1256" t="s">
        <v>8733</v>
      </c>
      <c r="B1256" t="s">
        <v>8733</v>
      </c>
    </row>
    <row r="1257" spans="1:2" x14ac:dyDescent="0.25">
      <c r="A1257" t="s">
        <v>8739</v>
      </c>
      <c r="B1257" t="s">
        <v>28624</v>
      </c>
    </row>
    <row r="1258" spans="1:2" x14ac:dyDescent="0.25">
      <c r="A1258" t="s">
        <v>8736</v>
      </c>
      <c r="B1258" t="s">
        <v>28623</v>
      </c>
    </row>
    <row r="1259" spans="1:2" x14ac:dyDescent="0.25">
      <c r="A1259" t="s">
        <v>3856</v>
      </c>
      <c r="B1259" t="s">
        <v>3856</v>
      </c>
    </row>
    <row r="1260" spans="1:2" x14ac:dyDescent="0.25">
      <c r="A1260" t="s">
        <v>3859</v>
      </c>
      <c r="B1260" t="s">
        <v>23012</v>
      </c>
    </row>
    <row r="1261" spans="1:2" x14ac:dyDescent="0.25">
      <c r="A1261" t="s">
        <v>3862</v>
      </c>
      <c r="B1261" t="s">
        <v>23017</v>
      </c>
    </row>
    <row r="1262" spans="1:2" x14ac:dyDescent="0.25">
      <c r="A1262" t="s">
        <v>3874</v>
      </c>
      <c r="B1262" t="s">
        <v>23035</v>
      </c>
    </row>
    <row r="1263" spans="1:2" x14ac:dyDescent="0.25">
      <c r="A1263" t="s">
        <v>3868</v>
      </c>
      <c r="B1263" t="s">
        <v>23025</v>
      </c>
    </row>
    <row r="1264" spans="1:2" x14ac:dyDescent="0.25">
      <c r="A1264" t="s">
        <v>3865</v>
      </c>
      <c r="B1264" t="s">
        <v>23021</v>
      </c>
    </row>
    <row r="1265" spans="1:2" x14ac:dyDescent="0.25">
      <c r="A1265" t="s">
        <v>3871</v>
      </c>
      <c r="B1265" t="s">
        <v>23030</v>
      </c>
    </row>
    <row r="1266" spans="1:2" x14ac:dyDescent="0.25">
      <c r="A1266" t="s">
        <v>3892</v>
      </c>
      <c r="B1266" t="s">
        <v>3892</v>
      </c>
    </row>
    <row r="1267" spans="1:2" x14ac:dyDescent="0.25">
      <c r="A1267" t="s">
        <v>3895</v>
      </c>
      <c r="B1267" t="s">
        <v>3895</v>
      </c>
    </row>
    <row r="1268" spans="1:2" x14ac:dyDescent="0.25">
      <c r="A1268" t="s">
        <v>8742</v>
      </c>
      <c r="B1268" t="s">
        <v>8742</v>
      </c>
    </row>
    <row r="1269" spans="1:2" x14ac:dyDescent="0.25">
      <c r="A1269" t="s">
        <v>8745</v>
      </c>
      <c r="B1269" t="s">
        <v>8745</v>
      </c>
    </row>
    <row r="1270" spans="1:2" x14ac:dyDescent="0.25">
      <c r="A1270" t="s">
        <v>8748</v>
      </c>
      <c r="B1270" t="s">
        <v>28635</v>
      </c>
    </row>
    <row r="1271" spans="1:2" x14ac:dyDescent="0.25">
      <c r="A1271" t="s">
        <v>8751</v>
      </c>
      <c r="B1271" t="s">
        <v>8751</v>
      </c>
    </row>
    <row r="1272" spans="1:2" x14ac:dyDescent="0.25">
      <c r="A1272" t="s">
        <v>3766</v>
      </c>
      <c r="B1272" t="s">
        <v>22901</v>
      </c>
    </row>
    <row r="1273" spans="1:2" x14ac:dyDescent="0.25">
      <c r="A1273" t="s">
        <v>8754</v>
      </c>
      <c r="B1273" t="s">
        <v>8754</v>
      </c>
    </row>
    <row r="1274" spans="1:2" x14ac:dyDescent="0.25">
      <c r="A1274" t="s">
        <v>8757</v>
      </c>
      <c r="B1274" t="s">
        <v>8757</v>
      </c>
    </row>
    <row r="1275" spans="1:2" x14ac:dyDescent="0.25">
      <c r="A1275" t="s">
        <v>8760</v>
      </c>
      <c r="B1275" t="s">
        <v>8760</v>
      </c>
    </row>
    <row r="1276" spans="1:2" x14ac:dyDescent="0.25">
      <c r="A1276" t="s">
        <v>8766</v>
      </c>
      <c r="B1276" t="s">
        <v>8766</v>
      </c>
    </row>
    <row r="1277" spans="1:2" x14ac:dyDescent="0.25">
      <c r="A1277" t="s">
        <v>8784</v>
      </c>
      <c r="B1277" t="s">
        <v>8784</v>
      </c>
    </row>
    <row r="1278" spans="1:2" x14ac:dyDescent="0.25">
      <c r="A1278" t="s">
        <v>8781</v>
      </c>
      <c r="B1278" t="s">
        <v>28681</v>
      </c>
    </row>
    <row r="1279" spans="1:2" x14ac:dyDescent="0.25">
      <c r="A1279" t="s">
        <v>8790</v>
      </c>
      <c r="B1279" t="s">
        <v>8790</v>
      </c>
    </row>
    <row r="1280" spans="1:2" x14ac:dyDescent="0.25">
      <c r="A1280" t="s">
        <v>8799</v>
      </c>
      <c r="B1280" t="s">
        <v>28706</v>
      </c>
    </row>
    <row r="1281" spans="1:2" x14ac:dyDescent="0.25">
      <c r="A1281" t="s">
        <v>8769</v>
      </c>
      <c r="B1281" t="s">
        <v>8769</v>
      </c>
    </row>
    <row r="1282" spans="1:2" x14ac:dyDescent="0.25">
      <c r="A1282" t="s">
        <v>8796</v>
      </c>
      <c r="B1282" t="s">
        <v>8796</v>
      </c>
    </row>
    <row r="1283" spans="1:2" x14ac:dyDescent="0.25">
      <c r="A1283" t="s">
        <v>8772</v>
      </c>
      <c r="B1283" t="s">
        <v>28668</v>
      </c>
    </row>
    <row r="1284" spans="1:2" x14ac:dyDescent="0.25">
      <c r="A1284" t="s">
        <v>8775</v>
      </c>
      <c r="B1284" t="s">
        <v>8775</v>
      </c>
    </row>
    <row r="1285" spans="1:2" x14ac:dyDescent="0.25">
      <c r="A1285" t="s">
        <v>8778</v>
      </c>
      <c r="B1285" t="s">
        <v>8778</v>
      </c>
    </row>
    <row r="1286" spans="1:2" x14ac:dyDescent="0.25">
      <c r="A1286" t="s">
        <v>8787</v>
      </c>
      <c r="B1286" t="s">
        <v>28690</v>
      </c>
    </row>
    <row r="1287" spans="1:2" x14ac:dyDescent="0.25">
      <c r="A1287" t="s">
        <v>8793</v>
      </c>
      <c r="B1287" t="s">
        <v>8793</v>
      </c>
    </row>
    <row r="1288" spans="1:2" x14ac:dyDescent="0.25">
      <c r="A1288" t="s">
        <v>8763</v>
      </c>
      <c r="B1288" t="s">
        <v>8763</v>
      </c>
    </row>
    <row r="1289" spans="1:2" x14ac:dyDescent="0.25">
      <c r="A1289" t="s">
        <v>3809</v>
      </c>
      <c r="B1289" t="s">
        <v>22961</v>
      </c>
    </row>
    <row r="1290" spans="1:2" x14ac:dyDescent="0.25">
      <c r="A1290" t="s">
        <v>8802</v>
      </c>
      <c r="B1290" t="s">
        <v>28710</v>
      </c>
    </row>
    <row r="1291" spans="1:2" x14ac:dyDescent="0.25">
      <c r="A1291" t="s">
        <v>8805</v>
      </c>
      <c r="B1291" t="s">
        <v>8805</v>
      </c>
    </row>
    <row r="1292" spans="1:2" x14ac:dyDescent="0.25">
      <c r="A1292" t="s">
        <v>8808</v>
      </c>
      <c r="B1292" t="s">
        <v>28719</v>
      </c>
    </row>
    <row r="1293" spans="1:2" x14ac:dyDescent="0.25">
      <c r="A1293" t="s">
        <v>4428</v>
      </c>
      <c r="B1293" t="s">
        <v>4428</v>
      </c>
    </row>
    <row r="1294" spans="1:2" x14ac:dyDescent="0.25">
      <c r="A1294" t="s">
        <v>3768</v>
      </c>
      <c r="B1294" t="s">
        <v>22902</v>
      </c>
    </row>
    <row r="1295" spans="1:2" x14ac:dyDescent="0.25">
      <c r="A1295" t="s">
        <v>3770</v>
      </c>
      <c r="B1295" t="s">
        <v>22903</v>
      </c>
    </row>
    <row r="1296" spans="1:2" x14ac:dyDescent="0.25">
      <c r="A1296" t="s">
        <v>8820</v>
      </c>
      <c r="B1296" t="s">
        <v>8820</v>
      </c>
    </row>
    <row r="1297" spans="1:2" x14ac:dyDescent="0.25">
      <c r="A1297" t="s">
        <v>8823</v>
      </c>
      <c r="B1297" t="s">
        <v>8823</v>
      </c>
    </row>
    <row r="1298" spans="1:2" x14ac:dyDescent="0.25">
      <c r="A1298" t="s">
        <v>8826</v>
      </c>
      <c r="B1298" t="s">
        <v>28741</v>
      </c>
    </row>
    <row r="1299" spans="1:2" x14ac:dyDescent="0.25">
      <c r="A1299" t="s">
        <v>8841</v>
      </c>
      <c r="B1299" t="s">
        <v>28764</v>
      </c>
    </row>
    <row r="1300" spans="1:2" x14ac:dyDescent="0.25">
      <c r="A1300" t="s">
        <v>8838</v>
      </c>
      <c r="B1300" t="s">
        <v>28759</v>
      </c>
    </row>
    <row r="1301" spans="1:2" x14ac:dyDescent="0.25">
      <c r="A1301" t="s">
        <v>8835</v>
      </c>
      <c r="B1301" t="s">
        <v>8835</v>
      </c>
    </row>
    <row r="1302" spans="1:2" x14ac:dyDescent="0.25">
      <c r="A1302" t="s">
        <v>8832</v>
      </c>
      <c r="B1302" t="s">
        <v>8832</v>
      </c>
    </row>
    <row r="1303" spans="1:2" x14ac:dyDescent="0.25">
      <c r="A1303" t="s">
        <v>8817</v>
      </c>
      <c r="B1303" t="s">
        <v>28728</v>
      </c>
    </row>
    <row r="1304" spans="1:2" x14ac:dyDescent="0.25">
      <c r="A1304" t="s">
        <v>8829</v>
      </c>
      <c r="B1304" t="s">
        <v>28746</v>
      </c>
    </row>
    <row r="1305" spans="1:2" x14ac:dyDescent="0.25">
      <c r="A1305" t="s">
        <v>2809</v>
      </c>
      <c r="B1305" t="s">
        <v>2809</v>
      </c>
    </row>
    <row r="1306" spans="1:2" x14ac:dyDescent="0.25">
      <c r="A1306" t="s">
        <v>8844</v>
      </c>
      <c r="B1306" t="s">
        <v>8844</v>
      </c>
    </row>
    <row r="1307" spans="1:2" x14ac:dyDescent="0.25">
      <c r="A1307" t="s">
        <v>3880</v>
      </c>
      <c r="B1307" t="s">
        <v>3880</v>
      </c>
    </row>
    <row r="1308" spans="1:2" x14ac:dyDescent="0.25">
      <c r="A1308" t="s">
        <v>3883</v>
      </c>
      <c r="B1308" t="s">
        <v>3883</v>
      </c>
    </row>
    <row r="1309" spans="1:2" x14ac:dyDescent="0.25">
      <c r="A1309" t="s">
        <v>3886</v>
      </c>
      <c r="B1309" t="s">
        <v>3886</v>
      </c>
    </row>
    <row r="1310" spans="1:2" x14ac:dyDescent="0.25">
      <c r="A1310" t="s">
        <v>3889</v>
      </c>
      <c r="B1310" t="s">
        <v>23048</v>
      </c>
    </row>
    <row r="1311" spans="1:2" x14ac:dyDescent="0.25">
      <c r="A1311" t="s">
        <v>4077</v>
      </c>
      <c r="B1311" t="s">
        <v>4077</v>
      </c>
    </row>
    <row r="1312" spans="1:2" x14ac:dyDescent="0.25">
      <c r="A1312" t="s">
        <v>4080</v>
      </c>
      <c r="B1312" t="s">
        <v>4080</v>
      </c>
    </row>
    <row r="1313" spans="1:2" x14ac:dyDescent="0.25">
      <c r="A1313" t="s">
        <v>4083</v>
      </c>
      <c r="B1313" t="s">
        <v>4083</v>
      </c>
    </row>
    <row r="1314" spans="1:2" x14ac:dyDescent="0.25">
      <c r="A1314" t="s">
        <v>4086</v>
      </c>
      <c r="B1314" t="s">
        <v>4086</v>
      </c>
    </row>
    <row r="1315" spans="1:2" x14ac:dyDescent="0.25">
      <c r="A1315" t="s">
        <v>3837</v>
      </c>
      <c r="B1315" t="s">
        <v>22998</v>
      </c>
    </row>
    <row r="1316" spans="1:2" x14ac:dyDescent="0.25">
      <c r="A1316" t="s">
        <v>3799</v>
      </c>
      <c r="B1316" t="s">
        <v>22949</v>
      </c>
    </row>
    <row r="1317" spans="1:2" x14ac:dyDescent="0.25">
      <c r="A1317" t="s">
        <v>11239</v>
      </c>
      <c r="B1317" t="s">
        <v>32073</v>
      </c>
    </row>
    <row r="1318" spans="1:2" x14ac:dyDescent="0.25">
      <c r="A1318" t="s">
        <v>8850</v>
      </c>
      <c r="B1318" t="s">
        <v>28778</v>
      </c>
    </row>
    <row r="1319" spans="1:2" x14ac:dyDescent="0.25">
      <c r="A1319" t="s">
        <v>6189</v>
      </c>
      <c r="B1319" t="s">
        <v>25697</v>
      </c>
    </row>
    <row r="1320" spans="1:2" x14ac:dyDescent="0.25">
      <c r="A1320" t="s">
        <v>8853</v>
      </c>
      <c r="B1320" t="s">
        <v>28783</v>
      </c>
    </row>
    <row r="1321" spans="1:2" x14ac:dyDescent="0.25">
      <c r="A1321" t="s">
        <v>8856</v>
      </c>
      <c r="B1321" t="s">
        <v>8856</v>
      </c>
    </row>
    <row r="1322" spans="1:2" x14ac:dyDescent="0.25">
      <c r="A1322" t="s">
        <v>8859</v>
      </c>
      <c r="B1322" t="s">
        <v>28788</v>
      </c>
    </row>
    <row r="1323" spans="1:2" x14ac:dyDescent="0.25">
      <c r="A1323" t="s">
        <v>3957</v>
      </c>
      <c r="B1323" t="s">
        <v>23134</v>
      </c>
    </row>
    <row r="1324" spans="1:2" x14ac:dyDescent="0.25">
      <c r="A1324" t="s">
        <v>3960</v>
      </c>
      <c r="B1324" t="s">
        <v>23139</v>
      </c>
    </row>
    <row r="1325" spans="1:2" x14ac:dyDescent="0.25">
      <c r="A1325" t="s">
        <v>3963</v>
      </c>
      <c r="B1325" t="s">
        <v>23143</v>
      </c>
    </row>
    <row r="1326" spans="1:2" x14ac:dyDescent="0.25">
      <c r="A1326" t="s">
        <v>3906</v>
      </c>
      <c r="B1326" t="s">
        <v>23065</v>
      </c>
    </row>
    <row r="1327" spans="1:2" x14ac:dyDescent="0.25">
      <c r="A1327" t="s">
        <v>3930</v>
      </c>
      <c r="B1327" t="s">
        <v>23099</v>
      </c>
    </row>
    <row r="1328" spans="1:2" x14ac:dyDescent="0.25">
      <c r="A1328" t="s">
        <v>3975</v>
      </c>
      <c r="B1328" t="s">
        <v>23163</v>
      </c>
    </row>
    <row r="1329" spans="1:2" x14ac:dyDescent="0.25">
      <c r="A1329" t="s">
        <v>3909</v>
      </c>
      <c r="B1329" t="s">
        <v>23070</v>
      </c>
    </row>
    <row r="1330" spans="1:2" x14ac:dyDescent="0.25">
      <c r="A1330" t="s">
        <v>3972</v>
      </c>
      <c r="B1330" t="s">
        <v>23158</v>
      </c>
    </row>
    <row r="1331" spans="1:2" x14ac:dyDescent="0.25">
      <c r="A1331" t="s">
        <v>3969</v>
      </c>
      <c r="B1331" t="s">
        <v>23153</v>
      </c>
    </row>
    <row r="1332" spans="1:2" x14ac:dyDescent="0.25">
      <c r="A1332" t="s">
        <v>3978</v>
      </c>
      <c r="B1332" t="s">
        <v>23168</v>
      </c>
    </row>
    <row r="1333" spans="1:2" x14ac:dyDescent="0.25">
      <c r="A1333" t="s">
        <v>3981</v>
      </c>
      <c r="B1333" t="s">
        <v>23172</v>
      </c>
    </row>
    <row r="1334" spans="1:2" x14ac:dyDescent="0.25">
      <c r="A1334" t="s">
        <v>8964</v>
      </c>
      <c r="B1334" t="s">
        <v>8964</v>
      </c>
    </row>
    <row r="1335" spans="1:2" x14ac:dyDescent="0.25">
      <c r="A1335" t="s">
        <v>5177</v>
      </c>
      <c r="B1335" t="s">
        <v>24603</v>
      </c>
    </row>
    <row r="1336" spans="1:2" x14ac:dyDescent="0.25">
      <c r="A1336" t="s">
        <v>3921</v>
      </c>
      <c r="B1336" t="s">
        <v>23087</v>
      </c>
    </row>
    <row r="1337" spans="1:2" x14ac:dyDescent="0.25">
      <c r="A1337" t="s">
        <v>3924</v>
      </c>
      <c r="B1337" t="s">
        <v>23091</v>
      </c>
    </row>
    <row r="1338" spans="1:2" x14ac:dyDescent="0.25">
      <c r="A1338" t="s">
        <v>3915</v>
      </c>
      <c r="B1338" t="s">
        <v>23078</v>
      </c>
    </row>
    <row r="1339" spans="1:2" x14ac:dyDescent="0.25">
      <c r="A1339" t="s">
        <v>790</v>
      </c>
      <c r="B1339" t="s">
        <v>19094</v>
      </c>
    </row>
    <row r="1340" spans="1:2" x14ac:dyDescent="0.25">
      <c r="A1340" t="s">
        <v>8976</v>
      </c>
      <c r="B1340" t="s">
        <v>28958</v>
      </c>
    </row>
    <row r="1341" spans="1:2" x14ac:dyDescent="0.25">
      <c r="A1341" t="s">
        <v>3984</v>
      </c>
      <c r="B1341" t="s">
        <v>23177</v>
      </c>
    </row>
    <row r="1342" spans="1:2" x14ac:dyDescent="0.25">
      <c r="A1342" t="s">
        <v>3993</v>
      </c>
      <c r="B1342" t="s">
        <v>23192</v>
      </c>
    </row>
    <row r="1343" spans="1:2" x14ac:dyDescent="0.25">
      <c r="A1343" t="s">
        <v>3996</v>
      </c>
      <c r="B1343" t="s">
        <v>23197</v>
      </c>
    </row>
    <row r="1344" spans="1:2" x14ac:dyDescent="0.25">
      <c r="A1344" t="s">
        <v>3987</v>
      </c>
      <c r="B1344" t="s">
        <v>23182</v>
      </c>
    </row>
    <row r="1345" spans="1:2" x14ac:dyDescent="0.25">
      <c r="A1345" t="s">
        <v>3927</v>
      </c>
      <c r="B1345" t="s">
        <v>23094</v>
      </c>
    </row>
    <row r="1346" spans="1:2" x14ac:dyDescent="0.25">
      <c r="A1346" t="s">
        <v>8979</v>
      </c>
      <c r="B1346" t="s">
        <v>28963</v>
      </c>
    </row>
    <row r="1347" spans="1:2" x14ac:dyDescent="0.25">
      <c r="A1347" t="s">
        <v>8982</v>
      </c>
      <c r="B1347" t="s">
        <v>28968</v>
      </c>
    </row>
    <row r="1348" spans="1:2" x14ac:dyDescent="0.25">
      <c r="A1348" t="s">
        <v>4002</v>
      </c>
      <c r="B1348" t="s">
        <v>23206</v>
      </c>
    </row>
    <row r="1349" spans="1:2" x14ac:dyDescent="0.25">
      <c r="A1349" t="s">
        <v>8988</v>
      </c>
      <c r="B1349" t="s">
        <v>28978</v>
      </c>
    </row>
    <row r="1350" spans="1:2" x14ac:dyDescent="0.25">
      <c r="A1350" t="s">
        <v>4005</v>
      </c>
      <c r="B1350" t="s">
        <v>23211</v>
      </c>
    </row>
    <row r="1351" spans="1:2" x14ac:dyDescent="0.25">
      <c r="A1351" t="s">
        <v>3912</v>
      </c>
      <c r="B1351" t="s">
        <v>23074</v>
      </c>
    </row>
    <row r="1352" spans="1:2" x14ac:dyDescent="0.25">
      <c r="A1352" t="s">
        <v>3933</v>
      </c>
      <c r="B1352" t="s">
        <v>23103</v>
      </c>
    </row>
    <row r="1353" spans="1:2" x14ac:dyDescent="0.25">
      <c r="A1353" t="s">
        <v>4008</v>
      </c>
      <c r="B1353" t="s">
        <v>23216</v>
      </c>
    </row>
    <row r="1354" spans="1:2" x14ac:dyDescent="0.25">
      <c r="A1354" t="s">
        <v>3942</v>
      </c>
      <c r="B1354" t="s">
        <v>23112</v>
      </c>
    </row>
    <row r="1355" spans="1:2" x14ac:dyDescent="0.25">
      <c r="A1355" t="s">
        <v>4011</v>
      </c>
      <c r="B1355" t="s">
        <v>23221</v>
      </c>
    </row>
    <row r="1356" spans="1:2" x14ac:dyDescent="0.25">
      <c r="A1356" t="s">
        <v>4014</v>
      </c>
      <c r="B1356" t="s">
        <v>23226</v>
      </c>
    </row>
    <row r="1357" spans="1:2" x14ac:dyDescent="0.25">
      <c r="A1357" t="s">
        <v>4017</v>
      </c>
      <c r="B1357" t="s">
        <v>23231</v>
      </c>
    </row>
    <row r="1358" spans="1:2" x14ac:dyDescent="0.25">
      <c r="A1358" t="s">
        <v>3918</v>
      </c>
      <c r="B1358" t="s">
        <v>23082</v>
      </c>
    </row>
    <row r="1359" spans="1:2" x14ac:dyDescent="0.25">
      <c r="A1359" t="s">
        <v>4023</v>
      </c>
      <c r="B1359" t="s">
        <v>23241</v>
      </c>
    </row>
    <row r="1360" spans="1:2" x14ac:dyDescent="0.25">
      <c r="A1360" t="s">
        <v>4026</v>
      </c>
      <c r="B1360" t="s">
        <v>23246</v>
      </c>
    </row>
    <row r="1361" spans="1:2" x14ac:dyDescent="0.25">
      <c r="A1361" t="s">
        <v>4029</v>
      </c>
      <c r="B1361" t="s">
        <v>23251</v>
      </c>
    </row>
    <row r="1362" spans="1:2" x14ac:dyDescent="0.25">
      <c r="A1362" t="s">
        <v>3948</v>
      </c>
      <c r="B1362" t="s">
        <v>23121</v>
      </c>
    </row>
    <row r="1363" spans="1:2" x14ac:dyDescent="0.25">
      <c r="A1363" t="s">
        <v>3945</v>
      </c>
      <c r="B1363" t="s">
        <v>23116</v>
      </c>
    </row>
    <row r="1364" spans="1:2" x14ac:dyDescent="0.25">
      <c r="A1364" t="s">
        <v>9036</v>
      </c>
      <c r="B1364" t="s">
        <v>29048</v>
      </c>
    </row>
    <row r="1365" spans="1:2" x14ac:dyDescent="0.25">
      <c r="A1365" t="s">
        <v>9033</v>
      </c>
      <c r="B1365" t="s">
        <v>29043</v>
      </c>
    </row>
    <row r="1366" spans="1:2" x14ac:dyDescent="0.25">
      <c r="A1366" t="s">
        <v>4035</v>
      </c>
      <c r="B1366" t="s">
        <v>23261</v>
      </c>
    </row>
    <row r="1367" spans="1:2" x14ac:dyDescent="0.25">
      <c r="A1367" t="s">
        <v>4032</v>
      </c>
      <c r="B1367" t="s">
        <v>23256</v>
      </c>
    </row>
    <row r="1368" spans="1:2" x14ac:dyDescent="0.25">
      <c r="A1368" t="s">
        <v>9039</v>
      </c>
      <c r="B1368" t="s">
        <v>29053</v>
      </c>
    </row>
    <row r="1369" spans="1:2" x14ac:dyDescent="0.25">
      <c r="A1369" t="s">
        <v>4041</v>
      </c>
      <c r="B1369" t="s">
        <v>23271</v>
      </c>
    </row>
    <row r="1370" spans="1:2" x14ac:dyDescent="0.25">
      <c r="A1370" t="s">
        <v>4044</v>
      </c>
      <c r="B1370" t="s">
        <v>23276</v>
      </c>
    </row>
    <row r="1371" spans="1:2" x14ac:dyDescent="0.25">
      <c r="A1371" t="s">
        <v>4038</v>
      </c>
      <c r="B1371" t="s">
        <v>23266</v>
      </c>
    </row>
    <row r="1372" spans="1:2" x14ac:dyDescent="0.25">
      <c r="A1372" t="s">
        <v>3796</v>
      </c>
      <c r="B1372" t="s">
        <v>22944</v>
      </c>
    </row>
    <row r="1373" spans="1:2" x14ac:dyDescent="0.25">
      <c r="A1373" t="s">
        <v>3951</v>
      </c>
      <c r="B1373" t="s">
        <v>23126</v>
      </c>
    </row>
    <row r="1374" spans="1:2" x14ac:dyDescent="0.25">
      <c r="A1374" t="s">
        <v>3954</v>
      </c>
      <c r="B1374" t="s">
        <v>23131</v>
      </c>
    </row>
    <row r="1375" spans="1:2" x14ac:dyDescent="0.25">
      <c r="A1375" t="s">
        <v>9042</v>
      </c>
      <c r="B1375" t="s">
        <v>29054</v>
      </c>
    </row>
    <row r="1376" spans="1:2" x14ac:dyDescent="0.25">
      <c r="A1376" t="s">
        <v>3939</v>
      </c>
      <c r="B1376" t="s">
        <v>23108</v>
      </c>
    </row>
    <row r="1377" spans="1:2" x14ac:dyDescent="0.25">
      <c r="A1377" t="s">
        <v>3966</v>
      </c>
      <c r="B1377" t="s">
        <v>23148</v>
      </c>
    </row>
    <row r="1378" spans="1:2" x14ac:dyDescent="0.25">
      <c r="A1378" t="s">
        <v>8868</v>
      </c>
      <c r="B1378" t="s">
        <v>28801</v>
      </c>
    </row>
    <row r="1379" spans="1:2" x14ac:dyDescent="0.25">
      <c r="A1379" t="s">
        <v>8862</v>
      </c>
      <c r="B1379" t="s">
        <v>8862</v>
      </c>
    </row>
    <row r="1380" spans="1:2" x14ac:dyDescent="0.25">
      <c r="A1380" t="s">
        <v>8865</v>
      </c>
      <c r="B1380" t="s">
        <v>8865</v>
      </c>
    </row>
    <row r="1381" spans="1:2" x14ac:dyDescent="0.25">
      <c r="A1381" t="s">
        <v>3999</v>
      </c>
      <c r="B1381" t="s">
        <v>3999</v>
      </c>
    </row>
    <row r="1382" spans="1:2" x14ac:dyDescent="0.25">
      <c r="A1382" t="s">
        <v>3936</v>
      </c>
      <c r="B1382" t="s">
        <v>23104</v>
      </c>
    </row>
    <row r="1383" spans="1:2" x14ac:dyDescent="0.25">
      <c r="A1383" t="s">
        <v>8871</v>
      </c>
      <c r="B1383" t="s">
        <v>8871</v>
      </c>
    </row>
    <row r="1384" spans="1:2" x14ac:dyDescent="0.25">
      <c r="A1384" t="s">
        <v>3990</v>
      </c>
      <c r="B1384" t="s">
        <v>23187</v>
      </c>
    </row>
    <row r="1385" spans="1:2" x14ac:dyDescent="0.25">
      <c r="A1385" t="s">
        <v>3801</v>
      </c>
      <c r="B1385" t="s">
        <v>22950</v>
      </c>
    </row>
    <row r="1386" spans="1:2" x14ac:dyDescent="0.25">
      <c r="A1386" t="s">
        <v>3806</v>
      </c>
      <c r="B1386" t="s">
        <v>22956</v>
      </c>
    </row>
    <row r="1387" spans="1:2" x14ac:dyDescent="0.25">
      <c r="A1387" t="s">
        <v>4020</v>
      </c>
      <c r="B1387" t="s">
        <v>23236</v>
      </c>
    </row>
    <row r="1388" spans="1:2" x14ac:dyDescent="0.25">
      <c r="A1388" t="s">
        <v>8874</v>
      </c>
      <c r="B1388" t="s">
        <v>28810</v>
      </c>
    </row>
    <row r="1389" spans="1:2" x14ac:dyDescent="0.25">
      <c r="A1389" t="s">
        <v>8877</v>
      </c>
      <c r="B1389" t="s">
        <v>28815</v>
      </c>
    </row>
    <row r="1390" spans="1:2" x14ac:dyDescent="0.25">
      <c r="A1390" t="s">
        <v>8880</v>
      </c>
      <c r="B1390" t="s">
        <v>8880</v>
      </c>
    </row>
    <row r="1391" spans="1:2" x14ac:dyDescent="0.25">
      <c r="A1391" t="s">
        <v>4071</v>
      </c>
      <c r="B1391" t="s">
        <v>23309</v>
      </c>
    </row>
    <row r="1392" spans="1:2" x14ac:dyDescent="0.25">
      <c r="A1392" t="s">
        <v>4074</v>
      </c>
      <c r="B1392" t="s">
        <v>23314</v>
      </c>
    </row>
    <row r="1393" spans="1:2" x14ac:dyDescent="0.25">
      <c r="A1393" t="s">
        <v>4068</v>
      </c>
      <c r="B1393" t="s">
        <v>23305</v>
      </c>
    </row>
    <row r="1394" spans="1:2" x14ac:dyDescent="0.25">
      <c r="A1394" t="s">
        <v>3898</v>
      </c>
      <c r="B1394" t="s">
        <v>23057</v>
      </c>
    </row>
    <row r="1395" spans="1:2" x14ac:dyDescent="0.25">
      <c r="A1395" t="s">
        <v>8883</v>
      </c>
      <c r="B1395" t="s">
        <v>28822</v>
      </c>
    </row>
    <row r="1396" spans="1:2" x14ac:dyDescent="0.25">
      <c r="A1396" t="s">
        <v>8922</v>
      </c>
      <c r="B1396" t="s">
        <v>8922</v>
      </c>
    </row>
    <row r="1397" spans="1:2" x14ac:dyDescent="0.25">
      <c r="A1397" t="s">
        <v>8925</v>
      </c>
      <c r="B1397" t="s">
        <v>8925</v>
      </c>
    </row>
    <row r="1398" spans="1:2" x14ac:dyDescent="0.25">
      <c r="A1398" t="s">
        <v>8928</v>
      </c>
      <c r="B1398" t="s">
        <v>8928</v>
      </c>
    </row>
    <row r="1399" spans="1:2" x14ac:dyDescent="0.25">
      <c r="A1399" t="s">
        <v>8931</v>
      </c>
      <c r="B1399" t="s">
        <v>8931</v>
      </c>
    </row>
    <row r="1400" spans="1:2" x14ac:dyDescent="0.25">
      <c r="A1400" t="s">
        <v>8934</v>
      </c>
      <c r="B1400" t="s">
        <v>28898</v>
      </c>
    </row>
    <row r="1401" spans="1:2" x14ac:dyDescent="0.25">
      <c r="A1401" t="s">
        <v>8679</v>
      </c>
      <c r="B1401" t="s">
        <v>28546</v>
      </c>
    </row>
    <row r="1402" spans="1:2" x14ac:dyDescent="0.25">
      <c r="A1402" t="s">
        <v>8682</v>
      </c>
      <c r="B1402" t="s">
        <v>28550</v>
      </c>
    </row>
    <row r="1403" spans="1:2" x14ac:dyDescent="0.25">
      <c r="A1403" t="s">
        <v>8688</v>
      </c>
      <c r="B1403" t="s">
        <v>28559</v>
      </c>
    </row>
    <row r="1404" spans="1:2" x14ac:dyDescent="0.25">
      <c r="A1404" t="s">
        <v>8664</v>
      </c>
      <c r="B1404" t="s">
        <v>28522</v>
      </c>
    </row>
    <row r="1405" spans="1:2" x14ac:dyDescent="0.25">
      <c r="A1405" t="s">
        <v>8667</v>
      </c>
      <c r="B1405" t="s">
        <v>28527</v>
      </c>
    </row>
    <row r="1406" spans="1:2" x14ac:dyDescent="0.25">
      <c r="A1406" t="s">
        <v>8670</v>
      </c>
      <c r="B1406" t="s">
        <v>28532</v>
      </c>
    </row>
    <row r="1407" spans="1:2" x14ac:dyDescent="0.25">
      <c r="A1407" t="s">
        <v>8676</v>
      </c>
      <c r="B1407" t="s">
        <v>28541</v>
      </c>
    </row>
    <row r="1408" spans="1:2" x14ac:dyDescent="0.25">
      <c r="A1408" t="s">
        <v>8673</v>
      </c>
      <c r="B1408" t="s">
        <v>28537</v>
      </c>
    </row>
    <row r="1409" spans="1:2" x14ac:dyDescent="0.25">
      <c r="A1409" t="s">
        <v>8685</v>
      </c>
      <c r="B1409" t="s">
        <v>28554</v>
      </c>
    </row>
    <row r="1410" spans="1:2" x14ac:dyDescent="0.25">
      <c r="A1410" t="s">
        <v>8691</v>
      </c>
      <c r="B1410" t="s">
        <v>28563</v>
      </c>
    </row>
    <row r="1411" spans="1:2" x14ac:dyDescent="0.25">
      <c r="A1411" t="s">
        <v>8694</v>
      </c>
      <c r="B1411" t="s">
        <v>8694</v>
      </c>
    </row>
    <row r="1412" spans="1:2" x14ac:dyDescent="0.25">
      <c r="A1412" t="s">
        <v>8706</v>
      </c>
      <c r="B1412" t="s">
        <v>28585</v>
      </c>
    </row>
    <row r="1413" spans="1:2" x14ac:dyDescent="0.25">
      <c r="A1413" t="s">
        <v>8703</v>
      </c>
      <c r="B1413" t="s">
        <v>28580</v>
      </c>
    </row>
    <row r="1414" spans="1:2" x14ac:dyDescent="0.25">
      <c r="A1414" t="s">
        <v>8697</v>
      </c>
      <c r="B1414" t="s">
        <v>28571</v>
      </c>
    </row>
    <row r="1415" spans="1:2" x14ac:dyDescent="0.25">
      <c r="A1415" t="s">
        <v>8709</v>
      </c>
      <c r="B1415" t="s">
        <v>28590</v>
      </c>
    </row>
    <row r="1416" spans="1:2" x14ac:dyDescent="0.25">
      <c r="A1416" t="s">
        <v>8847</v>
      </c>
      <c r="B1416" t="s">
        <v>28773</v>
      </c>
    </row>
    <row r="1417" spans="1:2" x14ac:dyDescent="0.25">
      <c r="A1417" t="s">
        <v>8721</v>
      </c>
      <c r="B1417" t="s">
        <v>28604</v>
      </c>
    </row>
    <row r="1418" spans="1:2" x14ac:dyDescent="0.25">
      <c r="A1418" t="s">
        <v>8712</v>
      </c>
      <c r="B1418" t="s">
        <v>28594</v>
      </c>
    </row>
    <row r="1419" spans="1:2" x14ac:dyDescent="0.25">
      <c r="A1419" t="s">
        <v>9045</v>
      </c>
      <c r="B1419" t="s">
        <v>29059</v>
      </c>
    </row>
    <row r="1420" spans="1:2" x14ac:dyDescent="0.25">
      <c r="A1420" t="s">
        <v>8724</v>
      </c>
      <c r="B1420" t="s">
        <v>28609</v>
      </c>
    </row>
    <row r="1421" spans="1:2" x14ac:dyDescent="0.25">
      <c r="A1421" t="s">
        <v>8700</v>
      </c>
      <c r="B1421" t="s">
        <v>28575</v>
      </c>
    </row>
    <row r="1422" spans="1:2" x14ac:dyDescent="0.25">
      <c r="A1422" t="s">
        <v>9063</v>
      </c>
      <c r="B1422" t="s">
        <v>9063</v>
      </c>
    </row>
    <row r="1423" spans="1:2" x14ac:dyDescent="0.25">
      <c r="A1423" t="s">
        <v>9066</v>
      </c>
      <c r="B1423" t="s">
        <v>9066</v>
      </c>
    </row>
    <row r="1424" spans="1:2" x14ac:dyDescent="0.25">
      <c r="A1424" t="s">
        <v>8727</v>
      </c>
      <c r="B1424" t="s">
        <v>28614</v>
      </c>
    </row>
    <row r="1425" spans="1:2" x14ac:dyDescent="0.25">
      <c r="A1425" t="s">
        <v>8952</v>
      </c>
      <c r="B1425" t="s">
        <v>8952</v>
      </c>
    </row>
    <row r="1426" spans="1:2" x14ac:dyDescent="0.25">
      <c r="A1426" t="s">
        <v>8949</v>
      </c>
      <c r="B1426" t="s">
        <v>8949</v>
      </c>
    </row>
    <row r="1427" spans="1:2" x14ac:dyDescent="0.25">
      <c r="A1427" t="s">
        <v>8955</v>
      </c>
      <c r="B1427" t="s">
        <v>8955</v>
      </c>
    </row>
    <row r="1428" spans="1:2" x14ac:dyDescent="0.25">
      <c r="A1428" t="s">
        <v>8961</v>
      </c>
      <c r="B1428" t="s">
        <v>28937</v>
      </c>
    </row>
    <row r="1429" spans="1:2" x14ac:dyDescent="0.25">
      <c r="A1429" t="s">
        <v>8967</v>
      </c>
      <c r="B1429" t="s">
        <v>8967</v>
      </c>
    </row>
    <row r="1430" spans="1:2" x14ac:dyDescent="0.25">
      <c r="A1430" t="s">
        <v>8970</v>
      </c>
      <c r="B1430" t="s">
        <v>8970</v>
      </c>
    </row>
    <row r="1431" spans="1:2" x14ac:dyDescent="0.25">
      <c r="A1431" t="s">
        <v>8973</v>
      </c>
      <c r="B1431" t="s">
        <v>8973</v>
      </c>
    </row>
    <row r="1432" spans="1:2" x14ac:dyDescent="0.25">
      <c r="A1432" t="s">
        <v>8985</v>
      </c>
      <c r="B1432" t="s">
        <v>28973</v>
      </c>
    </row>
    <row r="1433" spans="1:2" x14ac:dyDescent="0.25">
      <c r="A1433" t="s">
        <v>8991</v>
      </c>
      <c r="B1433" t="s">
        <v>28983</v>
      </c>
    </row>
    <row r="1434" spans="1:2" x14ac:dyDescent="0.25">
      <c r="A1434" t="s">
        <v>8994</v>
      </c>
      <c r="B1434" t="s">
        <v>8994</v>
      </c>
    </row>
    <row r="1435" spans="1:2" x14ac:dyDescent="0.25">
      <c r="A1435" t="s">
        <v>8997</v>
      </c>
      <c r="B1435" t="s">
        <v>8997</v>
      </c>
    </row>
    <row r="1436" spans="1:2" x14ac:dyDescent="0.25">
      <c r="A1436" t="s">
        <v>9003</v>
      </c>
      <c r="B1436" t="s">
        <v>29000</v>
      </c>
    </row>
    <row r="1437" spans="1:2" x14ac:dyDescent="0.25">
      <c r="A1437" t="s">
        <v>9000</v>
      </c>
      <c r="B1437" t="s">
        <v>28996</v>
      </c>
    </row>
    <row r="1438" spans="1:2" x14ac:dyDescent="0.25">
      <c r="A1438" t="s">
        <v>9009</v>
      </c>
      <c r="B1438" t="s">
        <v>9009</v>
      </c>
    </row>
    <row r="1439" spans="1:2" x14ac:dyDescent="0.25">
      <c r="A1439" t="s">
        <v>9006</v>
      </c>
      <c r="B1439" t="s">
        <v>9006</v>
      </c>
    </row>
    <row r="1440" spans="1:2" x14ac:dyDescent="0.25">
      <c r="A1440" t="s">
        <v>9012</v>
      </c>
      <c r="B1440" t="s">
        <v>9012</v>
      </c>
    </row>
    <row r="1441" spans="1:2" x14ac:dyDescent="0.25">
      <c r="A1441" t="s">
        <v>9015</v>
      </c>
      <c r="B1441" t="s">
        <v>9015</v>
      </c>
    </row>
    <row r="1442" spans="1:2" x14ac:dyDescent="0.25">
      <c r="A1442" t="s">
        <v>9018</v>
      </c>
      <c r="B1442" t="s">
        <v>9018</v>
      </c>
    </row>
    <row r="1443" spans="1:2" x14ac:dyDescent="0.25">
      <c r="A1443" t="s">
        <v>9021</v>
      </c>
      <c r="B1443" t="s">
        <v>29024</v>
      </c>
    </row>
    <row r="1444" spans="1:2" x14ac:dyDescent="0.25">
      <c r="A1444" t="s">
        <v>9024</v>
      </c>
      <c r="B1444" t="s">
        <v>29029</v>
      </c>
    </row>
    <row r="1445" spans="1:2" x14ac:dyDescent="0.25">
      <c r="A1445" t="s">
        <v>9027</v>
      </c>
      <c r="B1445" t="s">
        <v>29034</v>
      </c>
    </row>
    <row r="1446" spans="1:2" x14ac:dyDescent="0.25">
      <c r="A1446" t="s">
        <v>9030</v>
      </c>
      <c r="B1446" t="s">
        <v>9030</v>
      </c>
    </row>
    <row r="1447" spans="1:2" x14ac:dyDescent="0.25">
      <c r="A1447" t="s">
        <v>9048</v>
      </c>
      <c r="B1447" t="s">
        <v>29064</v>
      </c>
    </row>
    <row r="1448" spans="1:2" x14ac:dyDescent="0.25">
      <c r="A1448" t="s">
        <v>9051</v>
      </c>
      <c r="B1448" t="s">
        <v>9051</v>
      </c>
    </row>
    <row r="1449" spans="1:2" x14ac:dyDescent="0.25">
      <c r="A1449" t="s">
        <v>9054</v>
      </c>
      <c r="B1449" t="s">
        <v>9054</v>
      </c>
    </row>
    <row r="1450" spans="1:2" x14ac:dyDescent="0.25">
      <c r="A1450" t="s">
        <v>2845</v>
      </c>
      <c r="B1450" t="s">
        <v>21841</v>
      </c>
    </row>
    <row r="1451" spans="1:2" x14ac:dyDescent="0.25">
      <c r="A1451" t="s">
        <v>6339</v>
      </c>
      <c r="B1451" t="s">
        <v>25772</v>
      </c>
    </row>
    <row r="1452" spans="1:2" x14ac:dyDescent="0.25">
      <c r="A1452" t="s">
        <v>6311</v>
      </c>
      <c r="B1452" t="s">
        <v>25758</v>
      </c>
    </row>
    <row r="1453" spans="1:2" x14ac:dyDescent="0.25">
      <c r="A1453" t="s">
        <v>9057</v>
      </c>
      <c r="B1453" t="s">
        <v>29077</v>
      </c>
    </row>
    <row r="1454" spans="1:2" x14ac:dyDescent="0.25">
      <c r="A1454" t="s">
        <v>9060</v>
      </c>
      <c r="B1454" t="s">
        <v>9060</v>
      </c>
    </row>
    <row r="1455" spans="1:2" x14ac:dyDescent="0.25">
      <c r="A1455" t="s">
        <v>9069</v>
      </c>
      <c r="B1455" t="s">
        <v>29094</v>
      </c>
    </row>
    <row r="1456" spans="1:2" x14ac:dyDescent="0.25">
      <c r="A1456" t="s">
        <v>9075</v>
      </c>
      <c r="B1456" t="s">
        <v>9075</v>
      </c>
    </row>
    <row r="1457" spans="1:2" x14ac:dyDescent="0.25">
      <c r="A1457" t="s">
        <v>9078</v>
      </c>
      <c r="B1457" t="s">
        <v>29108</v>
      </c>
    </row>
    <row r="1458" spans="1:2" x14ac:dyDescent="0.25">
      <c r="A1458" t="s">
        <v>9072</v>
      </c>
      <c r="B1458" t="s">
        <v>29099</v>
      </c>
    </row>
    <row r="1459" spans="1:2" x14ac:dyDescent="0.25">
      <c r="A1459" t="s">
        <v>3832</v>
      </c>
      <c r="B1459" t="s">
        <v>22994</v>
      </c>
    </row>
    <row r="1460" spans="1:2" x14ac:dyDescent="0.25">
      <c r="A1460" t="s">
        <v>9087</v>
      </c>
      <c r="B1460" t="s">
        <v>9087</v>
      </c>
    </row>
    <row r="1461" spans="1:2" x14ac:dyDescent="0.25">
      <c r="A1461" t="s">
        <v>9090</v>
      </c>
      <c r="B1461" t="s">
        <v>29121</v>
      </c>
    </row>
    <row r="1462" spans="1:2" x14ac:dyDescent="0.25">
      <c r="A1462" t="s">
        <v>9084</v>
      </c>
      <c r="B1462" t="s">
        <v>29113</v>
      </c>
    </row>
    <row r="1463" spans="1:2" x14ac:dyDescent="0.25">
      <c r="A1463" t="s">
        <v>9093</v>
      </c>
      <c r="B1463" t="s">
        <v>9093</v>
      </c>
    </row>
    <row r="1464" spans="1:2" x14ac:dyDescent="0.25">
      <c r="A1464" t="s">
        <v>4047</v>
      </c>
      <c r="B1464" t="s">
        <v>4047</v>
      </c>
    </row>
    <row r="1465" spans="1:2" x14ac:dyDescent="0.25">
      <c r="A1465" t="s">
        <v>4050</v>
      </c>
      <c r="B1465" t="s">
        <v>4050</v>
      </c>
    </row>
    <row r="1466" spans="1:2" x14ac:dyDescent="0.25">
      <c r="A1466" t="s">
        <v>4053</v>
      </c>
      <c r="B1466" t="s">
        <v>4053</v>
      </c>
    </row>
    <row r="1467" spans="1:2" x14ac:dyDescent="0.25">
      <c r="A1467" t="s">
        <v>3840</v>
      </c>
      <c r="B1467" t="s">
        <v>3840</v>
      </c>
    </row>
    <row r="1468" spans="1:2" x14ac:dyDescent="0.25">
      <c r="A1468" t="s">
        <v>4095</v>
      </c>
      <c r="B1468" t="s">
        <v>23338</v>
      </c>
    </row>
    <row r="1469" spans="1:2" x14ac:dyDescent="0.25">
      <c r="A1469" t="s">
        <v>3817</v>
      </c>
      <c r="B1469" t="s">
        <v>3817</v>
      </c>
    </row>
    <row r="1470" spans="1:2" x14ac:dyDescent="0.25">
      <c r="A1470" t="s">
        <v>632</v>
      </c>
      <c r="B1470" t="s">
        <v>632</v>
      </c>
    </row>
    <row r="1471" spans="1:2" x14ac:dyDescent="0.25">
      <c r="A1471" t="s">
        <v>3820</v>
      </c>
      <c r="B1471" t="s">
        <v>22977</v>
      </c>
    </row>
    <row r="1472" spans="1:2" x14ac:dyDescent="0.25">
      <c r="A1472" t="s">
        <v>3828</v>
      </c>
      <c r="B1472" t="s">
        <v>22988</v>
      </c>
    </row>
    <row r="1473" spans="1:2" x14ac:dyDescent="0.25">
      <c r="A1473" t="s">
        <v>3842</v>
      </c>
      <c r="B1473" t="s">
        <v>23003</v>
      </c>
    </row>
    <row r="1474" spans="1:2" x14ac:dyDescent="0.25">
      <c r="A1474" t="s">
        <v>3844</v>
      </c>
      <c r="B1474" t="s">
        <v>23004</v>
      </c>
    </row>
    <row r="1475" spans="1:2" x14ac:dyDescent="0.25">
      <c r="A1475" t="s">
        <v>9096</v>
      </c>
      <c r="B1475" t="s">
        <v>29128</v>
      </c>
    </row>
    <row r="1476" spans="1:2" x14ac:dyDescent="0.25">
      <c r="A1476" t="s">
        <v>9099</v>
      </c>
      <c r="B1476" t="s">
        <v>29133</v>
      </c>
    </row>
    <row r="1477" spans="1:2" x14ac:dyDescent="0.25">
      <c r="A1477" t="s">
        <v>9102</v>
      </c>
      <c r="B1477" t="s">
        <v>9102</v>
      </c>
    </row>
    <row r="1478" spans="1:2" x14ac:dyDescent="0.25">
      <c r="A1478" t="s">
        <v>3825</v>
      </c>
      <c r="B1478" t="s">
        <v>22983</v>
      </c>
    </row>
    <row r="1479" spans="1:2" x14ac:dyDescent="0.25">
      <c r="A1479" t="s">
        <v>3822</v>
      </c>
      <c r="B1479" t="s">
        <v>22978</v>
      </c>
    </row>
    <row r="1480" spans="1:2" x14ac:dyDescent="0.25">
      <c r="A1480" t="s">
        <v>9105</v>
      </c>
      <c r="B1480" t="s">
        <v>9105</v>
      </c>
    </row>
    <row r="1481" spans="1:2" x14ac:dyDescent="0.25">
      <c r="A1481" t="s">
        <v>9138</v>
      </c>
      <c r="B1481" t="s">
        <v>29184</v>
      </c>
    </row>
    <row r="1482" spans="1:2" x14ac:dyDescent="0.25">
      <c r="A1482" t="s">
        <v>9141</v>
      </c>
      <c r="B1482" t="s">
        <v>9141</v>
      </c>
    </row>
    <row r="1483" spans="1:2" x14ac:dyDescent="0.25">
      <c r="A1483" t="s">
        <v>9132</v>
      </c>
      <c r="B1483" t="s">
        <v>29174</v>
      </c>
    </row>
    <row r="1484" spans="1:2" x14ac:dyDescent="0.25">
      <c r="A1484" t="s">
        <v>9108</v>
      </c>
      <c r="B1484" t="s">
        <v>29146</v>
      </c>
    </row>
    <row r="1485" spans="1:2" x14ac:dyDescent="0.25">
      <c r="A1485" t="s">
        <v>9135</v>
      </c>
      <c r="B1485" t="s">
        <v>29179</v>
      </c>
    </row>
    <row r="1486" spans="1:2" x14ac:dyDescent="0.25">
      <c r="A1486" t="s">
        <v>9117</v>
      </c>
      <c r="B1486" t="s">
        <v>29157</v>
      </c>
    </row>
    <row r="1487" spans="1:2" x14ac:dyDescent="0.25">
      <c r="A1487" t="s">
        <v>9114</v>
      </c>
      <c r="B1487" t="s">
        <v>29154</v>
      </c>
    </row>
    <row r="1488" spans="1:2" x14ac:dyDescent="0.25">
      <c r="A1488" t="s">
        <v>9123</v>
      </c>
      <c r="B1488" t="s">
        <v>9123</v>
      </c>
    </row>
    <row r="1489" spans="1:2" x14ac:dyDescent="0.25">
      <c r="A1489" t="s">
        <v>9126</v>
      </c>
      <c r="B1489" t="s">
        <v>29165</v>
      </c>
    </row>
    <row r="1490" spans="1:2" x14ac:dyDescent="0.25">
      <c r="A1490" t="s">
        <v>9120</v>
      </c>
      <c r="B1490" t="s">
        <v>29160</v>
      </c>
    </row>
    <row r="1491" spans="1:2" x14ac:dyDescent="0.25">
      <c r="A1491" t="s">
        <v>8814</v>
      </c>
      <c r="B1491" t="s">
        <v>28727</v>
      </c>
    </row>
    <row r="1492" spans="1:2" x14ac:dyDescent="0.25">
      <c r="A1492" t="s">
        <v>9129</v>
      </c>
      <c r="B1492" t="s">
        <v>29169</v>
      </c>
    </row>
    <row r="1493" spans="1:2" x14ac:dyDescent="0.25">
      <c r="A1493" t="s">
        <v>8811</v>
      </c>
      <c r="B1493" t="s">
        <v>28723</v>
      </c>
    </row>
    <row r="1494" spans="1:2" x14ac:dyDescent="0.25">
      <c r="A1494" t="s">
        <v>9111</v>
      </c>
      <c r="B1494" t="s">
        <v>29150</v>
      </c>
    </row>
    <row r="1495" spans="1:2" x14ac:dyDescent="0.25">
      <c r="A1495" t="s">
        <v>9147</v>
      </c>
      <c r="B1495" t="s">
        <v>9147</v>
      </c>
    </row>
    <row r="1496" spans="1:2" x14ac:dyDescent="0.25">
      <c r="A1496" t="s">
        <v>9144</v>
      </c>
      <c r="B1496" t="s">
        <v>9144</v>
      </c>
    </row>
    <row r="1497" spans="1:2" x14ac:dyDescent="0.25">
      <c r="A1497" t="s">
        <v>9156</v>
      </c>
      <c r="B1497" t="s">
        <v>9156</v>
      </c>
    </row>
    <row r="1498" spans="1:2" x14ac:dyDescent="0.25">
      <c r="A1498" t="s">
        <v>9150</v>
      </c>
      <c r="B1498" t="s">
        <v>9150</v>
      </c>
    </row>
    <row r="1499" spans="1:2" x14ac:dyDescent="0.25">
      <c r="A1499" t="s">
        <v>9153</v>
      </c>
      <c r="B1499" t="s">
        <v>9153</v>
      </c>
    </row>
    <row r="1500" spans="1:2" x14ac:dyDescent="0.25">
      <c r="A1500" t="s">
        <v>9159</v>
      </c>
      <c r="B1500" t="s">
        <v>9159</v>
      </c>
    </row>
    <row r="1501" spans="1:2" x14ac:dyDescent="0.25">
      <c r="A1501" t="s">
        <v>9162</v>
      </c>
      <c r="B1501" t="s">
        <v>9162</v>
      </c>
    </row>
    <row r="1502" spans="1:2" x14ac:dyDescent="0.25">
      <c r="A1502" t="s">
        <v>9165</v>
      </c>
      <c r="B1502" t="s">
        <v>9165</v>
      </c>
    </row>
    <row r="1503" spans="1:2" x14ac:dyDescent="0.25">
      <c r="A1503" t="s">
        <v>9168</v>
      </c>
      <c r="B1503" t="s">
        <v>9168</v>
      </c>
    </row>
    <row r="1504" spans="1:2" x14ac:dyDescent="0.25">
      <c r="A1504" t="s">
        <v>3846</v>
      </c>
      <c r="B1504" t="s">
        <v>3846</v>
      </c>
    </row>
    <row r="1505" spans="1:2" x14ac:dyDescent="0.25">
      <c r="A1505" t="s">
        <v>9174</v>
      </c>
      <c r="B1505" t="s">
        <v>29232</v>
      </c>
    </row>
    <row r="1506" spans="1:2" x14ac:dyDescent="0.25">
      <c r="A1506" t="s">
        <v>9171</v>
      </c>
      <c r="B1506" t="s">
        <v>9171</v>
      </c>
    </row>
    <row r="1507" spans="1:2" x14ac:dyDescent="0.25">
      <c r="A1507" t="s">
        <v>9189</v>
      </c>
      <c r="B1507" t="s">
        <v>9189</v>
      </c>
    </row>
    <row r="1508" spans="1:2" x14ac:dyDescent="0.25">
      <c r="A1508" t="s">
        <v>9180</v>
      </c>
      <c r="B1508" t="s">
        <v>29240</v>
      </c>
    </row>
    <row r="1509" spans="1:2" x14ac:dyDescent="0.25">
      <c r="A1509" t="s">
        <v>9183</v>
      </c>
      <c r="B1509" t="s">
        <v>9183</v>
      </c>
    </row>
    <row r="1510" spans="1:2" x14ac:dyDescent="0.25">
      <c r="A1510" t="s">
        <v>9186</v>
      </c>
      <c r="B1510" t="s">
        <v>9186</v>
      </c>
    </row>
    <row r="1511" spans="1:2" x14ac:dyDescent="0.25">
      <c r="A1511" t="s">
        <v>9177</v>
      </c>
      <c r="B1511" t="s">
        <v>9177</v>
      </c>
    </row>
    <row r="1512" spans="1:2" x14ac:dyDescent="0.25">
      <c r="A1512" t="s">
        <v>9192</v>
      </c>
      <c r="B1512" t="s">
        <v>9192</v>
      </c>
    </row>
    <row r="1513" spans="1:2" x14ac:dyDescent="0.25">
      <c r="A1513" t="s">
        <v>9195</v>
      </c>
      <c r="B1513" t="s">
        <v>29256</v>
      </c>
    </row>
    <row r="1514" spans="1:2" x14ac:dyDescent="0.25">
      <c r="A1514" t="s">
        <v>2861</v>
      </c>
      <c r="B1514" t="s">
        <v>21849</v>
      </c>
    </row>
    <row r="1515" spans="1:2" x14ac:dyDescent="0.25">
      <c r="A1515" t="s">
        <v>2864</v>
      </c>
      <c r="B1515" t="s">
        <v>21850</v>
      </c>
    </row>
    <row r="1516" spans="1:2" x14ac:dyDescent="0.25">
      <c r="A1516" t="s">
        <v>2866</v>
      </c>
      <c r="B1516" t="s">
        <v>21851</v>
      </c>
    </row>
    <row r="1517" spans="1:2" x14ac:dyDescent="0.25">
      <c r="A1517" t="s">
        <v>2868</v>
      </c>
      <c r="B1517" t="s">
        <v>21852</v>
      </c>
    </row>
    <row r="1518" spans="1:2" x14ac:dyDescent="0.25">
      <c r="A1518" t="s">
        <v>2872</v>
      </c>
      <c r="B1518" t="s">
        <v>21854</v>
      </c>
    </row>
    <row r="1519" spans="1:2" x14ac:dyDescent="0.25">
      <c r="A1519" t="s">
        <v>2874</v>
      </c>
      <c r="B1519" t="s">
        <v>21855</v>
      </c>
    </row>
    <row r="1520" spans="1:2" x14ac:dyDescent="0.25">
      <c r="A1520" t="s">
        <v>2876</v>
      </c>
      <c r="B1520" t="s">
        <v>21856</v>
      </c>
    </row>
    <row r="1521" spans="1:2" x14ac:dyDescent="0.25">
      <c r="A1521" t="s">
        <v>2878</v>
      </c>
      <c r="B1521" t="s">
        <v>21857</v>
      </c>
    </row>
    <row r="1522" spans="1:2" x14ac:dyDescent="0.25">
      <c r="A1522" t="s">
        <v>2880</v>
      </c>
      <c r="B1522" t="s">
        <v>21858</v>
      </c>
    </row>
    <row r="1523" spans="1:2" x14ac:dyDescent="0.25">
      <c r="A1523" t="s">
        <v>2882</v>
      </c>
      <c r="B1523" t="s">
        <v>21859</v>
      </c>
    </row>
    <row r="1524" spans="1:2" x14ac:dyDescent="0.25">
      <c r="A1524" t="s">
        <v>2884</v>
      </c>
      <c r="B1524" t="s">
        <v>21860</v>
      </c>
    </row>
    <row r="1525" spans="1:2" x14ac:dyDescent="0.25">
      <c r="A1525" t="s">
        <v>2886</v>
      </c>
      <c r="B1525" t="s">
        <v>21861</v>
      </c>
    </row>
    <row r="1526" spans="1:2" x14ac:dyDescent="0.25">
      <c r="A1526" t="s">
        <v>2888</v>
      </c>
      <c r="B1526" t="s">
        <v>21862</v>
      </c>
    </row>
    <row r="1527" spans="1:2" x14ac:dyDescent="0.25">
      <c r="A1527" t="s">
        <v>2890</v>
      </c>
      <c r="B1527" t="s">
        <v>21863</v>
      </c>
    </row>
    <row r="1528" spans="1:2" x14ac:dyDescent="0.25">
      <c r="A1528" t="s">
        <v>2892</v>
      </c>
      <c r="B1528" t="s">
        <v>21864</v>
      </c>
    </row>
    <row r="1529" spans="1:2" x14ac:dyDescent="0.25">
      <c r="A1529" t="s">
        <v>2894</v>
      </c>
      <c r="B1529" t="s">
        <v>21865</v>
      </c>
    </row>
    <row r="1530" spans="1:2" x14ac:dyDescent="0.25">
      <c r="A1530" t="s">
        <v>2896</v>
      </c>
      <c r="B1530" t="s">
        <v>21866</v>
      </c>
    </row>
    <row r="1531" spans="1:2" x14ac:dyDescent="0.25">
      <c r="A1531" t="s">
        <v>2898</v>
      </c>
      <c r="B1531" t="s">
        <v>21867</v>
      </c>
    </row>
    <row r="1532" spans="1:2" x14ac:dyDescent="0.25">
      <c r="A1532" t="s">
        <v>2900</v>
      </c>
      <c r="B1532" t="s">
        <v>21868</v>
      </c>
    </row>
    <row r="1533" spans="1:2" x14ac:dyDescent="0.25">
      <c r="A1533" t="s">
        <v>2902</v>
      </c>
      <c r="B1533" t="s">
        <v>21869</v>
      </c>
    </row>
    <row r="1534" spans="1:2" x14ac:dyDescent="0.25">
      <c r="A1534" t="s">
        <v>2904</v>
      </c>
      <c r="B1534" t="s">
        <v>21870</v>
      </c>
    </row>
    <row r="1535" spans="1:2" x14ac:dyDescent="0.25">
      <c r="A1535" t="s">
        <v>2906</v>
      </c>
      <c r="B1535" t="s">
        <v>21871</v>
      </c>
    </row>
    <row r="1536" spans="1:2" x14ac:dyDescent="0.25">
      <c r="A1536" t="s">
        <v>2908</v>
      </c>
      <c r="B1536" t="s">
        <v>21872</v>
      </c>
    </row>
    <row r="1537" spans="1:2" x14ac:dyDescent="0.25">
      <c r="A1537" t="s">
        <v>2910</v>
      </c>
      <c r="B1537" t="s">
        <v>21873</v>
      </c>
    </row>
    <row r="1538" spans="1:2" x14ac:dyDescent="0.25">
      <c r="A1538" t="s">
        <v>2912</v>
      </c>
      <c r="B1538" t="s">
        <v>21874</v>
      </c>
    </row>
    <row r="1539" spans="1:2" x14ac:dyDescent="0.25">
      <c r="A1539" t="s">
        <v>2914</v>
      </c>
      <c r="B1539" t="s">
        <v>21875</v>
      </c>
    </row>
    <row r="1540" spans="1:2" x14ac:dyDescent="0.25">
      <c r="A1540" t="s">
        <v>2916</v>
      </c>
      <c r="B1540" t="s">
        <v>21876</v>
      </c>
    </row>
    <row r="1541" spans="1:2" x14ac:dyDescent="0.25">
      <c r="A1541" t="s">
        <v>2918</v>
      </c>
      <c r="B1541" t="s">
        <v>21877</v>
      </c>
    </row>
    <row r="1542" spans="1:2" x14ac:dyDescent="0.25">
      <c r="A1542" t="s">
        <v>2920</v>
      </c>
      <c r="B1542" t="s">
        <v>21878</v>
      </c>
    </row>
    <row r="1543" spans="1:2" x14ac:dyDescent="0.25">
      <c r="A1543" t="s">
        <v>2922</v>
      </c>
      <c r="B1543" t="s">
        <v>21879</v>
      </c>
    </row>
    <row r="1544" spans="1:2" x14ac:dyDescent="0.25">
      <c r="A1544" t="s">
        <v>2924</v>
      </c>
      <c r="B1544" t="s">
        <v>21880</v>
      </c>
    </row>
    <row r="1545" spans="1:2" x14ac:dyDescent="0.25">
      <c r="A1545" t="s">
        <v>2926</v>
      </c>
      <c r="B1545" t="s">
        <v>21881</v>
      </c>
    </row>
    <row r="1546" spans="1:2" x14ac:dyDescent="0.25">
      <c r="A1546" t="s">
        <v>2928</v>
      </c>
      <c r="B1546" t="s">
        <v>21882</v>
      </c>
    </row>
    <row r="1547" spans="1:2" x14ac:dyDescent="0.25">
      <c r="A1547" t="s">
        <v>2930</v>
      </c>
      <c r="B1547" t="s">
        <v>21883</v>
      </c>
    </row>
    <row r="1548" spans="1:2" x14ac:dyDescent="0.25">
      <c r="A1548" t="s">
        <v>2932</v>
      </c>
      <c r="B1548" t="s">
        <v>21884</v>
      </c>
    </row>
    <row r="1549" spans="1:2" x14ac:dyDescent="0.25">
      <c r="A1549" t="s">
        <v>2934</v>
      </c>
      <c r="B1549" t="s">
        <v>21885</v>
      </c>
    </row>
    <row r="1550" spans="1:2" x14ac:dyDescent="0.25">
      <c r="A1550" t="s">
        <v>2936</v>
      </c>
      <c r="B1550" t="s">
        <v>21886</v>
      </c>
    </row>
    <row r="1551" spans="1:2" x14ac:dyDescent="0.25">
      <c r="A1551" t="s">
        <v>2938</v>
      </c>
      <c r="B1551" t="s">
        <v>21887</v>
      </c>
    </row>
    <row r="1552" spans="1:2" x14ac:dyDescent="0.25">
      <c r="A1552" t="s">
        <v>2940</v>
      </c>
      <c r="B1552" t="s">
        <v>21888</v>
      </c>
    </row>
    <row r="1553" spans="1:2" x14ac:dyDescent="0.25">
      <c r="A1553" t="s">
        <v>2942</v>
      </c>
      <c r="B1553" t="s">
        <v>21889</v>
      </c>
    </row>
    <row r="1554" spans="1:2" x14ac:dyDescent="0.25">
      <c r="A1554" t="s">
        <v>2944</v>
      </c>
      <c r="B1554" t="s">
        <v>21890</v>
      </c>
    </row>
    <row r="1555" spans="1:2" x14ac:dyDescent="0.25">
      <c r="A1555" t="s">
        <v>2946</v>
      </c>
      <c r="B1555" t="s">
        <v>21891</v>
      </c>
    </row>
    <row r="1556" spans="1:2" x14ac:dyDescent="0.25">
      <c r="A1556" t="s">
        <v>9205</v>
      </c>
      <c r="B1556" t="s">
        <v>9205</v>
      </c>
    </row>
    <row r="1557" spans="1:2" x14ac:dyDescent="0.25">
      <c r="A1557" t="s">
        <v>9208</v>
      </c>
      <c r="B1557" t="s">
        <v>9208</v>
      </c>
    </row>
    <row r="1558" spans="1:2" x14ac:dyDescent="0.25">
      <c r="A1558" t="s">
        <v>9211</v>
      </c>
      <c r="B1558" t="s">
        <v>9211</v>
      </c>
    </row>
    <row r="1559" spans="1:2" x14ac:dyDescent="0.25">
      <c r="A1559" t="s">
        <v>9214</v>
      </c>
      <c r="B1559" t="s">
        <v>29280</v>
      </c>
    </row>
    <row r="1560" spans="1:2" x14ac:dyDescent="0.25">
      <c r="A1560" t="s">
        <v>9220</v>
      </c>
      <c r="B1560" t="s">
        <v>9220</v>
      </c>
    </row>
    <row r="1561" spans="1:2" x14ac:dyDescent="0.25">
      <c r="A1561" t="s">
        <v>9217</v>
      </c>
      <c r="B1561" t="s">
        <v>29285</v>
      </c>
    </row>
    <row r="1562" spans="1:2" x14ac:dyDescent="0.25">
      <c r="A1562" t="s">
        <v>9223</v>
      </c>
      <c r="B1562" t="s">
        <v>29293</v>
      </c>
    </row>
    <row r="1563" spans="1:2" x14ac:dyDescent="0.25">
      <c r="A1563" t="s">
        <v>7095</v>
      </c>
      <c r="B1563" t="s">
        <v>26743</v>
      </c>
    </row>
    <row r="1564" spans="1:2" x14ac:dyDescent="0.25">
      <c r="A1564" t="s">
        <v>4337</v>
      </c>
      <c r="B1564" t="s">
        <v>23691</v>
      </c>
    </row>
    <row r="1565" spans="1:2" x14ac:dyDescent="0.25">
      <c r="A1565" t="s">
        <v>3277</v>
      </c>
      <c r="B1565" t="s">
        <v>22243</v>
      </c>
    </row>
    <row r="1566" spans="1:2" x14ac:dyDescent="0.25">
      <c r="A1566" t="s">
        <v>3280</v>
      </c>
      <c r="B1566" t="s">
        <v>22247</v>
      </c>
    </row>
    <row r="1567" spans="1:2" x14ac:dyDescent="0.25">
      <c r="A1567" t="s">
        <v>4342</v>
      </c>
      <c r="B1567" t="s">
        <v>23697</v>
      </c>
    </row>
    <row r="1568" spans="1:2" x14ac:dyDescent="0.25">
      <c r="A1568" t="s">
        <v>7563</v>
      </c>
      <c r="B1568" t="s">
        <v>27234</v>
      </c>
    </row>
    <row r="1569" spans="1:2" x14ac:dyDescent="0.25">
      <c r="A1569" t="s">
        <v>9198</v>
      </c>
      <c r="B1569" t="s">
        <v>29261</v>
      </c>
    </row>
    <row r="1570" spans="1:2" x14ac:dyDescent="0.25">
      <c r="A1570" t="s">
        <v>9301</v>
      </c>
      <c r="B1570" t="s">
        <v>9301</v>
      </c>
    </row>
    <row r="1571" spans="1:2" x14ac:dyDescent="0.25">
      <c r="A1571" t="s">
        <v>9226</v>
      </c>
      <c r="B1571" t="s">
        <v>9226</v>
      </c>
    </row>
    <row r="1572" spans="1:2" x14ac:dyDescent="0.25">
      <c r="A1572" t="s">
        <v>9235</v>
      </c>
      <c r="B1572" t="s">
        <v>9235</v>
      </c>
    </row>
    <row r="1573" spans="1:2" x14ac:dyDescent="0.25">
      <c r="A1573" t="s">
        <v>9238</v>
      </c>
      <c r="B1573" t="s">
        <v>9238</v>
      </c>
    </row>
    <row r="1574" spans="1:2" x14ac:dyDescent="0.25">
      <c r="A1574" t="s">
        <v>9229</v>
      </c>
      <c r="B1574" t="s">
        <v>9229</v>
      </c>
    </row>
    <row r="1575" spans="1:2" x14ac:dyDescent="0.25">
      <c r="A1575" t="s">
        <v>9232</v>
      </c>
      <c r="B1575" t="s">
        <v>29305</v>
      </c>
    </row>
    <row r="1576" spans="1:2" x14ac:dyDescent="0.25">
      <c r="A1576" t="s">
        <v>4350</v>
      </c>
      <c r="B1576" t="s">
        <v>23707</v>
      </c>
    </row>
    <row r="1577" spans="1:2" x14ac:dyDescent="0.25">
      <c r="A1577" t="s">
        <v>4352</v>
      </c>
      <c r="B1577" t="s">
        <v>23708</v>
      </c>
    </row>
    <row r="1578" spans="1:2" x14ac:dyDescent="0.25">
      <c r="A1578" t="s">
        <v>9241</v>
      </c>
      <c r="B1578" t="s">
        <v>29317</v>
      </c>
    </row>
    <row r="1579" spans="1:2" x14ac:dyDescent="0.25">
      <c r="A1579" t="s">
        <v>9247</v>
      </c>
      <c r="B1579" t="s">
        <v>15075</v>
      </c>
    </row>
    <row r="1580" spans="1:2" x14ac:dyDescent="0.25">
      <c r="A1580" t="s">
        <v>9250</v>
      </c>
      <c r="B1580" t="s">
        <v>29330</v>
      </c>
    </row>
    <row r="1581" spans="1:2" x14ac:dyDescent="0.25">
      <c r="A1581" t="s">
        <v>9256</v>
      </c>
      <c r="B1581" t="s">
        <v>29339</v>
      </c>
    </row>
    <row r="1582" spans="1:2" x14ac:dyDescent="0.25">
      <c r="A1582" t="s">
        <v>9253</v>
      </c>
      <c r="B1582" t="s">
        <v>29335</v>
      </c>
    </row>
    <row r="1583" spans="1:2" x14ac:dyDescent="0.25">
      <c r="A1583" t="s">
        <v>9259</v>
      </c>
      <c r="B1583" t="s">
        <v>29343</v>
      </c>
    </row>
    <row r="1584" spans="1:2" x14ac:dyDescent="0.25">
      <c r="A1584" t="s">
        <v>9262</v>
      </c>
      <c r="B1584" t="s">
        <v>15077</v>
      </c>
    </row>
    <row r="1585" spans="1:2" x14ac:dyDescent="0.25">
      <c r="A1585" t="s">
        <v>9265</v>
      </c>
      <c r="B1585" t="s">
        <v>29348</v>
      </c>
    </row>
    <row r="1586" spans="1:2" x14ac:dyDescent="0.25">
      <c r="A1586" t="s">
        <v>9244</v>
      </c>
      <c r="B1586" t="s">
        <v>9244</v>
      </c>
    </row>
    <row r="1587" spans="1:2" x14ac:dyDescent="0.25">
      <c r="A1587" t="s">
        <v>9268</v>
      </c>
      <c r="B1587" t="s">
        <v>9268</v>
      </c>
    </row>
    <row r="1588" spans="1:2" x14ac:dyDescent="0.25">
      <c r="A1588" t="s">
        <v>4354</v>
      </c>
      <c r="B1588" t="s">
        <v>23709</v>
      </c>
    </row>
    <row r="1589" spans="1:2" x14ac:dyDescent="0.25">
      <c r="A1589" t="s">
        <v>4356</v>
      </c>
      <c r="B1589" t="s">
        <v>23710</v>
      </c>
    </row>
    <row r="1590" spans="1:2" x14ac:dyDescent="0.25">
      <c r="A1590" t="s">
        <v>4100</v>
      </c>
      <c r="B1590" t="s">
        <v>23343</v>
      </c>
    </row>
    <row r="1591" spans="1:2" x14ac:dyDescent="0.25">
      <c r="A1591" t="s">
        <v>9271</v>
      </c>
      <c r="B1591" t="s">
        <v>29357</v>
      </c>
    </row>
    <row r="1592" spans="1:2" x14ac:dyDescent="0.25">
      <c r="A1592" t="s">
        <v>4283</v>
      </c>
      <c r="B1592" t="s">
        <v>23609</v>
      </c>
    </row>
    <row r="1593" spans="1:2" x14ac:dyDescent="0.25">
      <c r="A1593" t="s">
        <v>4372</v>
      </c>
      <c r="B1593" t="s">
        <v>23727</v>
      </c>
    </row>
    <row r="1594" spans="1:2" x14ac:dyDescent="0.25">
      <c r="A1594" t="s">
        <v>4590</v>
      </c>
      <c r="B1594" t="s">
        <v>24007</v>
      </c>
    </row>
    <row r="1595" spans="1:2" x14ac:dyDescent="0.25">
      <c r="A1595" t="s">
        <v>4593</v>
      </c>
      <c r="B1595" t="s">
        <v>24008</v>
      </c>
    </row>
    <row r="1596" spans="1:2" x14ac:dyDescent="0.25">
      <c r="A1596" t="s">
        <v>4459</v>
      </c>
      <c r="B1596" t="s">
        <v>23820</v>
      </c>
    </row>
    <row r="1597" spans="1:2" x14ac:dyDescent="0.25">
      <c r="A1597" t="s">
        <v>4578</v>
      </c>
      <c r="B1597" t="s">
        <v>4578</v>
      </c>
    </row>
    <row r="1598" spans="1:2" x14ac:dyDescent="0.25">
      <c r="A1598" t="s">
        <v>4462</v>
      </c>
      <c r="B1598" t="s">
        <v>4462</v>
      </c>
    </row>
    <row r="1599" spans="1:2" x14ac:dyDescent="0.25">
      <c r="A1599" t="s">
        <v>4465</v>
      </c>
      <c r="B1599" t="s">
        <v>23829</v>
      </c>
    </row>
    <row r="1600" spans="1:2" x14ac:dyDescent="0.25">
      <c r="A1600" t="s">
        <v>4384</v>
      </c>
      <c r="B1600" t="s">
        <v>23739</v>
      </c>
    </row>
    <row r="1601" spans="1:2" x14ac:dyDescent="0.25">
      <c r="A1601" t="s">
        <v>4471</v>
      </c>
      <c r="B1601" t="s">
        <v>23838</v>
      </c>
    </row>
    <row r="1602" spans="1:2" x14ac:dyDescent="0.25">
      <c r="A1602" t="s">
        <v>4474</v>
      </c>
      <c r="B1602" t="s">
        <v>4474</v>
      </c>
    </row>
    <row r="1603" spans="1:2" x14ac:dyDescent="0.25">
      <c r="A1603" t="s">
        <v>4468</v>
      </c>
      <c r="B1603" t="s">
        <v>23834</v>
      </c>
    </row>
    <row r="1604" spans="1:2" x14ac:dyDescent="0.25">
      <c r="A1604" t="s">
        <v>4480</v>
      </c>
      <c r="B1604" t="s">
        <v>23851</v>
      </c>
    </row>
    <row r="1605" spans="1:2" x14ac:dyDescent="0.25">
      <c r="A1605" t="s">
        <v>4483</v>
      </c>
      <c r="B1605" t="s">
        <v>23856</v>
      </c>
    </row>
    <row r="1606" spans="1:2" x14ac:dyDescent="0.25">
      <c r="A1606" t="s">
        <v>4103</v>
      </c>
      <c r="B1606" t="s">
        <v>23348</v>
      </c>
    </row>
    <row r="1607" spans="1:2" x14ac:dyDescent="0.25">
      <c r="A1607" t="s">
        <v>4106</v>
      </c>
      <c r="B1607" t="s">
        <v>23353</v>
      </c>
    </row>
    <row r="1608" spans="1:2" x14ac:dyDescent="0.25">
      <c r="A1608" t="s">
        <v>4109</v>
      </c>
      <c r="B1608" t="s">
        <v>23358</v>
      </c>
    </row>
    <row r="1609" spans="1:2" x14ac:dyDescent="0.25">
      <c r="A1609" t="s">
        <v>4112</v>
      </c>
      <c r="B1609" t="s">
        <v>23362</v>
      </c>
    </row>
    <row r="1610" spans="1:2" x14ac:dyDescent="0.25">
      <c r="A1610" t="s">
        <v>4115</v>
      </c>
      <c r="B1610" t="s">
        <v>23366</v>
      </c>
    </row>
    <row r="1611" spans="1:2" x14ac:dyDescent="0.25">
      <c r="A1611" t="s">
        <v>4118</v>
      </c>
      <c r="B1611" t="s">
        <v>23370</v>
      </c>
    </row>
    <row r="1612" spans="1:2" x14ac:dyDescent="0.25">
      <c r="A1612" t="s">
        <v>4489</v>
      </c>
      <c r="B1612" t="s">
        <v>4489</v>
      </c>
    </row>
    <row r="1613" spans="1:2" x14ac:dyDescent="0.25">
      <c r="A1613" t="s">
        <v>4477</v>
      </c>
      <c r="B1613" t="s">
        <v>4477</v>
      </c>
    </row>
    <row r="1614" spans="1:2" x14ac:dyDescent="0.25">
      <c r="A1614" t="s">
        <v>4486</v>
      </c>
      <c r="B1614" t="s">
        <v>23860</v>
      </c>
    </row>
    <row r="1615" spans="1:2" x14ac:dyDescent="0.25">
      <c r="A1615" t="s">
        <v>3035</v>
      </c>
      <c r="B1615" t="s">
        <v>21999</v>
      </c>
    </row>
    <row r="1616" spans="1:2" x14ac:dyDescent="0.25">
      <c r="A1616" t="s">
        <v>3220</v>
      </c>
      <c r="B1616" t="s">
        <v>22158</v>
      </c>
    </row>
    <row r="1617" spans="1:2" x14ac:dyDescent="0.25">
      <c r="A1617" t="s">
        <v>4130</v>
      </c>
      <c r="B1617" t="s">
        <v>23388</v>
      </c>
    </row>
    <row r="1618" spans="1:2" x14ac:dyDescent="0.25">
      <c r="A1618" t="s">
        <v>4127</v>
      </c>
      <c r="B1618" t="s">
        <v>23383</v>
      </c>
    </row>
    <row r="1619" spans="1:2" x14ac:dyDescent="0.25">
      <c r="A1619" t="s">
        <v>4124</v>
      </c>
      <c r="B1619" t="s">
        <v>23378</v>
      </c>
    </row>
    <row r="1620" spans="1:2" x14ac:dyDescent="0.25">
      <c r="A1620" t="s">
        <v>4121</v>
      </c>
      <c r="B1620" t="s">
        <v>23374</v>
      </c>
    </row>
    <row r="1621" spans="1:2" x14ac:dyDescent="0.25">
      <c r="A1621" t="s">
        <v>4259</v>
      </c>
      <c r="B1621" t="s">
        <v>23572</v>
      </c>
    </row>
    <row r="1622" spans="1:2" x14ac:dyDescent="0.25">
      <c r="A1622" t="s">
        <v>4262</v>
      </c>
      <c r="B1622" t="s">
        <v>4262</v>
      </c>
    </row>
    <row r="1623" spans="1:2" x14ac:dyDescent="0.25">
      <c r="A1623" t="s">
        <v>4265</v>
      </c>
      <c r="B1623" t="s">
        <v>23579</v>
      </c>
    </row>
    <row r="1624" spans="1:2" x14ac:dyDescent="0.25">
      <c r="A1624" t="s">
        <v>4268</v>
      </c>
      <c r="B1624" t="s">
        <v>23584</v>
      </c>
    </row>
    <row r="1625" spans="1:2" x14ac:dyDescent="0.25">
      <c r="A1625" t="s">
        <v>4271</v>
      </c>
      <c r="B1625" t="s">
        <v>23589</v>
      </c>
    </row>
    <row r="1626" spans="1:2" x14ac:dyDescent="0.25">
      <c r="A1626" t="s">
        <v>4495</v>
      </c>
      <c r="B1626" t="s">
        <v>4495</v>
      </c>
    </row>
    <row r="1627" spans="1:2" x14ac:dyDescent="0.25">
      <c r="A1627" t="s">
        <v>4492</v>
      </c>
      <c r="B1627" t="s">
        <v>23868</v>
      </c>
    </row>
    <row r="1628" spans="1:2" x14ac:dyDescent="0.25">
      <c r="A1628" t="s">
        <v>4498</v>
      </c>
      <c r="B1628" t="s">
        <v>4498</v>
      </c>
    </row>
    <row r="1629" spans="1:2" x14ac:dyDescent="0.25">
      <c r="A1629" t="s">
        <v>4527</v>
      </c>
      <c r="B1629" t="s">
        <v>4527</v>
      </c>
    </row>
    <row r="1630" spans="1:2" x14ac:dyDescent="0.25">
      <c r="A1630" t="s">
        <v>4518</v>
      </c>
      <c r="B1630" t="s">
        <v>4518</v>
      </c>
    </row>
    <row r="1631" spans="1:2" x14ac:dyDescent="0.25">
      <c r="A1631" t="s">
        <v>3903</v>
      </c>
      <c r="B1631" t="s">
        <v>23061</v>
      </c>
    </row>
    <row r="1632" spans="1:2" x14ac:dyDescent="0.25">
      <c r="A1632" t="s">
        <v>4307</v>
      </c>
      <c r="B1632" t="s">
        <v>23643</v>
      </c>
    </row>
    <row r="1633" spans="1:2" x14ac:dyDescent="0.25">
      <c r="A1633" t="s">
        <v>4310</v>
      </c>
      <c r="B1633" t="s">
        <v>23648</v>
      </c>
    </row>
    <row r="1634" spans="1:2" x14ac:dyDescent="0.25">
      <c r="A1634" t="s">
        <v>4295</v>
      </c>
      <c r="B1634" t="s">
        <v>23625</v>
      </c>
    </row>
    <row r="1635" spans="1:2" x14ac:dyDescent="0.25">
      <c r="A1635" t="s">
        <v>3793</v>
      </c>
      <c r="B1635" t="s">
        <v>22939</v>
      </c>
    </row>
    <row r="1636" spans="1:2" x14ac:dyDescent="0.25">
      <c r="A1636" t="s">
        <v>4313</v>
      </c>
      <c r="B1636" t="s">
        <v>23652</v>
      </c>
    </row>
    <row r="1637" spans="1:2" x14ac:dyDescent="0.25">
      <c r="A1637" t="s">
        <v>5174</v>
      </c>
      <c r="B1637" t="s">
        <v>24598</v>
      </c>
    </row>
    <row r="1638" spans="1:2" x14ac:dyDescent="0.25">
      <c r="A1638" t="s">
        <v>4298</v>
      </c>
      <c r="B1638" t="s">
        <v>23630</v>
      </c>
    </row>
    <row r="1639" spans="1:2" x14ac:dyDescent="0.25">
      <c r="A1639" t="s">
        <v>5180</v>
      </c>
      <c r="B1639" t="s">
        <v>24608</v>
      </c>
    </row>
    <row r="1640" spans="1:2" x14ac:dyDescent="0.25">
      <c r="A1640" t="s">
        <v>4301</v>
      </c>
      <c r="B1640" t="s">
        <v>23634</v>
      </c>
    </row>
    <row r="1641" spans="1:2" x14ac:dyDescent="0.25">
      <c r="A1641" t="s">
        <v>4316</v>
      </c>
      <c r="B1641" t="s">
        <v>23657</v>
      </c>
    </row>
    <row r="1642" spans="1:2" x14ac:dyDescent="0.25">
      <c r="A1642" t="s">
        <v>4319</v>
      </c>
      <c r="B1642" t="s">
        <v>23661</v>
      </c>
    </row>
    <row r="1643" spans="1:2" x14ac:dyDescent="0.25">
      <c r="A1643" t="s">
        <v>4386</v>
      </c>
      <c r="B1643" t="s">
        <v>23740</v>
      </c>
    </row>
    <row r="1644" spans="1:2" x14ac:dyDescent="0.25">
      <c r="A1644" t="s">
        <v>8065</v>
      </c>
      <c r="B1644" t="s">
        <v>27715</v>
      </c>
    </row>
    <row r="1645" spans="1:2" x14ac:dyDescent="0.25">
      <c r="A1645" t="s">
        <v>9274</v>
      </c>
      <c r="B1645" t="s">
        <v>9274</v>
      </c>
    </row>
    <row r="1646" spans="1:2" x14ac:dyDescent="0.25">
      <c r="A1646" t="s">
        <v>4501</v>
      </c>
      <c r="B1646" t="s">
        <v>23879</v>
      </c>
    </row>
    <row r="1647" spans="1:2" x14ac:dyDescent="0.25">
      <c r="A1647" t="s">
        <v>4530</v>
      </c>
      <c r="B1647" t="s">
        <v>4530</v>
      </c>
    </row>
    <row r="1648" spans="1:2" x14ac:dyDescent="0.25">
      <c r="A1648" t="s">
        <v>4524</v>
      </c>
      <c r="B1648" t="s">
        <v>4524</v>
      </c>
    </row>
    <row r="1649" spans="1:2" x14ac:dyDescent="0.25">
      <c r="A1649" t="s">
        <v>4515</v>
      </c>
      <c r="B1649" t="s">
        <v>4515</v>
      </c>
    </row>
    <row r="1650" spans="1:2" x14ac:dyDescent="0.25">
      <c r="A1650" t="s">
        <v>4533</v>
      </c>
      <c r="B1650" t="s">
        <v>23922</v>
      </c>
    </row>
    <row r="1651" spans="1:2" x14ac:dyDescent="0.25">
      <c r="A1651" t="s">
        <v>4521</v>
      </c>
      <c r="B1651" t="s">
        <v>4521</v>
      </c>
    </row>
    <row r="1652" spans="1:2" x14ac:dyDescent="0.25">
      <c r="A1652" t="s">
        <v>4536</v>
      </c>
      <c r="B1652" t="s">
        <v>23927</v>
      </c>
    </row>
    <row r="1653" spans="1:2" x14ac:dyDescent="0.25">
      <c r="A1653" t="s">
        <v>4504</v>
      </c>
      <c r="B1653" t="s">
        <v>23884</v>
      </c>
    </row>
    <row r="1654" spans="1:2" x14ac:dyDescent="0.25">
      <c r="A1654" t="s">
        <v>4507</v>
      </c>
      <c r="B1654" t="s">
        <v>23889</v>
      </c>
    </row>
    <row r="1655" spans="1:2" x14ac:dyDescent="0.25">
      <c r="A1655" t="s">
        <v>4509</v>
      </c>
      <c r="B1655" t="s">
        <v>23890</v>
      </c>
    </row>
    <row r="1656" spans="1:2" x14ac:dyDescent="0.25">
      <c r="A1656" t="s">
        <v>4512</v>
      </c>
      <c r="B1656" t="s">
        <v>4512</v>
      </c>
    </row>
    <row r="1657" spans="1:2" x14ac:dyDescent="0.25">
      <c r="A1657" t="s">
        <v>4328</v>
      </c>
      <c r="B1657" t="s">
        <v>23676</v>
      </c>
    </row>
    <row r="1658" spans="1:2" x14ac:dyDescent="0.25">
      <c r="A1658" t="s">
        <v>4331</v>
      </c>
      <c r="B1658" t="s">
        <v>23681</v>
      </c>
    </row>
    <row r="1659" spans="1:2" x14ac:dyDescent="0.25">
      <c r="A1659" t="s">
        <v>9277</v>
      </c>
      <c r="B1659" t="s">
        <v>9277</v>
      </c>
    </row>
    <row r="1660" spans="1:2" x14ac:dyDescent="0.25">
      <c r="A1660" t="s">
        <v>4539</v>
      </c>
      <c r="B1660" t="s">
        <v>23932</v>
      </c>
    </row>
    <row r="1661" spans="1:2" x14ac:dyDescent="0.25">
      <c r="A1661" t="s">
        <v>4542</v>
      </c>
      <c r="B1661" t="s">
        <v>23937</v>
      </c>
    </row>
    <row r="1662" spans="1:2" x14ac:dyDescent="0.25">
      <c r="A1662" t="s">
        <v>4388</v>
      </c>
      <c r="B1662" t="s">
        <v>23741</v>
      </c>
    </row>
    <row r="1663" spans="1:2" x14ac:dyDescent="0.25">
      <c r="A1663" t="s">
        <v>4390</v>
      </c>
      <c r="B1663" t="s">
        <v>23746</v>
      </c>
    </row>
    <row r="1664" spans="1:2" x14ac:dyDescent="0.25">
      <c r="A1664" t="s">
        <v>6401</v>
      </c>
      <c r="B1664" t="s">
        <v>25803</v>
      </c>
    </row>
    <row r="1665" spans="1:2" x14ac:dyDescent="0.25">
      <c r="A1665" t="s">
        <v>4205</v>
      </c>
      <c r="B1665" t="s">
        <v>4205</v>
      </c>
    </row>
    <row r="1666" spans="1:2" x14ac:dyDescent="0.25">
      <c r="A1666" t="s">
        <v>4551</v>
      </c>
      <c r="B1666" t="s">
        <v>4551</v>
      </c>
    </row>
    <row r="1667" spans="1:2" x14ac:dyDescent="0.25">
      <c r="A1667" t="s">
        <v>4548</v>
      </c>
      <c r="B1667" t="s">
        <v>4548</v>
      </c>
    </row>
    <row r="1668" spans="1:2" x14ac:dyDescent="0.25">
      <c r="A1668" t="s">
        <v>4545</v>
      </c>
      <c r="B1668" t="s">
        <v>4545</v>
      </c>
    </row>
    <row r="1669" spans="1:2" x14ac:dyDescent="0.25">
      <c r="A1669" t="s">
        <v>4208</v>
      </c>
      <c r="B1669" t="s">
        <v>4208</v>
      </c>
    </row>
    <row r="1670" spans="1:2" x14ac:dyDescent="0.25">
      <c r="A1670" t="s">
        <v>4211</v>
      </c>
      <c r="B1670" t="s">
        <v>4211</v>
      </c>
    </row>
    <row r="1671" spans="1:2" x14ac:dyDescent="0.25">
      <c r="A1671" t="s">
        <v>4339</v>
      </c>
      <c r="B1671" t="s">
        <v>23692</v>
      </c>
    </row>
    <row r="1672" spans="1:2" x14ac:dyDescent="0.25">
      <c r="A1672" t="s">
        <v>4226</v>
      </c>
      <c r="B1672" t="s">
        <v>23527</v>
      </c>
    </row>
    <row r="1673" spans="1:2" x14ac:dyDescent="0.25">
      <c r="A1673" t="s">
        <v>4235</v>
      </c>
      <c r="B1673" t="s">
        <v>23542</v>
      </c>
    </row>
    <row r="1674" spans="1:2" x14ac:dyDescent="0.25">
      <c r="A1674" t="s">
        <v>4232</v>
      </c>
      <c r="B1674" t="s">
        <v>23537</v>
      </c>
    </row>
    <row r="1675" spans="1:2" x14ac:dyDescent="0.25">
      <c r="A1675" t="s">
        <v>4229</v>
      </c>
      <c r="B1675" t="s">
        <v>23532</v>
      </c>
    </row>
    <row r="1676" spans="1:2" x14ac:dyDescent="0.25">
      <c r="A1676" t="s">
        <v>4454</v>
      </c>
      <c r="B1676" t="s">
        <v>23814</v>
      </c>
    </row>
    <row r="1677" spans="1:2" x14ac:dyDescent="0.25">
      <c r="A1677" t="s">
        <v>4451</v>
      </c>
      <c r="B1677" t="s">
        <v>23809</v>
      </c>
    </row>
    <row r="1678" spans="1:2" x14ac:dyDescent="0.25">
      <c r="A1678" t="s">
        <v>4214</v>
      </c>
      <c r="B1678" t="s">
        <v>23509</v>
      </c>
    </row>
    <row r="1679" spans="1:2" x14ac:dyDescent="0.25">
      <c r="A1679" t="s">
        <v>4217</v>
      </c>
      <c r="B1679" t="s">
        <v>23513</v>
      </c>
    </row>
    <row r="1680" spans="1:2" x14ac:dyDescent="0.25">
      <c r="A1680" t="s">
        <v>4220</v>
      </c>
      <c r="B1680" t="s">
        <v>23518</v>
      </c>
    </row>
    <row r="1681" spans="1:2" x14ac:dyDescent="0.25">
      <c r="A1681" t="s">
        <v>4238</v>
      </c>
      <c r="B1681" t="s">
        <v>4238</v>
      </c>
    </row>
    <row r="1682" spans="1:2" x14ac:dyDescent="0.25">
      <c r="A1682" t="s">
        <v>4223</v>
      </c>
      <c r="B1682" t="s">
        <v>23523</v>
      </c>
    </row>
    <row r="1683" spans="1:2" x14ac:dyDescent="0.25">
      <c r="A1683" t="s">
        <v>4344</v>
      </c>
      <c r="B1683" t="s">
        <v>23698</v>
      </c>
    </row>
    <row r="1684" spans="1:2" x14ac:dyDescent="0.25">
      <c r="A1684" t="s">
        <v>4566</v>
      </c>
      <c r="B1684" t="s">
        <v>4566</v>
      </c>
    </row>
    <row r="1685" spans="1:2" x14ac:dyDescent="0.25">
      <c r="A1685" t="s">
        <v>4554</v>
      </c>
      <c r="B1685" t="s">
        <v>23953</v>
      </c>
    </row>
    <row r="1686" spans="1:2" x14ac:dyDescent="0.25">
      <c r="A1686" t="s">
        <v>4563</v>
      </c>
      <c r="B1686" t="s">
        <v>23966</v>
      </c>
    </row>
    <row r="1687" spans="1:2" x14ac:dyDescent="0.25">
      <c r="A1687" t="s">
        <v>4569</v>
      </c>
      <c r="B1687" t="s">
        <v>23975</v>
      </c>
    </row>
    <row r="1688" spans="1:2" x14ac:dyDescent="0.25">
      <c r="A1688" t="s">
        <v>4572</v>
      </c>
      <c r="B1688" t="s">
        <v>4572</v>
      </c>
    </row>
    <row r="1689" spans="1:2" x14ac:dyDescent="0.25">
      <c r="A1689" t="s">
        <v>4358</v>
      </c>
      <c r="B1689" t="s">
        <v>23711</v>
      </c>
    </row>
    <row r="1690" spans="1:2" x14ac:dyDescent="0.25">
      <c r="A1690" t="s">
        <v>4361</v>
      </c>
      <c r="B1690" t="s">
        <v>23715</v>
      </c>
    </row>
    <row r="1691" spans="1:2" x14ac:dyDescent="0.25">
      <c r="A1691" t="s">
        <v>4581</v>
      </c>
      <c r="B1691" t="s">
        <v>23993</v>
      </c>
    </row>
    <row r="1692" spans="1:2" x14ac:dyDescent="0.25">
      <c r="A1692" t="s">
        <v>4364</v>
      </c>
      <c r="B1692" t="s">
        <v>23719</v>
      </c>
    </row>
    <row r="1693" spans="1:2" x14ac:dyDescent="0.25">
      <c r="A1693" t="s">
        <v>4584</v>
      </c>
      <c r="B1693" t="s">
        <v>4584</v>
      </c>
    </row>
    <row r="1694" spans="1:2" x14ac:dyDescent="0.25">
      <c r="A1694" t="s">
        <v>4587</v>
      </c>
      <c r="B1694" t="s">
        <v>24002</v>
      </c>
    </row>
    <row r="1695" spans="1:2" x14ac:dyDescent="0.25">
      <c r="A1695" t="s">
        <v>4575</v>
      </c>
      <c r="B1695" t="s">
        <v>23984</v>
      </c>
    </row>
    <row r="1696" spans="1:2" x14ac:dyDescent="0.25">
      <c r="A1696" t="s">
        <v>4557</v>
      </c>
      <c r="B1696" t="s">
        <v>4557</v>
      </c>
    </row>
    <row r="1697" spans="1:2" x14ac:dyDescent="0.25">
      <c r="A1697" t="s">
        <v>4560</v>
      </c>
      <c r="B1697" t="s">
        <v>4560</v>
      </c>
    </row>
    <row r="1698" spans="1:2" x14ac:dyDescent="0.25">
      <c r="A1698" t="s">
        <v>4798</v>
      </c>
      <c r="B1698" t="s">
        <v>24259</v>
      </c>
    </row>
    <row r="1699" spans="1:2" x14ac:dyDescent="0.25">
      <c r="A1699" t="s">
        <v>4366</v>
      </c>
      <c r="B1699" t="s">
        <v>4366</v>
      </c>
    </row>
    <row r="1700" spans="1:2" x14ac:dyDescent="0.25">
      <c r="A1700" t="s">
        <v>4280</v>
      </c>
      <c r="B1700" t="s">
        <v>23604</v>
      </c>
    </row>
    <row r="1701" spans="1:2" x14ac:dyDescent="0.25">
      <c r="A1701" t="s">
        <v>4277</v>
      </c>
      <c r="B1701" t="s">
        <v>23599</v>
      </c>
    </row>
    <row r="1702" spans="1:2" x14ac:dyDescent="0.25">
      <c r="A1702" t="s">
        <v>4375</v>
      </c>
      <c r="B1702" t="s">
        <v>4375</v>
      </c>
    </row>
    <row r="1703" spans="1:2" x14ac:dyDescent="0.25">
      <c r="A1703" t="s">
        <v>4378</v>
      </c>
      <c r="B1703" t="s">
        <v>4378</v>
      </c>
    </row>
    <row r="1704" spans="1:2" x14ac:dyDescent="0.25">
      <c r="A1704" t="s">
        <v>4381</v>
      </c>
      <c r="B1704" t="s">
        <v>4381</v>
      </c>
    </row>
    <row r="1705" spans="1:2" x14ac:dyDescent="0.25">
      <c r="A1705" t="s">
        <v>4369</v>
      </c>
      <c r="B1705" t="s">
        <v>4369</v>
      </c>
    </row>
    <row r="1706" spans="1:2" x14ac:dyDescent="0.25">
      <c r="A1706" t="s">
        <v>4614</v>
      </c>
      <c r="B1706" t="s">
        <v>24027</v>
      </c>
    </row>
    <row r="1707" spans="1:2" x14ac:dyDescent="0.25">
      <c r="A1707" t="s">
        <v>4617</v>
      </c>
      <c r="B1707" t="s">
        <v>24032</v>
      </c>
    </row>
    <row r="1708" spans="1:2" x14ac:dyDescent="0.25">
      <c r="A1708" t="s">
        <v>4596</v>
      </c>
      <c r="B1708" t="s">
        <v>24009</v>
      </c>
    </row>
    <row r="1709" spans="1:2" x14ac:dyDescent="0.25">
      <c r="A1709" t="s">
        <v>4623</v>
      </c>
      <c r="B1709" t="s">
        <v>24040</v>
      </c>
    </row>
    <row r="1710" spans="1:2" x14ac:dyDescent="0.25">
      <c r="A1710" t="s">
        <v>4620</v>
      </c>
      <c r="B1710" t="s">
        <v>24036</v>
      </c>
    </row>
    <row r="1711" spans="1:2" x14ac:dyDescent="0.25">
      <c r="A1711" t="s">
        <v>4605</v>
      </c>
      <c r="B1711" t="s">
        <v>4605</v>
      </c>
    </row>
    <row r="1712" spans="1:2" x14ac:dyDescent="0.25">
      <c r="A1712" t="s">
        <v>4608</v>
      </c>
      <c r="B1712" t="s">
        <v>24019</v>
      </c>
    </row>
    <row r="1713" spans="1:2" x14ac:dyDescent="0.25">
      <c r="A1713" t="s">
        <v>4611</v>
      </c>
      <c r="B1713" t="s">
        <v>24023</v>
      </c>
    </row>
    <row r="1714" spans="1:2" x14ac:dyDescent="0.25">
      <c r="A1714" t="s">
        <v>4602</v>
      </c>
      <c r="B1714" t="s">
        <v>24015</v>
      </c>
    </row>
    <row r="1715" spans="1:2" x14ac:dyDescent="0.25">
      <c r="A1715" t="s">
        <v>4599</v>
      </c>
      <c r="B1715" t="s">
        <v>24010</v>
      </c>
    </row>
    <row r="1716" spans="1:2" x14ac:dyDescent="0.25">
      <c r="A1716" t="s">
        <v>5372</v>
      </c>
      <c r="B1716" t="s">
        <v>5372</v>
      </c>
    </row>
    <row r="1717" spans="1:2" x14ac:dyDescent="0.25">
      <c r="A1717" t="s">
        <v>4392</v>
      </c>
      <c r="B1717" t="s">
        <v>23747</v>
      </c>
    </row>
    <row r="1718" spans="1:2" x14ac:dyDescent="0.25">
      <c r="A1718" t="s">
        <v>4626</v>
      </c>
      <c r="B1718" t="s">
        <v>4626</v>
      </c>
    </row>
    <row r="1719" spans="1:2" x14ac:dyDescent="0.25">
      <c r="A1719" t="s">
        <v>9280</v>
      </c>
      <c r="B1719" t="s">
        <v>29370</v>
      </c>
    </row>
    <row r="1720" spans="1:2" x14ac:dyDescent="0.25">
      <c r="A1720" t="s">
        <v>9283</v>
      </c>
      <c r="B1720" t="s">
        <v>9283</v>
      </c>
    </row>
    <row r="1721" spans="1:2" x14ac:dyDescent="0.25">
      <c r="A1721" t="s">
        <v>4632</v>
      </c>
      <c r="B1721" t="s">
        <v>4632</v>
      </c>
    </row>
    <row r="1722" spans="1:2" x14ac:dyDescent="0.25">
      <c r="A1722" t="s">
        <v>4638</v>
      </c>
      <c r="B1722" t="s">
        <v>24062</v>
      </c>
    </row>
    <row r="1723" spans="1:2" x14ac:dyDescent="0.25">
      <c r="A1723" t="s">
        <v>4647</v>
      </c>
      <c r="B1723" t="s">
        <v>24077</v>
      </c>
    </row>
    <row r="1724" spans="1:2" x14ac:dyDescent="0.25">
      <c r="A1724" t="s">
        <v>4650</v>
      </c>
      <c r="B1724" t="s">
        <v>24082</v>
      </c>
    </row>
    <row r="1725" spans="1:2" x14ac:dyDescent="0.25">
      <c r="A1725" t="s">
        <v>4635</v>
      </c>
      <c r="B1725" t="s">
        <v>24057</v>
      </c>
    </row>
    <row r="1726" spans="1:2" x14ac:dyDescent="0.25">
      <c r="A1726" t="s">
        <v>4653</v>
      </c>
      <c r="B1726" t="s">
        <v>4653</v>
      </c>
    </row>
    <row r="1727" spans="1:2" x14ac:dyDescent="0.25">
      <c r="A1727" t="s">
        <v>4656</v>
      </c>
      <c r="B1727" t="s">
        <v>4656</v>
      </c>
    </row>
    <row r="1728" spans="1:2" x14ac:dyDescent="0.25">
      <c r="A1728" t="s">
        <v>4659</v>
      </c>
      <c r="B1728" t="s">
        <v>4659</v>
      </c>
    </row>
    <row r="1729" spans="1:2" x14ac:dyDescent="0.25">
      <c r="A1729" t="s">
        <v>4641</v>
      </c>
      <c r="B1729" t="s">
        <v>24067</v>
      </c>
    </row>
    <row r="1730" spans="1:2" x14ac:dyDescent="0.25">
      <c r="A1730" t="s">
        <v>4644</v>
      </c>
      <c r="B1730" t="s">
        <v>24072</v>
      </c>
    </row>
    <row r="1731" spans="1:2" x14ac:dyDescent="0.25">
      <c r="A1731" t="s">
        <v>4136</v>
      </c>
      <c r="B1731" t="s">
        <v>23398</v>
      </c>
    </row>
    <row r="1732" spans="1:2" x14ac:dyDescent="0.25">
      <c r="A1732" t="s">
        <v>4190</v>
      </c>
      <c r="B1732" t="s">
        <v>4190</v>
      </c>
    </row>
    <row r="1733" spans="1:2" x14ac:dyDescent="0.25">
      <c r="A1733" t="s">
        <v>4139</v>
      </c>
      <c r="B1733" t="s">
        <v>4139</v>
      </c>
    </row>
    <row r="1734" spans="1:2" x14ac:dyDescent="0.25">
      <c r="A1734" t="s">
        <v>4142</v>
      </c>
      <c r="B1734" t="s">
        <v>4142</v>
      </c>
    </row>
    <row r="1735" spans="1:2" x14ac:dyDescent="0.25">
      <c r="A1735" t="s">
        <v>4145</v>
      </c>
      <c r="B1735" t="s">
        <v>23408</v>
      </c>
    </row>
    <row r="1736" spans="1:2" x14ac:dyDescent="0.25">
      <c r="A1736" t="s">
        <v>4148</v>
      </c>
      <c r="B1736" t="s">
        <v>23413</v>
      </c>
    </row>
    <row r="1737" spans="1:2" x14ac:dyDescent="0.25">
      <c r="A1737" t="s">
        <v>4193</v>
      </c>
      <c r="B1737" t="s">
        <v>4193</v>
      </c>
    </row>
    <row r="1738" spans="1:2" x14ac:dyDescent="0.25">
      <c r="A1738" t="s">
        <v>4151</v>
      </c>
      <c r="B1738" t="s">
        <v>23418</v>
      </c>
    </row>
    <row r="1739" spans="1:2" x14ac:dyDescent="0.25">
      <c r="A1739" t="s">
        <v>4196</v>
      </c>
      <c r="B1739" t="s">
        <v>4196</v>
      </c>
    </row>
    <row r="1740" spans="1:2" x14ac:dyDescent="0.25">
      <c r="A1740" t="s">
        <v>4154</v>
      </c>
      <c r="B1740" t="s">
        <v>23422</v>
      </c>
    </row>
    <row r="1741" spans="1:2" x14ac:dyDescent="0.25">
      <c r="A1741" t="s">
        <v>4157</v>
      </c>
      <c r="B1741" t="s">
        <v>23427</v>
      </c>
    </row>
    <row r="1742" spans="1:2" x14ac:dyDescent="0.25">
      <c r="A1742" t="s">
        <v>4404</v>
      </c>
      <c r="B1742" t="s">
        <v>23765</v>
      </c>
    </row>
    <row r="1743" spans="1:2" x14ac:dyDescent="0.25">
      <c r="A1743" t="s">
        <v>4160</v>
      </c>
      <c r="B1743" t="s">
        <v>23432</v>
      </c>
    </row>
    <row r="1744" spans="1:2" x14ac:dyDescent="0.25">
      <c r="A1744" t="s">
        <v>4163</v>
      </c>
      <c r="B1744" t="s">
        <v>23437</v>
      </c>
    </row>
    <row r="1745" spans="1:2" x14ac:dyDescent="0.25">
      <c r="A1745" t="s">
        <v>4166</v>
      </c>
      <c r="B1745" t="s">
        <v>23442</v>
      </c>
    </row>
    <row r="1746" spans="1:2" x14ac:dyDescent="0.25">
      <c r="A1746" t="s">
        <v>4199</v>
      </c>
      <c r="B1746" t="s">
        <v>4199</v>
      </c>
    </row>
    <row r="1747" spans="1:2" x14ac:dyDescent="0.25">
      <c r="A1747" t="s">
        <v>4169</v>
      </c>
      <c r="B1747" t="s">
        <v>23446</v>
      </c>
    </row>
    <row r="1748" spans="1:2" x14ac:dyDescent="0.25">
      <c r="A1748" t="s">
        <v>1449</v>
      </c>
      <c r="B1748" t="s">
        <v>20040</v>
      </c>
    </row>
    <row r="1749" spans="1:2" x14ac:dyDescent="0.25">
      <c r="A1749" t="s">
        <v>4172</v>
      </c>
      <c r="B1749" t="s">
        <v>23451</v>
      </c>
    </row>
    <row r="1750" spans="1:2" x14ac:dyDescent="0.25">
      <c r="A1750" t="s">
        <v>4181</v>
      </c>
      <c r="B1750" t="s">
        <v>23465</v>
      </c>
    </row>
    <row r="1751" spans="1:2" x14ac:dyDescent="0.25">
      <c r="A1751" t="s">
        <v>4202</v>
      </c>
      <c r="B1751" t="s">
        <v>23494</v>
      </c>
    </row>
    <row r="1752" spans="1:2" x14ac:dyDescent="0.25">
      <c r="A1752" t="s">
        <v>4175</v>
      </c>
      <c r="B1752" t="s">
        <v>23456</v>
      </c>
    </row>
    <row r="1753" spans="1:2" x14ac:dyDescent="0.25">
      <c r="A1753" t="s">
        <v>4178</v>
      </c>
      <c r="B1753" t="s">
        <v>23460</v>
      </c>
    </row>
    <row r="1754" spans="1:2" x14ac:dyDescent="0.25">
      <c r="A1754" t="s">
        <v>4184</v>
      </c>
      <c r="B1754" t="s">
        <v>23469</v>
      </c>
    </row>
    <row r="1755" spans="1:2" x14ac:dyDescent="0.25">
      <c r="A1755" t="s">
        <v>4187</v>
      </c>
      <c r="B1755" t="s">
        <v>23474</v>
      </c>
    </row>
    <row r="1756" spans="1:2" x14ac:dyDescent="0.25">
      <c r="A1756" t="s">
        <v>9286</v>
      </c>
      <c r="B1756" t="s">
        <v>9286</v>
      </c>
    </row>
    <row r="1757" spans="1:2" x14ac:dyDescent="0.25">
      <c r="A1757" t="s">
        <v>4629</v>
      </c>
      <c r="B1757" t="s">
        <v>24048</v>
      </c>
    </row>
    <row r="1758" spans="1:2" x14ac:dyDescent="0.25">
      <c r="A1758" t="s">
        <v>4662</v>
      </c>
      <c r="B1758" t="s">
        <v>15397</v>
      </c>
    </row>
    <row r="1759" spans="1:2" x14ac:dyDescent="0.25">
      <c r="A1759" t="s">
        <v>4401</v>
      </c>
      <c r="B1759" t="s">
        <v>23760</v>
      </c>
    </row>
    <row r="1760" spans="1:2" x14ac:dyDescent="0.25">
      <c r="A1760" t="s">
        <v>5971</v>
      </c>
      <c r="B1760" t="s">
        <v>25444</v>
      </c>
    </row>
    <row r="1761" spans="1:2" x14ac:dyDescent="0.25">
      <c r="A1761" t="s">
        <v>5968</v>
      </c>
      <c r="B1761" t="s">
        <v>25439</v>
      </c>
    </row>
    <row r="1762" spans="1:2" x14ac:dyDescent="0.25">
      <c r="A1762" t="s">
        <v>4668</v>
      </c>
      <c r="B1762" t="s">
        <v>24106</v>
      </c>
    </row>
    <row r="1763" spans="1:2" x14ac:dyDescent="0.25">
      <c r="A1763" t="s">
        <v>4665</v>
      </c>
      <c r="B1763" t="s">
        <v>4665</v>
      </c>
    </row>
    <row r="1764" spans="1:2" x14ac:dyDescent="0.25">
      <c r="A1764" t="s">
        <v>4671</v>
      </c>
      <c r="B1764" t="s">
        <v>4671</v>
      </c>
    </row>
    <row r="1765" spans="1:2" x14ac:dyDescent="0.25">
      <c r="A1765" t="s">
        <v>4292</v>
      </c>
      <c r="B1765" t="s">
        <v>23620</v>
      </c>
    </row>
    <row r="1766" spans="1:2" x14ac:dyDescent="0.25">
      <c r="A1766" t="s">
        <v>4677</v>
      </c>
      <c r="B1766" t="s">
        <v>4677</v>
      </c>
    </row>
    <row r="1767" spans="1:2" x14ac:dyDescent="0.25">
      <c r="A1767" t="s">
        <v>4674</v>
      </c>
      <c r="B1767" t="s">
        <v>24115</v>
      </c>
    </row>
    <row r="1768" spans="1:2" x14ac:dyDescent="0.25">
      <c r="A1768" t="s">
        <v>4680</v>
      </c>
      <c r="B1768" t="s">
        <v>4680</v>
      </c>
    </row>
    <row r="1769" spans="1:2" x14ac:dyDescent="0.25">
      <c r="A1769" t="s">
        <v>4407</v>
      </c>
      <c r="B1769" t="s">
        <v>23770</v>
      </c>
    </row>
    <row r="1770" spans="1:2" x14ac:dyDescent="0.25">
      <c r="A1770" t="s">
        <v>4286</v>
      </c>
      <c r="B1770" t="s">
        <v>23610</v>
      </c>
    </row>
    <row r="1771" spans="1:2" x14ac:dyDescent="0.25">
      <c r="A1771" t="s">
        <v>4289</v>
      </c>
      <c r="B1771" t="s">
        <v>23615</v>
      </c>
    </row>
    <row r="1772" spans="1:2" x14ac:dyDescent="0.25">
      <c r="A1772" t="s">
        <v>9289</v>
      </c>
      <c r="B1772" t="s">
        <v>9289</v>
      </c>
    </row>
    <row r="1773" spans="1:2" x14ac:dyDescent="0.25">
      <c r="A1773" t="s">
        <v>4683</v>
      </c>
      <c r="B1773" t="s">
        <v>24127</v>
      </c>
    </row>
    <row r="1774" spans="1:2" x14ac:dyDescent="0.25">
      <c r="A1774" t="s">
        <v>4422</v>
      </c>
      <c r="B1774" t="s">
        <v>23787</v>
      </c>
    </row>
    <row r="1775" spans="1:2" x14ac:dyDescent="0.25">
      <c r="A1775" t="s">
        <v>4419</v>
      </c>
      <c r="B1775" t="s">
        <v>4419</v>
      </c>
    </row>
    <row r="1776" spans="1:2" x14ac:dyDescent="0.25">
      <c r="A1776" t="s">
        <v>4425</v>
      </c>
      <c r="B1776" t="s">
        <v>4425</v>
      </c>
    </row>
    <row r="1777" spans="1:2" x14ac:dyDescent="0.25">
      <c r="A1777" t="s">
        <v>4274</v>
      </c>
      <c r="B1777" t="s">
        <v>23594</v>
      </c>
    </row>
    <row r="1778" spans="1:2" x14ac:dyDescent="0.25">
      <c r="A1778" t="s">
        <v>4689</v>
      </c>
      <c r="B1778" t="s">
        <v>4689</v>
      </c>
    </row>
    <row r="1779" spans="1:2" x14ac:dyDescent="0.25">
      <c r="A1779" t="s">
        <v>4244</v>
      </c>
      <c r="B1779" t="s">
        <v>4244</v>
      </c>
    </row>
    <row r="1780" spans="1:2" x14ac:dyDescent="0.25">
      <c r="A1780" t="s">
        <v>4241</v>
      </c>
      <c r="B1780" t="s">
        <v>23551</v>
      </c>
    </row>
    <row r="1781" spans="1:2" x14ac:dyDescent="0.25">
      <c r="A1781" t="s">
        <v>4253</v>
      </c>
      <c r="B1781" t="s">
        <v>23566</v>
      </c>
    </row>
    <row r="1782" spans="1:2" x14ac:dyDescent="0.25">
      <c r="A1782" t="s">
        <v>4247</v>
      </c>
      <c r="B1782" t="s">
        <v>23556</v>
      </c>
    </row>
    <row r="1783" spans="1:2" x14ac:dyDescent="0.25">
      <c r="A1783" t="s">
        <v>4256</v>
      </c>
      <c r="B1783" t="s">
        <v>23567</v>
      </c>
    </row>
    <row r="1784" spans="1:2" x14ac:dyDescent="0.25">
      <c r="A1784" t="s">
        <v>4250</v>
      </c>
      <c r="B1784" t="s">
        <v>23561</v>
      </c>
    </row>
    <row r="1785" spans="1:2" x14ac:dyDescent="0.25">
      <c r="A1785" t="s">
        <v>4686</v>
      </c>
      <c r="B1785" t="s">
        <v>24132</v>
      </c>
    </row>
    <row r="1786" spans="1:2" x14ac:dyDescent="0.25">
      <c r="A1786" t="s">
        <v>4692</v>
      </c>
      <c r="B1786" t="s">
        <v>24141</v>
      </c>
    </row>
    <row r="1787" spans="1:2" x14ac:dyDescent="0.25">
      <c r="A1787" t="s">
        <v>4701</v>
      </c>
      <c r="B1787" t="s">
        <v>4701</v>
      </c>
    </row>
    <row r="1788" spans="1:2" x14ac:dyDescent="0.25">
      <c r="A1788" t="s">
        <v>4695</v>
      </c>
      <c r="B1788" t="s">
        <v>24146</v>
      </c>
    </row>
    <row r="1789" spans="1:2" x14ac:dyDescent="0.25">
      <c r="A1789" t="s">
        <v>4698</v>
      </c>
      <c r="B1789" t="s">
        <v>24151</v>
      </c>
    </row>
    <row r="1790" spans="1:2" x14ac:dyDescent="0.25">
      <c r="A1790" t="s">
        <v>5803</v>
      </c>
      <c r="B1790" t="s">
        <v>25236</v>
      </c>
    </row>
    <row r="1791" spans="1:2" x14ac:dyDescent="0.25">
      <c r="A1791" t="s">
        <v>5809</v>
      </c>
      <c r="B1791" t="s">
        <v>25243</v>
      </c>
    </row>
    <row r="1792" spans="1:2" x14ac:dyDescent="0.25">
      <c r="A1792" t="s">
        <v>4707</v>
      </c>
      <c r="B1792" t="s">
        <v>4707</v>
      </c>
    </row>
    <row r="1793" spans="1:2" x14ac:dyDescent="0.25">
      <c r="A1793" t="s">
        <v>4710</v>
      </c>
      <c r="B1793" t="s">
        <v>24169</v>
      </c>
    </row>
    <row r="1794" spans="1:2" x14ac:dyDescent="0.25">
      <c r="A1794" t="s">
        <v>4704</v>
      </c>
      <c r="B1794" t="s">
        <v>24160</v>
      </c>
    </row>
    <row r="1795" spans="1:2" x14ac:dyDescent="0.25">
      <c r="A1795" t="s">
        <v>4716</v>
      </c>
      <c r="B1795" t="s">
        <v>24178</v>
      </c>
    </row>
    <row r="1796" spans="1:2" x14ac:dyDescent="0.25">
      <c r="A1796" t="s">
        <v>4713</v>
      </c>
      <c r="B1796" t="s">
        <v>4713</v>
      </c>
    </row>
    <row r="1797" spans="1:2" x14ac:dyDescent="0.25">
      <c r="A1797" t="s">
        <v>4719</v>
      </c>
      <c r="B1797" t="s">
        <v>4719</v>
      </c>
    </row>
    <row r="1798" spans="1:2" x14ac:dyDescent="0.25">
      <c r="A1798" t="s">
        <v>4133</v>
      </c>
      <c r="B1798" t="s">
        <v>23393</v>
      </c>
    </row>
    <row r="1799" spans="1:2" x14ac:dyDescent="0.25">
      <c r="A1799" t="s">
        <v>4722</v>
      </c>
      <c r="B1799" t="s">
        <v>4722</v>
      </c>
    </row>
    <row r="1800" spans="1:2" x14ac:dyDescent="0.25">
      <c r="A1800" t="s">
        <v>5601</v>
      </c>
      <c r="B1800" t="s">
        <v>25036</v>
      </c>
    </row>
    <row r="1801" spans="1:2" x14ac:dyDescent="0.25">
      <c r="A1801" t="s">
        <v>9292</v>
      </c>
      <c r="B1801" t="s">
        <v>29387</v>
      </c>
    </row>
    <row r="1802" spans="1:2" x14ac:dyDescent="0.25">
      <c r="A1802" t="s">
        <v>9304</v>
      </c>
      <c r="B1802" t="s">
        <v>9304</v>
      </c>
    </row>
    <row r="1803" spans="1:2" x14ac:dyDescent="0.25">
      <c r="A1803" t="s">
        <v>3529</v>
      </c>
      <c r="B1803" t="s">
        <v>22606</v>
      </c>
    </row>
    <row r="1804" spans="1:2" x14ac:dyDescent="0.25">
      <c r="A1804" t="s">
        <v>3301</v>
      </c>
      <c r="B1804" t="s">
        <v>22272</v>
      </c>
    </row>
    <row r="1805" spans="1:2" x14ac:dyDescent="0.25">
      <c r="A1805" t="s">
        <v>3304</v>
      </c>
      <c r="B1805" t="s">
        <v>22277</v>
      </c>
    </row>
    <row r="1806" spans="1:2" x14ac:dyDescent="0.25">
      <c r="A1806" t="s">
        <v>3307</v>
      </c>
      <c r="B1806" t="s">
        <v>22282</v>
      </c>
    </row>
    <row r="1807" spans="1:2" x14ac:dyDescent="0.25">
      <c r="A1807" t="s">
        <v>9307</v>
      </c>
      <c r="B1807" t="s">
        <v>29409</v>
      </c>
    </row>
    <row r="1808" spans="1:2" x14ac:dyDescent="0.25">
      <c r="A1808" t="s">
        <v>4322</v>
      </c>
      <c r="B1808" t="s">
        <v>23666</v>
      </c>
    </row>
    <row r="1809" spans="1:2" x14ac:dyDescent="0.25">
      <c r="A1809" t="s">
        <v>4325</v>
      </c>
      <c r="B1809" t="s">
        <v>23671</v>
      </c>
    </row>
    <row r="1810" spans="1:2" x14ac:dyDescent="0.25">
      <c r="A1810" t="s">
        <v>3313</v>
      </c>
      <c r="B1810" t="s">
        <v>22291</v>
      </c>
    </row>
    <row r="1811" spans="1:2" x14ac:dyDescent="0.25">
      <c r="A1811" t="s">
        <v>9310</v>
      </c>
      <c r="B1811" t="s">
        <v>29412</v>
      </c>
    </row>
    <row r="1812" spans="1:2" x14ac:dyDescent="0.25">
      <c r="A1812" t="s">
        <v>9313</v>
      </c>
      <c r="B1812" t="s">
        <v>9313</v>
      </c>
    </row>
    <row r="1813" spans="1:2" x14ac:dyDescent="0.25">
      <c r="A1813" t="s">
        <v>4413</v>
      </c>
      <c r="B1813" t="s">
        <v>23780</v>
      </c>
    </row>
    <row r="1814" spans="1:2" x14ac:dyDescent="0.25">
      <c r="A1814" t="s">
        <v>4415</v>
      </c>
      <c r="B1814" t="s">
        <v>23781</v>
      </c>
    </row>
    <row r="1815" spans="1:2" x14ac:dyDescent="0.25">
      <c r="A1815" t="s">
        <v>8067</v>
      </c>
      <c r="B1815" t="s">
        <v>27716</v>
      </c>
    </row>
    <row r="1816" spans="1:2" x14ac:dyDescent="0.25">
      <c r="A1816" t="s">
        <v>9316</v>
      </c>
      <c r="B1816" t="s">
        <v>29421</v>
      </c>
    </row>
    <row r="1817" spans="1:2" x14ac:dyDescent="0.25">
      <c r="A1817" t="s">
        <v>4417</v>
      </c>
      <c r="B1817" t="s">
        <v>23782</v>
      </c>
    </row>
    <row r="1818" spans="1:2" x14ac:dyDescent="0.25">
      <c r="A1818" t="s">
        <v>9325</v>
      </c>
      <c r="B1818" t="s">
        <v>29434</v>
      </c>
    </row>
    <row r="1819" spans="1:2" x14ac:dyDescent="0.25">
      <c r="A1819" t="s">
        <v>9319</v>
      </c>
      <c r="B1819" t="s">
        <v>9319</v>
      </c>
    </row>
    <row r="1820" spans="1:2" x14ac:dyDescent="0.25">
      <c r="A1820" t="s">
        <v>9322</v>
      </c>
      <c r="B1820" t="s">
        <v>29429</v>
      </c>
    </row>
    <row r="1821" spans="1:2" x14ac:dyDescent="0.25">
      <c r="A1821" t="s">
        <v>4431</v>
      </c>
      <c r="B1821" t="s">
        <v>23799</v>
      </c>
    </row>
    <row r="1822" spans="1:2" x14ac:dyDescent="0.25">
      <c r="A1822" t="s">
        <v>4433</v>
      </c>
      <c r="B1822" t="s">
        <v>23800</v>
      </c>
    </row>
    <row r="1823" spans="1:2" x14ac:dyDescent="0.25">
      <c r="A1823" t="s">
        <v>4435</v>
      </c>
      <c r="B1823" t="s">
        <v>23801</v>
      </c>
    </row>
    <row r="1824" spans="1:2" x14ac:dyDescent="0.25">
      <c r="A1824" t="s">
        <v>4437</v>
      </c>
      <c r="B1824" t="s">
        <v>23802</v>
      </c>
    </row>
    <row r="1825" spans="1:2" x14ac:dyDescent="0.25">
      <c r="A1825" t="s">
        <v>6393</v>
      </c>
      <c r="B1825" t="s">
        <v>25799</v>
      </c>
    </row>
    <row r="1826" spans="1:2" x14ac:dyDescent="0.25">
      <c r="A1826" t="s">
        <v>4447</v>
      </c>
      <c r="B1826" t="s">
        <v>23807</v>
      </c>
    </row>
    <row r="1827" spans="1:2" x14ac:dyDescent="0.25">
      <c r="A1827" t="s">
        <v>4439</v>
      </c>
      <c r="B1827" t="s">
        <v>23803</v>
      </c>
    </row>
    <row r="1828" spans="1:2" x14ac:dyDescent="0.25">
      <c r="A1828" t="s">
        <v>4441</v>
      </c>
      <c r="B1828" t="s">
        <v>23804</v>
      </c>
    </row>
    <row r="1829" spans="1:2" x14ac:dyDescent="0.25">
      <c r="A1829" t="s">
        <v>4443</v>
      </c>
      <c r="B1829" t="s">
        <v>23805</v>
      </c>
    </row>
    <row r="1830" spans="1:2" x14ac:dyDescent="0.25">
      <c r="A1830" t="s">
        <v>4445</v>
      </c>
      <c r="B1830" t="s">
        <v>23806</v>
      </c>
    </row>
    <row r="1831" spans="1:2" x14ac:dyDescent="0.25">
      <c r="A1831" t="s">
        <v>9328</v>
      </c>
      <c r="B1831" t="s">
        <v>9328</v>
      </c>
    </row>
    <row r="1832" spans="1:2" x14ac:dyDescent="0.25">
      <c r="A1832" t="s">
        <v>9331</v>
      </c>
      <c r="B1832" t="s">
        <v>9331</v>
      </c>
    </row>
    <row r="1833" spans="1:2" x14ac:dyDescent="0.25">
      <c r="A1833" t="s">
        <v>4457</v>
      </c>
      <c r="B1833" t="s">
        <v>23819</v>
      </c>
    </row>
    <row r="1834" spans="1:2" x14ac:dyDescent="0.25">
      <c r="A1834" t="s">
        <v>4733</v>
      </c>
      <c r="B1834" t="s">
        <v>24198</v>
      </c>
    </row>
    <row r="1835" spans="1:2" x14ac:dyDescent="0.25">
      <c r="A1835" t="s">
        <v>9343</v>
      </c>
      <c r="B1835" t="s">
        <v>9343</v>
      </c>
    </row>
    <row r="1836" spans="1:2" x14ac:dyDescent="0.25">
      <c r="A1836" t="s">
        <v>5059</v>
      </c>
      <c r="B1836" t="s">
        <v>24465</v>
      </c>
    </row>
    <row r="1837" spans="1:2" x14ac:dyDescent="0.25">
      <c r="A1837" t="s">
        <v>6421</v>
      </c>
      <c r="B1837" t="s">
        <v>25816</v>
      </c>
    </row>
    <row r="1838" spans="1:2" x14ac:dyDescent="0.25">
      <c r="A1838" t="s">
        <v>4780</v>
      </c>
      <c r="B1838" t="s">
        <v>4780</v>
      </c>
    </row>
    <row r="1839" spans="1:2" x14ac:dyDescent="0.25">
      <c r="A1839" t="s">
        <v>9346</v>
      </c>
      <c r="B1839" t="s">
        <v>29460</v>
      </c>
    </row>
    <row r="1840" spans="1:2" x14ac:dyDescent="0.25">
      <c r="A1840" t="s">
        <v>6305</v>
      </c>
      <c r="B1840" t="s">
        <v>25755</v>
      </c>
    </row>
    <row r="1841" spans="1:2" x14ac:dyDescent="0.25">
      <c r="A1841" t="s">
        <v>4741</v>
      </c>
      <c r="B1841" t="s">
        <v>24209</v>
      </c>
    </row>
    <row r="1842" spans="1:2" x14ac:dyDescent="0.25">
      <c r="A1842" t="s">
        <v>4745</v>
      </c>
      <c r="B1842" t="s">
        <v>24211</v>
      </c>
    </row>
    <row r="1843" spans="1:2" x14ac:dyDescent="0.25">
      <c r="A1843" t="s">
        <v>4743</v>
      </c>
      <c r="B1843" t="s">
        <v>24210</v>
      </c>
    </row>
    <row r="1844" spans="1:2" x14ac:dyDescent="0.25">
      <c r="A1844" t="s">
        <v>9351</v>
      </c>
      <c r="B1844" t="s">
        <v>9351</v>
      </c>
    </row>
    <row r="1845" spans="1:2" x14ac:dyDescent="0.25">
      <c r="A1845" t="s">
        <v>9354</v>
      </c>
      <c r="B1845" t="s">
        <v>9354</v>
      </c>
    </row>
    <row r="1846" spans="1:2" x14ac:dyDescent="0.25">
      <c r="A1846" t="s">
        <v>9357</v>
      </c>
      <c r="B1846" t="s">
        <v>9357</v>
      </c>
    </row>
    <row r="1847" spans="1:2" x14ac:dyDescent="0.25">
      <c r="A1847" t="s">
        <v>9348</v>
      </c>
      <c r="B1847" t="s">
        <v>29461</v>
      </c>
    </row>
    <row r="1848" spans="1:2" x14ac:dyDescent="0.25">
      <c r="A1848" t="s">
        <v>4747</v>
      </c>
      <c r="B1848" t="s">
        <v>24212</v>
      </c>
    </row>
    <row r="1849" spans="1:2" x14ac:dyDescent="0.25">
      <c r="A1849" t="s">
        <v>9360</v>
      </c>
      <c r="B1849" t="s">
        <v>9360</v>
      </c>
    </row>
    <row r="1850" spans="1:2" x14ac:dyDescent="0.25">
      <c r="A1850" t="s">
        <v>9384</v>
      </c>
      <c r="B1850" t="s">
        <v>9384</v>
      </c>
    </row>
    <row r="1851" spans="1:2" x14ac:dyDescent="0.25">
      <c r="A1851" t="s">
        <v>9378</v>
      </c>
      <c r="B1851" t="s">
        <v>29502</v>
      </c>
    </row>
    <row r="1852" spans="1:2" x14ac:dyDescent="0.25">
      <c r="A1852" t="s">
        <v>9372</v>
      </c>
      <c r="B1852" t="s">
        <v>29492</v>
      </c>
    </row>
    <row r="1853" spans="1:2" x14ac:dyDescent="0.25">
      <c r="A1853" t="s">
        <v>9375</v>
      </c>
      <c r="B1853" t="s">
        <v>29497</v>
      </c>
    </row>
    <row r="1854" spans="1:2" x14ac:dyDescent="0.25">
      <c r="A1854" t="s">
        <v>9369</v>
      </c>
      <c r="B1854" t="s">
        <v>29487</v>
      </c>
    </row>
    <row r="1855" spans="1:2" x14ac:dyDescent="0.25">
      <c r="A1855" t="s">
        <v>9381</v>
      </c>
      <c r="B1855" t="s">
        <v>9381</v>
      </c>
    </row>
    <row r="1856" spans="1:2" x14ac:dyDescent="0.25">
      <c r="A1856" t="s">
        <v>9366</v>
      </c>
      <c r="B1856" t="s">
        <v>9366</v>
      </c>
    </row>
    <row r="1857" spans="1:2" x14ac:dyDescent="0.25">
      <c r="A1857" t="s">
        <v>9363</v>
      </c>
      <c r="B1857" t="s">
        <v>9363</v>
      </c>
    </row>
    <row r="1858" spans="1:2" x14ac:dyDescent="0.25">
      <c r="A1858" t="s">
        <v>4749</v>
      </c>
      <c r="B1858" t="s">
        <v>24213</v>
      </c>
    </row>
    <row r="1859" spans="1:2" x14ac:dyDescent="0.25">
      <c r="A1859" t="s">
        <v>9390</v>
      </c>
      <c r="B1859" t="s">
        <v>29519</v>
      </c>
    </row>
    <row r="1860" spans="1:2" x14ac:dyDescent="0.25">
      <c r="A1860" t="s">
        <v>9387</v>
      </c>
      <c r="B1860" t="s">
        <v>29514</v>
      </c>
    </row>
    <row r="1861" spans="1:2" x14ac:dyDescent="0.25">
      <c r="A1861" t="s">
        <v>9396</v>
      </c>
      <c r="B1861" t="s">
        <v>29529</v>
      </c>
    </row>
    <row r="1862" spans="1:2" x14ac:dyDescent="0.25">
      <c r="A1862" t="s">
        <v>9393</v>
      </c>
      <c r="B1862" t="s">
        <v>29524</v>
      </c>
    </row>
    <row r="1863" spans="1:2" x14ac:dyDescent="0.25">
      <c r="A1863" t="s">
        <v>4757</v>
      </c>
      <c r="B1863" t="s">
        <v>24224</v>
      </c>
    </row>
    <row r="1864" spans="1:2" x14ac:dyDescent="0.25">
      <c r="A1864" t="s">
        <v>9405</v>
      </c>
      <c r="B1864" t="s">
        <v>29541</v>
      </c>
    </row>
    <row r="1865" spans="1:2" x14ac:dyDescent="0.25">
      <c r="A1865" t="s">
        <v>9399</v>
      </c>
      <c r="B1865" t="s">
        <v>9399</v>
      </c>
    </row>
    <row r="1866" spans="1:2" x14ac:dyDescent="0.25">
      <c r="A1866" t="s">
        <v>9402</v>
      </c>
      <c r="B1866" t="s">
        <v>9402</v>
      </c>
    </row>
    <row r="1867" spans="1:2" x14ac:dyDescent="0.25">
      <c r="A1867" t="s">
        <v>9340</v>
      </c>
      <c r="B1867" t="s">
        <v>9340</v>
      </c>
    </row>
    <row r="1868" spans="1:2" x14ac:dyDescent="0.25">
      <c r="A1868" t="s">
        <v>9334</v>
      </c>
      <c r="B1868" t="s">
        <v>29446</v>
      </c>
    </row>
    <row r="1869" spans="1:2" x14ac:dyDescent="0.25">
      <c r="A1869" t="s">
        <v>7855</v>
      </c>
      <c r="B1869" t="s">
        <v>27580</v>
      </c>
    </row>
    <row r="1870" spans="1:2" x14ac:dyDescent="0.25">
      <c r="A1870" t="s">
        <v>7857</v>
      </c>
      <c r="B1870" t="s">
        <v>27581</v>
      </c>
    </row>
    <row r="1871" spans="1:2" x14ac:dyDescent="0.25">
      <c r="A1871" t="s">
        <v>9411</v>
      </c>
      <c r="B1871" t="s">
        <v>9411</v>
      </c>
    </row>
    <row r="1872" spans="1:2" x14ac:dyDescent="0.25">
      <c r="A1872" t="s">
        <v>9408</v>
      </c>
      <c r="B1872" t="s">
        <v>29546</v>
      </c>
    </row>
    <row r="1873" spans="1:2" x14ac:dyDescent="0.25">
      <c r="A1873" t="s">
        <v>9414</v>
      </c>
      <c r="B1873" t="s">
        <v>29555</v>
      </c>
    </row>
    <row r="1874" spans="1:2" x14ac:dyDescent="0.25">
      <c r="A1874" t="s">
        <v>9420</v>
      </c>
      <c r="B1874" t="s">
        <v>29564</v>
      </c>
    </row>
    <row r="1875" spans="1:2" x14ac:dyDescent="0.25">
      <c r="A1875" t="s">
        <v>9423</v>
      </c>
      <c r="B1875" t="s">
        <v>9423</v>
      </c>
    </row>
    <row r="1876" spans="1:2" x14ac:dyDescent="0.25">
      <c r="A1876" t="s">
        <v>9417</v>
      </c>
      <c r="B1876" t="s">
        <v>9417</v>
      </c>
    </row>
    <row r="1877" spans="1:2" x14ac:dyDescent="0.25">
      <c r="A1877" t="s">
        <v>9426</v>
      </c>
      <c r="B1877" t="s">
        <v>29573</v>
      </c>
    </row>
    <row r="1878" spans="1:2" x14ac:dyDescent="0.25">
      <c r="A1878" t="s">
        <v>10005</v>
      </c>
      <c r="B1878" t="s">
        <v>30403</v>
      </c>
    </row>
    <row r="1879" spans="1:2" x14ac:dyDescent="0.25">
      <c r="A1879" t="s">
        <v>3544</v>
      </c>
      <c r="B1879" t="s">
        <v>22623</v>
      </c>
    </row>
    <row r="1880" spans="1:2" x14ac:dyDescent="0.25">
      <c r="A1880" t="s">
        <v>3550</v>
      </c>
      <c r="B1880" t="s">
        <v>22631</v>
      </c>
    </row>
    <row r="1881" spans="1:2" x14ac:dyDescent="0.25">
      <c r="A1881" t="s">
        <v>3547</v>
      </c>
      <c r="B1881" t="s">
        <v>3547</v>
      </c>
    </row>
    <row r="1882" spans="1:2" x14ac:dyDescent="0.25">
      <c r="A1882" t="s">
        <v>3541</v>
      </c>
      <c r="B1882" t="s">
        <v>3541</v>
      </c>
    </row>
    <row r="1883" spans="1:2" x14ac:dyDescent="0.25">
      <c r="A1883" t="s">
        <v>3553</v>
      </c>
      <c r="B1883" t="s">
        <v>22635</v>
      </c>
    </row>
    <row r="1884" spans="1:2" x14ac:dyDescent="0.25">
      <c r="A1884" t="s">
        <v>9438</v>
      </c>
      <c r="B1884" t="s">
        <v>29591</v>
      </c>
    </row>
    <row r="1885" spans="1:2" x14ac:dyDescent="0.25">
      <c r="A1885" t="s">
        <v>9429</v>
      </c>
      <c r="B1885" t="s">
        <v>9429</v>
      </c>
    </row>
    <row r="1886" spans="1:2" x14ac:dyDescent="0.25">
      <c r="A1886" t="s">
        <v>9447</v>
      </c>
      <c r="B1886" t="s">
        <v>29604</v>
      </c>
    </row>
    <row r="1887" spans="1:2" x14ac:dyDescent="0.25">
      <c r="A1887" t="s">
        <v>9453</v>
      </c>
      <c r="B1887" t="s">
        <v>9453</v>
      </c>
    </row>
    <row r="1888" spans="1:2" x14ac:dyDescent="0.25">
      <c r="A1888" t="s">
        <v>9459</v>
      </c>
      <c r="B1888" t="s">
        <v>29622</v>
      </c>
    </row>
    <row r="1889" spans="1:2" x14ac:dyDescent="0.25">
      <c r="A1889" t="s">
        <v>9456</v>
      </c>
      <c r="B1889" t="s">
        <v>29617</v>
      </c>
    </row>
    <row r="1890" spans="1:2" x14ac:dyDescent="0.25">
      <c r="A1890" t="s">
        <v>9462</v>
      </c>
      <c r="B1890" t="s">
        <v>29627</v>
      </c>
    </row>
    <row r="1891" spans="1:2" x14ac:dyDescent="0.25">
      <c r="A1891" t="s">
        <v>9465</v>
      </c>
      <c r="B1891" t="s">
        <v>9465</v>
      </c>
    </row>
    <row r="1892" spans="1:2" x14ac:dyDescent="0.25">
      <c r="A1892" t="s">
        <v>9471</v>
      </c>
      <c r="B1892" t="s">
        <v>9471</v>
      </c>
    </row>
    <row r="1893" spans="1:2" x14ac:dyDescent="0.25">
      <c r="A1893" t="s">
        <v>9477</v>
      </c>
      <c r="B1893" t="s">
        <v>9477</v>
      </c>
    </row>
    <row r="1894" spans="1:2" x14ac:dyDescent="0.25">
      <c r="A1894" t="s">
        <v>9441</v>
      </c>
      <c r="B1894" t="s">
        <v>9441</v>
      </c>
    </row>
    <row r="1895" spans="1:2" x14ac:dyDescent="0.25">
      <c r="A1895" t="s">
        <v>9435</v>
      </c>
      <c r="B1895" t="s">
        <v>29586</v>
      </c>
    </row>
    <row r="1896" spans="1:2" x14ac:dyDescent="0.25">
      <c r="A1896" t="s">
        <v>9468</v>
      </c>
      <c r="B1896" t="s">
        <v>29636</v>
      </c>
    </row>
    <row r="1897" spans="1:2" x14ac:dyDescent="0.25">
      <c r="A1897" t="s">
        <v>9480</v>
      </c>
      <c r="B1897" t="s">
        <v>9480</v>
      </c>
    </row>
    <row r="1898" spans="1:2" x14ac:dyDescent="0.25">
      <c r="A1898" t="s">
        <v>9483</v>
      </c>
      <c r="B1898" t="s">
        <v>29656</v>
      </c>
    </row>
    <row r="1899" spans="1:2" x14ac:dyDescent="0.25">
      <c r="A1899" t="s">
        <v>3556</v>
      </c>
      <c r="B1899" t="s">
        <v>22640</v>
      </c>
    </row>
    <row r="1900" spans="1:2" x14ac:dyDescent="0.25">
      <c r="A1900" t="s">
        <v>4759</v>
      </c>
      <c r="B1900" t="s">
        <v>24225</v>
      </c>
    </row>
    <row r="1901" spans="1:2" x14ac:dyDescent="0.25">
      <c r="A1901" t="s">
        <v>3559</v>
      </c>
      <c r="B1901" t="s">
        <v>3559</v>
      </c>
    </row>
    <row r="1902" spans="1:2" x14ac:dyDescent="0.25">
      <c r="A1902" t="s">
        <v>3586</v>
      </c>
      <c r="B1902" t="s">
        <v>22682</v>
      </c>
    </row>
    <row r="1903" spans="1:2" x14ac:dyDescent="0.25">
      <c r="A1903" t="s">
        <v>3565</v>
      </c>
      <c r="B1903" t="s">
        <v>22653</v>
      </c>
    </row>
    <row r="1904" spans="1:2" x14ac:dyDescent="0.25">
      <c r="A1904" t="s">
        <v>3562</v>
      </c>
      <c r="B1904" t="s">
        <v>22648</v>
      </c>
    </row>
    <row r="1905" spans="1:2" x14ac:dyDescent="0.25">
      <c r="A1905" t="s">
        <v>3568</v>
      </c>
      <c r="B1905" t="s">
        <v>22658</v>
      </c>
    </row>
    <row r="1906" spans="1:2" x14ac:dyDescent="0.25">
      <c r="A1906" t="s">
        <v>3601</v>
      </c>
      <c r="B1906" t="s">
        <v>22702</v>
      </c>
    </row>
    <row r="1907" spans="1:2" x14ac:dyDescent="0.25">
      <c r="A1907" t="s">
        <v>3598</v>
      </c>
      <c r="B1907" t="s">
        <v>22698</v>
      </c>
    </row>
    <row r="1908" spans="1:2" x14ac:dyDescent="0.25">
      <c r="A1908" t="s">
        <v>3571</v>
      </c>
      <c r="B1908" t="s">
        <v>3571</v>
      </c>
    </row>
    <row r="1909" spans="1:2" x14ac:dyDescent="0.25">
      <c r="A1909" t="s">
        <v>3574</v>
      </c>
      <c r="B1909" t="s">
        <v>22667</v>
      </c>
    </row>
    <row r="1910" spans="1:2" x14ac:dyDescent="0.25">
      <c r="A1910" t="s">
        <v>3604</v>
      </c>
      <c r="B1910" t="s">
        <v>3604</v>
      </c>
    </row>
    <row r="1911" spans="1:2" x14ac:dyDescent="0.25">
      <c r="A1911" t="s">
        <v>3577</v>
      </c>
      <c r="B1911" t="s">
        <v>22670</v>
      </c>
    </row>
    <row r="1912" spans="1:2" x14ac:dyDescent="0.25">
      <c r="A1912" t="s">
        <v>3580</v>
      </c>
      <c r="B1912" t="s">
        <v>22673</v>
      </c>
    </row>
    <row r="1913" spans="1:2" x14ac:dyDescent="0.25">
      <c r="A1913" t="s">
        <v>4730</v>
      </c>
      <c r="B1913" t="s">
        <v>24193</v>
      </c>
    </row>
    <row r="1914" spans="1:2" x14ac:dyDescent="0.25">
      <c r="A1914" t="s">
        <v>3607</v>
      </c>
      <c r="B1914" t="s">
        <v>22709</v>
      </c>
    </row>
    <row r="1915" spans="1:2" x14ac:dyDescent="0.25">
      <c r="A1915" t="s">
        <v>3589</v>
      </c>
      <c r="B1915" t="s">
        <v>22687</v>
      </c>
    </row>
    <row r="1916" spans="1:2" x14ac:dyDescent="0.25">
      <c r="A1916" t="s">
        <v>4754</v>
      </c>
      <c r="B1916" t="s">
        <v>24219</v>
      </c>
    </row>
    <row r="1917" spans="1:2" x14ac:dyDescent="0.25">
      <c r="A1917" t="s">
        <v>3616</v>
      </c>
      <c r="B1917" t="s">
        <v>22721</v>
      </c>
    </row>
    <row r="1918" spans="1:2" x14ac:dyDescent="0.25">
      <c r="A1918" t="s">
        <v>3610</v>
      </c>
      <c r="B1918" t="s">
        <v>22713</v>
      </c>
    </row>
    <row r="1919" spans="1:2" x14ac:dyDescent="0.25">
      <c r="A1919" t="s">
        <v>4738</v>
      </c>
      <c r="B1919" t="s">
        <v>24204</v>
      </c>
    </row>
    <row r="1920" spans="1:2" x14ac:dyDescent="0.25">
      <c r="A1920" t="s">
        <v>4735</v>
      </c>
      <c r="B1920" t="s">
        <v>24199</v>
      </c>
    </row>
    <row r="1921" spans="1:2" x14ac:dyDescent="0.25">
      <c r="A1921" t="s">
        <v>3619</v>
      </c>
      <c r="B1921" t="s">
        <v>22726</v>
      </c>
    </row>
    <row r="1922" spans="1:2" x14ac:dyDescent="0.25">
      <c r="A1922" t="s">
        <v>3622</v>
      </c>
      <c r="B1922" t="s">
        <v>22731</v>
      </c>
    </row>
    <row r="1923" spans="1:2" x14ac:dyDescent="0.25">
      <c r="A1923" t="s">
        <v>3613</v>
      </c>
      <c r="B1923" t="s">
        <v>22717</v>
      </c>
    </row>
    <row r="1924" spans="1:2" x14ac:dyDescent="0.25">
      <c r="A1924" t="s">
        <v>3625</v>
      </c>
      <c r="B1924" t="s">
        <v>22736</v>
      </c>
    </row>
    <row r="1925" spans="1:2" x14ac:dyDescent="0.25">
      <c r="A1925" t="s">
        <v>3583</v>
      </c>
      <c r="B1925" t="s">
        <v>22678</v>
      </c>
    </row>
    <row r="1926" spans="1:2" x14ac:dyDescent="0.25">
      <c r="A1926" t="s">
        <v>3592</v>
      </c>
      <c r="B1926" t="s">
        <v>22692</v>
      </c>
    </row>
    <row r="1927" spans="1:2" x14ac:dyDescent="0.25">
      <c r="A1927" t="s">
        <v>3628</v>
      </c>
      <c r="B1927" t="s">
        <v>22741</v>
      </c>
    </row>
    <row r="1928" spans="1:2" x14ac:dyDescent="0.25">
      <c r="A1928" t="s">
        <v>3634</v>
      </c>
      <c r="B1928" t="s">
        <v>22750</v>
      </c>
    </row>
    <row r="1929" spans="1:2" x14ac:dyDescent="0.25">
      <c r="A1929" t="s">
        <v>3631</v>
      </c>
      <c r="B1929" t="s">
        <v>22745</v>
      </c>
    </row>
    <row r="1930" spans="1:2" x14ac:dyDescent="0.25">
      <c r="A1930" t="s">
        <v>4751</v>
      </c>
      <c r="B1930" t="s">
        <v>24214</v>
      </c>
    </row>
    <row r="1931" spans="1:2" x14ac:dyDescent="0.25">
      <c r="A1931" t="s">
        <v>3595</v>
      </c>
      <c r="B1931" t="s">
        <v>22697</v>
      </c>
    </row>
    <row r="1932" spans="1:2" x14ac:dyDescent="0.25">
      <c r="A1932" t="s">
        <v>9432</v>
      </c>
      <c r="B1932" t="s">
        <v>29582</v>
      </c>
    </row>
    <row r="1933" spans="1:2" x14ac:dyDescent="0.25">
      <c r="A1933" t="s">
        <v>9450</v>
      </c>
      <c r="B1933" t="s">
        <v>9450</v>
      </c>
    </row>
    <row r="1934" spans="1:2" x14ac:dyDescent="0.25">
      <c r="A1934" t="s">
        <v>9474</v>
      </c>
      <c r="B1934" t="s">
        <v>9474</v>
      </c>
    </row>
    <row r="1935" spans="1:2" x14ac:dyDescent="0.25">
      <c r="A1935" t="s">
        <v>9486</v>
      </c>
      <c r="B1935" t="s">
        <v>29661</v>
      </c>
    </row>
    <row r="1936" spans="1:2" x14ac:dyDescent="0.25">
      <c r="A1936" t="s">
        <v>9337</v>
      </c>
      <c r="B1936" t="s">
        <v>29447</v>
      </c>
    </row>
    <row r="1937" spans="1:2" x14ac:dyDescent="0.25">
      <c r="A1937" t="s">
        <v>9444</v>
      </c>
      <c r="B1937" t="s">
        <v>9444</v>
      </c>
    </row>
    <row r="1938" spans="1:2" x14ac:dyDescent="0.25">
      <c r="A1938" t="s">
        <v>9489</v>
      </c>
      <c r="B1938" t="s">
        <v>9489</v>
      </c>
    </row>
    <row r="1939" spans="1:2" x14ac:dyDescent="0.25">
      <c r="A1939" t="s">
        <v>4764</v>
      </c>
      <c r="B1939" t="s">
        <v>4764</v>
      </c>
    </row>
    <row r="1940" spans="1:2" x14ac:dyDescent="0.25">
      <c r="A1940" t="s">
        <v>4789</v>
      </c>
      <c r="B1940" t="s">
        <v>4789</v>
      </c>
    </row>
    <row r="1941" spans="1:2" x14ac:dyDescent="0.25">
      <c r="A1941" t="s">
        <v>4792</v>
      </c>
      <c r="B1941" t="s">
        <v>4792</v>
      </c>
    </row>
    <row r="1942" spans="1:2" x14ac:dyDescent="0.25">
      <c r="A1942" t="s">
        <v>4795</v>
      </c>
      <c r="B1942" t="s">
        <v>4795</v>
      </c>
    </row>
    <row r="1943" spans="1:2" x14ac:dyDescent="0.25">
      <c r="A1943" t="s">
        <v>2849</v>
      </c>
      <c r="B1943" t="s">
        <v>21843</v>
      </c>
    </row>
    <row r="1944" spans="1:2" x14ac:dyDescent="0.25">
      <c r="A1944" t="s">
        <v>4766</v>
      </c>
      <c r="B1944" t="s">
        <v>24230</v>
      </c>
    </row>
    <row r="1945" spans="1:2" x14ac:dyDescent="0.25">
      <c r="A1945" t="s">
        <v>2843</v>
      </c>
      <c r="B1945" t="s">
        <v>21840</v>
      </c>
    </row>
    <row r="1946" spans="1:2" x14ac:dyDescent="0.25">
      <c r="A1946" t="s">
        <v>4768</v>
      </c>
      <c r="B1946" t="s">
        <v>24231</v>
      </c>
    </row>
    <row r="1947" spans="1:2" x14ac:dyDescent="0.25">
      <c r="A1947" t="s">
        <v>4725</v>
      </c>
      <c r="B1947" t="s">
        <v>24191</v>
      </c>
    </row>
    <row r="1948" spans="1:2" x14ac:dyDescent="0.25">
      <c r="A1948" t="s">
        <v>4772</v>
      </c>
      <c r="B1948" t="s">
        <v>24233</v>
      </c>
    </row>
    <row r="1949" spans="1:2" x14ac:dyDescent="0.25">
      <c r="A1949" t="s">
        <v>4770</v>
      </c>
      <c r="B1949" t="s">
        <v>24232</v>
      </c>
    </row>
    <row r="1950" spans="1:2" x14ac:dyDescent="0.25">
      <c r="A1950" t="s">
        <v>4774</v>
      </c>
      <c r="B1950" t="s">
        <v>24234</v>
      </c>
    </row>
    <row r="1951" spans="1:2" x14ac:dyDescent="0.25">
      <c r="A1951" t="s">
        <v>4776</v>
      </c>
      <c r="B1951" t="s">
        <v>24235</v>
      </c>
    </row>
    <row r="1952" spans="1:2" x14ac:dyDescent="0.25">
      <c r="A1952" t="s">
        <v>4778</v>
      </c>
      <c r="B1952" t="s">
        <v>24236</v>
      </c>
    </row>
    <row r="1953" spans="1:2" x14ac:dyDescent="0.25">
      <c r="A1953" t="s">
        <v>4804</v>
      </c>
      <c r="B1953" t="s">
        <v>4804</v>
      </c>
    </row>
    <row r="1954" spans="1:2" x14ac:dyDescent="0.25">
      <c r="A1954" t="s">
        <v>9495</v>
      </c>
      <c r="B1954" t="s">
        <v>9495</v>
      </c>
    </row>
    <row r="1955" spans="1:2" x14ac:dyDescent="0.25">
      <c r="A1955" t="s">
        <v>9498</v>
      </c>
      <c r="B1955" t="s">
        <v>9498</v>
      </c>
    </row>
    <row r="1956" spans="1:2" x14ac:dyDescent="0.25">
      <c r="A1956" t="s">
        <v>9501</v>
      </c>
      <c r="B1956" t="s">
        <v>9501</v>
      </c>
    </row>
    <row r="1957" spans="1:2" x14ac:dyDescent="0.25">
      <c r="A1957" t="s">
        <v>9546</v>
      </c>
      <c r="B1957" t="s">
        <v>29752</v>
      </c>
    </row>
    <row r="1958" spans="1:2" x14ac:dyDescent="0.25">
      <c r="A1958" t="s">
        <v>9564</v>
      </c>
      <c r="B1958" t="s">
        <v>29778</v>
      </c>
    </row>
    <row r="1959" spans="1:2" x14ac:dyDescent="0.25">
      <c r="A1959" t="s">
        <v>9522</v>
      </c>
      <c r="B1959" t="s">
        <v>29713</v>
      </c>
    </row>
    <row r="1960" spans="1:2" x14ac:dyDescent="0.25">
      <c r="A1960" t="s">
        <v>9525</v>
      </c>
      <c r="B1960" t="s">
        <v>29718</v>
      </c>
    </row>
    <row r="1961" spans="1:2" x14ac:dyDescent="0.25">
      <c r="A1961" t="s">
        <v>9519</v>
      </c>
      <c r="B1961" t="s">
        <v>29708</v>
      </c>
    </row>
    <row r="1962" spans="1:2" x14ac:dyDescent="0.25">
      <c r="A1962" t="s">
        <v>9567</v>
      </c>
      <c r="B1962" t="s">
        <v>29783</v>
      </c>
    </row>
    <row r="1963" spans="1:2" x14ac:dyDescent="0.25">
      <c r="A1963" t="s">
        <v>4982</v>
      </c>
      <c r="B1963" t="s">
        <v>24390</v>
      </c>
    </row>
    <row r="1964" spans="1:2" x14ac:dyDescent="0.25">
      <c r="A1964" t="s">
        <v>9528</v>
      </c>
      <c r="B1964" t="s">
        <v>9528</v>
      </c>
    </row>
    <row r="1965" spans="1:2" x14ac:dyDescent="0.25">
      <c r="A1965" t="s">
        <v>9630</v>
      </c>
      <c r="B1965" t="s">
        <v>9630</v>
      </c>
    </row>
    <row r="1966" spans="1:2" x14ac:dyDescent="0.25">
      <c r="A1966" t="s">
        <v>802</v>
      </c>
      <c r="B1966" t="s">
        <v>19114</v>
      </c>
    </row>
    <row r="1967" spans="1:2" x14ac:dyDescent="0.25">
      <c r="A1967" t="s">
        <v>9540</v>
      </c>
      <c r="B1967" t="s">
        <v>29742</v>
      </c>
    </row>
    <row r="1968" spans="1:2" x14ac:dyDescent="0.25">
      <c r="A1968" t="s">
        <v>9537</v>
      </c>
      <c r="B1968" t="s">
        <v>29737</v>
      </c>
    </row>
    <row r="1969" spans="1:2" x14ac:dyDescent="0.25">
      <c r="A1969" t="s">
        <v>9543</v>
      </c>
      <c r="B1969" t="s">
        <v>29747</v>
      </c>
    </row>
    <row r="1970" spans="1:2" x14ac:dyDescent="0.25">
      <c r="A1970" t="s">
        <v>9510</v>
      </c>
      <c r="B1970" t="s">
        <v>29694</v>
      </c>
    </row>
    <row r="1971" spans="1:2" x14ac:dyDescent="0.25">
      <c r="A1971" t="s">
        <v>9507</v>
      </c>
      <c r="B1971" t="s">
        <v>29689</v>
      </c>
    </row>
    <row r="1972" spans="1:2" x14ac:dyDescent="0.25">
      <c r="A1972" t="s">
        <v>9555</v>
      </c>
      <c r="B1972" t="s">
        <v>9555</v>
      </c>
    </row>
    <row r="1973" spans="1:2" x14ac:dyDescent="0.25">
      <c r="A1973" t="s">
        <v>9558</v>
      </c>
      <c r="B1973" t="s">
        <v>29769</v>
      </c>
    </row>
    <row r="1974" spans="1:2" x14ac:dyDescent="0.25">
      <c r="A1974" t="s">
        <v>9504</v>
      </c>
      <c r="B1974" t="s">
        <v>9504</v>
      </c>
    </row>
    <row r="1975" spans="1:2" x14ac:dyDescent="0.25">
      <c r="A1975" t="s">
        <v>9561</v>
      </c>
      <c r="B1975" t="s">
        <v>29774</v>
      </c>
    </row>
    <row r="1976" spans="1:2" x14ac:dyDescent="0.25">
      <c r="A1976" t="s">
        <v>9531</v>
      </c>
      <c r="B1976" t="s">
        <v>29727</v>
      </c>
    </row>
    <row r="1977" spans="1:2" x14ac:dyDescent="0.25">
      <c r="A1977" t="s">
        <v>9534</v>
      </c>
      <c r="B1977" t="s">
        <v>29732</v>
      </c>
    </row>
    <row r="1978" spans="1:2" x14ac:dyDescent="0.25">
      <c r="A1978" t="s">
        <v>9552</v>
      </c>
      <c r="B1978" t="s">
        <v>29761</v>
      </c>
    </row>
    <row r="1979" spans="1:2" x14ac:dyDescent="0.25">
      <c r="A1979" t="s">
        <v>9549</v>
      </c>
      <c r="B1979" t="s">
        <v>29756</v>
      </c>
    </row>
    <row r="1980" spans="1:2" x14ac:dyDescent="0.25">
      <c r="A1980" t="s">
        <v>4991</v>
      </c>
      <c r="B1980" t="s">
        <v>24402</v>
      </c>
    </row>
    <row r="1981" spans="1:2" x14ac:dyDescent="0.25">
      <c r="A1981" t="s">
        <v>4994</v>
      </c>
      <c r="B1981" t="s">
        <v>24406</v>
      </c>
    </row>
    <row r="1982" spans="1:2" x14ac:dyDescent="0.25">
      <c r="A1982" t="s">
        <v>9576</v>
      </c>
      <c r="B1982" t="s">
        <v>9576</v>
      </c>
    </row>
    <row r="1983" spans="1:2" x14ac:dyDescent="0.25">
      <c r="A1983" t="s">
        <v>9621</v>
      </c>
      <c r="B1983" t="s">
        <v>9621</v>
      </c>
    </row>
    <row r="1984" spans="1:2" x14ac:dyDescent="0.25">
      <c r="A1984" t="s">
        <v>9939</v>
      </c>
      <c r="B1984" t="s">
        <v>30304</v>
      </c>
    </row>
    <row r="1985" spans="1:2" x14ac:dyDescent="0.25">
      <c r="A1985" t="s">
        <v>9606</v>
      </c>
      <c r="B1985" t="s">
        <v>29840</v>
      </c>
    </row>
    <row r="1986" spans="1:2" x14ac:dyDescent="0.25">
      <c r="A1986" t="s">
        <v>9513</v>
      </c>
      <c r="B1986" t="s">
        <v>9513</v>
      </c>
    </row>
    <row r="1987" spans="1:2" x14ac:dyDescent="0.25">
      <c r="A1987" t="s">
        <v>9570</v>
      </c>
      <c r="B1987" t="s">
        <v>9570</v>
      </c>
    </row>
    <row r="1988" spans="1:2" x14ac:dyDescent="0.25">
      <c r="A1988" t="s">
        <v>9627</v>
      </c>
      <c r="B1988" t="s">
        <v>9627</v>
      </c>
    </row>
    <row r="1989" spans="1:2" x14ac:dyDescent="0.25">
      <c r="A1989" t="s">
        <v>9516</v>
      </c>
      <c r="B1989" t="s">
        <v>29703</v>
      </c>
    </row>
    <row r="1990" spans="1:2" x14ac:dyDescent="0.25">
      <c r="A1990" t="s">
        <v>9573</v>
      </c>
      <c r="B1990" t="s">
        <v>9573</v>
      </c>
    </row>
    <row r="1991" spans="1:2" x14ac:dyDescent="0.25">
      <c r="A1991" t="s">
        <v>9588</v>
      </c>
      <c r="B1991" t="s">
        <v>9588</v>
      </c>
    </row>
    <row r="1992" spans="1:2" x14ac:dyDescent="0.25">
      <c r="A1992" t="s">
        <v>9579</v>
      </c>
      <c r="B1992" t="s">
        <v>9579</v>
      </c>
    </row>
    <row r="1993" spans="1:2" x14ac:dyDescent="0.25">
      <c r="A1993" t="s">
        <v>9582</v>
      </c>
      <c r="B1993" t="s">
        <v>29804</v>
      </c>
    </row>
    <row r="1994" spans="1:2" x14ac:dyDescent="0.25">
      <c r="A1994" t="s">
        <v>9585</v>
      </c>
      <c r="B1994" t="s">
        <v>9585</v>
      </c>
    </row>
    <row r="1995" spans="1:2" x14ac:dyDescent="0.25">
      <c r="A1995" t="s">
        <v>9591</v>
      </c>
      <c r="B1995" t="s">
        <v>29817</v>
      </c>
    </row>
    <row r="1996" spans="1:2" x14ac:dyDescent="0.25">
      <c r="A1996" t="s">
        <v>9597</v>
      </c>
      <c r="B1996" t="s">
        <v>9597</v>
      </c>
    </row>
    <row r="1997" spans="1:2" x14ac:dyDescent="0.25">
      <c r="A1997" t="s">
        <v>9609</v>
      </c>
      <c r="B1997" t="s">
        <v>9609</v>
      </c>
    </row>
    <row r="1998" spans="1:2" x14ac:dyDescent="0.25">
      <c r="A1998" t="s">
        <v>9615</v>
      </c>
      <c r="B1998" t="s">
        <v>9615</v>
      </c>
    </row>
    <row r="1999" spans="1:2" x14ac:dyDescent="0.25">
      <c r="A1999" t="s">
        <v>9618</v>
      </c>
      <c r="B1999" t="s">
        <v>29858</v>
      </c>
    </row>
    <row r="2000" spans="1:2" x14ac:dyDescent="0.25">
      <c r="A2000" t="s">
        <v>9612</v>
      </c>
      <c r="B2000" t="s">
        <v>29849</v>
      </c>
    </row>
    <row r="2001" spans="1:2" x14ac:dyDescent="0.25">
      <c r="A2001" t="s">
        <v>9603</v>
      </c>
      <c r="B2001" t="s">
        <v>29835</v>
      </c>
    </row>
    <row r="2002" spans="1:2" x14ac:dyDescent="0.25">
      <c r="A2002" t="s">
        <v>9600</v>
      </c>
      <c r="B2002" t="s">
        <v>29830</v>
      </c>
    </row>
    <row r="2003" spans="1:2" x14ac:dyDescent="0.25">
      <c r="A2003" t="s">
        <v>9594</v>
      </c>
      <c r="B2003" t="s">
        <v>9594</v>
      </c>
    </row>
    <row r="2004" spans="1:2" x14ac:dyDescent="0.25">
      <c r="A2004" t="s">
        <v>9624</v>
      </c>
      <c r="B2004" t="s">
        <v>29866</v>
      </c>
    </row>
    <row r="2005" spans="1:2" x14ac:dyDescent="0.25">
      <c r="A2005" t="s">
        <v>5007</v>
      </c>
      <c r="B2005" t="s">
        <v>24424</v>
      </c>
    </row>
    <row r="2006" spans="1:2" x14ac:dyDescent="0.25">
      <c r="A2006" t="s">
        <v>5004</v>
      </c>
      <c r="B2006" t="s">
        <v>24420</v>
      </c>
    </row>
    <row r="2007" spans="1:2" x14ac:dyDescent="0.25">
      <c r="A2007" t="s">
        <v>5010</v>
      </c>
      <c r="B2007" t="s">
        <v>24428</v>
      </c>
    </row>
    <row r="2008" spans="1:2" x14ac:dyDescent="0.25">
      <c r="A2008" t="s">
        <v>5001</v>
      </c>
      <c r="B2008" t="s">
        <v>24415</v>
      </c>
    </row>
    <row r="2009" spans="1:2" x14ac:dyDescent="0.25">
      <c r="A2009" t="s">
        <v>4806</v>
      </c>
      <c r="B2009" t="s">
        <v>24268</v>
      </c>
    </row>
    <row r="2010" spans="1:2" x14ac:dyDescent="0.25">
      <c r="A2010" t="s">
        <v>4808</v>
      </c>
      <c r="B2010" t="s">
        <v>24273</v>
      </c>
    </row>
    <row r="2011" spans="1:2" x14ac:dyDescent="0.25">
      <c r="A2011" t="s">
        <v>9633</v>
      </c>
      <c r="B2011" t="s">
        <v>9633</v>
      </c>
    </row>
    <row r="2012" spans="1:2" x14ac:dyDescent="0.25">
      <c r="A2012" t="s">
        <v>9636</v>
      </c>
      <c r="B2012" t="s">
        <v>29881</v>
      </c>
    </row>
    <row r="2013" spans="1:2" x14ac:dyDescent="0.25">
      <c r="A2013" t="s">
        <v>9639</v>
      </c>
      <c r="B2013" t="s">
        <v>9639</v>
      </c>
    </row>
    <row r="2014" spans="1:2" x14ac:dyDescent="0.25">
      <c r="A2014" t="s">
        <v>4810</v>
      </c>
      <c r="B2014" t="s">
        <v>24278</v>
      </c>
    </row>
    <row r="2015" spans="1:2" x14ac:dyDescent="0.25">
      <c r="A2015" t="s">
        <v>4812</v>
      </c>
      <c r="B2015" t="s">
        <v>24279</v>
      </c>
    </row>
    <row r="2016" spans="1:2" x14ac:dyDescent="0.25">
      <c r="A2016" t="s">
        <v>9645</v>
      </c>
      <c r="B2016" t="s">
        <v>9645</v>
      </c>
    </row>
    <row r="2017" spans="1:2" x14ac:dyDescent="0.25">
      <c r="A2017" t="s">
        <v>9642</v>
      </c>
      <c r="B2017" t="s">
        <v>9642</v>
      </c>
    </row>
    <row r="2018" spans="1:2" x14ac:dyDescent="0.25">
      <c r="A2018" t="s">
        <v>9648</v>
      </c>
      <c r="B2018" t="s">
        <v>29898</v>
      </c>
    </row>
    <row r="2019" spans="1:2" x14ac:dyDescent="0.25">
      <c r="A2019" t="s">
        <v>4814</v>
      </c>
      <c r="B2019" t="s">
        <v>4814</v>
      </c>
    </row>
    <row r="2020" spans="1:2" x14ac:dyDescent="0.25">
      <c r="A2020" t="s">
        <v>9651</v>
      </c>
      <c r="B2020" t="s">
        <v>9651</v>
      </c>
    </row>
    <row r="2021" spans="1:2" x14ac:dyDescent="0.25">
      <c r="A2021" t="s">
        <v>9654</v>
      </c>
      <c r="B2021" t="s">
        <v>9654</v>
      </c>
    </row>
    <row r="2022" spans="1:2" x14ac:dyDescent="0.25">
      <c r="A2022" t="s">
        <v>9657</v>
      </c>
      <c r="B2022" t="s">
        <v>9657</v>
      </c>
    </row>
    <row r="2023" spans="1:2" x14ac:dyDescent="0.25">
      <c r="A2023" t="s">
        <v>4816</v>
      </c>
      <c r="B2023" t="s">
        <v>4816</v>
      </c>
    </row>
    <row r="2024" spans="1:2" x14ac:dyDescent="0.25">
      <c r="A2024" t="s">
        <v>9660</v>
      </c>
      <c r="B2024" t="s">
        <v>9660</v>
      </c>
    </row>
    <row r="2025" spans="1:2" x14ac:dyDescent="0.25">
      <c r="A2025" t="s">
        <v>9663</v>
      </c>
      <c r="B2025" t="s">
        <v>9663</v>
      </c>
    </row>
    <row r="2026" spans="1:2" x14ac:dyDescent="0.25">
      <c r="A2026" t="s">
        <v>9798</v>
      </c>
      <c r="B2026" t="s">
        <v>9798</v>
      </c>
    </row>
    <row r="2027" spans="1:2" x14ac:dyDescent="0.25">
      <c r="A2027" t="s">
        <v>9666</v>
      </c>
      <c r="B2027" t="s">
        <v>9666</v>
      </c>
    </row>
    <row r="2028" spans="1:2" x14ac:dyDescent="0.25">
      <c r="A2028" t="s">
        <v>9681</v>
      </c>
      <c r="B2028" t="s">
        <v>9681</v>
      </c>
    </row>
    <row r="2029" spans="1:2" x14ac:dyDescent="0.25">
      <c r="A2029" t="s">
        <v>9693</v>
      </c>
      <c r="B2029" t="s">
        <v>9693</v>
      </c>
    </row>
    <row r="2030" spans="1:2" x14ac:dyDescent="0.25">
      <c r="A2030" t="s">
        <v>9687</v>
      </c>
      <c r="B2030" t="s">
        <v>9687</v>
      </c>
    </row>
    <row r="2031" spans="1:2" x14ac:dyDescent="0.25">
      <c r="A2031" t="s">
        <v>9696</v>
      </c>
      <c r="B2031" t="s">
        <v>9696</v>
      </c>
    </row>
    <row r="2032" spans="1:2" x14ac:dyDescent="0.25">
      <c r="A2032" t="s">
        <v>9690</v>
      </c>
      <c r="B2032" t="s">
        <v>9690</v>
      </c>
    </row>
    <row r="2033" spans="1:2" x14ac:dyDescent="0.25">
      <c r="A2033" t="s">
        <v>9702</v>
      </c>
      <c r="B2033" t="s">
        <v>9702</v>
      </c>
    </row>
    <row r="2034" spans="1:2" x14ac:dyDescent="0.25">
      <c r="A2034" t="s">
        <v>9699</v>
      </c>
      <c r="B2034" t="s">
        <v>29966</v>
      </c>
    </row>
    <row r="2035" spans="1:2" x14ac:dyDescent="0.25">
      <c r="A2035" t="s">
        <v>9708</v>
      </c>
      <c r="B2035" t="s">
        <v>9708</v>
      </c>
    </row>
    <row r="2036" spans="1:2" x14ac:dyDescent="0.25">
      <c r="A2036" t="s">
        <v>9705</v>
      </c>
      <c r="B2036" t="s">
        <v>9705</v>
      </c>
    </row>
    <row r="2037" spans="1:2" x14ac:dyDescent="0.25">
      <c r="A2037" t="s">
        <v>9711</v>
      </c>
      <c r="B2037" t="s">
        <v>9711</v>
      </c>
    </row>
    <row r="2038" spans="1:2" x14ac:dyDescent="0.25">
      <c r="A2038" t="s">
        <v>9672</v>
      </c>
      <c r="B2038" t="s">
        <v>9672</v>
      </c>
    </row>
    <row r="2039" spans="1:2" x14ac:dyDescent="0.25">
      <c r="A2039" t="s">
        <v>9714</v>
      </c>
      <c r="B2039" t="s">
        <v>29987</v>
      </c>
    </row>
    <row r="2040" spans="1:2" x14ac:dyDescent="0.25">
      <c r="A2040" t="s">
        <v>9720</v>
      </c>
      <c r="B2040" t="s">
        <v>9720</v>
      </c>
    </row>
    <row r="2041" spans="1:2" x14ac:dyDescent="0.25">
      <c r="A2041" t="s">
        <v>9723</v>
      </c>
      <c r="B2041" t="s">
        <v>30000</v>
      </c>
    </row>
    <row r="2042" spans="1:2" x14ac:dyDescent="0.25">
      <c r="A2042" t="s">
        <v>9717</v>
      </c>
      <c r="B2042" t="s">
        <v>9717</v>
      </c>
    </row>
    <row r="2043" spans="1:2" x14ac:dyDescent="0.25">
      <c r="A2043" t="s">
        <v>9726</v>
      </c>
      <c r="B2043" t="s">
        <v>30005</v>
      </c>
    </row>
    <row r="2044" spans="1:2" x14ac:dyDescent="0.25">
      <c r="A2044" t="s">
        <v>9729</v>
      </c>
      <c r="B2044" t="s">
        <v>9729</v>
      </c>
    </row>
    <row r="2045" spans="1:2" x14ac:dyDescent="0.25">
      <c r="A2045" t="s">
        <v>9732</v>
      </c>
      <c r="B2045" t="s">
        <v>9732</v>
      </c>
    </row>
    <row r="2046" spans="1:2" x14ac:dyDescent="0.25">
      <c r="A2046" t="s">
        <v>9738</v>
      </c>
      <c r="B2046" t="s">
        <v>30022</v>
      </c>
    </row>
    <row r="2047" spans="1:2" x14ac:dyDescent="0.25">
      <c r="A2047" t="s">
        <v>9735</v>
      </c>
      <c r="B2047" t="s">
        <v>9735</v>
      </c>
    </row>
    <row r="2048" spans="1:2" x14ac:dyDescent="0.25">
      <c r="A2048" t="s">
        <v>9744</v>
      </c>
      <c r="B2048" t="s">
        <v>9744</v>
      </c>
    </row>
    <row r="2049" spans="1:2" x14ac:dyDescent="0.25">
      <c r="A2049" t="s">
        <v>9741</v>
      </c>
      <c r="B2049" t="s">
        <v>30027</v>
      </c>
    </row>
    <row r="2050" spans="1:2" x14ac:dyDescent="0.25">
      <c r="A2050" t="s">
        <v>9750</v>
      </c>
      <c r="B2050" t="s">
        <v>9750</v>
      </c>
    </row>
    <row r="2051" spans="1:2" x14ac:dyDescent="0.25">
      <c r="A2051" t="s">
        <v>9753</v>
      </c>
      <c r="B2051" t="s">
        <v>9753</v>
      </c>
    </row>
    <row r="2052" spans="1:2" x14ac:dyDescent="0.25">
      <c r="A2052" t="s">
        <v>9756</v>
      </c>
      <c r="B2052" t="s">
        <v>9756</v>
      </c>
    </row>
    <row r="2053" spans="1:2" x14ac:dyDescent="0.25">
      <c r="A2053" t="s">
        <v>4988</v>
      </c>
      <c r="B2053" t="s">
        <v>24398</v>
      </c>
    </row>
    <row r="2054" spans="1:2" x14ac:dyDescent="0.25">
      <c r="A2054" t="s">
        <v>3703</v>
      </c>
      <c r="B2054" t="s">
        <v>22838</v>
      </c>
    </row>
    <row r="2055" spans="1:2" x14ac:dyDescent="0.25">
      <c r="A2055" t="s">
        <v>4985</v>
      </c>
      <c r="B2055" t="s">
        <v>24393</v>
      </c>
    </row>
    <row r="2056" spans="1:2" x14ac:dyDescent="0.25">
      <c r="A2056" t="s">
        <v>4818</v>
      </c>
      <c r="B2056" t="s">
        <v>24280</v>
      </c>
    </row>
    <row r="2057" spans="1:2" x14ac:dyDescent="0.25">
      <c r="A2057" t="s">
        <v>9747</v>
      </c>
      <c r="B2057" t="s">
        <v>30036</v>
      </c>
    </row>
    <row r="2058" spans="1:2" x14ac:dyDescent="0.25">
      <c r="A2058" t="s">
        <v>9759</v>
      </c>
      <c r="B2058" t="s">
        <v>9759</v>
      </c>
    </row>
    <row r="2059" spans="1:2" x14ac:dyDescent="0.25">
      <c r="A2059" t="s">
        <v>9762</v>
      </c>
      <c r="B2059" t="s">
        <v>9762</v>
      </c>
    </row>
    <row r="2060" spans="1:2" x14ac:dyDescent="0.25">
      <c r="A2060" t="s">
        <v>9771</v>
      </c>
      <c r="B2060" t="s">
        <v>9771</v>
      </c>
    </row>
    <row r="2061" spans="1:2" x14ac:dyDescent="0.25">
      <c r="A2061" t="s">
        <v>9765</v>
      </c>
      <c r="B2061" t="s">
        <v>9765</v>
      </c>
    </row>
    <row r="2062" spans="1:2" x14ac:dyDescent="0.25">
      <c r="A2062" t="s">
        <v>9768</v>
      </c>
      <c r="B2062" t="s">
        <v>9768</v>
      </c>
    </row>
    <row r="2063" spans="1:2" x14ac:dyDescent="0.25">
      <c r="A2063" t="s">
        <v>9774</v>
      </c>
      <c r="B2063" t="s">
        <v>30073</v>
      </c>
    </row>
    <row r="2064" spans="1:2" x14ac:dyDescent="0.25">
      <c r="A2064" t="s">
        <v>9780</v>
      </c>
      <c r="B2064" t="s">
        <v>9780</v>
      </c>
    </row>
    <row r="2065" spans="1:2" x14ac:dyDescent="0.25">
      <c r="A2065" t="s">
        <v>9792</v>
      </c>
      <c r="B2065" t="s">
        <v>9792</v>
      </c>
    </row>
    <row r="2066" spans="1:2" x14ac:dyDescent="0.25">
      <c r="A2066" t="s">
        <v>9789</v>
      </c>
      <c r="B2066" t="s">
        <v>9789</v>
      </c>
    </row>
    <row r="2067" spans="1:2" x14ac:dyDescent="0.25">
      <c r="A2067" t="s">
        <v>9786</v>
      </c>
      <c r="B2067" t="s">
        <v>9786</v>
      </c>
    </row>
    <row r="2068" spans="1:2" x14ac:dyDescent="0.25">
      <c r="A2068" t="s">
        <v>9783</v>
      </c>
      <c r="B2068" t="s">
        <v>9783</v>
      </c>
    </row>
    <row r="2069" spans="1:2" x14ac:dyDescent="0.25">
      <c r="A2069" t="s">
        <v>9777</v>
      </c>
      <c r="B2069" t="s">
        <v>9777</v>
      </c>
    </row>
    <row r="2070" spans="1:2" x14ac:dyDescent="0.25">
      <c r="A2070" t="s">
        <v>9675</v>
      </c>
      <c r="B2070" t="s">
        <v>9675</v>
      </c>
    </row>
    <row r="2071" spans="1:2" x14ac:dyDescent="0.25">
      <c r="A2071" t="s">
        <v>9795</v>
      </c>
      <c r="B2071" t="s">
        <v>9795</v>
      </c>
    </row>
    <row r="2072" spans="1:2" x14ac:dyDescent="0.25">
      <c r="A2072" t="s">
        <v>9669</v>
      </c>
      <c r="B2072" t="s">
        <v>9669</v>
      </c>
    </row>
    <row r="2073" spans="1:2" x14ac:dyDescent="0.25">
      <c r="A2073" t="s">
        <v>9801</v>
      </c>
      <c r="B2073" t="s">
        <v>30110</v>
      </c>
    </row>
    <row r="2074" spans="1:2" x14ac:dyDescent="0.25">
      <c r="A2074" t="s">
        <v>9810</v>
      </c>
      <c r="B2074" t="s">
        <v>9810</v>
      </c>
    </row>
    <row r="2075" spans="1:2" x14ac:dyDescent="0.25">
      <c r="A2075" t="s">
        <v>9804</v>
      </c>
      <c r="B2075" t="s">
        <v>30115</v>
      </c>
    </row>
    <row r="2076" spans="1:2" x14ac:dyDescent="0.25">
      <c r="A2076" t="s">
        <v>9807</v>
      </c>
      <c r="B2076" t="s">
        <v>9807</v>
      </c>
    </row>
    <row r="2077" spans="1:2" x14ac:dyDescent="0.25">
      <c r="A2077" t="s">
        <v>9678</v>
      </c>
      <c r="B2077" t="s">
        <v>9678</v>
      </c>
    </row>
    <row r="2078" spans="1:2" x14ac:dyDescent="0.25">
      <c r="A2078" t="s">
        <v>9684</v>
      </c>
      <c r="B2078" t="s">
        <v>29947</v>
      </c>
    </row>
    <row r="2079" spans="1:2" x14ac:dyDescent="0.25">
      <c r="A2079" t="s">
        <v>9813</v>
      </c>
      <c r="B2079" t="s">
        <v>9813</v>
      </c>
    </row>
    <row r="2080" spans="1:2" x14ac:dyDescent="0.25">
      <c r="A2080" t="s">
        <v>9816</v>
      </c>
      <c r="B2080" t="s">
        <v>9816</v>
      </c>
    </row>
    <row r="2081" spans="1:2" x14ac:dyDescent="0.25">
      <c r="A2081" t="s">
        <v>9819</v>
      </c>
      <c r="B2081" t="s">
        <v>9819</v>
      </c>
    </row>
    <row r="2082" spans="1:2" x14ac:dyDescent="0.25">
      <c r="A2082" t="s">
        <v>9822</v>
      </c>
      <c r="B2082" t="s">
        <v>9822</v>
      </c>
    </row>
    <row r="2083" spans="1:2" x14ac:dyDescent="0.25">
      <c r="A2083" t="s">
        <v>9846</v>
      </c>
      <c r="B2083" t="s">
        <v>30175</v>
      </c>
    </row>
    <row r="2084" spans="1:2" x14ac:dyDescent="0.25">
      <c r="A2084" t="s">
        <v>9843</v>
      </c>
      <c r="B2084" t="s">
        <v>30170</v>
      </c>
    </row>
    <row r="2085" spans="1:2" x14ac:dyDescent="0.25">
      <c r="A2085" t="s">
        <v>9825</v>
      </c>
      <c r="B2085" t="s">
        <v>30144</v>
      </c>
    </row>
    <row r="2086" spans="1:2" x14ac:dyDescent="0.25">
      <c r="A2086" t="s">
        <v>9828</v>
      </c>
      <c r="B2086" t="s">
        <v>9828</v>
      </c>
    </row>
    <row r="2087" spans="1:2" x14ac:dyDescent="0.25">
      <c r="A2087" t="s">
        <v>9831</v>
      </c>
      <c r="B2087" t="s">
        <v>9831</v>
      </c>
    </row>
    <row r="2088" spans="1:2" x14ac:dyDescent="0.25">
      <c r="A2088" t="s">
        <v>9837</v>
      </c>
      <c r="B2088" t="s">
        <v>30161</v>
      </c>
    </row>
    <row r="2089" spans="1:2" x14ac:dyDescent="0.25">
      <c r="A2089" t="s">
        <v>9834</v>
      </c>
      <c r="B2089" t="s">
        <v>30156</v>
      </c>
    </row>
    <row r="2090" spans="1:2" x14ac:dyDescent="0.25">
      <c r="A2090" t="s">
        <v>9840</v>
      </c>
      <c r="B2090" t="s">
        <v>9840</v>
      </c>
    </row>
    <row r="2091" spans="1:2" x14ac:dyDescent="0.25">
      <c r="A2091" t="s">
        <v>9861</v>
      </c>
      <c r="B2091" t="s">
        <v>30195</v>
      </c>
    </row>
    <row r="2092" spans="1:2" x14ac:dyDescent="0.25">
      <c r="A2092" t="s">
        <v>9873</v>
      </c>
      <c r="B2092" t="s">
        <v>9873</v>
      </c>
    </row>
    <row r="2093" spans="1:2" x14ac:dyDescent="0.25">
      <c r="A2093" t="s">
        <v>9849</v>
      </c>
      <c r="B2093" t="s">
        <v>30180</v>
      </c>
    </row>
    <row r="2094" spans="1:2" x14ac:dyDescent="0.25">
      <c r="A2094" t="s">
        <v>9852</v>
      </c>
      <c r="B2094" t="s">
        <v>30184</v>
      </c>
    </row>
    <row r="2095" spans="1:2" x14ac:dyDescent="0.25">
      <c r="A2095" t="s">
        <v>9855</v>
      </c>
      <c r="B2095" t="s">
        <v>30185</v>
      </c>
    </row>
    <row r="2096" spans="1:2" x14ac:dyDescent="0.25">
      <c r="A2096" t="s">
        <v>7072</v>
      </c>
      <c r="B2096" t="s">
        <v>26725</v>
      </c>
    </row>
    <row r="2097" spans="1:2" x14ac:dyDescent="0.25">
      <c r="A2097" t="s">
        <v>7074</v>
      </c>
      <c r="B2097" t="s">
        <v>26726</v>
      </c>
    </row>
    <row r="2098" spans="1:2" x14ac:dyDescent="0.25">
      <c r="A2098" t="s">
        <v>5118</v>
      </c>
      <c r="B2098" t="s">
        <v>24520</v>
      </c>
    </row>
    <row r="2099" spans="1:2" x14ac:dyDescent="0.25">
      <c r="A2099" t="s">
        <v>9858</v>
      </c>
      <c r="B2099" t="s">
        <v>30190</v>
      </c>
    </row>
    <row r="2100" spans="1:2" x14ac:dyDescent="0.25">
      <c r="A2100" t="s">
        <v>9867</v>
      </c>
      <c r="B2100" t="s">
        <v>30205</v>
      </c>
    </row>
    <row r="2101" spans="1:2" x14ac:dyDescent="0.25">
      <c r="A2101" t="s">
        <v>9864</v>
      </c>
      <c r="B2101" t="s">
        <v>30200</v>
      </c>
    </row>
    <row r="2102" spans="1:2" x14ac:dyDescent="0.25">
      <c r="A2102" t="s">
        <v>9870</v>
      </c>
      <c r="B2102" t="s">
        <v>30210</v>
      </c>
    </row>
    <row r="2103" spans="1:2" x14ac:dyDescent="0.25">
      <c r="A2103" t="s">
        <v>4820</v>
      </c>
      <c r="B2103" t="s">
        <v>24281</v>
      </c>
    </row>
    <row r="2104" spans="1:2" x14ac:dyDescent="0.25">
      <c r="A2104" t="s">
        <v>9492</v>
      </c>
      <c r="B2104" t="s">
        <v>9492</v>
      </c>
    </row>
    <row r="2105" spans="1:2" x14ac:dyDescent="0.25">
      <c r="A2105" t="s">
        <v>4998</v>
      </c>
      <c r="B2105" t="s">
        <v>4998</v>
      </c>
    </row>
    <row r="2106" spans="1:2" x14ac:dyDescent="0.25">
      <c r="A2106" t="s">
        <v>4830</v>
      </c>
      <c r="B2106" t="s">
        <v>24293</v>
      </c>
    </row>
    <row r="2107" spans="1:2" x14ac:dyDescent="0.25">
      <c r="A2107" t="s">
        <v>4832</v>
      </c>
      <c r="B2107" t="s">
        <v>24294</v>
      </c>
    </row>
    <row r="2108" spans="1:2" x14ac:dyDescent="0.25">
      <c r="A2108" t="s">
        <v>9876</v>
      </c>
      <c r="B2108" t="s">
        <v>30219</v>
      </c>
    </row>
    <row r="2109" spans="1:2" x14ac:dyDescent="0.25">
      <c r="A2109" t="s">
        <v>9879</v>
      </c>
      <c r="B2109" t="s">
        <v>30224</v>
      </c>
    </row>
    <row r="2110" spans="1:2" x14ac:dyDescent="0.25">
      <c r="A2110" t="s">
        <v>9882</v>
      </c>
      <c r="B2110" t="s">
        <v>30229</v>
      </c>
    </row>
    <row r="2111" spans="1:2" x14ac:dyDescent="0.25">
      <c r="A2111" t="s">
        <v>9888</v>
      </c>
      <c r="B2111" t="s">
        <v>9888</v>
      </c>
    </row>
    <row r="2112" spans="1:2" x14ac:dyDescent="0.25">
      <c r="A2112" t="s">
        <v>9897</v>
      </c>
      <c r="B2112" t="s">
        <v>9897</v>
      </c>
    </row>
    <row r="2113" spans="1:2" x14ac:dyDescent="0.25">
      <c r="A2113" t="s">
        <v>9900</v>
      </c>
      <c r="B2113" t="s">
        <v>30253</v>
      </c>
    </row>
    <row r="2114" spans="1:2" x14ac:dyDescent="0.25">
      <c r="A2114" t="s">
        <v>9885</v>
      </c>
      <c r="B2114" t="s">
        <v>9885</v>
      </c>
    </row>
    <row r="2115" spans="1:2" x14ac:dyDescent="0.25">
      <c r="A2115" t="s">
        <v>9891</v>
      </c>
      <c r="B2115" t="s">
        <v>9891</v>
      </c>
    </row>
    <row r="2116" spans="1:2" x14ac:dyDescent="0.25">
      <c r="A2116" t="s">
        <v>9894</v>
      </c>
      <c r="B2116" t="s">
        <v>9894</v>
      </c>
    </row>
    <row r="2117" spans="1:2" x14ac:dyDescent="0.25">
      <c r="A2117" t="s">
        <v>9903</v>
      </c>
      <c r="B2117" t="s">
        <v>30258</v>
      </c>
    </row>
    <row r="2118" spans="1:2" x14ac:dyDescent="0.25">
      <c r="A2118" t="s">
        <v>4838</v>
      </c>
      <c r="B2118" t="s">
        <v>24297</v>
      </c>
    </row>
    <row r="2119" spans="1:2" x14ac:dyDescent="0.25">
      <c r="A2119" t="s">
        <v>4834</v>
      </c>
      <c r="B2119" t="s">
        <v>24295</v>
      </c>
    </row>
    <row r="2120" spans="1:2" x14ac:dyDescent="0.25">
      <c r="A2120" t="s">
        <v>4840</v>
      </c>
      <c r="B2120" t="s">
        <v>24298</v>
      </c>
    </row>
    <row r="2121" spans="1:2" x14ac:dyDescent="0.25">
      <c r="A2121" t="s">
        <v>4836</v>
      </c>
      <c r="B2121" t="s">
        <v>24296</v>
      </c>
    </row>
    <row r="2122" spans="1:2" x14ac:dyDescent="0.25">
      <c r="A2122" t="s">
        <v>4842</v>
      </c>
      <c r="B2122" t="s">
        <v>24299</v>
      </c>
    </row>
    <row r="2123" spans="1:2" x14ac:dyDescent="0.25">
      <c r="A2123" t="s">
        <v>4846</v>
      </c>
      <c r="B2123" t="s">
        <v>24301</v>
      </c>
    </row>
    <row r="2124" spans="1:2" x14ac:dyDescent="0.25">
      <c r="A2124" t="s">
        <v>9906</v>
      </c>
      <c r="B2124" t="s">
        <v>30259</v>
      </c>
    </row>
    <row r="2125" spans="1:2" x14ac:dyDescent="0.25">
      <c r="A2125" t="s">
        <v>4856</v>
      </c>
      <c r="B2125" t="s">
        <v>24306</v>
      </c>
    </row>
    <row r="2126" spans="1:2" x14ac:dyDescent="0.25">
      <c r="A2126" t="s">
        <v>4894</v>
      </c>
      <c r="B2126" t="s">
        <v>24325</v>
      </c>
    </row>
    <row r="2127" spans="1:2" x14ac:dyDescent="0.25">
      <c r="A2127" t="s">
        <v>4912</v>
      </c>
      <c r="B2127" t="s">
        <v>24334</v>
      </c>
    </row>
    <row r="2128" spans="1:2" x14ac:dyDescent="0.25">
      <c r="A2128" t="s">
        <v>4934</v>
      </c>
      <c r="B2128" t="s">
        <v>24345</v>
      </c>
    </row>
    <row r="2129" spans="1:2" x14ac:dyDescent="0.25">
      <c r="A2129" t="s">
        <v>4952</v>
      </c>
      <c r="B2129" t="s">
        <v>24354</v>
      </c>
    </row>
    <row r="2130" spans="1:2" x14ac:dyDescent="0.25">
      <c r="A2130" t="s">
        <v>4954</v>
      </c>
      <c r="B2130" t="s">
        <v>24355</v>
      </c>
    </row>
    <row r="2131" spans="1:2" x14ac:dyDescent="0.25">
      <c r="A2131" t="s">
        <v>4956</v>
      </c>
      <c r="B2131" t="s">
        <v>24356</v>
      </c>
    </row>
    <row r="2132" spans="1:2" x14ac:dyDescent="0.25">
      <c r="A2132" t="s">
        <v>4858</v>
      </c>
      <c r="B2132" t="s">
        <v>24307</v>
      </c>
    </row>
    <row r="2133" spans="1:2" x14ac:dyDescent="0.25">
      <c r="A2133" t="s">
        <v>4860</v>
      </c>
      <c r="B2133" t="s">
        <v>24308</v>
      </c>
    </row>
    <row r="2134" spans="1:2" x14ac:dyDescent="0.25">
      <c r="A2134" t="s">
        <v>4862</v>
      </c>
      <c r="B2134" t="s">
        <v>24309</v>
      </c>
    </row>
    <row r="2135" spans="1:2" x14ac:dyDescent="0.25">
      <c r="A2135" t="s">
        <v>4864</v>
      </c>
      <c r="B2135" t="s">
        <v>24310</v>
      </c>
    </row>
    <row r="2136" spans="1:2" x14ac:dyDescent="0.25">
      <c r="A2136" t="s">
        <v>4866</v>
      </c>
      <c r="B2136" t="s">
        <v>24311</v>
      </c>
    </row>
    <row r="2137" spans="1:2" x14ac:dyDescent="0.25">
      <c r="A2137" t="s">
        <v>4868</v>
      </c>
      <c r="B2137" t="s">
        <v>24312</v>
      </c>
    </row>
    <row r="2138" spans="1:2" x14ac:dyDescent="0.25">
      <c r="A2138" t="s">
        <v>4870</v>
      </c>
      <c r="B2138" t="s">
        <v>24313</v>
      </c>
    </row>
    <row r="2139" spans="1:2" x14ac:dyDescent="0.25">
      <c r="A2139" t="s">
        <v>4872</v>
      </c>
      <c r="B2139" t="s">
        <v>24314</v>
      </c>
    </row>
    <row r="2140" spans="1:2" x14ac:dyDescent="0.25">
      <c r="A2140" t="s">
        <v>4874</v>
      </c>
      <c r="B2140" t="s">
        <v>24315</v>
      </c>
    </row>
    <row r="2141" spans="1:2" x14ac:dyDescent="0.25">
      <c r="A2141" t="s">
        <v>4876</v>
      </c>
      <c r="B2141" t="s">
        <v>24316</v>
      </c>
    </row>
    <row r="2142" spans="1:2" x14ac:dyDescent="0.25">
      <c r="A2142" t="s">
        <v>4878</v>
      </c>
      <c r="B2142" t="s">
        <v>24317</v>
      </c>
    </row>
    <row r="2143" spans="1:2" x14ac:dyDescent="0.25">
      <c r="A2143" t="s">
        <v>4880</v>
      </c>
      <c r="B2143" t="s">
        <v>24318</v>
      </c>
    </row>
    <row r="2144" spans="1:2" x14ac:dyDescent="0.25">
      <c r="A2144" t="s">
        <v>4882</v>
      </c>
      <c r="B2144" t="s">
        <v>24319</v>
      </c>
    </row>
    <row r="2145" spans="1:2" x14ac:dyDescent="0.25">
      <c r="A2145" t="s">
        <v>4884</v>
      </c>
      <c r="B2145" t="s">
        <v>24320</v>
      </c>
    </row>
    <row r="2146" spans="1:2" x14ac:dyDescent="0.25">
      <c r="A2146" t="s">
        <v>4886</v>
      </c>
      <c r="B2146" t="s">
        <v>24321</v>
      </c>
    </row>
    <row r="2147" spans="1:2" x14ac:dyDescent="0.25">
      <c r="A2147" t="s">
        <v>4888</v>
      </c>
      <c r="B2147" t="s">
        <v>24322</v>
      </c>
    </row>
    <row r="2148" spans="1:2" x14ac:dyDescent="0.25">
      <c r="A2148" t="s">
        <v>4890</v>
      </c>
      <c r="B2148" t="s">
        <v>24323</v>
      </c>
    </row>
    <row r="2149" spans="1:2" x14ac:dyDescent="0.25">
      <c r="A2149" t="s">
        <v>4892</v>
      </c>
      <c r="B2149" t="s">
        <v>24324</v>
      </c>
    </row>
    <row r="2150" spans="1:2" x14ac:dyDescent="0.25">
      <c r="A2150" t="s">
        <v>4896</v>
      </c>
      <c r="B2150" t="s">
        <v>24326</v>
      </c>
    </row>
    <row r="2151" spans="1:2" x14ac:dyDescent="0.25">
      <c r="A2151" t="s">
        <v>4898</v>
      </c>
      <c r="B2151" t="s">
        <v>24327</v>
      </c>
    </row>
    <row r="2152" spans="1:2" x14ac:dyDescent="0.25">
      <c r="A2152" t="s">
        <v>4900</v>
      </c>
      <c r="B2152" t="s">
        <v>24328</v>
      </c>
    </row>
    <row r="2153" spans="1:2" x14ac:dyDescent="0.25">
      <c r="A2153" t="s">
        <v>4902</v>
      </c>
      <c r="B2153" t="s">
        <v>24329</v>
      </c>
    </row>
    <row r="2154" spans="1:2" x14ac:dyDescent="0.25">
      <c r="A2154" t="s">
        <v>4904</v>
      </c>
      <c r="B2154" t="s">
        <v>24330</v>
      </c>
    </row>
    <row r="2155" spans="1:2" x14ac:dyDescent="0.25">
      <c r="A2155" t="s">
        <v>4906</v>
      </c>
      <c r="B2155" t="s">
        <v>24331</v>
      </c>
    </row>
    <row r="2156" spans="1:2" x14ac:dyDescent="0.25">
      <c r="A2156" t="s">
        <v>4908</v>
      </c>
      <c r="B2156" t="s">
        <v>24332</v>
      </c>
    </row>
    <row r="2157" spans="1:2" x14ac:dyDescent="0.25">
      <c r="A2157" t="s">
        <v>4910</v>
      </c>
      <c r="B2157" t="s">
        <v>24333</v>
      </c>
    </row>
    <row r="2158" spans="1:2" x14ac:dyDescent="0.25">
      <c r="A2158" t="s">
        <v>4914</v>
      </c>
      <c r="B2158" t="s">
        <v>24335</v>
      </c>
    </row>
    <row r="2159" spans="1:2" x14ac:dyDescent="0.25">
      <c r="A2159" t="s">
        <v>4916</v>
      </c>
      <c r="B2159" t="s">
        <v>24336</v>
      </c>
    </row>
    <row r="2160" spans="1:2" x14ac:dyDescent="0.25">
      <c r="A2160" t="s">
        <v>4918</v>
      </c>
      <c r="B2160" t="s">
        <v>24337</v>
      </c>
    </row>
    <row r="2161" spans="1:2" x14ac:dyDescent="0.25">
      <c r="A2161" t="s">
        <v>4920</v>
      </c>
      <c r="B2161" t="s">
        <v>24338</v>
      </c>
    </row>
    <row r="2162" spans="1:2" x14ac:dyDescent="0.25">
      <c r="A2162" t="s">
        <v>4922</v>
      </c>
      <c r="B2162" t="s">
        <v>24339</v>
      </c>
    </row>
    <row r="2163" spans="1:2" x14ac:dyDescent="0.25">
      <c r="A2163" t="s">
        <v>4924</v>
      </c>
      <c r="B2163" t="s">
        <v>24340</v>
      </c>
    </row>
    <row r="2164" spans="1:2" x14ac:dyDescent="0.25">
      <c r="A2164" t="s">
        <v>4926</v>
      </c>
      <c r="B2164" t="s">
        <v>24341</v>
      </c>
    </row>
    <row r="2165" spans="1:2" x14ac:dyDescent="0.25">
      <c r="A2165" t="s">
        <v>4928</v>
      </c>
      <c r="B2165" t="s">
        <v>24342</v>
      </c>
    </row>
    <row r="2166" spans="1:2" x14ac:dyDescent="0.25">
      <c r="A2166" t="s">
        <v>4930</v>
      </c>
      <c r="B2166" t="s">
        <v>24343</v>
      </c>
    </row>
    <row r="2167" spans="1:2" x14ac:dyDescent="0.25">
      <c r="A2167" t="s">
        <v>4932</v>
      </c>
      <c r="B2167" t="s">
        <v>24344</v>
      </c>
    </row>
    <row r="2168" spans="1:2" x14ac:dyDescent="0.25">
      <c r="A2168" t="s">
        <v>4936</v>
      </c>
      <c r="B2168" t="s">
        <v>24346</v>
      </c>
    </row>
    <row r="2169" spans="1:2" x14ac:dyDescent="0.25">
      <c r="A2169" t="s">
        <v>4938</v>
      </c>
      <c r="B2169" t="s">
        <v>24347</v>
      </c>
    </row>
    <row r="2170" spans="1:2" x14ac:dyDescent="0.25">
      <c r="A2170" t="s">
        <v>4940</v>
      </c>
      <c r="B2170" t="s">
        <v>24348</v>
      </c>
    </row>
    <row r="2171" spans="1:2" x14ac:dyDescent="0.25">
      <c r="A2171" t="s">
        <v>4942</v>
      </c>
      <c r="B2171" t="s">
        <v>24349</v>
      </c>
    </row>
    <row r="2172" spans="1:2" x14ac:dyDescent="0.25">
      <c r="A2172" t="s">
        <v>4944</v>
      </c>
      <c r="B2172" t="s">
        <v>24350</v>
      </c>
    </row>
    <row r="2173" spans="1:2" x14ac:dyDescent="0.25">
      <c r="A2173" t="s">
        <v>4946</v>
      </c>
      <c r="B2173" t="s">
        <v>24351</v>
      </c>
    </row>
    <row r="2174" spans="1:2" x14ac:dyDescent="0.25">
      <c r="A2174" t="s">
        <v>4948</v>
      </c>
      <c r="B2174" t="s">
        <v>24352</v>
      </c>
    </row>
    <row r="2175" spans="1:2" x14ac:dyDescent="0.25">
      <c r="A2175" t="s">
        <v>4950</v>
      </c>
      <c r="B2175" t="s">
        <v>24353</v>
      </c>
    </row>
    <row r="2176" spans="1:2" x14ac:dyDescent="0.25">
      <c r="A2176" t="s">
        <v>4850</v>
      </c>
      <c r="B2176" t="s">
        <v>24303</v>
      </c>
    </row>
    <row r="2177" spans="1:2" x14ac:dyDescent="0.25">
      <c r="A2177" t="s">
        <v>4848</v>
      </c>
      <c r="B2177" t="s">
        <v>24302</v>
      </c>
    </row>
    <row r="2178" spans="1:2" x14ac:dyDescent="0.25">
      <c r="A2178" t="s">
        <v>9909</v>
      </c>
      <c r="B2178" t="s">
        <v>30264</v>
      </c>
    </row>
    <row r="2179" spans="1:2" x14ac:dyDescent="0.25">
      <c r="A2179" t="s">
        <v>9912</v>
      </c>
      <c r="B2179" t="s">
        <v>30269</v>
      </c>
    </row>
    <row r="2180" spans="1:2" x14ac:dyDescent="0.25">
      <c r="A2180" t="s">
        <v>5085</v>
      </c>
      <c r="B2180" t="s">
        <v>5085</v>
      </c>
    </row>
    <row r="2181" spans="1:2" x14ac:dyDescent="0.25">
      <c r="A2181" t="s">
        <v>8715</v>
      </c>
      <c r="B2181" t="s">
        <v>28599</v>
      </c>
    </row>
    <row r="2182" spans="1:2" x14ac:dyDescent="0.25">
      <c r="A2182" t="s">
        <v>8718</v>
      </c>
      <c r="B2182" t="s">
        <v>28603</v>
      </c>
    </row>
    <row r="2183" spans="1:2" x14ac:dyDescent="0.25">
      <c r="A2183" t="s">
        <v>9954</v>
      </c>
      <c r="B2183" t="s">
        <v>30325</v>
      </c>
    </row>
    <row r="2184" spans="1:2" x14ac:dyDescent="0.25">
      <c r="A2184" t="s">
        <v>9921</v>
      </c>
      <c r="B2184" t="s">
        <v>30284</v>
      </c>
    </row>
    <row r="2185" spans="1:2" x14ac:dyDescent="0.25">
      <c r="A2185" t="s">
        <v>9924</v>
      </c>
      <c r="B2185" t="s">
        <v>30289</v>
      </c>
    </row>
    <row r="2186" spans="1:2" x14ac:dyDescent="0.25">
      <c r="A2186" t="s">
        <v>9927</v>
      </c>
      <c r="B2186" t="s">
        <v>30290</v>
      </c>
    </row>
    <row r="2187" spans="1:2" x14ac:dyDescent="0.25">
      <c r="A2187" t="s">
        <v>9930</v>
      </c>
      <c r="B2187" t="s">
        <v>30291</v>
      </c>
    </row>
    <row r="2188" spans="1:2" x14ac:dyDescent="0.25">
      <c r="A2188" t="s">
        <v>5013</v>
      </c>
      <c r="B2188" t="s">
        <v>24431</v>
      </c>
    </row>
    <row r="2189" spans="1:2" x14ac:dyDescent="0.25">
      <c r="A2189" t="s">
        <v>5015</v>
      </c>
      <c r="B2189" t="s">
        <v>24432</v>
      </c>
    </row>
    <row r="2190" spans="1:2" x14ac:dyDescent="0.25">
      <c r="A2190" t="s">
        <v>7349</v>
      </c>
      <c r="B2190" t="s">
        <v>26933</v>
      </c>
    </row>
    <row r="2191" spans="1:2" x14ac:dyDescent="0.25">
      <c r="A2191" t="s">
        <v>5103</v>
      </c>
      <c r="B2191" t="s">
        <v>24506</v>
      </c>
    </row>
    <row r="2192" spans="1:2" x14ac:dyDescent="0.25">
      <c r="A2192" t="s">
        <v>5105</v>
      </c>
      <c r="B2192" t="s">
        <v>24507</v>
      </c>
    </row>
    <row r="2193" spans="1:2" x14ac:dyDescent="0.25">
      <c r="A2193" t="s">
        <v>5107</v>
      </c>
      <c r="B2193" t="s">
        <v>24508</v>
      </c>
    </row>
    <row r="2194" spans="1:2" x14ac:dyDescent="0.25">
      <c r="A2194" t="s">
        <v>7797</v>
      </c>
      <c r="B2194" t="s">
        <v>27509</v>
      </c>
    </row>
    <row r="2195" spans="1:2" x14ac:dyDescent="0.25">
      <c r="A2195" t="s">
        <v>9933</v>
      </c>
      <c r="B2195" t="s">
        <v>9933</v>
      </c>
    </row>
    <row r="2196" spans="1:2" x14ac:dyDescent="0.25">
      <c r="A2196" t="s">
        <v>9936</v>
      </c>
      <c r="B2196" t="s">
        <v>9936</v>
      </c>
    </row>
    <row r="2197" spans="1:2" x14ac:dyDescent="0.25">
      <c r="A2197" t="s">
        <v>5031</v>
      </c>
      <c r="B2197" t="s">
        <v>24440</v>
      </c>
    </row>
    <row r="2198" spans="1:2" x14ac:dyDescent="0.25">
      <c r="A2198" t="s">
        <v>5033</v>
      </c>
      <c r="B2198" t="s">
        <v>24441</v>
      </c>
    </row>
    <row r="2199" spans="1:2" x14ac:dyDescent="0.25">
      <c r="A2199" t="s">
        <v>7773</v>
      </c>
      <c r="B2199" t="s">
        <v>27483</v>
      </c>
    </row>
    <row r="2200" spans="1:2" x14ac:dyDescent="0.25">
      <c r="A2200" t="s">
        <v>7155</v>
      </c>
      <c r="B2200" t="s">
        <v>26795</v>
      </c>
    </row>
    <row r="2201" spans="1:2" x14ac:dyDescent="0.25">
      <c r="A2201" t="s">
        <v>9942</v>
      </c>
      <c r="B2201" t="s">
        <v>30309</v>
      </c>
    </row>
    <row r="2202" spans="1:2" x14ac:dyDescent="0.25">
      <c r="A2202" t="s">
        <v>5017</v>
      </c>
      <c r="B2202" t="s">
        <v>24433</v>
      </c>
    </row>
    <row r="2203" spans="1:2" x14ac:dyDescent="0.25">
      <c r="A2203" t="s">
        <v>9945</v>
      </c>
      <c r="B2203" t="s">
        <v>9945</v>
      </c>
    </row>
    <row r="2204" spans="1:2" x14ac:dyDescent="0.25">
      <c r="A2204" t="s">
        <v>5255</v>
      </c>
      <c r="B2204" t="s">
        <v>24702</v>
      </c>
    </row>
    <row r="2205" spans="1:2" x14ac:dyDescent="0.25">
      <c r="A2205" t="s">
        <v>5019</v>
      </c>
      <c r="B2205" t="s">
        <v>24434</v>
      </c>
    </row>
    <row r="2206" spans="1:2" x14ac:dyDescent="0.25">
      <c r="A2206" t="s">
        <v>5021</v>
      </c>
      <c r="B2206" t="s">
        <v>24435</v>
      </c>
    </row>
    <row r="2207" spans="1:2" x14ac:dyDescent="0.25">
      <c r="A2207" t="s">
        <v>5023</v>
      </c>
      <c r="B2207" t="s">
        <v>24436</v>
      </c>
    </row>
    <row r="2208" spans="1:2" x14ac:dyDescent="0.25">
      <c r="A2208" t="s">
        <v>5025</v>
      </c>
      <c r="B2208" t="s">
        <v>24437</v>
      </c>
    </row>
    <row r="2209" spans="1:2" x14ac:dyDescent="0.25">
      <c r="A2209" t="s">
        <v>5027</v>
      </c>
      <c r="B2209" t="s">
        <v>24438</v>
      </c>
    </row>
    <row r="2210" spans="1:2" x14ac:dyDescent="0.25">
      <c r="A2210" t="s">
        <v>5029</v>
      </c>
      <c r="B2210" t="s">
        <v>24439</v>
      </c>
    </row>
    <row r="2211" spans="1:2" x14ac:dyDescent="0.25">
      <c r="A2211" t="s">
        <v>9915</v>
      </c>
      <c r="B2211" t="s">
        <v>30274</v>
      </c>
    </row>
    <row r="2212" spans="1:2" x14ac:dyDescent="0.25">
      <c r="A2212" t="s">
        <v>9918</v>
      </c>
      <c r="B2212" t="s">
        <v>30279</v>
      </c>
    </row>
    <row r="2213" spans="1:2" x14ac:dyDescent="0.25">
      <c r="A2213" t="s">
        <v>6233</v>
      </c>
      <c r="B2213" t="s">
        <v>25719</v>
      </c>
    </row>
    <row r="2214" spans="1:2" x14ac:dyDescent="0.25">
      <c r="A2214" t="s">
        <v>6327</v>
      </c>
      <c r="B2214" t="s">
        <v>25766</v>
      </c>
    </row>
    <row r="2215" spans="1:2" x14ac:dyDescent="0.25">
      <c r="A2215" t="s">
        <v>9948</v>
      </c>
      <c r="B2215" t="s">
        <v>9948</v>
      </c>
    </row>
    <row r="2216" spans="1:2" x14ac:dyDescent="0.25">
      <c r="A2216" t="s">
        <v>9951</v>
      </c>
      <c r="B2216" t="s">
        <v>9951</v>
      </c>
    </row>
    <row r="2217" spans="1:2" x14ac:dyDescent="0.25">
      <c r="A2217" t="s">
        <v>5035</v>
      </c>
      <c r="B2217" t="s">
        <v>24446</v>
      </c>
    </row>
    <row r="2218" spans="1:2" x14ac:dyDescent="0.25">
      <c r="A2218" t="s">
        <v>5041</v>
      </c>
      <c r="B2218" t="s">
        <v>24448</v>
      </c>
    </row>
    <row r="2219" spans="1:2" x14ac:dyDescent="0.25">
      <c r="A2219" t="s">
        <v>5055</v>
      </c>
      <c r="B2219" t="s">
        <v>24459</v>
      </c>
    </row>
    <row r="2220" spans="1:2" x14ac:dyDescent="0.25">
      <c r="A2220" t="s">
        <v>5037</v>
      </c>
      <c r="B2220" t="s">
        <v>5037</v>
      </c>
    </row>
    <row r="2221" spans="1:2" x14ac:dyDescent="0.25">
      <c r="A2221" t="s">
        <v>9957</v>
      </c>
      <c r="B2221" t="s">
        <v>9957</v>
      </c>
    </row>
    <row r="2222" spans="1:2" x14ac:dyDescent="0.25">
      <c r="A2222" t="s">
        <v>9960</v>
      </c>
      <c r="B2222" t="s">
        <v>30333</v>
      </c>
    </row>
    <row r="2223" spans="1:2" x14ac:dyDescent="0.25">
      <c r="A2223" t="s">
        <v>9963</v>
      </c>
      <c r="B2223" t="s">
        <v>30338</v>
      </c>
    </row>
    <row r="2224" spans="1:2" x14ac:dyDescent="0.25">
      <c r="A2224" t="s">
        <v>9966</v>
      </c>
      <c r="B2224" t="s">
        <v>30343</v>
      </c>
    </row>
    <row r="2225" spans="1:2" x14ac:dyDescent="0.25">
      <c r="A2225" t="s">
        <v>9969</v>
      </c>
      <c r="B2225" t="s">
        <v>30347</v>
      </c>
    </row>
    <row r="2226" spans="1:2" x14ac:dyDescent="0.25">
      <c r="A2226" t="s">
        <v>9984</v>
      </c>
      <c r="B2226" t="s">
        <v>9984</v>
      </c>
    </row>
    <row r="2227" spans="1:2" x14ac:dyDescent="0.25">
      <c r="A2227" t="s">
        <v>9978</v>
      </c>
      <c r="B2227" t="s">
        <v>30360</v>
      </c>
    </row>
    <row r="2228" spans="1:2" x14ac:dyDescent="0.25">
      <c r="A2228" t="s">
        <v>9981</v>
      </c>
      <c r="B2228" t="s">
        <v>30365</v>
      </c>
    </row>
    <row r="2229" spans="1:2" x14ac:dyDescent="0.25">
      <c r="A2229" t="s">
        <v>9972</v>
      </c>
      <c r="B2229" t="s">
        <v>9972</v>
      </c>
    </row>
    <row r="2230" spans="1:2" x14ac:dyDescent="0.25">
      <c r="A2230" t="s">
        <v>9975</v>
      </c>
      <c r="B2230" t="s">
        <v>30355</v>
      </c>
    </row>
    <row r="2231" spans="1:2" x14ac:dyDescent="0.25">
      <c r="A2231" t="s">
        <v>9993</v>
      </c>
      <c r="B2231" t="s">
        <v>30384</v>
      </c>
    </row>
    <row r="2232" spans="1:2" x14ac:dyDescent="0.25">
      <c r="A2232" t="s">
        <v>9987</v>
      </c>
      <c r="B2232" t="s">
        <v>30374</v>
      </c>
    </row>
    <row r="2233" spans="1:2" x14ac:dyDescent="0.25">
      <c r="A2233" t="s">
        <v>9990</v>
      </c>
      <c r="B2233" t="s">
        <v>30379</v>
      </c>
    </row>
    <row r="2234" spans="1:2" x14ac:dyDescent="0.25">
      <c r="A2234" t="s">
        <v>9996</v>
      </c>
      <c r="B2234" t="s">
        <v>30389</v>
      </c>
    </row>
    <row r="2235" spans="1:2" x14ac:dyDescent="0.25">
      <c r="A2235" t="s">
        <v>7561</v>
      </c>
      <c r="B2235" t="s">
        <v>27233</v>
      </c>
    </row>
    <row r="2236" spans="1:2" x14ac:dyDescent="0.25">
      <c r="A2236" t="s">
        <v>4996</v>
      </c>
      <c r="B2236" t="s">
        <v>24407</v>
      </c>
    </row>
    <row r="2237" spans="1:2" x14ac:dyDescent="0.25">
      <c r="A2237" t="s">
        <v>5039</v>
      </c>
      <c r="B2237" t="s">
        <v>24447</v>
      </c>
    </row>
    <row r="2238" spans="1:2" x14ac:dyDescent="0.25">
      <c r="A2238" t="s">
        <v>7825</v>
      </c>
      <c r="B2238" t="s">
        <v>27548</v>
      </c>
    </row>
    <row r="2239" spans="1:2" x14ac:dyDescent="0.25">
      <c r="A2239" t="s">
        <v>7827</v>
      </c>
      <c r="B2239" t="s">
        <v>27549</v>
      </c>
    </row>
    <row r="2240" spans="1:2" x14ac:dyDescent="0.25">
      <c r="A2240" t="s">
        <v>7823</v>
      </c>
      <c r="B2240" t="s">
        <v>27547</v>
      </c>
    </row>
    <row r="2241" spans="1:2" x14ac:dyDescent="0.25">
      <c r="A2241" t="s">
        <v>7631</v>
      </c>
      <c r="B2241" t="s">
        <v>27313</v>
      </c>
    </row>
    <row r="2242" spans="1:2" x14ac:dyDescent="0.25">
      <c r="A2242" t="s">
        <v>7633</v>
      </c>
      <c r="B2242" t="s">
        <v>27314</v>
      </c>
    </row>
    <row r="2243" spans="1:2" x14ac:dyDescent="0.25">
      <c r="A2243" t="s">
        <v>7775</v>
      </c>
      <c r="B2243" t="s">
        <v>27488</v>
      </c>
    </row>
    <row r="2244" spans="1:2" x14ac:dyDescent="0.25">
      <c r="A2244" t="s">
        <v>7157</v>
      </c>
      <c r="B2244" t="s">
        <v>26796</v>
      </c>
    </row>
    <row r="2245" spans="1:2" x14ac:dyDescent="0.25">
      <c r="A2245" t="s">
        <v>4098</v>
      </c>
      <c r="B2245" t="s">
        <v>23342</v>
      </c>
    </row>
    <row r="2246" spans="1:2" x14ac:dyDescent="0.25">
      <c r="A2246" t="s">
        <v>3029</v>
      </c>
      <c r="B2246" t="s">
        <v>21991</v>
      </c>
    </row>
    <row r="2247" spans="1:2" x14ac:dyDescent="0.25">
      <c r="A2247" t="s">
        <v>3032</v>
      </c>
      <c r="B2247" t="s">
        <v>21995</v>
      </c>
    </row>
    <row r="2248" spans="1:2" x14ac:dyDescent="0.25">
      <c r="A2248" t="s">
        <v>5051</v>
      </c>
      <c r="B2248" t="s">
        <v>24457</v>
      </c>
    </row>
    <row r="2249" spans="1:2" x14ac:dyDescent="0.25">
      <c r="A2249" t="s">
        <v>5043</v>
      </c>
      <c r="B2249" t="s">
        <v>24453</v>
      </c>
    </row>
    <row r="2250" spans="1:2" x14ac:dyDescent="0.25">
      <c r="A2250" t="s">
        <v>5045</v>
      </c>
      <c r="B2250" t="s">
        <v>24454</v>
      </c>
    </row>
    <row r="2251" spans="1:2" x14ac:dyDescent="0.25">
      <c r="A2251" t="s">
        <v>5047</v>
      </c>
      <c r="B2251" t="s">
        <v>24455</v>
      </c>
    </row>
    <row r="2252" spans="1:2" x14ac:dyDescent="0.25">
      <c r="A2252" t="s">
        <v>5049</v>
      </c>
      <c r="B2252" t="s">
        <v>24456</v>
      </c>
    </row>
    <row r="2253" spans="1:2" x14ac:dyDescent="0.25">
      <c r="A2253" t="s">
        <v>5053</v>
      </c>
      <c r="B2253" t="s">
        <v>24458</v>
      </c>
    </row>
    <row r="2254" spans="1:2" x14ac:dyDescent="0.25">
      <c r="A2254" t="s">
        <v>9999</v>
      </c>
      <c r="B2254" t="s">
        <v>30394</v>
      </c>
    </row>
    <row r="2255" spans="1:2" x14ac:dyDescent="0.25">
      <c r="A2255" t="s">
        <v>10002</v>
      </c>
      <c r="B2255" t="s">
        <v>10002</v>
      </c>
    </row>
    <row r="2256" spans="1:2" x14ac:dyDescent="0.25">
      <c r="A2256" t="s">
        <v>5121</v>
      </c>
      <c r="B2256" t="s">
        <v>24524</v>
      </c>
    </row>
    <row r="2257" spans="1:2" x14ac:dyDescent="0.25">
      <c r="A2257" t="s">
        <v>10023</v>
      </c>
      <c r="B2257" t="s">
        <v>10023</v>
      </c>
    </row>
    <row r="2258" spans="1:2" x14ac:dyDescent="0.25">
      <c r="A2258" t="s">
        <v>10026</v>
      </c>
      <c r="B2258" t="s">
        <v>10026</v>
      </c>
    </row>
    <row r="2259" spans="1:2" x14ac:dyDescent="0.25">
      <c r="A2259" t="s">
        <v>10041</v>
      </c>
      <c r="B2259" t="s">
        <v>10041</v>
      </c>
    </row>
    <row r="2260" spans="1:2" x14ac:dyDescent="0.25">
      <c r="A2260" t="s">
        <v>10017</v>
      </c>
      <c r="B2260" t="s">
        <v>10017</v>
      </c>
    </row>
    <row r="2261" spans="1:2" x14ac:dyDescent="0.25">
      <c r="A2261" t="s">
        <v>10011</v>
      </c>
      <c r="B2261" t="s">
        <v>10011</v>
      </c>
    </row>
    <row r="2262" spans="1:2" x14ac:dyDescent="0.25">
      <c r="A2262" t="s">
        <v>10008</v>
      </c>
      <c r="B2262" t="s">
        <v>10008</v>
      </c>
    </row>
    <row r="2263" spans="1:2" x14ac:dyDescent="0.25">
      <c r="A2263" t="s">
        <v>10020</v>
      </c>
      <c r="B2263" t="s">
        <v>10020</v>
      </c>
    </row>
    <row r="2264" spans="1:2" x14ac:dyDescent="0.25">
      <c r="A2264" t="s">
        <v>10014</v>
      </c>
      <c r="B2264" t="s">
        <v>10014</v>
      </c>
    </row>
    <row r="2265" spans="1:2" x14ac:dyDescent="0.25">
      <c r="A2265" t="s">
        <v>6391</v>
      </c>
      <c r="B2265" t="s">
        <v>25798</v>
      </c>
    </row>
    <row r="2266" spans="1:2" x14ac:dyDescent="0.25">
      <c r="A2266" t="s">
        <v>5246</v>
      </c>
      <c r="B2266" t="s">
        <v>24692</v>
      </c>
    </row>
    <row r="2267" spans="1:2" x14ac:dyDescent="0.25">
      <c r="A2267" t="s">
        <v>5251</v>
      </c>
      <c r="B2267" t="s">
        <v>24700</v>
      </c>
    </row>
    <row r="2268" spans="1:2" x14ac:dyDescent="0.25">
      <c r="A2268" t="s">
        <v>5222</v>
      </c>
      <c r="B2268" t="s">
        <v>24662</v>
      </c>
    </row>
    <row r="2269" spans="1:2" x14ac:dyDescent="0.25">
      <c r="A2269" t="s">
        <v>5227</v>
      </c>
      <c r="B2269" t="s">
        <v>24668</v>
      </c>
    </row>
    <row r="2270" spans="1:2" x14ac:dyDescent="0.25">
      <c r="A2270" t="s">
        <v>5233</v>
      </c>
      <c r="B2270" t="s">
        <v>24671</v>
      </c>
    </row>
    <row r="2271" spans="1:2" x14ac:dyDescent="0.25">
      <c r="A2271" t="s">
        <v>5231</v>
      </c>
      <c r="B2271" t="s">
        <v>24670</v>
      </c>
    </row>
    <row r="2272" spans="1:2" x14ac:dyDescent="0.25">
      <c r="A2272" t="s">
        <v>5229</v>
      </c>
      <c r="B2272" t="s">
        <v>24669</v>
      </c>
    </row>
    <row r="2273" spans="1:2" x14ac:dyDescent="0.25">
      <c r="A2273" t="s">
        <v>5291</v>
      </c>
      <c r="B2273" t="s">
        <v>5291</v>
      </c>
    </row>
    <row r="2274" spans="1:2" x14ac:dyDescent="0.25">
      <c r="A2274" t="s">
        <v>3526</v>
      </c>
      <c r="B2274" t="s">
        <v>22601</v>
      </c>
    </row>
    <row r="2275" spans="1:2" x14ac:dyDescent="0.25">
      <c r="A2275" t="s">
        <v>3721</v>
      </c>
      <c r="B2275" t="s">
        <v>22856</v>
      </c>
    </row>
    <row r="2276" spans="1:2" x14ac:dyDescent="0.25">
      <c r="A2276" t="s">
        <v>3724</v>
      </c>
      <c r="B2276" t="s">
        <v>22859</v>
      </c>
    </row>
    <row r="2277" spans="1:2" x14ac:dyDescent="0.25">
      <c r="A2277" t="s">
        <v>3727</v>
      </c>
      <c r="B2277" t="s">
        <v>22862</v>
      </c>
    </row>
    <row r="2278" spans="1:2" x14ac:dyDescent="0.25">
      <c r="A2278" t="s">
        <v>5304</v>
      </c>
      <c r="B2278" t="s">
        <v>24752</v>
      </c>
    </row>
    <row r="2279" spans="1:2" x14ac:dyDescent="0.25">
      <c r="A2279" t="s">
        <v>5307</v>
      </c>
      <c r="B2279" t="s">
        <v>24757</v>
      </c>
    </row>
    <row r="2280" spans="1:2" x14ac:dyDescent="0.25">
      <c r="A2280" t="s">
        <v>5310</v>
      </c>
      <c r="B2280" t="s">
        <v>24762</v>
      </c>
    </row>
    <row r="2281" spans="1:2" x14ac:dyDescent="0.25">
      <c r="A2281" t="s">
        <v>3349</v>
      </c>
      <c r="B2281" t="s">
        <v>22342</v>
      </c>
    </row>
    <row r="2282" spans="1:2" x14ac:dyDescent="0.25">
      <c r="A2282" t="s">
        <v>4801</v>
      </c>
      <c r="B2282" t="s">
        <v>24263</v>
      </c>
    </row>
    <row r="2283" spans="1:2" x14ac:dyDescent="0.25">
      <c r="A2283" t="s">
        <v>10044</v>
      </c>
      <c r="B2283" t="s">
        <v>10044</v>
      </c>
    </row>
    <row r="2284" spans="1:2" x14ac:dyDescent="0.25">
      <c r="A2284" t="s">
        <v>3730</v>
      </c>
      <c r="B2284" t="s">
        <v>22866</v>
      </c>
    </row>
    <row r="2285" spans="1:2" x14ac:dyDescent="0.25">
      <c r="A2285" t="s">
        <v>5235</v>
      </c>
      <c r="B2285" t="s">
        <v>24672</v>
      </c>
    </row>
    <row r="2286" spans="1:2" x14ac:dyDescent="0.25">
      <c r="A2286" t="s">
        <v>5319</v>
      </c>
      <c r="B2286" t="s">
        <v>24773</v>
      </c>
    </row>
    <row r="2287" spans="1:2" x14ac:dyDescent="0.25">
      <c r="A2287" t="s">
        <v>3706</v>
      </c>
      <c r="B2287" t="s">
        <v>22841</v>
      </c>
    </row>
    <row r="2288" spans="1:2" x14ac:dyDescent="0.25">
      <c r="A2288" t="s">
        <v>3712</v>
      </c>
      <c r="B2288" t="s">
        <v>22846</v>
      </c>
    </row>
    <row r="2289" spans="1:2" x14ac:dyDescent="0.25">
      <c r="A2289" t="s">
        <v>5313</v>
      </c>
      <c r="B2289" t="s">
        <v>24763</v>
      </c>
    </row>
    <row r="2290" spans="1:2" x14ac:dyDescent="0.25">
      <c r="A2290" t="s">
        <v>5316</v>
      </c>
      <c r="B2290" t="s">
        <v>24768</v>
      </c>
    </row>
    <row r="2291" spans="1:2" x14ac:dyDescent="0.25">
      <c r="A2291" t="s">
        <v>5129</v>
      </c>
      <c r="B2291" t="s">
        <v>24533</v>
      </c>
    </row>
    <row r="2292" spans="1:2" x14ac:dyDescent="0.25">
      <c r="A2292" t="s">
        <v>5340</v>
      </c>
      <c r="B2292" t="s">
        <v>24804</v>
      </c>
    </row>
    <row r="2293" spans="1:2" x14ac:dyDescent="0.25">
      <c r="A2293" t="s">
        <v>5343</v>
      </c>
      <c r="B2293" t="s">
        <v>24809</v>
      </c>
    </row>
    <row r="2294" spans="1:2" x14ac:dyDescent="0.25">
      <c r="A2294" t="s">
        <v>5132</v>
      </c>
      <c r="B2294" t="s">
        <v>24538</v>
      </c>
    </row>
    <row r="2295" spans="1:2" x14ac:dyDescent="0.25">
      <c r="A2295" t="s">
        <v>5334</v>
      </c>
      <c r="B2295" t="s">
        <v>24794</v>
      </c>
    </row>
    <row r="2296" spans="1:2" x14ac:dyDescent="0.25">
      <c r="A2296" t="s">
        <v>5346</v>
      </c>
      <c r="B2296" t="s">
        <v>24814</v>
      </c>
    </row>
    <row r="2297" spans="1:2" x14ac:dyDescent="0.25">
      <c r="A2297" t="s">
        <v>5337</v>
      </c>
      <c r="B2297" t="s">
        <v>24799</v>
      </c>
    </row>
    <row r="2298" spans="1:2" x14ac:dyDescent="0.25">
      <c r="A2298" t="s">
        <v>5349</v>
      </c>
      <c r="B2298" t="s">
        <v>24819</v>
      </c>
    </row>
    <row r="2299" spans="1:2" x14ac:dyDescent="0.25">
      <c r="A2299" t="s">
        <v>3343</v>
      </c>
      <c r="B2299" t="s">
        <v>22333</v>
      </c>
    </row>
    <row r="2300" spans="1:2" x14ac:dyDescent="0.25">
      <c r="A2300" t="s">
        <v>10047</v>
      </c>
      <c r="B2300" t="s">
        <v>30457</v>
      </c>
    </row>
    <row r="2301" spans="1:2" x14ac:dyDescent="0.25">
      <c r="A2301" t="s">
        <v>3346</v>
      </c>
      <c r="B2301" t="s">
        <v>22337</v>
      </c>
    </row>
    <row r="2302" spans="1:2" x14ac:dyDescent="0.25">
      <c r="A2302" t="s">
        <v>5352</v>
      </c>
      <c r="B2302" t="s">
        <v>5352</v>
      </c>
    </row>
    <row r="2303" spans="1:2" x14ac:dyDescent="0.25">
      <c r="A2303" t="s">
        <v>5240</v>
      </c>
      <c r="B2303" t="s">
        <v>24682</v>
      </c>
    </row>
    <row r="2304" spans="1:2" x14ac:dyDescent="0.25">
      <c r="A2304" t="s">
        <v>7107</v>
      </c>
      <c r="B2304" t="s">
        <v>26754</v>
      </c>
    </row>
    <row r="2305" spans="1:2" x14ac:dyDescent="0.25">
      <c r="A2305" t="s">
        <v>5248</v>
      </c>
      <c r="B2305" t="s">
        <v>5248</v>
      </c>
    </row>
    <row r="2306" spans="1:2" x14ac:dyDescent="0.25">
      <c r="A2306" t="s">
        <v>5322</v>
      </c>
      <c r="B2306" t="s">
        <v>24774</v>
      </c>
    </row>
    <row r="2307" spans="1:2" x14ac:dyDescent="0.25">
      <c r="A2307" t="s">
        <v>5328</v>
      </c>
      <c r="B2307" t="s">
        <v>24784</v>
      </c>
    </row>
    <row r="2308" spans="1:2" x14ac:dyDescent="0.25">
      <c r="A2308" t="s">
        <v>5331</v>
      </c>
      <c r="B2308" t="s">
        <v>24789</v>
      </c>
    </row>
    <row r="2309" spans="1:2" x14ac:dyDescent="0.25">
      <c r="A2309" t="s">
        <v>5325</v>
      </c>
      <c r="B2309" t="s">
        <v>24779</v>
      </c>
    </row>
    <row r="2310" spans="1:2" x14ac:dyDescent="0.25">
      <c r="A2310" t="s">
        <v>3709</v>
      </c>
      <c r="B2310" t="s">
        <v>3709</v>
      </c>
    </row>
    <row r="2311" spans="1:2" x14ac:dyDescent="0.25">
      <c r="A2311" t="s">
        <v>5355</v>
      </c>
      <c r="B2311" t="s">
        <v>24828</v>
      </c>
    </row>
    <row r="2312" spans="1:2" x14ac:dyDescent="0.25">
      <c r="A2312" t="s">
        <v>3715</v>
      </c>
      <c r="B2312" t="s">
        <v>22849</v>
      </c>
    </row>
    <row r="2313" spans="1:2" x14ac:dyDescent="0.25">
      <c r="A2313" t="s">
        <v>3718</v>
      </c>
      <c r="B2313" t="s">
        <v>22852</v>
      </c>
    </row>
    <row r="2314" spans="1:2" x14ac:dyDescent="0.25">
      <c r="A2314" t="s">
        <v>10050</v>
      </c>
      <c r="B2314" t="s">
        <v>10050</v>
      </c>
    </row>
    <row r="2315" spans="1:2" x14ac:dyDescent="0.25">
      <c r="A2315" t="s">
        <v>5269</v>
      </c>
      <c r="B2315" t="s">
        <v>24713</v>
      </c>
    </row>
    <row r="2316" spans="1:2" x14ac:dyDescent="0.25">
      <c r="A2316" t="s">
        <v>6383</v>
      </c>
      <c r="B2316" t="s">
        <v>25794</v>
      </c>
    </row>
    <row r="2317" spans="1:2" x14ac:dyDescent="0.25">
      <c r="A2317" t="s">
        <v>5271</v>
      </c>
      <c r="B2317" t="s">
        <v>24714</v>
      </c>
    </row>
    <row r="2318" spans="1:2" x14ac:dyDescent="0.25">
      <c r="A2318" t="s">
        <v>5273</v>
      </c>
      <c r="B2318" t="s">
        <v>24715</v>
      </c>
    </row>
    <row r="2319" spans="1:2" x14ac:dyDescent="0.25">
      <c r="A2319" t="s">
        <v>5275</v>
      </c>
      <c r="B2319" t="s">
        <v>24716</v>
      </c>
    </row>
    <row r="2320" spans="1:2" x14ac:dyDescent="0.25">
      <c r="A2320" t="s">
        <v>6291</v>
      </c>
      <c r="B2320" t="s">
        <v>25748</v>
      </c>
    </row>
    <row r="2321" spans="1:2" x14ac:dyDescent="0.25">
      <c r="A2321" t="s">
        <v>6289</v>
      </c>
      <c r="B2321" t="s">
        <v>25747</v>
      </c>
    </row>
    <row r="2322" spans="1:2" x14ac:dyDescent="0.25">
      <c r="A2322" t="s">
        <v>6287</v>
      </c>
      <c r="B2322" t="s">
        <v>25746</v>
      </c>
    </row>
    <row r="2323" spans="1:2" x14ac:dyDescent="0.25">
      <c r="A2323" t="s">
        <v>6285</v>
      </c>
      <c r="B2323" t="s">
        <v>25745</v>
      </c>
    </row>
    <row r="2324" spans="1:2" x14ac:dyDescent="0.25">
      <c r="A2324" t="s">
        <v>6293</v>
      </c>
      <c r="B2324" t="s">
        <v>25749</v>
      </c>
    </row>
    <row r="2325" spans="1:2" x14ac:dyDescent="0.25">
      <c r="A2325" t="s">
        <v>6379</v>
      </c>
      <c r="B2325" t="s">
        <v>25792</v>
      </c>
    </row>
    <row r="2326" spans="1:2" x14ac:dyDescent="0.25">
      <c r="A2326" t="s">
        <v>5285</v>
      </c>
      <c r="B2326" t="s">
        <v>24728</v>
      </c>
    </row>
    <row r="2327" spans="1:2" x14ac:dyDescent="0.25">
      <c r="A2327" t="s">
        <v>5287</v>
      </c>
      <c r="B2327" t="s">
        <v>24733</v>
      </c>
    </row>
    <row r="2328" spans="1:2" x14ac:dyDescent="0.25">
      <c r="A2328" t="s">
        <v>5289</v>
      </c>
      <c r="B2328" t="s">
        <v>24738</v>
      </c>
    </row>
    <row r="2329" spans="1:2" x14ac:dyDescent="0.25">
      <c r="A2329" t="s">
        <v>10053</v>
      </c>
      <c r="B2329" t="s">
        <v>10053</v>
      </c>
    </row>
    <row r="2330" spans="1:2" x14ac:dyDescent="0.25">
      <c r="A2330" t="s">
        <v>10059</v>
      </c>
      <c r="B2330" t="s">
        <v>10059</v>
      </c>
    </row>
    <row r="2331" spans="1:2" x14ac:dyDescent="0.25">
      <c r="A2331" t="s">
        <v>10056</v>
      </c>
      <c r="B2331" t="s">
        <v>30470</v>
      </c>
    </row>
    <row r="2332" spans="1:2" x14ac:dyDescent="0.25">
      <c r="A2332" t="s">
        <v>5219</v>
      </c>
      <c r="B2332" t="s">
        <v>24657</v>
      </c>
    </row>
    <row r="2333" spans="1:2" x14ac:dyDescent="0.25">
      <c r="A2333" t="s">
        <v>2853</v>
      </c>
      <c r="B2333" t="s">
        <v>21845</v>
      </c>
    </row>
    <row r="2334" spans="1:2" x14ac:dyDescent="0.25">
      <c r="A2334" t="s">
        <v>5259</v>
      </c>
      <c r="B2334" t="s">
        <v>24704</v>
      </c>
    </row>
    <row r="2335" spans="1:2" x14ac:dyDescent="0.25">
      <c r="A2335" t="s">
        <v>5261</v>
      </c>
      <c r="B2335" t="s">
        <v>24705</v>
      </c>
    </row>
    <row r="2336" spans="1:2" x14ac:dyDescent="0.25">
      <c r="A2336" t="s">
        <v>5301</v>
      </c>
      <c r="B2336" t="s">
        <v>5301</v>
      </c>
    </row>
    <row r="2337" spans="1:2" x14ac:dyDescent="0.25">
      <c r="A2337" t="s">
        <v>10062</v>
      </c>
      <c r="B2337" t="s">
        <v>30478</v>
      </c>
    </row>
    <row r="2338" spans="1:2" x14ac:dyDescent="0.25">
      <c r="A2338" t="s">
        <v>5266</v>
      </c>
      <c r="B2338" t="s">
        <v>24709</v>
      </c>
    </row>
    <row r="2339" spans="1:2" x14ac:dyDescent="0.25">
      <c r="A2339" t="s">
        <v>10113</v>
      </c>
      <c r="B2339" t="s">
        <v>10113</v>
      </c>
    </row>
    <row r="2340" spans="1:2" x14ac:dyDescent="0.25">
      <c r="A2340" t="s">
        <v>10125</v>
      </c>
      <c r="B2340" t="s">
        <v>10125</v>
      </c>
    </row>
    <row r="2341" spans="1:2" x14ac:dyDescent="0.25">
      <c r="A2341" t="s">
        <v>5378</v>
      </c>
      <c r="B2341" t="s">
        <v>24855</v>
      </c>
    </row>
    <row r="2342" spans="1:2" x14ac:dyDescent="0.25">
      <c r="A2342" t="s">
        <v>10131</v>
      </c>
      <c r="B2342" t="s">
        <v>10131</v>
      </c>
    </row>
    <row r="2343" spans="1:2" x14ac:dyDescent="0.25">
      <c r="A2343" t="s">
        <v>5380</v>
      </c>
      <c r="B2343" t="s">
        <v>24856</v>
      </c>
    </row>
    <row r="2344" spans="1:2" x14ac:dyDescent="0.25">
      <c r="A2344" t="s">
        <v>4970</v>
      </c>
      <c r="B2344" t="s">
        <v>24375</v>
      </c>
    </row>
    <row r="2345" spans="1:2" x14ac:dyDescent="0.25">
      <c r="A2345" t="s">
        <v>4958</v>
      </c>
      <c r="B2345" t="s">
        <v>24357</v>
      </c>
    </row>
    <row r="2346" spans="1:2" x14ac:dyDescent="0.25">
      <c r="A2346" t="s">
        <v>4961</v>
      </c>
      <c r="B2346" t="s">
        <v>24361</v>
      </c>
    </row>
    <row r="2347" spans="1:2" x14ac:dyDescent="0.25">
      <c r="A2347" t="s">
        <v>4964</v>
      </c>
      <c r="B2347" t="s">
        <v>24365</v>
      </c>
    </row>
    <row r="2348" spans="1:2" x14ac:dyDescent="0.25">
      <c r="A2348" t="s">
        <v>4979</v>
      </c>
      <c r="B2348" t="s">
        <v>24385</v>
      </c>
    </row>
    <row r="2349" spans="1:2" x14ac:dyDescent="0.25">
      <c r="A2349" t="s">
        <v>4967</v>
      </c>
      <c r="B2349" t="s">
        <v>24370</v>
      </c>
    </row>
    <row r="2350" spans="1:2" x14ac:dyDescent="0.25">
      <c r="A2350" t="s">
        <v>4973</v>
      </c>
      <c r="B2350" t="s">
        <v>24380</v>
      </c>
    </row>
    <row r="2351" spans="1:2" x14ac:dyDescent="0.25">
      <c r="A2351" t="s">
        <v>5382</v>
      </c>
      <c r="B2351" t="s">
        <v>24857</v>
      </c>
    </row>
    <row r="2352" spans="1:2" x14ac:dyDescent="0.25">
      <c r="A2352" t="s">
        <v>4976</v>
      </c>
      <c r="B2352" t="s">
        <v>24381</v>
      </c>
    </row>
    <row r="2353" spans="1:2" x14ac:dyDescent="0.25">
      <c r="A2353" t="s">
        <v>10152</v>
      </c>
      <c r="B2353" t="s">
        <v>10152</v>
      </c>
    </row>
    <row r="2354" spans="1:2" x14ac:dyDescent="0.25">
      <c r="A2354" t="s">
        <v>10155</v>
      </c>
      <c r="B2354" t="s">
        <v>10155</v>
      </c>
    </row>
    <row r="2355" spans="1:2" x14ac:dyDescent="0.25">
      <c r="A2355" t="s">
        <v>10158</v>
      </c>
      <c r="B2355" t="s">
        <v>10158</v>
      </c>
    </row>
    <row r="2356" spans="1:2" x14ac:dyDescent="0.25">
      <c r="A2356" t="s">
        <v>10149</v>
      </c>
      <c r="B2356" t="s">
        <v>10149</v>
      </c>
    </row>
    <row r="2357" spans="1:2" x14ac:dyDescent="0.25">
      <c r="A2357" t="s">
        <v>5384</v>
      </c>
      <c r="B2357" t="s">
        <v>24862</v>
      </c>
    </row>
    <row r="2358" spans="1:2" x14ac:dyDescent="0.25">
      <c r="A2358" t="s">
        <v>5386</v>
      </c>
      <c r="B2358" t="s">
        <v>24863</v>
      </c>
    </row>
    <row r="2359" spans="1:2" x14ac:dyDescent="0.25">
      <c r="A2359" t="s">
        <v>10161</v>
      </c>
      <c r="B2359" t="s">
        <v>10161</v>
      </c>
    </row>
    <row r="2360" spans="1:2" x14ac:dyDescent="0.25">
      <c r="A2360" t="s">
        <v>10164</v>
      </c>
      <c r="B2360" t="s">
        <v>30611</v>
      </c>
    </row>
    <row r="2361" spans="1:2" x14ac:dyDescent="0.25">
      <c r="A2361" t="s">
        <v>5423</v>
      </c>
      <c r="B2361" t="s">
        <v>24886</v>
      </c>
    </row>
    <row r="2362" spans="1:2" x14ac:dyDescent="0.25">
      <c r="A2362" t="s">
        <v>5388</v>
      </c>
      <c r="B2362" t="s">
        <v>24864</v>
      </c>
    </row>
    <row r="2363" spans="1:2" x14ac:dyDescent="0.25">
      <c r="A2363" t="s">
        <v>5390</v>
      </c>
      <c r="B2363" t="s">
        <v>24865</v>
      </c>
    </row>
    <row r="2364" spans="1:2" x14ac:dyDescent="0.25">
      <c r="A2364" t="s">
        <v>5417</v>
      </c>
      <c r="B2364" t="s">
        <v>5417</v>
      </c>
    </row>
    <row r="2365" spans="1:2" x14ac:dyDescent="0.25">
      <c r="A2365" t="s">
        <v>5420</v>
      </c>
      <c r="B2365" t="s">
        <v>24885</v>
      </c>
    </row>
    <row r="2366" spans="1:2" x14ac:dyDescent="0.25">
      <c r="A2366" t="s">
        <v>10167</v>
      </c>
      <c r="B2366" t="s">
        <v>30616</v>
      </c>
    </row>
    <row r="2367" spans="1:2" x14ac:dyDescent="0.25">
      <c r="A2367" t="s">
        <v>10170</v>
      </c>
      <c r="B2367" t="s">
        <v>30621</v>
      </c>
    </row>
    <row r="2368" spans="1:2" x14ac:dyDescent="0.25">
      <c r="A2368" t="s">
        <v>10173</v>
      </c>
      <c r="B2368" t="s">
        <v>30626</v>
      </c>
    </row>
    <row r="2369" spans="1:2" x14ac:dyDescent="0.25">
      <c r="A2369" t="s">
        <v>10176</v>
      </c>
      <c r="B2369" t="s">
        <v>30631</v>
      </c>
    </row>
    <row r="2370" spans="1:2" x14ac:dyDescent="0.25">
      <c r="A2370" t="s">
        <v>10182</v>
      </c>
      <c r="B2370" t="s">
        <v>30641</v>
      </c>
    </row>
    <row r="2371" spans="1:2" x14ac:dyDescent="0.25">
      <c r="A2371" t="s">
        <v>10179</v>
      </c>
      <c r="B2371" t="s">
        <v>30636</v>
      </c>
    </row>
    <row r="2372" spans="1:2" x14ac:dyDescent="0.25">
      <c r="A2372" t="s">
        <v>6313</v>
      </c>
      <c r="B2372" t="s">
        <v>25759</v>
      </c>
    </row>
    <row r="2373" spans="1:2" x14ac:dyDescent="0.25">
      <c r="A2373" t="s">
        <v>6231</v>
      </c>
      <c r="B2373" t="s">
        <v>25718</v>
      </c>
    </row>
    <row r="2374" spans="1:2" x14ac:dyDescent="0.25">
      <c r="A2374" t="s">
        <v>6353</v>
      </c>
      <c r="B2374" t="s">
        <v>25779</v>
      </c>
    </row>
    <row r="2375" spans="1:2" x14ac:dyDescent="0.25">
      <c r="A2375" t="s">
        <v>6335</v>
      </c>
      <c r="B2375" t="s">
        <v>25770</v>
      </c>
    </row>
    <row r="2376" spans="1:2" x14ac:dyDescent="0.25">
      <c r="A2376" t="s">
        <v>6309</v>
      </c>
      <c r="B2376" t="s">
        <v>25757</v>
      </c>
    </row>
    <row r="2377" spans="1:2" x14ac:dyDescent="0.25">
      <c r="A2377" t="s">
        <v>5394</v>
      </c>
      <c r="B2377" t="s">
        <v>24867</v>
      </c>
    </row>
    <row r="2378" spans="1:2" x14ac:dyDescent="0.25">
      <c r="A2378" t="s">
        <v>5392</v>
      </c>
      <c r="B2378" t="s">
        <v>24866</v>
      </c>
    </row>
    <row r="2379" spans="1:2" x14ac:dyDescent="0.25">
      <c r="A2379" t="s">
        <v>5061</v>
      </c>
      <c r="B2379" t="s">
        <v>24466</v>
      </c>
    </row>
    <row r="2380" spans="1:2" x14ac:dyDescent="0.25">
      <c r="A2380" t="s">
        <v>5063</v>
      </c>
      <c r="B2380" t="s">
        <v>24467</v>
      </c>
    </row>
    <row r="2381" spans="1:2" x14ac:dyDescent="0.25">
      <c r="A2381" t="s">
        <v>5358</v>
      </c>
      <c r="B2381" t="s">
        <v>24833</v>
      </c>
    </row>
    <row r="2382" spans="1:2" x14ac:dyDescent="0.25">
      <c r="A2382" t="s">
        <v>5396</v>
      </c>
      <c r="B2382" t="s">
        <v>24868</v>
      </c>
    </row>
    <row r="2383" spans="1:2" x14ac:dyDescent="0.25">
      <c r="A2383" t="s">
        <v>5065</v>
      </c>
      <c r="B2383" t="s">
        <v>24468</v>
      </c>
    </row>
    <row r="2384" spans="1:2" x14ac:dyDescent="0.25">
      <c r="A2384" t="s">
        <v>5067</v>
      </c>
      <c r="B2384" t="s">
        <v>24469</v>
      </c>
    </row>
    <row r="2385" spans="1:2" x14ac:dyDescent="0.25">
      <c r="A2385" t="s">
        <v>5069</v>
      </c>
      <c r="B2385" t="s">
        <v>24470</v>
      </c>
    </row>
    <row r="2386" spans="1:2" x14ac:dyDescent="0.25">
      <c r="A2386" t="s">
        <v>5071</v>
      </c>
      <c r="B2386" t="s">
        <v>24471</v>
      </c>
    </row>
    <row r="2387" spans="1:2" x14ac:dyDescent="0.25">
      <c r="A2387" t="s">
        <v>5398</v>
      </c>
      <c r="B2387" t="s">
        <v>24869</v>
      </c>
    </row>
    <row r="2388" spans="1:2" x14ac:dyDescent="0.25">
      <c r="A2388" t="s">
        <v>5400</v>
      </c>
      <c r="B2388" t="s">
        <v>24870</v>
      </c>
    </row>
    <row r="2389" spans="1:2" x14ac:dyDescent="0.25">
      <c r="A2389" t="s">
        <v>5402</v>
      </c>
      <c r="B2389" t="s">
        <v>24871</v>
      </c>
    </row>
    <row r="2390" spans="1:2" x14ac:dyDescent="0.25">
      <c r="A2390" t="s">
        <v>5404</v>
      </c>
      <c r="B2390" t="s">
        <v>24872</v>
      </c>
    </row>
    <row r="2391" spans="1:2" x14ac:dyDescent="0.25">
      <c r="A2391" t="s">
        <v>5406</v>
      </c>
      <c r="B2391" t="s">
        <v>24873</v>
      </c>
    </row>
    <row r="2392" spans="1:2" x14ac:dyDescent="0.25">
      <c r="A2392" t="s">
        <v>5408</v>
      </c>
      <c r="B2392" t="s">
        <v>24874</v>
      </c>
    </row>
    <row r="2393" spans="1:2" x14ac:dyDescent="0.25">
      <c r="A2393" t="s">
        <v>10107</v>
      </c>
      <c r="B2393" t="s">
        <v>10107</v>
      </c>
    </row>
    <row r="2394" spans="1:2" x14ac:dyDescent="0.25">
      <c r="A2394" t="s">
        <v>10185</v>
      </c>
      <c r="B2394" t="s">
        <v>30645</v>
      </c>
    </row>
    <row r="2395" spans="1:2" x14ac:dyDescent="0.25">
      <c r="A2395" t="s">
        <v>10194</v>
      </c>
      <c r="B2395" t="s">
        <v>10194</v>
      </c>
    </row>
    <row r="2396" spans="1:2" x14ac:dyDescent="0.25">
      <c r="A2396" t="s">
        <v>10188</v>
      </c>
      <c r="B2396" t="s">
        <v>30650</v>
      </c>
    </row>
    <row r="2397" spans="1:2" x14ac:dyDescent="0.25">
      <c r="A2397" t="s">
        <v>10206</v>
      </c>
      <c r="B2397" t="s">
        <v>10206</v>
      </c>
    </row>
    <row r="2398" spans="1:2" x14ac:dyDescent="0.25">
      <c r="A2398" t="s">
        <v>10212</v>
      </c>
      <c r="B2398" t="s">
        <v>10212</v>
      </c>
    </row>
    <row r="2399" spans="1:2" x14ac:dyDescent="0.25">
      <c r="A2399" t="s">
        <v>10215</v>
      </c>
      <c r="B2399" t="s">
        <v>10215</v>
      </c>
    </row>
    <row r="2400" spans="1:2" x14ac:dyDescent="0.25">
      <c r="A2400" t="s">
        <v>5429</v>
      </c>
      <c r="B2400" t="s">
        <v>5429</v>
      </c>
    </row>
    <row r="2401" spans="1:2" x14ac:dyDescent="0.25">
      <c r="A2401" t="s">
        <v>5432</v>
      </c>
      <c r="B2401" t="s">
        <v>5432</v>
      </c>
    </row>
    <row r="2402" spans="1:2" x14ac:dyDescent="0.25">
      <c r="A2402" t="s">
        <v>10230</v>
      </c>
      <c r="B2402" t="s">
        <v>10230</v>
      </c>
    </row>
    <row r="2403" spans="1:2" x14ac:dyDescent="0.25">
      <c r="A2403" t="s">
        <v>10110</v>
      </c>
      <c r="B2403" t="s">
        <v>30542</v>
      </c>
    </row>
    <row r="2404" spans="1:2" x14ac:dyDescent="0.25">
      <c r="A2404" t="s">
        <v>10116</v>
      </c>
      <c r="B2404" t="s">
        <v>30550</v>
      </c>
    </row>
    <row r="2405" spans="1:2" x14ac:dyDescent="0.25">
      <c r="A2405" t="s">
        <v>10095</v>
      </c>
      <c r="B2405" t="s">
        <v>30521</v>
      </c>
    </row>
    <row r="2406" spans="1:2" x14ac:dyDescent="0.25">
      <c r="A2406" t="s">
        <v>10092</v>
      </c>
      <c r="B2406" t="s">
        <v>30517</v>
      </c>
    </row>
    <row r="2407" spans="1:2" x14ac:dyDescent="0.25">
      <c r="A2407" t="s">
        <v>10086</v>
      </c>
      <c r="B2407" t="s">
        <v>10086</v>
      </c>
    </row>
    <row r="2408" spans="1:2" x14ac:dyDescent="0.25">
      <c r="A2408" t="s">
        <v>10089</v>
      </c>
      <c r="B2408" t="s">
        <v>30513</v>
      </c>
    </row>
    <row r="2409" spans="1:2" x14ac:dyDescent="0.25">
      <c r="A2409" t="s">
        <v>10122</v>
      </c>
      <c r="B2409" t="s">
        <v>10122</v>
      </c>
    </row>
    <row r="2410" spans="1:2" x14ac:dyDescent="0.25">
      <c r="A2410" t="s">
        <v>10119</v>
      </c>
      <c r="B2410" t="s">
        <v>10119</v>
      </c>
    </row>
    <row r="2411" spans="1:2" x14ac:dyDescent="0.25">
      <c r="A2411" t="s">
        <v>10101</v>
      </c>
      <c r="B2411" t="s">
        <v>10101</v>
      </c>
    </row>
    <row r="2412" spans="1:2" x14ac:dyDescent="0.25">
      <c r="A2412" t="s">
        <v>10128</v>
      </c>
      <c r="B2412" t="s">
        <v>10128</v>
      </c>
    </row>
    <row r="2413" spans="1:2" x14ac:dyDescent="0.25">
      <c r="A2413" t="s">
        <v>10137</v>
      </c>
      <c r="B2413" t="s">
        <v>30577</v>
      </c>
    </row>
    <row r="2414" spans="1:2" x14ac:dyDescent="0.25">
      <c r="A2414" t="s">
        <v>10134</v>
      </c>
      <c r="B2414" t="s">
        <v>30572</v>
      </c>
    </row>
    <row r="2415" spans="1:2" x14ac:dyDescent="0.25">
      <c r="A2415" t="s">
        <v>10143</v>
      </c>
      <c r="B2415" t="s">
        <v>30587</v>
      </c>
    </row>
    <row r="2416" spans="1:2" x14ac:dyDescent="0.25">
      <c r="A2416" t="s">
        <v>10140</v>
      </c>
      <c r="B2416" t="s">
        <v>30582</v>
      </c>
    </row>
    <row r="2417" spans="1:2" x14ac:dyDescent="0.25">
      <c r="A2417" t="s">
        <v>10146</v>
      </c>
      <c r="B2417" t="s">
        <v>30592</v>
      </c>
    </row>
    <row r="2418" spans="1:2" x14ac:dyDescent="0.25">
      <c r="A2418" t="s">
        <v>5412</v>
      </c>
      <c r="B2418" t="s">
        <v>24876</v>
      </c>
    </row>
    <row r="2419" spans="1:2" x14ac:dyDescent="0.25">
      <c r="A2419" t="s">
        <v>10098</v>
      </c>
      <c r="B2419" t="s">
        <v>30525</v>
      </c>
    </row>
    <row r="2420" spans="1:2" x14ac:dyDescent="0.25">
      <c r="A2420" t="s">
        <v>10191</v>
      </c>
      <c r="B2420" t="s">
        <v>10191</v>
      </c>
    </row>
    <row r="2421" spans="1:2" x14ac:dyDescent="0.25">
      <c r="A2421" t="s">
        <v>10197</v>
      </c>
      <c r="B2421" t="s">
        <v>10197</v>
      </c>
    </row>
    <row r="2422" spans="1:2" x14ac:dyDescent="0.25">
      <c r="A2422" t="s">
        <v>10074</v>
      </c>
      <c r="B2422" t="s">
        <v>30495</v>
      </c>
    </row>
    <row r="2423" spans="1:2" x14ac:dyDescent="0.25">
      <c r="A2423" t="s">
        <v>10068</v>
      </c>
      <c r="B2423" t="s">
        <v>10068</v>
      </c>
    </row>
    <row r="2424" spans="1:2" x14ac:dyDescent="0.25">
      <c r="A2424" t="s">
        <v>10077</v>
      </c>
      <c r="B2424" t="s">
        <v>10077</v>
      </c>
    </row>
    <row r="2425" spans="1:2" x14ac:dyDescent="0.25">
      <c r="A2425" t="s">
        <v>10080</v>
      </c>
      <c r="B2425" t="s">
        <v>30502</v>
      </c>
    </row>
    <row r="2426" spans="1:2" x14ac:dyDescent="0.25">
      <c r="A2426" t="s">
        <v>10071</v>
      </c>
      <c r="B2426" t="s">
        <v>30491</v>
      </c>
    </row>
    <row r="2427" spans="1:2" x14ac:dyDescent="0.25">
      <c r="A2427" t="s">
        <v>10083</v>
      </c>
      <c r="B2427" t="s">
        <v>30506</v>
      </c>
    </row>
    <row r="2428" spans="1:2" x14ac:dyDescent="0.25">
      <c r="A2428" t="s">
        <v>10200</v>
      </c>
      <c r="B2428" t="s">
        <v>10200</v>
      </c>
    </row>
    <row r="2429" spans="1:2" x14ac:dyDescent="0.25">
      <c r="A2429" t="s">
        <v>10203</v>
      </c>
      <c r="B2429" t="s">
        <v>10203</v>
      </c>
    </row>
    <row r="2430" spans="1:2" x14ac:dyDescent="0.25">
      <c r="A2430" t="s">
        <v>10221</v>
      </c>
      <c r="B2430" t="s">
        <v>10221</v>
      </c>
    </row>
    <row r="2431" spans="1:2" x14ac:dyDescent="0.25">
      <c r="A2431" t="s">
        <v>10209</v>
      </c>
      <c r="B2431" t="s">
        <v>10209</v>
      </c>
    </row>
    <row r="2432" spans="1:2" x14ac:dyDescent="0.25">
      <c r="A2432" t="s">
        <v>10218</v>
      </c>
      <c r="B2432" t="s">
        <v>10218</v>
      </c>
    </row>
    <row r="2433" spans="1:2" x14ac:dyDescent="0.25">
      <c r="A2433" t="s">
        <v>10224</v>
      </c>
      <c r="B2433" t="s">
        <v>10224</v>
      </c>
    </row>
    <row r="2434" spans="1:2" x14ac:dyDescent="0.25">
      <c r="A2434" t="s">
        <v>10065</v>
      </c>
      <c r="B2434" t="s">
        <v>30483</v>
      </c>
    </row>
    <row r="2435" spans="1:2" x14ac:dyDescent="0.25">
      <c r="A2435" t="s">
        <v>10233</v>
      </c>
      <c r="B2435" t="s">
        <v>10233</v>
      </c>
    </row>
    <row r="2436" spans="1:2" x14ac:dyDescent="0.25">
      <c r="A2436" t="s">
        <v>10236</v>
      </c>
      <c r="B2436" t="s">
        <v>30711</v>
      </c>
    </row>
    <row r="2437" spans="1:2" x14ac:dyDescent="0.25">
      <c r="A2437" t="s">
        <v>10227</v>
      </c>
      <c r="B2437" t="s">
        <v>10227</v>
      </c>
    </row>
    <row r="2438" spans="1:2" x14ac:dyDescent="0.25">
      <c r="A2438" t="s">
        <v>10242</v>
      </c>
      <c r="B2438" t="s">
        <v>10242</v>
      </c>
    </row>
    <row r="2439" spans="1:2" x14ac:dyDescent="0.25">
      <c r="A2439" t="s">
        <v>10104</v>
      </c>
      <c r="B2439" t="s">
        <v>30533</v>
      </c>
    </row>
    <row r="2440" spans="1:2" x14ac:dyDescent="0.25">
      <c r="A2440" t="s">
        <v>10245</v>
      </c>
      <c r="B2440" t="s">
        <v>10245</v>
      </c>
    </row>
    <row r="2441" spans="1:2" x14ac:dyDescent="0.25">
      <c r="A2441" t="s">
        <v>10239</v>
      </c>
      <c r="B2441" t="s">
        <v>30715</v>
      </c>
    </row>
    <row r="2442" spans="1:2" x14ac:dyDescent="0.25">
      <c r="A2442" t="s">
        <v>10248</v>
      </c>
      <c r="B2442" t="s">
        <v>30728</v>
      </c>
    </row>
    <row r="2443" spans="1:2" x14ac:dyDescent="0.25">
      <c r="A2443" t="s">
        <v>10254</v>
      </c>
      <c r="B2443" t="s">
        <v>30738</v>
      </c>
    </row>
    <row r="2444" spans="1:2" x14ac:dyDescent="0.25">
      <c r="A2444" t="s">
        <v>5360</v>
      </c>
      <c r="B2444" t="s">
        <v>24834</v>
      </c>
    </row>
    <row r="2445" spans="1:2" x14ac:dyDescent="0.25">
      <c r="A2445" t="s">
        <v>5363</v>
      </c>
      <c r="B2445" t="s">
        <v>24839</v>
      </c>
    </row>
    <row r="2446" spans="1:2" x14ac:dyDescent="0.25">
      <c r="A2446" t="s">
        <v>5366</v>
      </c>
      <c r="B2446" t="s">
        <v>24842</v>
      </c>
    </row>
    <row r="2447" spans="1:2" x14ac:dyDescent="0.25">
      <c r="A2447" t="s">
        <v>5369</v>
      </c>
      <c r="B2447" t="s">
        <v>24845</v>
      </c>
    </row>
    <row r="2448" spans="1:2" x14ac:dyDescent="0.25">
      <c r="A2448" t="s">
        <v>10251</v>
      </c>
      <c r="B2448" t="s">
        <v>30733</v>
      </c>
    </row>
    <row r="2449" spans="1:2" x14ac:dyDescent="0.25">
      <c r="A2449" t="s">
        <v>5414</v>
      </c>
      <c r="B2449" t="s">
        <v>24877</v>
      </c>
    </row>
    <row r="2450" spans="1:2" x14ac:dyDescent="0.25">
      <c r="A2450" t="s">
        <v>5435</v>
      </c>
      <c r="B2450" t="s">
        <v>5435</v>
      </c>
    </row>
    <row r="2451" spans="1:2" x14ac:dyDescent="0.25">
      <c r="A2451" t="s">
        <v>5438</v>
      </c>
      <c r="B2451" t="s">
        <v>15369</v>
      </c>
    </row>
    <row r="2452" spans="1:2" x14ac:dyDescent="0.25">
      <c r="A2452" t="s">
        <v>5441</v>
      </c>
      <c r="B2452" t="s">
        <v>24905</v>
      </c>
    </row>
    <row r="2453" spans="1:2" x14ac:dyDescent="0.25">
      <c r="A2453" t="s">
        <v>10257</v>
      </c>
      <c r="B2453" t="s">
        <v>10257</v>
      </c>
    </row>
    <row r="2454" spans="1:2" x14ac:dyDescent="0.25">
      <c r="A2454" t="s">
        <v>10260</v>
      </c>
      <c r="B2454" t="s">
        <v>10260</v>
      </c>
    </row>
    <row r="2455" spans="1:2" x14ac:dyDescent="0.25">
      <c r="A2455" t="s">
        <v>5375</v>
      </c>
      <c r="B2455" t="s">
        <v>24851</v>
      </c>
    </row>
    <row r="2456" spans="1:2" x14ac:dyDescent="0.25">
      <c r="A2456" t="s">
        <v>5426</v>
      </c>
      <c r="B2456" t="s">
        <v>24890</v>
      </c>
    </row>
    <row r="2457" spans="1:2" x14ac:dyDescent="0.25">
      <c r="A2457" t="s">
        <v>10266</v>
      </c>
      <c r="B2457" t="s">
        <v>30756</v>
      </c>
    </row>
    <row r="2458" spans="1:2" x14ac:dyDescent="0.25">
      <c r="A2458" t="s">
        <v>10269</v>
      </c>
      <c r="B2458" t="s">
        <v>30760</v>
      </c>
    </row>
    <row r="2459" spans="1:2" x14ac:dyDescent="0.25">
      <c r="A2459" t="s">
        <v>10263</v>
      </c>
      <c r="B2459" t="s">
        <v>30751</v>
      </c>
    </row>
    <row r="2460" spans="1:2" x14ac:dyDescent="0.25">
      <c r="A2460" t="s">
        <v>10272</v>
      </c>
      <c r="B2460" t="s">
        <v>30765</v>
      </c>
    </row>
    <row r="2461" spans="1:2" x14ac:dyDescent="0.25">
      <c r="A2461" t="s">
        <v>10275</v>
      </c>
      <c r="B2461" t="s">
        <v>30769</v>
      </c>
    </row>
    <row r="2462" spans="1:2" x14ac:dyDescent="0.25">
      <c r="A2462" t="s">
        <v>10278</v>
      </c>
      <c r="B2462" t="s">
        <v>30774</v>
      </c>
    </row>
    <row r="2463" spans="1:2" x14ac:dyDescent="0.25">
      <c r="A2463" t="s">
        <v>5444</v>
      </c>
      <c r="B2463" t="s">
        <v>24910</v>
      </c>
    </row>
    <row r="2464" spans="1:2" x14ac:dyDescent="0.25">
      <c r="A2464" t="s">
        <v>5468</v>
      </c>
      <c r="B2464" t="s">
        <v>24935</v>
      </c>
    </row>
    <row r="2465" spans="1:2" x14ac:dyDescent="0.25">
      <c r="A2465" t="s">
        <v>5447</v>
      </c>
      <c r="B2465" t="s">
        <v>24914</v>
      </c>
    </row>
    <row r="2466" spans="1:2" x14ac:dyDescent="0.25">
      <c r="A2466" t="s">
        <v>5450</v>
      </c>
      <c r="B2466" t="s">
        <v>24919</v>
      </c>
    </row>
    <row r="2467" spans="1:2" x14ac:dyDescent="0.25">
      <c r="A2467" t="s">
        <v>5453</v>
      </c>
      <c r="B2467" t="s">
        <v>24924</v>
      </c>
    </row>
    <row r="2468" spans="1:2" x14ac:dyDescent="0.25">
      <c r="A2468" t="s">
        <v>5471</v>
      </c>
      <c r="B2468" t="s">
        <v>24940</v>
      </c>
    </row>
    <row r="2469" spans="1:2" x14ac:dyDescent="0.25">
      <c r="A2469" t="s">
        <v>5510</v>
      </c>
      <c r="B2469" t="s">
        <v>24963</v>
      </c>
    </row>
    <row r="2470" spans="1:2" x14ac:dyDescent="0.25">
      <c r="A2470" t="s">
        <v>6989</v>
      </c>
      <c r="B2470" t="s">
        <v>26619</v>
      </c>
    </row>
    <row r="2471" spans="1:2" x14ac:dyDescent="0.25">
      <c r="A2471" t="s">
        <v>6187</v>
      </c>
      <c r="B2471" t="s">
        <v>25696</v>
      </c>
    </row>
    <row r="2472" spans="1:2" x14ac:dyDescent="0.25">
      <c r="A2472" t="s">
        <v>7100</v>
      </c>
      <c r="B2472" t="s">
        <v>26745</v>
      </c>
    </row>
    <row r="2473" spans="1:2" x14ac:dyDescent="0.25">
      <c r="A2473" t="s">
        <v>7859</v>
      </c>
      <c r="B2473" t="s">
        <v>27582</v>
      </c>
    </row>
    <row r="2474" spans="1:2" x14ac:dyDescent="0.25">
      <c r="A2474" t="s">
        <v>6269</v>
      </c>
      <c r="B2474" t="s">
        <v>25737</v>
      </c>
    </row>
    <row r="2475" spans="1:2" x14ac:dyDescent="0.25">
      <c r="A2475" t="s">
        <v>6377</v>
      </c>
      <c r="B2475" t="s">
        <v>25791</v>
      </c>
    </row>
    <row r="2476" spans="1:2" x14ac:dyDescent="0.25">
      <c r="A2476" t="s">
        <v>10281</v>
      </c>
      <c r="B2476" t="s">
        <v>30779</v>
      </c>
    </row>
    <row r="2477" spans="1:2" x14ac:dyDescent="0.25">
      <c r="A2477" t="s">
        <v>5456</v>
      </c>
      <c r="B2477" t="s">
        <v>24929</v>
      </c>
    </row>
    <row r="2478" spans="1:2" x14ac:dyDescent="0.25">
      <c r="A2478" t="s">
        <v>10284</v>
      </c>
      <c r="B2478" t="s">
        <v>10284</v>
      </c>
    </row>
    <row r="2479" spans="1:2" x14ac:dyDescent="0.25">
      <c r="A2479" t="s">
        <v>10287</v>
      </c>
      <c r="B2479" t="s">
        <v>10287</v>
      </c>
    </row>
    <row r="2480" spans="1:2" x14ac:dyDescent="0.25">
      <c r="A2480" t="s">
        <v>5460</v>
      </c>
      <c r="B2480" t="s">
        <v>24931</v>
      </c>
    </row>
    <row r="2481" spans="1:2" x14ac:dyDescent="0.25">
      <c r="A2481" t="s">
        <v>6191</v>
      </c>
      <c r="B2481" t="s">
        <v>25698</v>
      </c>
    </row>
    <row r="2482" spans="1:2" x14ac:dyDescent="0.25">
      <c r="A2482" t="s">
        <v>6257</v>
      </c>
      <c r="B2482" t="s">
        <v>25731</v>
      </c>
    </row>
    <row r="2483" spans="1:2" x14ac:dyDescent="0.25">
      <c r="A2483" t="s">
        <v>6403</v>
      </c>
      <c r="B2483" t="s">
        <v>25804</v>
      </c>
    </row>
    <row r="2484" spans="1:2" x14ac:dyDescent="0.25">
      <c r="A2484" t="s">
        <v>5462</v>
      </c>
      <c r="B2484" t="s">
        <v>24932</v>
      </c>
    </row>
    <row r="2485" spans="1:2" x14ac:dyDescent="0.25">
      <c r="A2485" t="s">
        <v>5464</v>
      </c>
      <c r="B2485" t="s">
        <v>24933</v>
      </c>
    </row>
    <row r="2486" spans="1:2" x14ac:dyDescent="0.25">
      <c r="A2486" t="s">
        <v>5466</v>
      </c>
      <c r="B2486" t="s">
        <v>24934</v>
      </c>
    </row>
    <row r="2487" spans="1:2" x14ac:dyDescent="0.25">
      <c r="A2487" t="s">
        <v>4056</v>
      </c>
      <c r="B2487" t="s">
        <v>23289</v>
      </c>
    </row>
    <row r="2488" spans="1:2" x14ac:dyDescent="0.25">
      <c r="A2488" t="s">
        <v>4059</v>
      </c>
      <c r="B2488" t="s">
        <v>23293</v>
      </c>
    </row>
    <row r="2489" spans="1:2" x14ac:dyDescent="0.25">
      <c r="A2489" t="s">
        <v>4062</v>
      </c>
      <c r="B2489" t="s">
        <v>23297</v>
      </c>
    </row>
    <row r="2490" spans="1:2" x14ac:dyDescent="0.25">
      <c r="A2490" t="s">
        <v>4065</v>
      </c>
      <c r="B2490" t="s">
        <v>23301</v>
      </c>
    </row>
    <row r="2491" spans="1:2" x14ac:dyDescent="0.25">
      <c r="A2491" t="s">
        <v>10290</v>
      </c>
      <c r="B2491" t="s">
        <v>30792</v>
      </c>
    </row>
    <row r="2492" spans="1:2" x14ac:dyDescent="0.25">
      <c r="A2492" t="s">
        <v>10293</v>
      </c>
      <c r="B2492" t="s">
        <v>30793</v>
      </c>
    </row>
    <row r="2493" spans="1:2" x14ac:dyDescent="0.25">
      <c r="A2493" t="s">
        <v>3812</v>
      </c>
      <c r="B2493" t="s">
        <v>22966</v>
      </c>
    </row>
    <row r="2494" spans="1:2" x14ac:dyDescent="0.25">
      <c r="A2494" t="s">
        <v>3316</v>
      </c>
      <c r="B2494" t="s">
        <v>22296</v>
      </c>
    </row>
    <row r="2495" spans="1:2" x14ac:dyDescent="0.25">
      <c r="A2495" t="s">
        <v>3325</v>
      </c>
      <c r="B2495" t="s">
        <v>22309</v>
      </c>
    </row>
    <row r="2496" spans="1:2" x14ac:dyDescent="0.25">
      <c r="A2496" t="s">
        <v>3834</v>
      </c>
      <c r="B2496" t="s">
        <v>22995</v>
      </c>
    </row>
    <row r="2497" spans="1:2" x14ac:dyDescent="0.25">
      <c r="A2497" t="s">
        <v>10295</v>
      </c>
      <c r="B2497" t="s">
        <v>30794</v>
      </c>
    </row>
    <row r="2498" spans="1:2" x14ac:dyDescent="0.25">
      <c r="A2498" t="s">
        <v>4089</v>
      </c>
      <c r="B2498" t="s">
        <v>23329</v>
      </c>
    </row>
    <row r="2499" spans="1:2" x14ac:dyDescent="0.25">
      <c r="A2499" t="s">
        <v>4092</v>
      </c>
      <c r="B2499" t="s">
        <v>23333</v>
      </c>
    </row>
    <row r="2500" spans="1:2" x14ac:dyDescent="0.25">
      <c r="A2500" t="s">
        <v>5458</v>
      </c>
      <c r="B2500" t="s">
        <v>24930</v>
      </c>
    </row>
    <row r="2501" spans="1:2" x14ac:dyDescent="0.25">
      <c r="A2501" t="s">
        <v>6279</v>
      </c>
      <c r="B2501" t="s">
        <v>25742</v>
      </c>
    </row>
    <row r="2502" spans="1:2" x14ac:dyDescent="0.25">
      <c r="A2502" t="s">
        <v>6369</v>
      </c>
      <c r="B2502" t="s">
        <v>25787</v>
      </c>
    </row>
    <row r="2503" spans="1:2" x14ac:dyDescent="0.25">
      <c r="A2503" t="s">
        <v>10297</v>
      </c>
      <c r="B2503" t="s">
        <v>10297</v>
      </c>
    </row>
    <row r="2504" spans="1:2" x14ac:dyDescent="0.25">
      <c r="A2504" t="s">
        <v>5474</v>
      </c>
      <c r="B2504" t="s">
        <v>24945</v>
      </c>
    </row>
    <row r="2505" spans="1:2" x14ac:dyDescent="0.25">
      <c r="A2505" t="s">
        <v>5476</v>
      </c>
      <c r="B2505" t="s">
        <v>24946</v>
      </c>
    </row>
    <row r="2506" spans="1:2" x14ac:dyDescent="0.25">
      <c r="A2506" t="s">
        <v>5478</v>
      </c>
      <c r="B2506" t="s">
        <v>24947</v>
      </c>
    </row>
    <row r="2507" spans="1:2" x14ac:dyDescent="0.25">
      <c r="A2507" t="s">
        <v>6179</v>
      </c>
      <c r="B2507" t="s">
        <v>25689</v>
      </c>
    </row>
    <row r="2508" spans="1:2" x14ac:dyDescent="0.25">
      <c r="A2508" t="s">
        <v>6181</v>
      </c>
      <c r="B2508" t="s">
        <v>25690</v>
      </c>
    </row>
    <row r="2509" spans="1:2" x14ac:dyDescent="0.25">
      <c r="A2509" t="s">
        <v>6225</v>
      </c>
      <c r="B2509" t="s">
        <v>25715</v>
      </c>
    </row>
    <row r="2510" spans="1:2" x14ac:dyDescent="0.25">
      <c r="A2510" t="s">
        <v>6205</v>
      </c>
      <c r="B2510" t="s">
        <v>25705</v>
      </c>
    </row>
    <row r="2511" spans="1:2" x14ac:dyDescent="0.25">
      <c r="A2511" t="s">
        <v>6203</v>
      </c>
      <c r="B2511" t="s">
        <v>25704</v>
      </c>
    </row>
    <row r="2512" spans="1:2" x14ac:dyDescent="0.25">
      <c r="A2512" t="s">
        <v>6177</v>
      </c>
      <c r="B2512" t="s">
        <v>25688</v>
      </c>
    </row>
    <row r="2513" spans="1:2" x14ac:dyDescent="0.25">
      <c r="A2513" t="s">
        <v>6199</v>
      </c>
      <c r="B2513" t="s">
        <v>25702</v>
      </c>
    </row>
    <row r="2514" spans="1:2" x14ac:dyDescent="0.25">
      <c r="A2514" t="s">
        <v>6209</v>
      </c>
      <c r="B2514" t="s">
        <v>25707</v>
      </c>
    </row>
    <row r="2515" spans="1:2" x14ac:dyDescent="0.25">
      <c r="A2515" t="s">
        <v>6207</v>
      </c>
      <c r="B2515" t="s">
        <v>25706</v>
      </c>
    </row>
    <row r="2516" spans="1:2" x14ac:dyDescent="0.25">
      <c r="A2516" t="s">
        <v>6211</v>
      </c>
      <c r="B2516" t="s">
        <v>25708</v>
      </c>
    </row>
    <row r="2517" spans="1:2" x14ac:dyDescent="0.25">
      <c r="A2517" t="s">
        <v>6213</v>
      </c>
      <c r="B2517" t="s">
        <v>25709</v>
      </c>
    </row>
    <row r="2518" spans="1:2" x14ac:dyDescent="0.25">
      <c r="A2518" t="s">
        <v>6215</v>
      </c>
      <c r="B2518" t="s">
        <v>25710</v>
      </c>
    </row>
    <row r="2519" spans="1:2" x14ac:dyDescent="0.25">
      <c r="A2519" t="s">
        <v>6217</v>
      </c>
      <c r="B2519" t="s">
        <v>25711</v>
      </c>
    </row>
    <row r="2520" spans="1:2" x14ac:dyDescent="0.25">
      <c r="A2520" t="s">
        <v>6219</v>
      </c>
      <c r="B2520" t="s">
        <v>25712</v>
      </c>
    </row>
    <row r="2521" spans="1:2" x14ac:dyDescent="0.25">
      <c r="A2521" t="s">
        <v>6283</v>
      </c>
      <c r="B2521" t="s">
        <v>25744</v>
      </c>
    </row>
    <row r="2522" spans="1:2" x14ac:dyDescent="0.25">
      <c r="A2522" t="s">
        <v>5484</v>
      </c>
      <c r="B2522" t="s">
        <v>24950</v>
      </c>
    </row>
    <row r="2523" spans="1:2" x14ac:dyDescent="0.25">
      <c r="A2523" t="s">
        <v>5480</v>
      </c>
      <c r="B2523" t="s">
        <v>24948</v>
      </c>
    </row>
    <row r="2524" spans="1:2" x14ac:dyDescent="0.25">
      <c r="A2524" t="s">
        <v>5506</v>
      </c>
      <c r="B2524" t="s">
        <v>24961</v>
      </c>
    </row>
    <row r="2525" spans="1:2" x14ac:dyDescent="0.25">
      <c r="A2525" t="s">
        <v>5490</v>
      </c>
      <c r="B2525" t="s">
        <v>24953</v>
      </c>
    </row>
    <row r="2526" spans="1:2" x14ac:dyDescent="0.25">
      <c r="A2526" t="s">
        <v>5486</v>
      </c>
      <c r="B2526" t="s">
        <v>24951</v>
      </c>
    </row>
    <row r="2527" spans="1:2" x14ac:dyDescent="0.25">
      <c r="A2527" t="s">
        <v>5488</v>
      </c>
      <c r="B2527" t="s">
        <v>24952</v>
      </c>
    </row>
    <row r="2528" spans="1:2" x14ac:dyDescent="0.25">
      <c r="A2528" t="s">
        <v>5492</v>
      </c>
      <c r="B2528" t="s">
        <v>24954</v>
      </c>
    </row>
    <row r="2529" spans="1:2" x14ac:dyDescent="0.25">
      <c r="A2529" t="s">
        <v>5494</v>
      </c>
      <c r="B2529" t="s">
        <v>24955</v>
      </c>
    </row>
    <row r="2530" spans="1:2" x14ac:dyDescent="0.25">
      <c r="A2530" t="s">
        <v>5496</v>
      </c>
      <c r="B2530" t="s">
        <v>24956</v>
      </c>
    </row>
    <row r="2531" spans="1:2" x14ac:dyDescent="0.25">
      <c r="A2531" t="s">
        <v>5498</v>
      </c>
      <c r="B2531" t="s">
        <v>24957</v>
      </c>
    </row>
    <row r="2532" spans="1:2" x14ac:dyDescent="0.25">
      <c r="A2532" t="s">
        <v>5500</v>
      </c>
      <c r="B2532" t="s">
        <v>24958</v>
      </c>
    </row>
    <row r="2533" spans="1:2" x14ac:dyDescent="0.25">
      <c r="A2533" t="s">
        <v>5502</v>
      </c>
      <c r="B2533" t="s">
        <v>24959</v>
      </c>
    </row>
    <row r="2534" spans="1:2" x14ac:dyDescent="0.25">
      <c r="A2534" t="s">
        <v>5504</v>
      </c>
      <c r="B2534" t="s">
        <v>24960</v>
      </c>
    </row>
    <row r="2535" spans="1:2" x14ac:dyDescent="0.25">
      <c r="A2535" t="s">
        <v>5508</v>
      </c>
      <c r="B2535" t="s">
        <v>24962</v>
      </c>
    </row>
    <row r="2536" spans="1:2" x14ac:dyDescent="0.25">
      <c r="A2536" t="s">
        <v>5294</v>
      </c>
      <c r="B2536" t="s">
        <v>24742</v>
      </c>
    </row>
    <row r="2537" spans="1:2" x14ac:dyDescent="0.25">
      <c r="A2537" t="s">
        <v>5547</v>
      </c>
      <c r="B2537" t="s">
        <v>24984</v>
      </c>
    </row>
    <row r="2538" spans="1:2" x14ac:dyDescent="0.25">
      <c r="A2538" t="s">
        <v>5513</v>
      </c>
      <c r="B2538" t="s">
        <v>24968</v>
      </c>
    </row>
    <row r="2539" spans="1:2" x14ac:dyDescent="0.25">
      <c r="A2539" t="s">
        <v>10300</v>
      </c>
      <c r="B2539" t="s">
        <v>10300</v>
      </c>
    </row>
    <row r="2540" spans="1:2" x14ac:dyDescent="0.25">
      <c r="A2540" t="s">
        <v>10303</v>
      </c>
      <c r="B2540" t="s">
        <v>10303</v>
      </c>
    </row>
    <row r="2541" spans="1:2" x14ac:dyDescent="0.25">
      <c r="A2541" t="s">
        <v>10315</v>
      </c>
      <c r="B2541" t="s">
        <v>10315</v>
      </c>
    </row>
    <row r="2542" spans="1:2" x14ac:dyDescent="0.25">
      <c r="A2542" t="s">
        <v>10306</v>
      </c>
      <c r="B2542" t="s">
        <v>10306</v>
      </c>
    </row>
    <row r="2543" spans="1:2" x14ac:dyDescent="0.25">
      <c r="A2543" t="s">
        <v>10309</v>
      </c>
      <c r="B2543" t="s">
        <v>10309</v>
      </c>
    </row>
    <row r="2544" spans="1:2" x14ac:dyDescent="0.25">
      <c r="A2544" t="s">
        <v>6329</v>
      </c>
      <c r="B2544" t="s">
        <v>25767</v>
      </c>
    </row>
    <row r="2545" spans="1:2" x14ac:dyDescent="0.25">
      <c r="A2545" t="s">
        <v>5515</v>
      </c>
      <c r="B2545" t="s">
        <v>24969</v>
      </c>
    </row>
    <row r="2546" spans="1:2" x14ac:dyDescent="0.25">
      <c r="A2546" t="s">
        <v>10312</v>
      </c>
      <c r="B2546" t="s">
        <v>10312</v>
      </c>
    </row>
    <row r="2547" spans="1:2" x14ac:dyDescent="0.25">
      <c r="A2547" t="s">
        <v>5517</v>
      </c>
      <c r="B2547" t="s">
        <v>24970</v>
      </c>
    </row>
    <row r="2548" spans="1:2" x14ac:dyDescent="0.25">
      <c r="A2548" t="s">
        <v>5567</v>
      </c>
      <c r="B2548" t="s">
        <v>25008</v>
      </c>
    </row>
    <row r="2549" spans="1:2" x14ac:dyDescent="0.25">
      <c r="A2549" t="s">
        <v>3310</v>
      </c>
      <c r="B2549" t="s">
        <v>22286</v>
      </c>
    </row>
    <row r="2550" spans="1:2" x14ac:dyDescent="0.25">
      <c r="A2550" t="s">
        <v>5521</v>
      </c>
      <c r="B2550" t="s">
        <v>24972</v>
      </c>
    </row>
    <row r="2551" spans="1:2" x14ac:dyDescent="0.25">
      <c r="A2551" t="s">
        <v>7934</v>
      </c>
      <c r="B2551" t="s">
        <v>27638</v>
      </c>
    </row>
    <row r="2552" spans="1:2" x14ac:dyDescent="0.25">
      <c r="A2552" t="s">
        <v>5523</v>
      </c>
      <c r="B2552" t="s">
        <v>5523</v>
      </c>
    </row>
    <row r="2553" spans="1:2" x14ac:dyDescent="0.25">
      <c r="A2553" t="s">
        <v>5527</v>
      </c>
      <c r="B2553" t="s">
        <v>5527</v>
      </c>
    </row>
    <row r="2554" spans="1:2" x14ac:dyDescent="0.25">
      <c r="A2554" t="s">
        <v>5525</v>
      </c>
      <c r="B2554" t="s">
        <v>5525</v>
      </c>
    </row>
    <row r="2555" spans="1:2" x14ac:dyDescent="0.25">
      <c r="A2555" t="s">
        <v>5529</v>
      </c>
      <c r="B2555" t="s">
        <v>24976</v>
      </c>
    </row>
    <row r="2556" spans="1:2" x14ac:dyDescent="0.25">
      <c r="A2556" t="s">
        <v>10318</v>
      </c>
      <c r="B2556" t="s">
        <v>10318</v>
      </c>
    </row>
    <row r="2557" spans="1:2" x14ac:dyDescent="0.25">
      <c r="A2557" t="s">
        <v>5531</v>
      </c>
      <c r="B2557" t="s">
        <v>24977</v>
      </c>
    </row>
    <row r="2558" spans="1:2" x14ac:dyDescent="0.25">
      <c r="A2558" t="s">
        <v>5533</v>
      </c>
      <c r="B2558" t="s">
        <v>24978</v>
      </c>
    </row>
    <row r="2559" spans="1:2" x14ac:dyDescent="0.25">
      <c r="A2559" t="s">
        <v>10321</v>
      </c>
      <c r="B2559" t="s">
        <v>10321</v>
      </c>
    </row>
    <row r="2560" spans="1:2" x14ac:dyDescent="0.25">
      <c r="A2560" t="s">
        <v>10327</v>
      </c>
      <c r="B2560" t="s">
        <v>30830</v>
      </c>
    </row>
    <row r="2561" spans="1:2" x14ac:dyDescent="0.25">
      <c r="A2561" t="s">
        <v>5535</v>
      </c>
      <c r="B2561" t="s">
        <v>24979</v>
      </c>
    </row>
    <row r="2562" spans="1:2" x14ac:dyDescent="0.25">
      <c r="A2562" t="s">
        <v>5537</v>
      </c>
      <c r="B2562" t="s">
        <v>24980</v>
      </c>
    </row>
    <row r="2563" spans="1:2" x14ac:dyDescent="0.25">
      <c r="A2563" t="s">
        <v>10330</v>
      </c>
      <c r="B2563" t="s">
        <v>10330</v>
      </c>
    </row>
    <row r="2564" spans="1:2" x14ac:dyDescent="0.25">
      <c r="A2564" t="s">
        <v>10324</v>
      </c>
      <c r="B2564" t="s">
        <v>30825</v>
      </c>
    </row>
    <row r="2565" spans="1:2" x14ac:dyDescent="0.25">
      <c r="A2565" t="s">
        <v>10333</v>
      </c>
      <c r="B2565" t="s">
        <v>10333</v>
      </c>
    </row>
    <row r="2566" spans="1:2" x14ac:dyDescent="0.25">
      <c r="A2566" t="s">
        <v>5539</v>
      </c>
      <c r="B2566" t="s">
        <v>24981</v>
      </c>
    </row>
    <row r="2567" spans="1:2" x14ac:dyDescent="0.25">
      <c r="A2567" t="s">
        <v>6223</v>
      </c>
      <c r="B2567" t="s">
        <v>25714</v>
      </c>
    </row>
    <row r="2568" spans="1:2" x14ac:dyDescent="0.25">
      <c r="A2568" t="s">
        <v>5541</v>
      </c>
      <c r="B2568" t="s">
        <v>24982</v>
      </c>
    </row>
    <row r="2569" spans="1:2" x14ac:dyDescent="0.25">
      <c r="A2569" t="s">
        <v>5543</v>
      </c>
      <c r="B2569" t="s">
        <v>24671</v>
      </c>
    </row>
    <row r="2570" spans="1:2" x14ac:dyDescent="0.25">
      <c r="A2570" t="s">
        <v>5545</v>
      </c>
      <c r="B2570" t="s">
        <v>24983</v>
      </c>
    </row>
    <row r="2571" spans="1:2" x14ac:dyDescent="0.25">
      <c r="A2571" t="s">
        <v>10336</v>
      </c>
      <c r="B2571" t="s">
        <v>30843</v>
      </c>
    </row>
    <row r="2572" spans="1:2" x14ac:dyDescent="0.25">
      <c r="A2572" t="s">
        <v>10339</v>
      </c>
      <c r="B2572" t="s">
        <v>30848</v>
      </c>
    </row>
    <row r="2573" spans="1:2" x14ac:dyDescent="0.25">
      <c r="A2573" t="s">
        <v>10342</v>
      </c>
      <c r="B2573" t="s">
        <v>30849</v>
      </c>
    </row>
    <row r="2574" spans="1:2" x14ac:dyDescent="0.25">
      <c r="A2574" t="s">
        <v>10345</v>
      </c>
      <c r="B2574" t="s">
        <v>30853</v>
      </c>
    </row>
    <row r="2575" spans="1:2" x14ac:dyDescent="0.25">
      <c r="A2575" t="s">
        <v>10351</v>
      </c>
      <c r="B2575" t="s">
        <v>30862</v>
      </c>
    </row>
    <row r="2576" spans="1:2" x14ac:dyDescent="0.25">
      <c r="A2576" t="s">
        <v>10348</v>
      </c>
      <c r="B2576" t="s">
        <v>10348</v>
      </c>
    </row>
    <row r="2577" spans="1:2" x14ac:dyDescent="0.25">
      <c r="A2577" t="s">
        <v>10354</v>
      </c>
      <c r="B2577" t="s">
        <v>10354</v>
      </c>
    </row>
    <row r="2578" spans="1:2" x14ac:dyDescent="0.25">
      <c r="A2578" t="s">
        <v>5570</v>
      </c>
      <c r="B2578" t="s">
        <v>25012</v>
      </c>
    </row>
    <row r="2579" spans="1:2" x14ac:dyDescent="0.25">
      <c r="A2579" t="s">
        <v>7015</v>
      </c>
      <c r="B2579" t="s">
        <v>26642</v>
      </c>
    </row>
    <row r="2580" spans="1:2" x14ac:dyDescent="0.25">
      <c r="A2580" t="s">
        <v>7018</v>
      </c>
      <c r="B2580" t="s">
        <v>26646</v>
      </c>
    </row>
    <row r="2581" spans="1:2" x14ac:dyDescent="0.25">
      <c r="A2581" t="s">
        <v>7021</v>
      </c>
      <c r="B2581" t="s">
        <v>26650</v>
      </c>
    </row>
    <row r="2582" spans="1:2" x14ac:dyDescent="0.25">
      <c r="A2582" t="s">
        <v>7024</v>
      </c>
      <c r="B2582" t="s">
        <v>26654</v>
      </c>
    </row>
    <row r="2583" spans="1:2" x14ac:dyDescent="0.25">
      <c r="A2583" t="s">
        <v>10357</v>
      </c>
      <c r="B2583" t="s">
        <v>10357</v>
      </c>
    </row>
    <row r="2584" spans="1:2" x14ac:dyDescent="0.25">
      <c r="A2584" t="s">
        <v>10360</v>
      </c>
      <c r="B2584" t="s">
        <v>10360</v>
      </c>
    </row>
    <row r="2585" spans="1:2" x14ac:dyDescent="0.25">
      <c r="A2585" t="s">
        <v>5549</v>
      </c>
      <c r="B2585" t="s">
        <v>24985</v>
      </c>
    </row>
    <row r="2586" spans="1:2" x14ac:dyDescent="0.25">
      <c r="A2586" t="s">
        <v>5551</v>
      </c>
      <c r="B2586" t="s">
        <v>24986</v>
      </c>
    </row>
    <row r="2587" spans="1:2" x14ac:dyDescent="0.25">
      <c r="A2587" t="s">
        <v>10363</v>
      </c>
      <c r="B2587" t="s">
        <v>10363</v>
      </c>
    </row>
    <row r="2588" spans="1:2" x14ac:dyDescent="0.25">
      <c r="A2588" t="s">
        <v>5553</v>
      </c>
      <c r="B2588" t="s">
        <v>24987</v>
      </c>
    </row>
    <row r="2589" spans="1:2" x14ac:dyDescent="0.25">
      <c r="A2589" t="s">
        <v>5573</v>
      </c>
      <c r="B2589" t="s">
        <v>5573</v>
      </c>
    </row>
    <row r="2590" spans="1:2" x14ac:dyDescent="0.25">
      <c r="A2590" t="s">
        <v>5576</v>
      </c>
      <c r="B2590" t="s">
        <v>5576</v>
      </c>
    </row>
    <row r="2591" spans="1:2" x14ac:dyDescent="0.25">
      <c r="A2591" t="s">
        <v>5579</v>
      </c>
      <c r="B2591" t="s">
        <v>25023</v>
      </c>
    </row>
    <row r="2592" spans="1:2" x14ac:dyDescent="0.25">
      <c r="A2592" t="s">
        <v>5585</v>
      </c>
      <c r="B2592" t="s">
        <v>25029</v>
      </c>
    </row>
    <row r="2593" spans="1:2" x14ac:dyDescent="0.25">
      <c r="A2593" t="s">
        <v>6343</v>
      </c>
      <c r="B2593" t="s">
        <v>25774</v>
      </c>
    </row>
    <row r="2594" spans="1:2" x14ac:dyDescent="0.25">
      <c r="A2594" t="s">
        <v>5587</v>
      </c>
      <c r="B2594" t="s">
        <v>25030</v>
      </c>
    </row>
    <row r="2595" spans="1:2" x14ac:dyDescent="0.25">
      <c r="A2595" t="s">
        <v>5589</v>
      </c>
      <c r="B2595" t="s">
        <v>5589</v>
      </c>
    </row>
    <row r="2596" spans="1:2" x14ac:dyDescent="0.25">
      <c r="A2596" t="s">
        <v>5621</v>
      </c>
      <c r="B2596" t="s">
        <v>25046</v>
      </c>
    </row>
    <row r="2597" spans="1:2" x14ac:dyDescent="0.25">
      <c r="A2597" t="s">
        <v>5607</v>
      </c>
      <c r="B2597" t="s">
        <v>25039</v>
      </c>
    </row>
    <row r="2598" spans="1:2" x14ac:dyDescent="0.25">
      <c r="A2598" t="s">
        <v>5609</v>
      </c>
      <c r="B2598" t="s">
        <v>25040</v>
      </c>
    </row>
    <row r="2599" spans="1:2" x14ac:dyDescent="0.25">
      <c r="A2599" t="s">
        <v>5623</v>
      </c>
      <c r="B2599" t="s">
        <v>25047</v>
      </c>
    </row>
    <row r="2600" spans="1:2" x14ac:dyDescent="0.25">
      <c r="A2600" t="s">
        <v>5625</v>
      </c>
      <c r="B2600" t="s">
        <v>25048</v>
      </c>
    </row>
    <row r="2601" spans="1:2" x14ac:dyDescent="0.25">
      <c r="A2601" t="s">
        <v>5633</v>
      </c>
      <c r="B2601" t="s">
        <v>25052</v>
      </c>
    </row>
    <row r="2602" spans="1:2" x14ac:dyDescent="0.25">
      <c r="A2602" t="s">
        <v>5627</v>
      </c>
      <c r="B2602" t="s">
        <v>25049</v>
      </c>
    </row>
    <row r="2603" spans="1:2" x14ac:dyDescent="0.25">
      <c r="A2603" t="s">
        <v>5613</v>
      </c>
      <c r="B2603" t="s">
        <v>25042</v>
      </c>
    </row>
    <row r="2604" spans="1:2" x14ac:dyDescent="0.25">
      <c r="A2604" t="s">
        <v>5615</v>
      </c>
      <c r="B2604" t="s">
        <v>25043</v>
      </c>
    </row>
    <row r="2605" spans="1:2" x14ac:dyDescent="0.25">
      <c r="A2605" t="s">
        <v>5599</v>
      </c>
      <c r="B2605" t="s">
        <v>25035</v>
      </c>
    </row>
    <row r="2606" spans="1:2" x14ac:dyDescent="0.25">
      <c r="A2606" t="s">
        <v>5617</v>
      </c>
      <c r="B2606" t="s">
        <v>25044</v>
      </c>
    </row>
    <row r="2607" spans="1:2" x14ac:dyDescent="0.25">
      <c r="A2607" t="s">
        <v>5619</v>
      </c>
      <c r="B2607" t="s">
        <v>25045</v>
      </c>
    </row>
    <row r="2608" spans="1:2" x14ac:dyDescent="0.25">
      <c r="A2608" t="s">
        <v>5635</v>
      </c>
      <c r="B2608" t="s">
        <v>25053</v>
      </c>
    </row>
    <row r="2609" spans="1:2" x14ac:dyDescent="0.25">
      <c r="A2609" t="s">
        <v>5637</v>
      </c>
      <c r="B2609" t="s">
        <v>25054</v>
      </c>
    </row>
    <row r="2610" spans="1:2" x14ac:dyDescent="0.25">
      <c r="A2610" t="s">
        <v>5639</v>
      </c>
      <c r="B2610" t="s">
        <v>25055</v>
      </c>
    </row>
    <row r="2611" spans="1:2" x14ac:dyDescent="0.25">
      <c r="A2611" t="s">
        <v>5641</v>
      </c>
      <c r="B2611" t="s">
        <v>25056</v>
      </c>
    </row>
    <row r="2612" spans="1:2" x14ac:dyDescent="0.25">
      <c r="A2612" t="s">
        <v>5643</v>
      </c>
      <c r="B2612" t="s">
        <v>25057</v>
      </c>
    </row>
    <row r="2613" spans="1:2" x14ac:dyDescent="0.25">
      <c r="A2613" t="s">
        <v>5645</v>
      </c>
      <c r="B2613" t="s">
        <v>25058</v>
      </c>
    </row>
    <row r="2614" spans="1:2" x14ac:dyDescent="0.25">
      <c r="A2614" t="s">
        <v>5647</v>
      </c>
      <c r="B2614" t="s">
        <v>25059</v>
      </c>
    </row>
    <row r="2615" spans="1:2" x14ac:dyDescent="0.25">
      <c r="A2615" t="s">
        <v>5649</v>
      </c>
      <c r="B2615" t="s">
        <v>25060</v>
      </c>
    </row>
    <row r="2616" spans="1:2" x14ac:dyDescent="0.25">
      <c r="A2616" t="s">
        <v>5651</v>
      </c>
      <c r="B2616" t="s">
        <v>25061</v>
      </c>
    </row>
    <row r="2617" spans="1:2" x14ac:dyDescent="0.25">
      <c r="A2617" t="s">
        <v>5653</v>
      </c>
      <c r="B2617" t="s">
        <v>25062</v>
      </c>
    </row>
    <row r="2618" spans="1:2" x14ac:dyDescent="0.25">
      <c r="A2618" t="s">
        <v>5611</v>
      </c>
      <c r="B2618" t="s">
        <v>25041</v>
      </c>
    </row>
    <row r="2619" spans="1:2" x14ac:dyDescent="0.25">
      <c r="A2619" t="s">
        <v>5629</v>
      </c>
      <c r="B2619" t="s">
        <v>25050</v>
      </c>
    </row>
    <row r="2620" spans="1:2" x14ac:dyDescent="0.25">
      <c r="A2620" t="s">
        <v>5631</v>
      </c>
      <c r="B2620" t="s">
        <v>25051</v>
      </c>
    </row>
    <row r="2621" spans="1:2" x14ac:dyDescent="0.25">
      <c r="A2621" t="s">
        <v>5593</v>
      </c>
      <c r="B2621" t="s">
        <v>25032</v>
      </c>
    </row>
    <row r="2622" spans="1:2" x14ac:dyDescent="0.25">
      <c r="A2622" t="s">
        <v>5591</v>
      </c>
      <c r="B2622" t="s">
        <v>25031</v>
      </c>
    </row>
    <row r="2623" spans="1:2" x14ac:dyDescent="0.25">
      <c r="A2623" t="s">
        <v>5724</v>
      </c>
      <c r="B2623" t="s">
        <v>25152</v>
      </c>
    </row>
    <row r="2624" spans="1:2" x14ac:dyDescent="0.25">
      <c r="A2624" t="s">
        <v>5720</v>
      </c>
      <c r="B2624" t="s">
        <v>25150</v>
      </c>
    </row>
    <row r="2625" spans="1:2" x14ac:dyDescent="0.25">
      <c r="A2625" t="s">
        <v>5595</v>
      </c>
      <c r="B2625" t="s">
        <v>25033</v>
      </c>
    </row>
    <row r="2626" spans="1:2" x14ac:dyDescent="0.25">
      <c r="A2626" t="s">
        <v>5770</v>
      </c>
      <c r="B2626" t="s">
        <v>25187</v>
      </c>
    </row>
    <row r="2627" spans="1:2" x14ac:dyDescent="0.25">
      <c r="A2627" t="s">
        <v>5779</v>
      </c>
      <c r="B2627" t="s">
        <v>25201</v>
      </c>
    </row>
    <row r="2628" spans="1:2" x14ac:dyDescent="0.25">
      <c r="A2628" t="s">
        <v>5776</v>
      </c>
      <c r="B2628" t="s">
        <v>25196</v>
      </c>
    </row>
    <row r="2629" spans="1:2" x14ac:dyDescent="0.25">
      <c r="A2629" t="s">
        <v>5773</v>
      </c>
      <c r="B2629" t="s">
        <v>25192</v>
      </c>
    </row>
    <row r="2630" spans="1:2" x14ac:dyDescent="0.25">
      <c r="A2630" t="s">
        <v>10372</v>
      </c>
      <c r="B2630" t="s">
        <v>30887</v>
      </c>
    </row>
    <row r="2631" spans="1:2" x14ac:dyDescent="0.25">
      <c r="A2631" t="s">
        <v>10369</v>
      </c>
      <c r="B2631" t="s">
        <v>10369</v>
      </c>
    </row>
    <row r="2632" spans="1:2" x14ac:dyDescent="0.25">
      <c r="A2632" t="s">
        <v>10387</v>
      </c>
      <c r="B2632" t="s">
        <v>10387</v>
      </c>
    </row>
    <row r="2633" spans="1:2" x14ac:dyDescent="0.25">
      <c r="A2633" t="s">
        <v>10375</v>
      </c>
      <c r="B2633" t="s">
        <v>30892</v>
      </c>
    </row>
    <row r="2634" spans="1:2" x14ac:dyDescent="0.25">
      <c r="A2634" t="s">
        <v>10378</v>
      </c>
      <c r="B2634" t="s">
        <v>30897</v>
      </c>
    </row>
    <row r="2635" spans="1:2" x14ac:dyDescent="0.25">
      <c r="A2635" t="s">
        <v>10381</v>
      </c>
      <c r="B2635" t="s">
        <v>30902</v>
      </c>
    </row>
    <row r="2636" spans="1:2" x14ac:dyDescent="0.25">
      <c r="A2636" t="s">
        <v>10384</v>
      </c>
      <c r="B2636" t="s">
        <v>30907</v>
      </c>
    </row>
    <row r="2637" spans="1:2" x14ac:dyDescent="0.25">
      <c r="A2637" t="s">
        <v>10402</v>
      </c>
      <c r="B2637" t="s">
        <v>10402</v>
      </c>
    </row>
    <row r="2638" spans="1:2" x14ac:dyDescent="0.25">
      <c r="A2638" t="s">
        <v>10393</v>
      </c>
      <c r="B2638" t="s">
        <v>10393</v>
      </c>
    </row>
    <row r="2639" spans="1:2" x14ac:dyDescent="0.25">
      <c r="A2639" t="s">
        <v>10399</v>
      </c>
      <c r="B2639" t="s">
        <v>10399</v>
      </c>
    </row>
    <row r="2640" spans="1:2" x14ac:dyDescent="0.25">
      <c r="A2640" t="s">
        <v>10396</v>
      </c>
      <c r="B2640" t="s">
        <v>10396</v>
      </c>
    </row>
    <row r="2641" spans="1:2" x14ac:dyDescent="0.25">
      <c r="A2641" t="s">
        <v>10390</v>
      </c>
      <c r="B2641" t="s">
        <v>10390</v>
      </c>
    </row>
    <row r="2642" spans="1:2" x14ac:dyDescent="0.25">
      <c r="A2642" t="s">
        <v>5785</v>
      </c>
      <c r="B2642" t="s">
        <v>25210</v>
      </c>
    </row>
    <row r="2643" spans="1:2" x14ac:dyDescent="0.25">
      <c r="A2643" t="s">
        <v>5788</v>
      </c>
      <c r="B2643" t="s">
        <v>25214</v>
      </c>
    </row>
    <row r="2644" spans="1:2" x14ac:dyDescent="0.25">
      <c r="A2644" t="s">
        <v>10405</v>
      </c>
      <c r="B2644" t="s">
        <v>10405</v>
      </c>
    </row>
    <row r="2645" spans="1:2" x14ac:dyDescent="0.25">
      <c r="A2645" t="s">
        <v>5655</v>
      </c>
      <c r="B2645" t="s">
        <v>25063</v>
      </c>
    </row>
    <row r="2646" spans="1:2" x14ac:dyDescent="0.25">
      <c r="A2646" t="s">
        <v>5659</v>
      </c>
      <c r="B2646" t="s">
        <v>25065</v>
      </c>
    </row>
    <row r="2647" spans="1:2" x14ac:dyDescent="0.25">
      <c r="A2647" t="s">
        <v>5657</v>
      </c>
      <c r="B2647" t="s">
        <v>25064</v>
      </c>
    </row>
    <row r="2648" spans="1:2" x14ac:dyDescent="0.25">
      <c r="A2648" t="s">
        <v>5661</v>
      </c>
      <c r="B2648" t="s">
        <v>25066</v>
      </c>
    </row>
    <row r="2649" spans="1:2" x14ac:dyDescent="0.25">
      <c r="A2649" t="s">
        <v>5299</v>
      </c>
      <c r="B2649" t="s">
        <v>24747</v>
      </c>
    </row>
    <row r="2650" spans="1:2" x14ac:dyDescent="0.25">
      <c r="A2650" t="s">
        <v>7829</v>
      </c>
      <c r="B2650" t="s">
        <v>27550</v>
      </c>
    </row>
    <row r="2651" spans="1:2" x14ac:dyDescent="0.25">
      <c r="A2651" t="s">
        <v>10408</v>
      </c>
      <c r="B2651" t="s">
        <v>10408</v>
      </c>
    </row>
    <row r="2652" spans="1:2" x14ac:dyDescent="0.25">
      <c r="A2652" t="s">
        <v>5704</v>
      </c>
      <c r="B2652" t="s">
        <v>25130</v>
      </c>
    </row>
    <row r="2653" spans="1:2" x14ac:dyDescent="0.25">
      <c r="A2653" t="s">
        <v>10411</v>
      </c>
      <c r="B2653" t="s">
        <v>10411</v>
      </c>
    </row>
    <row r="2654" spans="1:2" x14ac:dyDescent="0.25">
      <c r="A2654" t="s">
        <v>5713</v>
      </c>
      <c r="B2654" t="s">
        <v>5713</v>
      </c>
    </row>
    <row r="2655" spans="1:2" x14ac:dyDescent="0.25">
      <c r="A2655" t="s">
        <v>10414</v>
      </c>
      <c r="B2655" t="s">
        <v>30941</v>
      </c>
    </row>
    <row r="2656" spans="1:2" x14ac:dyDescent="0.25">
      <c r="A2656" t="s">
        <v>10417</v>
      </c>
      <c r="B2656" t="s">
        <v>10417</v>
      </c>
    </row>
    <row r="2657" spans="1:2" x14ac:dyDescent="0.25">
      <c r="A2657" t="s">
        <v>10420</v>
      </c>
      <c r="B2657" t="s">
        <v>10420</v>
      </c>
    </row>
    <row r="2658" spans="1:2" x14ac:dyDescent="0.25">
      <c r="A2658" t="s">
        <v>10423</v>
      </c>
      <c r="B2658" t="s">
        <v>10423</v>
      </c>
    </row>
    <row r="2659" spans="1:2" x14ac:dyDescent="0.25">
      <c r="A2659" t="s">
        <v>10426</v>
      </c>
      <c r="B2659" t="s">
        <v>10426</v>
      </c>
    </row>
    <row r="2660" spans="1:2" x14ac:dyDescent="0.25">
      <c r="A2660" t="s">
        <v>10432</v>
      </c>
      <c r="B2660" t="s">
        <v>10432</v>
      </c>
    </row>
    <row r="2661" spans="1:2" x14ac:dyDescent="0.25">
      <c r="A2661" t="s">
        <v>810</v>
      </c>
      <c r="B2661" t="s">
        <v>810</v>
      </c>
    </row>
    <row r="2662" spans="1:2" x14ac:dyDescent="0.25">
      <c r="A2662" t="s">
        <v>10429</v>
      </c>
      <c r="B2662" t="s">
        <v>10429</v>
      </c>
    </row>
    <row r="2663" spans="1:2" x14ac:dyDescent="0.25">
      <c r="A2663" t="s">
        <v>10438</v>
      </c>
      <c r="B2663" t="s">
        <v>10438</v>
      </c>
    </row>
    <row r="2664" spans="1:2" x14ac:dyDescent="0.25">
      <c r="A2664" t="s">
        <v>10435</v>
      </c>
      <c r="B2664" t="s">
        <v>30969</v>
      </c>
    </row>
    <row r="2665" spans="1:2" x14ac:dyDescent="0.25">
      <c r="A2665" t="s">
        <v>6351</v>
      </c>
      <c r="B2665" t="s">
        <v>25778</v>
      </c>
    </row>
    <row r="2666" spans="1:2" x14ac:dyDescent="0.25">
      <c r="A2666" t="s">
        <v>10656</v>
      </c>
      <c r="B2666" t="s">
        <v>31267</v>
      </c>
    </row>
    <row r="2667" spans="1:2" x14ac:dyDescent="0.25">
      <c r="A2667" t="s">
        <v>10658</v>
      </c>
      <c r="B2667" t="s">
        <v>31268</v>
      </c>
    </row>
    <row r="2668" spans="1:2" x14ac:dyDescent="0.25">
      <c r="A2668" t="s">
        <v>10447</v>
      </c>
      <c r="B2668" t="s">
        <v>10447</v>
      </c>
    </row>
    <row r="2669" spans="1:2" x14ac:dyDescent="0.25">
      <c r="A2669" t="s">
        <v>10450</v>
      </c>
      <c r="B2669" t="s">
        <v>10450</v>
      </c>
    </row>
    <row r="2670" spans="1:2" x14ac:dyDescent="0.25">
      <c r="A2670" t="s">
        <v>10444</v>
      </c>
      <c r="B2670" t="s">
        <v>10444</v>
      </c>
    </row>
    <row r="2671" spans="1:2" x14ac:dyDescent="0.25">
      <c r="A2671" t="s">
        <v>10441</v>
      </c>
      <c r="B2671" t="s">
        <v>30978</v>
      </c>
    </row>
    <row r="2672" spans="1:2" x14ac:dyDescent="0.25">
      <c r="A2672" t="s">
        <v>10453</v>
      </c>
      <c r="B2672" t="s">
        <v>30995</v>
      </c>
    </row>
    <row r="2673" spans="1:2" x14ac:dyDescent="0.25">
      <c r="A2673" t="s">
        <v>10456</v>
      </c>
      <c r="B2673" t="s">
        <v>10456</v>
      </c>
    </row>
    <row r="2674" spans="1:2" x14ac:dyDescent="0.25">
      <c r="A2674" t="s">
        <v>6399</v>
      </c>
      <c r="B2674" t="s">
        <v>25802</v>
      </c>
    </row>
    <row r="2675" spans="1:2" x14ac:dyDescent="0.25">
      <c r="A2675" t="s">
        <v>10459</v>
      </c>
      <c r="B2675" t="s">
        <v>10459</v>
      </c>
    </row>
    <row r="2676" spans="1:2" x14ac:dyDescent="0.25">
      <c r="A2676" t="s">
        <v>10465</v>
      </c>
      <c r="B2676" t="s">
        <v>10465</v>
      </c>
    </row>
    <row r="2677" spans="1:2" x14ac:dyDescent="0.25">
      <c r="A2677" t="s">
        <v>10471</v>
      </c>
      <c r="B2677" t="s">
        <v>10471</v>
      </c>
    </row>
    <row r="2678" spans="1:2" x14ac:dyDescent="0.25">
      <c r="A2678" t="s">
        <v>10468</v>
      </c>
      <c r="B2678" t="s">
        <v>15191</v>
      </c>
    </row>
    <row r="2679" spans="1:2" x14ac:dyDescent="0.25">
      <c r="A2679" t="s">
        <v>10462</v>
      </c>
      <c r="B2679" t="s">
        <v>10462</v>
      </c>
    </row>
    <row r="2680" spans="1:2" x14ac:dyDescent="0.25">
      <c r="A2680" t="s">
        <v>10474</v>
      </c>
      <c r="B2680" t="s">
        <v>10474</v>
      </c>
    </row>
    <row r="2681" spans="1:2" x14ac:dyDescent="0.25">
      <c r="A2681" t="s">
        <v>10477</v>
      </c>
      <c r="B2681" t="s">
        <v>10477</v>
      </c>
    </row>
    <row r="2682" spans="1:2" x14ac:dyDescent="0.25">
      <c r="A2682" t="s">
        <v>10489</v>
      </c>
      <c r="B2682" t="s">
        <v>31041</v>
      </c>
    </row>
    <row r="2683" spans="1:2" x14ac:dyDescent="0.25">
      <c r="A2683" t="s">
        <v>10483</v>
      </c>
      <c r="B2683" t="s">
        <v>10483</v>
      </c>
    </row>
    <row r="2684" spans="1:2" x14ac:dyDescent="0.25">
      <c r="A2684" t="s">
        <v>10486</v>
      </c>
      <c r="B2684" t="s">
        <v>10486</v>
      </c>
    </row>
    <row r="2685" spans="1:2" x14ac:dyDescent="0.25">
      <c r="A2685" t="s">
        <v>10480</v>
      </c>
      <c r="B2685" t="s">
        <v>10480</v>
      </c>
    </row>
    <row r="2686" spans="1:2" x14ac:dyDescent="0.25">
      <c r="A2686" t="s">
        <v>10501</v>
      </c>
      <c r="B2686" t="s">
        <v>10501</v>
      </c>
    </row>
    <row r="2687" spans="1:2" x14ac:dyDescent="0.25">
      <c r="A2687" t="s">
        <v>10594</v>
      </c>
      <c r="B2687" t="s">
        <v>31187</v>
      </c>
    </row>
    <row r="2688" spans="1:2" x14ac:dyDescent="0.25">
      <c r="A2688" t="s">
        <v>10620</v>
      </c>
      <c r="B2688" t="s">
        <v>10620</v>
      </c>
    </row>
    <row r="2689" spans="1:2" x14ac:dyDescent="0.25">
      <c r="A2689" t="s">
        <v>10623</v>
      </c>
      <c r="B2689" t="s">
        <v>10623</v>
      </c>
    </row>
    <row r="2690" spans="1:2" x14ac:dyDescent="0.25">
      <c r="A2690" t="s">
        <v>10366</v>
      </c>
      <c r="B2690" t="s">
        <v>10366</v>
      </c>
    </row>
    <row r="2691" spans="1:2" x14ac:dyDescent="0.25">
      <c r="A2691" t="s">
        <v>6321</v>
      </c>
      <c r="B2691" t="s">
        <v>25763</v>
      </c>
    </row>
    <row r="2692" spans="1:2" x14ac:dyDescent="0.25">
      <c r="A2692" t="s">
        <v>6303</v>
      </c>
      <c r="B2692" t="s">
        <v>25754</v>
      </c>
    </row>
    <row r="2693" spans="1:2" x14ac:dyDescent="0.25">
      <c r="A2693" t="s">
        <v>6301</v>
      </c>
      <c r="B2693" t="s">
        <v>25753</v>
      </c>
    </row>
    <row r="2694" spans="1:2" x14ac:dyDescent="0.25">
      <c r="A2694" t="s">
        <v>6319</v>
      </c>
      <c r="B2694" t="s">
        <v>25762</v>
      </c>
    </row>
    <row r="2695" spans="1:2" x14ac:dyDescent="0.25">
      <c r="A2695" t="s">
        <v>6315</v>
      </c>
      <c r="B2695" t="s">
        <v>25760</v>
      </c>
    </row>
    <row r="2696" spans="1:2" x14ac:dyDescent="0.25">
      <c r="A2696" t="s">
        <v>6299</v>
      </c>
      <c r="B2696" t="s">
        <v>25752</v>
      </c>
    </row>
    <row r="2697" spans="1:2" x14ac:dyDescent="0.25">
      <c r="A2697" t="s">
        <v>10626</v>
      </c>
      <c r="B2697" t="s">
        <v>10626</v>
      </c>
    </row>
    <row r="2698" spans="1:2" x14ac:dyDescent="0.25">
      <c r="A2698" t="s">
        <v>10681</v>
      </c>
      <c r="B2698" t="s">
        <v>31299</v>
      </c>
    </row>
    <row r="2699" spans="1:2" x14ac:dyDescent="0.25">
      <c r="A2699" t="s">
        <v>10582</v>
      </c>
      <c r="B2699" t="s">
        <v>31173</v>
      </c>
    </row>
    <row r="2700" spans="1:2" x14ac:dyDescent="0.25">
      <c r="A2700" t="s">
        <v>10579</v>
      </c>
      <c r="B2700" t="s">
        <v>31168</v>
      </c>
    </row>
    <row r="2701" spans="1:2" x14ac:dyDescent="0.25">
      <c r="A2701" t="s">
        <v>10513</v>
      </c>
      <c r="B2701" t="s">
        <v>31073</v>
      </c>
    </row>
    <row r="2702" spans="1:2" x14ac:dyDescent="0.25">
      <c r="A2702" t="s">
        <v>10522</v>
      </c>
      <c r="B2702" t="s">
        <v>31087</v>
      </c>
    </row>
    <row r="2703" spans="1:2" x14ac:dyDescent="0.25">
      <c r="A2703" t="s">
        <v>3361</v>
      </c>
      <c r="B2703" t="s">
        <v>22356</v>
      </c>
    </row>
    <row r="2704" spans="1:2" x14ac:dyDescent="0.25">
      <c r="A2704" t="s">
        <v>3364</v>
      </c>
      <c r="B2704" t="s">
        <v>22360</v>
      </c>
    </row>
    <row r="2705" spans="1:2" x14ac:dyDescent="0.25">
      <c r="A2705" t="s">
        <v>10510</v>
      </c>
      <c r="B2705" t="s">
        <v>10510</v>
      </c>
    </row>
    <row r="2706" spans="1:2" x14ac:dyDescent="0.25">
      <c r="A2706" t="s">
        <v>10495</v>
      </c>
      <c r="B2706" t="s">
        <v>31050</v>
      </c>
    </row>
    <row r="2707" spans="1:2" x14ac:dyDescent="0.25">
      <c r="A2707" t="s">
        <v>10516</v>
      </c>
      <c r="B2707" t="s">
        <v>31078</v>
      </c>
    </row>
    <row r="2708" spans="1:2" x14ac:dyDescent="0.25">
      <c r="A2708" t="s">
        <v>10528</v>
      </c>
      <c r="B2708" t="s">
        <v>31097</v>
      </c>
    </row>
    <row r="2709" spans="1:2" x14ac:dyDescent="0.25">
      <c r="A2709" t="s">
        <v>10531</v>
      </c>
      <c r="B2709" t="s">
        <v>31101</v>
      </c>
    </row>
    <row r="2710" spans="1:2" x14ac:dyDescent="0.25">
      <c r="A2710" t="s">
        <v>10660</v>
      </c>
      <c r="B2710" t="s">
        <v>31269</v>
      </c>
    </row>
    <row r="2711" spans="1:2" x14ac:dyDescent="0.25">
      <c r="A2711" t="s">
        <v>10492</v>
      </c>
      <c r="B2711" t="s">
        <v>31045</v>
      </c>
    </row>
    <row r="2712" spans="1:2" x14ac:dyDescent="0.25">
      <c r="A2712" t="s">
        <v>3358</v>
      </c>
      <c r="B2712" t="s">
        <v>3358</v>
      </c>
    </row>
    <row r="2713" spans="1:2" x14ac:dyDescent="0.25">
      <c r="A2713" t="s">
        <v>3367</v>
      </c>
      <c r="B2713" t="s">
        <v>3367</v>
      </c>
    </row>
    <row r="2714" spans="1:2" x14ac:dyDescent="0.25">
      <c r="A2714" t="s">
        <v>3370</v>
      </c>
      <c r="B2714" t="s">
        <v>22367</v>
      </c>
    </row>
    <row r="2715" spans="1:2" x14ac:dyDescent="0.25">
      <c r="A2715" t="s">
        <v>10585</v>
      </c>
      <c r="B2715" t="s">
        <v>31178</v>
      </c>
    </row>
    <row r="2716" spans="1:2" x14ac:dyDescent="0.25">
      <c r="A2716" t="s">
        <v>10519</v>
      </c>
      <c r="B2716" t="s">
        <v>10519</v>
      </c>
    </row>
    <row r="2717" spans="1:2" x14ac:dyDescent="0.25">
      <c r="A2717" t="s">
        <v>10549</v>
      </c>
      <c r="B2717" t="s">
        <v>10549</v>
      </c>
    </row>
    <row r="2718" spans="1:2" x14ac:dyDescent="0.25">
      <c r="A2718" t="s">
        <v>10555</v>
      </c>
      <c r="B2718" t="s">
        <v>31135</v>
      </c>
    </row>
    <row r="2719" spans="1:2" x14ac:dyDescent="0.25">
      <c r="A2719" t="s">
        <v>10552</v>
      </c>
      <c r="B2719" t="s">
        <v>31131</v>
      </c>
    </row>
    <row r="2720" spans="1:2" x14ac:dyDescent="0.25">
      <c r="A2720" t="s">
        <v>10543</v>
      </c>
      <c r="B2720" t="s">
        <v>10543</v>
      </c>
    </row>
    <row r="2721" spans="1:2" x14ac:dyDescent="0.25">
      <c r="A2721" t="s">
        <v>10561</v>
      </c>
      <c r="B2721" t="s">
        <v>15199</v>
      </c>
    </row>
    <row r="2722" spans="1:2" x14ac:dyDescent="0.25">
      <c r="A2722" t="s">
        <v>10564</v>
      </c>
      <c r="B2722" t="s">
        <v>10564</v>
      </c>
    </row>
    <row r="2723" spans="1:2" x14ac:dyDescent="0.25">
      <c r="A2723" t="s">
        <v>10573</v>
      </c>
      <c r="B2723" t="s">
        <v>31159</v>
      </c>
    </row>
    <row r="2724" spans="1:2" x14ac:dyDescent="0.25">
      <c r="A2724" t="s">
        <v>3382</v>
      </c>
      <c r="B2724" t="s">
        <v>22387</v>
      </c>
    </row>
    <row r="2725" spans="1:2" x14ac:dyDescent="0.25">
      <c r="A2725" t="s">
        <v>3379</v>
      </c>
      <c r="B2725" t="s">
        <v>22382</v>
      </c>
    </row>
    <row r="2726" spans="1:2" x14ac:dyDescent="0.25">
      <c r="A2726" t="s">
        <v>3373</v>
      </c>
      <c r="B2726" t="s">
        <v>22372</v>
      </c>
    </row>
    <row r="2727" spans="1:2" x14ac:dyDescent="0.25">
      <c r="A2727" t="s">
        <v>3385</v>
      </c>
      <c r="B2727" t="s">
        <v>3385</v>
      </c>
    </row>
    <row r="2728" spans="1:2" x14ac:dyDescent="0.25">
      <c r="A2728" t="s">
        <v>3376</v>
      </c>
      <c r="B2728" t="s">
        <v>22377</v>
      </c>
    </row>
    <row r="2729" spans="1:2" x14ac:dyDescent="0.25">
      <c r="A2729" t="s">
        <v>3460</v>
      </c>
      <c r="B2729" t="s">
        <v>22502</v>
      </c>
    </row>
    <row r="2730" spans="1:2" x14ac:dyDescent="0.25">
      <c r="A2730" t="s">
        <v>3388</v>
      </c>
      <c r="B2730" t="s">
        <v>22396</v>
      </c>
    </row>
    <row r="2731" spans="1:2" x14ac:dyDescent="0.25">
      <c r="A2731" t="s">
        <v>3424</v>
      </c>
      <c r="B2731" t="s">
        <v>22447</v>
      </c>
    </row>
    <row r="2732" spans="1:2" x14ac:dyDescent="0.25">
      <c r="A2732" t="s">
        <v>3430</v>
      </c>
      <c r="B2732" t="s">
        <v>22457</v>
      </c>
    </row>
    <row r="2733" spans="1:2" x14ac:dyDescent="0.25">
      <c r="A2733" t="s">
        <v>3391</v>
      </c>
      <c r="B2733" t="s">
        <v>22400</v>
      </c>
    </row>
    <row r="2734" spans="1:2" x14ac:dyDescent="0.25">
      <c r="A2734" t="s">
        <v>3394</v>
      </c>
      <c r="B2734" t="s">
        <v>22405</v>
      </c>
    </row>
    <row r="2735" spans="1:2" x14ac:dyDescent="0.25">
      <c r="A2735" t="s">
        <v>5730</v>
      </c>
      <c r="B2735" t="s">
        <v>25155</v>
      </c>
    </row>
    <row r="2736" spans="1:2" x14ac:dyDescent="0.25">
      <c r="A2736" t="s">
        <v>3397</v>
      </c>
      <c r="B2736" t="s">
        <v>22410</v>
      </c>
    </row>
    <row r="2737" spans="1:2" x14ac:dyDescent="0.25">
      <c r="A2737" t="s">
        <v>3469</v>
      </c>
      <c r="B2737" t="s">
        <v>22516</v>
      </c>
    </row>
    <row r="2738" spans="1:2" x14ac:dyDescent="0.25">
      <c r="A2738" t="s">
        <v>3466</v>
      </c>
      <c r="B2738" t="s">
        <v>22512</v>
      </c>
    </row>
    <row r="2739" spans="1:2" x14ac:dyDescent="0.25">
      <c r="A2739" t="s">
        <v>3463</v>
      </c>
      <c r="B2739" t="s">
        <v>22507</v>
      </c>
    </row>
    <row r="2740" spans="1:2" x14ac:dyDescent="0.25">
      <c r="A2740" t="s">
        <v>3400</v>
      </c>
      <c r="B2740" t="s">
        <v>3400</v>
      </c>
    </row>
    <row r="2741" spans="1:2" x14ac:dyDescent="0.25">
      <c r="A2741" t="s">
        <v>3403</v>
      </c>
      <c r="B2741" t="s">
        <v>22419</v>
      </c>
    </row>
    <row r="2742" spans="1:2" x14ac:dyDescent="0.25">
      <c r="A2742" t="s">
        <v>3472</v>
      </c>
      <c r="B2742" t="s">
        <v>3472</v>
      </c>
    </row>
    <row r="2743" spans="1:2" x14ac:dyDescent="0.25">
      <c r="A2743" t="s">
        <v>3406</v>
      </c>
      <c r="B2743" t="s">
        <v>22422</v>
      </c>
    </row>
    <row r="2744" spans="1:2" x14ac:dyDescent="0.25">
      <c r="A2744" t="s">
        <v>3418</v>
      </c>
      <c r="B2744" t="s">
        <v>22438</v>
      </c>
    </row>
    <row r="2745" spans="1:2" x14ac:dyDescent="0.25">
      <c r="A2745" t="s">
        <v>3475</v>
      </c>
      <c r="B2745" t="s">
        <v>22524</v>
      </c>
    </row>
    <row r="2746" spans="1:2" x14ac:dyDescent="0.25">
      <c r="A2746" t="s">
        <v>3427</v>
      </c>
      <c r="B2746" t="s">
        <v>22452</v>
      </c>
    </row>
    <row r="2747" spans="1:2" x14ac:dyDescent="0.25">
      <c r="A2747" t="s">
        <v>3484</v>
      </c>
      <c r="B2747" t="s">
        <v>22536</v>
      </c>
    </row>
    <row r="2748" spans="1:2" x14ac:dyDescent="0.25">
      <c r="A2748" t="s">
        <v>3478</v>
      </c>
      <c r="B2748" t="s">
        <v>22528</v>
      </c>
    </row>
    <row r="2749" spans="1:2" x14ac:dyDescent="0.25">
      <c r="A2749" t="s">
        <v>3481</v>
      </c>
      <c r="B2749" t="s">
        <v>22531</v>
      </c>
    </row>
    <row r="2750" spans="1:2" x14ac:dyDescent="0.25">
      <c r="A2750" t="s">
        <v>3487</v>
      </c>
      <c r="B2750" t="s">
        <v>22539</v>
      </c>
    </row>
    <row r="2751" spans="1:2" x14ac:dyDescent="0.25">
      <c r="A2751" t="s">
        <v>3433</v>
      </c>
      <c r="B2751" t="s">
        <v>22462</v>
      </c>
    </row>
    <row r="2752" spans="1:2" x14ac:dyDescent="0.25">
      <c r="A2752" t="s">
        <v>3490</v>
      </c>
      <c r="B2752" t="s">
        <v>22544</v>
      </c>
    </row>
    <row r="2753" spans="1:2" x14ac:dyDescent="0.25">
      <c r="A2753" t="s">
        <v>3409</v>
      </c>
      <c r="B2753" t="s">
        <v>3409</v>
      </c>
    </row>
    <row r="2754" spans="1:2" x14ac:dyDescent="0.25">
      <c r="A2754" t="s">
        <v>3412</v>
      </c>
      <c r="B2754" t="s">
        <v>3412</v>
      </c>
    </row>
    <row r="2755" spans="1:2" x14ac:dyDescent="0.25">
      <c r="A2755" t="s">
        <v>3436</v>
      </c>
      <c r="B2755" t="s">
        <v>22467</v>
      </c>
    </row>
    <row r="2756" spans="1:2" x14ac:dyDescent="0.25">
      <c r="A2756" t="s">
        <v>3496</v>
      </c>
      <c r="B2756" t="s">
        <v>22553</v>
      </c>
    </row>
    <row r="2757" spans="1:2" x14ac:dyDescent="0.25">
      <c r="A2757" t="s">
        <v>3493</v>
      </c>
      <c r="B2757" t="s">
        <v>22549</v>
      </c>
    </row>
    <row r="2758" spans="1:2" x14ac:dyDescent="0.25">
      <c r="A2758" t="s">
        <v>3421</v>
      </c>
      <c r="B2758" t="s">
        <v>22443</v>
      </c>
    </row>
    <row r="2759" spans="1:2" x14ac:dyDescent="0.25">
      <c r="A2759" t="s">
        <v>3499</v>
      </c>
      <c r="B2759" t="s">
        <v>3499</v>
      </c>
    </row>
    <row r="2760" spans="1:2" x14ac:dyDescent="0.25">
      <c r="A2760" t="s">
        <v>3505</v>
      </c>
      <c r="B2760" t="s">
        <v>22566</v>
      </c>
    </row>
    <row r="2761" spans="1:2" x14ac:dyDescent="0.25">
      <c r="A2761" t="s">
        <v>3502</v>
      </c>
      <c r="B2761" t="s">
        <v>22561</v>
      </c>
    </row>
    <row r="2762" spans="1:2" x14ac:dyDescent="0.25">
      <c r="A2762" t="s">
        <v>3508</v>
      </c>
      <c r="B2762" t="s">
        <v>22571</v>
      </c>
    </row>
    <row r="2763" spans="1:2" x14ac:dyDescent="0.25">
      <c r="A2763" t="s">
        <v>3439</v>
      </c>
      <c r="B2763" t="s">
        <v>22472</v>
      </c>
    </row>
    <row r="2764" spans="1:2" x14ac:dyDescent="0.25">
      <c r="A2764" t="s">
        <v>3442</v>
      </c>
      <c r="B2764" t="s">
        <v>22477</v>
      </c>
    </row>
    <row r="2765" spans="1:2" x14ac:dyDescent="0.25">
      <c r="A2765" t="s">
        <v>3514</v>
      </c>
      <c r="B2765" t="s">
        <v>22581</v>
      </c>
    </row>
    <row r="2766" spans="1:2" x14ac:dyDescent="0.25">
      <c r="A2766" t="s">
        <v>3511</v>
      </c>
      <c r="B2766" t="s">
        <v>22576</v>
      </c>
    </row>
    <row r="2767" spans="1:2" x14ac:dyDescent="0.25">
      <c r="A2767" t="s">
        <v>3451</v>
      </c>
      <c r="B2767" t="s">
        <v>22492</v>
      </c>
    </row>
    <row r="2768" spans="1:2" x14ac:dyDescent="0.25">
      <c r="A2768" t="s">
        <v>3517</v>
      </c>
      <c r="B2768" t="s">
        <v>22586</v>
      </c>
    </row>
    <row r="2769" spans="1:2" x14ac:dyDescent="0.25">
      <c r="A2769" t="s">
        <v>3448</v>
      </c>
      <c r="B2769" t="s">
        <v>22487</v>
      </c>
    </row>
    <row r="2770" spans="1:2" x14ac:dyDescent="0.25">
      <c r="A2770" t="s">
        <v>3445</v>
      </c>
      <c r="B2770" t="s">
        <v>22482</v>
      </c>
    </row>
    <row r="2771" spans="1:2" x14ac:dyDescent="0.25">
      <c r="A2771" t="s">
        <v>3454</v>
      </c>
      <c r="B2771" t="s">
        <v>22493</v>
      </c>
    </row>
    <row r="2772" spans="1:2" x14ac:dyDescent="0.25">
      <c r="A2772" t="s">
        <v>3523</v>
      </c>
      <c r="B2772" t="s">
        <v>22596</v>
      </c>
    </row>
    <row r="2773" spans="1:2" x14ac:dyDescent="0.25">
      <c r="A2773" t="s">
        <v>3520</v>
      </c>
      <c r="B2773" t="s">
        <v>22591</v>
      </c>
    </row>
    <row r="2774" spans="1:2" x14ac:dyDescent="0.25">
      <c r="A2774" t="s">
        <v>3415</v>
      </c>
      <c r="B2774" t="s">
        <v>22434</v>
      </c>
    </row>
    <row r="2775" spans="1:2" x14ac:dyDescent="0.25">
      <c r="A2775" t="s">
        <v>807</v>
      </c>
      <c r="B2775" t="s">
        <v>19124</v>
      </c>
    </row>
    <row r="2776" spans="1:2" x14ac:dyDescent="0.25">
      <c r="A2776" t="s">
        <v>3457</v>
      </c>
      <c r="B2776" t="s">
        <v>3457</v>
      </c>
    </row>
    <row r="2777" spans="1:2" x14ac:dyDescent="0.25">
      <c r="A2777" t="s">
        <v>10567</v>
      </c>
      <c r="B2777" t="s">
        <v>10567</v>
      </c>
    </row>
    <row r="2778" spans="1:2" x14ac:dyDescent="0.25">
      <c r="A2778" t="s">
        <v>10498</v>
      </c>
      <c r="B2778" t="s">
        <v>10498</v>
      </c>
    </row>
    <row r="2779" spans="1:2" x14ac:dyDescent="0.25">
      <c r="A2779" t="s">
        <v>10534</v>
      </c>
      <c r="B2779" t="s">
        <v>31106</v>
      </c>
    </row>
    <row r="2780" spans="1:2" x14ac:dyDescent="0.25">
      <c r="A2780" t="s">
        <v>10537</v>
      </c>
      <c r="B2780" t="s">
        <v>31110</v>
      </c>
    </row>
    <row r="2781" spans="1:2" x14ac:dyDescent="0.25">
      <c r="A2781" t="s">
        <v>10540</v>
      </c>
      <c r="B2781" t="s">
        <v>31115</v>
      </c>
    </row>
    <row r="2782" spans="1:2" x14ac:dyDescent="0.25">
      <c r="A2782" t="s">
        <v>10507</v>
      </c>
      <c r="B2782" t="s">
        <v>10507</v>
      </c>
    </row>
    <row r="2783" spans="1:2" x14ac:dyDescent="0.25">
      <c r="A2783" t="s">
        <v>10558</v>
      </c>
      <c r="B2783" t="s">
        <v>10558</v>
      </c>
    </row>
    <row r="2784" spans="1:2" x14ac:dyDescent="0.25">
      <c r="A2784" t="s">
        <v>10570</v>
      </c>
      <c r="B2784" t="s">
        <v>10570</v>
      </c>
    </row>
    <row r="2785" spans="1:2" x14ac:dyDescent="0.25">
      <c r="A2785" t="s">
        <v>10576</v>
      </c>
      <c r="B2785" t="s">
        <v>10576</v>
      </c>
    </row>
    <row r="2786" spans="1:2" x14ac:dyDescent="0.25">
      <c r="A2786" t="s">
        <v>10525</v>
      </c>
      <c r="B2786" t="s">
        <v>31092</v>
      </c>
    </row>
    <row r="2787" spans="1:2" x14ac:dyDescent="0.25">
      <c r="A2787" t="s">
        <v>10504</v>
      </c>
      <c r="B2787" t="s">
        <v>10504</v>
      </c>
    </row>
    <row r="2788" spans="1:2" x14ac:dyDescent="0.25">
      <c r="A2788" t="s">
        <v>10546</v>
      </c>
      <c r="B2788" t="s">
        <v>31123</v>
      </c>
    </row>
    <row r="2789" spans="1:2" x14ac:dyDescent="0.25">
      <c r="A2789" t="s">
        <v>6259</v>
      </c>
      <c r="B2789" t="s">
        <v>25732</v>
      </c>
    </row>
    <row r="2790" spans="1:2" x14ac:dyDescent="0.25">
      <c r="A2790" t="s">
        <v>10588</v>
      </c>
      <c r="B2790" t="s">
        <v>10588</v>
      </c>
    </row>
    <row r="2791" spans="1:2" x14ac:dyDescent="0.25">
      <c r="A2791" t="s">
        <v>10591</v>
      </c>
      <c r="B2791" t="s">
        <v>31183</v>
      </c>
    </row>
    <row r="2792" spans="1:2" x14ac:dyDescent="0.25">
      <c r="A2792" t="s">
        <v>5728</v>
      </c>
      <c r="B2792" t="s">
        <v>25154</v>
      </c>
    </row>
    <row r="2793" spans="1:2" x14ac:dyDescent="0.25">
      <c r="A2793" t="s">
        <v>10597</v>
      </c>
      <c r="B2793" t="s">
        <v>10597</v>
      </c>
    </row>
    <row r="2794" spans="1:2" x14ac:dyDescent="0.25">
      <c r="A2794" t="s">
        <v>10600</v>
      </c>
      <c r="B2794" t="s">
        <v>31196</v>
      </c>
    </row>
    <row r="2795" spans="1:2" x14ac:dyDescent="0.25">
      <c r="A2795" t="s">
        <v>10603</v>
      </c>
      <c r="B2795" t="s">
        <v>31201</v>
      </c>
    </row>
    <row r="2796" spans="1:2" x14ac:dyDescent="0.25">
      <c r="A2796" t="s">
        <v>5666</v>
      </c>
      <c r="B2796" t="s">
        <v>25071</v>
      </c>
    </row>
    <row r="2797" spans="1:2" x14ac:dyDescent="0.25">
      <c r="A2797" t="s">
        <v>5669</v>
      </c>
      <c r="B2797" t="s">
        <v>25076</v>
      </c>
    </row>
    <row r="2798" spans="1:2" x14ac:dyDescent="0.25">
      <c r="A2798" t="s">
        <v>5672</v>
      </c>
      <c r="B2798" t="s">
        <v>25081</v>
      </c>
    </row>
    <row r="2799" spans="1:2" x14ac:dyDescent="0.25">
      <c r="A2799" t="s">
        <v>5675</v>
      </c>
      <c r="B2799" t="s">
        <v>25086</v>
      </c>
    </row>
    <row r="2800" spans="1:2" x14ac:dyDescent="0.25">
      <c r="A2800" t="s">
        <v>5678</v>
      </c>
      <c r="B2800" t="s">
        <v>25091</v>
      </c>
    </row>
    <row r="2801" spans="1:2" x14ac:dyDescent="0.25">
      <c r="A2801" t="s">
        <v>5681</v>
      </c>
      <c r="B2801" t="s">
        <v>25096</v>
      </c>
    </row>
    <row r="2802" spans="1:2" x14ac:dyDescent="0.25">
      <c r="A2802" t="s">
        <v>5737</v>
      </c>
      <c r="B2802" t="s">
        <v>5737</v>
      </c>
    </row>
    <row r="2803" spans="1:2" x14ac:dyDescent="0.25">
      <c r="A2803" t="s">
        <v>5735</v>
      </c>
      <c r="B2803" t="s">
        <v>25161</v>
      </c>
    </row>
    <row r="2804" spans="1:2" x14ac:dyDescent="0.25">
      <c r="A2804" t="s">
        <v>5733</v>
      </c>
      <c r="B2804" t="s">
        <v>25160</v>
      </c>
    </row>
    <row r="2805" spans="1:2" x14ac:dyDescent="0.25">
      <c r="A2805" t="s">
        <v>5663</v>
      </c>
      <c r="B2805" t="s">
        <v>5663</v>
      </c>
    </row>
    <row r="2806" spans="1:2" x14ac:dyDescent="0.25">
      <c r="A2806" t="s">
        <v>10606</v>
      </c>
      <c r="B2806" t="s">
        <v>10606</v>
      </c>
    </row>
    <row r="2807" spans="1:2" x14ac:dyDescent="0.25">
      <c r="A2807" t="s">
        <v>10609</v>
      </c>
      <c r="B2807" t="s">
        <v>10609</v>
      </c>
    </row>
    <row r="2808" spans="1:2" x14ac:dyDescent="0.25">
      <c r="A2808" t="s">
        <v>10612</v>
      </c>
      <c r="B2808" t="s">
        <v>31214</v>
      </c>
    </row>
    <row r="2809" spans="1:2" x14ac:dyDescent="0.25">
      <c r="A2809" t="s">
        <v>10615</v>
      </c>
      <c r="B2809" t="s">
        <v>31215</v>
      </c>
    </row>
    <row r="2810" spans="1:2" x14ac:dyDescent="0.25">
      <c r="A2810" t="s">
        <v>10617</v>
      </c>
      <c r="B2810" t="s">
        <v>10617</v>
      </c>
    </row>
    <row r="2811" spans="1:2" x14ac:dyDescent="0.25">
      <c r="A2811" t="s">
        <v>5739</v>
      </c>
      <c r="B2811" t="s">
        <v>5739</v>
      </c>
    </row>
    <row r="2812" spans="1:2" x14ac:dyDescent="0.25">
      <c r="A2812" t="s">
        <v>5741</v>
      </c>
      <c r="B2812" t="s">
        <v>25162</v>
      </c>
    </row>
    <row r="2813" spans="1:2" x14ac:dyDescent="0.25">
      <c r="A2813" t="s">
        <v>5743</v>
      </c>
      <c r="B2813" t="s">
        <v>25163</v>
      </c>
    </row>
    <row r="2814" spans="1:2" x14ac:dyDescent="0.25">
      <c r="A2814" t="s">
        <v>10629</v>
      </c>
      <c r="B2814" t="s">
        <v>31230</v>
      </c>
    </row>
    <row r="2815" spans="1:2" x14ac:dyDescent="0.25">
      <c r="A2815" t="s">
        <v>5791</v>
      </c>
      <c r="B2815" t="s">
        <v>25218</v>
      </c>
    </row>
    <row r="2816" spans="1:2" x14ac:dyDescent="0.25">
      <c r="A2816" t="s">
        <v>5794</v>
      </c>
      <c r="B2816" t="s">
        <v>25222</v>
      </c>
    </row>
    <row r="2817" spans="1:2" x14ac:dyDescent="0.25">
      <c r="A2817" t="s">
        <v>10632</v>
      </c>
      <c r="B2817" t="s">
        <v>10632</v>
      </c>
    </row>
    <row r="2818" spans="1:2" x14ac:dyDescent="0.25">
      <c r="A2818" t="s">
        <v>10641</v>
      </c>
      <c r="B2818" t="s">
        <v>10641</v>
      </c>
    </row>
    <row r="2819" spans="1:2" x14ac:dyDescent="0.25">
      <c r="A2819" t="s">
        <v>5582</v>
      </c>
      <c r="B2819" t="s">
        <v>25024</v>
      </c>
    </row>
    <row r="2820" spans="1:2" x14ac:dyDescent="0.25">
      <c r="A2820" t="s">
        <v>5693</v>
      </c>
      <c r="B2820" t="s">
        <v>25114</v>
      </c>
    </row>
    <row r="2821" spans="1:2" x14ac:dyDescent="0.25">
      <c r="A2821" t="s">
        <v>5698</v>
      </c>
      <c r="B2821" t="s">
        <v>25120</v>
      </c>
    </row>
    <row r="2822" spans="1:2" x14ac:dyDescent="0.25">
      <c r="A2822" t="s">
        <v>5710</v>
      </c>
      <c r="B2822" t="s">
        <v>25140</v>
      </c>
    </row>
    <row r="2823" spans="1:2" x14ac:dyDescent="0.25">
      <c r="A2823" t="s">
        <v>3790</v>
      </c>
      <c r="B2823" t="s">
        <v>22934</v>
      </c>
    </row>
    <row r="2824" spans="1:2" x14ac:dyDescent="0.25">
      <c r="A2824" t="s">
        <v>5761</v>
      </c>
      <c r="B2824" t="s">
        <v>25172</v>
      </c>
    </row>
    <row r="2825" spans="1:2" x14ac:dyDescent="0.25">
      <c r="A2825" t="s">
        <v>5690</v>
      </c>
      <c r="B2825" t="s">
        <v>5690</v>
      </c>
    </row>
    <row r="2826" spans="1:2" x14ac:dyDescent="0.25">
      <c r="A2826" t="s">
        <v>5715</v>
      </c>
      <c r="B2826" t="s">
        <v>25145</v>
      </c>
    </row>
    <row r="2827" spans="1:2" x14ac:dyDescent="0.25">
      <c r="A2827" t="s">
        <v>5726</v>
      </c>
      <c r="B2827" t="s">
        <v>25153</v>
      </c>
    </row>
    <row r="2828" spans="1:2" x14ac:dyDescent="0.25">
      <c r="A2828" t="s">
        <v>5782</v>
      </c>
      <c r="B2828" t="s">
        <v>5782</v>
      </c>
    </row>
    <row r="2829" spans="1:2" x14ac:dyDescent="0.25">
      <c r="A2829" t="s">
        <v>5684</v>
      </c>
      <c r="B2829" t="s">
        <v>5684</v>
      </c>
    </row>
    <row r="2830" spans="1:2" x14ac:dyDescent="0.25">
      <c r="A2830" t="s">
        <v>5687</v>
      </c>
      <c r="B2830" t="s">
        <v>25105</v>
      </c>
    </row>
    <row r="2831" spans="1:2" x14ac:dyDescent="0.25">
      <c r="A2831" t="s">
        <v>5695</v>
      </c>
      <c r="B2831" t="s">
        <v>25115</v>
      </c>
    </row>
    <row r="2832" spans="1:2" x14ac:dyDescent="0.25">
      <c r="A2832" t="s">
        <v>10638</v>
      </c>
      <c r="B2832" t="s">
        <v>10638</v>
      </c>
    </row>
    <row r="2833" spans="1:2" x14ac:dyDescent="0.25">
      <c r="A2833" t="s">
        <v>5749</v>
      </c>
      <c r="B2833" t="s">
        <v>25166</v>
      </c>
    </row>
    <row r="2834" spans="1:2" x14ac:dyDescent="0.25">
      <c r="A2834" t="s">
        <v>5751</v>
      </c>
      <c r="B2834" t="s">
        <v>25167</v>
      </c>
    </row>
    <row r="2835" spans="1:2" x14ac:dyDescent="0.25">
      <c r="A2835" t="s">
        <v>5753</v>
      </c>
      <c r="B2835" t="s">
        <v>25168</v>
      </c>
    </row>
    <row r="2836" spans="1:2" x14ac:dyDescent="0.25">
      <c r="A2836" t="s">
        <v>5755</v>
      </c>
      <c r="B2836" t="s">
        <v>25169</v>
      </c>
    </row>
    <row r="2837" spans="1:2" x14ac:dyDescent="0.25">
      <c r="A2837" t="s">
        <v>10635</v>
      </c>
      <c r="B2837" t="s">
        <v>10635</v>
      </c>
    </row>
    <row r="2838" spans="1:2" x14ac:dyDescent="0.25">
      <c r="A2838" t="s">
        <v>10647</v>
      </c>
      <c r="B2838" t="s">
        <v>31253</v>
      </c>
    </row>
    <row r="2839" spans="1:2" x14ac:dyDescent="0.25">
      <c r="A2839" t="s">
        <v>10644</v>
      </c>
      <c r="B2839" t="s">
        <v>31250</v>
      </c>
    </row>
    <row r="2840" spans="1:2" x14ac:dyDescent="0.25">
      <c r="A2840" t="s">
        <v>5257</v>
      </c>
      <c r="B2840" t="s">
        <v>24703</v>
      </c>
    </row>
    <row r="2841" spans="1:2" x14ac:dyDescent="0.25">
      <c r="A2841" t="s">
        <v>5757</v>
      </c>
      <c r="B2841" t="s">
        <v>25170</v>
      </c>
    </row>
    <row r="2842" spans="1:2" x14ac:dyDescent="0.25">
      <c r="A2842" t="s">
        <v>10650</v>
      </c>
      <c r="B2842" t="s">
        <v>31258</v>
      </c>
    </row>
    <row r="2843" spans="1:2" x14ac:dyDescent="0.25">
      <c r="A2843" t="s">
        <v>10653</v>
      </c>
      <c r="B2843" t="s">
        <v>10653</v>
      </c>
    </row>
    <row r="2844" spans="1:2" x14ac:dyDescent="0.25">
      <c r="A2844" t="s">
        <v>10663</v>
      </c>
      <c r="B2844" t="s">
        <v>31274</v>
      </c>
    </row>
    <row r="2845" spans="1:2" x14ac:dyDescent="0.25">
      <c r="A2845" t="s">
        <v>10666</v>
      </c>
      <c r="B2845" t="s">
        <v>31278</v>
      </c>
    </row>
    <row r="2846" spans="1:2" x14ac:dyDescent="0.25">
      <c r="A2846" t="s">
        <v>10669</v>
      </c>
      <c r="B2846" t="s">
        <v>10669</v>
      </c>
    </row>
    <row r="2847" spans="1:2" x14ac:dyDescent="0.25">
      <c r="A2847" t="s">
        <v>5759</v>
      </c>
      <c r="B2847" t="s">
        <v>25171</v>
      </c>
    </row>
    <row r="2848" spans="1:2" x14ac:dyDescent="0.25">
      <c r="A2848" t="s">
        <v>10672</v>
      </c>
      <c r="B2848" t="s">
        <v>10672</v>
      </c>
    </row>
    <row r="2849" spans="1:2" x14ac:dyDescent="0.25">
      <c r="A2849" t="s">
        <v>10675</v>
      </c>
      <c r="B2849" t="s">
        <v>10675</v>
      </c>
    </row>
    <row r="2850" spans="1:2" x14ac:dyDescent="0.25">
      <c r="A2850" t="s">
        <v>10678</v>
      </c>
      <c r="B2850" t="s">
        <v>31295</v>
      </c>
    </row>
    <row r="2851" spans="1:2" x14ac:dyDescent="0.25">
      <c r="A2851" t="s">
        <v>5800</v>
      </c>
      <c r="B2851" t="s">
        <v>25232</v>
      </c>
    </row>
    <row r="2852" spans="1:2" x14ac:dyDescent="0.25">
      <c r="A2852" t="s">
        <v>5812</v>
      </c>
      <c r="B2852" t="s">
        <v>25247</v>
      </c>
    </row>
    <row r="2853" spans="1:2" x14ac:dyDescent="0.25">
      <c r="A2853" t="s">
        <v>5806</v>
      </c>
      <c r="B2853" t="s">
        <v>25240</v>
      </c>
    </row>
    <row r="2854" spans="1:2" x14ac:dyDescent="0.25">
      <c r="A2854" t="s">
        <v>5815</v>
      </c>
      <c r="B2854" t="s">
        <v>25252</v>
      </c>
    </row>
    <row r="2855" spans="1:2" x14ac:dyDescent="0.25">
      <c r="A2855" t="s">
        <v>5818</v>
      </c>
      <c r="B2855" t="s">
        <v>25255</v>
      </c>
    </row>
    <row r="2856" spans="1:2" x14ac:dyDescent="0.25">
      <c r="A2856" t="s">
        <v>5870</v>
      </c>
      <c r="B2856" t="s">
        <v>25317</v>
      </c>
    </row>
    <row r="2857" spans="1:2" x14ac:dyDescent="0.25">
      <c r="A2857" t="s">
        <v>5873</v>
      </c>
      <c r="B2857" t="s">
        <v>25320</v>
      </c>
    </row>
    <row r="2858" spans="1:2" x14ac:dyDescent="0.25">
      <c r="A2858" t="s">
        <v>5876</v>
      </c>
      <c r="B2858" t="s">
        <v>25323</v>
      </c>
    </row>
    <row r="2859" spans="1:2" x14ac:dyDescent="0.25">
      <c r="A2859" t="s">
        <v>5900</v>
      </c>
      <c r="B2859" t="s">
        <v>25355</v>
      </c>
    </row>
    <row r="2860" spans="1:2" x14ac:dyDescent="0.25">
      <c r="A2860" t="s">
        <v>5897</v>
      </c>
      <c r="B2860" t="s">
        <v>25351</v>
      </c>
    </row>
    <row r="2861" spans="1:2" x14ac:dyDescent="0.25">
      <c r="A2861" t="s">
        <v>5891</v>
      </c>
      <c r="B2861" t="s">
        <v>25341</v>
      </c>
    </row>
    <row r="2862" spans="1:2" x14ac:dyDescent="0.25">
      <c r="A2862" t="s">
        <v>5888</v>
      </c>
      <c r="B2862" t="s">
        <v>25337</v>
      </c>
    </row>
    <row r="2863" spans="1:2" x14ac:dyDescent="0.25">
      <c r="A2863" t="s">
        <v>5885</v>
      </c>
      <c r="B2863" t="s">
        <v>25334</v>
      </c>
    </row>
    <row r="2864" spans="1:2" x14ac:dyDescent="0.25">
      <c r="A2864" t="s">
        <v>5879</v>
      </c>
      <c r="B2864" t="s">
        <v>25326</v>
      </c>
    </row>
    <row r="2865" spans="1:2" x14ac:dyDescent="0.25">
      <c r="A2865" t="s">
        <v>5882</v>
      </c>
      <c r="B2865" t="s">
        <v>25331</v>
      </c>
    </row>
    <row r="2866" spans="1:2" x14ac:dyDescent="0.25">
      <c r="A2866" t="s">
        <v>10684</v>
      </c>
      <c r="B2866" t="s">
        <v>10684</v>
      </c>
    </row>
    <row r="2867" spans="1:2" x14ac:dyDescent="0.25">
      <c r="A2867" t="s">
        <v>6049</v>
      </c>
      <c r="B2867" t="s">
        <v>25574</v>
      </c>
    </row>
    <row r="2868" spans="1:2" x14ac:dyDescent="0.25">
      <c r="A2868" t="s">
        <v>10687</v>
      </c>
      <c r="B2868" t="s">
        <v>31308</v>
      </c>
    </row>
    <row r="2869" spans="1:2" x14ac:dyDescent="0.25">
      <c r="A2869" t="s">
        <v>6052</v>
      </c>
      <c r="B2869" t="s">
        <v>25579</v>
      </c>
    </row>
    <row r="2870" spans="1:2" x14ac:dyDescent="0.25">
      <c r="A2870" t="s">
        <v>10690</v>
      </c>
      <c r="B2870" t="s">
        <v>10690</v>
      </c>
    </row>
    <row r="2871" spans="1:2" x14ac:dyDescent="0.25">
      <c r="A2871" t="s">
        <v>6058</v>
      </c>
      <c r="B2871" t="s">
        <v>6058</v>
      </c>
    </row>
    <row r="2872" spans="1:2" x14ac:dyDescent="0.25">
      <c r="A2872" t="s">
        <v>10693</v>
      </c>
      <c r="B2872" t="s">
        <v>10693</v>
      </c>
    </row>
    <row r="2873" spans="1:2" x14ac:dyDescent="0.25">
      <c r="A2873" t="s">
        <v>10699</v>
      </c>
      <c r="B2873" t="s">
        <v>10699</v>
      </c>
    </row>
    <row r="2874" spans="1:2" x14ac:dyDescent="0.25">
      <c r="A2874" t="s">
        <v>10696</v>
      </c>
      <c r="B2874" t="s">
        <v>10696</v>
      </c>
    </row>
    <row r="2875" spans="1:2" x14ac:dyDescent="0.25">
      <c r="A2875" t="s">
        <v>10702</v>
      </c>
      <c r="B2875" t="s">
        <v>31329</v>
      </c>
    </row>
    <row r="2876" spans="1:2" x14ac:dyDescent="0.25">
      <c r="A2876" t="s">
        <v>10705</v>
      </c>
      <c r="B2876" t="s">
        <v>10705</v>
      </c>
    </row>
    <row r="2877" spans="1:2" x14ac:dyDescent="0.25">
      <c r="A2877" t="s">
        <v>5848</v>
      </c>
      <c r="B2877" t="s">
        <v>25288</v>
      </c>
    </row>
    <row r="2878" spans="1:2" x14ac:dyDescent="0.25">
      <c r="A2878" t="s">
        <v>5965</v>
      </c>
      <c r="B2878" t="s">
        <v>25435</v>
      </c>
    </row>
    <row r="2879" spans="1:2" x14ac:dyDescent="0.25">
      <c r="A2879" t="s">
        <v>6055</v>
      </c>
      <c r="B2879" t="s">
        <v>25583</v>
      </c>
    </row>
    <row r="2880" spans="1:2" x14ac:dyDescent="0.25">
      <c r="A2880" t="s">
        <v>6040</v>
      </c>
      <c r="B2880" t="s">
        <v>25559</v>
      </c>
    </row>
    <row r="2881" spans="1:2" x14ac:dyDescent="0.25">
      <c r="A2881" t="s">
        <v>6043</v>
      </c>
      <c r="B2881" t="s">
        <v>25564</v>
      </c>
    </row>
    <row r="2882" spans="1:2" x14ac:dyDescent="0.25">
      <c r="A2882" t="s">
        <v>5977</v>
      </c>
      <c r="B2882" t="s">
        <v>25454</v>
      </c>
    </row>
    <row r="2883" spans="1:2" x14ac:dyDescent="0.25">
      <c r="A2883" t="s">
        <v>5974</v>
      </c>
      <c r="B2883" t="s">
        <v>25449</v>
      </c>
    </row>
    <row r="2884" spans="1:2" x14ac:dyDescent="0.25">
      <c r="A2884" t="s">
        <v>5992</v>
      </c>
      <c r="B2884" t="s">
        <v>25479</v>
      </c>
    </row>
    <row r="2885" spans="1:2" x14ac:dyDescent="0.25">
      <c r="A2885" t="s">
        <v>5989</v>
      </c>
      <c r="B2885" t="s">
        <v>25474</v>
      </c>
    </row>
    <row r="2886" spans="1:2" x14ac:dyDescent="0.25">
      <c r="A2886" t="s">
        <v>5986</v>
      </c>
      <c r="B2886" t="s">
        <v>25469</v>
      </c>
    </row>
    <row r="2887" spans="1:2" x14ac:dyDescent="0.25">
      <c r="A2887" t="s">
        <v>6046</v>
      </c>
      <c r="B2887" t="s">
        <v>25569</v>
      </c>
    </row>
    <row r="2888" spans="1:2" x14ac:dyDescent="0.25">
      <c r="A2888" t="s">
        <v>5998</v>
      </c>
      <c r="B2888" t="s">
        <v>25489</v>
      </c>
    </row>
    <row r="2889" spans="1:2" x14ac:dyDescent="0.25">
      <c r="A2889" t="s">
        <v>6001</v>
      </c>
      <c r="B2889" t="s">
        <v>25494</v>
      </c>
    </row>
    <row r="2890" spans="1:2" x14ac:dyDescent="0.25">
      <c r="A2890" t="s">
        <v>5980</v>
      </c>
      <c r="B2890" t="s">
        <v>25459</v>
      </c>
    </row>
    <row r="2891" spans="1:2" x14ac:dyDescent="0.25">
      <c r="A2891" t="s">
        <v>6004</v>
      </c>
      <c r="B2891" t="s">
        <v>25499</v>
      </c>
    </row>
    <row r="2892" spans="1:2" x14ac:dyDescent="0.25">
      <c r="A2892" t="s">
        <v>6025</v>
      </c>
      <c r="B2892" t="s">
        <v>25534</v>
      </c>
    </row>
    <row r="2893" spans="1:2" x14ac:dyDescent="0.25">
      <c r="A2893" t="s">
        <v>6022</v>
      </c>
      <c r="B2893" t="s">
        <v>25529</v>
      </c>
    </row>
    <row r="2894" spans="1:2" x14ac:dyDescent="0.25">
      <c r="A2894" t="s">
        <v>5995</v>
      </c>
      <c r="B2894" t="s">
        <v>25484</v>
      </c>
    </row>
    <row r="2895" spans="1:2" x14ac:dyDescent="0.25">
      <c r="A2895" t="s">
        <v>6010</v>
      </c>
      <c r="B2895" t="s">
        <v>25509</v>
      </c>
    </row>
    <row r="2896" spans="1:2" x14ac:dyDescent="0.25">
      <c r="A2896" t="s">
        <v>5983</v>
      </c>
      <c r="B2896" t="s">
        <v>25464</v>
      </c>
    </row>
    <row r="2897" spans="1:2" x14ac:dyDescent="0.25">
      <c r="A2897" t="s">
        <v>6013</v>
      </c>
      <c r="B2897" t="s">
        <v>25514</v>
      </c>
    </row>
    <row r="2898" spans="1:2" x14ac:dyDescent="0.25">
      <c r="A2898" t="s">
        <v>6061</v>
      </c>
      <c r="B2898" t="s">
        <v>25592</v>
      </c>
    </row>
    <row r="2899" spans="1:2" x14ac:dyDescent="0.25">
      <c r="A2899" t="s">
        <v>6019</v>
      </c>
      <c r="B2899" t="s">
        <v>25524</v>
      </c>
    </row>
    <row r="2900" spans="1:2" x14ac:dyDescent="0.25">
      <c r="A2900" t="s">
        <v>6066</v>
      </c>
      <c r="B2900" t="s">
        <v>25598</v>
      </c>
    </row>
    <row r="2901" spans="1:2" x14ac:dyDescent="0.25">
      <c r="A2901" t="s">
        <v>6028</v>
      </c>
      <c r="B2901" t="s">
        <v>25539</v>
      </c>
    </row>
    <row r="2902" spans="1:2" x14ac:dyDescent="0.25">
      <c r="A2902" t="s">
        <v>6016</v>
      </c>
      <c r="B2902" t="s">
        <v>25519</v>
      </c>
    </row>
    <row r="2903" spans="1:2" x14ac:dyDescent="0.25">
      <c r="A2903" t="s">
        <v>6034</v>
      </c>
      <c r="B2903" t="s">
        <v>25549</v>
      </c>
    </row>
    <row r="2904" spans="1:2" x14ac:dyDescent="0.25">
      <c r="A2904" t="s">
        <v>6031</v>
      </c>
      <c r="B2904" t="s">
        <v>25544</v>
      </c>
    </row>
    <row r="2905" spans="1:2" x14ac:dyDescent="0.25">
      <c r="A2905" t="s">
        <v>6069</v>
      </c>
      <c r="B2905" t="s">
        <v>25603</v>
      </c>
    </row>
    <row r="2906" spans="1:2" x14ac:dyDescent="0.25">
      <c r="A2906" t="s">
        <v>6072</v>
      </c>
      <c r="B2906" t="s">
        <v>25608</v>
      </c>
    </row>
    <row r="2907" spans="1:2" x14ac:dyDescent="0.25">
      <c r="A2907" t="s">
        <v>6037</v>
      </c>
      <c r="B2907" t="s">
        <v>25554</v>
      </c>
    </row>
    <row r="2908" spans="1:2" x14ac:dyDescent="0.25">
      <c r="A2908" t="s">
        <v>6007</v>
      </c>
      <c r="B2908" t="s">
        <v>25504</v>
      </c>
    </row>
    <row r="2909" spans="1:2" x14ac:dyDescent="0.25">
      <c r="A2909" t="s">
        <v>6081</v>
      </c>
      <c r="B2909" t="s">
        <v>6081</v>
      </c>
    </row>
    <row r="2910" spans="1:2" x14ac:dyDescent="0.25">
      <c r="A2910" t="s">
        <v>6084</v>
      </c>
      <c r="B2910" t="s">
        <v>6084</v>
      </c>
    </row>
    <row r="2911" spans="1:2" x14ac:dyDescent="0.25">
      <c r="A2911" t="s">
        <v>6087</v>
      </c>
      <c r="B2911" t="s">
        <v>25624</v>
      </c>
    </row>
    <row r="2912" spans="1:2" x14ac:dyDescent="0.25">
      <c r="A2912" t="s">
        <v>10708</v>
      </c>
      <c r="B2912" t="s">
        <v>10708</v>
      </c>
    </row>
    <row r="2913" spans="1:2" x14ac:dyDescent="0.25">
      <c r="A2913" t="s">
        <v>5835</v>
      </c>
      <c r="B2913" t="s">
        <v>25279</v>
      </c>
    </row>
    <row r="2914" spans="1:2" x14ac:dyDescent="0.25">
      <c r="A2914" t="s">
        <v>5837</v>
      </c>
      <c r="B2914" t="s">
        <v>25280</v>
      </c>
    </row>
    <row r="2915" spans="1:2" x14ac:dyDescent="0.25">
      <c r="A2915" t="s">
        <v>5839</v>
      </c>
      <c r="B2915" t="s">
        <v>25281</v>
      </c>
    </row>
    <row r="2916" spans="1:2" x14ac:dyDescent="0.25">
      <c r="A2916" t="s">
        <v>5841</v>
      </c>
      <c r="B2916" t="s">
        <v>25282</v>
      </c>
    </row>
    <row r="2917" spans="1:2" x14ac:dyDescent="0.25">
      <c r="A2917" t="s">
        <v>10711</v>
      </c>
      <c r="B2917" t="s">
        <v>10711</v>
      </c>
    </row>
    <row r="2918" spans="1:2" x14ac:dyDescent="0.25">
      <c r="A2918" t="s">
        <v>10717</v>
      </c>
      <c r="B2918" t="s">
        <v>31351</v>
      </c>
    </row>
    <row r="2919" spans="1:2" x14ac:dyDescent="0.25">
      <c r="A2919" t="s">
        <v>10714</v>
      </c>
      <c r="B2919" t="s">
        <v>31346</v>
      </c>
    </row>
    <row r="2920" spans="1:2" x14ac:dyDescent="0.25">
      <c r="A2920" t="s">
        <v>6090</v>
      </c>
      <c r="B2920" t="s">
        <v>6090</v>
      </c>
    </row>
    <row r="2921" spans="1:2" x14ac:dyDescent="0.25">
      <c r="A2921" t="s">
        <v>6101</v>
      </c>
      <c r="B2921" t="s">
        <v>6101</v>
      </c>
    </row>
    <row r="2922" spans="1:2" x14ac:dyDescent="0.25">
      <c r="A2922" t="s">
        <v>6104</v>
      </c>
      <c r="B2922" t="s">
        <v>6104</v>
      </c>
    </row>
    <row r="2923" spans="1:2" x14ac:dyDescent="0.25">
      <c r="A2923" t="s">
        <v>6107</v>
      </c>
      <c r="B2923" t="s">
        <v>6107</v>
      </c>
    </row>
    <row r="2924" spans="1:2" x14ac:dyDescent="0.25">
      <c r="A2924" t="s">
        <v>6371</v>
      </c>
      <c r="B2924" t="s">
        <v>25788</v>
      </c>
    </row>
    <row r="2925" spans="1:2" x14ac:dyDescent="0.25">
      <c r="A2925" t="s">
        <v>6373</v>
      </c>
      <c r="B2925" t="s">
        <v>25789</v>
      </c>
    </row>
    <row r="2926" spans="1:2" x14ac:dyDescent="0.25">
      <c r="A2926" t="s">
        <v>4783</v>
      </c>
      <c r="B2926" t="s">
        <v>24240</v>
      </c>
    </row>
    <row r="2927" spans="1:2" x14ac:dyDescent="0.25">
      <c r="A2927" t="s">
        <v>5827</v>
      </c>
      <c r="B2927" t="s">
        <v>25266</v>
      </c>
    </row>
    <row r="2928" spans="1:2" x14ac:dyDescent="0.25">
      <c r="A2928" t="s">
        <v>5843</v>
      </c>
      <c r="B2928" t="s">
        <v>25283</v>
      </c>
    </row>
    <row r="2929" spans="1:2" x14ac:dyDescent="0.25">
      <c r="A2929" t="s">
        <v>5845</v>
      </c>
      <c r="B2929" t="s">
        <v>25284</v>
      </c>
    </row>
    <row r="2930" spans="1:2" x14ac:dyDescent="0.25">
      <c r="A2930" t="s">
        <v>10720</v>
      </c>
      <c r="B2930" t="s">
        <v>10720</v>
      </c>
    </row>
    <row r="2931" spans="1:2" x14ac:dyDescent="0.25">
      <c r="A2931" t="s">
        <v>10723</v>
      </c>
      <c r="B2931" t="s">
        <v>10723</v>
      </c>
    </row>
    <row r="2932" spans="1:2" x14ac:dyDescent="0.25">
      <c r="A2932" t="s">
        <v>5868</v>
      </c>
      <c r="B2932" t="s">
        <v>25316</v>
      </c>
    </row>
    <row r="2933" spans="1:2" x14ac:dyDescent="0.25">
      <c r="A2933" t="s">
        <v>5959</v>
      </c>
      <c r="B2933" t="s">
        <v>25432</v>
      </c>
    </row>
    <row r="2934" spans="1:2" x14ac:dyDescent="0.25">
      <c r="A2934" t="s">
        <v>5961</v>
      </c>
      <c r="B2934" t="s">
        <v>25433</v>
      </c>
    </row>
    <row r="2935" spans="1:2" x14ac:dyDescent="0.25">
      <c r="A2935" t="s">
        <v>6093</v>
      </c>
      <c r="B2935" t="s">
        <v>25631</v>
      </c>
    </row>
    <row r="2936" spans="1:2" x14ac:dyDescent="0.25">
      <c r="A2936" t="s">
        <v>6096</v>
      </c>
      <c r="B2936" t="s">
        <v>25636</v>
      </c>
    </row>
    <row r="2937" spans="1:2" x14ac:dyDescent="0.25">
      <c r="A2937" t="s">
        <v>6075</v>
      </c>
      <c r="B2937" t="s">
        <v>25613</v>
      </c>
    </row>
    <row r="2938" spans="1:2" x14ac:dyDescent="0.25">
      <c r="A2938" t="s">
        <v>6078</v>
      </c>
      <c r="B2938" t="s">
        <v>6078</v>
      </c>
    </row>
    <row r="2939" spans="1:2" x14ac:dyDescent="0.25">
      <c r="A2939" t="s">
        <v>10726</v>
      </c>
      <c r="B2939" t="s">
        <v>10726</v>
      </c>
    </row>
    <row r="2940" spans="1:2" x14ac:dyDescent="0.25">
      <c r="A2940" t="s">
        <v>5862</v>
      </c>
      <c r="B2940" t="s">
        <v>25313</v>
      </c>
    </row>
    <row r="2941" spans="1:2" x14ac:dyDescent="0.25">
      <c r="A2941" t="s">
        <v>5864</v>
      </c>
      <c r="B2941" t="s">
        <v>25314</v>
      </c>
    </row>
    <row r="2942" spans="1:2" x14ac:dyDescent="0.25">
      <c r="A2942" t="s">
        <v>5953</v>
      </c>
      <c r="B2942" t="s">
        <v>25423</v>
      </c>
    </row>
    <row r="2943" spans="1:2" x14ac:dyDescent="0.25">
      <c r="A2943" t="s">
        <v>5903</v>
      </c>
      <c r="B2943" t="s">
        <v>25360</v>
      </c>
    </row>
    <row r="2944" spans="1:2" x14ac:dyDescent="0.25">
      <c r="A2944" t="s">
        <v>5906</v>
      </c>
      <c r="B2944" t="s">
        <v>5906</v>
      </c>
    </row>
    <row r="2945" spans="1:2" x14ac:dyDescent="0.25">
      <c r="A2945" t="s">
        <v>5909</v>
      </c>
      <c r="B2945" t="s">
        <v>5909</v>
      </c>
    </row>
    <row r="2946" spans="1:2" x14ac:dyDescent="0.25">
      <c r="A2946" t="s">
        <v>5912</v>
      </c>
      <c r="B2946" t="s">
        <v>25372</v>
      </c>
    </row>
    <row r="2947" spans="1:2" x14ac:dyDescent="0.25">
      <c r="A2947" t="s">
        <v>5925</v>
      </c>
      <c r="B2947" t="s">
        <v>5925</v>
      </c>
    </row>
    <row r="2948" spans="1:2" x14ac:dyDescent="0.25">
      <c r="A2948" t="s">
        <v>5919</v>
      </c>
      <c r="B2948" t="s">
        <v>5919</v>
      </c>
    </row>
    <row r="2949" spans="1:2" x14ac:dyDescent="0.25">
      <c r="A2949" t="s">
        <v>5922</v>
      </c>
      <c r="B2949" t="s">
        <v>5922</v>
      </c>
    </row>
    <row r="2950" spans="1:2" x14ac:dyDescent="0.25">
      <c r="A2950" t="s">
        <v>10729</v>
      </c>
      <c r="B2950" t="s">
        <v>31367</v>
      </c>
    </row>
    <row r="2951" spans="1:2" x14ac:dyDescent="0.25">
      <c r="A2951" t="s">
        <v>5767</v>
      </c>
      <c r="B2951" t="s">
        <v>25182</v>
      </c>
    </row>
    <row r="2952" spans="1:2" x14ac:dyDescent="0.25">
      <c r="A2952" t="s">
        <v>5824</v>
      </c>
      <c r="B2952" t="s">
        <v>25263</v>
      </c>
    </row>
    <row r="2953" spans="1:2" x14ac:dyDescent="0.25">
      <c r="A2953" t="s">
        <v>5821</v>
      </c>
      <c r="B2953" t="s">
        <v>25258</v>
      </c>
    </row>
    <row r="2954" spans="1:2" x14ac:dyDescent="0.25">
      <c r="A2954" t="s">
        <v>5894</v>
      </c>
      <c r="B2954" t="s">
        <v>25346</v>
      </c>
    </row>
    <row r="2955" spans="1:2" x14ac:dyDescent="0.25">
      <c r="A2955" t="s">
        <v>10732</v>
      </c>
      <c r="B2955" t="s">
        <v>10732</v>
      </c>
    </row>
    <row r="2956" spans="1:2" x14ac:dyDescent="0.25">
      <c r="A2956" t="s">
        <v>3754</v>
      </c>
      <c r="B2956" t="s">
        <v>22890</v>
      </c>
    </row>
    <row r="2957" spans="1:2" x14ac:dyDescent="0.25">
      <c r="A2957" t="s">
        <v>3760</v>
      </c>
      <c r="B2957" t="s">
        <v>22896</v>
      </c>
    </row>
    <row r="2958" spans="1:2" x14ac:dyDescent="0.25">
      <c r="A2958" t="s">
        <v>3757</v>
      </c>
      <c r="B2958" t="s">
        <v>3757</v>
      </c>
    </row>
    <row r="2959" spans="1:2" x14ac:dyDescent="0.25">
      <c r="A2959" t="s">
        <v>3763</v>
      </c>
      <c r="B2959" t="s">
        <v>22900</v>
      </c>
    </row>
    <row r="2960" spans="1:2" x14ac:dyDescent="0.25">
      <c r="A2960" t="s">
        <v>5935</v>
      </c>
      <c r="B2960" t="s">
        <v>25394</v>
      </c>
    </row>
    <row r="2961" spans="1:2" x14ac:dyDescent="0.25">
      <c r="A2961" t="s">
        <v>5947</v>
      </c>
      <c r="B2961" t="s">
        <v>25413</v>
      </c>
    </row>
    <row r="2962" spans="1:2" x14ac:dyDescent="0.25">
      <c r="A2962" t="s">
        <v>5932</v>
      </c>
      <c r="B2962" t="s">
        <v>25393</v>
      </c>
    </row>
    <row r="2963" spans="1:2" x14ac:dyDescent="0.25">
      <c r="A2963" t="s">
        <v>5950</v>
      </c>
      <c r="B2963" t="s">
        <v>25418</v>
      </c>
    </row>
    <row r="2964" spans="1:2" x14ac:dyDescent="0.25">
      <c r="A2964" t="s">
        <v>5944</v>
      </c>
      <c r="B2964" t="s">
        <v>25408</v>
      </c>
    </row>
    <row r="2965" spans="1:2" x14ac:dyDescent="0.25">
      <c r="A2965" t="s">
        <v>5941</v>
      </c>
      <c r="B2965" t="s">
        <v>25403</v>
      </c>
    </row>
    <row r="2966" spans="1:2" x14ac:dyDescent="0.25">
      <c r="A2966" t="s">
        <v>5938</v>
      </c>
      <c r="B2966" t="s">
        <v>25398</v>
      </c>
    </row>
    <row r="2967" spans="1:2" x14ac:dyDescent="0.25">
      <c r="A2967" t="s">
        <v>10735</v>
      </c>
      <c r="B2967" t="s">
        <v>31376</v>
      </c>
    </row>
    <row r="2968" spans="1:2" x14ac:dyDescent="0.25">
      <c r="A2968" t="s">
        <v>10738</v>
      </c>
      <c r="B2968" t="s">
        <v>14705</v>
      </c>
    </row>
    <row r="2969" spans="1:2" x14ac:dyDescent="0.25">
      <c r="A2969" t="s">
        <v>10744</v>
      </c>
      <c r="B2969" t="s">
        <v>31388</v>
      </c>
    </row>
    <row r="2970" spans="1:2" x14ac:dyDescent="0.25">
      <c r="A2970" t="s">
        <v>10741</v>
      </c>
      <c r="B2970" t="s">
        <v>10741</v>
      </c>
    </row>
    <row r="2971" spans="1:2" x14ac:dyDescent="0.25">
      <c r="A2971" t="s">
        <v>5917</v>
      </c>
      <c r="B2971" t="s">
        <v>25374</v>
      </c>
    </row>
    <row r="2972" spans="1:2" x14ac:dyDescent="0.25">
      <c r="A2972" t="s">
        <v>10747</v>
      </c>
      <c r="B2972" t="s">
        <v>10747</v>
      </c>
    </row>
    <row r="2973" spans="1:2" x14ac:dyDescent="0.25">
      <c r="A2973" t="s">
        <v>5830</v>
      </c>
      <c r="B2973" t="s">
        <v>25269</v>
      </c>
    </row>
    <row r="2974" spans="1:2" x14ac:dyDescent="0.25">
      <c r="A2974" t="s">
        <v>10750</v>
      </c>
      <c r="B2974" t="s">
        <v>10750</v>
      </c>
    </row>
    <row r="2975" spans="1:2" x14ac:dyDescent="0.25">
      <c r="A2975" t="s">
        <v>5963</v>
      </c>
      <c r="B2975" t="s">
        <v>25434</v>
      </c>
    </row>
    <row r="2976" spans="1:2" x14ac:dyDescent="0.25">
      <c r="A2976" t="s">
        <v>10753</v>
      </c>
      <c r="B2976" t="s">
        <v>31401</v>
      </c>
    </row>
    <row r="2977" spans="1:2" x14ac:dyDescent="0.25">
      <c r="A2977" t="s">
        <v>10759</v>
      </c>
      <c r="B2977" t="s">
        <v>31411</v>
      </c>
    </row>
    <row r="2978" spans="1:2" x14ac:dyDescent="0.25">
      <c r="A2978" t="s">
        <v>10762</v>
      </c>
      <c r="B2978" t="s">
        <v>10762</v>
      </c>
    </row>
    <row r="2979" spans="1:2" x14ac:dyDescent="0.25">
      <c r="A2979" t="s">
        <v>10765</v>
      </c>
      <c r="B2979" t="s">
        <v>10765</v>
      </c>
    </row>
    <row r="2980" spans="1:2" x14ac:dyDescent="0.25">
      <c r="A2980" t="s">
        <v>3736</v>
      </c>
      <c r="B2980" t="s">
        <v>22875</v>
      </c>
    </row>
    <row r="2981" spans="1:2" x14ac:dyDescent="0.25">
      <c r="A2981" t="s">
        <v>3742</v>
      </c>
      <c r="B2981" t="s">
        <v>22880</v>
      </c>
    </row>
    <row r="2982" spans="1:2" x14ac:dyDescent="0.25">
      <c r="A2982" t="s">
        <v>6455</v>
      </c>
      <c r="B2982" t="s">
        <v>25859</v>
      </c>
    </row>
    <row r="2983" spans="1:2" x14ac:dyDescent="0.25">
      <c r="A2983" t="s">
        <v>6458</v>
      </c>
      <c r="B2983" t="s">
        <v>25864</v>
      </c>
    </row>
    <row r="2984" spans="1:2" x14ac:dyDescent="0.25">
      <c r="A2984" t="s">
        <v>3538</v>
      </c>
      <c r="B2984" t="s">
        <v>14410</v>
      </c>
    </row>
    <row r="2985" spans="1:2" x14ac:dyDescent="0.25">
      <c r="A2985" t="s">
        <v>3355</v>
      </c>
      <c r="B2985" t="s">
        <v>22348</v>
      </c>
    </row>
    <row r="2986" spans="1:2" x14ac:dyDescent="0.25">
      <c r="A2986" t="s">
        <v>3352</v>
      </c>
      <c r="B2986" t="s">
        <v>3352</v>
      </c>
    </row>
    <row r="2987" spans="1:2" x14ac:dyDescent="0.25">
      <c r="A2987" t="s">
        <v>6452</v>
      </c>
      <c r="B2987" t="s">
        <v>25854</v>
      </c>
    </row>
    <row r="2988" spans="1:2" x14ac:dyDescent="0.25">
      <c r="A2988" t="s">
        <v>6449</v>
      </c>
      <c r="B2988" t="s">
        <v>25850</v>
      </c>
    </row>
    <row r="2989" spans="1:2" x14ac:dyDescent="0.25">
      <c r="A2989" t="s">
        <v>3739</v>
      </c>
      <c r="B2989" t="s">
        <v>3739</v>
      </c>
    </row>
    <row r="2990" spans="1:2" x14ac:dyDescent="0.25">
      <c r="A2990" t="s">
        <v>804</v>
      </c>
      <c r="B2990" t="s">
        <v>19119</v>
      </c>
    </row>
    <row r="2991" spans="1:2" x14ac:dyDescent="0.25">
      <c r="A2991" t="s">
        <v>3745</v>
      </c>
      <c r="B2991" t="s">
        <v>22883</v>
      </c>
    </row>
    <row r="2992" spans="1:2" x14ac:dyDescent="0.25">
      <c r="A2992" t="s">
        <v>3748</v>
      </c>
      <c r="B2992" t="s">
        <v>22888</v>
      </c>
    </row>
    <row r="2993" spans="1:2" x14ac:dyDescent="0.25">
      <c r="A2993" t="s">
        <v>7161</v>
      </c>
      <c r="B2993" t="s">
        <v>26801</v>
      </c>
    </row>
    <row r="2994" spans="1:2" x14ac:dyDescent="0.25">
      <c r="A2994" t="s">
        <v>10768</v>
      </c>
      <c r="B2994" t="s">
        <v>14383</v>
      </c>
    </row>
    <row r="2995" spans="1:2" x14ac:dyDescent="0.25">
      <c r="A2995" t="s">
        <v>6115</v>
      </c>
      <c r="B2995" t="s">
        <v>25656</v>
      </c>
    </row>
    <row r="2996" spans="1:2" x14ac:dyDescent="0.25">
      <c r="A2996" t="s">
        <v>6117</v>
      </c>
      <c r="B2996" t="s">
        <v>25657</v>
      </c>
    </row>
    <row r="2997" spans="1:2" x14ac:dyDescent="0.25">
      <c r="A2997" t="s">
        <v>6119</v>
      </c>
      <c r="B2997" t="s">
        <v>25658</v>
      </c>
    </row>
    <row r="2998" spans="1:2" x14ac:dyDescent="0.25">
      <c r="A2998" t="s">
        <v>6121</v>
      </c>
      <c r="B2998" t="s">
        <v>25659</v>
      </c>
    </row>
    <row r="2999" spans="1:2" x14ac:dyDescent="0.25">
      <c r="A2999" t="s">
        <v>6123</v>
      </c>
      <c r="B2999" t="s">
        <v>25660</v>
      </c>
    </row>
    <row r="3000" spans="1:2" x14ac:dyDescent="0.25">
      <c r="A3000" t="s">
        <v>10774</v>
      </c>
      <c r="B3000" t="s">
        <v>31429</v>
      </c>
    </row>
    <row r="3001" spans="1:2" x14ac:dyDescent="0.25">
      <c r="A3001" t="s">
        <v>10771</v>
      </c>
      <c r="B3001" t="s">
        <v>10771</v>
      </c>
    </row>
    <row r="3002" spans="1:2" x14ac:dyDescent="0.25">
      <c r="A3002" t="s">
        <v>10777</v>
      </c>
      <c r="B3002" t="s">
        <v>10777</v>
      </c>
    </row>
    <row r="3003" spans="1:2" x14ac:dyDescent="0.25">
      <c r="A3003" t="s">
        <v>10780</v>
      </c>
      <c r="B3003" t="s">
        <v>31437</v>
      </c>
    </row>
    <row r="3004" spans="1:2" x14ac:dyDescent="0.25">
      <c r="A3004" t="s">
        <v>10783</v>
      </c>
      <c r="B3004" t="s">
        <v>31442</v>
      </c>
    </row>
    <row r="3005" spans="1:2" x14ac:dyDescent="0.25">
      <c r="A3005" t="s">
        <v>6125</v>
      </c>
      <c r="B3005" t="s">
        <v>25661</v>
      </c>
    </row>
    <row r="3006" spans="1:2" x14ac:dyDescent="0.25">
      <c r="A3006" t="s">
        <v>6395</v>
      </c>
      <c r="B3006" t="s">
        <v>25800</v>
      </c>
    </row>
    <row r="3007" spans="1:2" x14ac:dyDescent="0.25">
      <c r="A3007" t="s">
        <v>6397</v>
      </c>
      <c r="B3007" t="s">
        <v>25801</v>
      </c>
    </row>
    <row r="3008" spans="1:2" x14ac:dyDescent="0.25">
      <c r="A3008" t="s">
        <v>10786</v>
      </c>
      <c r="B3008" t="s">
        <v>31447</v>
      </c>
    </row>
    <row r="3009" spans="1:2" x14ac:dyDescent="0.25">
      <c r="A3009" t="s">
        <v>10789</v>
      </c>
      <c r="B3009" t="s">
        <v>31452</v>
      </c>
    </row>
    <row r="3010" spans="1:2" x14ac:dyDescent="0.25">
      <c r="A3010" t="s">
        <v>6127</v>
      </c>
      <c r="B3010" t="s">
        <v>25662</v>
      </c>
    </row>
    <row r="3011" spans="1:2" x14ac:dyDescent="0.25">
      <c r="A3011" t="s">
        <v>2870</v>
      </c>
      <c r="B3011" t="s">
        <v>21853</v>
      </c>
    </row>
    <row r="3012" spans="1:2" x14ac:dyDescent="0.25">
      <c r="A3012" t="s">
        <v>6143</v>
      </c>
      <c r="B3012" t="s">
        <v>25670</v>
      </c>
    </row>
    <row r="3013" spans="1:2" x14ac:dyDescent="0.25">
      <c r="A3013" t="s">
        <v>6129</v>
      </c>
      <c r="B3013" t="s">
        <v>25663</v>
      </c>
    </row>
    <row r="3014" spans="1:2" x14ac:dyDescent="0.25">
      <c r="A3014" t="s">
        <v>6135</v>
      </c>
      <c r="B3014" t="s">
        <v>25666</v>
      </c>
    </row>
    <row r="3015" spans="1:2" x14ac:dyDescent="0.25">
      <c r="A3015" t="s">
        <v>6133</v>
      </c>
      <c r="B3015" t="s">
        <v>25665</v>
      </c>
    </row>
    <row r="3016" spans="1:2" x14ac:dyDescent="0.25">
      <c r="A3016" t="s">
        <v>6131</v>
      </c>
      <c r="B3016" t="s">
        <v>25664</v>
      </c>
    </row>
    <row r="3017" spans="1:2" x14ac:dyDescent="0.25">
      <c r="A3017" t="s">
        <v>6137</v>
      </c>
      <c r="B3017" t="s">
        <v>25667</v>
      </c>
    </row>
    <row r="3018" spans="1:2" x14ac:dyDescent="0.25">
      <c r="A3018" t="s">
        <v>6139</v>
      </c>
      <c r="B3018" t="s">
        <v>25668</v>
      </c>
    </row>
    <row r="3019" spans="1:2" x14ac:dyDescent="0.25">
      <c r="A3019" t="s">
        <v>6141</v>
      </c>
      <c r="B3019" t="s">
        <v>25669</v>
      </c>
    </row>
    <row r="3020" spans="1:2" x14ac:dyDescent="0.25">
      <c r="A3020" t="s">
        <v>10792</v>
      </c>
      <c r="B3020" t="s">
        <v>10792</v>
      </c>
    </row>
    <row r="3021" spans="1:2" x14ac:dyDescent="0.25">
      <c r="A3021" t="s">
        <v>10795</v>
      </c>
      <c r="B3021" t="s">
        <v>31461</v>
      </c>
    </row>
    <row r="3022" spans="1:2" x14ac:dyDescent="0.25">
      <c r="A3022" t="s">
        <v>6406</v>
      </c>
      <c r="B3022" t="s">
        <v>25805</v>
      </c>
    </row>
    <row r="3023" spans="1:2" x14ac:dyDescent="0.25">
      <c r="A3023" t="s">
        <v>10801</v>
      </c>
      <c r="B3023" t="s">
        <v>10801</v>
      </c>
    </row>
    <row r="3024" spans="1:2" x14ac:dyDescent="0.25">
      <c r="A3024" t="s">
        <v>10804</v>
      </c>
      <c r="B3024" t="s">
        <v>10804</v>
      </c>
    </row>
    <row r="3025" spans="1:2" x14ac:dyDescent="0.25">
      <c r="A3025" t="s">
        <v>6145</v>
      </c>
      <c r="B3025" t="s">
        <v>6145</v>
      </c>
    </row>
    <row r="3026" spans="1:2" x14ac:dyDescent="0.25">
      <c r="A3026" t="s">
        <v>10807</v>
      </c>
      <c r="B3026" t="s">
        <v>10807</v>
      </c>
    </row>
    <row r="3027" spans="1:2" x14ac:dyDescent="0.25">
      <c r="A3027" t="s">
        <v>6464</v>
      </c>
      <c r="B3027" t="s">
        <v>6464</v>
      </c>
    </row>
    <row r="3028" spans="1:2" x14ac:dyDescent="0.25">
      <c r="A3028" t="s">
        <v>6467</v>
      </c>
      <c r="B3028" t="s">
        <v>6467</v>
      </c>
    </row>
    <row r="3029" spans="1:2" x14ac:dyDescent="0.25">
      <c r="A3029" t="s">
        <v>10756</v>
      </c>
      <c r="B3029" t="s">
        <v>31406</v>
      </c>
    </row>
    <row r="3030" spans="1:2" x14ac:dyDescent="0.25">
      <c r="A3030" t="s">
        <v>10810</v>
      </c>
      <c r="B3030" t="s">
        <v>10810</v>
      </c>
    </row>
    <row r="3031" spans="1:2" x14ac:dyDescent="0.25">
      <c r="A3031" t="s">
        <v>6271</v>
      </c>
      <c r="B3031" t="s">
        <v>25738</v>
      </c>
    </row>
    <row r="3032" spans="1:2" x14ac:dyDescent="0.25">
      <c r="A3032" t="s">
        <v>7265</v>
      </c>
      <c r="B3032" t="s">
        <v>26864</v>
      </c>
    </row>
    <row r="3033" spans="1:2" x14ac:dyDescent="0.25">
      <c r="A3033" t="s">
        <v>6419</v>
      </c>
      <c r="B3033" t="s">
        <v>25815</v>
      </c>
    </row>
    <row r="3034" spans="1:2" x14ac:dyDescent="0.25">
      <c r="A3034" t="s">
        <v>6411</v>
      </c>
      <c r="B3034" t="s">
        <v>25811</v>
      </c>
    </row>
    <row r="3035" spans="1:2" x14ac:dyDescent="0.25">
      <c r="A3035" t="s">
        <v>6413</v>
      </c>
      <c r="B3035" t="s">
        <v>25812</v>
      </c>
    </row>
    <row r="3036" spans="1:2" x14ac:dyDescent="0.25">
      <c r="A3036" t="s">
        <v>6415</v>
      </c>
      <c r="B3036" t="s">
        <v>25813</v>
      </c>
    </row>
    <row r="3037" spans="1:2" x14ac:dyDescent="0.25">
      <c r="A3037" t="s">
        <v>6417</v>
      </c>
      <c r="B3037" t="s">
        <v>25814</v>
      </c>
    </row>
    <row r="3038" spans="1:2" x14ac:dyDescent="0.25">
      <c r="A3038" t="s">
        <v>10822</v>
      </c>
      <c r="B3038" t="s">
        <v>31499</v>
      </c>
    </row>
    <row r="3039" spans="1:2" x14ac:dyDescent="0.25">
      <c r="A3039" t="s">
        <v>6434</v>
      </c>
      <c r="B3039" t="s">
        <v>25829</v>
      </c>
    </row>
    <row r="3040" spans="1:2" x14ac:dyDescent="0.25">
      <c r="A3040" t="s">
        <v>10813</v>
      </c>
      <c r="B3040" t="s">
        <v>10813</v>
      </c>
    </row>
    <row r="3041" spans="1:2" x14ac:dyDescent="0.25">
      <c r="A3041" t="s">
        <v>6428</v>
      </c>
      <c r="B3041" t="s">
        <v>6428</v>
      </c>
    </row>
    <row r="3042" spans="1:2" x14ac:dyDescent="0.25">
      <c r="A3042" t="s">
        <v>6431</v>
      </c>
      <c r="B3042" t="s">
        <v>6431</v>
      </c>
    </row>
    <row r="3043" spans="1:2" x14ac:dyDescent="0.25">
      <c r="A3043" t="s">
        <v>6425</v>
      </c>
      <c r="B3043" t="s">
        <v>6425</v>
      </c>
    </row>
    <row r="3044" spans="1:2" x14ac:dyDescent="0.25">
      <c r="A3044" t="s">
        <v>6440</v>
      </c>
      <c r="B3044" t="s">
        <v>6440</v>
      </c>
    </row>
    <row r="3045" spans="1:2" x14ac:dyDescent="0.25">
      <c r="A3045" t="s">
        <v>6437</v>
      </c>
      <c r="B3045" t="s">
        <v>6437</v>
      </c>
    </row>
    <row r="3046" spans="1:2" x14ac:dyDescent="0.25">
      <c r="A3046" t="s">
        <v>6443</v>
      </c>
      <c r="B3046" t="s">
        <v>6443</v>
      </c>
    </row>
    <row r="3047" spans="1:2" x14ac:dyDescent="0.25">
      <c r="A3047" t="s">
        <v>6446</v>
      </c>
      <c r="B3047" t="s">
        <v>6446</v>
      </c>
    </row>
    <row r="3048" spans="1:2" x14ac:dyDescent="0.25">
      <c r="A3048" t="s">
        <v>10819</v>
      </c>
      <c r="B3048" t="s">
        <v>10819</v>
      </c>
    </row>
    <row r="3049" spans="1:2" x14ac:dyDescent="0.25">
      <c r="A3049" t="s">
        <v>10816</v>
      </c>
      <c r="B3049" t="s">
        <v>10816</v>
      </c>
    </row>
    <row r="3050" spans="1:2" x14ac:dyDescent="0.25">
      <c r="A3050" t="s">
        <v>6461</v>
      </c>
      <c r="B3050" t="s">
        <v>25869</v>
      </c>
    </row>
    <row r="3051" spans="1:2" x14ac:dyDescent="0.25">
      <c r="A3051" t="s">
        <v>6482</v>
      </c>
      <c r="B3051" t="s">
        <v>6482</v>
      </c>
    </row>
    <row r="3052" spans="1:2" x14ac:dyDescent="0.25">
      <c r="A3052" t="s">
        <v>6470</v>
      </c>
      <c r="B3052" t="s">
        <v>25881</v>
      </c>
    </row>
    <row r="3053" spans="1:2" x14ac:dyDescent="0.25">
      <c r="A3053" t="s">
        <v>6485</v>
      </c>
      <c r="B3053" t="s">
        <v>6485</v>
      </c>
    </row>
    <row r="3054" spans="1:2" x14ac:dyDescent="0.25">
      <c r="A3054" t="s">
        <v>6473</v>
      </c>
      <c r="B3054" t="s">
        <v>6473</v>
      </c>
    </row>
    <row r="3055" spans="1:2" x14ac:dyDescent="0.25">
      <c r="A3055" t="s">
        <v>6488</v>
      </c>
      <c r="B3055" t="s">
        <v>6488</v>
      </c>
    </row>
    <row r="3056" spans="1:2" x14ac:dyDescent="0.25">
      <c r="A3056" t="s">
        <v>6491</v>
      </c>
      <c r="B3056" t="s">
        <v>6491</v>
      </c>
    </row>
    <row r="3057" spans="1:2" x14ac:dyDescent="0.25">
      <c r="A3057" t="s">
        <v>6479</v>
      </c>
      <c r="B3057" t="s">
        <v>6479</v>
      </c>
    </row>
    <row r="3058" spans="1:2" x14ac:dyDescent="0.25">
      <c r="A3058" t="s">
        <v>6476</v>
      </c>
      <c r="B3058" t="s">
        <v>6476</v>
      </c>
    </row>
    <row r="3059" spans="1:2" x14ac:dyDescent="0.25">
      <c r="A3059" t="s">
        <v>10825</v>
      </c>
      <c r="B3059" t="s">
        <v>31503</v>
      </c>
    </row>
    <row r="3060" spans="1:2" x14ac:dyDescent="0.25">
      <c r="A3060" t="s">
        <v>10846</v>
      </c>
      <c r="B3060" t="s">
        <v>10846</v>
      </c>
    </row>
    <row r="3061" spans="1:2" x14ac:dyDescent="0.25">
      <c r="A3061" t="s">
        <v>10843</v>
      </c>
      <c r="B3061" t="s">
        <v>10843</v>
      </c>
    </row>
    <row r="3062" spans="1:2" x14ac:dyDescent="0.25">
      <c r="A3062" t="s">
        <v>7027</v>
      </c>
      <c r="B3062" t="s">
        <v>7027</v>
      </c>
    </row>
    <row r="3063" spans="1:2" x14ac:dyDescent="0.25">
      <c r="A3063" t="s">
        <v>10849</v>
      </c>
      <c r="B3063" t="s">
        <v>10849</v>
      </c>
    </row>
    <row r="3064" spans="1:2" x14ac:dyDescent="0.25">
      <c r="A3064" t="s">
        <v>6277</v>
      </c>
      <c r="B3064" t="s">
        <v>25741</v>
      </c>
    </row>
    <row r="3065" spans="1:2" x14ac:dyDescent="0.25">
      <c r="A3065" t="s">
        <v>6267</v>
      </c>
      <c r="B3065" t="s">
        <v>25736</v>
      </c>
    </row>
    <row r="3066" spans="1:2" x14ac:dyDescent="0.25">
      <c r="A3066" t="s">
        <v>11140</v>
      </c>
      <c r="B3066" t="s">
        <v>31936</v>
      </c>
    </row>
    <row r="3067" spans="1:2" x14ac:dyDescent="0.25">
      <c r="A3067" t="s">
        <v>10855</v>
      </c>
      <c r="B3067" t="s">
        <v>10855</v>
      </c>
    </row>
    <row r="3068" spans="1:2" x14ac:dyDescent="0.25">
      <c r="A3068" t="s">
        <v>10858</v>
      </c>
      <c r="B3068" t="s">
        <v>10858</v>
      </c>
    </row>
    <row r="3069" spans="1:2" x14ac:dyDescent="0.25">
      <c r="A3069" t="s">
        <v>10852</v>
      </c>
      <c r="B3069" t="s">
        <v>10852</v>
      </c>
    </row>
    <row r="3070" spans="1:2" x14ac:dyDescent="0.25">
      <c r="A3070" t="s">
        <v>10867</v>
      </c>
      <c r="B3070" t="s">
        <v>10867</v>
      </c>
    </row>
    <row r="3071" spans="1:2" x14ac:dyDescent="0.25">
      <c r="A3071" t="s">
        <v>10864</v>
      </c>
      <c r="B3071" t="s">
        <v>10864</v>
      </c>
    </row>
    <row r="3072" spans="1:2" x14ac:dyDescent="0.25">
      <c r="A3072" t="s">
        <v>10870</v>
      </c>
      <c r="B3072" t="s">
        <v>10870</v>
      </c>
    </row>
    <row r="3073" spans="1:2" x14ac:dyDescent="0.25">
      <c r="A3073" t="s">
        <v>10999</v>
      </c>
      <c r="B3073" t="s">
        <v>31737</v>
      </c>
    </row>
    <row r="3074" spans="1:2" x14ac:dyDescent="0.25">
      <c r="A3074" t="s">
        <v>10861</v>
      </c>
      <c r="B3074" t="s">
        <v>10861</v>
      </c>
    </row>
    <row r="3075" spans="1:2" x14ac:dyDescent="0.25">
      <c r="A3075" t="s">
        <v>6237</v>
      </c>
      <c r="B3075" t="s">
        <v>25721</v>
      </c>
    </row>
    <row r="3076" spans="1:2" x14ac:dyDescent="0.25">
      <c r="A3076" t="s">
        <v>10831</v>
      </c>
      <c r="B3076" t="s">
        <v>31511</v>
      </c>
    </row>
    <row r="3077" spans="1:2" x14ac:dyDescent="0.25">
      <c r="A3077" t="s">
        <v>10834</v>
      </c>
      <c r="B3077" t="s">
        <v>31516</v>
      </c>
    </row>
    <row r="3078" spans="1:2" x14ac:dyDescent="0.25">
      <c r="A3078" t="s">
        <v>10873</v>
      </c>
      <c r="B3078" t="s">
        <v>10873</v>
      </c>
    </row>
    <row r="3079" spans="1:2" x14ac:dyDescent="0.25">
      <c r="A3079" t="s">
        <v>10876</v>
      </c>
      <c r="B3079" t="s">
        <v>31565</v>
      </c>
    </row>
    <row r="3080" spans="1:2" x14ac:dyDescent="0.25">
      <c r="A3080" t="s">
        <v>6185</v>
      </c>
      <c r="B3080" t="s">
        <v>6185</v>
      </c>
    </row>
    <row r="3081" spans="1:2" x14ac:dyDescent="0.25">
      <c r="A3081" t="s">
        <v>10888</v>
      </c>
      <c r="B3081" t="s">
        <v>31584</v>
      </c>
    </row>
    <row r="3082" spans="1:2" x14ac:dyDescent="0.25">
      <c r="A3082" t="s">
        <v>10879</v>
      </c>
      <c r="B3082" t="s">
        <v>10879</v>
      </c>
    </row>
    <row r="3083" spans="1:2" x14ac:dyDescent="0.25">
      <c r="A3083" t="s">
        <v>10891</v>
      </c>
      <c r="B3083" t="s">
        <v>10891</v>
      </c>
    </row>
    <row r="3084" spans="1:2" x14ac:dyDescent="0.25">
      <c r="A3084" t="s">
        <v>10894</v>
      </c>
      <c r="B3084" t="s">
        <v>10894</v>
      </c>
    </row>
    <row r="3085" spans="1:2" x14ac:dyDescent="0.25">
      <c r="A3085" t="s">
        <v>10882</v>
      </c>
      <c r="B3085" t="s">
        <v>31574</v>
      </c>
    </row>
    <row r="3086" spans="1:2" x14ac:dyDescent="0.25">
      <c r="A3086" t="s">
        <v>10885</v>
      </c>
      <c r="B3086" t="s">
        <v>31579</v>
      </c>
    </row>
    <row r="3087" spans="1:2" x14ac:dyDescent="0.25">
      <c r="A3087" t="s">
        <v>3694</v>
      </c>
      <c r="B3087" t="s">
        <v>22830</v>
      </c>
    </row>
    <row r="3088" spans="1:2" x14ac:dyDescent="0.25">
      <c r="A3088" t="s">
        <v>7039</v>
      </c>
      <c r="B3088" t="s">
        <v>26674</v>
      </c>
    </row>
    <row r="3089" spans="1:2" x14ac:dyDescent="0.25">
      <c r="A3089" t="s">
        <v>7057</v>
      </c>
      <c r="B3089" t="s">
        <v>26704</v>
      </c>
    </row>
    <row r="3090" spans="1:2" x14ac:dyDescent="0.25">
      <c r="A3090" t="s">
        <v>7042</v>
      </c>
      <c r="B3090" t="s">
        <v>26679</v>
      </c>
    </row>
    <row r="3091" spans="1:2" x14ac:dyDescent="0.25">
      <c r="A3091" t="s">
        <v>7045</v>
      </c>
      <c r="B3091" t="s">
        <v>26684</v>
      </c>
    </row>
    <row r="3092" spans="1:2" x14ac:dyDescent="0.25">
      <c r="A3092" t="s">
        <v>7048</v>
      </c>
      <c r="B3092" t="s">
        <v>26689</v>
      </c>
    </row>
    <row r="3093" spans="1:2" x14ac:dyDescent="0.25">
      <c r="A3093" t="s">
        <v>7051</v>
      </c>
      <c r="B3093" t="s">
        <v>26694</v>
      </c>
    </row>
    <row r="3094" spans="1:2" x14ac:dyDescent="0.25">
      <c r="A3094" t="s">
        <v>7054</v>
      </c>
      <c r="B3094" t="s">
        <v>26699</v>
      </c>
    </row>
    <row r="3095" spans="1:2" x14ac:dyDescent="0.25">
      <c r="A3095" t="s">
        <v>800</v>
      </c>
      <c r="B3095" t="s">
        <v>19109</v>
      </c>
    </row>
    <row r="3096" spans="1:2" x14ac:dyDescent="0.25">
      <c r="A3096" t="s">
        <v>6887</v>
      </c>
      <c r="B3096" t="s">
        <v>26468</v>
      </c>
    </row>
    <row r="3097" spans="1:2" x14ac:dyDescent="0.25">
      <c r="A3097" t="s">
        <v>3340</v>
      </c>
      <c r="B3097" t="s">
        <v>22329</v>
      </c>
    </row>
    <row r="3098" spans="1:2" x14ac:dyDescent="0.25">
      <c r="A3098" t="s">
        <v>3337</v>
      </c>
      <c r="B3098" t="s">
        <v>3337</v>
      </c>
    </row>
    <row r="3099" spans="1:2" x14ac:dyDescent="0.25">
      <c r="A3099" t="s">
        <v>7060</v>
      </c>
      <c r="B3099" t="s">
        <v>26709</v>
      </c>
    </row>
    <row r="3100" spans="1:2" x14ac:dyDescent="0.25">
      <c r="A3100" t="s">
        <v>7036</v>
      </c>
      <c r="B3100" t="s">
        <v>26669</v>
      </c>
    </row>
    <row r="3101" spans="1:2" x14ac:dyDescent="0.25">
      <c r="A3101" t="s">
        <v>7063</v>
      </c>
      <c r="B3101" t="s">
        <v>7063</v>
      </c>
    </row>
    <row r="3102" spans="1:2" x14ac:dyDescent="0.25">
      <c r="A3102" t="s">
        <v>3697</v>
      </c>
      <c r="B3102" t="s">
        <v>3697</v>
      </c>
    </row>
    <row r="3103" spans="1:2" x14ac:dyDescent="0.25">
      <c r="A3103" t="s">
        <v>7066</v>
      </c>
      <c r="B3103" t="s">
        <v>26718</v>
      </c>
    </row>
    <row r="3104" spans="1:2" x14ac:dyDescent="0.25">
      <c r="A3104" t="s">
        <v>3700</v>
      </c>
      <c r="B3104" t="s">
        <v>3700</v>
      </c>
    </row>
    <row r="3105" spans="1:2" x14ac:dyDescent="0.25">
      <c r="A3105" t="s">
        <v>10903</v>
      </c>
      <c r="B3105" t="s">
        <v>10903</v>
      </c>
    </row>
    <row r="3106" spans="1:2" x14ac:dyDescent="0.25">
      <c r="A3106" t="s">
        <v>10900</v>
      </c>
      <c r="B3106" t="s">
        <v>10900</v>
      </c>
    </row>
    <row r="3107" spans="1:2" x14ac:dyDescent="0.25">
      <c r="A3107" t="s">
        <v>10897</v>
      </c>
      <c r="B3107" t="s">
        <v>31597</v>
      </c>
    </row>
    <row r="3108" spans="1:2" x14ac:dyDescent="0.25">
      <c r="A3108" t="s">
        <v>10996</v>
      </c>
      <c r="B3108" t="s">
        <v>10996</v>
      </c>
    </row>
    <row r="3109" spans="1:2" x14ac:dyDescent="0.25">
      <c r="A3109" t="s">
        <v>10906</v>
      </c>
      <c r="B3109" t="s">
        <v>31610</v>
      </c>
    </row>
    <row r="3110" spans="1:2" x14ac:dyDescent="0.25">
      <c r="A3110" t="s">
        <v>10912</v>
      </c>
      <c r="B3110" t="s">
        <v>31620</v>
      </c>
    </row>
    <row r="3111" spans="1:2" x14ac:dyDescent="0.25">
      <c r="A3111" t="s">
        <v>5555</v>
      </c>
      <c r="B3111" t="s">
        <v>24988</v>
      </c>
    </row>
    <row r="3112" spans="1:2" x14ac:dyDescent="0.25">
      <c r="A3112" t="s">
        <v>5558</v>
      </c>
      <c r="B3112" t="s">
        <v>24993</v>
      </c>
    </row>
    <row r="3113" spans="1:2" x14ac:dyDescent="0.25">
      <c r="A3113" t="s">
        <v>5561</v>
      </c>
      <c r="B3113" t="s">
        <v>24998</v>
      </c>
    </row>
    <row r="3114" spans="1:2" x14ac:dyDescent="0.25">
      <c r="A3114" t="s">
        <v>5564</v>
      </c>
      <c r="B3114" t="s">
        <v>25003</v>
      </c>
    </row>
    <row r="3115" spans="1:2" x14ac:dyDescent="0.25">
      <c r="A3115" t="s">
        <v>6894</v>
      </c>
      <c r="B3115" t="s">
        <v>26475</v>
      </c>
    </row>
    <row r="3116" spans="1:2" x14ac:dyDescent="0.25">
      <c r="A3116" t="s">
        <v>6897</v>
      </c>
      <c r="B3116" t="s">
        <v>26480</v>
      </c>
    </row>
    <row r="3117" spans="1:2" x14ac:dyDescent="0.25">
      <c r="A3117" t="s">
        <v>6909</v>
      </c>
      <c r="B3117" t="s">
        <v>26500</v>
      </c>
    </row>
    <row r="3118" spans="1:2" x14ac:dyDescent="0.25">
      <c r="A3118" t="s">
        <v>5764</v>
      </c>
      <c r="B3118" t="s">
        <v>25177</v>
      </c>
    </row>
    <row r="3119" spans="1:2" x14ac:dyDescent="0.25">
      <c r="A3119" t="s">
        <v>6900</v>
      </c>
      <c r="B3119" t="s">
        <v>26485</v>
      </c>
    </row>
    <row r="3120" spans="1:2" x14ac:dyDescent="0.25">
      <c r="A3120" t="s">
        <v>6918</v>
      </c>
      <c r="B3120" t="s">
        <v>26515</v>
      </c>
    </row>
    <row r="3121" spans="1:2" x14ac:dyDescent="0.25">
      <c r="A3121" t="s">
        <v>6921</v>
      </c>
      <c r="B3121" t="s">
        <v>26515</v>
      </c>
    </row>
    <row r="3122" spans="1:2" x14ac:dyDescent="0.25">
      <c r="A3122" t="s">
        <v>6924</v>
      </c>
      <c r="B3122" t="s">
        <v>26523</v>
      </c>
    </row>
    <row r="3123" spans="1:2" x14ac:dyDescent="0.25">
      <c r="A3123" t="s">
        <v>6927</v>
      </c>
      <c r="B3123" t="s">
        <v>26528</v>
      </c>
    </row>
    <row r="3124" spans="1:2" x14ac:dyDescent="0.25">
      <c r="A3124" t="s">
        <v>6903</v>
      </c>
      <c r="B3124" t="s">
        <v>26490</v>
      </c>
    </row>
    <row r="3125" spans="1:2" x14ac:dyDescent="0.25">
      <c r="A3125" t="s">
        <v>6915</v>
      </c>
      <c r="B3125" t="s">
        <v>26510</v>
      </c>
    </row>
    <row r="3126" spans="1:2" x14ac:dyDescent="0.25">
      <c r="A3126" t="s">
        <v>6930</v>
      </c>
      <c r="B3126" t="s">
        <v>26533</v>
      </c>
    </row>
    <row r="3127" spans="1:2" x14ac:dyDescent="0.25">
      <c r="A3127" t="s">
        <v>6948</v>
      </c>
      <c r="B3127" t="s">
        <v>26563</v>
      </c>
    </row>
    <row r="3128" spans="1:2" x14ac:dyDescent="0.25">
      <c r="A3128" t="s">
        <v>6957</v>
      </c>
      <c r="B3128" t="s">
        <v>26578</v>
      </c>
    </row>
    <row r="3129" spans="1:2" x14ac:dyDescent="0.25">
      <c r="A3129" t="s">
        <v>6951</v>
      </c>
      <c r="B3129" t="s">
        <v>26568</v>
      </c>
    </row>
    <row r="3130" spans="1:2" x14ac:dyDescent="0.25">
      <c r="A3130" t="s">
        <v>4786</v>
      </c>
      <c r="B3130" t="s">
        <v>24245</v>
      </c>
    </row>
    <row r="3131" spans="1:2" x14ac:dyDescent="0.25">
      <c r="A3131" t="s">
        <v>5797</v>
      </c>
      <c r="B3131" t="s">
        <v>25227</v>
      </c>
    </row>
    <row r="3132" spans="1:2" x14ac:dyDescent="0.25">
      <c r="A3132" t="s">
        <v>6933</v>
      </c>
      <c r="B3132" t="s">
        <v>26538</v>
      </c>
    </row>
    <row r="3133" spans="1:2" x14ac:dyDescent="0.25">
      <c r="A3133" t="s">
        <v>6942</v>
      </c>
      <c r="B3133" t="s">
        <v>26553</v>
      </c>
    </row>
    <row r="3134" spans="1:2" x14ac:dyDescent="0.25">
      <c r="A3134" t="s">
        <v>6939</v>
      </c>
      <c r="B3134" t="s">
        <v>26548</v>
      </c>
    </row>
    <row r="3135" spans="1:2" x14ac:dyDescent="0.25">
      <c r="A3135" t="s">
        <v>6945</v>
      </c>
      <c r="B3135" t="s">
        <v>26558</v>
      </c>
    </row>
    <row r="3136" spans="1:2" x14ac:dyDescent="0.25">
      <c r="A3136" t="s">
        <v>6936</v>
      </c>
      <c r="B3136" t="s">
        <v>26543</v>
      </c>
    </row>
    <row r="3137" spans="1:2" x14ac:dyDescent="0.25">
      <c r="A3137" t="s">
        <v>6906</v>
      </c>
      <c r="B3137" t="s">
        <v>26495</v>
      </c>
    </row>
    <row r="3138" spans="1:2" x14ac:dyDescent="0.25">
      <c r="A3138" t="s">
        <v>6954</v>
      </c>
      <c r="B3138" t="s">
        <v>26573</v>
      </c>
    </row>
    <row r="3139" spans="1:2" x14ac:dyDescent="0.25">
      <c r="A3139" t="s">
        <v>6912</v>
      </c>
      <c r="B3139" t="s">
        <v>26505</v>
      </c>
    </row>
    <row r="3140" spans="1:2" x14ac:dyDescent="0.25">
      <c r="A3140" t="s">
        <v>6960</v>
      </c>
      <c r="B3140" t="s">
        <v>26583</v>
      </c>
    </row>
    <row r="3141" spans="1:2" x14ac:dyDescent="0.25">
      <c r="A3141" t="s">
        <v>6966</v>
      </c>
      <c r="B3141" t="s">
        <v>26593</v>
      </c>
    </row>
    <row r="3142" spans="1:2" x14ac:dyDescent="0.25">
      <c r="A3142" t="s">
        <v>6963</v>
      </c>
      <c r="B3142" t="s">
        <v>26588</v>
      </c>
    </row>
    <row r="3143" spans="1:2" x14ac:dyDescent="0.25">
      <c r="A3143" t="s">
        <v>6969</v>
      </c>
      <c r="B3143" t="s">
        <v>26598</v>
      </c>
    </row>
    <row r="3144" spans="1:2" x14ac:dyDescent="0.25">
      <c r="A3144" t="s">
        <v>7843</v>
      </c>
      <c r="B3144" t="s">
        <v>27566</v>
      </c>
    </row>
    <row r="3145" spans="1:2" x14ac:dyDescent="0.25">
      <c r="A3145" t="s">
        <v>6892</v>
      </c>
      <c r="B3145" t="s">
        <v>26474</v>
      </c>
    </row>
    <row r="3146" spans="1:2" x14ac:dyDescent="0.25">
      <c r="A3146" t="s">
        <v>10915</v>
      </c>
      <c r="B3146" t="s">
        <v>10915</v>
      </c>
    </row>
    <row r="3147" spans="1:2" x14ac:dyDescent="0.25">
      <c r="A3147" t="s">
        <v>10909</v>
      </c>
      <c r="B3147" t="s">
        <v>31615</v>
      </c>
    </row>
    <row r="3148" spans="1:2" x14ac:dyDescent="0.25">
      <c r="A3148" t="s">
        <v>10918</v>
      </c>
      <c r="B3148" t="s">
        <v>31628</v>
      </c>
    </row>
    <row r="3149" spans="1:2" x14ac:dyDescent="0.25">
      <c r="A3149" t="s">
        <v>7030</v>
      </c>
      <c r="B3149" t="s">
        <v>26661</v>
      </c>
    </row>
    <row r="3150" spans="1:2" x14ac:dyDescent="0.25">
      <c r="A3150" t="s">
        <v>10921</v>
      </c>
      <c r="B3150" t="s">
        <v>10921</v>
      </c>
    </row>
    <row r="3151" spans="1:2" x14ac:dyDescent="0.25">
      <c r="A3151" t="s">
        <v>10837</v>
      </c>
      <c r="B3151" t="s">
        <v>31520</v>
      </c>
    </row>
    <row r="3152" spans="1:2" x14ac:dyDescent="0.25">
      <c r="A3152" t="s">
        <v>6975</v>
      </c>
      <c r="B3152" t="s">
        <v>26608</v>
      </c>
    </row>
    <row r="3153" spans="1:2" x14ac:dyDescent="0.25">
      <c r="A3153" t="s">
        <v>6983</v>
      </c>
      <c r="B3153" t="s">
        <v>6983</v>
      </c>
    </row>
    <row r="3154" spans="1:2" x14ac:dyDescent="0.25">
      <c r="A3154" t="s">
        <v>10927</v>
      </c>
      <c r="B3154" t="s">
        <v>10927</v>
      </c>
    </row>
    <row r="3155" spans="1:2" x14ac:dyDescent="0.25">
      <c r="A3155" t="s">
        <v>10924</v>
      </c>
      <c r="B3155" t="s">
        <v>10924</v>
      </c>
    </row>
    <row r="3156" spans="1:2" x14ac:dyDescent="0.25">
      <c r="A3156" t="s">
        <v>10930</v>
      </c>
      <c r="B3156" t="s">
        <v>10930</v>
      </c>
    </row>
    <row r="3157" spans="1:2" x14ac:dyDescent="0.25">
      <c r="A3157" t="s">
        <v>6985</v>
      </c>
      <c r="B3157" t="s">
        <v>26614</v>
      </c>
    </row>
    <row r="3158" spans="1:2" x14ac:dyDescent="0.25">
      <c r="A3158" t="s">
        <v>7861</v>
      </c>
      <c r="B3158" t="s">
        <v>27583</v>
      </c>
    </row>
    <row r="3159" spans="1:2" x14ac:dyDescent="0.25">
      <c r="A3159" t="s">
        <v>7845</v>
      </c>
      <c r="B3159" t="s">
        <v>27567</v>
      </c>
    </row>
    <row r="3160" spans="1:2" x14ac:dyDescent="0.25">
      <c r="A3160" t="s">
        <v>7847</v>
      </c>
      <c r="B3160" t="s">
        <v>27568</v>
      </c>
    </row>
    <row r="3161" spans="1:2" x14ac:dyDescent="0.25">
      <c r="A3161" t="s">
        <v>10936</v>
      </c>
      <c r="B3161" t="s">
        <v>10936</v>
      </c>
    </row>
    <row r="3162" spans="1:2" x14ac:dyDescent="0.25">
      <c r="A3162" t="s">
        <v>10933</v>
      </c>
      <c r="B3162" t="s">
        <v>10933</v>
      </c>
    </row>
    <row r="3163" spans="1:2" x14ac:dyDescent="0.25">
      <c r="A3163" t="s">
        <v>10939</v>
      </c>
      <c r="B3163" t="s">
        <v>10939</v>
      </c>
    </row>
    <row r="3164" spans="1:2" x14ac:dyDescent="0.25">
      <c r="A3164" t="s">
        <v>10945</v>
      </c>
      <c r="B3164" t="s">
        <v>10945</v>
      </c>
    </row>
    <row r="3165" spans="1:2" x14ac:dyDescent="0.25">
      <c r="A3165" t="s">
        <v>10942</v>
      </c>
      <c r="B3165" t="s">
        <v>31661</v>
      </c>
    </row>
    <row r="3166" spans="1:2" x14ac:dyDescent="0.25">
      <c r="A3166" t="s">
        <v>10948</v>
      </c>
      <c r="B3166" t="s">
        <v>10948</v>
      </c>
    </row>
    <row r="3167" spans="1:2" x14ac:dyDescent="0.25">
      <c r="A3167" t="s">
        <v>10951</v>
      </c>
      <c r="B3167" t="s">
        <v>10951</v>
      </c>
    </row>
    <row r="3168" spans="1:2" x14ac:dyDescent="0.25">
      <c r="A3168" t="s">
        <v>10954</v>
      </c>
      <c r="B3168" t="s">
        <v>10954</v>
      </c>
    </row>
    <row r="3169" spans="1:2" x14ac:dyDescent="0.25">
      <c r="A3169" t="s">
        <v>10957</v>
      </c>
      <c r="B3169" t="s">
        <v>10957</v>
      </c>
    </row>
    <row r="3170" spans="1:2" x14ac:dyDescent="0.25">
      <c r="A3170" t="s">
        <v>10960</v>
      </c>
      <c r="B3170" t="s">
        <v>10960</v>
      </c>
    </row>
    <row r="3171" spans="1:2" x14ac:dyDescent="0.25">
      <c r="A3171" t="s">
        <v>10963</v>
      </c>
      <c r="B3171" t="s">
        <v>10963</v>
      </c>
    </row>
    <row r="3172" spans="1:2" x14ac:dyDescent="0.25">
      <c r="A3172" t="s">
        <v>6987</v>
      </c>
      <c r="B3172" t="s">
        <v>6987</v>
      </c>
    </row>
    <row r="3173" spans="1:2" x14ac:dyDescent="0.25">
      <c r="A3173" t="s">
        <v>6155</v>
      </c>
      <c r="B3173" t="s">
        <v>25677</v>
      </c>
    </row>
    <row r="3174" spans="1:2" x14ac:dyDescent="0.25">
      <c r="A3174" t="s">
        <v>6193</v>
      </c>
      <c r="B3174" t="s">
        <v>25699</v>
      </c>
    </row>
    <row r="3175" spans="1:2" x14ac:dyDescent="0.25">
      <c r="A3175" t="s">
        <v>6195</v>
      </c>
      <c r="B3175" t="s">
        <v>25700</v>
      </c>
    </row>
    <row r="3176" spans="1:2" x14ac:dyDescent="0.25">
      <c r="A3176" t="s">
        <v>6151</v>
      </c>
      <c r="B3176" t="s">
        <v>25675</v>
      </c>
    </row>
    <row r="3177" spans="1:2" x14ac:dyDescent="0.25">
      <c r="A3177" t="s">
        <v>6147</v>
      </c>
      <c r="B3177" t="s">
        <v>25673</v>
      </c>
    </row>
    <row r="3178" spans="1:2" x14ac:dyDescent="0.25">
      <c r="A3178" t="s">
        <v>6149</v>
      </c>
      <c r="B3178" t="s">
        <v>25674</v>
      </c>
    </row>
    <row r="3179" spans="1:2" x14ac:dyDescent="0.25">
      <c r="A3179" t="s">
        <v>6159</v>
      </c>
      <c r="B3179" t="s">
        <v>25679</v>
      </c>
    </row>
    <row r="3180" spans="1:2" x14ac:dyDescent="0.25">
      <c r="A3180" t="s">
        <v>6227</v>
      </c>
      <c r="B3180" t="s">
        <v>25716</v>
      </c>
    </row>
    <row r="3181" spans="1:2" x14ac:dyDescent="0.25">
      <c r="A3181" t="s">
        <v>6161</v>
      </c>
      <c r="B3181" t="s">
        <v>25680</v>
      </c>
    </row>
    <row r="3182" spans="1:2" x14ac:dyDescent="0.25">
      <c r="A3182" t="s">
        <v>6165</v>
      </c>
      <c r="B3182" t="s">
        <v>25682</v>
      </c>
    </row>
    <row r="3183" spans="1:2" x14ac:dyDescent="0.25">
      <c r="A3183" t="s">
        <v>6163</v>
      </c>
      <c r="B3183" t="s">
        <v>25681</v>
      </c>
    </row>
    <row r="3184" spans="1:2" x14ac:dyDescent="0.25">
      <c r="A3184" t="s">
        <v>6171</v>
      </c>
      <c r="B3184" t="s">
        <v>25685</v>
      </c>
    </row>
    <row r="3185" spans="1:2" x14ac:dyDescent="0.25">
      <c r="A3185" t="s">
        <v>6239</v>
      </c>
      <c r="B3185" t="s">
        <v>25722</v>
      </c>
    </row>
    <row r="3186" spans="1:2" x14ac:dyDescent="0.25">
      <c r="A3186" t="s">
        <v>6389</v>
      </c>
      <c r="B3186" t="s">
        <v>25797</v>
      </c>
    </row>
    <row r="3187" spans="1:2" x14ac:dyDescent="0.25">
      <c r="A3187" t="s">
        <v>6173</v>
      </c>
      <c r="B3187" t="s">
        <v>25686</v>
      </c>
    </row>
    <row r="3188" spans="1:2" x14ac:dyDescent="0.25">
      <c r="A3188" t="s">
        <v>6153</v>
      </c>
      <c r="B3188" t="s">
        <v>25676</v>
      </c>
    </row>
    <row r="3189" spans="1:2" x14ac:dyDescent="0.25">
      <c r="A3189" t="s">
        <v>6167</v>
      </c>
      <c r="B3189" t="s">
        <v>25683</v>
      </c>
    </row>
    <row r="3190" spans="1:2" x14ac:dyDescent="0.25">
      <c r="A3190" t="s">
        <v>6169</v>
      </c>
      <c r="B3190" t="s">
        <v>25684</v>
      </c>
    </row>
    <row r="3191" spans="1:2" x14ac:dyDescent="0.25">
      <c r="A3191" t="s">
        <v>6197</v>
      </c>
      <c r="B3191" t="s">
        <v>25701</v>
      </c>
    </row>
    <row r="3192" spans="1:2" x14ac:dyDescent="0.25">
      <c r="A3192" t="s">
        <v>6157</v>
      </c>
      <c r="B3192" t="s">
        <v>25678</v>
      </c>
    </row>
    <row r="3193" spans="1:2" x14ac:dyDescent="0.25">
      <c r="A3193" t="s">
        <v>10969</v>
      </c>
      <c r="B3193" t="s">
        <v>31699</v>
      </c>
    </row>
    <row r="3194" spans="1:2" x14ac:dyDescent="0.25">
      <c r="A3194" t="s">
        <v>7080</v>
      </c>
      <c r="B3194" t="s">
        <v>7080</v>
      </c>
    </row>
    <row r="3195" spans="1:2" x14ac:dyDescent="0.25">
      <c r="A3195" t="s">
        <v>7083</v>
      </c>
      <c r="B3195" t="s">
        <v>7083</v>
      </c>
    </row>
    <row r="3196" spans="1:2" x14ac:dyDescent="0.25">
      <c r="A3196" t="s">
        <v>7086</v>
      </c>
      <c r="B3196" t="s">
        <v>7086</v>
      </c>
    </row>
    <row r="3197" spans="1:2" x14ac:dyDescent="0.25">
      <c r="A3197" t="s">
        <v>7089</v>
      </c>
      <c r="B3197" t="s">
        <v>7089</v>
      </c>
    </row>
    <row r="3198" spans="1:2" x14ac:dyDescent="0.25">
      <c r="A3198" t="s">
        <v>10828</v>
      </c>
      <c r="B3198" t="s">
        <v>31507</v>
      </c>
    </row>
    <row r="3199" spans="1:2" x14ac:dyDescent="0.25">
      <c r="A3199" t="s">
        <v>6991</v>
      </c>
      <c r="B3199" t="s">
        <v>26624</v>
      </c>
    </row>
    <row r="3200" spans="1:2" x14ac:dyDescent="0.25">
      <c r="A3200" t="s">
        <v>10993</v>
      </c>
      <c r="B3200" t="s">
        <v>31728</v>
      </c>
    </row>
    <row r="3201" spans="1:2" x14ac:dyDescent="0.25">
      <c r="A3201" t="s">
        <v>7069</v>
      </c>
      <c r="B3201" t="s">
        <v>7069</v>
      </c>
    </row>
    <row r="3202" spans="1:2" x14ac:dyDescent="0.25">
      <c r="A3202" t="s">
        <v>10975</v>
      </c>
      <c r="B3202" t="s">
        <v>31709</v>
      </c>
    </row>
    <row r="3203" spans="1:2" x14ac:dyDescent="0.25">
      <c r="A3203" t="s">
        <v>10972</v>
      </c>
      <c r="B3203" t="s">
        <v>31704</v>
      </c>
    </row>
    <row r="3204" spans="1:2" x14ac:dyDescent="0.25">
      <c r="A3204" t="s">
        <v>6890</v>
      </c>
      <c r="B3204" t="s">
        <v>26473</v>
      </c>
    </row>
    <row r="3205" spans="1:2" x14ac:dyDescent="0.25">
      <c r="A3205" t="s">
        <v>6572</v>
      </c>
      <c r="B3205" t="s">
        <v>6572</v>
      </c>
    </row>
    <row r="3206" spans="1:2" x14ac:dyDescent="0.25">
      <c r="A3206" t="s">
        <v>10966</v>
      </c>
      <c r="B3206" t="s">
        <v>31694</v>
      </c>
    </row>
    <row r="3207" spans="1:2" x14ac:dyDescent="0.25">
      <c r="A3207" t="s">
        <v>6980</v>
      </c>
      <c r="B3207" t="s">
        <v>26613</v>
      </c>
    </row>
    <row r="3208" spans="1:2" x14ac:dyDescent="0.25">
      <c r="A3208" t="s">
        <v>10978</v>
      </c>
      <c r="B3208" t="s">
        <v>31710</v>
      </c>
    </row>
    <row r="3209" spans="1:2" x14ac:dyDescent="0.25">
      <c r="A3209" t="s">
        <v>10981</v>
      </c>
      <c r="B3209" t="s">
        <v>31711</v>
      </c>
    </row>
    <row r="3210" spans="1:2" x14ac:dyDescent="0.25">
      <c r="A3210" t="s">
        <v>6997</v>
      </c>
      <c r="B3210" t="s">
        <v>26626</v>
      </c>
    </row>
    <row r="3211" spans="1:2" x14ac:dyDescent="0.25">
      <c r="A3211" t="s">
        <v>10987</v>
      </c>
      <c r="B3211" t="s">
        <v>31720</v>
      </c>
    </row>
    <row r="3212" spans="1:2" x14ac:dyDescent="0.25">
      <c r="A3212" t="s">
        <v>10984</v>
      </c>
      <c r="B3212" t="s">
        <v>31716</v>
      </c>
    </row>
    <row r="3213" spans="1:2" x14ac:dyDescent="0.25">
      <c r="A3213" t="s">
        <v>10990</v>
      </c>
      <c r="B3213" t="s">
        <v>31724</v>
      </c>
    </row>
    <row r="3214" spans="1:2" x14ac:dyDescent="0.25">
      <c r="A3214" t="s">
        <v>11002</v>
      </c>
      <c r="B3214" t="s">
        <v>11002</v>
      </c>
    </row>
    <row r="3215" spans="1:2" x14ac:dyDescent="0.25">
      <c r="A3215" t="s">
        <v>11005</v>
      </c>
      <c r="B3215" t="s">
        <v>31746</v>
      </c>
    </row>
    <row r="3216" spans="1:2" x14ac:dyDescent="0.25">
      <c r="A3216" t="s">
        <v>11008</v>
      </c>
      <c r="B3216" t="s">
        <v>11008</v>
      </c>
    </row>
    <row r="3217" spans="1:2" x14ac:dyDescent="0.25">
      <c r="A3217" t="s">
        <v>11011</v>
      </c>
      <c r="B3217" t="s">
        <v>31755</v>
      </c>
    </row>
    <row r="3218" spans="1:2" x14ac:dyDescent="0.25">
      <c r="A3218" t="s">
        <v>7277</v>
      </c>
      <c r="B3218" t="s">
        <v>26870</v>
      </c>
    </row>
    <row r="3219" spans="1:2" x14ac:dyDescent="0.25">
      <c r="A3219" t="s">
        <v>7273</v>
      </c>
      <c r="B3219" t="s">
        <v>26868</v>
      </c>
    </row>
    <row r="3220" spans="1:2" x14ac:dyDescent="0.25">
      <c r="A3220" t="s">
        <v>7275</v>
      </c>
      <c r="B3220" t="s">
        <v>26869</v>
      </c>
    </row>
    <row r="3221" spans="1:2" x14ac:dyDescent="0.25">
      <c r="A3221" t="s">
        <v>7271</v>
      </c>
      <c r="B3221" t="s">
        <v>26867</v>
      </c>
    </row>
    <row r="3222" spans="1:2" x14ac:dyDescent="0.25">
      <c r="A3222" t="s">
        <v>11014</v>
      </c>
      <c r="B3222" t="s">
        <v>11014</v>
      </c>
    </row>
    <row r="3223" spans="1:2" x14ac:dyDescent="0.25">
      <c r="A3223" t="s">
        <v>11020</v>
      </c>
      <c r="B3223" t="s">
        <v>11020</v>
      </c>
    </row>
    <row r="3224" spans="1:2" x14ac:dyDescent="0.25">
      <c r="A3224" t="s">
        <v>11023</v>
      </c>
      <c r="B3224" t="s">
        <v>31773</v>
      </c>
    </row>
    <row r="3225" spans="1:2" x14ac:dyDescent="0.25">
      <c r="A3225" t="s">
        <v>11026</v>
      </c>
      <c r="B3225" t="s">
        <v>11026</v>
      </c>
    </row>
    <row r="3226" spans="1:2" x14ac:dyDescent="0.25">
      <c r="A3226" t="s">
        <v>11029</v>
      </c>
      <c r="B3226" t="s">
        <v>11029</v>
      </c>
    </row>
    <row r="3227" spans="1:2" x14ac:dyDescent="0.25">
      <c r="A3227" t="s">
        <v>6993</v>
      </c>
      <c r="B3227" t="s">
        <v>26625</v>
      </c>
    </row>
    <row r="3228" spans="1:2" x14ac:dyDescent="0.25">
      <c r="A3228" t="s">
        <v>11032</v>
      </c>
      <c r="B3228" t="s">
        <v>11032</v>
      </c>
    </row>
    <row r="3229" spans="1:2" x14ac:dyDescent="0.25">
      <c r="A3229" t="s">
        <v>11035</v>
      </c>
      <c r="B3229" t="s">
        <v>31789</v>
      </c>
    </row>
    <row r="3230" spans="1:2" x14ac:dyDescent="0.25">
      <c r="A3230" t="s">
        <v>11017</v>
      </c>
      <c r="B3230" t="s">
        <v>31764</v>
      </c>
    </row>
    <row r="3231" spans="1:2" x14ac:dyDescent="0.25">
      <c r="A3231" t="s">
        <v>11038</v>
      </c>
      <c r="B3231" t="s">
        <v>11038</v>
      </c>
    </row>
    <row r="3232" spans="1:2" x14ac:dyDescent="0.25">
      <c r="A3232" t="s">
        <v>11047</v>
      </c>
      <c r="B3232" t="s">
        <v>11047</v>
      </c>
    </row>
    <row r="3233" spans="1:2" x14ac:dyDescent="0.25">
      <c r="A3233" t="s">
        <v>11041</v>
      </c>
      <c r="B3233" t="s">
        <v>11041</v>
      </c>
    </row>
    <row r="3234" spans="1:2" x14ac:dyDescent="0.25">
      <c r="A3234" t="s">
        <v>11044</v>
      </c>
      <c r="B3234" t="s">
        <v>11044</v>
      </c>
    </row>
    <row r="3235" spans="1:2" x14ac:dyDescent="0.25">
      <c r="A3235" t="s">
        <v>3640</v>
      </c>
      <c r="B3235" t="s">
        <v>22758</v>
      </c>
    </row>
    <row r="3236" spans="1:2" x14ac:dyDescent="0.25">
      <c r="A3236" t="s">
        <v>11053</v>
      </c>
      <c r="B3236" t="s">
        <v>31813</v>
      </c>
    </row>
    <row r="3237" spans="1:2" x14ac:dyDescent="0.25">
      <c r="A3237" t="s">
        <v>11065</v>
      </c>
      <c r="B3237" t="s">
        <v>11065</v>
      </c>
    </row>
    <row r="3238" spans="1:2" x14ac:dyDescent="0.25">
      <c r="A3238" t="s">
        <v>11074</v>
      </c>
      <c r="B3238" t="s">
        <v>11074</v>
      </c>
    </row>
    <row r="3239" spans="1:2" x14ac:dyDescent="0.25">
      <c r="A3239" t="s">
        <v>11077</v>
      </c>
      <c r="B3239" t="s">
        <v>11077</v>
      </c>
    </row>
    <row r="3240" spans="1:2" x14ac:dyDescent="0.25">
      <c r="A3240" t="s">
        <v>3637</v>
      </c>
      <c r="B3240" t="s">
        <v>3637</v>
      </c>
    </row>
    <row r="3241" spans="1:2" x14ac:dyDescent="0.25">
      <c r="A3241" t="s">
        <v>11083</v>
      </c>
      <c r="B3241" t="s">
        <v>11083</v>
      </c>
    </row>
    <row r="3242" spans="1:2" x14ac:dyDescent="0.25">
      <c r="A3242" t="s">
        <v>3643</v>
      </c>
      <c r="B3242" t="s">
        <v>3643</v>
      </c>
    </row>
    <row r="3243" spans="1:2" x14ac:dyDescent="0.25">
      <c r="A3243" t="s">
        <v>11098</v>
      </c>
      <c r="B3243" t="s">
        <v>11098</v>
      </c>
    </row>
    <row r="3244" spans="1:2" x14ac:dyDescent="0.25">
      <c r="A3244" t="s">
        <v>11071</v>
      </c>
      <c r="B3244" t="s">
        <v>15243</v>
      </c>
    </row>
    <row r="3245" spans="1:2" x14ac:dyDescent="0.25">
      <c r="A3245" t="s">
        <v>11068</v>
      </c>
      <c r="B3245" t="s">
        <v>31835</v>
      </c>
    </row>
    <row r="3246" spans="1:2" x14ac:dyDescent="0.25">
      <c r="A3246" t="s">
        <v>11110</v>
      </c>
      <c r="B3246" t="s">
        <v>11110</v>
      </c>
    </row>
    <row r="3247" spans="1:2" x14ac:dyDescent="0.25">
      <c r="A3247" t="s">
        <v>11101</v>
      </c>
      <c r="B3247" t="s">
        <v>31880</v>
      </c>
    </row>
    <row r="3248" spans="1:2" x14ac:dyDescent="0.25">
      <c r="A3248" t="s">
        <v>11056</v>
      </c>
      <c r="B3248" t="s">
        <v>31818</v>
      </c>
    </row>
    <row r="3249" spans="1:2" x14ac:dyDescent="0.25">
      <c r="A3249" t="s">
        <v>11080</v>
      </c>
      <c r="B3249" t="s">
        <v>11080</v>
      </c>
    </row>
    <row r="3250" spans="1:2" x14ac:dyDescent="0.25">
      <c r="A3250" t="s">
        <v>11092</v>
      </c>
      <c r="B3250" t="s">
        <v>31867</v>
      </c>
    </row>
    <row r="3251" spans="1:2" x14ac:dyDescent="0.25">
      <c r="A3251" t="s">
        <v>11095</v>
      </c>
      <c r="B3251" t="s">
        <v>31872</v>
      </c>
    </row>
    <row r="3252" spans="1:2" x14ac:dyDescent="0.25">
      <c r="A3252" t="s">
        <v>11059</v>
      </c>
      <c r="B3252" t="s">
        <v>11059</v>
      </c>
    </row>
    <row r="3253" spans="1:2" x14ac:dyDescent="0.25">
      <c r="A3253" t="s">
        <v>11107</v>
      </c>
      <c r="B3253" t="s">
        <v>11107</v>
      </c>
    </row>
    <row r="3254" spans="1:2" x14ac:dyDescent="0.25">
      <c r="A3254" t="s">
        <v>11104</v>
      </c>
      <c r="B3254" t="s">
        <v>31885</v>
      </c>
    </row>
    <row r="3255" spans="1:2" x14ac:dyDescent="0.25">
      <c r="A3255" t="s">
        <v>11086</v>
      </c>
      <c r="B3255" t="s">
        <v>11086</v>
      </c>
    </row>
    <row r="3256" spans="1:2" x14ac:dyDescent="0.25">
      <c r="A3256" t="s">
        <v>11089</v>
      </c>
      <c r="B3256" t="s">
        <v>31863</v>
      </c>
    </row>
    <row r="3257" spans="1:2" x14ac:dyDescent="0.25">
      <c r="A3257" t="s">
        <v>11062</v>
      </c>
      <c r="B3257" t="s">
        <v>31826</v>
      </c>
    </row>
    <row r="3258" spans="1:2" x14ac:dyDescent="0.25">
      <c r="A3258" t="s">
        <v>3646</v>
      </c>
      <c r="B3258" t="s">
        <v>22766</v>
      </c>
    </row>
    <row r="3259" spans="1:2" x14ac:dyDescent="0.25">
      <c r="A3259" t="s">
        <v>6972</v>
      </c>
      <c r="B3259" t="s">
        <v>26603</v>
      </c>
    </row>
    <row r="3260" spans="1:2" x14ac:dyDescent="0.25">
      <c r="A3260" t="s">
        <v>6977</v>
      </c>
      <c r="B3260" t="s">
        <v>26609</v>
      </c>
    </row>
    <row r="3261" spans="1:2" x14ac:dyDescent="0.25">
      <c r="A3261" t="s">
        <v>3652</v>
      </c>
      <c r="B3261" t="s">
        <v>22773</v>
      </c>
    </row>
    <row r="3262" spans="1:2" x14ac:dyDescent="0.25">
      <c r="A3262" t="s">
        <v>3649</v>
      </c>
      <c r="B3262" t="s">
        <v>22769</v>
      </c>
    </row>
    <row r="3263" spans="1:2" x14ac:dyDescent="0.25">
      <c r="A3263" t="s">
        <v>11050</v>
      </c>
      <c r="B3263" t="s">
        <v>11050</v>
      </c>
    </row>
    <row r="3264" spans="1:2" x14ac:dyDescent="0.25">
      <c r="A3264" t="s">
        <v>11113</v>
      </c>
      <c r="B3264" t="s">
        <v>11113</v>
      </c>
    </row>
    <row r="3265" spans="1:2" x14ac:dyDescent="0.25">
      <c r="A3265" t="s">
        <v>11116</v>
      </c>
      <c r="B3265" t="s">
        <v>11116</v>
      </c>
    </row>
    <row r="3266" spans="1:2" x14ac:dyDescent="0.25">
      <c r="A3266" t="s">
        <v>11119</v>
      </c>
      <c r="B3266" t="s">
        <v>11119</v>
      </c>
    </row>
    <row r="3267" spans="1:2" x14ac:dyDescent="0.25">
      <c r="A3267" t="s">
        <v>7006</v>
      </c>
      <c r="B3267" t="s">
        <v>7006</v>
      </c>
    </row>
    <row r="3268" spans="1:2" x14ac:dyDescent="0.25">
      <c r="A3268" t="s">
        <v>7009</v>
      </c>
      <c r="B3268" t="s">
        <v>7009</v>
      </c>
    </row>
    <row r="3269" spans="1:2" x14ac:dyDescent="0.25">
      <c r="A3269" t="s">
        <v>7012</v>
      </c>
      <c r="B3269" t="s">
        <v>7012</v>
      </c>
    </row>
    <row r="3270" spans="1:2" x14ac:dyDescent="0.25">
      <c r="A3270" t="s">
        <v>11125</v>
      </c>
      <c r="B3270" t="s">
        <v>11125</v>
      </c>
    </row>
    <row r="3271" spans="1:2" x14ac:dyDescent="0.25">
      <c r="A3271" t="s">
        <v>11128</v>
      </c>
      <c r="B3271" t="s">
        <v>31917</v>
      </c>
    </row>
    <row r="3272" spans="1:2" x14ac:dyDescent="0.25">
      <c r="A3272" t="s">
        <v>11131</v>
      </c>
      <c r="B3272" t="s">
        <v>31922</v>
      </c>
    </row>
    <row r="3273" spans="1:2" x14ac:dyDescent="0.25">
      <c r="A3273" t="s">
        <v>11134</v>
      </c>
      <c r="B3273" t="s">
        <v>11134</v>
      </c>
    </row>
    <row r="3274" spans="1:2" x14ac:dyDescent="0.25">
      <c r="A3274" t="s">
        <v>11122</v>
      </c>
      <c r="B3274" t="s">
        <v>31908</v>
      </c>
    </row>
    <row r="3275" spans="1:2" x14ac:dyDescent="0.25">
      <c r="A3275" t="s">
        <v>6995</v>
      </c>
      <c r="B3275" t="s">
        <v>6995</v>
      </c>
    </row>
    <row r="3276" spans="1:2" x14ac:dyDescent="0.25">
      <c r="A3276" t="s">
        <v>11137</v>
      </c>
      <c r="B3276" t="s">
        <v>31931</v>
      </c>
    </row>
    <row r="3277" spans="1:2" x14ac:dyDescent="0.25">
      <c r="A3277" t="s">
        <v>10840</v>
      </c>
      <c r="B3277" t="s">
        <v>31525</v>
      </c>
    </row>
    <row r="3278" spans="1:2" x14ac:dyDescent="0.25">
      <c r="A3278" t="s">
        <v>7000</v>
      </c>
      <c r="B3278" t="s">
        <v>26630</v>
      </c>
    </row>
    <row r="3279" spans="1:2" x14ac:dyDescent="0.25">
      <c r="A3279" t="s">
        <v>7002</v>
      </c>
      <c r="B3279" t="s">
        <v>26631</v>
      </c>
    </row>
    <row r="3280" spans="1:2" x14ac:dyDescent="0.25">
      <c r="A3280" t="s">
        <v>7004</v>
      </c>
      <c r="B3280" t="s">
        <v>26632</v>
      </c>
    </row>
    <row r="3281" spans="1:2" x14ac:dyDescent="0.25">
      <c r="A3281" t="s">
        <v>11143</v>
      </c>
      <c r="B3281" t="s">
        <v>11143</v>
      </c>
    </row>
    <row r="3282" spans="1:2" x14ac:dyDescent="0.25">
      <c r="A3282" t="s">
        <v>11152</v>
      </c>
      <c r="B3282" t="s">
        <v>11152</v>
      </c>
    </row>
    <row r="3283" spans="1:2" x14ac:dyDescent="0.25">
      <c r="A3283" t="s">
        <v>11155</v>
      </c>
      <c r="B3283" t="s">
        <v>11155</v>
      </c>
    </row>
    <row r="3284" spans="1:2" x14ac:dyDescent="0.25">
      <c r="A3284" t="s">
        <v>11158</v>
      </c>
      <c r="B3284" t="s">
        <v>11158</v>
      </c>
    </row>
    <row r="3285" spans="1:2" x14ac:dyDescent="0.25">
      <c r="A3285" t="s">
        <v>11179</v>
      </c>
      <c r="B3285" t="s">
        <v>11179</v>
      </c>
    </row>
    <row r="3286" spans="1:2" x14ac:dyDescent="0.25">
      <c r="A3286" t="s">
        <v>11182</v>
      </c>
      <c r="B3286" t="s">
        <v>11182</v>
      </c>
    </row>
    <row r="3287" spans="1:2" x14ac:dyDescent="0.25">
      <c r="A3287" t="s">
        <v>11146</v>
      </c>
      <c r="B3287" t="s">
        <v>31945</v>
      </c>
    </row>
    <row r="3288" spans="1:2" x14ac:dyDescent="0.25">
      <c r="A3288" t="s">
        <v>11218</v>
      </c>
      <c r="B3288" t="s">
        <v>32046</v>
      </c>
    </row>
    <row r="3289" spans="1:2" x14ac:dyDescent="0.25">
      <c r="A3289" t="s">
        <v>7092</v>
      </c>
      <c r="B3289" t="s">
        <v>26740</v>
      </c>
    </row>
    <row r="3290" spans="1:2" x14ac:dyDescent="0.25">
      <c r="A3290" t="s">
        <v>11209</v>
      </c>
      <c r="B3290" t="s">
        <v>32032</v>
      </c>
    </row>
    <row r="3291" spans="1:2" x14ac:dyDescent="0.25">
      <c r="A3291" t="s">
        <v>11212</v>
      </c>
      <c r="B3291" t="s">
        <v>11212</v>
      </c>
    </row>
    <row r="3292" spans="1:2" x14ac:dyDescent="0.25">
      <c r="A3292" t="s">
        <v>11215</v>
      </c>
      <c r="B3292" t="s">
        <v>32041</v>
      </c>
    </row>
    <row r="3293" spans="1:2" x14ac:dyDescent="0.25">
      <c r="A3293" t="s">
        <v>11149</v>
      </c>
      <c r="B3293" t="s">
        <v>11149</v>
      </c>
    </row>
    <row r="3294" spans="1:2" x14ac:dyDescent="0.25">
      <c r="A3294" t="s">
        <v>11176</v>
      </c>
      <c r="B3294" t="s">
        <v>31985</v>
      </c>
    </row>
    <row r="3295" spans="1:2" x14ac:dyDescent="0.25">
      <c r="A3295" t="s">
        <v>11161</v>
      </c>
      <c r="B3295" t="s">
        <v>11161</v>
      </c>
    </row>
    <row r="3296" spans="1:2" x14ac:dyDescent="0.25">
      <c r="A3296" t="s">
        <v>11167</v>
      </c>
      <c r="B3296" t="s">
        <v>11167</v>
      </c>
    </row>
    <row r="3297" spans="1:2" x14ac:dyDescent="0.25">
      <c r="A3297" t="s">
        <v>11164</v>
      </c>
      <c r="B3297" t="s">
        <v>11164</v>
      </c>
    </row>
    <row r="3298" spans="1:2" x14ac:dyDescent="0.25">
      <c r="A3298" t="s">
        <v>11170</v>
      </c>
      <c r="B3298" t="s">
        <v>11170</v>
      </c>
    </row>
    <row r="3299" spans="1:2" x14ac:dyDescent="0.25">
      <c r="A3299" t="s">
        <v>11173</v>
      </c>
      <c r="B3299" t="s">
        <v>11173</v>
      </c>
    </row>
    <row r="3300" spans="1:2" x14ac:dyDescent="0.25">
      <c r="A3300" t="s">
        <v>11185</v>
      </c>
      <c r="B3300" t="s">
        <v>11185</v>
      </c>
    </row>
    <row r="3301" spans="1:2" x14ac:dyDescent="0.25">
      <c r="A3301" t="s">
        <v>11194</v>
      </c>
      <c r="B3301" t="s">
        <v>11194</v>
      </c>
    </row>
    <row r="3302" spans="1:2" x14ac:dyDescent="0.25">
      <c r="A3302" t="s">
        <v>11191</v>
      </c>
      <c r="B3302" t="s">
        <v>32006</v>
      </c>
    </row>
    <row r="3303" spans="1:2" x14ac:dyDescent="0.25">
      <c r="A3303" t="s">
        <v>11197</v>
      </c>
      <c r="B3303" t="s">
        <v>32015</v>
      </c>
    </row>
    <row r="3304" spans="1:2" x14ac:dyDescent="0.25">
      <c r="A3304" t="s">
        <v>11200</v>
      </c>
      <c r="B3304" t="s">
        <v>11200</v>
      </c>
    </row>
    <row r="3305" spans="1:2" x14ac:dyDescent="0.25">
      <c r="A3305" t="s">
        <v>11188</v>
      </c>
      <c r="B3305" t="s">
        <v>32001</v>
      </c>
    </row>
    <row r="3306" spans="1:2" x14ac:dyDescent="0.25">
      <c r="A3306" t="s">
        <v>11203</v>
      </c>
      <c r="B3306" t="s">
        <v>11203</v>
      </c>
    </row>
    <row r="3307" spans="1:2" x14ac:dyDescent="0.25">
      <c r="A3307" t="s">
        <v>11206</v>
      </c>
      <c r="B3307" t="s">
        <v>11206</v>
      </c>
    </row>
    <row r="3308" spans="1:2" x14ac:dyDescent="0.25">
      <c r="A3308" t="s">
        <v>7097</v>
      </c>
      <c r="B3308" t="s">
        <v>26744</v>
      </c>
    </row>
    <row r="3309" spans="1:2" x14ac:dyDescent="0.25">
      <c r="A3309" t="s">
        <v>11221</v>
      </c>
      <c r="B3309" t="s">
        <v>11221</v>
      </c>
    </row>
    <row r="3310" spans="1:2" x14ac:dyDescent="0.25">
      <c r="A3310" t="s">
        <v>11227</v>
      </c>
      <c r="B3310" t="s">
        <v>11227</v>
      </c>
    </row>
    <row r="3311" spans="1:2" x14ac:dyDescent="0.25">
      <c r="A3311" t="s">
        <v>11233</v>
      </c>
      <c r="B3311" t="s">
        <v>11233</v>
      </c>
    </row>
    <row r="3312" spans="1:2" x14ac:dyDescent="0.25">
      <c r="A3312" t="s">
        <v>11224</v>
      </c>
      <c r="B3312" t="s">
        <v>11224</v>
      </c>
    </row>
    <row r="3313" spans="1:2" x14ac:dyDescent="0.25">
      <c r="A3313" t="s">
        <v>11230</v>
      </c>
      <c r="B3313" t="s">
        <v>11230</v>
      </c>
    </row>
    <row r="3314" spans="1:2" x14ac:dyDescent="0.25">
      <c r="A3314" t="s">
        <v>11236</v>
      </c>
      <c r="B3314" t="s">
        <v>32068</v>
      </c>
    </row>
    <row r="3315" spans="1:2" x14ac:dyDescent="0.25">
      <c r="A3315" t="s">
        <v>11242</v>
      </c>
      <c r="B3315" t="s">
        <v>11242</v>
      </c>
    </row>
    <row r="3316" spans="1:2" x14ac:dyDescent="0.25">
      <c r="A3316" t="s">
        <v>11251</v>
      </c>
      <c r="B3316" t="s">
        <v>11251</v>
      </c>
    </row>
    <row r="3317" spans="1:2" x14ac:dyDescent="0.25">
      <c r="A3317" t="s">
        <v>11245</v>
      </c>
      <c r="B3317" t="s">
        <v>11245</v>
      </c>
    </row>
    <row r="3318" spans="1:2" x14ac:dyDescent="0.25">
      <c r="A3318" t="s">
        <v>11248</v>
      </c>
      <c r="B3318" t="s">
        <v>11248</v>
      </c>
    </row>
    <row r="3319" spans="1:2" x14ac:dyDescent="0.25">
      <c r="A3319" t="s">
        <v>7128</v>
      </c>
      <c r="B3319" t="s">
        <v>7128</v>
      </c>
    </row>
    <row r="3320" spans="1:2" x14ac:dyDescent="0.25">
      <c r="A3320" t="s">
        <v>7131</v>
      </c>
      <c r="B3320" t="s">
        <v>7131</v>
      </c>
    </row>
    <row r="3321" spans="1:2" x14ac:dyDescent="0.25">
      <c r="A3321" t="s">
        <v>7134</v>
      </c>
      <c r="B3321" t="s">
        <v>7134</v>
      </c>
    </row>
    <row r="3322" spans="1:2" x14ac:dyDescent="0.25">
      <c r="A3322" t="s">
        <v>7137</v>
      </c>
      <c r="B3322" t="s">
        <v>7137</v>
      </c>
    </row>
    <row r="3323" spans="1:2" x14ac:dyDescent="0.25">
      <c r="A3323" t="s">
        <v>7140</v>
      </c>
      <c r="B3323" t="s">
        <v>7140</v>
      </c>
    </row>
    <row r="3324" spans="1:2" x14ac:dyDescent="0.25">
      <c r="A3324" t="s">
        <v>11254</v>
      </c>
      <c r="B3324" t="s">
        <v>11254</v>
      </c>
    </row>
    <row r="3325" spans="1:2" x14ac:dyDescent="0.25">
      <c r="A3325" t="s">
        <v>7105</v>
      </c>
      <c r="B3325" t="s">
        <v>7105</v>
      </c>
    </row>
    <row r="3326" spans="1:2" x14ac:dyDescent="0.25">
      <c r="A3326" t="s">
        <v>7110</v>
      </c>
      <c r="B3326" t="s">
        <v>26759</v>
      </c>
    </row>
    <row r="3327" spans="1:2" x14ac:dyDescent="0.25">
      <c r="A3327" t="s">
        <v>7112</v>
      </c>
      <c r="B3327" t="s">
        <v>26760</v>
      </c>
    </row>
    <row r="3328" spans="1:2" x14ac:dyDescent="0.25">
      <c r="A3328" t="s">
        <v>7114</v>
      </c>
      <c r="B3328" t="s">
        <v>26761</v>
      </c>
    </row>
    <row r="3329" spans="1:2" x14ac:dyDescent="0.25">
      <c r="A3329" t="s">
        <v>7124</v>
      </c>
      <c r="B3329" t="s">
        <v>26765</v>
      </c>
    </row>
    <row r="3330" spans="1:2" x14ac:dyDescent="0.25">
      <c r="A3330" t="s">
        <v>7122</v>
      </c>
      <c r="B3330" t="s">
        <v>26764</v>
      </c>
    </row>
    <row r="3331" spans="1:2" x14ac:dyDescent="0.25">
      <c r="A3331" t="s">
        <v>7126</v>
      </c>
      <c r="B3331" t="s">
        <v>26766</v>
      </c>
    </row>
    <row r="3332" spans="1:2" x14ac:dyDescent="0.25">
      <c r="A3332" t="s">
        <v>11257</v>
      </c>
      <c r="B3332" t="s">
        <v>11257</v>
      </c>
    </row>
    <row r="3333" spans="1:2" x14ac:dyDescent="0.25">
      <c r="A3333" t="s">
        <v>7116</v>
      </c>
      <c r="B3333" t="s">
        <v>26762</v>
      </c>
    </row>
    <row r="3334" spans="1:2" x14ac:dyDescent="0.25">
      <c r="A3334" t="s">
        <v>11260</v>
      </c>
      <c r="B3334" t="s">
        <v>11260</v>
      </c>
    </row>
    <row r="3335" spans="1:2" x14ac:dyDescent="0.25">
      <c r="A3335" t="s">
        <v>7118</v>
      </c>
      <c r="B3335" t="s">
        <v>7118</v>
      </c>
    </row>
    <row r="3336" spans="1:2" x14ac:dyDescent="0.25">
      <c r="A3336" t="s">
        <v>7146</v>
      </c>
      <c r="B3336" t="s">
        <v>7146</v>
      </c>
    </row>
    <row r="3337" spans="1:2" x14ac:dyDescent="0.25">
      <c r="A3337" t="s">
        <v>11263</v>
      </c>
      <c r="B3337" t="s">
        <v>11263</v>
      </c>
    </row>
    <row r="3338" spans="1:2" x14ac:dyDescent="0.25">
      <c r="A3338" t="s">
        <v>11266</v>
      </c>
      <c r="B3338" t="s">
        <v>11266</v>
      </c>
    </row>
    <row r="3339" spans="1:2" x14ac:dyDescent="0.25">
      <c r="A3339" t="s">
        <v>7120</v>
      </c>
      <c r="B3339" t="s">
        <v>26763</v>
      </c>
    </row>
    <row r="3340" spans="1:2" x14ac:dyDescent="0.25">
      <c r="A3340" t="s">
        <v>11269</v>
      </c>
      <c r="B3340" t="s">
        <v>11269</v>
      </c>
    </row>
    <row r="3341" spans="1:2" x14ac:dyDescent="0.25">
      <c r="A3341" t="s">
        <v>11272</v>
      </c>
      <c r="B3341" t="s">
        <v>32115</v>
      </c>
    </row>
    <row r="3342" spans="1:2" x14ac:dyDescent="0.25">
      <c r="A3342" t="s">
        <v>5253</v>
      </c>
      <c r="B3342" t="s">
        <v>24701</v>
      </c>
    </row>
    <row r="3343" spans="1:2" x14ac:dyDescent="0.25">
      <c r="A3343" t="s">
        <v>11275</v>
      </c>
      <c r="B3343" t="s">
        <v>32120</v>
      </c>
    </row>
    <row r="3344" spans="1:2" x14ac:dyDescent="0.25">
      <c r="A3344" t="s">
        <v>11278</v>
      </c>
      <c r="B3344" t="s">
        <v>32125</v>
      </c>
    </row>
    <row r="3345" spans="1:2" x14ac:dyDescent="0.25">
      <c r="A3345" t="s">
        <v>11281</v>
      </c>
      <c r="B3345" t="s">
        <v>32130</v>
      </c>
    </row>
    <row r="3346" spans="1:2" x14ac:dyDescent="0.25">
      <c r="A3346" t="s">
        <v>11284</v>
      </c>
      <c r="B3346" t="s">
        <v>32135</v>
      </c>
    </row>
    <row r="3347" spans="1:2" x14ac:dyDescent="0.25">
      <c r="A3347" t="s">
        <v>11287</v>
      </c>
      <c r="B3347" t="s">
        <v>32140</v>
      </c>
    </row>
    <row r="3348" spans="1:2" x14ac:dyDescent="0.25">
      <c r="A3348" t="s">
        <v>6253</v>
      </c>
      <c r="B3348" t="s">
        <v>25729</v>
      </c>
    </row>
    <row r="3349" spans="1:2" x14ac:dyDescent="0.25">
      <c r="A3349" t="s">
        <v>6251</v>
      </c>
      <c r="B3349" t="s">
        <v>25728</v>
      </c>
    </row>
    <row r="3350" spans="1:2" x14ac:dyDescent="0.25">
      <c r="A3350" t="s">
        <v>7143</v>
      </c>
      <c r="B3350" t="s">
        <v>7143</v>
      </c>
    </row>
    <row r="3351" spans="1:2" x14ac:dyDescent="0.25">
      <c r="A3351" t="s">
        <v>7149</v>
      </c>
      <c r="B3351" t="s">
        <v>7149</v>
      </c>
    </row>
    <row r="3352" spans="1:2" x14ac:dyDescent="0.25">
      <c r="A3352" t="s">
        <v>7152</v>
      </c>
      <c r="B3352" t="s">
        <v>7152</v>
      </c>
    </row>
    <row r="3353" spans="1:2" x14ac:dyDescent="0.25">
      <c r="A3353" t="s">
        <v>11664</v>
      </c>
      <c r="B3353" t="s">
        <v>32339</v>
      </c>
    </row>
    <row r="3354" spans="1:2" x14ac:dyDescent="0.25">
      <c r="A3354" t="s">
        <v>11667</v>
      </c>
      <c r="B3354" t="s">
        <v>32344</v>
      </c>
    </row>
    <row r="3355" spans="1:2" x14ac:dyDescent="0.25">
      <c r="A3355" t="s">
        <v>11670</v>
      </c>
      <c r="B3355" t="s">
        <v>32348</v>
      </c>
    </row>
    <row r="3356" spans="1:2" x14ac:dyDescent="0.25">
      <c r="A3356" t="s">
        <v>11673</v>
      </c>
      <c r="B3356" t="s">
        <v>11673</v>
      </c>
    </row>
    <row r="3357" spans="1:2" x14ac:dyDescent="0.25">
      <c r="A3357" t="s">
        <v>11676</v>
      </c>
      <c r="B3357" t="s">
        <v>32356</v>
      </c>
    </row>
    <row r="3358" spans="1:2" x14ac:dyDescent="0.25">
      <c r="A3358" t="s">
        <v>7166</v>
      </c>
      <c r="B3358" t="s">
        <v>26805</v>
      </c>
    </row>
    <row r="3359" spans="1:2" x14ac:dyDescent="0.25">
      <c r="A3359" t="s">
        <v>7164</v>
      </c>
      <c r="B3359" t="s">
        <v>7164</v>
      </c>
    </row>
    <row r="3360" spans="1:2" x14ac:dyDescent="0.25">
      <c r="A3360" t="s">
        <v>5263</v>
      </c>
      <c r="B3360" t="s">
        <v>24706</v>
      </c>
    </row>
    <row r="3361" spans="1:2" x14ac:dyDescent="0.25">
      <c r="A3361" t="s">
        <v>4761</v>
      </c>
      <c r="B3361" t="s">
        <v>4761</v>
      </c>
    </row>
    <row r="3362" spans="1:2" x14ac:dyDescent="0.25">
      <c r="A3362" t="s">
        <v>7168</v>
      </c>
      <c r="B3362" t="s">
        <v>7168</v>
      </c>
    </row>
    <row r="3363" spans="1:2" x14ac:dyDescent="0.25">
      <c r="A3363" t="s">
        <v>7315</v>
      </c>
      <c r="B3363" t="s">
        <v>7315</v>
      </c>
    </row>
    <row r="3364" spans="1:2" x14ac:dyDescent="0.25">
      <c r="A3364" t="s">
        <v>7170</v>
      </c>
      <c r="B3364" t="s">
        <v>26806</v>
      </c>
    </row>
    <row r="3365" spans="1:2" x14ac:dyDescent="0.25">
      <c r="A3365" t="s">
        <v>7172</v>
      </c>
      <c r="B3365" t="s">
        <v>26807</v>
      </c>
    </row>
    <row r="3366" spans="1:2" x14ac:dyDescent="0.25">
      <c r="A3366" t="s">
        <v>6263</v>
      </c>
      <c r="B3366" t="s">
        <v>25734</v>
      </c>
    </row>
    <row r="3367" spans="1:2" x14ac:dyDescent="0.25">
      <c r="A3367" t="s">
        <v>7174</v>
      </c>
      <c r="B3367" t="s">
        <v>26808</v>
      </c>
    </row>
    <row r="3368" spans="1:2" x14ac:dyDescent="0.25">
      <c r="A3368" t="s">
        <v>7176</v>
      </c>
      <c r="B3368" t="s">
        <v>26809</v>
      </c>
    </row>
    <row r="3369" spans="1:2" x14ac:dyDescent="0.25">
      <c r="A3369" t="s">
        <v>7178</v>
      </c>
      <c r="B3369" t="s">
        <v>26810</v>
      </c>
    </row>
    <row r="3370" spans="1:2" x14ac:dyDescent="0.25">
      <c r="A3370" t="s">
        <v>7180</v>
      </c>
      <c r="B3370" t="s">
        <v>26811</v>
      </c>
    </row>
    <row r="3371" spans="1:2" x14ac:dyDescent="0.25">
      <c r="A3371" t="s">
        <v>7182</v>
      </c>
      <c r="B3371" t="s">
        <v>26812</v>
      </c>
    </row>
    <row r="3372" spans="1:2" x14ac:dyDescent="0.25">
      <c r="A3372" t="s">
        <v>11715</v>
      </c>
      <c r="B3372" t="s">
        <v>32379</v>
      </c>
    </row>
    <row r="3373" spans="1:2" x14ac:dyDescent="0.25">
      <c r="A3373" t="s">
        <v>11727</v>
      </c>
      <c r="B3373" t="s">
        <v>11727</v>
      </c>
    </row>
    <row r="3374" spans="1:2" x14ac:dyDescent="0.25">
      <c r="A3374" t="s">
        <v>11724</v>
      </c>
      <c r="B3374" t="s">
        <v>32390</v>
      </c>
    </row>
    <row r="3375" spans="1:2" x14ac:dyDescent="0.25">
      <c r="A3375" t="s">
        <v>11718</v>
      </c>
      <c r="B3375" t="s">
        <v>11718</v>
      </c>
    </row>
    <row r="3376" spans="1:2" x14ac:dyDescent="0.25">
      <c r="A3376" t="s">
        <v>11721</v>
      </c>
      <c r="B3376" t="s">
        <v>32386</v>
      </c>
    </row>
    <row r="3377" spans="1:2" x14ac:dyDescent="0.25">
      <c r="A3377" t="s">
        <v>11730</v>
      </c>
      <c r="B3377" t="s">
        <v>11730</v>
      </c>
    </row>
    <row r="3378" spans="1:2" x14ac:dyDescent="0.25">
      <c r="A3378" t="s">
        <v>7184</v>
      </c>
      <c r="B3378" t="s">
        <v>7184</v>
      </c>
    </row>
    <row r="3379" spans="1:2" x14ac:dyDescent="0.25">
      <c r="A3379" t="s">
        <v>5603</v>
      </c>
      <c r="B3379" t="s">
        <v>25037</v>
      </c>
    </row>
    <row r="3380" spans="1:2" x14ac:dyDescent="0.25">
      <c r="A3380" t="s">
        <v>7318</v>
      </c>
      <c r="B3380" t="s">
        <v>26901</v>
      </c>
    </row>
    <row r="3381" spans="1:2" x14ac:dyDescent="0.25">
      <c r="A3381" t="s">
        <v>7324</v>
      </c>
      <c r="B3381" t="s">
        <v>26909</v>
      </c>
    </row>
    <row r="3382" spans="1:2" x14ac:dyDescent="0.25">
      <c r="A3382" t="s">
        <v>7321</v>
      </c>
      <c r="B3382" t="s">
        <v>26905</v>
      </c>
    </row>
    <row r="3383" spans="1:2" x14ac:dyDescent="0.25">
      <c r="A3383" t="s">
        <v>7186</v>
      </c>
      <c r="B3383" t="s">
        <v>26813</v>
      </c>
    </row>
    <row r="3384" spans="1:2" x14ac:dyDescent="0.25">
      <c r="A3384" t="s">
        <v>11737</v>
      </c>
      <c r="B3384" t="s">
        <v>11737</v>
      </c>
    </row>
    <row r="3385" spans="1:2" x14ac:dyDescent="0.25">
      <c r="A3385" t="s">
        <v>11375</v>
      </c>
      <c r="B3385" t="s">
        <v>11375</v>
      </c>
    </row>
    <row r="3386" spans="1:2" x14ac:dyDescent="0.25">
      <c r="A3386" t="s">
        <v>7188</v>
      </c>
      <c r="B3386" t="s">
        <v>26814</v>
      </c>
    </row>
    <row r="3387" spans="1:2" x14ac:dyDescent="0.25">
      <c r="A3387" t="s">
        <v>7193</v>
      </c>
      <c r="B3387" t="s">
        <v>7193</v>
      </c>
    </row>
    <row r="3388" spans="1:2" x14ac:dyDescent="0.25">
      <c r="A3388" t="s">
        <v>6273</v>
      </c>
      <c r="B3388" t="s">
        <v>25739</v>
      </c>
    </row>
    <row r="3389" spans="1:2" x14ac:dyDescent="0.25">
      <c r="A3389" t="s">
        <v>6275</v>
      </c>
      <c r="B3389" t="s">
        <v>25740</v>
      </c>
    </row>
    <row r="3390" spans="1:2" x14ac:dyDescent="0.25">
      <c r="A3390" t="s">
        <v>5280</v>
      </c>
      <c r="B3390" t="s">
        <v>24722</v>
      </c>
    </row>
    <row r="3391" spans="1:2" x14ac:dyDescent="0.25">
      <c r="A3391" t="s">
        <v>5297</v>
      </c>
      <c r="B3391" t="s">
        <v>24746</v>
      </c>
    </row>
    <row r="3392" spans="1:2" x14ac:dyDescent="0.25">
      <c r="A3392" t="s">
        <v>11756</v>
      </c>
      <c r="B3392" t="s">
        <v>11756</v>
      </c>
    </row>
    <row r="3393" spans="1:2" x14ac:dyDescent="0.25">
      <c r="A3393" t="s">
        <v>11759</v>
      </c>
      <c r="B3393" t="s">
        <v>11759</v>
      </c>
    </row>
    <row r="3394" spans="1:2" x14ac:dyDescent="0.25">
      <c r="A3394" t="s">
        <v>11768</v>
      </c>
      <c r="B3394" t="s">
        <v>11768</v>
      </c>
    </row>
    <row r="3395" spans="1:2" x14ac:dyDescent="0.25">
      <c r="A3395" t="s">
        <v>11762</v>
      </c>
      <c r="B3395" t="s">
        <v>11762</v>
      </c>
    </row>
    <row r="3396" spans="1:2" x14ac:dyDescent="0.25">
      <c r="A3396" t="s">
        <v>11765</v>
      </c>
      <c r="B3396" t="s">
        <v>32423</v>
      </c>
    </row>
    <row r="3397" spans="1:2" x14ac:dyDescent="0.25">
      <c r="A3397" t="s">
        <v>11774</v>
      </c>
      <c r="B3397" t="s">
        <v>32435</v>
      </c>
    </row>
    <row r="3398" spans="1:2" x14ac:dyDescent="0.25">
      <c r="A3398" t="s">
        <v>7195</v>
      </c>
      <c r="B3398" t="s">
        <v>26820</v>
      </c>
    </row>
    <row r="3399" spans="1:2" x14ac:dyDescent="0.25">
      <c r="A3399" t="s">
        <v>7197</v>
      </c>
      <c r="B3399" t="s">
        <v>26821</v>
      </c>
    </row>
    <row r="3400" spans="1:2" x14ac:dyDescent="0.25">
      <c r="A3400" t="s">
        <v>7199</v>
      </c>
      <c r="B3400" t="s">
        <v>26822</v>
      </c>
    </row>
    <row r="3401" spans="1:2" x14ac:dyDescent="0.25">
      <c r="A3401" t="s">
        <v>7201</v>
      </c>
      <c r="B3401" t="s">
        <v>26823</v>
      </c>
    </row>
    <row r="3402" spans="1:2" x14ac:dyDescent="0.25">
      <c r="A3402" t="s">
        <v>7203</v>
      </c>
      <c r="B3402" t="s">
        <v>26824</v>
      </c>
    </row>
    <row r="3403" spans="1:2" x14ac:dyDescent="0.25">
      <c r="A3403" t="s">
        <v>7205</v>
      </c>
      <c r="B3403" t="s">
        <v>26825</v>
      </c>
    </row>
    <row r="3404" spans="1:2" x14ac:dyDescent="0.25">
      <c r="A3404" t="s">
        <v>7207</v>
      </c>
      <c r="B3404" t="s">
        <v>26826</v>
      </c>
    </row>
    <row r="3405" spans="1:2" x14ac:dyDescent="0.25">
      <c r="A3405" t="s">
        <v>7209</v>
      </c>
      <c r="B3405" t="s">
        <v>26827</v>
      </c>
    </row>
    <row r="3406" spans="1:2" x14ac:dyDescent="0.25">
      <c r="A3406" t="s">
        <v>7211</v>
      </c>
      <c r="B3406" t="s">
        <v>26828</v>
      </c>
    </row>
    <row r="3407" spans="1:2" x14ac:dyDescent="0.25">
      <c r="A3407" t="s">
        <v>7327</v>
      </c>
      <c r="B3407" t="s">
        <v>26913</v>
      </c>
    </row>
    <row r="3408" spans="1:2" x14ac:dyDescent="0.25">
      <c r="A3408" t="s">
        <v>7219</v>
      </c>
      <c r="B3408" t="s">
        <v>26838</v>
      </c>
    </row>
    <row r="3409" spans="1:2" x14ac:dyDescent="0.25">
      <c r="A3409" t="s">
        <v>11294</v>
      </c>
      <c r="B3409" t="s">
        <v>32147</v>
      </c>
    </row>
    <row r="3410" spans="1:2" x14ac:dyDescent="0.25">
      <c r="A3410" t="s">
        <v>11290</v>
      </c>
      <c r="B3410" t="s">
        <v>32145</v>
      </c>
    </row>
    <row r="3411" spans="1:2" x14ac:dyDescent="0.25">
      <c r="A3411" t="s">
        <v>11292</v>
      </c>
      <c r="B3411" t="s">
        <v>32146</v>
      </c>
    </row>
    <row r="3412" spans="1:2" x14ac:dyDescent="0.25">
      <c r="A3412" t="s">
        <v>11296</v>
      </c>
      <c r="B3412" t="s">
        <v>32148</v>
      </c>
    </row>
    <row r="3413" spans="1:2" x14ac:dyDescent="0.25">
      <c r="A3413" t="s">
        <v>11507</v>
      </c>
      <c r="B3413" t="s">
        <v>32255</v>
      </c>
    </row>
    <row r="3414" spans="1:2" x14ac:dyDescent="0.25">
      <c r="A3414" t="s">
        <v>11298</v>
      </c>
      <c r="B3414" t="s">
        <v>32149</v>
      </c>
    </row>
    <row r="3415" spans="1:2" x14ac:dyDescent="0.25">
      <c r="A3415" t="s">
        <v>11752</v>
      </c>
      <c r="B3415" t="s">
        <v>32410</v>
      </c>
    </row>
    <row r="3416" spans="1:2" x14ac:dyDescent="0.25">
      <c r="A3416" t="s">
        <v>11561</v>
      </c>
      <c r="B3416" t="s">
        <v>32284</v>
      </c>
    </row>
    <row r="3417" spans="1:2" x14ac:dyDescent="0.25">
      <c r="A3417" t="s">
        <v>11419</v>
      </c>
      <c r="B3417" t="s">
        <v>32211</v>
      </c>
    </row>
    <row r="3418" spans="1:2" x14ac:dyDescent="0.25">
      <c r="A3418" t="s">
        <v>11587</v>
      </c>
      <c r="B3418" t="s">
        <v>32297</v>
      </c>
    </row>
    <row r="3419" spans="1:2" x14ac:dyDescent="0.25">
      <c r="A3419" t="s">
        <v>11559</v>
      </c>
      <c r="B3419" t="s">
        <v>32283</v>
      </c>
    </row>
    <row r="3420" spans="1:2" x14ac:dyDescent="0.25">
      <c r="A3420" t="s">
        <v>11654</v>
      </c>
      <c r="B3420" t="s">
        <v>32334</v>
      </c>
    </row>
    <row r="3421" spans="1:2" x14ac:dyDescent="0.25">
      <c r="A3421" t="s">
        <v>11687</v>
      </c>
      <c r="B3421" t="s">
        <v>32365</v>
      </c>
    </row>
    <row r="3422" spans="1:2" x14ac:dyDescent="0.25">
      <c r="A3422" t="s">
        <v>11563</v>
      </c>
      <c r="B3422" t="s">
        <v>32285</v>
      </c>
    </row>
    <row r="3423" spans="1:2" x14ac:dyDescent="0.25">
      <c r="A3423" t="s">
        <v>11469</v>
      </c>
      <c r="B3423" t="s">
        <v>32236</v>
      </c>
    </row>
    <row r="3424" spans="1:2" x14ac:dyDescent="0.25">
      <c r="A3424" t="s">
        <v>11477</v>
      </c>
      <c r="B3424" t="s">
        <v>32240</v>
      </c>
    </row>
    <row r="3425" spans="1:2" x14ac:dyDescent="0.25">
      <c r="A3425" t="s">
        <v>11300</v>
      </c>
      <c r="B3425" t="s">
        <v>32150</v>
      </c>
    </row>
    <row r="3426" spans="1:2" x14ac:dyDescent="0.25">
      <c r="A3426" t="s">
        <v>11405</v>
      </c>
      <c r="B3426" t="s">
        <v>32204</v>
      </c>
    </row>
    <row r="3427" spans="1:2" x14ac:dyDescent="0.25">
      <c r="A3427" t="s">
        <v>11304</v>
      </c>
      <c r="B3427" t="s">
        <v>32152</v>
      </c>
    </row>
    <row r="3428" spans="1:2" x14ac:dyDescent="0.25">
      <c r="A3428" t="s">
        <v>11382</v>
      </c>
      <c r="B3428" t="s">
        <v>32193</v>
      </c>
    </row>
    <row r="3429" spans="1:2" x14ac:dyDescent="0.25">
      <c r="A3429" t="s">
        <v>11306</v>
      </c>
      <c r="B3429" t="s">
        <v>32153</v>
      </c>
    </row>
    <row r="3430" spans="1:2" x14ac:dyDescent="0.25">
      <c r="A3430" t="s">
        <v>11318</v>
      </c>
      <c r="B3430" t="s">
        <v>32159</v>
      </c>
    </row>
    <row r="3431" spans="1:2" x14ac:dyDescent="0.25">
      <c r="A3431" t="s">
        <v>11320</v>
      </c>
      <c r="B3431" t="s">
        <v>32160</v>
      </c>
    </row>
    <row r="3432" spans="1:2" x14ac:dyDescent="0.25">
      <c r="A3432" t="s">
        <v>11798</v>
      </c>
      <c r="B3432" t="s">
        <v>32453</v>
      </c>
    </row>
    <row r="3433" spans="1:2" x14ac:dyDescent="0.25">
      <c r="A3433" t="s">
        <v>11638</v>
      </c>
      <c r="B3433" t="s">
        <v>32326</v>
      </c>
    </row>
    <row r="3434" spans="1:2" x14ac:dyDescent="0.25">
      <c r="A3434" t="s">
        <v>11429</v>
      </c>
      <c r="B3434" t="s">
        <v>32216</v>
      </c>
    </row>
    <row r="3435" spans="1:2" x14ac:dyDescent="0.25">
      <c r="A3435" t="s">
        <v>11449</v>
      </c>
      <c r="B3435" t="s">
        <v>32226</v>
      </c>
    </row>
    <row r="3436" spans="1:2" x14ac:dyDescent="0.25">
      <c r="A3436" t="s">
        <v>11326</v>
      </c>
      <c r="B3436" t="s">
        <v>32163</v>
      </c>
    </row>
    <row r="3437" spans="1:2" x14ac:dyDescent="0.25">
      <c r="A3437" t="s">
        <v>11451</v>
      </c>
      <c r="B3437" t="s">
        <v>32227</v>
      </c>
    </row>
    <row r="3438" spans="1:2" x14ac:dyDescent="0.25">
      <c r="A3438" t="s">
        <v>11302</v>
      </c>
      <c r="B3438" t="s">
        <v>32151</v>
      </c>
    </row>
    <row r="3439" spans="1:2" x14ac:dyDescent="0.25">
      <c r="A3439" t="s">
        <v>11308</v>
      </c>
      <c r="B3439" t="s">
        <v>32154</v>
      </c>
    </row>
    <row r="3440" spans="1:2" x14ac:dyDescent="0.25">
      <c r="A3440" t="s">
        <v>11310</v>
      </c>
      <c r="B3440" t="s">
        <v>32155</v>
      </c>
    </row>
    <row r="3441" spans="1:2" x14ac:dyDescent="0.25">
      <c r="A3441" t="s">
        <v>11312</v>
      </c>
      <c r="B3441" t="s">
        <v>32156</v>
      </c>
    </row>
    <row r="3442" spans="1:2" x14ac:dyDescent="0.25">
      <c r="A3442" t="s">
        <v>11314</v>
      </c>
      <c r="B3442" t="s">
        <v>32157</v>
      </c>
    </row>
    <row r="3443" spans="1:2" x14ac:dyDescent="0.25">
      <c r="A3443" t="s">
        <v>11316</v>
      </c>
      <c r="B3443" t="s">
        <v>32158</v>
      </c>
    </row>
    <row r="3444" spans="1:2" x14ac:dyDescent="0.25">
      <c r="A3444" t="s">
        <v>11930</v>
      </c>
      <c r="B3444" t="s">
        <v>32611</v>
      </c>
    </row>
    <row r="3445" spans="1:2" x14ac:dyDescent="0.25">
      <c r="A3445" t="s">
        <v>11453</v>
      </c>
      <c r="B3445" t="s">
        <v>32228</v>
      </c>
    </row>
    <row r="3446" spans="1:2" x14ac:dyDescent="0.25">
      <c r="A3446" t="s">
        <v>11455</v>
      </c>
      <c r="B3446" t="s">
        <v>32229</v>
      </c>
    </row>
    <row r="3447" spans="1:2" x14ac:dyDescent="0.25">
      <c r="A3447" t="s">
        <v>11457</v>
      </c>
      <c r="B3447" t="s">
        <v>32230</v>
      </c>
    </row>
    <row r="3448" spans="1:2" x14ac:dyDescent="0.25">
      <c r="A3448" t="s">
        <v>11465</v>
      </c>
      <c r="B3448" t="s">
        <v>32234</v>
      </c>
    </row>
    <row r="3449" spans="1:2" x14ac:dyDescent="0.25">
      <c r="A3449" t="s">
        <v>11461</v>
      </c>
      <c r="B3449" t="s">
        <v>32232</v>
      </c>
    </row>
    <row r="3450" spans="1:2" x14ac:dyDescent="0.25">
      <c r="A3450" t="s">
        <v>11463</v>
      </c>
      <c r="B3450" t="s">
        <v>32233</v>
      </c>
    </row>
    <row r="3451" spans="1:2" x14ac:dyDescent="0.25">
      <c r="A3451" t="s">
        <v>11555</v>
      </c>
      <c r="B3451" t="s">
        <v>32281</v>
      </c>
    </row>
    <row r="3452" spans="1:2" x14ac:dyDescent="0.25">
      <c r="A3452" t="s">
        <v>11557</v>
      </c>
      <c r="B3452" t="s">
        <v>32282</v>
      </c>
    </row>
    <row r="3453" spans="1:2" x14ac:dyDescent="0.25">
      <c r="A3453" t="s">
        <v>11471</v>
      </c>
      <c r="B3453" t="s">
        <v>32237</v>
      </c>
    </row>
    <row r="3454" spans="1:2" x14ac:dyDescent="0.25">
      <c r="A3454" t="s">
        <v>11324</v>
      </c>
      <c r="B3454" t="s">
        <v>32162</v>
      </c>
    </row>
    <row r="3455" spans="1:2" x14ac:dyDescent="0.25">
      <c r="A3455" t="s">
        <v>11322</v>
      </c>
      <c r="B3455" t="s">
        <v>32161</v>
      </c>
    </row>
    <row r="3456" spans="1:2" x14ac:dyDescent="0.25">
      <c r="A3456" t="s">
        <v>11493</v>
      </c>
      <c r="B3456" t="s">
        <v>32248</v>
      </c>
    </row>
    <row r="3457" spans="1:2" x14ac:dyDescent="0.25">
      <c r="A3457" t="s">
        <v>11445</v>
      </c>
      <c r="B3457" t="s">
        <v>32224</v>
      </c>
    </row>
    <row r="3458" spans="1:2" x14ac:dyDescent="0.25">
      <c r="A3458" t="s">
        <v>11433</v>
      </c>
      <c r="B3458" t="s">
        <v>32218</v>
      </c>
    </row>
    <row r="3459" spans="1:2" x14ac:dyDescent="0.25">
      <c r="A3459" t="s">
        <v>11330</v>
      </c>
      <c r="B3459" t="s">
        <v>32165</v>
      </c>
    </row>
    <row r="3460" spans="1:2" x14ac:dyDescent="0.25">
      <c r="A3460" t="s">
        <v>11332</v>
      </c>
      <c r="B3460" t="s">
        <v>32166</v>
      </c>
    </row>
    <row r="3461" spans="1:2" x14ac:dyDescent="0.25">
      <c r="A3461" t="s">
        <v>11378</v>
      </c>
      <c r="B3461" t="s">
        <v>32191</v>
      </c>
    </row>
    <row r="3462" spans="1:2" x14ac:dyDescent="0.25">
      <c r="A3462" t="s">
        <v>11328</v>
      </c>
      <c r="B3462" t="s">
        <v>32164</v>
      </c>
    </row>
    <row r="3463" spans="1:2" x14ac:dyDescent="0.25">
      <c r="A3463" t="s">
        <v>11334</v>
      </c>
      <c r="B3463" t="s">
        <v>32167</v>
      </c>
    </row>
    <row r="3464" spans="1:2" x14ac:dyDescent="0.25">
      <c r="A3464" t="s">
        <v>11627</v>
      </c>
      <c r="B3464" t="s">
        <v>32321</v>
      </c>
    </row>
    <row r="3465" spans="1:2" x14ac:dyDescent="0.25">
      <c r="A3465" t="s">
        <v>11336</v>
      </c>
      <c r="B3465" t="s">
        <v>32168</v>
      </c>
    </row>
    <row r="3466" spans="1:2" x14ac:dyDescent="0.25">
      <c r="A3466" t="s">
        <v>11338</v>
      </c>
      <c r="B3466" t="s">
        <v>32169</v>
      </c>
    </row>
    <row r="3467" spans="1:2" x14ac:dyDescent="0.25">
      <c r="A3467" t="s">
        <v>11407</v>
      </c>
      <c r="B3467" t="s">
        <v>32205</v>
      </c>
    </row>
    <row r="3468" spans="1:2" x14ac:dyDescent="0.25">
      <c r="A3468" t="s">
        <v>11342</v>
      </c>
      <c r="B3468" t="s">
        <v>32171</v>
      </c>
    </row>
    <row r="3469" spans="1:2" x14ac:dyDescent="0.25">
      <c r="A3469" t="s">
        <v>11340</v>
      </c>
      <c r="B3469" t="s">
        <v>32170</v>
      </c>
    </row>
    <row r="3470" spans="1:2" x14ac:dyDescent="0.25">
      <c r="A3470" t="s">
        <v>11565</v>
      </c>
      <c r="B3470" t="s">
        <v>32286</v>
      </c>
    </row>
    <row r="3471" spans="1:2" x14ac:dyDescent="0.25">
      <c r="A3471" t="s">
        <v>11640</v>
      </c>
      <c r="B3471" t="s">
        <v>32327</v>
      </c>
    </row>
    <row r="3472" spans="1:2" x14ac:dyDescent="0.25">
      <c r="A3472" t="s">
        <v>11347</v>
      </c>
      <c r="B3472" t="s">
        <v>32173</v>
      </c>
    </row>
    <row r="3473" spans="1:2" x14ac:dyDescent="0.25">
      <c r="A3473" t="s">
        <v>11431</v>
      </c>
      <c r="B3473" t="s">
        <v>32217</v>
      </c>
    </row>
    <row r="3474" spans="1:2" x14ac:dyDescent="0.25">
      <c r="A3474" t="s">
        <v>11380</v>
      </c>
      <c r="B3474" t="s">
        <v>32192</v>
      </c>
    </row>
    <row r="3475" spans="1:2" x14ac:dyDescent="0.25">
      <c r="A3475" t="s">
        <v>11344</v>
      </c>
      <c r="B3475" t="s">
        <v>32172</v>
      </c>
    </row>
    <row r="3476" spans="1:2" x14ac:dyDescent="0.25">
      <c r="A3476" t="s">
        <v>11789</v>
      </c>
      <c r="B3476" t="s">
        <v>32446</v>
      </c>
    </row>
    <row r="3477" spans="1:2" x14ac:dyDescent="0.25">
      <c r="A3477" t="s">
        <v>11642</v>
      </c>
      <c r="B3477" t="s">
        <v>32328</v>
      </c>
    </row>
    <row r="3478" spans="1:2" x14ac:dyDescent="0.25">
      <c r="A3478" t="s">
        <v>11650</v>
      </c>
      <c r="B3478" t="s">
        <v>32332</v>
      </c>
    </row>
    <row r="3479" spans="1:2" x14ac:dyDescent="0.25">
      <c r="A3479" t="s">
        <v>11447</v>
      </c>
      <c r="B3479" t="s">
        <v>32225</v>
      </c>
    </row>
    <row r="3480" spans="1:2" x14ac:dyDescent="0.25">
      <c r="A3480" t="s">
        <v>11791</v>
      </c>
      <c r="B3480" t="s">
        <v>32447</v>
      </c>
    </row>
    <row r="3481" spans="1:2" x14ac:dyDescent="0.25">
      <c r="A3481" t="s">
        <v>11593</v>
      </c>
      <c r="B3481" t="s">
        <v>32300</v>
      </c>
    </row>
    <row r="3482" spans="1:2" x14ac:dyDescent="0.25">
      <c r="A3482" t="s">
        <v>11567</v>
      </c>
      <c r="B3482" t="s">
        <v>32287</v>
      </c>
    </row>
    <row r="3483" spans="1:2" x14ac:dyDescent="0.25">
      <c r="A3483" t="s">
        <v>11744</v>
      </c>
      <c r="B3483" t="s">
        <v>32406</v>
      </c>
    </row>
    <row r="3484" spans="1:2" x14ac:dyDescent="0.25">
      <c r="A3484" t="s">
        <v>11597</v>
      </c>
      <c r="B3484" t="s">
        <v>32302</v>
      </c>
    </row>
    <row r="3485" spans="1:2" x14ac:dyDescent="0.25">
      <c r="A3485" t="s">
        <v>11569</v>
      </c>
      <c r="B3485" t="s">
        <v>32288</v>
      </c>
    </row>
    <row r="3486" spans="1:2" x14ac:dyDescent="0.25">
      <c r="A3486" t="s">
        <v>11571</v>
      </c>
      <c r="B3486" t="s">
        <v>32289</v>
      </c>
    </row>
    <row r="3487" spans="1:2" x14ac:dyDescent="0.25">
      <c r="A3487" t="s">
        <v>11662</v>
      </c>
      <c r="B3487" t="s">
        <v>32338</v>
      </c>
    </row>
    <row r="3488" spans="1:2" x14ac:dyDescent="0.25">
      <c r="A3488" t="s">
        <v>11519</v>
      </c>
      <c r="B3488" t="s">
        <v>32263</v>
      </c>
    </row>
    <row r="3489" spans="1:2" x14ac:dyDescent="0.25">
      <c r="A3489" t="s">
        <v>11521</v>
      </c>
      <c r="B3489" t="s">
        <v>32264</v>
      </c>
    </row>
    <row r="3490" spans="1:2" x14ac:dyDescent="0.25">
      <c r="A3490" t="s">
        <v>11523</v>
      </c>
      <c r="B3490" t="s">
        <v>32265</v>
      </c>
    </row>
    <row r="3491" spans="1:2" x14ac:dyDescent="0.25">
      <c r="A3491" t="s">
        <v>11353</v>
      </c>
      <c r="B3491" t="s">
        <v>32176</v>
      </c>
    </row>
    <row r="3492" spans="1:2" x14ac:dyDescent="0.25">
      <c r="A3492" t="s">
        <v>11707</v>
      </c>
      <c r="B3492" t="s">
        <v>32375</v>
      </c>
    </row>
    <row r="3493" spans="1:2" x14ac:dyDescent="0.25">
      <c r="A3493" t="s">
        <v>11709</v>
      </c>
      <c r="B3493" t="s">
        <v>32376</v>
      </c>
    </row>
    <row r="3494" spans="1:2" x14ac:dyDescent="0.25">
      <c r="A3494" t="s">
        <v>11711</v>
      </c>
      <c r="B3494" t="s">
        <v>32377</v>
      </c>
    </row>
    <row r="3495" spans="1:2" x14ac:dyDescent="0.25">
      <c r="A3495" t="s">
        <v>11713</v>
      </c>
      <c r="B3495" t="s">
        <v>32378</v>
      </c>
    </row>
    <row r="3496" spans="1:2" x14ac:dyDescent="0.25">
      <c r="A3496" t="s">
        <v>11735</v>
      </c>
      <c r="B3496" t="s">
        <v>32399</v>
      </c>
    </row>
    <row r="3497" spans="1:2" x14ac:dyDescent="0.25">
      <c r="A3497" t="s">
        <v>11733</v>
      </c>
      <c r="B3497" t="s">
        <v>32398</v>
      </c>
    </row>
    <row r="3498" spans="1:2" x14ac:dyDescent="0.25">
      <c r="A3498" t="s">
        <v>11349</v>
      </c>
      <c r="B3498" t="s">
        <v>32174</v>
      </c>
    </row>
    <row r="3499" spans="1:2" x14ac:dyDescent="0.25">
      <c r="A3499" t="s">
        <v>11679</v>
      </c>
      <c r="B3499" t="s">
        <v>32361</v>
      </c>
    </row>
    <row r="3500" spans="1:2" x14ac:dyDescent="0.25">
      <c r="A3500" t="s">
        <v>11549</v>
      </c>
      <c r="B3500" t="s">
        <v>32278</v>
      </c>
    </row>
    <row r="3501" spans="1:2" x14ac:dyDescent="0.25">
      <c r="A3501" t="s">
        <v>11351</v>
      </c>
      <c r="B3501" t="s">
        <v>32175</v>
      </c>
    </row>
    <row r="3502" spans="1:2" x14ac:dyDescent="0.25">
      <c r="A3502" t="s">
        <v>11681</v>
      </c>
      <c r="B3502" t="s">
        <v>32362</v>
      </c>
    </row>
    <row r="3503" spans="1:2" x14ac:dyDescent="0.25">
      <c r="A3503" t="s">
        <v>11683</v>
      </c>
      <c r="B3503" t="s">
        <v>32363</v>
      </c>
    </row>
    <row r="3504" spans="1:2" x14ac:dyDescent="0.25">
      <c r="A3504" t="s">
        <v>11685</v>
      </c>
      <c r="B3504" t="s">
        <v>32364</v>
      </c>
    </row>
    <row r="3505" spans="1:2" x14ac:dyDescent="0.25">
      <c r="A3505" t="s">
        <v>11355</v>
      </c>
      <c r="B3505" t="s">
        <v>32177</v>
      </c>
    </row>
    <row r="3506" spans="1:2" x14ac:dyDescent="0.25">
      <c r="A3506" t="s">
        <v>11357</v>
      </c>
      <c r="B3506" t="s">
        <v>32178</v>
      </c>
    </row>
    <row r="3507" spans="1:2" x14ac:dyDescent="0.25">
      <c r="A3507" t="s">
        <v>11689</v>
      </c>
      <c r="B3507" t="s">
        <v>32366</v>
      </c>
    </row>
    <row r="3508" spans="1:2" x14ac:dyDescent="0.25">
      <c r="A3508" t="s">
        <v>11361</v>
      </c>
      <c r="B3508" t="s">
        <v>32180</v>
      </c>
    </row>
    <row r="3509" spans="1:2" x14ac:dyDescent="0.25">
      <c r="A3509" t="s">
        <v>11359</v>
      </c>
      <c r="B3509" t="s">
        <v>32179</v>
      </c>
    </row>
    <row r="3510" spans="1:2" x14ac:dyDescent="0.25">
      <c r="A3510" t="s">
        <v>11363</v>
      </c>
      <c r="B3510" t="s">
        <v>32181</v>
      </c>
    </row>
    <row r="3511" spans="1:2" x14ac:dyDescent="0.25">
      <c r="A3511" t="s">
        <v>11367</v>
      </c>
      <c r="B3511" t="s">
        <v>32183</v>
      </c>
    </row>
    <row r="3512" spans="1:2" x14ac:dyDescent="0.25">
      <c r="A3512" t="s">
        <v>11365</v>
      </c>
      <c r="B3512" t="s">
        <v>32182</v>
      </c>
    </row>
    <row r="3513" spans="1:2" x14ac:dyDescent="0.25">
      <c r="A3513" t="s">
        <v>11369</v>
      </c>
      <c r="B3513" t="s">
        <v>32184</v>
      </c>
    </row>
    <row r="3514" spans="1:2" x14ac:dyDescent="0.25">
      <c r="A3514" t="s">
        <v>11371</v>
      </c>
      <c r="B3514" t="s">
        <v>32185</v>
      </c>
    </row>
    <row r="3515" spans="1:2" x14ac:dyDescent="0.25">
      <c r="A3515" t="s">
        <v>11373</v>
      </c>
      <c r="B3515" t="s">
        <v>32186</v>
      </c>
    </row>
    <row r="3516" spans="1:2" x14ac:dyDescent="0.25">
      <c r="A3516" t="s">
        <v>11384</v>
      </c>
      <c r="B3516" t="s">
        <v>32194</v>
      </c>
    </row>
    <row r="3517" spans="1:2" x14ac:dyDescent="0.25">
      <c r="A3517" t="s">
        <v>11386</v>
      </c>
      <c r="B3517" t="s">
        <v>32195</v>
      </c>
    </row>
    <row r="3518" spans="1:2" x14ac:dyDescent="0.25">
      <c r="A3518" t="s">
        <v>11391</v>
      </c>
      <c r="B3518" t="s">
        <v>32197</v>
      </c>
    </row>
    <row r="3519" spans="1:2" x14ac:dyDescent="0.25">
      <c r="A3519" t="s">
        <v>11393</v>
      </c>
      <c r="B3519" t="s">
        <v>32198</v>
      </c>
    </row>
    <row r="3520" spans="1:2" x14ac:dyDescent="0.25">
      <c r="A3520" t="s">
        <v>11395</v>
      </c>
      <c r="B3520" t="s">
        <v>32199</v>
      </c>
    </row>
    <row r="3521" spans="1:2" x14ac:dyDescent="0.25">
      <c r="A3521" t="s">
        <v>11401</v>
      </c>
      <c r="B3521" t="s">
        <v>32202</v>
      </c>
    </row>
    <row r="3522" spans="1:2" x14ac:dyDescent="0.25">
      <c r="A3522" t="s">
        <v>11399</v>
      </c>
      <c r="B3522" t="s">
        <v>32201</v>
      </c>
    </row>
    <row r="3523" spans="1:2" x14ac:dyDescent="0.25">
      <c r="A3523" t="s">
        <v>11415</v>
      </c>
      <c r="B3523" t="s">
        <v>32209</v>
      </c>
    </row>
    <row r="3524" spans="1:2" x14ac:dyDescent="0.25">
      <c r="A3524" t="s">
        <v>11417</v>
      </c>
      <c r="B3524" t="s">
        <v>32210</v>
      </c>
    </row>
    <row r="3525" spans="1:2" x14ac:dyDescent="0.25">
      <c r="A3525" t="s">
        <v>11427</v>
      </c>
      <c r="B3525" t="s">
        <v>32215</v>
      </c>
    </row>
    <row r="3526" spans="1:2" x14ac:dyDescent="0.25">
      <c r="A3526" t="s">
        <v>11425</v>
      </c>
      <c r="B3526" t="s">
        <v>32214</v>
      </c>
    </row>
    <row r="3527" spans="1:2" x14ac:dyDescent="0.25">
      <c r="A3527" t="s">
        <v>11403</v>
      </c>
      <c r="B3527" t="s">
        <v>32203</v>
      </c>
    </row>
    <row r="3528" spans="1:2" x14ac:dyDescent="0.25">
      <c r="A3528" t="s">
        <v>11510</v>
      </c>
      <c r="B3528" t="s">
        <v>32259</v>
      </c>
    </row>
    <row r="3529" spans="1:2" x14ac:dyDescent="0.25">
      <c r="A3529" t="s">
        <v>11421</v>
      </c>
      <c r="B3529" t="s">
        <v>32212</v>
      </c>
    </row>
    <row r="3530" spans="1:2" x14ac:dyDescent="0.25">
      <c r="A3530" t="s">
        <v>11423</v>
      </c>
      <c r="B3530" t="s">
        <v>32213</v>
      </c>
    </row>
    <row r="3531" spans="1:2" x14ac:dyDescent="0.25">
      <c r="A3531" t="s">
        <v>11514</v>
      </c>
      <c r="B3531" t="s">
        <v>32261</v>
      </c>
    </row>
    <row r="3532" spans="1:2" x14ac:dyDescent="0.25">
      <c r="A3532" t="s">
        <v>11409</v>
      </c>
      <c r="B3532" t="s">
        <v>32206</v>
      </c>
    </row>
    <row r="3533" spans="1:2" x14ac:dyDescent="0.25">
      <c r="A3533" t="s">
        <v>11697</v>
      </c>
      <c r="B3533" t="s">
        <v>32370</v>
      </c>
    </row>
    <row r="3534" spans="1:2" x14ac:dyDescent="0.25">
      <c r="A3534" t="s">
        <v>11691</v>
      </c>
      <c r="B3534" t="s">
        <v>32367</v>
      </c>
    </row>
    <row r="3535" spans="1:2" x14ac:dyDescent="0.25">
      <c r="A3535" t="s">
        <v>11459</v>
      </c>
      <c r="B3535" t="s">
        <v>32231</v>
      </c>
    </row>
    <row r="3536" spans="1:2" x14ac:dyDescent="0.25">
      <c r="A3536" t="s">
        <v>11699</v>
      </c>
      <c r="B3536" t="s">
        <v>32371</v>
      </c>
    </row>
    <row r="3537" spans="1:2" x14ac:dyDescent="0.25">
      <c r="A3537" t="s">
        <v>11701</v>
      </c>
      <c r="B3537" t="s">
        <v>32372</v>
      </c>
    </row>
    <row r="3538" spans="1:2" x14ac:dyDescent="0.25">
      <c r="A3538" t="s">
        <v>11703</v>
      </c>
      <c r="B3538" t="s">
        <v>32373</v>
      </c>
    </row>
    <row r="3539" spans="1:2" x14ac:dyDescent="0.25">
      <c r="A3539" t="s">
        <v>11437</v>
      </c>
      <c r="B3539" t="s">
        <v>32220</v>
      </c>
    </row>
    <row r="3540" spans="1:2" x14ac:dyDescent="0.25">
      <c r="A3540" t="s">
        <v>11439</v>
      </c>
      <c r="B3540" t="s">
        <v>32221</v>
      </c>
    </row>
    <row r="3541" spans="1:2" x14ac:dyDescent="0.25">
      <c r="A3541" t="s">
        <v>11441</v>
      </c>
      <c r="B3541" t="s">
        <v>32222</v>
      </c>
    </row>
    <row r="3542" spans="1:2" x14ac:dyDescent="0.25">
      <c r="A3542" t="s">
        <v>11443</v>
      </c>
      <c r="B3542" t="s">
        <v>32223</v>
      </c>
    </row>
    <row r="3543" spans="1:2" x14ac:dyDescent="0.25">
      <c r="A3543" t="s">
        <v>11512</v>
      </c>
      <c r="B3543" t="s">
        <v>32260</v>
      </c>
    </row>
    <row r="3544" spans="1:2" x14ac:dyDescent="0.25">
      <c r="A3544" t="s">
        <v>11467</v>
      </c>
      <c r="B3544" t="s">
        <v>32235</v>
      </c>
    </row>
    <row r="3545" spans="1:2" x14ac:dyDescent="0.25">
      <c r="A3545" t="s">
        <v>11475</v>
      </c>
      <c r="B3545" t="s">
        <v>32239</v>
      </c>
    </row>
    <row r="3546" spans="1:2" x14ac:dyDescent="0.25">
      <c r="A3546" t="s">
        <v>11435</v>
      </c>
      <c r="B3546" t="s">
        <v>32219</v>
      </c>
    </row>
    <row r="3547" spans="1:2" x14ac:dyDescent="0.25">
      <c r="A3547" t="s">
        <v>11479</v>
      </c>
      <c r="B3547" t="s">
        <v>32241</v>
      </c>
    </row>
    <row r="3548" spans="1:2" x14ac:dyDescent="0.25">
      <c r="A3548" t="s">
        <v>11473</v>
      </c>
      <c r="B3548" t="s">
        <v>32238</v>
      </c>
    </row>
    <row r="3549" spans="1:2" x14ac:dyDescent="0.25">
      <c r="A3549" t="s">
        <v>11485</v>
      </c>
      <c r="B3549" t="s">
        <v>32244</v>
      </c>
    </row>
    <row r="3550" spans="1:2" x14ac:dyDescent="0.25">
      <c r="A3550" t="s">
        <v>11740</v>
      </c>
      <c r="B3550" t="s">
        <v>32404</v>
      </c>
    </row>
    <row r="3551" spans="1:2" x14ac:dyDescent="0.25">
      <c r="A3551" t="s">
        <v>11840</v>
      </c>
      <c r="B3551" t="s">
        <v>32501</v>
      </c>
    </row>
    <row r="3552" spans="1:2" x14ac:dyDescent="0.25">
      <c r="A3552" t="s">
        <v>11481</v>
      </c>
      <c r="B3552" t="s">
        <v>32242</v>
      </c>
    </row>
    <row r="3553" spans="1:2" x14ac:dyDescent="0.25">
      <c r="A3553" t="s">
        <v>11483</v>
      </c>
      <c r="B3553" t="s">
        <v>32243</v>
      </c>
    </row>
    <row r="3554" spans="1:2" x14ac:dyDescent="0.25">
      <c r="A3554" t="s">
        <v>11489</v>
      </c>
      <c r="B3554" t="s">
        <v>32246</v>
      </c>
    </row>
    <row r="3555" spans="1:2" x14ac:dyDescent="0.25">
      <c r="A3555" t="s">
        <v>11491</v>
      </c>
      <c r="B3555" t="s">
        <v>32247</v>
      </c>
    </row>
    <row r="3556" spans="1:2" x14ac:dyDescent="0.25">
      <c r="A3556" t="s">
        <v>11487</v>
      </c>
      <c r="B3556" t="s">
        <v>32245</v>
      </c>
    </row>
    <row r="3557" spans="1:2" x14ac:dyDescent="0.25">
      <c r="A3557" t="s">
        <v>11501</v>
      </c>
      <c r="B3557" t="s">
        <v>32252</v>
      </c>
    </row>
    <row r="3558" spans="1:2" x14ac:dyDescent="0.25">
      <c r="A3558" t="s">
        <v>11503</v>
      </c>
      <c r="B3558" t="s">
        <v>32253</v>
      </c>
    </row>
    <row r="3559" spans="1:2" x14ac:dyDescent="0.25">
      <c r="A3559" t="s">
        <v>11499</v>
      </c>
      <c r="B3559" t="s">
        <v>32251</v>
      </c>
    </row>
    <row r="3560" spans="1:2" x14ac:dyDescent="0.25">
      <c r="A3560" t="s">
        <v>11495</v>
      </c>
      <c r="B3560" t="s">
        <v>32249</v>
      </c>
    </row>
    <row r="3561" spans="1:2" x14ac:dyDescent="0.25">
      <c r="A3561" t="s">
        <v>11497</v>
      </c>
      <c r="B3561" t="s">
        <v>32250</v>
      </c>
    </row>
    <row r="3562" spans="1:2" x14ac:dyDescent="0.25">
      <c r="A3562" t="s">
        <v>11525</v>
      </c>
      <c r="B3562" t="s">
        <v>32266</v>
      </c>
    </row>
    <row r="3563" spans="1:2" x14ac:dyDescent="0.25">
      <c r="A3563" t="s">
        <v>11742</v>
      </c>
      <c r="B3563" t="s">
        <v>32405</v>
      </c>
    </row>
    <row r="3564" spans="1:2" x14ac:dyDescent="0.25">
      <c r="A3564" t="s">
        <v>11505</v>
      </c>
      <c r="B3564" t="s">
        <v>32254</v>
      </c>
    </row>
    <row r="3565" spans="1:2" x14ac:dyDescent="0.25">
      <c r="A3565" t="s">
        <v>11746</v>
      </c>
      <c r="B3565" t="s">
        <v>32407</v>
      </c>
    </row>
    <row r="3566" spans="1:2" x14ac:dyDescent="0.25">
      <c r="A3566" t="s">
        <v>11748</v>
      </c>
      <c r="B3566" t="s">
        <v>32408</v>
      </c>
    </row>
    <row r="3567" spans="1:2" x14ac:dyDescent="0.25">
      <c r="A3567" t="s">
        <v>11750</v>
      </c>
      <c r="B3567" t="s">
        <v>32409</v>
      </c>
    </row>
    <row r="3568" spans="1:2" x14ac:dyDescent="0.25">
      <c r="A3568" t="s">
        <v>5126</v>
      </c>
      <c r="B3568" t="s">
        <v>24528</v>
      </c>
    </row>
    <row r="3569" spans="1:2" x14ac:dyDescent="0.25">
      <c r="A3569" t="s">
        <v>11754</v>
      </c>
      <c r="B3569" t="s">
        <v>32411</v>
      </c>
    </row>
    <row r="3570" spans="1:2" x14ac:dyDescent="0.25">
      <c r="A3570" t="s">
        <v>11527</v>
      </c>
      <c r="B3570" t="s">
        <v>32267</v>
      </c>
    </row>
    <row r="3571" spans="1:2" x14ac:dyDescent="0.25">
      <c r="A3571" t="s">
        <v>11529</v>
      </c>
      <c r="B3571" t="s">
        <v>32268</v>
      </c>
    </row>
    <row r="3572" spans="1:2" x14ac:dyDescent="0.25">
      <c r="A3572" t="s">
        <v>11516</v>
      </c>
      <c r="B3572" t="s">
        <v>32262</v>
      </c>
    </row>
    <row r="3573" spans="1:2" x14ac:dyDescent="0.25">
      <c r="A3573" t="s">
        <v>11531</v>
      </c>
      <c r="B3573" t="s">
        <v>32269</v>
      </c>
    </row>
    <row r="3574" spans="1:2" x14ac:dyDescent="0.25">
      <c r="A3574" t="s">
        <v>11771</v>
      </c>
      <c r="B3574" t="s">
        <v>32431</v>
      </c>
    </row>
    <row r="3575" spans="1:2" x14ac:dyDescent="0.25">
      <c r="A3575" t="s">
        <v>11777</v>
      </c>
      <c r="B3575" t="s">
        <v>32440</v>
      </c>
    </row>
    <row r="3576" spans="1:2" x14ac:dyDescent="0.25">
      <c r="A3576" t="s">
        <v>11779</v>
      </c>
      <c r="B3576" t="s">
        <v>32441</v>
      </c>
    </row>
    <row r="3577" spans="1:2" x14ac:dyDescent="0.25">
      <c r="A3577" t="s">
        <v>11781</v>
      </c>
      <c r="B3577" t="s">
        <v>32442</v>
      </c>
    </row>
    <row r="3578" spans="1:2" x14ac:dyDescent="0.25">
      <c r="A3578" t="s">
        <v>11783</v>
      </c>
      <c r="B3578" t="s">
        <v>32443</v>
      </c>
    </row>
    <row r="3579" spans="1:2" x14ac:dyDescent="0.25">
      <c r="A3579" t="s">
        <v>11785</v>
      </c>
      <c r="B3579" t="s">
        <v>32444</v>
      </c>
    </row>
    <row r="3580" spans="1:2" x14ac:dyDescent="0.25">
      <c r="A3580" t="s">
        <v>11535</v>
      </c>
      <c r="B3580" t="s">
        <v>32271</v>
      </c>
    </row>
    <row r="3581" spans="1:2" x14ac:dyDescent="0.25">
      <c r="A3581" t="s">
        <v>11693</v>
      </c>
      <c r="B3581" t="s">
        <v>32368</v>
      </c>
    </row>
    <row r="3582" spans="1:2" x14ac:dyDescent="0.25">
      <c r="A3582" t="s">
        <v>11787</v>
      </c>
      <c r="B3582" t="s">
        <v>32445</v>
      </c>
    </row>
    <row r="3583" spans="1:2" x14ac:dyDescent="0.25">
      <c r="A3583" t="s">
        <v>11793</v>
      </c>
      <c r="B3583" t="s">
        <v>32448</v>
      </c>
    </row>
    <row r="3584" spans="1:2" x14ac:dyDescent="0.25">
      <c r="A3584" t="s">
        <v>11545</v>
      </c>
      <c r="B3584" t="s">
        <v>32276</v>
      </c>
    </row>
    <row r="3585" spans="1:2" x14ac:dyDescent="0.25">
      <c r="A3585" t="s">
        <v>11543</v>
      </c>
      <c r="B3585" t="s">
        <v>32275</v>
      </c>
    </row>
    <row r="3586" spans="1:2" x14ac:dyDescent="0.25">
      <c r="A3586" t="s">
        <v>11537</v>
      </c>
      <c r="B3586" t="s">
        <v>32272</v>
      </c>
    </row>
    <row r="3587" spans="1:2" x14ac:dyDescent="0.25">
      <c r="A3587" t="s">
        <v>11539</v>
      </c>
      <c r="B3587" t="s">
        <v>32273</v>
      </c>
    </row>
    <row r="3588" spans="1:2" x14ac:dyDescent="0.25">
      <c r="A3588" t="s">
        <v>11541</v>
      </c>
      <c r="B3588" t="s">
        <v>32274</v>
      </c>
    </row>
    <row r="3589" spans="1:2" x14ac:dyDescent="0.25">
      <c r="A3589" t="s">
        <v>11533</v>
      </c>
      <c r="B3589" t="s">
        <v>32270</v>
      </c>
    </row>
    <row r="3590" spans="1:2" x14ac:dyDescent="0.25">
      <c r="A3590" t="s">
        <v>11547</v>
      </c>
      <c r="B3590" t="s">
        <v>32277</v>
      </c>
    </row>
    <row r="3591" spans="1:2" x14ac:dyDescent="0.25">
      <c r="A3591" t="s">
        <v>11553</v>
      </c>
      <c r="B3591" t="s">
        <v>32280</v>
      </c>
    </row>
    <row r="3592" spans="1:2" x14ac:dyDescent="0.25">
      <c r="A3592" t="s">
        <v>11551</v>
      </c>
      <c r="B3592" t="s">
        <v>32279</v>
      </c>
    </row>
    <row r="3593" spans="1:2" x14ac:dyDescent="0.25">
      <c r="A3593" t="s">
        <v>11411</v>
      </c>
      <c r="B3593" t="s">
        <v>32207</v>
      </c>
    </row>
    <row r="3594" spans="1:2" x14ac:dyDescent="0.25">
      <c r="A3594" t="s">
        <v>11413</v>
      </c>
      <c r="B3594" t="s">
        <v>32208</v>
      </c>
    </row>
    <row r="3595" spans="1:2" x14ac:dyDescent="0.25">
      <c r="A3595" t="s">
        <v>11695</v>
      </c>
      <c r="B3595" t="s">
        <v>32369</v>
      </c>
    </row>
    <row r="3596" spans="1:2" x14ac:dyDescent="0.25">
      <c r="A3596" t="s">
        <v>11397</v>
      </c>
      <c r="B3596" t="s">
        <v>32200</v>
      </c>
    </row>
    <row r="3597" spans="1:2" x14ac:dyDescent="0.25">
      <c r="A3597" t="s">
        <v>11705</v>
      </c>
      <c r="B3597" t="s">
        <v>32374</v>
      </c>
    </row>
    <row r="3598" spans="1:2" x14ac:dyDescent="0.25">
      <c r="A3598" t="s">
        <v>11607</v>
      </c>
      <c r="B3598" t="s">
        <v>32311</v>
      </c>
    </row>
    <row r="3599" spans="1:2" x14ac:dyDescent="0.25">
      <c r="A3599" t="s">
        <v>11803</v>
      </c>
      <c r="B3599" t="s">
        <v>32458</v>
      </c>
    </row>
    <row r="3600" spans="1:2" x14ac:dyDescent="0.25">
      <c r="A3600" t="s">
        <v>11575</v>
      </c>
      <c r="B3600" t="s">
        <v>32291</v>
      </c>
    </row>
    <row r="3601" spans="1:2" x14ac:dyDescent="0.25">
      <c r="A3601" t="s">
        <v>11577</v>
      </c>
      <c r="B3601" t="s">
        <v>32292</v>
      </c>
    </row>
    <row r="3602" spans="1:2" x14ac:dyDescent="0.25">
      <c r="A3602" t="s">
        <v>11581</v>
      </c>
      <c r="B3602" t="s">
        <v>32294</v>
      </c>
    </row>
    <row r="3603" spans="1:2" x14ac:dyDescent="0.25">
      <c r="A3603" t="s">
        <v>11579</v>
      </c>
      <c r="B3603" t="s">
        <v>32293</v>
      </c>
    </row>
    <row r="3604" spans="1:2" x14ac:dyDescent="0.25">
      <c r="A3604" t="s">
        <v>11583</v>
      </c>
      <c r="B3604" t="s">
        <v>32295</v>
      </c>
    </row>
    <row r="3605" spans="1:2" x14ac:dyDescent="0.25">
      <c r="A3605" t="s">
        <v>11585</v>
      </c>
      <c r="B3605" t="s">
        <v>32296</v>
      </c>
    </row>
    <row r="3606" spans="1:2" x14ac:dyDescent="0.25">
      <c r="A3606" t="s">
        <v>11589</v>
      </c>
      <c r="B3606" t="s">
        <v>32298</v>
      </c>
    </row>
    <row r="3607" spans="1:2" x14ac:dyDescent="0.25">
      <c r="A3607" t="s">
        <v>11591</v>
      </c>
      <c r="B3607" t="s">
        <v>32299</v>
      </c>
    </row>
    <row r="3608" spans="1:2" x14ac:dyDescent="0.25">
      <c r="A3608" t="s">
        <v>11595</v>
      </c>
      <c r="B3608" t="s">
        <v>32301</v>
      </c>
    </row>
    <row r="3609" spans="1:2" x14ac:dyDescent="0.25">
      <c r="A3609" t="s">
        <v>11601</v>
      </c>
      <c r="B3609" t="s">
        <v>32304</v>
      </c>
    </row>
    <row r="3610" spans="1:2" x14ac:dyDescent="0.25">
      <c r="A3610" t="s">
        <v>11603</v>
      </c>
      <c r="B3610" t="s">
        <v>32305</v>
      </c>
    </row>
    <row r="3611" spans="1:2" x14ac:dyDescent="0.25">
      <c r="A3611" t="s">
        <v>11605</v>
      </c>
      <c r="B3611" t="s">
        <v>32306</v>
      </c>
    </row>
    <row r="3612" spans="1:2" x14ac:dyDescent="0.25">
      <c r="A3612" t="s">
        <v>11805</v>
      </c>
      <c r="B3612" t="s">
        <v>32459</v>
      </c>
    </row>
    <row r="3613" spans="1:2" x14ac:dyDescent="0.25">
      <c r="A3613" t="s">
        <v>11807</v>
      </c>
      <c r="B3613" t="s">
        <v>32460</v>
      </c>
    </row>
    <row r="3614" spans="1:2" x14ac:dyDescent="0.25">
      <c r="A3614" t="s">
        <v>11809</v>
      </c>
      <c r="B3614" t="s">
        <v>32461</v>
      </c>
    </row>
    <row r="3615" spans="1:2" x14ac:dyDescent="0.25">
      <c r="A3615" t="s">
        <v>11599</v>
      </c>
      <c r="B3615" t="s">
        <v>32303</v>
      </c>
    </row>
    <row r="3616" spans="1:2" x14ac:dyDescent="0.25">
      <c r="A3616" t="s">
        <v>11573</v>
      </c>
      <c r="B3616" t="s">
        <v>32290</v>
      </c>
    </row>
    <row r="3617" spans="1:2" x14ac:dyDescent="0.25">
      <c r="A3617" t="s">
        <v>11609</v>
      </c>
      <c r="B3617" t="s">
        <v>32312</v>
      </c>
    </row>
    <row r="3618" spans="1:2" x14ac:dyDescent="0.25">
      <c r="A3618" t="s">
        <v>11838</v>
      </c>
      <c r="B3618" t="s">
        <v>32500</v>
      </c>
    </row>
    <row r="3619" spans="1:2" x14ac:dyDescent="0.25">
      <c r="A3619" t="s">
        <v>11842</v>
      </c>
      <c r="B3619" t="s">
        <v>32502</v>
      </c>
    </row>
    <row r="3620" spans="1:2" x14ac:dyDescent="0.25">
      <c r="A3620" t="s">
        <v>11611</v>
      </c>
      <c r="B3620" t="s">
        <v>32313</v>
      </c>
    </row>
    <row r="3621" spans="1:2" x14ac:dyDescent="0.25">
      <c r="A3621" t="s">
        <v>11847</v>
      </c>
      <c r="B3621" t="s">
        <v>32508</v>
      </c>
    </row>
    <row r="3622" spans="1:2" x14ac:dyDescent="0.25">
      <c r="A3622" t="s">
        <v>11619</v>
      </c>
      <c r="B3622" t="s">
        <v>32317</v>
      </c>
    </row>
    <row r="3623" spans="1:2" x14ac:dyDescent="0.25">
      <c r="A3623" t="s">
        <v>11615</v>
      </c>
      <c r="B3623" t="s">
        <v>32315</v>
      </c>
    </row>
    <row r="3624" spans="1:2" x14ac:dyDescent="0.25">
      <c r="A3624" t="s">
        <v>11617</v>
      </c>
      <c r="B3624" t="s">
        <v>32316</v>
      </c>
    </row>
    <row r="3625" spans="1:2" x14ac:dyDescent="0.25">
      <c r="A3625" t="s">
        <v>11613</v>
      </c>
      <c r="B3625" t="s">
        <v>32314</v>
      </c>
    </row>
    <row r="3626" spans="1:2" x14ac:dyDescent="0.25">
      <c r="A3626" t="s">
        <v>11855</v>
      </c>
      <c r="B3626" t="s">
        <v>32518</v>
      </c>
    </row>
    <row r="3627" spans="1:2" x14ac:dyDescent="0.25">
      <c r="A3627" t="s">
        <v>11621</v>
      </c>
      <c r="B3627" t="s">
        <v>32318</v>
      </c>
    </row>
    <row r="3628" spans="1:2" x14ac:dyDescent="0.25">
      <c r="A3628" t="s">
        <v>11623</v>
      </c>
      <c r="B3628" t="s">
        <v>32319</v>
      </c>
    </row>
    <row r="3629" spans="1:2" x14ac:dyDescent="0.25">
      <c r="A3629" t="s">
        <v>11625</v>
      </c>
      <c r="B3629" t="s">
        <v>32320</v>
      </c>
    </row>
    <row r="3630" spans="1:2" x14ac:dyDescent="0.25">
      <c r="A3630" t="s">
        <v>11629</v>
      </c>
      <c r="B3630" t="s">
        <v>32322</v>
      </c>
    </row>
    <row r="3631" spans="1:2" x14ac:dyDescent="0.25">
      <c r="A3631" t="s">
        <v>11631</v>
      </c>
      <c r="B3631" t="s">
        <v>32323</v>
      </c>
    </row>
    <row r="3632" spans="1:2" x14ac:dyDescent="0.25">
      <c r="A3632" t="s">
        <v>11634</v>
      </c>
      <c r="B3632" t="s">
        <v>32324</v>
      </c>
    </row>
    <row r="3633" spans="1:2" x14ac:dyDescent="0.25">
      <c r="A3633" t="s">
        <v>11636</v>
      </c>
      <c r="B3633" t="s">
        <v>32325</v>
      </c>
    </row>
    <row r="3634" spans="1:2" x14ac:dyDescent="0.25">
      <c r="A3634" t="s">
        <v>11924</v>
      </c>
      <c r="B3634" t="s">
        <v>32608</v>
      </c>
    </row>
    <row r="3635" spans="1:2" x14ac:dyDescent="0.25">
      <c r="A3635" t="s">
        <v>11926</v>
      </c>
      <c r="B3635" t="s">
        <v>32609</v>
      </c>
    </row>
    <row r="3636" spans="1:2" x14ac:dyDescent="0.25">
      <c r="A3636" t="s">
        <v>11928</v>
      </c>
      <c r="B3636" t="s">
        <v>32610</v>
      </c>
    </row>
    <row r="3637" spans="1:2" x14ac:dyDescent="0.25">
      <c r="A3637" t="s">
        <v>11644</v>
      </c>
      <c r="B3637" t="s">
        <v>32329</v>
      </c>
    </row>
    <row r="3638" spans="1:2" x14ac:dyDescent="0.25">
      <c r="A3638" t="s">
        <v>11646</v>
      </c>
      <c r="B3638" t="s">
        <v>32330</v>
      </c>
    </row>
    <row r="3639" spans="1:2" x14ac:dyDescent="0.25">
      <c r="A3639" t="s">
        <v>11658</v>
      </c>
      <c r="B3639" t="s">
        <v>32336</v>
      </c>
    </row>
    <row r="3640" spans="1:2" x14ac:dyDescent="0.25">
      <c r="A3640" t="s">
        <v>11656</v>
      </c>
      <c r="B3640" t="s">
        <v>32335</v>
      </c>
    </row>
    <row r="3641" spans="1:2" x14ac:dyDescent="0.25">
      <c r="A3641" t="s">
        <v>11660</v>
      </c>
      <c r="B3641" t="s">
        <v>32337</v>
      </c>
    </row>
    <row r="3642" spans="1:2" x14ac:dyDescent="0.25">
      <c r="A3642" t="s">
        <v>11648</v>
      </c>
      <c r="B3642" t="s">
        <v>32331</v>
      </c>
    </row>
    <row r="3643" spans="1:2" x14ac:dyDescent="0.25">
      <c r="A3643" t="s">
        <v>11652</v>
      </c>
      <c r="B3643" t="s">
        <v>32333</v>
      </c>
    </row>
    <row r="3644" spans="1:2" x14ac:dyDescent="0.25">
      <c r="A3644" t="s">
        <v>11932</v>
      </c>
      <c r="B3644" t="s">
        <v>32612</v>
      </c>
    </row>
    <row r="3645" spans="1:2" x14ac:dyDescent="0.25">
      <c r="A3645" t="s">
        <v>11934</v>
      </c>
      <c r="B3645" t="s">
        <v>32613</v>
      </c>
    </row>
    <row r="3646" spans="1:2" x14ac:dyDescent="0.25">
      <c r="A3646" t="s">
        <v>7221</v>
      </c>
      <c r="B3646" t="s">
        <v>26839</v>
      </c>
    </row>
    <row r="3647" spans="1:2" x14ac:dyDescent="0.25">
      <c r="A3647" t="s">
        <v>7223</v>
      </c>
      <c r="B3647" t="s">
        <v>26840</v>
      </c>
    </row>
    <row r="3648" spans="1:2" x14ac:dyDescent="0.25">
      <c r="A3648" t="s">
        <v>7225</v>
      </c>
      <c r="B3648" t="s">
        <v>26841</v>
      </c>
    </row>
    <row r="3649" spans="1:2" x14ac:dyDescent="0.25">
      <c r="A3649" t="s">
        <v>4854</v>
      </c>
      <c r="B3649" t="s">
        <v>24305</v>
      </c>
    </row>
    <row r="3650" spans="1:2" x14ac:dyDescent="0.25">
      <c r="A3650" t="s">
        <v>5722</v>
      </c>
      <c r="B3650" t="s">
        <v>25151</v>
      </c>
    </row>
    <row r="3651" spans="1:2" x14ac:dyDescent="0.25">
      <c r="A3651" t="s">
        <v>7936</v>
      </c>
      <c r="B3651" t="s">
        <v>27639</v>
      </c>
    </row>
    <row r="3652" spans="1:2" x14ac:dyDescent="0.25">
      <c r="A3652" t="s">
        <v>11795</v>
      </c>
      <c r="B3652" t="s">
        <v>32449</v>
      </c>
    </row>
    <row r="3653" spans="1:2" x14ac:dyDescent="0.25">
      <c r="A3653" t="s">
        <v>11800</v>
      </c>
      <c r="B3653" t="s">
        <v>11800</v>
      </c>
    </row>
    <row r="3654" spans="1:2" x14ac:dyDescent="0.25">
      <c r="A3654" t="s">
        <v>7233</v>
      </c>
      <c r="B3654" t="s">
        <v>26845</v>
      </c>
    </row>
    <row r="3655" spans="1:2" x14ac:dyDescent="0.25">
      <c r="A3655" t="s">
        <v>7227</v>
      </c>
      <c r="B3655" t="s">
        <v>26842</v>
      </c>
    </row>
    <row r="3656" spans="1:2" x14ac:dyDescent="0.25">
      <c r="A3656" t="s">
        <v>7229</v>
      </c>
      <c r="B3656" t="s">
        <v>26843</v>
      </c>
    </row>
    <row r="3657" spans="1:2" x14ac:dyDescent="0.25">
      <c r="A3657" t="s">
        <v>7231</v>
      </c>
      <c r="B3657" t="s">
        <v>26844</v>
      </c>
    </row>
    <row r="3658" spans="1:2" x14ac:dyDescent="0.25">
      <c r="A3658" t="s">
        <v>7243</v>
      </c>
      <c r="B3658" t="s">
        <v>26850</v>
      </c>
    </row>
    <row r="3659" spans="1:2" x14ac:dyDescent="0.25">
      <c r="A3659" t="s">
        <v>7235</v>
      </c>
      <c r="B3659" t="s">
        <v>26846</v>
      </c>
    </row>
    <row r="3660" spans="1:2" x14ac:dyDescent="0.25">
      <c r="A3660" t="s">
        <v>7237</v>
      </c>
      <c r="B3660" t="s">
        <v>26847</v>
      </c>
    </row>
    <row r="3661" spans="1:2" x14ac:dyDescent="0.25">
      <c r="A3661" t="s">
        <v>7239</v>
      </c>
      <c r="B3661" t="s">
        <v>26848</v>
      </c>
    </row>
    <row r="3662" spans="1:2" x14ac:dyDescent="0.25">
      <c r="A3662" t="s">
        <v>7241</v>
      </c>
      <c r="B3662" t="s">
        <v>26849</v>
      </c>
    </row>
    <row r="3663" spans="1:2" x14ac:dyDescent="0.25">
      <c r="A3663" t="s">
        <v>7269</v>
      </c>
      <c r="B3663" t="s">
        <v>26866</v>
      </c>
    </row>
    <row r="3664" spans="1:2" x14ac:dyDescent="0.25">
      <c r="A3664" t="s">
        <v>5410</v>
      </c>
      <c r="B3664" t="s">
        <v>24875</v>
      </c>
    </row>
    <row r="3665" spans="1:2" x14ac:dyDescent="0.25">
      <c r="A3665" t="s">
        <v>11811</v>
      </c>
      <c r="B3665" t="s">
        <v>11811</v>
      </c>
    </row>
    <row r="3666" spans="1:2" x14ac:dyDescent="0.25">
      <c r="A3666" t="s">
        <v>11814</v>
      </c>
      <c r="B3666" t="s">
        <v>11814</v>
      </c>
    </row>
    <row r="3667" spans="1:2" x14ac:dyDescent="0.25">
      <c r="A3667" t="s">
        <v>11817</v>
      </c>
      <c r="B3667" t="s">
        <v>11817</v>
      </c>
    </row>
    <row r="3668" spans="1:2" x14ac:dyDescent="0.25">
      <c r="A3668" t="s">
        <v>11823</v>
      </c>
      <c r="B3668" t="s">
        <v>32478</v>
      </c>
    </row>
    <row r="3669" spans="1:2" x14ac:dyDescent="0.25">
      <c r="A3669" t="s">
        <v>11820</v>
      </c>
      <c r="B3669" t="s">
        <v>11820</v>
      </c>
    </row>
    <row r="3670" spans="1:2" x14ac:dyDescent="0.25">
      <c r="A3670" t="s">
        <v>11826</v>
      </c>
      <c r="B3670" t="s">
        <v>32483</v>
      </c>
    </row>
    <row r="3671" spans="1:2" x14ac:dyDescent="0.25">
      <c r="A3671" t="s">
        <v>11832</v>
      </c>
      <c r="B3671" t="s">
        <v>11832</v>
      </c>
    </row>
    <row r="3672" spans="1:2" x14ac:dyDescent="0.25">
      <c r="A3672" t="s">
        <v>11829</v>
      </c>
      <c r="B3672" t="s">
        <v>11829</v>
      </c>
    </row>
    <row r="3673" spans="1:2" x14ac:dyDescent="0.25">
      <c r="A3673" t="s">
        <v>11835</v>
      </c>
      <c r="B3673" t="s">
        <v>11835</v>
      </c>
    </row>
    <row r="3674" spans="1:2" x14ac:dyDescent="0.25">
      <c r="A3674" t="s">
        <v>7249</v>
      </c>
      <c r="B3674" t="s">
        <v>26853</v>
      </c>
    </row>
    <row r="3675" spans="1:2" x14ac:dyDescent="0.25">
      <c r="A3675" t="s">
        <v>11844</v>
      </c>
      <c r="B3675" t="s">
        <v>32503</v>
      </c>
    </row>
    <row r="3676" spans="1:2" x14ac:dyDescent="0.25">
      <c r="A3676" t="s">
        <v>7251</v>
      </c>
      <c r="B3676" t="s">
        <v>26854</v>
      </c>
    </row>
    <row r="3677" spans="1:2" x14ac:dyDescent="0.25">
      <c r="A3677" t="s">
        <v>5077</v>
      </c>
      <c r="B3677" t="s">
        <v>24474</v>
      </c>
    </row>
    <row r="3678" spans="1:2" x14ac:dyDescent="0.25">
      <c r="A3678" t="s">
        <v>6423</v>
      </c>
      <c r="B3678" t="s">
        <v>25817</v>
      </c>
    </row>
    <row r="3679" spans="1:2" x14ac:dyDescent="0.25">
      <c r="A3679" t="s">
        <v>7245</v>
      </c>
      <c r="B3679" t="s">
        <v>26851</v>
      </c>
    </row>
    <row r="3680" spans="1:2" x14ac:dyDescent="0.25">
      <c r="A3680" t="s">
        <v>7247</v>
      </c>
      <c r="B3680" t="s">
        <v>26852</v>
      </c>
    </row>
    <row r="3681" spans="1:2" x14ac:dyDescent="0.25">
      <c r="A3681" t="s">
        <v>7257</v>
      </c>
      <c r="B3681" t="s">
        <v>26856</v>
      </c>
    </row>
    <row r="3682" spans="1:2" x14ac:dyDescent="0.25">
      <c r="A3682" t="s">
        <v>7255</v>
      </c>
      <c r="B3682" t="s">
        <v>26855</v>
      </c>
    </row>
    <row r="3683" spans="1:2" x14ac:dyDescent="0.25">
      <c r="A3683" t="s">
        <v>7253</v>
      </c>
      <c r="B3683" t="s">
        <v>7253</v>
      </c>
    </row>
    <row r="3684" spans="1:2" x14ac:dyDescent="0.25">
      <c r="A3684" t="s">
        <v>7259</v>
      </c>
      <c r="B3684" t="s">
        <v>26857</v>
      </c>
    </row>
    <row r="3685" spans="1:2" x14ac:dyDescent="0.25">
      <c r="A3685" t="s">
        <v>7261</v>
      </c>
      <c r="B3685" t="s">
        <v>26858</v>
      </c>
    </row>
    <row r="3686" spans="1:2" x14ac:dyDescent="0.25">
      <c r="A3686" t="s">
        <v>7263</v>
      </c>
      <c r="B3686" t="s">
        <v>26859</v>
      </c>
    </row>
    <row r="3687" spans="1:2" x14ac:dyDescent="0.25">
      <c r="A3687" t="s">
        <v>6064</v>
      </c>
      <c r="B3687" t="s">
        <v>25597</v>
      </c>
    </row>
    <row r="3688" spans="1:2" x14ac:dyDescent="0.25">
      <c r="A3688" t="s">
        <v>6099</v>
      </c>
      <c r="B3688" t="s">
        <v>25641</v>
      </c>
    </row>
    <row r="3689" spans="1:2" x14ac:dyDescent="0.25">
      <c r="A3689" t="s">
        <v>6110</v>
      </c>
      <c r="B3689" t="s">
        <v>25651</v>
      </c>
    </row>
    <row r="3690" spans="1:2" x14ac:dyDescent="0.25">
      <c r="A3690" t="s">
        <v>5928</v>
      </c>
      <c r="B3690" t="s">
        <v>25387</v>
      </c>
    </row>
    <row r="3691" spans="1:2" x14ac:dyDescent="0.25">
      <c r="A3691" t="s">
        <v>5956</v>
      </c>
      <c r="B3691" t="s">
        <v>25428</v>
      </c>
    </row>
    <row r="3692" spans="1:2" x14ac:dyDescent="0.25">
      <c r="A3692" t="s">
        <v>6261</v>
      </c>
      <c r="B3692" t="s">
        <v>25733</v>
      </c>
    </row>
    <row r="3693" spans="1:2" x14ac:dyDescent="0.25">
      <c r="A3693" t="s">
        <v>7267</v>
      </c>
      <c r="B3693" t="s">
        <v>26865</v>
      </c>
    </row>
    <row r="3694" spans="1:2" x14ac:dyDescent="0.25">
      <c r="A3694" t="s">
        <v>7279</v>
      </c>
      <c r="B3694" t="s">
        <v>26871</v>
      </c>
    </row>
    <row r="3695" spans="1:2" x14ac:dyDescent="0.25">
      <c r="A3695" t="s">
        <v>6229</v>
      </c>
      <c r="B3695" t="s">
        <v>25717</v>
      </c>
    </row>
    <row r="3696" spans="1:2" x14ac:dyDescent="0.25">
      <c r="A3696" t="s">
        <v>11849</v>
      </c>
      <c r="B3696" t="s">
        <v>32509</v>
      </c>
    </row>
    <row r="3697" spans="1:2" x14ac:dyDescent="0.25">
      <c r="A3697" t="s">
        <v>7281</v>
      </c>
      <c r="B3697" t="s">
        <v>26872</v>
      </c>
    </row>
    <row r="3698" spans="1:2" x14ac:dyDescent="0.25">
      <c r="A3698" t="s">
        <v>7283</v>
      </c>
      <c r="B3698" t="s">
        <v>26873</v>
      </c>
    </row>
    <row r="3699" spans="1:2" x14ac:dyDescent="0.25">
      <c r="A3699" t="s">
        <v>7285</v>
      </c>
      <c r="B3699" t="s">
        <v>26874</v>
      </c>
    </row>
    <row r="3700" spans="1:2" x14ac:dyDescent="0.25">
      <c r="A3700" t="s">
        <v>7336</v>
      </c>
      <c r="B3700" t="s">
        <v>7336</v>
      </c>
    </row>
    <row r="3701" spans="1:2" x14ac:dyDescent="0.25">
      <c r="A3701" t="s">
        <v>7339</v>
      </c>
      <c r="B3701" t="s">
        <v>7339</v>
      </c>
    </row>
    <row r="3702" spans="1:2" x14ac:dyDescent="0.25">
      <c r="A3702" t="s">
        <v>7342</v>
      </c>
      <c r="B3702" t="s">
        <v>7342</v>
      </c>
    </row>
    <row r="3703" spans="1:2" x14ac:dyDescent="0.25">
      <c r="A3703" t="s">
        <v>7287</v>
      </c>
      <c r="B3703" t="s">
        <v>26875</v>
      </c>
    </row>
    <row r="3704" spans="1:2" x14ac:dyDescent="0.25">
      <c r="A3704" t="s">
        <v>7289</v>
      </c>
      <c r="B3704" t="s">
        <v>26876</v>
      </c>
    </row>
    <row r="3705" spans="1:2" x14ac:dyDescent="0.25">
      <c r="A3705" t="s">
        <v>7291</v>
      </c>
      <c r="B3705" t="s">
        <v>26743</v>
      </c>
    </row>
    <row r="3706" spans="1:2" x14ac:dyDescent="0.25">
      <c r="A3706" t="s">
        <v>7293</v>
      </c>
      <c r="B3706" t="s">
        <v>26877</v>
      </c>
    </row>
    <row r="3707" spans="1:2" x14ac:dyDescent="0.25">
      <c r="A3707" t="s">
        <v>7295</v>
      </c>
      <c r="B3707" t="s">
        <v>26878</v>
      </c>
    </row>
    <row r="3708" spans="1:2" x14ac:dyDescent="0.25">
      <c r="A3708" t="s">
        <v>11852</v>
      </c>
      <c r="B3708" t="s">
        <v>11852</v>
      </c>
    </row>
    <row r="3709" spans="1:2" x14ac:dyDescent="0.25">
      <c r="A3709" t="s">
        <v>6241</v>
      </c>
      <c r="B3709" t="s">
        <v>25723</v>
      </c>
    </row>
    <row r="3710" spans="1:2" x14ac:dyDescent="0.25">
      <c r="A3710" t="s">
        <v>6245</v>
      </c>
      <c r="B3710" t="s">
        <v>25725</v>
      </c>
    </row>
    <row r="3711" spans="1:2" x14ac:dyDescent="0.25">
      <c r="A3711" t="s">
        <v>6243</v>
      </c>
      <c r="B3711" t="s">
        <v>25724</v>
      </c>
    </row>
    <row r="3712" spans="1:2" x14ac:dyDescent="0.25">
      <c r="A3712" t="s">
        <v>6361</v>
      </c>
      <c r="B3712" t="s">
        <v>25783</v>
      </c>
    </row>
    <row r="3713" spans="1:2" x14ac:dyDescent="0.25">
      <c r="A3713" t="s">
        <v>6357</v>
      </c>
      <c r="B3713" t="s">
        <v>25781</v>
      </c>
    </row>
    <row r="3714" spans="1:2" x14ac:dyDescent="0.25">
      <c r="A3714" t="s">
        <v>6359</v>
      </c>
      <c r="B3714" t="s">
        <v>25782</v>
      </c>
    </row>
    <row r="3715" spans="1:2" x14ac:dyDescent="0.25">
      <c r="A3715" t="s">
        <v>6375</v>
      </c>
      <c r="B3715" t="s">
        <v>25790</v>
      </c>
    </row>
    <row r="3716" spans="1:2" x14ac:dyDescent="0.25">
      <c r="A3716" t="s">
        <v>11858</v>
      </c>
      <c r="B3716" t="s">
        <v>31712</v>
      </c>
    </row>
    <row r="3717" spans="1:2" x14ac:dyDescent="0.25">
      <c r="A3717" t="s">
        <v>7297</v>
      </c>
      <c r="B3717" t="s">
        <v>26879</v>
      </c>
    </row>
    <row r="3718" spans="1:2" x14ac:dyDescent="0.25">
      <c r="A3718" t="s">
        <v>7301</v>
      </c>
      <c r="B3718" t="s">
        <v>26881</v>
      </c>
    </row>
    <row r="3719" spans="1:2" x14ac:dyDescent="0.25">
      <c r="A3719" t="s">
        <v>7299</v>
      </c>
      <c r="B3719" t="s">
        <v>26880</v>
      </c>
    </row>
    <row r="3720" spans="1:2" x14ac:dyDescent="0.25">
      <c r="A3720" t="s">
        <v>11864</v>
      </c>
      <c r="B3720" t="s">
        <v>11864</v>
      </c>
    </row>
    <row r="3721" spans="1:2" x14ac:dyDescent="0.25">
      <c r="A3721" t="s">
        <v>11861</v>
      </c>
      <c r="B3721" t="s">
        <v>11861</v>
      </c>
    </row>
    <row r="3722" spans="1:2" x14ac:dyDescent="0.25">
      <c r="A3722" t="s">
        <v>11867</v>
      </c>
      <c r="B3722" t="s">
        <v>11867</v>
      </c>
    </row>
    <row r="3723" spans="1:2" x14ac:dyDescent="0.25">
      <c r="A3723" t="s">
        <v>11870</v>
      </c>
      <c r="B3723" t="s">
        <v>11870</v>
      </c>
    </row>
    <row r="3724" spans="1:2" x14ac:dyDescent="0.25">
      <c r="A3724" t="s">
        <v>11873</v>
      </c>
      <c r="B3724" t="s">
        <v>15337</v>
      </c>
    </row>
    <row r="3725" spans="1:2" x14ac:dyDescent="0.25">
      <c r="A3725" t="s">
        <v>11876</v>
      </c>
      <c r="B3725" t="s">
        <v>32541</v>
      </c>
    </row>
    <row r="3726" spans="1:2" x14ac:dyDescent="0.25">
      <c r="A3726" t="s">
        <v>11885</v>
      </c>
      <c r="B3726" t="s">
        <v>11885</v>
      </c>
    </row>
    <row r="3727" spans="1:2" x14ac:dyDescent="0.25">
      <c r="A3727" t="s">
        <v>11891</v>
      </c>
      <c r="B3727" t="s">
        <v>11891</v>
      </c>
    </row>
    <row r="3728" spans="1:2" x14ac:dyDescent="0.25">
      <c r="A3728" t="s">
        <v>11888</v>
      </c>
      <c r="B3728" t="s">
        <v>11888</v>
      </c>
    </row>
    <row r="3729" spans="1:2" x14ac:dyDescent="0.25">
      <c r="A3729" t="s">
        <v>11894</v>
      </c>
      <c r="B3729" t="s">
        <v>11894</v>
      </c>
    </row>
    <row r="3730" spans="1:2" x14ac:dyDescent="0.25">
      <c r="A3730" t="s">
        <v>11882</v>
      </c>
      <c r="B3730" t="s">
        <v>32550</v>
      </c>
    </row>
    <row r="3731" spans="1:2" x14ac:dyDescent="0.25">
      <c r="A3731" t="s">
        <v>11897</v>
      </c>
      <c r="B3731" t="s">
        <v>11897</v>
      </c>
    </row>
    <row r="3732" spans="1:2" x14ac:dyDescent="0.25">
      <c r="A3732" t="s">
        <v>11900</v>
      </c>
      <c r="B3732" t="s">
        <v>32574</v>
      </c>
    </row>
    <row r="3733" spans="1:2" x14ac:dyDescent="0.25">
      <c r="A3733" t="s">
        <v>11906</v>
      </c>
      <c r="B3733" t="s">
        <v>11906</v>
      </c>
    </row>
    <row r="3734" spans="1:2" x14ac:dyDescent="0.25">
      <c r="A3734" t="s">
        <v>11909</v>
      </c>
      <c r="B3734" t="s">
        <v>11909</v>
      </c>
    </row>
    <row r="3735" spans="1:2" x14ac:dyDescent="0.25">
      <c r="A3735" t="s">
        <v>7216</v>
      </c>
      <c r="B3735" t="s">
        <v>26834</v>
      </c>
    </row>
    <row r="3736" spans="1:2" x14ac:dyDescent="0.25">
      <c r="A3736" t="s">
        <v>11903</v>
      </c>
      <c r="B3736" t="s">
        <v>11903</v>
      </c>
    </row>
    <row r="3737" spans="1:2" x14ac:dyDescent="0.25">
      <c r="A3737" t="s">
        <v>11915</v>
      </c>
      <c r="B3737" t="s">
        <v>11915</v>
      </c>
    </row>
    <row r="3738" spans="1:2" x14ac:dyDescent="0.25">
      <c r="A3738" t="s">
        <v>11918</v>
      </c>
      <c r="B3738" t="s">
        <v>11918</v>
      </c>
    </row>
    <row r="3739" spans="1:2" x14ac:dyDescent="0.25">
      <c r="A3739" t="s">
        <v>11879</v>
      </c>
      <c r="B3739" t="s">
        <v>11879</v>
      </c>
    </row>
    <row r="3740" spans="1:2" x14ac:dyDescent="0.25">
      <c r="A3740" t="s">
        <v>11912</v>
      </c>
      <c r="B3740" t="s">
        <v>32591</v>
      </c>
    </row>
    <row r="3741" spans="1:2" x14ac:dyDescent="0.25">
      <c r="A3741" t="s">
        <v>11921</v>
      </c>
      <c r="B3741" t="s">
        <v>11921</v>
      </c>
    </row>
    <row r="3742" spans="1:2" x14ac:dyDescent="0.25">
      <c r="A3742" t="s">
        <v>7444</v>
      </c>
      <c r="B3742" t="s">
        <v>27067</v>
      </c>
    </row>
    <row r="3743" spans="1:2" x14ac:dyDescent="0.25">
      <c r="A3743" t="s">
        <v>7448</v>
      </c>
      <c r="B3743" t="s">
        <v>27069</v>
      </c>
    </row>
    <row r="3744" spans="1:2" x14ac:dyDescent="0.25">
      <c r="A3744" t="s">
        <v>7446</v>
      </c>
      <c r="B3744" t="s">
        <v>27068</v>
      </c>
    </row>
    <row r="3745" spans="1:2" x14ac:dyDescent="0.25">
      <c r="A3745" t="s">
        <v>11972</v>
      </c>
      <c r="B3745" t="s">
        <v>11972</v>
      </c>
    </row>
    <row r="3746" spans="1:2" x14ac:dyDescent="0.25">
      <c r="A3746" t="s">
        <v>6345</v>
      </c>
      <c r="B3746" t="s">
        <v>25775</v>
      </c>
    </row>
    <row r="3747" spans="1:2" x14ac:dyDescent="0.25">
      <c r="A3747" t="s">
        <v>11975</v>
      </c>
      <c r="B3747" t="s">
        <v>32657</v>
      </c>
    </row>
    <row r="3748" spans="1:2" x14ac:dyDescent="0.25">
      <c r="A3748" t="s">
        <v>7635</v>
      </c>
      <c r="B3748" t="s">
        <v>7635</v>
      </c>
    </row>
    <row r="3749" spans="1:2" x14ac:dyDescent="0.25">
      <c r="A3749" t="s">
        <v>11978</v>
      </c>
      <c r="B3749" t="s">
        <v>32662</v>
      </c>
    </row>
    <row r="3750" spans="1:2" x14ac:dyDescent="0.25">
      <c r="A3750" t="s">
        <v>11981</v>
      </c>
      <c r="B3750" t="s">
        <v>32666</v>
      </c>
    </row>
    <row r="3751" spans="1:2" x14ac:dyDescent="0.25">
      <c r="A3751" t="s">
        <v>11984</v>
      </c>
      <c r="B3751" t="s">
        <v>11984</v>
      </c>
    </row>
    <row r="3752" spans="1:2" x14ac:dyDescent="0.25">
      <c r="A3752" t="s">
        <v>11987</v>
      </c>
      <c r="B3752" t="s">
        <v>11987</v>
      </c>
    </row>
    <row r="3753" spans="1:2" x14ac:dyDescent="0.25">
      <c r="A3753" t="s">
        <v>11990</v>
      </c>
      <c r="B3753" t="s">
        <v>11990</v>
      </c>
    </row>
    <row r="3754" spans="1:2" x14ac:dyDescent="0.25">
      <c r="A3754" t="s">
        <v>11993</v>
      </c>
      <c r="B3754" t="s">
        <v>11993</v>
      </c>
    </row>
    <row r="3755" spans="1:2" x14ac:dyDescent="0.25">
      <c r="A3755" t="s">
        <v>11996</v>
      </c>
      <c r="B3755" t="s">
        <v>11996</v>
      </c>
    </row>
    <row r="3756" spans="1:2" x14ac:dyDescent="0.25">
      <c r="A3756" t="s">
        <v>7683</v>
      </c>
      <c r="B3756" t="s">
        <v>7683</v>
      </c>
    </row>
    <row r="3757" spans="1:2" x14ac:dyDescent="0.25">
      <c r="A3757" t="s">
        <v>7686</v>
      </c>
      <c r="B3757" t="s">
        <v>7686</v>
      </c>
    </row>
    <row r="3758" spans="1:2" x14ac:dyDescent="0.25">
      <c r="A3758" t="s">
        <v>7689</v>
      </c>
      <c r="B3758" t="s">
        <v>27386</v>
      </c>
    </row>
    <row r="3759" spans="1:2" x14ac:dyDescent="0.25">
      <c r="A3759" t="s">
        <v>7692</v>
      </c>
      <c r="B3759" t="s">
        <v>7692</v>
      </c>
    </row>
    <row r="3760" spans="1:2" x14ac:dyDescent="0.25">
      <c r="A3760" t="s">
        <v>7695</v>
      </c>
      <c r="B3760" t="s">
        <v>27390</v>
      </c>
    </row>
    <row r="3761" spans="1:2" x14ac:dyDescent="0.25">
      <c r="A3761" t="s">
        <v>11999</v>
      </c>
      <c r="B3761" t="s">
        <v>32691</v>
      </c>
    </row>
    <row r="3762" spans="1:2" x14ac:dyDescent="0.25">
      <c r="A3762" t="s">
        <v>12005</v>
      </c>
      <c r="B3762" t="s">
        <v>12005</v>
      </c>
    </row>
    <row r="3763" spans="1:2" x14ac:dyDescent="0.25">
      <c r="A3763" t="s">
        <v>12008</v>
      </c>
      <c r="B3763" t="s">
        <v>12008</v>
      </c>
    </row>
    <row r="3764" spans="1:2" x14ac:dyDescent="0.25">
      <c r="A3764" t="s">
        <v>7568</v>
      </c>
      <c r="B3764" t="s">
        <v>27240</v>
      </c>
    </row>
    <row r="3765" spans="1:2" x14ac:dyDescent="0.25">
      <c r="A3765" t="s">
        <v>7729</v>
      </c>
      <c r="B3765" t="s">
        <v>7729</v>
      </c>
    </row>
    <row r="3766" spans="1:2" x14ac:dyDescent="0.25">
      <c r="A3766" t="s">
        <v>7731</v>
      </c>
      <c r="B3766" t="s">
        <v>27435</v>
      </c>
    </row>
    <row r="3767" spans="1:2" x14ac:dyDescent="0.25">
      <c r="A3767" t="s">
        <v>7734</v>
      </c>
      <c r="B3767" t="s">
        <v>27436</v>
      </c>
    </row>
    <row r="3768" spans="1:2" x14ac:dyDescent="0.25">
      <c r="A3768" t="s">
        <v>7737</v>
      </c>
      <c r="B3768" t="s">
        <v>27437</v>
      </c>
    </row>
    <row r="3769" spans="1:2" x14ac:dyDescent="0.25">
      <c r="A3769" t="s">
        <v>7740</v>
      </c>
      <c r="B3769" t="s">
        <v>7740</v>
      </c>
    </row>
    <row r="3770" spans="1:2" x14ac:dyDescent="0.25">
      <c r="A3770" t="s">
        <v>7743</v>
      </c>
      <c r="B3770" t="s">
        <v>7743</v>
      </c>
    </row>
    <row r="3771" spans="1:2" x14ac:dyDescent="0.25">
      <c r="A3771" t="s">
        <v>12014</v>
      </c>
      <c r="B3771" t="s">
        <v>12014</v>
      </c>
    </row>
    <row r="3772" spans="1:2" x14ac:dyDescent="0.25">
      <c r="A3772" t="s">
        <v>12011</v>
      </c>
      <c r="B3772" t="s">
        <v>12011</v>
      </c>
    </row>
    <row r="3773" spans="1:2" x14ac:dyDescent="0.25">
      <c r="A3773" t="s">
        <v>12023</v>
      </c>
      <c r="B3773" t="s">
        <v>12023</v>
      </c>
    </row>
    <row r="3774" spans="1:2" x14ac:dyDescent="0.25">
      <c r="A3774" t="s">
        <v>12017</v>
      </c>
      <c r="B3774" t="s">
        <v>12017</v>
      </c>
    </row>
    <row r="3775" spans="1:2" x14ac:dyDescent="0.25">
      <c r="A3775" t="s">
        <v>12020</v>
      </c>
      <c r="B3775" t="s">
        <v>12020</v>
      </c>
    </row>
    <row r="3776" spans="1:2" x14ac:dyDescent="0.25">
      <c r="A3776" t="s">
        <v>7347</v>
      </c>
      <c r="B3776" t="s">
        <v>26932</v>
      </c>
    </row>
    <row r="3777" spans="1:2" x14ac:dyDescent="0.25">
      <c r="A3777" t="s">
        <v>9203</v>
      </c>
      <c r="B3777" t="s">
        <v>29263</v>
      </c>
    </row>
    <row r="3778" spans="1:2" x14ac:dyDescent="0.25">
      <c r="A3778" t="s">
        <v>12026</v>
      </c>
      <c r="B3778" t="s">
        <v>12026</v>
      </c>
    </row>
    <row r="3779" spans="1:2" x14ac:dyDescent="0.25">
      <c r="A3779" t="s">
        <v>12032</v>
      </c>
      <c r="B3779" t="s">
        <v>12032</v>
      </c>
    </row>
    <row r="3780" spans="1:2" x14ac:dyDescent="0.25">
      <c r="A3780" t="s">
        <v>7674</v>
      </c>
      <c r="B3780" t="s">
        <v>7674</v>
      </c>
    </row>
    <row r="3781" spans="1:2" x14ac:dyDescent="0.25">
      <c r="A3781" t="s">
        <v>12038</v>
      </c>
      <c r="B3781" t="s">
        <v>12038</v>
      </c>
    </row>
    <row r="3782" spans="1:2" x14ac:dyDescent="0.25">
      <c r="A3782" t="s">
        <v>12041</v>
      </c>
      <c r="B3782" t="s">
        <v>32749</v>
      </c>
    </row>
    <row r="3783" spans="1:2" x14ac:dyDescent="0.25">
      <c r="A3783" t="s">
        <v>12035</v>
      </c>
      <c r="B3783" t="s">
        <v>32740</v>
      </c>
    </row>
    <row r="3784" spans="1:2" x14ac:dyDescent="0.25">
      <c r="A3784" t="s">
        <v>12044</v>
      </c>
      <c r="B3784" t="s">
        <v>12044</v>
      </c>
    </row>
    <row r="3785" spans="1:2" x14ac:dyDescent="0.25">
      <c r="A3785" t="s">
        <v>12047</v>
      </c>
      <c r="B3785" t="s">
        <v>12047</v>
      </c>
    </row>
    <row r="3786" spans="1:2" x14ac:dyDescent="0.25">
      <c r="A3786" t="s">
        <v>12050</v>
      </c>
      <c r="B3786" t="s">
        <v>12050</v>
      </c>
    </row>
    <row r="3787" spans="1:2" x14ac:dyDescent="0.25">
      <c r="A3787" t="s">
        <v>12029</v>
      </c>
      <c r="B3787" t="s">
        <v>32732</v>
      </c>
    </row>
    <row r="3788" spans="1:2" x14ac:dyDescent="0.25">
      <c r="A3788" t="s">
        <v>12056</v>
      </c>
      <c r="B3788" t="s">
        <v>32768</v>
      </c>
    </row>
    <row r="3789" spans="1:2" x14ac:dyDescent="0.25">
      <c r="A3789" t="s">
        <v>12053</v>
      </c>
      <c r="B3789" t="s">
        <v>32764</v>
      </c>
    </row>
    <row r="3790" spans="1:2" x14ac:dyDescent="0.25">
      <c r="A3790" t="s">
        <v>12205</v>
      </c>
      <c r="B3790" t="s">
        <v>12205</v>
      </c>
    </row>
    <row r="3791" spans="1:2" x14ac:dyDescent="0.25">
      <c r="A3791" t="s">
        <v>12202</v>
      </c>
      <c r="B3791" t="s">
        <v>32958</v>
      </c>
    </row>
    <row r="3792" spans="1:2" x14ac:dyDescent="0.25">
      <c r="A3792" t="s">
        <v>12214</v>
      </c>
      <c r="B3792" t="s">
        <v>32973</v>
      </c>
    </row>
    <row r="3793" spans="1:2" x14ac:dyDescent="0.25">
      <c r="A3793" t="s">
        <v>12211</v>
      </c>
      <c r="B3793" t="s">
        <v>32969</v>
      </c>
    </row>
    <row r="3794" spans="1:2" x14ac:dyDescent="0.25">
      <c r="A3794" t="s">
        <v>12208</v>
      </c>
      <c r="B3794" t="s">
        <v>32965</v>
      </c>
    </row>
    <row r="3795" spans="1:2" x14ac:dyDescent="0.25">
      <c r="A3795" t="s">
        <v>7441</v>
      </c>
      <c r="B3795" t="s">
        <v>27062</v>
      </c>
    </row>
    <row r="3796" spans="1:2" x14ac:dyDescent="0.25">
      <c r="A3796" t="s">
        <v>7450</v>
      </c>
      <c r="B3796" t="s">
        <v>27070</v>
      </c>
    </row>
    <row r="3797" spans="1:2" x14ac:dyDescent="0.25">
      <c r="A3797" t="s">
        <v>7354</v>
      </c>
      <c r="B3797" t="s">
        <v>26939</v>
      </c>
    </row>
    <row r="3798" spans="1:2" x14ac:dyDescent="0.25">
      <c r="A3798" t="s">
        <v>7378</v>
      </c>
      <c r="B3798" t="s">
        <v>26975</v>
      </c>
    </row>
    <row r="3799" spans="1:2" x14ac:dyDescent="0.25">
      <c r="A3799" t="s">
        <v>7381</v>
      </c>
      <c r="B3799" t="s">
        <v>7381</v>
      </c>
    </row>
    <row r="3800" spans="1:2" x14ac:dyDescent="0.25">
      <c r="A3800" t="s">
        <v>7384</v>
      </c>
      <c r="B3800" t="s">
        <v>26984</v>
      </c>
    </row>
    <row r="3801" spans="1:2" x14ac:dyDescent="0.25">
      <c r="A3801" t="s">
        <v>7390</v>
      </c>
      <c r="B3801" t="s">
        <v>26990</v>
      </c>
    </row>
    <row r="3802" spans="1:2" x14ac:dyDescent="0.25">
      <c r="A3802" t="s">
        <v>7396</v>
      </c>
      <c r="B3802" t="s">
        <v>26996</v>
      </c>
    </row>
    <row r="3803" spans="1:2" x14ac:dyDescent="0.25">
      <c r="A3803" t="s">
        <v>11966</v>
      </c>
      <c r="B3803" t="s">
        <v>32644</v>
      </c>
    </row>
    <row r="3804" spans="1:2" x14ac:dyDescent="0.25">
      <c r="A3804" t="s">
        <v>7387</v>
      </c>
      <c r="B3804" t="s">
        <v>26985</v>
      </c>
    </row>
    <row r="3805" spans="1:2" x14ac:dyDescent="0.25">
      <c r="A3805" t="s">
        <v>7399</v>
      </c>
      <c r="B3805" t="s">
        <v>27001</v>
      </c>
    </row>
    <row r="3806" spans="1:2" x14ac:dyDescent="0.25">
      <c r="A3806" t="s">
        <v>7402</v>
      </c>
      <c r="B3806" t="s">
        <v>27006</v>
      </c>
    </row>
    <row r="3807" spans="1:2" x14ac:dyDescent="0.25">
      <c r="A3807" t="s">
        <v>7426</v>
      </c>
      <c r="B3807" t="s">
        <v>27040</v>
      </c>
    </row>
    <row r="3808" spans="1:2" x14ac:dyDescent="0.25">
      <c r="A3808" t="s">
        <v>3535</v>
      </c>
      <c r="B3808" t="s">
        <v>22613</v>
      </c>
    </row>
    <row r="3809" spans="1:2" x14ac:dyDescent="0.25">
      <c r="A3809" t="s">
        <v>7423</v>
      </c>
      <c r="B3809" t="s">
        <v>7423</v>
      </c>
    </row>
    <row r="3810" spans="1:2" x14ac:dyDescent="0.25">
      <c r="A3810" t="s">
        <v>7429</v>
      </c>
      <c r="B3810" t="s">
        <v>7429</v>
      </c>
    </row>
    <row r="3811" spans="1:2" x14ac:dyDescent="0.25">
      <c r="A3811" t="s">
        <v>3331</v>
      </c>
      <c r="B3811" t="s">
        <v>22317</v>
      </c>
    </row>
    <row r="3812" spans="1:2" x14ac:dyDescent="0.25">
      <c r="A3812" t="s">
        <v>3334</v>
      </c>
      <c r="B3812" t="s">
        <v>22321</v>
      </c>
    </row>
    <row r="3813" spans="1:2" x14ac:dyDescent="0.25">
      <c r="A3813" t="s">
        <v>7405</v>
      </c>
      <c r="B3813" t="s">
        <v>7405</v>
      </c>
    </row>
    <row r="3814" spans="1:2" x14ac:dyDescent="0.25">
      <c r="A3814" t="s">
        <v>7565</v>
      </c>
      <c r="B3814" t="s">
        <v>27235</v>
      </c>
    </row>
    <row r="3815" spans="1:2" x14ac:dyDescent="0.25">
      <c r="A3815" t="s">
        <v>7372</v>
      </c>
      <c r="B3815" t="s">
        <v>26965</v>
      </c>
    </row>
    <row r="3816" spans="1:2" x14ac:dyDescent="0.25">
      <c r="A3816" t="s">
        <v>7369</v>
      </c>
      <c r="B3816" t="s">
        <v>26960</v>
      </c>
    </row>
    <row r="3817" spans="1:2" x14ac:dyDescent="0.25">
      <c r="A3817" t="s">
        <v>7570</v>
      </c>
      <c r="B3817" t="s">
        <v>27241</v>
      </c>
    </row>
    <row r="3818" spans="1:2" x14ac:dyDescent="0.25">
      <c r="A3818" t="s">
        <v>7408</v>
      </c>
      <c r="B3818" t="s">
        <v>27015</v>
      </c>
    </row>
    <row r="3819" spans="1:2" x14ac:dyDescent="0.25">
      <c r="A3819" t="s">
        <v>6494</v>
      </c>
      <c r="B3819" t="s">
        <v>25914</v>
      </c>
    </row>
    <row r="3820" spans="1:2" x14ac:dyDescent="0.25">
      <c r="A3820" t="s">
        <v>7411</v>
      </c>
      <c r="B3820" t="s">
        <v>27020</v>
      </c>
    </row>
    <row r="3821" spans="1:2" x14ac:dyDescent="0.25">
      <c r="A3821" t="s">
        <v>7414</v>
      </c>
      <c r="B3821" t="s">
        <v>27025</v>
      </c>
    </row>
    <row r="3822" spans="1:2" x14ac:dyDescent="0.25">
      <c r="A3822" t="s">
        <v>7420</v>
      </c>
      <c r="B3822" t="s">
        <v>27031</v>
      </c>
    </row>
    <row r="3823" spans="1:2" x14ac:dyDescent="0.25">
      <c r="A3823" t="s">
        <v>7417</v>
      </c>
      <c r="B3823" t="s">
        <v>27026</v>
      </c>
    </row>
    <row r="3824" spans="1:2" x14ac:dyDescent="0.25">
      <c r="A3824" t="s">
        <v>7432</v>
      </c>
      <c r="B3824" t="s">
        <v>27049</v>
      </c>
    </row>
    <row r="3825" spans="1:2" x14ac:dyDescent="0.25">
      <c r="A3825" t="s">
        <v>7360</v>
      </c>
      <c r="B3825" t="s">
        <v>26949</v>
      </c>
    </row>
    <row r="3826" spans="1:2" x14ac:dyDescent="0.25">
      <c r="A3826" t="s">
        <v>7435</v>
      </c>
      <c r="B3826" t="s">
        <v>7435</v>
      </c>
    </row>
    <row r="3827" spans="1:2" x14ac:dyDescent="0.25">
      <c r="A3827" t="s">
        <v>7594</v>
      </c>
      <c r="B3827" t="s">
        <v>27272</v>
      </c>
    </row>
    <row r="3828" spans="1:2" x14ac:dyDescent="0.25">
      <c r="A3828" t="s">
        <v>7366</v>
      </c>
      <c r="B3828" t="s">
        <v>26955</v>
      </c>
    </row>
    <row r="3829" spans="1:2" x14ac:dyDescent="0.25">
      <c r="A3829" t="s">
        <v>7363</v>
      </c>
      <c r="B3829" t="s">
        <v>26954</v>
      </c>
    </row>
    <row r="3830" spans="1:2" x14ac:dyDescent="0.25">
      <c r="A3830" t="s">
        <v>7357</v>
      </c>
      <c r="B3830" t="s">
        <v>26944</v>
      </c>
    </row>
    <row r="3831" spans="1:2" x14ac:dyDescent="0.25">
      <c r="A3831" t="s">
        <v>7375</v>
      </c>
      <c r="B3831" t="s">
        <v>26970</v>
      </c>
    </row>
    <row r="3832" spans="1:2" x14ac:dyDescent="0.25">
      <c r="A3832" t="s">
        <v>7438</v>
      </c>
      <c r="B3832" t="s">
        <v>7438</v>
      </c>
    </row>
    <row r="3833" spans="1:2" x14ac:dyDescent="0.25">
      <c r="A3833" t="s">
        <v>12059</v>
      </c>
      <c r="B3833" t="s">
        <v>12059</v>
      </c>
    </row>
    <row r="3834" spans="1:2" x14ac:dyDescent="0.25">
      <c r="A3834" t="s">
        <v>12062</v>
      </c>
      <c r="B3834" t="s">
        <v>12062</v>
      </c>
    </row>
    <row r="3835" spans="1:2" x14ac:dyDescent="0.25">
      <c r="A3835" t="s">
        <v>12065</v>
      </c>
      <c r="B3835" t="s">
        <v>32776</v>
      </c>
    </row>
    <row r="3836" spans="1:2" x14ac:dyDescent="0.25">
      <c r="A3836" t="s">
        <v>7814</v>
      </c>
      <c r="B3836" t="s">
        <v>7814</v>
      </c>
    </row>
    <row r="3837" spans="1:2" x14ac:dyDescent="0.25">
      <c r="A3837" t="s">
        <v>7817</v>
      </c>
      <c r="B3837" t="s">
        <v>7817</v>
      </c>
    </row>
    <row r="3838" spans="1:2" x14ac:dyDescent="0.25">
      <c r="A3838" t="s">
        <v>7820</v>
      </c>
      <c r="B3838" t="s">
        <v>7820</v>
      </c>
    </row>
    <row r="3839" spans="1:2" x14ac:dyDescent="0.25">
      <c r="A3839" t="s">
        <v>7588</v>
      </c>
      <c r="B3839" t="s">
        <v>7588</v>
      </c>
    </row>
    <row r="3840" spans="1:2" x14ac:dyDescent="0.25">
      <c r="A3840" t="s">
        <v>12080</v>
      </c>
      <c r="B3840" t="s">
        <v>12080</v>
      </c>
    </row>
    <row r="3841" spans="1:2" x14ac:dyDescent="0.25">
      <c r="A3841" t="s">
        <v>7590</v>
      </c>
      <c r="B3841" t="s">
        <v>27270</v>
      </c>
    </row>
    <row r="3842" spans="1:2" x14ac:dyDescent="0.25">
      <c r="A3842" t="s">
        <v>11969</v>
      </c>
      <c r="B3842" t="s">
        <v>32648</v>
      </c>
    </row>
    <row r="3843" spans="1:2" x14ac:dyDescent="0.25">
      <c r="A3843" t="s">
        <v>12083</v>
      </c>
      <c r="B3843" t="s">
        <v>12083</v>
      </c>
    </row>
    <row r="3844" spans="1:2" x14ac:dyDescent="0.25">
      <c r="A3844" t="s">
        <v>12086</v>
      </c>
      <c r="B3844" t="s">
        <v>12086</v>
      </c>
    </row>
    <row r="3845" spans="1:2" x14ac:dyDescent="0.25">
      <c r="A3845" t="s">
        <v>12089</v>
      </c>
      <c r="B3845" t="s">
        <v>12089</v>
      </c>
    </row>
    <row r="3846" spans="1:2" x14ac:dyDescent="0.25">
      <c r="A3846" t="s">
        <v>12002</v>
      </c>
      <c r="B3846" t="s">
        <v>12002</v>
      </c>
    </row>
    <row r="3847" spans="1:2" x14ac:dyDescent="0.25">
      <c r="A3847" t="s">
        <v>12092</v>
      </c>
      <c r="B3847" t="s">
        <v>12092</v>
      </c>
    </row>
    <row r="3848" spans="1:2" x14ac:dyDescent="0.25">
      <c r="A3848" t="s">
        <v>12095</v>
      </c>
      <c r="B3848" t="s">
        <v>12095</v>
      </c>
    </row>
    <row r="3849" spans="1:2" x14ac:dyDescent="0.25">
      <c r="A3849" t="s">
        <v>12115</v>
      </c>
      <c r="B3849" t="s">
        <v>12115</v>
      </c>
    </row>
    <row r="3850" spans="1:2" x14ac:dyDescent="0.25">
      <c r="A3850" t="s">
        <v>12118</v>
      </c>
      <c r="B3850" t="s">
        <v>12118</v>
      </c>
    </row>
    <row r="3851" spans="1:2" x14ac:dyDescent="0.25">
      <c r="A3851" t="s">
        <v>12110</v>
      </c>
      <c r="B3851" t="s">
        <v>32835</v>
      </c>
    </row>
    <row r="3852" spans="1:2" x14ac:dyDescent="0.25">
      <c r="A3852" t="s">
        <v>12124</v>
      </c>
      <c r="B3852" t="s">
        <v>12124</v>
      </c>
    </row>
    <row r="3853" spans="1:2" x14ac:dyDescent="0.25">
      <c r="A3853" t="s">
        <v>12112</v>
      </c>
      <c r="B3853" t="s">
        <v>12112</v>
      </c>
    </row>
    <row r="3854" spans="1:2" x14ac:dyDescent="0.25">
      <c r="A3854" t="s">
        <v>12130</v>
      </c>
      <c r="B3854" t="s">
        <v>32860</v>
      </c>
    </row>
    <row r="3855" spans="1:2" x14ac:dyDescent="0.25">
      <c r="A3855" t="s">
        <v>12127</v>
      </c>
      <c r="B3855" t="s">
        <v>32855</v>
      </c>
    </row>
    <row r="3856" spans="1:2" x14ac:dyDescent="0.25">
      <c r="A3856" t="s">
        <v>12139</v>
      </c>
      <c r="B3856" t="s">
        <v>32875</v>
      </c>
    </row>
    <row r="3857" spans="1:2" x14ac:dyDescent="0.25">
      <c r="A3857" t="s">
        <v>12136</v>
      </c>
      <c r="B3857" t="s">
        <v>32870</v>
      </c>
    </row>
    <row r="3858" spans="1:2" x14ac:dyDescent="0.25">
      <c r="A3858" t="s">
        <v>12133</v>
      </c>
      <c r="B3858" t="s">
        <v>32865</v>
      </c>
    </row>
    <row r="3859" spans="1:2" x14ac:dyDescent="0.25">
      <c r="A3859" t="s">
        <v>12154</v>
      </c>
      <c r="B3859" t="s">
        <v>12154</v>
      </c>
    </row>
    <row r="3860" spans="1:2" x14ac:dyDescent="0.25">
      <c r="A3860" t="s">
        <v>12160</v>
      </c>
      <c r="B3860" t="s">
        <v>12160</v>
      </c>
    </row>
    <row r="3861" spans="1:2" x14ac:dyDescent="0.25">
      <c r="A3861" t="s">
        <v>12163</v>
      </c>
      <c r="B3861" t="s">
        <v>32909</v>
      </c>
    </row>
    <row r="3862" spans="1:2" x14ac:dyDescent="0.25">
      <c r="A3862" t="s">
        <v>12098</v>
      </c>
      <c r="B3862" t="s">
        <v>12098</v>
      </c>
    </row>
    <row r="3863" spans="1:2" x14ac:dyDescent="0.25">
      <c r="A3863" t="s">
        <v>7777</v>
      </c>
      <c r="B3863" t="s">
        <v>7777</v>
      </c>
    </row>
    <row r="3864" spans="1:2" x14ac:dyDescent="0.25">
      <c r="A3864" t="s">
        <v>7780</v>
      </c>
      <c r="B3864" t="s">
        <v>7780</v>
      </c>
    </row>
    <row r="3865" spans="1:2" x14ac:dyDescent="0.25">
      <c r="A3865" t="s">
        <v>7783</v>
      </c>
      <c r="B3865" t="s">
        <v>7783</v>
      </c>
    </row>
    <row r="3866" spans="1:2" x14ac:dyDescent="0.25">
      <c r="A3866" t="s">
        <v>7786</v>
      </c>
      <c r="B3866" t="s">
        <v>7786</v>
      </c>
    </row>
    <row r="3867" spans="1:2" x14ac:dyDescent="0.25">
      <c r="A3867" t="s">
        <v>7789</v>
      </c>
      <c r="B3867" t="s">
        <v>7789</v>
      </c>
    </row>
    <row r="3868" spans="1:2" x14ac:dyDescent="0.25">
      <c r="A3868" t="s">
        <v>7792</v>
      </c>
      <c r="B3868" t="s">
        <v>7792</v>
      </c>
    </row>
    <row r="3869" spans="1:2" x14ac:dyDescent="0.25">
      <c r="A3869" t="s">
        <v>7794</v>
      </c>
      <c r="B3869" t="s">
        <v>7794</v>
      </c>
    </row>
    <row r="3870" spans="1:2" x14ac:dyDescent="0.25">
      <c r="A3870" t="s">
        <v>7799</v>
      </c>
      <c r="B3870" t="s">
        <v>27514</v>
      </c>
    </row>
    <row r="3871" spans="1:2" x14ac:dyDescent="0.25">
      <c r="A3871" t="s">
        <v>12101</v>
      </c>
      <c r="B3871" t="s">
        <v>32821</v>
      </c>
    </row>
    <row r="3872" spans="1:2" x14ac:dyDescent="0.25">
      <c r="A3872" t="s">
        <v>12104</v>
      </c>
      <c r="B3872" t="s">
        <v>32826</v>
      </c>
    </row>
    <row r="3873" spans="1:2" x14ac:dyDescent="0.25">
      <c r="A3873" t="s">
        <v>7330</v>
      </c>
      <c r="B3873" t="s">
        <v>7330</v>
      </c>
    </row>
    <row r="3874" spans="1:2" x14ac:dyDescent="0.25">
      <c r="A3874" t="s">
        <v>7333</v>
      </c>
      <c r="B3874" t="s">
        <v>7333</v>
      </c>
    </row>
    <row r="3875" spans="1:2" x14ac:dyDescent="0.25">
      <c r="A3875" t="s">
        <v>12121</v>
      </c>
      <c r="B3875" t="s">
        <v>12121</v>
      </c>
    </row>
    <row r="3876" spans="1:2" x14ac:dyDescent="0.25">
      <c r="A3876" t="s">
        <v>7808</v>
      </c>
      <c r="B3876" t="s">
        <v>27528</v>
      </c>
    </row>
    <row r="3877" spans="1:2" x14ac:dyDescent="0.25">
      <c r="A3877" t="s">
        <v>7811</v>
      </c>
      <c r="B3877" t="s">
        <v>27533</v>
      </c>
    </row>
    <row r="3878" spans="1:2" x14ac:dyDescent="0.25">
      <c r="A3878" t="s">
        <v>7600</v>
      </c>
      <c r="B3878" t="s">
        <v>27282</v>
      </c>
    </row>
    <row r="3879" spans="1:2" x14ac:dyDescent="0.25">
      <c r="A3879" t="s">
        <v>5073</v>
      </c>
      <c r="B3879" t="s">
        <v>24472</v>
      </c>
    </row>
    <row r="3880" spans="1:2" x14ac:dyDescent="0.25">
      <c r="A3880" t="s">
        <v>5075</v>
      </c>
      <c r="B3880" t="s">
        <v>24473</v>
      </c>
    </row>
    <row r="3881" spans="1:2" x14ac:dyDescent="0.25">
      <c r="A3881" t="s">
        <v>6347</v>
      </c>
      <c r="B3881" t="s">
        <v>25776</v>
      </c>
    </row>
    <row r="3882" spans="1:2" x14ac:dyDescent="0.25">
      <c r="A3882" t="s">
        <v>12142</v>
      </c>
      <c r="B3882" t="s">
        <v>12142</v>
      </c>
    </row>
    <row r="3883" spans="1:2" x14ac:dyDescent="0.25">
      <c r="A3883" t="s">
        <v>12145</v>
      </c>
      <c r="B3883" t="s">
        <v>12145</v>
      </c>
    </row>
    <row r="3884" spans="1:2" x14ac:dyDescent="0.25">
      <c r="A3884" t="s">
        <v>12148</v>
      </c>
      <c r="B3884" t="s">
        <v>32888</v>
      </c>
    </row>
    <row r="3885" spans="1:2" x14ac:dyDescent="0.25">
      <c r="A3885" t="s">
        <v>797</v>
      </c>
      <c r="B3885" t="s">
        <v>19105</v>
      </c>
    </row>
    <row r="3886" spans="1:2" x14ac:dyDescent="0.25">
      <c r="A3886" t="s">
        <v>7626</v>
      </c>
      <c r="B3886" t="s">
        <v>27303</v>
      </c>
    </row>
    <row r="3887" spans="1:2" x14ac:dyDescent="0.25">
      <c r="A3887" t="s">
        <v>12151</v>
      </c>
      <c r="B3887" t="s">
        <v>12151</v>
      </c>
    </row>
    <row r="3888" spans="1:2" x14ac:dyDescent="0.25">
      <c r="A3888" t="s">
        <v>2831</v>
      </c>
      <c r="B3888" t="s">
        <v>2831</v>
      </c>
    </row>
    <row r="3889" spans="1:2" x14ac:dyDescent="0.25">
      <c r="A3889" t="s">
        <v>12157</v>
      </c>
      <c r="B3889" t="s">
        <v>32901</v>
      </c>
    </row>
    <row r="3890" spans="1:2" x14ac:dyDescent="0.25">
      <c r="A3890" t="s">
        <v>7602</v>
      </c>
      <c r="B3890" t="s">
        <v>27287</v>
      </c>
    </row>
    <row r="3891" spans="1:2" x14ac:dyDescent="0.25">
      <c r="A3891" t="s">
        <v>7604</v>
      </c>
      <c r="B3891" t="s">
        <v>27288</v>
      </c>
    </row>
    <row r="3892" spans="1:2" x14ac:dyDescent="0.25">
      <c r="A3892" t="s">
        <v>7629</v>
      </c>
      <c r="B3892" t="s">
        <v>27308</v>
      </c>
    </row>
    <row r="3893" spans="1:2" x14ac:dyDescent="0.25">
      <c r="A3893" t="s">
        <v>6387</v>
      </c>
      <c r="B3893" t="s">
        <v>25796</v>
      </c>
    </row>
    <row r="3894" spans="1:2" x14ac:dyDescent="0.25">
      <c r="A3894" t="s">
        <v>6385</v>
      </c>
      <c r="B3894" t="s">
        <v>25795</v>
      </c>
    </row>
    <row r="3895" spans="1:2" x14ac:dyDescent="0.25">
      <c r="A3895" t="s">
        <v>12166</v>
      </c>
      <c r="B3895" t="s">
        <v>32913</v>
      </c>
    </row>
    <row r="3896" spans="1:2" x14ac:dyDescent="0.25">
      <c r="A3896" t="s">
        <v>7606</v>
      </c>
      <c r="B3896" t="s">
        <v>27289</v>
      </c>
    </row>
    <row r="3897" spans="1:2" x14ac:dyDescent="0.25">
      <c r="A3897" t="s">
        <v>8033</v>
      </c>
      <c r="B3897" t="s">
        <v>27690</v>
      </c>
    </row>
    <row r="3898" spans="1:2" x14ac:dyDescent="0.25">
      <c r="A3898" t="s">
        <v>12175</v>
      </c>
      <c r="B3898" t="s">
        <v>12175</v>
      </c>
    </row>
    <row r="3899" spans="1:2" x14ac:dyDescent="0.25">
      <c r="A3899" t="s">
        <v>11939</v>
      </c>
      <c r="B3899" t="s">
        <v>32617</v>
      </c>
    </row>
    <row r="3900" spans="1:2" x14ac:dyDescent="0.25">
      <c r="A3900" t="s">
        <v>11942</v>
      </c>
      <c r="B3900" t="s">
        <v>32621</v>
      </c>
    </row>
    <row r="3901" spans="1:2" x14ac:dyDescent="0.25">
      <c r="A3901" t="s">
        <v>11945</v>
      </c>
      <c r="B3901" t="s">
        <v>32625</v>
      </c>
    </row>
    <row r="3902" spans="1:2" x14ac:dyDescent="0.25">
      <c r="A3902" t="s">
        <v>11948</v>
      </c>
      <c r="B3902" t="s">
        <v>32626</v>
      </c>
    </row>
    <row r="3903" spans="1:2" x14ac:dyDescent="0.25">
      <c r="A3903" t="s">
        <v>11936</v>
      </c>
      <c r="B3903" t="s">
        <v>11936</v>
      </c>
    </row>
    <row r="3904" spans="1:2" x14ac:dyDescent="0.25">
      <c r="A3904" t="s">
        <v>9081</v>
      </c>
      <c r="B3904" t="s">
        <v>9081</v>
      </c>
    </row>
    <row r="3905" spans="1:2" x14ac:dyDescent="0.25">
      <c r="A3905" t="s">
        <v>11951</v>
      </c>
      <c r="B3905" t="s">
        <v>32627</v>
      </c>
    </row>
    <row r="3906" spans="1:2" x14ac:dyDescent="0.25">
      <c r="A3906" t="s">
        <v>11954</v>
      </c>
      <c r="B3906" t="s">
        <v>32631</v>
      </c>
    </row>
    <row r="3907" spans="1:2" x14ac:dyDescent="0.25">
      <c r="A3907" t="s">
        <v>11957</v>
      </c>
      <c r="B3907" t="s">
        <v>32635</v>
      </c>
    </row>
    <row r="3908" spans="1:2" x14ac:dyDescent="0.25">
      <c r="A3908" t="s">
        <v>12068</v>
      </c>
      <c r="B3908" t="s">
        <v>12068</v>
      </c>
    </row>
    <row r="3909" spans="1:2" x14ac:dyDescent="0.25">
      <c r="A3909" t="s">
        <v>12074</v>
      </c>
      <c r="B3909" t="s">
        <v>12074</v>
      </c>
    </row>
    <row r="3910" spans="1:2" x14ac:dyDescent="0.25">
      <c r="A3910" t="s">
        <v>12071</v>
      </c>
      <c r="B3910" t="s">
        <v>32780</v>
      </c>
    </row>
    <row r="3911" spans="1:2" x14ac:dyDescent="0.25">
      <c r="A3911" t="s">
        <v>12077</v>
      </c>
      <c r="B3911" t="s">
        <v>32788</v>
      </c>
    </row>
    <row r="3912" spans="1:2" x14ac:dyDescent="0.25">
      <c r="A3912" t="s">
        <v>11960</v>
      </c>
      <c r="B3912" t="s">
        <v>32639</v>
      </c>
    </row>
    <row r="3913" spans="1:2" x14ac:dyDescent="0.25">
      <c r="A3913" t="s">
        <v>12107</v>
      </c>
      <c r="B3913" t="s">
        <v>32831</v>
      </c>
    </row>
    <row r="3914" spans="1:2" x14ac:dyDescent="0.25">
      <c r="A3914" t="s">
        <v>7614</v>
      </c>
      <c r="B3914" t="s">
        <v>27299</v>
      </c>
    </row>
    <row r="3915" spans="1:2" x14ac:dyDescent="0.25">
      <c r="A3915" t="s">
        <v>11963</v>
      </c>
      <c r="B3915" t="s">
        <v>32643</v>
      </c>
    </row>
    <row r="3916" spans="1:2" x14ac:dyDescent="0.25">
      <c r="A3916" t="s">
        <v>12169</v>
      </c>
      <c r="B3916" t="s">
        <v>12169</v>
      </c>
    </row>
    <row r="3917" spans="1:2" x14ac:dyDescent="0.25">
      <c r="A3917" t="s">
        <v>12172</v>
      </c>
      <c r="B3917" t="s">
        <v>12172</v>
      </c>
    </row>
    <row r="3918" spans="1:2" x14ac:dyDescent="0.25">
      <c r="A3918" t="s">
        <v>2956</v>
      </c>
      <c r="B3918" t="s">
        <v>2956</v>
      </c>
    </row>
    <row r="3919" spans="1:2" x14ac:dyDescent="0.25">
      <c r="A3919" t="s">
        <v>12178</v>
      </c>
      <c r="B3919" t="s">
        <v>32928</v>
      </c>
    </row>
    <row r="3920" spans="1:2" x14ac:dyDescent="0.25">
      <c r="A3920" t="s">
        <v>5079</v>
      </c>
      <c r="B3920" t="s">
        <v>24475</v>
      </c>
    </row>
    <row r="3921" spans="1:2" x14ac:dyDescent="0.25">
      <c r="A3921" t="s">
        <v>7351</v>
      </c>
      <c r="B3921" t="s">
        <v>26934</v>
      </c>
    </row>
    <row r="3922" spans="1:2" x14ac:dyDescent="0.25">
      <c r="A3922" t="s">
        <v>7641</v>
      </c>
      <c r="B3922" t="s">
        <v>7641</v>
      </c>
    </row>
    <row r="3923" spans="1:2" x14ac:dyDescent="0.25">
      <c r="A3923" t="s">
        <v>7644</v>
      </c>
      <c r="B3923" t="s">
        <v>7644</v>
      </c>
    </row>
    <row r="3924" spans="1:2" x14ac:dyDescent="0.25">
      <c r="A3924" t="s">
        <v>7647</v>
      </c>
      <c r="B3924" t="s">
        <v>7647</v>
      </c>
    </row>
    <row r="3925" spans="1:2" x14ac:dyDescent="0.25">
      <c r="A3925" t="s">
        <v>7650</v>
      </c>
      <c r="B3925" t="s">
        <v>27335</v>
      </c>
    </row>
    <row r="3926" spans="1:2" x14ac:dyDescent="0.25">
      <c r="A3926" t="s">
        <v>7638</v>
      </c>
      <c r="B3926" t="s">
        <v>27318</v>
      </c>
    </row>
    <row r="3927" spans="1:2" x14ac:dyDescent="0.25">
      <c r="A3927" t="s">
        <v>7653</v>
      </c>
      <c r="B3927" t="s">
        <v>7653</v>
      </c>
    </row>
    <row r="3928" spans="1:2" x14ac:dyDescent="0.25">
      <c r="A3928" t="s">
        <v>7656</v>
      </c>
      <c r="B3928" t="s">
        <v>7656</v>
      </c>
    </row>
    <row r="3929" spans="1:2" x14ac:dyDescent="0.25">
      <c r="A3929" t="s">
        <v>7659</v>
      </c>
      <c r="B3929" t="s">
        <v>7659</v>
      </c>
    </row>
    <row r="3930" spans="1:2" x14ac:dyDescent="0.25">
      <c r="A3930" t="s">
        <v>7671</v>
      </c>
      <c r="B3930" t="s">
        <v>27364</v>
      </c>
    </row>
    <row r="3931" spans="1:2" x14ac:dyDescent="0.25">
      <c r="A3931" t="s">
        <v>7665</v>
      </c>
      <c r="B3931" t="s">
        <v>7665</v>
      </c>
    </row>
    <row r="3932" spans="1:2" x14ac:dyDescent="0.25">
      <c r="A3932" t="s">
        <v>7668</v>
      </c>
      <c r="B3932" t="s">
        <v>27359</v>
      </c>
    </row>
    <row r="3933" spans="1:2" x14ac:dyDescent="0.25">
      <c r="A3933" t="s">
        <v>7662</v>
      </c>
      <c r="B3933" t="s">
        <v>7662</v>
      </c>
    </row>
    <row r="3934" spans="1:2" x14ac:dyDescent="0.25">
      <c r="A3934" t="s">
        <v>7680</v>
      </c>
      <c r="B3934" t="s">
        <v>15461</v>
      </c>
    </row>
    <row r="3935" spans="1:2" x14ac:dyDescent="0.25">
      <c r="A3935" t="s">
        <v>7677</v>
      </c>
      <c r="B3935" t="s">
        <v>7677</v>
      </c>
    </row>
    <row r="3936" spans="1:2" x14ac:dyDescent="0.25">
      <c r="A3936" t="s">
        <v>7456</v>
      </c>
      <c r="B3936" t="s">
        <v>27080</v>
      </c>
    </row>
    <row r="3937" spans="1:2" x14ac:dyDescent="0.25">
      <c r="A3937" t="s">
        <v>7453</v>
      </c>
      <c r="B3937" t="s">
        <v>27075</v>
      </c>
    </row>
    <row r="3938" spans="1:2" x14ac:dyDescent="0.25">
      <c r="A3938" t="s">
        <v>7519</v>
      </c>
      <c r="B3938" t="s">
        <v>27173</v>
      </c>
    </row>
    <row r="3939" spans="1:2" x14ac:dyDescent="0.25">
      <c r="A3939" t="s">
        <v>7504</v>
      </c>
      <c r="B3939" t="s">
        <v>7504</v>
      </c>
    </row>
    <row r="3940" spans="1:2" x14ac:dyDescent="0.25">
      <c r="A3940" t="s">
        <v>7507</v>
      </c>
      <c r="B3940" t="s">
        <v>27154</v>
      </c>
    </row>
    <row r="3941" spans="1:2" x14ac:dyDescent="0.25">
      <c r="A3941" t="s">
        <v>7510</v>
      </c>
      <c r="B3941" t="s">
        <v>27158</v>
      </c>
    </row>
    <row r="3942" spans="1:2" x14ac:dyDescent="0.25">
      <c r="A3942" t="s">
        <v>7513</v>
      </c>
      <c r="B3942" t="s">
        <v>27163</v>
      </c>
    </row>
    <row r="3943" spans="1:2" x14ac:dyDescent="0.25">
      <c r="A3943" t="s">
        <v>7516</v>
      </c>
      <c r="B3943" t="s">
        <v>27168</v>
      </c>
    </row>
    <row r="3944" spans="1:2" x14ac:dyDescent="0.25">
      <c r="A3944" t="s">
        <v>7709</v>
      </c>
      <c r="B3944" t="s">
        <v>7709</v>
      </c>
    </row>
    <row r="3945" spans="1:2" x14ac:dyDescent="0.25">
      <c r="A3945" t="s">
        <v>7393</v>
      </c>
      <c r="B3945" t="s">
        <v>26991</v>
      </c>
    </row>
    <row r="3946" spans="1:2" x14ac:dyDescent="0.25">
      <c r="A3946" t="s">
        <v>7546</v>
      </c>
      <c r="B3946" t="s">
        <v>27208</v>
      </c>
    </row>
    <row r="3947" spans="1:2" x14ac:dyDescent="0.25">
      <c r="A3947" t="s">
        <v>7531</v>
      </c>
      <c r="B3947" t="s">
        <v>27192</v>
      </c>
    </row>
    <row r="3948" spans="1:2" x14ac:dyDescent="0.25">
      <c r="A3948" t="s">
        <v>7534</v>
      </c>
      <c r="B3948" t="s">
        <v>27193</v>
      </c>
    </row>
    <row r="3949" spans="1:2" x14ac:dyDescent="0.25">
      <c r="A3949" t="s">
        <v>7537</v>
      </c>
      <c r="B3949" t="s">
        <v>27194</v>
      </c>
    </row>
    <row r="3950" spans="1:2" x14ac:dyDescent="0.25">
      <c r="A3950" t="s">
        <v>7540</v>
      </c>
      <c r="B3950" t="s">
        <v>27199</v>
      </c>
    </row>
    <row r="3951" spans="1:2" x14ac:dyDescent="0.25">
      <c r="A3951" t="s">
        <v>3775</v>
      </c>
      <c r="B3951" t="s">
        <v>22909</v>
      </c>
    </row>
    <row r="3952" spans="1:2" x14ac:dyDescent="0.25">
      <c r="A3952" t="s">
        <v>7552</v>
      </c>
      <c r="B3952" t="s">
        <v>27218</v>
      </c>
    </row>
    <row r="3953" spans="1:2" x14ac:dyDescent="0.25">
      <c r="A3953" t="s">
        <v>7555</v>
      </c>
      <c r="B3953" t="s">
        <v>27223</v>
      </c>
    </row>
    <row r="3954" spans="1:2" x14ac:dyDescent="0.25">
      <c r="A3954" t="s">
        <v>793</v>
      </c>
      <c r="B3954" t="s">
        <v>19100</v>
      </c>
    </row>
    <row r="3955" spans="1:2" x14ac:dyDescent="0.25">
      <c r="A3955" t="s">
        <v>7549</v>
      </c>
      <c r="B3955" t="s">
        <v>27213</v>
      </c>
    </row>
    <row r="3956" spans="1:2" x14ac:dyDescent="0.25">
      <c r="A3956" t="s">
        <v>7558</v>
      </c>
      <c r="B3956" t="s">
        <v>27228</v>
      </c>
    </row>
    <row r="3957" spans="1:2" x14ac:dyDescent="0.25">
      <c r="A3957" t="s">
        <v>7618</v>
      </c>
      <c r="B3957" t="s">
        <v>7618</v>
      </c>
    </row>
    <row r="3958" spans="1:2" x14ac:dyDescent="0.25">
      <c r="A3958" t="s">
        <v>7616</v>
      </c>
      <c r="B3958" t="s">
        <v>7616</v>
      </c>
    </row>
    <row r="3959" spans="1:2" x14ac:dyDescent="0.25">
      <c r="A3959" t="s">
        <v>7724</v>
      </c>
      <c r="B3959" t="s">
        <v>7724</v>
      </c>
    </row>
    <row r="3960" spans="1:2" x14ac:dyDescent="0.25">
      <c r="A3960" t="s">
        <v>7698</v>
      </c>
      <c r="B3960" t="s">
        <v>27391</v>
      </c>
    </row>
    <row r="3961" spans="1:2" x14ac:dyDescent="0.25">
      <c r="A3961" t="s">
        <v>7703</v>
      </c>
      <c r="B3961" t="s">
        <v>7703</v>
      </c>
    </row>
    <row r="3962" spans="1:2" x14ac:dyDescent="0.25">
      <c r="A3962" t="s">
        <v>7715</v>
      </c>
      <c r="B3962" t="s">
        <v>7715</v>
      </c>
    </row>
    <row r="3963" spans="1:2" x14ac:dyDescent="0.25">
      <c r="A3963" t="s">
        <v>7712</v>
      </c>
      <c r="B3963" t="s">
        <v>27410</v>
      </c>
    </row>
    <row r="3964" spans="1:2" x14ac:dyDescent="0.25">
      <c r="A3964" t="s">
        <v>7721</v>
      </c>
      <c r="B3964" t="s">
        <v>7721</v>
      </c>
    </row>
    <row r="3965" spans="1:2" x14ac:dyDescent="0.25">
      <c r="A3965" t="s">
        <v>3532</v>
      </c>
      <c r="B3965" t="s">
        <v>22609</v>
      </c>
    </row>
    <row r="3966" spans="1:2" x14ac:dyDescent="0.25">
      <c r="A3966" t="s">
        <v>7718</v>
      </c>
      <c r="B3966" t="s">
        <v>27419</v>
      </c>
    </row>
    <row r="3967" spans="1:2" x14ac:dyDescent="0.25">
      <c r="A3967" t="s">
        <v>7706</v>
      </c>
      <c r="B3967" t="s">
        <v>27401</v>
      </c>
    </row>
    <row r="3968" spans="1:2" x14ac:dyDescent="0.25">
      <c r="A3968" t="s">
        <v>7701</v>
      </c>
      <c r="B3968" t="s">
        <v>27396</v>
      </c>
    </row>
    <row r="3969" spans="1:2" x14ac:dyDescent="0.25">
      <c r="A3969" t="s">
        <v>3322</v>
      </c>
      <c r="B3969" t="s">
        <v>22305</v>
      </c>
    </row>
    <row r="3970" spans="1:2" x14ac:dyDescent="0.25">
      <c r="A3970" t="s">
        <v>7727</v>
      </c>
      <c r="B3970" t="s">
        <v>27428</v>
      </c>
    </row>
    <row r="3971" spans="1:2" x14ac:dyDescent="0.25">
      <c r="A3971" t="s">
        <v>7746</v>
      </c>
      <c r="B3971" t="s">
        <v>7746</v>
      </c>
    </row>
    <row r="3972" spans="1:2" x14ac:dyDescent="0.25">
      <c r="A3972" t="s">
        <v>7477</v>
      </c>
      <c r="B3972" t="s">
        <v>7477</v>
      </c>
    </row>
    <row r="3973" spans="1:2" x14ac:dyDescent="0.25">
      <c r="A3973" t="s">
        <v>7480</v>
      </c>
      <c r="B3973" t="s">
        <v>7480</v>
      </c>
    </row>
    <row r="3974" spans="1:2" x14ac:dyDescent="0.25">
      <c r="A3974" t="s">
        <v>7483</v>
      </c>
      <c r="B3974" t="s">
        <v>27117</v>
      </c>
    </row>
    <row r="3975" spans="1:2" x14ac:dyDescent="0.25">
      <c r="A3975" t="s">
        <v>7489</v>
      </c>
      <c r="B3975" t="s">
        <v>27126</v>
      </c>
    </row>
    <row r="3976" spans="1:2" x14ac:dyDescent="0.25">
      <c r="A3976" t="s">
        <v>7495</v>
      </c>
      <c r="B3976" t="s">
        <v>27136</v>
      </c>
    </row>
    <row r="3977" spans="1:2" x14ac:dyDescent="0.25">
      <c r="A3977" t="s">
        <v>7492</v>
      </c>
      <c r="B3977" t="s">
        <v>27131</v>
      </c>
    </row>
    <row r="3978" spans="1:2" x14ac:dyDescent="0.25">
      <c r="A3978" t="s">
        <v>7486</v>
      </c>
      <c r="B3978" t="s">
        <v>27122</v>
      </c>
    </row>
    <row r="3979" spans="1:2" x14ac:dyDescent="0.25">
      <c r="A3979" t="s">
        <v>7749</v>
      </c>
      <c r="B3979" t="s">
        <v>27448</v>
      </c>
    </row>
    <row r="3980" spans="1:2" x14ac:dyDescent="0.25">
      <c r="A3980" t="s">
        <v>7579</v>
      </c>
      <c r="B3980" t="s">
        <v>27256</v>
      </c>
    </row>
    <row r="3981" spans="1:2" x14ac:dyDescent="0.25">
      <c r="A3981" t="s">
        <v>7770</v>
      </c>
      <c r="B3981" t="s">
        <v>27478</v>
      </c>
    </row>
    <row r="3982" spans="1:2" x14ac:dyDescent="0.25">
      <c r="A3982" t="s">
        <v>7611</v>
      </c>
      <c r="B3982" t="s">
        <v>27294</v>
      </c>
    </row>
    <row r="3983" spans="1:2" x14ac:dyDescent="0.25">
      <c r="A3983" t="s">
        <v>7585</v>
      </c>
      <c r="B3983" t="s">
        <v>27265</v>
      </c>
    </row>
    <row r="3984" spans="1:2" x14ac:dyDescent="0.25">
      <c r="A3984" t="s">
        <v>7582</v>
      </c>
      <c r="B3984" t="s">
        <v>27260</v>
      </c>
    </row>
    <row r="3985" spans="1:2" x14ac:dyDescent="0.25">
      <c r="A3985" t="s">
        <v>7767</v>
      </c>
      <c r="B3985" t="s">
        <v>7767</v>
      </c>
    </row>
    <row r="3986" spans="1:2" x14ac:dyDescent="0.25">
      <c r="A3986" t="s">
        <v>7755</v>
      </c>
      <c r="B3986" t="s">
        <v>27457</v>
      </c>
    </row>
    <row r="3987" spans="1:2" x14ac:dyDescent="0.25">
      <c r="A3987" t="s">
        <v>7752</v>
      </c>
      <c r="B3987" t="s">
        <v>7752</v>
      </c>
    </row>
    <row r="3988" spans="1:2" x14ac:dyDescent="0.25">
      <c r="A3988" t="s">
        <v>4410</v>
      </c>
      <c r="B3988" t="s">
        <v>23775</v>
      </c>
    </row>
    <row r="3989" spans="1:2" x14ac:dyDescent="0.25">
      <c r="A3989" t="s">
        <v>7573</v>
      </c>
      <c r="B3989" t="s">
        <v>27246</v>
      </c>
    </row>
    <row r="3990" spans="1:2" x14ac:dyDescent="0.25">
      <c r="A3990" t="s">
        <v>7576</v>
      </c>
      <c r="B3990" t="s">
        <v>27251</v>
      </c>
    </row>
    <row r="3991" spans="1:2" x14ac:dyDescent="0.25">
      <c r="A3991" t="s">
        <v>5243</v>
      </c>
      <c r="B3991" t="s">
        <v>24687</v>
      </c>
    </row>
    <row r="3992" spans="1:2" x14ac:dyDescent="0.25">
      <c r="A3992" t="s">
        <v>7758</v>
      </c>
      <c r="B3992" t="s">
        <v>15299</v>
      </c>
    </row>
    <row r="3993" spans="1:2" x14ac:dyDescent="0.25">
      <c r="A3993" t="s">
        <v>7764</v>
      </c>
      <c r="B3993" t="s">
        <v>7764</v>
      </c>
    </row>
    <row r="3994" spans="1:2" x14ac:dyDescent="0.25">
      <c r="A3994" t="s">
        <v>7761</v>
      </c>
      <c r="B3994" t="s">
        <v>7761</v>
      </c>
    </row>
    <row r="3995" spans="1:2" x14ac:dyDescent="0.25">
      <c r="A3995" t="s">
        <v>7802</v>
      </c>
      <c r="B3995" t="s">
        <v>27519</v>
      </c>
    </row>
    <row r="3996" spans="1:2" x14ac:dyDescent="0.25">
      <c r="A3996" t="s">
        <v>7805</v>
      </c>
      <c r="B3996" t="s">
        <v>27524</v>
      </c>
    </row>
    <row r="3997" spans="1:2" x14ac:dyDescent="0.25">
      <c r="A3997" t="s">
        <v>7831</v>
      </c>
      <c r="B3997" t="s">
        <v>7831</v>
      </c>
    </row>
    <row r="3998" spans="1:2" x14ac:dyDescent="0.25">
      <c r="A3998" t="s">
        <v>7834</v>
      </c>
      <c r="B3998" t="s">
        <v>7834</v>
      </c>
    </row>
    <row r="3999" spans="1:2" x14ac:dyDescent="0.25">
      <c r="A3999" t="s">
        <v>7459</v>
      </c>
      <c r="B3999" t="s">
        <v>7459</v>
      </c>
    </row>
    <row r="4000" spans="1:2" x14ac:dyDescent="0.25">
      <c r="A4000" t="s">
        <v>7462</v>
      </c>
      <c r="B4000" t="s">
        <v>27088</v>
      </c>
    </row>
    <row r="4001" spans="1:2" x14ac:dyDescent="0.25">
      <c r="A4001" t="s">
        <v>7468</v>
      </c>
      <c r="B4001" t="s">
        <v>27097</v>
      </c>
    </row>
    <row r="4002" spans="1:2" x14ac:dyDescent="0.25">
      <c r="A4002" t="s">
        <v>7465</v>
      </c>
      <c r="B4002" t="s">
        <v>27093</v>
      </c>
    </row>
    <row r="4003" spans="1:2" x14ac:dyDescent="0.25">
      <c r="A4003" t="s">
        <v>7471</v>
      </c>
      <c r="B4003" t="s">
        <v>7471</v>
      </c>
    </row>
    <row r="4004" spans="1:2" x14ac:dyDescent="0.25">
      <c r="A4004" t="s">
        <v>3655</v>
      </c>
      <c r="B4004" t="s">
        <v>3655</v>
      </c>
    </row>
    <row r="4005" spans="1:2" x14ac:dyDescent="0.25">
      <c r="A4005" t="s">
        <v>7474</v>
      </c>
      <c r="B4005" t="s">
        <v>27105</v>
      </c>
    </row>
    <row r="4006" spans="1:2" x14ac:dyDescent="0.25">
      <c r="A4006" t="s">
        <v>7837</v>
      </c>
      <c r="B4006" t="s">
        <v>7837</v>
      </c>
    </row>
    <row r="4007" spans="1:2" x14ac:dyDescent="0.25">
      <c r="A4007" t="s">
        <v>7840</v>
      </c>
      <c r="B4007" t="s">
        <v>7840</v>
      </c>
    </row>
    <row r="4008" spans="1:2" x14ac:dyDescent="0.25">
      <c r="A4008" t="s">
        <v>7522</v>
      </c>
      <c r="B4008" t="s">
        <v>27178</v>
      </c>
    </row>
    <row r="4009" spans="1:2" x14ac:dyDescent="0.25">
      <c r="A4009" t="s">
        <v>7525</v>
      </c>
      <c r="B4009" t="s">
        <v>27183</v>
      </c>
    </row>
    <row r="4010" spans="1:2" x14ac:dyDescent="0.25">
      <c r="A4010" t="s">
        <v>7608</v>
      </c>
      <c r="B4010" t="s">
        <v>27290</v>
      </c>
    </row>
    <row r="4011" spans="1:2" x14ac:dyDescent="0.25">
      <c r="A4011" t="s">
        <v>7498</v>
      </c>
      <c r="B4011" t="s">
        <v>7498</v>
      </c>
    </row>
    <row r="4012" spans="1:2" x14ac:dyDescent="0.25">
      <c r="A4012" t="s">
        <v>7501</v>
      </c>
      <c r="B4012" t="s">
        <v>27145</v>
      </c>
    </row>
    <row r="4013" spans="1:2" x14ac:dyDescent="0.25">
      <c r="A4013" t="s">
        <v>7543</v>
      </c>
      <c r="B4013" t="s">
        <v>27204</v>
      </c>
    </row>
    <row r="4014" spans="1:2" x14ac:dyDescent="0.25">
      <c r="A4014" t="s">
        <v>12181</v>
      </c>
      <c r="B4014" t="s">
        <v>32929</v>
      </c>
    </row>
    <row r="4015" spans="1:2" x14ac:dyDescent="0.25">
      <c r="A4015" t="s">
        <v>12187</v>
      </c>
      <c r="B4015" t="s">
        <v>32939</v>
      </c>
    </row>
    <row r="4016" spans="1:2" x14ac:dyDescent="0.25">
      <c r="A4016" t="s">
        <v>12190</v>
      </c>
      <c r="B4016" t="s">
        <v>32944</v>
      </c>
    </row>
    <row r="4017" spans="1:2" x14ac:dyDescent="0.25">
      <c r="A4017" t="s">
        <v>12184</v>
      </c>
      <c r="B4017" t="s">
        <v>32934</v>
      </c>
    </row>
    <row r="4018" spans="1:2" x14ac:dyDescent="0.25">
      <c r="A4018" t="s">
        <v>12193</v>
      </c>
      <c r="B4018" t="s">
        <v>32949</v>
      </c>
    </row>
    <row r="4019" spans="1:2" x14ac:dyDescent="0.25">
      <c r="A4019" t="s">
        <v>7866</v>
      </c>
      <c r="B4019" t="s">
        <v>27593</v>
      </c>
    </row>
    <row r="4020" spans="1:2" x14ac:dyDescent="0.25">
      <c r="A4020" t="s">
        <v>7863</v>
      </c>
      <c r="B4020" t="s">
        <v>27588</v>
      </c>
    </row>
    <row r="4021" spans="1:2" x14ac:dyDescent="0.25">
      <c r="A4021" t="s">
        <v>5115</v>
      </c>
      <c r="B4021" t="s">
        <v>5115</v>
      </c>
    </row>
    <row r="4022" spans="1:2" x14ac:dyDescent="0.25">
      <c r="A4022" t="s">
        <v>12199</v>
      </c>
      <c r="B4022" t="s">
        <v>12199</v>
      </c>
    </row>
    <row r="4023" spans="1:2" x14ac:dyDescent="0.25">
      <c r="A4023" t="s">
        <v>12196</v>
      </c>
      <c r="B4023" t="s">
        <v>12196</v>
      </c>
    </row>
    <row r="4024" spans="1:2" x14ac:dyDescent="0.25">
      <c r="A4024" t="s">
        <v>7620</v>
      </c>
      <c r="B4024" t="s">
        <v>27300</v>
      </c>
    </row>
    <row r="4025" spans="1:2" x14ac:dyDescent="0.25">
      <c r="A4025" t="s">
        <v>7622</v>
      </c>
      <c r="B4025" t="s">
        <v>27301</v>
      </c>
    </row>
    <row r="4026" spans="1:2" x14ac:dyDescent="0.25">
      <c r="A4026" t="s">
        <v>7624</v>
      </c>
      <c r="B4026" t="s">
        <v>27302</v>
      </c>
    </row>
    <row r="4027" spans="1:2" x14ac:dyDescent="0.25">
      <c r="A4027" t="s">
        <v>7592</v>
      </c>
      <c r="B4027" t="s">
        <v>27271</v>
      </c>
    </row>
    <row r="4028" spans="1:2" x14ac:dyDescent="0.25">
      <c r="A4028" t="s">
        <v>12217</v>
      </c>
      <c r="B4028" t="s">
        <v>32977</v>
      </c>
    </row>
    <row r="4029" spans="1:2" x14ac:dyDescent="0.25">
      <c r="A4029" t="s">
        <v>12220</v>
      </c>
      <c r="B4029" t="s">
        <v>32982</v>
      </c>
    </row>
    <row r="4030" spans="1:2" x14ac:dyDescent="0.25">
      <c r="A4030" t="s">
        <v>7883</v>
      </c>
      <c r="B4030" t="s">
        <v>27611</v>
      </c>
    </row>
    <row r="4031" spans="1:2" x14ac:dyDescent="0.25">
      <c r="A4031" t="s">
        <v>3283</v>
      </c>
      <c r="B4031" t="s">
        <v>22251</v>
      </c>
    </row>
    <row r="4032" spans="1:2" x14ac:dyDescent="0.25">
      <c r="A4032" t="s">
        <v>3286</v>
      </c>
      <c r="B4032" t="s">
        <v>22255</v>
      </c>
    </row>
    <row r="4033" spans="1:2" x14ac:dyDescent="0.25">
      <c r="A4033" t="s">
        <v>3289</v>
      </c>
      <c r="B4033" t="s">
        <v>22258</v>
      </c>
    </row>
    <row r="4034" spans="1:2" x14ac:dyDescent="0.25">
      <c r="A4034" t="s">
        <v>7869</v>
      </c>
      <c r="B4034" t="s">
        <v>7869</v>
      </c>
    </row>
    <row r="4035" spans="1:2" x14ac:dyDescent="0.25">
      <c r="A4035" t="s">
        <v>7872</v>
      </c>
      <c r="B4035" t="s">
        <v>7872</v>
      </c>
    </row>
    <row r="4036" spans="1:2" x14ac:dyDescent="0.25">
      <c r="A4036" t="s">
        <v>7875</v>
      </c>
      <c r="B4036" t="s">
        <v>7875</v>
      </c>
    </row>
    <row r="4037" spans="1:2" x14ac:dyDescent="0.25">
      <c r="A4037" t="s">
        <v>7878</v>
      </c>
      <c r="B4037" t="s">
        <v>7878</v>
      </c>
    </row>
    <row r="4038" spans="1:2" x14ac:dyDescent="0.25">
      <c r="A4038" t="s">
        <v>7881</v>
      </c>
      <c r="B4038" t="s">
        <v>7881</v>
      </c>
    </row>
    <row r="4039" spans="1:2" x14ac:dyDescent="0.25">
      <c r="A4039" t="s">
        <v>12223</v>
      </c>
      <c r="B4039" t="s">
        <v>32987</v>
      </c>
    </row>
    <row r="4040" spans="1:2" x14ac:dyDescent="0.25">
      <c r="A4040" t="s">
        <v>12226</v>
      </c>
      <c r="B4040" t="s">
        <v>32991</v>
      </c>
    </row>
    <row r="4041" spans="1:2" x14ac:dyDescent="0.25">
      <c r="A4041" t="s">
        <v>7888</v>
      </c>
      <c r="B4041" t="s">
        <v>27615</v>
      </c>
    </row>
    <row r="4042" spans="1:2" x14ac:dyDescent="0.25">
      <c r="A4042" t="s">
        <v>12238</v>
      </c>
      <c r="B4042" t="s">
        <v>33009</v>
      </c>
    </row>
    <row r="4043" spans="1:2" x14ac:dyDescent="0.25">
      <c r="A4043" t="s">
        <v>12229</v>
      </c>
      <c r="B4043" t="s">
        <v>32995</v>
      </c>
    </row>
    <row r="4044" spans="1:2" x14ac:dyDescent="0.25">
      <c r="A4044" t="s">
        <v>12232</v>
      </c>
      <c r="B4044" t="s">
        <v>33000</v>
      </c>
    </row>
    <row r="4045" spans="1:2" x14ac:dyDescent="0.25">
      <c r="A4045" t="s">
        <v>12247</v>
      </c>
      <c r="B4045" t="s">
        <v>12247</v>
      </c>
    </row>
    <row r="4046" spans="1:2" x14ac:dyDescent="0.25">
      <c r="A4046" t="s">
        <v>12235</v>
      </c>
      <c r="B4046" t="s">
        <v>33005</v>
      </c>
    </row>
    <row r="4047" spans="1:2" x14ac:dyDescent="0.25">
      <c r="A4047" t="s">
        <v>12241</v>
      </c>
      <c r="B4047" t="s">
        <v>12241</v>
      </c>
    </row>
    <row r="4048" spans="1:2" x14ac:dyDescent="0.25">
      <c r="A4048" t="s">
        <v>12244</v>
      </c>
      <c r="B4048" t="s">
        <v>33017</v>
      </c>
    </row>
    <row r="4049" spans="1:2" x14ac:dyDescent="0.25">
      <c r="A4049" t="s">
        <v>12250</v>
      </c>
      <c r="B4049" t="s">
        <v>12250</v>
      </c>
    </row>
    <row r="4050" spans="1:2" x14ac:dyDescent="0.25">
      <c r="A4050" t="s">
        <v>7885</v>
      </c>
      <c r="B4050" t="s">
        <v>7885</v>
      </c>
    </row>
    <row r="4051" spans="1:2" x14ac:dyDescent="0.25">
      <c r="A4051" t="s">
        <v>12253</v>
      </c>
      <c r="B4051" t="s">
        <v>33030</v>
      </c>
    </row>
    <row r="4052" spans="1:2" x14ac:dyDescent="0.25">
      <c r="A4052" t="s">
        <v>7890</v>
      </c>
      <c r="B4052" t="s">
        <v>27616</v>
      </c>
    </row>
    <row r="4053" spans="1:2" x14ac:dyDescent="0.25">
      <c r="A4053" t="s">
        <v>7892</v>
      </c>
      <c r="B4053" t="s">
        <v>27617</v>
      </c>
    </row>
    <row r="4054" spans="1:2" x14ac:dyDescent="0.25">
      <c r="A4054" t="s">
        <v>6235</v>
      </c>
      <c r="B4054" t="s">
        <v>25720</v>
      </c>
    </row>
    <row r="4055" spans="1:2" x14ac:dyDescent="0.25">
      <c r="A4055" t="s">
        <v>7894</v>
      </c>
      <c r="B4055" t="s">
        <v>27618</v>
      </c>
    </row>
    <row r="4056" spans="1:2" x14ac:dyDescent="0.25">
      <c r="A4056" t="s">
        <v>12256</v>
      </c>
      <c r="B4056" t="s">
        <v>12256</v>
      </c>
    </row>
    <row r="4057" spans="1:2" x14ac:dyDescent="0.25">
      <c r="A4057" t="s">
        <v>12265</v>
      </c>
      <c r="B4057" t="s">
        <v>12265</v>
      </c>
    </row>
    <row r="4058" spans="1:2" x14ac:dyDescent="0.25">
      <c r="A4058" t="s">
        <v>7898</v>
      </c>
      <c r="B4058" t="s">
        <v>27620</v>
      </c>
    </row>
    <row r="4059" spans="1:2" x14ac:dyDescent="0.25">
      <c r="A4059" t="s">
        <v>7896</v>
      </c>
      <c r="B4059" t="s">
        <v>27619</v>
      </c>
    </row>
    <row r="4060" spans="1:2" x14ac:dyDescent="0.25">
      <c r="A4060" t="s">
        <v>7904</v>
      </c>
      <c r="B4060" t="s">
        <v>27623</v>
      </c>
    </row>
    <row r="4061" spans="1:2" x14ac:dyDescent="0.25">
      <c r="A4061" t="s">
        <v>7906</v>
      </c>
      <c r="B4061" t="s">
        <v>27624</v>
      </c>
    </row>
    <row r="4062" spans="1:2" x14ac:dyDescent="0.25">
      <c r="A4062" t="s">
        <v>12259</v>
      </c>
      <c r="B4062" t="s">
        <v>12259</v>
      </c>
    </row>
    <row r="4063" spans="1:2" x14ac:dyDescent="0.25">
      <c r="A4063" t="s">
        <v>7902</v>
      </c>
      <c r="B4063" t="s">
        <v>27622</v>
      </c>
    </row>
    <row r="4064" spans="1:2" x14ac:dyDescent="0.25">
      <c r="A4064" t="s">
        <v>5519</v>
      </c>
      <c r="B4064" t="s">
        <v>24971</v>
      </c>
    </row>
    <row r="4065" spans="1:2" x14ac:dyDescent="0.25">
      <c r="A4065" t="s">
        <v>7900</v>
      </c>
      <c r="B4065" t="s">
        <v>27621</v>
      </c>
    </row>
    <row r="4066" spans="1:2" x14ac:dyDescent="0.25">
      <c r="A4066" t="s">
        <v>4334</v>
      </c>
      <c r="B4066" t="s">
        <v>23686</v>
      </c>
    </row>
    <row r="4067" spans="1:2" x14ac:dyDescent="0.25">
      <c r="A4067" t="s">
        <v>6317</v>
      </c>
      <c r="B4067" t="s">
        <v>25761</v>
      </c>
    </row>
    <row r="4068" spans="1:2" x14ac:dyDescent="0.25">
      <c r="A4068" t="s">
        <v>3107</v>
      </c>
      <c r="B4068" t="s">
        <v>22052</v>
      </c>
    </row>
    <row r="4069" spans="1:2" x14ac:dyDescent="0.25">
      <c r="A4069" t="s">
        <v>3105</v>
      </c>
      <c r="B4069" t="s">
        <v>22051</v>
      </c>
    </row>
    <row r="4070" spans="1:2" x14ac:dyDescent="0.25">
      <c r="A4070" t="s">
        <v>3901</v>
      </c>
      <c r="B4070" t="s">
        <v>23060</v>
      </c>
    </row>
    <row r="4071" spans="1:2" x14ac:dyDescent="0.25">
      <c r="A4071" t="s">
        <v>3804</v>
      </c>
      <c r="B4071" t="s">
        <v>22955</v>
      </c>
    </row>
    <row r="4072" spans="1:2" x14ac:dyDescent="0.25">
      <c r="A4072" t="s">
        <v>3848</v>
      </c>
      <c r="B4072" t="s">
        <v>23005</v>
      </c>
    </row>
    <row r="4073" spans="1:2" x14ac:dyDescent="0.25">
      <c r="A4073" t="s">
        <v>3854</v>
      </c>
      <c r="B4073" t="s">
        <v>23008</v>
      </c>
    </row>
    <row r="4074" spans="1:2" x14ac:dyDescent="0.25">
      <c r="A4074" t="s">
        <v>3850</v>
      </c>
      <c r="B4074" t="s">
        <v>23006</v>
      </c>
    </row>
    <row r="4075" spans="1:2" x14ac:dyDescent="0.25">
      <c r="A4075" t="s">
        <v>3852</v>
      </c>
      <c r="B4075" t="s">
        <v>23007</v>
      </c>
    </row>
    <row r="4076" spans="1:2" x14ac:dyDescent="0.25">
      <c r="A4076" t="s">
        <v>4449</v>
      </c>
      <c r="B4076" t="s">
        <v>23808</v>
      </c>
    </row>
    <row r="4077" spans="1:2" x14ac:dyDescent="0.25">
      <c r="A4077" t="s">
        <v>7078</v>
      </c>
      <c r="B4077" t="s">
        <v>26728</v>
      </c>
    </row>
    <row r="4078" spans="1:2" x14ac:dyDescent="0.25">
      <c r="A4078" t="s">
        <v>7076</v>
      </c>
      <c r="B4078" t="s">
        <v>26727</v>
      </c>
    </row>
    <row r="4079" spans="1:2" x14ac:dyDescent="0.25">
      <c r="A4079" t="s">
        <v>5915</v>
      </c>
      <c r="B4079" t="s">
        <v>25373</v>
      </c>
    </row>
    <row r="4080" spans="1:2" x14ac:dyDescent="0.25">
      <c r="A4080" t="s">
        <v>5866</v>
      </c>
      <c r="B4080" t="s">
        <v>25315</v>
      </c>
    </row>
    <row r="4081" spans="1:2" x14ac:dyDescent="0.25">
      <c r="A4081" t="s">
        <v>5930</v>
      </c>
      <c r="B4081" t="s">
        <v>25392</v>
      </c>
    </row>
    <row r="4082" spans="1:2" x14ac:dyDescent="0.25">
      <c r="A4082" t="s">
        <v>8002</v>
      </c>
      <c r="B4082" t="s">
        <v>27671</v>
      </c>
    </row>
    <row r="4083" spans="1:2" x14ac:dyDescent="0.25">
      <c r="A4083" t="s">
        <v>7908</v>
      </c>
      <c r="B4083" t="s">
        <v>27625</v>
      </c>
    </row>
    <row r="4084" spans="1:2" x14ac:dyDescent="0.25">
      <c r="A4084" t="s">
        <v>12262</v>
      </c>
      <c r="B4084" t="s">
        <v>33042</v>
      </c>
    </row>
    <row r="4085" spans="1:2" x14ac:dyDescent="0.25">
      <c r="A4085" t="s">
        <v>7910</v>
      </c>
      <c r="B4085" t="s">
        <v>27626</v>
      </c>
    </row>
    <row r="4086" spans="1:2" x14ac:dyDescent="0.25">
      <c r="A4086" t="s">
        <v>7912</v>
      </c>
      <c r="B4086" t="s">
        <v>27627</v>
      </c>
    </row>
    <row r="4087" spans="1:2" x14ac:dyDescent="0.25">
      <c r="A4087" t="s">
        <v>12268</v>
      </c>
      <c r="B4087" t="s">
        <v>12268</v>
      </c>
    </row>
    <row r="4088" spans="1:2" x14ac:dyDescent="0.25">
      <c r="A4088" t="s">
        <v>9201</v>
      </c>
      <c r="B4088" t="s">
        <v>29262</v>
      </c>
    </row>
    <row r="4089" spans="1:2" x14ac:dyDescent="0.25">
      <c r="A4089" t="s">
        <v>2855</v>
      </c>
      <c r="B4089" t="s">
        <v>21846</v>
      </c>
    </row>
    <row r="4090" spans="1:2" x14ac:dyDescent="0.25">
      <c r="A4090" t="s">
        <v>2857</v>
      </c>
      <c r="B4090" t="s">
        <v>21847</v>
      </c>
    </row>
    <row r="4091" spans="1:2" x14ac:dyDescent="0.25">
      <c r="A4091" t="s">
        <v>7914</v>
      </c>
      <c r="B4091" t="s">
        <v>27628</v>
      </c>
    </row>
    <row r="4092" spans="1:2" x14ac:dyDescent="0.25">
      <c r="A4092" t="s">
        <v>7916</v>
      </c>
      <c r="B4092" t="s">
        <v>27629</v>
      </c>
    </row>
    <row r="4093" spans="1:2" x14ac:dyDescent="0.25">
      <c r="A4093" t="s">
        <v>6365</v>
      </c>
      <c r="B4093" t="s">
        <v>25785</v>
      </c>
    </row>
    <row r="4094" spans="1:2" x14ac:dyDescent="0.25">
      <c r="A4094" t="s">
        <v>7918</v>
      </c>
      <c r="B4094" t="s">
        <v>27630</v>
      </c>
    </row>
    <row r="4095" spans="1:2" x14ac:dyDescent="0.25">
      <c r="A4095" t="s">
        <v>7920</v>
      </c>
      <c r="B4095" t="s">
        <v>27631</v>
      </c>
    </row>
    <row r="4096" spans="1:2" x14ac:dyDescent="0.25">
      <c r="A4096" t="s">
        <v>2812</v>
      </c>
      <c r="B4096" t="s">
        <v>21808</v>
      </c>
    </row>
    <row r="4097" spans="1:2" x14ac:dyDescent="0.25">
      <c r="A4097" t="s">
        <v>5833</v>
      </c>
      <c r="B4097" t="s">
        <v>25274</v>
      </c>
    </row>
    <row r="4098" spans="1:2" x14ac:dyDescent="0.25">
      <c r="A4098" t="s">
        <v>12271</v>
      </c>
      <c r="B4098" t="s">
        <v>33053</v>
      </c>
    </row>
    <row r="4099" spans="1:2" x14ac:dyDescent="0.25">
      <c r="A4099" t="s">
        <v>12277</v>
      </c>
      <c r="B4099" t="s">
        <v>12277</v>
      </c>
    </row>
    <row r="4100" spans="1:2" x14ac:dyDescent="0.25">
      <c r="A4100" t="s">
        <v>12274</v>
      </c>
      <c r="B4100" t="s">
        <v>33058</v>
      </c>
    </row>
    <row r="4101" spans="1:2" x14ac:dyDescent="0.25">
      <c r="A4101" t="s">
        <v>12283</v>
      </c>
      <c r="B4101" t="s">
        <v>33071</v>
      </c>
    </row>
    <row r="4102" spans="1:2" x14ac:dyDescent="0.25">
      <c r="A4102" t="s">
        <v>12280</v>
      </c>
      <c r="B4102" t="s">
        <v>33066</v>
      </c>
    </row>
    <row r="4103" spans="1:2" x14ac:dyDescent="0.25">
      <c r="A4103" t="s">
        <v>6307</v>
      </c>
      <c r="B4103" t="s">
        <v>25756</v>
      </c>
    </row>
    <row r="4104" spans="1:2" x14ac:dyDescent="0.25">
      <c r="A4104" t="s">
        <v>7924</v>
      </c>
      <c r="B4104" t="s">
        <v>27633</v>
      </c>
    </row>
    <row r="4105" spans="1:2" x14ac:dyDescent="0.25">
      <c r="A4105" t="s">
        <v>7972</v>
      </c>
      <c r="B4105" t="s">
        <v>27657</v>
      </c>
    </row>
    <row r="4106" spans="1:2" x14ac:dyDescent="0.25">
      <c r="A4106" t="s">
        <v>7974</v>
      </c>
      <c r="B4106" t="s">
        <v>27658</v>
      </c>
    </row>
    <row r="4107" spans="1:2" x14ac:dyDescent="0.25">
      <c r="A4107" t="s">
        <v>7970</v>
      </c>
      <c r="B4107" t="s">
        <v>27656</v>
      </c>
    </row>
    <row r="4108" spans="1:2" x14ac:dyDescent="0.25">
      <c r="A4108" t="s">
        <v>7940</v>
      </c>
      <c r="B4108" t="s">
        <v>27641</v>
      </c>
    </row>
    <row r="4109" spans="1:2" x14ac:dyDescent="0.25">
      <c r="A4109" t="s">
        <v>7938</v>
      </c>
      <c r="B4109" t="s">
        <v>27640</v>
      </c>
    </row>
    <row r="4110" spans="1:2" x14ac:dyDescent="0.25">
      <c r="A4110" t="s">
        <v>7942</v>
      </c>
      <c r="B4110" t="s">
        <v>27642</v>
      </c>
    </row>
    <row r="4111" spans="1:2" x14ac:dyDescent="0.25">
      <c r="A4111" t="s">
        <v>7944</v>
      </c>
      <c r="B4111" t="s">
        <v>27643</v>
      </c>
    </row>
    <row r="4112" spans="1:2" x14ac:dyDescent="0.25">
      <c r="A4112" t="s">
        <v>7946</v>
      </c>
      <c r="B4112" t="s">
        <v>27644</v>
      </c>
    </row>
    <row r="4113" spans="1:2" x14ac:dyDescent="0.25">
      <c r="A4113" t="s">
        <v>7950</v>
      </c>
      <c r="B4113" t="s">
        <v>27646</v>
      </c>
    </row>
    <row r="4114" spans="1:2" x14ac:dyDescent="0.25">
      <c r="A4114" t="s">
        <v>7952</v>
      </c>
      <c r="B4114" t="s">
        <v>27647</v>
      </c>
    </row>
    <row r="4115" spans="1:2" x14ac:dyDescent="0.25">
      <c r="A4115" t="s">
        <v>7954</v>
      </c>
      <c r="B4115" t="s">
        <v>27648</v>
      </c>
    </row>
    <row r="4116" spans="1:2" x14ac:dyDescent="0.25">
      <c r="A4116" t="s">
        <v>7956</v>
      </c>
      <c r="B4116" t="s">
        <v>27649</v>
      </c>
    </row>
    <row r="4117" spans="1:2" x14ac:dyDescent="0.25">
      <c r="A4117" t="s">
        <v>7958</v>
      </c>
      <c r="B4117" t="s">
        <v>27650</v>
      </c>
    </row>
    <row r="4118" spans="1:2" x14ac:dyDescent="0.25">
      <c r="A4118" t="s">
        <v>7960</v>
      </c>
      <c r="B4118" t="s">
        <v>27651</v>
      </c>
    </row>
    <row r="4119" spans="1:2" x14ac:dyDescent="0.25">
      <c r="A4119" t="s">
        <v>7966</v>
      </c>
      <c r="B4119" t="s">
        <v>27654</v>
      </c>
    </row>
    <row r="4120" spans="1:2" x14ac:dyDescent="0.25">
      <c r="A4120" t="s">
        <v>7964</v>
      </c>
      <c r="B4120" t="s">
        <v>27653</v>
      </c>
    </row>
    <row r="4121" spans="1:2" x14ac:dyDescent="0.25">
      <c r="A4121" t="s">
        <v>7976</v>
      </c>
      <c r="B4121" t="s">
        <v>27659</v>
      </c>
    </row>
    <row r="4122" spans="1:2" x14ac:dyDescent="0.25">
      <c r="A4122" t="s">
        <v>7968</v>
      </c>
      <c r="B4122" t="s">
        <v>27655</v>
      </c>
    </row>
    <row r="4123" spans="1:2" x14ac:dyDescent="0.25">
      <c r="A4123" t="s">
        <v>7948</v>
      </c>
      <c r="B4123" t="s">
        <v>27645</v>
      </c>
    </row>
    <row r="4124" spans="1:2" x14ac:dyDescent="0.25">
      <c r="A4124" t="s">
        <v>7962</v>
      </c>
      <c r="B4124" t="s">
        <v>27652</v>
      </c>
    </row>
    <row r="4125" spans="1:2" x14ac:dyDescent="0.25">
      <c r="A4125" t="s">
        <v>7978</v>
      </c>
      <c r="B4125" t="s">
        <v>27660</v>
      </c>
    </row>
    <row r="4126" spans="1:2" x14ac:dyDescent="0.25">
      <c r="A4126" t="s">
        <v>7980</v>
      </c>
      <c r="B4126" t="s">
        <v>27661</v>
      </c>
    </row>
    <row r="4127" spans="1:2" x14ac:dyDescent="0.25">
      <c r="A4127" t="s">
        <v>7982</v>
      </c>
      <c r="B4127" t="s">
        <v>27662</v>
      </c>
    </row>
    <row r="4128" spans="1:2" x14ac:dyDescent="0.25">
      <c r="A4128" t="s">
        <v>7922</v>
      </c>
      <c r="B4128" t="s">
        <v>27632</v>
      </c>
    </row>
    <row r="4129" spans="1:2" x14ac:dyDescent="0.25">
      <c r="A4129" t="s">
        <v>6221</v>
      </c>
      <c r="B4129" t="s">
        <v>25713</v>
      </c>
    </row>
    <row r="4130" spans="1:2" x14ac:dyDescent="0.25">
      <c r="A4130" t="s">
        <v>7928</v>
      </c>
      <c r="B4130" t="s">
        <v>27635</v>
      </c>
    </row>
    <row r="4131" spans="1:2" x14ac:dyDescent="0.25">
      <c r="A4131" t="s">
        <v>7926</v>
      </c>
      <c r="B4131" t="s">
        <v>27634</v>
      </c>
    </row>
    <row r="4132" spans="1:2" x14ac:dyDescent="0.25">
      <c r="A4132" t="s">
        <v>7930</v>
      </c>
      <c r="B4132" t="s">
        <v>27636</v>
      </c>
    </row>
    <row r="4133" spans="1:2" x14ac:dyDescent="0.25">
      <c r="A4133" t="s">
        <v>7984</v>
      </c>
      <c r="B4133" t="s">
        <v>27663</v>
      </c>
    </row>
    <row r="4134" spans="1:2" x14ac:dyDescent="0.25">
      <c r="A4134" t="s">
        <v>7986</v>
      </c>
      <c r="B4134" t="s">
        <v>27664</v>
      </c>
    </row>
    <row r="4135" spans="1:2" x14ac:dyDescent="0.25">
      <c r="A4135" t="s">
        <v>8000</v>
      </c>
      <c r="B4135" t="s">
        <v>27670</v>
      </c>
    </row>
    <row r="4136" spans="1:2" x14ac:dyDescent="0.25">
      <c r="A4136" t="s">
        <v>7990</v>
      </c>
      <c r="B4136" t="s">
        <v>27666</v>
      </c>
    </row>
    <row r="4137" spans="1:2" x14ac:dyDescent="0.25">
      <c r="A4137" t="s">
        <v>7988</v>
      </c>
      <c r="B4137" t="s">
        <v>27665</v>
      </c>
    </row>
    <row r="4138" spans="1:2" x14ac:dyDescent="0.25">
      <c r="A4138" t="s">
        <v>2847</v>
      </c>
      <c r="B4138" t="s">
        <v>21842</v>
      </c>
    </row>
    <row r="4139" spans="1:2" x14ac:dyDescent="0.25">
      <c r="A4139" t="s">
        <v>7992</v>
      </c>
      <c r="B4139" t="s">
        <v>27667</v>
      </c>
    </row>
    <row r="4140" spans="1:2" x14ac:dyDescent="0.25">
      <c r="A4140" t="s">
        <v>7994</v>
      </c>
      <c r="B4140" t="s">
        <v>7994</v>
      </c>
    </row>
    <row r="4141" spans="1:2" x14ac:dyDescent="0.25">
      <c r="A4141" t="s">
        <v>7996</v>
      </c>
      <c r="B4141" t="s">
        <v>27668</v>
      </c>
    </row>
    <row r="4142" spans="1:2" x14ac:dyDescent="0.25">
      <c r="A4142" t="s">
        <v>7998</v>
      </c>
      <c r="B4142" t="s">
        <v>27669</v>
      </c>
    </row>
    <row r="4143" spans="1:2" x14ac:dyDescent="0.25">
      <c r="A4143" t="s">
        <v>8004</v>
      </c>
      <c r="B4143" t="s">
        <v>27672</v>
      </c>
    </row>
    <row r="4144" spans="1:2" x14ac:dyDescent="0.25">
      <c r="A4144" t="s">
        <v>12286</v>
      </c>
      <c r="B4144" t="s">
        <v>12286</v>
      </c>
    </row>
    <row r="4145" spans="1:2" x14ac:dyDescent="0.25">
      <c r="A4145" t="s">
        <v>8009</v>
      </c>
      <c r="B4145" t="s">
        <v>27677</v>
      </c>
    </row>
    <row r="4146" spans="1:2" x14ac:dyDescent="0.25">
      <c r="A4146" t="s">
        <v>8027</v>
      </c>
      <c r="B4146" t="s">
        <v>8027</v>
      </c>
    </row>
    <row r="4147" spans="1:2" x14ac:dyDescent="0.25">
      <c r="A4147" t="s">
        <v>5081</v>
      </c>
      <c r="B4147" t="s">
        <v>24476</v>
      </c>
    </row>
    <row r="4148" spans="1:2" x14ac:dyDescent="0.25">
      <c r="A4148" t="s">
        <v>8017</v>
      </c>
      <c r="B4148" t="s">
        <v>27681</v>
      </c>
    </row>
    <row r="4149" spans="1:2" x14ac:dyDescent="0.25">
      <c r="A4149" t="s">
        <v>8011</v>
      </c>
      <c r="B4149" t="s">
        <v>27678</v>
      </c>
    </row>
    <row r="4150" spans="1:2" x14ac:dyDescent="0.25">
      <c r="A4150" t="s">
        <v>8015</v>
      </c>
      <c r="B4150" t="s">
        <v>27680</v>
      </c>
    </row>
    <row r="4151" spans="1:2" x14ac:dyDescent="0.25">
      <c r="A4151" t="s">
        <v>8013</v>
      </c>
      <c r="B4151" t="s">
        <v>27679</v>
      </c>
    </row>
    <row r="4152" spans="1:2" x14ac:dyDescent="0.25">
      <c r="A4152" t="s">
        <v>8021</v>
      </c>
      <c r="B4152" t="s">
        <v>27683</v>
      </c>
    </row>
    <row r="4153" spans="1:2" x14ac:dyDescent="0.25">
      <c r="A4153" t="s">
        <v>8019</v>
      </c>
      <c r="B4153" t="s">
        <v>27682</v>
      </c>
    </row>
    <row r="4154" spans="1:2" x14ac:dyDescent="0.25">
      <c r="A4154" t="s">
        <v>8023</v>
      </c>
      <c r="B4154" t="s">
        <v>27684</v>
      </c>
    </row>
    <row r="4155" spans="1:2" x14ac:dyDescent="0.25">
      <c r="A4155" t="s">
        <v>8025</v>
      </c>
      <c r="B4155" t="s">
        <v>27685</v>
      </c>
    </row>
    <row r="4156" spans="1:2" x14ac:dyDescent="0.25">
      <c r="A4156" t="s">
        <v>8029</v>
      </c>
      <c r="B4156" t="s">
        <v>27688</v>
      </c>
    </row>
    <row r="4157" spans="1:2" x14ac:dyDescent="0.25">
      <c r="A4157" t="s">
        <v>5213</v>
      </c>
      <c r="B4157" t="s">
        <v>24651</v>
      </c>
    </row>
    <row r="4158" spans="1:2" x14ac:dyDescent="0.25">
      <c r="A4158" t="s">
        <v>471</v>
      </c>
      <c r="B4158" t="s">
        <v>24677</v>
      </c>
    </row>
    <row r="4159" spans="1:2" x14ac:dyDescent="0.25">
      <c r="A4159" t="s">
        <v>5109</v>
      </c>
      <c r="B4159" t="s">
        <v>24509</v>
      </c>
    </row>
    <row r="4160" spans="1:2" x14ac:dyDescent="0.25">
      <c r="A4160" t="s">
        <v>6341</v>
      </c>
      <c r="B4160" t="s">
        <v>25773</v>
      </c>
    </row>
    <row r="4161" spans="1:2" x14ac:dyDescent="0.25">
      <c r="A4161" t="s">
        <v>8031</v>
      </c>
      <c r="B4161" t="s">
        <v>27689</v>
      </c>
    </row>
    <row r="4162" spans="1:2" x14ac:dyDescent="0.25">
      <c r="A4162" t="s">
        <v>6381</v>
      </c>
      <c r="B4162" t="s">
        <v>25793</v>
      </c>
    </row>
    <row r="4163" spans="1:2" x14ac:dyDescent="0.25">
      <c r="A4163" t="s">
        <v>6367</v>
      </c>
      <c r="B4163" t="s">
        <v>25786</v>
      </c>
    </row>
    <row r="4164" spans="1:2" x14ac:dyDescent="0.25">
      <c r="A4164" t="s">
        <v>8035</v>
      </c>
      <c r="B4164" t="s">
        <v>27691</v>
      </c>
    </row>
    <row r="4165" spans="1:2" x14ac:dyDescent="0.25">
      <c r="A4165" t="s">
        <v>8037</v>
      </c>
      <c r="B4165" t="s">
        <v>27692</v>
      </c>
    </row>
    <row r="4166" spans="1:2" x14ac:dyDescent="0.25">
      <c r="A4166" t="s">
        <v>8039</v>
      </c>
      <c r="B4166" t="s">
        <v>27693</v>
      </c>
    </row>
    <row r="4167" spans="1:2" x14ac:dyDescent="0.25">
      <c r="A4167" t="s">
        <v>8041</v>
      </c>
      <c r="B4167" t="s">
        <v>8041</v>
      </c>
    </row>
    <row r="4168" spans="1:2" x14ac:dyDescent="0.25">
      <c r="A4168" t="s">
        <v>8006</v>
      </c>
      <c r="B4168" t="s">
        <v>27673</v>
      </c>
    </row>
    <row r="4169" spans="1:2" x14ac:dyDescent="0.25">
      <c r="A4169" t="s">
        <v>8043</v>
      </c>
      <c r="B4169" t="s">
        <v>8043</v>
      </c>
    </row>
    <row r="4170" spans="1:2" x14ac:dyDescent="0.25">
      <c r="A4170" t="s">
        <v>8048</v>
      </c>
      <c r="B4170" t="s">
        <v>27698</v>
      </c>
    </row>
    <row r="4171" spans="1:2" x14ac:dyDescent="0.25">
      <c r="A4171" t="s">
        <v>8056</v>
      </c>
      <c r="B4171" t="s">
        <v>27705</v>
      </c>
    </row>
    <row r="4172" spans="1:2" x14ac:dyDescent="0.25">
      <c r="A4172" t="s">
        <v>8058</v>
      </c>
      <c r="B4172" t="s">
        <v>8058</v>
      </c>
    </row>
    <row r="4173" spans="1:2" x14ac:dyDescent="0.25">
      <c r="A4173" t="s">
        <v>8050</v>
      </c>
      <c r="B4173" t="s">
        <v>8050</v>
      </c>
    </row>
    <row r="4174" spans="1:2" x14ac:dyDescent="0.25">
      <c r="A4174" t="s">
        <v>8053</v>
      </c>
      <c r="B4174" t="s">
        <v>8053</v>
      </c>
    </row>
    <row r="4175" spans="1:2" x14ac:dyDescent="0.25">
      <c r="A4175" t="s">
        <v>8061</v>
      </c>
      <c r="B4175" t="s">
        <v>27709</v>
      </c>
    </row>
    <row r="4176" spans="1:2" x14ac:dyDescent="0.25">
      <c r="A4176" t="s">
        <v>2851</v>
      </c>
      <c r="B4176" t="s">
        <v>21844</v>
      </c>
    </row>
    <row r="4177" spans="1:2" x14ac:dyDescent="0.25">
      <c r="A4177" t="s">
        <v>2972</v>
      </c>
      <c r="B4177" t="s">
        <v>21915</v>
      </c>
    </row>
    <row r="4178" spans="1:2" x14ac:dyDescent="0.25">
      <c r="A4178" t="s">
        <v>2975</v>
      </c>
      <c r="B4178" t="s">
        <v>21916</v>
      </c>
    </row>
    <row r="4179" spans="1:2" x14ac:dyDescent="0.25">
      <c r="A4179" t="s">
        <v>12292</v>
      </c>
      <c r="B4179" t="s">
        <v>12292</v>
      </c>
    </row>
    <row r="4180" spans="1:2" x14ac:dyDescent="0.25">
      <c r="A4180" t="s">
        <v>8079</v>
      </c>
      <c r="B4180" t="s">
        <v>27720</v>
      </c>
    </row>
    <row r="4181" spans="1:2" x14ac:dyDescent="0.25">
      <c r="A4181" t="s">
        <v>8082</v>
      </c>
      <c r="B4181" t="s">
        <v>27724</v>
      </c>
    </row>
    <row r="4182" spans="1:2" x14ac:dyDescent="0.25">
      <c r="A4182" t="s">
        <v>8085</v>
      </c>
      <c r="B4182" t="s">
        <v>27729</v>
      </c>
    </row>
    <row r="4183" spans="1:2" x14ac:dyDescent="0.25">
      <c r="A4183" t="s">
        <v>8088</v>
      </c>
      <c r="B4183" t="s">
        <v>27734</v>
      </c>
    </row>
    <row r="4184" spans="1:2" x14ac:dyDescent="0.25">
      <c r="A4184" t="s">
        <v>12295</v>
      </c>
      <c r="B4184" t="s">
        <v>12295</v>
      </c>
    </row>
    <row r="4185" spans="1:2" x14ac:dyDescent="0.25">
      <c r="A4185" t="s">
        <v>8091</v>
      </c>
      <c r="B4185" t="s">
        <v>8091</v>
      </c>
    </row>
    <row r="4186" spans="1:2" x14ac:dyDescent="0.25">
      <c r="A4186" t="s">
        <v>5605</v>
      </c>
      <c r="B4186" t="s">
        <v>25038</v>
      </c>
    </row>
    <row r="4187" spans="1:2" x14ac:dyDescent="0.25">
      <c r="A4187" t="s">
        <v>12298</v>
      </c>
      <c r="B4187" t="s">
        <v>12298</v>
      </c>
    </row>
    <row r="4188" spans="1:2" x14ac:dyDescent="0.25">
      <c r="A4188" t="s">
        <v>8069</v>
      </c>
      <c r="B4188" t="s">
        <v>8069</v>
      </c>
    </row>
    <row r="4189" spans="1:2" x14ac:dyDescent="0.25">
      <c r="A4189" t="s">
        <v>8071</v>
      </c>
      <c r="B4189" t="s">
        <v>26805</v>
      </c>
    </row>
    <row r="4190" spans="1:2" x14ac:dyDescent="0.25">
      <c r="A4190" t="s">
        <v>5083</v>
      </c>
      <c r="B4190" t="s">
        <v>24477</v>
      </c>
    </row>
    <row r="4191" spans="1:2" x14ac:dyDescent="0.25">
      <c r="A4191" t="s">
        <v>5216</v>
      </c>
      <c r="B4191" t="s">
        <v>24652</v>
      </c>
    </row>
    <row r="4192" spans="1:2" x14ac:dyDescent="0.25">
      <c r="A4192" t="s">
        <v>12289</v>
      </c>
      <c r="B4192" t="s">
        <v>12289</v>
      </c>
    </row>
    <row r="4193" spans="1:2" x14ac:dyDescent="0.25">
      <c r="A4193" t="s">
        <v>8073</v>
      </c>
      <c r="B4193" t="s">
        <v>27717</v>
      </c>
    </row>
    <row r="4194" spans="1:2" x14ac:dyDescent="0.25">
      <c r="A4194" t="s">
        <v>6112</v>
      </c>
      <c r="B4194" t="s">
        <v>25652</v>
      </c>
    </row>
    <row r="4195" spans="1:2" x14ac:dyDescent="0.25">
      <c r="A4195" t="s">
        <v>7159</v>
      </c>
      <c r="B4195" t="s">
        <v>26797</v>
      </c>
    </row>
    <row r="4196" spans="1:2" x14ac:dyDescent="0.25">
      <c r="A4196" t="s">
        <v>7345</v>
      </c>
      <c r="B4196" t="s">
        <v>26931</v>
      </c>
    </row>
    <row r="4197" spans="1:2" x14ac:dyDescent="0.25">
      <c r="A4197" t="s">
        <v>7213</v>
      </c>
      <c r="B4197" t="s">
        <v>26829</v>
      </c>
    </row>
    <row r="4198" spans="1:2" x14ac:dyDescent="0.25">
      <c r="A4198" t="s">
        <v>7190</v>
      </c>
      <c r="B4198" t="s">
        <v>26815</v>
      </c>
    </row>
    <row r="4199" spans="1:2" x14ac:dyDescent="0.25">
      <c r="A4199" t="s">
        <v>5112</v>
      </c>
      <c r="B4199" t="s">
        <v>24512</v>
      </c>
    </row>
    <row r="4200" spans="1:2" x14ac:dyDescent="0.25">
      <c r="A4200" t="s">
        <v>8075</v>
      </c>
      <c r="B4200" t="s">
        <v>27718</v>
      </c>
    </row>
    <row r="4201" spans="1:2" x14ac:dyDescent="0.25">
      <c r="A4201" t="s">
        <v>8077</v>
      </c>
      <c r="B4201" t="s">
        <v>27719</v>
      </c>
    </row>
    <row r="4202" spans="1:2" x14ac:dyDescent="0.25">
      <c r="A4202" t="s">
        <v>2859</v>
      </c>
      <c r="B4202" t="s">
        <v>21848</v>
      </c>
    </row>
    <row r="4203" spans="1:2" x14ac:dyDescent="0.25">
      <c r="A4203" t="s">
        <v>33090</v>
      </c>
      <c r="B4203" t="s">
        <v>33091</v>
      </c>
    </row>
    <row r="4204" spans="1:2" x14ac:dyDescent="0.25">
      <c r="A4204" t="s">
        <v>33092</v>
      </c>
      <c r="B4204" t="s">
        <v>33093</v>
      </c>
    </row>
    <row r="4205" spans="1:2" x14ac:dyDescent="0.25">
      <c r="A4205" t="s">
        <v>33094</v>
      </c>
      <c r="B4205" t="s">
        <v>33094</v>
      </c>
    </row>
    <row r="4206" spans="1:2" x14ac:dyDescent="0.25">
      <c r="A4206" t="s">
        <v>33095</v>
      </c>
      <c r="B4206" t="s">
        <v>33095</v>
      </c>
    </row>
    <row r="4207" spans="1:2" x14ac:dyDescent="0.25">
      <c r="A4207" t="s">
        <v>4450</v>
      </c>
      <c r="B4207" t="s">
        <v>4450</v>
      </c>
    </row>
    <row r="4208" spans="1:2" x14ac:dyDescent="0.25">
      <c r="A4208" t="s">
        <v>33096</v>
      </c>
      <c r="B4208" t="s">
        <v>33097</v>
      </c>
    </row>
    <row r="4209" spans="1:2" x14ac:dyDescent="0.25">
      <c r="A4209" t="s">
        <v>33098</v>
      </c>
      <c r="B4209" t="s">
        <v>19318</v>
      </c>
    </row>
    <row r="4210" spans="1:2" x14ac:dyDescent="0.25">
      <c r="A4210" t="s">
        <v>795</v>
      </c>
      <c r="B4210" t="s">
        <v>33099</v>
      </c>
    </row>
    <row r="4211" spans="1:2" x14ac:dyDescent="0.25">
      <c r="A4211" t="s">
        <v>33100</v>
      </c>
      <c r="B4211" t="s">
        <v>33100</v>
      </c>
    </row>
    <row r="4212" spans="1:2" x14ac:dyDescent="0.25">
      <c r="A4212" t="s">
        <v>33101</v>
      </c>
      <c r="B4212" t="s">
        <v>33102</v>
      </c>
    </row>
    <row r="4213" spans="1:2" x14ac:dyDescent="0.25">
      <c r="A4213" t="s">
        <v>33103</v>
      </c>
      <c r="B4213" t="s">
        <v>33104</v>
      </c>
    </row>
    <row r="4214" spans="1:2" x14ac:dyDescent="0.25">
      <c r="A4214" t="s">
        <v>33105</v>
      </c>
      <c r="B4214" t="s">
        <v>33106</v>
      </c>
    </row>
    <row r="4215" spans="1:2" x14ac:dyDescent="0.25">
      <c r="A4215" t="s">
        <v>33107</v>
      </c>
      <c r="B4215" t="s">
        <v>33108</v>
      </c>
    </row>
    <row r="4216" spans="1:2" x14ac:dyDescent="0.25">
      <c r="A4216" t="s">
        <v>809</v>
      </c>
      <c r="B4216" t="s">
        <v>809</v>
      </c>
    </row>
    <row r="4217" spans="1:2" x14ac:dyDescent="0.25">
      <c r="A4217" t="s">
        <v>33109</v>
      </c>
      <c r="B4217" t="s">
        <v>33110</v>
      </c>
    </row>
    <row r="4218" spans="1:2" x14ac:dyDescent="0.25">
      <c r="A4218" t="s">
        <v>13300</v>
      </c>
      <c r="B4218" t="s">
        <v>33111</v>
      </c>
    </row>
    <row r="4219" spans="1:2" x14ac:dyDescent="0.25">
      <c r="A4219" t="s">
        <v>33112</v>
      </c>
      <c r="B4219" t="s">
        <v>33112</v>
      </c>
    </row>
    <row r="4220" spans="1:2" x14ac:dyDescent="0.25">
      <c r="A4220" t="s">
        <v>33113</v>
      </c>
      <c r="B4220" t="s">
        <v>33114</v>
      </c>
    </row>
    <row r="4221" spans="1:2" x14ac:dyDescent="0.25">
      <c r="A4221" t="s">
        <v>786</v>
      </c>
      <c r="B4221" t="s">
        <v>33115</v>
      </c>
    </row>
    <row r="4222" spans="1:2" x14ac:dyDescent="0.25">
      <c r="A4222" t="s">
        <v>33116</v>
      </c>
      <c r="B4222" t="s">
        <v>33117</v>
      </c>
    </row>
    <row r="4223" spans="1:2" x14ac:dyDescent="0.25">
      <c r="A4223" t="s">
        <v>19084</v>
      </c>
      <c r="B4223" t="s">
        <v>33118</v>
      </c>
    </row>
    <row r="4224" spans="1:2" x14ac:dyDescent="0.25">
      <c r="A4224" t="s">
        <v>4734</v>
      </c>
      <c r="B4224" t="s">
        <v>4734</v>
      </c>
    </row>
    <row r="4225" spans="1:2" x14ac:dyDescent="0.25">
      <c r="A4225" t="s">
        <v>33119</v>
      </c>
      <c r="B4225" t="s">
        <v>33120</v>
      </c>
    </row>
    <row r="4226" spans="1:2" x14ac:dyDescent="0.25">
      <c r="A4226" t="s">
        <v>33121</v>
      </c>
      <c r="B4226" t="s">
        <v>33121</v>
      </c>
    </row>
    <row r="4227" spans="1:2" x14ac:dyDescent="0.25">
      <c r="A4227" t="s">
        <v>33122</v>
      </c>
      <c r="B4227" t="s">
        <v>33122</v>
      </c>
    </row>
    <row r="4228" spans="1:2" x14ac:dyDescent="0.25">
      <c r="A4228" t="s">
        <v>33123</v>
      </c>
      <c r="B4228" t="s">
        <v>33124</v>
      </c>
    </row>
    <row r="4229" spans="1:2" x14ac:dyDescent="0.25">
      <c r="A4229" t="s">
        <v>33125</v>
      </c>
      <c r="B4229" t="s">
        <v>33126</v>
      </c>
    </row>
    <row r="4230" spans="1:2" x14ac:dyDescent="0.25">
      <c r="A4230" t="s">
        <v>13301</v>
      </c>
      <c r="B4230" t="s">
        <v>33127</v>
      </c>
    </row>
    <row r="4231" spans="1:2" x14ac:dyDescent="0.25">
      <c r="A4231" t="s">
        <v>33128</v>
      </c>
      <c r="B4231" t="s">
        <v>33129</v>
      </c>
    </row>
    <row r="4232" spans="1:2" x14ac:dyDescent="0.25">
      <c r="A4232" t="s">
        <v>14349</v>
      </c>
      <c r="B4232" t="s">
        <v>14349</v>
      </c>
    </row>
    <row r="4233" spans="1:2" x14ac:dyDescent="0.25">
      <c r="A4233" t="s">
        <v>33130</v>
      </c>
      <c r="B4233" t="s">
        <v>33130</v>
      </c>
    </row>
    <row r="4234" spans="1:2" x14ac:dyDescent="0.25">
      <c r="A4234" t="s">
        <v>14353</v>
      </c>
      <c r="B4234" t="s">
        <v>21504</v>
      </c>
    </row>
    <row r="4235" spans="1:2" x14ac:dyDescent="0.25">
      <c r="A4235" t="s">
        <v>33131</v>
      </c>
      <c r="B4235" t="s">
        <v>33131</v>
      </c>
    </row>
    <row r="4236" spans="1:2" x14ac:dyDescent="0.25">
      <c r="A4236" t="s">
        <v>33132</v>
      </c>
      <c r="B4236" t="s">
        <v>33133</v>
      </c>
    </row>
    <row r="4237" spans="1:2" x14ac:dyDescent="0.25">
      <c r="A4237" t="s">
        <v>33134</v>
      </c>
      <c r="B4237" t="s">
        <v>33135</v>
      </c>
    </row>
    <row r="4238" spans="1:2" x14ac:dyDescent="0.25">
      <c r="A4238" t="s">
        <v>33136</v>
      </c>
      <c r="B4238" t="s">
        <v>33136</v>
      </c>
    </row>
    <row r="4239" spans="1:2" x14ac:dyDescent="0.25">
      <c r="A4239" t="s">
        <v>14696</v>
      </c>
      <c r="B4239" t="s">
        <v>14696</v>
      </c>
    </row>
    <row r="4240" spans="1:2" x14ac:dyDescent="0.25">
      <c r="A4240" t="s">
        <v>33137</v>
      </c>
      <c r="B4240" t="s">
        <v>33138</v>
      </c>
    </row>
    <row r="4241" spans="1:2" x14ac:dyDescent="0.25">
      <c r="A4241" t="s">
        <v>4453</v>
      </c>
      <c r="B4241" t="s">
        <v>4453</v>
      </c>
    </row>
    <row r="4242" spans="1:2" x14ac:dyDescent="0.25">
      <c r="A4242" t="s">
        <v>33139</v>
      </c>
      <c r="B4242" t="s">
        <v>33140</v>
      </c>
    </row>
    <row r="4243" spans="1:2" x14ac:dyDescent="0.25">
      <c r="A4243" t="s">
        <v>33141</v>
      </c>
      <c r="B4243" t="s">
        <v>33141</v>
      </c>
    </row>
    <row r="4244" spans="1:2" x14ac:dyDescent="0.25">
      <c r="A4244" t="s">
        <v>13295</v>
      </c>
      <c r="B4244" t="s">
        <v>26986</v>
      </c>
    </row>
    <row r="4245" spans="1:2" x14ac:dyDescent="0.25">
      <c r="A4245" t="s">
        <v>33142</v>
      </c>
      <c r="B4245" t="s">
        <v>33142</v>
      </c>
    </row>
    <row r="4246" spans="1:2" x14ac:dyDescent="0.25">
      <c r="A4246" t="s">
        <v>33143</v>
      </c>
      <c r="B4246" t="s">
        <v>33144</v>
      </c>
    </row>
    <row r="4247" spans="1:2" x14ac:dyDescent="0.25">
      <c r="A4247" t="s">
        <v>33145</v>
      </c>
      <c r="B4247" t="s">
        <v>33146</v>
      </c>
    </row>
    <row r="4248" spans="1:2" x14ac:dyDescent="0.25">
      <c r="A4248" t="s">
        <v>33147</v>
      </c>
      <c r="B4248" t="s">
        <v>33148</v>
      </c>
    </row>
    <row r="4249" spans="1:2" x14ac:dyDescent="0.25">
      <c r="A4249" t="s">
        <v>33149</v>
      </c>
      <c r="B4249" t="s">
        <v>33149</v>
      </c>
    </row>
    <row r="4250" spans="1:2" x14ac:dyDescent="0.25">
      <c r="A4250" t="s">
        <v>33150</v>
      </c>
      <c r="B4250" t="s">
        <v>33150</v>
      </c>
    </row>
    <row r="4251" spans="1:2" x14ac:dyDescent="0.25">
      <c r="A4251" t="s">
        <v>805</v>
      </c>
      <c r="B4251" t="s">
        <v>805</v>
      </c>
    </row>
    <row r="4252" spans="1:2" x14ac:dyDescent="0.25">
      <c r="A4252" t="s">
        <v>5714</v>
      </c>
      <c r="B4252" t="s">
        <v>5714</v>
      </c>
    </row>
    <row r="4253" spans="1:2" x14ac:dyDescent="0.25">
      <c r="A4253" t="s">
        <v>3062</v>
      </c>
      <c r="B4253" t="s">
        <v>3062</v>
      </c>
    </row>
    <row r="4254" spans="1:2" x14ac:dyDescent="0.25">
      <c r="A4254" t="s">
        <v>14356</v>
      </c>
      <c r="B4254" t="s">
        <v>33151</v>
      </c>
    </row>
    <row r="4255" spans="1:2" x14ac:dyDescent="0.25">
      <c r="A4255" t="s">
        <v>4737</v>
      </c>
      <c r="B4255" t="s">
        <v>4737</v>
      </c>
    </row>
    <row r="4256" spans="1:2" x14ac:dyDescent="0.25">
      <c r="A4256" t="s">
        <v>33152</v>
      </c>
      <c r="B4256" t="s">
        <v>33153</v>
      </c>
    </row>
    <row r="4257" spans="1:2" x14ac:dyDescent="0.25">
      <c r="A4257" t="s">
        <v>33154</v>
      </c>
      <c r="B4257" t="s">
        <v>33154</v>
      </c>
    </row>
    <row r="4258" spans="1:2" x14ac:dyDescent="0.25">
      <c r="A4258" t="s">
        <v>33155</v>
      </c>
      <c r="B4258" t="s">
        <v>33156</v>
      </c>
    </row>
    <row r="4259" spans="1:2" x14ac:dyDescent="0.25">
      <c r="A4259" t="s">
        <v>33157</v>
      </c>
      <c r="B4259" t="s">
        <v>33158</v>
      </c>
    </row>
    <row r="4260" spans="1:2" x14ac:dyDescent="0.25">
      <c r="A4260" t="s">
        <v>33159</v>
      </c>
      <c r="B4260" t="s">
        <v>33160</v>
      </c>
    </row>
    <row r="4261" spans="1:2" x14ac:dyDescent="0.25">
      <c r="A4261" t="s">
        <v>33161</v>
      </c>
      <c r="B4261" t="s">
        <v>33161</v>
      </c>
    </row>
    <row r="4262" spans="1:2" x14ac:dyDescent="0.25">
      <c r="A4262" t="s">
        <v>33162</v>
      </c>
      <c r="B4262" t="s">
        <v>33163</v>
      </c>
    </row>
    <row r="4263" spans="1:2" x14ac:dyDescent="0.25">
      <c r="A4263" t="s">
        <v>33164</v>
      </c>
      <c r="B4263" t="s">
        <v>33165</v>
      </c>
    </row>
    <row r="4264" spans="1:2" x14ac:dyDescent="0.25">
      <c r="A4264" t="s">
        <v>33166</v>
      </c>
      <c r="B4264" t="s">
        <v>33166</v>
      </c>
    </row>
    <row r="4265" spans="1:2" x14ac:dyDescent="0.25">
      <c r="A4265" t="s">
        <v>33167</v>
      </c>
      <c r="B4265" t="s">
        <v>33168</v>
      </c>
    </row>
    <row r="4266" spans="1:2" x14ac:dyDescent="0.25">
      <c r="A4266" t="s">
        <v>33169</v>
      </c>
      <c r="B4266" t="s">
        <v>33169</v>
      </c>
    </row>
    <row r="4267" spans="1:2" x14ac:dyDescent="0.25">
      <c r="A4267" t="s">
        <v>33170</v>
      </c>
      <c r="B4267" t="s">
        <v>33170</v>
      </c>
    </row>
    <row r="4268" spans="1:2" x14ac:dyDescent="0.25">
      <c r="A4268" t="s">
        <v>7596</v>
      </c>
      <c r="B4268" t="s">
        <v>7596</v>
      </c>
    </row>
    <row r="4269" spans="1:2" x14ac:dyDescent="0.25">
      <c r="A4269" t="s">
        <v>33171</v>
      </c>
      <c r="B4269" t="s">
        <v>33172</v>
      </c>
    </row>
    <row r="4270" spans="1:2" x14ac:dyDescent="0.25">
      <c r="A4270" t="s">
        <v>33173</v>
      </c>
      <c r="B4270" t="s">
        <v>33174</v>
      </c>
    </row>
    <row r="4271" spans="1:2" x14ac:dyDescent="0.25">
      <c r="A4271" t="s">
        <v>15181</v>
      </c>
      <c r="B4271" t="s">
        <v>33175</v>
      </c>
    </row>
    <row r="4272" spans="1:2" x14ac:dyDescent="0.25">
      <c r="A4272" t="s">
        <v>4346</v>
      </c>
      <c r="B4272" t="s">
        <v>4346</v>
      </c>
    </row>
    <row r="4273" spans="1:2" x14ac:dyDescent="0.25">
      <c r="A4273" t="s">
        <v>33176</v>
      </c>
      <c r="B4273" t="s">
        <v>33177</v>
      </c>
    </row>
    <row r="4274" spans="1:2" x14ac:dyDescent="0.25">
      <c r="A4274" t="s">
        <v>22352</v>
      </c>
      <c r="B4274" t="s">
        <v>22352</v>
      </c>
    </row>
    <row r="4275" spans="1:2" x14ac:dyDescent="0.25">
      <c r="A4275" t="s">
        <v>33178</v>
      </c>
      <c r="B4275" t="s">
        <v>33178</v>
      </c>
    </row>
    <row r="4276" spans="1:2" x14ac:dyDescent="0.25">
      <c r="A4276" t="s">
        <v>4365</v>
      </c>
      <c r="B4276" t="s">
        <v>4365</v>
      </c>
    </row>
    <row r="4277" spans="1:2" x14ac:dyDescent="0.25">
      <c r="A4277" t="s">
        <v>13294</v>
      </c>
      <c r="B4277" t="s">
        <v>33179</v>
      </c>
    </row>
    <row r="4278" spans="1:2" x14ac:dyDescent="0.25">
      <c r="A4278" t="s">
        <v>33180</v>
      </c>
      <c r="B4278" t="s">
        <v>33181</v>
      </c>
    </row>
    <row r="4279" spans="1:2" x14ac:dyDescent="0.25">
      <c r="A4279" t="s">
        <v>33182</v>
      </c>
      <c r="B4279" t="s">
        <v>33183</v>
      </c>
    </row>
    <row r="4280" spans="1:2" x14ac:dyDescent="0.25">
      <c r="A4280" t="s">
        <v>33184</v>
      </c>
      <c r="B4280" t="s">
        <v>33185</v>
      </c>
    </row>
    <row r="4281" spans="1:2" x14ac:dyDescent="0.25">
      <c r="A4281" t="s">
        <v>33186</v>
      </c>
      <c r="B4281" t="s">
        <v>33187</v>
      </c>
    </row>
    <row r="4282" spans="1:2" x14ac:dyDescent="0.25">
      <c r="A4282" t="s">
        <v>33188</v>
      </c>
      <c r="B4282" t="s">
        <v>33189</v>
      </c>
    </row>
    <row r="4283" spans="1:2" x14ac:dyDescent="0.25">
      <c r="A4283" t="s">
        <v>33190</v>
      </c>
      <c r="B4283" t="s">
        <v>33191</v>
      </c>
    </row>
    <row r="4284" spans="1:2" x14ac:dyDescent="0.25">
      <c r="A4284" t="s">
        <v>5131</v>
      </c>
      <c r="B4284" t="s">
        <v>5131</v>
      </c>
    </row>
    <row r="4285" spans="1:2" x14ac:dyDescent="0.25">
      <c r="A4285" t="s">
        <v>33192</v>
      </c>
      <c r="B4285" t="s">
        <v>33193</v>
      </c>
    </row>
    <row r="4286" spans="1:2" x14ac:dyDescent="0.25">
      <c r="A4286" t="s">
        <v>33194</v>
      </c>
      <c r="B4286" t="s">
        <v>33194</v>
      </c>
    </row>
    <row r="4287" spans="1:2" x14ac:dyDescent="0.25">
      <c r="A4287" t="s">
        <v>33195</v>
      </c>
      <c r="B4287" t="s">
        <v>33196</v>
      </c>
    </row>
    <row r="4288" spans="1:2" x14ac:dyDescent="0.25">
      <c r="A4288" t="s">
        <v>33197</v>
      </c>
      <c r="B4288" t="s">
        <v>25244</v>
      </c>
    </row>
    <row r="4289" spans="1:2" x14ac:dyDescent="0.25">
      <c r="A4289" t="s">
        <v>11632</v>
      </c>
      <c r="B4289" t="s">
        <v>33198</v>
      </c>
    </row>
    <row r="4290" spans="1:2" x14ac:dyDescent="0.25">
      <c r="A4290" t="s">
        <v>3808</v>
      </c>
      <c r="B4290" t="s">
        <v>3808</v>
      </c>
    </row>
    <row r="4291" spans="1:2" x14ac:dyDescent="0.25">
      <c r="A4291" t="s">
        <v>19101</v>
      </c>
      <c r="B4291" t="s">
        <v>19101</v>
      </c>
    </row>
    <row r="4292" spans="1:2" x14ac:dyDescent="0.25">
      <c r="A4292" t="s">
        <v>33199</v>
      </c>
      <c r="B4292" t="s">
        <v>33200</v>
      </c>
    </row>
    <row r="4293" spans="1:2" x14ac:dyDescent="0.25">
      <c r="A4293" t="s">
        <v>33201</v>
      </c>
      <c r="B4293" t="s">
        <v>33202</v>
      </c>
    </row>
    <row r="4294" spans="1:2" x14ac:dyDescent="0.25">
      <c r="A4294" t="s">
        <v>33203</v>
      </c>
      <c r="B4294" t="s">
        <v>33203</v>
      </c>
    </row>
    <row r="4295" spans="1:2" x14ac:dyDescent="0.25">
      <c r="A4295" t="s">
        <v>7106</v>
      </c>
      <c r="B4295" t="s">
        <v>7106</v>
      </c>
    </row>
    <row r="4296" spans="1:2" x14ac:dyDescent="0.25">
      <c r="A4296" t="s">
        <v>5952</v>
      </c>
      <c r="B4296" t="s">
        <v>5952</v>
      </c>
    </row>
    <row r="4297" spans="1:2" x14ac:dyDescent="0.25">
      <c r="A4297" t="s">
        <v>33204</v>
      </c>
      <c r="B4297" t="s">
        <v>33204</v>
      </c>
    </row>
    <row r="4298" spans="1:2" x14ac:dyDescent="0.25">
      <c r="A4298" t="s">
        <v>33205</v>
      </c>
      <c r="B4298" t="s">
        <v>33206</v>
      </c>
    </row>
    <row r="4299" spans="1:2" x14ac:dyDescent="0.25">
      <c r="A4299" t="s">
        <v>13879</v>
      </c>
      <c r="B4299" t="s">
        <v>13879</v>
      </c>
    </row>
    <row r="4300" spans="1:2" x14ac:dyDescent="0.25">
      <c r="A4300" t="s">
        <v>33207</v>
      </c>
      <c r="B4300" t="s">
        <v>33207</v>
      </c>
    </row>
    <row r="4301" spans="1:2" x14ac:dyDescent="0.25">
      <c r="A4301" t="s">
        <v>5247</v>
      </c>
      <c r="B4301" t="s">
        <v>5247</v>
      </c>
    </row>
    <row r="4302" spans="1:2" x14ac:dyDescent="0.25">
      <c r="A4302" t="s">
        <v>33208</v>
      </c>
      <c r="B4302" t="s">
        <v>33208</v>
      </c>
    </row>
    <row r="4303" spans="1:2" x14ac:dyDescent="0.25">
      <c r="A4303" t="s">
        <v>33209</v>
      </c>
      <c r="B4303" t="s">
        <v>33210</v>
      </c>
    </row>
    <row r="4304" spans="1:2" x14ac:dyDescent="0.25">
      <c r="A4304" t="s">
        <v>33211</v>
      </c>
      <c r="B4304" t="s">
        <v>33211</v>
      </c>
    </row>
    <row r="4305" spans="1:2" x14ac:dyDescent="0.25">
      <c r="A4305" t="s">
        <v>12649</v>
      </c>
      <c r="B4305" t="s">
        <v>12649</v>
      </c>
    </row>
    <row r="4306" spans="1:2" x14ac:dyDescent="0.25">
      <c r="A4306" t="s">
        <v>14784</v>
      </c>
      <c r="B4306" t="s">
        <v>33212</v>
      </c>
    </row>
    <row r="4307" spans="1:2" x14ac:dyDescent="0.25">
      <c r="A4307" t="s">
        <v>12680</v>
      </c>
      <c r="B4307" t="s">
        <v>33213</v>
      </c>
    </row>
    <row r="4308" spans="1:2" x14ac:dyDescent="0.25">
      <c r="A4308" t="s">
        <v>15446</v>
      </c>
      <c r="B4308" t="s">
        <v>33214</v>
      </c>
    </row>
    <row r="4309" spans="1:2" x14ac:dyDescent="0.25">
      <c r="A4309" t="s">
        <v>13672</v>
      </c>
      <c r="B4309" t="s">
        <v>11230</v>
      </c>
    </row>
    <row r="4310" spans="1:2" x14ac:dyDescent="0.25">
      <c r="A4310" t="s">
        <v>14874</v>
      </c>
      <c r="B4310" t="s">
        <v>33215</v>
      </c>
    </row>
    <row r="4311" spans="1:2" x14ac:dyDescent="0.25">
      <c r="A4311" t="s">
        <v>12840</v>
      </c>
      <c r="B4311" t="s">
        <v>12840</v>
      </c>
    </row>
    <row r="4312" spans="1:2" x14ac:dyDescent="0.25">
      <c r="A4312" t="s">
        <v>13440</v>
      </c>
      <c r="B4312" t="s">
        <v>33216</v>
      </c>
    </row>
    <row r="4313" spans="1:2" x14ac:dyDescent="0.25">
      <c r="A4313" t="s">
        <v>12900</v>
      </c>
      <c r="B4313" t="s">
        <v>12900</v>
      </c>
    </row>
    <row r="4314" spans="1:2" x14ac:dyDescent="0.25">
      <c r="A4314" t="s">
        <v>13187</v>
      </c>
      <c r="B4314" t="s">
        <v>33217</v>
      </c>
    </row>
    <row r="4315" spans="1:2" x14ac:dyDescent="0.25">
      <c r="A4315" t="s">
        <v>15251</v>
      </c>
      <c r="B4315" t="s">
        <v>33218</v>
      </c>
    </row>
    <row r="4316" spans="1:2" x14ac:dyDescent="0.25">
      <c r="A4316" t="s">
        <v>14536</v>
      </c>
      <c r="B4316" t="s">
        <v>33219</v>
      </c>
    </row>
    <row r="4317" spans="1:2" x14ac:dyDescent="0.25">
      <c r="A4317" t="s">
        <v>13955</v>
      </c>
      <c r="B4317" t="s">
        <v>31873</v>
      </c>
    </row>
    <row r="4318" spans="1:2" x14ac:dyDescent="0.25">
      <c r="A4318" t="s">
        <v>14825</v>
      </c>
      <c r="B4318" t="s">
        <v>14825</v>
      </c>
    </row>
    <row r="4319" spans="1:2" x14ac:dyDescent="0.25">
      <c r="A4319" t="s">
        <v>324</v>
      </c>
      <c r="B4319" t="s">
        <v>324</v>
      </c>
    </row>
    <row r="4320" spans="1:2" x14ac:dyDescent="0.25">
      <c r="A4320" t="s">
        <v>14587</v>
      </c>
      <c r="B4320" t="s">
        <v>33220</v>
      </c>
    </row>
    <row r="4321" spans="1:2" x14ac:dyDescent="0.25">
      <c r="A4321" t="s">
        <v>15282</v>
      </c>
      <c r="B4321" t="s">
        <v>15282</v>
      </c>
    </row>
    <row r="4322" spans="1:2" x14ac:dyDescent="0.25">
      <c r="A4322" t="s">
        <v>12675</v>
      </c>
      <c r="B4322" t="s">
        <v>33221</v>
      </c>
    </row>
    <row r="4323" spans="1:2" x14ac:dyDescent="0.25">
      <c r="A4323" t="s">
        <v>15429</v>
      </c>
      <c r="B4323" t="s">
        <v>33222</v>
      </c>
    </row>
    <row r="4324" spans="1:2" x14ac:dyDescent="0.25">
      <c r="A4324" t="s">
        <v>12811</v>
      </c>
      <c r="B4324" t="s">
        <v>12811</v>
      </c>
    </row>
    <row r="4325" spans="1:2" x14ac:dyDescent="0.25">
      <c r="A4325" t="s">
        <v>14886</v>
      </c>
      <c r="B4325" t="s">
        <v>33223</v>
      </c>
    </row>
    <row r="4326" spans="1:2" x14ac:dyDescent="0.25">
      <c r="A4326" t="s">
        <v>12757</v>
      </c>
      <c r="B4326" t="s">
        <v>12757</v>
      </c>
    </row>
    <row r="4327" spans="1:2" x14ac:dyDescent="0.25">
      <c r="A4327" t="s">
        <v>12753</v>
      </c>
      <c r="B4327" t="s">
        <v>12753</v>
      </c>
    </row>
    <row r="4328" spans="1:2" x14ac:dyDescent="0.25">
      <c r="A4328" t="s">
        <v>14292</v>
      </c>
      <c r="B4328" t="s">
        <v>33224</v>
      </c>
    </row>
    <row r="4329" spans="1:2" x14ac:dyDescent="0.25">
      <c r="A4329" t="s">
        <v>13876</v>
      </c>
      <c r="B4329" t="s">
        <v>13876</v>
      </c>
    </row>
    <row r="4330" spans="1:2" x14ac:dyDescent="0.25">
      <c r="A4330" t="s">
        <v>13625</v>
      </c>
      <c r="B4330" t="s">
        <v>33225</v>
      </c>
    </row>
    <row r="4331" spans="1:2" x14ac:dyDescent="0.25">
      <c r="A4331" t="s">
        <v>12559</v>
      </c>
      <c r="B4331" t="s">
        <v>12559</v>
      </c>
    </row>
    <row r="4332" spans="1:2" x14ac:dyDescent="0.25">
      <c r="A4332" t="s">
        <v>13933</v>
      </c>
      <c r="B4332" t="s">
        <v>33226</v>
      </c>
    </row>
    <row r="4333" spans="1:2" x14ac:dyDescent="0.25">
      <c r="A4333" t="s">
        <v>12896</v>
      </c>
      <c r="B4333" t="s">
        <v>12896</v>
      </c>
    </row>
    <row r="4334" spans="1:2" x14ac:dyDescent="0.25">
      <c r="A4334" t="s">
        <v>14464</v>
      </c>
      <c r="B4334" t="s">
        <v>33227</v>
      </c>
    </row>
    <row r="4335" spans="1:2" x14ac:dyDescent="0.25">
      <c r="A4335" t="s">
        <v>13645</v>
      </c>
      <c r="B4335" t="s">
        <v>33228</v>
      </c>
    </row>
    <row r="4336" spans="1:2" x14ac:dyDescent="0.25">
      <c r="A4336" t="s">
        <v>13978</v>
      </c>
      <c r="B4336" t="s">
        <v>33229</v>
      </c>
    </row>
    <row r="4337" spans="1:2" x14ac:dyDescent="0.25">
      <c r="A4337" t="s">
        <v>15461</v>
      </c>
      <c r="B4337" t="s">
        <v>15461</v>
      </c>
    </row>
    <row r="4338" spans="1:2" x14ac:dyDescent="0.25">
      <c r="A4338" t="s">
        <v>12402</v>
      </c>
      <c r="B4338" t="s">
        <v>12402</v>
      </c>
    </row>
    <row r="4339" spans="1:2" x14ac:dyDescent="0.25">
      <c r="A4339" t="s">
        <v>14372</v>
      </c>
      <c r="B4339" t="s">
        <v>33230</v>
      </c>
    </row>
    <row r="4340" spans="1:2" x14ac:dyDescent="0.25">
      <c r="A4340" t="s">
        <v>13727</v>
      </c>
      <c r="B4340" t="s">
        <v>13727</v>
      </c>
    </row>
    <row r="4341" spans="1:2" x14ac:dyDescent="0.25">
      <c r="A4341" t="s">
        <v>13957</v>
      </c>
      <c r="B4341" t="s">
        <v>33231</v>
      </c>
    </row>
    <row r="4342" spans="1:2" x14ac:dyDescent="0.25">
      <c r="A4342" t="s">
        <v>14574</v>
      </c>
      <c r="B4342" t="s">
        <v>33232</v>
      </c>
    </row>
    <row r="4343" spans="1:2" x14ac:dyDescent="0.25">
      <c r="A4343" t="s">
        <v>12825</v>
      </c>
      <c r="B4343" t="s">
        <v>33233</v>
      </c>
    </row>
    <row r="4344" spans="1:2" x14ac:dyDescent="0.25">
      <c r="A4344" t="s">
        <v>13002</v>
      </c>
      <c r="B4344" t="s">
        <v>13002</v>
      </c>
    </row>
    <row r="4345" spans="1:2" x14ac:dyDescent="0.25">
      <c r="A4345" t="s">
        <v>13181</v>
      </c>
      <c r="B4345" t="s">
        <v>13181</v>
      </c>
    </row>
    <row r="4346" spans="1:2" x14ac:dyDescent="0.25">
      <c r="A4346" t="s">
        <v>12702</v>
      </c>
      <c r="B4346" t="s">
        <v>12702</v>
      </c>
    </row>
    <row r="4347" spans="1:2" x14ac:dyDescent="0.25">
      <c r="A4347" t="s">
        <v>14424</v>
      </c>
      <c r="B4347" t="s">
        <v>33234</v>
      </c>
    </row>
    <row r="4348" spans="1:2" x14ac:dyDescent="0.25">
      <c r="A4348" t="s">
        <v>13735</v>
      </c>
      <c r="B4348" t="s">
        <v>13735</v>
      </c>
    </row>
    <row r="4349" spans="1:2" x14ac:dyDescent="0.25">
      <c r="A4349" t="s">
        <v>14885</v>
      </c>
      <c r="B4349" t="s">
        <v>33235</v>
      </c>
    </row>
    <row r="4350" spans="1:2" x14ac:dyDescent="0.25">
      <c r="A4350" t="s">
        <v>14290</v>
      </c>
      <c r="B4350" t="s">
        <v>33236</v>
      </c>
    </row>
    <row r="4351" spans="1:2" x14ac:dyDescent="0.25">
      <c r="A4351" t="s">
        <v>12871</v>
      </c>
      <c r="B4351" t="s">
        <v>33237</v>
      </c>
    </row>
    <row r="4352" spans="1:2" x14ac:dyDescent="0.25">
      <c r="A4352" t="s">
        <v>408</v>
      </c>
      <c r="B4352" t="s">
        <v>408</v>
      </c>
    </row>
    <row r="4353" spans="1:2" x14ac:dyDescent="0.25">
      <c r="A4353" t="s">
        <v>13907</v>
      </c>
      <c r="B4353" t="s">
        <v>13907</v>
      </c>
    </row>
    <row r="4354" spans="1:2" x14ac:dyDescent="0.25">
      <c r="A4354" t="s">
        <v>12327</v>
      </c>
      <c r="B4354" t="s">
        <v>33238</v>
      </c>
    </row>
    <row r="4355" spans="1:2" x14ac:dyDescent="0.25">
      <c r="A4355" t="s">
        <v>12361</v>
      </c>
      <c r="B4355" t="s">
        <v>12361</v>
      </c>
    </row>
    <row r="4356" spans="1:2" x14ac:dyDescent="0.25">
      <c r="A4356" t="s">
        <v>12661</v>
      </c>
      <c r="B4356" t="s">
        <v>33239</v>
      </c>
    </row>
    <row r="4357" spans="1:2" x14ac:dyDescent="0.25">
      <c r="A4357" t="s">
        <v>14287</v>
      </c>
      <c r="B4357" t="s">
        <v>33240</v>
      </c>
    </row>
    <row r="4358" spans="1:2" x14ac:dyDescent="0.25">
      <c r="A4358" t="s">
        <v>12342</v>
      </c>
      <c r="B4358" t="s">
        <v>33241</v>
      </c>
    </row>
    <row r="4359" spans="1:2" x14ac:dyDescent="0.25">
      <c r="A4359" t="s">
        <v>13703</v>
      </c>
      <c r="B4359" t="s">
        <v>33242</v>
      </c>
    </row>
    <row r="4360" spans="1:2" x14ac:dyDescent="0.25">
      <c r="A4360" t="s">
        <v>14809</v>
      </c>
      <c r="B4360" t="s">
        <v>33243</v>
      </c>
    </row>
    <row r="4361" spans="1:2" x14ac:dyDescent="0.25">
      <c r="A4361" t="s">
        <v>12818</v>
      </c>
      <c r="B4361" t="s">
        <v>12818</v>
      </c>
    </row>
    <row r="4362" spans="1:2" x14ac:dyDescent="0.25">
      <c r="A4362" t="s">
        <v>221</v>
      </c>
      <c r="B4362" t="s">
        <v>221</v>
      </c>
    </row>
    <row r="4363" spans="1:2" x14ac:dyDescent="0.25">
      <c r="A4363" t="s">
        <v>12376</v>
      </c>
      <c r="B4363" t="s">
        <v>12376</v>
      </c>
    </row>
    <row r="4364" spans="1:2" x14ac:dyDescent="0.25">
      <c r="A4364" t="s">
        <v>15068</v>
      </c>
      <c r="B4364" t="s">
        <v>33244</v>
      </c>
    </row>
    <row r="4365" spans="1:2" x14ac:dyDescent="0.25">
      <c r="A4365" t="s">
        <v>12514</v>
      </c>
      <c r="B4365" t="s">
        <v>33245</v>
      </c>
    </row>
    <row r="4366" spans="1:2" x14ac:dyDescent="0.25">
      <c r="A4366" t="s">
        <v>12621</v>
      </c>
      <c r="B4366" t="s">
        <v>33246</v>
      </c>
    </row>
    <row r="4367" spans="1:2" x14ac:dyDescent="0.25">
      <c r="A4367" t="s">
        <v>12421</v>
      </c>
      <c r="B4367" t="s">
        <v>33247</v>
      </c>
    </row>
    <row r="4368" spans="1:2" x14ac:dyDescent="0.25">
      <c r="A4368" t="s">
        <v>12411</v>
      </c>
      <c r="B4368" t="s">
        <v>12411</v>
      </c>
    </row>
    <row r="4369" spans="1:2" x14ac:dyDescent="0.25">
      <c r="A4369" t="s">
        <v>14026</v>
      </c>
      <c r="B4369" t="s">
        <v>33248</v>
      </c>
    </row>
    <row r="4370" spans="1:2" x14ac:dyDescent="0.25">
      <c r="A4370" t="s">
        <v>12395</v>
      </c>
      <c r="B4370" t="s">
        <v>12395</v>
      </c>
    </row>
    <row r="4371" spans="1:2" x14ac:dyDescent="0.25">
      <c r="A4371" t="s">
        <v>14853</v>
      </c>
      <c r="B4371" t="s">
        <v>33249</v>
      </c>
    </row>
    <row r="4372" spans="1:2" x14ac:dyDescent="0.25">
      <c r="A4372" t="s">
        <v>12540</v>
      </c>
      <c r="B4372" t="s">
        <v>33250</v>
      </c>
    </row>
    <row r="4373" spans="1:2" x14ac:dyDescent="0.25">
      <c r="A4373" t="s">
        <v>12548</v>
      </c>
      <c r="B4373" t="s">
        <v>33251</v>
      </c>
    </row>
    <row r="4374" spans="1:2" x14ac:dyDescent="0.25">
      <c r="A4374" t="s">
        <v>15467</v>
      </c>
      <c r="B4374" t="s">
        <v>15467</v>
      </c>
    </row>
    <row r="4375" spans="1:2" x14ac:dyDescent="0.25">
      <c r="A4375" t="s">
        <v>12349</v>
      </c>
      <c r="B4375" t="s">
        <v>12349</v>
      </c>
    </row>
    <row r="4376" spans="1:2" x14ac:dyDescent="0.25">
      <c r="A4376" t="s">
        <v>14129</v>
      </c>
      <c r="B4376" t="s">
        <v>14129</v>
      </c>
    </row>
    <row r="4377" spans="1:2" x14ac:dyDescent="0.25">
      <c r="A4377" t="s">
        <v>13789</v>
      </c>
      <c r="B4377" t="s">
        <v>33252</v>
      </c>
    </row>
    <row r="4378" spans="1:2" x14ac:dyDescent="0.25">
      <c r="A4378" t="s">
        <v>14406</v>
      </c>
      <c r="B4378" t="s">
        <v>33253</v>
      </c>
    </row>
    <row r="4379" spans="1:2" x14ac:dyDescent="0.25">
      <c r="A4379" t="s">
        <v>14383</v>
      </c>
      <c r="B4379" t="s">
        <v>14383</v>
      </c>
    </row>
    <row r="4380" spans="1:2" x14ac:dyDescent="0.25">
      <c r="A4380" t="s">
        <v>13800</v>
      </c>
      <c r="B4380" t="s">
        <v>33254</v>
      </c>
    </row>
    <row r="4381" spans="1:2" x14ac:dyDescent="0.25">
      <c r="A4381" t="s">
        <v>12343</v>
      </c>
      <c r="B4381" t="s">
        <v>33255</v>
      </c>
    </row>
    <row r="4382" spans="1:2" x14ac:dyDescent="0.25">
      <c r="A4382" t="s">
        <v>15102</v>
      </c>
      <c r="B4382" t="s">
        <v>15102</v>
      </c>
    </row>
    <row r="4383" spans="1:2" x14ac:dyDescent="0.25">
      <c r="A4383" t="s">
        <v>12646</v>
      </c>
      <c r="B4383" t="s">
        <v>12646</v>
      </c>
    </row>
    <row r="4384" spans="1:2" x14ac:dyDescent="0.25">
      <c r="A4384" t="s">
        <v>13796</v>
      </c>
      <c r="B4384" t="s">
        <v>13796</v>
      </c>
    </row>
    <row r="4385" spans="1:2" x14ac:dyDescent="0.25">
      <c r="A4385" t="s">
        <v>14921</v>
      </c>
      <c r="B4385" t="s">
        <v>33256</v>
      </c>
    </row>
    <row r="4386" spans="1:2" x14ac:dyDescent="0.25">
      <c r="A4386" t="s">
        <v>13383</v>
      </c>
      <c r="B4386" t="s">
        <v>13383</v>
      </c>
    </row>
    <row r="4387" spans="1:2" x14ac:dyDescent="0.25">
      <c r="A4387" t="s">
        <v>12525</v>
      </c>
      <c r="B4387" t="s">
        <v>12525</v>
      </c>
    </row>
    <row r="4388" spans="1:2" x14ac:dyDescent="0.25">
      <c r="A4388" t="s">
        <v>15232</v>
      </c>
      <c r="B4388" t="s">
        <v>31661</v>
      </c>
    </row>
    <row r="4389" spans="1:2" x14ac:dyDescent="0.25">
      <c r="A4389" t="s">
        <v>13201</v>
      </c>
      <c r="B4389" t="s">
        <v>13201</v>
      </c>
    </row>
    <row r="4390" spans="1:2" x14ac:dyDescent="0.25">
      <c r="A4390" t="s">
        <v>13771</v>
      </c>
      <c r="B4390" t="s">
        <v>33257</v>
      </c>
    </row>
    <row r="4391" spans="1:2" x14ac:dyDescent="0.25">
      <c r="A4391" t="s">
        <v>14720</v>
      </c>
      <c r="B4391" t="s">
        <v>33258</v>
      </c>
    </row>
    <row r="4392" spans="1:2" x14ac:dyDescent="0.25">
      <c r="A4392" t="s">
        <v>14973</v>
      </c>
      <c r="B4392" t="s">
        <v>33259</v>
      </c>
    </row>
    <row r="4393" spans="1:2" x14ac:dyDescent="0.25">
      <c r="A4393" t="s">
        <v>12539</v>
      </c>
      <c r="B4393" t="s">
        <v>33260</v>
      </c>
    </row>
    <row r="4394" spans="1:2" x14ac:dyDescent="0.25">
      <c r="A4394" t="s">
        <v>12716</v>
      </c>
      <c r="B4394" t="s">
        <v>12716</v>
      </c>
    </row>
    <row r="4395" spans="1:2" x14ac:dyDescent="0.25">
      <c r="A4395" t="s">
        <v>12492</v>
      </c>
      <c r="B4395" t="s">
        <v>33261</v>
      </c>
    </row>
    <row r="4396" spans="1:2" x14ac:dyDescent="0.25">
      <c r="A4396" t="s">
        <v>14998</v>
      </c>
      <c r="B4396" t="s">
        <v>14998</v>
      </c>
    </row>
    <row r="4397" spans="1:2" x14ac:dyDescent="0.25">
      <c r="A4397" t="s">
        <v>14579</v>
      </c>
      <c r="B4397" t="s">
        <v>14579</v>
      </c>
    </row>
    <row r="4398" spans="1:2" x14ac:dyDescent="0.25">
      <c r="A4398" t="s">
        <v>15293</v>
      </c>
      <c r="B4398" t="s">
        <v>15293</v>
      </c>
    </row>
    <row r="4399" spans="1:2" x14ac:dyDescent="0.25">
      <c r="A4399" t="s">
        <v>14355</v>
      </c>
      <c r="B4399" t="s">
        <v>33262</v>
      </c>
    </row>
    <row r="4400" spans="1:2" x14ac:dyDescent="0.25">
      <c r="A4400" t="s">
        <v>15115</v>
      </c>
      <c r="B4400" t="s">
        <v>33263</v>
      </c>
    </row>
    <row r="4401" spans="1:2" x14ac:dyDescent="0.25">
      <c r="A4401" t="s">
        <v>14384</v>
      </c>
      <c r="B4401" t="s">
        <v>33264</v>
      </c>
    </row>
    <row r="4402" spans="1:2" x14ac:dyDescent="0.25">
      <c r="A4402" t="s">
        <v>15203</v>
      </c>
      <c r="B4402" t="s">
        <v>15203</v>
      </c>
    </row>
    <row r="4403" spans="1:2" x14ac:dyDescent="0.25">
      <c r="A4403" t="s">
        <v>14191</v>
      </c>
      <c r="B4403" t="s">
        <v>33265</v>
      </c>
    </row>
    <row r="4404" spans="1:2" x14ac:dyDescent="0.25">
      <c r="A4404" t="s">
        <v>15452</v>
      </c>
      <c r="B4404" t="s">
        <v>33266</v>
      </c>
    </row>
    <row r="4405" spans="1:2" x14ac:dyDescent="0.25">
      <c r="A4405" t="s">
        <v>14404</v>
      </c>
      <c r="B4405" t="s">
        <v>33267</v>
      </c>
    </row>
    <row r="4406" spans="1:2" x14ac:dyDescent="0.25">
      <c r="A4406" t="s">
        <v>12828</v>
      </c>
      <c r="B4406" t="s">
        <v>12828</v>
      </c>
    </row>
    <row r="4407" spans="1:2" x14ac:dyDescent="0.25">
      <c r="A4407" t="s">
        <v>13519</v>
      </c>
      <c r="B4407" t="s">
        <v>33268</v>
      </c>
    </row>
    <row r="4408" spans="1:2" x14ac:dyDescent="0.25">
      <c r="A4408" t="s">
        <v>14022</v>
      </c>
      <c r="B4408" t="s">
        <v>33269</v>
      </c>
    </row>
    <row r="4409" spans="1:2" x14ac:dyDescent="0.25">
      <c r="A4409" t="s">
        <v>13257</v>
      </c>
      <c r="B4409" t="s">
        <v>33270</v>
      </c>
    </row>
    <row r="4410" spans="1:2" x14ac:dyDescent="0.25">
      <c r="A4410" t="s">
        <v>14430</v>
      </c>
      <c r="B4410" t="s">
        <v>33271</v>
      </c>
    </row>
    <row r="4411" spans="1:2" x14ac:dyDescent="0.25">
      <c r="A4411" t="s">
        <v>14797</v>
      </c>
      <c r="B4411" t="s">
        <v>33272</v>
      </c>
    </row>
    <row r="4412" spans="1:2" x14ac:dyDescent="0.25">
      <c r="A4412" t="s">
        <v>13804</v>
      </c>
      <c r="B4412" t="s">
        <v>33273</v>
      </c>
    </row>
    <row r="4413" spans="1:2" x14ac:dyDescent="0.25">
      <c r="A4413" t="s">
        <v>12306</v>
      </c>
      <c r="B4413" t="s">
        <v>12306</v>
      </c>
    </row>
    <row r="4414" spans="1:2" x14ac:dyDescent="0.25">
      <c r="A4414" t="s">
        <v>12313</v>
      </c>
      <c r="B4414" t="s">
        <v>12313</v>
      </c>
    </row>
    <row r="4415" spans="1:2" x14ac:dyDescent="0.25">
      <c r="A4415" t="s">
        <v>13915</v>
      </c>
      <c r="B4415" t="s">
        <v>33274</v>
      </c>
    </row>
    <row r="4416" spans="1:2" x14ac:dyDescent="0.25">
      <c r="A4416" t="s">
        <v>13638</v>
      </c>
      <c r="B4416" t="s">
        <v>33275</v>
      </c>
    </row>
    <row r="4417" spans="1:2" x14ac:dyDescent="0.25">
      <c r="A4417" t="s">
        <v>13096</v>
      </c>
      <c r="B4417" t="s">
        <v>33276</v>
      </c>
    </row>
    <row r="4418" spans="1:2" x14ac:dyDescent="0.25">
      <c r="A4418" t="s">
        <v>12936</v>
      </c>
      <c r="B4418" t="s">
        <v>33277</v>
      </c>
    </row>
    <row r="4419" spans="1:2" x14ac:dyDescent="0.25">
      <c r="A4419" t="s">
        <v>12555</v>
      </c>
      <c r="B4419" t="s">
        <v>12555</v>
      </c>
    </row>
    <row r="4420" spans="1:2" x14ac:dyDescent="0.25">
      <c r="A4420" t="s">
        <v>33278</v>
      </c>
      <c r="B4420" t="s">
        <v>33279</v>
      </c>
    </row>
    <row r="4421" spans="1:2" x14ac:dyDescent="0.25">
      <c r="A4421" t="s">
        <v>13281</v>
      </c>
      <c r="B4421" t="s">
        <v>33280</v>
      </c>
    </row>
    <row r="4422" spans="1:2" x14ac:dyDescent="0.25">
      <c r="A4422" t="s">
        <v>12642</v>
      </c>
      <c r="B4422" t="s">
        <v>12642</v>
      </c>
    </row>
    <row r="4423" spans="1:2" x14ac:dyDescent="0.25">
      <c r="A4423" t="s">
        <v>12906</v>
      </c>
      <c r="B4423" t="s">
        <v>33281</v>
      </c>
    </row>
    <row r="4424" spans="1:2" x14ac:dyDescent="0.25">
      <c r="A4424" t="s">
        <v>15157</v>
      </c>
      <c r="B4424" t="s">
        <v>15157</v>
      </c>
    </row>
    <row r="4425" spans="1:2" x14ac:dyDescent="0.25">
      <c r="A4425" t="s">
        <v>15214</v>
      </c>
      <c r="B4425" t="s">
        <v>15214</v>
      </c>
    </row>
    <row r="4426" spans="1:2" x14ac:dyDescent="0.25">
      <c r="A4426" t="s">
        <v>14236</v>
      </c>
      <c r="B4426" t="s">
        <v>33282</v>
      </c>
    </row>
    <row r="4427" spans="1:2" x14ac:dyDescent="0.25">
      <c r="A4427" t="s">
        <v>12654</v>
      </c>
      <c r="B4427" t="s">
        <v>12654</v>
      </c>
    </row>
    <row r="4428" spans="1:2" x14ac:dyDescent="0.25">
      <c r="A4428" t="s">
        <v>15195</v>
      </c>
      <c r="B4428" t="s">
        <v>33283</v>
      </c>
    </row>
    <row r="4429" spans="1:2" x14ac:dyDescent="0.25">
      <c r="A4429" t="s">
        <v>12580</v>
      </c>
      <c r="B4429" t="s">
        <v>12580</v>
      </c>
    </row>
    <row r="4430" spans="1:2" x14ac:dyDescent="0.25">
      <c r="A4430" t="s">
        <v>13848</v>
      </c>
      <c r="B4430" t="s">
        <v>33284</v>
      </c>
    </row>
    <row r="4431" spans="1:2" x14ac:dyDescent="0.25">
      <c r="A4431" t="s">
        <v>12853</v>
      </c>
      <c r="B4431" t="s">
        <v>12853</v>
      </c>
    </row>
    <row r="4432" spans="1:2" x14ac:dyDescent="0.25">
      <c r="A4432" t="s">
        <v>12567</v>
      </c>
      <c r="B4432" t="s">
        <v>12567</v>
      </c>
    </row>
    <row r="4433" spans="1:2" x14ac:dyDescent="0.25">
      <c r="A4433" t="s">
        <v>15335</v>
      </c>
      <c r="B4433" t="s">
        <v>8367</v>
      </c>
    </row>
    <row r="4434" spans="1:2" x14ac:dyDescent="0.25">
      <c r="A4434" t="s">
        <v>14358</v>
      </c>
      <c r="B4434" t="s">
        <v>33285</v>
      </c>
    </row>
    <row r="4435" spans="1:2" x14ac:dyDescent="0.25">
      <c r="A4435" t="s">
        <v>14887</v>
      </c>
      <c r="B4435" t="s">
        <v>33286</v>
      </c>
    </row>
    <row r="4436" spans="1:2" x14ac:dyDescent="0.25">
      <c r="A4436" t="s">
        <v>15167</v>
      </c>
      <c r="B4436" t="s">
        <v>15167</v>
      </c>
    </row>
    <row r="4437" spans="1:2" x14ac:dyDescent="0.25">
      <c r="A4437" t="s">
        <v>14554</v>
      </c>
      <c r="B4437" t="s">
        <v>33287</v>
      </c>
    </row>
    <row r="4438" spans="1:2" x14ac:dyDescent="0.25">
      <c r="A4438" t="s">
        <v>13444</v>
      </c>
      <c r="B4438" t="s">
        <v>33288</v>
      </c>
    </row>
    <row r="4439" spans="1:2" x14ac:dyDescent="0.25">
      <c r="A4439" t="s">
        <v>15382</v>
      </c>
      <c r="B4439" t="s">
        <v>33289</v>
      </c>
    </row>
    <row r="4440" spans="1:2" x14ac:dyDescent="0.25">
      <c r="A4440" t="s">
        <v>13633</v>
      </c>
      <c r="B4440" t="s">
        <v>33290</v>
      </c>
    </row>
    <row r="4441" spans="1:2" x14ac:dyDescent="0.25">
      <c r="A4441" t="s">
        <v>13133</v>
      </c>
      <c r="B4441" t="s">
        <v>33291</v>
      </c>
    </row>
    <row r="4442" spans="1:2" x14ac:dyDescent="0.25">
      <c r="A4442" t="s">
        <v>13597</v>
      </c>
      <c r="B4442" t="s">
        <v>33292</v>
      </c>
    </row>
    <row r="4443" spans="1:2" x14ac:dyDescent="0.25">
      <c r="A4443" t="s">
        <v>15071</v>
      </c>
      <c r="B4443" t="s">
        <v>15071</v>
      </c>
    </row>
    <row r="4444" spans="1:2" x14ac:dyDescent="0.25">
      <c r="A4444" t="s">
        <v>14957</v>
      </c>
      <c r="B4444" t="s">
        <v>33293</v>
      </c>
    </row>
    <row r="4445" spans="1:2" x14ac:dyDescent="0.25">
      <c r="A4445" t="s">
        <v>14348</v>
      </c>
      <c r="B4445" t="s">
        <v>33294</v>
      </c>
    </row>
    <row r="4446" spans="1:2" x14ac:dyDescent="0.25">
      <c r="A4446" t="s">
        <v>12836</v>
      </c>
      <c r="B4446" t="s">
        <v>12836</v>
      </c>
    </row>
    <row r="4447" spans="1:2" x14ac:dyDescent="0.25">
      <c r="A4447" t="s">
        <v>14447</v>
      </c>
      <c r="B4447" t="s">
        <v>33295</v>
      </c>
    </row>
    <row r="4448" spans="1:2" x14ac:dyDescent="0.25">
      <c r="A4448" t="s">
        <v>12681</v>
      </c>
      <c r="B4448" t="s">
        <v>12681</v>
      </c>
    </row>
    <row r="4449" spans="1:2" x14ac:dyDescent="0.25">
      <c r="A4449" t="s">
        <v>14844</v>
      </c>
      <c r="B4449" t="s">
        <v>14844</v>
      </c>
    </row>
    <row r="4450" spans="1:2" x14ac:dyDescent="0.25">
      <c r="A4450" t="s">
        <v>13405</v>
      </c>
      <c r="B4450" t="s">
        <v>33296</v>
      </c>
    </row>
    <row r="4451" spans="1:2" x14ac:dyDescent="0.25">
      <c r="A4451" t="s">
        <v>13841</v>
      </c>
      <c r="B4451" t="s">
        <v>33297</v>
      </c>
    </row>
    <row r="4452" spans="1:2" x14ac:dyDescent="0.25">
      <c r="A4452" t="s">
        <v>12745</v>
      </c>
      <c r="B4452" t="s">
        <v>33298</v>
      </c>
    </row>
    <row r="4453" spans="1:2" x14ac:dyDescent="0.25">
      <c r="A4453" t="s">
        <v>14768</v>
      </c>
      <c r="B4453" t="s">
        <v>33299</v>
      </c>
    </row>
    <row r="4454" spans="1:2" x14ac:dyDescent="0.25">
      <c r="A4454" t="s">
        <v>13196</v>
      </c>
      <c r="B4454" t="s">
        <v>13196</v>
      </c>
    </row>
    <row r="4455" spans="1:2" x14ac:dyDescent="0.25">
      <c r="A4455" t="s">
        <v>15380</v>
      </c>
      <c r="B4455" t="s">
        <v>33300</v>
      </c>
    </row>
    <row r="4456" spans="1:2" x14ac:dyDescent="0.25">
      <c r="A4456" t="s">
        <v>14161</v>
      </c>
      <c r="B4456" t="s">
        <v>33301</v>
      </c>
    </row>
    <row r="4457" spans="1:2" x14ac:dyDescent="0.25">
      <c r="A4457" t="s">
        <v>13245</v>
      </c>
      <c r="B4457" t="s">
        <v>33302</v>
      </c>
    </row>
    <row r="4458" spans="1:2" x14ac:dyDescent="0.25">
      <c r="A4458" t="s">
        <v>13511</v>
      </c>
      <c r="B4458" t="s">
        <v>33303</v>
      </c>
    </row>
    <row r="4459" spans="1:2" x14ac:dyDescent="0.25">
      <c r="A4459" t="s">
        <v>14014</v>
      </c>
      <c r="B4459" t="s">
        <v>14014</v>
      </c>
    </row>
    <row r="4460" spans="1:2" x14ac:dyDescent="0.25">
      <c r="A4460" t="s">
        <v>12787</v>
      </c>
      <c r="B4460" t="s">
        <v>12787</v>
      </c>
    </row>
    <row r="4461" spans="1:2" x14ac:dyDescent="0.25">
      <c r="A4461" t="s">
        <v>14056</v>
      </c>
      <c r="B4461" t="s">
        <v>33304</v>
      </c>
    </row>
    <row r="4462" spans="1:2" x14ac:dyDescent="0.25">
      <c r="A4462" t="s">
        <v>12604</v>
      </c>
      <c r="B4462" t="s">
        <v>12605</v>
      </c>
    </row>
    <row r="4463" spans="1:2" x14ac:dyDescent="0.25">
      <c r="A4463" t="s">
        <v>15473</v>
      </c>
      <c r="B4463" t="s">
        <v>15473</v>
      </c>
    </row>
    <row r="4464" spans="1:2" x14ac:dyDescent="0.25">
      <c r="A4464" t="s">
        <v>12709</v>
      </c>
      <c r="B4464" t="s">
        <v>12709</v>
      </c>
    </row>
    <row r="4465" spans="1:2" x14ac:dyDescent="0.25">
      <c r="A4465" t="s">
        <v>12484</v>
      </c>
      <c r="B4465" t="s">
        <v>33305</v>
      </c>
    </row>
    <row r="4466" spans="1:2" x14ac:dyDescent="0.25">
      <c r="A4466" t="s">
        <v>15040</v>
      </c>
      <c r="B4466" t="s">
        <v>33306</v>
      </c>
    </row>
    <row r="4467" spans="1:2" x14ac:dyDescent="0.25">
      <c r="A4467" t="s">
        <v>12325</v>
      </c>
      <c r="B4467" t="s">
        <v>12325</v>
      </c>
    </row>
    <row r="4468" spans="1:2" x14ac:dyDescent="0.25">
      <c r="A4468" t="s">
        <v>14931</v>
      </c>
      <c r="B4468" t="s">
        <v>33307</v>
      </c>
    </row>
    <row r="4469" spans="1:2" x14ac:dyDescent="0.25">
      <c r="A4469" t="s">
        <v>14226</v>
      </c>
      <c r="B4469" t="s">
        <v>14226</v>
      </c>
    </row>
    <row r="4470" spans="1:2" x14ac:dyDescent="0.25">
      <c r="A4470" t="s">
        <v>12766</v>
      </c>
      <c r="B4470" t="s">
        <v>12766</v>
      </c>
    </row>
    <row r="4471" spans="1:2" x14ac:dyDescent="0.25">
      <c r="A4471" t="s">
        <v>13068</v>
      </c>
      <c r="B4471" t="s">
        <v>33308</v>
      </c>
    </row>
    <row r="4472" spans="1:2" x14ac:dyDescent="0.25">
      <c r="A4472" t="s">
        <v>13276</v>
      </c>
      <c r="B4472" t="s">
        <v>33309</v>
      </c>
    </row>
    <row r="4473" spans="1:2" x14ac:dyDescent="0.25">
      <c r="A4473" t="s">
        <v>13615</v>
      </c>
      <c r="B4473" t="s">
        <v>33310</v>
      </c>
    </row>
    <row r="4474" spans="1:2" x14ac:dyDescent="0.25">
      <c r="A4474" t="s">
        <v>12803</v>
      </c>
      <c r="B4474" t="s">
        <v>33311</v>
      </c>
    </row>
    <row r="4475" spans="1:2" x14ac:dyDescent="0.25">
      <c r="A4475" t="s">
        <v>13286</v>
      </c>
      <c r="B4475" t="s">
        <v>33312</v>
      </c>
    </row>
    <row r="4476" spans="1:2" x14ac:dyDescent="0.25">
      <c r="A4476" t="s">
        <v>14415</v>
      </c>
      <c r="B4476" t="s">
        <v>33313</v>
      </c>
    </row>
    <row r="4477" spans="1:2" x14ac:dyDescent="0.25">
      <c r="A4477" t="s">
        <v>12307</v>
      </c>
      <c r="B4477" t="s">
        <v>33314</v>
      </c>
    </row>
    <row r="4478" spans="1:2" x14ac:dyDescent="0.25">
      <c r="A4478" t="s">
        <v>13349</v>
      </c>
      <c r="B4478" t="s">
        <v>33315</v>
      </c>
    </row>
    <row r="4479" spans="1:2" x14ac:dyDescent="0.25">
      <c r="A4479" t="s">
        <v>14949</v>
      </c>
      <c r="B4479" t="s">
        <v>14949</v>
      </c>
    </row>
    <row r="4480" spans="1:2" x14ac:dyDescent="0.25">
      <c r="A4480" t="s">
        <v>12983</v>
      </c>
      <c r="B4480" t="s">
        <v>33316</v>
      </c>
    </row>
    <row r="4481" spans="1:2" x14ac:dyDescent="0.25">
      <c r="A4481" t="s">
        <v>12440</v>
      </c>
      <c r="B4481" t="s">
        <v>12440</v>
      </c>
    </row>
    <row r="4482" spans="1:2" x14ac:dyDescent="0.25">
      <c r="A4482" t="s">
        <v>12332</v>
      </c>
      <c r="B4482" t="s">
        <v>12332</v>
      </c>
    </row>
    <row r="4483" spans="1:2" x14ac:dyDescent="0.25">
      <c r="A4483" t="s">
        <v>12425</v>
      </c>
      <c r="B4483" t="s">
        <v>33317</v>
      </c>
    </row>
    <row r="4484" spans="1:2" x14ac:dyDescent="0.25">
      <c r="A4484" t="s">
        <v>13399</v>
      </c>
      <c r="B4484" t="s">
        <v>33318</v>
      </c>
    </row>
    <row r="4485" spans="1:2" x14ac:dyDescent="0.25">
      <c r="A4485" t="s">
        <v>4397</v>
      </c>
      <c r="B4485" t="s">
        <v>4397</v>
      </c>
    </row>
    <row r="4486" spans="1:2" x14ac:dyDescent="0.25">
      <c r="A4486" t="s">
        <v>12318</v>
      </c>
      <c r="B4486" t="s">
        <v>12318</v>
      </c>
    </row>
    <row r="4487" spans="1:2" x14ac:dyDescent="0.25">
      <c r="A4487" t="s">
        <v>14624</v>
      </c>
      <c r="B4487" t="s">
        <v>33319</v>
      </c>
    </row>
    <row r="4488" spans="1:2" x14ac:dyDescent="0.25">
      <c r="A4488" t="s">
        <v>229</v>
      </c>
      <c r="B4488" t="s">
        <v>33320</v>
      </c>
    </row>
    <row r="4489" spans="1:2" x14ac:dyDescent="0.25">
      <c r="A4489" t="s">
        <v>14630</v>
      </c>
      <c r="B4489" t="s">
        <v>33321</v>
      </c>
    </row>
    <row r="4490" spans="1:2" x14ac:dyDescent="0.25">
      <c r="A4490" t="s">
        <v>12866</v>
      </c>
      <c r="B4490" t="s">
        <v>33322</v>
      </c>
    </row>
    <row r="4491" spans="1:2" x14ac:dyDescent="0.25">
      <c r="A4491" t="s">
        <v>12919</v>
      </c>
      <c r="B4491" t="s">
        <v>33323</v>
      </c>
    </row>
    <row r="4492" spans="1:2" x14ac:dyDescent="0.25">
      <c r="A4492" t="s">
        <v>14606</v>
      </c>
      <c r="B4492" t="s">
        <v>33324</v>
      </c>
    </row>
    <row r="4493" spans="1:2" x14ac:dyDescent="0.25">
      <c r="A4493" t="s">
        <v>14667</v>
      </c>
      <c r="B4493" t="s">
        <v>33325</v>
      </c>
    </row>
    <row r="4494" spans="1:2" x14ac:dyDescent="0.25">
      <c r="A4494" t="s">
        <v>13730</v>
      </c>
      <c r="B4494" t="s">
        <v>13730</v>
      </c>
    </row>
    <row r="4495" spans="1:2" x14ac:dyDescent="0.25">
      <c r="A4495" t="s">
        <v>12690</v>
      </c>
      <c r="B4495" t="s">
        <v>12690</v>
      </c>
    </row>
    <row r="4496" spans="1:2" x14ac:dyDescent="0.25">
      <c r="A4496" t="s">
        <v>13351</v>
      </c>
      <c r="B4496" t="s">
        <v>33326</v>
      </c>
    </row>
    <row r="4497" spans="1:2" x14ac:dyDescent="0.25">
      <c r="A4497" t="s">
        <v>12834</v>
      </c>
      <c r="B4497" t="s">
        <v>33327</v>
      </c>
    </row>
    <row r="4498" spans="1:2" x14ac:dyDescent="0.25">
      <c r="A4498" t="s">
        <v>15010</v>
      </c>
      <c r="B4498" t="s">
        <v>33328</v>
      </c>
    </row>
    <row r="4499" spans="1:2" x14ac:dyDescent="0.25">
      <c r="A4499" t="s">
        <v>14808</v>
      </c>
      <c r="B4499" t="s">
        <v>33329</v>
      </c>
    </row>
    <row r="4500" spans="1:2" x14ac:dyDescent="0.25">
      <c r="A4500" t="s">
        <v>13668</v>
      </c>
      <c r="B4500" t="s">
        <v>33330</v>
      </c>
    </row>
    <row r="4501" spans="1:2" x14ac:dyDescent="0.25">
      <c r="A4501" t="s">
        <v>14347</v>
      </c>
      <c r="B4501" t="s">
        <v>33331</v>
      </c>
    </row>
    <row r="4502" spans="1:2" x14ac:dyDescent="0.25">
      <c r="A4502" t="s">
        <v>13492</v>
      </c>
      <c r="B4502" t="s">
        <v>33332</v>
      </c>
    </row>
    <row r="4503" spans="1:2" x14ac:dyDescent="0.25">
      <c r="A4503" t="s">
        <v>14644</v>
      </c>
      <c r="B4503" t="s">
        <v>33333</v>
      </c>
    </row>
    <row r="4504" spans="1:2" x14ac:dyDescent="0.25">
      <c r="A4504" t="s">
        <v>5700</v>
      </c>
      <c r="B4504" t="s">
        <v>5700</v>
      </c>
    </row>
    <row r="4505" spans="1:2" x14ac:dyDescent="0.25">
      <c r="A4505" t="s">
        <v>15493</v>
      </c>
      <c r="B4505" t="s">
        <v>15493</v>
      </c>
    </row>
    <row r="4506" spans="1:2" x14ac:dyDescent="0.25">
      <c r="A4506" t="s">
        <v>14803</v>
      </c>
      <c r="B4506" t="s">
        <v>33334</v>
      </c>
    </row>
    <row r="4507" spans="1:2" x14ac:dyDescent="0.25">
      <c r="A4507" t="s">
        <v>14084</v>
      </c>
      <c r="B4507" t="s">
        <v>33335</v>
      </c>
    </row>
    <row r="4508" spans="1:2" x14ac:dyDescent="0.25">
      <c r="A4508" t="s">
        <v>13079</v>
      </c>
      <c r="B4508" t="s">
        <v>33336</v>
      </c>
    </row>
    <row r="4509" spans="1:2" x14ac:dyDescent="0.25">
      <c r="A4509" t="s">
        <v>15014</v>
      </c>
      <c r="B4509" t="s">
        <v>33337</v>
      </c>
    </row>
    <row r="4510" spans="1:2" x14ac:dyDescent="0.25">
      <c r="A4510" t="s">
        <v>12310</v>
      </c>
      <c r="B4510" t="s">
        <v>33338</v>
      </c>
    </row>
    <row r="4511" spans="1:2" x14ac:dyDescent="0.25">
      <c r="A4511" t="s">
        <v>12353</v>
      </c>
      <c r="B4511" t="s">
        <v>12353</v>
      </c>
    </row>
    <row r="4512" spans="1:2" x14ac:dyDescent="0.25">
      <c r="A4512" t="s">
        <v>13843</v>
      </c>
      <c r="B4512" t="s">
        <v>33339</v>
      </c>
    </row>
    <row r="4513" spans="1:2" x14ac:dyDescent="0.25">
      <c r="A4513" t="s">
        <v>14180</v>
      </c>
      <c r="B4513" t="s">
        <v>33340</v>
      </c>
    </row>
    <row r="4514" spans="1:2" x14ac:dyDescent="0.25">
      <c r="A4514" t="s">
        <v>13233</v>
      </c>
      <c r="B4514" t="s">
        <v>13233</v>
      </c>
    </row>
    <row r="4515" spans="1:2" x14ac:dyDescent="0.25">
      <c r="A4515" t="s">
        <v>13757</v>
      </c>
      <c r="B4515" t="s">
        <v>33341</v>
      </c>
    </row>
    <row r="4516" spans="1:2" x14ac:dyDescent="0.25">
      <c r="A4516" t="s">
        <v>13821</v>
      </c>
      <c r="B4516" t="s">
        <v>33342</v>
      </c>
    </row>
    <row r="4517" spans="1:2" x14ac:dyDescent="0.25">
      <c r="A4517" t="s">
        <v>13619</v>
      </c>
      <c r="B4517" t="s">
        <v>33343</v>
      </c>
    </row>
    <row r="4518" spans="1:2" x14ac:dyDescent="0.25">
      <c r="A4518" t="s">
        <v>14064</v>
      </c>
      <c r="B4518" t="s">
        <v>33344</v>
      </c>
    </row>
    <row r="4519" spans="1:2" x14ac:dyDescent="0.25">
      <c r="A4519" t="s">
        <v>15281</v>
      </c>
      <c r="B4519" t="s">
        <v>33345</v>
      </c>
    </row>
    <row r="4520" spans="1:2" x14ac:dyDescent="0.25">
      <c r="A4520" t="s">
        <v>12552</v>
      </c>
      <c r="B4520" t="s">
        <v>12552</v>
      </c>
    </row>
    <row r="4521" spans="1:2" x14ac:dyDescent="0.25">
      <c r="A4521" t="s">
        <v>13452</v>
      </c>
      <c r="B4521" t="s">
        <v>33346</v>
      </c>
    </row>
    <row r="4522" spans="1:2" x14ac:dyDescent="0.25">
      <c r="A4522" t="s">
        <v>13687</v>
      </c>
      <c r="B4522" t="s">
        <v>33347</v>
      </c>
    </row>
    <row r="4523" spans="1:2" x14ac:dyDescent="0.25">
      <c r="A4523" t="s">
        <v>13677</v>
      </c>
      <c r="B4523" t="s">
        <v>33348</v>
      </c>
    </row>
    <row r="4524" spans="1:2" x14ac:dyDescent="0.25">
      <c r="A4524" t="s">
        <v>12684</v>
      </c>
      <c r="B4524" t="s">
        <v>12684</v>
      </c>
    </row>
    <row r="4525" spans="1:2" x14ac:dyDescent="0.25">
      <c r="A4525" t="s">
        <v>12727</v>
      </c>
      <c r="B4525" t="s">
        <v>33349</v>
      </c>
    </row>
    <row r="4526" spans="1:2" x14ac:dyDescent="0.25">
      <c r="A4526" t="s">
        <v>13012</v>
      </c>
      <c r="B4526" t="s">
        <v>33350</v>
      </c>
    </row>
    <row r="4527" spans="1:2" x14ac:dyDescent="0.25">
      <c r="A4527" t="s">
        <v>13822</v>
      </c>
      <c r="B4527" t="s">
        <v>33351</v>
      </c>
    </row>
    <row r="4528" spans="1:2" x14ac:dyDescent="0.25">
      <c r="A4528" t="s">
        <v>14050</v>
      </c>
      <c r="B4528" t="s">
        <v>33352</v>
      </c>
    </row>
    <row r="4529" spans="1:2" x14ac:dyDescent="0.25">
      <c r="A4529" t="s">
        <v>13193</v>
      </c>
      <c r="B4529" t="s">
        <v>33353</v>
      </c>
    </row>
    <row r="4530" spans="1:2" x14ac:dyDescent="0.25">
      <c r="A4530" t="s">
        <v>14872</v>
      </c>
      <c r="B4530" t="s">
        <v>33354</v>
      </c>
    </row>
    <row r="4531" spans="1:2" x14ac:dyDescent="0.25">
      <c r="A4531" t="s">
        <v>15156</v>
      </c>
      <c r="B4531" t="s">
        <v>33355</v>
      </c>
    </row>
    <row r="4532" spans="1:2" x14ac:dyDescent="0.25">
      <c r="A4532" t="s">
        <v>15421</v>
      </c>
      <c r="B4532" t="s">
        <v>15421</v>
      </c>
    </row>
    <row r="4533" spans="1:2" x14ac:dyDescent="0.25">
      <c r="A4533" t="s">
        <v>12413</v>
      </c>
      <c r="B4533" t="s">
        <v>33356</v>
      </c>
    </row>
    <row r="4534" spans="1:2" x14ac:dyDescent="0.25">
      <c r="A4534" t="s">
        <v>14669</v>
      </c>
      <c r="B4534" t="s">
        <v>33357</v>
      </c>
    </row>
    <row r="4535" spans="1:2" x14ac:dyDescent="0.25">
      <c r="A4535" t="s">
        <v>15333</v>
      </c>
      <c r="B4535" t="s">
        <v>15333</v>
      </c>
    </row>
    <row r="4536" spans="1:2" x14ac:dyDescent="0.25">
      <c r="A4536" t="s">
        <v>12578</v>
      </c>
      <c r="B4536" t="s">
        <v>12578</v>
      </c>
    </row>
    <row r="4537" spans="1:2" x14ac:dyDescent="0.25">
      <c r="A4537" t="s">
        <v>14792</v>
      </c>
      <c r="B4537" t="s">
        <v>33358</v>
      </c>
    </row>
    <row r="4538" spans="1:2" x14ac:dyDescent="0.25">
      <c r="A4538" t="s">
        <v>13140</v>
      </c>
      <c r="B4538" t="s">
        <v>33359</v>
      </c>
    </row>
    <row r="4539" spans="1:2" x14ac:dyDescent="0.25">
      <c r="A4539" t="s">
        <v>14222</v>
      </c>
      <c r="B4539" t="s">
        <v>33360</v>
      </c>
    </row>
    <row r="4540" spans="1:2" x14ac:dyDescent="0.25">
      <c r="A4540" t="s">
        <v>33361</v>
      </c>
      <c r="B4540" t="s">
        <v>33362</v>
      </c>
    </row>
    <row r="4541" spans="1:2" x14ac:dyDescent="0.25">
      <c r="A4541" t="s">
        <v>14508</v>
      </c>
      <c r="B4541" t="s">
        <v>33363</v>
      </c>
    </row>
    <row r="4542" spans="1:2" x14ac:dyDescent="0.25">
      <c r="A4542" t="s">
        <v>15283</v>
      </c>
      <c r="B4542" t="s">
        <v>15283</v>
      </c>
    </row>
    <row r="4543" spans="1:2" x14ac:dyDescent="0.25">
      <c r="A4543" t="s">
        <v>12602</v>
      </c>
      <c r="B4543" t="s">
        <v>33364</v>
      </c>
    </row>
    <row r="4544" spans="1:2" x14ac:dyDescent="0.25">
      <c r="A4544" t="s">
        <v>13587</v>
      </c>
      <c r="B4544" t="s">
        <v>33365</v>
      </c>
    </row>
    <row r="4545" spans="1:2" x14ac:dyDescent="0.25">
      <c r="A4545" t="s">
        <v>13523</v>
      </c>
      <c r="B4545" t="s">
        <v>33366</v>
      </c>
    </row>
    <row r="4546" spans="1:2" x14ac:dyDescent="0.25">
      <c r="A4546" t="s">
        <v>14596</v>
      </c>
      <c r="B4546" t="s">
        <v>33367</v>
      </c>
    </row>
    <row r="4547" spans="1:2" x14ac:dyDescent="0.25">
      <c r="A4547" t="s">
        <v>14086</v>
      </c>
      <c r="B4547" t="s">
        <v>33368</v>
      </c>
    </row>
    <row r="4548" spans="1:2" x14ac:dyDescent="0.25">
      <c r="A4548" t="s">
        <v>12701</v>
      </c>
      <c r="B4548" t="s">
        <v>12701</v>
      </c>
    </row>
    <row r="4549" spans="1:2" x14ac:dyDescent="0.25">
      <c r="A4549" t="s">
        <v>13569</v>
      </c>
      <c r="B4549" t="s">
        <v>33369</v>
      </c>
    </row>
    <row r="4550" spans="1:2" x14ac:dyDescent="0.25">
      <c r="A4550" t="s">
        <v>12772</v>
      </c>
      <c r="B4550" t="s">
        <v>12772</v>
      </c>
    </row>
    <row r="4551" spans="1:2" x14ac:dyDescent="0.25">
      <c r="A4551" t="s">
        <v>14306</v>
      </c>
      <c r="B4551" t="s">
        <v>33370</v>
      </c>
    </row>
    <row r="4552" spans="1:2" x14ac:dyDescent="0.25">
      <c r="A4552" t="s">
        <v>13116</v>
      </c>
      <c r="B4552" t="s">
        <v>33371</v>
      </c>
    </row>
    <row r="4553" spans="1:2" x14ac:dyDescent="0.25">
      <c r="A4553" t="s">
        <v>12521</v>
      </c>
      <c r="B4553" t="s">
        <v>12521</v>
      </c>
    </row>
    <row r="4554" spans="1:2" x14ac:dyDescent="0.25">
      <c r="A4554" t="s">
        <v>14410</v>
      </c>
      <c r="B4554" t="s">
        <v>14410</v>
      </c>
    </row>
    <row r="4555" spans="1:2" x14ac:dyDescent="0.25">
      <c r="A4555" t="s">
        <v>13147</v>
      </c>
      <c r="B4555" t="s">
        <v>33372</v>
      </c>
    </row>
    <row r="4556" spans="1:2" x14ac:dyDescent="0.25">
      <c r="A4556" t="s">
        <v>14038</v>
      </c>
      <c r="B4556" t="s">
        <v>33373</v>
      </c>
    </row>
    <row r="4557" spans="1:2" x14ac:dyDescent="0.25">
      <c r="A4557" t="s">
        <v>14336</v>
      </c>
      <c r="B4557" t="s">
        <v>33374</v>
      </c>
    </row>
    <row r="4558" spans="1:2" x14ac:dyDescent="0.25">
      <c r="A4558" t="s">
        <v>12810</v>
      </c>
      <c r="B4558" t="s">
        <v>33375</v>
      </c>
    </row>
    <row r="4559" spans="1:2" x14ac:dyDescent="0.25">
      <c r="A4559" t="s">
        <v>13014</v>
      </c>
      <c r="B4559" t="s">
        <v>33376</v>
      </c>
    </row>
    <row r="4560" spans="1:2" x14ac:dyDescent="0.25">
      <c r="A4560" t="s">
        <v>272</v>
      </c>
      <c r="B4560" t="s">
        <v>33377</v>
      </c>
    </row>
    <row r="4561" spans="1:2" x14ac:dyDescent="0.25">
      <c r="A4561" t="s">
        <v>12695</v>
      </c>
      <c r="B4561" t="s">
        <v>12695</v>
      </c>
    </row>
    <row r="4562" spans="1:2" x14ac:dyDescent="0.25">
      <c r="A4562" t="s">
        <v>15048</v>
      </c>
      <c r="B4562" t="s">
        <v>33378</v>
      </c>
    </row>
    <row r="4563" spans="1:2" x14ac:dyDescent="0.25">
      <c r="A4563" t="s">
        <v>13426</v>
      </c>
      <c r="B4563" t="s">
        <v>33379</v>
      </c>
    </row>
    <row r="4564" spans="1:2" x14ac:dyDescent="0.25">
      <c r="A4564" t="s">
        <v>14828</v>
      </c>
      <c r="B4564" t="s">
        <v>14828</v>
      </c>
    </row>
    <row r="4565" spans="1:2" x14ac:dyDescent="0.25">
      <c r="A4565" t="s">
        <v>13247</v>
      </c>
      <c r="B4565" t="s">
        <v>33380</v>
      </c>
    </row>
    <row r="4566" spans="1:2" x14ac:dyDescent="0.25">
      <c r="A4566" t="s">
        <v>14535</v>
      </c>
      <c r="B4566" t="s">
        <v>33381</v>
      </c>
    </row>
    <row r="4567" spans="1:2" x14ac:dyDescent="0.25">
      <c r="A4567" t="s">
        <v>12980</v>
      </c>
      <c r="B4567" t="s">
        <v>33382</v>
      </c>
    </row>
    <row r="4568" spans="1:2" x14ac:dyDescent="0.25">
      <c r="A4568" t="s">
        <v>15169</v>
      </c>
      <c r="B4568" t="s">
        <v>33383</v>
      </c>
    </row>
    <row r="4569" spans="1:2" x14ac:dyDescent="0.25">
      <c r="A4569" t="s">
        <v>376</v>
      </c>
      <c r="B4569" t="s">
        <v>376</v>
      </c>
    </row>
    <row r="4570" spans="1:2" x14ac:dyDescent="0.25">
      <c r="A4570" t="s">
        <v>13930</v>
      </c>
      <c r="B4570" t="s">
        <v>33384</v>
      </c>
    </row>
    <row r="4571" spans="1:2" x14ac:dyDescent="0.25">
      <c r="A4571" t="s">
        <v>12487</v>
      </c>
      <c r="B4571" t="s">
        <v>12487</v>
      </c>
    </row>
    <row r="4572" spans="1:2" x14ac:dyDescent="0.25">
      <c r="A4572" t="s">
        <v>12915</v>
      </c>
      <c r="B4572" t="s">
        <v>33385</v>
      </c>
    </row>
    <row r="4573" spans="1:2" x14ac:dyDescent="0.25">
      <c r="A4573" t="s">
        <v>14603</v>
      </c>
      <c r="B4573" t="s">
        <v>33386</v>
      </c>
    </row>
    <row r="4574" spans="1:2" x14ac:dyDescent="0.25">
      <c r="A4574" t="s">
        <v>13095</v>
      </c>
      <c r="B4574" t="s">
        <v>33387</v>
      </c>
    </row>
    <row r="4575" spans="1:2" x14ac:dyDescent="0.25">
      <c r="A4575" t="s">
        <v>15149</v>
      </c>
      <c r="B4575" t="s">
        <v>33388</v>
      </c>
    </row>
    <row r="4576" spans="1:2" x14ac:dyDescent="0.25">
      <c r="A4576" t="s">
        <v>15264</v>
      </c>
      <c r="B4576" t="s">
        <v>15264</v>
      </c>
    </row>
    <row r="4577" spans="1:2" x14ac:dyDescent="0.25">
      <c r="A4577" t="s">
        <v>15138</v>
      </c>
      <c r="B4577" t="s">
        <v>33389</v>
      </c>
    </row>
    <row r="4578" spans="1:2" x14ac:dyDescent="0.25">
      <c r="A4578" t="s">
        <v>14810</v>
      </c>
      <c r="B4578" t="s">
        <v>14810</v>
      </c>
    </row>
    <row r="4579" spans="1:2" x14ac:dyDescent="0.25">
      <c r="A4579" t="s">
        <v>15397</v>
      </c>
      <c r="B4579" t="s">
        <v>15397</v>
      </c>
    </row>
    <row r="4580" spans="1:2" x14ac:dyDescent="0.25">
      <c r="A4580" t="s">
        <v>14959</v>
      </c>
      <c r="B4580" t="s">
        <v>33390</v>
      </c>
    </row>
    <row r="4581" spans="1:2" x14ac:dyDescent="0.25">
      <c r="A4581" t="s">
        <v>12824</v>
      </c>
      <c r="B4581" t="s">
        <v>12824</v>
      </c>
    </row>
    <row r="4582" spans="1:2" x14ac:dyDescent="0.25">
      <c r="A4582" t="s">
        <v>14841</v>
      </c>
      <c r="B4582" t="s">
        <v>14841</v>
      </c>
    </row>
    <row r="4583" spans="1:2" x14ac:dyDescent="0.25">
      <c r="A4583" t="s">
        <v>13269</v>
      </c>
      <c r="B4583" t="s">
        <v>33391</v>
      </c>
    </row>
    <row r="4584" spans="1:2" x14ac:dyDescent="0.25">
      <c r="A4584" t="s">
        <v>15224</v>
      </c>
      <c r="B4584" t="s">
        <v>15224</v>
      </c>
    </row>
    <row r="4585" spans="1:2" x14ac:dyDescent="0.25">
      <c r="A4585" t="s">
        <v>14968</v>
      </c>
      <c r="B4585" t="s">
        <v>33392</v>
      </c>
    </row>
    <row r="4586" spans="1:2" x14ac:dyDescent="0.25">
      <c r="A4586" t="s">
        <v>15252</v>
      </c>
      <c r="B4586" t="s">
        <v>33393</v>
      </c>
    </row>
    <row r="4587" spans="1:2" x14ac:dyDescent="0.25">
      <c r="A4587" t="s">
        <v>12960</v>
      </c>
      <c r="B4587" t="s">
        <v>33394</v>
      </c>
    </row>
    <row r="4588" spans="1:2" x14ac:dyDescent="0.25">
      <c r="A4588" t="s">
        <v>13903</v>
      </c>
      <c r="B4588" t="s">
        <v>33395</v>
      </c>
    </row>
    <row r="4589" spans="1:2" x14ac:dyDescent="0.25">
      <c r="A4589" t="s">
        <v>14303</v>
      </c>
      <c r="B4589" t="s">
        <v>33396</v>
      </c>
    </row>
    <row r="4590" spans="1:2" x14ac:dyDescent="0.25">
      <c r="A4590" t="s">
        <v>13127</v>
      </c>
      <c r="B4590" t="s">
        <v>33397</v>
      </c>
    </row>
    <row r="4591" spans="1:2" x14ac:dyDescent="0.25">
      <c r="A4591" t="s">
        <v>15081</v>
      </c>
      <c r="B4591" t="s">
        <v>15081</v>
      </c>
    </row>
    <row r="4592" spans="1:2" x14ac:dyDescent="0.25">
      <c r="A4592" t="s">
        <v>14708</v>
      </c>
      <c r="B4592" t="s">
        <v>33398</v>
      </c>
    </row>
    <row r="4593" spans="1:2" x14ac:dyDescent="0.25">
      <c r="A4593" t="s">
        <v>13607</v>
      </c>
      <c r="B4593" t="s">
        <v>33399</v>
      </c>
    </row>
    <row r="4594" spans="1:2" x14ac:dyDescent="0.25">
      <c r="A4594" t="s">
        <v>15384</v>
      </c>
      <c r="B4594" t="s">
        <v>15384</v>
      </c>
    </row>
    <row r="4595" spans="1:2" x14ac:dyDescent="0.25">
      <c r="A4595" t="s">
        <v>14058</v>
      </c>
      <c r="B4595" t="s">
        <v>33400</v>
      </c>
    </row>
    <row r="4596" spans="1:2" x14ac:dyDescent="0.25">
      <c r="A4596" t="s">
        <v>14389</v>
      </c>
      <c r="B4596" t="s">
        <v>33401</v>
      </c>
    </row>
    <row r="4597" spans="1:2" x14ac:dyDescent="0.25">
      <c r="A4597" t="s">
        <v>12301</v>
      </c>
      <c r="B4597" t="s">
        <v>33402</v>
      </c>
    </row>
    <row r="4598" spans="1:2" x14ac:dyDescent="0.25">
      <c r="A4598" t="s">
        <v>14866</v>
      </c>
      <c r="B4598" t="s">
        <v>14866</v>
      </c>
    </row>
    <row r="4599" spans="1:2" x14ac:dyDescent="0.25">
      <c r="A4599" t="s">
        <v>14695</v>
      </c>
      <c r="B4599" t="s">
        <v>33403</v>
      </c>
    </row>
    <row r="4600" spans="1:2" x14ac:dyDescent="0.25">
      <c r="A4600" t="s">
        <v>14172</v>
      </c>
      <c r="B4600" t="s">
        <v>14172</v>
      </c>
    </row>
    <row r="4601" spans="1:2" x14ac:dyDescent="0.25">
      <c r="A4601" t="s">
        <v>12651</v>
      </c>
      <c r="B4601" t="s">
        <v>12651</v>
      </c>
    </row>
    <row r="4602" spans="1:2" x14ac:dyDescent="0.25">
      <c r="A4602" t="s">
        <v>13143</v>
      </c>
      <c r="B4602" t="s">
        <v>33404</v>
      </c>
    </row>
    <row r="4603" spans="1:2" x14ac:dyDescent="0.25">
      <c r="A4603" t="s">
        <v>12479</v>
      </c>
      <c r="B4603" t="s">
        <v>12479</v>
      </c>
    </row>
    <row r="4604" spans="1:2" x14ac:dyDescent="0.25">
      <c r="A4604" t="s">
        <v>15011</v>
      </c>
      <c r="B4604" t="s">
        <v>33405</v>
      </c>
    </row>
    <row r="4605" spans="1:2" x14ac:dyDescent="0.25">
      <c r="A4605" t="s">
        <v>13870</v>
      </c>
      <c r="B4605" t="s">
        <v>33406</v>
      </c>
    </row>
    <row r="4606" spans="1:2" x14ac:dyDescent="0.25">
      <c r="A4606" t="s">
        <v>13424</v>
      </c>
      <c r="B4606" t="s">
        <v>33407</v>
      </c>
    </row>
    <row r="4607" spans="1:2" x14ac:dyDescent="0.25">
      <c r="A4607" t="s">
        <v>13856</v>
      </c>
      <c r="B4607" t="s">
        <v>33408</v>
      </c>
    </row>
    <row r="4608" spans="1:2" x14ac:dyDescent="0.25">
      <c r="A4608" t="s">
        <v>14094</v>
      </c>
      <c r="B4608" t="s">
        <v>33409</v>
      </c>
    </row>
    <row r="4609" spans="1:2" x14ac:dyDescent="0.25">
      <c r="A4609" t="s">
        <v>15056</v>
      </c>
      <c r="B4609" t="s">
        <v>33410</v>
      </c>
    </row>
    <row r="4610" spans="1:2" x14ac:dyDescent="0.25">
      <c r="A4610" t="s">
        <v>12309</v>
      </c>
      <c r="B4610" t="s">
        <v>12309</v>
      </c>
    </row>
    <row r="4611" spans="1:2" x14ac:dyDescent="0.25">
      <c r="A4611" t="s">
        <v>13768</v>
      </c>
      <c r="B4611" t="s">
        <v>33411</v>
      </c>
    </row>
    <row r="4612" spans="1:2" x14ac:dyDescent="0.25">
      <c r="A4612" t="s">
        <v>15142</v>
      </c>
      <c r="B4612" t="s">
        <v>33412</v>
      </c>
    </row>
    <row r="4613" spans="1:2" x14ac:dyDescent="0.25">
      <c r="A4613" t="s">
        <v>372</v>
      </c>
      <c r="B4613" t="s">
        <v>33413</v>
      </c>
    </row>
    <row r="4614" spans="1:2" x14ac:dyDescent="0.25">
      <c r="A4614" t="s">
        <v>14249</v>
      </c>
      <c r="B4614" t="s">
        <v>33414</v>
      </c>
    </row>
    <row r="4615" spans="1:2" x14ac:dyDescent="0.25">
      <c r="A4615" t="s">
        <v>14371</v>
      </c>
      <c r="B4615" t="s">
        <v>33415</v>
      </c>
    </row>
    <row r="4616" spans="1:2" x14ac:dyDescent="0.25">
      <c r="A4616" t="s">
        <v>12328</v>
      </c>
      <c r="B4616" t="s">
        <v>12328</v>
      </c>
    </row>
    <row r="4617" spans="1:2" x14ac:dyDescent="0.25">
      <c r="A4617" t="s">
        <v>14466</v>
      </c>
      <c r="B4617" t="s">
        <v>33416</v>
      </c>
    </row>
    <row r="4618" spans="1:2" x14ac:dyDescent="0.25">
      <c r="A4618" t="s">
        <v>14230</v>
      </c>
      <c r="B4618" t="s">
        <v>33417</v>
      </c>
    </row>
    <row r="4619" spans="1:2" x14ac:dyDescent="0.25">
      <c r="A4619" t="s">
        <v>20</v>
      </c>
      <c r="B4619" t="s">
        <v>21798</v>
      </c>
    </row>
    <row r="4620" spans="1:2" x14ac:dyDescent="0.25">
      <c r="A4620" t="s">
        <v>12633</v>
      </c>
      <c r="B4620" t="s">
        <v>33418</v>
      </c>
    </row>
    <row r="4621" spans="1:2" x14ac:dyDescent="0.25">
      <c r="A4621" t="s">
        <v>14947</v>
      </c>
      <c r="B4621" t="s">
        <v>14947</v>
      </c>
    </row>
    <row r="4622" spans="1:2" x14ac:dyDescent="0.25">
      <c r="A4622" t="s">
        <v>13138</v>
      </c>
      <c r="B4622" t="s">
        <v>33419</v>
      </c>
    </row>
    <row r="4623" spans="1:2" x14ac:dyDescent="0.25">
      <c r="A4623" t="s">
        <v>14062</v>
      </c>
      <c r="B4623" t="s">
        <v>33420</v>
      </c>
    </row>
    <row r="4624" spans="1:2" x14ac:dyDescent="0.25">
      <c r="A4624" t="s">
        <v>13394</v>
      </c>
      <c r="B4624" t="s">
        <v>33421</v>
      </c>
    </row>
    <row r="4625" spans="1:2" x14ac:dyDescent="0.25">
      <c r="A4625" t="s">
        <v>12526</v>
      </c>
      <c r="B4625" t="s">
        <v>12526</v>
      </c>
    </row>
    <row r="4626" spans="1:2" x14ac:dyDescent="0.25">
      <c r="A4626" t="s">
        <v>12461</v>
      </c>
      <c r="B4626" t="s">
        <v>12461</v>
      </c>
    </row>
    <row r="4627" spans="1:2" x14ac:dyDescent="0.25">
      <c r="A4627" t="s">
        <v>15482</v>
      </c>
      <c r="B4627" t="s">
        <v>33422</v>
      </c>
    </row>
    <row r="4628" spans="1:2" x14ac:dyDescent="0.25">
      <c r="A4628" t="s">
        <v>12859</v>
      </c>
      <c r="B4628" t="s">
        <v>33423</v>
      </c>
    </row>
    <row r="4629" spans="1:2" x14ac:dyDescent="0.25">
      <c r="A4629" t="s">
        <v>12647</v>
      </c>
      <c r="B4629" t="s">
        <v>33424</v>
      </c>
    </row>
    <row r="4630" spans="1:2" x14ac:dyDescent="0.25">
      <c r="A4630" t="s">
        <v>12359</v>
      </c>
      <c r="B4630" t="s">
        <v>12359</v>
      </c>
    </row>
    <row r="4631" spans="1:2" x14ac:dyDescent="0.25">
      <c r="A4631" t="s">
        <v>13846</v>
      </c>
      <c r="B4631" t="s">
        <v>33425</v>
      </c>
    </row>
    <row r="4632" spans="1:2" x14ac:dyDescent="0.25">
      <c r="A4632" t="s">
        <v>14710</v>
      </c>
      <c r="B4632" t="s">
        <v>14710</v>
      </c>
    </row>
    <row r="4633" spans="1:2" x14ac:dyDescent="0.25">
      <c r="A4633" t="s">
        <v>14689</v>
      </c>
      <c r="B4633" t="s">
        <v>14689</v>
      </c>
    </row>
    <row r="4634" spans="1:2" x14ac:dyDescent="0.25">
      <c r="A4634" t="s">
        <v>15395</v>
      </c>
      <c r="B4634" t="s">
        <v>15395</v>
      </c>
    </row>
    <row r="4635" spans="1:2" x14ac:dyDescent="0.25">
      <c r="A4635" t="s">
        <v>12897</v>
      </c>
      <c r="B4635" t="s">
        <v>33426</v>
      </c>
    </row>
    <row r="4636" spans="1:2" x14ac:dyDescent="0.25">
      <c r="A4636" t="s">
        <v>14818</v>
      </c>
      <c r="B4636" t="s">
        <v>14818</v>
      </c>
    </row>
    <row r="4637" spans="1:2" x14ac:dyDescent="0.25">
      <c r="A4637" t="s">
        <v>13249</v>
      </c>
      <c r="B4637" t="s">
        <v>33427</v>
      </c>
    </row>
    <row r="4638" spans="1:2" x14ac:dyDescent="0.25">
      <c r="A4638" t="s">
        <v>14329</v>
      </c>
      <c r="B4638" t="s">
        <v>33428</v>
      </c>
    </row>
    <row r="4639" spans="1:2" x14ac:dyDescent="0.25">
      <c r="A4639" t="s">
        <v>14426</v>
      </c>
      <c r="B4639" t="s">
        <v>14426</v>
      </c>
    </row>
    <row r="4640" spans="1:2" x14ac:dyDescent="0.25">
      <c r="A4640" t="s">
        <v>12589</v>
      </c>
      <c r="B4640" t="s">
        <v>12589</v>
      </c>
    </row>
    <row r="4641" spans="1:2" x14ac:dyDescent="0.25">
      <c r="A4641" t="s">
        <v>12669</v>
      </c>
      <c r="B4641" t="s">
        <v>33429</v>
      </c>
    </row>
    <row r="4642" spans="1:2" x14ac:dyDescent="0.25">
      <c r="A4642" t="s">
        <v>12835</v>
      </c>
      <c r="B4642" t="s">
        <v>33430</v>
      </c>
    </row>
    <row r="4643" spans="1:2" x14ac:dyDescent="0.25">
      <c r="A4643" t="s">
        <v>13155</v>
      </c>
      <c r="B4643" t="s">
        <v>33431</v>
      </c>
    </row>
    <row r="4644" spans="1:2" x14ac:dyDescent="0.25">
      <c r="A4644" t="s">
        <v>14521</v>
      </c>
      <c r="B4644" t="s">
        <v>33432</v>
      </c>
    </row>
    <row r="4645" spans="1:2" x14ac:dyDescent="0.25">
      <c r="A4645" t="s">
        <v>15400</v>
      </c>
      <c r="B4645" t="s">
        <v>15400</v>
      </c>
    </row>
    <row r="4646" spans="1:2" x14ac:dyDescent="0.25">
      <c r="A4646" t="s">
        <v>14992</v>
      </c>
      <c r="B4646" t="s">
        <v>33433</v>
      </c>
    </row>
    <row r="4647" spans="1:2" x14ac:dyDescent="0.25">
      <c r="A4647" t="s">
        <v>14395</v>
      </c>
      <c r="B4647" t="s">
        <v>33434</v>
      </c>
    </row>
    <row r="4648" spans="1:2" x14ac:dyDescent="0.25">
      <c r="A4648" t="s">
        <v>14368</v>
      </c>
      <c r="B4648" t="s">
        <v>33435</v>
      </c>
    </row>
    <row r="4649" spans="1:2" x14ac:dyDescent="0.25">
      <c r="A4649" t="s">
        <v>14849</v>
      </c>
      <c r="B4649" t="s">
        <v>14849</v>
      </c>
    </row>
    <row r="4650" spans="1:2" x14ac:dyDescent="0.25">
      <c r="A4650" t="s">
        <v>13092</v>
      </c>
      <c r="B4650" t="s">
        <v>33436</v>
      </c>
    </row>
    <row r="4651" spans="1:2" x14ac:dyDescent="0.25">
      <c r="A4651" t="s">
        <v>14830</v>
      </c>
      <c r="B4651" t="s">
        <v>33437</v>
      </c>
    </row>
    <row r="4652" spans="1:2" x14ac:dyDescent="0.25">
      <c r="A4652" t="s">
        <v>14288</v>
      </c>
      <c r="B4652" t="s">
        <v>33438</v>
      </c>
    </row>
    <row r="4653" spans="1:2" x14ac:dyDescent="0.25">
      <c r="A4653" t="s">
        <v>14367</v>
      </c>
      <c r="B4653" t="s">
        <v>33439</v>
      </c>
    </row>
    <row r="4654" spans="1:2" x14ac:dyDescent="0.25">
      <c r="A4654" t="s">
        <v>13998</v>
      </c>
      <c r="B4654" t="s">
        <v>33440</v>
      </c>
    </row>
    <row r="4655" spans="1:2" x14ac:dyDescent="0.25">
      <c r="A4655" t="s">
        <v>12363</v>
      </c>
      <c r="B4655" t="s">
        <v>12363</v>
      </c>
    </row>
    <row r="4656" spans="1:2" x14ac:dyDescent="0.25">
      <c r="A4656" t="s">
        <v>14694</v>
      </c>
      <c r="B4656" t="s">
        <v>30760</v>
      </c>
    </row>
    <row r="4657" spans="1:2" x14ac:dyDescent="0.25">
      <c r="A4657" t="s">
        <v>14174</v>
      </c>
      <c r="B4657" t="s">
        <v>14174</v>
      </c>
    </row>
    <row r="4658" spans="1:2" x14ac:dyDescent="0.25">
      <c r="A4658" t="s">
        <v>14566</v>
      </c>
      <c r="B4658" t="s">
        <v>14566</v>
      </c>
    </row>
    <row r="4659" spans="1:2" x14ac:dyDescent="0.25">
      <c r="A4659" t="s">
        <v>14539</v>
      </c>
      <c r="B4659" t="s">
        <v>33441</v>
      </c>
    </row>
    <row r="4660" spans="1:2" x14ac:dyDescent="0.25">
      <c r="A4660" t="s">
        <v>14432</v>
      </c>
      <c r="B4660" t="s">
        <v>33442</v>
      </c>
    </row>
    <row r="4661" spans="1:2" x14ac:dyDescent="0.25">
      <c r="A4661" t="s">
        <v>14779</v>
      </c>
      <c r="B4661" t="s">
        <v>33443</v>
      </c>
    </row>
    <row r="4662" spans="1:2" x14ac:dyDescent="0.25">
      <c r="A4662" t="s">
        <v>14622</v>
      </c>
      <c r="B4662" t="s">
        <v>33444</v>
      </c>
    </row>
    <row r="4663" spans="1:2" x14ac:dyDescent="0.25">
      <c r="A4663" t="s">
        <v>15111</v>
      </c>
      <c r="B4663" t="s">
        <v>33445</v>
      </c>
    </row>
    <row r="4664" spans="1:2" x14ac:dyDescent="0.25">
      <c r="A4664" t="s">
        <v>14837</v>
      </c>
      <c r="B4664" t="s">
        <v>33446</v>
      </c>
    </row>
    <row r="4665" spans="1:2" x14ac:dyDescent="0.25">
      <c r="A4665" t="s">
        <v>15355</v>
      </c>
      <c r="B4665" t="s">
        <v>15355</v>
      </c>
    </row>
    <row r="4666" spans="1:2" x14ac:dyDescent="0.25">
      <c r="A4666" t="s">
        <v>13581</v>
      </c>
      <c r="B4666" t="s">
        <v>33447</v>
      </c>
    </row>
    <row r="4667" spans="1:2" x14ac:dyDescent="0.25">
      <c r="A4667" t="s">
        <v>14331</v>
      </c>
      <c r="B4667" t="s">
        <v>33448</v>
      </c>
    </row>
    <row r="4668" spans="1:2" x14ac:dyDescent="0.25">
      <c r="A4668" t="s">
        <v>12457</v>
      </c>
      <c r="B4668" t="s">
        <v>12457</v>
      </c>
    </row>
    <row r="4669" spans="1:2" x14ac:dyDescent="0.25">
      <c r="A4669" t="s">
        <v>12412</v>
      </c>
      <c r="B4669" t="s">
        <v>12412</v>
      </c>
    </row>
    <row r="4670" spans="1:2" x14ac:dyDescent="0.25">
      <c r="A4670" t="s">
        <v>14228</v>
      </c>
      <c r="B4670" t="s">
        <v>33449</v>
      </c>
    </row>
    <row r="4671" spans="1:2" x14ac:dyDescent="0.25">
      <c r="A4671" t="s">
        <v>12536</v>
      </c>
      <c r="B4671" t="s">
        <v>33450</v>
      </c>
    </row>
    <row r="4672" spans="1:2" x14ac:dyDescent="0.25">
      <c r="A4672" t="s">
        <v>14375</v>
      </c>
      <c r="B4672" t="s">
        <v>33451</v>
      </c>
    </row>
    <row r="4673" spans="1:2" x14ac:dyDescent="0.25">
      <c r="A4673" t="s">
        <v>13166</v>
      </c>
      <c r="B4673" t="s">
        <v>13166</v>
      </c>
    </row>
    <row r="4674" spans="1:2" x14ac:dyDescent="0.25">
      <c r="A4674" t="s">
        <v>13713</v>
      </c>
      <c r="B4674" t="s">
        <v>33452</v>
      </c>
    </row>
    <row r="4675" spans="1:2" x14ac:dyDescent="0.25">
      <c r="A4675" t="s">
        <v>13407</v>
      </c>
      <c r="B4675" t="s">
        <v>33453</v>
      </c>
    </row>
    <row r="4676" spans="1:2" x14ac:dyDescent="0.25">
      <c r="A4676" t="s">
        <v>14210</v>
      </c>
      <c r="B4676" t="s">
        <v>33454</v>
      </c>
    </row>
    <row r="4677" spans="1:2" x14ac:dyDescent="0.25">
      <c r="A4677" t="s">
        <v>15019</v>
      </c>
      <c r="B4677" t="s">
        <v>33455</v>
      </c>
    </row>
    <row r="4678" spans="1:2" x14ac:dyDescent="0.25">
      <c r="A4678" t="s">
        <v>13211</v>
      </c>
      <c r="B4678" t="s">
        <v>13211</v>
      </c>
    </row>
    <row r="4679" spans="1:2" x14ac:dyDescent="0.25">
      <c r="A4679" t="s">
        <v>12546</v>
      </c>
      <c r="B4679" t="s">
        <v>12546</v>
      </c>
    </row>
    <row r="4680" spans="1:2" x14ac:dyDescent="0.25">
      <c r="A4680" t="s">
        <v>12451</v>
      </c>
      <c r="B4680" t="s">
        <v>12451</v>
      </c>
    </row>
    <row r="4681" spans="1:2" x14ac:dyDescent="0.25">
      <c r="A4681" t="s">
        <v>13601</v>
      </c>
      <c r="B4681" t="s">
        <v>33456</v>
      </c>
    </row>
    <row r="4682" spans="1:2" x14ac:dyDescent="0.25">
      <c r="A4682" t="s">
        <v>12714</v>
      </c>
      <c r="B4682" t="s">
        <v>33457</v>
      </c>
    </row>
    <row r="4683" spans="1:2" x14ac:dyDescent="0.25">
      <c r="A4683" t="s">
        <v>12963</v>
      </c>
      <c r="B4683" t="s">
        <v>33458</v>
      </c>
    </row>
    <row r="4684" spans="1:2" x14ac:dyDescent="0.25">
      <c r="A4684" t="s">
        <v>149</v>
      </c>
      <c r="B4684" t="s">
        <v>33459</v>
      </c>
    </row>
    <row r="4685" spans="1:2" x14ac:dyDescent="0.25">
      <c r="A4685" t="s">
        <v>12882</v>
      </c>
      <c r="B4685" t="s">
        <v>12882</v>
      </c>
    </row>
    <row r="4686" spans="1:2" x14ac:dyDescent="0.25">
      <c r="A4686" t="s">
        <v>12747</v>
      </c>
      <c r="B4686" t="s">
        <v>33460</v>
      </c>
    </row>
    <row r="4687" spans="1:2" x14ac:dyDescent="0.25">
      <c r="A4687" t="s">
        <v>12381</v>
      </c>
      <c r="B4687" t="s">
        <v>33461</v>
      </c>
    </row>
    <row r="4688" spans="1:2" x14ac:dyDescent="0.25">
      <c r="A4688" t="s">
        <v>14136</v>
      </c>
      <c r="B4688" t="s">
        <v>33462</v>
      </c>
    </row>
    <row r="4689" spans="1:2" x14ac:dyDescent="0.25">
      <c r="A4689" t="s">
        <v>15182</v>
      </c>
      <c r="B4689" t="s">
        <v>15182</v>
      </c>
    </row>
    <row r="4690" spans="1:2" x14ac:dyDescent="0.25">
      <c r="A4690" t="s">
        <v>288</v>
      </c>
      <c r="B4690" t="s">
        <v>33463</v>
      </c>
    </row>
    <row r="4691" spans="1:2" x14ac:dyDescent="0.25">
      <c r="A4691" t="s">
        <v>13317</v>
      </c>
      <c r="B4691" t="s">
        <v>33464</v>
      </c>
    </row>
    <row r="4692" spans="1:2" x14ac:dyDescent="0.25">
      <c r="A4692" t="s">
        <v>13221</v>
      </c>
      <c r="B4692" t="s">
        <v>13221</v>
      </c>
    </row>
    <row r="4693" spans="1:2" x14ac:dyDescent="0.25">
      <c r="A4693" t="s">
        <v>12630</v>
      </c>
      <c r="B4693" t="s">
        <v>33465</v>
      </c>
    </row>
    <row r="4694" spans="1:2" x14ac:dyDescent="0.25">
      <c r="A4694" t="s">
        <v>14184</v>
      </c>
      <c r="B4694" t="s">
        <v>14184</v>
      </c>
    </row>
    <row r="4695" spans="1:2" x14ac:dyDescent="0.25">
      <c r="A4695" t="s">
        <v>13689</v>
      </c>
      <c r="B4695" t="s">
        <v>33466</v>
      </c>
    </row>
    <row r="4696" spans="1:2" x14ac:dyDescent="0.25">
      <c r="A4696" t="s">
        <v>13736</v>
      </c>
      <c r="B4696" t="s">
        <v>13736</v>
      </c>
    </row>
    <row r="4697" spans="1:2" x14ac:dyDescent="0.25">
      <c r="A4697" t="s">
        <v>13466</v>
      </c>
      <c r="B4697" t="s">
        <v>33467</v>
      </c>
    </row>
    <row r="4698" spans="1:2" x14ac:dyDescent="0.25">
      <c r="A4698" t="s">
        <v>14858</v>
      </c>
      <c r="B4698" t="s">
        <v>33468</v>
      </c>
    </row>
    <row r="4699" spans="1:2" x14ac:dyDescent="0.25">
      <c r="A4699" t="s">
        <v>33469</v>
      </c>
      <c r="B4699" t="s">
        <v>33470</v>
      </c>
    </row>
    <row r="4700" spans="1:2" x14ac:dyDescent="0.25">
      <c r="A4700" t="s">
        <v>14154</v>
      </c>
      <c r="B4700" t="s">
        <v>33471</v>
      </c>
    </row>
    <row r="4701" spans="1:2" x14ac:dyDescent="0.25">
      <c r="A4701" t="s">
        <v>13062</v>
      </c>
      <c r="B4701" t="s">
        <v>33472</v>
      </c>
    </row>
    <row r="4702" spans="1:2" x14ac:dyDescent="0.25">
      <c r="A4702" t="s">
        <v>14847</v>
      </c>
      <c r="B4702" t="s">
        <v>33473</v>
      </c>
    </row>
    <row r="4703" spans="1:2" x14ac:dyDescent="0.25">
      <c r="A4703" t="s">
        <v>33474</v>
      </c>
      <c r="B4703" t="s">
        <v>33475</v>
      </c>
    </row>
    <row r="4704" spans="1:2" x14ac:dyDescent="0.25">
      <c r="A4704" t="s">
        <v>12722</v>
      </c>
      <c r="B4704" t="s">
        <v>33476</v>
      </c>
    </row>
    <row r="4705" spans="1:2" x14ac:dyDescent="0.25">
      <c r="A4705" t="s">
        <v>14956</v>
      </c>
      <c r="B4705" t="s">
        <v>33477</v>
      </c>
    </row>
    <row r="4706" spans="1:2" x14ac:dyDescent="0.25">
      <c r="A4706" t="s">
        <v>13769</v>
      </c>
      <c r="B4706" t="s">
        <v>13769</v>
      </c>
    </row>
    <row r="4707" spans="1:2" x14ac:dyDescent="0.25">
      <c r="A4707" t="s">
        <v>13321</v>
      </c>
      <c r="B4707" t="s">
        <v>33478</v>
      </c>
    </row>
    <row r="4708" spans="1:2" x14ac:dyDescent="0.25">
      <c r="A4708" t="s">
        <v>12910</v>
      </c>
      <c r="B4708" t="s">
        <v>33479</v>
      </c>
    </row>
    <row r="4709" spans="1:2" x14ac:dyDescent="0.25">
      <c r="A4709" t="s">
        <v>13322</v>
      </c>
      <c r="B4709" t="s">
        <v>33480</v>
      </c>
    </row>
    <row r="4710" spans="1:2" x14ac:dyDescent="0.25">
      <c r="A4710" t="s">
        <v>12941</v>
      </c>
      <c r="B4710" t="s">
        <v>33481</v>
      </c>
    </row>
    <row r="4711" spans="1:2" x14ac:dyDescent="0.25">
      <c r="A4711" t="s">
        <v>12601</v>
      </c>
      <c r="B4711" t="s">
        <v>12601</v>
      </c>
    </row>
    <row r="4712" spans="1:2" x14ac:dyDescent="0.25">
      <c r="A4712" t="s">
        <v>15340</v>
      </c>
      <c r="B4712" t="s">
        <v>24905</v>
      </c>
    </row>
    <row r="4713" spans="1:2" x14ac:dyDescent="0.25">
      <c r="A4713" t="s">
        <v>12996</v>
      </c>
      <c r="B4713" t="s">
        <v>33482</v>
      </c>
    </row>
    <row r="4714" spans="1:2" x14ac:dyDescent="0.25">
      <c r="A4714" t="s">
        <v>14716</v>
      </c>
      <c r="B4714" t="s">
        <v>33483</v>
      </c>
    </row>
    <row r="4715" spans="1:2" x14ac:dyDescent="0.25">
      <c r="A4715" t="s">
        <v>14912</v>
      </c>
      <c r="B4715" t="s">
        <v>14912</v>
      </c>
    </row>
    <row r="4716" spans="1:2" x14ac:dyDescent="0.25">
      <c r="A4716" t="s">
        <v>12486</v>
      </c>
      <c r="B4716" t="s">
        <v>12486</v>
      </c>
    </row>
    <row r="4717" spans="1:2" x14ac:dyDescent="0.25">
      <c r="A4717" t="s">
        <v>15352</v>
      </c>
      <c r="B4717" t="s">
        <v>15352</v>
      </c>
    </row>
    <row r="4718" spans="1:2" x14ac:dyDescent="0.25">
      <c r="A4718" t="s">
        <v>14049</v>
      </c>
      <c r="B4718" t="s">
        <v>33484</v>
      </c>
    </row>
    <row r="4719" spans="1:2" x14ac:dyDescent="0.25">
      <c r="A4719" t="s">
        <v>15310</v>
      </c>
      <c r="B4719" t="s">
        <v>32865</v>
      </c>
    </row>
    <row r="4720" spans="1:2" x14ac:dyDescent="0.25">
      <c r="A4720" t="s">
        <v>12422</v>
      </c>
      <c r="B4720" t="s">
        <v>33485</v>
      </c>
    </row>
    <row r="4721" spans="1:2" x14ac:dyDescent="0.25">
      <c r="A4721" t="s">
        <v>14636</v>
      </c>
      <c r="B4721" t="s">
        <v>14636</v>
      </c>
    </row>
    <row r="4722" spans="1:2" x14ac:dyDescent="0.25">
      <c r="A4722" t="s">
        <v>13484</v>
      </c>
      <c r="B4722" t="s">
        <v>33486</v>
      </c>
    </row>
    <row r="4723" spans="1:2" x14ac:dyDescent="0.25">
      <c r="A4723" t="s">
        <v>14468</v>
      </c>
      <c r="B4723" t="s">
        <v>33487</v>
      </c>
    </row>
    <row r="4724" spans="1:2" x14ac:dyDescent="0.25">
      <c r="A4724" t="s">
        <v>33488</v>
      </c>
      <c r="B4724" t="s">
        <v>33489</v>
      </c>
    </row>
    <row r="4725" spans="1:2" x14ac:dyDescent="0.25">
      <c r="A4725" t="s">
        <v>13352</v>
      </c>
      <c r="B4725" t="s">
        <v>33490</v>
      </c>
    </row>
    <row r="4726" spans="1:2" x14ac:dyDescent="0.25">
      <c r="A4726" t="s">
        <v>15126</v>
      </c>
      <c r="B4726" t="s">
        <v>15126</v>
      </c>
    </row>
    <row r="4727" spans="1:2" x14ac:dyDescent="0.25">
      <c r="A4727" t="s">
        <v>13946</v>
      </c>
      <c r="B4727" t="s">
        <v>33491</v>
      </c>
    </row>
    <row r="4728" spans="1:2" x14ac:dyDescent="0.25">
      <c r="A4728" t="s">
        <v>13994</v>
      </c>
      <c r="B4728" t="s">
        <v>33492</v>
      </c>
    </row>
    <row r="4729" spans="1:2" x14ac:dyDescent="0.25">
      <c r="A4729" t="s">
        <v>14035</v>
      </c>
      <c r="B4729" t="s">
        <v>14035</v>
      </c>
    </row>
    <row r="4730" spans="1:2" x14ac:dyDescent="0.25">
      <c r="A4730" t="s">
        <v>13952</v>
      </c>
      <c r="B4730" t="s">
        <v>33493</v>
      </c>
    </row>
    <row r="4731" spans="1:2" x14ac:dyDescent="0.25">
      <c r="A4731" t="s">
        <v>14751</v>
      </c>
      <c r="B4731" t="s">
        <v>33494</v>
      </c>
    </row>
    <row r="4732" spans="1:2" x14ac:dyDescent="0.25">
      <c r="A4732" t="s">
        <v>13178</v>
      </c>
      <c r="B4732" t="s">
        <v>13178</v>
      </c>
    </row>
    <row r="4733" spans="1:2" x14ac:dyDescent="0.25">
      <c r="A4733" t="s">
        <v>15396</v>
      </c>
      <c r="B4733" t="s">
        <v>15396</v>
      </c>
    </row>
    <row r="4734" spans="1:2" x14ac:dyDescent="0.25">
      <c r="A4734" t="s">
        <v>13174</v>
      </c>
      <c r="B4734" t="s">
        <v>13174</v>
      </c>
    </row>
    <row r="4735" spans="1:2" x14ac:dyDescent="0.25">
      <c r="A4735" t="s">
        <v>15129</v>
      </c>
      <c r="B4735" t="s">
        <v>33495</v>
      </c>
    </row>
    <row r="4736" spans="1:2" x14ac:dyDescent="0.25">
      <c r="A4736" t="s">
        <v>13165</v>
      </c>
      <c r="B4736" t="s">
        <v>23302</v>
      </c>
    </row>
    <row r="4737" spans="1:2" x14ac:dyDescent="0.25">
      <c r="A4737" t="s">
        <v>14262</v>
      </c>
      <c r="B4737" t="s">
        <v>14262</v>
      </c>
    </row>
    <row r="4738" spans="1:2" x14ac:dyDescent="0.25">
      <c r="A4738" t="s">
        <v>13325</v>
      </c>
      <c r="B4738" t="s">
        <v>33496</v>
      </c>
    </row>
    <row r="4739" spans="1:2" x14ac:dyDescent="0.25">
      <c r="A4739" t="s">
        <v>13849</v>
      </c>
      <c r="B4739" t="s">
        <v>33497</v>
      </c>
    </row>
    <row r="4740" spans="1:2" x14ac:dyDescent="0.25">
      <c r="A4740" t="s">
        <v>12483</v>
      </c>
      <c r="B4740" t="s">
        <v>12483</v>
      </c>
    </row>
    <row r="4741" spans="1:2" x14ac:dyDescent="0.25">
      <c r="A4741" t="s">
        <v>14527</v>
      </c>
      <c r="B4741" t="s">
        <v>33498</v>
      </c>
    </row>
    <row r="4742" spans="1:2" x14ac:dyDescent="0.25">
      <c r="A4742" t="s">
        <v>12345</v>
      </c>
      <c r="B4742" t="s">
        <v>12345</v>
      </c>
    </row>
    <row r="4743" spans="1:2" x14ac:dyDescent="0.25">
      <c r="A4743" t="s">
        <v>12386</v>
      </c>
      <c r="B4743" t="s">
        <v>12386</v>
      </c>
    </row>
    <row r="4744" spans="1:2" x14ac:dyDescent="0.25">
      <c r="A4744" t="s">
        <v>14308</v>
      </c>
      <c r="B4744" t="s">
        <v>33499</v>
      </c>
    </row>
    <row r="4745" spans="1:2" x14ac:dyDescent="0.25">
      <c r="A4745" t="s">
        <v>12319</v>
      </c>
      <c r="B4745" t="s">
        <v>33500</v>
      </c>
    </row>
    <row r="4746" spans="1:2" x14ac:dyDescent="0.25">
      <c r="A4746" t="s">
        <v>13613</v>
      </c>
      <c r="B4746" t="s">
        <v>33501</v>
      </c>
    </row>
    <row r="4747" spans="1:2" x14ac:dyDescent="0.25">
      <c r="A4747" t="s">
        <v>12685</v>
      </c>
      <c r="B4747" t="s">
        <v>12685</v>
      </c>
    </row>
    <row r="4748" spans="1:2" x14ac:dyDescent="0.25">
      <c r="A4748" t="s">
        <v>14092</v>
      </c>
      <c r="B4748" t="s">
        <v>33502</v>
      </c>
    </row>
    <row r="4749" spans="1:2" x14ac:dyDescent="0.25">
      <c r="A4749" t="s">
        <v>14097</v>
      </c>
      <c r="B4749" t="s">
        <v>27294</v>
      </c>
    </row>
    <row r="4750" spans="1:2" x14ac:dyDescent="0.25">
      <c r="A4750" t="s">
        <v>15034</v>
      </c>
      <c r="B4750" t="s">
        <v>33503</v>
      </c>
    </row>
    <row r="4751" spans="1:2" x14ac:dyDescent="0.25">
      <c r="A4751" t="s">
        <v>13830</v>
      </c>
      <c r="B4751" t="s">
        <v>13830</v>
      </c>
    </row>
    <row r="4752" spans="1:2" x14ac:dyDescent="0.25">
      <c r="A4752" t="s">
        <v>14414</v>
      </c>
      <c r="B4752" t="s">
        <v>33504</v>
      </c>
    </row>
    <row r="4753" spans="1:2" x14ac:dyDescent="0.25">
      <c r="A4753" t="s">
        <v>13218</v>
      </c>
      <c r="B4753" t="s">
        <v>13218</v>
      </c>
    </row>
    <row r="4754" spans="1:2" x14ac:dyDescent="0.25">
      <c r="A4754" t="s">
        <v>12553</v>
      </c>
      <c r="B4754" t="s">
        <v>33505</v>
      </c>
    </row>
    <row r="4755" spans="1:2" x14ac:dyDescent="0.25">
      <c r="A4755" t="s">
        <v>13291</v>
      </c>
      <c r="B4755" t="s">
        <v>33506</v>
      </c>
    </row>
    <row r="4756" spans="1:2" x14ac:dyDescent="0.25">
      <c r="A4756" t="s">
        <v>12443</v>
      </c>
      <c r="B4756" t="s">
        <v>12443</v>
      </c>
    </row>
    <row r="4757" spans="1:2" x14ac:dyDescent="0.25">
      <c r="A4757" t="s">
        <v>12673</v>
      </c>
      <c r="B4757" t="s">
        <v>12673</v>
      </c>
    </row>
    <row r="4758" spans="1:2" x14ac:dyDescent="0.25">
      <c r="A4758" t="s">
        <v>57</v>
      </c>
      <c r="B4758" t="s">
        <v>55</v>
      </c>
    </row>
    <row r="4759" spans="1:2" x14ac:dyDescent="0.25">
      <c r="A4759" t="s">
        <v>12441</v>
      </c>
      <c r="B4759" t="s">
        <v>12441</v>
      </c>
    </row>
    <row r="4760" spans="1:2" x14ac:dyDescent="0.25">
      <c r="A4760" t="s">
        <v>15289</v>
      </c>
      <c r="B4760" t="s">
        <v>15289</v>
      </c>
    </row>
    <row r="4761" spans="1:2" x14ac:dyDescent="0.25">
      <c r="A4761" t="s">
        <v>15295</v>
      </c>
      <c r="B4761" t="s">
        <v>15295</v>
      </c>
    </row>
    <row r="4762" spans="1:2" x14ac:dyDescent="0.25">
      <c r="A4762" t="s">
        <v>12978</v>
      </c>
      <c r="B4762" t="s">
        <v>33507</v>
      </c>
    </row>
    <row r="4763" spans="1:2" x14ac:dyDescent="0.25">
      <c r="A4763" t="s">
        <v>13551</v>
      </c>
      <c r="B4763" t="s">
        <v>33508</v>
      </c>
    </row>
    <row r="4764" spans="1:2" x14ac:dyDescent="0.25">
      <c r="A4764" t="s">
        <v>13838</v>
      </c>
      <c r="B4764" t="s">
        <v>33509</v>
      </c>
    </row>
    <row r="4765" spans="1:2" x14ac:dyDescent="0.25">
      <c r="A4765" t="s">
        <v>15024</v>
      </c>
      <c r="B4765" t="s">
        <v>33510</v>
      </c>
    </row>
    <row r="4766" spans="1:2" x14ac:dyDescent="0.25">
      <c r="A4766" t="s">
        <v>13744</v>
      </c>
      <c r="B4766" t="s">
        <v>13744</v>
      </c>
    </row>
    <row r="4767" spans="1:2" x14ac:dyDescent="0.25">
      <c r="A4767" t="s">
        <v>14848</v>
      </c>
      <c r="B4767" t="s">
        <v>33511</v>
      </c>
    </row>
    <row r="4768" spans="1:2" x14ac:dyDescent="0.25">
      <c r="A4768" t="s">
        <v>13567</v>
      </c>
      <c r="B4768" t="s">
        <v>33512</v>
      </c>
    </row>
    <row r="4769" spans="1:2" x14ac:dyDescent="0.25">
      <c r="A4769" t="s">
        <v>14350</v>
      </c>
      <c r="B4769" t="s">
        <v>14350</v>
      </c>
    </row>
    <row r="4770" spans="1:2" x14ac:dyDescent="0.25">
      <c r="A4770" t="s">
        <v>14988</v>
      </c>
      <c r="B4770" t="s">
        <v>33513</v>
      </c>
    </row>
    <row r="4771" spans="1:2" x14ac:dyDescent="0.25">
      <c r="A4771" t="s">
        <v>12952</v>
      </c>
      <c r="B4771" t="s">
        <v>33514</v>
      </c>
    </row>
    <row r="4772" spans="1:2" x14ac:dyDescent="0.25">
      <c r="A4772" t="s">
        <v>12809</v>
      </c>
      <c r="B4772" t="s">
        <v>12809</v>
      </c>
    </row>
    <row r="4773" spans="1:2" x14ac:dyDescent="0.25">
      <c r="A4773" t="s">
        <v>12670</v>
      </c>
      <c r="B4773" t="s">
        <v>33515</v>
      </c>
    </row>
    <row r="4774" spans="1:2" x14ac:dyDescent="0.25">
      <c r="A4774" t="s">
        <v>15165</v>
      </c>
      <c r="B4774" t="s">
        <v>15165</v>
      </c>
    </row>
    <row r="4775" spans="1:2" x14ac:dyDescent="0.25">
      <c r="A4775" t="s">
        <v>396</v>
      </c>
      <c r="B4775" t="s">
        <v>33516</v>
      </c>
    </row>
    <row r="4776" spans="1:2" x14ac:dyDescent="0.25">
      <c r="A4776" t="s">
        <v>15373</v>
      </c>
      <c r="B4776" t="s">
        <v>33517</v>
      </c>
    </row>
    <row r="4777" spans="1:2" x14ac:dyDescent="0.25">
      <c r="A4777" t="s">
        <v>13348</v>
      </c>
      <c r="B4777" t="s">
        <v>33518</v>
      </c>
    </row>
    <row r="4778" spans="1:2" x14ac:dyDescent="0.25">
      <c r="A4778" t="s">
        <v>13397</v>
      </c>
      <c r="B4778" t="s">
        <v>33519</v>
      </c>
    </row>
    <row r="4779" spans="1:2" x14ac:dyDescent="0.25">
      <c r="A4779" t="s">
        <v>13868</v>
      </c>
      <c r="B4779" t="s">
        <v>33520</v>
      </c>
    </row>
    <row r="4780" spans="1:2" x14ac:dyDescent="0.25">
      <c r="A4780" t="s">
        <v>13428</v>
      </c>
      <c r="B4780" t="s">
        <v>33521</v>
      </c>
    </row>
    <row r="4781" spans="1:2" x14ac:dyDescent="0.25">
      <c r="A4781" t="s">
        <v>13077</v>
      </c>
      <c r="B4781" t="s">
        <v>33522</v>
      </c>
    </row>
    <row r="4782" spans="1:2" x14ac:dyDescent="0.25">
      <c r="A4782" t="s">
        <v>14878</v>
      </c>
      <c r="B4782" t="s">
        <v>33523</v>
      </c>
    </row>
    <row r="4783" spans="1:2" x14ac:dyDescent="0.25">
      <c r="A4783" t="s">
        <v>15272</v>
      </c>
      <c r="B4783" t="s">
        <v>15272</v>
      </c>
    </row>
    <row r="4784" spans="1:2" x14ac:dyDescent="0.25">
      <c r="A4784" t="s">
        <v>14486</v>
      </c>
      <c r="B4784" t="s">
        <v>33524</v>
      </c>
    </row>
    <row r="4785" spans="1:2" x14ac:dyDescent="0.25">
      <c r="A4785" t="s">
        <v>13033</v>
      </c>
      <c r="B4785" t="s">
        <v>33525</v>
      </c>
    </row>
    <row r="4786" spans="1:2" x14ac:dyDescent="0.25">
      <c r="A4786" t="s">
        <v>13152</v>
      </c>
      <c r="B4786" t="s">
        <v>33526</v>
      </c>
    </row>
    <row r="4787" spans="1:2" x14ac:dyDescent="0.25">
      <c r="A4787" t="s">
        <v>14312</v>
      </c>
      <c r="B4787" t="s">
        <v>33527</v>
      </c>
    </row>
    <row r="4788" spans="1:2" x14ac:dyDescent="0.25">
      <c r="A4788" t="s">
        <v>14602</v>
      </c>
      <c r="B4788" t="s">
        <v>33528</v>
      </c>
    </row>
    <row r="4789" spans="1:2" x14ac:dyDescent="0.25">
      <c r="A4789" t="s">
        <v>12641</v>
      </c>
      <c r="B4789" t="s">
        <v>12641</v>
      </c>
    </row>
    <row r="4790" spans="1:2" x14ac:dyDescent="0.25">
      <c r="A4790" t="s">
        <v>12383</v>
      </c>
      <c r="B4790" t="s">
        <v>12383</v>
      </c>
    </row>
    <row r="4791" spans="1:2" x14ac:dyDescent="0.25">
      <c r="A4791" t="s">
        <v>15043</v>
      </c>
      <c r="B4791" t="s">
        <v>23148</v>
      </c>
    </row>
    <row r="4792" spans="1:2" x14ac:dyDescent="0.25">
      <c r="A4792" t="s">
        <v>12507</v>
      </c>
      <c r="B4792" t="s">
        <v>12507</v>
      </c>
    </row>
    <row r="4793" spans="1:2" x14ac:dyDescent="0.25">
      <c r="A4793" t="s">
        <v>13681</v>
      </c>
      <c r="B4793" t="s">
        <v>13681</v>
      </c>
    </row>
    <row r="4794" spans="1:2" x14ac:dyDescent="0.25">
      <c r="A4794" t="s">
        <v>13157</v>
      </c>
      <c r="B4794" t="s">
        <v>33529</v>
      </c>
    </row>
    <row r="4795" spans="1:2" x14ac:dyDescent="0.25">
      <c r="A4795" t="s">
        <v>12997</v>
      </c>
      <c r="B4795" t="s">
        <v>33530</v>
      </c>
    </row>
    <row r="4796" spans="1:2" x14ac:dyDescent="0.25">
      <c r="A4796" t="s">
        <v>70</v>
      </c>
      <c r="B4796" t="s">
        <v>33531</v>
      </c>
    </row>
    <row r="4797" spans="1:2" x14ac:dyDescent="0.25">
      <c r="A4797" t="s">
        <v>13305</v>
      </c>
      <c r="B4797" t="s">
        <v>33532</v>
      </c>
    </row>
    <row r="4798" spans="1:2" x14ac:dyDescent="0.25">
      <c r="A4798" t="s">
        <v>14976</v>
      </c>
      <c r="B4798" t="s">
        <v>33533</v>
      </c>
    </row>
    <row r="4799" spans="1:2" x14ac:dyDescent="0.25">
      <c r="A4799" t="s">
        <v>15260</v>
      </c>
      <c r="B4799" t="s">
        <v>15260</v>
      </c>
    </row>
    <row r="4800" spans="1:2" x14ac:dyDescent="0.25">
      <c r="A4800" t="s">
        <v>12848</v>
      </c>
      <c r="B4800" t="s">
        <v>12848</v>
      </c>
    </row>
    <row r="4801" spans="1:2" x14ac:dyDescent="0.25">
      <c r="A4801" t="s">
        <v>14919</v>
      </c>
      <c r="B4801" t="s">
        <v>33534</v>
      </c>
    </row>
    <row r="4802" spans="1:2" x14ac:dyDescent="0.25">
      <c r="A4802" t="s">
        <v>13944</v>
      </c>
      <c r="B4802" t="s">
        <v>33535</v>
      </c>
    </row>
    <row r="4803" spans="1:2" x14ac:dyDescent="0.25">
      <c r="A4803" t="s">
        <v>15391</v>
      </c>
      <c r="B4803" t="s">
        <v>33536</v>
      </c>
    </row>
    <row r="4804" spans="1:2" x14ac:dyDescent="0.25">
      <c r="A4804" t="s">
        <v>13536</v>
      </c>
      <c r="B4804" t="s">
        <v>33537</v>
      </c>
    </row>
    <row r="4805" spans="1:2" x14ac:dyDescent="0.25">
      <c r="A4805" t="s">
        <v>14233</v>
      </c>
      <c r="B4805" t="s">
        <v>33538</v>
      </c>
    </row>
    <row r="4806" spans="1:2" x14ac:dyDescent="0.25">
      <c r="A4806" t="s">
        <v>13153</v>
      </c>
      <c r="B4806" t="s">
        <v>33539</v>
      </c>
    </row>
    <row r="4807" spans="1:2" x14ac:dyDescent="0.25">
      <c r="A4807" t="s">
        <v>12605</v>
      </c>
      <c r="B4807" t="s">
        <v>12605</v>
      </c>
    </row>
    <row r="4808" spans="1:2" x14ac:dyDescent="0.25">
      <c r="A4808" t="s">
        <v>13674</v>
      </c>
      <c r="B4808" t="s">
        <v>33540</v>
      </c>
    </row>
    <row r="4809" spans="1:2" x14ac:dyDescent="0.25">
      <c r="A4809" t="s">
        <v>12894</v>
      </c>
      <c r="B4809" t="s">
        <v>33541</v>
      </c>
    </row>
    <row r="4810" spans="1:2" x14ac:dyDescent="0.25">
      <c r="A4810" t="s">
        <v>13329</v>
      </c>
      <c r="B4810" t="s">
        <v>33542</v>
      </c>
    </row>
    <row r="4811" spans="1:2" x14ac:dyDescent="0.25">
      <c r="A4811" t="s">
        <v>13697</v>
      </c>
      <c r="B4811" t="s">
        <v>33543</v>
      </c>
    </row>
    <row r="4812" spans="1:2" x14ac:dyDescent="0.25">
      <c r="A4812" t="s">
        <v>13163</v>
      </c>
      <c r="B4812" t="s">
        <v>33544</v>
      </c>
    </row>
    <row r="4813" spans="1:2" x14ac:dyDescent="0.25">
      <c r="A4813" t="s">
        <v>12698</v>
      </c>
      <c r="B4813" t="s">
        <v>12698</v>
      </c>
    </row>
    <row r="4814" spans="1:2" x14ac:dyDescent="0.25">
      <c r="A4814" t="s">
        <v>14960</v>
      </c>
      <c r="B4814" t="s">
        <v>33545</v>
      </c>
    </row>
    <row r="4815" spans="1:2" x14ac:dyDescent="0.25">
      <c r="A4815" t="s">
        <v>12653</v>
      </c>
      <c r="B4815" t="s">
        <v>12653</v>
      </c>
    </row>
    <row r="4816" spans="1:2" x14ac:dyDescent="0.25">
      <c r="A4816" t="s">
        <v>12841</v>
      </c>
      <c r="B4816" t="s">
        <v>33546</v>
      </c>
    </row>
    <row r="4817" spans="1:2" x14ac:dyDescent="0.25">
      <c r="A4817" t="s">
        <v>13050</v>
      </c>
      <c r="B4817" t="s">
        <v>33547</v>
      </c>
    </row>
    <row r="4818" spans="1:2" x14ac:dyDescent="0.25">
      <c r="A4818" t="s">
        <v>15448</v>
      </c>
      <c r="B4818" t="s">
        <v>15448</v>
      </c>
    </row>
    <row r="4819" spans="1:2" x14ac:dyDescent="0.25">
      <c r="A4819" t="s">
        <v>15200</v>
      </c>
      <c r="B4819" t="s">
        <v>15200</v>
      </c>
    </row>
    <row r="4820" spans="1:2" x14ac:dyDescent="0.25">
      <c r="A4820" t="s">
        <v>14220</v>
      </c>
      <c r="B4820" t="s">
        <v>33548</v>
      </c>
    </row>
    <row r="4821" spans="1:2" x14ac:dyDescent="0.25">
      <c r="A4821" t="s">
        <v>12437</v>
      </c>
      <c r="B4821" t="s">
        <v>12437</v>
      </c>
    </row>
    <row r="4822" spans="1:2" x14ac:dyDescent="0.25">
      <c r="A4822" t="s">
        <v>12506</v>
      </c>
      <c r="B4822" t="s">
        <v>33549</v>
      </c>
    </row>
    <row r="4823" spans="1:2" x14ac:dyDescent="0.25">
      <c r="A4823" t="s">
        <v>12845</v>
      </c>
      <c r="B4823" t="s">
        <v>12845</v>
      </c>
    </row>
    <row r="4824" spans="1:2" x14ac:dyDescent="0.25">
      <c r="A4824" t="s">
        <v>14127</v>
      </c>
      <c r="B4824" t="s">
        <v>33550</v>
      </c>
    </row>
    <row r="4825" spans="1:2" x14ac:dyDescent="0.25">
      <c r="A4825" t="s">
        <v>13685</v>
      </c>
      <c r="B4825" t="s">
        <v>33551</v>
      </c>
    </row>
    <row r="4826" spans="1:2" x14ac:dyDescent="0.25">
      <c r="A4826" t="s">
        <v>13206</v>
      </c>
      <c r="B4826" t="s">
        <v>33552</v>
      </c>
    </row>
    <row r="4827" spans="1:2" x14ac:dyDescent="0.25">
      <c r="A4827" t="s">
        <v>13698</v>
      </c>
      <c r="B4827" t="s">
        <v>33553</v>
      </c>
    </row>
    <row r="4828" spans="1:2" x14ac:dyDescent="0.25">
      <c r="A4828" t="s">
        <v>14010</v>
      </c>
      <c r="B4828" t="s">
        <v>33554</v>
      </c>
    </row>
    <row r="4829" spans="1:2" x14ac:dyDescent="0.25">
      <c r="A4829" t="s">
        <v>13936</v>
      </c>
      <c r="B4829" t="s">
        <v>33555</v>
      </c>
    </row>
    <row r="4830" spans="1:2" x14ac:dyDescent="0.25">
      <c r="A4830" t="s">
        <v>15367</v>
      </c>
      <c r="B4830" t="s">
        <v>15367</v>
      </c>
    </row>
    <row r="4831" spans="1:2" x14ac:dyDescent="0.25">
      <c r="A4831" t="s">
        <v>12756</v>
      </c>
      <c r="B4831" t="s">
        <v>33556</v>
      </c>
    </row>
    <row r="4832" spans="1:2" x14ac:dyDescent="0.25">
      <c r="A4832" t="s">
        <v>14741</v>
      </c>
      <c r="B4832" t="s">
        <v>14741</v>
      </c>
    </row>
    <row r="4833" spans="1:2" x14ac:dyDescent="0.25">
      <c r="A4833" t="s">
        <v>13934</v>
      </c>
      <c r="B4833" t="s">
        <v>33557</v>
      </c>
    </row>
    <row r="4834" spans="1:2" x14ac:dyDescent="0.25">
      <c r="A4834" t="s">
        <v>15394</v>
      </c>
      <c r="B4834" t="s">
        <v>15394</v>
      </c>
    </row>
    <row r="4835" spans="1:2" x14ac:dyDescent="0.25">
      <c r="A4835" t="s">
        <v>12717</v>
      </c>
      <c r="B4835" t="s">
        <v>12717</v>
      </c>
    </row>
    <row r="4836" spans="1:2" x14ac:dyDescent="0.25">
      <c r="A4836" t="s">
        <v>13802</v>
      </c>
      <c r="B4836" t="s">
        <v>33558</v>
      </c>
    </row>
    <row r="4837" spans="1:2" x14ac:dyDescent="0.25">
      <c r="A4837" t="s">
        <v>14114</v>
      </c>
      <c r="B4837" t="s">
        <v>33559</v>
      </c>
    </row>
    <row r="4838" spans="1:2" x14ac:dyDescent="0.25">
      <c r="A4838" t="s">
        <v>12888</v>
      </c>
      <c r="B4838" t="s">
        <v>12888</v>
      </c>
    </row>
    <row r="4839" spans="1:2" x14ac:dyDescent="0.25">
      <c r="A4839" t="s">
        <v>13913</v>
      </c>
      <c r="B4839" t="s">
        <v>33560</v>
      </c>
    </row>
    <row r="4840" spans="1:2" x14ac:dyDescent="0.25">
      <c r="A4840" t="s">
        <v>13507</v>
      </c>
      <c r="B4840" t="s">
        <v>33561</v>
      </c>
    </row>
    <row r="4841" spans="1:2" x14ac:dyDescent="0.25">
      <c r="A4841" t="s">
        <v>276</v>
      </c>
      <c r="B4841" t="s">
        <v>276</v>
      </c>
    </row>
    <row r="4842" spans="1:2" x14ac:dyDescent="0.25">
      <c r="A4842" t="s">
        <v>13965</v>
      </c>
      <c r="B4842" t="s">
        <v>33562</v>
      </c>
    </row>
    <row r="4843" spans="1:2" x14ac:dyDescent="0.25">
      <c r="A4843" t="s">
        <v>13041</v>
      </c>
      <c r="B4843" t="s">
        <v>13041</v>
      </c>
    </row>
    <row r="4844" spans="1:2" x14ac:dyDescent="0.25">
      <c r="A4844" t="s">
        <v>14656</v>
      </c>
      <c r="B4844" t="s">
        <v>33563</v>
      </c>
    </row>
    <row r="4845" spans="1:2" x14ac:dyDescent="0.25">
      <c r="A4845" t="s">
        <v>14089</v>
      </c>
      <c r="B4845" t="s">
        <v>33564</v>
      </c>
    </row>
    <row r="4846" spans="1:2" x14ac:dyDescent="0.25">
      <c r="A4846" t="s">
        <v>15152</v>
      </c>
      <c r="B4846" t="s">
        <v>33565</v>
      </c>
    </row>
    <row r="4847" spans="1:2" x14ac:dyDescent="0.25">
      <c r="A4847" t="s">
        <v>13559</v>
      </c>
      <c r="B4847" t="s">
        <v>33566</v>
      </c>
    </row>
    <row r="4848" spans="1:2" x14ac:dyDescent="0.25">
      <c r="A4848" t="s">
        <v>14577</v>
      </c>
      <c r="B4848" t="s">
        <v>33567</v>
      </c>
    </row>
    <row r="4849" spans="1:2" x14ac:dyDescent="0.25">
      <c r="A4849" t="s">
        <v>15121</v>
      </c>
      <c r="B4849" t="s">
        <v>29656</v>
      </c>
    </row>
    <row r="4850" spans="1:2" x14ac:dyDescent="0.25">
      <c r="A4850" t="s">
        <v>15311</v>
      </c>
      <c r="B4850" t="s">
        <v>32870</v>
      </c>
    </row>
    <row r="4851" spans="1:2" x14ac:dyDescent="0.25">
      <c r="A4851" t="s">
        <v>13734</v>
      </c>
      <c r="B4851" t="s">
        <v>33568</v>
      </c>
    </row>
    <row r="4852" spans="1:2" x14ac:dyDescent="0.25">
      <c r="A4852" t="s">
        <v>15119</v>
      </c>
      <c r="B4852" t="s">
        <v>33569</v>
      </c>
    </row>
    <row r="4853" spans="1:2" x14ac:dyDescent="0.25">
      <c r="A4853" t="s">
        <v>13478</v>
      </c>
      <c r="B4853" t="s">
        <v>33570</v>
      </c>
    </row>
    <row r="4854" spans="1:2" x14ac:dyDescent="0.25">
      <c r="A4854" t="s">
        <v>14325</v>
      </c>
      <c r="B4854" t="s">
        <v>14325</v>
      </c>
    </row>
    <row r="4855" spans="1:2" x14ac:dyDescent="0.25">
      <c r="A4855" t="s">
        <v>14702</v>
      </c>
      <c r="B4855" t="s">
        <v>14702</v>
      </c>
    </row>
    <row r="4856" spans="1:2" x14ac:dyDescent="0.25">
      <c r="A4856" t="s">
        <v>14341</v>
      </c>
      <c r="B4856" t="s">
        <v>31418</v>
      </c>
    </row>
    <row r="4857" spans="1:2" x14ac:dyDescent="0.25">
      <c r="A4857" t="s">
        <v>14987</v>
      </c>
      <c r="B4857" t="s">
        <v>33571</v>
      </c>
    </row>
    <row r="4858" spans="1:2" x14ac:dyDescent="0.25">
      <c r="A4858" t="s">
        <v>13446</v>
      </c>
      <c r="B4858" t="s">
        <v>33572</v>
      </c>
    </row>
    <row r="4859" spans="1:2" x14ac:dyDescent="0.25">
      <c r="A4859" t="s">
        <v>15227</v>
      </c>
      <c r="B4859" t="s">
        <v>26468</v>
      </c>
    </row>
    <row r="4860" spans="1:2" x14ac:dyDescent="0.25">
      <c r="A4860" t="s">
        <v>12789</v>
      </c>
      <c r="B4860" t="s">
        <v>33573</v>
      </c>
    </row>
    <row r="4861" spans="1:2" x14ac:dyDescent="0.25">
      <c r="A4861" t="s">
        <v>7440</v>
      </c>
      <c r="B4861" t="s">
        <v>7440</v>
      </c>
    </row>
    <row r="4862" spans="1:2" x14ac:dyDescent="0.25">
      <c r="A4862" t="s">
        <v>12303</v>
      </c>
      <c r="B4862" t="s">
        <v>33574</v>
      </c>
    </row>
    <row r="4863" spans="1:2" x14ac:dyDescent="0.25">
      <c r="A4863" t="s">
        <v>12448</v>
      </c>
      <c r="B4863" t="s">
        <v>12448</v>
      </c>
    </row>
    <row r="4864" spans="1:2" x14ac:dyDescent="0.25">
      <c r="A4864" t="s">
        <v>14558</v>
      </c>
      <c r="B4864" t="s">
        <v>33575</v>
      </c>
    </row>
    <row r="4865" spans="1:2" x14ac:dyDescent="0.25">
      <c r="A4865" t="s">
        <v>12491</v>
      </c>
      <c r="B4865" t="s">
        <v>33576</v>
      </c>
    </row>
    <row r="4866" spans="1:2" x14ac:dyDescent="0.25">
      <c r="A4866" t="s">
        <v>14167</v>
      </c>
      <c r="B4866" t="s">
        <v>33577</v>
      </c>
    </row>
    <row r="4867" spans="1:2" x14ac:dyDescent="0.25">
      <c r="A4867" t="s">
        <v>14953</v>
      </c>
      <c r="B4867" t="s">
        <v>33578</v>
      </c>
    </row>
    <row r="4868" spans="1:2" x14ac:dyDescent="0.25">
      <c r="A4868" t="s">
        <v>14082</v>
      </c>
      <c r="B4868" t="s">
        <v>33579</v>
      </c>
    </row>
    <row r="4869" spans="1:2" x14ac:dyDescent="0.25">
      <c r="A4869" t="s">
        <v>12674</v>
      </c>
      <c r="B4869" t="s">
        <v>12674</v>
      </c>
    </row>
    <row r="4870" spans="1:2" x14ac:dyDescent="0.25">
      <c r="A4870" t="s">
        <v>204</v>
      </c>
      <c r="B4870" t="s">
        <v>204</v>
      </c>
    </row>
    <row r="4871" spans="1:2" x14ac:dyDescent="0.25">
      <c r="A4871" t="s">
        <v>13038</v>
      </c>
      <c r="B4871" t="s">
        <v>33580</v>
      </c>
    </row>
    <row r="4872" spans="1:2" x14ac:dyDescent="0.25">
      <c r="A4872" t="s">
        <v>14765</v>
      </c>
      <c r="B4872" t="s">
        <v>33581</v>
      </c>
    </row>
    <row r="4873" spans="1:2" x14ac:dyDescent="0.25">
      <c r="A4873" t="s">
        <v>15171</v>
      </c>
      <c r="B4873" t="s">
        <v>33582</v>
      </c>
    </row>
    <row r="4874" spans="1:2" x14ac:dyDescent="0.25">
      <c r="A4874" t="s">
        <v>14926</v>
      </c>
      <c r="B4874" t="s">
        <v>33583</v>
      </c>
    </row>
    <row r="4875" spans="1:2" x14ac:dyDescent="0.25">
      <c r="A4875" t="s">
        <v>15506</v>
      </c>
      <c r="B4875" t="s">
        <v>33584</v>
      </c>
    </row>
    <row r="4876" spans="1:2" x14ac:dyDescent="0.25">
      <c r="A4876" t="s">
        <v>14345</v>
      </c>
      <c r="B4876" t="s">
        <v>33585</v>
      </c>
    </row>
    <row r="4877" spans="1:2" x14ac:dyDescent="0.25">
      <c r="A4877" t="s">
        <v>13927</v>
      </c>
      <c r="B4877" t="s">
        <v>33586</v>
      </c>
    </row>
    <row r="4878" spans="1:2" x14ac:dyDescent="0.25">
      <c r="A4878" t="s">
        <v>13752</v>
      </c>
      <c r="B4878" t="s">
        <v>13752</v>
      </c>
    </row>
    <row r="4879" spans="1:2" x14ac:dyDescent="0.25">
      <c r="A4879" t="s">
        <v>12838</v>
      </c>
      <c r="B4879" t="s">
        <v>12838</v>
      </c>
    </row>
    <row r="4880" spans="1:2" x14ac:dyDescent="0.25">
      <c r="A4880" t="s">
        <v>13091</v>
      </c>
      <c r="B4880" t="s">
        <v>33587</v>
      </c>
    </row>
    <row r="4881" spans="1:2" x14ac:dyDescent="0.25">
      <c r="A4881" t="s">
        <v>14911</v>
      </c>
      <c r="B4881" t="s">
        <v>33588</v>
      </c>
    </row>
    <row r="4882" spans="1:2" x14ac:dyDescent="0.25">
      <c r="A4882" t="s">
        <v>12643</v>
      </c>
      <c r="B4882" t="s">
        <v>12643</v>
      </c>
    </row>
    <row r="4883" spans="1:2" x14ac:dyDescent="0.25">
      <c r="A4883" t="s">
        <v>12504</v>
      </c>
      <c r="B4883" t="s">
        <v>12504</v>
      </c>
    </row>
    <row r="4884" spans="1:2" x14ac:dyDescent="0.25">
      <c r="A4884" t="s">
        <v>14879</v>
      </c>
      <c r="B4884" t="s">
        <v>33589</v>
      </c>
    </row>
    <row r="4885" spans="1:2" x14ac:dyDescent="0.25">
      <c r="A4885" t="s">
        <v>14143</v>
      </c>
      <c r="B4885" t="s">
        <v>33590</v>
      </c>
    </row>
    <row r="4886" spans="1:2" x14ac:dyDescent="0.25">
      <c r="A4886" t="s">
        <v>13983</v>
      </c>
      <c r="B4886" t="s">
        <v>33591</v>
      </c>
    </row>
    <row r="4887" spans="1:2" x14ac:dyDescent="0.25">
      <c r="A4887" t="s">
        <v>15145</v>
      </c>
      <c r="B4887" t="s">
        <v>15145</v>
      </c>
    </row>
    <row r="4888" spans="1:2" x14ac:dyDescent="0.25">
      <c r="A4888" t="s">
        <v>13130</v>
      </c>
      <c r="B4888" t="s">
        <v>33592</v>
      </c>
    </row>
    <row r="4889" spans="1:2" x14ac:dyDescent="0.25">
      <c r="A4889" t="s">
        <v>13124</v>
      </c>
      <c r="B4889" t="s">
        <v>33593</v>
      </c>
    </row>
    <row r="4890" spans="1:2" x14ac:dyDescent="0.25">
      <c r="A4890" t="s">
        <v>13662</v>
      </c>
      <c r="B4890" t="s">
        <v>33594</v>
      </c>
    </row>
    <row r="4891" spans="1:2" x14ac:dyDescent="0.25">
      <c r="A4891" t="s">
        <v>15143</v>
      </c>
      <c r="B4891" t="s">
        <v>15143</v>
      </c>
    </row>
    <row r="4892" spans="1:2" x14ac:dyDescent="0.25">
      <c r="A4892" t="s">
        <v>12368</v>
      </c>
      <c r="B4892" t="s">
        <v>12368</v>
      </c>
    </row>
    <row r="4893" spans="1:2" x14ac:dyDescent="0.25">
      <c r="A4893" t="s">
        <v>15088</v>
      </c>
      <c r="B4893" t="s">
        <v>33595</v>
      </c>
    </row>
    <row r="4894" spans="1:2" x14ac:dyDescent="0.25">
      <c r="A4894" t="s">
        <v>14231</v>
      </c>
      <c r="B4894" t="s">
        <v>33596</v>
      </c>
    </row>
    <row r="4895" spans="1:2" x14ac:dyDescent="0.25">
      <c r="A4895" t="s">
        <v>35</v>
      </c>
      <c r="B4895" t="s">
        <v>33597</v>
      </c>
    </row>
    <row r="4896" spans="1:2" x14ac:dyDescent="0.25">
      <c r="A4896" t="s">
        <v>12458</v>
      </c>
      <c r="B4896" t="s">
        <v>12458</v>
      </c>
    </row>
    <row r="4897" spans="1:2" x14ac:dyDescent="0.25">
      <c r="A4897" t="s">
        <v>14907</v>
      </c>
      <c r="B4897" t="s">
        <v>14907</v>
      </c>
    </row>
    <row r="4898" spans="1:2" x14ac:dyDescent="0.25">
      <c r="A4898" t="s">
        <v>13225</v>
      </c>
      <c r="B4898" t="s">
        <v>33598</v>
      </c>
    </row>
    <row r="4899" spans="1:2" x14ac:dyDescent="0.25">
      <c r="A4899" t="s">
        <v>12676</v>
      </c>
      <c r="B4899" t="s">
        <v>12676</v>
      </c>
    </row>
    <row r="4900" spans="1:2" x14ac:dyDescent="0.25">
      <c r="A4900" t="s">
        <v>14265</v>
      </c>
      <c r="B4900" t="s">
        <v>33599</v>
      </c>
    </row>
    <row r="4901" spans="1:2" x14ac:dyDescent="0.25">
      <c r="A4901" t="s">
        <v>12750</v>
      </c>
      <c r="B4901" t="s">
        <v>33600</v>
      </c>
    </row>
    <row r="4902" spans="1:2" x14ac:dyDescent="0.25">
      <c r="A4902" t="s">
        <v>13167</v>
      </c>
      <c r="B4902" t="s">
        <v>13167</v>
      </c>
    </row>
    <row r="4903" spans="1:2" x14ac:dyDescent="0.25">
      <c r="A4903" t="s">
        <v>12562</v>
      </c>
      <c r="B4903" t="s">
        <v>33601</v>
      </c>
    </row>
    <row r="4904" spans="1:2" x14ac:dyDescent="0.25">
      <c r="A4904" t="s">
        <v>12590</v>
      </c>
      <c r="B4904" t="s">
        <v>12590</v>
      </c>
    </row>
    <row r="4905" spans="1:2" x14ac:dyDescent="0.25">
      <c r="A4905" t="s">
        <v>13740</v>
      </c>
      <c r="B4905" t="s">
        <v>13740</v>
      </c>
    </row>
    <row r="4906" spans="1:2" x14ac:dyDescent="0.25">
      <c r="A4906" t="s">
        <v>13272</v>
      </c>
      <c r="B4906" t="s">
        <v>33602</v>
      </c>
    </row>
    <row r="4907" spans="1:2" x14ac:dyDescent="0.25">
      <c r="A4907" t="s">
        <v>14032</v>
      </c>
      <c r="B4907" t="s">
        <v>33603</v>
      </c>
    </row>
    <row r="4908" spans="1:2" x14ac:dyDescent="0.25">
      <c r="A4908" t="s">
        <v>15263</v>
      </c>
      <c r="B4908" t="s">
        <v>33604</v>
      </c>
    </row>
    <row r="4909" spans="1:2" x14ac:dyDescent="0.25">
      <c r="A4909" t="s">
        <v>12875</v>
      </c>
      <c r="B4909" t="s">
        <v>12875</v>
      </c>
    </row>
    <row r="4910" spans="1:2" x14ac:dyDescent="0.25">
      <c r="A4910" t="s">
        <v>14802</v>
      </c>
      <c r="B4910" t="s">
        <v>14802</v>
      </c>
    </row>
    <row r="4911" spans="1:2" x14ac:dyDescent="0.25">
      <c r="A4911" t="s">
        <v>504</v>
      </c>
      <c r="B4911" t="s">
        <v>33605</v>
      </c>
    </row>
    <row r="4912" spans="1:2" x14ac:dyDescent="0.25">
      <c r="A4912" t="s">
        <v>12631</v>
      </c>
      <c r="B4912" t="s">
        <v>33606</v>
      </c>
    </row>
    <row r="4913" spans="1:2" x14ac:dyDescent="0.25">
      <c r="A4913" t="s">
        <v>14774</v>
      </c>
      <c r="B4913" t="s">
        <v>31097</v>
      </c>
    </row>
    <row r="4914" spans="1:2" x14ac:dyDescent="0.25">
      <c r="A4914" t="s">
        <v>14382</v>
      </c>
      <c r="B4914" t="s">
        <v>33607</v>
      </c>
    </row>
    <row r="4915" spans="1:2" x14ac:dyDescent="0.25">
      <c r="A4915" t="s">
        <v>13635</v>
      </c>
      <c r="B4915" t="s">
        <v>33608</v>
      </c>
    </row>
    <row r="4916" spans="1:2" x14ac:dyDescent="0.25">
      <c r="A4916" t="s">
        <v>14276</v>
      </c>
      <c r="B4916" t="s">
        <v>33609</v>
      </c>
    </row>
    <row r="4917" spans="1:2" x14ac:dyDescent="0.25">
      <c r="A4917" t="s">
        <v>12516</v>
      </c>
      <c r="B4917" t="s">
        <v>12516</v>
      </c>
    </row>
    <row r="4918" spans="1:2" x14ac:dyDescent="0.25">
      <c r="A4918" t="s">
        <v>14615</v>
      </c>
      <c r="B4918" t="s">
        <v>33610</v>
      </c>
    </row>
    <row r="4919" spans="1:2" x14ac:dyDescent="0.25">
      <c r="A4919" t="s">
        <v>12969</v>
      </c>
      <c r="B4919" t="s">
        <v>33611</v>
      </c>
    </row>
    <row r="4920" spans="1:2" x14ac:dyDescent="0.25">
      <c r="A4920" t="s">
        <v>12632</v>
      </c>
      <c r="B4920" t="s">
        <v>33612</v>
      </c>
    </row>
    <row r="4921" spans="1:2" x14ac:dyDescent="0.25">
      <c r="A4921" t="s">
        <v>13199</v>
      </c>
      <c r="B4921" t="s">
        <v>33613</v>
      </c>
    </row>
    <row r="4922" spans="1:2" x14ac:dyDescent="0.25">
      <c r="A4922" t="s">
        <v>12754</v>
      </c>
      <c r="B4922" t="s">
        <v>12754</v>
      </c>
    </row>
    <row r="4923" spans="1:2" x14ac:dyDescent="0.25">
      <c r="A4923" t="s">
        <v>14207</v>
      </c>
      <c r="B4923" t="s">
        <v>33614</v>
      </c>
    </row>
    <row r="4924" spans="1:2" x14ac:dyDescent="0.25">
      <c r="A4924" t="s">
        <v>12687</v>
      </c>
      <c r="B4924" t="s">
        <v>12687</v>
      </c>
    </row>
    <row r="4925" spans="1:2" x14ac:dyDescent="0.25">
      <c r="A4925" t="s">
        <v>12317</v>
      </c>
      <c r="B4925" t="s">
        <v>12317</v>
      </c>
    </row>
    <row r="4926" spans="1:2" x14ac:dyDescent="0.25">
      <c r="A4926" t="s">
        <v>14969</v>
      </c>
      <c r="B4926" t="s">
        <v>33615</v>
      </c>
    </row>
    <row r="4927" spans="1:2" x14ac:dyDescent="0.25">
      <c r="A4927" t="s">
        <v>320</v>
      </c>
      <c r="B4927" t="s">
        <v>33616</v>
      </c>
    </row>
    <row r="4928" spans="1:2" x14ac:dyDescent="0.25">
      <c r="A4928" t="s">
        <v>15342</v>
      </c>
      <c r="B4928" t="s">
        <v>33617</v>
      </c>
    </row>
    <row r="4929" spans="1:2" x14ac:dyDescent="0.25">
      <c r="A4929" t="s">
        <v>14544</v>
      </c>
      <c r="B4929" t="s">
        <v>33618</v>
      </c>
    </row>
    <row r="4930" spans="1:2" x14ac:dyDescent="0.25">
      <c r="A4930" t="s">
        <v>13702</v>
      </c>
      <c r="B4930" t="s">
        <v>33619</v>
      </c>
    </row>
    <row r="4931" spans="1:2" x14ac:dyDescent="0.25">
      <c r="A4931" t="s">
        <v>13873</v>
      </c>
      <c r="B4931" t="s">
        <v>33620</v>
      </c>
    </row>
    <row r="4932" spans="1:2" x14ac:dyDescent="0.25">
      <c r="A4932" t="s">
        <v>12538</v>
      </c>
      <c r="B4932" t="s">
        <v>33621</v>
      </c>
    </row>
    <row r="4933" spans="1:2" x14ac:dyDescent="0.25">
      <c r="A4933" t="s">
        <v>13289</v>
      </c>
      <c r="B4933" t="s">
        <v>33622</v>
      </c>
    </row>
    <row r="4934" spans="1:2" x14ac:dyDescent="0.25">
      <c r="A4934" t="s">
        <v>15026</v>
      </c>
      <c r="B4934" t="s">
        <v>33623</v>
      </c>
    </row>
    <row r="4935" spans="1:2" x14ac:dyDescent="0.25">
      <c r="A4935" t="s">
        <v>14198</v>
      </c>
      <c r="B4935" t="s">
        <v>33624</v>
      </c>
    </row>
    <row r="4936" spans="1:2" x14ac:dyDescent="0.25">
      <c r="A4936" t="s">
        <v>15278</v>
      </c>
      <c r="B4936" t="s">
        <v>15278</v>
      </c>
    </row>
    <row r="4937" spans="1:2" x14ac:dyDescent="0.25">
      <c r="A4937" t="s">
        <v>12535</v>
      </c>
      <c r="B4937" t="s">
        <v>33625</v>
      </c>
    </row>
    <row r="4938" spans="1:2" x14ac:dyDescent="0.25">
      <c r="A4938" t="s">
        <v>12667</v>
      </c>
      <c r="B4938" t="s">
        <v>33626</v>
      </c>
    </row>
    <row r="4939" spans="1:2" x14ac:dyDescent="0.25">
      <c r="A4939" t="s">
        <v>14705</v>
      </c>
      <c r="B4939" t="s">
        <v>14705</v>
      </c>
    </row>
    <row r="4940" spans="1:2" x14ac:dyDescent="0.25">
      <c r="A4940" t="s">
        <v>15069</v>
      </c>
      <c r="B4940" t="s">
        <v>33627</v>
      </c>
    </row>
    <row r="4941" spans="1:2" x14ac:dyDescent="0.25">
      <c r="A4941" t="s">
        <v>14437</v>
      </c>
      <c r="B4941" t="s">
        <v>33628</v>
      </c>
    </row>
    <row r="4942" spans="1:2" x14ac:dyDescent="0.25">
      <c r="A4942" t="s">
        <v>13315</v>
      </c>
      <c r="B4942" t="s">
        <v>33629</v>
      </c>
    </row>
    <row r="4943" spans="1:2" x14ac:dyDescent="0.25">
      <c r="A4943" t="s">
        <v>12347</v>
      </c>
      <c r="B4943" t="s">
        <v>33630</v>
      </c>
    </row>
    <row r="4944" spans="1:2" x14ac:dyDescent="0.25">
      <c r="A4944" t="s">
        <v>15051</v>
      </c>
      <c r="B4944" t="s">
        <v>33631</v>
      </c>
    </row>
    <row r="4945" spans="1:2" x14ac:dyDescent="0.25">
      <c r="A4945" t="s">
        <v>15001</v>
      </c>
      <c r="B4945" t="s">
        <v>33632</v>
      </c>
    </row>
    <row r="4946" spans="1:2" x14ac:dyDescent="0.25">
      <c r="A4946" t="s">
        <v>12524</v>
      </c>
      <c r="B4946" t="s">
        <v>12524</v>
      </c>
    </row>
    <row r="4947" spans="1:2" x14ac:dyDescent="0.25">
      <c r="A4947" t="s">
        <v>12808</v>
      </c>
      <c r="B4947" t="s">
        <v>33633</v>
      </c>
    </row>
    <row r="4948" spans="1:2" x14ac:dyDescent="0.25">
      <c r="A4948" t="s">
        <v>14688</v>
      </c>
      <c r="B4948" t="s">
        <v>32140</v>
      </c>
    </row>
    <row r="4949" spans="1:2" x14ac:dyDescent="0.25">
      <c r="A4949" t="s">
        <v>14036</v>
      </c>
      <c r="B4949" t="s">
        <v>33634</v>
      </c>
    </row>
    <row r="4950" spans="1:2" x14ac:dyDescent="0.25">
      <c r="A4950" t="s">
        <v>12378</v>
      </c>
      <c r="B4950" t="s">
        <v>12378</v>
      </c>
    </row>
    <row r="4951" spans="1:2" x14ac:dyDescent="0.25">
      <c r="A4951" t="s">
        <v>14502</v>
      </c>
      <c r="B4951" t="s">
        <v>33635</v>
      </c>
    </row>
    <row r="4952" spans="1:2" x14ac:dyDescent="0.25">
      <c r="A4952" t="s">
        <v>15003</v>
      </c>
      <c r="B4952" t="s">
        <v>33636</v>
      </c>
    </row>
    <row r="4953" spans="1:2" x14ac:dyDescent="0.25">
      <c r="A4953" t="s">
        <v>12911</v>
      </c>
      <c r="B4953" t="s">
        <v>33637</v>
      </c>
    </row>
    <row r="4954" spans="1:2" x14ac:dyDescent="0.25">
      <c r="A4954" t="s">
        <v>13791</v>
      </c>
      <c r="B4954" t="s">
        <v>13791</v>
      </c>
    </row>
    <row r="4955" spans="1:2" x14ac:dyDescent="0.25">
      <c r="A4955" t="s">
        <v>13040</v>
      </c>
      <c r="B4955" t="s">
        <v>33638</v>
      </c>
    </row>
    <row r="4956" spans="1:2" x14ac:dyDescent="0.25">
      <c r="A4956" t="s">
        <v>12585</v>
      </c>
      <c r="B4956" t="s">
        <v>33639</v>
      </c>
    </row>
    <row r="4957" spans="1:2" x14ac:dyDescent="0.25">
      <c r="A4957" t="s">
        <v>14176</v>
      </c>
      <c r="B4957" t="s">
        <v>33640</v>
      </c>
    </row>
    <row r="4958" spans="1:2" x14ac:dyDescent="0.25">
      <c r="A4958" t="s">
        <v>12410</v>
      </c>
      <c r="B4958" t="s">
        <v>12410</v>
      </c>
    </row>
    <row r="4959" spans="1:2" x14ac:dyDescent="0.25">
      <c r="A4959" t="s">
        <v>14714</v>
      </c>
      <c r="B4959" t="s">
        <v>14714</v>
      </c>
    </row>
    <row r="4960" spans="1:2" x14ac:dyDescent="0.25">
      <c r="A4960" t="s">
        <v>12595</v>
      </c>
      <c r="B4960" t="s">
        <v>12595</v>
      </c>
    </row>
    <row r="4961" spans="1:2" x14ac:dyDescent="0.25">
      <c r="A4961" t="s">
        <v>14617</v>
      </c>
      <c r="B4961" t="s">
        <v>14617</v>
      </c>
    </row>
    <row r="4962" spans="1:2" x14ac:dyDescent="0.25">
      <c r="A4962" t="s">
        <v>15247</v>
      </c>
      <c r="B4962" t="s">
        <v>33641</v>
      </c>
    </row>
    <row r="4963" spans="1:2" x14ac:dyDescent="0.25">
      <c r="A4963" t="s">
        <v>14951</v>
      </c>
      <c r="B4963" t="s">
        <v>33642</v>
      </c>
    </row>
    <row r="4964" spans="1:2" x14ac:dyDescent="0.25">
      <c r="A4964" t="s">
        <v>12816</v>
      </c>
      <c r="B4964" t="s">
        <v>12816</v>
      </c>
    </row>
    <row r="4965" spans="1:2" x14ac:dyDescent="0.25">
      <c r="A4965" t="s">
        <v>13391</v>
      </c>
      <c r="B4965" t="s">
        <v>33643</v>
      </c>
    </row>
    <row r="4966" spans="1:2" x14ac:dyDescent="0.25">
      <c r="A4966" t="s">
        <v>14928</v>
      </c>
      <c r="B4966" t="s">
        <v>33644</v>
      </c>
    </row>
    <row r="4967" spans="1:2" x14ac:dyDescent="0.25">
      <c r="A4967" t="s">
        <v>13901</v>
      </c>
      <c r="B4967" t="s">
        <v>33645</v>
      </c>
    </row>
    <row r="4968" spans="1:2" x14ac:dyDescent="0.25">
      <c r="A4968" t="s">
        <v>14706</v>
      </c>
      <c r="B4968" t="s">
        <v>14706</v>
      </c>
    </row>
    <row r="4969" spans="1:2" x14ac:dyDescent="0.25">
      <c r="A4969" t="s">
        <v>12731</v>
      </c>
      <c r="B4969" t="s">
        <v>12731</v>
      </c>
    </row>
    <row r="4970" spans="1:2" x14ac:dyDescent="0.25">
      <c r="A4970" t="s">
        <v>12438</v>
      </c>
      <c r="B4970" t="s">
        <v>12438</v>
      </c>
    </row>
    <row r="4971" spans="1:2" x14ac:dyDescent="0.25">
      <c r="A4971" t="s">
        <v>15450</v>
      </c>
      <c r="B4971" t="s">
        <v>15450</v>
      </c>
    </row>
    <row r="4972" spans="1:2" x14ac:dyDescent="0.25">
      <c r="A4972" t="s">
        <v>13534</v>
      </c>
      <c r="B4972" t="s">
        <v>33646</v>
      </c>
    </row>
    <row r="4973" spans="1:2" x14ac:dyDescent="0.25">
      <c r="A4973" t="s">
        <v>13883</v>
      </c>
      <c r="B4973" t="s">
        <v>13883</v>
      </c>
    </row>
    <row r="4974" spans="1:2" x14ac:dyDescent="0.25">
      <c r="A4974" t="s">
        <v>14484</v>
      </c>
      <c r="B4974" t="s">
        <v>33647</v>
      </c>
    </row>
    <row r="4975" spans="1:2" x14ac:dyDescent="0.25">
      <c r="A4975" t="s">
        <v>12640</v>
      </c>
      <c r="B4975" t="s">
        <v>33648</v>
      </c>
    </row>
    <row r="4976" spans="1:2" x14ac:dyDescent="0.25">
      <c r="A4976" t="s">
        <v>12569</v>
      </c>
      <c r="B4976" t="s">
        <v>33649</v>
      </c>
    </row>
    <row r="4977" spans="1:2" x14ac:dyDescent="0.25">
      <c r="A4977" t="s">
        <v>12427</v>
      </c>
      <c r="B4977" t="s">
        <v>12427</v>
      </c>
    </row>
    <row r="4978" spans="1:2" x14ac:dyDescent="0.25">
      <c r="A4978" t="s">
        <v>13007</v>
      </c>
      <c r="B4978" t="s">
        <v>33650</v>
      </c>
    </row>
    <row r="4979" spans="1:2" x14ac:dyDescent="0.25">
      <c r="A4979" t="s">
        <v>14140</v>
      </c>
      <c r="B4979" t="s">
        <v>33651</v>
      </c>
    </row>
    <row r="4980" spans="1:2" x14ac:dyDescent="0.25">
      <c r="A4980" t="s">
        <v>14300</v>
      </c>
      <c r="B4980" t="s">
        <v>33652</v>
      </c>
    </row>
    <row r="4981" spans="1:2" x14ac:dyDescent="0.25">
      <c r="A4981" t="s">
        <v>14315</v>
      </c>
      <c r="B4981" t="s">
        <v>14315</v>
      </c>
    </row>
    <row r="4982" spans="1:2" x14ac:dyDescent="0.25">
      <c r="A4982" t="s">
        <v>14192</v>
      </c>
      <c r="B4982" t="s">
        <v>14192</v>
      </c>
    </row>
    <row r="4983" spans="1:2" x14ac:dyDescent="0.25">
      <c r="A4983" t="s">
        <v>15266</v>
      </c>
      <c r="B4983" t="s">
        <v>15266</v>
      </c>
    </row>
    <row r="4984" spans="1:2" x14ac:dyDescent="0.25">
      <c r="A4984" t="s">
        <v>13402</v>
      </c>
      <c r="B4984" t="s">
        <v>33653</v>
      </c>
    </row>
    <row r="4985" spans="1:2" x14ac:dyDescent="0.25">
      <c r="A4985" t="s">
        <v>14339</v>
      </c>
      <c r="B4985" t="s">
        <v>33165</v>
      </c>
    </row>
    <row r="4986" spans="1:2" x14ac:dyDescent="0.25">
      <c r="A4986" t="s">
        <v>14834</v>
      </c>
      <c r="B4986" t="s">
        <v>14834</v>
      </c>
    </row>
    <row r="4987" spans="1:2" x14ac:dyDescent="0.25">
      <c r="A4987" t="s">
        <v>12543</v>
      </c>
      <c r="B4987" t="s">
        <v>12543</v>
      </c>
    </row>
    <row r="4988" spans="1:2" x14ac:dyDescent="0.25">
      <c r="A4988" t="s">
        <v>12958</v>
      </c>
      <c r="B4988" t="s">
        <v>33654</v>
      </c>
    </row>
    <row r="4989" spans="1:2" x14ac:dyDescent="0.25">
      <c r="A4989" t="s">
        <v>15306</v>
      </c>
      <c r="B4989" t="s">
        <v>33655</v>
      </c>
    </row>
    <row r="4990" spans="1:2" x14ac:dyDescent="0.25">
      <c r="A4990" t="s">
        <v>12807</v>
      </c>
      <c r="B4990" t="s">
        <v>12807</v>
      </c>
    </row>
    <row r="4991" spans="1:2" x14ac:dyDescent="0.25">
      <c r="A4991" t="s">
        <v>13026</v>
      </c>
      <c r="B4991" t="s">
        <v>33656</v>
      </c>
    </row>
    <row r="4992" spans="1:2" x14ac:dyDescent="0.25">
      <c r="A4992" t="s">
        <v>12877</v>
      </c>
      <c r="B4992" t="s">
        <v>12877</v>
      </c>
    </row>
    <row r="4993" spans="1:2" x14ac:dyDescent="0.25">
      <c r="A4993" t="s">
        <v>14958</v>
      </c>
      <c r="B4993" t="s">
        <v>33657</v>
      </c>
    </row>
    <row r="4994" spans="1:2" x14ac:dyDescent="0.25">
      <c r="A4994" t="s">
        <v>12734</v>
      </c>
      <c r="B4994" t="s">
        <v>12734</v>
      </c>
    </row>
    <row r="4995" spans="1:2" x14ac:dyDescent="0.25">
      <c r="A4995" t="s">
        <v>14815</v>
      </c>
      <c r="B4995" t="s">
        <v>14815</v>
      </c>
    </row>
    <row r="4996" spans="1:2" x14ac:dyDescent="0.25">
      <c r="A4996" t="s">
        <v>12375</v>
      </c>
      <c r="B4996" t="s">
        <v>12375</v>
      </c>
    </row>
    <row r="4997" spans="1:2" x14ac:dyDescent="0.25">
      <c r="A4997" t="s">
        <v>12467</v>
      </c>
      <c r="B4997" t="s">
        <v>12467</v>
      </c>
    </row>
    <row r="4998" spans="1:2" x14ac:dyDescent="0.25">
      <c r="A4998" t="s">
        <v>14482</v>
      </c>
      <c r="B4998" t="s">
        <v>33658</v>
      </c>
    </row>
    <row r="4999" spans="1:2" x14ac:dyDescent="0.25">
      <c r="A4999" t="s">
        <v>12776</v>
      </c>
      <c r="B4999" t="s">
        <v>12776</v>
      </c>
    </row>
    <row r="5000" spans="1:2" x14ac:dyDescent="0.25">
      <c r="A5000" t="s">
        <v>15209</v>
      </c>
      <c r="B5000" t="s">
        <v>22360</v>
      </c>
    </row>
    <row r="5001" spans="1:2" x14ac:dyDescent="0.25">
      <c r="A5001" t="s">
        <v>12977</v>
      </c>
      <c r="B5001" t="s">
        <v>33659</v>
      </c>
    </row>
    <row r="5002" spans="1:2" x14ac:dyDescent="0.25">
      <c r="A5002" t="s">
        <v>12639</v>
      </c>
      <c r="B5002" t="s">
        <v>12639</v>
      </c>
    </row>
    <row r="5003" spans="1:2" x14ac:dyDescent="0.25">
      <c r="A5003" t="s">
        <v>14478</v>
      </c>
      <c r="B5003" t="s">
        <v>33660</v>
      </c>
    </row>
    <row r="5004" spans="1:2" x14ac:dyDescent="0.25">
      <c r="A5004" t="s">
        <v>14743</v>
      </c>
      <c r="B5004" t="s">
        <v>14743</v>
      </c>
    </row>
    <row r="5005" spans="1:2" x14ac:dyDescent="0.25">
      <c r="A5005" t="s">
        <v>12945</v>
      </c>
      <c r="B5005" t="s">
        <v>33661</v>
      </c>
    </row>
    <row r="5006" spans="1:2" x14ac:dyDescent="0.25">
      <c r="A5006" t="s">
        <v>13310</v>
      </c>
      <c r="B5006" t="s">
        <v>33662</v>
      </c>
    </row>
    <row r="5007" spans="1:2" x14ac:dyDescent="0.25">
      <c r="A5007" t="s">
        <v>15313</v>
      </c>
      <c r="B5007" t="s">
        <v>33663</v>
      </c>
    </row>
    <row r="5008" spans="1:2" x14ac:dyDescent="0.25">
      <c r="A5008" t="s">
        <v>14917</v>
      </c>
      <c r="B5008" t="s">
        <v>14917</v>
      </c>
    </row>
    <row r="5009" spans="1:2" x14ac:dyDescent="0.25">
      <c r="A5009" t="s">
        <v>15189</v>
      </c>
      <c r="B5009" t="s">
        <v>15189</v>
      </c>
    </row>
    <row r="5010" spans="1:2" x14ac:dyDescent="0.25">
      <c r="A5010" t="s">
        <v>15087</v>
      </c>
      <c r="B5010" t="s">
        <v>33664</v>
      </c>
    </row>
    <row r="5011" spans="1:2" x14ac:dyDescent="0.25">
      <c r="A5011" t="s">
        <v>15020</v>
      </c>
      <c r="B5011" t="s">
        <v>15020</v>
      </c>
    </row>
    <row r="5012" spans="1:2" x14ac:dyDescent="0.25">
      <c r="A5012" t="s">
        <v>12591</v>
      </c>
      <c r="B5012" t="s">
        <v>33665</v>
      </c>
    </row>
    <row r="5013" spans="1:2" x14ac:dyDescent="0.25">
      <c r="A5013" t="s">
        <v>14966</v>
      </c>
      <c r="B5013" t="s">
        <v>33666</v>
      </c>
    </row>
    <row r="5014" spans="1:2" x14ac:dyDescent="0.25">
      <c r="A5014" t="s">
        <v>14132</v>
      </c>
      <c r="B5014" t="s">
        <v>33667</v>
      </c>
    </row>
    <row r="5015" spans="1:2" x14ac:dyDescent="0.25">
      <c r="A5015" t="s">
        <v>14600</v>
      </c>
      <c r="B5015" t="s">
        <v>33668</v>
      </c>
    </row>
    <row r="5016" spans="1:2" x14ac:dyDescent="0.25">
      <c r="A5016" t="s">
        <v>14033</v>
      </c>
      <c r="B5016" t="s">
        <v>14033</v>
      </c>
    </row>
    <row r="5017" spans="1:2" x14ac:dyDescent="0.25">
      <c r="A5017" t="s">
        <v>14890</v>
      </c>
      <c r="B5017" t="s">
        <v>33669</v>
      </c>
    </row>
    <row r="5018" spans="1:2" x14ac:dyDescent="0.25">
      <c r="A5018" t="s">
        <v>12705</v>
      </c>
      <c r="B5018" t="s">
        <v>12705</v>
      </c>
    </row>
    <row r="5019" spans="1:2" x14ac:dyDescent="0.25">
      <c r="A5019" t="s">
        <v>15402</v>
      </c>
      <c r="B5019" t="s">
        <v>15402</v>
      </c>
    </row>
    <row r="5020" spans="1:2" x14ac:dyDescent="0.25">
      <c r="A5020" t="s">
        <v>14043</v>
      </c>
      <c r="B5020" t="s">
        <v>33670</v>
      </c>
    </row>
    <row r="5021" spans="1:2" x14ac:dyDescent="0.25">
      <c r="A5021" t="s">
        <v>13043</v>
      </c>
      <c r="B5021" t="s">
        <v>33671</v>
      </c>
    </row>
    <row r="5022" spans="1:2" x14ac:dyDescent="0.25">
      <c r="A5022" t="s">
        <v>14422</v>
      </c>
      <c r="B5022" t="s">
        <v>29055</v>
      </c>
    </row>
    <row r="5023" spans="1:2" x14ac:dyDescent="0.25">
      <c r="A5023" t="s">
        <v>14044</v>
      </c>
      <c r="B5023" t="s">
        <v>14044</v>
      </c>
    </row>
    <row r="5024" spans="1:2" x14ac:dyDescent="0.25">
      <c r="A5024" t="s">
        <v>15454</v>
      </c>
      <c r="B5024" t="s">
        <v>15454</v>
      </c>
    </row>
    <row r="5025" spans="1:2" x14ac:dyDescent="0.25">
      <c r="A5025" t="s">
        <v>14460</v>
      </c>
      <c r="B5025" t="s">
        <v>33672</v>
      </c>
    </row>
    <row r="5026" spans="1:2" x14ac:dyDescent="0.25">
      <c r="A5026" t="s">
        <v>13840</v>
      </c>
      <c r="B5026" t="s">
        <v>33673</v>
      </c>
    </row>
    <row r="5027" spans="1:2" x14ac:dyDescent="0.25">
      <c r="A5027" t="s">
        <v>13920</v>
      </c>
      <c r="B5027" t="s">
        <v>33674</v>
      </c>
    </row>
    <row r="5028" spans="1:2" x14ac:dyDescent="0.25">
      <c r="A5028" t="s">
        <v>13996</v>
      </c>
      <c r="B5028" t="s">
        <v>33675</v>
      </c>
    </row>
    <row r="5029" spans="1:2" x14ac:dyDescent="0.25">
      <c r="A5029" t="s">
        <v>15131</v>
      </c>
      <c r="B5029" t="s">
        <v>33676</v>
      </c>
    </row>
    <row r="5030" spans="1:2" x14ac:dyDescent="0.25">
      <c r="A5030" t="s">
        <v>248</v>
      </c>
      <c r="B5030" t="s">
        <v>248</v>
      </c>
    </row>
    <row r="5031" spans="1:2" x14ac:dyDescent="0.25">
      <c r="A5031" t="s">
        <v>12537</v>
      </c>
      <c r="B5031" t="s">
        <v>33677</v>
      </c>
    </row>
    <row r="5032" spans="1:2" x14ac:dyDescent="0.25">
      <c r="A5032" t="s">
        <v>33678</v>
      </c>
      <c r="B5032" t="s">
        <v>33679</v>
      </c>
    </row>
    <row r="5033" spans="1:2" x14ac:dyDescent="0.25">
      <c r="A5033" t="s">
        <v>14531</v>
      </c>
      <c r="B5033" t="s">
        <v>33680</v>
      </c>
    </row>
    <row r="5034" spans="1:2" x14ac:dyDescent="0.25">
      <c r="A5034" t="s">
        <v>15497</v>
      </c>
      <c r="B5034" t="s">
        <v>33681</v>
      </c>
    </row>
    <row r="5035" spans="1:2" x14ac:dyDescent="0.25">
      <c r="A5035" t="s">
        <v>14899</v>
      </c>
      <c r="B5035" t="s">
        <v>33682</v>
      </c>
    </row>
    <row r="5036" spans="1:2" x14ac:dyDescent="0.25">
      <c r="A5036" t="s">
        <v>12697</v>
      </c>
      <c r="B5036" t="s">
        <v>12697</v>
      </c>
    </row>
    <row r="5037" spans="1:2" x14ac:dyDescent="0.25">
      <c r="A5037" t="s">
        <v>13046</v>
      </c>
      <c r="B5037" t="s">
        <v>33683</v>
      </c>
    </row>
    <row r="5038" spans="1:2" x14ac:dyDescent="0.25">
      <c r="A5038" t="s">
        <v>14423</v>
      </c>
      <c r="B5038" t="s">
        <v>33684</v>
      </c>
    </row>
    <row r="5039" spans="1:2" x14ac:dyDescent="0.25">
      <c r="A5039" t="s">
        <v>13171</v>
      </c>
      <c r="B5039" t="s">
        <v>13171</v>
      </c>
    </row>
    <row r="5040" spans="1:2" x14ac:dyDescent="0.25">
      <c r="A5040" t="s">
        <v>15089</v>
      </c>
      <c r="B5040" t="s">
        <v>33685</v>
      </c>
    </row>
    <row r="5041" spans="1:2" x14ac:dyDescent="0.25">
      <c r="A5041" t="s">
        <v>13131</v>
      </c>
      <c r="B5041" t="s">
        <v>33686</v>
      </c>
    </row>
    <row r="5042" spans="1:2" x14ac:dyDescent="0.25">
      <c r="A5042" t="s">
        <v>13575</v>
      </c>
      <c r="B5042" t="s">
        <v>33687</v>
      </c>
    </row>
    <row r="5043" spans="1:2" x14ac:dyDescent="0.25">
      <c r="A5043" t="s">
        <v>13192</v>
      </c>
      <c r="B5043" t="s">
        <v>33688</v>
      </c>
    </row>
    <row r="5044" spans="1:2" x14ac:dyDescent="0.25">
      <c r="A5044" t="s">
        <v>13526</v>
      </c>
      <c r="B5044" t="s">
        <v>33689</v>
      </c>
    </row>
    <row r="5045" spans="1:2" x14ac:dyDescent="0.25">
      <c r="A5045" t="s">
        <v>66</v>
      </c>
      <c r="B5045" t="s">
        <v>66</v>
      </c>
    </row>
    <row r="5046" spans="1:2" x14ac:dyDescent="0.25">
      <c r="A5046" t="s">
        <v>12783</v>
      </c>
      <c r="B5046" t="s">
        <v>12783</v>
      </c>
    </row>
    <row r="5047" spans="1:2" x14ac:dyDescent="0.25">
      <c r="A5047" t="s">
        <v>12481</v>
      </c>
      <c r="B5047" t="s">
        <v>12481</v>
      </c>
    </row>
    <row r="5048" spans="1:2" x14ac:dyDescent="0.25">
      <c r="A5048" t="s">
        <v>12305</v>
      </c>
      <c r="B5048" t="s">
        <v>33690</v>
      </c>
    </row>
    <row r="5049" spans="1:2" x14ac:dyDescent="0.25">
      <c r="A5049" t="s">
        <v>13777</v>
      </c>
      <c r="B5049" t="s">
        <v>33691</v>
      </c>
    </row>
    <row r="5050" spans="1:2" x14ac:dyDescent="0.25">
      <c r="A5050" t="s">
        <v>14598</v>
      </c>
      <c r="B5050" t="s">
        <v>33692</v>
      </c>
    </row>
    <row r="5051" spans="1:2" x14ac:dyDescent="0.25">
      <c r="A5051" t="s">
        <v>12442</v>
      </c>
      <c r="B5051" t="s">
        <v>12442</v>
      </c>
    </row>
    <row r="5052" spans="1:2" x14ac:dyDescent="0.25">
      <c r="A5052" t="s">
        <v>15303</v>
      </c>
      <c r="B5052" t="s">
        <v>33693</v>
      </c>
    </row>
    <row r="5053" spans="1:2" x14ac:dyDescent="0.25">
      <c r="A5053" t="s">
        <v>13980</v>
      </c>
      <c r="B5053" t="s">
        <v>33694</v>
      </c>
    </row>
    <row r="5054" spans="1:2" x14ac:dyDescent="0.25">
      <c r="A5054" t="s">
        <v>13490</v>
      </c>
      <c r="B5054" t="s">
        <v>33695</v>
      </c>
    </row>
    <row r="5055" spans="1:2" x14ac:dyDescent="0.25">
      <c r="A5055" t="s">
        <v>13393</v>
      </c>
      <c r="B5055" t="s">
        <v>33696</v>
      </c>
    </row>
    <row r="5056" spans="1:2" x14ac:dyDescent="0.25">
      <c r="A5056" t="s">
        <v>14144</v>
      </c>
      <c r="B5056" t="s">
        <v>33697</v>
      </c>
    </row>
    <row r="5057" spans="1:2" x14ac:dyDescent="0.25">
      <c r="A5057" t="s">
        <v>14548</v>
      </c>
      <c r="B5057" t="s">
        <v>33698</v>
      </c>
    </row>
    <row r="5058" spans="1:2" x14ac:dyDescent="0.25">
      <c r="A5058" t="s">
        <v>15080</v>
      </c>
      <c r="B5058" t="s">
        <v>33699</v>
      </c>
    </row>
    <row r="5059" spans="1:2" x14ac:dyDescent="0.25">
      <c r="A5059" t="s">
        <v>13488</v>
      </c>
      <c r="B5059" t="s">
        <v>33700</v>
      </c>
    </row>
    <row r="5060" spans="1:2" x14ac:dyDescent="0.25">
      <c r="A5060" t="s">
        <v>15492</v>
      </c>
      <c r="B5060" t="s">
        <v>15492</v>
      </c>
    </row>
    <row r="5061" spans="1:2" x14ac:dyDescent="0.25">
      <c r="A5061" t="s">
        <v>14433</v>
      </c>
      <c r="B5061" t="s">
        <v>33701</v>
      </c>
    </row>
    <row r="5062" spans="1:2" x14ac:dyDescent="0.25">
      <c r="A5062" t="s">
        <v>13860</v>
      </c>
      <c r="B5062" t="s">
        <v>33702</v>
      </c>
    </row>
    <row r="5063" spans="1:2" x14ac:dyDescent="0.25">
      <c r="A5063" t="s">
        <v>14698</v>
      </c>
      <c r="B5063" t="s">
        <v>14698</v>
      </c>
    </row>
    <row r="5064" spans="1:2" x14ac:dyDescent="0.25">
      <c r="A5064" t="s">
        <v>13070</v>
      </c>
      <c r="B5064" t="s">
        <v>33703</v>
      </c>
    </row>
    <row r="5065" spans="1:2" x14ac:dyDescent="0.25">
      <c r="A5065" t="s">
        <v>13175</v>
      </c>
      <c r="B5065" t="s">
        <v>13175</v>
      </c>
    </row>
    <row r="5066" spans="1:2" x14ac:dyDescent="0.25">
      <c r="A5066" t="s">
        <v>12999</v>
      </c>
      <c r="B5066" t="s">
        <v>33704</v>
      </c>
    </row>
    <row r="5067" spans="1:2" x14ac:dyDescent="0.25">
      <c r="A5067" t="s">
        <v>14581</v>
      </c>
      <c r="B5067" t="s">
        <v>33705</v>
      </c>
    </row>
    <row r="5068" spans="1:2" x14ac:dyDescent="0.25">
      <c r="A5068" t="s">
        <v>14948</v>
      </c>
      <c r="B5068" t="s">
        <v>14948</v>
      </c>
    </row>
    <row r="5069" spans="1:2" x14ac:dyDescent="0.25">
      <c r="A5069" t="s">
        <v>13160</v>
      </c>
      <c r="B5069" t="s">
        <v>33706</v>
      </c>
    </row>
    <row r="5070" spans="1:2" x14ac:dyDescent="0.25">
      <c r="A5070" t="s">
        <v>12528</v>
      </c>
      <c r="B5070" t="s">
        <v>33707</v>
      </c>
    </row>
    <row r="5071" spans="1:2" x14ac:dyDescent="0.25">
      <c r="A5071" t="s">
        <v>12480</v>
      </c>
      <c r="B5071" t="s">
        <v>12480</v>
      </c>
    </row>
    <row r="5072" spans="1:2" x14ac:dyDescent="0.25">
      <c r="A5072" t="s">
        <v>12764</v>
      </c>
      <c r="B5072" t="s">
        <v>33708</v>
      </c>
    </row>
    <row r="5073" spans="1:2" x14ac:dyDescent="0.25">
      <c r="A5073" t="s">
        <v>12829</v>
      </c>
      <c r="B5073" t="s">
        <v>12829</v>
      </c>
    </row>
    <row r="5074" spans="1:2" x14ac:dyDescent="0.25">
      <c r="A5074" t="s">
        <v>552</v>
      </c>
      <c r="B5074" t="s">
        <v>552</v>
      </c>
    </row>
    <row r="5075" spans="1:2" x14ac:dyDescent="0.25">
      <c r="A5075" t="s">
        <v>12796</v>
      </c>
      <c r="B5075" t="s">
        <v>33709</v>
      </c>
    </row>
    <row r="5076" spans="1:2" x14ac:dyDescent="0.25">
      <c r="A5076" t="s">
        <v>12530</v>
      </c>
      <c r="B5076" t="s">
        <v>33710</v>
      </c>
    </row>
    <row r="5077" spans="1:2" x14ac:dyDescent="0.25">
      <c r="A5077" t="s">
        <v>12797</v>
      </c>
      <c r="B5077" t="s">
        <v>12797</v>
      </c>
    </row>
    <row r="5078" spans="1:2" x14ac:dyDescent="0.25">
      <c r="A5078" t="s">
        <v>12932</v>
      </c>
      <c r="B5078" t="s">
        <v>33711</v>
      </c>
    </row>
    <row r="5079" spans="1:2" x14ac:dyDescent="0.25">
      <c r="A5079" t="s">
        <v>12430</v>
      </c>
      <c r="B5079" t="s">
        <v>12430</v>
      </c>
    </row>
    <row r="5080" spans="1:2" x14ac:dyDescent="0.25">
      <c r="A5080" t="s">
        <v>13228</v>
      </c>
      <c r="B5080" t="s">
        <v>33712</v>
      </c>
    </row>
    <row r="5081" spans="1:2" x14ac:dyDescent="0.25">
      <c r="A5081" t="s">
        <v>13186</v>
      </c>
      <c r="B5081" t="s">
        <v>33713</v>
      </c>
    </row>
    <row r="5082" spans="1:2" x14ac:dyDescent="0.25">
      <c r="A5082" t="s">
        <v>15067</v>
      </c>
      <c r="B5082" t="s">
        <v>33714</v>
      </c>
    </row>
    <row r="5083" spans="1:2" x14ac:dyDescent="0.25">
      <c r="A5083" t="s">
        <v>14997</v>
      </c>
      <c r="B5083" t="s">
        <v>14997</v>
      </c>
    </row>
    <row r="5084" spans="1:2" x14ac:dyDescent="0.25">
      <c r="A5084" t="s">
        <v>12312</v>
      </c>
      <c r="B5084" t="s">
        <v>12312</v>
      </c>
    </row>
    <row r="5085" spans="1:2" x14ac:dyDescent="0.25">
      <c r="A5085" t="s">
        <v>14318</v>
      </c>
      <c r="B5085" t="s">
        <v>14318</v>
      </c>
    </row>
    <row r="5086" spans="1:2" x14ac:dyDescent="0.25">
      <c r="A5086" t="s">
        <v>12432</v>
      </c>
      <c r="B5086" t="s">
        <v>12432</v>
      </c>
    </row>
    <row r="5087" spans="1:2" x14ac:dyDescent="0.25">
      <c r="A5087" t="s">
        <v>13912</v>
      </c>
      <c r="B5087" t="s">
        <v>33715</v>
      </c>
    </row>
    <row r="5088" spans="1:2" x14ac:dyDescent="0.25">
      <c r="A5088" t="s">
        <v>15017</v>
      </c>
      <c r="B5088" t="s">
        <v>33716</v>
      </c>
    </row>
    <row r="5089" spans="1:2" x14ac:dyDescent="0.25">
      <c r="A5089" t="s">
        <v>14310</v>
      </c>
      <c r="B5089" t="s">
        <v>33717</v>
      </c>
    </row>
    <row r="5090" spans="1:2" x14ac:dyDescent="0.25">
      <c r="A5090" t="s">
        <v>12704</v>
      </c>
      <c r="B5090" t="s">
        <v>33718</v>
      </c>
    </row>
    <row r="5091" spans="1:2" x14ac:dyDescent="0.25">
      <c r="A5091" t="s">
        <v>13940</v>
      </c>
      <c r="B5091" t="s">
        <v>33719</v>
      </c>
    </row>
    <row r="5092" spans="1:2" x14ac:dyDescent="0.25">
      <c r="A5092" t="s">
        <v>14685</v>
      </c>
      <c r="B5092" t="s">
        <v>28937</v>
      </c>
    </row>
    <row r="5093" spans="1:2" x14ac:dyDescent="0.25">
      <c r="A5093" t="s">
        <v>13695</v>
      </c>
      <c r="B5093" t="s">
        <v>13695</v>
      </c>
    </row>
    <row r="5094" spans="1:2" x14ac:dyDescent="0.25">
      <c r="A5094" t="s">
        <v>13436</v>
      </c>
      <c r="B5094" t="s">
        <v>33720</v>
      </c>
    </row>
    <row r="5095" spans="1:2" x14ac:dyDescent="0.25">
      <c r="A5095" t="s">
        <v>12802</v>
      </c>
      <c r="B5095" t="s">
        <v>33721</v>
      </c>
    </row>
    <row r="5096" spans="1:2" x14ac:dyDescent="0.25">
      <c r="A5096" t="s">
        <v>12736</v>
      </c>
      <c r="B5096" t="s">
        <v>12736</v>
      </c>
    </row>
    <row r="5097" spans="1:2" x14ac:dyDescent="0.25">
      <c r="A5097" t="s">
        <v>14811</v>
      </c>
      <c r="B5097" t="s">
        <v>14811</v>
      </c>
    </row>
    <row r="5098" spans="1:2" x14ac:dyDescent="0.25">
      <c r="A5098" t="s">
        <v>13278</v>
      </c>
      <c r="B5098" t="s">
        <v>33722</v>
      </c>
    </row>
    <row r="5099" spans="1:2" x14ac:dyDescent="0.25">
      <c r="A5099" t="s">
        <v>15229</v>
      </c>
      <c r="B5099" t="s">
        <v>15229</v>
      </c>
    </row>
    <row r="5100" spans="1:2" x14ac:dyDescent="0.25">
      <c r="A5100" t="s">
        <v>15286</v>
      </c>
      <c r="B5100" t="s">
        <v>33723</v>
      </c>
    </row>
    <row r="5101" spans="1:2" x14ac:dyDescent="0.25">
      <c r="A5101" t="s">
        <v>13363</v>
      </c>
      <c r="B5101" t="s">
        <v>33724</v>
      </c>
    </row>
    <row r="5102" spans="1:2" x14ac:dyDescent="0.25">
      <c r="A5102" t="s">
        <v>13083</v>
      </c>
      <c r="B5102" t="s">
        <v>33725</v>
      </c>
    </row>
    <row r="5103" spans="1:2" x14ac:dyDescent="0.25">
      <c r="A5103" t="s">
        <v>15368</v>
      </c>
      <c r="B5103" t="s">
        <v>15368</v>
      </c>
    </row>
    <row r="5104" spans="1:2" x14ac:dyDescent="0.25">
      <c r="A5104" t="s">
        <v>13253</v>
      </c>
      <c r="B5104" t="s">
        <v>33726</v>
      </c>
    </row>
    <row r="5105" spans="1:2" x14ac:dyDescent="0.25">
      <c r="A5105" t="s">
        <v>14087</v>
      </c>
      <c r="B5105" t="s">
        <v>33727</v>
      </c>
    </row>
    <row r="5106" spans="1:2" x14ac:dyDescent="0.25">
      <c r="A5106" t="s">
        <v>12790</v>
      </c>
      <c r="B5106" t="s">
        <v>33728</v>
      </c>
    </row>
    <row r="5107" spans="1:2" x14ac:dyDescent="0.25">
      <c r="A5107" t="s">
        <v>12357</v>
      </c>
      <c r="B5107" t="s">
        <v>12357</v>
      </c>
    </row>
    <row r="5108" spans="1:2" x14ac:dyDescent="0.25">
      <c r="A5108" t="s">
        <v>14069</v>
      </c>
      <c r="B5108" t="s">
        <v>33729</v>
      </c>
    </row>
    <row r="5109" spans="1:2" x14ac:dyDescent="0.25">
      <c r="A5109" t="s">
        <v>13302</v>
      </c>
      <c r="B5109" t="s">
        <v>33730</v>
      </c>
    </row>
    <row r="5110" spans="1:2" x14ac:dyDescent="0.25">
      <c r="A5110" t="s">
        <v>12967</v>
      </c>
      <c r="B5110" t="s">
        <v>33731</v>
      </c>
    </row>
    <row r="5111" spans="1:2" x14ac:dyDescent="0.25">
      <c r="A5111" t="s">
        <v>15296</v>
      </c>
      <c r="B5111" t="s">
        <v>33732</v>
      </c>
    </row>
    <row r="5112" spans="1:2" x14ac:dyDescent="0.25">
      <c r="A5112" t="s">
        <v>12614</v>
      </c>
      <c r="B5112" t="s">
        <v>12614</v>
      </c>
    </row>
    <row r="5113" spans="1:2" x14ac:dyDescent="0.25">
      <c r="A5113" t="s">
        <v>15065</v>
      </c>
      <c r="B5113" t="s">
        <v>33733</v>
      </c>
    </row>
    <row r="5114" spans="1:2" x14ac:dyDescent="0.25">
      <c r="A5114" t="s">
        <v>15128</v>
      </c>
      <c r="B5114" t="s">
        <v>33734</v>
      </c>
    </row>
    <row r="5115" spans="1:2" x14ac:dyDescent="0.25">
      <c r="A5115" t="s">
        <v>13767</v>
      </c>
      <c r="B5115" t="s">
        <v>33735</v>
      </c>
    </row>
    <row r="5116" spans="1:2" x14ac:dyDescent="0.25">
      <c r="A5116" t="s">
        <v>13929</v>
      </c>
      <c r="B5116" t="s">
        <v>33736</v>
      </c>
    </row>
    <row r="5117" spans="1:2" x14ac:dyDescent="0.25">
      <c r="A5117" t="s">
        <v>13993</v>
      </c>
      <c r="B5117" t="s">
        <v>33737</v>
      </c>
    </row>
    <row r="5118" spans="1:2" x14ac:dyDescent="0.25">
      <c r="A5118" t="s">
        <v>12582</v>
      </c>
      <c r="B5118" t="s">
        <v>12582</v>
      </c>
    </row>
    <row r="5119" spans="1:2" x14ac:dyDescent="0.25">
      <c r="A5119" t="s">
        <v>13700</v>
      </c>
      <c r="B5119" t="s">
        <v>33738</v>
      </c>
    </row>
    <row r="5120" spans="1:2" x14ac:dyDescent="0.25">
      <c r="A5120" t="s">
        <v>15254</v>
      </c>
      <c r="B5120" t="s">
        <v>15254</v>
      </c>
    </row>
    <row r="5121" spans="1:2" x14ac:dyDescent="0.25">
      <c r="A5121" t="s">
        <v>13119</v>
      </c>
      <c r="B5121" t="s">
        <v>33739</v>
      </c>
    </row>
    <row r="5122" spans="1:2" x14ac:dyDescent="0.25">
      <c r="A5122" t="s">
        <v>13743</v>
      </c>
      <c r="B5122" t="s">
        <v>33740</v>
      </c>
    </row>
    <row r="5123" spans="1:2" x14ac:dyDescent="0.25">
      <c r="A5123" t="s">
        <v>13020</v>
      </c>
      <c r="B5123" t="s">
        <v>33741</v>
      </c>
    </row>
    <row r="5124" spans="1:2" x14ac:dyDescent="0.25">
      <c r="A5124" t="s">
        <v>12739</v>
      </c>
      <c r="B5124" t="s">
        <v>33742</v>
      </c>
    </row>
    <row r="5125" spans="1:2" x14ac:dyDescent="0.25">
      <c r="A5125" t="s">
        <v>15339</v>
      </c>
      <c r="B5125" t="s">
        <v>15339</v>
      </c>
    </row>
    <row r="5126" spans="1:2" x14ac:dyDescent="0.25">
      <c r="A5126" t="s">
        <v>14654</v>
      </c>
      <c r="B5126" t="s">
        <v>33743</v>
      </c>
    </row>
    <row r="5127" spans="1:2" x14ac:dyDescent="0.25">
      <c r="A5127" t="s">
        <v>12629</v>
      </c>
      <c r="B5127" t="s">
        <v>12629</v>
      </c>
    </row>
    <row r="5128" spans="1:2" x14ac:dyDescent="0.25">
      <c r="A5128" t="s">
        <v>252</v>
      </c>
      <c r="B5128" t="s">
        <v>252</v>
      </c>
    </row>
    <row r="5129" spans="1:2" x14ac:dyDescent="0.25">
      <c r="A5129" t="s">
        <v>15387</v>
      </c>
      <c r="B5129" t="s">
        <v>33744</v>
      </c>
    </row>
    <row r="5130" spans="1:2" x14ac:dyDescent="0.25">
      <c r="A5130" t="s">
        <v>12300</v>
      </c>
      <c r="B5130" t="s">
        <v>33745</v>
      </c>
    </row>
    <row r="5131" spans="1:2" x14ac:dyDescent="0.25">
      <c r="A5131" t="s">
        <v>14880</v>
      </c>
      <c r="B5131" t="s">
        <v>33746</v>
      </c>
    </row>
    <row r="5132" spans="1:2" x14ac:dyDescent="0.25">
      <c r="A5132" t="s">
        <v>33747</v>
      </c>
      <c r="B5132" t="s">
        <v>33748</v>
      </c>
    </row>
    <row r="5133" spans="1:2" x14ac:dyDescent="0.25">
      <c r="A5133" t="s">
        <v>14747</v>
      </c>
      <c r="B5133" t="s">
        <v>14747</v>
      </c>
    </row>
    <row r="5134" spans="1:2" x14ac:dyDescent="0.25">
      <c r="A5134" t="s">
        <v>13314</v>
      </c>
      <c r="B5134" t="s">
        <v>33749</v>
      </c>
    </row>
    <row r="5135" spans="1:2" x14ac:dyDescent="0.25">
      <c r="A5135" t="s">
        <v>12768</v>
      </c>
      <c r="B5135" t="s">
        <v>33750</v>
      </c>
    </row>
    <row r="5136" spans="1:2" x14ac:dyDescent="0.25">
      <c r="A5136" t="s">
        <v>14974</v>
      </c>
      <c r="B5136" t="s">
        <v>33751</v>
      </c>
    </row>
    <row r="5137" spans="1:2" x14ac:dyDescent="0.25">
      <c r="A5137" t="s">
        <v>12597</v>
      </c>
      <c r="B5137" t="s">
        <v>33752</v>
      </c>
    </row>
    <row r="5138" spans="1:2" x14ac:dyDescent="0.25">
      <c r="A5138" t="s">
        <v>14009</v>
      </c>
      <c r="B5138" t="s">
        <v>14009</v>
      </c>
    </row>
    <row r="5139" spans="1:2" x14ac:dyDescent="0.25">
      <c r="A5139" t="s">
        <v>13782</v>
      </c>
      <c r="B5139" t="s">
        <v>33753</v>
      </c>
    </row>
    <row r="5140" spans="1:2" x14ac:dyDescent="0.25">
      <c r="A5140" t="s">
        <v>13806</v>
      </c>
      <c r="B5140" t="s">
        <v>33754</v>
      </c>
    </row>
    <row r="5141" spans="1:2" x14ac:dyDescent="0.25">
      <c r="A5141" t="s">
        <v>15148</v>
      </c>
      <c r="B5141" t="s">
        <v>33755</v>
      </c>
    </row>
    <row r="5142" spans="1:2" x14ac:dyDescent="0.25">
      <c r="A5142" t="s">
        <v>13135</v>
      </c>
      <c r="B5142" t="s">
        <v>33756</v>
      </c>
    </row>
    <row r="5143" spans="1:2" x14ac:dyDescent="0.25">
      <c r="A5143" t="s">
        <v>13525</v>
      </c>
      <c r="B5143" t="s">
        <v>33757</v>
      </c>
    </row>
    <row r="5144" spans="1:2" x14ac:dyDescent="0.25">
      <c r="A5144" t="s">
        <v>13675</v>
      </c>
      <c r="B5144" t="s">
        <v>13675</v>
      </c>
    </row>
    <row r="5145" spans="1:2" x14ac:dyDescent="0.25">
      <c r="A5145" t="s">
        <v>15377</v>
      </c>
      <c r="B5145" t="s">
        <v>33758</v>
      </c>
    </row>
    <row r="5146" spans="1:2" x14ac:dyDescent="0.25">
      <c r="A5146" t="s">
        <v>15372</v>
      </c>
      <c r="B5146" t="s">
        <v>22199</v>
      </c>
    </row>
    <row r="5147" spans="1:2" x14ac:dyDescent="0.25">
      <c r="A5147" t="s">
        <v>12815</v>
      </c>
      <c r="B5147" t="s">
        <v>12815</v>
      </c>
    </row>
    <row r="5148" spans="1:2" x14ac:dyDescent="0.25">
      <c r="A5148" t="s">
        <v>13360</v>
      </c>
      <c r="B5148" t="s">
        <v>33759</v>
      </c>
    </row>
    <row r="5149" spans="1:2" x14ac:dyDescent="0.25">
      <c r="A5149" t="s">
        <v>13168</v>
      </c>
      <c r="B5149" t="s">
        <v>33760</v>
      </c>
    </row>
    <row r="5150" spans="1:2" x14ac:dyDescent="0.25">
      <c r="A5150" t="s">
        <v>12679</v>
      </c>
      <c r="B5150" t="s">
        <v>12679</v>
      </c>
    </row>
    <row r="5151" spans="1:2" x14ac:dyDescent="0.25">
      <c r="A5151" t="s">
        <v>14582</v>
      </c>
      <c r="B5151" t="s">
        <v>33761</v>
      </c>
    </row>
    <row r="5152" spans="1:2" x14ac:dyDescent="0.25">
      <c r="A5152" t="s">
        <v>13775</v>
      </c>
      <c r="B5152" t="s">
        <v>33762</v>
      </c>
    </row>
    <row r="5153" spans="1:2" x14ac:dyDescent="0.25">
      <c r="A5153" t="s">
        <v>14139</v>
      </c>
      <c r="B5153" t="s">
        <v>33763</v>
      </c>
    </row>
    <row r="5154" spans="1:2" x14ac:dyDescent="0.25">
      <c r="A5154" t="s">
        <v>12638</v>
      </c>
      <c r="B5154" t="s">
        <v>12638</v>
      </c>
    </row>
    <row r="5155" spans="1:2" x14ac:dyDescent="0.25">
      <c r="A5155" t="s">
        <v>14393</v>
      </c>
      <c r="B5155" t="s">
        <v>33764</v>
      </c>
    </row>
    <row r="5156" spans="1:2" x14ac:dyDescent="0.25">
      <c r="A5156" t="s">
        <v>14458</v>
      </c>
      <c r="B5156" t="s">
        <v>33765</v>
      </c>
    </row>
    <row r="5157" spans="1:2" x14ac:dyDescent="0.25">
      <c r="A5157" t="s">
        <v>13991</v>
      </c>
      <c r="B5157" t="s">
        <v>33766</v>
      </c>
    </row>
    <row r="5158" spans="1:2" x14ac:dyDescent="0.25">
      <c r="A5158" t="s">
        <v>14961</v>
      </c>
      <c r="B5158" t="s">
        <v>33767</v>
      </c>
    </row>
    <row r="5159" spans="1:2" x14ac:dyDescent="0.25">
      <c r="A5159" t="s">
        <v>15423</v>
      </c>
      <c r="B5159" t="s">
        <v>15423</v>
      </c>
    </row>
    <row r="5160" spans="1:2" x14ac:dyDescent="0.25">
      <c r="A5160" t="s">
        <v>12758</v>
      </c>
      <c r="B5160" t="s">
        <v>33768</v>
      </c>
    </row>
    <row r="5161" spans="1:2" x14ac:dyDescent="0.25">
      <c r="A5161" t="s">
        <v>432</v>
      </c>
      <c r="B5161" t="s">
        <v>432</v>
      </c>
    </row>
    <row r="5162" spans="1:2" x14ac:dyDescent="0.25">
      <c r="A5162" t="s">
        <v>13327</v>
      </c>
      <c r="B5162" t="s">
        <v>33769</v>
      </c>
    </row>
    <row r="5163" spans="1:2" x14ac:dyDescent="0.25">
      <c r="A5163" t="s">
        <v>12499</v>
      </c>
      <c r="B5163" t="s">
        <v>33770</v>
      </c>
    </row>
    <row r="5164" spans="1:2" x14ac:dyDescent="0.25">
      <c r="A5164" t="s">
        <v>12833</v>
      </c>
      <c r="B5164" t="s">
        <v>33771</v>
      </c>
    </row>
    <row r="5165" spans="1:2" x14ac:dyDescent="0.25">
      <c r="A5165" t="s">
        <v>13811</v>
      </c>
      <c r="B5165" t="s">
        <v>33772</v>
      </c>
    </row>
    <row r="5166" spans="1:2" x14ac:dyDescent="0.25">
      <c r="A5166" t="s">
        <v>14042</v>
      </c>
      <c r="B5166" t="s">
        <v>33773</v>
      </c>
    </row>
    <row r="5167" spans="1:2" x14ac:dyDescent="0.25">
      <c r="A5167" t="s">
        <v>15113</v>
      </c>
      <c r="B5167" t="s">
        <v>33774</v>
      </c>
    </row>
    <row r="5168" spans="1:2" x14ac:dyDescent="0.25">
      <c r="A5168" t="s">
        <v>15407</v>
      </c>
      <c r="B5168" t="s">
        <v>15407</v>
      </c>
    </row>
    <row r="5169" spans="1:2" x14ac:dyDescent="0.25">
      <c r="A5169" t="s">
        <v>13563</v>
      </c>
      <c r="B5169" t="s">
        <v>33775</v>
      </c>
    </row>
    <row r="5170" spans="1:2" x14ac:dyDescent="0.25">
      <c r="A5170" t="s">
        <v>15242</v>
      </c>
      <c r="B5170" t="s">
        <v>15242</v>
      </c>
    </row>
    <row r="5171" spans="1:2" x14ac:dyDescent="0.25">
      <c r="A5171" t="s">
        <v>13357</v>
      </c>
      <c r="B5171" t="s">
        <v>33776</v>
      </c>
    </row>
    <row r="5172" spans="1:2" x14ac:dyDescent="0.25">
      <c r="A5172" t="s">
        <v>14323</v>
      </c>
      <c r="B5172" t="s">
        <v>14323</v>
      </c>
    </row>
    <row r="5173" spans="1:2" x14ac:dyDescent="0.25">
      <c r="A5173" t="s">
        <v>15090</v>
      </c>
      <c r="B5173" t="s">
        <v>33777</v>
      </c>
    </row>
    <row r="5174" spans="1:2" x14ac:dyDescent="0.25">
      <c r="A5174" t="s">
        <v>14560</v>
      </c>
      <c r="B5174" t="s">
        <v>33778</v>
      </c>
    </row>
    <row r="5175" spans="1:2" x14ac:dyDescent="0.25">
      <c r="A5175" t="s">
        <v>12355</v>
      </c>
      <c r="B5175" t="s">
        <v>33779</v>
      </c>
    </row>
    <row r="5176" spans="1:2" x14ac:dyDescent="0.25">
      <c r="A5176" t="s">
        <v>12737</v>
      </c>
      <c r="B5176" t="s">
        <v>33780</v>
      </c>
    </row>
    <row r="5177" spans="1:2" x14ac:dyDescent="0.25">
      <c r="A5177" t="s">
        <v>14679</v>
      </c>
      <c r="B5177" t="s">
        <v>33781</v>
      </c>
    </row>
    <row r="5178" spans="1:2" x14ac:dyDescent="0.25">
      <c r="A5178" t="s">
        <v>15416</v>
      </c>
      <c r="B5178" t="s">
        <v>15416</v>
      </c>
    </row>
    <row r="5179" spans="1:2" x14ac:dyDescent="0.25">
      <c r="A5179" t="s">
        <v>15193</v>
      </c>
      <c r="B5179" t="s">
        <v>15193</v>
      </c>
    </row>
    <row r="5180" spans="1:2" x14ac:dyDescent="0.25">
      <c r="A5180" t="s">
        <v>14121</v>
      </c>
      <c r="B5180" t="s">
        <v>33782</v>
      </c>
    </row>
    <row r="5181" spans="1:2" x14ac:dyDescent="0.25">
      <c r="A5181" t="s">
        <v>14196</v>
      </c>
      <c r="B5181" t="s">
        <v>33783</v>
      </c>
    </row>
    <row r="5182" spans="1:2" x14ac:dyDescent="0.25">
      <c r="A5182" t="s">
        <v>12856</v>
      </c>
      <c r="B5182" t="s">
        <v>33784</v>
      </c>
    </row>
    <row r="5183" spans="1:2" x14ac:dyDescent="0.25">
      <c r="A5183" t="s">
        <v>264</v>
      </c>
      <c r="B5183" t="s">
        <v>264</v>
      </c>
    </row>
    <row r="5184" spans="1:2" x14ac:dyDescent="0.25">
      <c r="A5184" t="s">
        <v>14729</v>
      </c>
      <c r="B5184" t="s">
        <v>14729</v>
      </c>
    </row>
    <row r="5185" spans="1:2" x14ac:dyDescent="0.25">
      <c r="A5185" t="s">
        <v>14893</v>
      </c>
      <c r="B5185" t="s">
        <v>33785</v>
      </c>
    </row>
    <row r="5186" spans="1:2" x14ac:dyDescent="0.25">
      <c r="A5186" t="s">
        <v>15075</v>
      </c>
      <c r="B5186" t="s">
        <v>15075</v>
      </c>
    </row>
    <row r="5187" spans="1:2" x14ac:dyDescent="0.25">
      <c r="A5187" t="s">
        <v>12965</v>
      </c>
      <c r="B5187" t="s">
        <v>33786</v>
      </c>
    </row>
    <row r="5188" spans="1:2" x14ac:dyDescent="0.25">
      <c r="A5188" t="s">
        <v>15153</v>
      </c>
      <c r="B5188" t="s">
        <v>33787</v>
      </c>
    </row>
    <row r="5189" spans="1:2" x14ac:dyDescent="0.25">
      <c r="A5189" t="s">
        <v>12358</v>
      </c>
      <c r="B5189" t="s">
        <v>12358</v>
      </c>
    </row>
    <row r="5190" spans="1:2" x14ac:dyDescent="0.25">
      <c r="A5190" t="s">
        <v>12762</v>
      </c>
      <c r="B5190" t="s">
        <v>12762</v>
      </c>
    </row>
    <row r="5191" spans="1:2" x14ac:dyDescent="0.25">
      <c r="A5191" t="s">
        <v>15155</v>
      </c>
      <c r="B5191" t="s">
        <v>33788</v>
      </c>
    </row>
    <row r="5192" spans="1:2" x14ac:dyDescent="0.25">
      <c r="A5192" t="s">
        <v>12584</v>
      </c>
      <c r="B5192" t="s">
        <v>12584</v>
      </c>
    </row>
    <row r="5193" spans="1:2" x14ac:dyDescent="0.25">
      <c r="A5193" t="s">
        <v>12889</v>
      </c>
      <c r="B5193" t="s">
        <v>12889</v>
      </c>
    </row>
    <row r="5194" spans="1:2" x14ac:dyDescent="0.25">
      <c r="A5194" t="s">
        <v>14651</v>
      </c>
      <c r="B5194" t="s">
        <v>33789</v>
      </c>
    </row>
    <row r="5195" spans="1:2" x14ac:dyDescent="0.25">
      <c r="A5195" t="s">
        <v>15042</v>
      </c>
      <c r="B5195" t="s">
        <v>8862</v>
      </c>
    </row>
    <row r="5196" spans="1:2" x14ac:dyDescent="0.25">
      <c r="A5196" t="s">
        <v>13824</v>
      </c>
      <c r="B5196" t="s">
        <v>33790</v>
      </c>
    </row>
    <row r="5197" spans="1:2" x14ac:dyDescent="0.25">
      <c r="A5197" t="s">
        <v>13468</v>
      </c>
      <c r="B5197" t="s">
        <v>33791</v>
      </c>
    </row>
    <row r="5198" spans="1:2" x14ac:dyDescent="0.25">
      <c r="A5198" t="s">
        <v>13365</v>
      </c>
      <c r="B5198" t="s">
        <v>33792</v>
      </c>
    </row>
    <row r="5199" spans="1:2" x14ac:dyDescent="0.25">
      <c r="A5199" t="s">
        <v>14856</v>
      </c>
      <c r="B5199" t="s">
        <v>14856</v>
      </c>
    </row>
    <row r="5200" spans="1:2" x14ac:dyDescent="0.25">
      <c r="A5200" t="s">
        <v>14225</v>
      </c>
      <c r="B5200" t="s">
        <v>14225</v>
      </c>
    </row>
    <row r="5201" spans="1:2" x14ac:dyDescent="0.25">
      <c r="A5201" t="s">
        <v>15154</v>
      </c>
      <c r="B5201" t="s">
        <v>15154</v>
      </c>
    </row>
    <row r="5202" spans="1:2" x14ac:dyDescent="0.25">
      <c r="A5202" t="s">
        <v>15307</v>
      </c>
      <c r="B5202" t="s">
        <v>33793</v>
      </c>
    </row>
    <row r="5203" spans="1:2" x14ac:dyDescent="0.25">
      <c r="A5203" t="s">
        <v>12812</v>
      </c>
      <c r="B5203" t="s">
        <v>12812</v>
      </c>
    </row>
    <row r="5204" spans="1:2" x14ac:dyDescent="0.25">
      <c r="A5204" t="s">
        <v>14823</v>
      </c>
      <c r="B5204" t="s">
        <v>14823</v>
      </c>
    </row>
    <row r="5205" spans="1:2" x14ac:dyDescent="0.25">
      <c r="A5205" t="s">
        <v>12329</v>
      </c>
      <c r="B5205" t="s">
        <v>12329</v>
      </c>
    </row>
    <row r="5206" spans="1:2" x14ac:dyDescent="0.25">
      <c r="A5206" t="s">
        <v>12662</v>
      </c>
      <c r="B5206" t="s">
        <v>33794</v>
      </c>
    </row>
    <row r="5207" spans="1:2" x14ac:dyDescent="0.25">
      <c r="A5207" t="s">
        <v>13787</v>
      </c>
      <c r="B5207" t="s">
        <v>33795</v>
      </c>
    </row>
    <row r="5208" spans="1:2" x14ac:dyDescent="0.25">
      <c r="A5208" t="s">
        <v>13222</v>
      </c>
      <c r="B5208" t="s">
        <v>33796</v>
      </c>
    </row>
    <row r="5209" spans="1:2" x14ac:dyDescent="0.25">
      <c r="A5209" t="s">
        <v>13652</v>
      </c>
      <c r="B5209" t="s">
        <v>33797</v>
      </c>
    </row>
    <row r="5210" spans="1:2" x14ac:dyDescent="0.25">
      <c r="A5210" t="s">
        <v>13874</v>
      </c>
      <c r="B5210" t="s">
        <v>33798</v>
      </c>
    </row>
    <row r="5211" spans="1:2" x14ac:dyDescent="0.25">
      <c r="A5211" t="s">
        <v>14216</v>
      </c>
      <c r="B5211" t="s">
        <v>33799</v>
      </c>
    </row>
    <row r="5212" spans="1:2" x14ac:dyDescent="0.25">
      <c r="A5212" t="s">
        <v>14352</v>
      </c>
      <c r="B5212" t="s">
        <v>14352</v>
      </c>
    </row>
    <row r="5213" spans="1:2" x14ac:dyDescent="0.25">
      <c r="A5213" t="s">
        <v>12928</v>
      </c>
      <c r="B5213" t="s">
        <v>33800</v>
      </c>
    </row>
    <row r="5214" spans="1:2" x14ac:dyDescent="0.25">
      <c r="A5214" t="s">
        <v>12873</v>
      </c>
      <c r="B5214" t="s">
        <v>12873</v>
      </c>
    </row>
    <row r="5215" spans="1:2" x14ac:dyDescent="0.25">
      <c r="A5215" t="s">
        <v>14975</v>
      </c>
      <c r="B5215" t="s">
        <v>14975</v>
      </c>
    </row>
    <row r="5216" spans="1:2" x14ac:dyDescent="0.25">
      <c r="A5216" t="s">
        <v>13905</v>
      </c>
      <c r="B5216" t="s">
        <v>33801</v>
      </c>
    </row>
    <row r="5217" spans="1:2" x14ac:dyDescent="0.25">
      <c r="A5217" t="s">
        <v>12338</v>
      </c>
      <c r="B5217" t="s">
        <v>12338</v>
      </c>
    </row>
    <row r="5218" spans="1:2" x14ac:dyDescent="0.25">
      <c r="A5218" t="s">
        <v>13854</v>
      </c>
      <c r="B5218" t="s">
        <v>33802</v>
      </c>
    </row>
    <row r="5219" spans="1:2" x14ac:dyDescent="0.25">
      <c r="A5219" t="s">
        <v>13018</v>
      </c>
      <c r="B5219" t="s">
        <v>33803</v>
      </c>
    </row>
    <row r="5220" spans="1:2" x14ac:dyDescent="0.25">
      <c r="A5220" t="s">
        <v>14592</v>
      </c>
      <c r="B5220" t="s">
        <v>33804</v>
      </c>
    </row>
    <row r="5221" spans="1:2" x14ac:dyDescent="0.25">
      <c r="A5221" t="s">
        <v>13263</v>
      </c>
      <c r="B5221" t="s">
        <v>33805</v>
      </c>
    </row>
    <row r="5222" spans="1:2" x14ac:dyDescent="0.25">
      <c r="A5222" t="s">
        <v>13229</v>
      </c>
      <c r="B5222" t="s">
        <v>33806</v>
      </c>
    </row>
    <row r="5223" spans="1:2" x14ac:dyDescent="0.25">
      <c r="A5223" t="s">
        <v>13589</v>
      </c>
      <c r="B5223" t="s">
        <v>33807</v>
      </c>
    </row>
    <row r="5224" spans="1:2" x14ac:dyDescent="0.25">
      <c r="A5224" t="s">
        <v>13227</v>
      </c>
      <c r="B5224" t="s">
        <v>33808</v>
      </c>
    </row>
    <row r="5225" spans="1:2" x14ac:dyDescent="0.25">
      <c r="A5225" t="s">
        <v>12618</v>
      </c>
      <c r="B5225" t="s">
        <v>33809</v>
      </c>
    </row>
    <row r="5226" spans="1:2" x14ac:dyDescent="0.25">
      <c r="A5226" t="s">
        <v>15095</v>
      </c>
      <c r="B5226" t="s">
        <v>23879</v>
      </c>
    </row>
    <row r="5227" spans="1:2" x14ac:dyDescent="0.25">
      <c r="A5227" t="s">
        <v>13413</v>
      </c>
      <c r="B5227" t="s">
        <v>33810</v>
      </c>
    </row>
    <row r="5228" spans="1:2" x14ac:dyDescent="0.25">
      <c r="A5228" t="s">
        <v>12650</v>
      </c>
      <c r="B5228" t="s">
        <v>12650</v>
      </c>
    </row>
    <row r="5229" spans="1:2" x14ac:dyDescent="0.25">
      <c r="A5229" t="s">
        <v>12804</v>
      </c>
      <c r="B5229" t="s">
        <v>12804</v>
      </c>
    </row>
    <row r="5230" spans="1:2" x14ac:dyDescent="0.25">
      <c r="A5230" t="s">
        <v>12981</v>
      </c>
      <c r="B5230" t="s">
        <v>33811</v>
      </c>
    </row>
    <row r="5231" spans="1:2" x14ac:dyDescent="0.25">
      <c r="A5231" t="s">
        <v>13284</v>
      </c>
      <c r="B5231" t="s">
        <v>33812</v>
      </c>
    </row>
    <row r="5232" spans="1:2" x14ac:dyDescent="0.25">
      <c r="A5232" t="s">
        <v>13865</v>
      </c>
      <c r="B5232" t="s">
        <v>33813</v>
      </c>
    </row>
    <row r="5233" spans="1:2" x14ac:dyDescent="0.25">
      <c r="A5233" t="s">
        <v>12908</v>
      </c>
      <c r="B5233" t="s">
        <v>33814</v>
      </c>
    </row>
    <row r="5234" spans="1:2" x14ac:dyDescent="0.25">
      <c r="A5234" t="s">
        <v>14687</v>
      </c>
      <c r="B5234" t="s">
        <v>10777</v>
      </c>
    </row>
    <row r="5235" spans="1:2" x14ac:dyDescent="0.25">
      <c r="A5235" t="s">
        <v>12791</v>
      </c>
      <c r="B5235" t="s">
        <v>12791</v>
      </c>
    </row>
    <row r="5236" spans="1:2" x14ac:dyDescent="0.25">
      <c r="A5236" t="s">
        <v>15462</v>
      </c>
      <c r="B5236" t="s">
        <v>33815</v>
      </c>
    </row>
    <row r="5237" spans="1:2" x14ac:dyDescent="0.25">
      <c r="A5237" t="s">
        <v>13287</v>
      </c>
      <c r="B5237" t="s">
        <v>33816</v>
      </c>
    </row>
    <row r="5238" spans="1:2" x14ac:dyDescent="0.25">
      <c r="A5238" t="s">
        <v>14071</v>
      </c>
      <c r="B5238" t="s">
        <v>33817</v>
      </c>
    </row>
    <row r="5239" spans="1:2" x14ac:dyDescent="0.25">
      <c r="A5239" t="s">
        <v>14637</v>
      </c>
      <c r="B5239" t="s">
        <v>33818</v>
      </c>
    </row>
    <row r="5240" spans="1:2" x14ac:dyDescent="0.25">
      <c r="A5240" t="s">
        <v>13031</v>
      </c>
      <c r="B5240" t="s">
        <v>33819</v>
      </c>
    </row>
    <row r="5241" spans="1:2" x14ac:dyDescent="0.25">
      <c r="A5241" t="s">
        <v>14914</v>
      </c>
      <c r="B5241" t="s">
        <v>14914</v>
      </c>
    </row>
    <row r="5242" spans="1:2" x14ac:dyDescent="0.25">
      <c r="A5242" t="s">
        <v>14472</v>
      </c>
      <c r="B5242" t="s">
        <v>33820</v>
      </c>
    </row>
    <row r="5243" spans="1:2" x14ac:dyDescent="0.25">
      <c r="A5243" t="s">
        <v>14700</v>
      </c>
      <c r="B5243" t="s">
        <v>14700</v>
      </c>
    </row>
    <row r="5244" spans="1:2" x14ac:dyDescent="0.25">
      <c r="A5244" t="s">
        <v>384</v>
      </c>
      <c r="B5244" t="s">
        <v>384</v>
      </c>
    </row>
    <row r="5245" spans="1:2" x14ac:dyDescent="0.25">
      <c r="A5245" t="s">
        <v>13682</v>
      </c>
      <c r="B5245" t="s">
        <v>33821</v>
      </c>
    </row>
    <row r="5246" spans="1:2" x14ac:dyDescent="0.25">
      <c r="A5246" t="s">
        <v>12387</v>
      </c>
      <c r="B5246" t="s">
        <v>12387</v>
      </c>
    </row>
    <row r="5247" spans="1:2" x14ac:dyDescent="0.25">
      <c r="A5247" t="s">
        <v>15320</v>
      </c>
      <c r="B5247" t="s">
        <v>33822</v>
      </c>
    </row>
    <row r="5248" spans="1:2" x14ac:dyDescent="0.25">
      <c r="A5248" t="s">
        <v>14989</v>
      </c>
      <c r="B5248" t="s">
        <v>14989</v>
      </c>
    </row>
    <row r="5249" spans="1:2" x14ac:dyDescent="0.25">
      <c r="A5249" t="s">
        <v>15258</v>
      </c>
      <c r="B5249" t="s">
        <v>15258</v>
      </c>
    </row>
    <row r="5250" spans="1:2" x14ac:dyDescent="0.25">
      <c r="A5250" t="s">
        <v>13173</v>
      </c>
      <c r="B5250" t="s">
        <v>26643</v>
      </c>
    </row>
    <row r="5251" spans="1:2" x14ac:dyDescent="0.25">
      <c r="A5251" t="s">
        <v>13692</v>
      </c>
      <c r="B5251" t="s">
        <v>33823</v>
      </c>
    </row>
    <row r="5252" spans="1:2" x14ac:dyDescent="0.25">
      <c r="A5252" t="s">
        <v>12644</v>
      </c>
      <c r="B5252" t="s">
        <v>12644</v>
      </c>
    </row>
    <row r="5253" spans="1:2" x14ac:dyDescent="0.25">
      <c r="A5253" t="s">
        <v>13664</v>
      </c>
      <c r="B5253" t="s">
        <v>33824</v>
      </c>
    </row>
    <row r="5254" spans="1:2" x14ac:dyDescent="0.25">
      <c r="A5254" t="s">
        <v>14053</v>
      </c>
      <c r="B5254" t="s">
        <v>33825</v>
      </c>
    </row>
    <row r="5255" spans="1:2" x14ac:dyDescent="0.25">
      <c r="A5255" t="s">
        <v>13943</v>
      </c>
      <c r="B5255" t="s">
        <v>33826</v>
      </c>
    </row>
    <row r="5256" spans="1:2" x14ac:dyDescent="0.25">
      <c r="A5256" t="s">
        <v>12533</v>
      </c>
      <c r="B5256" t="s">
        <v>12533</v>
      </c>
    </row>
    <row r="5257" spans="1:2" x14ac:dyDescent="0.25">
      <c r="A5257" t="s">
        <v>12339</v>
      </c>
      <c r="B5257" t="s">
        <v>12339</v>
      </c>
    </row>
    <row r="5258" spans="1:2" x14ac:dyDescent="0.25">
      <c r="A5258" t="s">
        <v>103</v>
      </c>
      <c r="B5258" t="s">
        <v>33827</v>
      </c>
    </row>
    <row r="5259" spans="1:2" x14ac:dyDescent="0.25">
      <c r="A5259" t="s">
        <v>14827</v>
      </c>
      <c r="B5259" t="s">
        <v>14827</v>
      </c>
    </row>
    <row r="5260" spans="1:2" x14ac:dyDescent="0.25">
      <c r="A5260" t="s">
        <v>12541</v>
      </c>
      <c r="B5260" t="s">
        <v>12541</v>
      </c>
    </row>
    <row r="5261" spans="1:2" x14ac:dyDescent="0.25">
      <c r="A5261" t="s">
        <v>13555</v>
      </c>
      <c r="B5261" t="s">
        <v>33828</v>
      </c>
    </row>
    <row r="5262" spans="1:2" x14ac:dyDescent="0.25">
      <c r="A5262" t="s">
        <v>14171</v>
      </c>
      <c r="B5262" t="s">
        <v>33829</v>
      </c>
    </row>
    <row r="5263" spans="1:2" x14ac:dyDescent="0.25">
      <c r="A5263" t="s">
        <v>14182</v>
      </c>
      <c r="B5263" t="s">
        <v>33830</v>
      </c>
    </row>
    <row r="5264" spans="1:2" x14ac:dyDescent="0.25">
      <c r="A5264" t="s">
        <v>12399</v>
      </c>
      <c r="B5264" t="s">
        <v>33831</v>
      </c>
    </row>
    <row r="5265" spans="1:2" x14ac:dyDescent="0.25">
      <c r="A5265" t="s">
        <v>12657</v>
      </c>
      <c r="B5265" t="s">
        <v>33832</v>
      </c>
    </row>
    <row r="5266" spans="1:2" x14ac:dyDescent="0.25">
      <c r="A5266" t="s">
        <v>13788</v>
      </c>
      <c r="B5266" t="s">
        <v>33833</v>
      </c>
    </row>
    <row r="5267" spans="1:2" x14ac:dyDescent="0.25">
      <c r="A5267" t="s">
        <v>15404</v>
      </c>
      <c r="B5267" t="s">
        <v>15404</v>
      </c>
    </row>
    <row r="5268" spans="1:2" x14ac:dyDescent="0.25">
      <c r="A5268" t="s">
        <v>15466</v>
      </c>
      <c r="B5268" t="s">
        <v>15466</v>
      </c>
    </row>
    <row r="5269" spans="1:2" x14ac:dyDescent="0.25">
      <c r="A5269" t="s">
        <v>13255</v>
      </c>
      <c r="B5269" t="s">
        <v>33834</v>
      </c>
    </row>
    <row r="5270" spans="1:2" x14ac:dyDescent="0.25">
      <c r="A5270" t="s">
        <v>14178</v>
      </c>
      <c r="B5270" t="s">
        <v>33835</v>
      </c>
    </row>
    <row r="5271" spans="1:2" x14ac:dyDescent="0.25">
      <c r="A5271" t="s">
        <v>15336</v>
      </c>
      <c r="B5271" t="s">
        <v>10149</v>
      </c>
    </row>
    <row r="5272" spans="1:2" x14ac:dyDescent="0.25">
      <c r="A5272" t="s">
        <v>14937</v>
      </c>
      <c r="B5272" t="s">
        <v>33836</v>
      </c>
    </row>
    <row r="5273" spans="1:2" x14ac:dyDescent="0.25">
      <c r="A5273" t="s">
        <v>15364</v>
      </c>
      <c r="B5273" t="s">
        <v>15364</v>
      </c>
    </row>
    <row r="5274" spans="1:2" x14ac:dyDescent="0.25">
      <c r="A5274" t="s">
        <v>14819</v>
      </c>
      <c r="B5274" t="s">
        <v>14819</v>
      </c>
    </row>
    <row r="5275" spans="1:2" x14ac:dyDescent="0.25">
      <c r="A5275" t="s">
        <v>12864</v>
      </c>
      <c r="B5275" t="s">
        <v>12864</v>
      </c>
    </row>
    <row r="5276" spans="1:2" x14ac:dyDescent="0.25">
      <c r="A5276" t="s">
        <v>14260</v>
      </c>
      <c r="B5276" t="s">
        <v>33837</v>
      </c>
    </row>
    <row r="5277" spans="1:2" x14ac:dyDescent="0.25">
      <c r="A5277" t="s">
        <v>13761</v>
      </c>
      <c r="B5277" t="s">
        <v>33838</v>
      </c>
    </row>
    <row r="5278" spans="1:2" x14ac:dyDescent="0.25">
      <c r="A5278" t="s">
        <v>12923</v>
      </c>
      <c r="B5278" t="s">
        <v>33839</v>
      </c>
    </row>
    <row r="5279" spans="1:2" x14ac:dyDescent="0.25">
      <c r="A5279" t="s">
        <v>13362</v>
      </c>
      <c r="B5279" t="s">
        <v>33840</v>
      </c>
    </row>
    <row r="5280" spans="1:2" x14ac:dyDescent="0.25">
      <c r="A5280" t="s">
        <v>12489</v>
      </c>
      <c r="B5280" t="s">
        <v>12489</v>
      </c>
    </row>
    <row r="5281" spans="1:2" x14ac:dyDescent="0.25">
      <c r="A5281" t="s">
        <v>12851</v>
      </c>
      <c r="B5281" t="s">
        <v>12851</v>
      </c>
    </row>
    <row r="5282" spans="1:2" x14ac:dyDescent="0.25">
      <c r="A5282" t="s">
        <v>14160</v>
      </c>
      <c r="B5282" t="s">
        <v>33841</v>
      </c>
    </row>
    <row r="5283" spans="1:2" x14ac:dyDescent="0.25">
      <c r="A5283" t="s">
        <v>13486</v>
      </c>
      <c r="B5283" t="s">
        <v>33842</v>
      </c>
    </row>
    <row r="5284" spans="1:2" x14ac:dyDescent="0.25">
      <c r="A5284" t="s">
        <v>13571</v>
      </c>
      <c r="B5284" t="s">
        <v>33843</v>
      </c>
    </row>
    <row r="5285" spans="1:2" x14ac:dyDescent="0.25">
      <c r="A5285" t="s">
        <v>14156</v>
      </c>
      <c r="B5285" t="s">
        <v>33844</v>
      </c>
    </row>
    <row r="5286" spans="1:2" x14ac:dyDescent="0.25">
      <c r="A5286" t="s">
        <v>14648</v>
      </c>
      <c r="B5286" t="s">
        <v>33845</v>
      </c>
    </row>
    <row r="5287" spans="1:2" x14ac:dyDescent="0.25">
      <c r="A5287" t="s">
        <v>13732</v>
      </c>
      <c r="B5287" t="s">
        <v>33846</v>
      </c>
    </row>
    <row r="5288" spans="1:2" x14ac:dyDescent="0.25">
      <c r="A5288" t="s">
        <v>12708</v>
      </c>
      <c r="B5288" t="s">
        <v>12708</v>
      </c>
    </row>
    <row r="5289" spans="1:2" x14ac:dyDescent="0.25">
      <c r="A5289" t="s">
        <v>13271</v>
      </c>
      <c r="B5289" t="s">
        <v>33847</v>
      </c>
    </row>
    <row r="5290" spans="1:2" x14ac:dyDescent="0.25">
      <c r="A5290" t="s">
        <v>12596</v>
      </c>
      <c r="B5290" t="s">
        <v>12596</v>
      </c>
    </row>
    <row r="5291" spans="1:2" x14ac:dyDescent="0.25">
      <c r="A5291" t="s">
        <v>15309</v>
      </c>
      <c r="B5291" t="s">
        <v>33848</v>
      </c>
    </row>
    <row r="5292" spans="1:2" x14ac:dyDescent="0.25">
      <c r="A5292" t="s">
        <v>15160</v>
      </c>
      <c r="B5292" t="s">
        <v>33849</v>
      </c>
    </row>
    <row r="5293" spans="1:2" x14ac:dyDescent="0.25">
      <c r="A5293" t="s">
        <v>12715</v>
      </c>
      <c r="B5293" t="s">
        <v>33850</v>
      </c>
    </row>
    <row r="5294" spans="1:2" x14ac:dyDescent="0.25">
      <c r="A5294" t="s">
        <v>14316</v>
      </c>
      <c r="B5294" t="s">
        <v>33851</v>
      </c>
    </row>
    <row r="5295" spans="1:2" x14ac:dyDescent="0.25">
      <c r="A5295" t="s">
        <v>12628</v>
      </c>
      <c r="B5295" t="s">
        <v>33852</v>
      </c>
    </row>
    <row r="5296" spans="1:2" x14ac:dyDescent="0.25">
      <c r="A5296" t="s">
        <v>13409</v>
      </c>
      <c r="B5296" t="s">
        <v>33853</v>
      </c>
    </row>
    <row r="5297" spans="1:2" x14ac:dyDescent="0.25">
      <c r="A5297" t="s">
        <v>14213</v>
      </c>
      <c r="B5297" t="s">
        <v>33854</v>
      </c>
    </row>
    <row r="5298" spans="1:2" x14ac:dyDescent="0.25">
      <c r="A5298" t="s">
        <v>14938</v>
      </c>
      <c r="B5298" t="s">
        <v>14938</v>
      </c>
    </row>
    <row r="5299" spans="1:2" x14ac:dyDescent="0.25">
      <c r="A5299" t="s">
        <v>12755</v>
      </c>
      <c r="B5299" t="s">
        <v>12755</v>
      </c>
    </row>
    <row r="5300" spans="1:2" x14ac:dyDescent="0.25">
      <c r="A5300" t="s">
        <v>14116</v>
      </c>
      <c r="B5300" t="s">
        <v>33855</v>
      </c>
    </row>
    <row r="5301" spans="1:2" x14ac:dyDescent="0.25">
      <c r="A5301" t="s">
        <v>14573</v>
      </c>
      <c r="B5301" t="s">
        <v>33856</v>
      </c>
    </row>
    <row r="5302" spans="1:2" x14ac:dyDescent="0.25">
      <c r="A5302" t="s">
        <v>12883</v>
      </c>
      <c r="B5302" t="s">
        <v>12883</v>
      </c>
    </row>
    <row r="5303" spans="1:2" x14ac:dyDescent="0.25">
      <c r="A5303" t="s">
        <v>13330</v>
      </c>
      <c r="B5303" t="s">
        <v>33857</v>
      </c>
    </row>
    <row r="5304" spans="1:2" x14ac:dyDescent="0.25">
      <c r="A5304" t="s">
        <v>14259</v>
      </c>
      <c r="B5304" t="s">
        <v>33858</v>
      </c>
    </row>
    <row r="5305" spans="1:2" x14ac:dyDescent="0.25">
      <c r="A5305" t="s">
        <v>13048</v>
      </c>
      <c r="B5305" t="s">
        <v>33859</v>
      </c>
    </row>
    <row r="5306" spans="1:2" x14ac:dyDescent="0.25">
      <c r="A5306" t="s">
        <v>15162</v>
      </c>
      <c r="B5306" t="s">
        <v>15162</v>
      </c>
    </row>
    <row r="5307" spans="1:2" x14ac:dyDescent="0.25">
      <c r="A5307" t="s">
        <v>12404</v>
      </c>
      <c r="B5307" t="s">
        <v>12404</v>
      </c>
    </row>
    <row r="5308" spans="1:2" x14ac:dyDescent="0.25">
      <c r="A5308" t="s">
        <v>13279</v>
      </c>
      <c r="B5308" t="s">
        <v>33860</v>
      </c>
    </row>
    <row r="5309" spans="1:2" x14ac:dyDescent="0.25">
      <c r="A5309" t="s">
        <v>13774</v>
      </c>
      <c r="B5309" t="s">
        <v>33861</v>
      </c>
    </row>
    <row r="5310" spans="1:2" x14ac:dyDescent="0.25">
      <c r="A5310" t="s">
        <v>12415</v>
      </c>
      <c r="B5310" t="s">
        <v>33862</v>
      </c>
    </row>
    <row r="5311" spans="1:2" x14ac:dyDescent="0.25">
      <c r="A5311" t="s">
        <v>14078</v>
      </c>
      <c r="B5311" t="s">
        <v>33863</v>
      </c>
    </row>
    <row r="5312" spans="1:2" x14ac:dyDescent="0.25">
      <c r="A5312" t="s">
        <v>12849</v>
      </c>
      <c r="B5312" t="s">
        <v>12849</v>
      </c>
    </row>
    <row r="5313" spans="1:2" x14ac:dyDescent="0.25">
      <c r="A5313" t="s">
        <v>12733</v>
      </c>
      <c r="B5313" t="s">
        <v>12733</v>
      </c>
    </row>
    <row r="5314" spans="1:2" x14ac:dyDescent="0.25">
      <c r="A5314" t="s">
        <v>14286</v>
      </c>
      <c r="B5314" t="s">
        <v>33864</v>
      </c>
    </row>
    <row r="5315" spans="1:2" x14ac:dyDescent="0.25">
      <c r="A5315" t="s">
        <v>12560</v>
      </c>
      <c r="B5315" t="s">
        <v>12560</v>
      </c>
    </row>
    <row r="5316" spans="1:2" x14ac:dyDescent="0.25">
      <c r="A5316" t="s">
        <v>13377</v>
      </c>
      <c r="B5316" t="s">
        <v>33865</v>
      </c>
    </row>
    <row r="5317" spans="1:2" x14ac:dyDescent="0.25">
      <c r="A5317" t="s">
        <v>15487</v>
      </c>
      <c r="B5317" t="s">
        <v>33866</v>
      </c>
    </row>
    <row r="5318" spans="1:2" x14ac:dyDescent="0.25">
      <c r="A5318" t="s">
        <v>14125</v>
      </c>
      <c r="B5318" t="s">
        <v>33867</v>
      </c>
    </row>
    <row r="5319" spans="1:2" x14ac:dyDescent="0.25">
      <c r="A5319" t="s">
        <v>12472</v>
      </c>
      <c r="B5319" t="s">
        <v>12472</v>
      </c>
    </row>
    <row r="5320" spans="1:2" x14ac:dyDescent="0.25">
      <c r="A5320" t="s">
        <v>13862</v>
      </c>
      <c r="B5320" t="s">
        <v>33868</v>
      </c>
    </row>
    <row r="5321" spans="1:2" x14ac:dyDescent="0.25">
      <c r="A5321" t="s">
        <v>15276</v>
      </c>
      <c r="B5321" t="s">
        <v>27241</v>
      </c>
    </row>
    <row r="5322" spans="1:2" x14ac:dyDescent="0.25">
      <c r="A5322" t="s">
        <v>12593</v>
      </c>
      <c r="B5322" t="s">
        <v>12593</v>
      </c>
    </row>
    <row r="5323" spans="1:2" x14ac:dyDescent="0.25">
      <c r="A5323" t="s">
        <v>14781</v>
      </c>
      <c r="B5323" t="s">
        <v>33869</v>
      </c>
    </row>
    <row r="5324" spans="1:2" x14ac:dyDescent="0.25">
      <c r="A5324" t="s">
        <v>12846</v>
      </c>
      <c r="B5324" t="s">
        <v>33870</v>
      </c>
    </row>
    <row r="5325" spans="1:2" x14ac:dyDescent="0.25">
      <c r="A5325" t="s">
        <v>12321</v>
      </c>
      <c r="B5325" t="s">
        <v>33871</v>
      </c>
    </row>
    <row r="5326" spans="1:2" x14ac:dyDescent="0.25">
      <c r="A5326" t="s">
        <v>13605</v>
      </c>
      <c r="B5326" t="s">
        <v>33872</v>
      </c>
    </row>
    <row r="5327" spans="1:2" x14ac:dyDescent="0.25">
      <c r="A5327" t="s">
        <v>14476</v>
      </c>
      <c r="B5327" t="s">
        <v>33873</v>
      </c>
    </row>
    <row r="5328" spans="1:2" x14ac:dyDescent="0.25">
      <c r="A5328" t="s">
        <v>15332</v>
      </c>
      <c r="B5328" t="s">
        <v>33874</v>
      </c>
    </row>
    <row r="5329" spans="1:2" x14ac:dyDescent="0.25">
      <c r="A5329" t="s">
        <v>12926</v>
      </c>
      <c r="B5329" t="s">
        <v>33875</v>
      </c>
    </row>
    <row r="5330" spans="1:2" x14ac:dyDescent="0.25">
      <c r="A5330" t="s">
        <v>13611</v>
      </c>
      <c r="B5330" t="s">
        <v>33876</v>
      </c>
    </row>
    <row r="5331" spans="1:2" x14ac:dyDescent="0.25">
      <c r="A5331" t="s">
        <v>14788</v>
      </c>
      <c r="B5331" t="s">
        <v>33877</v>
      </c>
    </row>
    <row r="5332" spans="1:2" x14ac:dyDescent="0.25">
      <c r="A5332" t="s">
        <v>33878</v>
      </c>
      <c r="B5332" t="s">
        <v>33879</v>
      </c>
    </row>
    <row r="5333" spans="1:2" x14ac:dyDescent="0.25">
      <c r="A5333" t="s">
        <v>12780</v>
      </c>
      <c r="B5333" t="s">
        <v>12780</v>
      </c>
    </row>
    <row r="5334" spans="1:2" x14ac:dyDescent="0.25">
      <c r="A5334" t="s">
        <v>14613</v>
      </c>
      <c r="B5334" t="s">
        <v>33880</v>
      </c>
    </row>
    <row r="5335" spans="1:2" x14ac:dyDescent="0.25">
      <c r="A5335" t="s">
        <v>12607</v>
      </c>
      <c r="B5335" t="s">
        <v>12607</v>
      </c>
    </row>
    <row r="5336" spans="1:2" x14ac:dyDescent="0.25">
      <c r="A5336" t="s">
        <v>15220</v>
      </c>
      <c r="B5336" t="s">
        <v>6482</v>
      </c>
    </row>
    <row r="5337" spans="1:2" x14ac:dyDescent="0.25">
      <c r="A5337" t="s">
        <v>13237</v>
      </c>
      <c r="B5337" t="s">
        <v>5527</v>
      </c>
    </row>
    <row r="5338" spans="1:2" x14ac:dyDescent="0.25">
      <c r="A5338" t="s">
        <v>14301</v>
      </c>
      <c r="B5338" t="s">
        <v>33881</v>
      </c>
    </row>
    <row r="5339" spans="1:2" x14ac:dyDescent="0.25">
      <c r="A5339" t="s">
        <v>13500</v>
      </c>
      <c r="B5339" t="s">
        <v>33882</v>
      </c>
    </row>
    <row r="5340" spans="1:2" x14ac:dyDescent="0.25">
      <c r="A5340" t="s">
        <v>13182</v>
      </c>
      <c r="B5340" t="s">
        <v>13182</v>
      </c>
    </row>
    <row r="5341" spans="1:2" x14ac:dyDescent="0.25">
      <c r="A5341" t="s">
        <v>13852</v>
      </c>
      <c r="B5341" t="s">
        <v>33883</v>
      </c>
    </row>
    <row r="5342" spans="1:2" x14ac:dyDescent="0.25">
      <c r="A5342" t="s">
        <v>13916</v>
      </c>
      <c r="B5342" t="s">
        <v>33884</v>
      </c>
    </row>
    <row r="5343" spans="1:2" x14ac:dyDescent="0.25">
      <c r="A5343" t="s">
        <v>13639</v>
      </c>
      <c r="B5343" t="s">
        <v>33885</v>
      </c>
    </row>
    <row r="5344" spans="1:2" x14ac:dyDescent="0.25">
      <c r="A5344" t="s">
        <v>13746</v>
      </c>
      <c r="B5344" t="s">
        <v>27235</v>
      </c>
    </row>
    <row r="5345" spans="1:2" x14ac:dyDescent="0.25">
      <c r="A5345" t="s">
        <v>15053</v>
      </c>
      <c r="B5345" t="s">
        <v>33886</v>
      </c>
    </row>
    <row r="5346" spans="1:2" x14ac:dyDescent="0.25">
      <c r="A5346" t="s">
        <v>12751</v>
      </c>
      <c r="B5346" t="s">
        <v>12751</v>
      </c>
    </row>
    <row r="5347" spans="1:2" x14ac:dyDescent="0.25">
      <c r="A5347" t="s">
        <v>15329</v>
      </c>
      <c r="B5347" t="s">
        <v>24057</v>
      </c>
    </row>
    <row r="5348" spans="1:2" x14ac:dyDescent="0.25">
      <c r="A5348" t="s">
        <v>15078</v>
      </c>
      <c r="B5348" t="s">
        <v>15078</v>
      </c>
    </row>
    <row r="5349" spans="1:2" x14ac:dyDescent="0.25">
      <c r="A5349" t="s">
        <v>15098</v>
      </c>
      <c r="B5349" t="s">
        <v>33887</v>
      </c>
    </row>
    <row r="5350" spans="1:2" x14ac:dyDescent="0.25">
      <c r="A5350" t="s">
        <v>12574</v>
      </c>
      <c r="B5350" t="s">
        <v>12574</v>
      </c>
    </row>
    <row r="5351" spans="1:2" x14ac:dyDescent="0.25">
      <c r="A5351" t="s">
        <v>13060</v>
      </c>
      <c r="B5351" t="s">
        <v>33888</v>
      </c>
    </row>
    <row r="5352" spans="1:2" x14ac:dyDescent="0.25">
      <c r="A5352" t="s">
        <v>14150</v>
      </c>
      <c r="B5352" t="s">
        <v>33889</v>
      </c>
    </row>
    <row r="5353" spans="1:2" x14ac:dyDescent="0.25">
      <c r="A5353" t="s">
        <v>14671</v>
      </c>
      <c r="B5353" t="s">
        <v>33890</v>
      </c>
    </row>
    <row r="5354" spans="1:2" x14ac:dyDescent="0.25">
      <c r="A5354" t="s">
        <v>12498</v>
      </c>
      <c r="B5354" t="s">
        <v>12498</v>
      </c>
    </row>
    <row r="5355" spans="1:2" x14ac:dyDescent="0.25">
      <c r="A5355" t="s">
        <v>12542</v>
      </c>
      <c r="B5355" t="s">
        <v>12542</v>
      </c>
    </row>
    <row r="5356" spans="1:2" x14ac:dyDescent="0.25">
      <c r="A5356" t="s">
        <v>200</v>
      </c>
      <c r="B5356" t="s">
        <v>200</v>
      </c>
    </row>
    <row r="5357" spans="1:2" x14ac:dyDescent="0.25">
      <c r="A5357" t="s">
        <v>14612</v>
      </c>
      <c r="B5357" t="s">
        <v>33891</v>
      </c>
    </row>
    <row r="5358" spans="1:2" x14ac:dyDescent="0.25">
      <c r="A5358" t="s">
        <v>15028</v>
      </c>
      <c r="B5358" t="s">
        <v>33892</v>
      </c>
    </row>
    <row r="5359" spans="1:2" x14ac:dyDescent="0.25">
      <c r="A5359" t="s">
        <v>14075</v>
      </c>
      <c r="B5359" t="s">
        <v>33893</v>
      </c>
    </row>
    <row r="5360" spans="1:2" x14ac:dyDescent="0.25">
      <c r="A5360" t="s">
        <v>13921</v>
      </c>
      <c r="B5360" t="s">
        <v>33894</v>
      </c>
    </row>
    <row r="5361" spans="1:2" x14ac:dyDescent="0.25">
      <c r="A5361" t="s">
        <v>13506</v>
      </c>
      <c r="B5361" t="s">
        <v>33895</v>
      </c>
    </row>
    <row r="5362" spans="1:2" x14ac:dyDescent="0.25">
      <c r="A5362" t="s">
        <v>13670</v>
      </c>
      <c r="B5362" t="s">
        <v>33896</v>
      </c>
    </row>
    <row r="5363" spans="1:2" x14ac:dyDescent="0.25">
      <c r="A5363" t="s">
        <v>12663</v>
      </c>
      <c r="B5363" t="s">
        <v>12663</v>
      </c>
    </row>
    <row r="5364" spans="1:2" x14ac:dyDescent="0.25">
      <c r="A5364" t="s">
        <v>13842</v>
      </c>
      <c r="B5364" t="s">
        <v>33897</v>
      </c>
    </row>
    <row r="5365" spans="1:2" x14ac:dyDescent="0.25">
      <c r="A5365" t="s">
        <v>14098</v>
      </c>
      <c r="B5365" t="s">
        <v>33898</v>
      </c>
    </row>
    <row r="5366" spans="1:2" x14ac:dyDescent="0.25">
      <c r="A5366" t="s">
        <v>12905</v>
      </c>
      <c r="B5366" t="s">
        <v>12905</v>
      </c>
    </row>
    <row r="5367" spans="1:2" x14ac:dyDescent="0.25">
      <c r="A5367" t="s">
        <v>12405</v>
      </c>
      <c r="B5367" t="s">
        <v>12405</v>
      </c>
    </row>
    <row r="5368" spans="1:2" x14ac:dyDescent="0.25">
      <c r="A5368" t="s">
        <v>12686</v>
      </c>
      <c r="B5368" t="s">
        <v>12686</v>
      </c>
    </row>
    <row r="5369" spans="1:2" x14ac:dyDescent="0.25">
      <c r="A5369" t="s">
        <v>13891</v>
      </c>
      <c r="B5369" t="s">
        <v>33899</v>
      </c>
    </row>
    <row r="5370" spans="1:2" x14ac:dyDescent="0.25">
      <c r="A5370" t="s">
        <v>14672</v>
      </c>
      <c r="B5370" t="s">
        <v>33900</v>
      </c>
    </row>
    <row r="5371" spans="1:2" x14ac:dyDescent="0.25">
      <c r="A5371" t="s">
        <v>12860</v>
      </c>
      <c r="B5371" t="s">
        <v>12860</v>
      </c>
    </row>
    <row r="5372" spans="1:2" x14ac:dyDescent="0.25">
      <c r="A5372" t="s">
        <v>14011</v>
      </c>
      <c r="B5372" t="s">
        <v>14011</v>
      </c>
    </row>
    <row r="5373" spans="1:2" x14ac:dyDescent="0.25">
      <c r="A5373" t="s">
        <v>14229</v>
      </c>
      <c r="B5373" t="s">
        <v>33901</v>
      </c>
    </row>
    <row r="5374" spans="1:2" x14ac:dyDescent="0.25">
      <c r="A5374" t="s">
        <v>12550</v>
      </c>
      <c r="B5374" t="s">
        <v>12550</v>
      </c>
    </row>
    <row r="5375" spans="1:2" x14ac:dyDescent="0.25">
      <c r="A5375" t="s">
        <v>14896</v>
      </c>
      <c r="B5375" t="s">
        <v>33902</v>
      </c>
    </row>
    <row r="5376" spans="1:2" x14ac:dyDescent="0.25">
      <c r="A5376" t="s">
        <v>14812</v>
      </c>
      <c r="B5376" t="s">
        <v>14812</v>
      </c>
    </row>
    <row r="5377" spans="1:2" x14ac:dyDescent="0.25">
      <c r="A5377" t="s">
        <v>12556</v>
      </c>
      <c r="B5377" t="s">
        <v>12556</v>
      </c>
    </row>
    <row r="5378" spans="1:2" x14ac:dyDescent="0.25">
      <c r="A5378" t="s">
        <v>14102</v>
      </c>
      <c r="B5378" t="s">
        <v>33903</v>
      </c>
    </row>
    <row r="5379" spans="1:2" x14ac:dyDescent="0.25">
      <c r="A5379" t="s">
        <v>12975</v>
      </c>
      <c r="B5379" t="s">
        <v>33904</v>
      </c>
    </row>
    <row r="5380" spans="1:2" x14ac:dyDescent="0.25">
      <c r="A5380" t="s">
        <v>13790</v>
      </c>
      <c r="B5380" t="s">
        <v>33905</v>
      </c>
    </row>
    <row r="5381" spans="1:2" x14ac:dyDescent="0.25">
      <c r="A5381" t="s">
        <v>12678</v>
      </c>
      <c r="B5381" t="s">
        <v>12678</v>
      </c>
    </row>
    <row r="5382" spans="1:2" x14ac:dyDescent="0.25">
      <c r="A5382" t="s">
        <v>14732</v>
      </c>
      <c r="B5382" t="s">
        <v>33906</v>
      </c>
    </row>
    <row r="5383" spans="1:2" x14ac:dyDescent="0.25">
      <c r="A5383" t="s">
        <v>12403</v>
      </c>
      <c r="B5383" t="s">
        <v>12403</v>
      </c>
    </row>
    <row r="5384" spans="1:2" x14ac:dyDescent="0.25">
      <c r="A5384" t="s">
        <v>13829</v>
      </c>
      <c r="B5384" t="s">
        <v>33907</v>
      </c>
    </row>
    <row r="5385" spans="1:2" x14ac:dyDescent="0.25">
      <c r="A5385" t="s">
        <v>14147</v>
      </c>
      <c r="B5385" t="s">
        <v>33908</v>
      </c>
    </row>
    <row r="5386" spans="1:2" x14ac:dyDescent="0.25">
      <c r="A5386" t="s">
        <v>12890</v>
      </c>
      <c r="B5386" t="s">
        <v>12890</v>
      </c>
    </row>
    <row r="5387" spans="1:2" x14ac:dyDescent="0.25">
      <c r="A5387" t="s">
        <v>12738</v>
      </c>
      <c r="B5387" t="s">
        <v>12738</v>
      </c>
    </row>
    <row r="5388" spans="1:2" x14ac:dyDescent="0.25">
      <c r="A5388" t="s">
        <v>15112</v>
      </c>
      <c r="B5388" t="s">
        <v>15112</v>
      </c>
    </row>
    <row r="5389" spans="1:2" x14ac:dyDescent="0.25">
      <c r="A5389" t="s">
        <v>15356</v>
      </c>
      <c r="B5389" t="s">
        <v>33909</v>
      </c>
    </row>
    <row r="5390" spans="1:2" x14ac:dyDescent="0.25">
      <c r="A5390" t="s">
        <v>12794</v>
      </c>
      <c r="B5390" t="s">
        <v>12794</v>
      </c>
    </row>
    <row r="5391" spans="1:2" x14ac:dyDescent="0.25">
      <c r="A5391" t="s">
        <v>13561</v>
      </c>
      <c r="B5391" t="s">
        <v>33910</v>
      </c>
    </row>
    <row r="5392" spans="1:2" x14ac:dyDescent="0.25">
      <c r="A5392" t="s">
        <v>14946</v>
      </c>
      <c r="B5392" t="s">
        <v>33911</v>
      </c>
    </row>
    <row r="5393" spans="1:2" x14ac:dyDescent="0.25">
      <c r="A5393" t="s">
        <v>14614</v>
      </c>
      <c r="B5393" t="s">
        <v>33912</v>
      </c>
    </row>
    <row r="5394" spans="1:2" x14ac:dyDescent="0.25">
      <c r="A5394" t="s">
        <v>15018</v>
      </c>
      <c r="B5394" t="s">
        <v>15018</v>
      </c>
    </row>
    <row r="5395" spans="1:2" x14ac:dyDescent="0.25">
      <c r="A5395" t="s">
        <v>13180</v>
      </c>
      <c r="B5395" t="s">
        <v>13180</v>
      </c>
    </row>
    <row r="5396" spans="1:2" x14ac:dyDescent="0.25">
      <c r="A5396" t="s">
        <v>12570</v>
      </c>
      <c r="B5396" t="s">
        <v>12570</v>
      </c>
    </row>
    <row r="5397" spans="1:2" x14ac:dyDescent="0.25">
      <c r="A5397" t="s">
        <v>14361</v>
      </c>
      <c r="B5397" t="s">
        <v>33913</v>
      </c>
    </row>
    <row r="5398" spans="1:2" x14ac:dyDescent="0.25">
      <c r="A5398" t="s">
        <v>13494</v>
      </c>
      <c r="B5398" t="s">
        <v>33914</v>
      </c>
    </row>
    <row r="5399" spans="1:2" x14ac:dyDescent="0.25">
      <c r="A5399" t="s">
        <v>12496</v>
      </c>
      <c r="B5399" t="s">
        <v>33915</v>
      </c>
    </row>
    <row r="5400" spans="1:2" x14ac:dyDescent="0.25">
      <c r="A5400" t="s">
        <v>14408</v>
      </c>
      <c r="B5400" t="s">
        <v>33916</v>
      </c>
    </row>
    <row r="5401" spans="1:2" x14ac:dyDescent="0.25">
      <c r="A5401" t="s">
        <v>15308</v>
      </c>
      <c r="B5401" t="s">
        <v>33917</v>
      </c>
    </row>
    <row r="5402" spans="1:2" x14ac:dyDescent="0.25">
      <c r="A5402" t="s">
        <v>12388</v>
      </c>
      <c r="B5402" t="s">
        <v>12388</v>
      </c>
    </row>
    <row r="5403" spans="1:2" x14ac:dyDescent="0.25">
      <c r="A5403" t="s">
        <v>544</v>
      </c>
      <c r="B5403" t="s">
        <v>544</v>
      </c>
    </row>
    <row r="5404" spans="1:2" x14ac:dyDescent="0.25">
      <c r="A5404" t="s">
        <v>12850</v>
      </c>
      <c r="B5404" t="s">
        <v>12850</v>
      </c>
    </row>
    <row r="5405" spans="1:2" x14ac:dyDescent="0.25">
      <c r="A5405" t="s">
        <v>15140</v>
      </c>
      <c r="B5405" t="s">
        <v>33918</v>
      </c>
    </row>
    <row r="5406" spans="1:2" x14ac:dyDescent="0.25">
      <c r="A5406" t="s">
        <v>12700</v>
      </c>
      <c r="B5406" t="s">
        <v>12700</v>
      </c>
    </row>
    <row r="5407" spans="1:2" x14ac:dyDescent="0.25">
      <c r="A5407" t="s">
        <v>12466</v>
      </c>
      <c r="B5407" t="s">
        <v>12466</v>
      </c>
    </row>
    <row r="5408" spans="1:2" x14ac:dyDescent="0.25">
      <c r="A5408" t="s">
        <v>14047</v>
      </c>
      <c r="B5408" t="s">
        <v>14047</v>
      </c>
    </row>
    <row r="5409" spans="1:2" x14ac:dyDescent="0.25">
      <c r="A5409" t="s">
        <v>13986</v>
      </c>
      <c r="B5409" t="s">
        <v>33919</v>
      </c>
    </row>
    <row r="5410" spans="1:2" x14ac:dyDescent="0.25">
      <c r="A5410" t="s">
        <v>14243</v>
      </c>
      <c r="B5410" t="s">
        <v>33920</v>
      </c>
    </row>
    <row r="5411" spans="1:2" x14ac:dyDescent="0.25">
      <c r="A5411" t="s">
        <v>13282</v>
      </c>
      <c r="B5411" t="s">
        <v>33921</v>
      </c>
    </row>
    <row r="5412" spans="1:2" x14ac:dyDescent="0.25">
      <c r="A5412" t="s">
        <v>12465</v>
      </c>
      <c r="B5412" t="s">
        <v>12465</v>
      </c>
    </row>
    <row r="5413" spans="1:2" x14ac:dyDescent="0.25">
      <c r="A5413" t="s">
        <v>12692</v>
      </c>
      <c r="B5413" t="s">
        <v>12692</v>
      </c>
    </row>
    <row r="5414" spans="1:2" x14ac:dyDescent="0.25">
      <c r="A5414" t="s">
        <v>13184</v>
      </c>
      <c r="B5414" t="s">
        <v>33922</v>
      </c>
    </row>
    <row r="5415" spans="1:2" x14ac:dyDescent="0.25">
      <c r="A5415" t="s">
        <v>12683</v>
      </c>
      <c r="B5415" t="s">
        <v>12683</v>
      </c>
    </row>
    <row r="5416" spans="1:2" x14ac:dyDescent="0.25">
      <c r="A5416" t="s">
        <v>12377</v>
      </c>
      <c r="B5416" t="s">
        <v>12377</v>
      </c>
    </row>
    <row r="5417" spans="1:2" x14ac:dyDescent="0.25">
      <c r="A5417" t="s">
        <v>393</v>
      </c>
      <c r="B5417" t="s">
        <v>7729</v>
      </c>
    </row>
    <row r="5418" spans="1:2" x14ac:dyDescent="0.25">
      <c r="A5418" t="s">
        <v>14185</v>
      </c>
      <c r="B5418" t="s">
        <v>33923</v>
      </c>
    </row>
    <row r="5419" spans="1:2" x14ac:dyDescent="0.25">
      <c r="A5419" t="s">
        <v>14327</v>
      </c>
      <c r="B5419" t="s">
        <v>33924</v>
      </c>
    </row>
    <row r="5420" spans="1:2" x14ac:dyDescent="0.25">
      <c r="A5420" t="s">
        <v>12488</v>
      </c>
      <c r="B5420" t="s">
        <v>12488</v>
      </c>
    </row>
    <row r="5421" spans="1:2" x14ac:dyDescent="0.25">
      <c r="A5421" t="s">
        <v>13376</v>
      </c>
      <c r="B5421" t="s">
        <v>13376</v>
      </c>
    </row>
    <row r="5422" spans="1:2" x14ac:dyDescent="0.25">
      <c r="A5422" t="s">
        <v>13296</v>
      </c>
      <c r="B5422" t="s">
        <v>33925</v>
      </c>
    </row>
    <row r="5423" spans="1:2" x14ac:dyDescent="0.25">
      <c r="A5423" t="s">
        <v>12985</v>
      </c>
      <c r="B5423" t="s">
        <v>33926</v>
      </c>
    </row>
    <row r="5424" spans="1:2" x14ac:dyDescent="0.25">
      <c r="A5424" t="s">
        <v>13275</v>
      </c>
      <c r="B5424" t="s">
        <v>33927</v>
      </c>
    </row>
    <row r="5425" spans="1:2" x14ac:dyDescent="0.25">
      <c r="A5425" t="s">
        <v>14542</v>
      </c>
      <c r="B5425" t="s">
        <v>33928</v>
      </c>
    </row>
    <row r="5426" spans="1:2" x14ac:dyDescent="0.25">
      <c r="A5426" t="s">
        <v>15440</v>
      </c>
      <c r="B5426" t="s">
        <v>15440</v>
      </c>
    </row>
    <row r="5427" spans="1:2" x14ac:dyDescent="0.25">
      <c r="A5427" t="s">
        <v>14402</v>
      </c>
      <c r="B5427" t="s">
        <v>33929</v>
      </c>
    </row>
    <row r="5428" spans="1:2" x14ac:dyDescent="0.25">
      <c r="A5428" t="s">
        <v>13243</v>
      </c>
      <c r="B5428" t="s">
        <v>33930</v>
      </c>
    </row>
    <row r="5429" spans="1:2" x14ac:dyDescent="0.25">
      <c r="A5429" t="s">
        <v>13872</v>
      </c>
      <c r="B5429" t="s">
        <v>33931</v>
      </c>
    </row>
    <row r="5430" spans="1:2" x14ac:dyDescent="0.25">
      <c r="A5430" t="s">
        <v>12895</v>
      </c>
      <c r="B5430" t="s">
        <v>12895</v>
      </c>
    </row>
    <row r="5431" spans="1:2" x14ac:dyDescent="0.25">
      <c r="A5431" t="s">
        <v>14403</v>
      </c>
      <c r="B5431" t="s">
        <v>33932</v>
      </c>
    </row>
    <row r="5432" spans="1:2" x14ac:dyDescent="0.25">
      <c r="A5432" t="s">
        <v>15201</v>
      </c>
      <c r="B5432" t="s">
        <v>33933</v>
      </c>
    </row>
    <row r="5433" spans="1:2" x14ac:dyDescent="0.25">
      <c r="A5433" t="s">
        <v>15275</v>
      </c>
      <c r="B5433" t="s">
        <v>15275</v>
      </c>
    </row>
    <row r="5434" spans="1:2" x14ac:dyDescent="0.25">
      <c r="A5434" t="s">
        <v>15316</v>
      </c>
      <c r="B5434" t="s">
        <v>33934</v>
      </c>
    </row>
    <row r="5435" spans="1:2" x14ac:dyDescent="0.25">
      <c r="A5435" t="s">
        <v>12713</v>
      </c>
      <c r="B5435" t="s">
        <v>33935</v>
      </c>
    </row>
    <row r="5436" spans="1:2" x14ac:dyDescent="0.25">
      <c r="A5436" t="s">
        <v>15192</v>
      </c>
      <c r="B5436" t="s">
        <v>15192</v>
      </c>
    </row>
    <row r="5437" spans="1:2" x14ac:dyDescent="0.25">
      <c r="A5437" t="s">
        <v>13123</v>
      </c>
      <c r="B5437" t="s">
        <v>33936</v>
      </c>
    </row>
    <row r="5438" spans="1:2" x14ac:dyDescent="0.25">
      <c r="A5438" t="s">
        <v>12518</v>
      </c>
      <c r="B5438" t="s">
        <v>12518</v>
      </c>
    </row>
    <row r="5439" spans="1:2" x14ac:dyDescent="0.25">
      <c r="A5439" t="s">
        <v>14929</v>
      </c>
      <c r="B5439" t="s">
        <v>33937</v>
      </c>
    </row>
    <row r="5440" spans="1:2" x14ac:dyDescent="0.25">
      <c r="A5440" t="s">
        <v>13709</v>
      </c>
      <c r="B5440" t="s">
        <v>33938</v>
      </c>
    </row>
    <row r="5441" spans="1:2" x14ac:dyDescent="0.25">
      <c r="A5441" t="s">
        <v>14798</v>
      </c>
      <c r="B5441" t="s">
        <v>14798</v>
      </c>
    </row>
    <row r="5442" spans="1:2" x14ac:dyDescent="0.25">
      <c r="A5442" t="s">
        <v>15161</v>
      </c>
      <c r="B5442" t="s">
        <v>33939</v>
      </c>
    </row>
    <row r="5443" spans="1:2" x14ac:dyDescent="0.25">
      <c r="A5443" t="s">
        <v>12635</v>
      </c>
      <c r="B5443" t="s">
        <v>12635</v>
      </c>
    </row>
    <row r="5444" spans="1:2" x14ac:dyDescent="0.25">
      <c r="A5444" t="s">
        <v>12775</v>
      </c>
      <c r="B5444" t="s">
        <v>12775</v>
      </c>
    </row>
    <row r="5445" spans="1:2" x14ac:dyDescent="0.25">
      <c r="A5445" t="s">
        <v>14934</v>
      </c>
      <c r="B5445" t="s">
        <v>14934</v>
      </c>
    </row>
    <row r="5446" spans="1:2" x14ac:dyDescent="0.25">
      <c r="A5446" t="s">
        <v>12323</v>
      </c>
      <c r="B5446" t="s">
        <v>12323</v>
      </c>
    </row>
    <row r="5447" spans="1:2" x14ac:dyDescent="0.25">
      <c r="A5447" t="s">
        <v>12598</v>
      </c>
      <c r="B5447" t="s">
        <v>12598</v>
      </c>
    </row>
    <row r="5448" spans="1:2" x14ac:dyDescent="0.25">
      <c r="A5448" t="s">
        <v>12699</v>
      </c>
      <c r="B5448" t="s">
        <v>12699</v>
      </c>
    </row>
    <row r="5449" spans="1:2" x14ac:dyDescent="0.25">
      <c r="A5449" t="s">
        <v>12799</v>
      </c>
      <c r="B5449" t="s">
        <v>12799</v>
      </c>
    </row>
    <row r="5450" spans="1:2" x14ac:dyDescent="0.25">
      <c r="A5450" t="s">
        <v>13442</v>
      </c>
      <c r="B5450" t="s">
        <v>33940</v>
      </c>
    </row>
    <row r="5451" spans="1:2" x14ac:dyDescent="0.25">
      <c r="A5451" t="s">
        <v>13808</v>
      </c>
      <c r="B5451" t="s">
        <v>33941</v>
      </c>
    </row>
    <row r="5452" spans="1:2" x14ac:dyDescent="0.25">
      <c r="A5452" t="s">
        <v>13721</v>
      </c>
      <c r="B5452" t="s">
        <v>13721</v>
      </c>
    </row>
    <row r="5453" spans="1:2" x14ac:dyDescent="0.25">
      <c r="A5453" t="s">
        <v>14991</v>
      </c>
      <c r="B5453" t="s">
        <v>14991</v>
      </c>
    </row>
    <row r="5454" spans="1:2" x14ac:dyDescent="0.25">
      <c r="A5454" t="s">
        <v>14745</v>
      </c>
      <c r="B5454" t="s">
        <v>14745</v>
      </c>
    </row>
    <row r="5455" spans="1:2" x14ac:dyDescent="0.25">
      <c r="A5455" t="s">
        <v>13666</v>
      </c>
      <c r="B5455" t="s">
        <v>33942</v>
      </c>
    </row>
    <row r="5456" spans="1:2" x14ac:dyDescent="0.25">
      <c r="A5456" t="s">
        <v>12600</v>
      </c>
      <c r="B5456" t="s">
        <v>12600</v>
      </c>
    </row>
    <row r="5457" spans="1:2" x14ac:dyDescent="0.25">
      <c r="A5457" t="s">
        <v>12627</v>
      </c>
      <c r="B5457" t="s">
        <v>33943</v>
      </c>
    </row>
    <row r="5458" spans="1:2" x14ac:dyDescent="0.25">
      <c r="A5458" t="s">
        <v>388</v>
      </c>
      <c r="B5458" t="s">
        <v>33944</v>
      </c>
    </row>
    <row r="5459" spans="1:2" x14ac:dyDescent="0.25">
      <c r="A5459" t="s">
        <v>12577</v>
      </c>
      <c r="B5459" t="s">
        <v>12577</v>
      </c>
    </row>
    <row r="5460" spans="1:2" x14ac:dyDescent="0.25">
      <c r="A5460" t="s">
        <v>12463</v>
      </c>
      <c r="B5460" t="s">
        <v>33945</v>
      </c>
    </row>
    <row r="5461" spans="1:2" x14ac:dyDescent="0.25">
      <c r="A5461" t="s">
        <v>12930</v>
      </c>
      <c r="B5461" t="s">
        <v>33946</v>
      </c>
    </row>
    <row r="5462" spans="1:2" x14ac:dyDescent="0.25">
      <c r="A5462" t="s">
        <v>13202</v>
      </c>
      <c r="B5462" t="s">
        <v>13202</v>
      </c>
    </row>
    <row r="5463" spans="1:2" x14ac:dyDescent="0.25">
      <c r="A5463" t="s">
        <v>14967</v>
      </c>
      <c r="B5463" t="s">
        <v>33947</v>
      </c>
    </row>
    <row r="5464" spans="1:2" x14ac:dyDescent="0.25">
      <c r="A5464" t="s">
        <v>14601</v>
      </c>
      <c r="B5464" t="s">
        <v>33948</v>
      </c>
    </row>
    <row r="5465" spans="1:2" x14ac:dyDescent="0.25">
      <c r="A5465" t="s">
        <v>13591</v>
      </c>
      <c r="B5465" t="s">
        <v>33949</v>
      </c>
    </row>
    <row r="5466" spans="1:2" x14ac:dyDescent="0.25">
      <c r="A5466" t="s">
        <v>13149</v>
      </c>
      <c r="B5466" t="s">
        <v>33950</v>
      </c>
    </row>
    <row r="5467" spans="1:2" x14ac:dyDescent="0.25">
      <c r="A5467" t="s">
        <v>13261</v>
      </c>
      <c r="B5467" t="s">
        <v>33951</v>
      </c>
    </row>
    <row r="5468" spans="1:2" x14ac:dyDescent="0.25">
      <c r="A5468" t="s">
        <v>12616</v>
      </c>
      <c r="B5468" t="s">
        <v>33952</v>
      </c>
    </row>
    <row r="5469" spans="1:2" x14ac:dyDescent="0.25">
      <c r="A5469" t="s">
        <v>13540</v>
      </c>
      <c r="B5469" t="s">
        <v>33953</v>
      </c>
    </row>
    <row r="5470" spans="1:2" x14ac:dyDescent="0.25">
      <c r="A5470" t="s">
        <v>13496</v>
      </c>
      <c r="B5470" t="s">
        <v>33954</v>
      </c>
    </row>
    <row r="5471" spans="1:2" x14ac:dyDescent="0.25">
      <c r="A5471" t="s">
        <v>13711</v>
      </c>
      <c r="B5471" t="s">
        <v>33955</v>
      </c>
    </row>
    <row r="5472" spans="1:2" x14ac:dyDescent="0.25">
      <c r="A5472" t="s">
        <v>14429</v>
      </c>
      <c r="B5472" t="s">
        <v>33956</v>
      </c>
    </row>
    <row r="5473" spans="1:2" x14ac:dyDescent="0.25">
      <c r="A5473" t="s">
        <v>14431</v>
      </c>
      <c r="B5473" t="s">
        <v>14431</v>
      </c>
    </row>
    <row r="5474" spans="1:2" x14ac:dyDescent="0.25">
      <c r="A5474" t="s">
        <v>14595</v>
      </c>
      <c r="B5474" t="s">
        <v>33957</v>
      </c>
    </row>
    <row r="5475" spans="1:2" x14ac:dyDescent="0.25">
      <c r="A5475" t="s">
        <v>13223</v>
      </c>
      <c r="B5475" t="s">
        <v>13223</v>
      </c>
    </row>
    <row r="5476" spans="1:2" x14ac:dyDescent="0.25">
      <c r="A5476" t="s">
        <v>14109</v>
      </c>
      <c r="B5476" t="s">
        <v>33958</v>
      </c>
    </row>
    <row r="5477" spans="1:2" x14ac:dyDescent="0.25">
      <c r="A5477" t="s">
        <v>13504</v>
      </c>
      <c r="B5477" t="s">
        <v>33959</v>
      </c>
    </row>
    <row r="5478" spans="1:2" x14ac:dyDescent="0.25">
      <c r="A5478" t="s">
        <v>14909</v>
      </c>
      <c r="B5478" t="s">
        <v>14909</v>
      </c>
    </row>
    <row r="5479" spans="1:2" x14ac:dyDescent="0.25">
      <c r="A5479" t="s">
        <v>14864</v>
      </c>
      <c r="B5479" t="s">
        <v>14864</v>
      </c>
    </row>
    <row r="5480" spans="1:2" x14ac:dyDescent="0.25">
      <c r="A5480" t="s">
        <v>14850</v>
      </c>
      <c r="B5480" t="s">
        <v>14850</v>
      </c>
    </row>
    <row r="5481" spans="1:2" x14ac:dyDescent="0.25">
      <c r="A5481" t="s">
        <v>14365</v>
      </c>
      <c r="B5481" t="s">
        <v>33960</v>
      </c>
    </row>
    <row r="5482" spans="1:2" x14ac:dyDescent="0.25">
      <c r="A5482" t="s">
        <v>12720</v>
      </c>
      <c r="B5482" t="s">
        <v>33961</v>
      </c>
    </row>
    <row r="5483" spans="1:2" x14ac:dyDescent="0.25">
      <c r="A5483" t="s">
        <v>14540</v>
      </c>
      <c r="B5483" t="s">
        <v>33962</v>
      </c>
    </row>
    <row r="5484" spans="1:2" x14ac:dyDescent="0.25">
      <c r="A5484" t="s">
        <v>12760</v>
      </c>
      <c r="B5484" t="s">
        <v>33963</v>
      </c>
    </row>
    <row r="5485" spans="1:2" x14ac:dyDescent="0.25">
      <c r="A5485" t="s">
        <v>13890</v>
      </c>
      <c r="B5485" t="s">
        <v>33964</v>
      </c>
    </row>
    <row r="5486" spans="1:2" x14ac:dyDescent="0.25">
      <c r="A5486" t="s">
        <v>15269</v>
      </c>
      <c r="B5486" t="s">
        <v>33965</v>
      </c>
    </row>
    <row r="5487" spans="1:2" x14ac:dyDescent="0.25">
      <c r="A5487" t="s">
        <v>15499</v>
      </c>
      <c r="B5487" t="s">
        <v>33966</v>
      </c>
    </row>
    <row r="5488" spans="1:2" x14ac:dyDescent="0.25">
      <c r="A5488" t="s">
        <v>14247</v>
      </c>
      <c r="B5488" t="s">
        <v>33967</v>
      </c>
    </row>
    <row r="5489" spans="1:2" x14ac:dyDescent="0.25">
      <c r="A5489" t="s">
        <v>15021</v>
      </c>
      <c r="B5489" t="s">
        <v>15021</v>
      </c>
    </row>
    <row r="5490" spans="1:2" x14ac:dyDescent="0.25">
      <c r="A5490" t="s">
        <v>15327</v>
      </c>
      <c r="B5490" t="s">
        <v>33968</v>
      </c>
    </row>
    <row r="5491" spans="1:2" x14ac:dyDescent="0.25">
      <c r="A5491" t="s">
        <v>14932</v>
      </c>
      <c r="B5491" t="s">
        <v>33969</v>
      </c>
    </row>
    <row r="5492" spans="1:2" x14ac:dyDescent="0.25">
      <c r="A5492" t="s">
        <v>15447</v>
      </c>
      <c r="B5492" t="s">
        <v>15447</v>
      </c>
    </row>
    <row r="5493" spans="1:2" x14ac:dyDescent="0.25">
      <c r="A5493" t="s">
        <v>12793</v>
      </c>
      <c r="B5493" t="s">
        <v>12793</v>
      </c>
    </row>
    <row r="5494" spans="1:2" x14ac:dyDescent="0.25">
      <c r="A5494" t="s">
        <v>15163</v>
      </c>
      <c r="B5494" t="s">
        <v>15163</v>
      </c>
    </row>
    <row r="5495" spans="1:2" x14ac:dyDescent="0.25">
      <c r="A5495" t="s">
        <v>15060</v>
      </c>
      <c r="B5495" t="s">
        <v>33970</v>
      </c>
    </row>
    <row r="5496" spans="1:2" x14ac:dyDescent="0.25">
      <c r="A5496" t="s">
        <v>14863</v>
      </c>
      <c r="B5496" t="s">
        <v>14863</v>
      </c>
    </row>
    <row r="5497" spans="1:2" x14ac:dyDescent="0.25">
      <c r="A5497" t="s">
        <v>15476</v>
      </c>
      <c r="B5497" t="s">
        <v>33971</v>
      </c>
    </row>
    <row r="5498" spans="1:2" x14ac:dyDescent="0.25">
      <c r="A5498" t="s">
        <v>352</v>
      </c>
      <c r="B5498" t="s">
        <v>33972</v>
      </c>
    </row>
    <row r="5499" spans="1:2" x14ac:dyDescent="0.25">
      <c r="A5499" t="s">
        <v>14158</v>
      </c>
      <c r="B5499" t="s">
        <v>33973</v>
      </c>
    </row>
    <row r="5500" spans="1:2" x14ac:dyDescent="0.25">
      <c r="A5500" t="s">
        <v>15338</v>
      </c>
      <c r="B5500" t="s">
        <v>15338</v>
      </c>
    </row>
    <row r="5501" spans="1:2" x14ac:dyDescent="0.25">
      <c r="A5501" t="s">
        <v>14675</v>
      </c>
      <c r="B5501" t="s">
        <v>33974</v>
      </c>
    </row>
    <row r="5502" spans="1:2" x14ac:dyDescent="0.25">
      <c r="A5502" t="s">
        <v>33975</v>
      </c>
      <c r="B5502" t="s">
        <v>33976</v>
      </c>
    </row>
    <row r="5503" spans="1:2" x14ac:dyDescent="0.25">
      <c r="A5503" t="s">
        <v>15475</v>
      </c>
      <c r="B5503" t="s">
        <v>33977</v>
      </c>
    </row>
    <row r="5504" spans="1:2" x14ac:dyDescent="0.25">
      <c r="A5504" t="s">
        <v>14936</v>
      </c>
      <c r="B5504" t="s">
        <v>33978</v>
      </c>
    </row>
    <row r="5505" spans="1:2" x14ac:dyDescent="0.25">
      <c r="A5505" t="s">
        <v>14107</v>
      </c>
      <c r="B5505" t="s">
        <v>33979</v>
      </c>
    </row>
    <row r="5506" spans="1:2" x14ac:dyDescent="0.25">
      <c r="A5506" t="s">
        <v>14298</v>
      </c>
      <c r="B5506" t="s">
        <v>33980</v>
      </c>
    </row>
    <row r="5507" spans="1:2" x14ac:dyDescent="0.25">
      <c r="A5507" t="s">
        <v>13656</v>
      </c>
      <c r="B5507" t="s">
        <v>33981</v>
      </c>
    </row>
    <row r="5508" spans="1:2" x14ac:dyDescent="0.25">
      <c r="A5508" t="s">
        <v>12746</v>
      </c>
      <c r="B5508" t="s">
        <v>12746</v>
      </c>
    </row>
    <row r="5509" spans="1:2" x14ac:dyDescent="0.25">
      <c r="A5509" t="s">
        <v>13456</v>
      </c>
      <c r="B5509" t="s">
        <v>33982</v>
      </c>
    </row>
    <row r="5510" spans="1:2" x14ac:dyDescent="0.25">
      <c r="A5510" t="s">
        <v>13750</v>
      </c>
      <c r="B5510" t="s">
        <v>33983</v>
      </c>
    </row>
    <row r="5511" spans="1:2" x14ac:dyDescent="0.25">
      <c r="A5511" t="s">
        <v>14525</v>
      </c>
      <c r="B5511" t="s">
        <v>33984</v>
      </c>
    </row>
    <row r="5512" spans="1:2" x14ac:dyDescent="0.25">
      <c r="A5512" t="s">
        <v>15250</v>
      </c>
      <c r="B5512" t="s">
        <v>15250</v>
      </c>
    </row>
    <row r="5513" spans="1:2" x14ac:dyDescent="0.25">
      <c r="A5513" t="s">
        <v>13772</v>
      </c>
      <c r="B5513" t="s">
        <v>33985</v>
      </c>
    </row>
    <row r="5514" spans="1:2" x14ac:dyDescent="0.25">
      <c r="A5514" t="s">
        <v>14736</v>
      </c>
      <c r="B5514" t="s">
        <v>14736</v>
      </c>
    </row>
    <row r="5515" spans="1:2" x14ac:dyDescent="0.25">
      <c r="A5515" t="s">
        <v>14498</v>
      </c>
      <c r="B5515" t="s">
        <v>33986</v>
      </c>
    </row>
    <row r="5516" spans="1:2" x14ac:dyDescent="0.25">
      <c r="A5516" t="s">
        <v>14342</v>
      </c>
      <c r="B5516" t="s">
        <v>31562</v>
      </c>
    </row>
    <row r="5517" spans="1:2" x14ac:dyDescent="0.25">
      <c r="A5517" t="s">
        <v>14755</v>
      </c>
      <c r="B5517" t="s">
        <v>33987</v>
      </c>
    </row>
    <row r="5518" spans="1:2" x14ac:dyDescent="0.25">
      <c r="A5518" t="s">
        <v>14753</v>
      </c>
      <c r="B5518" t="s">
        <v>14753</v>
      </c>
    </row>
    <row r="5519" spans="1:2" x14ac:dyDescent="0.25">
      <c r="A5519" t="s">
        <v>12626</v>
      </c>
      <c r="B5519" t="s">
        <v>12626</v>
      </c>
    </row>
    <row r="5520" spans="1:2" x14ac:dyDescent="0.25">
      <c r="A5520" t="s">
        <v>13024</v>
      </c>
      <c r="B5520" t="s">
        <v>33988</v>
      </c>
    </row>
    <row r="5521" spans="1:2" x14ac:dyDescent="0.25">
      <c r="A5521" t="s">
        <v>12711</v>
      </c>
      <c r="B5521" t="s">
        <v>33989</v>
      </c>
    </row>
    <row r="5522" spans="1:2" x14ac:dyDescent="0.25">
      <c r="A5522" t="s">
        <v>14655</v>
      </c>
      <c r="B5522" t="s">
        <v>33990</v>
      </c>
    </row>
    <row r="5523" spans="1:2" x14ac:dyDescent="0.25">
      <c r="A5523" t="s">
        <v>14832</v>
      </c>
      <c r="B5523" t="s">
        <v>33991</v>
      </c>
    </row>
    <row r="5524" spans="1:2" x14ac:dyDescent="0.25">
      <c r="A5524" t="s">
        <v>12502</v>
      </c>
      <c r="B5524" t="s">
        <v>12502</v>
      </c>
    </row>
    <row r="5525" spans="1:2" x14ac:dyDescent="0.25">
      <c r="A5525" t="s">
        <v>14234</v>
      </c>
      <c r="B5525" t="s">
        <v>33992</v>
      </c>
    </row>
    <row r="5526" spans="1:2" x14ac:dyDescent="0.25">
      <c r="A5526" t="s">
        <v>14927</v>
      </c>
      <c r="B5526" t="s">
        <v>33993</v>
      </c>
    </row>
    <row r="5527" spans="1:2" x14ac:dyDescent="0.25">
      <c r="A5527" t="s">
        <v>13877</v>
      </c>
      <c r="B5527" t="s">
        <v>33994</v>
      </c>
    </row>
    <row r="5528" spans="1:2" x14ac:dyDescent="0.25">
      <c r="A5528" t="s">
        <v>14242</v>
      </c>
      <c r="B5528" t="s">
        <v>33995</v>
      </c>
    </row>
    <row r="5529" spans="1:2" x14ac:dyDescent="0.25">
      <c r="A5529" t="s">
        <v>13109</v>
      </c>
      <c r="B5529" t="s">
        <v>33996</v>
      </c>
    </row>
    <row r="5530" spans="1:2" x14ac:dyDescent="0.25">
      <c r="A5530" t="s">
        <v>13530</v>
      </c>
      <c r="B5530" t="s">
        <v>33997</v>
      </c>
    </row>
    <row r="5531" spans="1:2" x14ac:dyDescent="0.25">
      <c r="A5531" t="s">
        <v>14149</v>
      </c>
      <c r="B5531" t="s">
        <v>33998</v>
      </c>
    </row>
    <row r="5532" spans="1:2" x14ac:dyDescent="0.25">
      <c r="A5532" t="s">
        <v>14855</v>
      </c>
      <c r="B5532" t="s">
        <v>33999</v>
      </c>
    </row>
    <row r="5533" spans="1:2" x14ac:dyDescent="0.25">
      <c r="A5533" t="s">
        <v>13462</v>
      </c>
      <c r="B5533" t="s">
        <v>34000</v>
      </c>
    </row>
    <row r="5534" spans="1:2" x14ac:dyDescent="0.25">
      <c r="A5534" t="s">
        <v>14895</v>
      </c>
      <c r="B5534" t="s">
        <v>34001</v>
      </c>
    </row>
    <row r="5535" spans="1:2" x14ac:dyDescent="0.25">
      <c r="A5535" t="s">
        <v>12337</v>
      </c>
      <c r="B5535" t="s">
        <v>12337</v>
      </c>
    </row>
    <row r="5536" spans="1:2" x14ac:dyDescent="0.25">
      <c r="A5536" t="s">
        <v>12523</v>
      </c>
      <c r="B5536" t="s">
        <v>12523</v>
      </c>
    </row>
    <row r="5537" spans="1:2" x14ac:dyDescent="0.25">
      <c r="A5537" t="s">
        <v>13074</v>
      </c>
      <c r="B5537" t="s">
        <v>34002</v>
      </c>
    </row>
    <row r="5538" spans="1:2" x14ac:dyDescent="0.25">
      <c r="A5538" t="s">
        <v>14396</v>
      </c>
      <c r="B5538" t="s">
        <v>14396</v>
      </c>
    </row>
    <row r="5539" spans="1:2" x14ac:dyDescent="0.25">
      <c r="A5539" t="s">
        <v>15146</v>
      </c>
      <c r="B5539" t="s">
        <v>34003</v>
      </c>
    </row>
    <row r="5540" spans="1:2" x14ac:dyDescent="0.25">
      <c r="A5540" t="s">
        <v>14892</v>
      </c>
      <c r="B5540" t="s">
        <v>34004</v>
      </c>
    </row>
    <row r="5541" spans="1:2" x14ac:dyDescent="0.25">
      <c r="A5541" t="s">
        <v>14394</v>
      </c>
      <c r="B5541" t="s">
        <v>34005</v>
      </c>
    </row>
    <row r="5542" spans="1:2" x14ac:dyDescent="0.25">
      <c r="A5542" t="s">
        <v>12749</v>
      </c>
      <c r="B5542" t="s">
        <v>34006</v>
      </c>
    </row>
    <row r="5543" spans="1:2" x14ac:dyDescent="0.25">
      <c r="A5543" t="s">
        <v>13549</v>
      </c>
      <c r="B5543" t="s">
        <v>34007</v>
      </c>
    </row>
    <row r="5544" spans="1:2" x14ac:dyDescent="0.25">
      <c r="A5544" t="s">
        <v>13641</v>
      </c>
      <c r="B5544" t="s">
        <v>34008</v>
      </c>
    </row>
    <row r="5545" spans="1:2" x14ac:dyDescent="0.25">
      <c r="A5545" t="s">
        <v>14649</v>
      </c>
      <c r="B5545" t="s">
        <v>34009</v>
      </c>
    </row>
    <row r="5546" spans="1:2" x14ac:dyDescent="0.25">
      <c r="A5546" t="s">
        <v>12658</v>
      </c>
      <c r="B5546" t="s">
        <v>34010</v>
      </c>
    </row>
    <row r="5547" spans="1:2" x14ac:dyDescent="0.25">
      <c r="A5547" t="s">
        <v>12459</v>
      </c>
      <c r="B5547" t="s">
        <v>12459</v>
      </c>
    </row>
    <row r="5548" spans="1:2" x14ac:dyDescent="0.25">
      <c r="A5548" t="s">
        <v>15483</v>
      </c>
      <c r="B5548" t="s">
        <v>34011</v>
      </c>
    </row>
    <row r="5549" spans="1:2" x14ac:dyDescent="0.25">
      <c r="A5549" t="s">
        <v>12453</v>
      </c>
      <c r="B5549" t="s">
        <v>12453</v>
      </c>
    </row>
    <row r="5550" spans="1:2" x14ac:dyDescent="0.25">
      <c r="A5550" t="s">
        <v>12682</v>
      </c>
      <c r="B5550" t="s">
        <v>12682</v>
      </c>
    </row>
    <row r="5551" spans="1:2" x14ac:dyDescent="0.25">
      <c r="A5551" t="s">
        <v>13515</v>
      </c>
      <c r="B5551" t="s">
        <v>34012</v>
      </c>
    </row>
    <row r="5552" spans="1:2" x14ac:dyDescent="0.25">
      <c r="A5552" t="s">
        <v>13964</v>
      </c>
      <c r="B5552" t="s">
        <v>34013</v>
      </c>
    </row>
    <row r="5553" spans="1:2" x14ac:dyDescent="0.25">
      <c r="A5553" t="s">
        <v>15104</v>
      </c>
      <c r="B5553" t="s">
        <v>15104</v>
      </c>
    </row>
    <row r="5554" spans="1:2" x14ac:dyDescent="0.25">
      <c r="A5554" t="s">
        <v>14533</v>
      </c>
      <c r="B5554" t="s">
        <v>34014</v>
      </c>
    </row>
    <row r="5555" spans="1:2" x14ac:dyDescent="0.25">
      <c r="A5555" t="s">
        <v>14080</v>
      </c>
      <c r="B5555" t="s">
        <v>34015</v>
      </c>
    </row>
    <row r="5556" spans="1:2" x14ac:dyDescent="0.25">
      <c r="A5556" t="s">
        <v>15379</v>
      </c>
      <c r="B5556" t="s">
        <v>15379</v>
      </c>
    </row>
    <row r="5557" spans="1:2" x14ac:dyDescent="0.25">
      <c r="A5557" t="s">
        <v>14563</v>
      </c>
      <c r="B5557" t="s">
        <v>14563</v>
      </c>
    </row>
    <row r="5558" spans="1:2" x14ac:dyDescent="0.25">
      <c r="A5558" t="s">
        <v>12512</v>
      </c>
      <c r="B5558" t="s">
        <v>12512</v>
      </c>
    </row>
    <row r="5559" spans="1:2" x14ac:dyDescent="0.25">
      <c r="A5559" t="s">
        <v>13770</v>
      </c>
      <c r="B5559" t="s">
        <v>34016</v>
      </c>
    </row>
    <row r="5560" spans="1:2" x14ac:dyDescent="0.25">
      <c r="A5560" t="s">
        <v>13599</v>
      </c>
      <c r="B5560" t="s">
        <v>34017</v>
      </c>
    </row>
    <row r="5561" spans="1:2" x14ac:dyDescent="0.25">
      <c r="A5561" t="s">
        <v>15389</v>
      </c>
      <c r="B5561" t="s">
        <v>34018</v>
      </c>
    </row>
    <row r="5562" spans="1:2" x14ac:dyDescent="0.25">
      <c r="A5562" t="s">
        <v>13216</v>
      </c>
      <c r="B5562" t="s">
        <v>34019</v>
      </c>
    </row>
    <row r="5563" spans="1:2" x14ac:dyDescent="0.25">
      <c r="A5563" t="s">
        <v>14609</v>
      </c>
      <c r="B5563" t="s">
        <v>14609</v>
      </c>
    </row>
    <row r="5564" spans="1:2" x14ac:dyDescent="0.25">
      <c r="A5564" t="s">
        <v>14550</v>
      </c>
      <c r="B5564" t="s">
        <v>34020</v>
      </c>
    </row>
    <row r="5565" spans="1:2" x14ac:dyDescent="0.25">
      <c r="A5565" t="s">
        <v>13373</v>
      </c>
      <c r="B5565" t="s">
        <v>34021</v>
      </c>
    </row>
    <row r="5566" spans="1:2" x14ac:dyDescent="0.25">
      <c r="A5566" t="s">
        <v>15360</v>
      </c>
      <c r="B5566" t="s">
        <v>34022</v>
      </c>
    </row>
    <row r="5567" spans="1:2" x14ac:dyDescent="0.25">
      <c r="A5567" t="s">
        <v>13345</v>
      </c>
      <c r="B5567" t="s">
        <v>34023</v>
      </c>
    </row>
    <row r="5568" spans="1:2" x14ac:dyDescent="0.25">
      <c r="A5568" t="s">
        <v>12417</v>
      </c>
      <c r="B5568" t="s">
        <v>34024</v>
      </c>
    </row>
    <row r="5569" spans="1:2" x14ac:dyDescent="0.25">
      <c r="A5569" t="s">
        <v>12968</v>
      </c>
      <c r="B5569" t="s">
        <v>34025</v>
      </c>
    </row>
    <row r="5570" spans="1:2" x14ac:dyDescent="0.25">
      <c r="A5570" t="s">
        <v>12624</v>
      </c>
      <c r="B5570" t="s">
        <v>12624</v>
      </c>
    </row>
    <row r="5571" spans="1:2" x14ac:dyDescent="0.25">
      <c r="A5571" t="s">
        <v>13125</v>
      </c>
      <c r="B5571" t="s">
        <v>34026</v>
      </c>
    </row>
    <row r="5572" spans="1:2" x14ac:dyDescent="0.25">
      <c r="A5572" t="s">
        <v>12689</v>
      </c>
      <c r="B5572" t="s">
        <v>12689</v>
      </c>
    </row>
    <row r="5573" spans="1:2" x14ac:dyDescent="0.25">
      <c r="A5573" t="s">
        <v>12773</v>
      </c>
      <c r="B5573" t="s">
        <v>34027</v>
      </c>
    </row>
    <row r="5574" spans="1:2" x14ac:dyDescent="0.25">
      <c r="A5574" t="s">
        <v>12517</v>
      </c>
      <c r="B5574" t="s">
        <v>12517</v>
      </c>
    </row>
    <row r="5575" spans="1:2" x14ac:dyDescent="0.25">
      <c r="A5575" t="s">
        <v>14439</v>
      </c>
      <c r="B5575" t="s">
        <v>34028</v>
      </c>
    </row>
    <row r="5576" spans="1:2" x14ac:dyDescent="0.25">
      <c r="A5576" t="s">
        <v>13603</v>
      </c>
      <c r="B5576" t="s">
        <v>34029</v>
      </c>
    </row>
    <row r="5577" spans="1:2" x14ac:dyDescent="0.25">
      <c r="A5577" t="s">
        <v>14090</v>
      </c>
      <c r="B5577" t="s">
        <v>34030</v>
      </c>
    </row>
    <row r="5578" spans="1:2" x14ac:dyDescent="0.25">
      <c r="A5578" t="s">
        <v>12360</v>
      </c>
      <c r="B5578" t="s">
        <v>12360</v>
      </c>
    </row>
    <row r="5579" spans="1:2" x14ac:dyDescent="0.25">
      <c r="A5579" t="s">
        <v>14557</v>
      </c>
      <c r="B5579" t="s">
        <v>20881</v>
      </c>
    </row>
    <row r="5580" spans="1:2" x14ac:dyDescent="0.25">
      <c r="A5580" t="s">
        <v>14723</v>
      </c>
      <c r="B5580" t="s">
        <v>34031</v>
      </c>
    </row>
    <row r="5581" spans="1:2" x14ac:dyDescent="0.25">
      <c r="A5581" t="s">
        <v>14317</v>
      </c>
      <c r="B5581" t="s">
        <v>34032</v>
      </c>
    </row>
    <row r="5582" spans="1:2" x14ac:dyDescent="0.25">
      <c r="A5582" t="s">
        <v>14923</v>
      </c>
      <c r="B5582" t="s">
        <v>34033</v>
      </c>
    </row>
    <row r="5583" spans="1:2" x14ac:dyDescent="0.25">
      <c r="A5583" t="s">
        <v>12326</v>
      </c>
      <c r="B5583" t="s">
        <v>12326</v>
      </c>
    </row>
    <row r="5584" spans="1:2" x14ac:dyDescent="0.25">
      <c r="A5584" t="s">
        <v>12503</v>
      </c>
      <c r="B5584" t="s">
        <v>12503</v>
      </c>
    </row>
    <row r="5585" spans="1:2" x14ac:dyDescent="0.25">
      <c r="A5585" t="s">
        <v>13898</v>
      </c>
      <c r="B5585" t="s">
        <v>34034</v>
      </c>
    </row>
    <row r="5586" spans="1:2" x14ac:dyDescent="0.25">
      <c r="A5586" t="s">
        <v>14436</v>
      </c>
      <c r="B5586" t="s">
        <v>34035</v>
      </c>
    </row>
    <row r="5587" spans="1:2" x14ac:dyDescent="0.25">
      <c r="A5587" t="s">
        <v>15312</v>
      </c>
      <c r="B5587" t="s">
        <v>34036</v>
      </c>
    </row>
    <row r="5588" spans="1:2" x14ac:dyDescent="0.25">
      <c r="A5588" t="s">
        <v>13081</v>
      </c>
      <c r="B5588" t="s">
        <v>34037</v>
      </c>
    </row>
    <row r="5589" spans="1:2" x14ac:dyDescent="0.25">
      <c r="A5589" t="s">
        <v>13176</v>
      </c>
      <c r="B5589" t="s">
        <v>13176</v>
      </c>
    </row>
    <row r="5590" spans="1:2" x14ac:dyDescent="0.25">
      <c r="A5590" t="s">
        <v>12951</v>
      </c>
      <c r="B5590" t="s">
        <v>34038</v>
      </c>
    </row>
    <row r="5591" spans="1:2" x14ac:dyDescent="0.25">
      <c r="A5591" t="s">
        <v>13450</v>
      </c>
      <c r="B5591" t="s">
        <v>34039</v>
      </c>
    </row>
    <row r="5592" spans="1:2" x14ac:dyDescent="0.25">
      <c r="A5592" t="s">
        <v>14320</v>
      </c>
      <c r="B5592" t="s">
        <v>14320</v>
      </c>
    </row>
    <row r="5593" spans="1:2" x14ac:dyDescent="0.25">
      <c r="A5593" t="s">
        <v>15000</v>
      </c>
      <c r="B5593" t="s">
        <v>15000</v>
      </c>
    </row>
    <row r="5594" spans="1:2" x14ac:dyDescent="0.25">
      <c r="A5594" t="s">
        <v>13932</v>
      </c>
      <c r="B5594" t="s">
        <v>34040</v>
      </c>
    </row>
    <row r="5595" spans="1:2" x14ac:dyDescent="0.25">
      <c r="A5595" t="s">
        <v>12371</v>
      </c>
      <c r="B5595" t="s">
        <v>12371</v>
      </c>
    </row>
    <row r="5596" spans="1:2" x14ac:dyDescent="0.25">
      <c r="A5596" t="s">
        <v>13781</v>
      </c>
      <c r="B5596" t="s">
        <v>34041</v>
      </c>
    </row>
    <row r="5597" spans="1:2" x14ac:dyDescent="0.25">
      <c r="A5597" t="s">
        <v>12365</v>
      </c>
      <c r="B5597" t="s">
        <v>12365</v>
      </c>
    </row>
    <row r="5598" spans="1:2" x14ac:dyDescent="0.25">
      <c r="A5598" t="s">
        <v>14441</v>
      </c>
      <c r="B5598" t="s">
        <v>34042</v>
      </c>
    </row>
    <row r="5599" spans="1:2" x14ac:dyDescent="0.25">
      <c r="A5599" t="s">
        <v>14099</v>
      </c>
      <c r="B5599" t="s">
        <v>34043</v>
      </c>
    </row>
    <row r="5600" spans="1:2" x14ac:dyDescent="0.25">
      <c r="A5600" t="s">
        <v>12742</v>
      </c>
      <c r="B5600" t="s">
        <v>34044</v>
      </c>
    </row>
    <row r="5601" spans="1:2" x14ac:dyDescent="0.25">
      <c r="A5601" t="s">
        <v>14443</v>
      </c>
      <c r="B5601" t="s">
        <v>34045</v>
      </c>
    </row>
    <row r="5602" spans="1:2" x14ac:dyDescent="0.25">
      <c r="A5602" t="s">
        <v>14546</v>
      </c>
      <c r="B5602" t="s">
        <v>34046</v>
      </c>
    </row>
    <row r="5603" spans="1:2" x14ac:dyDescent="0.25">
      <c r="A5603" t="s">
        <v>12832</v>
      </c>
      <c r="B5603" t="s">
        <v>12832</v>
      </c>
    </row>
    <row r="5604" spans="1:2" x14ac:dyDescent="0.25">
      <c r="A5604" t="s">
        <v>12792</v>
      </c>
      <c r="B5604" t="s">
        <v>34047</v>
      </c>
    </row>
    <row r="5605" spans="1:2" x14ac:dyDescent="0.25">
      <c r="A5605" t="s">
        <v>14945</v>
      </c>
      <c r="B5605" t="s">
        <v>34048</v>
      </c>
    </row>
    <row r="5606" spans="1:2" x14ac:dyDescent="0.25">
      <c r="A5606" t="s">
        <v>13893</v>
      </c>
      <c r="B5606" t="s">
        <v>34049</v>
      </c>
    </row>
    <row r="5607" spans="1:2" x14ac:dyDescent="0.25">
      <c r="A5607" t="s">
        <v>15277</v>
      </c>
      <c r="B5607" t="s">
        <v>34050</v>
      </c>
    </row>
    <row r="5608" spans="1:2" x14ac:dyDescent="0.25">
      <c r="A5608" t="s">
        <v>12336</v>
      </c>
      <c r="B5608" t="s">
        <v>12336</v>
      </c>
    </row>
    <row r="5609" spans="1:2" x14ac:dyDescent="0.25">
      <c r="A5609" t="s">
        <v>14876</v>
      </c>
      <c r="B5609" t="s">
        <v>34051</v>
      </c>
    </row>
    <row r="5610" spans="1:2" x14ac:dyDescent="0.25">
      <c r="A5610" t="s">
        <v>12474</v>
      </c>
      <c r="B5610" t="s">
        <v>34052</v>
      </c>
    </row>
    <row r="5611" spans="1:2" x14ac:dyDescent="0.25">
      <c r="A5611" t="s">
        <v>13316</v>
      </c>
      <c r="B5611" t="s">
        <v>34053</v>
      </c>
    </row>
    <row r="5612" spans="1:2" x14ac:dyDescent="0.25">
      <c r="A5612" t="s">
        <v>15132</v>
      </c>
      <c r="B5612" t="s">
        <v>15132</v>
      </c>
    </row>
    <row r="5613" spans="1:2" x14ac:dyDescent="0.25">
      <c r="A5613" t="s">
        <v>14618</v>
      </c>
      <c r="B5613" t="s">
        <v>34054</v>
      </c>
    </row>
    <row r="5614" spans="1:2" x14ac:dyDescent="0.25">
      <c r="A5614" t="s">
        <v>14028</v>
      </c>
      <c r="B5614" t="s">
        <v>34055</v>
      </c>
    </row>
    <row r="5615" spans="1:2" x14ac:dyDescent="0.25">
      <c r="A5615" t="s">
        <v>13715</v>
      </c>
      <c r="B5615" t="s">
        <v>13715</v>
      </c>
    </row>
    <row r="5616" spans="1:2" x14ac:dyDescent="0.25">
      <c r="A5616" t="s">
        <v>13577</v>
      </c>
      <c r="B5616" t="s">
        <v>34056</v>
      </c>
    </row>
    <row r="5617" spans="1:2" x14ac:dyDescent="0.25">
      <c r="A5617" t="s">
        <v>12880</v>
      </c>
      <c r="B5617" t="s">
        <v>34057</v>
      </c>
    </row>
    <row r="5618" spans="1:2" x14ac:dyDescent="0.25">
      <c r="A5618" t="s">
        <v>12868</v>
      </c>
      <c r="B5618" t="s">
        <v>12868</v>
      </c>
    </row>
    <row r="5619" spans="1:2" x14ac:dyDescent="0.25">
      <c r="A5619" t="s">
        <v>15383</v>
      </c>
      <c r="B5619" t="s">
        <v>34058</v>
      </c>
    </row>
    <row r="5620" spans="1:2" x14ac:dyDescent="0.25">
      <c r="A5620" t="s">
        <v>14725</v>
      </c>
      <c r="B5620" t="s">
        <v>14725</v>
      </c>
    </row>
    <row r="5621" spans="1:2" x14ac:dyDescent="0.25">
      <c r="A5621" t="s">
        <v>12490</v>
      </c>
      <c r="B5621" t="s">
        <v>12490</v>
      </c>
    </row>
    <row r="5622" spans="1:2" x14ac:dyDescent="0.25">
      <c r="A5622" t="s">
        <v>13962</v>
      </c>
      <c r="B5622" t="s">
        <v>34059</v>
      </c>
    </row>
    <row r="5623" spans="1:2" x14ac:dyDescent="0.25">
      <c r="A5623" t="s">
        <v>12847</v>
      </c>
      <c r="B5623" t="s">
        <v>12847</v>
      </c>
    </row>
    <row r="5624" spans="1:2" x14ac:dyDescent="0.25">
      <c r="A5624" t="s">
        <v>13438</v>
      </c>
      <c r="B5624" t="s">
        <v>34060</v>
      </c>
    </row>
    <row r="5625" spans="1:2" x14ac:dyDescent="0.25">
      <c r="A5625" t="s">
        <v>14869</v>
      </c>
      <c r="B5625" t="s">
        <v>34061</v>
      </c>
    </row>
    <row r="5626" spans="1:2" x14ac:dyDescent="0.25">
      <c r="A5626" t="s">
        <v>13217</v>
      </c>
      <c r="B5626" t="s">
        <v>34062</v>
      </c>
    </row>
    <row r="5627" spans="1:2" x14ac:dyDescent="0.25">
      <c r="A5627" t="s">
        <v>12429</v>
      </c>
      <c r="B5627" t="s">
        <v>12429</v>
      </c>
    </row>
    <row r="5628" spans="1:2" x14ac:dyDescent="0.25">
      <c r="A5628" t="s">
        <v>13517</v>
      </c>
      <c r="B5628" t="s">
        <v>34063</v>
      </c>
    </row>
    <row r="5629" spans="1:2" x14ac:dyDescent="0.25">
      <c r="A5629" t="s">
        <v>14007</v>
      </c>
      <c r="B5629" t="s">
        <v>34064</v>
      </c>
    </row>
    <row r="5630" spans="1:2" x14ac:dyDescent="0.25">
      <c r="A5630" t="s">
        <v>15398</v>
      </c>
      <c r="B5630" t="s">
        <v>15398</v>
      </c>
    </row>
    <row r="5631" spans="1:2" x14ac:dyDescent="0.25">
      <c r="A5631" t="s">
        <v>14017</v>
      </c>
      <c r="B5631" t="s">
        <v>14017</v>
      </c>
    </row>
    <row r="5632" spans="1:2" x14ac:dyDescent="0.25">
      <c r="A5632" t="s">
        <v>14411</v>
      </c>
      <c r="B5632" t="s">
        <v>34065</v>
      </c>
    </row>
    <row r="5633" spans="1:2" x14ac:dyDescent="0.25">
      <c r="A5633" t="s">
        <v>13335</v>
      </c>
      <c r="B5633" t="s">
        <v>34066</v>
      </c>
    </row>
    <row r="5634" spans="1:2" x14ac:dyDescent="0.25">
      <c r="A5634" t="s">
        <v>12544</v>
      </c>
      <c r="B5634" t="s">
        <v>12544</v>
      </c>
    </row>
    <row r="5635" spans="1:2" x14ac:dyDescent="0.25">
      <c r="A5635" t="s">
        <v>14734</v>
      </c>
      <c r="B5635" t="s">
        <v>14734</v>
      </c>
    </row>
    <row r="5636" spans="1:2" x14ac:dyDescent="0.25">
      <c r="A5636" t="s">
        <v>15291</v>
      </c>
      <c r="B5636" t="s">
        <v>15291</v>
      </c>
    </row>
    <row r="5637" spans="1:2" x14ac:dyDescent="0.25">
      <c r="A5637" t="s">
        <v>13016</v>
      </c>
      <c r="B5637" t="s">
        <v>34067</v>
      </c>
    </row>
    <row r="5638" spans="1:2" x14ac:dyDescent="0.25">
      <c r="A5638" t="s">
        <v>13941</v>
      </c>
      <c r="B5638" t="s">
        <v>34068</v>
      </c>
    </row>
    <row r="5639" spans="1:2" x14ac:dyDescent="0.25">
      <c r="A5639" t="s">
        <v>12392</v>
      </c>
      <c r="B5639" t="s">
        <v>34069</v>
      </c>
    </row>
    <row r="5640" spans="1:2" x14ac:dyDescent="0.25">
      <c r="A5640" t="s">
        <v>15505</v>
      </c>
      <c r="B5640" t="s">
        <v>15505</v>
      </c>
    </row>
    <row r="5641" spans="1:2" x14ac:dyDescent="0.25">
      <c r="A5641" t="s">
        <v>13432</v>
      </c>
      <c r="B5641" t="s">
        <v>34070</v>
      </c>
    </row>
    <row r="5642" spans="1:2" x14ac:dyDescent="0.25">
      <c r="A5642" t="s">
        <v>14576</v>
      </c>
      <c r="B5642" t="s">
        <v>1950</v>
      </c>
    </row>
    <row r="5643" spans="1:2" x14ac:dyDescent="0.25">
      <c r="A5643" t="s">
        <v>13815</v>
      </c>
      <c r="B5643" t="s">
        <v>34071</v>
      </c>
    </row>
    <row r="5644" spans="1:2" x14ac:dyDescent="0.25">
      <c r="A5644" t="s">
        <v>13885</v>
      </c>
      <c r="B5644" t="s">
        <v>34072</v>
      </c>
    </row>
    <row r="5645" spans="1:2" x14ac:dyDescent="0.25">
      <c r="A5645" t="s">
        <v>12477</v>
      </c>
      <c r="B5645" t="s">
        <v>12477</v>
      </c>
    </row>
    <row r="5646" spans="1:2" x14ac:dyDescent="0.25">
      <c r="A5646" t="s">
        <v>13195</v>
      </c>
      <c r="B5646" t="s">
        <v>13195</v>
      </c>
    </row>
    <row r="5647" spans="1:2" x14ac:dyDescent="0.25">
      <c r="A5647" t="s">
        <v>14918</v>
      </c>
      <c r="B5647" t="s">
        <v>34073</v>
      </c>
    </row>
    <row r="5648" spans="1:2" x14ac:dyDescent="0.25">
      <c r="A5648" t="s">
        <v>15418</v>
      </c>
      <c r="B5648" t="s">
        <v>34074</v>
      </c>
    </row>
    <row r="5649" spans="1:2" x14ac:dyDescent="0.25">
      <c r="A5649" t="s">
        <v>12887</v>
      </c>
      <c r="B5649" t="s">
        <v>12887</v>
      </c>
    </row>
    <row r="5650" spans="1:2" x14ac:dyDescent="0.25">
      <c r="A5650" t="s">
        <v>12384</v>
      </c>
      <c r="B5650" t="s">
        <v>12384</v>
      </c>
    </row>
    <row r="5651" spans="1:2" x14ac:dyDescent="0.25">
      <c r="A5651" t="s">
        <v>13122</v>
      </c>
      <c r="B5651" t="s">
        <v>34075</v>
      </c>
    </row>
    <row r="5652" spans="1:2" x14ac:dyDescent="0.25">
      <c r="A5652" t="s">
        <v>15037</v>
      </c>
      <c r="B5652" t="s">
        <v>34076</v>
      </c>
    </row>
    <row r="5653" spans="1:2" x14ac:dyDescent="0.25">
      <c r="A5653" t="s">
        <v>13177</v>
      </c>
      <c r="B5653" t="s">
        <v>13177</v>
      </c>
    </row>
    <row r="5654" spans="1:2" x14ac:dyDescent="0.25">
      <c r="A5654" t="s">
        <v>13654</v>
      </c>
      <c r="B5654" t="s">
        <v>34077</v>
      </c>
    </row>
    <row r="5655" spans="1:2" x14ac:dyDescent="0.25">
      <c r="A5655" t="s">
        <v>13832</v>
      </c>
      <c r="B5655" t="s">
        <v>34078</v>
      </c>
    </row>
    <row r="5656" spans="1:2" x14ac:dyDescent="0.25">
      <c r="A5656" t="s">
        <v>15244</v>
      </c>
      <c r="B5656" t="s">
        <v>11110</v>
      </c>
    </row>
    <row r="5657" spans="1:2" x14ac:dyDescent="0.25">
      <c r="A5657" t="s">
        <v>13887</v>
      </c>
      <c r="B5657" t="s">
        <v>34079</v>
      </c>
    </row>
    <row r="5658" spans="1:2" x14ac:dyDescent="0.25">
      <c r="A5658" t="s">
        <v>14930</v>
      </c>
      <c r="B5658" t="s">
        <v>34080</v>
      </c>
    </row>
    <row r="5659" spans="1:2" x14ac:dyDescent="0.25">
      <c r="A5659" t="s">
        <v>13307</v>
      </c>
      <c r="B5659" t="s">
        <v>34081</v>
      </c>
    </row>
    <row r="5660" spans="1:2" x14ac:dyDescent="0.25">
      <c r="A5660" t="s">
        <v>14060</v>
      </c>
      <c r="B5660" t="s">
        <v>34082</v>
      </c>
    </row>
    <row r="5661" spans="1:2" x14ac:dyDescent="0.25">
      <c r="A5661" t="s">
        <v>13411</v>
      </c>
      <c r="B5661" t="s">
        <v>34083</v>
      </c>
    </row>
    <row r="5662" spans="1:2" x14ac:dyDescent="0.25">
      <c r="A5662" t="s">
        <v>12372</v>
      </c>
      <c r="B5662" t="s">
        <v>34084</v>
      </c>
    </row>
    <row r="5663" spans="1:2" x14ac:dyDescent="0.25">
      <c r="A5663" t="s">
        <v>14833</v>
      </c>
      <c r="B5663" t="s">
        <v>34085</v>
      </c>
    </row>
    <row r="5664" spans="1:2" x14ac:dyDescent="0.25">
      <c r="A5664" t="s">
        <v>14597</v>
      </c>
      <c r="B5664" t="s">
        <v>34086</v>
      </c>
    </row>
    <row r="5665" spans="1:2" x14ac:dyDescent="0.25">
      <c r="A5665" t="s">
        <v>12609</v>
      </c>
      <c r="B5665" t="s">
        <v>34087</v>
      </c>
    </row>
    <row r="5666" spans="1:2" x14ac:dyDescent="0.25">
      <c r="A5666" t="s">
        <v>12469</v>
      </c>
      <c r="B5666" t="s">
        <v>12469</v>
      </c>
    </row>
    <row r="5667" spans="1:2" x14ac:dyDescent="0.25">
      <c r="A5667" t="s">
        <v>12554</v>
      </c>
      <c r="B5667" t="s">
        <v>34088</v>
      </c>
    </row>
    <row r="5668" spans="1:2" x14ac:dyDescent="0.25">
      <c r="A5668" t="s">
        <v>15490</v>
      </c>
      <c r="B5668" t="s">
        <v>15490</v>
      </c>
    </row>
    <row r="5669" spans="1:2" x14ac:dyDescent="0.25">
      <c r="A5669" t="s">
        <v>14677</v>
      </c>
      <c r="B5669" t="s">
        <v>34089</v>
      </c>
    </row>
    <row r="5670" spans="1:2" x14ac:dyDescent="0.25">
      <c r="A5670" t="s">
        <v>13036</v>
      </c>
      <c r="B5670" t="s">
        <v>34090</v>
      </c>
    </row>
    <row r="5671" spans="1:2" x14ac:dyDescent="0.25">
      <c r="A5671" t="s">
        <v>15369</v>
      </c>
      <c r="B5671" t="s">
        <v>15369</v>
      </c>
    </row>
    <row r="5672" spans="1:2" x14ac:dyDescent="0.25">
      <c r="A5672" t="s">
        <v>14562</v>
      </c>
      <c r="B5672" t="s">
        <v>14562</v>
      </c>
    </row>
    <row r="5673" spans="1:2" x14ac:dyDescent="0.25">
      <c r="A5673" t="s">
        <v>13420</v>
      </c>
      <c r="B5673" t="s">
        <v>34091</v>
      </c>
    </row>
    <row r="5674" spans="1:2" x14ac:dyDescent="0.25">
      <c r="A5674" t="s">
        <v>14813</v>
      </c>
      <c r="B5674" t="s">
        <v>34092</v>
      </c>
    </row>
    <row r="5675" spans="1:2" x14ac:dyDescent="0.25">
      <c r="A5675" t="s">
        <v>14019</v>
      </c>
      <c r="B5675" t="s">
        <v>34093</v>
      </c>
    </row>
    <row r="5676" spans="1:2" x14ac:dyDescent="0.25">
      <c r="A5676" t="s">
        <v>14882</v>
      </c>
      <c r="B5676" t="s">
        <v>34094</v>
      </c>
    </row>
    <row r="5677" spans="1:2" x14ac:dyDescent="0.25">
      <c r="A5677" t="s">
        <v>14670</v>
      </c>
      <c r="B5677" t="s">
        <v>34095</v>
      </c>
    </row>
    <row r="5678" spans="1:2" x14ac:dyDescent="0.25">
      <c r="A5678" t="s">
        <v>14480</v>
      </c>
      <c r="B5678" t="s">
        <v>34096</v>
      </c>
    </row>
    <row r="5679" spans="1:2" x14ac:dyDescent="0.25">
      <c r="A5679" t="s">
        <v>40</v>
      </c>
      <c r="B5679" t="s">
        <v>34097</v>
      </c>
    </row>
    <row r="5680" spans="1:2" x14ac:dyDescent="0.25">
      <c r="A5680" t="s">
        <v>13981</v>
      </c>
      <c r="B5680" t="s">
        <v>34098</v>
      </c>
    </row>
    <row r="5681" spans="1:2" x14ac:dyDescent="0.25">
      <c r="A5681" t="s">
        <v>12581</v>
      </c>
      <c r="B5681" t="s">
        <v>12581</v>
      </c>
    </row>
    <row r="5682" spans="1:2" x14ac:dyDescent="0.25">
      <c r="A5682" t="s">
        <v>13794</v>
      </c>
      <c r="B5682" t="s">
        <v>34099</v>
      </c>
    </row>
    <row r="5683" spans="1:2" x14ac:dyDescent="0.25">
      <c r="A5683" t="s">
        <v>14391</v>
      </c>
      <c r="B5683" t="s">
        <v>34100</v>
      </c>
    </row>
    <row r="5684" spans="1:2" x14ac:dyDescent="0.25">
      <c r="A5684" t="s">
        <v>13621</v>
      </c>
      <c r="B5684" t="s">
        <v>34101</v>
      </c>
    </row>
    <row r="5685" spans="1:2" x14ac:dyDescent="0.25">
      <c r="A5685" t="s">
        <v>13725</v>
      </c>
      <c r="B5685" t="s">
        <v>13725</v>
      </c>
    </row>
    <row r="5686" spans="1:2" x14ac:dyDescent="0.25">
      <c r="A5686" t="s">
        <v>14346</v>
      </c>
      <c r="B5686" t="s">
        <v>34102</v>
      </c>
    </row>
    <row r="5687" spans="1:2" x14ac:dyDescent="0.25">
      <c r="A5687" t="s">
        <v>14981</v>
      </c>
      <c r="B5687" t="s">
        <v>14981</v>
      </c>
    </row>
    <row r="5688" spans="1:2" x14ac:dyDescent="0.25">
      <c r="A5688" t="s">
        <v>13395</v>
      </c>
      <c r="B5688" t="s">
        <v>34103</v>
      </c>
    </row>
    <row r="5689" spans="1:2" x14ac:dyDescent="0.25">
      <c r="A5689" t="s">
        <v>14718</v>
      </c>
      <c r="B5689" t="s">
        <v>34104</v>
      </c>
    </row>
    <row r="5690" spans="1:2" x14ac:dyDescent="0.25">
      <c r="A5690" t="s">
        <v>14413</v>
      </c>
      <c r="B5690" t="s">
        <v>34105</v>
      </c>
    </row>
    <row r="5691" spans="1:2" x14ac:dyDescent="0.25">
      <c r="A5691" t="s">
        <v>12852</v>
      </c>
      <c r="B5691" t="s">
        <v>12852</v>
      </c>
    </row>
    <row r="5692" spans="1:2" x14ac:dyDescent="0.25">
      <c r="A5692" t="s">
        <v>13925</v>
      </c>
      <c r="B5692" t="s">
        <v>34106</v>
      </c>
    </row>
    <row r="5693" spans="1:2" x14ac:dyDescent="0.25">
      <c r="A5693" t="s">
        <v>13803</v>
      </c>
      <c r="B5693" t="s">
        <v>34107</v>
      </c>
    </row>
    <row r="5694" spans="1:2" x14ac:dyDescent="0.25">
      <c r="A5694" t="s">
        <v>12946</v>
      </c>
      <c r="B5694" t="s">
        <v>34108</v>
      </c>
    </row>
    <row r="5695" spans="1:2" x14ac:dyDescent="0.25">
      <c r="A5695" t="s">
        <v>12814</v>
      </c>
      <c r="B5695" t="s">
        <v>12814</v>
      </c>
    </row>
    <row r="5696" spans="1:2" x14ac:dyDescent="0.25">
      <c r="A5696" t="s">
        <v>14804</v>
      </c>
      <c r="B5696" t="s">
        <v>14804</v>
      </c>
    </row>
    <row r="5697" spans="1:2" x14ac:dyDescent="0.25">
      <c r="A5697" t="s">
        <v>15287</v>
      </c>
      <c r="B5697" t="s">
        <v>34109</v>
      </c>
    </row>
    <row r="5698" spans="1:2" x14ac:dyDescent="0.25">
      <c r="A5698" t="s">
        <v>13346</v>
      </c>
      <c r="B5698" t="s">
        <v>34110</v>
      </c>
    </row>
    <row r="5699" spans="1:2" x14ac:dyDescent="0.25">
      <c r="A5699" t="s">
        <v>14545</v>
      </c>
      <c r="B5699" t="s">
        <v>34111</v>
      </c>
    </row>
    <row r="5700" spans="1:2" x14ac:dyDescent="0.25">
      <c r="A5700" t="s">
        <v>15235</v>
      </c>
      <c r="B5700" t="s">
        <v>34112</v>
      </c>
    </row>
    <row r="5701" spans="1:2" x14ac:dyDescent="0.25">
      <c r="A5701" t="s">
        <v>14556</v>
      </c>
      <c r="B5701" t="s">
        <v>34113</v>
      </c>
    </row>
    <row r="5702" spans="1:2" x14ac:dyDescent="0.25">
      <c r="A5702" t="s">
        <v>14145</v>
      </c>
      <c r="B5702" t="s">
        <v>34114</v>
      </c>
    </row>
    <row r="5703" spans="1:2" x14ac:dyDescent="0.25">
      <c r="A5703" t="s">
        <v>13162</v>
      </c>
      <c r="B5703" t="s">
        <v>34115</v>
      </c>
    </row>
    <row r="5704" spans="1:2" x14ac:dyDescent="0.25">
      <c r="A5704" t="s">
        <v>14340</v>
      </c>
      <c r="B5704" t="s">
        <v>14340</v>
      </c>
    </row>
    <row r="5705" spans="1:2" x14ac:dyDescent="0.25">
      <c r="A5705" t="s">
        <v>12892</v>
      </c>
      <c r="B5705" t="s">
        <v>12892</v>
      </c>
    </row>
    <row r="5706" spans="1:2" x14ac:dyDescent="0.25">
      <c r="A5706" t="s">
        <v>13238</v>
      </c>
      <c r="B5706" t="s">
        <v>34116</v>
      </c>
    </row>
    <row r="5707" spans="1:2" x14ac:dyDescent="0.25">
      <c r="A5707" t="s">
        <v>15070</v>
      </c>
      <c r="B5707" t="s">
        <v>34117</v>
      </c>
    </row>
    <row r="5708" spans="1:2" x14ac:dyDescent="0.25">
      <c r="A5708" t="s">
        <v>15212</v>
      </c>
      <c r="B5708" t="s">
        <v>34118</v>
      </c>
    </row>
    <row r="5709" spans="1:2" x14ac:dyDescent="0.25">
      <c r="A5709" t="s">
        <v>14278</v>
      </c>
      <c r="B5709" t="s">
        <v>34119</v>
      </c>
    </row>
    <row r="5710" spans="1:2" x14ac:dyDescent="0.25">
      <c r="A5710" t="s">
        <v>14570</v>
      </c>
      <c r="B5710" t="s">
        <v>14570</v>
      </c>
    </row>
    <row r="5711" spans="1:2" x14ac:dyDescent="0.25">
      <c r="A5711" t="s">
        <v>15427</v>
      </c>
      <c r="B5711" t="s">
        <v>34120</v>
      </c>
    </row>
    <row r="5712" spans="1:2" x14ac:dyDescent="0.25">
      <c r="A5712" t="s">
        <v>12575</v>
      </c>
      <c r="B5712" t="s">
        <v>12575</v>
      </c>
    </row>
    <row r="5713" spans="1:2" x14ac:dyDescent="0.25">
      <c r="A5713" t="s">
        <v>13389</v>
      </c>
      <c r="B5713" t="s">
        <v>13389</v>
      </c>
    </row>
    <row r="5714" spans="1:2" x14ac:dyDescent="0.25">
      <c r="A5714" t="s">
        <v>12781</v>
      </c>
      <c r="B5714" t="s">
        <v>12781</v>
      </c>
    </row>
    <row r="5715" spans="1:2" x14ac:dyDescent="0.25">
      <c r="A5715" t="s">
        <v>14963</v>
      </c>
      <c r="B5715" t="s">
        <v>34121</v>
      </c>
    </row>
    <row r="5716" spans="1:2" x14ac:dyDescent="0.25">
      <c r="A5716" t="s">
        <v>14504</v>
      </c>
      <c r="B5716" t="s">
        <v>34122</v>
      </c>
    </row>
    <row r="5717" spans="1:2" x14ac:dyDescent="0.25">
      <c r="A5717" t="s">
        <v>13747</v>
      </c>
      <c r="B5717" t="s">
        <v>34123</v>
      </c>
    </row>
    <row r="5718" spans="1:2" x14ac:dyDescent="0.25">
      <c r="A5718" t="s">
        <v>12623</v>
      </c>
      <c r="B5718" t="s">
        <v>12623</v>
      </c>
    </row>
    <row r="5719" spans="1:2" x14ac:dyDescent="0.25">
      <c r="A5719" t="s">
        <v>12861</v>
      </c>
      <c r="B5719" t="s">
        <v>12861</v>
      </c>
    </row>
    <row r="5720" spans="1:2" x14ac:dyDescent="0.25">
      <c r="A5720" t="s">
        <v>14511</v>
      </c>
      <c r="B5720" t="s">
        <v>34124</v>
      </c>
    </row>
    <row r="5721" spans="1:2" x14ac:dyDescent="0.25">
      <c r="A5721" t="s">
        <v>13331</v>
      </c>
      <c r="B5721" t="s">
        <v>34125</v>
      </c>
    </row>
    <row r="5722" spans="1:2" x14ac:dyDescent="0.25">
      <c r="A5722" t="s">
        <v>14455</v>
      </c>
      <c r="B5722" t="s">
        <v>34126</v>
      </c>
    </row>
    <row r="5723" spans="1:2" x14ac:dyDescent="0.25">
      <c r="A5723" t="s">
        <v>12634</v>
      </c>
      <c r="B5723" t="s">
        <v>34127</v>
      </c>
    </row>
    <row r="5724" spans="1:2" x14ac:dyDescent="0.25">
      <c r="A5724" t="s">
        <v>12373</v>
      </c>
      <c r="B5724" t="s">
        <v>34128</v>
      </c>
    </row>
    <row r="5725" spans="1:2" x14ac:dyDescent="0.25">
      <c r="A5725" t="s">
        <v>13355</v>
      </c>
      <c r="B5725" t="s">
        <v>34129</v>
      </c>
    </row>
    <row r="5726" spans="1:2" x14ac:dyDescent="0.25">
      <c r="A5726" t="s">
        <v>12594</v>
      </c>
      <c r="B5726" t="s">
        <v>12594</v>
      </c>
    </row>
    <row r="5727" spans="1:2" x14ac:dyDescent="0.25">
      <c r="A5727" t="s">
        <v>12617</v>
      </c>
      <c r="B5727" t="s">
        <v>34130</v>
      </c>
    </row>
    <row r="5728" spans="1:2" x14ac:dyDescent="0.25">
      <c r="A5728" t="s">
        <v>15038</v>
      </c>
      <c r="B5728" t="s">
        <v>34131</v>
      </c>
    </row>
    <row r="5729" spans="1:2" x14ac:dyDescent="0.25">
      <c r="A5729" t="s">
        <v>13888</v>
      </c>
      <c r="B5729" t="s">
        <v>34132</v>
      </c>
    </row>
    <row r="5730" spans="1:2" x14ac:dyDescent="0.25">
      <c r="A5730" t="s">
        <v>13961</v>
      </c>
      <c r="B5730" t="s">
        <v>34133</v>
      </c>
    </row>
    <row r="5731" spans="1:2" x14ac:dyDescent="0.25">
      <c r="A5731" t="s">
        <v>12572</v>
      </c>
      <c r="B5731" t="s">
        <v>12572</v>
      </c>
    </row>
    <row r="5732" spans="1:2" x14ac:dyDescent="0.25">
      <c r="A5732" t="s">
        <v>34134</v>
      </c>
      <c r="B5732" t="s">
        <v>34135</v>
      </c>
    </row>
    <row r="5733" spans="1:2" x14ac:dyDescent="0.25">
      <c r="A5733" t="s">
        <v>14041</v>
      </c>
      <c r="B5733" t="s">
        <v>34136</v>
      </c>
    </row>
    <row r="5734" spans="1:2" x14ac:dyDescent="0.25">
      <c r="A5734" t="s">
        <v>13251</v>
      </c>
      <c r="B5734" t="s">
        <v>13251</v>
      </c>
    </row>
    <row r="5735" spans="1:2" x14ac:dyDescent="0.25">
      <c r="A5735" t="s">
        <v>15174</v>
      </c>
      <c r="B5735" t="s">
        <v>34137</v>
      </c>
    </row>
    <row r="5736" spans="1:2" x14ac:dyDescent="0.25">
      <c r="A5736" t="s">
        <v>15495</v>
      </c>
      <c r="B5736" t="s">
        <v>34138</v>
      </c>
    </row>
    <row r="5737" spans="1:2" x14ac:dyDescent="0.25">
      <c r="A5737" t="s">
        <v>12409</v>
      </c>
      <c r="B5737" t="s">
        <v>12409</v>
      </c>
    </row>
    <row r="5738" spans="1:2" x14ac:dyDescent="0.25">
      <c r="A5738" t="s">
        <v>15354</v>
      </c>
      <c r="B5738" t="s">
        <v>15354</v>
      </c>
    </row>
    <row r="5739" spans="1:2" x14ac:dyDescent="0.25">
      <c r="A5739" t="s">
        <v>13337</v>
      </c>
      <c r="B5739" t="s">
        <v>34139</v>
      </c>
    </row>
    <row r="5740" spans="1:2" x14ac:dyDescent="0.25">
      <c r="A5740" t="s">
        <v>424</v>
      </c>
      <c r="B5740" t="s">
        <v>424</v>
      </c>
    </row>
    <row r="5741" spans="1:2" x14ac:dyDescent="0.25">
      <c r="A5741" t="s">
        <v>12950</v>
      </c>
      <c r="B5741" t="s">
        <v>34140</v>
      </c>
    </row>
    <row r="5742" spans="1:2" x14ac:dyDescent="0.25">
      <c r="A5742" t="s">
        <v>13341</v>
      </c>
      <c r="B5742" t="s">
        <v>34141</v>
      </c>
    </row>
    <row r="5743" spans="1:2" x14ac:dyDescent="0.25">
      <c r="A5743" t="s">
        <v>14509</v>
      </c>
      <c r="B5743" t="s">
        <v>34142</v>
      </c>
    </row>
    <row r="5744" spans="1:2" x14ac:dyDescent="0.25">
      <c r="A5744" t="s">
        <v>14870</v>
      </c>
      <c r="B5744" t="s">
        <v>34143</v>
      </c>
    </row>
    <row r="5745" spans="1:2" x14ac:dyDescent="0.25">
      <c r="A5745" t="s">
        <v>12482</v>
      </c>
      <c r="B5745" t="s">
        <v>12482</v>
      </c>
    </row>
    <row r="5746" spans="1:2" x14ac:dyDescent="0.25">
      <c r="A5746" t="s">
        <v>15238</v>
      </c>
      <c r="B5746" t="s">
        <v>34144</v>
      </c>
    </row>
    <row r="5747" spans="1:2" x14ac:dyDescent="0.25">
      <c r="A5747" t="s">
        <v>13509</v>
      </c>
      <c r="B5747" t="s">
        <v>34145</v>
      </c>
    </row>
    <row r="5748" spans="1:2" x14ac:dyDescent="0.25">
      <c r="A5748" t="s">
        <v>15191</v>
      </c>
      <c r="B5748" t="s">
        <v>15191</v>
      </c>
    </row>
    <row r="5749" spans="1:2" x14ac:dyDescent="0.25">
      <c r="A5749" t="s">
        <v>13627</v>
      </c>
      <c r="B5749" t="s">
        <v>34146</v>
      </c>
    </row>
    <row r="5750" spans="1:2" x14ac:dyDescent="0.25">
      <c r="A5750" t="s">
        <v>15357</v>
      </c>
      <c r="B5750" t="s">
        <v>34147</v>
      </c>
    </row>
    <row r="5751" spans="1:2" x14ac:dyDescent="0.25">
      <c r="A5751" t="s">
        <v>12356</v>
      </c>
      <c r="B5751" t="s">
        <v>12356</v>
      </c>
    </row>
    <row r="5752" spans="1:2" x14ac:dyDescent="0.25">
      <c r="A5752" t="s">
        <v>15032</v>
      </c>
      <c r="B5752" t="s">
        <v>34148</v>
      </c>
    </row>
    <row r="5753" spans="1:2" x14ac:dyDescent="0.25">
      <c r="A5753" t="s">
        <v>13989</v>
      </c>
      <c r="B5753" t="s">
        <v>34149</v>
      </c>
    </row>
    <row r="5754" spans="1:2" x14ac:dyDescent="0.25">
      <c r="A5754" t="s">
        <v>15233</v>
      </c>
      <c r="B5754" t="s">
        <v>34150</v>
      </c>
    </row>
    <row r="5755" spans="1:2" x14ac:dyDescent="0.25">
      <c r="A5755" t="s">
        <v>13094</v>
      </c>
      <c r="B5755" t="s">
        <v>13094</v>
      </c>
    </row>
    <row r="5756" spans="1:2" x14ac:dyDescent="0.25">
      <c r="A5756" t="s">
        <v>13834</v>
      </c>
      <c r="B5756" t="s">
        <v>34151</v>
      </c>
    </row>
    <row r="5757" spans="1:2" x14ac:dyDescent="0.25">
      <c r="A5757" t="s">
        <v>13089</v>
      </c>
      <c r="B5757" t="s">
        <v>34152</v>
      </c>
    </row>
    <row r="5758" spans="1:2" x14ac:dyDescent="0.25">
      <c r="A5758" t="s">
        <v>13085</v>
      </c>
      <c r="B5758" t="s">
        <v>34153</v>
      </c>
    </row>
    <row r="5759" spans="1:2" x14ac:dyDescent="0.25">
      <c r="A5759" t="s">
        <v>14048</v>
      </c>
      <c r="B5759" t="s">
        <v>14048</v>
      </c>
    </row>
    <row r="5760" spans="1:2" x14ac:dyDescent="0.25">
      <c r="A5760" t="s">
        <v>15501</v>
      </c>
      <c r="B5760" t="s">
        <v>34154</v>
      </c>
    </row>
    <row r="5761" spans="1:2" x14ac:dyDescent="0.25">
      <c r="A5761" t="s">
        <v>13098</v>
      </c>
      <c r="B5761" t="s">
        <v>34155</v>
      </c>
    </row>
    <row r="5762" spans="1:2" x14ac:dyDescent="0.25">
      <c r="A5762" t="s">
        <v>12703</v>
      </c>
      <c r="B5762" t="s">
        <v>34156</v>
      </c>
    </row>
    <row r="5763" spans="1:2" x14ac:dyDescent="0.25">
      <c r="A5763" t="s">
        <v>14118</v>
      </c>
      <c r="B5763" t="s">
        <v>34157</v>
      </c>
    </row>
    <row r="5764" spans="1:2" x14ac:dyDescent="0.25">
      <c r="A5764" t="s">
        <v>15240</v>
      </c>
      <c r="B5764" t="s">
        <v>15240</v>
      </c>
    </row>
    <row r="5765" spans="1:2" x14ac:dyDescent="0.25">
      <c r="A5765" t="s">
        <v>13704</v>
      </c>
      <c r="B5765" t="s">
        <v>34158</v>
      </c>
    </row>
    <row r="5766" spans="1:2" x14ac:dyDescent="0.25">
      <c r="A5766" t="s">
        <v>13101</v>
      </c>
      <c r="B5766" t="s">
        <v>34159</v>
      </c>
    </row>
    <row r="5767" spans="1:2" x14ac:dyDescent="0.25">
      <c r="A5767" t="s">
        <v>15512</v>
      </c>
      <c r="B5767" t="s">
        <v>34160</v>
      </c>
    </row>
    <row r="5768" spans="1:2" x14ac:dyDescent="0.25">
      <c r="A5768" t="s">
        <v>12660</v>
      </c>
      <c r="B5768" t="s">
        <v>34161</v>
      </c>
    </row>
    <row r="5769" spans="1:2" x14ac:dyDescent="0.25">
      <c r="A5769" t="s">
        <v>14296</v>
      </c>
      <c r="B5769" t="s">
        <v>34162</v>
      </c>
    </row>
    <row r="5770" spans="1:2" x14ac:dyDescent="0.25">
      <c r="A5770" t="s">
        <v>12513</v>
      </c>
      <c r="B5770" t="s">
        <v>12513</v>
      </c>
    </row>
    <row r="5771" spans="1:2" x14ac:dyDescent="0.25">
      <c r="A5771" t="s">
        <v>14635</v>
      </c>
      <c r="B5771" t="s">
        <v>14635</v>
      </c>
    </row>
    <row r="5772" spans="1:2" x14ac:dyDescent="0.25">
      <c r="A5772" t="s">
        <v>12801</v>
      </c>
      <c r="B5772" t="s">
        <v>12801</v>
      </c>
    </row>
    <row r="5773" spans="1:2" x14ac:dyDescent="0.25">
      <c r="A5773" t="s">
        <v>12806</v>
      </c>
      <c r="B5773" t="s">
        <v>12806</v>
      </c>
    </row>
    <row r="5774" spans="1:2" x14ac:dyDescent="0.25">
      <c r="A5774" t="s">
        <v>14777</v>
      </c>
      <c r="B5774" t="s">
        <v>34163</v>
      </c>
    </row>
    <row r="5775" spans="1:2" x14ac:dyDescent="0.25">
      <c r="A5775" t="s">
        <v>12426</v>
      </c>
      <c r="B5775" t="s">
        <v>34164</v>
      </c>
    </row>
    <row r="5776" spans="1:2" x14ac:dyDescent="0.25">
      <c r="A5776" t="s">
        <v>14920</v>
      </c>
      <c r="B5776" t="s">
        <v>34165</v>
      </c>
    </row>
    <row r="5777" spans="1:2" x14ac:dyDescent="0.25">
      <c r="A5777" t="s">
        <v>14119</v>
      </c>
      <c r="B5777" t="s">
        <v>34166</v>
      </c>
    </row>
    <row r="5778" spans="1:2" x14ac:dyDescent="0.25">
      <c r="A5778" t="s">
        <v>14151</v>
      </c>
      <c r="B5778" t="s">
        <v>34167</v>
      </c>
    </row>
    <row r="5779" spans="1:2" x14ac:dyDescent="0.25">
      <c r="A5779" t="s">
        <v>12436</v>
      </c>
      <c r="B5779" t="s">
        <v>12436</v>
      </c>
    </row>
    <row r="5780" spans="1:2" x14ac:dyDescent="0.25">
      <c r="A5780" t="s">
        <v>14270</v>
      </c>
      <c r="B5780" t="s">
        <v>34168</v>
      </c>
    </row>
    <row r="5781" spans="1:2" x14ac:dyDescent="0.25">
      <c r="A5781" t="s">
        <v>15405</v>
      </c>
      <c r="B5781" t="s">
        <v>15405</v>
      </c>
    </row>
    <row r="5782" spans="1:2" x14ac:dyDescent="0.25">
      <c r="A5782" t="s">
        <v>12819</v>
      </c>
      <c r="B5782" t="s">
        <v>12819</v>
      </c>
    </row>
    <row r="5783" spans="1:2" x14ac:dyDescent="0.25">
      <c r="A5783" t="s">
        <v>15270</v>
      </c>
      <c r="B5783" t="s">
        <v>34169</v>
      </c>
    </row>
    <row r="5784" spans="1:2" x14ac:dyDescent="0.25">
      <c r="A5784" t="s">
        <v>12648</v>
      </c>
      <c r="B5784" t="s">
        <v>34170</v>
      </c>
    </row>
    <row r="5785" spans="1:2" x14ac:dyDescent="0.25">
      <c r="A5785" t="s">
        <v>13553</v>
      </c>
      <c r="B5785" t="s">
        <v>34171</v>
      </c>
    </row>
    <row r="5786" spans="1:2" x14ac:dyDescent="0.25">
      <c r="A5786" t="s">
        <v>15151</v>
      </c>
      <c r="B5786" t="s">
        <v>30110</v>
      </c>
    </row>
    <row r="5787" spans="1:2" x14ac:dyDescent="0.25">
      <c r="A5787" t="s">
        <v>14037</v>
      </c>
      <c r="B5787" t="s">
        <v>34172</v>
      </c>
    </row>
    <row r="5788" spans="1:2" x14ac:dyDescent="0.25">
      <c r="A5788" t="s">
        <v>12401</v>
      </c>
      <c r="B5788" t="s">
        <v>12401</v>
      </c>
    </row>
    <row r="5789" spans="1:2" x14ac:dyDescent="0.25">
      <c r="A5789" t="s">
        <v>14238</v>
      </c>
      <c r="B5789" t="s">
        <v>34173</v>
      </c>
    </row>
    <row r="5790" spans="1:2" x14ac:dyDescent="0.25">
      <c r="A5790" t="s">
        <v>14131</v>
      </c>
      <c r="B5790" t="s">
        <v>34174</v>
      </c>
    </row>
    <row r="5791" spans="1:2" x14ac:dyDescent="0.25">
      <c r="A5791" t="s">
        <v>12948</v>
      </c>
      <c r="B5791" t="s">
        <v>34175</v>
      </c>
    </row>
    <row r="5792" spans="1:2" x14ac:dyDescent="0.25">
      <c r="A5792" t="s">
        <v>15105</v>
      </c>
      <c r="B5792" t="s">
        <v>15105</v>
      </c>
    </row>
    <row r="5793" spans="1:2" x14ac:dyDescent="0.25">
      <c r="A5793" t="s">
        <v>13546</v>
      </c>
      <c r="B5793" t="s">
        <v>34176</v>
      </c>
    </row>
    <row r="5794" spans="1:2" x14ac:dyDescent="0.25">
      <c r="A5794" t="s">
        <v>14964</v>
      </c>
      <c r="B5794" t="s">
        <v>34177</v>
      </c>
    </row>
    <row r="5795" spans="1:2" x14ac:dyDescent="0.25">
      <c r="A5795" t="s">
        <v>13629</v>
      </c>
      <c r="B5795" t="s">
        <v>34178</v>
      </c>
    </row>
    <row r="5796" spans="1:2" x14ac:dyDescent="0.25">
      <c r="A5796" t="s">
        <v>13869</v>
      </c>
      <c r="B5796" t="s">
        <v>34179</v>
      </c>
    </row>
    <row r="5797" spans="1:2" x14ac:dyDescent="0.25">
      <c r="A5797" t="s">
        <v>14362</v>
      </c>
      <c r="B5797" t="s">
        <v>14362</v>
      </c>
    </row>
    <row r="5798" spans="1:2" x14ac:dyDescent="0.25">
      <c r="A5798" t="s">
        <v>15039</v>
      </c>
      <c r="B5798" t="s">
        <v>34180</v>
      </c>
    </row>
    <row r="5799" spans="1:2" x14ac:dyDescent="0.25">
      <c r="A5799" t="s">
        <v>13386</v>
      </c>
      <c r="B5799" t="s">
        <v>34181</v>
      </c>
    </row>
    <row r="5800" spans="1:2" x14ac:dyDescent="0.25">
      <c r="A5800" t="s">
        <v>12527</v>
      </c>
      <c r="B5800" t="s">
        <v>12527</v>
      </c>
    </row>
    <row r="5801" spans="1:2" x14ac:dyDescent="0.25">
      <c r="A5801" t="s">
        <v>34182</v>
      </c>
      <c r="B5801" t="s">
        <v>34183</v>
      </c>
    </row>
    <row r="5802" spans="1:2" x14ac:dyDescent="0.25">
      <c r="A5802" t="s">
        <v>14646</v>
      </c>
      <c r="B5802" t="s">
        <v>34184</v>
      </c>
    </row>
    <row r="5803" spans="1:2" x14ac:dyDescent="0.25">
      <c r="A5803" t="s">
        <v>13309</v>
      </c>
      <c r="B5803" t="s">
        <v>34185</v>
      </c>
    </row>
    <row r="5804" spans="1:2" x14ac:dyDescent="0.25">
      <c r="A5804" t="s">
        <v>14434</v>
      </c>
      <c r="B5804" t="s">
        <v>34186</v>
      </c>
    </row>
    <row r="5805" spans="1:2" x14ac:dyDescent="0.25">
      <c r="A5805" t="s">
        <v>14565</v>
      </c>
      <c r="B5805" t="s">
        <v>14565</v>
      </c>
    </row>
    <row r="5806" spans="1:2" x14ac:dyDescent="0.25">
      <c r="A5806" t="s">
        <v>14039</v>
      </c>
      <c r="B5806" t="s">
        <v>34187</v>
      </c>
    </row>
    <row r="5807" spans="1:2" x14ac:dyDescent="0.25">
      <c r="A5807" t="s">
        <v>14831</v>
      </c>
      <c r="B5807" t="s">
        <v>14831</v>
      </c>
    </row>
    <row r="5808" spans="1:2" x14ac:dyDescent="0.25">
      <c r="A5808" t="s">
        <v>12367</v>
      </c>
      <c r="B5808" t="s">
        <v>12367</v>
      </c>
    </row>
    <row r="5809" spans="1:2" x14ac:dyDescent="0.25">
      <c r="A5809" t="s">
        <v>13542</v>
      </c>
      <c r="B5809" t="s">
        <v>34188</v>
      </c>
    </row>
    <row r="5810" spans="1:2" x14ac:dyDescent="0.25">
      <c r="A5810" t="s">
        <v>14211</v>
      </c>
      <c r="B5810" t="s">
        <v>34189</v>
      </c>
    </row>
    <row r="5811" spans="1:2" x14ac:dyDescent="0.25">
      <c r="A5811" t="s">
        <v>14712</v>
      </c>
      <c r="B5811" t="s">
        <v>14712</v>
      </c>
    </row>
    <row r="5812" spans="1:2" x14ac:dyDescent="0.25">
      <c r="A5812" t="s">
        <v>14943</v>
      </c>
      <c r="B5812" t="s">
        <v>34190</v>
      </c>
    </row>
    <row r="5813" spans="1:2" x14ac:dyDescent="0.25">
      <c r="A5813" t="s">
        <v>14074</v>
      </c>
      <c r="B5813" t="s">
        <v>34191</v>
      </c>
    </row>
    <row r="5814" spans="1:2" x14ac:dyDescent="0.25">
      <c r="A5814" t="s">
        <v>13938</v>
      </c>
      <c r="B5814" t="s">
        <v>34192</v>
      </c>
    </row>
    <row r="5815" spans="1:2" x14ac:dyDescent="0.25">
      <c r="A5815" t="s">
        <v>12691</v>
      </c>
      <c r="B5815" t="s">
        <v>12691</v>
      </c>
    </row>
    <row r="5816" spans="1:2" x14ac:dyDescent="0.25">
      <c r="A5816" t="s">
        <v>12939</v>
      </c>
      <c r="B5816" t="s">
        <v>34193</v>
      </c>
    </row>
    <row r="5817" spans="1:2" x14ac:dyDescent="0.25">
      <c r="A5817" t="s">
        <v>14305</v>
      </c>
      <c r="B5817" t="s">
        <v>34194</v>
      </c>
    </row>
    <row r="5818" spans="1:2" x14ac:dyDescent="0.25">
      <c r="A5818" t="s">
        <v>14985</v>
      </c>
      <c r="B5818" t="s">
        <v>34195</v>
      </c>
    </row>
    <row r="5819" spans="1:2" x14ac:dyDescent="0.25">
      <c r="A5819" t="s">
        <v>12645</v>
      </c>
      <c r="B5819" t="s">
        <v>12645</v>
      </c>
    </row>
    <row r="5820" spans="1:2" x14ac:dyDescent="0.25">
      <c r="A5820" t="s">
        <v>13054</v>
      </c>
      <c r="B5820" t="s">
        <v>34196</v>
      </c>
    </row>
    <row r="5821" spans="1:2" x14ac:dyDescent="0.25">
      <c r="A5821" t="s">
        <v>13710</v>
      </c>
      <c r="B5821" t="s">
        <v>34197</v>
      </c>
    </row>
    <row r="5822" spans="1:2" x14ac:dyDescent="0.25">
      <c r="A5822" t="s">
        <v>14370</v>
      </c>
      <c r="B5822" t="s">
        <v>34198</v>
      </c>
    </row>
    <row r="5823" spans="1:2" x14ac:dyDescent="0.25">
      <c r="A5823" t="s">
        <v>13676</v>
      </c>
      <c r="B5823" t="s">
        <v>34199</v>
      </c>
    </row>
    <row r="5824" spans="1:2" x14ac:dyDescent="0.25">
      <c r="A5824" t="s">
        <v>12454</v>
      </c>
      <c r="B5824" t="s">
        <v>12454</v>
      </c>
    </row>
    <row r="5825" spans="1:2" x14ac:dyDescent="0.25">
      <c r="A5825" t="s">
        <v>15363</v>
      </c>
      <c r="B5825" t="s">
        <v>15363</v>
      </c>
    </row>
    <row r="5826" spans="1:2" x14ac:dyDescent="0.25">
      <c r="A5826" t="s">
        <v>13880</v>
      </c>
      <c r="B5826" t="s">
        <v>34200</v>
      </c>
    </row>
    <row r="5827" spans="1:2" x14ac:dyDescent="0.25">
      <c r="A5827" t="s">
        <v>13151</v>
      </c>
      <c r="B5827" t="s">
        <v>34201</v>
      </c>
    </row>
    <row r="5828" spans="1:2" x14ac:dyDescent="0.25">
      <c r="A5828" t="s">
        <v>15298</v>
      </c>
      <c r="B5828" t="s">
        <v>15298</v>
      </c>
    </row>
    <row r="5829" spans="1:2" x14ac:dyDescent="0.25">
      <c r="A5829" t="s">
        <v>15321</v>
      </c>
      <c r="B5829" t="s">
        <v>15321</v>
      </c>
    </row>
    <row r="5830" spans="1:2" x14ac:dyDescent="0.25">
      <c r="A5830" t="s">
        <v>508</v>
      </c>
      <c r="B5830" t="s">
        <v>508</v>
      </c>
    </row>
    <row r="5831" spans="1:2" x14ac:dyDescent="0.25">
      <c r="A5831" t="s">
        <v>12531</v>
      </c>
      <c r="B5831" t="s">
        <v>34202</v>
      </c>
    </row>
    <row r="5832" spans="1:2" x14ac:dyDescent="0.25">
      <c r="A5832" t="s">
        <v>13623</v>
      </c>
      <c r="B5832" t="s">
        <v>34203</v>
      </c>
    </row>
    <row r="5833" spans="1:2" x14ac:dyDescent="0.25">
      <c r="A5833" t="s">
        <v>14366</v>
      </c>
      <c r="B5833" t="s">
        <v>34204</v>
      </c>
    </row>
    <row r="5834" spans="1:2" x14ac:dyDescent="0.25">
      <c r="A5834" t="s">
        <v>12788</v>
      </c>
      <c r="B5834" t="s">
        <v>12788</v>
      </c>
    </row>
    <row r="5835" spans="1:2" x14ac:dyDescent="0.25">
      <c r="A5835" t="s">
        <v>12435</v>
      </c>
      <c r="B5835" t="s">
        <v>12435</v>
      </c>
    </row>
    <row r="5836" spans="1:2" x14ac:dyDescent="0.25">
      <c r="A5836" t="s">
        <v>13374</v>
      </c>
      <c r="B5836" t="s">
        <v>13374</v>
      </c>
    </row>
    <row r="5837" spans="1:2" x14ac:dyDescent="0.25">
      <c r="A5837" t="s">
        <v>14490</v>
      </c>
      <c r="B5837" t="s">
        <v>34205</v>
      </c>
    </row>
    <row r="5838" spans="1:2" x14ac:dyDescent="0.25">
      <c r="A5838" t="s">
        <v>14170</v>
      </c>
      <c r="B5838" t="s">
        <v>34206</v>
      </c>
    </row>
    <row r="5839" spans="1:2" x14ac:dyDescent="0.25">
      <c r="A5839" t="s">
        <v>15221</v>
      </c>
      <c r="B5839" t="s">
        <v>15221</v>
      </c>
    </row>
    <row r="5840" spans="1:2" x14ac:dyDescent="0.25">
      <c r="A5840" t="s">
        <v>13863</v>
      </c>
      <c r="B5840" t="s">
        <v>34207</v>
      </c>
    </row>
    <row r="5841" spans="1:2" x14ac:dyDescent="0.25">
      <c r="A5841" t="s">
        <v>14419</v>
      </c>
      <c r="B5841" t="s">
        <v>34208</v>
      </c>
    </row>
    <row r="5842" spans="1:2" x14ac:dyDescent="0.25">
      <c r="A5842" t="s">
        <v>13778</v>
      </c>
      <c r="B5842" t="s">
        <v>34209</v>
      </c>
    </row>
    <row r="5843" spans="1:2" x14ac:dyDescent="0.25">
      <c r="A5843" t="s">
        <v>12903</v>
      </c>
      <c r="B5843" t="s">
        <v>34210</v>
      </c>
    </row>
    <row r="5844" spans="1:2" x14ac:dyDescent="0.25">
      <c r="A5844" t="s">
        <v>12573</v>
      </c>
      <c r="B5844" t="s">
        <v>12573</v>
      </c>
    </row>
    <row r="5845" spans="1:2" x14ac:dyDescent="0.25">
      <c r="A5845" t="s">
        <v>12424</v>
      </c>
      <c r="B5845" t="s">
        <v>34211</v>
      </c>
    </row>
    <row r="5846" spans="1:2" x14ac:dyDescent="0.25">
      <c r="A5846" t="s">
        <v>12354</v>
      </c>
      <c r="B5846" t="s">
        <v>12354</v>
      </c>
    </row>
    <row r="5847" spans="1:2" x14ac:dyDescent="0.25">
      <c r="A5847" t="s">
        <v>12872</v>
      </c>
      <c r="B5847" t="s">
        <v>34212</v>
      </c>
    </row>
    <row r="5848" spans="1:2" x14ac:dyDescent="0.25">
      <c r="A5848" t="s">
        <v>12817</v>
      </c>
      <c r="B5848" t="s">
        <v>12817</v>
      </c>
    </row>
    <row r="5849" spans="1:2" x14ac:dyDescent="0.25">
      <c r="A5849" t="s">
        <v>14100</v>
      </c>
      <c r="B5849" t="s">
        <v>34213</v>
      </c>
    </row>
    <row r="5850" spans="1:2" x14ac:dyDescent="0.25">
      <c r="A5850" t="s">
        <v>14252</v>
      </c>
      <c r="B5850" t="s">
        <v>34214</v>
      </c>
    </row>
    <row r="5851" spans="1:2" x14ac:dyDescent="0.25">
      <c r="A5851" t="s">
        <v>12433</v>
      </c>
      <c r="B5851" t="s">
        <v>34215</v>
      </c>
    </row>
    <row r="5852" spans="1:2" x14ac:dyDescent="0.25">
      <c r="A5852" t="s">
        <v>13974</v>
      </c>
      <c r="B5852" t="s">
        <v>34216</v>
      </c>
    </row>
    <row r="5853" spans="1:2" x14ac:dyDescent="0.25">
      <c r="A5853" t="s">
        <v>14445</v>
      </c>
      <c r="B5853" t="s">
        <v>34217</v>
      </c>
    </row>
    <row r="5854" spans="1:2" x14ac:dyDescent="0.25">
      <c r="A5854" t="s">
        <v>12652</v>
      </c>
      <c r="B5854" t="s">
        <v>12652</v>
      </c>
    </row>
    <row r="5855" spans="1:2" x14ac:dyDescent="0.25">
      <c r="A5855" t="s">
        <v>13583</v>
      </c>
      <c r="B5855" t="s">
        <v>34218</v>
      </c>
    </row>
    <row r="5856" spans="1:2" x14ac:dyDescent="0.25">
      <c r="A5856" t="s">
        <v>13793</v>
      </c>
      <c r="B5856" t="s">
        <v>34219</v>
      </c>
    </row>
    <row r="5857" spans="1:2" x14ac:dyDescent="0.25">
      <c r="A5857" t="s">
        <v>12867</v>
      </c>
      <c r="B5857" t="s">
        <v>12867</v>
      </c>
    </row>
    <row r="5858" spans="1:2" x14ac:dyDescent="0.25">
      <c r="A5858" t="s">
        <v>15237</v>
      </c>
      <c r="B5858" t="s">
        <v>34220</v>
      </c>
    </row>
    <row r="5859" spans="1:2" x14ac:dyDescent="0.25">
      <c r="A5859" t="s">
        <v>12805</v>
      </c>
      <c r="B5859" t="s">
        <v>12805</v>
      </c>
    </row>
    <row r="5860" spans="1:2" x14ac:dyDescent="0.25">
      <c r="A5860" t="s">
        <v>13851</v>
      </c>
      <c r="B5860" t="s">
        <v>34221</v>
      </c>
    </row>
    <row r="5861" spans="1:2" x14ac:dyDescent="0.25">
      <c r="A5861" t="s">
        <v>14763</v>
      </c>
      <c r="B5861" t="s">
        <v>34222</v>
      </c>
    </row>
    <row r="5862" spans="1:2" x14ac:dyDescent="0.25">
      <c r="A5862" t="s">
        <v>14757</v>
      </c>
      <c r="B5862" t="s">
        <v>34223</v>
      </c>
    </row>
    <row r="5863" spans="1:2" x14ac:dyDescent="0.25">
      <c r="A5863" t="s">
        <v>12831</v>
      </c>
      <c r="B5863" t="s">
        <v>12831</v>
      </c>
    </row>
    <row r="5864" spans="1:2" x14ac:dyDescent="0.25">
      <c r="A5864" t="s">
        <v>12447</v>
      </c>
      <c r="B5864" t="s">
        <v>34224</v>
      </c>
    </row>
    <row r="5865" spans="1:2" x14ac:dyDescent="0.25">
      <c r="A5865" t="s">
        <v>14875</v>
      </c>
      <c r="B5865" t="s">
        <v>34225</v>
      </c>
    </row>
    <row r="5866" spans="1:2" x14ac:dyDescent="0.25">
      <c r="A5866" t="s">
        <v>12813</v>
      </c>
      <c r="B5866" t="s">
        <v>12813</v>
      </c>
    </row>
    <row r="5867" spans="1:2" x14ac:dyDescent="0.25">
      <c r="A5867" t="s">
        <v>15341</v>
      </c>
      <c r="B5867" t="s">
        <v>15341</v>
      </c>
    </row>
    <row r="5868" spans="1:2" x14ac:dyDescent="0.25">
      <c r="A5868" t="s">
        <v>14205</v>
      </c>
      <c r="B5868" t="s">
        <v>34226</v>
      </c>
    </row>
    <row r="5869" spans="1:2" x14ac:dyDescent="0.25">
      <c r="A5869" t="s">
        <v>14000</v>
      </c>
      <c r="B5869" t="s">
        <v>34227</v>
      </c>
    </row>
    <row r="5870" spans="1:2" x14ac:dyDescent="0.25">
      <c r="A5870" t="s">
        <v>12725</v>
      </c>
      <c r="B5870" t="s">
        <v>12725</v>
      </c>
    </row>
    <row r="5871" spans="1:2" x14ac:dyDescent="0.25">
      <c r="A5871" t="s">
        <v>14770</v>
      </c>
      <c r="B5871" t="s">
        <v>34228</v>
      </c>
    </row>
    <row r="5872" spans="1:2" x14ac:dyDescent="0.25">
      <c r="A5872" t="s">
        <v>12510</v>
      </c>
      <c r="B5872" t="s">
        <v>12510</v>
      </c>
    </row>
    <row r="5873" spans="1:2" x14ac:dyDescent="0.25">
      <c r="A5873" t="s">
        <v>5697</v>
      </c>
      <c r="B5873" t="s">
        <v>5697</v>
      </c>
    </row>
    <row r="5874" spans="1:2" x14ac:dyDescent="0.25">
      <c r="A5874" t="s">
        <v>14982</v>
      </c>
      <c r="B5874" t="s">
        <v>14982</v>
      </c>
    </row>
    <row r="5875" spans="1:2" x14ac:dyDescent="0.25">
      <c r="A5875" t="s">
        <v>14846</v>
      </c>
      <c r="B5875" t="s">
        <v>14846</v>
      </c>
    </row>
    <row r="5876" spans="1:2" x14ac:dyDescent="0.25">
      <c r="A5876" t="s">
        <v>13658</v>
      </c>
      <c r="B5876" t="s">
        <v>34229</v>
      </c>
    </row>
    <row r="5877" spans="1:2" x14ac:dyDescent="0.25">
      <c r="A5877" t="s">
        <v>12434</v>
      </c>
      <c r="B5877" t="s">
        <v>12434</v>
      </c>
    </row>
    <row r="5878" spans="1:2" x14ac:dyDescent="0.25">
      <c r="A5878" t="s">
        <v>15083</v>
      </c>
      <c r="B5878" t="s">
        <v>34230</v>
      </c>
    </row>
    <row r="5879" spans="1:2" x14ac:dyDescent="0.25">
      <c r="A5879" t="s">
        <v>14374</v>
      </c>
      <c r="B5879" t="s">
        <v>34231</v>
      </c>
    </row>
    <row r="5880" spans="1:2" x14ac:dyDescent="0.25">
      <c r="A5880" t="s">
        <v>13754</v>
      </c>
      <c r="B5880" t="s">
        <v>34232</v>
      </c>
    </row>
    <row r="5881" spans="1:2" x14ac:dyDescent="0.25">
      <c r="A5881" t="s">
        <v>13236</v>
      </c>
      <c r="B5881" t="s">
        <v>34233</v>
      </c>
    </row>
    <row r="5882" spans="1:2" x14ac:dyDescent="0.25">
      <c r="A5882" t="s">
        <v>14523</v>
      </c>
      <c r="B5882" t="s">
        <v>34234</v>
      </c>
    </row>
    <row r="5883" spans="1:2" x14ac:dyDescent="0.25">
      <c r="A5883" t="s">
        <v>14628</v>
      </c>
      <c r="B5883" t="s">
        <v>34235</v>
      </c>
    </row>
    <row r="5884" spans="1:2" x14ac:dyDescent="0.25">
      <c r="A5884" t="s">
        <v>14245</v>
      </c>
      <c r="B5884" t="s">
        <v>34236</v>
      </c>
    </row>
    <row r="5885" spans="1:2" x14ac:dyDescent="0.25">
      <c r="A5885" t="s">
        <v>12545</v>
      </c>
      <c r="B5885" t="s">
        <v>34237</v>
      </c>
    </row>
    <row r="5886" spans="1:2" x14ac:dyDescent="0.25">
      <c r="A5886" t="s">
        <v>14608</v>
      </c>
      <c r="B5886" t="s">
        <v>34238</v>
      </c>
    </row>
    <row r="5887" spans="1:2" x14ac:dyDescent="0.25">
      <c r="A5887" t="s">
        <v>12446</v>
      </c>
      <c r="B5887" t="s">
        <v>12446</v>
      </c>
    </row>
    <row r="5888" spans="1:2" x14ac:dyDescent="0.25">
      <c r="A5888" t="s">
        <v>13797</v>
      </c>
      <c r="B5888" t="s">
        <v>34239</v>
      </c>
    </row>
    <row r="5889" spans="1:2" x14ac:dyDescent="0.25">
      <c r="A5889" t="s">
        <v>13422</v>
      </c>
      <c r="B5889" t="s">
        <v>34240</v>
      </c>
    </row>
    <row r="5890" spans="1:2" x14ac:dyDescent="0.25">
      <c r="A5890" t="s">
        <v>13972</v>
      </c>
      <c r="B5890" t="s">
        <v>34241</v>
      </c>
    </row>
    <row r="5891" spans="1:2" x14ac:dyDescent="0.25">
      <c r="A5891" t="s">
        <v>14537</v>
      </c>
      <c r="B5891" t="s">
        <v>34242</v>
      </c>
    </row>
    <row r="5892" spans="1:2" x14ac:dyDescent="0.25">
      <c r="A5892" t="s">
        <v>14169</v>
      </c>
      <c r="B5892" t="s">
        <v>34243</v>
      </c>
    </row>
    <row r="5893" spans="1:2" x14ac:dyDescent="0.25">
      <c r="A5893" t="s">
        <v>12613</v>
      </c>
      <c r="B5893" t="s">
        <v>12613</v>
      </c>
    </row>
    <row r="5894" spans="1:2" x14ac:dyDescent="0.25">
      <c r="A5894" t="s">
        <v>13090</v>
      </c>
      <c r="B5894" t="s">
        <v>34244</v>
      </c>
    </row>
    <row r="5895" spans="1:2" x14ac:dyDescent="0.25">
      <c r="A5895" t="s">
        <v>13579</v>
      </c>
      <c r="B5895" t="s">
        <v>34245</v>
      </c>
    </row>
    <row r="5896" spans="1:2" x14ac:dyDescent="0.25">
      <c r="A5896" t="s">
        <v>13356</v>
      </c>
      <c r="B5896" t="s">
        <v>34246</v>
      </c>
    </row>
    <row r="5897" spans="1:2" x14ac:dyDescent="0.25">
      <c r="A5897" t="s">
        <v>14660</v>
      </c>
      <c r="B5897" t="s">
        <v>34247</v>
      </c>
    </row>
    <row r="5898" spans="1:2" x14ac:dyDescent="0.25">
      <c r="A5898" t="s">
        <v>15216</v>
      </c>
      <c r="B5898" t="s">
        <v>34248</v>
      </c>
    </row>
    <row r="5899" spans="1:2" x14ac:dyDescent="0.25">
      <c r="A5899" t="s">
        <v>14862</v>
      </c>
      <c r="B5899" t="s">
        <v>14862</v>
      </c>
    </row>
    <row r="5900" spans="1:2" x14ac:dyDescent="0.25">
      <c r="A5900" t="s">
        <v>13121</v>
      </c>
      <c r="B5900" t="s">
        <v>34249</v>
      </c>
    </row>
    <row r="5901" spans="1:2" x14ac:dyDescent="0.25">
      <c r="A5901" t="s">
        <v>15225</v>
      </c>
      <c r="B5901" t="s">
        <v>34250</v>
      </c>
    </row>
    <row r="5902" spans="1:2" x14ac:dyDescent="0.25">
      <c r="A5902" t="s">
        <v>14146</v>
      </c>
      <c r="B5902" t="s">
        <v>34251</v>
      </c>
    </row>
    <row r="5903" spans="1:2" x14ac:dyDescent="0.25">
      <c r="A5903" t="s">
        <v>15414</v>
      </c>
      <c r="B5903" t="s">
        <v>15414</v>
      </c>
    </row>
    <row r="5904" spans="1:2" x14ac:dyDescent="0.25">
      <c r="A5904" t="s">
        <v>12551</v>
      </c>
      <c r="B5904" t="s">
        <v>12551</v>
      </c>
    </row>
    <row r="5905" spans="1:2" x14ac:dyDescent="0.25">
      <c r="A5905" t="s">
        <v>13904</v>
      </c>
      <c r="B5905" t="s">
        <v>34252</v>
      </c>
    </row>
    <row r="5906" spans="1:2" x14ac:dyDescent="0.25">
      <c r="A5906" t="s">
        <v>14031</v>
      </c>
      <c r="B5906" t="s">
        <v>14031</v>
      </c>
    </row>
    <row r="5907" spans="1:2" x14ac:dyDescent="0.25">
      <c r="A5907" t="s">
        <v>14110</v>
      </c>
      <c r="B5907" t="s">
        <v>34253</v>
      </c>
    </row>
    <row r="5908" spans="1:2" x14ac:dyDescent="0.25">
      <c r="A5908" t="s">
        <v>15029</v>
      </c>
      <c r="B5908" t="s">
        <v>34254</v>
      </c>
    </row>
    <row r="5909" spans="1:2" x14ac:dyDescent="0.25">
      <c r="A5909" t="s">
        <v>13368</v>
      </c>
      <c r="B5909" t="s">
        <v>13368</v>
      </c>
    </row>
    <row r="5910" spans="1:2" x14ac:dyDescent="0.25">
      <c r="A5910" t="s">
        <v>14686</v>
      </c>
      <c r="B5910" t="s">
        <v>29555</v>
      </c>
    </row>
    <row r="5911" spans="1:2" x14ac:dyDescent="0.25">
      <c r="A5911" t="s">
        <v>12352</v>
      </c>
      <c r="B5911" t="s">
        <v>12352</v>
      </c>
    </row>
    <row r="5912" spans="1:2" x14ac:dyDescent="0.25">
      <c r="A5912" t="s">
        <v>13137</v>
      </c>
      <c r="B5912" t="s">
        <v>34255</v>
      </c>
    </row>
    <row r="5913" spans="1:2" x14ac:dyDescent="0.25">
      <c r="A5913" t="s">
        <v>13267</v>
      </c>
      <c r="B5913" t="s">
        <v>34256</v>
      </c>
    </row>
    <row r="5914" spans="1:2" x14ac:dyDescent="0.25">
      <c r="A5914" t="s">
        <v>12696</v>
      </c>
      <c r="B5914" t="s">
        <v>12696</v>
      </c>
    </row>
    <row r="5915" spans="1:2" x14ac:dyDescent="0.25">
      <c r="A5915" t="s">
        <v>12798</v>
      </c>
      <c r="B5915" t="s">
        <v>12798</v>
      </c>
    </row>
    <row r="5916" spans="1:2" x14ac:dyDescent="0.25">
      <c r="A5916" t="s">
        <v>13896</v>
      </c>
      <c r="B5916" t="s">
        <v>13896</v>
      </c>
    </row>
    <row r="5917" spans="1:2" x14ac:dyDescent="0.25">
      <c r="A5917" t="s">
        <v>14055</v>
      </c>
      <c r="B5917" t="s">
        <v>14055</v>
      </c>
    </row>
    <row r="5918" spans="1:2" x14ac:dyDescent="0.25">
      <c r="A5918" t="s">
        <v>15097</v>
      </c>
      <c r="B5918" t="s">
        <v>34257</v>
      </c>
    </row>
    <row r="5919" spans="1:2" x14ac:dyDescent="0.25">
      <c r="A5919" t="s">
        <v>14201</v>
      </c>
      <c r="B5919" t="s">
        <v>34258</v>
      </c>
    </row>
    <row r="5920" spans="1:2" x14ac:dyDescent="0.25">
      <c r="A5920" t="s">
        <v>13474</v>
      </c>
      <c r="B5920" t="s">
        <v>34259</v>
      </c>
    </row>
    <row r="5921" spans="1:2" x14ac:dyDescent="0.25">
      <c r="A5921" t="s">
        <v>14025</v>
      </c>
      <c r="B5921" t="s">
        <v>14025</v>
      </c>
    </row>
    <row r="5922" spans="1:2" x14ac:dyDescent="0.25">
      <c r="A5922" t="s">
        <v>12520</v>
      </c>
      <c r="B5922" t="s">
        <v>12520</v>
      </c>
    </row>
    <row r="5923" spans="1:2" x14ac:dyDescent="0.25">
      <c r="A5923" t="s">
        <v>13464</v>
      </c>
      <c r="B5923" t="s">
        <v>34260</v>
      </c>
    </row>
    <row r="5924" spans="1:2" x14ac:dyDescent="0.25">
      <c r="A5924" t="s">
        <v>14794</v>
      </c>
      <c r="B5924" t="s">
        <v>20671</v>
      </c>
    </row>
    <row r="5925" spans="1:2" x14ac:dyDescent="0.25">
      <c r="A5925" t="s">
        <v>13158</v>
      </c>
      <c r="B5925" t="s">
        <v>34261</v>
      </c>
    </row>
    <row r="5926" spans="1:2" x14ac:dyDescent="0.25">
      <c r="A5926" t="s">
        <v>12729</v>
      </c>
      <c r="B5926" t="s">
        <v>34262</v>
      </c>
    </row>
    <row r="5927" spans="1:2" x14ac:dyDescent="0.25">
      <c r="A5927" t="s">
        <v>15325</v>
      </c>
      <c r="B5927" t="s">
        <v>34263</v>
      </c>
    </row>
    <row r="5928" spans="1:2" x14ac:dyDescent="0.25">
      <c r="A5928" t="s">
        <v>14096</v>
      </c>
      <c r="B5928" t="s">
        <v>34264</v>
      </c>
    </row>
    <row r="5929" spans="1:2" x14ac:dyDescent="0.25">
      <c r="A5929" t="s">
        <v>15491</v>
      </c>
      <c r="B5929" t="s">
        <v>15491</v>
      </c>
    </row>
    <row r="5930" spans="1:2" x14ac:dyDescent="0.25">
      <c r="A5930" t="s">
        <v>12665</v>
      </c>
      <c r="B5930" t="s">
        <v>34265</v>
      </c>
    </row>
    <row r="5931" spans="1:2" x14ac:dyDescent="0.25">
      <c r="A5931" t="s">
        <v>14164</v>
      </c>
      <c r="B5931" t="s">
        <v>34266</v>
      </c>
    </row>
    <row r="5932" spans="1:2" x14ac:dyDescent="0.25">
      <c r="A5932" t="s">
        <v>15323</v>
      </c>
      <c r="B5932" t="s">
        <v>34267</v>
      </c>
    </row>
    <row r="5933" spans="1:2" x14ac:dyDescent="0.25">
      <c r="A5933" t="s">
        <v>12494</v>
      </c>
      <c r="B5933" t="s">
        <v>12494</v>
      </c>
    </row>
    <row r="5934" spans="1:2" x14ac:dyDescent="0.25">
      <c r="A5934" t="s">
        <v>14575</v>
      </c>
      <c r="B5934" t="s">
        <v>14575</v>
      </c>
    </row>
    <row r="5935" spans="1:2" x14ac:dyDescent="0.25">
      <c r="A5935" t="s">
        <v>13404</v>
      </c>
      <c r="B5935" t="s">
        <v>34268</v>
      </c>
    </row>
    <row r="5936" spans="1:2" x14ac:dyDescent="0.25">
      <c r="A5936" t="s">
        <v>14796</v>
      </c>
      <c r="B5936" t="s">
        <v>34269</v>
      </c>
    </row>
    <row r="5937" spans="1:2" x14ac:dyDescent="0.25">
      <c r="A5937" t="s">
        <v>12741</v>
      </c>
      <c r="B5937" t="s">
        <v>34270</v>
      </c>
    </row>
    <row r="5938" spans="1:2" x14ac:dyDescent="0.25">
      <c r="A5938" t="s">
        <v>12370</v>
      </c>
      <c r="B5938" t="s">
        <v>12370</v>
      </c>
    </row>
    <row r="5939" spans="1:2" x14ac:dyDescent="0.25">
      <c r="A5939" t="s">
        <v>300</v>
      </c>
      <c r="B5939" t="s">
        <v>34271</v>
      </c>
    </row>
    <row r="5940" spans="1:2" x14ac:dyDescent="0.25">
      <c r="A5940" t="s">
        <v>14500</v>
      </c>
      <c r="B5940" t="s">
        <v>34272</v>
      </c>
    </row>
    <row r="5941" spans="1:2" x14ac:dyDescent="0.25">
      <c r="A5941" t="s">
        <v>13172</v>
      </c>
      <c r="B5941" t="s">
        <v>13172</v>
      </c>
    </row>
    <row r="5942" spans="1:2" x14ac:dyDescent="0.25">
      <c r="A5942" t="s">
        <v>14658</v>
      </c>
      <c r="B5942" t="s">
        <v>34273</v>
      </c>
    </row>
    <row r="5943" spans="1:2" x14ac:dyDescent="0.25">
      <c r="A5943" t="s">
        <v>14451</v>
      </c>
      <c r="B5943" t="s">
        <v>34274</v>
      </c>
    </row>
    <row r="5944" spans="1:2" x14ac:dyDescent="0.25">
      <c r="A5944" t="s">
        <v>15305</v>
      </c>
      <c r="B5944" t="s">
        <v>26802</v>
      </c>
    </row>
    <row r="5945" spans="1:2" x14ac:dyDescent="0.25">
      <c r="A5945" t="s">
        <v>12933</v>
      </c>
      <c r="B5945" t="s">
        <v>34275</v>
      </c>
    </row>
    <row r="5946" spans="1:2" x14ac:dyDescent="0.25">
      <c r="A5946" t="s">
        <v>12842</v>
      </c>
      <c r="B5946" t="s">
        <v>34276</v>
      </c>
    </row>
    <row r="5947" spans="1:2" x14ac:dyDescent="0.25">
      <c r="A5947" t="s">
        <v>13027</v>
      </c>
      <c r="B5947" t="s">
        <v>34277</v>
      </c>
    </row>
    <row r="5948" spans="1:2" x14ac:dyDescent="0.25">
      <c r="A5948" t="s">
        <v>13817</v>
      </c>
      <c r="B5948" t="s">
        <v>34278</v>
      </c>
    </row>
    <row r="5949" spans="1:2" x14ac:dyDescent="0.25">
      <c r="A5949" t="s">
        <v>296</v>
      </c>
      <c r="B5949" t="s">
        <v>34279</v>
      </c>
    </row>
    <row r="5950" spans="1:2" x14ac:dyDescent="0.25">
      <c r="A5950" t="s">
        <v>12706</v>
      </c>
      <c r="B5950" t="s">
        <v>12706</v>
      </c>
    </row>
    <row r="5951" spans="1:2" x14ac:dyDescent="0.25">
      <c r="A5951" t="s">
        <v>12974</v>
      </c>
      <c r="B5951" t="s">
        <v>34280</v>
      </c>
    </row>
    <row r="5952" spans="1:2" x14ac:dyDescent="0.25">
      <c r="A5952" t="s">
        <v>14130</v>
      </c>
      <c r="B5952" t="s">
        <v>14130</v>
      </c>
    </row>
    <row r="5953" spans="1:2" x14ac:dyDescent="0.25">
      <c r="A5953" t="s">
        <v>15159</v>
      </c>
      <c r="B5953" t="s">
        <v>22852</v>
      </c>
    </row>
    <row r="5954" spans="1:2" x14ac:dyDescent="0.25">
      <c r="A5954" t="s">
        <v>13230</v>
      </c>
      <c r="B5954" t="s">
        <v>34281</v>
      </c>
    </row>
    <row r="5955" spans="1:2" x14ac:dyDescent="0.25">
      <c r="A5955" t="s">
        <v>13954</v>
      </c>
      <c r="B5955" t="s">
        <v>33010</v>
      </c>
    </row>
    <row r="5956" spans="1:2" x14ac:dyDescent="0.25">
      <c r="A5956" t="s">
        <v>12863</v>
      </c>
      <c r="B5956" t="s">
        <v>12863</v>
      </c>
    </row>
    <row r="5957" spans="1:2" x14ac:dyDescent="0.25">
      <c r="A5957" t="s">
        <v>12579</v>
      </c>
      <c r="B5957" t="s">
        <v>34282</v>
      </c>
    </row>
    <row r="5958" spans="1:2" x14ac:dyDescent="0.25">
      <c r="A5958" t="s">
        <v>12858</v>
      </c>
      <c r="B5958" t="s">
        <v>12858</v>
      </c>
    </row>
    <row r="5959" spans="1:2" x14ac:dyDescent="0.25">
      <c r="A5959" t="s">
        <v>14643</v>
      </c>
      <c r="B5959" t="s">
        <v>34283</v>
      </c>
    </row>
    <row r="5960" spans="1:2" x14ac:dyDescent="0.25">
      <c r="A5960" t="s">
        <v>15442</v>
      </c>
      <c r="B5960" t="s">
        <v>15442</v>
      </c>
    </row>
    <row r="5961" spans="1:2" x14ac:dyDescent="0.25">
      <c r="A5961" t="s">
        <v>14999</v>
      </c>
      <c r="B5961" t="s">
        <v>34284</v>
      </c>
    </row>
    <row r="5962" spans="1:2" x14ac:dyDescent="0.25">
      <c r="A5962" t="s">
        <v>14728</v>
      </c>
      <c r="B5962" t="s">
        <v>14728</v>
      </c>
    </row>
    <row r="5963" spans="1:2" x14ac:dyDescent="0.25">
      <c r="A5963" t="s">
        <v>15013</v>
      </c>
      <c r="B5963" t="s">
        <v>34285</v>
      </c>
    </row>
    <row r="5964" spans="1:2" x14ac:dyDescent="0.25">
      <c r="A5964" t="s">
        <v>13786</v>
      </c>
      <c r="B5964" t="s">
        <v>34286</v>
      </c>
    </row>
    <row r="5965" spans="1:2" x14ac:dyDescent="0.25">
      <c r="A5965" t="s">
        <v>13844</v>
      </c>
      <c r="B5965" t="s">
        <v>34287</v>
      </c>
    </row>
    <row r="5966" spans="1:2" x14ac:dyDescent="0.25">
      <c r="A5966" t="s">
        <v>13372</v>
      </c>
      <c r="B5966" t="s">
        <v>13372</v>
      </c>
    </row>
    <row r="5967" spans="1:2" x14ac:dyDescent="0.25">
      <c r="A5967" t="s">
        <v>13859</v>
      </c>
      <c r="B5967" t="s">
        <v>13859</v>
      </c>
    </row>
    <row r="5968" spans="1:2" x14ac:dyDescent="0.25">
      <c r="A5968" t="s">
        <v>14106</v>
      </c>
      <c r="B5968" t="s">
        <v>22799</v>
      </c>
    </row>
    <row r="5969" spans="1:2" x14ac:dyDescent="0.25">
      <c r="A5969" t="s">
        <v>13185</v>
      </c>
      <c r="B5969" t="s">
        <v>34288</v>
      </c>
    </row>
    <row r="5970" spans="1:2" x14ac:dyDescent="0.25">
      <c r="A5970" t="s">
        <v>12341</v>
      </c>
      <c r="B5970" t="s">
        <v>34289</v>
      </c>
    </row>
    <row r="5971" spans="1:2" x14ac:dyDescent="0.25">
      <c r="A5971" t="s">
        <v>12759</v>
      </c>
      <c r="B5971" t="s">
        <v>34290</v>
      </c>
    </row>
    <row r="5972" spans="1:2" x14ac:dyDescent="0.25">
      <c r="A5972" t="s">
        <v>12316</v>
      </c>
      <c r="B5972" t="s">
        <v>34291</v>
      </c>
    </row>
    <row r="5973" spans="1:2" x14ac:dyDescent="0.25">
      <c r="A5973" t="s">
        <v>13673</v>
      </c>
      <c r="B5973" t="s">
        <v>13673</v>
      </c>
    </row>
    <row r="5974" spans="1:2" x14ac:dyDescent="0.25">
      <c r="A5974" t="s">
        <v>12566</v>
      </c>
      <c r="B5974" t="s">
        <v>34292</v>
      </c>
    </row>
    <row r="5975" spans="1:2" x14ac:dyDescent="0.25">
      <c r="A5975" t="s">
        <v>14552</v>
      </c>
      <c r="B5975" t="s">
        <v>34293</v>
      </c>
    </row>
    <row r="5976" spans="1:2" x14ac:dyDescent="0.25">
      <c r="A5976" t="s">
        <v>12393</v>
      </c>
      <c r="B5976" t="s">
        <v>12393</v>
      </c>
    </row>
    <row r="5977" spans="1:2" x14ac:dyDescent="0.25">
      <c r="A5977" t="s">
        <v>260</v>
      </c>
      <c r="B5977" t="s">
        <v>34294</v>
      </c>
    </row>
    <row r="5978" spans="1:2" x14ac:dyDescent="0.25">
      <c r="A5978" t="s">
        <v>13390</v>
      </c>
      <c r="B5978" t="s">
        <v>13390</v>
      </c>
    </row>
    <row r="5979" spans="1:2" x14ac:dyDescent="0.25">
      <c r="A5979" t="s">
        <v>14409</v>
      </c>
      <c r="B5979" t="s">
        <v>34295</v>
      </c>
    </row>
    <row r="5980" spans="1:2" x14ac:dyDescent="0.25">
      <c r="A5980" t="s">
        <v>14250</v>
      </c>
      <c r="B5980" t="s">
        <v>34296</v>
      </c>
    </row>
    <row r="5981" spans="1:2" x14ac:dyDescent="0.25">
      <c r="A5981" t="s">
        <v>13651</v>
      </c>
      <c r="B5981" t="s">
        <v>34297</v>
      </c>
    </row>
    <row r="5982" spans="1:2" x14ac:dyDescent="0.25">
      <c r="A5982" t="s">
        <v>15438</v>
      </c>
      <c r="B5982" t="s">
        <v>15438</v>
      </c>
    </row>
    <row r="5983" spans="1:2" x14ac:dyDescent="0.25">
      <c r="A5983" t="s">
        <v>12396</v>
      </c>
      <c r="B5983" t="s">
        <v>12396</v>
      </c>
    </row>
    <row r="5984" spans="1:2" x14ac:dyDescent="0.25">
      <c r="A5984" t="s">
        <v>12508</v>
      </c>
      <c r="B5984" t="s">
        <v>12508</v>
      </c>
    </row>
    <row r="5985" spans="1:2" x14ac:dyDescent="0.25">
      <c r="A5985" t="s">
        <v>13931</v>
      </c>
      <c r="B5985" t="s">
        <v>34298</v>
      </c>
    </row>
    <row r="5986" spans="1:2" x14ac:dyDescent="0.25">
      <c r="A5986" t="s">
        <v>12382</v>
      </c>
      <c r="B5986" t="s">
        <v>12382</v>
      </c>
    </row>
    <row r="5987" spans="1:2" x14ac:dyDescent="0.25">
      <c r="A5987" t="s">
        <v>14377</v>
      </c>
      <c r="B5987" t="s">
        <v>34299</v>
      </c>
    </row>
    <row r="5988" spans="1:2" x14ac:dyDescent="0.25">
      <c r="A5988" t="s">
        <v>13274</v>
      </c>
      <c r="B5988" t="s">
        <v>34300</v>
      </c>
    </row>
    <row r="5989" spans="1:2" x14ac:dyDescent="0.25">
      <c r="A5989" t="s">
        <v>12694</v>
      </c>
      <c r="B5989" t="s">
        <v>12694</v>
      </c>
    </row>
    <row r="5990" spans="1:2" x14ac:dyDescent="0.25">
      <c r="A5990" t="s">
        <v>12707</v>
      </c>
      <c r="B5990" t="s">
        <v>12707</v>
      </c>
    </row>
    <row r="5991" spans="1:2" x14ac:dyDescent="0.25">
      <c r="A5991" t="s">
        <v>12419</v>
      </c>
      <c r="B5991" t="s">
        <v>34301</v>
      </c>
    </row>
    <row r="5992" spans="1:2" x14ac:dyDescent="0.25">
      <c r="A5992" t="s">
        <v>14806</v>
      </c>
      <c r="B5992" t="s">
        <v>34302</v>
      </c>
    </row>
    <row r="5993" spans="1:2" x14ac:dyDescent="0.25">
      <c r="A5993" t="s">
        <v>15044</v>
      </c>
      <c r="B5993" t="s">
        <v>15044</v>
      </c>
    </row>
    <row r="5994" spans="1:2" x14ac:dyDescent="0.25">
      <c r="A5994" t="s">
        <v>15376</v>
      </c>
      <c r="B5994" t="s">
        <v>15376</v>
      </c>
    </row>
    <row r="5995" spans="1:2" x14ac:dyDescent="0.25">
      <c r="A5995" t="s">
        <v>15196</v>
      </c>
      <c r="B5995" t="s">
        <v>15196</v>
      </c>
    </row>
    <row r="5996" spans="1:2" x14ac:dyDescent="0.25">
      <c r="A5996" t="s">
        <v>13460</v>
      </c>
      <c r="B5996" t="s">
        <v>34303</v>
      </c>
    </row>
    <row r="5997" spans="1:2" x14ac:dyDescent="0.25">
      <c r="A5997" t="s">
        <v>12961</v>
      </c>
      <c r="B5997" t="s">
        <v>34304</v>
      </c>
    </row>
    <row r="5998" spans="1:2" x14ac:dyDescent="0.25">
      <c r="A5998" t="s">
        <v>12761</v>
      </c>
      <c r="B5998" t="s">
        <v>12761</v>
      </c>
    </row>
    <row r="5999" spans="1:2" x14ac:dyDescent="0.25">
      <c r="A5999" t="s">
        <v>14749</v>
      </c>
      <c r="B5999" t="s">
        <v>34305</v>
      </c>
    </row>
    <row r="6000" spans="1:2" x14ac:dyDescent="0.25">
      <c r="A6000" t="s">
        <v>15425</v>
      </c>
      <c r="B6000" t="s">
        <v>15425</v>
      </c>
    </row>
    <row r="6001" spans="1:2" x14ac:dyDescent="0.25">
      <c r="A6001" t="s">
        <v>15474</v>
      </c>
      <c r="B6001" t="s">
        <v>15474</v>
      </c>
    </row>
    <row r="6002" spans="1:2" x14ac:dyDescent="0.25">
      <c r="A6002" t="s">
        <v>14359</v>
      </c>
      <c r="B6002" t="s">
        <v>34306</v>
      </c>
    </row>
    <row r="6003" spans="1:2" x14ac:dyDescent="0.25">
      <c r="A6003" t="s">
        <v>14398</v>
      </c>
      <c r="B6003" t="s">
        <v>34307</v>
      </c>
    </row>
    <row r="6004" spans="1:2" x14ac:dyDescent="0.25">
      <c r="A6004" t="s">
        <v>14845</v>
      </c>
      <c r="B6004" t="s">
        <v>34308</v>
      </c>
    </row>
    <row r="6005" spans="1:2" x14ac:dyDescent="0.25">
      <c r="A6005" t="s">
        <v>13990</v>
      </c>
      <c r="B6005" t="s">
        <v>34309</v>
      </c>
    </row>
    <row r="6006" spans="1:2" x14ac:dyDescent="0.25">
      <c r="A6006" t="s">
        <v>14152</v>
      </c>
      <c r="B6006" t="s">
        <v>34310</v>
      </c>
    </row>
    <row r="6007" spans="1:2" x14ac:dyDescent="0.25">
      <c r="A6007" t="s">
        <v>13364</v>
      </c>
      <c r="B6007" t="s">
        <v>34311</v>
      </c>
    </row>
    <row r="6008" spans="1:2" x14ac:dyDescent="0.25">
      <c r="A6008" t="s">
        <v>12839</v>
      </c>
      <c r="B6008" t="s">
        <v>12839</v>
      </c>
    </row>
    <row r="6009" spans="1:2" x14ac:dyDescent="0.25">
      <c r="A6009" t="s">
        <v>14269</v>
      </c>
      <c r="B6009" t="s">
        <v>34312</v>
      </c>
    </row>
    <row r="6010" spans="1:2" x14ac:dyDescent="0.25">
      <c r="A6010" t="s">
        <v>12672</v>
      </c>
      <c r="B6010" t="s">
        <v>34313</v>
      </c>
    </row>
    <row r="6011" spans="1:2" x14ac:dyDescent="0.25">
      <c r="A6011" t="s">
        <v>12823</v>
      </c>
      <c r="B6011" t="s">
        <v>34314</v>
      </c>
    </row>
    <row r="6012" spans="1:2" x14ac:dyDescent="0.25">
      <c r="A6012" t="s">
        <v>12943</v>
      </c>
      <c r="B6012" t="s">
        <v>34315</v>
      </c>
    </row>
    <row r="6013" spans="1:2" x14ac:dyDescent="0.25">
      <c r="A6013" t="s">
        <v>12456</v>
      </c>
      <c r="B6013" t="s">
        <v>12456</v>
      </c>
    </row>
    <row r="6014" spans="1:2" x14ac:dyDescent="0.25">
      <c r="A6014" t="s">
        <v>15073</v>
      </c>
      <c r="B6014" t="s">
        <v>15073</v>
      </c>
    </row>
    <row r="6015" spans="1:2" x14ac:dyDescent="0.25">
      <c r="A6015" t="s">
        <v>15432</v>
      </c>
      <c r="B6015" t="s">
        <v>34316</v>
      </c>
    </row>
    <row r="6016" spans="1:2" x14ac:dyDescent="0.25">
      <c r="A6016" t="s">
        <v>13785</v>
      </c>
      <c r="B6016" t="s">
        <v>34317</v>
      </c>
    </row>
    <row r="6017" spans="1:2" x14ac:dyDescent="0.25">
      <c r="A6017" t="s">
        <v>13826</v>
      </c>
      <c r="B6017" t="s">
        <v>34318</v>
      </c>
    </row>
    <row r="6018" spans="1:2" x14ac:dyDescent="0.25">
      <c r="A6018" t="s">
        <v>14076</v>
      </c>
      <c r="B6018" t="s">
        <v>34319</v>
      </c>
    </row>
    <row r="6019" spans="1:2" x14ac:dyDescent="0.25">
      <c r="A6019" t="s">
        <v>15470</v>
      </c>
      <c r="B6019" t="s">
        <v>15470</v>
      </c>
    </row>
    <row r="6020" spans="1:2" x14ac:dyDescent="0.25">
      <c r="A6020" t="s">
        <v>12800</v>
      </c>
      <c r="B6020" t="s">
        <v>12800</v>
      </c>
    </row>
    <row r="6021" spans="1:2" x14ac:dyDescent="0.25">
      <c r="A6021" t="s">
        <v>12666</v>
      </c>
      <c r="B6021" t="s">
        <v>34320</v>
      </c>
    </row>
    <row r="6022" spans="1:2" x14ac:dyDescent="0.25">
      <c r="A6022" t="s">
        <v>15208</v>
      </c>
      <c r="B6022" t="s">
        <v>34321</v>
      </c>
    </row>
    <row r="6023" spans="1:2" x14ac:dyDescent="0.25">
      <c r="A6023" t="s">
        <v>15202</v>
      </c>
      <c r="B6023" t="s">
        <v>34322</v>
      </c>
    </row>
    <row r="6024" spans="1:2" x14ac:dyDescent="0.25">
      <c r="A6024" t="s">
        <v>13087</v>
      </c>
      <c r="B6024" t="s">
        <v>34323</v>
      </c>
    </row>
    <row r="6025" spans="1:2" x14ac:dyDescent="0.25">
      <c r="A6025" t="s">
        <v>15066</v>
      </c>
      <c r="B6025" t="s">
        <v>34324</v>
      </c>
    </row>
    <row r="6026" spans="1:2" x14ac:dyDescent="0.25">
      <c r="A6026" t="s">
        <v>12398</v>
      </c>
      <c r="B6026" t="s">
        <v>34325</v>
      </c>
    </row>
    <row r="6027" spans="1:2" x14ac:dyDescent="0.25">
      <c r="A6027" t="s">
        <v>15261</v>
      </c>
      <c r="B6027" t="s">
        <v>15261</v>
      </c>
    </row>
    <row r="6028" spans="1:2" x14ac:dyDescent="0.25">
      <c r="A6028" t="s">
        <v>12655</v>
      </c>
      <c r="B6028" t="s">
        <v>34326</v>
      </c>
    </row>
    <row r="6029" spans="1:2" x14ac:dyDescent="0.25">
      <c r="A6029" t="s">
        <v>15213</v>
      </c>
      <c r="B6029" t="s">
        <v>25489</v>
      </c>
    </row>
    <row r="6030" spans="1:2" x14ac:dyDescent="0.25">
      <c r="A6030" t="s">
        <v>13005</v>
      </c>
      <c r="B6030" t="s">
        <v>13005</v>
      </c>
    </row>
    <row r="6031" spans="1:2" x14ac:dyDescent="0.25">
      <c r="A6031" t="s">
        <v>12333</v>
      </c>
      <c r="B6031" t="s">
        <v>34327</v>
      </c>
    </row>
    <row r="6032" spans="1:2" x14ac:dyDescent="0.25">
      <c r="A6032" t="s">
        <v>13416</v>
      </c>
      <c r="B6032" t="s">
        <v>34328</v>
      </c>
    </row>
    <row r="6033" spans="1:2" x14ac:dyDescent="0.25">
      <c r="A6033" t="s">
        <v>15036</v>
      </c>
      <c r="B6033" t="s">
        <v>34329</v>
      </c>
    </row>
    <row r="6034" spans="1:2" x14ac:dyDescent="0.25">
      <c r="A6034" t="s">
        <v>13159</v>
      </c>
      <c r="B6034" t="s">
        <v>34330</v>
      </c>
    </row>
    <row r="6035" spans="1:2" x14ac:dyDescent="0.25">
      <c r="A6035" t="s">
        <v>12935</v>
      </c>
      <c r="B6035" t="s">
        <v>34331</v>
      </c>
    </row>
    <row r="6036" spans="1:2" x14ac:dyDescent="0.25">
      <c r="A6036" t="s">
        <v>34332</v>
      </c>
      <c r="B6036" t="s">
        <v>34332</v>
      </c>
    </row>
    <row r="6037" spans="1:2" x14ac:dyDescent="0.25">
      <c r="A6037" t="s">
        <v>15292</v>
      </c>
      <c r="B6037" t="s">
        <v>34333</v>
      </c>
    </row>
    <row r="6038" spans="1:2" x14ac:dyDescent="0.25">
      <c r="A6038" t="s">
        <v>14681</v>
      </c>
      <c r="B6038" t="s">
        <v>34334</v>
      </c>
    </row>
    <row r="6039" spans="1:2" x14ac:dyDescent="0.25">
      <c r="A6039" t="s">
        <v>14662</v>
      </c>
      <c r="B6039" t="s">
        <v>34335</v>
      </c>
    </row>
    <row r="6040" spans="1:2" x14ac:dyDescent="0.25">
      <c r="A6040" t="s">
        <v>12972</v>
      </c>
      <c r="B6040" t="s">
        <v>34336</v>
      </c>
    </row>
    <row r="6041" spans="1:2" x14ac:dyDescent="0.25">
      <c r="A6041" t="s">
        <v>14338</v>
      </c>
      <c r="B6041" t="s">
        <v>34337</v>
      </c>
    </row>
    <row r="6042" spans="1:2" x14ac:dyDescent="0.25">
      <c r="A6042" t="s">
        <v>13836</v>
      </c>
      <c r="B6042" t="s">
        <v>34338</v>
      </c>
    </row>
    <row r="6043" spans="1:2" x14ac:dyDescent="0.25">
      <c r="A6043" t="s">
        <v>14529</v>
      </c>
      <c r="B6043" t="s">
        <v>34339</v>
      </c>
    </row>
    <row r="6044" spans="1:2" x14ac:dyDescent="0.25">
      <c r="A6044" t="s">
        <v>14965</v>
      </c>
      <c r="B6044" t="s">
        <v>34340</v>
      </c>
    </row>
    <row r="6045" spans="1:2" x14ac:dyDescent="0.25">
      <c r="A6045" t="s">
        <v>12843</v>
      </c>
      <c r="B6045" t="s">
        <v>12843</v>
      </c>
    </row>
    <row r="6046" spans="1:2" x14ac:dyDescent="0.25">
      <c r="A6046" t="s">
        <v>14417</v>
      </c>
      <c r="B6046" t="s">
        <v>34341</v>
      </c>
    </row>
    <row r="6047" spans="1:2" x14ac:dyDescent="0.25">
      <c r="A6047" t="s">
        <v>14470</v>
      </c>
      <c r="B6047" t="s">
        <v>34342</v>
      </c>
    </row>
    <row r="6048" spans="1:2" x14ac:dyDescent="0.25">
      <c r="A6048" t="s">
        <v>13298</v>
      </c>
      <c r="B6048" t="s">
        <v>34343</v>
      </c>
    </row>
    <row r="6049" spans="1:2" x14ac:dyDescent="0.25">
      <c r="A6049" t="s">
        <v>12947</v>
      </c>
      <c r="B6049" t="s">
        <v>34344</v>
      </c>
    </row>
    <row r="6050" spans="1:2" x14ac:dyDescent="0.25">
      <c r="A6050" t="s">
        <v>13212</v>
      </c>
      <c r="B6050" t="s">
        <v>34345</v>
      </c>
    </row>
    <row r="6051" spans="1:2" x14ac:dyDescent="0.25">
      <c r="A6051" t="s">
        <v>13128</v>
      </c>
      <c r="B6051" t="s">
        <v>34346</v>
      </c>
    </row>
    <row r="6052" spans="1:2" x14ac:dyDescent="0.25">
      <c r="A6052" t="s">
        <v>14894</v>
      </c>
      <c r="B6052" t="s">
        <v>34347</v>
      </c>
    </row>
    <row r="6053" spans="1:2" x14ac:dyDescent="0.25">
      <c r="A6053" t="s">
        <v>416</v>
      </c>
      <c r="B6053" t="s">
        <v>416</v>
      </c>
    </row>
    <row r="6054" spans="1:2" x14ac:dyDescent="0.25">
      <c r="A6054" t="s">
        <v>14311</v>
      </c>
      <c r="B6054" t="s">
        <v>34348</v>
      </c>
    </row>
    <row r="6055" spans="1:2" x14ac:dyDescent="0.25">
      <c r="A6055" t="s">
        <v>12668</v>
      </c>
      <c r="B6055" t="s">
        <v>34349</v>
      </c>
    </row>
    <row r="6056" spans="1:2" x14ac:dyDescent="0.25">
      <c r="A6056" t="s">
        <v>15409</v>
      </c>
      <c r="B6056" t="s">
        <v>34350</v>
      </c>
    </row>
    <row r="6057" spans="1:2" x14ac:dyDescent="0.25">
      <c r="A6057" t="s">
        <v>15123</v>
      </c>
      <c r="B6057" t="s">
        <v>34351</v>
      </c>
    </row>
    <row r="6058" spans="1:2" x14ac:dyDescent="0.25">
      <c r="A6058" t="s">
        <v>14142</v>
      </c>
      <c r="B6058" t="s">
        <v>34352</v>
      </c>
    </row>
    <row r="6059" spans="1:2" x14ac:dyDescent="0.25">
      <c r="A6059" t="s">
        <v>14942</v>
      </c>
      <c r="B6059" t="s">
        <v>34353</v>
      </c>
    </row>
    <row r="6060" spans="1:2" x14ac:dyDescent="0.25">
      <c r="A6060" t="s">
        <v>14633</v>
      </c>
      <c r="B6060" t="s">
        <v>34354</v>
      </c>
    </row>
    <row r="6061" spans="1:2" x14ac:dyDescent="0.25">
      <c r="A6061" t="s">
        <v>12335</v>
      </c>
      <c r="B6061" t="s">
        <v>12335</v>
      </c>
    </row>
    <row r="6062" spans="1:2" x14ac:dyDescent="0.25">
      <c r="A6062" t="s">
        <v>4753</v>
      </c>
      <c r="B6062" t="s">
        <v>4753</v>
      </c>
    </row>
    <row r="6063" spans="1:2" x14ac:dyDescent="0.25">
      <c r="A6063" t="s">
        <v>15219</v>
      </c>
      <c r="B6063" t="s">
        <v>15219</v>
      </c>
    </row>
    <row r="6064" spans="1:2" x14ac:dyDescent="0.25">
      <c r="A6064" t="s">
        <v>12497</v>
      </c>
      <c r="B6064" t="s">
        <v>12497</v>
      </c>
    </row>
    <row r="6065" spans="1:2" x14ac:dyDescent="0.25">
      <c r="A6065" t="s">
        <v>14970</v>
      </c>
      <c r="B6065" t="s">
        <v>34355</v>
      </c>
    </row>
    <row r="6066" spans="1:2" x14ac:dyDescent="0.25">
      <c r="A6066" t="s">
        <v>15050</v>
      </c>
      <c r="B6066" t="s">
        <v>15050</v>
      </c>
    </row>
    <row r="6067" spans="1:2" x14ac:dyDescent="0.25">
      <c r="A6067" t="s">
        <v>14738</v>
      </c>
      <c r="B6067" t="s">
        <v>34356</v>
      </c>
    </row>
    <row r="6068" spans="1:2" x14ac:dyDescent="0.25">
      <c r="A6068" t="s">
        <v>14333</v>
      </c>
      <c r="B6068" t="s">
        <v>34357</v>
      </c>
    </row>
    <row r="6069" spans="1:2" x14ac:dyDescent="0.25">
      <c r="A6069" t="s">
        <v>304</v>
      </c>
      <c r="B6069" t="s">
        <v>34358</v>
      </c>
    </row>
    <row r="6070" spans="1:2" x14ac:dyDescent="0.25">
      <c r="A6070" t="s">
        <v>14543</v>
      </c>
      <c r="B6070" t="s">
        <v>34359</v>
      </c>
    </row>
    <row r="6071" spans="1:2" x14ac:dyDescent="0.25">
      <c r="A6071" t="s">
        <v>13232</v>
      </c>
      <c r="B6071" t="s">
        <v>13232</v>
      </c>
    </row>
    <row r="6072" spans="1:2" x14ac:dyDescent="0.25">
      <c r="A6072" t="s">
        <v>13595</v>
      </c>
      <c r="B6072" t="s">
        <v>34360</v>
      </c>
    </row>
    <row r="6073" spans="1:2" x14ac:dyDescent="0.25">
      <c r="A6073" t="s">
        <v>14190</v>
      </c>
      <c r="B6073" t="s">
        <v>34361</v>
      </c>
    </row>
    <row r="6074" spans="1:2" x14ac:dyDescent="0.25">
      <c r="A6074" t="s">
        <v>14626</v>
      </c>
      <c r="B6074" t="s">
        <v>34362</v>
      </c>
    </row>
    <row r="6075" spans="1:2" x14ac:dyDescent="0.25">
      <c r="A6075" t="s">
        <v>14962</v>
      </c>
      <c r="B6075" t="s">
        <v>34121</v>
      </c>
    </row>
    <row r="6076" spans="1:2" x14ac:dyDescent="0.25">
      <c r="A6076" t="s">
        <v>12314</v>
      </c>
      <c r="B6076" t="s">
        <v>34363</v>
      </c>
    </row>
    <row r="6077" spans="1:2" x14ac:dyDescent="0.25">
      <c r="A6077" t="s">
        <v>14950</v>
      </c>
      <c r="B6077" t="s">
        <v>34364</v>
      </c>
    </row>
    <row r="6078" spans="1:2" x14ac:dyDescent="0.25">
      <c r="A6078" t="s">
        <v>15172</v>
      </c>
      <c r="B6078" t="s">
        <v>34365</v>
      </c>
    </row>
    <row r="6079" spans="1:2" x14ac:dyDescent="0.25">
      <c r="A6079" t="s">
        <v>336</v>
      </c>
      <c r="B6079" t="s">
        <v>336</v>
      </c>
    </row>
    <row r="6080" spans="1:2" x14ac:dyDescent="0.25">
      <c r="A6080" t="s">
        <v>14277</v>
      </c>
      <c r="B6080" t="s">
        <v>34366</v>
      </c>
    </row>
    <row r="6081" spans="1:2" x14ac:dyDescent="0.25">
      <c r="A6081" t="s">
        <v>14354</v>
      </c>
      <c r="B6081" t="s">
        <v>34367</v>
      </c>
    </row>
    <row r="6082" spans="1:2" x14ac:dyDescent="0.25">
      <c r="A6082" t="s">
        <v>13480</v>
      </c>
      <c r="B6082" t="s">
        <v>34368</v>
      </c>
    </row>
    <row r="6083" spans="1:2" x14ac:dyDescent="0.25">
      <c r="A6083" t="s">
        <v>14891</v>
      </c>
      <c r="B6083" t="s">
        <v>34369</v>
      </c>
    </row>
    <row r="6084" spans="1:2" x14ac:dyDescent="0.25">
      <c r="A6084" t="s">
        <v>14868</v>
      </c>
      <c r="B6084" t="s">
        <v>14868</v>
      </c>
    </row>
    <row r="6085" spans="1:2" x14ac:dyDescent="0.25">
      <c r="A6085" t="s">
        <v>14272</v>
      </c>
      <c r="B6085" t="s">
        <v>34370</v>
      </c>
    </row>
    <row r="6086" spans="1:2" x14ac:dyDescent="0.25">
      <c r="A6086" t="s">
        <v>12606</v>
      </c>
      <c r="B6086" t="s">
        <v>12606</v>
      </c>
    </row>
    <row r="6087" spans="1:2" x14ac:dyDescent="0.25">
      <c r="A6087" t="s">
        <v>14666</v>
      </c>
      <c r="B6087" t="s">
        <v>34371</v>
      </c>
    </row>
    <row r="6088" spans="1:2" x14ac:dyDescent="0.25">
      <c r="A6088" t="s">
        <v>12568</v>
      </c>
      <c r="B6088" t="s">
        <v>34372</v>
      </c>
    </row>
    <row r="6089" spans="1:2" x14ac:dyDescent="0.25">
      <c r="A6089" t="s">
        <v>15122</v>
      </c>
      <c r="B6089" t="s">
        <v>34373</v>
      </c>
    </row>
    <row r="6090" spans="1:2" x14ac:dyDescent="0.25">
      <c r="A6090" t="s">
        <v>12407</v>
      </c>
      <c r="B6090" t="s">
        <v>12407</v>
      </c>
    </row>
    <row r="6091" spans="1:2" x14ac:dyDescent="0.25">
      <c r="A6091" t="s">
        <v>14836</v>
      </c>
      <c r="B6091" t="s">
        <v>14836</v>
      </c>
    </row>
    <row r="6092" spans="1:2" x14ac:dyDescent="0.25">
      <c r="A6092" t="s">
        <v>12391</v>
      </c>
      <c r="B6092" t="s">
        <v>34374</v>
      </c>
    </row>
    <row r="6093" spans="1:2" x14ac:dyDescent="0.25">
      <c r="A6093" t="s">
        <v>14641</v>
      </c>
      <c r="B6093" t="s">
        <v>34375</v>
      </c>
    </row>
    <row r="6094" spans="1:2" x14ac:dyDescent="0.25">
      <c r="A6094" t="s">
        <v>15245</v>
      </c>
      <c r="B6094" t="s">
        <v>34376</v>
      </c>
    </row>
    <row r="6095" spans="1:2" x14ac:dyDescent="0.25">
      <c r="A6095" t="s">
        <v>12769</v>
      </c>
      <c r="B6095" t="s">
        <v>34377</v>
      </c>
    </row>
    <row r="6096" spans="1:2" x14ac:dyDescent="0.25">
      <c r="A6096" t="s">
        <v>12656</v>
      </c>
      <c r="B6096" t="s">
        <v>34378</v>
      </c>
    </row>
    <row r="6097" spans="1:2" x14ac:dyDescent="0.25">
      <c r="A6097" t="s">
        <v>12588</v>
      </c>
      <c r="B6097" t="s">
        <v>12588</v>
      </c>
    </row>
    <row r="6098" spans="1:2" x14ac:dyDescent="0.25">
      <c r="A6098" t="s">
        <v>14006</v>
      </c>
      <c r="B6098" t="s">
        <v>34379</v>
      </c>
    </row>
    <row r="6099" spans="1:2" x14ac:dyDescent="0.25">
      <c r="A6099" t="s">
        <v>15030</v>
      </c>
      <c r="B6099" t="s">
        <v>34380</v>
      </c>
    </row>
    <row r="6100" spans="1:2" x14ac:dyDescent="0.25">
      <c r="A6100" t="s">
        <v>12830</v>
      </c>
      <c r="B6100" t="s">
        <v>12830</v>
      </c>
    </row>
    <row r="6101" spans="1:2" x14ac:dyDescent="0.25">
      <c r="A6101" t="s">
        <v>12379</v>
      </c>
      <c r="B6101" t="s">
        <v>12379</v>
      </c>
    </row>
    <row r="6102" spans="1:2" x14ac:dyDescent="0.25">
      <c r="A6102" t="s">
        <v>13909</v>
      </c>
      <c r="B6102" t="s">
        <v>34381</v>
      </c>
    </row>
    <row r="6103" spans="1:2" x14ac:dyDescent="0.25">
      <c r="A6103" t="s">
        <v>13434</v>
      </c>
      <c r="B6103" t="s">
        <v>34382</v>
      </c>
    </row>
    <row r="6104" spans="1:2" x14ac:dyDescent="0.25">
      <c r="A6104" t="s">
        <v>14881</v>
      </c>
      <c r="B6104" t="s">
        <v>34383</v>
      </c>
    </row>
    <row r="6105" spans="1:2" x14ac:dyDescent="0.25">
      <c r="A6105" t="s">
        <v>12374</v>
      </c>
      <c r="B6105" t="s">
        <v>12374</v>
      </c>
    </row>
    <row r="6106" spans="1:2" x14ac:dyDescent="0.25">
      <c r="A6106" t="s">
        <v>12625</v>
      </c>
      <c r="B6106" t="s">
        <v>12625</v>
      </c>
    </row>
    <row r="6107" spans="1:2" x14ac:dyDescent="0.25">
      <c r="A6107" t="s">
        <v>14313</v>
      </c>
      <c r="B6107" t="s">
        <v>34384</v>
      </c>
    </row>
    <row r="6108" spans="1:2" x14ac:dyDescent="0.25">
      <c r="A6108" t="s">
        <v>15471</v>
      </c>
      <c r="B6108" t="s">
        <v>34385</v>
      </c>
    </row>
    <row r="6109" spans="1:2" x14ac:dyDescent="0.25">
      <c r="A6109" t="s">
        <v>12500</v>
      </c>
      <c r="B6109" t="s">
        <v>12500</v>
      </c>
    </row>
    <row r="6110" spans="1:2" x14ac:dyDescent="0.25">
      <c r="A6110" t="s">
        <v>15236</v>
      </c>
      <c r="B6110" t="s">
        <v>34386</v>
      </c>
    </row>
    <row r="6111" spans="1:2" x14ac:dyDescent="0.25">
      <c r="A6111" t="s">
        <v>15006</v>
      </c>
      <c r="B6111" t="s">
        <v>34387</v>
      </c>
    </row>
    <row r="6112" spans="1:2" x14ac:dyDescent="0.25">
      <c r="A6112" t="s">
        <v>14851</v>
      </c>
      <c r="B6112" t="s">
        <v>14851</v>
      </c>
    </row>
    <row r="6113" spans="1:2" x14ac:dyDescent="0.25">
      <c r="A6113" t="s">
        <v>14274</v>
      </c>
      <c r="B6113" t="s">
        <v>34388</v>
      </c>
    </row>
    <row r="6114" spans="1:2" x14ac:dyDescent="0.25">
      <c r="A6114" t="s">
        <v>14453</v>
      </c>
      <c r="B6114" t="s">
        <v>34389</v>
      </c>
    </row>
    <row r="6115" spans="1:2" x14ac:dyDescent="0.25">
      <c r="A6115" t="s">
        <v>12724</v>
      </c>
      <c r="B6115" t="s">
        <v>12724</v>
      </c>
    </row>
    <row r="6116" spans="1:2" x14ac:dyDescent="0.25">
      <c r="A6116" t="s">
        <v>13809</v>
      </c>
      <c r="B6116" t="s">
        <v>34390</v>
      </c>
    </row>
    <row r="6117" spans="1:2" x14ac:dyDescent="0.25">
      <c r="A6117" t="s">
        <v>14884</v>
      </c>
      <c r="B6117" t="s">
        <v>34391</v>
      </c>
    </row>
    <row r="6118" spans="1:2" x14ac:dyDescent="0.25">
      <c r="A6118" t="s">
        <v>13145</v>
      </c>
      <c r="B6118" t="s">
        <v>34392</v>
      </c>
    </row>
    <row r="6119" spans="1:2" x14ac:dyDescent="0.25">
      <c r="A6119" t="s">
        <v>14692</v>
      </c>
      <c r="B6119" t="s">
        <v>27960</v>
      </c>
    </row>
    <row r="6120" spans="1:2" x14ac:dyDescent="0.25">
      <c r="A6120" t="s">
        <v>14435</v>
      </c>
      <c r="B6120" t="s">
        <v>34393</v>
      </c>
    </row>
    <row r="6121" spans="1:2" x14ac:dyDescent="0.25">
      <c r="A6121" t="s">
        <v>14072</v>
      </c>
      <c r="B6121" t="s">
        <v>34394</v>
      </c>
    </row>
    <row r="6122" spans="1:2" x14ac:dyDescent="0.25">
      <c r="A6122" t="s">
        <v>4750</v>
      </c>
      <c r="B6122" t="s">
        <v>4750</v>
      </c>
    </row>
    <row r="6123" spans="1:2" x14ac:dyDescent="0.25">
      <c r="A6123" t="s">
        <v>13000</v>
      </c>
      <c r="B6123" t="s">
        <v>13000</v>
      </c>
    </row>
    <row r="6124" spans="1:2" x14ac:dyDescent="0.25">
      <c r="A6124" t="s">
        <v>12449</v>
      </c>
      <c r="B6124" t="s">
        <v>12449</v>
      </c>
    </row>
    <row r="6125" spans="1:2" x14ac:dyDescent="0.25">
      <c r="A6125" t="s">
        <v>13839</v>
      </c>
      <c r="B6125" t="s">
        <v>34395</v>
      </c>
    </row>
    <row r="6126" spans="1:2" x14ac:dyDescent="0.25">
      <c r="A6126" t="s">
        <v>14239</v>
      </c>
      <c r="B6126" t="s">
        <v>34396</v>
      </c>
    </row>
    <row r="6127" spans="1:2" x14ac:dyDescent="0.25">
      <c r="A6127" t="s">
        <v>13214</v>
      </c>
      <c r="B6127" t="s">
        <v>13214</v>
      </c>
    </row>
    <row r="6128" spans="1:2" x14ac:dyDescent="0.25">
      <c r="A6128" t="s">
        <v>15302</v>
      </c>
      <c r="B6128" t="s">
        <v>15302</v>
      </c>
    </row>
    <row r="6129" spans="1:2" x14ac:dyDescent="0.25">
      <c r="A6129" t="s">
        <v>12767</v>
      </c>
      <c r="B6129" t="s">
        <v>12767</v>
      </c>
    </row>
    <row r="6130" spans="1:2" x14ac:dyDescent="0.25">
      <c r="A6130" t="s">
        <v>14203</v>
      </c>
      <c r="B6130" t="s">
        <v>34397</v>
      </c>
    </row>
    <row r="6131" spans="1:2" x14ac:dyDescent="0.25">
      <c r="A6131" t="s">
        <v>12485</v>
      </c>
      <c r="B6131" t="s">
        <v>12485</v>
      </c>
    </row>
    <row r="6132" spans="1:2" x14ac:dyDescent="0.25">
      <c r="A6132" t="s">
        <v>12826</v>
      </c>
      <c r="B6132" t="s">
        <v>12826</v>
      </c>
    </row>
    <row r="6133" spans="1:2" x14ac:dyDescent="0.25">
      <c r="A6133" t="s">
        <v>14897</v>
      </c>
      <c r="B6133" t="s">
        <v>34398</v>
      </c>
    </row>
    <row r="6134" spans="1:2" x14ac:dyDescent="0.25">
      <c r="A6134" t="s">
        <v>12784</v>
      </c>
      <c r="B6134" t="s">
        <v>34399</v>
      </c>
    </row>
    <row r="6135" spans="1:2" x14ac:dyDescent="0.25">
      <c r="A6135" t="s">
        <v>15062</v>
      </c>
      <c r="B6135" t="s">
        <v>34400</v>
      </c>
    </row>
    <row r="6136" spans="1:2" x14ac:dyDescent="0.25">
      <c r="A6136" t="s">
        <v>13303</v>
      </c>
      <c r="B6136" t="s">
        <v>34401</v>
      </c>
    </row>
    <row r="6137" spans="1:2" x14ac:dyDescent="0.25">
      <c r="A6137" t="s">
        <v>12744</v>
      </c>
      <c r="B6137" t="s">
        <v>12744</v>
      </c>
    </row>
    <row r="6138" spans="1:2" x14ac:dyDescent="0.25">
      <c r="A6138" t="s">
        <v>12331</v>
      </c>
      <c r="B6138" t="s">
        <v>34402</v>
      </c>
    </row>
    <row r="6139" spans="1:2" x14ac:dyDescent="0.25">
      <c r="A6139" t="s">
        <v>14002</v>
      </c>
      <c r="B6139" t="s">
        <v>34403</v>
      </c>
    </row>
    <row r="6140" spans="1:2" x14ac:dyDescent="0.25">
      <c r="A6140" t="s">
        <v>13385</v>
      </c>
      <c r="B6140" t="s">
        <v>34404</v>
      </c>
    </row>
    <row r="6141" spans="1:2" x14ac:dyDescent="0.25">
      <c r="A6141" t="s">
        <v>14369</v>
      </c>
      <c r="B6141" t="s">
        <v>34405</v>
      </c>
    </row>
    <row r="6142" spans="1:2" x14ac:dyDescent="0.25">
      <c r="A6142" t="s">
        <v>13076</v>
      </c>
      <c r="B6142" t="s">
        <v>34406</v>
      </c>
    </row>
    <row r="6143" spans="1:2" x14ac:dyDescent="0.25">
      <c r="A6143" t="s">
        <v>12693</v>
      </c>
      <c r="B6143" t="s">
        <v>12693</v>
      </c>
    </row>
    <row r="6144" spans="1:2" x14ac:dyDescent="0.25">
      <c r="A6144" t="s">
        <v>13129</v>
      </c>
      <c r="B6144" t="s">
        <v>34407</v>
      </c>
    </row>
    <row r="6145" spans="1:2" x14ac:dyDescent="0.25">
      <c r="A6145" t="s">
        <v>15485</v>
      </c>
      <c r="B6145" t="s">
        <v>34408</v>
      </c>
    </row>
    <row r="6146" spans="1:2" x14ac:dyDescent="0.25">
      <c r="A6146" t="s">
        <v>12957</v>
      </c>
      <c r="B6146" t="s">
        <v>34409</v>
      </c>
    </row>
    <row r="6147" spans="1:2" x14ac:dyDescent="0.25">
      <c r="A6147" t="s">
        <v>12509</v>
      </c>
      <c r="B6147" t="s">
        <v>34410</v>
      </c>
    </row>
    <row r="6148" spans="1:2" x14ac:dyDescent="0.25">
      <c r="A6148" t="s">
        <v>13009</v>
      </c>
      <c r="B6148" t="s">
        <v>34411</v>
      </c>
    </row>
    <row r="6149" spans="1:2" x14ac:dyDescent="0.25">
      <c r="A6149" t="s">
        <v>13093</v>
      </c>
      <c r="B6149" t="s">
        <v>34412</v>
      </c>
    </row>
    <row r="6150" spans="1:2" x14ac:dyDescent="0.25">
      <c r="A6150" t="s">
        <v>14012</v>
      </c>
      <c r="B6150" t="s">
        <v>14012</v>
      </c>
    </row>
    <row r="6151" spans="1:2" x14ac:dyDescent="0.25">
      <c r="A6151" t="s">
        <v>13328</v>
      </c>
      <c r="B6151" t="s">
        <v>34413</v>
      </c>
    </row>
    <row r="6152" spans="1:2" x14ac:dyDescent="0.25">
      <c r="A6152" t="s">
        <v>14104</v>
      </c>
      <c r="B6152" t="s">
        <v>34414</v>
      </c>
    </row>
    <row r="6153" spans="1:2" x14ac:dyDescent="0.25">
      <c r="A6153" t="s">
        <v>13430</v>
      </c>
      <c r="B6153" t="s">
        <v>34415</v>
      </c>
    </row>
    <row r="6154" spans="1:2" x14ac:dyDescent="0.25">
      <c r="A6154" t="s">
        <v>12304</v>
      </c>
      <c r="B6154" t="s">
        <v>34416</v>
      </c>
    </row>
    <row r="6155" spans="1:2" x14ac:dyDescent="0.25">
      <c r="A6155" t="s">
        <v>15108</v>
      </c>
      <c r="B6155" t="s">
        <v>34417</v>
      </c>
    </row>
    <row r="6156" spans="1:2" x14ac:dyDescent="0.25">
      <c r="A6156" t="s">
        <v>15349</v>
      </c>
      <c r="B6156" t="s">
        <v>31131</v>
      </c>
    </row>
    <row r="6157" spans="1:2" x14ac:dyDescent="0.25">
      <c r="A6157" t="s">
        <v>12971</v>
      </c>
      <c r="B6157" t="s">
        <v>34418</v>
      </c>
    </row>
    <row r="6158" spans="1:2" x14ac:dyDescent="0.25">
      <c r="A6158" t="s">
        <v>12904</v>
      </c>
      <c r="B6158" t="s">
        <v>12904</v>
      </c>
    </row>
    <row r="6159" spans="1:2" x14ac:dyDescent="0.25">
      <c r="A6159" t="s">
        <v>14494</v>
      </c>
      <c r="B6159" t="s">
        <v>34419</v>
      </c>
    </row>
    <row r="6160" spans="1:2" x14ac:dyDescent="0.25">
      <c r="A6160" t="s">
        <v>15481</v>
      </c>
      <c r="B6160" t="s">
        <v>34420</v>
      </c>
    </row>
    <row r="6161" spans="1:2" x14ac:dyDescent="0.25">
      <c r="A6161" t="s">
        <v>14148</v>
      </c>
      <c r="B6161" t="s">
        <v>22880</v>
      </c>
    </row>
    <row r="6162" spans="1:2" x14ac:dyDescent="0.25">
      <c r="A6162" t="s">
        <v>12785</v>
      </c>
      <c r="B6162" t="s">
        <v>12785</v>
      </c>
    </row>
    <row r="6163" spans="1:2" x14ac:dyDescent="0.25">
      <c r="A6163" t="s">
        <v>14280</v>
      </c>
      <c r="B6163" t="s">
        <v>34421</v>
      </c>
    </row>
    <row r="6164" spans="1:2" x14ac:dyDescent="0.25">
      <c r="A6164" t="s">
        <v>13968</v>
      </c>
      <c r="B6164" t="s">
        <v>34422</v>
      </c>
    </row>
    <row r="6165" spans="1:2" x14ac:dyDescent="0.25">
      <c r="A6165" t="s">
        <v>13773</v>
      </c>
      <c r="B6165" t="s">
        <v>34423</v>
      </c>
    </row>
    <row r="6166" spans="1:2" x14ac:dyDescent="0.25">
      <c r="A6166" t="s">
        <v>14040</v>
      </c>
      <c r="B6166" t="s">
        <v>34424</v>
      </c>
    </row>
    <row r="6167" spans="1:2" x14ac:dyDescent="0.25">
      <c r="A6167" t="s">
        <v>12414</v>
      </c>
      <c r="B6167" t="s">
        <v>34425</v>
      </c>
    </row>
    <row r="6168" spans="1:2" x14ac:dyDescent="0.25">
      <c r="A6168" t="s">
        <v>13853</v>
      </c>
      <c r="B6168" t="s">
        <v>34426</v>
      </c>
    </row>
    <row r="6169" spans="1:2" x14ac:dyDescent="0.25">
      <c r="A6169" t="s">
        <v>14826</v>
      </c>
      <c r="B6169" t="s">
        <v>34427</v>
      </c>
    </row>
    <row r="6170" spans="1:2" x14ac:dyDescent="0.25">
      <c r="A6170" t="s">
        <v>316</v>
      </c>
      <c r="B6170" t="s">
        <v>34428</v>
      </c>
    </row>
    <row r="6171" spans="1:2" x14ac:dyDescent="0.25">
      <c r="A6171" t="s">
        <v>12973</v>
      </c>
      <c r="B6171" t="s">
        <v>34429</v>
      </c>
    </row>
    <row r="6172" spans="1:2" x14ac:dyDescent="0.25">
      <c r="A6172" t="s">
        <v>12408</v>
      </c>
      <c r="B6172" t="s">
        <v>12408</v>
      </c>
    </row>
    <row r="6173" spans="1:2" x14ac:dyDescent="0.25">
      <c r="A6173" t="s">
        <v>14801</v>
      </c>
      <c r="B6173" t="s">
        <v>34430</v>
      </c>
    </row>
    <row r="6174" spans="1:2" x14ac:dyDescent="0.25">
      <c r="A6174" t="s">
        <v>14027</v>
      </c>
      <c r="B6174" t="s">
        <v>14027</v>
      </c>
    </row>
    <row r="6175" spans="1:2" x14ac:dyDescent="0.25">
      <c r="A6175" t="s">
        <v>12622</v>
      </c>
      <c r="B6175" t="s">
        <v>34431</v>
      </c>
    </row>
    <row r="6176" spans="1:2" x14ac:dyDescent="0.25">
      <c r="A6176" t="s">
        <v>15177</v>
      </c>
      <c r="B6176" t="s">
        <v>34432</v>
      </c>
    </row>
    <row r="6177" spans="1:2" x14ac:dyDescent="0.25">
      <c r="A6177" t="s">
        <v>15207</v>
      </c>
      <c r="B6177" t="s">
        <v>15207</v>
      </c>
    </row>
    <row r="6178" spans="1:2" x14ac:dyDescent="0.25">
      <c r="A6178" t="s">
        <v>12534</v>
      </c>
      <c r="B6178" t="s">
        <v>34433</v>
      </c>
    </row>
    <row r="6179" spans="1:2" x14ac:dyDescent="0.25">
      <c r="A6179" t="s">
        <v>14314</v>
      </c>
      <c r="B6179" t="s">
        <v>34434</v>
      </c>
    </row>
    <row r="6180" spans="1:2" x14ac:dyDescent="0.25">
      <c r="A6180" t="s">
        <v>13871</v>
      </c>
      <c r="B6180" t="s">
        <v>13871</v>
      </c>
    </row>
    <row r="6181" spans="1:2" x14ac:dyDescent="0.25">
      <c r="A6181" t="s">
        <v>15460</v>
      </c>
      <c r="B6181" t="s">
        <v>15460</v>
      </c>
    </row>
    <row r="6182" spans="1:2" x14ac:dyDescent="0.25">
      <c r="A6182" t="s">
        <v>14065</v>
      </c>
      <c r="B6182" t="s">
        <v>34435</v>
      </c>
    </row>
    <row r="6183" spans="1:2" x14ac:dyDescent="0.25">
      <c r="A6183" t="s">
        <v>14388</v>
      </c>
      <c r="B6183" t="s">
        <v>34436</v>
      </c>
    </row>
    <row r="6184" spans="1:2" x14ac:dyDescent="0.25">
      <c r="A6184" t="s">
        <v>13671</v>
      </c>
      <c r="B6184" t="s">
        <v>13671</v>
      </c>
    </row>
    <row r="6185" spans="1:2" x14ac:dyDescent="0.25">
      <c r="A6185" t="s">
        <v>14024</v>
      </c>
      <c r="B6185" t="s">
        <v>14024</v>
      </c>
    </row>
    <row r="6186" spans="1:2" x14ac:dyDescent="0.25">
      <c r="A6186" t="s">
        <v>14241</v>
      </c>
      <c r="B6186" t="s">
        <v>34437</v>
      </c>
    </row>
    <row r="6187" spans="1:2" x14ac:dyDescent="0.25">
      <c r="A6187" t="s">
        <v>15222</v>
      </c>
      <c r="B6187" t="s">
        <v>34438</v>
      </c>
    </row>
    <row r="6188" spans="1:2" x14ac:dyDescent="0.25">
      <c r="A6188" t="s">
        <v>14363</v>
      </c>
      <c r="B6188" t="s">
        <v>34439</v>
      </c>
    </row>
    <row r="6189" spans="1:2" x14ac:dyDescent="0.25">
      <c r="A6189" t="s">
        <v>12870</v>
      </c>
      <c r="B6189" t="s">
        <v>12870</v>
      </c>
    </row>
    <row r="6190" spans="1:2" x14ac:dyDescent="0.25">
      <c r="A6190" t="s">
        <v>208</v>
      </c>
      <c r="B6190" t="s">
        <v>34440</v>
      </c>
    </row>
    <row r="6191" spans="1:2" x14ac:dyDescent="0.25">
      <c r="A6191" t="s">
        <v>12721</v>
      </c>
      <c r="B6191" t="s">
        <v>12721</v>
      </c>
    </row>
    <row r="6192" spans="1:2" x14ac:dyDescent="0.25">
      <c r="A6192" t="s">
        <v>14412</v>
      </c>
      <c r="B6192" t="s">
        <v>22978</v>
      </c>
    </row>
    <row r="6193" spans="1:2" x14ac:dyDescent="0.25">
      <c r="A6193" t="s">
        <v>14386</v>
      </c>
      <c r="B6193" t="s">
        <v>14386</v>
      </c>
    </row>
    <row r="6194" spans="1:2" x14ac:dyDescent="0.25">
      <c r="A6194" t="s">
        <v>12770</v>
      </c>
      <c r="B6194" t="s">
        <v>34441</v>
      </c>
    </row>
    <row r="6195" spans="1:2" x14ac:dyDescent="0.25">
      <c r="A6195" t="s">
        <v>14663</v>
      </c>
      <c r="B6195" t="s">
        <v>34442</v>
      </c>
    </row>
    <row r="6196" spans="1:2" x14ac:dyDescent="0.25">
      <c r="A6196" t="s">
        <v>13476</v>
      </c>
      <c r="B6196" t="s">
        <v>34443</v>
      </c>
    </row>
    <row r="6197" spans="1:2" x14ac:dyDescent="0.25">
      <c r="A6197" t="s">
        <v>14593</v>
      </c>
      <c r="B6197" t="s">
        <v>14593</v>
      </c>
    </row>
    <row r="6198" spans="1:2" x14ac:dyDescent="0.25">
      <c r="A6198" t="s">
        <v>14376</v>
      </c>
      <c r="B6198" t="s">
        <v>34444</v>
      </c>
    </row>
    <row r="6199" spans="1:2" x14ac:dyDescent="0.25">
      <c r="A6199" t="s">
        <v>14378</v>
      </c>
      <c r="B6199" t="s">
        <v>14378</v>
      </c>
    </row>
    <row r="6200" spans="1:2" x14ac:dyDescent="0.25">
      <c r="A6200" t="s">
        <v>14805</v>
      </c>
      <c r="B6200" t="s">
        <v>14805</v>
      </c>
    </row>
    <row r="6201" spans="1:2" x14ac:dyDescent="0.25">
      <c r="A6201" t="s">
        <v>12583</v>
      </c>
      <c r="B6201" t="s">
        <v>12583</v>
      </c>
    </row>
    <row r="6202" spans="1:2" x14ac:dyDescent="0.25">
      <c r="A6202" t="s">
        <v>14839</v>
      </c>
      <c r="B6202" t="s">
        <v>14839</v>
      </c>
    </row>
    <row r="6203" spans="1:2" x14ac:dyDescent="0.25">
      <c r="A6203" t="s">
        <v>15110</v>
      </c>
      <c r="B6203" t="s">
        <v>34445</v>
      </c>
    </row>
    <row r="6204" spans="1:2" x14ac:dyDescent="0.25">
      <c r="A6204" t="s">
        <v>13482</v>
      </c>
      <c r="B6204" t="s">
        <v>34446</v>
      </c>
    </row>
    <row r="6205" spans="1:2" x14ac:dyDescent="0.25">
      <c r="A6205" t="s">
        <v>14888</v>
      </c>
      <c r="B6205" t="s">
        <v>34447</v>
      </c>
    </row>
    <row r="6206" spans="1:2" x14ac:dyDescent="0.25">
      <c r="A6206" t="s">
        <v>12431</v>
      </c>
      <c r="B6206" t="s">
        <v>12431</v>
      </c>
    </row>
    <row r="6207" spans="1:2" x14ac:dyDescent="0.25">
      <c r="A6207" t="s">
        <v>12774</v>
      </c>
      <c r="B6207" t="s">
        <v>34448</v>
      </c>
    </row>
    <row r="6208" spans="1:2" x14ac:dyDescent="0.25">
      <c r="A6208" t="s">
        <v>12920</v>
      </c>
      <c r="B6208" t="s">
        <v>34449</v>
      </c>
    </row>
    <row r="6209" spans="1:2" x14ac:dyDescent="0.25">
      <c r="A6209" t="s">
        <v>14015</v>
      </c>
      <c r="B6209" t="s">
        <v>14015</v>
      </c>
    </row>
    <row r="6210" spans="1:2" x14ac:dyDescent="0.25">
      <c r="A6210" t="s">
        <v>13867</v>
      </c>
      <c r="B6210" t="s">
        <v>34450</v>
      </c>
    </row>
    <row r="6211" spans="1:2" x14ac:dyDescent="0.25">
      <c r="A6211" t="s">
        <v>12735</v>
      </c>
      <c r="B6211" t="s">
        <v>12735</v>
      </c>
    </row>
    <row r="6212" spans="1:2" x14ac:dyDescent="0.25">
      <c r="A6212" t="s">
        <v>15435</v>
      </c>
      <c r="B6212" t="s">
        <v>15435</v>
      </c>
    </row>
    <row r="6213" spans="1:2" x14ac:dyDescent="0.25">
      <c r="A6213" t="s">
        <v>12362</v>
      </c>
      <c r="B6213" t="s">
        <v>12362</v>
      </c>
    </row>
    <row r="6214" spans="1:2" x14ac:dyDescent="0.25">
      <c r="A6214" t="s">
        <v>13759</v>
      </c>
      <c r="B6214" t="s">
        <v>34451</v>
      </c>
    </row>
    <row r="6215" spans="1:2" x14ac:dyDescent="0.25">
      <c r="A6215" t="s">
        <v>12827</v>
      </c>
      <c r="B6215" t="s">
        <v>12827</v>
      </c>
    </row>
    <row r="6216" spans="1:2" x14ac:dyDescent="0.25">
      <c r="A6216" t="s">
        <v>12420</v>
      </c>
      <c r="B6216" t="s">
        <v>34452</v>
      </c>
    </row>
    <row r="6217" spans="1:2" x14ac:dyDescent="0.25">
      <c r="A6217" t="s">
        <v>13683</v>
      </c>
      <c r="B6217" t="s">
        <v>10209</v>
      </c>
    </row>
    <row r="6218" spans="1:2" x14ac:dyDescent="0.25">
      <c r="A6218" t="s">
        <v>12369</v>
      </c>
      <c r="B6218" t="s">
        <v>34453</v>
      </c>
    </row>
    <row r="6219" spans="1:2" x14ac:dyDescent="0.25">
      <c r="A6219" t="s">
        <v>13987</v>
      </c>
      <c r="B6219" t="s">
        <v>34454</v>
      </c>
    </row>
    <row r="6220" spans="1:2" x14ac:dyDescent="0.25">
      <c r="A6220" t="s">
        <v>14883</v>
      </c>
      <c r="B6220" t="s">
        <v>34455</v>
      </c>
    </row>
    <row r="6221" spans="1:2" x14ac:dyDescent="0.25">
      <c r="A6221" t="s">
        <v>12302</v>
      </c>
      <c r="B6221" t="s">
        <v>34456</v>
      </c>
    </row>
    <row r="6222" spans="1:2" x14ac:dyDescent="0.25">
      <c r="A6222" t="s">
        <v>12501</v>
      </c>
      <c r="B6222" t="s">
        <v>12501</v>
      </c>
    </row>
    <row r="6223" spans="1:2" x14ac:dyDescent="0.25">
      <c r="A6223" t="s">
        <v>14775</v>
      </c>
      <c r="B6223" t="s">
        <v>34457</v>
      </c>
    </row>
    <row r="6224" spans="1:2" x14ac:dyDescent="0.25">
      <c r="A6224" t="s">
        <v>14138</v>
      </c>
      <c r="B6224" t="s">
        <v>3739</v>
      </c>
    </row>
    <row r="6225" spans="1:2" x14ac:dyDescent="0.25">
      <c r="A6225" t="s">
        <v>12748</v>
      </c>
      <c r="B6225" t="s">
        <v>12748</v>
      </c>
    </row>
    <row r="6226" spans="1:2" x14ac:dyDescent="0.25">
      <c r="A6226" t="s">
        <v>13470</v>
      </c>
      <c r="B6226" t="s">
        <v>34458</v>
      </c>
    </row>
    <row r="6227" spans="1:2" x14ac:dyDescent="0.25">
      <c r="A6227" t="s">
        <v>15144</v>
      </c>
      <c r="B6227" t="s">
        <v>15144</v>
      </c>
    </row>
    <row r="6228" spans="1:2" x14ac:dyDescent="0.25">
      <c r="A6228" t="s">
        <v>12901</v>
      </c>
      <c r="B6228" t="s">
        <v>34459</v>
      </c>
    </row>
    <row r="6229" spans="1:2" x14ac:dyDescent="0.25">
      <c r="A6229" t="s">
        <v>13498</v>
      </c>
      <c r="B6229" t="s">
        <v>34460</v>
      </c>
    </row>
    <row r="6230" spans="1:2" x14ac:dyDescent="0.25">
      <c r="A6230" t="s">
        <v>681</v>
      </c>
      <c r="B6230" t="s">
        <v>681</v>
      </c>
    </row>
    <row r="6231" spans="1:2" x14ac:dyDescent="0.25">
      <c r="A6231" t="s">
        <v>12619</v>
      </c>
      <c r="B6231" t="s">
        <v>34461</v>
      </c>
    </row>
    <row r="6232" spans="1:2" x14ac:dyDescent="0.25">
      <c r="A6232" t="s">
        <v>14457</v>
      </c>
      <c r="B6232" t="s">
        <v>34462</v>
      </c>
    </row>
    <row r="6233" spans="1:2" x14ac:dyDescent="0.25">
      <c r="A6233" t="s">
        <v>12522</v>
      </c>
      <c r="B6233" t="s">
        <v>12522</v>
      </c>
    </row>
    <row r="6234" spans="1:2" x14ac:dyDescent="0.25">
      <c r="A6234" t="s">
        <v>14944</v>
      </c>
      <c r="B6234" t="s">
        <v>34463</v>
      </c>
    </row>
    <row r="6235" spans="1:2" x14ac:dyDescent="0.25">
      <c r="A6235" t="s">
        <v>15337</v>
      </c>
      <c r="B6235" t="s">
        <v>15337</v>
      </c>
    </row>
    <row r="6236" spans="1:2" x14ac:dyDescent="0.25">
      <c r="A6236" t="s">
        <v>15218</v>
      </c>
      <c r="B6236" t="s">
        <v>34464</v>
      </c>
    </row>
    <row r="6237" spans="1:2" x14ac:dyDescent="0.25">
      <c r="A6237" t="s">
        <v>12406</v>
      </c>
      <c r="B6237" t="s">
        <v>12406</v>
      </c>
    </row>
    <row r="6238" spans="1:2" x14ac:dyDescent="0.25">
      <c r="A6238" t="s">
        <v>12778</v>
      </c>
      <c r="B6238" t="s">
        <v>12778</v>
      </c>
    </row>
    <row r="6239" spans="1:2" x14ac:dyDescent="0.25">
      <c r="A6239" t="s">
        <v>12718</v>
      </c>
      <c r="B6239" t="s">
        <v>12718</v>
      </c>
    </row>
    <row r="6240" spans="1:2" x14ac:dyDescent="0.25">
      <c r="A6240" t="s">
        <v>12857</v>
      </c>
      <c r="B6240" t="s">
        <v>12857</v>
      </c>
    </row>
    <row r="6241" spans="1:2" x14ac:dyDescent="0.25">
      <c r="A6241" t="s">
        <v>15217</v>
      </c>
      <c r="B6241" t="s">
        <v>15217</v>
      </c>
    </row>
    <row r="6242" spans="1:2" x14ac:dyDescent="0.25">
      <c r="A6242" t="s">
        <v>15179</v>
      </c>
      <c r="B6242" t="s">
        <v>34465</v>
      </c>
    </row>
    <row r="6243" spans="1:2" x14ac:dyDescent="0.25">
      <c r="A6243" t="s">
        <v>13910</v>
      </c>
      <c r="B6243" t="s">
        <v>34466</v>
      </c>
    </row>
    <row r="6244" spans="1:2" x14ac:dyDescent="0.25">
      <c r="A6244" t="s">
        <v>14399</v>
      </c>
      <c r="B6244" t="s">
        <v>34467</v>
      </c>
    </row>
    <row r="6245" spans="1:2" x14ac:dyDescent="0.25">
      <c r="A6245" t="s">
        <v>13265</v>
      </c>
      <c r="B6245" t="s">
        <v>34468</v>
      </c>
    </row>
    <row r="6246" spans="1:2" x14ac:dyDescent="0.25">
      <c r="A6246" t="s">
        <v>14163</v>
      </c>
      <c r="B6246" t="s">
        <v>34469</v>
      </c>
    </row>
    <row r="6247" spans="1:2" x14ac:dyDescent="0.25">
      <c r="A6247" t="s">
        <v>12397</v>
      </c>
      <c r="B6247" t="s">
        <v>12397</v>
      </c>
    </row>
    <row r="6248" spans="1:2" x14ac:dyDescent="0.25">
      <c r="A6248" t="s">
        <v>13948</v>
      </c>
      <c r="B6248" t="s">
        <v>34470</v>
      </c>
    </row>
    <row r="6249" spans="1:2" x14ac:dyDescent="0.25">
      <c r="A6249" t="s">
        <v>12455</v>
      </c>
      <c r="B6249" t="s">
        <v>12455</v>
      </c>
    </row>
    <row r="6250" spans="1:2" x14ac:dyDescent="0.25">
      <c r="A6250" t="s">
        <v>12925</v>
      </c>
      <c r="B6250" t="s">
        <v>34471</v>
      </c>
    </row>
    <row r="6251" spans="1:2" x14ac:dyDescent="0.25">
      <c r="A6251" t="s">
        <v>233</v>
      </c>
      <c r="B6251" t="s">
        <v>233</v>
      </c>
    </row>
    <row r="6252" spans="1:2" x14ac:dyDescent="0.25">
      <c r="A6252" t="s">
        <v>13108</v>
      </c>
      <c r="B6252" t="s">
        <v>34472</v>
      </c>
    </row>
    <row r="6253" spans="1:2" x14ac:dyDescent="0.25">
      <c r="A6253" t="s">
        <v>15437</v>
      </c>
      <c r="B6253" t="s">
        <v>15437</v>
      </c>
    </row>
    <row r="6254" spans="1:2" x14ac:dyDescent="0.25">
      <c r="A6254" t="s">
        <v>14496</v>
      </c>
      <c r="B6254" t="s">
        <v>34473</v>
      </c>
    </row>
    <row r="6255" spans="1:2" x14ac:dyDescent="0.25">
      <c r="A6255" t="s">
        <v>12346</v>
      </c>
      <c r="B6255" t="s">
        <v>34474</v>
      </c>
    </row>
    <row r="6256" spans="1:2" x14ac:dyDescent="0.25">
      <c r="A6256" t="s">
        <v>12719</v>
      </c>
      <c r="B6256" t="s">
        <v>12719</v>
      </c>
    </row>
    <row r="6257" spans="1:2" x14ac:dyDescent="0.25">
      <c r="A6257" t="s">
        <v>14117</v>
      </c>
      <c r="B6257" t="s">
        <v>34475</v>
      </c>
    </row>
    <row r="6258" spans="1:2" x14ac:dyDescent="0.25">
      <c r="A6258" t="s">
        <v>13647</v>
      </c>
      <c r="B6258" t="s">
        <v>34476</v>
      </c>
    </row>
    <row r="6259" spans="1:2" x14ac:dyDescent="0.25">
      <c r="A6259" t="s">
        <v>13882</v>
      </c>
      <c r="B6259" t="s">
        <v>34477</v>
      </c>
    </row>
    <row r="6260" spans="1:2" x14ac:dyDescent="0.25">
      <c r="A6260" t="s">
        <v>14955</v>
      </c>
      <c r="B6260" t="s">
        <v>34478</v>
      </c>
    </row>
    <row r="6261" spans="1:2" x14ac:dyDescent="0.25">
      <c r="A6261" t="s">
        <v>12726</v>
      </c>
      <c r="B6261" t="s">
        <v>34479</v>
      </c>
    </row>
    <row r="6262" spans="1:2" x14ac:dyDescent="0.25">
      <c r="A6262" t="s">
        <v>14517</v>
      </c>
      <c r="B6262" t="s">
        <v>34480</v>
      </c>
    </row>
    <row r="6263" spans="1:2" x14ac:dyDescent="0.25">
      <c r="A6263" t="s">
        <v>14052</v>
      </c>
      <c r="B6263" t="s">
        <v>34481</v>
      </c>
    </row>
    <row r="6264" spans="1:2" x14ac:dyDescent="0.25">
      <c r="A6264" t="s">
        <v>14492</v>
      </c>
      <c r="B6264" t="s">
        <v>34482</v>
      </c>
    </row>
    <row r="6265" spans="1:2" x14ac:dyDescent="0.25">
      <c r="A6265" t="s">
        <v>12740</v>
      </c>
      <c r="B6265" t="s">
        <v>34483</v>
      </c>
    </row>
    <row r="6266" spans="1:2" x14ac:dyDescent="0.25">
      <c r="A6266" t="s">
        <v>14380</v>
      </c>
      <c r="B6266" t="s">
        <v>34484</v>
      </c>
    </row>
    <row r="6267" spans="1:2" x14ac:dyDescent="0.25">
      <c r="A6267" t="s">
        <v>12549</v>
      </c>
      <c r="B6267" t="s">
        <v>12549</v>
      </c>
    </row>
    <row r="6268" spans="1:2" x14ac:dyDescent="0.25">
      <c r="A6268" t="s">
        <v>12476</v>
      </c>
      <c r="B6268" t="s">
        <v>34485</v>
      </c>
    </row>
    <row r="6269" spans="1:2" x14ac:dyDescent="0.25">
      <c r="A6269" t="s">
        <v>13706</v>
      </c>
      <c r="B6269" t="s">
        <v>34486</v>
      </c>
    </row>
    <row r="6270" spans="1:2" x14ac:dyDescent="0.25">
      <c r="A6270" t="s">
        <v>12876</v>
      </c>
      <c r="B6270" t="s">
        <v>34487</v>
      </c>
    </row>
    <row r="6271" spans="1:2" x14ac:dyDescent="0.25">
      <c r="A6271" t="s">
        <v>34488</v>
      </c>
      <c r="B6271" t="s">
        <v>34489</v>
      </c>
    </row>
    <row r="6272" spans="1:2" x14ac:dyDescent="0.25">
      <c r="A6272" t="s">
        <v>15243</v>
      </c>
      <c r="B6272" t="s">
        <v>15243</v>
      </c>
    </row>
    <row r="6273" spans="1:2" x14ac:dyDescent="0.25">
      <c r="A6273" t="s">
        <v>15077</v>
      </c>
      <c r="B6273" t="s">
        <v>15077</v>
      </c>
    </row>
    <row r="6274" spans="1:2" x14ac:dyDescent="0.25">
      <c r="A6274" t="s">
        <v>12471</v>
      </c>
      <c r="B6274" t="s">
        <v>12471</v>
      </c>
    </row>
    <row r="6275" spans="1:2" x14ac:dyDescent="0.25">
      <c r="A6275" t="s">
        <v>12493</v>
      </c>
      <c r="B6275" t="s">
        <v>34490</v>
      </c>
    </row>
    <row r="6276" spans="1:2" x14ac:dyDescent="0.25">
      <c r="A6276" t="s">
        <v>13813</v>
      </c>
      <c r="B6276" t="s">
        <v>34491</v>
      </c>
    </row>
    <row r="6277" spans="1:2" x14ac:dyDescent="0.25">
      <c r="A6277" t="s">
        <v>12423</v>
      </c>
      <c r="B6277" t="s">
        <v>34492</v>
      </c>
    </row>
    <row r="6278" spans="1:2" x14ac:dyDescent="0.25">
      <c r="A6278" t="s">
        <v>13415</v>
      </c>
      <c r="B6278" t="s">
        <v>34493</v>
      </c>
    </row>
    <row r="6279" spans="1:2" x14ac:dyDescent="0.25">
      <c r="A6279" t="s">
        <v>13388</v>
      </c>
      <c r="B6279" t="s">
        <v>34494</v>
      </c>
    </row>
    <row r="6280" spans="1:2" x14ac:dyDescent="0.25">
      <c r="A6280" t="s">
        <v>14224</v>
      </c>
      <c r="B6280" t="s">
        <v>34495</v>
      </c>
    </row>
    <row r="6281" spans="1:2" x14ac:dyDescent="0.25">
      <c r="A6281" t="s">
        <v>13707</v>
      </c>
      <c r="B6281" t="s">
        <v>34496</v>
      </c>
    </row>
    <row r="6282" spans="1:2" x14ac:dyDescent="0.25">
      <c r="A6282" t="s">
        <v>15125</v>
      </c>
      <c r="B6282" t="s">
        <v>29447</v>
      </c>
    </row>
    <row r="6283" spans="1:2" x14ac:dyDescent="0.25">
      <c r="A6283" t="s">
        <v>14067</v>
      </c>
      <c r="B6283" t="s">
        <v>34497</v>
      </c>
    </row>
    <row r="6284" spans="1:2" x14ac:dyDescent="0.25">
      <c r="A6284" t="s">
        <v>14407</v>
      </c>
      <c r="B6284" t="s">
        <v>34498</v>
      </c>
    </row>
    <row r="6285" spans="1:2" x14ac:dyDescent="0.25">
      <c r="A6285" t="s">
        <v>12677</v>
      </c>
      <c r="B6285" t="s">
        <v>12677</v>
      </c>
    </row>
    <row r="6286" spans="1:2" x14ac:dyDescent="0.25">
      <c r="A6286" t="s">
        <v>13240</v>
      </c>
      <c r="B6286" t="s">
        <v>34499</v>
      </c>
    </row>
    <row r="6287" spans="1:2" x14ac:dyDescent="0.25">
      <c r="A6287" t="s">
        <v>14200</v>
      </c>
      <c r="B6287" t="s">
        <v>34500</v>
      </c>
    </row>
    <row r="6288" spans="1:2" x14ac:dyDescent="0.25">
      <c r="A6288" t="s">
        <v>14379</v>
      </c>
      <c r="B6288" t="s">
        <v>21482</v>
      </c>
    </row>
    <row r="6289" spans="1:2" x14ac:dyDescent="0.25">
      <c r="A6289" t="s">
        <v>12899</v>
      </c>
      <c r="B6289" t="s">
        <v>12899</v>
      </c>
    </row>
    <row r="6290" spans="1:2" x14ac:dyDescent="0.25">
      <c r="A6290" t="s">
        <v>12428</v>
      </c>
      <c r="B6290" t="s">
        <v>12428</v>
      </c>
    </row>
    <row r="6291" spans="1:2" x14ac:dyDescent="0.25">
      <c r="A6291" t="s">
        <v>15279</v>
      </c>
      <c r="B6291" t="s">
        <v>34501</v>
      </c>
    </row>
    <row r="6292" spans="1:2" x14ac:dyDescent="0.25">
      <c r="A6292" t="s">
        <v>13333</v>
      </c>
      <c r="B6292" t="s">
        <v>34502</v>
      </c>
    </row>
    <row r="6293" spans="1:2" x14ac:dyDescent="0.25">
      <c r="A6293" t="s">
        <v>14610</v>
      </c>
      <c r="B6293" t="s">
        <v>14610</v>
      </c>
    </row>
    <row r="6294" spans="1:2" x14ac:dyDescent="0.25">
      <c r="A6294" t="s">
        <v>15188</v>
      </c>
      <c r="B6294" t="s">
        <v>15188</v>
      </c>
    </row>
    <row r="6295" spans="1:2" x14ac:dyDescent="0.25">
      <c r="A6295" t="s">
        <v>15076</v>
      </c>
      <c r="B6295" t="s">
        <v>15076</v>
      </c>
    </row>
    <row r="6296" spans="1:2" x14ac:dyDescent="0.25">
      <c r="A6296" t="s">
        <v>13906</v>
      </c>
      <c r="B6296" t="s">
        <v>34503</v>
      </c>
    </row>
    <row r="6297" spans="1:2" x14ac:dyDescent="0.25">
      <c r="A6297" t="s">
        <v>14860</v>
      </c>
      <c r="B6297" t="s">
        <v>14860</v>
      </c>
    </row>
    <row r="6298" spans="1:2" x14ac:dyDescent="0.25">
      <c r="A6298" t="s">
        <v>15210</v>
      </c>
      <c r="B6298" t="s">
        <v>34504</v>
      </c>
    </row>
    <row r="6299" spans="1:2" x14ac:dyDescent="0.25">
      <c r="A6299" t="s">
        <v>12917</v>
      </c>
      <c r="B6299" t="s">
        <v>34505</v>
      </c>
    </row>
    <row r="6300" spans="1:2" x14ac:dyDescent="0.25">
      <c r="A6300" t="s">
        <v>12763</v>
      </c>
      <c r="B6300" t="s">
        <v>12763</v>
      </c>
    </row>
    <row r="6301" spans="1:2" x14ac:dyDescent="0.25">
      <c r="A6301" t="s">
        <v>15141</v>
      </c>
      <c r="B6301" t="s">
        <v>34506</v>
      </c>
    </row>
    <row r="6302" spans="1:2" x14ac:dyDescent="0.25">
      <c r="A6302" t="s">
        <v>15479</v>
      </c>
      <c r="B6302" t="s">
        <v>34507</v>
      </c>
    </row>
    <row r="6303" spans="1:2" x14ac:dyDescent="0.25">
      <c r="A6303" t="s">
        <v>12955</v>
      </c>
      <c r="B6303" t="s">
        <v>34508</v>
      </c>
    </row>
    <row r="6304" spans="1:2" x14ac:dyDescent="0.25">
      <c r="A6304" t="s">
        <v>12982</v>
      </c>
      <c r="B6304" t="s">
        <v>34509</v>
      </c>
    </row>
    <row r="6305" spans="1:2" x14ac:dyDescent="0.25">
      <c r="A6305" t="s">
        <v>15351</v>
      </c>
      <c r="B6305" t="s">
        <v>9498</v>
      </c>
    </row>
    <row r="6306" spans="1:2" x14ac:dyDescent="0.25">
      <c r="A6306" t="s">
        <v>12874</v>
      </c>
      <c r="B6306" t="s">
        <v>34510</v>
      </c>
    </row>
    <row r="6307" spans="1:2" x14ac:dyDescent="0.25">
      <c r="A6307" t="s">
        <v>15176</v>
      </c>
      <c r="B6307" t="s">
        <v>34511</v>
      </c>
    </row>
    <row r="6308" spans="1:2" x14ac:dyDescent="0.25">
      <c r="A6308" t="s">
        <v>13565</v>
      </c>
      <c r="B6308" t="s">
        <v>34512</v>
      </c>
    </row>
    <row r="6309" spans="1:2" x14ac:dyDescent="0.25">
      <c r="A6309" t="s">
        <v>13902</v>
      </c>
      <c r="B6309" t="s">
        <v>34513</v>
      </c>
    </row>
    <row r="6310" spans="1:2" x14ac:dyDescent="0.25">
      <c r="A6310" t="s">
        <v>12330</v>
      </c>
      <c r="B6310" t="s">
        <v>34514</v>
      </c>
    </row>
    <row r="6311" spans="1:2" x14ac:dyDescent="0.25">
      <c r="A6311" t="s">
        <v>12710</v>
      </c>
      <c r="B6311" t="s">
        <v>34515</v>
      </c>
    </row>
    <row r="6312" spans="1:2" x14ac:dyDescent="0.25">
      <c r="A6312" t="s">
        <v>14123</v>
      </c>
      <c r="B6312" t="s">
        <v>34516</v>
      </c>
    </row>
    <row r="6313" spans="1:2" x14ac:dyDescent="0.25">
      <c r="A6313" t="s">
        <v>14217</v>
      </c>
      <c r="B6313" t="s">
        <v>14217</v>
      </c>
    </row>
    <row r="6314" spans="1:2" x14ac:dyDescent="0.25">
      <c r="A6314" t="s">
        <v>13472</v>
      </c>
      <c r="B6314" t="s">
        <v>34517</v>
      </c>
    </row>
    <row r="6315" spans="1:2" x14ac:dyDescent="0.25">
      <c r="A6315" t="s">
        <v>13649</v>
      </c>
      <c r="B6315" t="s">
        <v>34518</v>
      </c>
    </row>
    <row r="6316" spans="1:2" x14ac:dyDescent="0.25">
      <c r="A6316" t="s">
        <v>13343</v>
      </c>
      <c r="B6316" t="s">
        <v>34519</v>
      </c>
    </row>
    <row r="6317" spans="1:2" x14ac:dyDescent="0.25">
      <c r="A6317" t="s">
        <v>12795</v>
      </c>
      <c r="B6317" t="s">
        <v>12795</v>
      </c>
    </row>
    <row r="6318" spans="1:2" x14ac:dyDescent="0.25">
      <c r="A6318" t="s">
        <v>12563</v>
      </c>
      <c r="B6318" t="s">
        <v>12563</v>
      </c>
    </row>
    <row r="6319" spans="1:2" x14ac:dyDescent="0.25">
      <c r="A6319" t="s">
        <v>12334</v>
      </c>
      <c r="B6319" t="s">
        <v>34520</v>
      </c>
    </row>
    <row r="6320" spans="1:2" x14ac:dyDescent="0.25">
      <c r="A6320" t="s">
        <v>14193</v>
      </c>
      <c r="B6320" t="s">
        <v>14193</v>
      </c>
    </row>
    <row r="6321" spans="1:2" x14ac:dyDescent="0.25">
      <c r="A6321" t="s">
        <v>292</v>
      </c>
      <c r="B6321" t="s">
        <v>34521</v>
      </c>
    </row>
    <row r="6322" spans="1:2" x14ac:dyDescent="0.25">
      <c r="A6322" t="s">
        <v>14284</v>
      </c>
      <c r="B6322" t="s">
        <v>34522</v>
      </c>
    </row>
    <row r="6323" spans="1:2" x14ac:dyDescent="0.25">
      <c r="A6323" t="s">
        <v>12884</v>
      </c>
      <c r="B6323" t="s">
        <v>34523</v>
      </c>
    </row>
    <row r="6324" spans="1:2" x14ac:dyDescent="0.25">
      <c r="A6324" t="s">
        <v>13353</v>
      </c>
      <c r="B6324" t="s">
        <v>27775</v>
      </c>
    </row>
    <row r="6325" spans="1:2" x14ac:dyDescent="0.25">
      <c r="A6325" t="s">
        <v>13723</v>
      </c>
      <c r="B6325" t="s">
        <v>34524</v>
      </c>
    </row>
    <row r="6326" spans="1:2" x14ac:dyDescent="0.25">
      <c r="A6326" t="s">
        <v>15444</v>
      </c>
      <c r="B6326" t="s">
        <v>31917</v>
      </c>
    </row>
    <row r="6327" spans="1:2" x14ac:dyDescent="0.25">
      <c r="A6327" t="s">
        <v>12637</v>
      </c>
      <c r="B6327" t="s">
        <v>12637</v>
      </c>
    </row>
    <row r="6328" spans="1:2" x14ac:dyDescent="0.25">
      <c r="A6328" t="s">
        <v>14209</v>
      </c>
      <c r="B6328" t="s">
        <v>34525</v>
      </c>
    </row>
    <row r="6329" spans="1:2" x14ac:dyDescent="0.25">
      <c r="A6329" t="s">
        <v>12879</v>
      </c>
      <c r="B6329" t="s">
        <v>12879</v>
      </c>
    </row>
    <row r="6330" spans="1:2" x14ac:dyDescent="0.25">
      <c r="A6330" t="s">
        <v>15358</v>
      </c>
      <c r="B6330" t="s">
        <v>34526</v>
      </c>
    </row>
    <row r="6331" spans="1:2" x14ac:dyDescent="0.25">
      <c r="A6331" t="s">
        <v>14758</v>
      </c>
      <c r="B6331" t="s">
        <v>34527</v>
      </c>
    </row>
    <row r="6332" spans="1:2" x14ac:dyDescent="0.25">
      <c r="A6332" t="s">
        <v>12468</v>
      </c>
      <c r="B6332" t="s">
        <v>12468</v>
      </c>
    </row>
    <row r="6333" spans="1:2" x14ac:dyDescent="0.25">
      <c r="A6333" t="s">
        <v>15299</v>
      </c>
      <c r="B6333" t="s">
        <v>15299</v>
      </c>
    </row>
    <row r="6334" spans="1:2" x14ac:dyDescent="0.25">
      <c r="A6334" t="s">
        <v>15022</v>
      </c>
      <c r="B6334" t="s">
        <v>32068</v>
      </c>
    </row>
    <row r="6335" spans="1:2" x14ac:dyDescent="0.25">
      <c r="A6335" t="s">
        <v>13762</v>
      </c>
      <c r="B6335" t="s">
        <v>34528</v>
      </c>
    </row>
    <row r="6336" spans="1:2" x14ac:dyDescent="0.25">
      <c r="A6336" t="s">
        <v>12913</v>
      </c>
      <c r="B6336" t="s">
        <v>34529</v>
      </c>
    </row>
    <row r="6337" spans="1:2" x14ac:dyDescent="0.25">
      <c r="A6337" t="s">
        <v>13381</v>
      </c>
      <c r="B6337" t="s">
        <v>13381</v>
      </c>
    </row>
    <row r="6338" spans="1:2" x14ac:dyDescent="0.25">
      <c r="A6338" t="s">
        <v>13052</v>
      </c>
      <c r="B6338" t="s">
        <v>34530</v>
      </c>
    </row>
    <row r="6339" spans="1:2" x14ac:dyDescent="0.25">
      <c r="A6339" t="s">
        <v>14816</v>
      </c>
      <c r="B6339" t="s">
        <v>14816</v>
      </c>
    </row>
    <row r="6340" spans="1:2" x14ac:dyDescent="0.25">
      <c r="A6340" t="s">
        <v>13894</v>
      </c>
      <c r="B6340" t="s">
        <v>34531</v>
      </c>
    </row>
    <row r="6341" spans="1:2" x14ac:dyDescent="0.25">
      <c r="A6341" t="s">
        <v>12416</v>
      </c>
      <c r="B6341" t="s">
        <v>34532</v>
      </c>
    </row>
    <row r="6342" spans="1:2" x14ac:dyDescent="0.25">
      <c r="A6342" t="s">
        <v>14364</v>
      </c>
      <c r="B6342" t="s">
        <v>34533</v>
      </c>
    </row>
    <row r="6343" spans="1:2" x14ac:dyDescent="0.25">
      <c r="A6343" t="s">
        <v>15058</v>
      </c>
      <c r="B6343" t="s">
        <v>34534</v>
      </c>
    </row>
    <row r="6344" spans="1:2" x14ac:dyDescent="0.25">
      <c r="A6344" t="s">
        <v>12389</v>
      </c>
      <c r="B6344" t="s">
        <v>12389</v>
      </c>
    </row>
    <row r="6345" spans="1:2" x14ac:dyDescent="0.25">
      <c r="A6345" t="s">
        <v>14665</v>
      </c>
      <c r="B6345" t="s">
        <v>34535</v>
      </c>
    </row>
    <row r="6346" spans="1:2" x14ac:dyDescent="0.25">
      <c r="A6346" t="s">
        <v>15093</v>
      </c>
      <c r="B6346" t="s">
        <v>15093</v>
      </c>
    </row>
    <row r="6347" spans="1:2" x14ac:dyDescent="0.25">
      <c r="A6347" t="s">
        <v>14676</v>
      </c>
      <c r="B6347" t="s">
        <v>34536</v>
      </c>
    </row>
    <row r="6348" spans="1:2" x14ac:dyDescent="0.25">
      <c r="A6348" t="s">
        <v>13532</v>
      </c>
      <c r="B6348" t="s">
        <v>34537</v>
      </c>
    </row>
    <row r="6349" spans="1:2" x14ac:dyDescent="0.25">
      <c r="A6349" t="s">
        <v>14722</v>
      </c>
      <c r="B6349" t="s">
        <v>34538</v>
      </c>
    </row>
    <row r="6350" spans="1:2" x14ac:dyDescent="0.25">
      <c r="A6350" t="s">
        <v>13729</v>
      </c>
      <c r="B6350" t="s">
        <v>34539</v>
      </c>
    </row>
    <row r="6351" spans="1:2" x14ac:dyDescent="0.25">
      <c r="A6351" t="s">
        <v>15100</v>
      </c>
      <c r="B6351" t="s">
        <v>15100</v>
      </c>
    </row>
    <row r="6352" spans="1:2" x14ac:dyDescent="0.25">
      <c r="A6352" t="s">
        <v>15096</v>
      </c>
      <c r="B6352" t="s">
        <v>15096</v>
      </c>
    </row>
    <row r="6353" spans="1:2" x14ac:dyDescent="0.25">
      <c r="A6353" t="s">
        <v>12765</v>
      </c>
      <c r="B6353" t="s">
        <v>12765</v>
      </c>
    </row>
    <row r="6354" spans="1:2" x14ac:dyDescent="0.25">
      <c r="A6354" t="s">
        <v>14954</v>
      </c>
      <c r="B6354" t="s">
        <v>34540</v>
      </c>
    </row>
    <row r="6355" spans="1:2" x14ac:dyDescent="0.25">
      <c r="A6355" t="s">
        <v>12902</v>
      </c>
      <c r="B6355" t="s">
        <v>12902</v>
      </c>
    </row>
    <row r="6356" spans="1:2" x14ac:dyDescent="0.25">
      <c r="A6356" t="s">
        <v>14786</v>
      </c>
      <c r="B6356" t="s">
        <v>34541</v>
      </c>
    </row>
    <row r="6357" spans="1:2" x14ac:dyDescent="0.25">
      <c r="A6357" t="s">
        <v>332</v>
      </c>
      <c r="B6357" t="s">
        <v>332</v>
      </c>
    </row>
    <row r="6358" spans="1:2" x14ac:dyDescent="0.25">
      <c r="A6358" t="s">
        <v>12495</v>
      </c>
      <c r="B6358" t="s">
        <v>12495</v>
      </c>
    </row>
    <row r="6359" spans="1:2" x14ac:dyDescent="0.25">
      <c r="A6359" t="s">
        <v>14971</v>
      </c>
      <c r="B6359" t="s">
        <v>34542</v>
      </c>
    </row>
    <row r="6360" spans="1:2" x14ac:dyDescent="0.25">
      <c r="A6360" t="s">
        <v>15403</v>
      </c>
      <c r="B6360" t="s">
        <v>15403</v>
      </c>
    </row>
    <row r="6361" spans="1:2" x14ac:dyDescent="0.25">
      <c r="A6361" t="s">
        <v>14691</v>
      </c>
      <c r="B6361" t="s">
        <v>14691</v>
      </c>
    </row>
    <row r="6362" spans="1:2" x14ac:dyDescent="0.25">
      <c r="A6362" t="s">
        <v>15046</v>
      </c>
      <c r="B6362" t="s">
        <v>15046</v>
      </c>
    </row>
    <row r="6363" spans="1:2" x14ac:dyDescent="0.25">
      <c r="A6363" t="s">
        <v>13679</v>
      </c>
      <c r="B6363" t="s">
        <v>34543</v>
      </c>
    </row>
    <row r="6364" spans="1:2" x14ac:dyDescent="0.25">
      <c r="A6364" t="s">
        <v>14344</v>
      </c>
      <c r="B6364" t="s">
        <v>22939</v>
      </c>
    </row>
    <row r="6365" spans="1:2" x14ac:dyDescent="0.25">
      <c r="A6365" t="s">
        <v>13339</v>
      </c>
      <c r="B6365" t="s">
        <v>34544</v>
      </c>
    </row>
    <row r="6366" spans="1:2" x14ac:dyDescent="0.25">
      <c r="A6366" t="s">
        <v>14822</v>
      </c>
      <c r="B6366" t="s">
        <v>34545</v>
      </c>
    </row>
    <row r="6367" spans="1:2" x14ac:dyDescent="0.25">
      <c r="A6367" t="s">
        <v>12532</v>
      </c>
      <c r="B6367" t="s">
        <v>12532</v>
      </c>
    </row>
    <row r="6368" spans="1:2" x14ac:dyDescent="0.25">
      <c r="A6368" t="s">
        <v>14761</v>
      </c>
      <c r="B6368" t="s">
        <v>14761</v>
      </c>
    </row>
    <row r="6369" spans="1:2" x14ac:dyDescent="0.25">
      <c r="A6369" t="s">
        <v>12611</v>
      </c>
      <c r="B6369" t="s">
        <v>34546</v>
      </c>
    </row>
    <row r="6370" spans="1:2" x14ac:dyDescent="0.25">
      <c r="A6370" t="s">
        <v>12998</v>
      </c>
      <c r="B6370" t="s">
        <v>34547</v>
      </c>
    </row>
    <row r="6371" spans="1:2" x14ac:dyDescent="0.25">
      <c r="A6371" t="s">
        <v>13318</v>
      </c>
      <c r="B6371" t="s">
        <v>34548</v>
      </c>
    </row>
    <row r="6372" spans="1:2" x14ac:dyDescent="0.25">
      <c r="A6372" t="s">
        <v>12586</v>
      </c>
      <c r="B6372" t="s">
        <v>12586</v>
      </c>
    </row>
    <row r="6373" spans="1:2" x14ac:dyDescent="0.25">
      <c r="A6373" t="s">
        <v>13293</v>
      </c>
      <c r="B6373" t="s">
        <v>34549</v>
      </c>
    </row>
    <row r="6374" spans="1:2" x14ac:dyDescent="0.25">
      <c r="A6374" t="s">
        <v>13359</v>
      </c>
      <c r="B6374" t="s">
        <v>19148</v>
      </c>
    </row>
    <row r="6375" spans="1:2" x14ac:dyDescent="0.25">
      <c r="A6375" t="s">
        <v>14134</v>
      </c>
      <c r="B6375" t="s">
        <v>14134</v>
      </c>
    </row>
    <row r="6376" spans="1:2" x14ac:dyDescent="0.25">
      <c r="A6376" t="s">
        <v>14838</v>
      </c>
      <c r="B6376" t="s">
        <v>14838</v>
      </c>
    </row>
    <row r="6377" spans="1:2" x14ac:dyDescent="0.25">
      <c r="A6377" t="s">
        <v>13367</v>
      </c>
      <c r="B6377" t="s">
        <v>13367</v>
      </c>
    </row>
    <row r="6378" spans="1:2" x14ac:dyDescent="0.25">
      <c r="A6378" t="s">
        <v>13029</v>
      </c>
      <c r="B6378" t="s">
        <v>34550</v>
      </c>
    </row>
    <row r="6379" spans="1:2" x14ac:dyDescent="0.25">
      <c r="A6379" t="s">
        <v>14933</v>
      </c>
      <c r="B6379" t="s">
        <v>34551</v>
      </c>
    </row>
    <row r="6380" spans="1:2" x14ac:dyDescent="0.25">
      <c r="A6380" t="s">
        <v>15344</v>
      </c>
      <c r="B6380" t="s">
        <v>15344</v>
      </c>
    </row>
    <row r="6381" spans="1:2" x14ac:dyDescent="0.25">
      <c r="A6381" t="s">
        <v>14124</v>
      </c>
      <c r="B6381" t="s">
        <v>34552</v>
      </c>
    </row>
    <row r="6382" spans="1:2" x14ac:dyDescent="0.25">
      <c r="A6382" t="s">
        <v>14187</v>
      </c>
      <c r="B6382" t="s">
        <v>34553</v>
      </c>
    </row>
    <row r="6383" spans="1:2" x14ac:dyDescent="0.25">
      <c r="A6383" t="s">
        <v>14994</v>
      </c>
      <c r="B6383" t="s">
        <v>14994</v>
      </c>
    </row>
    <row r="6384" spans="1:2" x14ac:dyDescent="0.25">
      <c r="A6384" t="s">
        <v>14699</v>
      </c>
      <c r="B6384" t="s">
        <v>28135</v>
      </c>
    </row>
    <row r="6385" spans="1:2" x14ac:dyDescent="0.25">
      <c r="A6385" t="s">
        <v>12380</v>
      </c>
      <c r="B6385" t="s">
        <v>34554</v>
      </c>
    </row>
    <row r="6386" spans="1:2" x14ac:dyDescent="0.25">
      <c r="A6386" t="s">
        <v>13799</v>
      </c>
      <c r="B6386" t="s">
        <v>34555</v>
      </c>
    </row>
    <row r="6387" spans="1:2" x14ac:dyDescent="0.25">
      <c r="A6387" t="s">
        <v>13783</v>
      </c>
      <c r="B6387" t="s">
        <v>34556</v>
      </c>
    </row>
    <row r="6388" spans="1:2" x14ac:dyDescent="0.25">
      <c r="A6388" t="s">
        <v>14727</v>
      </c>
      <c r="B6388" t="s">
        <v>12080</v>
      </c>
    </row>
    <row r="6389" spans="1:2" x14ac:dyDescent="0.25">
      <c r="A6389" t="s">
        <v>12351</v>
      </c>
      <c r="B6389" t="s">
        <v>12351</v>
      </c>
    </row>
    <row r="6390" spans="1:2" x14ac:dyDescent="0.25">
      <c r="A6390" t="s">
        <v>12519</v>
      </c>
      <c r="B6390" t="s">
        <v>12519</v>
      </c>
    </row>
    <row r="6391" spans="1:2" x14ac:dyDescent="0.25">
      <c r="A6391" t="s">
        <v>12511</v>
      </c>
      <c r="B6391" t="s">
        <v>34557</v>
      </c>
    </row>
    <row r="6392" spans="1:2" x14ac:dyDescent="0.25">
      <c r="A6392" t="s">
        <v>15456</v>
      </c>
      <c r="B6392" t="s">
        <v>34558</v>
      </c>
    </row>
    <row r="6393" spans="1:2" x14ac:dyDescent="0.25">
      <c r="A6393" t="s">
        <v>12878</v>
      </c>
      <c r="B6393" t="s">
        <v>12878</v>
      </c>
    </row>
    <row r="6394" spans="1:2" x14ac:dyDescent="0.25">
      <c r="A6394" t="s">
        <v>34559</v>
      </c>
      <c r="B6394" t="s">
        <v>34560</v>
      </c>
    </row>
    <row r="6395" spans="1:2" x14ac:dyDescent="0.25">
      <c r="A6395" t="s">
        <v>14877</v>
      </c>
      <c r="B6395" t="s">
        <v>34561</v>
      </c>
    </row>
    <row r="6396" spans="1:2" x14ac:dyDescent="0.25">
      <c r="A6396" t="s">
        <v>12786</v>
      </c>
      <c r="B6396" t="s">
        <v>12786</v>
      </c>
    </row>
    <row r="6397" spans="1:2" x14ac:dyDescent="0.25">
      <c r="A6397" t="s">
        <v>13919</v>
      </c>
      <c r="B6397" t="s">
        <v>34562</v>
      </c>
    </row>
    <row r="6398" spans="1:2" x14ac:dyDescent="0.25">
      <c r="A6398" t="s">
        <v>13350</v>
      </c>
      <c r="B6398" t="s">
        <v>34563</v>
      </c>
    </row>
    <row r="6399" spans="1:2" x14ac:dyDescent="0.25">
      <c r="A6399" t="s">
        <v>12505</v>
      </c>
      <c r="B6399" t="s">
        <v>12505</v>
      </c>
    </row>
    <row r="6400" spans="1:2" x14ac:dyDescent="0.25">
      <c r="A6400" t="s">
        <v>12547</v>
      </c>
      <c r="B6400" t="s">
        <v>12547</v>
      </c>
    </row>
    <row r="6401" spans="1:2" x14ac:dyDescent="0.25">
      <c r="A6401" t="s">
        <v>12515</v>
      </c>
      <c r="B6401" t="s">
        <v>12515</v>
      </c>
    </row>
    <row r="6402" spans="1:2" x14ac:dyDescent="0.25">
      <c r="A6402" t="s">
        <v>12712</v>
      </c>
      <c r="B6402" t="s">
        <v>34564</v>
      </c>
    </row>
    <row r="6403" spans="1:2" x14ac:dyDescent="0.25">
      <c r="A6403" t="s">
        <v>12478</v>
      </c>
      <c r="B6403" t="s">
        <v>34565</v>
      </c>
    </row>
    <row r="6404" spans="1:2" x14ac:dyDescent="0.25">
      <c r="A6404" t="s">
        <v>14915</v>
      </c>
      <c r="B6404" t="s">
        <v>34566</v>
      </c>
    </row>
    <row r="6405" spans="1:2" x14ac:dyDescent="0.25">
      <c r="A6405" t="s">
        <v>12771</v>
      </c>
      <c r="B6405" t="s">
        <v>12771</v>
      </c>
    </row>
    <row r="6406" spans="1:2" x14ac:dyDescent="0.25">
      <c r="A6406" t="s">
        <v>12364</v>
      </c>
      <c r="B6406" t="s">
        <v>12364</v>
      </c>
    </row>
    <row r="6407" spans="1:2" x14ac:dyDescent="0.25">
      <c r="A6407" t="s">
        <v>12881</v>
      </c>
      <c r="B6407" t="s">
        <v>12881</v>
      </c>
    </row>
    <row r="6408" spans="1:2" x14ac:dyDescent="0.25">
      <c r="A6408" t="s">
        <v>15458</v>
      </c>
      <c r="B6408" t="s">
        <v>15458</v>
      </c>
    </row>
    <row r="6409" spans="1:2" x14ac:dyDescent="0.25">
      <c r="A6409" t="s">
        <v>13766</v>
      </c>
      <c r="B6409" t="s">
        <v>34567</v>
      </c>
    </row>
    <row r="6410" spans="1:2" x14ac:dyDescent="0.25">
      <c r="A6410" t="s">
        <v>14263</v>
      </c>
      <c r="B6410" t="s">
        <v>34568</v>
      </c>
    </row>
    <row r="6411" spans="1:2" x14ac:dyDescent="0.25">
      <c r="A6411" t="s">
        <v>13858</v>
      </c>
      <c r="B6411" t="s">
        <v>4489</v>
      </c>
    </row>
    <row r="6412" spans="1:2" x14ac:dyDescent="0.25">
      <c r="A6412" t="s">
        <v>13502</v>
      </c>
      <c r="B6412" t="s">
        <v>34569</v>
      </c>
    </row>
    <row r="6413" spans="1:2" x14ac:dyDescent="0.25">
      <c r="A6413" t="s">
        <v>13148</v>
      </c>
      <c r="B6413" t="s">
        <v>34570</v>
      </c>
    </row>
    <row r="6414" spans="1:2" x14ac:dyDescent="0.25">
      <c r="A6414" t="s">
        <v>15055</v>
      </c>
      <c r="B6414" t="s">
        <v>34571</v>
      </c>
    </row>
    <row r="6415" spans="1:2" x14ac:dyDescent="0.25">
      <c r="A6415" t="s">
        <v>13210</v>
      </c>
      <c r="B6415" t="s">
        <v>34572</v>
      </c>
    </row>
    <row r="6416" spans="1:2" x14ac:dyDescent="0.25">
      <c r="A6416" t="s">
        <v>12460</v>
      </c>
      <c r="B6416" t="s">
        <v>12460</v>
      </c>
    </row>
    <row r="6417" spans="1:2" x14ac:dyDescent="0.25">
      <c r="A6417" t="s">
        <v>14835</v>
      </c>
      <c r="B6417" t="s">
        <v>34573</v>
      </c>
    </row>
    <row r="6418" spans="1:2" x14ac:dyDescent="0.25">
      <c r="A6418" t="s">
        <v>13126</v>
      </c>
      <c r="B6418" t="s">
        <v>34574</v>
      </c>
    </row>
    <row r="6419" spans="1:2" x14ac:dyDescent="0.25">
      <c r="A6419" t="s">
        <v>14513</v>
      </c>
      <c r="B6419" t="s">
        <v>34575</v>
      </c>
    </row>
    <row r="6420" spans="1:2" x14ac:dyDescent="0.25">
      <c r="A6420" t="s">
        <v>13748</v>
      </c>
      <c r="B6420" t="s">
        <v>13748</v>
      </c>
    </row>
    <row r="6421" spans="1:2" x14ac:dyDescent="0.25">
      <c r="A6421" t="s">
        <v>14111</v>
      </c>
      <c r="B6421" t="s">
        <v>34576</v>
      </c>
    </row>
    <row r="6422" spans="1:2" x14ac:dyDescent="0.25">
      <c r="A6422" t="s">
        <v>15477</v>
      </c>
      <c r="B6422" t="s">
        <v>15477</v>
      </c>
    </row>
    <row r="6423" spans="1:2" x14ac:dyDescent="0.25">
      <c r="A6423" t="s">
        <v>12439</v>
      </c>
      <c r="B6423" t="s">
        <v>12439</v>
      </c>
    </row>
    <row r="6424" spans="1:2" x14ac:dyDescent="0.25">
      <c r="A6424" t="s">
        <v>12671</v>
      </c>
      <c r="B6424" t="s">
        <v>12671</v>
      </c>
    </row>
    <row r="6425" spans="1:2" x14ac:dyDescent="0.25">
      <c r="A6425" t="s">
        <v>12394</v>
      </c>
      <c r="B6425" t="s">
        <v>34577</v>
      </c>
    </row>
    <row r="6426" spans="1:2" x14ac:dyDescent="0.25">
      <c r="A6426" t="s">
        <v>14474</v>
      </c>
      <c r="B6426" t="s">
        <v>34578</v>
      </c>
    </row>
    <row r="6427" spans="1:2" x14ac:dyDescent="0.25">
      <c r="A6427" t="s">
        <v>15031</v>
      </c>
      <c r="B6427" t="s">
        <v>34579</v>
      </c>
    </row>
    <row r="6428" spans="1:2" x14ac:dyDescent="0.25">
      <c r="A6428" t="s">
        <v>12732</v>
      </c>
      <c r="B6428" t="s">
        <v>12732</v>
      </c>
    </row>
    <row r="6429" spans="1:2" x14ac:dyDescent="0.25">
      <c r="A6429" t="s">
        <v>13072</v>
      </c>
      <c r="B6429" t="s">
        <v>34580</v>
      </c>
    </row>
    <row r="6430" spans="1:2" x14ac:dyDescent="0.25">
      <c r="A6430" t="s">
        <v>13828</v>
      </c>
      <c r="B6430" t="s">
        <v>34581</v>
      </c>
    </row>
    <row r="6431" spans="1:2" x14ac:dyDescent="0.25">
      <c r="A6431" t="s">
        <v>14335</v>
      </c>
      <c r="B6431" t="s">
        <v>34582</v>
      </c>
    </row>
    <row r="6432" spans="1:2" x14ac:dyDescent="0.25">
      <c r="A6432" t="s">
        <v>14571</v>
      </c>
      <c r="B6432" t="s">
        <v>34583</v>
      </c>
    </row>
    <row r="6433" spans="1:2" x14ac:dyDescent="0.25">
      <c r="A6433" t="s">
        <v>12862</v>
      </c>
      <c r="B6433" t="s">
        <v>12862</v>
      </c>
    </row>
    <row r="6434" spans="1:2" x14ac:dyDescent="0.25">
      <c r="A6434" t="s">
        <v>12390</v>
      </c>
      <c r="B6434" t="s">
        <v>34584</v>
      </c>
    </row>
    <row r="6435" spans="1:2" x14ac:dyDescent="0.25">
      <c r="A6435" t="s">
        <v>14063</v>
      </c>
      <c r="B6435" t="s">
        <v>34585</v>
      </c>
    </row>
    <row r="6436" spans="1:2" x14ac:dyDescent="0.25">
      <c r="A6436" t="s">
        <v>14996</v>
      </c>
      <c r="B6436" t="s">
        <v>34586</v>
      </c>
    </row>
    <row r="6437" spans="1:2" x14ac:dyDescent="0.25">
      <c r="A6437" t="s">
        <v>15092</v>
      </c>
      <c r="B6437" t="s">
        <v>23652</v>
      </c>
    </row>
    <row r="6438" spans="1:2" x14ac:dyDescent="0.25">
      <c r="A6438" t="s">
        <v>13717</v>
      </c>
      <c r="B6438" t="s">
        <v>34587</v>
      </c>
    </row>
    <row r="6439" spans="1:2" x14ac:dyDescent="0.25">
      <c r="A6439" t="s">
        <v>15205</v>
      </c>
      <c r="B6439" t="s">
        <v>34588</v>
      </c>
    </row>
    <row r="6440" spans="1:2" x14ac:dyDescent="0.25">
      <c r="A6440" t="s">
        <v>14462</v>
      </c>
      <c r="B6440" t="s">
        <v>14462</v>
      </c>
    </row>
    <row r="6441" spans="1:2" x14ac:dyDescent="0.25">
      <c r="A6441" t="s">
        <v>12620</v>
      </c>
      <c r="B6441" t="s">
        <v>34589</v>
      </c>
    </row>
    <row r="6442" spans="1:2" x14ac:dyDescent="0.25">
      <c r="A6442" t="s">
        <v>13719</v>
      </c>
      <c r="B6442" t="s">
        <v>13719</v>
      </c>
    </row>
    <row r="6443" spans="1:2" x14ac:dyDescent="0.25">
      <c r="A6443" t="s">
        <v>14594</v>
      </c>
      <c r="B6443" t="s">
        <v>34590</v>
      </c>
    </row>
    <row r="6444" spans="1:2" x14ac:dyDescent="0.25">
      <c r="A6444" t="s">
        <v>12587</v>
      </c>
      <c r="B6444" t="s">
        <v>12587</v>
      </c>
    </row>
    <row r="6445" spans="1:2" x14ac:dyDescent="0.25">
      <c r="A6445" t="s">
        <v>15362</v>
      </c>
      <c r="B6445" t="s">
        <v>15362</v>
      </c>
    </row>
    <row r="6446" spans="1:2" x14ac:dyDescent="0.25">
      <c r="A6446" t="s">
        <v>12464</v>
      </c>
      <c r="B6446" t="s">
        <v>12464</v>
      </c>
    </row>
    <row r="6447" spans="1:2" x14ac:dyDescent="0.25">
      <c r="A6447" t="s">
        <v>15412</v>
      </c>
      <c r="B6447" t="s">
        <v>30156</v>
      </c>
    </row>
    <row r="6448" spans="1:2" x14ac:dyDescent="0.25">
      <c r="A6448" t="s">
        <v>12855</v>
      </c>
      <c r="B6448" t="s">
        <v>12855</v>
      </c>
    </row>
    <row r="6449" spans="1:2" x14ac:dyDescent="0.25">
      <c r="A6449" t="s">
        <v>15223</v>
      </c>
      <c r="B6449" t="s">
        <v>15223</v>
      </c>
    </row>
    <row r="6450" spans="1:2" x14ac:dyDescent="0.25">
      <c r="A6450" t="s">
        <v>14218</v>
      </c>
      <c r="B6450" t="s">
        <v>34591</v>
      </c>
    </row>
    <row r="6451" spans="1:2" x14ac:dyDescent="0.25">
      <c r="A6451" t="s">
        <v>15393</v>
      </c>
      <c r="B6451" t="s">
        <v>15393</v>
      </c>
    </row>
    <row r="6452" spans="1:2" x14ac:dyDescent="0.25">
      <c r="A6452" t="s">
        <v>34592</v>
      </c>
      <c r="B6452" t="s">
        <v>34593</v>
      </c>
    </row>
    <row r="6453" spans="1:2" x14ac:dyDescent="0.25">
      <c r="A6453" t="s">
        <v>15127</v>
      </c>
      <c r="B6453" t="s">
        <v>34594</v>
      </c>
    </row>
    <row r="6454" spans="1:2" x14ac:dyDescent="0.25">
      <c r="A6454" t="s">
        <v>12743</v>
      </c>
      <c r="B6454" t="s">
        <v>12743</v>
      </c>
    </row>
    <row r="6455" spans="1:2" x14ac:dyDescent="0.25">
      <c r="A6455" t="s">
        <v>14112</v>
      </c>
      <c r="B6455" t="s">
        <v>34595</v>
      </c>
    </row>
    <row r="6456" spans="1:2" x14ac:dyDescent="0.25">
      <c r="A6456" t="s">
        <v>13917</v>
      </c>
      <c r="B6456" t="s">
        <v>34596</v>
      </c>
    </row>
    <row r="6457" spans="1:2" x14ac:dyDescent="0.25">
      <c r="A6457" t="s">
        <v>14631</v>
      </c>
      <c r="B6457" t="s">
        <v>34597</v>
      </c>
    </row>
    <row r="6458" spans="1:2" x14ac:dyDescent="0.25">
      <c r="A6458" t="s">
        <v>12571</v>
      </c>
      <c r="B6458" t="s">
        <v>12571</v>
      </c>
    </row>
    <row r="6459" spans="1:2" x14ac:dyDescent="0.25">
      <c r="A6459" t="s">
        <v>14397</v>
      </c>
      <c r="B6459" t="s">
        <v>34598</v>
      </c>
    </row>
    <row r="6460" spans="1:2" x14ac:dyDescent="0.25">
      <c r="A6460" t="s">
        <v>14578</v>
      </c>
      <c r="B6460" t="s">
        <v>14578</v>
      </c>
    </row>
    <row r="6461" spans="1:2" x14ac:dyDescent="0.25">
      <c r="A6461" t="s">
        <v>14952</v>
      </c>
      <c r="B6461" t="s">
        <v>34599</v>
      </c>
    </row>
    <row r="6462" spans="1:2" x14ac:dyDescent="0.25">
      <c r="A6462" t="s">
        <v>13219</v>
      </c>
      <c r="B6462" t="s">
        <v>13219</v>
      </c>
    </row>
    <row r="6463" spans="1:2" x14ac:dyDescent="0.25">
      <c r="A6463" t="s">
        <v>13538</v>
      </c>
      <c r="B6463" t="s">
        <v>34600</v>
      </c>
    </row>
    <row r="6464" spans="1:2" x14ac:dyDescent="0.25">
      <c r="A6464" t="s">
        <v>12385</v>
      </c>
      <c r="B6464" t="s">
        <v>12385</v>
      </c>
    </row>
    <row r="6465" spans="1:2" x14ac:dyDescent="0.25">
      <c r="A6465" t="s">
        <v>12462</v>
      </c>
      <c r="B6465" t="s">
        <v>12462</v>
      </c>
    </row>
    <row r="6466" spans="1:2" x14ac:dyDescent="0.25">
      <c r="A6466" t="s">
        <v>14977</v>
      </c>
      <c r="B6466" t="s">
        <v>34601</v>
      </c>
    </row>
    <row r="6467" spans="1:2" x14ac:dyDescent="0.25">
      <c r="A6467" t="s">
        <v>14674</v>
      </c>
      <c r="B6467" t="s">
        <v>14674</v>
      </c>
    </row>
    <row r="6468" spans="1:2" x14ac:dyDescent="0.25">
      <c r="A6468" t="s">
        <v>13899</v>
      </c>
      <c r="B6468" t="s">
        <v>34602</v>
      </c>
    </row>
    <row r="6469" spans="1:2" x14ac:dyDescent="0.25">
      <c r="A6469" t="s">
        <v>14488</v>
      </c>
      <c r="B6469" t="s">
        <v>34603</v>
      </c>
    </row>
    <row r="6470" spans="1:2" x14ac:dyDescent="0.25">
      <c r="A6470" t="s">
        <v>15464</v>
      </c>
      <c r="B6470" t="s">
        <v>34604</v>
      </c>
    </row>
    <row r="6471" spans="1:2" x14ac:dyDescent="0.25">
      <c r="A6471" t="s">
        <v>13609</v>
      </c>
      <c r="B6471" t="s">
        <v>34605</v>
      </c>
    </row>
    <row r="6472" spans="1:2" x14ac:dyDescent="0.25">
      <c r="A6472" t="s">
        <v>13142</v>
      </c>
      <c r="B6472" t="s">
        <v>34606</v>
      </c>
    </row>
    <row r="6473" spans="1:2" x14ac:dyDescent="0.25">
      <c r="A6473" t="s">
        <v>15107</v>
      </c>
      <c r="B6473" t="s">
        <v>24106</v>
      </c>
    </row>
    <row r="6474" spans="1:2" x14ac:dyDescent="0.25">
      <c r="A6474" t="s">
        <v>14183</v>
      </c>
      <c r="B6474" t="s">
        <v>14183</v>
      </c>
    </row>
    <row r="6475" spans="1:2" x14ac:dyDescent="0.25">
      <c r="A6475" t="s">
        <v>12949</v>
      </c>
      <c r="B6475" t="s">
        <v>34607</v>
      </c>
    </row>
    <row r="6476" spans="1:2" x14ac:dyDescent="0.25">
      <c r="A6476" t="s">
        <v>13056</v>
      </c>
      <c r="B6476" t="s">
        <v>34608</v>
      </c>
    </row>
    <row r="6477" spans="1:2" x14ac:dyDescent="0.25">
      <c r="A6477" t="s">
        <v>14979</v>
      </c>
      <c r="B6477" t="s">
        <v>14979</v>
      </c>
    </row>
    <row r="6478" spans="1:2" x14ac:dyDescent="0.25">
      <c r="A6478" t="s">
        <v>12608</v>
      </c>
      <c r="B6478" t="s">
        <v>12608</v>
      </c>
    </row>
    <row r="6479" spans="1:2" x14ac:dyDescent="0.25">
      <c r="A6479" t="s">
        <v>13513</v>
      </c>
      <c r="B6479" t="s">
        <v>34609</v>
      </c>
    </row>
    <row r="6480" spans="1:2" x14ac:dyDescent="0.25">
      <c r="A6480" t="s">
        <v>14799</v>
      </c>
      <c r="B6480" t="s">
        <v>14799</v>
      </c>
    </row>
    <row r="6481" spans="1:2" x14ac:dyDescent="0.25">
      <c r="A6481" t="s">
        <v>13967</v>
      </c>
      <c r="B6481" t="s">
        <v>34610</v>
      </c>
    </row>
    <row r="6482" spans="1:2" x14ac:dyDescent="0.25">
      <c r="A6482" t="s">
        <v>14925</v>
      </c>
      <c r="B6482" t="s">
        <v>34611</v>
      </c>
    </row>
    <row r="6483" spans="1:2" x14ac:dyDescent="0.25">
      <c r="A6483" t="s">
        <v>15197</v>
      </c>
      <c r="B6483" t="s">
        <v>15197</v>
      </c>
    </row>
    <row r="6484" spans="1:2" x14ac:dyDescent="0.25">
      <c r="A6484" t="s">
        <v>14519</v>
      </c>
      <c r="B6484" t="s">
        <v>34612</v>
      </c>
    </row>
    <row r="6485" spans="1:2" x14ac:dyDescent="0.25">
      <c r="A6485" t="s">
        <v>12844</v>
      </c>
      <c r="B6485" t="s">
        <v>34613</v>
      </c>
    </row>
    <row r="6486" spans="1:2" x14ac:dyDescent="0.25">
      <c r="A6486" t="s">
        <v>14767</v>
      </c>
      <c r="B6486" t="s">
        <v>34614</v>
      </c>
    </row>
    <row r="6487" spans="1:2" x14ac:dyDescent="0.25">
      <c r="A6487" t="s">
        <v>15480</v>
      </c>
      <c r="B6487" t="s">
        <v>34615</v>
      </c>
    </row>
    <row r="6488" spans="1:2" x14ac:dyDescent="0.25">
      <c r="A6488" t="s">
        <v>13204</v>
      </c>
      <c r="B6488" t="s">
        <v>34616</v>
      </c>
    </row>
    <row r="6489" spans="1:2" x14ac:dyDescent="0.25">
      <c r="A6489" t="s">
        <v>13593</v>
      </c>
      <c r="B6489" t="s">
        <v>34617</v>
      </c>
    </row>
    <row r="6490" spans="1:2" x14ac:dyDescent="0.25">
      <c r="A6490" t="s">
        <v>14020</v>
      </c>
      <c r="B6490" t="s">
        <v>14020</v>
      </c>
    </row>
    <row r="6491" spans="1:2" x14ac:dyDescent="0.25">
      <c r="A6491" t="s">
        <v>14215</v>
      </c>
      <c r="B6491" t="s">
        <v>34618</v>
      </c>
    </row>
    <row r="6492" spans="1:2" x14ac:dyDescent="0.25">
      <c r="A6492" t="s">
        <v>15469</v>
      </c>
      <c r="B6492" t="s">
        <v>34619</v>
      </c>
    </row>
    <row r="6493" spans="1:2" x14ac:dyDescent="0.25">
      <c r="A6493" t="s">
        <v>15489</v>
      </c>
      <c r="B6493" t="s">
        <v>34620</v>
      </c>
    </row>
    <row r="6494" spans="1:2" x14ac:dyDescent="0.25">
      <c r="A6494" t="s">
        <v>14814</v>
      </c>
      <c r="B6494" t="s">
        <v>14814</v>
      </c>
    </row>
    <row r="6495" spans="1:2" x14ac:dyDescent="0.25">
      <c r="A6495" t="s">
        <v>13544</v>
      </c>
      <c r="B6495" t="s">
        <v>34621</v>
      </c>
    </row>
    <row r="6496" spans="1:2" x14ac:dyDescent="0.25">
      <c r="A6496" t="s">
        <v>13259</v>
      </c>
      <c r="B6496" t="s">
        <v>34622</v>
      </c>
    </row>
    <row r="6497" spans="1:2" x14ac:dyDescent="0.25">
      <c r="A6497" t="s">
        <v>12822</v>
      </c>
      <c r="B6497" t="s">
        <v>34623</v>
      </c>
    </row>
    <row r="6498" spans="1:2" x14ac:dyDescent="0.25">
      <c r="A6498" t="s">
        <v>13763</v>
      </c>
      <c r="B6498" t="s">
        <v>34624</v>
      </c>
    </row>
    <row r="6499" spans="1:2" x14ac:dyDescent="0.25">
      <c r="A6499" t="s">
        <v>12610</v>
      </c>
      <c r="B6499" t="s">
        <v>34625</v>
      </c>
    </row>
    <row r="6500" spans="1:2" x14ac:dyDescent="0.25">
      <c r="A6500" t="s">
        <v>14589</v>
      </c>
      <c r="B6500" t="s">
        <v>34626</v>
      </c>
    </row>
    <row r="6501" spans="1:2" x14ac:dyDescent="0.25">
      <c r="A6501" t="s">
        <v>14800</v>
      </c>
      <c r="B6501" t="s">
        <v>34627</v>
      </c>
    </row>
    <row r="6502" spans="1:2" x14ac:dyDescent="0.25">
      <c r="A6502" t="s">
        <v>13203</v>
      </c>
      <c r="B6502" t="s">
        <v>34628</v>
      </c>
    </row>
    <row r="6503" spans="1:2" x14ac:dyDescent="0.25">
      <c r="A6503" t="s">
        <v>13058</v>
      </c>
      <c r="B6503" t="s">
        <v>34629</v>
      </c>
    </row>
    <row r="6504" spans="1:2" x14ac:dyDescent="0.25">
      <c r="A6504" t="s">
        <v>34630</v>
      </c>
      <c r="B6504" t="s">
        <v>34631</v>
      </c>
    </row>
    <row r="6505" spans="1:2" x14ac:dyDescent="0.25">
      <c r="A6505" t="s">
        <v>14282</v>
      </c>
      <c r="B6505" t="s">
        <v>34632</v>
      </c>
    </row>
    <row r="6506" spans="1:2" x14ac:dyDescent="0.25">
      <c r="A6506" t="s">
        <v>13139</v>
      </c>
      <c r="B6506" t="s">
        <v>34633</v>
      </c>
    </row>
    <row r="6507" spans="1:2" x14ac:dyDescent="0.25">
      <c r="A6507" t="s">
        <v>15228</v>
      </c>
      <c r="B6507" t="s">
        <v>15228</v>
      </c>
    </row>
    <row r="6508" spans="1:2" x14ac:dyDescent="0.25">
      <c r="A6508" t="s">
        <v>13207</v>
      </c>
      <c r="B6508" t="s">
        <v>34634</v>
      </c>
    </row>
    <row r="6509" spans="1:2" x14ac:dyDescent="0.25">
      <c r="A6509" t="s">
        <v>13320</v>
      </c>
      <c r="B6509" t="s">
        <v>34635</v>
      </c>
    </row>
    <row r="6510" spans="1:2" x14ac:dyDescent="0.25">
      <c r="A6510" t="s">
        <v>12723</v>
      </c>
      <c r="B6510" t="s">
        <v>12723</v>
      </c>
    </row>
    <row r="6511" spans="1:2" x14ac:dyDescent="0.25">
      <c r="A6511" t="s">
        <v>13780</v>
      </c>
      <c r="B6511" t="s">
        <v>34636</v>
      </c>
    </row>
    <row r="6512" spans="1:2" x14ac:dyDescent="0.25">
      <c r="A6512" t="s">
        <v>12418</v>
      </c>
      <c r="B6512" t="s">
        <v>34637</v>
      </c>
    </row>
    <row r="6513" spans="1:2" x14ac:dyDescent="0.25">
      <c r="A6513" t="s">
        <v>13617</v>
      </c>
      <c r="B6513" t="s">
        <v>34638</v>
      </c>
    </row>
    <row r="6514" spans="1:2" x14ac:dyDescent="0.25">
      <c r="A6514" t="s">
        <v>15370</v>
      </c>
      <c r="B6514" t="s">
        <v>15370</v>
      </c>
    </row>
    <row r="6515" spans="1:2" x14ac:dyDescent="0.25">
      <c r="A6515" t="s">
        <v>14611</v>
      </c>
      <c r="B6515" t="s">
        <v>34639</v>
      </c>
    </row>
    <row r="6516" spans="1:2" x14ac:dyDescent="0.25">
      <c r="A6516" t="s">
        <v>15436</v>
      </c>
      <c r="B6516" t="s">
        <v>26704</v>
      </c>
    </row>
    <row r="6517" spans="1:2" x14ac:dyDescent="0.25">
      <c r="A6517" t="s">
        <v>14254</v>
      </c>
      <c r="B6517" t="s">
        <v>21094</v>
      </c>
    </row>
    <row r="6518" spans="1:2" x14ac:dyDescent="0.25">
      <c r="A6518" t="s">
        <v>14427</v>
      </c>
      <c r="B6518" t="s">
        <v>34640</v>
      </c>
    </row>
    <row r="6519" spans="1:2" x14ac:dyDescent="0.25">
      <c r="A6519" t="s">
        <v>12340</v>
      </c>
      <c r="B6519" t="s">
        <v>34641</v>
      </c>
    </row>
    <row r="6520" spans="1:2" x14ac:dyDescent="0.25">
      <c r="A6520" t="s">
        <v>13950</v>
      </c>
      <c r="B6520" t="s">
        <v>34642</v>
      </c>
    </row>
    <row r="6521" spans="1:2" x14ac:dyDescent="0.25">
      <c r="A6521" t="s">
        <v>14972</v>
      </c>
      <c r="B6521" t="s">
        <v>34643</v>
      </c>
    </row>
    <row r="6522" spans="1:2" x14ac:dyDescent="0.25">
      <c r="A6522" t="s">
        <v>13963</v>
      </c>
      <c r="B6522" t="s">
        <v>34644</v>
      </c>
    </row>
    <row r="6523" spans="1:2" x14ac:dyDescent="0.25">
      <c r="A6523" t="s">
        <v>14731</v>
      </c>
      <c r="B6523" t="s">
        <v>34645</v>
      </c>
    </row>
    <row r="6524" spans="1:2" x14ac:dyDescent="0.25">
      <c r="A6524" t="s">
        <v>12350</v>
      </c>
      <c r="B6524" t="s">
        <v>12350</v>
      </c>
    </row>
    <row r="6525" spans="1:2" x14ac:dyDescent="0.25">
      <c r="A6525" t="s">
        <v>13923</v>
      </c>
      <c r="B6525" t="s">
        <v>34646</v>
      </c>
    </row>
    <row r="6526" spans="1:2" x14ac:dyDescent="0.25">
      <c r="A6526" t="s">
        <v>13324</v>
      </c>
      <c r="B6526" t="s">
        <v>34647</v>
      </c>
    </row>
    <row r="6527" spans="1:2" x14ac:dyDescent="0.25">
      <c r="A6527" t="s">
        <v>12659</v>
      </c>
      <c r="B6527" t="s">
        <v>34648</v>
      </c>
    </row>
    <row r="6528" spans="1:2" x14ac:dyDescent="0.25">
      <c r="A6528" t="s">
        <v>12599</v>
      </c>
      <c r="B6528" t="s">
        <v>12599</v>
      </c>
    </row>
    <row r="6529" spans="1:2" x14ac:dyDescent="0.25">
      <c r="A6529" t="s">
        <v>14580</v>
      </c>
      <c r="B6529" t="s">
        <v>14580</v>
      </c>
    </row>
    <row r="6530" spans="1:2" x14ac:dyDescent="0.25">
      <c r="A6530" t="s">
        <v>15318</v>
      </c>
      <c r="B6530" t="s">
        <v>34649</v>
      </c>
    </row>
    <row r="6531" spans="1:2" x14ac:dyDescent="0.25">
      <c r="A6531" t="s">
        <v>13106</v>
      </c>
      <c r="B6531" t="s">
        <v>34650</v>
      </c>
    </row>
    <row r="6532" spans="1:2" x14ac:dyDescent="0.25">
      <c r="A6532" t="s">
        <v>13573</v>
      </c>
      <c r="B6532" t="s">
        <v>34651</v>
      </c>
    </row>
    <row r="6533" spans="1:2" x14ac:dyDescent="0.25">
      <c r="A6533" t="s">
        <v>12576</v>
      </c>
      <c r="B6533" t="s">
        <v>12576</v>
      </c>
    </row>
    <row r="6534" spans="1:2" x14ac:dyDescent="0.25">
      <c r="A6534" t="s">
        <v>14639</v>
      </c>
      <c r="B6534" t="s">
        <v>34652</v>
      </c>
    </row>
    <row r="6535" spans="1:2" x14ac:dyDescent="0.25">
      <c r="A6535" t="s">
        <v>14227</v>
      </c>
      <c r="B6535" t="s">
        <v>34653</v>
      </c>
    </row>
    <row r="6536" spans="1:2" x14ac:dyDescent="0.25">
      <c r="A6536" t="s">
        <v>12322</v>
      </c>
      <c r="B6536" t="s">
        <v>12322</v>
      </c>
    </row>
    <row r="6537" spans="1:2" x14ac:dyDescent="0.25">
      <c r="A6537" t="s">
        <v>14772</v>
      </c>
      <c r="B6537" t="s">
        <v>34654</v>
      </c>
    </row>
    <row r="6538" spans="1:2" x14ac:dyDescent="0.25">
      <c r="A6538" t="s">
        <v>15420</v>
      </c>
      <c r="B6538" t="s">
        <v>30224</v>
      </c>
    </row>
    <row r="6539" spans="1:2" x14ac:dyDescent="0.25">
      <c r="A6539" t="s">
        <v>12869</v>
      </c>
      <c r="B6539" t="s">
        <v>12869</v>
      </c>
    </row>
    <row r="6540" spans="1:2" x14ac:dyDescent="0.25">
      <c r="A6540" t="s">
        <v>14392</v>
      </c>
      <c r="B6540" t="s">
        <v>34655</v>
      </c>
    </row>
    <row r="6541" spans="1:2" x14ac:dyDescent="0.25">
      <c r="A6541" t="s">
        <v>13691</v>
      </c>
      <c r="B6541" t="s">
        <v>13691</v>
      </c>
    </row>
    <row r="6542" spans="1:2" x14ac:dyDescent="0.25">
      <c r="A6542" t="s">
        <v>14004</v>
      </c>
      <c r="B6542" t="s">
        <v>34656</v>
      </c>
    </row>
    <row r="6543" spans="1:2" x14ac:dyDescent="0.25">
      <c r="A6543" t="s">
        <v>14704</v>
      </c>
      <c r="B6543" t="s">
        <v>14704</v>
      </c>
    </row>
    <row r="6544" spans="1:2" x14ac:dyDescent="0.25">
      <c r="A6544" t="s">
        <v>13448</v>
      </c>
      <c r="B6544" t="s">
        <v>34657</v>
      </c>
    </row>
    <row r="6545" spans="1:2" x14ac:dyDescent="0.25">
      <c r="A6545" t="s">
        <v>12752</v>
      </c>
      <c r="B6545" t="s">
        <v>12752</v>
      </c>
    </row>
    <row r="6546" spans="1:2" x14ac:dyDescent="0.25">
      <c r="A6546" t="s">
        <v>12664</v>
      </c>
      <c r="B6546" t="s">
        <v>34658</v>
      </c>
    </row>
    <row r="6547" spans="1:2" x14ac:dyDescent="0.25">
      <c r="A6547" t="s">
        <v>14867</v>
      </c>
      <c r="B6547" t="s">
        <v>14867</v>
      </c>
    </row>
    <row r="6548" spans="1:2" x14ac:dyDescent="0.25">
      <c r="A6548" t="s">
        <v>13379</v>
      </c>
      <c r="B6548" t="s">
        <v>34659</v>
      </c>
    </row>
    <row r="6549" spans="1:2" x14ac:dyDescent="0.25">
      <c r="A6549" t="s">
        <v>14984</v>
      </c>
      <c r="B6549" t="s">
        <v>28035</v>
      </c>
    </row>
    <row r="6550" spans="1:2" x14ac:dyDescent="0.25">
      <c r="A6550" t="s">
        <v>15374</v>
      </c>
      <c r="B6550" t="s">
        <v>15374</v>
      </c>
    </row>
    <row r="6551" spans="1:2" x14ac:dyDescent="0.25">
      <c r="A6551" t="s">
        <v>12344</v>
      </c>
      <c r="B6551" t="s">
        <v>12344</v>
      </c>
    </row>
    <row r="6552" spans="1:2" x14ac:dyDescent="0.25">
      <c r="A6552" t="s">
        <v>14585</v>
      </c>
      <c r="B6552" t="s">
        <v>34660</v>
      </c>
    </row>
    <row r="6553" spans="1:2" x14ac:dyDescent="0.25">
      <c r="A6553" t="s">
        <v>12820</v>
      </c>
      <c r="B6553" t="s">
        <v>34661</v>
      </c>
    </row>
    <row r="6554" spans="1:2" x14ac:dyDescent="0.25">
      <c r="A6554" t="s">
        <v>14760</v>
      </c>
      <c r="B6554" t="s">
        <v>34662</v>
      </c>
    </row>
    <row r="6555" spans="1:2" x14ac:dyDescent="0.25">
      <c r="A6555" t="s">
        <v>14900</v>
      </c>
      <c r="B6555" t="s">
        <v>34663</v>
      </c>
    </row>
    <row r="6556" spans="1:2" x14ac:dyDescent="0.25">
      <c r="A6556" t="s">
        <v>14906</v>
      </c>
      <c r="B6556" t="s">
        <v>14906</v>
      </c>
    </row>
    <row r="6557" spans="1:2" x14ac:dyDescent="0.25">
      <c r="A6557" t="s">
        <v>14267</v>
      </c>
      <c r="B6557" t="s">
        <v>34664</v>
      </c>
    </row>
    <row r="6558" spans="1:2" x14ac:dyDescent="0.25">
      <c r="A6558" t="s">
        <v>12452</v>
      </c>
      <c r="B6558" t="s">
        <v>34665</v>
      </c>
    </row>
    <row r="6559" spans="1:2" x14ac:dyDescent="0.25">
      <c r="A6559" t="s">
        <v>15054</v>
      </c>
      <c r="B6559" t="s">
        <v>34666</v>
      </c>
    </row>
    <row r="6560" spans="1:2" x14ac:dyDescent="0.25">
      <c r="A6560" t="s">
        <v>14294</v>
      </c>
      <c r="B6560" t="s">
        <v>34667</v>
      </c>
    </row>
    <row r="6561" spans="1:2" x14ac:dyDescent="0.25">
      <c r="A6561" t="s">
        <v>12565</v>
      </c>
      <c r="B6561" t="s">
        <v>12565</v>
      </c>
    </row>
    <row r="6562" spans="1:2" x14ac:dyDescent="0.25">
      <c r="A6562" t="s">
        <v>14046</v>
      </c>
      <c r="B6562" t="s">
        <v>14046</v>
      </c>
    </row>
    <row r="6563" spans="1:2" x14ac:dyDescent="0.25">
      <c r="A6563" t="s">
        <v>13816</v>
      </c>
      <c r="B6563" t="s">
        <v>34668</v>
      </c>
    </row>
    <row r="6564" spans="1:2" x14ac:dyDescent="0.25">
      <c r="A6564" t="s">
        <v>13918</v>
      </c>
      <c r="B6564" t="s">
        <v>34669</v>
      </c>
    </row>
    <row r="6565" spans="1:2" x14ac:dyDescent="0.25">
      <c r="A6565" t="s">
        <v>13926</v>
      </c>
      <c r="B6565" t="s">
        <v>34670</v>
      </c>
    </row>
    <row r="6566" spans="1:2" x14ac:dyDescent="0.25">
      <c r="A6566" t="s">
        <v>14583</v>
      </c>
      <c r="B6566" t="s">
        <v>34671</v>
      </c>
    </row>
    <row r="6567" spans="1:2" x14ac:dyDescent="0.25">
      <c r="A6567" t="s">
        <v>34672</v>
      </c>
      <c r="B6567" t="s">
        <v>20418</v>
      </c>
    </row>
    <row r="6568" spans="1:2" x14ac:dyDescent="0.25">
      <c r="A6568" t="s">
        <v>13169</v>
      </c>
      <c r="B6568" t="s">
        <v>34673</v>
      </c>
    </row>
    <row r="6569" spans="1:2" x14ac:dyDescent="0.25">
      <c r="A6569" t="s">
        <v>12320</v>
      </c>
      <c r="B6569" t="s">
        <v>12320</v>
      </c>
    </row>
    <row r="6570" spans="1:2" x14ac:dyDescent="0.25">
      <c r="A6570" t="s">
        <v>13861</v>
      </c>
      <c r="B6570" t="s">
        <v>34674</v>
      </c>
    </row>
    <row r="6571" spans="1:2" x14ac:dyDescent="0.25">
      <c r="A6571" t="s">
        <v>14568</v>
      </c>
      <c r="B6571" t="s">
        <v>14568</v>
      </c>
    </row>
    <row r="6572" spans="1:2" x14ac:dyDescent="0.25">
      <c r="A6572" t="s">
        <v>14400</v>
      </c>
      <c r="B6572" t="s">
        <v>34675</v>
      </c>
    </row>
    <row r="6573" spans="1:2" x14ac:dyDescent="0.25">
      <c r="A6573" t="s">
        <v>13819</v>
      </c>
      <c r="B6573" t="s">
        <v>34676</v>
      </c>
    </row>
    <row r="6574" spans="1:2" x14ac:dyDescent="0.25">
      <c r="A6574" t="s">
        <v>284</v>
      </c>
      <c r="B6574" t="s">
        <v>34677</v>
      </c>
    </row>
    <row r="6575" spans="1:2" x14ac:dyDescent="0.25">
      <c r="A6575" t="s">
        <v>12473</v>
      </c>
      <c r="B6575" t="s">
        <v>12473</v>
      </c>
    </row>
    <row r="6576" spans="1:2" x14ac:dyDescent="0.25">
      <c r="A6576" t="s">
        <v>12885</v>
      </c>
      <c r="B6576" t="s">
        <v>34678</v>
      </c>
    </row>
    <row r="6577" spans="1:2" x14ac:dyDescent="0.25">
      <c r="A6577" t="s">
        <v>74</v>
      </c>
      <c r="B6577" t="s">
        <v>34679</v>
      </c>
    </row>
    <row r="6578" spans="1:2" x14ac:dyDescent="0.25">
      <c r="A6578" t="s">
        <v>15199</v>
      </c>
      <c r="B6578" t="s">
        <v>15199</v>
      </c>
    </row>
    <row r="6579" spans="1:2" x14ac:dyDescent="0.25">
      <c r="A6579" t="s">
        <v>13161</v>
      </c>
      <c r="B6579" t="s">
        <v>34680</v>
      </c>
    </row>
    <row r="6580" spans="1:2" x14ac:dyDescent="0.25">
      <c r="A6580" t="s">
        <v>15503</v>
      </c>
      <c r="B6580" t="s">
        <v>34681</v>
      </c>
    </row>
    <row r="6581" spans="1:2" x14ac:dyDescent="0.25">
      <c r="A6581" t="s">
        <v>14922</v>
      </c>
      <c r="B6581" t="s">
        <v>34682</v>
      </c>
    </row>
    <row r="6582" spans="1:2" x14ac:dyDescent="0.25">
      <c r="A6582" t="s">
        <v>14865</v>
      </c>
      <c r="B6582" t="s">
        <v>14865</v>
      </c>
    </row>
    <row r="6583" spans="1:2" x14ac:dyDescent="0.25">
      <c r="A6583" t="s">
        <v>14916</v>
      </c>
      <c r="B6583" t="s">
        <v>34683</v>
      </c>
    </row>
    <row r="6584" spans="1:2" x14ac:dyDescent="0.25">
      <c r="A6584" t="s">
        <v>12854</v>
      </c>
      <c r="B6584" t="s">
        <v>12854</v>
      </c>
    </row>
    <row r="6585" spans="1:2" x14ac:dyDescent="0.25">
      <c r="A6585" t="s">
        <v>13454</v>
      </c>
      <c r="B6585" t="s">
        <v>34684</v>
      </c>
    </row>
    <row r="6586" spans="1:2" x14ac:dyDescent="0.25">
      <c r="A6586" t="s">
        <v>12730</v>
      </c>
      <c r="B6586" t="s">
        <v>34685</v>
      </c>
    </row>
    <row r="6587" spans="1:2" x14ac:dyDescent="0.25">
      <c r="A6587" t="s">
        <v>13985</v>
      </c>
      <c r="B6587" t="s">
        <v>34686</v>
      </c>
    </row>
    <row r="6588" spans="1:2" x14ac:dyDescent="0.25">
      <c r="A6588" t="s">
        <v>15064</v>
      </c>
      <c r="B6588" t="s">
        <v>34687</v>
      </c>
    </row>
    <row r="6589" spans="1:2" x14ac:dyDescent="0.25">
      <c r="A6589" t="s">
        <v>12779</v>
      </c>
      <c r="B6589" t="s">
        <v>12779</v>
      </c>
    </row>
    <row r="6590" spans="1:2" x14ac:dyDescent="0.25">
      <c r="A6590" t="s">
        <v>13197</v>
      </c>
      <c r="B6590" t="s">
        <v>13197</v>
      </c>
    </row>
    <row r="6591" spans="1:2" x14ac:dyDescent="0.25">
      <c r="A6591" t="s">
        <v>13220</v>
      </c>
      <c r="B6591" t="s">
        <v>13220</v>
      </c>
    </row>
    <row r="6592" spans="1:2" x14ac:dyDescent="0.25">
      <c r="A6592" t="s">
        <v>14030</v>
      </c>
      <c r="B6592" t="s">
        <v>14030</v>
      </c>
    </row>
    <row r="6593" spans="1:2" x14ac:dyDescent="0.25">
      <c r="A6593" t="s">
        <v>13008</v>
      </c>
      <c r="B6593" t="s">
        <v>34688</v>
      </c>
    </row>
    <row r="6594" spans="1:2" x14ac:dyDescent="0.25">
      <c r="A6594" t="s">
        <v>13198</v>
      </c>
      <c r="B6594" t="s">
        <v>34689</v>
      </c>
    </row>
    <row r="6595" spans="1:2" x14ac:dyDescent="0.25">
      <c r="A6595" t="s">
        <v>15147</v>
      </c>
      <c r="B6595" t="s">
        <v>34690</v>
      </c>
    </row>
    <row r="6596" spans="1:2" x14ac:dyDescent="0.25">
      <c r="A6596" t="s">
        <v>14240</v>
      </c>
      <c r="B6596" t="s">
        <v>34691</v>
      </c>
    </row>
    <row r="6597" spans="1:2" x14ac:dyDescent="0.25">
      <c r="A6597" t="s">
        <v>13585</v>
      </c>
      <c r="B6597" t="s">
        <v>34692</v>
      </c>
    </row>
    <row r="6598" spans="1:2" x14ac:dyDescent="0.25">
      <c r="A6598" t="s">
        <v>14449</v>
      </c>
      <c r="B6598" t="s">
        <v>34693</v>
      </c>
    </row>
    <row r="6599" spans="1:2" x14ac:dyDescent="0.25">
      <c r="A6599" t="s">
        <v>13738</v>
      </c>
      <c r="B6599" t="s">
        <v>13738</v>
      </c>
    </row>
    <row r="6600" spans="1:2" x14ac:dyDescent="0.25">
      <c r="A6600" t="s">
        <v>15135</v>
      </c>
      <c r="B6600" t="s">
        <v>15135</v>
      </c>
    </row>
    <row r="6601" spans="1:2" x14ac:dyDescent="0.25">
      <c r="A6601" t="s">
        <v>14165</v>
      </c>
      <c r="B6601" t="s">
        <v>14165</v>
      </c>
    </row>
    <row r="6602" spans="1:2" x14ac:dyDescent="0.25">
      <c r="A6602" t="s">
        <v>15330</v>
      </c>
      <c r="B6602" t="s">
        <v>15330</v>
      </c>
    </row>
    <row r="6603" spans="1:2" x14ac:dyDescent="0.25">
      <c r="A6603" t="s">
        <v>237</v>
      </c>
      <c r="B6603" t="s">
        <v>34694</v>
      </c>
    </row>
    <row r="6604" spans="1:2" x14ac:dyDescent="0.25">
      <c r="A6604" t="s">
        <v>13756</v>
      </c>
      <c r="B6604" t="s">
        <v>34695</v>
      </c>
    </row>
    <row r="6605" spans="1:2" x14ac:dyDescent="0.25">
      <c r="A6605" t="s">
        <v>15186</v>
      </c>
      <c r="B6605" t="s">
        <v>34696</v>
      </c>
    </row>
    <row r="6606" spans="1:2" x14ac:dyDescent="0.25">
      <c r="A6606" t="s">
        <v>12366</v>
      </c>
      <c r="B6606" t="s">
        <v>12366</v>
      </c>
    </row>
    <row r="6607" spans="1:2" x14ac:dyDescent="0.25">
      <c r="A6607" t="s">
        <v>14889</v>
      </c>
      <c r="B6607" t="s">
        <v>34697</v>
      </c>
    </row>
    <row r="6608" spans="1:2" x14ac:dyDescent="0.25">
      <c r="A6608" t="s">
        <v>12603</v>
      </c>
      <c r="B6608" t="s">
        <v>12603</v>
      </c>
    </row>
    <row r="6609" spans="1:2" x14ac:dyDescent="0.25">
      <c r="A6609" t="s">
        <v>280</v>
      </c>
      <c r="B6609" t="s">
        <v>34698</v>
      </c>
    </row>
    <row r="6610" spans="1:2" x14ac:dyDescent="0.25">
      <c r="A6610" t="s">
        <v>12470</v>
      </c>
      <c r="B6610" t="s">
        <v>34699</v>
      </c>
    </row>
    <row r="6611" spans="1:2" x14ac:dyDescent="0.25">
      <c r="A6611" t="s">
        <v>15361</v>
      </c>
      <c r="B6611" t="s">
        <v>10155</v>
      </c>
    </row>
    <row r="6612" spans="1:2" x14ac:dyDescent="0.25">
      <c r="A6612" t="s">
        <v>15510</v>
      </c>
      <c r="B6612" t="s">
        <v>34700</v>
      </c>
    </row>
    <row r="6613" spans="1:2" x14ac:dyDescent="0.25">
      <c r="A6613" t="s">
        <v>13765</v>
      </c>
      <c r="B6613" t="s">
        <v>34701</v>
      </c>
    </row>
    <row r="6614" spans="1:2" x14ac:dyDescent="0.25">
      <c r="A6614" t="s">
        <v>13643</v>
      </c>
      <c r="B6614" t="s">
        <v>34702</v>
      </c>
    </row>
    <row r="6615" spans="1:2" x14ac:dyDescent="0.25">
      <c r="A6615" t="s">
        <v>12994</v>
      </c>
      <c r="B6615" t="s">
        <v>34703</v>
      </c>
    </row>
    <row r="6616" spans="1:2" x14ac:dyDescent="0.25">
      <c r="A6616" t="s">
        <v>13660</v>
      </c>
      <c r="B6616" t="s">
        <v>34704</v>
      </c>
    </row>
    <row r="6617" spans="1:2" x14ac:dyDescent="0.25">
      <c r="A6617" t="s">
        <v>14351</v>
      </c>
      <c r="B6617" t="s">
        <v>14351</v>
      </c>
    </row>
    <row r="6618" spans="1:2" x14ac:dyDescent="0.25">
      <c r="A6618" t="s">
        <v>15185</v>
      </c>
      <c r="B6618" t="s">
        <v>34705</v>
      </c>
    </row>
    <row r="6619" spans="1:2" x14ac:dyDescent="0.25">
      <c r="A6619" t="s">
        <v>12954</v>
      </c>
      <c r="B6619" t="s">
        <v>34706</v>
      </c>
    </row>
    <row r="6620" spans="1:2" x14ac:dyDescent="0.25">
      <c r="A6620" t="s">
        <v>14257</v>
      </c>
      <c r="B6620" t="s">
        <v>14257</v>
      </c>
    </row>
    <row r="6621" spans="1:2" x14ac:dyDescent="0.25">
      <c r="A6621" t="s">
        <v>512</v>
      </c>
      <c r="B6621" t="s">
        <v>34707</v>
      </c>
    </row>
    <row r="6622" spans="1:2" x14ac:dyDescent="0.25">
      <c r="A6622" t="s">
        <v>14824</v>
      </c>
      <c r="B6622" t="s">
        <v>14824</v>
      </c>
    </row>
    <row r="6623" spans="1:2" x14ac:dyDescent="0.25">
      <c r="A6623" t="s">
        <v>14820</v>
      </c>
      <c r="B6623" t="s">
        <v>14820</v>
      </c>
    </row>
    <row r="6624" spans="1:2" x14ac:dyDescent="0.25">
      <c r="A6624" t="s">
        <v>14739</v>
      </c>
      <c r="B6624" t="s">
        <v>14739</v>
      </c>
    </row>
    <row r="6625" spans="1:2" x14ac:dyDescent="0.25">
      <c r="A6625" t="s">
        <v>12893</v>
      </c>
      <c r="B6625" t="s">
        <v>34708</v>
      </c>
    </row>
    <row r="6626" spans="1:2" x14ac:dyDescent="0.25">
      <c r="A6626" t="s">
        <v>14255</v>
      </c>
      <c r="B6626" t="s">
        <v>14255</v>
      </c>
    </row>
    <row r="6627" spans="1:2" x14ac:dyDescent="0.25">
      <c r="A6627" t="s">
        <v>15256</v>
      </c>
      <c r="B6627" t="s">
        <v>15256</v>
      </c>
    </row>
    <row r="6628" spans="1:2" x14ac:dyDescent="0.25">
      <c r="A6628" t="s">
        <v>13557</v>
      </c>
      <c r="B6628" t="s">
        <v>34709</v>
      </c>
    </row>
    <row r="6629" spans="1:2" x14ac:dyDescent="0.25">
      <c r="A6629" t="s">
        <v>15008</v>
      </c>
      <c r="B6629" t="s">
        <v>34710</v>
      </c>
    </row>
    <row r="6630" spans="1:2" x14ac:dyDescent="0.25">
      <c r="A6630" t="s">
        <v>12558</v>
      </c>
      <c r="B6630" t="s">
        <v>12558</v>
      </c>
    </row>
    <row r="6631" spans="1:2" x14ac:dyDescent="0.25">
      <c r="A6631" t="s">
        <v>14289</v>
      </c>
      <c r="B6631" t="s">
        <v>34711</v>
      </c>
    </row>
    <row r="6632" spans="1:2" x14ac:dyDescent="0.25">
      <c r="A6632" t="s">
        <v>14653</v>
      </c>
      <c r="B6632" t="s">
        <v>34712</v>
      </c>
    </row>
    <row r="6633" spans="1:2" x14ac:dyDescent="0.25">
      <c r="A6633" t="s">
        <v>12777</v>
      </c>
      <c r="B6633" t="s">
        <v>12777</v>
      </c>
    </row>
    <row r="6634" spans="1:2" x14ac:dyDescent="0.25">
      <c r="A6634" t="s">
        <v>14940</v>
      </c>
      <c r="B6634" t="s">
        <v>34713</v>
      </c>
    </row>
    <row r="6635" spans="1:2" x14ac:dyDescent="0.25">
      <c r="A6635" t="s">
        <v>13312</v>
      </c>
      <c r="B6635" t="s">
        <v>34714</v>
      </c>
    </row>
    <row r="6636" spans="1:2" x14ac:dyDescent="0.25">
      <c r="A6636" t="s">
        <v>12564</v>
      </c>
      <c r="B6636" t="s">
        <v>34715</v>
      </c>
    </row>
    <row r="6637" spans="1:2" x14ac:dyDescent="0.25">
      <c r="A6637" t="s">
        <v>14421</v>
      </c>
      <c r="B6637" t="s">
        <v>34716</v>
      </c>
    </row>
    <row r="6638" spans="1:2" x14ac:dyDescent="0.25">
      <c r="A6638" t="s">
        <v>15408</v>
      </c>
      <c r="B6638" t="s">
        <v>15408</v>
      </c>
    </row>
    <row r="6639" spans="1:2" x14ac:dyDescent="0.25">
      <c r="A6639" t="s">
        <v>12444</v>
      </c>
      <c r="B6639" t="s">
        <v>12444</v>
      </c>
    </row>
    <row r="6640" spans="1:2" x14ac:dyDescent="0.25">
      <c r="A6640" t="s">
        <v>14515</v>
      </c>
      <c r="B6640" t="s">
        <v>34717</v>
      </c>
    </row>
    <row r="6641" spans="1:2" x14ac:dyDescent="0.25">
      <c r="A6641" t="s">
        <v>12891</v>
      </c>
      <c r="B6641" t="s">
        <v>34718</v>
      </c>
    </row>
    <row r="6642" spans="1:2" x14ac:dyDescent="0.25">
      <c r="A6642" t="s">
        <v>15248</v>
      </c>
      <c r="B6642" t="s">
        <v>15248</v>
      </c>
    </row>
    <row r="6643" spans="1:2" x14ac:dyDescent="0.25">
      <c r="A6643" t="s">
        <v>12450</v>
      </c>
      <c r="B6643" t="s">
        <v>12450</v>
      </c>
    </row>
    <row r="6644" spans="1:2" x14ac:dyDescent="0.25">
      <c r="A6644" t="s">
        <v>14590</v>
      </c>
      <c r="B6644" t="s">
        <v>14590</v>
      </c>
    </row>
    <row r="6645" spans="1:2" x14ac:dyDescent="0.25">
      <c r="A6645" t="s">
        <v>12315</v>
      </c>
      <c r="B6645" t="s">
        <v>34719</v>
      </c>
    </row>
    <row r="6646" spans="1:2" x14ac:dyDescent="0.25">
      <c r="A6646" t="s">
        <v>15300</v>
      </c>
      <c r="B6646" t="s">
        <v>34720</v>
      </c>
    </row>
    <row r="6647" spans="1:2" x14ac:dyDescent="0.25">
      <c r="A6647" t="s">
        <v>13104</v>
      </c>
      <c r="B6647" t="s">
        <v>34721</v>
      </c>
    </row>
    <row r="6648" spans="1:2" x14ac:dyDescent="0.25">
      <c r="A6648" t="s">
        <v>15267</v>
      </c>
      <c r="B6648" t="s">
        <v>34722</v>
      </c>
    </row>
    <row r="6649" spans="1:2" x14ac:dyDescent="0.25">
      <c r="A6649" t="s">
        <v>14405</v>
      </c>
      <c r="B6649" t="s">
        <v>34723</v>
      </c>
    </row>
    <row r="6650" spans="1:2" x14ac:dyDescent="0.25">
      <c r="A6650" t="s">
        <v>12865</v>
      </c>
      <c r="B6650" t="s">
        <v>12865</v>
      </c>
    </row>
    <row r="6651" spans="1:2" x14ac:dyDescent="0.25">
      <c r="A6651" t="s">
        <v>15246</v>
      </c>
      <c r="B6651" t="s">
        <v>15246</v>
      </c>
    </row>
    <row r="6652" spans="1:2" x14ac:dyDescent="0.25">
      <c r="A6652" t="s">
        <v>13521</v>
      </c>
      <c r="B6652" t="s">
        <v>34724</v>
      </c>
    </row>
    <row r="6653" spans="1:2" x14ac:dyDescent="0.25">
      <c r="A6653" t="s">
        <v>14195</v>
      </c>
      <c r="B6653" t="s">
        <v>34725</v>
      </c>
    </row>
    <row r="6654" spans="1:2" x14ac:dyDescent="0.25">
      <c r="A6654" t="s">
        <v>13528</v>
      </c>
      <c r="B6654" t="s">
        <v>34726</v>
      </c>
    </row>
    <row r="6655" spans="1:2" x14ac:dyDescent="0.25">
      <c r="A6655" t="s">
        <v>13631</v>
      </c>
      <c r="B6655" t="s">
        <v>34727</v>
      </c>
    </row>
    <row r="6656" spans="1:2" x14ac:dyDescent="0.25">
      <c r="A6656" t="s">
        <v>13241</v>
      </c>
      <c r="B6656" t="s">
        <v>34728</v>
      </c>
    </row>
    <row r="6657" spans="1:2" x14ac:dyDescent="0.25">
      <c r="A6657" t="s">
        <v>13418</v>
      </c>
      <c r="B6657" t="s">
        <v>34729</v>
      </c>
    </row>
    <row r="6658" spans="1:2" x14ac:dyDescent="0.25">
      <c r="A6658" t="s">
        <v>14913</v>
      </c>
      <c r="B6658" t="s">
        <v>14913</v>
      </c>
    </row>
    <row r="6659" spans="1:2" x14ac:dyDescent="0.25">
      <c r="A6659" t="s">
        <v>14986</v>
      </c>
      <c r="B6659" t="s">
        <v>8346</v>
      </c>
    </row>
    <row r="6660" spans="1:2" x14ac:dyDescent="0.25">
      <c r="A6660" t="s">
        <v>15005</v>
      </c>
      <c r="B6660" t="s">
        <v>34730</v>
      </c>
    </row>
    <row r="6661" spans="1:2" x14ac:dyDescent="0.25">
      <c r="A6661" t="s">
        <v>15488</v>
      </c>
      <c r="B6661" t="s">
        <v>34731</v>
      </c>
    </row>
    <row r="6662" spans="1:2" x14ac:dyDescent="0.25">
      <c r="A6662" t="s">
        <v>14790</v>
      </c>
      <c r="B6662" t="s">
        <v>14790</v>
      </c>
    </row>
    <row r="6663" spans="1:2" x14ac:dyDescent="0.25">
      <c r="A6663" t="s">
        <v>12400</v>
      </c>
      <c r="B6663" t="s">
        <v>34732</v>
      </c>
    </row>
    <row r="6664" spans="1:2" x14ac:dyDescent="0.25">
      <c r="A6664" t="s">
        <v>13684</v>
      </c>
      <c r="B6664" t="s">
        <v>34733</v>
      </c>
    </row>
    <row r="6665" spans="1:2" x14ac:dyDescent="0.25">
      <c r="A6665" t="s">
        <v>14668</v>
      </c>
      <c r="B6665" t="s">
        <v>34734</v>
      </c>
    </row>
    <row r="6666" spans="1:2" x14ac:dyDescent="0.25">
      <c r="A6666" t="s">
        <v>13694</v>
      </c>
      <c r="B6666" t="s">
        <v>13694</v>
      </c>
    </row>
    <row r="6667" spans="1:2" x14ac:dyDescent="0.25">
      <c r="A6667" t="s">
        <v>14599</v>
      </c>
      <c r="B6667" t="s">
        <v>34735</v>
      </c>
    </row>
    <row r="6668" spans="1:2" x14ac:dyDescent="0.25">
      <c r="A6668" t="s">
        <v>14506</v>
      </c>
      <c r="B6668" t="s">
        <v>34736</v>
      </c>
    </row>
    <row r="6669" spans="1:2" x14ac:dyDescent="0.25">
      <c r="A6669" t="s">
        <v>15117</v>
      </c>
      <c r="B6669" t="s">
        <v>15117</v>
      </c>
    </row>
    <row r="6670" spans="1:2" x14ac:dyDescent="0.25">
      <c r="A6670" t="s">
        <v>13458</v>
      </c>
      <c r="B6670" t="s">
        <v>34737</v>
      </c>
    </row>
    <row r="6671" spans="1:2" x14ac:dyDescent="0.25">
      <c r="A6671" t="s">
        <v>15284</v>
      </c>
      <c r="B6671" t="s">
        <v>34738</v>
      </c>
    </row>
    <row r="6672" spans="1:2" x14ac:dyDescent="0.25">
      <c r="A6672" t="s">
        <v>15508</v>
      </c>
      <c r="B6672" t="s">
        <v>34739</v>
      </c>
    </row>
    <row r="6673" spans="1:2" x14ac:dyDescent="0.25">
      <c r="A6673" t="s">
        <v>15007</v>
      </c>
      <c r="B6673" t="s">
        <v>15007</v>
      </c>
    </row>
    <row r="6674" spans="1:2" x14ac:dyDescent="0.25">
      <c r="A6674" t="s">
        <v>12782</v>
      </c>
      <c r="B6674" t="s">
        <v>12782</v>
      </c>
    </row>
    <row r="6675" spans="1:2" x14ac:dyDescent="0.25">
      <c r="A6675" t="s">
        <v>13401</v>
      </c>
      <c r="B6675" t="s">
        <v>34740</v>
      </c>
    </row>
    <row r="6676" spans="1:2" x14ac:dyDescent="0.25">
      <c r="A6676" t="s">
        <v>12592</v>
      </c>
      <c r="B6676" t="s">
        <v>12592</v>
      </c>
    </row>
    <row r="6677" spans="1:2" x14ac:dyDescent="0.25">
      <c r="A6677" t="s">
        <v>12837</v>
      </c>
      <c r="B6677" t="s">
        <v>12837</v>
      </c>
    </row>
    <row r="6678" spans="1:2" x14ac:dyDescent="0.25">
      <c r="A6678" t="s">
        <v>12561</v>
      </c>
      <c r="B6678" t="s">
        <v>12561</v>
      </c>
    </row>
    <row r="6679" spans="1:2" x14ac:dyDescent="0.25">
      <c r="A6679" t="s">
        <v>15274</v>
      </c>
      <c r="B6679" t="s">
        <v>15274</v>
      </c>
    </row>
    <row r="6680" spans="1:2" x14ac:dyDescent="0.25">
      <c r="A6680" t="s">
        <v>12475</v>
      </c>
      <c r="B6680" t="s">
        <v>12475</v>
      </c>
    </row>
    <row r="6681" spans="1:2" x14ac:dyDescent="0.25">
      <c r="A6681" t="s">
        <v>13370</v>
      </c>
      <c r="B6681" t="s">
        <v>34741</v>
      </c>
    </row>
    <row r="6682" spans="1:2" x14ac:dyDescent="0.25">
      <c r="A6682" t="s">
        <v>14941</v>
      </c>
      <c r="B6682" t="s">
        <v>34742</v>
      </c>
    </row>
    <row r="6683" spans="1:2" x14ac:dyDescent="0.25">
      <c r="A6683" t="s">
        <v>14901</v>
      </c>
      <c r="B6683" t="s">
        <v>33489</v>
      </c>
    </row>
    <row r="6684" spans="1:2" x14ac:dyDescent="0.25">
      <c r="A6684" t="s">
        <v>14903</v>
      </c>
      <c r="B6684" t="s">
        <v>34560</v>
      </c>
    </row>
    <row r="6685" spans="1:2" x14ac:dyDescent="0.25">
      <c r="A6685" t="s">
        <v>13976</v>
      </c>
      <c r="B6685" t="s">
        <v>34743</v>
      </c>
    </row>
    <row r="6686" spans="1:2" x14ac:dyDescent="0.25">
      <c r="A6686" t="s">
        <v>14188</v>
      </c>
      <c r="B6686" t="s">
        <v>34744</v>
      </c>
    </row>
    <row r="6687" spans="1:2" x14ac:dyDescent="0.25">
      <c r="A6687" t="s">
        <v>13959</v>
      </c>
      <c r="B6687" t="s">
        <v>34745</v>
      </c>
    </row>
    <row r="6688" spans="1:2" x14ac:dyDescent="0.25">
      <c r="A6688" t="s">
        <v>13969</v>
      </c>
      <c r="B6688" t="s">
        <v>34746</v>
      </c>
    </row>
    <row r="6689" spans="1:2" x14ac:dyDescent="0.25">
      <c r="A6689" t="s">
        <v>13191</v>
      </c>
      <c r="B6689" t="s">
        <v>34183</v>
      </c>
    </row>
    <row r="6690" spans="1:2" x14ac:dyDescent="0.25">
      <c r="A6690" t="s">
        <v>15328</v>
      </c>
      <c r="B6690" t="s">
        <v>20418</v>
      </c>
    </row>
    <row r="6691" spans="1:2" x14ac:dyDescent="0.25">
      <c r="A6691" t="s">
        <v>13956</v>
      </c>
      <c r="B6691" t="s">
        <v>28258</v>
      </c>
    </row>
    <row r="6692" spans="1:2" x14ac:dyDescent="0.25">
      <c r="A6692" t="s">
        <v>15085</v>
      </c>
      <c r="B6692" t="s">
        <v>33470</v>
      </c>
    </row>
    <row r="6693" spans="1:2" x14ac:dyDescent="0.25">
      <c r="A6693" t="s">
        <v>15314</v>
      </c>
      <c r="B6693" t="s">
        <v>33879</v>
      </c>
    </row>
    <row r="6694" spans="1:2" x14ac:dyDescent="0.25">
      <c r="A6694" t="s">
        <v>13971</v>
      </c>
      <c r="B6694" t="s">
        <v>34747</v>
      </c>
    </row>
    <row r="6695" spans="1:2" x14ac:dyDescent="0.25">
      <c r="A6695" t="s">
        <v>13189</v>
      </c>
      <c r="B6695" t="s">
        <v>34135</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Alias</vt:lpstr>
      <vt:lpstr>SIKB_2020_02_06</vt:lpstr>
      <vt:lpstr>NVWA dec2020</vt:lpstr>
      <vt:lpstr>REWAB dec2020</vt:lpstr>
      <vt:lpstr>Pubchem</vt:lpstr>
      <vt:lpstr>NL2EN</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Schans, Martin van der</dc:creator>
  <cp:lastModifiedBy>Schans, Martin van der</cp:lastModifiedBy>
  <dcterms:created xsi:type="dcterms:W3CDTF">2020-07-28T12:13:11Z</dcterms:created>
  <dcterms:modified xsi:type="dcterms:W3CDTF">2021-03-04T11:05:40Z</dcterms:modified>
</cp:coreProperties>
</file>